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defaultThemeVersion="124226"/>
  <mc:AlternateContent xmlns:mc="http://schemas.openxmlformats.org/markup-compatibility/2006">
    <mc:Choice Requires="x15">
      <x15ac:absPath xmlns:x15ac="http://schemas.microsoft.com/office/spreadsheetml/2010/11/ac" url="C:\Users\Александр\Desktop\DvZ archive\Dave vs Ziggy\"/>
    </mc:Choice>
  </mc:AlternateContent>
  <bookViews>
    <workbookView xWindow="120" yWindow="30" windowWidth="10470" windowHeight="9360" tabRatio="849" firstSheet="7" activeTab="8"/>
  </bookViews>
  <sheets>
    <sheet name="Texture" sheetId="39" state="hidden" r:id="rId1"/>
    <sheet name="Sprites" sheetId="40" state="hidden" r:id="rId2"/>
    <sheet name="Creatures" sheetId="41" state="hidden" r:id="rId3"/>
    <sheet name="Weapons" sheetId="42" state="hidden" r:id="rId4"/>
    <sheet name="Voxel_3D_Objects" sheetId="47" state="hidden" r:id="rId5"/>
    <sheet name="Real_3D_Objects" sheetId="48" state="hidden" r:id="rId6"/>
    <sheet name="Landscapes" sheetId="49" state="hidden" r:id="rId7"/>
    <sheet name="Screen" sheetId="57" r:id="rId8"/>
    <sheet name="MISC" sheetId="24" r:id="rId9"/>
    <sheet name="Level1" sheetId="36" state="hidden" r:id="rId10"/>
    <sheet name="Level3" sheetId="19" state="hidden" r:id="rId11"/>
    <sheet name="Level4" sheetId="37" state="hidden" r:id="rId12"/>
    <sheet name="Level5" sheetId="54" state="hidden" r:id="rId13"/>
    <sheet name="Level6" sheetId="28" state="hidden" r:id="rId14"/>
    <sheet name="Level7" sheetId="38" state="hidden" r:id="rId15"/>
    <sheet name="SavedGame1" sheetId="44" state="hidden" r:id="rId16"/>
    <sheet name="SavedGame2" sheetId="56" state="hidden" r:id="rId17"/>
    <sheet name="SavedGame3" sheetId="55" state="hidden" r:id="rId18"/>
    <sheet name="Font_Palette_Title" sheetId="50" state="hidden" r:id="rId19"/>
    <sheet name="Sounds" sheetId="29" state="hidden" r:id="rId20"/>
  </sheets>
  <functionGroups builtInGroupCount="18"/>
  <calcPr calcId="152511" calcMode="manual"/>
  <fileRecoveryPr autoRecover="0"/>
</workbook>
</file>

<file path=xl/calcChain.xml><?xml version="1.0" encoding="utf-8"?>
<calcChain xmlns="http://schemas.openxmlformats.org/spreadsheetml/2006/main">
  <c r="AH1" i="38" l="1"/>
  <c r="AJ1" i="38"/>
  <c r="AU1" i="38"/>
  <c r="M2" i="38"/>
  <c r="N2" i="38"/>
  <c r="O2" i="38"/>
  <c r="P2" i="38"/>
  <c r="R2" i="38"/>
  <c r="T2" i="38"/>
  <c r="V2" i="38"/>
  <c r="AF2" i="38"/>
  <c r="AG2" i="38"/>
  <c r="AJ2" i="38"/>
  <c r="AL2" i="38"/>
  <c r="AU2" i="38"/>
  <c r="I3" i="38"/>
  <c r="AA3" i="38"/>
  <c r="AC3" i="38"/>
  <c r="AD3" i="38"/>
  <c r="AG3" i="38"/>
  <c r="AJ3" i="38"/>
  <c r="AL3" i="38"/>
  <c r="AN3" i="38"/>
  <c r="AU3" i="38"/>
  <c r="B4" i="38"/>
  <c r="C4" i="38"/>
  <c r="J4" i="38"/>
  <c r="K4" i="38"/>
  <c r="T4" i="38"/>
  <c r="Y4" i="38"/>
  <c r="Z4" i="38"/>
  <c r="AF4" i="38"/>
  <c r="AG4" i="38"/>
  <c r="AJ4" i="38"/>
  <c r="AL4" i="38"/>
  <c r="AU4" i="38"/>
  <c r="B5" i="38"/>
  <c r="J5" i="38"/>
  <c r="K5" i="38"/>
  <c r="Y5" i="38"/>
  <c r="Z5" i="38"/>
  <c r="AH5" i="38"/>
  <c r="AJ5" i="38"/>
  <c r="A6" i="38"/>
  <c r="C6" i="38"/>
  <c r="L6" i="38"/>
  <c r="O6" i="38"/>
  <c r="R6" i="38"/>
  <c r="U6" i="38"/>
  <c r="X6" i="38"/>
  <c r="AG6" i="38"/>
  <c r="AH6" i="38"/>
  <c r="AI6" i="38"/>
  <c r="AJ6" i="38"/>
  <c r="B7" i="38"/>
  <c r="I7" i="38"/>
  <c r="B8" i="38"/>
  <c r="V8" i="38"/>
  <c r="AB8" i="38"/>
  <c r="A9" i="38"/>
  <c r="C9" i="38"/>
  <c r="E9" i="38"/>
  <c r="F9" i="38"/>
  <c r="G9" i="38"/>
  <c r="H9" i="38"/>
  <c r="I9" i="38"/>
  <c r="L9" i="38"/>
  <c r="O9" i="38"/>
  <c r="R9" i="38"/>
  <c r="U9" i="38"/>
  <c r="X9" i="38"/>
  <c r="B10" i="38"/>
  <c r="Z10" i="38"/>
  <c r="AG10" i="38"/>
  <c r="AI10" i="38"/>
  <c r="AK10" i="38"/>
  <c r="AL10" i="38"/>
  <c r="E11" i="38"/>
  <c r="R11" i="38"/>
  <c r="AB11" i="38"/>
  <c r="AF11" i="38"/>
  <c r="AJ11" i="38"/>
  <c r="AM11" i="38"/>
  <c r="D12" i="38"/>
  <c r="E12" i="38"/>
  <c r="F12" i="38"/>
  <c r="G12" i="38"/>
  <c r="H12" i="38"/>
  <c r="L12" i="38"/>
  <c r="O12" i="38"/>
  <c r="Q12" i="38"/>
  <c r="R12" i="38"/>
  <c r="S12" i="38"/>
  <c r="U12" i="38"/>
  <c r="X12" i="38"/>
  <c r="AB12" i="38"/>
  <c r="E13" i="38"/>
  <c r="F13" i="38"/>
  <c r="R13" i="38"/>
  <c r="AB13" i="38"/>
  <c r="AK13" i="38"/>
  <c r="H15" i="38"/>
  <c r="I15" i="38"/>
  <c r="L15" i="38"/>
  <c r="O15" i="38"/>
  <c r="R15" i="38"/>
  <c r="U15" i="38"/>
  <c r="X15" i="38"/>
  <c r="C16" i="38"/>
  <c r="D16" i="38"/>
  <c r="E16" i="38"/>
  <c r="AB16" i="38"/>
  <c r="C17" i="38"/>
  <c r="I17" i="38"/>
  <c r="AT17" i="38"/>
  <c r="L18" i="38"/>
  <c r="O18" i="38"/>
  <c r="R18" i="38"/>
  <c r="U18" i="38"/>
  <c r="X18" i="38"/>
  <c r="AG18" i="38"/>
  <c r="AT18" i="38"/>
  <c r="D19" i="38"/>
  <c r="F19" i="38"/>
  <c r="J19" i="38"/>
  <c r="K19" i="38"/>
  <c r="M19" i="38"/>
  <c r="Y19" i="38"/>
  <c r="Z19" i="38"/>
  <c r="AT19" i="38"/>
  <c r="E20" i="38"/>
  <c r="F20" i="38"/>
  <c r="G20" i="38"/>
  <c r="H20" i="38"/>
  <c r="J20" i="38"/>
  <c r="K20" i="38"/>
  <c r="U20" i="38"/>
  <c r="Y20" i="38"/>
  <c r="AT20" i="38"/>
  <c r="D21" i="38"/>
  <c r="F21" i="38"/>
  <c r="I21" i="38"/>
  <c r="AA21" i="38"/>
  <c r="M22" i="38"/>
  <c r="N22" i="38"/>
  <c r="O22" i="38"/>
  <c r="P22" i="38"/>
  <c r="R22" i="38"/>
  <c r="T22" i="38"/>
  <c r="V22" i="38"/>
  <c r="AB23" i="38"/>
  <c r="V24" i="38"/>
  <c r="W24" i="38"/>
  <c r="AB24" i="38"/>
  <c r="AG24" i="38"/>
  <c r="AK24" i="38"/>
  <c r="B26" i="38"/>
  <c r="C26" i="38"/>
  <c r="E26" i="38"/>
  <c r="V26" i="38"/>
  <c r="X26" i="38"/>
  <c r="AC26" i="38"/>
  <c r="B27" i="38"/>
  <c r="Y27" i="38"/>
  <c r="AC27" i="38"/>
  <c r="AJ27" i="38"/>
  <c r="G28" i="38"/>
  <c r="H28" i="38"/>
  <c r="V28" i="38"/>
  <c r="X28" i="38"/>
  <c r="Z28" i="38"/>
  <c r="AC28" i="38"/>
  <c r="B29" i="38"/>
  <c r="F29" i="38"/>
  <c r="O29" i="38"/>
  <c r="E30" i="38"/>
  <c r="F30" i="38"/>
  <c r="H30" i="38"/>
  <c r="V30" i="38"/>
  <c r="X30" i="38"/>
  <c r="AE30" i="38"/>
  <c r="AJ30" i="38"/>
  <c r="D31" i="38"/>
  <c r="X31" i="38"/>
  <c r="AG31" i="38"/>
  <c r="AL31" i="38"/>
  <c r="D32" i="38"/>
  <c r="F32" i="38"/>
  <c r="H32" i="38"/>
  <c r="V32" i="38"/>
  <c r="W32" i="38"/>
  <c r="Y32" i="38"/>
  <c r="X33" i="38"/>
  <c r="AG33" i="38"/>
  <c r="AJ33" i="38"/>
  <c r="AM33" i="38"/>
  <c r="J34" i="38"/>
  <c r="U34" i="38"/>
  <c r="L35" i="38"/>
  <c r="S35" i="38"/>
  <c r="AG35" i="38"/>
  <c r="AL35" i="38"/>
  <c r="AJ36" i="38"/>
  <c r="N37" i="38"/>
  <c r="Q37" i="38"/>
  <c r="F38" i="38"/>
  <c r="O38" i="38"/>
  <c r="P38" i="38"/>
  <c r="Y38" i="38"/>
  <c r="F39" i="38"/>
  <c r="O39" i="38"/>
  <c r="P39" i="38"/>
  <c r="Y39" i="38"/>
  <c r="AJ39" i="38"/>
  <c r="F40" i="38"/>
  <c r="N40" i="38"/>
  <c r="Q40" i="38"/>
  <c r="Y40" i="38"/>
  <c r="L42" i="38"/>
  <c r="S42" i="38"/>
  <c r="AG42" i="38"/>
  <c r="AJ42" i="38"/>
  <c r="AM42" i="38"/>
  <c r="J44" i="38"/>
  <c r="U44" i="38"/>
  <c r="D45" i="38"/>
  <c r="F45" i="38"/>
  <c r="H45" i="38"/>
  <c r="W45" i="38"/>
  <c r="Y45" i="38"/>
  <c r="AA45" i="38"/>
  <c r="AJ45" i="38"/>
  <c r="D46" i="38"/>
  <c r="E46" i="38"/>
  <c r="F46" i="38"/>
  <c r="G46" i="38"/>
  <c r="X46" i="38"/>
  <c r="Y46" i="38"/>
  <c r="Z46" i="38"/>
  <c r="AA46" i="38"/>
  <c r="G47" i="38"/>
  <c r="H47" i="38"/>
  <c r="W47" i="38"/>
  <c r="X47" i="38"/>
  <c r="Y47" i="38"/>
  <c r="Z47" i="38"/>
  <c r="AA47" i="38"/>
  <c r="AI47" i="38"/>
  <c r="AJ47" i="38"/>
  <c r="AK47" i="38"/>
  <c r="F48" i="38"/>
  <c r="G48" i="38"/>
  <c r="X48" i="38"/>
  <c r="Y48" i="38"/>
  <c r="AC48" i="38"/>
  <c r="AI48" i="38"/>
  <c r="AJ48" i="38"/>
  <c r="AK48" i="38"/>
  <c r="B49" i="38"/>
  <c r="D49" i="38"/>
  <c r="F49" i="38"/>
  <c r="G49" i="38"/>
  <c r="H49" i="38"/>
  <c r="O49" i="38"/>
  <c r="W49" i="38"/>
  <c r="X49" i="38"/>
  <c r="Y49" i="38"/>
  <c r="AA49" i="38"/>
  <c r="AI49" i="38"/>
  <c r="AJ49" i="38"/>
  <c r="AK49" i="38"/>
  <c r="F50" i="38"/>
  <c r="G50" i="38"/>
  <c r="B51" i="38"/>
  <c r="D51" i="38"/>
  <c r="G51" i="38"/>
  <c r="H51" i="38"/>
  <c r="Z51" i="38"/>
  <c r="AC51" i="38"/>
  <c r="G2" i="28"/>
  <c r="AC2" i="28"/>
  <c r="AF2" i="28"/>
  <c r="AH2" i="28"/>
  <c r="AV2" i="28"/>
  <c r="AY2" i="28"/>
  <c r="BB2" i="28"/>
  <c r="BJ2" i="28"/>
  <c r="BK2" i="28"/>
  <c r="BL2" i="28"/>
  <c r="BM2" i="28"/>
  <c r="BN2" i="28"/>
  <c r="BO2" i="28"/>
  <c r="CJ2" i="28"/>
  <c r="C3" i="28"/>
  <c r="AG3" i="28"/>
  <c r="AM3" i="28"/>
  <c r="AQ3" i="28"/>
  <c r="BA3" i="28"/>
  <c r="BG3" i="28"/>
  <c r="BS3" i="28"/>
  <c r="BT3" i="28"/>
  <c r="BU3" i="28"/>
  <c r="BW3" i="28"/>
  <c r="CJ3" i="28"/>
  <c r="CK3" i="28"/>
  <c r="E4" i="28"/>
  <c r="AC4" i="28"/>
  <c r="AD4" i="28"/>
  <c r="AF4" i="28"/>
  <c r="AK4" i="28"/>
  <c r="AL4" i="28"/>
  <c r="AY4" i="28"/>
  <c r="BH4" i="28"/>
  <c r="BS4" i="28"/>
  <c r="BT4" i="28"/>
  <c r="BU4" i="28"/>
  <c r="BW4" i="28"/>
  <c r="CC4" i="28"/>
  <c r="CH4" i="28"/>
  <c r="CJ4" i="28"/>
  <c r="CP4" i="28"/>
  <c r="BW5" i="28"/>
  <c r="BZ5" i="28"/>
  <c r="CE5" i="28"/>
  <c r="CH5" i="28"/>
  <c r="CJ5" i="28"/>
  <c r="CK5" i="28"/>
  <c r="CO5" i="28"/>
  <c r="AB6" i="28"/>
  <c r="AE6" i="28"/>
  <c r="AK6" i="28"/>
  <c r="AL6" i="28"/>
  <c r="AM6" i="28"/>
  <c r="AN6" i="28"/>
  <c r="AO6" i="28"/>
  <c r="AP6" i="28"/>
  <c r="AQ6" i="28"/>
  <c r="AR6" i="28"/>
  <c r="AS6" i="28"/>
  <c r="AT6" i="28"/>
  <c r="AY6" i="28"/>
  <c r="BI6" i="28"/>
  <c r="CE6" i="28"/>
  <c r="CF6" i="28"/>
  <c r="CH6" i="28"/>
  <c r="CJ6" i="28"/>
  <c r="CK6" i="28"/>
  <c r="CM6" i="28"/>
  <c r="CN6" i="28"/>
  <c r="CO6" i="28"/>
  <c r="CP6" i="28"/>
  <c r="CQ6" i="28"/>
  <c r="G7" i="28"/>
  <c r="K7" i="28"/>
  <c r="AC7" i="28"/>
  <c r="AE7" i="28"/>
  <c r="AK7" i="28"/>
  <c r="AL7" i="28"/>
  <c r="AM7" i="28"/>
  <c r="AN7" i="28"/>
  <c r="AO7" i="28"/>
  <c r="AP7" i="28"/>
  <c r="AQ7" i="28"/>
  <c r="AR7" i="28"/>
  <c r="AS7" i="28"/>
  <c r="AT7" i="28"/>
  <c r="BV7" i="28"/>
  <c r="CE7" i="28"/>
  <c r="CH7" i="28"/>
  <c r="CJ7" i="28"/>
  <c r="CK7" i="28"/>
  <c r="CO7" i="28"/>
  <c r="D8" i="28"/>
  <c r="AJ8" i="28"/>
  <c r="AL8" i="28"/>
  <c r="AM8" i="28"/>
  <c r="AN8" i="28"/>
  <c r="AV8" i="28"/>
  <c r="AW8" i="28"/>
  <c r="AY8" i="28"/>
  <c r="BB8" i="28"/>
  <c r="BC8" i="28"/>
  <c r="BD8" i="28"/>
  <c r="BE8" i="28"/>
  <c r="BF8" i="28"/>
  <c r="BG8" i="28"/>
  <c r="BT8" i="28"/>
  <c r="CH8" i="28"/>
  <c r="CJ8" i="28"/>
  <c r="CP8" i="28"/>
  <c r="B9" i="28"/>
  <c r="C9" i="28"/>
  <c r="F9" i="28"/>
  <c r="I9" i="28"/>
  <c r="J9" i="28"/>
  <c r="K9" i="28"/>
  <c r="N9" i="28"/>
  <c r="AB9" i="28"/>
  <c r="AD9" i="28"/>
  <c r="AF9" i="28"/>
  <c r="AI9" i="28"/>
  <c r="AJ9" i="28"/>
  <c r="AK9" i="28"/>
  <c r="AR9" i="28"/>
  <c r="AT9" i="28"/>
  <c r="AU9" i="28"/>
  <c r="AV9" i="28"/>
  <c r="AY9" i="28"/>
  <c r="BB9" i="28"/>
  <c r="BC9" i="28"/>
  <c r="BD9" i="28"/>
  <c r="BE9" i="28"/>
  <c r="BF9" i="28"/>
  <c r="BG9" i="28"/>
  <c r="BR9" i="28"/>
  <c r="CC9" i="28"/>
  <c r="CJ9" i="28"/>
  <c r="CK9" i="28"/>
  <c r="D10" i="28"/>
  <c r="AB10" i="28"/>
  <c r="AJ10" i="28"/>
  <c r="AL10" i="28"/>
  <c r="AM10" i="28"/>
  <c r="AN10" i="28"/>
  <c r="AV10" i="28"/>
  <c r="AW10" i="28"/>
  <c r="AY10" i="28"/>
  <c r="BB10" i="28"/>
  <c r="BC10" i="28"/>
  <c r="BD10" i="28"/>
  <c r="BE10" i="28"/>
  <c r="BF10" i="28"/>
  <c r="BG10" i="28"/>
  <c r="CF10" i="28"/>
  <c r="CJ10" i="28"/>
  <c r="G11" i="28"/>
  <c r="K11" i="28"/>
  <c r="AK11" i="28"/>
  <c r="AL11" i="28"/>
  <c r="AM11" i="28"/>
  <c r="AN11" i="28"/>
  <c r="AO11" i="28"/>
  <c r="AP11" i="28"/>
  <c r="AQ11" i="28"/>
  <c r="AR11" i="28"/>
  <c r="AS11" i="28"/>
  <c r="AT11" i="28"/>
  <c r="BY11" i="28"/>
  <c r="BZ11" i="28"/>
  <c r="CA11" i="28"/>
  <c r="AB12" i="28"/>
  <c r="AK12" i="28"/>
  <c r="AL12" i="28"/>
  <c r="AM12" i="28"/>
  <c r="AN12" i="28"/>
  <c r="AO12" i="28"/>
  <c r="AP12" i="28"/>
  <c r="AQ12" i="28"/>
  <c r="AR12" i="28"/>
  <c r="AS12" i="28"/>
  <c r="AT12" i="28"/>
  <c r="BQ12" i="28"/>
  <c r="BS12" i="28"/>
  <c r="BZ12" i="28"/>
  <c r="CH12" i="28"/>
  <c r="CI12" i="28"/>
  <c r="CJ12" i="28"/>
  <c r="CL12" i="28"/>
  <c r="CM12" i="28"/>
  <c r="CN12" i="28"/>
  <c r="CO12" i="28"/>
  <c r="AC13" i="28"/>
  <c r="AW13" i="28"/>
  <c r="AY13" i="28"/>
  <c r="CC13" i="28"/>
  <c r="CH13" i="28"/>
  <c r="CP13" i="28"/>
  <c r="AC14" i="28"/>
  <c r="AL14" i="28"/>
  <c r="AN14" i="28"/>
  <c r="AQ14" i="28"/>
  <c r="AW14" i="28"/>
  <c r="BS14" i="28"/>
  <c r="BX14" i="28"/>
  <c r="BY14" i="28"/>
  <c r="BZ14" i="28"/>
  <c r="CA14" i="28"/>
  <c r="CI14" i="28"/>
  <c r="CL14" i="28"/>
  <c r="CN14" i="28"/>
  <c r="F15" i="28"/>
  <c r="AH15" i="28"/>
  <c r="AM15" i="28"/>
  <c r="AS15" i="28"/>
  <c r="BK15" i="28"/>
  <c r="BU15" i="28"/>
  <c r="BV15" i="28"/>
  <c r="BX15" i="28"/>
  <c r="BY15" i="28"/>
  <c r="BZ15" i="28"/>
  <c r="CA15" i="28"/>
  <c r="CJ15" i="28"/>
  <c r="CO15" i="28"/>
  <c r="CP15" i="28"/>
  <c r="AI16" i="28"/>
  <c r="AP16" i="28"/>
  <c r="AV16" i="28"/>
  <c r="BK16" i="28"/>
  <c r="BL16" i="28"/>
  <c r="BM16" i="28"/>
  <c r="BP16" i="28"/>
  <c r="BQ16" i="28"/>
  <c r="BR16" i="28"/>
  <c r="BS16" i="28"/>
  <c r="BU16" i="28"/>
  <c r="BV16" i="28"/>
  <c r="BX16" i="28"/>
  <c r="BY16" i="28"/>
  <c r="BZ16" i="28"/>
  <c r="CA16" i="28"/>
  <c r="CD16" i="28"/>
  <c r="CG16" i="28"/>
  <c r="CK16" i="28"/>
  <c r="CL16" i="28"/>
  <c r="CM16" i="28"/>
  <c r="CN16" i="28"/>
  <c r="CO16" i="28"/>
  <c r="CP16" i="28"/>
  <c r="BS17" i="28"/>
  <c r="BU17" i="28"/>
  <c r="BX17" i="28"/>
  <c r="BY17" i="28"/>
  <c r="BZ17" i="28"/>
  <c r="CA17" i="28"/>
  <c r="CD17" i="28"/>
  <c r="CO17" i="28"/>
  <c r="CP17" i="28"/>
  <c r="BN18" i="28"/>
  <c r="BO18" i="28"/>
  <c r="BP18" i="28"/>
  <c r="BQ18" i="28"/>
  <c r="CG18" i="28"/>
  <c r="CH18" i="28"/>
  <c r="CL18" i="28"/>
  <c r="DE18" i="28"/>
  <c r="BU19" i="28"/>
  <c r="BV19" i="28"/>
  <c r="CE19" i="28"/>
  <c r="CK19" i="28"/>
  <c r="CO19" i="28"/>
  <c r="DE19" i="28"/>
  <c r="V20" i="28"/>
  <c r="W20" i="28"/>
  <c r="X20" i="28"/>
  <c r="AJ20" i="28"/>
  <c r="AK20" i="28"/>
  <c r="AL20" i="28"/>
  <c r="AM20" i="28"/>
  <c r="AN20" i="28"/>
  <c r="AO20" i="28"/>
  <c r="AP20" i="28"/>
  <c r="CI20" i="28"/>
  <c r="CJ20" i="28"/>
  <c r="CM20" i="28"/>
  <c r="CO20" i="28"/>
  <c r="CP20" i="28"/>
  <c r="DE20" i="28"/>
  <c r="I21" i="28"/>
  <c r="R21" i="28"/>
  <c r="S21" i="28"/>
  <c r="BE21" i="28"/>
  <c r="BI21" i="28"/>
  <c r="BJ21" i="28"/>
  <c r="BL21" i="28"/>
  <c r="BM21" i="28"/>
  <c r="BT21" i="28"/>
  <c r="BX21" i="28"/>
  <c r="BY21" i="28"/>
  <c r="CA21" i="28"/>
  <c r="CC21" i="28"/>
  <c r="CD21" i="28"/>
  <c r="CE21" i="28"/>
  <c r="CO21" i="28"/>
  <c r="DE21" i="28"/>
  <c r="L22" i="28"/>
  <c r="S22" i="28"/>
  <c r="X22" i="28"/>
  <c r="AB22" i="28"/>
  <c r="AC22" i="28"/>
  <c r="AD22" i="28"/>
  <c r="AE22" i="28"/>
  <c r="AF22" i="28"/>
  <c r="AG22" i="28"/>
  <c r="AH22" i="28"/>
  <c r="AJ22" i="28"/>
  <c r="AK22" i="28"/>
  <c r="AL22" i="28"/>
  <c r="AM22" i="28"/>
  <c r="AN22" i="28"/>
  <c r="AO22" i="28"/>
  <c r="AP22" i="28"/>
  <c r="BI22" i="28"/>
  <c r="BJ22" i="28"/>
  <c r="BK22" i="28"/>
  <c r="BL22" i="28"/>
  <c r="BM22" i="28"/>
  <c r="BT22" i="28"/>
  <c r="BU22" i="28"/>
  <c r="CC22" i="28"/>
  <c r="CF22" i="28"/>
  <c r="DE22" i="28"/>
  <c r="X23" i="28"/>
  <c r="Y23" i="28"/>
  <c r="Z23" i="28"/>
  <c r="AB23" i="28"/>
  <c r="AI23" i="28"/>
  <c r="BI23" i="28"/>
  <c r="BJ23" i="28"/>
  <c r="BK23" i="28"/>
  <c r="BL23" i="28"/>
  <c r="BM23" i="28"/>
  <c r="BT23" i="28"/>
  <c r="CF23" i="28"/>
  <c r="CI23" i="28"/>
  <c r="CP23" i="28"/>
  <c r="DE23" i="28"/>
  <c r="R24" i="28"/>
  <c r="Z24" i="28"/>
  <c r="AC24" i="28"/>
  <c r="AD24" i="28"/>
  <c r="AE24" i="28"/>
  <c r="AF24" i="28"/>
  <c r="AI24" i="28"/>
  <c r="BB24" i="28"/>
  <c r="BC24" i="28"/>
  <c r="BD24" i="28"/>
  <c r="BT24" i="28"/>
  <c r="BZ24" i="28"/>
  <c r="CA24" i="28"/>
  <c r="CB24" i="28"/>
  <c r="CD24" i="28"/>
  <c r="CF24" i="28"/>
  <c r="CI24" i="28"/>
  <c r="CM24" i="28"/>
  <c r="CP24" i="28"/>
  <c r="DE24" i="28"/>
  <c r="Z25" i="28"/>
  <c r="AF25" i="28"/>
  <c r="AI25" i="28"/>
  <c r="AQ25" i="28"/>
  <c r="BB25" i="28"/>
  <c r="BC25" i="28"/>
  <c r="BD25" i="28"/>
  <c r="BJ25" i="28"/>
  <c r="BY25" i="28"/>
  <c r="BZ25" i="28"/>
  <c r="CA25" i="28"/>
  <c r="CB25" i="28"/>
  <c r="CC25" i="28"/>
  <c r="CI25" i="28"/>
  <c r="CQ25" i="28"/>
  <c r="DE25" i="28"/>
  <c r="E26" i="28"/>
  <c r="J26" i="28"/>
  <c r="L26" i="28"/>
  <c r="N26" i="28"/>
  <c r="S26" i="28"/>
  <c r="AF26" i="28"/>
  <c r="AI26" i="28"/>
  <c r="BB26" i="28"/>
  <c r="BC26" i="28"/>
  <c r="BD26" i="28"/>
  <c r="BJ26" i="28"/>
  <c r="BR26" i="28"/>
  <c r="BU26" i="28"/>
  <c r="BV26" i="28"/>
  <c r="BW26" i="28"/>
  <c r="BZ26" i="28"/>
  <c r="CA26" i="28"/>
  <c r="CB26" i="28"/>
  <c r="CE26" i="28"/>
  <c r="CF26" i="28"/>
  <c r="CI26" i="28"/>
  <c r="CN26" i="28"/>
  <c r="CO26" i="28"/>
  <c r="DE26" i="28"/>
  <c r="J27" i="28"/>
  <c r="K27" i="28"/>
  <c r="AD27" i="28"/>
  <c r="AE27" i="28"/>
  <c r="AI27" i="28"/>
  <c r="AN27" i="28"/>
  <c r="AO27" i="28"/>
  <c r="AP27" i="28"/>
  <c r="AQ27" i="28"/>
  <c r="AR27" i="28"/>
  <c r="AS27" i="28"/>
  <c r="BB27" i="28"/>
  <c r="BC27" i="28"/>
  <c r="BD27" i="28"/>
  <c r="BI27" i="28"/>
  <c r="BJ27" i="28"/>
  <c r="BS27" i="28"/>
  <c r="BT27" i="28"/>
  <c r="BW27" i="28"/>
  <c r="CD27" i="28"/>
  <c r="CF27" i="28"/>
  <c r="DE27" i="28"/>
  <c r="E28" i="28"/>
  <c r="L28" i="28"/>
  <c r="W28" i="28"/>
  <c r="AA28" i="28"/>
  <c r="AD28" i="28"/>
  <c r="AI28" i="28"/>
  <c r="AQ28" i="28"/>
  <c r="AS28" i="28"/>
  <c r="AV28" i="28"/>
  <c r="AX28" i="28"/>
  <c r="AZ28" i="28"/>
  <c r="BA28" i="28"/>
  <c r="BC28" i="28"/>
  <c r="BE28" i="28"/>
  <c r="BF28" i="28"/>
  <c r="BH28" i="28"/>
  <c r="BI28" i="28"/>
  <c r="BJ28" i="28"/>
  <c r="BU28" i="28"/>
  <c r="CA28" i="28"/>
  <c r="CC28" i="28"/>
  <c r="CM28" i="28"/>
  <c r="CP28" i="28"/>
  <c r="DE28" i="28"/>
  <c r="N29" i="28"/>
  <c r="AD29" i="28"/>
  <c r="AG29" i="28"/>
  <c r="AJ29" i="28"/>
  <c r="AK29" i="28"/>
  <c r="AL29" i="28"/>
  <c r="AM29" i="28"/>
  <c r="AO29" i="28"/>
  <c r="AP29" i="28"/>
  <c r="AQ29" i="28"/>
  <c r="AR29" i="28"/>
  <c r="AS29" i="28"/>
  <c r="AV29" i="28"/>
  <c r="AX29" i="28"/>
  <c r="AY29" i="28"/>
  <c r="AZ29" i="28"/>
  <c r="BA29" i="28"/>
  <c r="BB29" i="28"/>
  <c r="BC29" i="28"/>
  <c r="BD29" i="28"/>
  <c r="BE29" i="28"/>
  <c r="BF29" i="28"/>
  <c r="BG29" i="28"/>
  <c r="BH29" i="28"/>
  <c r="BI29" i="28"/>
  <c r="BO29" i="28"/>
  <c r="BS29" i="28"/>
  <c r="BW29" i="28"/>
  <c r="BY29" i="28"/>
  <c r="BZ29" i="28"/>
  <c r="CA29" i="28"/>
  <c r="CB29" i="28"/>
  <c r="CC29" i="28"/>
  <c r="CF29" i="28"/>
  <c r="DE29" i="28"/>
  <c r="E30" i="28"/>
  <c r="J30" i="28"/>
  <c r="L30" i="28"/>
  <c r="N30" i="28"/>
  <c r="S30" i="28"/>
  <c r="AD30" i="28"/>
  <c r="AG30" i="28"/>
  <c r="AQ30" i="28"/>
  <c r="AS30" i="28"/>
  <c r="AV30" i="28"/>
  <c r="AX30" i="28"/>
  <c r="AZ30" i="28"/>
  <c r="BA30" i="28"/>
  <c r="BB30" i="28"/>
  <c r="BC30" i="28"/>
  <c r="BD30" i="28"/>
  <c r="BE30" i="28"/>
  <c r="BF30" i="28"/>
  <c r="BR30" i="28"/>
  <c r="BW30" i="28"/>
  <c r="BX30" i="28"/>
  <c r="BY30" i="28"/>
  <c r="BZ30" i="28"/>
  <c r="CA30" i="28"/>
  <c r="CB30" i="28"/>
  <c r="CC30" i="28"/>
  <c r="CD30" i="28"/>
  <c r="CE30" i="28"/>
  <c r="CF30" i="28"/>
  <c r="CM30" i="28"/>
  <c r="CP30" i="28"/>
  <c r="DE30" i="28"/>
  <c r="Z31" i="28"/>
  <c r="AD31" i="28"/>
  <c r="AG31" i="28"/>
  <c r="AN31" i="28"/>
  <c r="AO31" i="28"/>
  <c r="AP31" i="28"/>
  <c r="AQ31" i="28"/>
  <c r="AR31" i="28"/>
  <c r="AS31" i="28"/>
  <c r="AV31" i="28"/>
  <c r="BO31" i="28"/>
  <c r="BW31" i="28"/>
  <c r="BX31" i="28"/>
  <c r="BY31" i="28"/>
  <c r="BZ31" i="28"/>
  <c r="CA31" i="28"/>
  <c r="CB31" i="28"/>
  <c r="CC31" i="28"/>
  <c r="CD31" i="28"/>
  <c r="CE31" i="28"/>
  <c r="CF31" i="28"/>
  <c r="DE31" i="28"/>
  <c r="Z32" i="28"/>
  <c r="AD32" i="28"/>
  <c r="AE32" i="28"/>
  <c r="AF32" i="28"/>
  <c r="AG32" i="28"/>
  <c r="AV32" i="28"/>
  <c r="BR32" i="28"/>
  <c r="BW32" i="28"/>
  <c r="BX32" i="28"/>
  <c r="BY32" i="28"/>
  <c r="BZ32" i="28"/>
  <c r="CA32" i="28"/>
  <c r="CB32" i="28"/>
  <c r="CC32" i="28"/>
  <c r="CD32" i="28"/>
  <c r="CE32" i="28"/>
  <c r="CM32" i="28"/>
  <c r="CP32" i="28"/>
  <c r="DE32" i="28"/>
  <c r="G33" i="28"/>
  <c r="Q33" i="28"/>
  <c r="Z33" i="28"/>
  <c r="AD33" i="28"/>
  <c r="AG33" i="28"/>
  <c r="AJ33" i="28"/>
  <c r="AL33" i="28"/>
  <c r="AV33" i="28"/>
  <c r="BM33" i="28"/>
  <c r="BW33" i="28"/>
  <c r="BX33" i="28"/>
  <c r="BY33" i="28"/>
  <c r="BZ33" i="28"/>
  <c r="CA33" i="28"/>
  <c r="CB33" i="28"/>
  <c r="CC33" i="28"/>
  <c r="CD33" i="28"/>
  <c r="CE33" i="28"/>
  <c r="CF33" i="28"/>
  <c r="DE33" i="28"/>
  <c r="Z34" i="28"/>
  <c r="AA34" i="28"/>
  <c r="AB34" i="28"/>
  <c r="AC34" i="28"/>
  <c r="AG34" i="28"/>
  <c r="AI34" i="28"/>
  <c r="AJ34" i="28"/>
  <c r="AK34" i="28"/>
  <c r="AL34" i="28"/>
  <c r="AM34" i="28"/>
  <c r="AQ34" i="28"/>
  <c r="AV34" i="28"/>
  <c r="BR34" i="28"/>
  <c r="BT34" i="28"/>
  <c r="BW34" i="28"/>
  <c r="BX34" i="28"/>
  <c r="BY34" i="28"/>
  <c r="BZ34" i="28"/>
  <c r="CB34" i="28"/>
  <c r="CC34" i="28"/>
  <c r="CD34" i="28"/>
  <c r="CE34" i="28"/>
  <c r="CM34" i="28"/>
  <c r="CP34" i="28"/>
  <c r="DE34" i="28"/>
  <c r="J35" i="28"/>
  <c r="N35" i="28"/>
  <c r="AJ35" i="28"/>
  <c r="AL35" i="28"/>
  <c r="AM35" i="28"/>
  <c r="AN35" i="28"/>
  <c r="AV35" i="28"/>
  <c r="BP35" i="28"/>
  <c r="BW35" i="28"/>
  <c r="BY35" i="28"/>
  <c r="BZ35" i="28"/>
  <c r="CA35" i="28"/>
  <c r="CB35" i="28"/>
  <c r="CC35" i="28"/>
  <c r="CE35" i="28"/>
  <c r="DE35" i="28"/>
  <c r="AM36" i="28"/>
  <c r="AN36" i="28"/>
  <c r="AO36" i="28"/>
  <c r="AP36" i="28"/>
  <c r="AQ36" i="28"/>
  <c r="AR36" i="28"/>
  <c r="AS36" i="28"/>
  <c r="AT36" i="28"/>
  <c r="AU36" i="28"/>
  <c r="AV36" i="28"/>
  <c r="BE36" i="28"/>
  <c r="BF36" i="28"/>
  <c r="BI36" i="28"/>
  <c r="BK36" i="28"/>
  <c r="BL36" i="28"/>
  <c r="BM36" i="28"/>
  <c r="BN36" i="28"/>
  <c r="BO36" i="28"/>
  <c r="BP36" i="28"/>
  <c r="BQ36" i="28"/>
  <c r="BR36" i="28"/>
  <c r="BV36" i="28"/>
  <c r="BZ36" i="28"/>
  <c r="CB36" i="28"/>
  <c r="CE36" i="28"/>
  <c r="CF36" i="28"/>
  <c r="CM36" i="28"/>
  <c r="CP36" i="28"/>
  <c r="DE36" i="28"/>
  <c r="BI37" i="28"/>
  <c r="BJ37" i="28"/>
  <c r="BV37" i="28"/>
  <c r="CF37" i="28"/>
  <c r="DE37" i="28"/>
  <c r="A38" i="28"/>
  <c r="B38" i="28"/>
  <c r="C38" i="28"/>
  <c r="D38" i="28"/>
  <c r="Y38" i="28"/>
  <c r="BH38" i="28"/>
  <c r="BM38" i="28"/>
  <c r="BN38" i="28"/>
  <c r="BO38" i="28"/>
  <c r="BP38" i="28"/>
  <c r="BQ38" i="28"/>
  <c r="BR38" i="28"/>
  <c r="BV38" i="28"/>
  <c r="BY38" i="28"/>
  <c r="BZ38" i="28"/>
  <c r="CB38" i="28"/>
  <c r="CC38" i="28"/>
  <c r="CM38" i="28"/>
  <c r="CP38" i="28"/>
  <c r="DE38" i="28"/>
  <c r="E39" i="28"/>
  <c r="BB39" i="28"/>
  <c r="BQ39" i="28"/>
  <c r="BV39" i="28"/>
  <c r="CA39" i="28"/>
  <c r="E40" i="28"/>
  <c r="I40" i="28"/>
  <c r="J40" i="28"/>
  <c r="K40" i="28"/>
  <c r="L40" i="28"/>
  <c r="M40" i="28"/>
  <c r="N40" i="28"/>
  <c r="O40" i="28"/>
  <c r="P40" i="28"/>
  <c r="Z40" i="28"/>
  <c r="AD40" i="28"/>
  <c r="AW40" i="28"/>
  <c r="BA40" i="28"/>
  <c r="BB40" i="28"/>
  <c r="BC40" i="28"/>
  <c r="BD40" i="28"/>
  <c r="BE40" i="28"/>
  <c r="BF40" i="28"/>
  <c r="BG40" i="28"/>
  <c r="BH40" i="28"/>
  <c r="BI40" i="28"/>
  <c r="BJ40" i="28"/>
  <c r="BK40" i="28"/>
  <c r="BL40" i="28"/>
  <c r="BM40" i="28"/>
  <c r="BN40" i="28"/>
  <c r="BO40" i="28"/>
  <c r="BP40" i="28"/>
  <c r="BQ40" i="28"/>
  <c r="BR40" i="28"/>
  <c r="BV40" i="28"/>
  <c r="BW40" i="28"/>
  <c r="BZ40" i="28"/>
  <c r="CE40" i="28"/>
  <c r="CN40" i="28"/>
  <c r="CO40" i="28"/>
  <c r="F41" i="28"/>
  <c r="I41" i="28"/>
  <c r="P41" i="28"/>
  <c r="Z41" i="28"/>
  <c r="AA41" i="28"/>
  <c r="AB41" i="28"/>
  <c r="AC41" i="28"/>
  <c r="AD41" i="28"/>
  <c r="AE41" i="28"/>
  <c r="AF41" i="28"/>
  <c r="AG41" i="28"/>
  <c r="AH41" i="28"/>
  <c r="AS41" i="28"/>
  <c r="AT41" i="28"/>
  <c r="AU41" i="28"/>
  <c r="AV41" i="28"/>
  <c r="AW41" i="28"/>
  <c r="AX41" i="28"/>
  <c r="AY41" i="28"/>
  <c r="AZ41" i="28"/>
  <c r="BA41" i="28"/>
  <c r="BB41" i="28"/>
  <c r="BS41" i="28"/>
  <c r="BU41" i="28"/>
  <c r="BX41" i="28"/>
  <c r="CA41" i="28"/>
  <c r="CB41" i="28"/>
  <c r="CD41" i="28"/>
  <c r="CF41" i="28"/>
  <c r="CG41" i="28"/>
  <c r="CJ41" i="28"/>
  <c r="CL41" i="28"/>
  <c r="CM41" i="28"/>
  <c r="CN41" i="28"/>
  <c r="G42" i="28"/>
  <c r="I42" i="28"/>
  <c r="J42" i="28"/>
  <c r="K42" i="28"/>
  <c r="L42" i="28"/>
  <c r="M42" i="28"/>
  <c r="P42" i="28"/>
  <c r="U42" i="28"/>
  <c r="V42" i="28"/>
  <c r="W42" i="28"/>
  <c r="X42" i="28"/>
  <c r="BM42" i="28"/>
  <c r="BN42" i="28"/>
  <c r="BR42" i="28"/>
  <c r="BT42" i="28"/>
  <c r="BV42" i="28"/>
  <c r="BW42" i="28"/>
  <c r="BX42" i="28"/>
  <c r="BZ42" i="28"/>
  <c r="CA42" i="28"/>
  <c r="CC42" i="28"/>
  <c r="CD42" i="28"/>
  <c r="CF42" i="28"/>
  <c r="CG42" i="28"/>
  <c r="CI42" i="28"/>
  <c r="CL42" i="28"/>
  <c r="G43" i="28"/>
  <c r="M43" i="28"/>
  <c r="P43" i="28"/>
  <c r="Q43" i="28"/>
  <c r="R43" i="28"/>
  <c r="S43" i="28"/>
  <c r="AI43" i="28"/>
  <c r="BH43" i="28"/>
  <c r="BI43" i="28"/>
  <c r="BJ43" i="28"/>
  <c r="BN43" i="28"/>
  <c r="BP43" i="28"/>
  <c r="BQ43" i="28"/>
  <c r="BU43" i="28"/>
  <c r="BW43" i="28"/>
  <c r="BX43" i="28"/>
  <c r="CA43" i="28"/>
  <c r="CC43" i="28"/>
  <c r="CD43" i="28"/>
  <c r="CG43" i="28"/>
  <c r="CO43" i="28"/>
  <c r="CP43" i="28"/>
  <c r="CQ43" i="28"/>
  <c r="B44" i="28"/>
  <c r="G44" i="28"/>
  <c r="M44" i="28"/>
  <c r="P44" i="28"/>
  <c r="AG44" i="28"/>
  <c r="AH44" i="28"/>
  <c r="AI44" i="28"/>
  <c r="AO44" i="28"/>
  <c r="AP44" i="28"/>
  <c r="BN44" i="28"/>
  <c r="BO44" i="28"/>
  <c r="BP44" i="28"/>
  <c r="BQ44" i="28"/>
  <c r="BS44" i="28"/>
  <c r="BW44" i="28"/>
  <c r="BZ44" i="28"/>
  <c r="CE44" i="28"/>
  <c r="CK44" i="28"/>
  <c r="CN44" i="28"/>
  <c r="CQ44" i="28"/>
  <c r="K45" i="28"/>
  <c r="L45" i="28"/>
  <c r="M45" i="28"/>
  <c r="P45" i="28"/>
  <c r="U45" i="28"/>
  <c r="Y45" i="28"/>
  <c r="Z45" i="28"/>
  <c r="BL45" i="28"/>
  <c r="BM45" i="28"/>
  <c r="BN45" i="28"/>
  <c r="BO45" i="28"/>
  <c r="BP45" i="28"/>
  <c r="BQ45" i="28"/>
  <c r="BW45" i="28"/>
  <c r="CH45" i="28"/>
  <c r="CL45" i="28"/>
  <c r="CN45" i="28"/>
  <c r="CP45" i="28"/>
  <c r="CQ45" i="28"/>
  <c r="C46" i="28"/>
  <c r="D46" i="28"/>
  <c r="G46" i="28"/>
  <c r="K46" i="28"/>
  <c r="P46" i="28"/>
  <c r="AB46" i="28"/>
  <c r="AC46" i="28"/>
  <c r="AD46" i="28"/>
  <c r="AP46" i="28"/>
  <c r="AR46" i="28"/>
  <c r="AS46" i="28"/>
  <c r="AT46" i="28"/>
  <c r="AU46" i="28"/>
  <c r="AV46" i="28"/>
  <c r="AW46" i="28"/>
  <c r="AX46" i="28"/>
  <c r="AY46" i="28"/>
  <c r="AZ46" i="28"/>
  <c r="BA46" i="28"/>
  <c r="BB46" i="28"/>
  <c r="BC46" i="28"/>
  <c r="BD46" i="28"/>
  <c r="BE46" i="28"/>
  <c r="BF46" i="28"/>
  <c r="BG46" i="28"/>
  <c r="BH46" i="28"/>
  <c r="BI46" i="28"/>
  <c r="BJ46" i="28"/>
  <c r="BK46" i="28"/>
  <c r="BL46" i="28"/>
  <c r="BM46" i="28"/>
  <c r="BN46" i="28"/>
  <c r="BO46" i="28"/>
  <c r="BP46" i="28"/>
  <c r="BQ46" i="28"/>
  <c r="BV46" i="28"/>
  <c r="CO46" i="28"/>
  <c r="CQ46" i="28"/>
  <c r="K47" i="28"/>
  <c r="N47" i="28"/>
  <c r="Q47" i="28"/>
  <c r="R47" i="28"/>
  <c r="S47" i="28"/>
  <c r="T47" i="28"/>
  <c r="U47" i="28"/>
  <c r="V47" i="28"/>
  <c r="W47" i="28"/>
  <c r="X47" i="28"/>
  <c r="AC47" i="28"/>
  <c r="AJ47" i="28"/>
  <c r="AK47" i="28"/>
  <c r="AL47" i="28"/>
  <c r="AM47" i="28"/>
  <c r="AN47" i="28"/>
  <c r="AO47" i="28"/>
  <c r="AP47" i="28"/>
  <c r="AQ47" i="28"/>
  <c r="AR47" i="28"/>
  <c r="AS47" i="28"/>
  <c r="AT47" i="28"/>
  <c r="BK47" i="28"/>
  <c r="BL47" i="28"/>
  <c r="BM47" i="28"/>
  <c r="BN47" i="28"/>
  <c r="BO47" i="28"/>
  <c r="BP47" i="28"/>
  <c r="BQ47" i="28"/>
  <c r="BS47" i="28"/>
  <c r="CB47" i="28"/>
  <c r="CC47" i="28"/>
  <c r="CG47" i="28"/>
  <c r="CJ47" i="28"/>
  <c r="CL47" i="28"/>
  <c r="B48" i="28"/>
  <c r="G48" i="28"/>
  <c r="K48" i="28"/>
  <c r="N48" i="28"/>
  <c r="X48" i="28"/>
  <c r="BP48" i="28"/>
  <c r="BQ48" i="28"/>
  <c r="BT48" i="28"/>
  <c r="BU48" i="28"/>
  <c r="CA48" i="28"/>
  <c r="CM48" i="28"/>
  <c r="CO48" i="28"/>
  <c r="CQ48" i="28"/>
  <c r="B49" i="28"/>
  <c r="G49" i="28"/>
  <c r="K49" i="28"/>
  <c r="N49" i="28"/>
  <c r="X49" i="28"/>
  <c r="BQ49" i="28"/>
  <c r="BU49" i="28"/>
  <c r="BX49" i="28"/>
  <c r="BZ49" i="28"/>
  <c r="CE49" i="28"/>
  <c r="CF49" i="28"/>
  <c r="CJ49" i="28"/>
  <c r="CL49" i="28"/>
  <c r="CQ49" i="28"/>
  <c r="G50" i="28"/>
  <c r="L50" i="28"/>
  <c r="M50" i="28"/>
  <c r="R50" i="28"/>
  <c r="S50" i="28"/>
  <c r="T50" i="28"/>
  <c r="U50" i="28"/>
  <c r="V50" i="28"/>
  <c r="AA50" i="28"/>
  <c r="AB50" i="28"/>
  <c r="AC50" i="28"/>
  <c r="AE50" i="28"/>
  <c r="AF50" i="28"/>
  <c r="AG50" i="28"/>
  <c r="AH50" i="28"/>
  <c r="AI50" i="28"/>
  <c r="AJ50" i="28"/>
  <c r="AK50" i="28"/>
  <c r="AL50" i="28"/>
  <c r="AM50" i="28"/>
  <c r="AN50" i="28"/>
  <c r="AO50" i="28"/>
  <c r="AP50" i="28"/>
  <c r="AQ50" i="28"/>
  <c r="AR50" i="28"/>
  <c r="AS50" i="28"/>
  <c r="AT50" i="28"/>
  <c r="AU50" i="28"/>
  <c r="AV50" i="28"/>
  <c r="AX50" i="28"/>
  <c r="AY50" i="28"/>
  <c r="AZ50" i="28"/>
  <c r="BB50" i="28"/>
  <c r="BC50" i="28"/>
  <c r="BD50" i="28"/>
  <c r="BH50" i="28"/>
  <c r="BL50" i="28"/>
  <c r="BM50" i="28"/>
  <c r="BN50" i="28"/>
  <c r="BZ50" i="28"/>
  <c r="CA50" i="28"/>
  <c r="CB50" i="28"/>
  <c r="CG50" i="28"/>
  <c r="CH50" i="28"/>
  <c r="CO50" i="28"/>
  <c r="CP50" i="28"/>
  <c r="G51" i="28"/>
  <c r="K51" i="28"/>
  <c r="N51" i="28"/>
  <c r="X51" i="28"/>
  <c r="AB51" i="28"/>
  <c r="BF51" i="28"/>
  <c r="BH51" i="28"/>
  <c r="BJ51" i="28"/>
  <c r="BK51" i="28"/>
  <c r="BL51" i="28"/>
  <c r="BM51" i="28"/>
  <c r="BN51" i="28"/>
  <c r="BO51" i="28"/>
  <c r="BP51" i="28"/>
  <c r="BQ51" i="28"/>
  <c r="BU51" i="28"/>
  <c r="BW51" i="28"/>
  <c r="BX51" i="28"/>
  <c r="CC51" i="28"/>
  <c r="CD51" i="28"/>
  <c r="CE51" i="28"/>
  <c r="CH51" i="28"/>
  <c r="CJ51" i="28"/>
  <c r="CK51" i="28"/>
  <c r="CL51" i="28"/>
  <c r="CM51" i="28"/>
  <c r="CN51" i="28"/>
  <c r="CQ51" i="28"/>
  <c r="H52" i="28"/>
  <c r="I52" i="28"/>
  <c r="J52" i="28"/>
  <c r="N52" i="28"/>
  <c r="O52" i="28"/>
  <c r="S52" i="28"/>
  <c r="BH52" i="28"/>
  <c r="BL52" i="28"/>
  <c r="BM52" i="28"/>
  <c r="BN52" i="28"/>
  <c r="BO52" i="28"/>
  <c r="BP52" i="28"/>
  <c r="BS52" i="28"/>
  <c r="BU52" i="28"/>
  <c r="BW52" i="28"/>
  <c r="BZ52" i="28"/>
  <c r="CE52" i="28"/>
  <c r="CL52" i="28"/>
  <c r="CO52" i="28"/>
  <c r="CQ52" i="28"/>
  <c r="B53" i="28"/>
  <c r="R53" i="28"/>
  <c r="T53" i="28"/>
  <c r="V53" i="28"/>
  <c r="AA53" i="28"/>
  <c r="AC53" i="28"/>
  <c r="AG53" i="28"/>
  <c r="AI53" i="28"/>
  <c r="BS53" i="28"/>
  <c r="CG53" i="28"/>
  <c r="CI53" i="28"/>
  <c r="CJ53" i="28"/>
  <c r="CN53" i="28"/>
  <c r="CR53" i="28"/>
  <c r="B54" i="28"/>
  <c r="S54" i="28"/>
  <c r="Z54" i="28"/>
  <c r="AF54" i="28"/>
  <c r="AH54" i="28"/>
  <c r="AJ54" i="28"/>
  <c r="AL54" i="28"/>
  <c r="AM54" i="28"/>
  <c r="AN54" i="28"/>
  <c r="AO54" i="28"/>
  <c r="AP54" i="28"/>
  <c r="AQ54" i="28"/>
  <c r="AR54" i="28"/>
  <c r="AS54" i="28"/>
  <c r="AT54" i="28"/>
  <c r="AU54" i="28"/>
  <c r="AV54" i="28"/>
  <c r="AW54" i="28"/>
  <c r="AX54" i="28"/>
  <c r="AY54" i="28"/>
  <c r="AZ54" i="28"/>
  <c r="BA54" i="28"/>
  <c r="BB54" i="28"/>
  <c r="BC54" i="28"/>
  <c r="BD54" i="28"/>
  <c r="BS54" i="28"/>
  <c r="BT54" i="28"/>
  <c r="BU54" i="28"/>
  <c r="BV54" i="28"/>
  <c r="BW54" i="28"/>
  <c r="BX54" i="28"/>
  <c r="BY54" i="28"/>
  <c r="BZ54" i="28"/>
  <c r="CA54" i="28"/>
  <c r="CB54" i="28"/>
  <c r="CC54" i="28"/>
  <c r="CF54" i="28"/>
  <c r="CG54" i="28"/>
  <c r="CI54" i="28"/>
  <c r="CK54" i="28"/>
  <c r="CL54" i="28"/>
  <c r="CM54" i="28"/>
  <c r="CO54" i="28"/>
  <c r="CP54" i="28"/>
  <c r="CQ54" i="28"/>
  <c r="C55" i="28"/>
  <c r="Z55" i="28"/>
  <c r="AB55" i="28"/>
  <c r="AE55" i="28"/>
  <c r="AK55" i="28"/>
  <c r="BE55" i="28"/>
  <c r="CI55" i="28"/>
  <c r="CP55" i="28"/>
  <c r="B56" i="28"/>
  <c r="E56" i="28"/>
  <c r="F56" i="28"/>
  <c r="H56" i="28"/>
  <c r="I56" i="28"/>
  <c r="J56" i="28"/>
  <c r="K56" i="28"/>
  <c r="M56" i="28"/>
  <c r="N56" i="28"/>
  <c r="Q56" i="28"/>
  <c r="S56" i="28"/>
  <c r="T56" i="28"/>
  <c r="U56" i="28"/>
  <c r="V56" i="28"/>
  <c r="W56" i="28"/>
  <c r="AE56" i="28"/>
  <c r="AK56" i="28"/>
  <c r="AT56" i="28"/>
  <c r="AU56" i="28"/>
  <c r="AV56" i="28"/>
  <c r="BE56" i="28"/>
  <c r="BX56" i="28"/>
  <c r="BY56" i="28"/>
  <c r="BZ56" i="28"/>
  <c r="CI56" i="28"/>
  <c r="CM56" i="28"/>
  <c r="CQ56" i="28"/>
  <c r="E57" i="28"/>
  <c r="F57" i="28"/>
  <c r="H57" i="28"/>
  <c r="I57" i="28"/>
  <c r="K57" i="28"/>
  <c r="L57" i="28"/>
  <c r="N57" i="28"/>
  <c r="Q57" i="28"/>
  <c r="V57" i="28"/>
  <c r="AE57" i="28"/>
  <c r="AK57" i="28"/>
  <c r="AP57" i="28"/>
  <c r="AS57" i="28"/>
  <c r="AT57" i="28"/>
  <c r="AV57" i="28"/>
  <c r="AW57" i="28"/>
  <c r="AZ57" i="28"/>
  <c r="BE57" i="28"/>
  <c r="BS57" i="28"/>
  <c r="BY57" i="28"/>
  <c r="CG57" i="28"/>
  <c r="CK57" i="28"/>
  <c r="CO57" i="28"/>
  <c r="B58" i="28"/>
  <c r="D58" i="28"/>
  <c r="E58" i="28"/>
  <c r="F58" i="28"/>
  <c r="H58" i="28"/>
  <c r="J58" i="28"/>
  <c r="K58" i="28"/>
  <c r="N58" i="28"/>
  <c r="U58" i="28"/>
  <c r="V58" i="28"/>
  <c r="W58" i="28"/>
  <c r="X58" i="28"/>
  <c r="Y58" i="28"/>
  <c r="Z58" i="28"/>
  <c r="AA58" i="28"/>
  <c r="AF58" i="28"/>
  <c r="AG58" i="28"/>
  <c r="AH58" i="28"/>
  <c r="AI58" i="28"/>
  <c r="AK58" i="28"/>
  <c r="AP58" i="28"/>
  <c r="AU58" i="28"/>
  <c r="AZ58" i="28"/>
  <c r="BE58" i="28"/>
  <c r="CJ58" i="28"/>
  <c r="CP58" i="28"/>
  <c r="CQ58" i="28"/>
  <c r="AE59" i="28"/>
  <c r="AG59" i="28"/>
  <c r="AH59" i="28"/>
  <c r="AI59" i="28"/>
  <c r="AK59" i="28"/>
  <c r="AL59" i="28"/>
  <c r="AU59" i="28"/>
  <c r="BE59" i="28"/>
  <c r="BS59" i="28"/>
  <c r="BY59" i="28"/>
  <c r="CK59" i="28"/>
  <c r="CM59" i="28"/>
  <c r="CO59" i="28"/>
  <c r="S60" i="28"/>
  <c r="AE60" i="28"/>
  <c r="AH60" i="28"/>
  <c r="AI60" i="28"/>
  <c r="AK60" i="28"/>
  <c r="AL60" i="28"/>
  <c r="AR60" i="28"/>
  <c r="AX60" i="28"/>
  <c r="BE60" i="28"/>
  <c r="CD60" i="28"/>
  <c r="CJ60" i="28"/>
  <c r="CK60" i="28"/>
  <c r="CM60" i="28"/>
  <c r="CO60" i="28"/>
  <c r="CP60" i="28"/>
  <c r="S61" i="28"/>
  <c r="W61" i="28"/>
  <c r="AA61" i="28"/>
  <c r="AE61" i="28"/>
  <c r="AK61" i="28"/>
  <c r="AS61" i="28"/>
  <c r="AW61" i="28"/>
  <c r="BE61" i="28"/>
  <c r="BO61" i="28"/>
  <c r="CK61" i="28"/>
  <c r="CM61" i="28"/>
  <c r="CO61" i="28"/>
  <c r="C62" i="28"/>
  <c r="D62" i="28"/>
  <c r="E62" i="28"/>
  <c r="J62" i="28"/>
  <c r="K62" i="28"/>
  <c r="L62" i="28"/>
  <c r="R62" i="28"/>
  <c r="S62" i="28"/>
  <c r="T62" i="28"/>
  <c r="W62" i="28"/>
  <c r="AE62" i="28"/>
  <c r="AK62" i="28"/>
  <c r="AZ62" i="28"/>
  <c r="BA62" i="28"/>
  <c r="BE62" i="28"/>
  <c r="CJ62" i="28"/>
  <c r="CL62" i="28"/>
  <c r="CM62" i="28"/>
  <c r="CN62" i="28"/>
  <c r="CP62" i="28"/>
  <c r="CQ62" i="28"/>
  <c r="B63" i="28"/>
  <c r="C63" i="28"/>
  <c r="D63" i="28"/>
  <c r="E63" i="28"/>
  <c r="F63" i="28"/>
  <c r="K63" i="28"/>
  <c r="R63" i="28"/>
  <c r="S63" i="28"/>
  <c r="U63" i="28"/>
  <c r="AF63" i="28"/>
  <c r="AG63" i="28"/>
  <c r="AH63" i="28"/>
  <c r="AI63" i="28"/>
  <c r="BE63" i="28"/>
  <c r="BW63" i="28"/>
  <c r="BY63" i="28"/>
  <c r="BZ63" i="28"/>
  <c r="CA63" i="28"/>
  <c r="CE63" i="28"/>
  <c r="CG63" i="28"/>
  <c r="CJ63" i="28"/>
  <c r="CK63" i="28"/>
  <c r="CL63" i="28"/>
  <c r="CN63" i="28"/>
  <c r="CO63" i="28"/>
  <c r="CP63" i="28"/>
  <c r="C64" i="28"/>
  <c r="E64" i="28"/>
  <c r="I64" i="28"/>
  <c r="M64" i="28"/>
  <c r="R64" i="28"/>
  <c r="S64" i="28"/>
  <c r="T64" i="28"/>
  <c r="AK64" i="28"/>
  <c r="AO64" i="28"/>
  <c r="AP64" i="28"/>
  <c r="BC64" i="28"/>
  <c r="BD64" i="28"/>
  <c r="BE64" i="28"/>
  <c r="BG64" i="28"/>
  <c r="BT64" i="28"/>
  <c r="BX64" i="28"/>
  <c r="BZ64" i="28"/>
  <c r="CK64" i="28"/>
  <c r="CO64" i="28"/>
  <c r="C65" i="28"/>
  <c r="E65" i="28"/>
  <c r="K65" i="28"/>
  <c r="S65" i="28"/>
  <c r="AK65" i="28"/>
  <c r="BC65" i="28"/>
  <c r="BD65" i="28"/>
  <c r="BE65" i="28"/>
  <c r="BR65" i="28"/>
  <c r="BS65" i="28"/>
  <c r="BX65" i="28"/>
  <c r="CB65" i="28"/>
  <c r="CJ65" i="28"/>
  <c r="CK65" i="28"/>
  <c r="CO65" i="28"/>
  <c r="C66" i="28"/>
  <c r="E66" i="28"/>
  <c r="I66" i="28"/>
  <c r="K66" i="28"/>
  <c r="M66" i="28"/>
  <c r="S66" i="28"/>
  <c r="AK66" i="28"/>
  <c r="AQ66" i="28"/>
  <c r="AT66" i="28"/>
  <c r="AU66" i="28"/>
  <c r="AV66" i="28"/>
  <c r="AY66" i="28"/>
  <c r="BC66" i="28"/>
  <c r="BD66" i="28"/>
  <c r="BE66" i="28"/>
  <c r="BQ66" i="28"/>
  <c r="BY66" i="28"/>
  <c r="CB66" i="28"/>
  <c r="CJ66" i="28"/>
  <c r="CL66" i="28"/>
  <c r="CM66" i="28"/>
  <c r="CN66" i="28"/>
  <c r="CP66" i="28"/>
  <c r="H67" i="28"/>
  <c r="N67" i="28"/>
  <c r="R67" i="28"/>
  <c r="S67" i="28"/>
  <c r="T67" i="28"/>
  <c r="AK67" i="28"/>
  <c r="AP67" i="28"/>
  <c r="AT67" i="28"/>
  <c r="AU67" i="28"/>
  <c r="AV67" i="28"/>
  <c r="AZ67" i="28"/>
  <c r="BC67" i="28"/>
  <c r="BD67" i="28"/>
  <c r="BE67" i="28"/>
  <c r="BG67" i="28"/>
  <c r="BR67" i="28"/>
  <c r="BS67" i="28"/>
  <c r="BT67" i="28"/>
  <c r="BU67" i="28"/>
  <c r="BW67" i="28"/>
  <c r="BX67" i="28"/>
  <c r="BY67" i="28"/>
  <c r="CA67" i="28"/>
  <c r="CK67" i="28"/>
  <c r="CL67" i="28"/>
  <c r="CM67" i="28"/>
  <c r="CN67" i="28"/>
  <c r="CO67" i="28"/>
  <c r="C68" i="28"/>
  <c r="E68" i="28"/>
  <c r="H68" i="28"/>
  <c r="J68" i="28"/>
  <c r="L68" i="28"/>
  <c r="N68" i="28"/>
  <c r="R68" i="28"/>
  <c r="S68" i="28"/>
  <c r="T68" i="28"/>
  <c r="AK68" i="28"/>
  <c r="AO68" i="28"/>
  <c r="AT68" i="28"/>
  <c r="AU68" i="28"/>
  <c r="AV68" i="28"/>
  <c r="BA68" i="28"/>
  <c r="BE68" i="28"/>
  <c r="BQ68" i="28"/>
  <c r="BY68" i="28"/>
  <c r="CE68" i="28"/>
  <c r="CG68" i="28"/>
  <c r="CJ68" i="28"/>
  <c r="CK68" i="28"/>
  <c r="CL68" i="28"/>
  <c r="CM68" i="28"/>
  <c r="CN68" i="28"/>
  <c r="CO68" i="28"/>
  <c r="CP68" i="28"/>
  <c r="C69" i="28"/>
  <c r="D69" i="28"/>
  <c r="E69" i="28"/>
  <c r="H69" i="28"/>
  <c r="N69" i="28"/>
  <c r="R69" i="28"/>
  <c r="S69" i="28"/>
  <c r="T69" i="28"/>
  <c r="AK69" i="28"/>
  <c r="AN69" i="28"/>
  <c r="AT69" i="28"/>
  <c r="AU69" i="28"/>
  <c r="AV69" i="28"/>
  <c r="BB69" i="28"/>
  <c r="BE69" i="28"/>
  <c r="BR69" i="28"/>
  <c r="BS69" i="28"/>
  <c r="BX69" i="28"/>
  <c r="CB69" i="28"/>
  <c r="CK69" i="28"/>
  <c r="CL69" i="28"/>
  <c r="CM69" i="28"/>
  <c r="CN69" i="28"/>
  <c r="CO69" i="28"/>
  <c r="D70" i="28"/>
  <c r="H70" i="28"/>
  <c r="K70" i="28"/>
  <c r="N70" i="28"/>
  <c r="S70" i="28"/>
  <c r="AA70" i="28"/>
  <c r="AB70" i="28"/>
  <c r="AC70" i="28"/>
  <c r="AK70" i="28"/>
  <c r="AM70" i="28"/>
  <c r="AR70" i="28"/>
  <c r="AX70" i="28"/>
  <c r="BC70" i="28"/>
  <c r="BE70" i="28"/>
  <c r="BO70" i="28"/>
  <c r="BT70" i="28"/>
  <c r="BX70" i="28"/>
  <c r="BZ70" i="28"/>
  <c r="CB70" i="28"/>
  <c r="CE70" i="28"/>
  <c r="CJ70" i="28"/>
  <c r="CL70" i="28"/>
  <c r="CN70" i="28"/>
  <c r="CP70" i="28"/>
  <c r="CQ70" i="28"/>
  <c r="C71" i="28"/>
  <c r="E71" i="28"/>
  <c r="G71" i="28"/>
  <c r="J71" i="28"/>
  <c r="M71" i="28"/>
  <c r="N71" i="28"/>
  <c r="O71" i="28"/>
  <c r="AK71" i="28"/>
  <c r="AL71" i="28"/>
  <c r="BA71" i="28"/>
  <c r="BD71" i="28"/>
  <c r="BE71" i="28"/>
  <c r="BW71" i="28"/>
  <c r="BY71" i="28"/>
  <c r="BZ71" i="28"/>
  <c r="CA71" i="28"/>
  <c r="CK71" i="28"/>
  <c r="CM71" i="28"/>
  <c r="CO71" i="28"/>
  <c r="C72" i="28"/>
  <c r="E72" i="28"/>
  <c r="I72" i="28"/>
  <c r="M72" i="28"/>
  <c r="O72" i="28"/>
  <c r="AK72" i="28"/>
  <c r="BE72" i="28"/>
  <c r="BJ72" i="28"/>
  <c r="BY72" i="28"/>
  <c r="BZ72" i="28"/>
  <c r="CJ72" i="28"/>
  <c r="CL72" i="28"/>
  <c r="CM72" i="28"/>
  <c r="CN72" i="28"/>
  <c r="CP72" i="28"/>
  <c r="D73" i="28"/>
  <c r="F73" i="28"/>
  <c r="J73" i="28"/>
  <c r="K73" i="28"/>
  <c r="L73" i="28"/>
  <c r="M73" i="28"/>
  <c r="N73" i="28"/>
  <c r="O73" i="28"/>
  <c r="P73" i="28"/>
  <c r="AK73" i="28"/>
  <c r="AU73" i="28"/>
  <c r="BE73" i="28"/>
  <c r="BI73" i="28"/>
  <c r="CE73" i="28"/>
  <c r="CG73" i="28"/>
  <c r="CL73" i="28"/>
  <c r="CM73" i="28"/>
  <c r="CN73" i="28"/>
  <c r="CP73" i="28"/>
  <c r="G74" i="28"/>
  <c r="J74" i="28"/>
  <c r="K74" i="28"/>
  <c r="L74" i="28"/>
  <c r="O74" i="28"/>
  <c r="P74" i="28"/>
  <c r="Q74" i="28"/>
  <c r="AK74" i="28"/>
  <c r="AO74" i="28"/>
  <c r="AP74" i="28"/>
  <c r="AU74" i="28"/>
  <c r="BE74" i="28"/>
  <c r="BK74" i="28"/>
  <c r="CG74" i="28"/>
  <c r="CJ74" i="28"/>
  <c r="CK74" i="28"/>
  <c r="CL74" i="28"/>
  <c r="CN74" i="28"/>
  <c r="CO74" i="28"/>
  <c r="CP74" i="28"/>
  <c r="D75" i="28"/>
  <c r="H75" i="28"/>
  <c r="J75" i="28"/>
  <c r="K75" i="28"/>
  <c r="L75" i="28"/>
  <c r="P75" i="28"/>
  <c r="Q75" i="28"/>
  <c r="R75" i="28"/>
  <c r="AK75" i="28"/>
  <c r="BE75" i="28"/>
  <c r="BI75" i="28"/>
  <c r="BK75" i="28"/>
  <c r="BT75" i="28"/>
  <c r="BX75" i="28"/>
  <c r="BZ75" i="28"/>
  <c r="CB75" i="28"/>
  <c r="CM75" i="28"/>
  <c r="E76" i="28"/>
  <c r="F76" i="28"/>
  <c r="P76" i="28"/>
  <c r="Q76" i="28"/>
  <c r="R76" i="28"/>
  <c r="S76" i="28"/>
  <c r="W76" i="28"/>
  <c r="AK76" i="28"/>
  <c r="BE76" i="28"/>
  <c r="BG76" i="28"/>
  <c r="BI76" i="28"/>
  <c r="BK76" i="28"/>
  <c r="CG76" i="28"/>
  <c r="CJ76" i="28"/>
  <c r="CL76" i="28"/>
  <c r="CN76" i="28"/>
  <c r="CP76" i="28"/>
  <c r="CQ76" i="28"/>
  <c r="B77" i="28"/>
  <c r="P77" i="28"/>
  <c r="Q77" i="28"/>
  <c r="R77" i="28"/>
  <c r="S77" i="28"/>
  <c r="T77" i="28"/>
  <c r="W77" i="28"/>
  <c r="AI77" i="28"/>
  <c r="AL77" i="28"/>
  <c r="AM77" i="28"/>
  <c r="AN77" i="28"/>
  <c r="AO77" i="28"/>
  <c r="AP77" i="28"/>
  <c r="AQ77" i="28"/>
  <c r="AR77" i="28"/>
  <c r="AS77" i="28"/>
  <c r="AT77" i="28"/>
  <c r="AU77" i="28"/>
  <c r="AV77" i="28"/>
  <c r="AW77" i="28"/>
  <c r="AX77" i="28"/>
  <c r="AY77" i="28"/>
  <c r="AZ77" i="28"/>
  <c r="BA77" i="28"/>
  <c r="BB77" i="28"/>
  <c r="BC77" i="28"/>
  <c r="BD77" i="28"/>
  <c r="BI77" i="28"/>
  <c r="BK77" i="28"/>
  <c r="BL77" i="28"/>
  <c r="BM77" i="28"/>
  <c r="BN77" i="28"/>
  <c r="BT77" i="28"/>
  <c r="BW77" i="28"/>
  <c r="BX77" i="28"/>
  <c r="CB77" i="28"/>
  <c r="CE77" i="28"/>
  <c r="CF77" i="28"/>
  <c r="CG77" i="28"/>
  <c r="CJ77" i="28"/>
  <c r="CM77" i="28"/>
  <c r="CO77" i="28"/>
  <c r="CP77" i="28"/>
  <c r="B78" i="28"/>
  <c r="D78" i="28"/>
  <c r="E78" i="28"/>
  <c r="G78" i="28"/>
  <c r="H78" i="28"/>
  <c r="N78" i="28"/>
  <c r="O78" i="28"/>
  <c r="Q78" i="28"/>
  <c r="R78" i="28"/>
  <c r="S78" i="28"/>
  <c r="T78" i="28"/>
  <c r="AF78" i="28"/>
  <c r="AP78" i="28"/>
  <c r="BI78" i="28"/>
  <c r="CD78" i="28"/>
  <c r="CE78" i="28"/>
  <c r="CF78" i="28"/>
  <c r="CG78" i="28"/>
  <c r="CJ78" i="28"/>
  <c r="CP78" i="28"/>
  <c r="C79" i="28"/>
  <c r="D79" i="28"/>
  <c r="G79" i="28"/>
  <c r="H79" i="28"/>
  <c r="N79" i="28"/>
  <c r="O79" i="28"/>
  <c r="Q79" i="28"/>
  <c r="R79" i="28"/>
  <c r="S79" i="28"/>
  <c r="T79" i="28"/>
  <c r="U79" i="28"/>
  <c r="V79" i="28"/>
  <c r="AC79" i="28"/>
  <c r="AF79" i="28"/>
  <c r="AU79" i="28"/>
  <c r="BD79" i="28"/>
  <c r="BI79" i="28"/>
  <c r="BJ79" i="28"/>
  <c r="BK79" i="28"/>
  <c r="BL79" i="28"/>
  <c r="BM79" i="28"/>
  <c r="BX79" i="28"/>
  <c r="CC79" i="28"/>
  <c r="CD79" i="28"/>
  <c r="CE79" i="28"/>
  <c r="CF79" i="28"/>
  <c r="CG79" i="28"/>
  <c r="CL79" i="28"/>
  <c r="CN79" i="28"/>
  <c r="K80" i="28"/>
  <c r="N2" i="54"/>
  <c r="AS2" i="54"/>
  <c r="BJ2" i="54"/>
  <c r="BW2" i="54"/>
  <c r="BX2" i="54"/>
  <c r="CA2" i="54"/>
  <c r="CK2" i="54"/>
  <c r="AE3" i="54"/>
  <c r="AS3" i="54"/>
  <c r="BL3" i="54"/>
  <c r="BM3" i="54"/>
  <c r="BN3" i="54"/>
  <c r="BO3" i="54"/>
  <c r="BV3" i="54"/>
  <c r="BW3" i="54"/>
  <c r="CF3" i="54"/>
  <c r="AM4" i="54"/>
  <c r="AQ4" i="54"/>
  <c r="AR4" i="54"/>
  <c r="AS4" i="54"/>
  <c r="AT4" i="54"/>
  <c r="AU4" i="54"/>
  <c r="BP4" i="54"/>
  <c r="BR4" i="54"/>
  <c r="BS4" i="54"/>
  <c r="BW4" i="54"/>
  <c r="BX4" i="54"/>
  <c r="S5" i="54"/>
  <c r="AS5" i="54"/>
  <c r="BM5" i="54"/>
  <c r="CB5" i="54"/>
  <c r="CD5" i="54"/>
  <c r="CH5" i="54"/>
  <c r="CJ5" i="54"/>
  <c r="AQ6" i="54"/>
  <c r="AS6" i="54"/>
  <c r="CG6" i="54"/>
  <c r="AJ7" i="54"/>
  <c r="AM7" i="54"/>
  <c r="AX7" i="54"/>
  <c r="BM7" i="54"/>
  <c r="BW7" i="54"/>
  <c r="BX7" i="54"/>
  <c r="BZ7" i="54"/>
  <c r="CA7" i="54"/>
  <c r="CF7" i="54"/>
  <c r="CG7" i="54"/>
  <c r="CJ7" i="54"/>
  <c r="T8" i="54"/>
  <c r="Z8" i="54"/>
  <c r="AA8" i="54"/>
  <c r="AI8" i="54"/>
  <c r="AJ8" i="54"/>
  <c r="AK8" i="54"/>
  <c r="AL8" i="54"/>
  <c r="AM8" i="54"/>
  <c r="AN8" i="54"/>
  <c r="CG8" i="54"/>
  <c r="V9" i="54"/>
  <c r="X9" i="54"/>
  <c r="AG9" i="54"/>
  <c r="BB9" i="54"/>
  <c r="BE9" i="54"/>
  <c r="BF9" i="54"/>
  <c r="BR9" i="54"/>
  <c r="BU9" i="54"/>
  <c r="BX9" i="54"/>
  <c r="CB9" i="54"/>
  <c r="CD9" i="54"/>
  <c r="CH9" i="54"/>
  <c r="CJ9" i="54"/>
  <c r="T10" i="54"/>
  <c r="Z10" i="54"/>
  <c r="AB10" i="54"/>
  <c r="AC10" i="54"/>
  <c r="AE10" i="54"/>
  <c r="AG10" i="54"/>
  <c r="AH10" i="54"/>
  <c r="AJ10" i="54"/>
  <c r="AK10" i="54"/>
  <c r="AL10" i="54"/>
  <c r="AM10" i="54"/>
  <c r="AR10" i="54"/>
  <c r="AS10" i="54"/>
  <c r="AU10" i="54"/>
  <c r="AV10" i="54"/>
  <c r="AX10" i="54"/>
  <c r="AY10" i="54"/>
  <c r="BD10" i="54"/>
  <c r="BV10" i="54"/>
  <c r="BW10" i="54"/>
  <c r="AH11" i="54"/>
  <c r="AJ11" i="54"/>
  <c r="AK11" i="54"/>
  <c r="AL11" i="54"/>
  <c r="AM11" i="54"/>
  <c r="AX11" i="54"/>
  <c r="BA11" i="54"/>
  <c r="BB11" i="54"/>
  <c r="BC11" i="54"/>
  <c r="BE11" i="54"/>
  <c r="BM11" i="54"/>
  <c r="CD11" i="54"/>
  <c r="CF11" i="54"/>
  <c r="CH11" i="54"/>
  <c r="AD12" i="54"/>
  <c r="AE12" i="54"/>
  <c r="AW12" i="54"/>
  <c r="AX12" i="54"/>
  <c r="AY12" i="54"/>
  <c r="BM12" i="54"/>
  <c r="BS12" i="54"/>
  <c r="BW12" i="54"/>
  <c r="CA12" i="54"/>
  <c r="CG12" i="54"/>
  <c r="CK12" i="54"/>
  <c r="R13" i="54"/>
  <c r="S13" i="54"/>
  <c r="X13" i="54"/>
  <c r="Y13" i="54"/>
  <c r="Z13" i="54"/>
  <c r="AA13" i="54"/>
  <c r="AB13" i="54"/>
  <c r="AE13" i="54"/>
  <c r="AF13" i="54"/>
  <c r="AK13" i="54"/>
  <c r="AL13" i="54"/>
  <c r="AQ13" i="54"/>
  <c r="AX13" i="54"/>
  <c r="BA13" i="54"/>
  <c r="BB13" i="54"/>
  <c r="BC13" i="54"/>
  <c r="BL13" i="54"/>
  <c r="BY13" i="54"/>
  <c r="BZ13" i="54"/>
  <c r="CG13" i="54"/>
  <c r="AW14" i="54"/>
  <c r="AX14" i="54"/>
  <c r="AY14" i="54"/>
  <c r="BA14" i="54"/>
  <c r="BB14" i="54"/>
  <c r="BC14" i="54"/>
  <c r="BK14" i="54"/>
  <c r="BV14" i="54"/>
  <c r="CA14" i="54"/>
  <c r="CD14" i="54"/>
  <c r="CG14" i="54"/>
  <c r="O15" i="54"/>
  <c r="U15" i="54"/>
  <c r="V15" i="54"/>
  <c r="AC15" i="54"/>
  <c r="AE15" i="54"/>
  <c r="AG15" i="54"/>
  <c r="AI15" i="54"/>
  <c r="AK15" i="54"/>
  <c r="AM15" i="54"/>
  <c r="AQ15" i="54"/>
  <c r="AR15" i="54"/>
  <c r="AS15" i="54"/>
  <c r="BA15" i="54"/>
  <c r="BB15" i="54"/>
  <c r="BC15" i="54"/>
  <c r="BE15" i="54"/>
  <c r="BR15" i="54"/>
  <c r="BT15" i="54"/>
  <c r="BV15" i="54"/>
  <c r="BZ15" i="54"/>
  <c r="CB15" i="54"/>
  <c r="P16" i="54"/>
  <c r="Q16" i="54"/>
  <c r="R16" i="54"/>
  <c r="S16" i="54"/>
  <c r="T16" i="54"/>
  <c r="U16" i="54"/>
  <c r="V16" i="54"/>
  <c r="X16" i="54"/>
  <c r="AA16" i="54"/>
  <c r="AH16" i="54"/>
  <c r="AL16" i="54"/>
  <c r="AO16" i="54"/>
  <c r="AP16" i="54"/>
  <c r="AQ16" i="54"/>
  <c r="AR16" i="54"/>
  <c r="AS16" i="54"/>
  <c r="AU16" i="54"/>
  <c r="AV16" i="54"/>
  <c r="AW16" i="54"/>
  <c r="AX16" i="54"/>
  <c r="AY16" i="54"/>
  <c r="AZ16" i="54"/>
  <c r="BA16" i="54"/>
  <c r="BB16" i="54"/>
  <c r="BC16" i="54"/>
  <c r="BD16" i="54"/>
  <c r="BF16" i="54"/>
  <c r="BK16" i="54"/>
  <c r="BM16" i="54"/>
  <c r="BN16" i="54"/>
  <c r="BO16" i="54"/>
  <c r="BS16" i="54"/>
  <c r="BV16" i="54"/>
  <c r="BY16" i="54"/>
  <c r="CA16" i="54"/>
  <c r="CH16" i="54"/>
  <c r="CK16" i="54"/>
  <c r="O17" i="54"/>
  <c r="U17" i="54"/>
  <c r="V17" i="54"/>
  <c r="W17" i="54"/>
  <c r="AC17" i="54"/>
  <c r="AE17" i="54"/>
  <c r="AG17" i="54"/>
  <c r="AI17" i="54"/>
  <c r="AK17" i="54"/>
  <c r="AM17" i="54"/>
  <c r="AQ17" i="54"/>
  <c r="AR17" i="54"/>
  <c r="AS17" i="54"/>
  <c r="BA17" i="54"/>
  <c r="BB17" i="54"/>
  <c r="BC17" i="54"/>
  <c r="BE17" i="54"/>
  <c r="BR17" i="54"/>
  <c r="BT17" i="54"/>
  <c r="BV17" i="54"/>
  <c r="CA17" i="54"/>
  <c r="CF17" i="54"/>
  <c r="AW18" i="54"/>
  <c r="AX18" i="54"/>
  <c r="AY18" i="54"/>
  <c r="BA18" i="54"/>
  <c r="BB18" i="54"/>
  <c r="BC18" i="54"/>
  <c r="BL18" i="54"/>
  <c r="BV18" i="54"/>
  <c r="BZ18" i="54"/>
  <c r="CB18" i="54"/>
  <c r="P19" i="54"/>
  <c r="R19" i="54"/>
  <c r="S19" i="54"/>
  <c r="X19" i="54"/>
  <c r="Y19" i="54"/>
  <c r="Z19" i="54"/>
  <c r="AA19" i="54"/>
  <c r="AB19" i="54"/>
  <c r="AE19" i="54"/>
  <c r="AF19" i="54"/>
  <c r="AK19" i="54"/>
  <c r="AL19" i="54"/>
  <c r="AR19" i="54"/>
  <c r="AZ19" i="54"/>
  <c r="BA19" i="54"/>
  <c r="BB19" i="54"/>
  <c r="BC19" i="54"/>
  <c r="BX19" i="54"/>
  <c r="CA19" i="54"/>
  <c r="P20" i="54"/>
  <c r="AI20" i="54"/>
  <c r="AN20" i="54"/>
  <c r="AX20" i="54"/>
  <c r="BM20" i="54"/>
  <c r="BP20" i="54"/>
  <c r="BQ20" i="54"/>
  <c r="BS20" i="54"/>
  <c r="BU20" i="54"/>
  <c r="BV20" i="54"/>
  <c r="AD21" i="54"/>
  <c r="AE21" i="54"/>
  <c r="AH21" i="54"/>
  <c r="AL21" i="54"/>
  <c r="AM21" i="54"/>
  <c r="AN21" i="54"/>
  <c r="AQ21" i="54"/>
  <c r="AW21" i="54"/>
  <c r="BD21" i="54"/>
  <c r="BL21" i="54"/>
  <c r="BM21" i="54"/>
  <c r="CC21" i="54"/>
  <c r="CD21" i="54"/>
  <c r="CE21" i="54"/>
  <c r="CH21" i="54"/>
  <c r="AD22" i="54"/>
  <c r="AH22" i="54"/>
  <c r="AK22" i="54"/>
  <c r="AL22" i="54"/>
  <c r="AN22" i="54"/>
  <c r="AO22" i="54"/>
  <c r="AP22" i="54"/>
  <c r="CA22" i="54"/>
  <c r="CB22" i="54"/>
  <c r="CF22" i="54"/>
  <c r="CG22" i="54"/>
  <c r="V23" i="54"/>
  <c r="AD23" i="54"/>
  <c r="AE23" i="54"/>
  <c r="AF23" i="54"/>
  <c r="AI23" i="54"/>
  <c r="AN23" i="54"/>
  <c r="BD23" i="54"/>
  <c r="BQ23" i="54"/>
  <c r="BS23" i="54"/>
  <c r="CB23" i="54"/>
  <c r="CD23" i="54"/>
  <c r="CG23" i="54"/>
  <c r="CI23" i="54"/>
  <c r="CJ23" i="54"/>
  <c r="CK23" i="54"/>
  <c r="AI24" i="54"/>
  <c r="AJ24" i="54"/>
  <c r="AK24" i="54"/>
  <c r="AL24" i="54"/>
  <c r="AM24" i="54"/>
  <c r="AN24" i="54"/>
  <c r="BT24" i="54"/>
  <c r="BU24" i="54"/>
  <c r="BX24" i="54"/>
  <c r="CB24" i="54"/>
  <c r="CD24" i="54"/>
  <c r="CE24" i="54"/>
  <c r="CI24" i="54"/>
  <c r="CK24" i="54"/>
  <c r="L25" i="54"/>
  <c r="M25" i="54"/>
  <c r="AJ25" i="54"/>
  <c r="AM25" i="54"/>
  <c r="BX25" i="54"/>
  <c r="BZ25" i="54"/>
  <c r="CA25" i="54"/>
  <c r="CD25" i="54"/>
  <c r="CB26" i="54"/>
  <c r="CC26" i="54"/>
  <c r="CF26" i="54"/>
  <c r="CH26" i="54"/>
  <c r="CJ26" i="54"/>
  <c r="CK26" i="54"/>
  <c r="S27" i="54"/>
  <c r="CB27" i="54"/>
  <c r="CC27" i="54"/>
  <c r="CD27" i="54"/>
  <c r="CB28" i="54"/>
  <c r="CC28" i="54"/>
  <c r="CD28" i="54"/>
  <c r="CE28" i="54"/>
  <c r="CG28" i="54"/>
  <c r="CH28" i="54"/>
  <c r="CI28" i="54"/>
  <c r="CK28" i="54"/>
  <c r="AB29" i="54"/>
  <c r="CB29" i="54"/>
  <c r="CC29" i="54"/>
  <c r="CD29" i="54"/>
  <c r="CH29" i="54"/>
  <c r="CI29" i="54"/>
  <c r="BG30" i="54"/>
  <c r="BI30" i="54"/>
  <c r="BO30" i="54"/>
  <c r="CE30" i="54"/>
  <c r="CF30" i="54"/>
  <c r="CG30" i="54"/>
  <c r="CH30" i="54"/>
  <c r="CI30" i="54"/>
  <c r="CJ30" i="54"/>
  <c r="U31" i="54"/>
  <c r="BB31" i="54"/>
  <c r="CD31" i="54"/>
  <c r="CE31" i="54"/>
  <c r="CG31" i="54"/>
  <c r="CH31" i="54"/>
  <c r="CI31" i="54"/>
  <c r="M32" i="54"/>
  <c r="BI32" i="54"/>
  <c r="BR32" i="54"/>
  <c r="CD32" i="54"/>
  <c r="CE32" i="54"/>
  <c r="CG32" i="54"/>
  <c r="CI32" i="54"/>
  <c r="CK32" i="54"/>
  <c r="CL32" i="54"/>
  <c r="AB33" i="54"/>
  <c r="AS33" i="54"/>
  <c r="BI33" i="54"/>
  <c r="CC33" i="54"/>
  <c r="CD33" i="54"/>
  <c r="CF33" i="54"/>
  <c r="CH33" i="54"/>
  <c r="CJ33" i="54"/>
  <c r="Z34" i="54"/>
  <c r="AJ34" i="54"/>
  <c r="BR34" i="54"/>
  <c r="BS34" i="54"/>
  <c r="CD34" i="54"/>
  <c r="CF34" i="54"/>
  <c r="CI34" i="54"/>
  <c r="CJ34" i="54"/>
  <c r="M35" i="54"/>
  <c r="AA35" i="54"/>
  <c r="AD35" i="54"/>
  <c r="AE35" i="54"/>
  <c r="AF35" i="54"/>
  <c r="AG35" i="54"/>
  <c r="AH35" i="54"/>
  <c r="AI35" i="54"/>
  <c r="AJ35" i="54"/>
  <c r="BK35" i="54"/>
  <c r="BR35" i="54"/>
  <c r="CH35" i="54"/>
  <c r="CJ35" i="54"/>
  <c r="CK35" i="54"/>
  <c r="L36" i="54"/>
  <c r="M36" i="54"/>
  <c r="N36" i="54"/>
  <c r="Z36" i="54"/>
  <c r="AJ36" i="54"/>
  <c r="AM36" i="54"/>
  <c r="BI36" i="54"/>
  <c r="BO36" i="54"/>
  <c r="BP36" i="54"/>
  <c r="BQ36" i="54"/>
  <c r="BT36" i="54"/>
  <c r="BU36" i="54"/>
  <c r="CG36" i="54"/>
  <c r="CH36" i="54"/>
  <c r="CJ36" i="54"/>
  <c r="CK36" i="54"/>
  <c r="M37" i="54"/>
  <c r="AB37" i="54"/>
  <c r="BK37" i="54"/>
  <c r="BS37" i="54"/>
  <c r="CG37" i="54"/>
  <c r="CI37" i="54"/>
  <c r="BH38" i="54"/>
  <c r="CG38" i="54"/>
  <c r="CI38" i="54"/>
  <c r="CK38" i="54"/>
  <c r="I39" i="54"/>
  <c r="M39" i="54"/>
  <c r="Q39" i="54"/>
  <c r="R39" i="54"/>
  <c r="S39" i="54"/>
  <c r="U39" i="54"/>
  <c r="CG39" i="54"/>
  <c r="CH39" i="54"/>
  <c r="CJ39" i="54"/>
  <c r="J40" i="54"/>
  <c r="K40" i="54"/>
  <c r="M40" i="54"/>
  <c r="O40" i="54"/>
  <c r="P40" i="54"/>
  <c r="AF40" i="54"/>
  <c r="BS40" i="54"/>
  <c r="CH40" i="54"/>
  <c r="I41" i="54"/>
  <c r="Q41" i="54"/>
  <c r="R41" i="54"/>
  <c r="S41" i="54"/>
  <c r="AX41" i="54"/>
  <c r="BI41" i="54"/>
  <c r="M42" i="54"/>
  <c r="BO42" i="54"/>
  <c r="M43" i="54"/>
  <c r="L44" i="54"/>
  <c r="N44" i="54"/>
  <c r="BP44" i="54"/>
  <c r="CF45" i="54"/>
  <c r="AJ46" i="54"/>
  <c r="BL46" i="54"/>
  <c r="CF46" i="54"/>
  <c r="CG46" i="54"/>
  <c r="CI46" i="54"/>
  <c r="E47" i="54"/>
  <c r="BL47" i="54"/>
  <c r="CF47" i="54"/>
  <c r="CG47" i="54"/>
  <c r="CI47" i="54"/>
  <c r="BJ48" i="54"/>
  <c r="BK48" i="54"/>
  <c r="BL48" i="54"/>
  <c r="BM48" i="54"/>
  <c r="BN48" i="54"/>
  <c r="CF48" i="54"/>
  <c r="R49" i="54"/>
  <c r="BL49" i="54"/>
  <c r="BU49" i="54"/>
  <c r="BV49" i="54"/>
  <c r="CC49" i="54"/>
  <c r="CF49" i="54"/>
  <c r="CG49" i="54"/>
  <c r="CJ49" i="54"/>
  <c r="CK49" i="54"/>
  <c r="R50" i="54"/>
  <c r="CF50" i="54"/>
  <c r="Q51" i="54"/>
  <c r="R51" i="54"/>
  <c r="S51" i="54"/>
  <c r="CF51" i="54"/>
  <c r="CG51" i="54"/>
  <c r="CH51" i="54"/>
  <c r="CI51" i="54"/>
  <c r="B52" i="54"/>
  <c r="G52" i="54"/>
  <c r="R52" i="54"/>
  <c r="CF52" i="54"/>
  <c r="CG52" i="54"/>
  <c r="CI52" i="54"/>
  <c r="I53" i="54"/>
  <c r="CF53" i="54"/>
  <c r="C54" i="54"/>
  <c r="I54" i="54"/>
  <c r="AX54" i="54"/>
  <c r="I55" i="54"/>
  <c r="L55" i="54"/>
  <c r="AB55" i="54"/>
  <c r="I56" i="54"/>
  <c r="L56" i="54"/>
  <c r="AA56" i="54"/>
  <c r="BN56" i="54"/>
  <c r="AB57" i="54"/>
  <c r="AM57" i="54"/>
  <c r="AQ57" i="54"/>
  <c r="B58" i="54"/>
  <c r="E58" i="54"/>
  <c r="J58" i="54"/>
  <c r="AB58" i="54"/>
  <c r="CF58" i="54"/>
  <c r="J59" i="54"/>
  <c r="AC59" i="54"/>
  <c r="AP59" i="54"/>
  <c r="BD59" i="54"/>
  <c r="CJ59" i="54"/>
  <c r="CK59" i="54"/>
  <c r="D60" i="54"/>
  <c r="AB60" i="54"/>
  <c r="BS60" i="54"/>
  <c r="CK60" i="54"/>
  <c r="G61" i="54"/>
  <c r="AB61" i="54"/>
  <c r="AH61" i="54"/>
  <c r="AJ61" i="54"/>
  <c r="AP61" i="54"/>
  <c r="AU61" i="54"/>
  <c r="BD61" i="54"/>
  <c r="B62" i="54"/>
  <c r="Q62" i="54"/>
  <c r="AD62" i="54"/>
  <c r="AH62" i="54"/>
  <c r="AK62" i="54"/>
  <c r="AL62" i="54"/>
  <c r="AM62" i="54"/>
  <c r="AP62" i="54"/>
  <c r="AQ62" i="54"/>
  <c r="AU62" i="54"/>
  <c r="CJ62" i="54"/>
  <c r="CK62" i="54"/>
  <c r="K63" i="54"/>
  <c r="AH63" i="54"/>
  <c r="AJ63" i="54"/>
  <c r="AP63" i="54"/>
  <c r="AU63" i="54"/>
  <c r="BO63" i="54"/>
  <c r="B64" i="54"/>
  <c r="K64" i="54"/>
  <c r="AG64" i="54"/>
  <c r="AR64" i="54"/>
  <c r="BZ64" i="54"/>
  <c r="CA64" i="54"/>
  <c r="CI64" i="54"/>
  <c r="CJ64" i="54"/>
  <c r="B65" i="54"/>
  <c r="P65" i="54"/>
  <c r="Q65" i="54"/>
  <c r="AP65" i="54"/>
  <c r="BD65" i="54"/>
  <c r="BW65" i="54"/>
  <c r="BZ65" i="54"/>
  <c r="CD65" i="54"/>
  <c r="CE65" i="54"/>
  <c r="CG65" i="54"/>
  <c r="CJ65" i="54"/>
  <c r="I66" i="54"/>
  <c r="K66" i="54"/>
  <c r="M66" i="54"/>
  <c r="N66" i="54"/>
  <c r="O66" i="54"/>
  <c r="AG66" i="54"/>
  <c r="BU66" i="54"/>
  <c r="BV66" i="54"/>
  <c r="BW66" i="54"/>
  <c r="CI66" i="54"/>
  <c r="B67" i="54"/>
  <c r="I67" i="54"/>
  <c r="K67" i="54"/>
  <c r="P67" i="54"/>
  <c r="Q67" i="54"/>
  <c r="AL67" i="54"/>
  <c r="AM67" i="54"/>
  <c r="AN67" i="54"/>
  <c r="AO67" i="54"/>
  <c r="AR67" i="54"/>
  <c r="BR67" i="54"/>
  <c r="BU67" i="54"/>
  <c r="BV67" i="54"/>
  <c r="BW67" i="54"/>
  <c r="BX67" i="54"/>
  <c r="CA67" i="54"/>
  <c r="CD67" i="54"/>
  <c r="M68" i="54"/>
  <c r="AI68" i="54"/>
  <c r="AK68" i="54"/>
  <c r="AM68" i="54"/>
  <c r="AP68" i="54"/>
  <c r="AQ68" i="54"/>
  <c r="BT68" i="54"/>
  <c r="BU68" i="54"/>
  <c r="BV68" i="54"/>
  <c r="BW68" i="54"/>
  <c r="CA68" i="54"/>
  <c r="CF68" i="54"/>
  <c r="CI68" i="54"/>
  <c r="B69" i="54"/>
  <c r="I69" i="54"/>
  <c r="P69" i="54"/>
  <c r="BK69" i="54"/>
  <c r="BW69" i="54"/>
  <c r="CE69" i="54"/>
  <c r="G70" i="54"/>
  <c r="K70" i="54"/>
  <c r="BU70" i="54"/>
  <c r="BV70" i="54"/>
  <c r="CA70" i="54"/>
  <c r="CI70" i="54"/>
  <c r="D71" i="54"/>
  <c r="I71" i="54"/>
  <c r="M71" i="54"/>
  <c r="BU71" i="54"/>
  <c r="CE71" i="54"/>
  <c r="BU72" i="54"/>
  <c r="CE72" i="54"/>
  <c r="CI72" i="54"/>
  <c r="C73" i="54"/>
  <c r="F73" i="54"/>
  <c r="M73" i="54"/>
  <c r="BU73" i="54"/>
  <c r="CD73" i="54"/>
  <c r="CF73" i="54"/>
  <c r="A74" i="54"/>
  <c r="F74" i="54"/>
  <c r="I74" i="54"/>
  <c r="CA74" i="54"/>
  <c r="CI74" i="54"/>
  <c r="I75" i="54"/>
  <c r="CD75" i="54"/>
  <c r="CE75" i="54"/>
  <c r="CF75" i="54"/>
  <c r="AZ76" i="54"/>
  <c r="G77" i="54"/>
  <c r="E78" i="54"/>
  <c r="BO78" i="54"/>
  <c r="BP78" i="54"/>
  <c r="BQ78" i="54"/>
  <c r="BU78" i="54"/>
  <c r="CD78" i="54"/>
  <c r="CG78" i="54"/>
  <c r="F79" i="54"/>
  <c r="AB79" i="54"/>
  <c r="AD79" i="54"/>
  <c r="BO79" i="54"/>
  <c r="CI79" i="54"/>
  <c r="E80" i="54"/>
  <c r="O80" i="54"/>
  <c r="BO80" i="54"/>
  <c r="BQ80" i="54"/>
  <c r="BU80" i="54"/>
  <c r="CA80" i="54"/>
  <c r="CC80" i="54"/>
  <c r="CF80" i="54"/>
  <c r="CH80" i="54"/>
  <c r="G81" i="54"/>
  <c r="BJ81" i="54"/>
  <c r="BT81" i="54"/>
  <c r="BV81" i="54"/>
  <c r="CH81" i="54"/>
  <c r="E82" i="54"/>
  <c r="F82" i="54"/>
  <c r="G82" i="54"/>
  <c r="BO82" i="54"/>
  <c r="BQ82" i="54"/>
  <c r="BS82" i="54"/>
  <c r="CE82" i="54"/>
  <c r="CF82" i="54"/>
  <c r="CG82" i="54"/>
  <c r="CI82" i="54"/>
  <c r="F83" i="54"/>
  <c r="CI83" i="54"/>
  <c r="BZ84" i="54"/>
  <c r="CB84" i="54"/>
  <c r="CE84" i="54"/>
  <c r="CF84" i="54"/>
  <c r="CG84" i="54"/>
  <c r="C85" i="54"/>
  <c r="BW85" i="54"/>
  <c r="BX85" i="54"/>
  <c r="BY85" i="54"/>
  <c r="CG85" i="54"/>
  <c r="H86" i="54"/>
  <c r="AN86" i="54"/>
  <c r="BZ86" i="54"/>
  <c r="CC86" i="54"/>
  <c r="CE86" i="54"/>
  <c r="CG86" i="54"/>
  <c r="CI86" i="54"/>
  <c r="H87" i="54"/>
  <c r="AE87" i="54"/>
  <c r="AO87" i="54"/>
  <c r="CB87" i="54"/>
  <c r="CI87" i="54"/>
  <c r="AO88" i="54"/>
  <c r="BA88" i="54"/>
  <c r="BV88" i="54"/>
  <c r="D89" i="54"/>
  <c r="Z89" i="54"/>
  <c r="AM89" i="54"/>
  <c r="AO89" i="54"/>
  <c r="BM89" i="54"/>
  <c r="J90" i="54"/>
  <c r="L90" i="54"/>
  <c r="N90" i="54"/>
  <c r="AL90" i="54"/>
  <c r="AM90" i="54"/>
  <c r="AQ90" i="54"/>
  <c r="CK90" i="54"/>
  <c r="H91" i="54"/>
  <c r="J91" i="54"/>
  <c r="L91" i="54"/>
  <c r="N91" i="54"/>
  <c r="P91" i="54"/>
  <c r="CA92" i="54"/>
  <c r="H94" i="54"/>
  <c r="I94" i="54"/>
  <c r="P94" i="54"/>
  <c r="Q94" i="54"/>
  <c r="T94" i="54"/>
  <c r="AP94" i="54"/>
  <c r="AY94" i="54"/>
  <c r="BV94" i="54"/>
  <c r="CJ94" i="54"/>
  <c r="U95" i="54"/>
  <c r="AO95" i="54"/>
  <c r="AQ95" i="54"/>
  <c r="AU95" i="54"/>
  <c r="AV95" i="54"/>
  <c r="BA95" i="54"/>
  <c r="BN95" i="54"/>
  <c r="BR95" i="54"/>
  <c r="BZ95" i="54"/>
  <c r="CF95" i="54"/>
  <c r="B96" i="54"/>
  <c r="N96" i="54"/>
  <c r="Q96" i="54"/>
  <c r="U96" i="54"/>
  <c r="AE96" i="54"/>
  <c r="AP96" i="54"/>
  <c r="BA96" i="54"/>
  <c r="BQ96" i="54"/>
  <c r="BR96" i="54"/>
  <c r="BS96" i="54"/>
  <c r="BY96" i="54"/>
  <c r="BZ96" i="54"/>
  <c r="CA96" i="54"/>
  <c r="H97" i="54"/>
  <c r="J97" i="54"/>
  <c r="M97" i="54"/>
  <c r="N97" i="54"/>
  <c r="O97" i="54"/>
  <c r="Q97" i="54"/>
  <c r="R97" i="54"/>
  <c r="AD97" i="54"/>
  <c r="AO97" i="54"/>
  <c r="AQ97" i="54"/>
  <c r="BR97" i="54"/>
  <c r="BZ97" i="54"/>
  <c r="F98" i="54"/>
  <c r="J98" i="54"/>
  <c r="M98" i="54"/>
  <c r="N98" i="54"/>
  <c r="O98" i="54"/>
  <c r="R98" i="54"/>
  <c r="AP98" i="54"/>
  <c r="AZ98" i="54"/>
  <c r="BA98" i="54"/>
  <c r="BV98" i="54"/>
  <c r="H99" i="54"/>
  <c r="K99" i="54"/>
  <c r="L99" i="54"/>
  <c r="N99" i="54"/>
  <c r="AT99" i="54"/>
  <c r="B100" i="54"/>
  <c r="H100" i="54"/>
  <c r="J100" i="54"/>
  <c r="L100" i="54"/>
  <c r="N100" i="54"/>
  <c r="Y100" i="54"/>
  <c r="BA100" i="54"/>
  <c r="BP100" i="54"/>
  <c r="BU100" i="54"/>
  <c r="BV100" i="54"/>
  <c r="BW100" i="54"/>
  <c r="CB100" i="54"/>
  <c r="B101" i="54"/>
  <c r="E101" i="54"/>
  <c r="H101" i="54"/>
  <c r="J101" i="54"/>
  <c r="R101" i="54"/>
  <c r="T101" i="54"/>
  <c r="AO101" i="54"/>
  <c r="AU101" i="54"/>
  <c r="BV101" i="54"/>
  <c r="CG101" i="54"/>
  <c r="B102" i="54"/>
  <c r="H102" i="54"/>
  <c r="R102" i="54"/>
  <c r="S102" i="54"/>
  <c r="T102" i="54"/>
  <c r="AN102" i="54"/>
  <c r="BA102" i="54"/>
  <c r="B103" i="54"/>
  <c r="P103" i="54"/>
  <c r="Q103" i="54"/>
  <c r="AM103" i="54"/>
  <c r="BA103" i="54"/>
  <c r="BR103" i="54"/>
  <c r="BV103" i="54"/>
  <c r="BZ103" i="54"/>
  <c r="B104" i="54"/>
  <c r="P104" i="54"/>
  <c r="X104" i="54"/>
  <c r="Z104" i="54"/>
  <c r="AB104" i="54"/>
  <c r="AL104" i="54"/>
  <c r="AO104" i="54"/>
  <c r="AV104" i="54"/>
  <c r="BQ104" i="54"/>
  <c r="BR104" i="54"/>
  <c r="BS104" i="54"/>
  <c r="BY104" i="54"/>
  <c r="BZ104" i="54"/>
  <c r="CA104" i="54"/>
  <c r="M105" i="54"/>
  <c r="P105" i="54"/>
  <c r="X105" i="54"/>
  <c r="AB105" i="54"/>
  <c r="AV105" i="54"/>
  <c r="BR105" i="54"/>
  <c r="BZ105" i="54"/>
  <c r="CF105" i="54"/>
  <c r="N106" i="54"/>
  <c r="S106" i="54"/>
  <c r="Z106" i="54"/>
  <c r="AV106" i="54"/>
  <c r="BB106" i="54"/>
  <c r="BL106" i="54"/>
  <c r="BV106" i="54"/>
  <c r="D107" i="54"/>
  <c r="E107" i="54"/>
  <c r="F107" i="54"/>
  <c r="M107" i="54"/>
  <c r="N107" i="54"/>
  <c r="X107" i="54"/>
  <c r="Z107" i="54"/>
  <c r="AB107" i="54"/>
  <c r="AL107" i="54"/>
  <c r="AS107" i="54"/>
  <c r="AY107" i="54"/>
  <c r="BD107" i="54"/>
  <c r="BE107" i="54"/>
  <c r="CB107" i="54"/>
  <c r="CI107" i="54"/>
  <c r="N108" i="54"/>
  <c r="P108" i="54"/>
  <c r="S108" i="54"/>
  <c r="X108" i="54"/>
  <c r="Z108" i="54"/>
  <c r="AB108" i="54"/>
  <c r="AL108" i="54"/>
  <c r="AP108" i="54"/>
  <c r="CI108" i="54"/>
  <c r="CJ108" i="54"/>
  <c r="D109" i="54"/>
  <c r="H109" i="54"/>
  <c r="J109" i="54"/>
  <c r="M109" i="54"/>
  <c r="P109" i="54"/>
  <c r="S109" i="54"/>
  <c r="AD109" i="54"/>
  <c r="AE109" i="54"/>
  <c r="AF109" i="54"/>
  <c r="AR109" i="54"/>
  <c r="AU109" i="54"/>
  <c r="AW109" i="54"/>
  <c r="AD110" i="54"/>
  <c r="B1" i="37"/>
  <c r="J1" i="37"/>
  <c r="N1" i="37"/>
  <c r="R1" i="37"/>
  <c r="V1" i="37"/>
  <c r="AO1" i="37"/>
  <c r="AV1" i="37"/>
  <c r="AW1" i="37"/>
  <c r="AY1" i="37"/>
  <c r="AZ1" i="37"/>
  <c r="BC1" i="37"/>
  <c r="BD1" i="37"/>
  <c r="BW1" i="37"/>
  <c r="B2" i="37"/>
  <c r="W2" i="37"/>
  <c r="Z2" i="37"/>
  <c r="AA2" i="37"/>
  <c r="AC2" i="37"/>
  <c r="AG2" i="37"/>
  <c r="AH2" i="37"/>
  <c r="AP2" i="37"/>
  <c r="AR2" i="37"/>
  <c r="AT2" i="37"/>
  <c r="AU2" i="37"/>
  <c r="AW2" i="37"/>
  <c r="AX2" i="37"/>
  <c r="AY2" i="37"/>
  <c r="BB2" i="37"/>
  <c r="BC2" i="37"/>
  <c r="BK2" i="37"/>
  <c r="BN2" i="37"/>
  <c r="A3" i="37"/>
  <c r="B3" i="37"/>
  <c r="Z3" i="37"/>
  <c r="AB3" i="37"/>
  <c r="AF3" i="37"/>
  <c r="AL3" i="37"/>
  <c r="AP3" i="37"/>
  <c r="AS3" i="37"/>
  <c r="AY3" i="37"/>
  <c r="BE3" i="37"/>
  <c r="BF3" i="37"/>
  <c r="BG3" i="37"/>
  <c r="BH3" i="37"/>
  <c r="BI3" i="37"/>
  <c r="A4" i="37"/>
  <c r="B4" i="37"/>
  <c r="I4" i="37"/>
  <c r="AB4" i="37"/>
  <c r="AC4" i="37"/>
  <c r="AD4" i="37"/>
  <c r="AE4" i="37"/>
  <c r="AF4" i="37"/>
  <c r="AG4" i="37"/>
  <c r="AL4" i="37"/>
  <c r="AP4" i="37"/>
  <c r="AS4" i="37"/>
  <c r="AY4" i="37"/>
  <c r="AZ4" i="37"/>
  <c r="BD4" i="37"/>
  <c r="BF4" i="37"/>
  <c r="BI4" i="37"/>
  <c r="BJ4" i="37"/>
  <c r="A5" i="37"/>
  <c r="B5" i="37"/>
  <c r="D5" i="37"/>
  <c r="F5" i="37"/>
  <c r="S5" i="37"/>
  <c r="AL5" i="37"/>
  <c r="AS5" i="37"/>
  <c r="AY5" i="37"/>
  <c r="BD5" i="37"/>
  <c r="BE5" i="37"/>
  <c r="BH5" i="37"/>
  <c r="BJ5" i="37"/>
  <c r="A6" i="37"/>
  <c r="D6" i="37"/>
  <c r="E6" i="37"/>
  <c r="O6" i="37"/>
  <c r="Z6" i="37"/>
  <c r="AL6" i="37"/>
  <c r="AP6" i="37"/>
  <c r="AS6" i="37"/>
  <c r="AZ6" i="37"/>
  <c r="BD6" i="37"/>
  <c r="BK6" i="37"/>
  <c r="A7" i="37"/>
  <c r="D7" i="37"/>
  <c r="F7" i="37"/>
  <c r="I7" i="37"/>
  <c r="AA7" i="37"/>
  <c r="AB7" i="37"/>
  <c r="AC7" i="37"/>
  <c r="AE7" i="37"/>
  <c r="AF7" i="37"/>
  <c r="AG7" i="37"/>
  <c r="AL7" i="37"/>
  <c r="AZ7" i="37"/>
  <c r="BA7" i="37"/>
  <c r="BG7" i="37"/>
  <c r="BK7" i="37"/>
  <c r="BL7" i="37"/>
  <c r="A8" i="37"/>
  <c r="Y8" i="37"/>
  <c r="AA8" i="37"/>
  <c r="AG8" i="37"/>
  <c r="AI8" i="37"/>
  <c r="AJ8" i="37"/>
  <c r="AL8" i="37"/>
  <c r="AP8" i="37"/>
  <c r="AS8" i="37"/>
  <c r="AZ8" i="37"/>
  <c r="BB8" i="37"/>
  <c r="BD8" i="37"/>
  <c r="BK8" i="37"/>
  <c r="A9" i="37"/>
  <c r="B9" i="37"/>
  <c r="E9" i="37"/>
  <c r="Q9" i="37"/>
  <c r="Y9" i="37"/>
  <c r="AA9" i="37"/>
  <c r="AD9" i="37"/>
  <c r="AG9" i="37"/>
  <c r="AI9" i="37"/>
  <c r="AL9" i="37"/>
  <c r="AP9" i="37"/>
  <c r="AS9" i="37"/>
  <c r="AX9" i="37"/>
  <c r="AY9" i="37"/>
  <c r="BD9" i="37"/>
  <c r="BF9" i="37"/>
  <c r="BJ9" i="37"/>
  <c r="A10" i="37"/>
  <c r="B10" i="37"/>
  <c r="G10" i="37"/>
  <c r="H10" i="37"/>
  <c r="Y10" i="37"/>
  <c r="AA10" i="37"/>
  <c r="AE10" i="37"/>
  <c r="AG10" i="37"/>
  <c r="AI10" i="37"/>
  <c r="AJ10" i="37"/>
  <c r="AL10" i="37"/>
  <c r="AP10" i="37"/>
  <c r="AS10" i="37"/>
  <c r="AV10" i="37"/>
  <c r="AY10" i="37"/>
  <c r="AZ10" i="37"/>
  <c r="BD10" i="37"/>
  <c r="BE10" i="37"/>
  <c r="BJ10" i="37"/>
  <c r="A11" i="37"/>
  <c r="E11" i="37"/>
  <c r="M11" i="37"/>
  <c r="AA11" i="37"/>
  <c r="AB11" i="37"/>
  <c r="AG11" i="37"/>
  <c r="AL11" i="37"/>
  <c r="AS11" i="37"/>
  <c r="AY11" i="37"/>
  <c r="BD11" i="37"/>
  <c r="BG11" i="37"/>
  <c r="BI11" i="37"/>
  <c r="BJ11" i="37"/>
  <c r="BK11" i="37"/>
  <c r="R12" i="37"/>
  <c r="S12" i="37"/>
  <c r="V12" i="37"/>
  <c r="W12" i="37"/>
  <c r="AB12" i="37"/>
  <c r="AC12" i="37"/>
  <c r="AE12" i="37"/>
  <c r="AF12" i="37"/>
  <c r="AL12" i="37"/>
  <c r="AP12" i="37"/>
  <c r="AS12" i="37"/>
  <c r="AU12" i="37"/>
  <c r="AW12" i="37"/>
  <c r="AY12" i="37"/>
  <c r="BE12" i="37"/>
  <c r="BF12" i="37"/>
  <c r="BG12" i="37"/>
  <c r="BH12" i="37"/>
  <c r="BI12" i="37"/>
  <c r="T13" i="37"/>
  <c r="U13" i="37"/>
  <c r="Z13" i="37"/>
  <c r="AA13" i="37"/>
  <c r="AB13" i="37"/>
  <c r="AC13" i="37"/>
  <c r="AD13" i="37"/>
  <c r="AE13" i="37"/>
  <c r="AF13" i="37"/>
  <c r="AG13" i="37"/>
  <c r="AH13" i="37"/>
  <c r="AL13" i="37"/>
  <c r="AS13" i="37"/>
  <c r="AU13" i="37"/>
  <c r="AW13" i="37"/>
  <c r="AZ13" i="37"/>
  <c r="BE13" i="37"/>
  <c r="AC14" i="37"/>
  <c r="AD14" i="37"/>
  <c r="AE14" i="37"/>
  <c r="AM14" i="37"/>
  <c r="AO14" i="37"/>
  <c r="AC15" i="37"/>
  <c r="AE15" i="37"/>
  <c r="AW15" i="37"/>
  <c r="AX15" i="37"/>
  <c r="AY15" i="37"/>
  <c r="BF15" i="37"/>
  <c r="A16" i="37"/>
  <c r="G16" i="37"/>
  <c r="M16" i="37"/>
  <c r="AC16" i="37"/>
  <c r="AE16" i="37"/>
  <c r="AS16" i="37"/>
  <c r="AW16" i="37"/>
  <c r="AX16" i="37"/>
  <c r="AY16" i="37"/>
  <c r="H17" i="37"/>
  <c r="J17" i="37"/>
  <c r="L17" i="37"/>
  <c r="AD17" i="37"/>
  <c r="AN17" i="37"/>
  <c r="AR17" i="37"/>
  <c r="AT17" i="37"/>
  <c r="AX17" i="37"/>
  <c r="AY17" i="37"/>
  <c r="I18" i="37"/>
  <c r="K18" i="37"/>
  <c r="N18" i="37"/>
  <c r="AC18" i="37"/>
  <c r="AE18" i="37"/>
  <c r="BJ18" i="37"/>
  <c r="BK18" i="37"/>
  <c r="BV18" i="37"/>
  <c r="J19" i="37"/>
  <c r="N19" i="37"/>
  <c r="R19" i="37"/>
  <c r="AC19" i="37"/>
  <c r="AD19" i="37"/>
  <c r="AE19" i="37"/>
  <c r="AF19" i="37"/>
  <c r="AM19" i="37"/>
  <c r="AN19" i="37"/>
  <c r="AT19" i="37"/>
  <c r="BV19" i="37"/>
  <c r="A20" i="37"/>
  <c r="R20" i="37"/>
  <c r="T20" i="37"/>
  <c r="U20" i="37"/>
  <c r="X20" i="37"/>
  <c r="AG20" i="37"/>
  <c r="BV20" i="37"/>
  <c r="I21" i="37"/>
  <c r="K21" i="37"/>
  <c r="R21" i="37"/>
  <c r="S21" i="37"/>
  <c r="V21" i="37"/>
  <c r="X21" i="37"/>
  <c r="BC21" i="37"/>
  <c r="BJ21" i="37"/>
  <c r="BV21" i="37"/>
  <c r="I22" i="37"/>
  <c r="J22" i="37"/>
  <c r="K22" i="37"/>
  <c r="T22" i="37"/>
  <c r="U22" i="37"/>
  <c r="W22" i="37"/>
  <c r="X22" i="37"/>
  <c r="Y22" i="37"/>
  <c r="AI22" i="37"/>
  <c r="AJ22" i="37"/>
  <c r="AK22" i="37"/>
  <c r="AL22" i="37"/>
  <c r="AM22" i="37"/>
  <c r="AN22" i="37"/>
  <c r="AO22" i="37"/>
  <c r="AP22" i="37"/>
  <c r="AQ22" i="37"/>
  <c r="AR22" i="37"/>
  <c r="AS22" i="37"/>
  <c r="AT22" i="37"/>
  <c r="AU22" i="37"/>
  <c r="AV22" i="37"/>
  <c r="AW22" i="37"/>
  <c r="AX22" i="37"/>
  <c r="AY22" i="37"/>
  <c r="BV22" i="37"/>
  <c r="G23" i="37"/>
  <c r="I23" i="37"/>
  <c r="J23" i="37"/>
  <c r="K23" i="37"/>
  <c r="R23" i="37"/>
  <c r="U23" i="37"/>
  <c r="V23" i="37"/>
  <c r="Y23" i="37"/>
  <c r="Z23" i="37"/>
  <c r="AG23" i="37"/>
  <c r="BC23" i="37"/>
  <c r="BD23" i="37"/>
  <c r="BE23" i="37"/>
  <c r="BV23" i="37"/>
  <c r="A24" i="37"/>
  <c r="I24" i="37"/>
  <c r="J24" i="37"/>
  <c r="K24" i="37"/>
  <c r="R24" i="37"/>
  <c r="T24" i="37"/>
  <c r="U24" i="37"/>
  <c r="W24" i="37"/>
  <c r="X24" i="37"/>
  <c r="AI24" i="37"/>
  <c r="AJ24" i="37"/>
  <c r="AK24" i="37"/>
  <c r="AL24" i="37"/>
  <c r="AM24" i="37"/>
  <c r="AN24" i="37"/>
  <c r="AO24" i="37"/>
  <c r="AP24" i="37"/>
  <c r="AQ24" i="37"/>
  <c r="AR24" i="37"/>
  <c r="AS24" i="37"/>
  <c r="AT24" i="37"/>
  <c r="BV24" i="37"/>
  <c r="F25" i="37"/>
  <c r="I25" i="37"/>
  <c r="J25" i="37"/>
  <c r="K25" i="37"/>
  <c r="L25" i="37"/>
  <c r="V25" i="37"/>
  <c r="X25" i="37"/>
  <c r="AF25" i="37"/>
  <c r="AI25" i="37"/>
  <c r="BG25" i="37"/>
  <c r="BV25" i="37"/>
  <c r="E26" i="37"/>
  <c r="F26" i="37"/>
  <c r="T26" i="37"/>
  <c r="W26" i="37"/>
  <c r="X26" i="37"/>
  <c r="AJ26" i="37"/>
  <c r="AK26" i="37"/>
  <c r="BG26" i="37"/>
  <c r="BV26" i="37"/>
  <c r="F27" i="37"/>
  <c r="H27" i="37"/>
  <c r="L27" i="37"/>
  <c r="BC27" i="37"/>
  <c r="BG27" i="37"/>
  <c r="BV27" i="37"/>
  <c r="A28" i="37"/>
  <c r="G28" i="37"/>
  <c r="J28" i="37"/>
  <c r="N28" i="37"/>
  <c r="O28" i="37"/>
  <c r="S28" i="37"/>
  <c r="AR28" i="37"/>
  <c r="AS28" i="37"/>
  <c r="BG28" i="37"/>
  <c r="BV28" i="37"/>
  <c r="I29" i="37"/>
  <c r="K29" i="37"/>
  <c r="AK29" i="37"/>
  <c r="AR29" i="37"/>
  <c r="AX29" i="37"/>
  <c r="BE29" i="37"/>
  <c r="BG29" i="37"/>
  <c r="BV29" i="37"/>
  <c r="J30" i="37"/>
  <c r="L30" i="37"/>
  <c r="T30" i="37"/>
  <c r="U30" i="37"/>
  <c r="V30" i="37"/>
  <c r="X30" i="37"/>
  <c r="Y30" i="37"/>
  <c r="Z30" i="37"/>
  <c r="AA30" i="37"/>
  <c r="AB30" i="37"/>
  <c r="AC30" i="37"/>
  <c r="AD30" i="37"/>
  <c r="AE30" i="37"/>
  <c r="AF30" i="37"/>
  <c r="AG30" i="37"/>
  <c r="AH30" i="37"/>
  <c r="AL30" i="37"/>
  <c r="AO30" i="37"/>
  <c r="AP30" i="37"/>
  <c r="AQ30" i="37"/>
  <c r="AR30" i="37"/>
  <c r="AT30" i="37"/>
  <c r="AU30" i="37"/>
  <c r="AX30" i="37"/>
  <c r="BE30" i="37"/>
  <c r="BG30" i="37"/>
  <c r="BV30" i="37"/>
  <c r="B31" i="37"/>
  <c r="C31" i="37"/>
  <c r="D31" i="37"/>
  <c r="E31" i="37"/>
  <c r="F31" i="37"/>
  <c r="G31" i="37"/>
  <c r="T31" i="37"/>
  <c r="V31" i="37"/>
  <c r="W31" i="37"/>
  <c r="X31" i="37"/>
  <c r="AK31" i="37"/>
  <c r="AR31" i="37"/>
  <c r="AX31" i="37"/>
  <c r="BE31" i="37"/>
  <c r="BV31" i="37"/>
  <c r="C32" i="37"/>
  <c r="D32" i="37"/>
  <c r="E32" i="37"/>
  <c r="H32" i="37"/>
  <c r="I32" i="37"/>
  <c r="J32" i="37"/>
  <c r="K32" i="37"/>
  <c r="L32" i="37"/>
  <c r="M32" i="37"/>
  <c r="T32" i="37"/>
  <c r="X32" i="37"/>
  <c r="AR32" i="37"/>
  <c r="AS32" i="37"/>
  <c r="BA32" i="37"/>
  <c r="D33" i="37"/>
  <c r="Q33" i="37"/>
  <c r="R33" i="37"/>
  <c r="S33" i="37"/>
  <c r="T33" i="37"/>
  <c r="U33" i="37"/>
  <c r="V33" i="37"/>
  <c r="X33" i="37"/>
  <c r="AB33" i="37"/>
  <c r="BF33" i="37"/>
  <c r="H34" i="37"/>
  <c r="J34" i="37"/>
  <c r="L34" i="37"/>
  <c r="N34" i="37"/>
  <c r="V34" i="37"/>
  <c r="X34" i="37"/>
  <c r="AA34" i="37"/>
  <c r="AB34" i="37"/>
  <c r="AC34" i="37"/>
  <c r="AD34" i="37"/>
  <c r="AL34" i="37"/>
  <c r="AV34" i="37"/>
  <c r="BD34" i="37"/>
  <c r="G35" i="37"/>
  <c r="M35" i="37"/>
  <c r="O35" i="37"/>
  <c r="V35" i="37"/>
  <c r="X35" i="37"/>
  <c r="Y35" i="37"/>
  <c r="AB35" i="37"/>
  <c r="AE35" i="37"/>
  <c r="AL35" i="37"/>
  <c r="AV35" i="37"/>
  <c r="AZ35" i="37"/>
  <c r="BB35" i="37"/>
  <c r="G36" i="37"/>
  <c r="I36" i="37"/>
  <c r="K36" i="37"/>
  <c r="M36" i="37"/>
  <c r="V36" i="37"/>
  <c r="X36" i="37"/>
  <c r="AB36" i="37"/>
  <c r="AE36" i="37"/>
  <c r="AL36" i="37"/>
  <c r="AV36" i="37"/>
  <c r="BJ36" i="37"/>
  <c r="A37" i="37"/>
  <c r="H37" i="37"/>
  <c r="L37" i="37"/>
  <c r="T37" i="37"/>
  <c r="W37" i="37"/>
  <c r="X37" i="37"/>
  <c r="Y37" i="37"/>
  <c r="Z37" i="37"/>
  <c r="AB37" i="37"/>
  <c r="AE37" i="37"/>
  <c r="AL37" i="37"/>
  <c r="BJ37" i="37"/>
  <c r="J38" i="37"/>
  <c r="U38" i="37"/>
  <c r="V38" i="37"/>
  <c r="X38" i="37"/>
  <c r="Z38" i="37"/>
  <c r="AA38" i="37"/>
  <c r="AB38" i="37"/>
  <c r="AC38" i="37"/>
  <c r="AD38" i="37"/>
  <c r="AE38" i="37"/>
  <c r="AL38" i="37"/>
  <c r="AS38" i="37"/>
  <c r="AT38" i="37"/>
  <c r="AZ38" i="37"/>
  <c r="BA38" i="37"/>
  <c r="BB38" i="37"/>
  <c r="BD38" i="37"/>
  <c r="BG38" i="37"/>
  <c r="K39" i="37"/>
  <c r="P39" i="37"/>
  <c r="Q39" i="37"/>
  <c r="R39" i="37"/>
  <c r="S39" i="37"/>
  <c r="U39" i="37"/>
  <c r="V39" i="37"/>
  <c r="X39" i="37"/>
  <c r="AL39" i="37"/>
  <c r="AR39" i="37"/>
  <c r="AT39" i="37"/>
  <c r="AZ39" i="37"/>
  <c r="BH39" i="37"/>
  <c r="G40" i="37"/>
  <c r="I40" i="37"/>
  <c r="K40" i="37"/>
  <c r="L40" i="37"/>
  <c r="M40" i="37"/>
  <c r="O40" i="37"/>
  <c r="P40" i="37"/>
  <c r="Q40" i="37"/>
  <c r="R40" i="37"/>
  <c r="S40" i="37"/>
  <c r="W40" i="37"/>
  <c r="X40" i="37"/>
  <c r="AB40" i="37"/>
  <c r="AD40" i="37"/>
  <c r="AR40" i="37"/>
  <c r="AS40" i="37"/>
  <c r="BA40" i="37"/>
  <c r="BB40" i="37"/>
  <c r="BC40" i="37"/>
  <c r="BD40" i="37"/>
  <c r="BH40" i="37"/>
  <c r="BK40" i="37"/>
  <c r="C41" i="37"/>
  <c r="E41" i="37"/>
  <c r="F41" i="37"/>
  <c r="G41" i="37"/>
  <c r="N41" i="37"/>
  <c r="T41" i="37"/>
  <c r="U41" i="37"/>
  <c r="X41" i="37"/>
  <c r="Y41" i="37"/>
  <c r="AA41" i="37"/>
  <c r="AB41" i="37"/>
  <c r="AD41" i="37"/>
  <c r="AN41" i="37"/>
  <c r="AR41" i="37"/>
  <c r="AS41" i="37"/>
  <c r="BA41" i="37"/>
  <c r="BB41" i="37"/>
  <c r="BF41" i="37"/>
  <c r="C42" i="37"/>
  <c r="E42" i="37"/>
  <c r="F42" i="37"/>
  <c r="H42" i="37"/>
  <c r="J42" i="37"/>
  <c r="L42" i="37"/>
  <c r="M42" i="37"/>
  <c r="P42" i="37"/>
  <c r="Q42" i="37"/>
  <c r="R42" i="37"/>
  <c r="S42" i="37"/>
  <c r="V42" i="37"/>
  <c r="W42" i="37"/>
  <c r="AB42" i="37"/>
  <c r="AD42" i="37"/>
  <c r="AR42" i="37"/>
  <c r="AT42" i="37"/>
  <c r="AZ42" i="37"/>
  <c r="BD42" i="37"/>
  <c r="BH42" i="37"/>
  <c r="G43" i="37"/>
  <c r="I43" i="37"/>
  <c r="K43" i="37"/>
  <c r="M43" i="37"/>
  <c r="P43" i="37"/>
  <c r="Q43" i="37"/>
  <c r="R43" i="37"/>
  <c r="S43" i="37"/>
  <c r="U43" i="37"/>
  <c r="V43" i="37"/>
  <c r="W43" i="37"/>
  <c r="X43" i="37"/>
  <c r="Y43" i="37"/>
  <c r="Z43" i="37"/>
  <c r="AA43" i="37"/>
  <c r="AB43" i="37"/>
  <c r="AC43" i="37"/>
  <c r="AD43" i="37"/>
  <c r="AE43" i="37"/>
  <c r="AS43" i="37"/>
  <c r="AT43" i="37"/>
  <c r="AZ43" i="37"/>
  <c r="BA43" i="37"/>
  <c r="BB43" i="37"/>
  <c r="BD43" i="37"/>
  <c r="BF43" i="37"/>
  <c r="BK43" i="37"/>
  <c r="H44" i="37"/>
  <c r="J44" i="37"/>
  <c r="U44" i="37"/>
  <c r="V44" i="37"/>
  <c r="AA44" i="37"/>
  <c r="AB44" i="37"/>
  <c r="AP44" i="37"/>
  <c r="AZ44" i="37"/>
  <c r="BF44" i="37"/>
  <c r="BJ44" i="37"/>
  <c r="B45" i="37"/>
  <c r="D45" i="37"/>
  <c r="E45" i="37"/>
  <c r="G45" i="37"/>
  <c r="H45" i="37"/>
  <c r="K45" i="37"/>
  <c r="L45" i="37"/>
  <c r="M45" i="37"/>
  <c r="AM45" i="37"/>
  <c r="BD45" i="37"/>
  <c r="BE45" i="37"/>
  <c r="BG45" i="37"/>
  <c r="C46" i="37"/>
  <c r="F46" i="37"/>
  <c r="M46" i="37"/>
  <c r="AT46" i="37"/>
  <c r="AU46" i="37"/>
  <c r="AW46" i="37"/>
  <c r="AX46" i="37"/>
  <c r="AY46" i="37"/>
  <c r="AZ46" i="37"/>
  <c r="BA46" i="37"/>
  <c r="BH46" i="37"/>
  <c r="E47" i="37"/>
  <c r="F47" i="37"/>
  <c r="H47" i="37"/>
  <c r="L47" i="37"/>
  <c r="M47" i="37"/>
  <c r="AO47" i="37"/>
  <c r="AU47" i="37"/>
  <c r="BB47" i="37"/>
  <c r="BC47" i="37"/>
  <c r="BH47" i="37"/>
  <c r="BK47" i="37"/>
  <c r="D48" i="37"/>
  <c r="E48" i="37"/>
  <c r="W48" i="37"/>
  <c r="X48" i="37"/>
  <c r="Y48" i="37"/>
  <c r="Z48" i="37"/>
  <c r="AA48" i="37"/>
  <c r="AB48" i="37"/>
  <c r="AC48" i="37"/>
  <c r="AD48" i="37"/>
  <c r="AE48" i="37"/>
  <c r="AF48" i="37"/>
  <c r="AJ48" i="37"/>
  <c r="AK48" i="37"/>
  <c r="AN48" i="37"/>
  <c r="AP48" i="37"/>
  <c r="AT48" i="37"/>
  <c r="AU48" i="37"/>
  <c r="AW48" i="37"/>
  <c r="AZ48" i="37"/>
  <c r="BF48" i="37"/>
  <c r="T49" i="37"/>
  <c r="V49" i="37"/>
  <c r="AI49" i="37"/>
  <c r="AK49" i="37"/>
  <c r="AO49" i="37"/>
  <c r="BH49" i="37"/>
  <c r="B50" i="37"/>
  <c r="C50" i="37"/>
  <c r="D50" i="37"/>
  <c r="F50" i="37"/>
  <c r="G50" i="37"/>
  <c r="M50" i="37"/>
  <c r="N50" i="37"/>
  <c r="O50" i="37"/>
  <c r="P50" i="37"/>
  <c r="Q50" i="37"/>
  <c r="R50" i="37"/>
  <c r="T50" i="37"/>
  <c r="V50" i="37"/>
  <c r="X50" i="37"/>
  <c r="Y50" i="37"/>
  <c r="AZ50" i="37"/>
  <c r="BA50" i="37"/>
  <c r="BE50" i="37"/>
  <c r="BG50" i="37"/>
  <c r="BK50" i="37"/>
  <c r="B51" i="37"/>
  <c r="F51" i="37"/>
  <c r="G51" i="37"/>
  <c r="H51" i="37"/>
  <c r="I51" i="37"/>
  <c r="J51" i="37"/>
  <c r="K51" i="37"/>
  <c r="L51" i="37"/>
  <c r="M51" i="37"/>
  <c r="N51" i="37"/>
  <c r="R51" i="37"/>
  <c r="W51" i="37"/>
  <c r="AO51" i="37"/>
  <c r="AQ51" i="37"/>
  <c r="AU51" i="37"/>
  <c r="AW51" i="37"/>
  <c r="AX51" i="37"/>
  <c r="C52" i="37"/>
  <c r="E52" i="37"/>
  <c r="H52" i="37"/>
  <c r="J52" i="37"/>
  <c r="U52" i="37"/>
  <c r="V52" i="37"/>
  <c r="X52" i="37"/>
  <c r="Y52" i="37"/>
  <c r="AC52" i="37"/>
  <c r="AE52" i="37"/>
  <c r="AG52" i="37"/>
  <c r="AJ52" i="37"/>
  <c r="AQ52" i="37"/>
  <c r="AS52" i="37"/>
  <c r="AT52" i="37"/>
  <c r="AU52" i="37"/>
  <c r="AZ52" i="37"/>
  <c r="BA52" i="37"/>
  <c r="F53" i="37"/>
  <c r="O53" i="37"/>
  <c r="U53" i="37"/>
  <c r="V53" i="37"/>
  <c r="X53" i="37"/>
  <c r="Y53" i="37"/>
  <c r="AC53" i="37"/>
  <c r="AE53" i="37"/>
  <c r="AG53" i="37"/>
  <c r="AK53" i="37"/>
  <c r="AQ53" i="37"/>
  <c r="AS53" i="37"/>
  <c r="BA53" i="37"/>
  <c r="BB53" i="37"/>
  <c r="G54" i="37"/>
  <c r="I54" i="37"/>
  <c r="J54" i="37"/>
  <c r="K54" i="37"/>
  <c r="M54" i="37"/>
  <c r="N54" i="37"/>
  <c r="O54" i="37"/>
  <c r="Q54" i="37"/>
  <c r="U54" i="37"/>
  <c r="V54" i="37"/>
  <c r="X54" i="37"/>
  <c r="Y54" i="37"/>
  <c r="AC54" i="37"/>
  <c r="AE54" i="37"/>
  <c r="AG54" i="37"/>
  <c r="AH54" i="37"/>
  <c r="AW54" i="37"/>
  <c r="B55" i="37"/>
  <c r="C55" i="37"/>
  <c r="D55" i="37"/>
  <c r="F55" i="37"/>
  <c r="N55" i="37"/>
  <c r="O55" i="37"/>
  <c r="P55" i="37"/>
  <c r="W55" i="37"/>
  <c r="AF55" i="37"/>
  <c r="AK55" i="37"/>
  <c r="AQ55" i="37"/>
  <c r="AS55" i="37"/>
  <c r="AT55" i="37"/>
  <c r="AU55" i="37"/>
  <c r="AZ55" i="37"/>
  <c r="BA55" i="37"/>
  <c r="E56" i="37"/>
  <c r="F56" i="37"/>
  <c r="H56" i="37"/>
  <c r="L56" i="37"/>
  <c r="M56" i="37"/>
  <c r="N56" i="37"/>
  <c r="O56" i="37"/>
  <c r="P56" i="37"/>
  <c r="AA56" i="37"/>
  <c r="AD56" i="37"/>
  <c r="AE56" i="37"/>
  <c r="AG56" i="37"/>
  <c r="AI56" i="37"/>
  <c r="AJ56" i="37"/>
  <c r="AQ56" i="37"/>
  <c r="AS56" i="37"/>
  <c r="AT56" i="37"/>
  <c r="BA56" i="37"/>
  <c r="BB56" i="37"/>
  <c r="J57" i="37"/>
  <c r="S57" i="37"/>
  <c r="T57" i="37"/>
  <c r="U57" i="37"/>
  <c r="V57" i="37"/>
  <c r="W57" i="37"/>
  <c r="X57" i="37"/>
  <c r="Y57" i="37"/>
  <c r="Z57" i="37"/>
  <c r="AB57" i="37"/>
  <c r="AC57" i="37"/>
  <c r="AD57" i="37"/>
  <c r="AE57" i="37"/>
  <c r="AF57" i="37"/>
  <c r="AG57" i="37"/>
  <c r="AH57" i="37"/>
  <c r="AI57" i="37"/>
  <c r="AJ57" i="37"/>
  <c r="AW57" i="37"/>
  <c r="B58" i="37"/>
  <c r="C58" i="37"/>
  <c r="D58" i="37"/>
  <c r="F58" i="37"/>
  <c r="M58" i="37"/>
  <c r="P58" i="37"/>
  <c r="R58" i="37"/>
  <c r="S58" i="37"/>
  <c r="AE58" i="37"/>
  <c r="AI58" i="37"/>
  <c r="AJ58" i="37"/>
  <c r="AK58" i="37"/>
  <c r="AL58" i="37"/>
  <c r="AM58" i="37"/>
  <c r="AN58" i="37"/>
  <c r="AO58" i="37"/>
  <c r="AP58" i="37"/>
  <c r="AQ58" i="37"/>
  <c r="AS58" i="37"/>
  <c r="AT58" i="37"/>
  <c r="AU58" i="37"/>
  <c r="AZ58" i="37"/>
  <c r="BA58" i="37"/>
  <c r="B59" i="37"/>
  <c r="C59" i="37"/>
  <c r="D59" i="37"/>
  <c r="R59" i="37"/>
  <c r="S59" i="37"/>
  <c r="V59" i="37"/>
  <c r="Z59" i="37"/>
  <c r="AB59" i="37"/>
  <c r="AH59" i="37"/>
  <c r="AJ59" i="37"/>
  <c r="AK59" i="37"/>
  <c r="AN59" i="37"/>
  <c r="AO59" i="37"/>
  <c r="AP59" i="37"/>
  <c r="AQ59" i="37"/>
  <c r="AS59" i="37"/>
  <c r="BA59" i="37"/>
  <c r="BB59" i="37"/>
  <c r="B60" i="37"/>
  <c r="C60" i="37"/>
  <c r="D60" i="37"/>
  <c r="S60" i="37"/>
  <c r="V60" i="37"/>
  <c r="W60" i="37"/>
  <c r="X60" i="37"/>
  <c r="Y60" i="37"/>
  <c r="AB60" i="37"/>
  <c r="AC60" i="37"/>
  <c r="AD60" i="37"/>
  <c r="AE60" i="37"/>
  <c r="AH60" i="37"/>
  <c r="AI60" i="37"/>
  <c r="AJ60" i="37"/>
  <c r="AK60" i="37"/>
  <c r="AM60" i="37"/>
  <c r="AO60" i="37"/>
  <c r="AP60" i="37"/>
  <c r="AQ60" i="37"/>
  <c r="AW60" i="37"/>
  <c r="H61" i="37"/>
  <c r="I61" i="37"/>
  <c r="J61" i="37"/>
  <c r="K61" i="37"/>
  <c r="L61" i="37"/>
  <c r="M61" i="37"/>
  <c r="N61" i="37"/>
  <c r="AS61" i="37"/>
  <c r="AT61" i="37"/>
  <c r="AU61" i="37"/>
  <c r="AZ61" i="37"/>
  <c r="BA61" i="37"/>
  <c r="G62" i="37"/>
  <c r="O62" i="37"/>
  <c r="AS62" i="37"/>
  <c r="BA62" i="37"/>
  <c r="BB62" i="37"/>
  <c r="D63" i="37"/>
  <c r="E63" i="37"/>
  <c r="F63" i="37"/>
  <c r="G63" i="37"/>
  <c r="O63" i="37"/>
  <c r="P63" i="37"/>
  <c r="Q63" i="37"/>
  <c r="R63" i="37"/>
  <c r="S63" i="37"/>
  <c r="V63" i="37"/>
  <c r="W63" i="37"/>
  <c r="X63" i="37"/>
  <c r="Y63" i="37"/>
  <c r="AB63" i="37"/>
  <c r="AC63" i="37"/>
  <c r="AD63" i="37"/>
  <c r="AE63" i="37"/>
  <c r="AH63" i="37"/>
  <c r="AI63" i="37"/>
  <c r="AJ63" i="37"/>
  <c r="AK63" i="37"/>
  <c r="AN63" i="37"/>
  <c r="AO63" i="37"/>
  <c r="AP63" i="37"/>
  <c r="AQ63" i="37"/>
  <c r="AW63" i="37"/>
  <c r="AX63" i="37"/>
  <c r="BA63" i="37"/>
  <c r="BB63" i="37"/>
  <c r="AS64" i="37"/>
  <c r="AT64" i="37"/>
  <c r="AZ64" i="37"/>
  <c r="BA64" i="37"/>
  <c r="BB64" i="37"/>
  <c r="C65" i="37"/>
  <c r="M65" i="37"/>
  <c r="AS65" i="37"/>
  <c r="AU65" i="37"/>
  <c r="AW65" i="37"/>
  <c r="AZ65" i="37"/>
  <c r="BB65" i="37"/>
  <c r="F66" i="37"/>
  <c r="M66" i="37"/>
  <c r="N66" i="37"/>
  <c r="P66" i="37"/>
  <c r="U66" i="37"/>
  <c r="AL66" i="37"/>
  <c r="AO66" i="37"/>
  <c r="AS66" i="37"/>
  <c r="AT66" i="37"/>
  <c r="AZ66" i="37"/>
  <c r="BA66" i="37"/>
  <c r="BB66" i="37"/>
  <c r="O67" i="37"/>
  <c r="S67" i="37"/>
  <c r="AM67" i="37"/>
  <c r="AO67" i="37"/>
  <c r="AT67" i="37"/>
  <c r="AW67" i="37"/>
  <c r="AZ67" i="37"/>
  <c r="BA67" i="37"/>
  <c r="BB67" i="37"/>
  <c r="M68" i="37"/>
  <c r="N68" i="37"/>
  <c r="O68" i="37"/>
  <c r="P68" i="37"/>
  <c r="AQ68" i="37"/>
  <c r="AS68" i="37"/>
  <c r="AT68" i="37"/>
  <c r="BA68" i="37"/>
  <c r="BB68" i="37"/>
  <c r="C69" i="37"/>
  <c r="M69" i="37"/>
  <c r="Y69" i="37"/>
  <c r="AC69" i="37"/>
  <c r="BA69" i="37"/>
  <c r="F70" i="37"/>
  <c r="N70" i="37"/>
  <c r="R70" i="37"/>
  <c r="V70" i="37"/>
  <c r="Z70" i="37"/>
  <c r="AA70" i="37"/>
  <c r="AB70" i="37"/>
  <c r="S71" i="37"/>
  <c r="X71" i="37"/>
  <c r="Z71" i="37"/>
  <c r="AA71" i="37"/>
  <c r="AC71" i="37"/>
  <c r="B72" i="37"/>
  <c r="L72" i="37"/>
  <c r="M72" i="37"/>
  <c r="N72" i="37"/>
  <c r="X72" i="37"/>
  <c r="Y72" i="37"/>
  <c r="Z72" i="37"/>
  <c r="AA72" i="37"/>
  <c r="AC72" i="37"/>
  <c r="AE72" i="37"/>
  <c r="AI72" i="37"/>
  <c r="AJ72" i="37"/>
  <c r="AK72" i="37"/>
  <c r="AL72" i="37"/>
  <c r="AM72" i="37"/>
  <c r="AN72" i="37"/>
  <c r="AO72" i="37"/>
  <c r="AP72" i="37"/>
  <c r="B73" i="37"/>
  <c r="H73" i="37"/>
  <c r="I73" i="37"/>
  <c r="M73" i="37"/>
  <c r="P73" i="37"/>
  <c r="R73" i="37"/>
  <c r="X73" i="37"/>
  <c r="Z73" i="37"/>
  <c r="AA73" i="37"/>
  <c r="AC73" i="37"/>
  <c r="AI73" i="37"/>
  <c r="AP73" i="37"/>
  <c r="G74" i="37"/>
  <c r="H74" i="37"/>
  <c r="J74" i="37"/>
  <c r="V74" i="37"/>
  <c r="Y74" i="37"/>
  <c r="AA74" i="37"/>
  <c r="AB74" i="37"/>
  <c r="AH74" i="37"/>
  <c r="AI74" i="37"/>
  <c r="AJ74" i="37"/>
  <c r="AK74" i="37"/>
  <c r="AL74" i="37"/>
  <c r="AM74" i="37"/>
  <c r="AN74" i="37"/>
  <c r="AP74" i="37"/>
  <c r="BB74" i="37"/>
  <c r="F75" i="37"/>
  <c r="I75" i="37"/>
  <c r="J75" i="37"/>
  <c r="M75" i="37"/>
  <c r="Q75" i="37"/>
  <c r="S75" i="37"/>
  <c r="Z75" i="37"/>
  <c r="AC75" i="37"/>
  <c r="AH75" i="37"/>
  <c r="AI75" i="37"/>
  <c r="AL75" i="37"/>
  <c r="AM75" i="37"/>
  <c r="AP75" i="37"/>
  <c r="BB75" i="37"/>
  <c r="BD75" i="37"/>
  <c r="BH75" i="37"/>
  <c r="BI75" i="37"/>
  <c r="B76" i="37"/>
  <c r="F76" i="37"/>
  <c r="N76" i="37"/>
  <c r="AH76" i="37"/>
  <c r="AI76" i="37"/>
  <c r="AJ76" i="37"/>
  <c r="AK76" i="37"/>
  <c r="AL76" i="37"/>
  <c r="AM76" i="37"/>
  <c r="AN76" i="37"/>
  <c r="AP76" i="37"/>
  <c r="BB76" i="37"/>
  <c r="BG76" i="37"/>
  <c r="BI76" i="37"/>
  <c r="G77" i="37"/>
  <c r="I77" i="37"/>
  <c r="P77" i="37"/>
  <c r="S77" i="37"/>
  <c r="AI77" i="37"/>
  <c r="AK77" i="37"/>
  <c r="AP77" i="37"/>
  <c r="BE77" i="37"/>
  <c r="BH77" i="37"/>
  <c r="BI77" i="37"/>
  <c r="B78" i="37"/>
  <c r="Q78" i="37"/>
  <c r="AB78" i="37"/>
  <c r="AI78" i="37"/>
  <c r="AJ78" i="37"/>
  <c r="AK78" i="37"/>
  <c r="AL78" i="37"/>
  <c r="AM78" i="37"/>
  <c r="AN78" i="37"/>
  <c r="AO78" i="37"/>
  <c r="AP78" i="37"/>
  <c r="BA78" i="37"/>
  <c r="BB78" i="37"/>
  <c r="BD78" i="37"/>
  <c r="B79" i="37"/>
  <c r="P79" i="37"/>
  <c r="X79" i="37"/>
  <c r="AE79" i="37"/>
  <c r="O80" i="37"/>
  <c r="W80" i="37"/>
  <c r="AD80" i="37"/>
  <c r="X81" i="37"/>
  <c r="Y81" i="37"/>
  <c r="Z81" i="37"/>
  <c r="AA81" i="37"/>
  <c r="AB81" i="37"/>
  <c r="AC81" i="37"/>
  <c r="AD86" i="37"/>
  <c r="AJ86" i="37"/>
  <c r="AK86" i="37"/>
  <c r="AD87" i="37"/>
  <c r="AE87" i="37"/>
  <c r="AI87" i="37"/>
  <c r="AJ87" i="37"/>
  <c r="AK87" i="37"/>
  <c r="AL87" i="37"/>
  <c r="AC88" i="37"/>
  <c r="AD88" i="37"/>
  <c r="AE88" i="37"/>
  <c r="AI88" i="37"/>
  <c r="AK88" i="37"/>
  <c r="AD89" i="37"/>
  <c r="AG89" i="37"/>
  <c r="AI89" i="37"/>
  <c r="AJ89" i="37"/>
  <c r="AK89" i="37"/>
  <c r="AL89" i="37"/>
  <c r="AF90" i="37"/>
  <c r="AJ90" i="37"/>
  <c r="AD91" i="37"/>
  <c r="AE91" i="37"/>
  <c r="AI91" i="37"/>
  <c r="AJ91" i="37"/>
  <c r="AH92" i="37"/>
  <c r="AJ92" i="37"/>
  <c r="AD93" i="37"/>
  <c r="AF93" i="37"/>
  <c r="AH93" i="37"/>
  <c r="AJ93" i="37"/>
  <c r="AR93" i="37"/>
  <c r="AD94" i="37"/>
  <c r="AE94" i="37"/>
  <c r="AJ94" i="37"/>
  <c r="AC95" i="37"/>
  <c r="AD95" i="37"/>
  <c r="AE95" i="37"/>
  <c r="AI95" i="37"/>
  <c r="AK95" i="37"/>
  <c r="AQ95" i="37"/>
  <c r="AR95" i="37"/>
  <c r="AG96" i="37"/>
  <c r="AL96" i="37"/>
  <c r="AP96" i="37"/>
  <c r="AR96" i="37"/>
  <c r="AB97" i="37"/>
  <c r="AC97" i="37"/>
  <c r="AE97" i="37"/>
  <c r="AF97" i="37"/>
  <c r="AH97" i="37"/>
  <c r="AJ97" i="37"/>
  <c r="AK97" i="37"/>
  <c r="AC98" i="37"/>
  <c r="AD98" i="37"/>
  <c r="AI98" i="37"/>
  <c r="AJ98" i="37"/>
  <c r="BD99" i="37"/>
  <c r="BE99" i="37"/>
  <c r="BA100" i="37"/>
  <c r="BB100" i="37"/>
  <c r="BC100" i="37"/>
  <c r="BD100" i="37"/>
  <c r="BE100" i="37"/>
  <c r="BF100" i="37"/>
  <c r="BG100" i="37"/>
  <c r="BI100" i="37"/>
  <c r="AY101" i="37"/>
  <c r="BA101" i="37"/>
  <c r="BB101" i="37"/>
  <c r="BC101" i="37"/>
  <c r="BD101" i="37"/>
  <c r="BE101" i="37"/>
  <c r="BF101" i="37"/>
  <c r="BG101" i="37"/>
  <c r="BI101" i="37"/>
  <c r="BA102" i="37"/>
  <c r="BB102" i="37"/>
  <c r="BC102" i="37"/>
  <c r="BD102" i="37"/>
  <c r="BE102" i="37"/>
  <c r="BF102" i="37"/>
  <c r="BG102" i="37"/>
  <c r="BI102" i="37"/>
  <c r="BD103" i="37"/>
  <c r="BE103" i="37"/>
  <c r="G105" i="37"/>
  <c r="F107" i="37"/>
  <c r="G107" i="37"/>
  <c r="H107" i="37"/>
  <c r="D108" i="37"/>
  <c r="F108" i="37"/>
  <c r="G108" i="37"/>
  <c r="H108" i="37"/>
  <c r="F109" i="37"/>
  <c r="G109" i="37"/>
  <c r="H109" i="37"/>
  <c r="BG109" i="37"/>
  <c r="BJ109" i="37"/>
  <c r="F110" i="37"/>
  <c r="G110" i="37"/>
  <c r="H110" i="37"/>
  <c r="BD110" i="37"/>
  <c r="BG110" i="37"/>
  <c r="BJ110" i="37"/>
  <c r="BK110" i="37"/>
  <c r="D111" i="37"/>
  <c r="F111" i="37"/>
  <c r="G111" i="37"/>
  <c r="H111" i="37"/>
  <c r="BC111" i="37"/>
  <c r="BH111" i="37"/>
  <c r="BJ111" i="37"/>
  <c r="BL111" i="37"/>
  <c r="BC112" i="37"/>
  <c r="BD112" i="37"/>
  <c r="BH112" i="37"/>
  <c r="BJ112" i="37"/>
  <c r="BK112" i="37"/>
  <c r="BL112" i="37"/>
  <c r="G113" i="37"/>
  <c r="BJ113" i="37"/>
  <c r="BL113" i="37"/>
  <c r="F114" i="37"/>
  <c r="G114" i="37"/>
  <c r="H114" i="37"/>
  <c r="AA114" i="37"/>
  <c r="AB114" i="37"/>
  <c r="AC114" i="37"/>
  <c r="BD114" i="37"/>
  <c r="BH114" i="37"/>
  <c r="BJ114" i="37"/>
  <c r="BD115" i="37"/>
  <c r="BJ115" i="37"/>
  <c r="BK115" i="37"/>
  <c r="F116" i="37"/>
  <c r="H116" i="37"/>
  <c r="BD116" i="37"/>
  <c r="BE116" i="37"/>
  <c r="BG116" i="37"/>
  <c r="BJ116" i="37"/>
  <c r="E117" i="37"/>
  <c r="G117" i="37"/>
  <c r="I117" i="37"/>
  <c r="L117" i="37"/>
  <c r="M117" i="37"/>
  <c r="N117" i="37"/>
  <c r="BD117" i="37"/>
  <c r="BE117" i="37"/>
  <c r="BG117" i="37"/>
  <c r="BK117" i="37"/>
  <c r="F118" i="37"/>
  <c r="G118" i="37"/>
  <c r="I118" i="37"/>
  <c r="BH118" i="37"/>
  <c r="BL118" i="37"/>
  <c r="G119" i="37"/>
  <c r="I119" i="37"/>
  <c r="T119" i="37"/>
  <c r="BC119" i="37"/>
  <c r="BH119" i="37"/>
  <c r="BK119" i="37"/>
  <c r="F120" i="37"/>
  <c r="H120" i="37"/>
  <c r="AD120" i="37"/>
  <c r="AF120" i="37"/>
  <c r="BG120" i="37"/>
  <c r="BL120" i="37"/>
  <c r="F121" i="37"/>
  <c r="H121" i="37"/>
  <c r="AD121" i="37"/>
  <c r="AF121" i="37"/>
  <c r="AG121" i="37"/>
  <c r="BH121" i="37"/>
  <c r="G122" i="37"/>
  <c r="AD122" i="37"/>
  <c r="BE122" i="37"/>
  <c r="BG122" i="37"/>
  <c r="BK122" i="37"/>
  <c r="C123" i="37"/>
  <c r="AD123" i="37"/>
  <c r="AE123" i="37"/>
  <c r="BD123" i="37"/>
  <c r="BG123" i="37"/>
  <c r="BI123" i="37"/>
  <c r="BK123" i="37"/>
  <c r="C124" i="37"/>
  <c r="Y124" i="37"/>
  <c r="Y125" i="37"/>
  <c r="G126" i="37"/>
  <c r="Z127" i="37"/>
  <c r="BA127" i="37"/>
  <c r="AA2" i="19"/>
  <c r="BZ2" i="19"/>
  <c r="CA2" i="19"/>
  <c r="CB2" i="19"/>
  <c r="CC2" i="19"/>
  <c r="CD2" i="19"/>
  <c r="CF2" i="19"/>
  <c r="CG2" i="19"/>
  <c r="CH2" i="19"/>
  <c r="CI2" i="19"/>
  <c r="CJ2" i="19"/>
  <c r="CO2" i="19"/>
  <c r="CP2" i="19"/>
  <c r="CQ2" i="19"/>
  <c r="B3" i="19"/>
  <c r="D3" i="19"/>
  <c r="H3" i="19"/>
  <c r="I3" i="19"/>
  <c r="J3" i="19"/>
  <c r="K3" i="19"/>
  <c r="M3" i="19"/>
  <c r="N3" i="19"/>
  <c r="O3" i="19"/>
  <c r="P3" i="19"/>
  <c r="Q3" i="19"/>
  <c r="R3" i="19"/>
  <c r="S3" i="19"/>
  <c r="Y3" i="19"/>
  <c r="AA3" i="19"/>
  <c r="AC3" i="19"/>
  <c r="BZ3" i="19"/>
  <c r="CA3" i="19"/>
  <c r="CB3" i="19"/>
  <c r="CO3" i="19"/>
  <c r="CP3" i="19"/>
  <c r="CQ3" i="19"/>
  <c r="A4" i="19"/>
  <c r="C4" i="19"/>
  <c r="D4" i="19"/>
  <c r="G4" i="19"/>
  <c r="Y4" i="19"/>
  <c r="BC4" i="19"/>
  <c r="BF4" i="19"/>
  <c r="BG4" i="19"/>
  <c r="BH4" i="19"/>
  <c r="BI4" i="19"/>
  <c r="BJ4" i="19"/>
  <c r="BK4" i="19"/>
  <c r="BL4" i="19"/>
  <c r="BM4" i="19"/>
  <c r="BN4" i="19"/>
  <c r="BO4" i="19"/>
  <c r="BP4" i="19"/>
  <c r="BV4" i="19"/>
  <c r="D5" i="19"/>
  <c r="H5" i="19"/>
  <c r="I5" i="19"/>
  <c r="L5" i="19"/>
  <c r="M5" i="19"/>
  <c r="N5" i="19"/>
  <c r="O5" i="19"/>
  <c r="S5" i="19"/>
  <c r="T5" i="19"/>
  <c r="U5" i="19"/>
  <c r="Z5" i="19"/>
  <c r="AL5" i="19"/>
  <c r="AM5" i="19"/>
  <c r="AN5" i="19"/>
  <c r="AP5" i="19"/>
  <c r="BH5" i="19"/>
  <c r="BI5" i="19"/>
  <c r="BM5" i="19"/>
  <c r="BN5" i="19"/>
  <c r="BS5" i="19"/>
  <c r="CB5" i="19"/>
  <c r="CD5" i="19"/>
  <c r="CE5" i="19"/>
  <c r="CF5" i="19"/>
  <c r="CL5" i="19"/>
  <c r="E6" i="19"/>
  <c r="J6" i="19"/>
  <c r="K6" i="19"/>
  <c r="P6" i="19"/>
  <c r="Q6" i="19"/>
  <c r="W6" i="19"/>
  <c r="X6" i="19"/>
  <c r="AL6" i="19"/>
  <c r="AM6" i="19"/>
  <c r="AN6" i="19"/>
  <c r="AO6" i="19"/>
  <c r="AS6" i="19"/>
  <c r="AT6" i="19"/>
  <c r="AU6" i="19"/>
  <c r="AV6" i="19"/>
  <c r="AW6" i="19"/>
  <c r="AX6" i="19"/>
  <c r="AY6" i="19"/>
  <c r="BE6" i="19"/>
  <c r="BP6" i="19"/>
  <c r="BQ6" i="19"/>
  <c r="CB6" i="19"/>
  <c r="CP6" i="19"/>
  <c r="C7" i="19"/>
  <c r="J7" i="19"/>
  <c r="AL7" i="19"/>
  <c r="AM7" i="19"/>
  <c r="AN7" i="19"/>
  <c r="AU7" i="19"/>
  <c r="AW7" i="19"/>
  <c r="BB7" i="19"/>
  <c r="BS7" i="19"/>
  <c r="BT7" i="19"/>
  <c r="BU7" i="19"/>
  <c r="BV7" i="19"/>
  <c r="BW7" i="19"/>
  <c r="BX7" i="19"/>
  <c r="CB7" i="19"/>
  <c r="CH7" i="19"/>
  <c r="CJ7" i="19"/>
  <c r="CO7" i="19"/>
  <c r="CP7" i="19"/>
  <c r="L8" i="19"/>
  <c r="X8" i="19"/>
  <c r="AQ8" i="19"/>
  <c r="AU8" i="19"/>
  <c r="AW8" i="19"/>
  <c r="BB8" i="19"/>
  <c r="BC8" i="19"/>
  <c r="BS8" i="19"/>
  <c r="BY8" i="19"/>
  <c r="CB8" i="19"/>
  <c r="CG8" i="19"/>
  <c r="CH8" i="19"/>
  <c r="CI8" i="19"/>
  <c r="CP8" i="19"/>
  <c r="O9" i="19"/>
  <c r="T9" i="19"/>
  <c r="Z9" i="19"/>
  <c r="AB9" i="19"/>
  <c r="AI9" i="19"/>
  <c r="AJ9" i="19"/>
  <c r="AK9" i="19"/>
  <c r="AU9" i="19"/>
  <c r="AW9" i="19"/>
  <c r="BB9" i="19"/>
  <c r="BC9" i="19"/>
  <c r="BI9" i="19"/>
  <c r="BQ9" i="19"/>
  <c r="BS9" i="19"/>
  <c r="BY9" i="19"/>
  <c r="CB9" i="19"/>
  <c r="CH9" i="19"/>
  <c r="CI9" i="19"/>
  <c r="CK9" i="19"/>
  <c r="CN9" i="19"/>
  <c r="C10" i="19"/>
  <c r="K10" i="19"/>
  <c r="Q10" i="19"/>
  <c r="Z10" i="19"/>
  <c r="AR10" i="19"/>
  <c r="AU10" i="19"/>
  <c r="AW10" i="19"/>
  <c r="BB10" i="19"/>
  <c r="BC10" i="19"/>
  <c r="BS10" i="19"/>
  <c r="BY10" i="19"/>
  <c r="CB10" i="19"/>
  <c r="CE10" i="19"/>
  <c r="CK10" i="19"/>
  <c r="CM10" i="19"/>
  <c r="CN10" i="19"/>
  <c r="CO10" i="19"/>
  <c r="CP10" i="19"/>
  <c r="C11" i="19"/>
  <c r="D11" i="19"/>
  <c r="F11" i="19"/>
  <c r="K11" i="19"/>
  <c r="Q11" i="19"/>
  <c r="W11" i="19"/>
  <c r="AL11" i="19"/>
  <c r="AM11" i="19"/>
  <c r="AN11" i="19"/>
  <c r="AU11" i="19"/>
  <c r="AW11" i="19"/>
  <c r="BB11" i="19"/>
  <c r="BS11" i="19"/>
  <c r="BT11" i="19"/>
  <c r="BU11" i="19"/>
  <c r="BV11" i="19"/>
  <c r="BW11" i="19"/>
  <c r="BX11" i="19"/>
  <c r="CN11" i="19"/>
  <c r="K12" i="19"/>
  <c r="V12" i="19"/>
  <c r="AA12" i="19"/>
  <c r="AL12" i="19"/>
  <c r="AM12" i="19"/>
  <c r="AN12" i="19"/>
  <c r="AO12" i="19"/>
  <c r="AS12" i="19"/>
  <c r="AT12" i="19"/>
  <c r="AU12" i="19"/>
  <c r="AV12" i="19"/>
  <c r="AW12" i="19"/>
  <c r="AX12" i="19"/>
  <c r="AY12" i="19"/>
  <c r="BD12" i="19"/>
  <c r="BE12" i="19"/>
  <c r="BM12" i="19"/>
  <c r="BN12" i="19"/>
  <c r="BO12" i="19"/>
  <c r="BP12" i="19"/>
  <c r="BT12" i="19"/>
  <c r="BU12" i="19"/>
  <c r="BW12" i="19"/>
  <c r="CN12" i="19"/>
  <c r="D13" i="19"/>
  <c r="AL13" i="19"/>
  <c r="AM13" i="19"/>
  <c r="AN13" i="19"/>
  <c r="AP13" i="19"/>
  <c r="CB13" i="19"/>
  <c r="CD13" i="19"/>
  <c r="CE13" i="19"/>
  <c r="CF13" i="19"/>
  <c r="CN13" i="19"/>
  <c r="E14" i="19"/>
  <c r="N14" i="19"/>
  <c r="P14" i="19"/>
  <c r="W14" i="19"/>
  <c r="BE14" i="19"/>
  <c r="BF14" i="19"/>
  <c r="BI14" i="19"/>
  <c r="BL14" i="19"/>
  <c r="BS14" i="19"/>
  <c r="CN14" i="19"/>
  <c r="D15" i="19"/>
  <c r="F15" i="19"/>
  <c r="H15" i="19"/>
  <c r="I15" i="19"/>
  <c r="J15" i="19"/>
  <c r="K15" i="19"/>
  <c r="L15" i="19"/>
  <c r="M15" i="19"/>
  <c r="N15" i="19"/>
  <c r="O15" i="19"/>
  <c r="P15" i="19"/>
  <c r="Q15" i="19"/>
  <c r="R15" i="19"/>
  <c r="S15" i="19"/>
  <c r="T15" i="19"/>
  <c r="U15" i="19"/>
  <c r="V15" i="19"/>
  <c r="W15" i="19"/>
  <c r="X15" i="19"/>
  <c r="Y15" i="19"/>
  <c r="Z15" i="19"/>
  <c r="AA15" i="19"/>
  <c r="AB15" i="19"/>
  <c r="BI15" i="19"/>
  <c r="BM15" i="19"/>
  <c r="BN15" i="19"/>
  <c r="BW15" i="19"/>
  <c r="CB15" i="19"/>
  <c r="CC15" i="19"/>
  <c r="CD15" i="19"/>
  <c r="CE15" i="19"/>
  <c r="CP15" i="19"/>
  <c r="H16" i="19"/>
  <c r="I16" i="19"/>
  <c r="J16" i="19"/>
  <c r="K16" i="19"/>
  <c r="L16" i="19"/>
  <c r="M16" i="19"/>
  <c r="N16" i="19"/>
  <c r="O16" i="19"/>
  <c r="Q16" i="19"/>
  <c r="R16" i="19"/>
  <c r="S16" i="19"/>
  <c r="T16" i="19"/>
  <c r="U16" i="19"/>
  <c r="V16" i="19"/>
  <c r="W16" i="19"/>
  <c r="X16" i="19"/>
  <c r="Z16" i="19"/>
  <c r="AA16" i="19"/>
  <c r="AB16" i="19"/>
  <c r="BN16" i="19"/>
  <c r="BP16" i="19"/>
  <c r="BT16" i="19"/>
  <c r="BY16" i="19"/>
  <c r="BZ16" i="19"/>
  <c r="CI16" i="19"/>
  <c r="CJ16" i="19"/>
  <c r="D17" i="19"/>
  <c r="F17" i="19"/>
  <c r="H17" i="19"/>
  <c r="I17" i="19"/>
  <c r="J17" i="19"/>
  <c r="K17" i="19"/>
  <c r="L17" i="19"/>
  <c r="M17" i="19"/>
  <c r="N17" i="19"/>
  <c r="O17" i="19"/>
  <c r="P17" i="19"/>
  <c r="Q17" i="19"/>
  <c r="R17" i="19"/>
  <c r="S17" i="19"/>
  <c r="T17" i="19"/>
  <c r="U17" i="19"/>
  <c r="V17" i="19"/>
  <c r="Z17" i="19"/>
  <c r="AA17" i="19"/>
  <c r="AB17" i="19"/>
  <c r="BD17" i="19"/>
  <c r="BG17" i="19"/>
  <c r="BH17" i="19"/>
  <c r="BL17" i="19"/>
  <c r="CI17" i="19"/>
  <c r="CJ17" i="19"/>
  <c r="E18" i="19"/>
  <c r="H18" i="19"/>
  <c r="I18" i="19"/>
  <c r="K18" i="19"/>
  <c r="L18" i="19"/>
  <c r="N18" i="19"/>
  <c r="O18" i="19"/>
  <c r="P18" i="19"/>
  <c r="Q18" i="19"/>
  <c r="R18" i="19"/>
  <c r="T18" i="19"/>
  <c r="U18" i="19"/>
  <c r="V18" i="19"/>
  <c r="W18" i="19"/>
  <c r="X18" i="19"/>
  <c r="Z18" i="19"/>
  <c r="AA18" i="19"/>
  <c r="AB18" i="19"/>
  <c r="AG18" i="19"/>
  <c r="AI18" i="19"/>
  <c r="AJ18" i="19"/>
  <c r="AK18" i="19"/>
  <c r="AL18" i="19"/>
  <c r="AM18" i="19"/>
  <c r="AN18" i="19"/>
  <c r="AO18" i="19"/>
  <c r="AP18" i="19"/>
  <c r="AQ18" i="19"/>
  <c r="AR18" i="19"/>
  <c r="AS18" i="19"/>
  <c r="AT18" i="19"/>
  <c r="AU18" i="19"/>
  <c r="AV18" i="19"/>
  <c r="AW18" i="19"/>
  <c r="AX18" i="19"/>
  <c r="AY18" i="19"/>
  <c r="AZ18" i="19"/>
  <c r="BA18" i="19"/>
  <c r="BB18" i="19"/>
  <c r="CL18" i="19"/>
  <c r="CM18" i="19"/>
  <c r="CN18" i="19"/>
  <c r="CO18" i="19"/>
  <c r="CP18" i="19"/>
  <c r="DE18" i="19"/>
  <c r="D19" i="19"/>
  <c r="H19" i="19"/>
  <c r="K19" i="19"/>
  <c r="L19" i="19"/>
  <c r="N19" i="19"/>
  <c r="P19" i="19"/>
  <c r="R19" i="19"/>
  <c r="U19" i="19"/>
  <c r="X19" i="19"/>
  <c r="Z19" i="19"/>
  <c r="AA19" i="19"/>
  <c r="AB19" i="19"/>
  <c r="AF19" i="19"/>
  <c r="AG19" i="19"/>
  <c r="AH19" i="19"/>
  <c r="AJ19" i="19"/>
  <c r="AL19" i="19"/>
  <c r="AP19" i="19"/>
  <c r="AS19" i="19"/>
  <c r="AV19" i="19"/>
  <c r="AX19" i="19"/>
  <c r="AY19" i="19"/>
  <c r="BA19" i="19"/>
  <c r="BB19" i="19"/>
  <c r="DE19" i="19"/>
  <c r="E20" i="19"/>
  <c r="H20" i="19"/>
  <c r="J20" i="19"/>
  <c r="N20" i="19"/>
  <c r="P20" i="19"/>
  <c r="R20" i="19"/>
  <c r="V20" i="19"/>
  <c r="X20" i="19"/>
  <c r="Z20" i="19"/>
  <c r="AA20" i="19"/>
  <c r="AE20" i="19"/>
  <c r="AF20" i="19"/>
  <c r="AI20" i="19"/>
  <c r="AJ20" i="19"/>
  <c r="AK20" i="19"/>
  <c r="AL20" i="19"/>
  <c r="AM20" i="19"/>
  <c r="AN20" i="19"/>
  <c r="AO20" i="19"/>
  <c r="AP20" i="19"/>
  <c r="AQ20" i="19"/>
  <c r="AR20" i="19"/>
  <c r="AS20" i="19"/>
  <c r="AT20" i="19"/>
  <c r="AU20" i="19"/>
  <c r="AV20" i="19"/>
  <c r="AW20" i="19"/>
  <c r="AX20" i="19"/>
  <c r="AY20" i="19"/>
  <c r="BA20" i="19"/>
  <c r="BB20" i="19"/>
  <c r="BQ20" i="19"/>
  <c r="DE20" i="19"/>
  <c r="D21" i="19"/>
  <c r="F21" i="19"/>
  <c r="H21" i="19"/>
  <c r="K21" i="19"/>
  <c r="M21" i="19"/>
  <c r="P21" i="19"/>
  <c r="S21" i="19"/>
  <c r="U21" i="19"/>
  <c r="X21" i="19"/>
  <c r="Z21" i="19"/>
  <c r="AA21" i="19"/>
  <c r="AB21" i="19"/>
  <c r="AE21" i="19"/>
  <c r="AF21" i="19"/>
  <c r="AI21" i="19"/>
  <c r="AJ21" i="19"/>
  <c r="AK21" i="19"/>
  <c r="AL21" i="19"/>
  <c r="AM21" i="19"/>
  <c r="AN21" i="19"/>
  <c r="AO21" i="19"/>
  <c r="AP21" i="19"/>
  <c r="AQ21" i="19"/>
  <c r="AR21" i="19"/>
  <c r="AS21" i="19"/>
  <c r="AT21" i="19"/>
  <c r="AU21" i="19"/>
  <c r="AV21" i="19"/>
  <c r="AW21" i="19"/>
  <c r="AX21" i="19"/>
  <c r="AY21" i="19"/>
  <c r="BA21" i="19"/>
  <c r="BB21" i="19"/>
  <c r="BO21" i="19"/>
  <c r="BR21" i="19"/>
  <c r="BY21" i="19"/>
  <c r="CM21" i="19"/>
  <c r="DE21" i="19"/>
  <c r="H22" i="19"/>
  <c r="J22" i="19"/>
  <c r="L22" i="19"/>
  <c r="N22" i="19"/>
  <c r="P22" i="19"/>
  <c r="R22" i="19"/>
  <c r="T22" i="19"/>
  <c r="V22" i="19"/>
  <c r="X22" i="19"/>
  <c r="AA22" i="19"/>
  <c r="AB22" i="19"/>
  <c r="AE22" i="19"/>
  <c r="AG22" i="19"/>
  <c r="AK22" i="19"/>
  <c r="AL22" i="19"/>
  <c r="AM22" i="19"/>
  <c r="AN22" i="19"/>
  <c r="AO22" i="19"/>
  <c r="AP22" i="19"/>
  <c r="AQ22" i="19"/>
  <c r="AS22" i="19"/>
  <c r="AU22" i="19"/>
  <c r="AV22" i="19"/>
  <c r="AX22" i="19"/>
  <c r="AZ22" i="19"/>
  <c r="BB22" i="19"/>
  <c r="BC22" i="19"/>
  <c r="BE22" i="19"/>
  <c r="BF22" i="19"/>
  <c r="BG22" i="19"/>
  <c r="BH22" i="19"/>
  <c r="BR22" i="19"/>
  <c r="BS22" i="19"/>
  <c r="BX22" i="19"/>
  <c r="DE22" i="19"/>
  <c r="Y23" i="19"/>
  <c r="AA23" i="19"/>
  <c r="AB23" i="19"/>
  <c r="AE23" i="19"/>
  <c r="AG23" i="19"/>
  <c r="AH23" i="19"/>
  <c r="AI23" i="19"/>
  <c r="BP23" i="19"/>
  <c r="BR23" i="19"/>
  <c r="BV23" i="19"/>
  <c r="BX23" i="19"/>
  <c r="CL23" i="19"/>
  <c r="CM23" i="19"/>
  <c r="CN23" i="19"/>
  <c r="CO23" i="19"/>
  <c r="DE23" i="19"/>
  <c r="W24" i="19"/>
  <c r="X24" i="19"/>
  <c r="AE24" i="19"/>
  <c r="AG24" i="19"/>
  <c r="AH24" i="19"/>
  <c r="BK24" i="19"/>
  <c r="BL24" i="19"/>
  <c r="BP24" i="19"/>
  <c r="BQ24" i="19"/>
  <c r="BW24" i="19"/>
  <c r="CI24" i="19"/>
  <c r="CJ24" i="19"/>
  <c r="CK24" i="19"/>
  <c r="CQ24" i="19"/>
  <c r="DE24" i="19"/>
  <c r="B25" i="19"/>
  <c r="T25" i="19"/>
  <c r="Y25" i="19"/>
  <c r="Z25" i="19"/>
  <c r="AA25" i="19"/>
  <c r="AB25" i="19"/>
  <c r="AD25" i="19"/>
  <c r="AJ25" i="19"/>
  <c r="AK25" i="19"/>
  <c r="AL25" i="19"/>
  <c r="AM25" i="19"/>
  <c r="AN25" i="19"/>
  <c r="AO25" i="19"/>
  <c r="AP25" i="19"/>
  <c r="AQ25" i="19"/>
  <c r="AR25" i="19"/>
  <c r="AS25" i="19"/>
  <c r="AT25" i="19"/>
  <c r="AU25" i="19"/>
  <c r="AV25" i="19"/>
  <c r="AW25" i="19"/>
  <c r="AX25" i="19"/>
  <c r="AY25" i="19"/>
  <c r="BA25" i="19"/>
  <c r="BB25" i="19"/>
  <c r="BC25" i="19"/>
  <c r="BD25" i="19"/>
  <c r="BE25" i="19"/>
  <c r="BF25" i="19"/>
  <c r="BG25" i="19"/>
  <c r="BH25" i="19"/>
  <c r="BN25" i="19"/>
  <c r="BQ25" i="19"/>
  <c r="BS25" i="19"/>
  <c r="BV25" i="19"/>
  <c r="BX25" i="19"/>
  <c r="CQ25" i="19"/>
  <c r="DE25" i="19"/>
  <c r="U26" i="19"/>
  <c r="V26" i="19"/>
  <c r="W26" i="19"/>
  <c r="X26" i="19"/>
  <c r="Y26" i="19"/>
  <c r="AH26" i="19"/>
  <c r="BE26" i="19"/>
  <c r="CQ26" i="19"/>
  <c r="DE26" i="19"/>
  <c r="AC27" i="19"/>
  <c r="AI27" i="19"/>
  <c r="AK27" i="19"/>
  <c r="BB27" i="19"/>
  <c r="BC27" i="19"/>
  <c r="BE27" i="19"/>
  <c r="BJ27" i="19"/>
  <c r="CB27" i="19"/>
  <c r="CL27" i="19"/>
  <c r="CM27" i="19"/>
  <c r="CN27" i="19"/>
  <c r="CQ27" i="19"/>
  <c r="DE27" i="19"/>
  <c r="AA28" i="19"/>
  <c r="AB28" i="19"/>
  <c r="AE28" i="19"/>
  <c r="AH28" i="19"/>
  <c r="AI28" i="19"/>
  <c r="AJ28" i="19"/>
  <c r="AK28" i="19"/>
  <c r="AM28" i="19"/>
  <c r="AP28" i="19"/>
  <c r="AU28" i="19"/>
  <c r="AX28" i="19"/>
  <c r="BO28" i="19"/>
  <c r="BR28" i="19"/>
  <c r="BT28" i="19"/>
  <c r="BU28" i="19"/>
  <c r="BX28" i="19"/>
  <c r="BY28" i="19"/>
  <c r="CB28" i="19"/>
  <c r="CC28" i="19"/>
  <c r="CD28" i="19"/>
  <c r="CN28" i="19"/>
  <c r="CQ28" i="19"/>
  <c r="DE28" i="19"/>
  <c r="F29" i="19"/>
  <c r="R29" i="19"/>
  <c r="U29" i="19"/>
  <c r="V29" i="19"/>
  <c r="Y29" i="19"/>
  <c r="AA29" i="19"/>
  <c r="AB29" i="19"/>
  <c r="AD29" i="19"/>
  <c r="AJ29" i="19"/>
  <c r="AM29" i="19"/>
  <c r="AT29" i="19"/>
  <c r="AU29" i="19"/>
  <c r="BB29" i="19"/>
  <c r="BC29" i="19"/>
  <c r="BR29" i="19"/>
  <c r="CQ29" i="19"/>
  <c r="DE29" i="19"/>
  <c r="B30" i="19"/>
  <c r="P30" i="19"/>
  <c r="U30" i="19"/>
  <c r="V30" i="19"/>
  <c r="AA30" i="19"/>
  <c r="AE30" i="19"/>
  <c r="AG30" i="19"/>
  <c r="AI30" i="19"/>
  <c r="AL30" i="19"/>
  <c r="AU30" i="19"/>
  <c r="BC30" i="19"/>
  <c r="BD30" i="19"/>
  <c r="BE30" i="19"/>
  <c r="BF30" i="19"/>
  <c r="BG30" i="19"/>
  <c r="BH30" i="19"/>
  <c r="BI30" i="19"/>
  <c r="BJ30" i="19"/>
  <c r="BK30" i="19"/>
  <c r="BL30" i="19"/>
  <c r="BM30" i="19"/>
  <c r="BN30" i="19"/>
  <c r="BR30" i="19"/>
  <c r="CC30" i="19"/>
  <c r="CQ30" i="19"/>
  <c r="DE30" i="19"/>
  <c r="D31" i="19"/>
  <c r="U31" i="19"/>
  <c r="W31" i="19"/>
  <c r="X31" i="19"/>
  <c r="Y31" i="19"/>
  <c r="AA31" i="19"/>
  <c r="AC31" i="19"/>
  <c r="AH31" i="19"/>
  <c r="AI31" i="19"/>
  <c r="AL31" i="19"/>
  <c r="AU31" i="19"/>
  <c r="AX31" i="19"/>
  <c r="AY31" i="19"/>
  <c r="AZ31" i="19"/>
  <c r="BA31" i="19"/>
  <c r="BB31" i="19"/>
  <c r="BC31" i="19"/>
  <c r="BK31" i="19"/>
  <c r="BN31" i="19"/>
  <c r="CC31" i="19"/>
  <c r="CQ31" i="19"/>
  <c r="D32" i="19"/>
  <c r="I32" i="19"/>
  <c r="J32" i="19"/>
  <c r="W32" i="19"/>
  <c r="X32" i="19"/>
  <c r="Y32" i="19"/>
  <c r="Z32" i="19"/>
  <c r="AA32" i="19"/>
  <c r="AE32" i="19"/>
  <c r="AH32" i="19"/>
  <c r="AI32" i="19"/>
  <c r="AJ32" i="19"/>
  <c r="AK32" i="19"/>
  <c r="AL32" i="19"/>
  <c r="AP32" i="19"/>
  <c r="BC32" i="19"/>
  <c r="BG32" i="19"/>
  <c r="BI32" i="19"/>
  <c r="BK32" i="19"/>
  <c r="BL32" i="19"/>
  <c r="CH32" i="19"/>
  <c r="CI32" i="19"/>
  <c r="CJ32" i="19"/>
  <c r="CK32" i="19"/>
  <c r="CL32" i="19"/>
  <c r="CM32" i="19"/>
  <c r="CN32" i="19"/>
  <c r="CO32" i="19"/>
  <c r="CP32" i="19"/>
  <c r="CQ32" i="19"/>
  <c r="AB33" i="19"/>
  <c r="AM33" i="19"/>
  <c r="BC33" i="19"/>
  <c r="BD33" i="19"/>
  <c r="BE33" i="19"/>
  <c r="BG33" i="19"/>
  <c r="BH33" i="19"/>
  <c r="BI33" i="19"/>
  <c r="BK33" i="19"/>
  <c r="BL33" i="19"/>
  <c r="BM33" i="19"/>
  <c r="BN33" i="19"/>
  <c r="BO33" i="19"/>
  <c r="BP33" i="19"/>
  <c r="BQ33" i="19"/>
  <c r="BR33" i="19"/>
  <c r="BS33" i="19"/>
  <c r="BT33" i="19"/>
  <c r="CH33" i="19"/>
  <c r="CO33" i="19"/>
  <c r="H34" i="19"/>
  <c r="R34" i="19"/>
  <c r="T34" i="19"/>
  <c r="Y34" i="19"/>
  <c r="AB34" i="19"/>
  <c r="AE34" i="19"/>
  <c r="AI34" i="19"/>
  <c r="AM34" i="19"/>
  <c r="AZ34" i="19"/>
  <c r="BA34" i="19"/>
  <c r="BB34" i="19"/>
  <c r="BC34" i="19"/>
  <c r="BE34" i="19"/>
  <c r="BI34" i="19"/>
  <c r="BM34" i="19"/>
  <c r="BS34" i="19"/>
  <c r="BT34" i="19"/>
  <c r="CH34" i="19"/>
  <c r="CO34" i="19"/>
  <c r="CP34" i="19"/>
  <c r="T35" i="19"/>
  <c r="AB35" i="19"/>
  <c r="AH35" i="19"/>
  <c r="AJ35" i="19"/>
  <c r="AL35" i="19"/>
  <c r="AM35" i="19"/>
  <c r="AO35" i="19"/>
  <c r="AY35" i="19"/>
  <c r="AZ35" i="19"/>
  <c r="BB35" i="19"/>
  <c r="BC35" i="19"/>
  <c r="BE35" i="19"/>
  <c r="BG35" i="19"/>
  <c r="BH35" i="19"/>
  <c r="BI35" i="19"/>
  <c r="BJ35" i="19"/>
  <c r="BK35" i="19"/>
  <c r="BL35" i="19"/>
  <c r="BM35" i="19"/>
  <c r="BN35" i="19"/>
  <c r="BP35" i="19"/>
  <c r="BR35" i="19"/>
  <c r="BS35" i="19"/>
  <c r="BT35" i="19"/>
  <c r="BZ35" i="19"/>
  <c r="CF35" i="19"/>
  <c r="CG35" i="19"/>
  <c r="CH35" i="19"/>
  <c r="CI35" i="19"/>
  <c r="CJ35" i="19"/>
  <c r="CK35" i="19"/>
  <c r="CL35" i="19"/>
  <c r="CM35" i="19"/>
  <c r="CN35" i="19"/>
  <c r="CP35" i="19"/>
  <c r="CQ35" i="19"/>
  <c r="B36" i="19"/>
  <c r="H36" i="19"/>
  <c r="T36" i="19"/>
  <c r="U36" i="19"/>
  <c r="V36" i="19"/>
  <c r="Y36" i="19"/>
  <c r="AB36" i="19"/>
  <c r="AE36" i="19"/>
  <c r="AH36" i="19"/>
  <c r="AJ36" i="19"/>
  <c r="AM36" i="19"/>
  <c r="AP36" i="19"/>
  <c r="AS36" i="19"/>
  <c r="AT36" i="19"/>
  <c r="AU36" i="19"/>
  <c r="AV36" i="19"/>
  <c r="AW36" i="19"/>
  <c r="AZ36" i="19"/>
  <c r="BA36" i="19"/>
  <c r="BC36" i="19"/>
  <c r="BK36" i="19"/>
  <c r="BL36" i="19"/>
  <c r="BP36" i="19"/>
  <c r="BT36" i="19"/>
  <c r="BV36" i="19"/>
  <c r="CA36" i="19"/>
  <c r="CF36" i="19"/>
  <c r="CG36" i="19"/>
  <c r="CK36" i="19"/>
  <c r="CM36" i="19"/>
  <c r="E37" i="19"/>
  <c r="T37" i="19"/>
  <c r="U37" i="19"/>
  <c r="V37" i="19"/>
  <c r="W37" i="19"/>
  <c r="AA37" i="19"/>
  <c r="AB37" i="19"/>
  <c r="AH37" i="19"/>
  <c r="AJ37" i="19"/>
  <c r="AL37" i="19"/>
  <c r="AM37" i="19"/>
  <c r="AS37" i="19"/>
  <c r="AW37" i="19"/>
  <c r="AZ37" i="19"/>
  <c r="BB37" i="19"/>
  <c r="BC37" i="19"/>
  <c r="BD37" i="19"/>
  <c r="BE37" i="19"/>
  <c r="BF37" i="19"/>
  <c r="BG37" i="19"/>
  <c r="BH37" i="19"/>
  <c r="BI37" i="19"/>
  <c r="BJ37" i="19"/>
  <c r="BK37" i="19"/>
  <c r="BL37" i="19"/>
  <c r="BP37" i="19"/>
  <c r="BT37" i="19"/>
  <c r="BX37" i="19"/>
  <c r="BY37" i="19"/>
  <c r="BZ37" i="19"/>
  <c r="CA37" i="19"/>
  <c r="CB37" i="19"/>
  <c r="CF37" i="19"/>
  <c r="CH37" i="19"/>
  <c r="CJ37" i="19"/>
  <c r="CK37" i="19"/>
  <c r="CM37" i="19"/>
  <c r="CO37" i="19"/>
  <c r="CQ37" i="19"/>
  <c r="F38" i="19"/>
  <c r="L38" i="19"/>
  <c r="Y38" i="19"/>
  <c r="AC38" i="19"/>
  <c r="AH38" i="19"/>
  <c r="AJ38" i="19"/>
  <c r="BA38" i="19"/>
  <c r="BH38" i="19"/>
  <c r="BJ38" i="19"/>
  <c r="BK38" i="19"/>
  <c r="BL38" i="19"/>
  <c r="BP38" i="19"/>
  <c r="BU38" i="19"/>
  <c r="BX38" i="19"/>
  <c r="BZ38" i="19"/>
  <c r="CB38" i="19"/>
  <c r="CC38" i="19"/>
  <c r="CF38" i="19"/>
  <c r="CJ38" i="19"/>
  <c r="CK38" i="19"/>
  <c r="CM38" i="19"/>
  <c r="V39" i="19"/>
  <c r="Z39" i="19"/>
  <c r="AA39" i="19"/>
  <c r="AG39" i="19"/>
  <c r="AH39" i="19"/>
  <c r="AI39" i="19"/>
  <c r="AK39" i="19"/>
  <c r="AS39" i="19"/>
  <c r="AT39" i="19"/>
  <c r="AZ39" i="19"/>
  <c r="BC39" i="19"/>
  <c r="BG39" i="19"/>
  <c r="BI39" i="19"/>
  <c r="BJ39" i="19"/>
  <c r="BK39" i="19"/>
  <c r="BL39" i="19"/>
  <c r="BU39" i="19"/>
  <c r="BV39" i="19"/>
  <c r="CC39" i="19"/>
  <c r="CF39" i="19"/>
  <c r="CH39" i="19"/>
  <c r="CI39" i="19"/>
  <c r="CJ39" i="19"/>
  <c r="CK39" i="19"/>
  <c r="CM39" i="19"/>
  <c r="CN39" i="19"/>
  <c r="CP39" i="19"/>
  <c r="CQ39" i="19"/>
  <c r="X40" i="19"/>
  <c r="AH40" i="19"/>
  <c r="AJ40" i="19"/>
  <c r="AR40" i="19"/>
  <c r="AS40" i="19"/>
  <c r="AT40" i="19"/>
  <c r="AX40" i="19"/>
  <c r="BG40" i="19"/>
  <c r="BH40" i="19"/>
  <c r="BZ40" i="19"/>
  <c r="CB40" i="19"/>
  <c r="CH40" i="19"/>
  <c r="CJ40" i="19"/>
  <c r="CN40" i="19"/>
  <c r="CP40" i="19"/>
  <c r="Q41" i="19"/>
  <c r="S41" i="19"/>
  <c r="U41" i="19"/>
  <c r="V41" i="19"/>
  <c r="W41" i="19"/>
  <c r="X41" i="19"/>
  <c r="Z41" i="19"/>
  <c r="AC41" i="19"/>
  <c r="AG41" i="19"/>
  <c r="AH41" i="19"/>
  <c r="AI41" i="19"/>
  <c r="AJ41" i="19"/>
  <c r="AL41" i="19"/>
  <c r="AO41" i="19"/>
  <c r="AR41" i="19"/>
  <c r="AS41" i="19"/>
  <c r="AT41" i="19"/>
  <c r="BI41" i="19"/>
  <c r="BN41" i="19"/>
  <c r="BO41" i="19"/>
  <c r="BQ41" i="19"/>
  <c r="BR41" i="19"/>
  <c r="BU41" i="19"/>
  <c r="BW41" i="19"/>
  <c r="BX41" i="19"/>
  <c r="CC41" i="19"/>
  <c r="CF41" i="19"/>
  <c r="CG41" i="19"/>
  <c r="CI41" i="19"/>
  <c r="CJ41" i="19"/>
  <c r="CK41" i="19"/>
  <c r="CM41" i="19"/>
  <c r="CN41" i="19"/>
  <c r="H42" i="19"/>
  <c r="S42" i="19"/>
  <c r="U42" i="19"/>
  <c r="Z42" i="19"/>
  <c r="AG42" i="19"/>
  <c r="AL42" i="19"/>
  <c r="AR42" i="19"/>
  <c r="AT42" i="19"/>
  <c r="AV42" i="19"/>
  <c r="BB42" i="19"/>
  <c r="BC42" i="19"/>
  <c r="BD42" i="19"/>
  <c r="BE42" i="19"/>
  <c r="BF42" i="19"/>
  <c r="BG42" i="19"/>
  <c r="BH42" i="19"/>
  <c r="BN42" i="19"/>
  <c r="BR42" i="19"/>
  <c r="BV42" i="19"/>
  <c r="BX42" i="19"/>
  <c r="BZ42" i="19"/>
  <c r="CF42" i="19"/>
  <c r="CH42" i="19"/>
  <c r="CJ42" i="19"/>
  <c r="CK42" i="19"/>
  <c r="CM42" i="19"/>
  <c r="CQ42" i="19"/>
  <c r="D43" i="19"/>
  <c r="S43" i="19"/>
  <c r="T43" i="19"/>
  <c r="Y43" i="19"/>
  <c r="AF43" i="19"/>
  <c r="AI43" i="19"/>
  <c r="AK43" i="19"/>
  <c r="AT43" i="19"/>
  <c r="AX43" i="19"/>
  <c r="AY43" i="19"/>
  <c r="AZ43" i="19"/>
  <c r="BA43" i="19"/>
  <c r="BB43" i="19"/>
  <c r="BH43" i="19"/>
  <c r="BM43" i="19"/>
  <c r="BN43" i="19"/>
  <c r="BO43" i="19"/>
  <c r="BR43" i="19"/>
  <c r="BS43" i="19"/>
  <c r="BV43" i="19"/>
  <c r="BW43" i="19"/>
  <c r="BX43" i="19"/>
  <c r="CC43" i="19"/>
  <c r="CG43" i="19"/>
  <c r="CH43" i="19"/>
  <c r="CI43" i="19"/>
  <c r="CK43" i="19"/>
  <c r="CM43" i="19"/>
  <c r="CO43" i="19"/>
  <c r="B44" i="19"/>
  <c r="M44" i="19"/>
  <c r="O44" i="19"/>
  <c r="S44" i="19"/>
  <c r="U44" i="19"/>
  <c r="Y44" i="19"/>
  <c r="AA44" i="19"/>
  <c r="AG44" i="19"/>
  <c r="AK44" i="19"/>
  <c r="AT44" i="19"/>
  <c r="AV44" i="19"/>
  <c r="AX44" i="19"/>
  <c r="AY44" i="19"/>
  <c r="AZ44" i="19"/>
  <c r="BA44" i="19"/>
  <c r="BB44" i="19"/>
  <c r="BH44" i="19"/>
  <c r="BL44" i="19"/>
  <c r="BM44" i="19"/>
  <c r="BN44" i="19"/>
  <c r="BO44" i="19"/>
  <c r="BR44" i="19"/>
  <c r="BS44" i="19"/>
  <c r="BV44" i="19"/>
  <c r="BX44" i="19"/>
  <c r="BY44" i="19"/>
  <c r="BZ44" i="19"/>
  <c r="CA44" i="19"/>
  <c r="CF44" i="19"/>
  <c r="CI44" i="19"/>
  <c r="CK44" i="19"/>
  <c r="CM44" i="19"/>
  <c r="CO44" i="19"/>
  <c r="CQ44" i="19"/>
  <c r="K45" i="19"/>
  <c r="M45" i="19"/>
  <c r="N45" i="19"/>
  <c r="U45" i="19"/>
  <c r="V45" i="19"/>
  <c r="W45" i="19"/>
  <c r="X45" i="19"/>
  <c r="Y45" i="19"/>
  <c r="AA45" i="19"/>
  <c r="AC45" i="19"/>
  <c r="AG45" i="19"/>
  <c r="AH45" i="19"/>
  <c r="AI45" i="19"/>
  <c r="AJ45" i="19"/>
  <c r="AK45" i="19"/>
  <c r="AM45" i="19"/>
  <c r="AO45" i="19"/>
  <c r="AR45" i="19"/>
  <c r="AY45" i="19"/>
  <c r="AZ45" i="19"/>
  <c r="BG45" i="19"/>
  <c r="BL45" i="19"/>
  <c r="BO45" i="19"/>
  <c r="BP45" i="19"/>
  <c r="BQ45" i="19"/>
  <c r="BW45" i="19"/>
  <c r="BX45" i="19"/>
  <c r="BY45" i="19"/>
  <c r="BZ45" i="19"/>
  <c r="CB45" i="19"/>
  <c r="CH45" i="19"/>
  <c r="CK45" i="19"/>
  <c r="CL45" i="19"/>
  <c r="CN45" i="19"/>
  <c r="CP45" i="19"/>
  <c r="E46" i="19"/>
  <c r="J46" i="19"/>
  <c r="Q46" i="19"/>
  <c r="Z46" i="19"/>
  <c r="AH46" i="19"/>
  <c r="AI46" i="19"/>
  <c r="AJ46" i="19"/>
  <c r="AL46" i="19"/>
  <c r="AM46" i="19"/>
  <c r="AR46" i="19"/>
  <c r="AS46" i="19"/>
  <c r="AT46" i="19"/>
  <c r="AU46" i="19"/>
  <c r="AV46" i="19"/>
  <c r="AW46" i="19"/>
  <c r="AX46" i="19"/>
  <c r="AY46" i="19"/>
  <c r="AZ46" i="19"/>
  <c r="BM46" i="19"/>
  <c r="BO46" i="19"/>
  <c r="BQ46" i="19"/>
  <c r="BR46" i="19"/>
  <c r="BS46" i="19"/>
  <c r="BZ46" i="19"/>
  <c r="CF46" i="19"/>
  <c r="CI46" i="19"/>
  <c r="CL46" i="19"/>
  <c r="CM46" i="19"/>
  <c r="CO46" i="19"/>
  <c r="CQ46" i="19"/>
  <c r="L47" i="19"/>
  <c r="U47" i="19"/>
  <c r="Z47" i="19"/>
  <c r="AL47" i="19"/>
  <c r="AQ47" i="19"/>
  <c r="AR47" i="19"/>
  <c r="AY47" i="19"/>
  <c r="AZ47" i="19"/>
  <c r="BB47" i="19"/>
  <c r="BD47" i="19"/>
  <c r="BN47" i="19"/>
  <c r="BQ47" i="19"/>
  <c r="BU47" i="19"/>
  <c r="BW47" i="19"/>
  <c r="CB47" i="19"/>
  <c r="CK47" i="19"/>
  <c r="CL47" i="19"/>
  <c r="CM47" i="19"/>
  <c r="CN47" i="19"/>
  <c r="CQ47" i="19"/>
  <c r="J48" i="19"/>
  <c r="R48" i="19"/>
  <c r="Z48" i="19"/>
  <c r="AL48" i="19"/>
  <c r="AY48" i="19"/>
  <c r="AZ48" i="19"/>
  <c r="BC48" i="19"/>
  <c r="BM48" i="19"/>
  <c r="BO48" i="19"/>
  <c r="BP48" i="19"/>
  <c r="BQ48" i="19"/>
  <c r="BS48" i="19"/>
  <c r="BY48" i="19"/>
  <c r="CF48" i="19"/>
  <c r="Z49" i="19"/>
  <c r="AC49" i="19"/>
  <c r="AL49" i="19"/>
  <c r="AO49" i="19"/>
  <c r="AT49" i="19"/>
  <c r="AY49" i="19"/>
  <c r="AZ49" i="19"/>
  <c r="BC49" i="19"/>
  <c r="BD49" i="19"/>
  <c r="BE49" i="19"/>
  <c r="BG49" i="19"/>
  <c r="BM49" i="19"/>
  <c r="BP49" i="19"/>
  <c r="CB49" i="19"/>
  <c r="CF49" i="19"/>
  <c r="CG49" i="19"/>
  <c r="CH49" i="19"/>
  <c r="CK49" i="19"/>
  <c r="CM49" i="19"/>
  <c r="CP49" i="19"/>
  <c r="CQ49" i="19"/>
  <c r="Z50" i="19"/>
  <c r="AL50" i="19"/>
  <c r="AS50" i="19"/>
  <c r="AT50" i="19"/>
  <c r="AV50" i="19"/>
  <c r="AY50" i="19"/>
  <c r="AZ50" i="19"/>
  <c r="BC50" i="19"/>
  <c r="BD50" i="19"/>
  <c r="BE50" i="19"/>
  <c r="BG50" i="19"/>
  <c r="BO50" i="19"/>
  <c r="BP50" i="19"/>
  <c r="BU50" i="19"/>
  <c r="BV50" i="19"/>
  <c r="BW50" i="19"/>
  <c r="BX50" i="19"/>
  <c r="CB50" i="19"/>
  <c r="CE50" i="19"/>
  <c r="CL50" i="19"/>
  <c r="H51" i="19"/>
  <c r="L51" i="19"/>
  <c r="X51" i="19"/>
  <c r="AA51" i="19"/>
  <c r="AB51" i="19"/>
  <c r="AC51" i="19"/>
  <c r="AM51" i="19"/>
  <c r="AN51" i="19"/>
  <c r="AO51" i="19"/>
  <c r="AY51" i="19"/>
  <c r="BC51" i="19"/>
  <c r="BD51" i="19"/>
  <c r="BE51" i="19"/>
  <c r="BG51" i="19"/>
  <c r="BL51" i="19"/>
  <c r="BM51" i="19"/>
  <c r="BO51" i="19"/>
  <c r="BP51" i="19"/>
  <c r="BS51" i="19"/>
  <c r="BU51" i="19"/>
  <c r="BV51" i="19"/>
  <c r="BX51" i="19"/>
  <c r="CA51" i="19"/>
  <c r="CE51" i="19"/>
  <c r="CF51" i="19"/>
  <c r="CG51" i="19"/>
  <c r="CI51" i="19"/>
  <c r="CK51" i="19"/>
  <c r="CM51" i="19"/>
  <c r="CO51" i="19"/>
  <c r="CP51" i="19"/>
  <c r="CQ51" i="19"/>
  <c r="I52" i="19"/>
  <c r="J52" i="19"/>
  <c r="O52" i="19"/>
  <c r="S52" i="19"/>
  <c r="V52" i="19"/>
  <c r="X52" i="19"/>
  <c r="Y52" i="19"/>
  <c r="AE52" i="19"/>
  <c r="AJ52" i="19"/>
  <c r="AT52" i="19"/>
  <c r="AY52" i="19"/>
  <c r="AZ52" i="19"/>
  <c r="BA52" i="19"/>
  <c r="BB52" i="19"/>
  <c r="BJ52" i="19"/>
  <c r="BL52" i="19"/>
  <c r="BM52" i="19"/>
  <c r="BS52" i="19"/>
  <c r="BX52" i="19"/>
  <c r="BY52" i="19"/>
  <c r="BZ52" i="19"/>
  <c r="CA52" i="19"/>
  <c r="CG52" i="19"/>
  <c r="CJ52" i="19"/>
  <c r="CN52" i="19"/>
  <c r="CO52" i="19"/>
  <c r="CQ52" i="19"/>
  <c r="B53" i="19"/>
  <c r="D53" i="19"/>
  <c r="E53" i="19"/>
  <c r="P53" i="19"/>
  <c r="S53" i="19"/>
  <c r="Z53" i="19"/>
  <c r="AC53" i="19"/>
  <c r="AE53" i="19"/>
  <c r="AP53" i="19"/>
  <c r="AV53" i="19"/>
  <c r="AW53" i="19"/>
  <c r="BA53" i="19"/>
  <c r="BC53" i="19"/>
  <c r="BE53" i="19"/>
  <c r="BM53" i="19"/>
  <c r="BP53" i="19"/>
  <c r="BQ53" i="19"/>
  <c r="BR53" i="19"/>
  <c r="BS53" i="19"/>
  <c r="BT53" i="19"/>
  <c r="BU53" i="19"/>
  <c r="BV53" i="19"/>
  <c r="BX53" i="19"/>
  <c r="CE53" i="19"/>
  <c r="CQ53" i="19"/>
  <c r="K54" i="19"/>
  <c r="P54" i="19"/>
  <c r="S54" i="19"/>
  <c r="X54" i="19"/>
  <c r="AA54" i="19"/>
  <c r="AB54" i="19"/>
  <c r="AE54" i="19"/>
  <c r="AL54" i="19"/>
  <c r="AM54" i="19"/>
  <c r="AP54" i="19"/>
  <c r="AT54" i="19"/>
  <c r="AX54" i="19"/>
  <c r="AY54" i="19"/>
  <c r="AZ54" i="19"/>
  <c r="BB54" i="19"/>
  <c r="BD54" i="19"/>
  <c r="BN54" i="19"/>
  <c r="BP54" i="19"/>
  <c r="BQ54" i="19"/>
  <c r="BU54" i="19"/>
  <c r="BV54" i="19"/>
  <c r="BX54" i="19"/>
  <c r="CM54" i="19"/>
  <c r="J55" i="19"/>
  <c r="P55" i="19"/>
  <c r="Y55" i="19"/>
  <c r="Z55" i="19"/>
  <c r="AA55" i="19"/>
  <c r="AB55" i="19"/>
  <c r="AD55" i="19"/>
  <c r="AF55" i="19"/>
  <c r="AL55" i="19"/>
  <c r="AM55" i="19"/>
  <c r="AN55" i="19"/>
  <c r="AP55" i="19"/>
  <c r="AU55" i="19"/>
  <c r="AV55" i="19"/>
  <c r="AW55" i="19"/>
  <c r="AZ55" i="19"/>
  <c r="BM55" i="19"/>
  <c r="BP55" i="19"/>
  <c r="BU55" i="19"/>
  <c r="BV55" i="19"/>
  <c r="BX55" i="19"/>
  <c r="B56" i="19"/>
  <c r="M56" i="19"/>
  <c r="AP56" i="19"/>
  <c r="BP56" i="19"/>
  <c r="BV56" i="19"/>
  <c r="BX56" i="19"/>
  <c r="J57" i="19"/>
  <c r="R57" i="19"/>
  <c r="AM57" i="19"/>
  <c r="AN57" i="19"/>
  <c r="BH57" i="19"/>
  <c r="BI57" i="19"/>
  <c r="BN57" i="19"/>
  <c r="BP57" i="19"/>
  <c r="BQ57" i="19"/>
  <c r="BR57" i="19"/>
  <c r="BS57" i="19"/>
  <c r="BT57" i="19"/>
  <c r="BU57" i="19"/>
  <c r="BV57" i="19"/>
  <c r="BX57" i="19"/>
  <c r="CD57" i="19"/>
  <c r="P58" i="19"/>
  <c r="R58" i="19"/>
  <c r="AG58" i="19"/>
  <c r="AH58" i="19"/>
  <c r="AQ58" i="19"/>
  <c r="AR58" i="19"/>
  <c r="AS58" i="19"/>
  <c r="AY58" i="19"/>
  <c r="BH58" i="19"/>
  <c r="BK58" i="19"/>
  <c r="BP58" i="19"/>
  <c r="BV58" i="19"/>
  <c r="BX58" i="19"/>
  <c r="CC58" i="19"/>
  <c r="CE58" i="19"/>
  <c r="CH58" i="19"/>
  <c r="CL58" i="19"/>
  <c r="CM58" i="19"/>
  <c r="R59" i="19"/>
  <c r="AO59" i="19"/>
  <c r="AS59" i="19"/>
  <c r="AZ59" i="19"/>
  <c r="BB59" i="19"/>
  <c r="BF59" i="19"/>
  <c r="BG59" i="19"/>
  <c r="BH59" i="19"/>
  <c r="BJ59" i="19"/>
  <c r="BL59" i="19"/>
  <c r="BP59" i="19"/>
  <c r="BQ59" i="19"/>
  <c r="BV59" i="19"/>
  <c r="BW59" i="19"/>
  <c r="BX59" i="19"/>
  <c r="CC59" i="19"/>
  <c r="CD59" i="19"/>
  <c r="CH59" i="19"/>
  <c r="CM59" i="19"/>
  <c r="F60" i="19"/>
  <c r="I60" i="19"/>
  <c r="J60" i="19"/>
  <c r="O60" i="19"/>
  <c r="Y60" i="19"/>
  <c r="Z60" i="19"/>
  <c r="AB60" i="19"/>
  <c r="AD60" i="19"/>
  <c r="AQ60" i="19"/>
  <c r="AR60" i="19"/>
  <c r="AS60" i="19"/>
  <c r="AT60" i="19"/>
  <c r="AY60" i="19"/>
  <c r="BH60" i="19"/>
  <c r="BK60" i="19"/>
  <c r="BM60" i="19"/>
  <c r="BN60" i="19"/>
  <c r="BQ60" i="19"/>
  <c r="BR60" i="19"/>
  <c r="BU60" i="19"/>
  <c r="BV60" i="19"/>
  <c r="BX60" i="19"/>
  <c r="E61" i="19"/>
  <c r="F61" i="19"/>
  <c r="N61" i="19"/>
  <c r="Q61" i="19"/>
  <c r="Z61" i="19"/>
  <c r="AA61" i="19"/>
  <c r="AS61" i="19"/>
  <c r="AX61" i="19"/>
  <c r="BJ61" i="19"/>
  <c r="BP61" i="19"/>
  <c r="BQ61" i="19"/>
  <c r="BR61" i="19"/>
  <c r="BU61" i="19"/>
  <c r="BV61" i="19"/>
  <c r="BX61" i="19"/>
  <c r="D62" i="19"/>
  <c r="E62" i="19"/>
  <c r="N62" i="19"/>
  <c r="P62" i="19"/>
  <c r="T62" i="19"/>
  <c r="U62" i="19"/>
  <c r="V62" i="19"/>
  <c r="X62" i="19"/>
  <c r="AF62" i="19"/>
  <c r="AH62" i="19"/>
  <c r="AI62" i="19"/>
  <c r="AL62" i="19"/>
  <c r="AN62" i="19"/>
  <c r="AQ62" i="19"/>
  <c r="AS62" i="19"/>
  <c r="AZ62" i="19"/>
  <c r="BB62" i="19"/>
  <c r="BH62" i="19"/>
  <c r="BN62" i="19"/>
  <c r="BO62" i="19"/>
  <c r="BQ62" i="19"/>
  <c r="BR62" i="19"/>
  <c r="BS62" i="19"/>
  <c r="BT62" i="19"/>
  <c r="BU62" i="19"/>
  <c r="BV62" i="19"/>
  <c r="BX62" i="19"/>
  <c r="D63" i="19"/>
  <c r="I63" i="19"/>
  <c r="N63" i="19"/>
  <c r="AC63" i="19"/>
  <c r="AG63" i="19"/>
  <c r="AN63" i="19"/>
  <c r="AS63" i="19"/>
  <c r="AW63" i="19"/>
  <c r="AX63" i="19"/>
  <c r="AZ63" i="19"/>
  <c r="BB63" i="19"/>
  <c r="BL63" i="19"/>
  <c r="BN63" i="19"/>
  <c r="BO63" i="19"/>
  <c r="BR63" i="19"/>
  <c r="BS63" i="19"/>
  <c r="BT63" i="19"/>
  <c r="BX63" i="19"/>
  <c r="BB64" i="19"/>
  <c r="BN64" i="19"/>
  <c r="BX64" i="19"/>
  <c r="DI1" i="36"/>
  <c r="DJ1" i="36"/>
  <c r="DK1" i="36"/>
  <c r="DL1" i="36"/>
  <c r="DM1" i="36"/>
  <c r="DN1" i="36"/>
  <c r="DO1" i="36"/>
  <c r="DP1" i="36"/>
  <c r="DQ1" i="36"/>
  <c r="DR1" i="36"/>
  <c r="DS1" i="36"/>
  <c r="DT1" i="36"/>
  <c r="DU1" i="36"/>
  <c r="DV1" i="36"/>
  <c r="DW1" i="36"/>
  <c r="DX1" i="36"/>
  <c r="ED1" i="36"/>
  <c r="B2" i="36"/>
  <c r="D2" i="36"/>
  <c r="E2" i="36"/>
  <c r="G2" i="36"/>
  <c r="H2" i="36"/>
  <c r="M2" i="36"/>
  <c r="S2" i="36"/>
  <c r="T2" i="36"/>
  <c r="AS2" i="36"/>
  <c r="AT2" i="36"/>
  <c r="AU2" i="36"/>
  <c r="AV2" i="36"/>
  <c r="AZ2" i="36"/>
  <c r="BX2" i="36"/>
  <c r="BZ2" i="36"/>
  <c r="CA2" i="36"/>
  <c r="CB2" i="36"/>
  <c r="CF2" i="36"/>
  <c r="CG2" i="36"/>
  <c r="CH2" i="36"/>
  <c r="CI2" i="36"/>
  <c r="CJ2" i="36"/>
  <c r="CK2" i="36"/>
  <c r="CL2" i="36"/>
  <c r="CM2" i="36"/>
  <c r="CN2" i="36"/>
  <c r="CO2" i="36"/>
  <c r="CP2" i="36"/>
  <c r="CQ2" i="36"/>
  <c r="CR2" i="36"/>
  <c r="CS2" i="36"/>
  <c r="CT2" i="36"/>
  <c r="CU2" i="36"/>
  <c r="CV2" i="36"/>
  <c r="CW2" i="36"/>
  <c r="CX2" i="36"/>
  <c r="DA2" i="36"/>
  <c r="DK2" i="36"/>
  <c r="DL2" i="36"/>
  <c r="DM2" i="36"/>
  <c r="DN2" i="36"/>
  <c r="DO2" i="36"/>
  <c r="DP2" i="36"/>
  <c r="DR2" i="36"/>
  <c r="DS2" i="36"/>
  <c r="DU2" i="36"/>
  <c r="DV2" i="36"/>
  <c r="DW2" i="36"/>
  <c r="DX2" i="36"/>
  <c r="ED2" i="36"/>
  <c r="B3" i="36"/>
  <c r="C3" i="36"/>
  <c r="D3" i="36"/>
  <c r="E3" i="36"/>
  <c r="P3" i="36"/>
  <c r="Q3" i="36"/>
  <c r="R3" i="36"/>
  <c r="S3" i="36"/>
  <c r="T3" i="36"/>
  <c r="X3" i="36"/>
  <c r="Y3" i="36"/>
  <c r="Z3" i="36"/>
  <c r="AA3" i="36"/>
  <c r="AB3" i="36"/>
  <c r="AF3" i="36"/>
  <c r="AG3" i="36"/>
  <c r="AH3" i="36"/>
  <c r="AI3" i="36"/>
  <c r="AJ3" i="36"/>
  <c r="AK3" i="36"/>
  <c r="AM3" i="36"/>
  <c r="AN3" i="36"/>
  <c r="AO3" i="36"/>
  <c r="AP3" i="36"/>
  <c r="AQ3" i="36"/>
  <c r="AS3" i="36"/>
  <c r="AU3" i="36"/>
  <c r="AY3" i="36"/>
  <c r="AZ3" i="36"/>
  <c r="BB3" i="36"/>
  <c r="BD3" i="36"/>
  <c r="BH3" i="36"/>
  <c r="BV3" i="36"/>
  <c r="BZ3" i="36"/>
  <c r="CA3" i="36"/>
  <c r="CF3" i="36"/>
  <c r="CK3" i="36"/>
  <c r="CM3" i="36"/>
  <c r="CO3" i="36"/>
  <c r="CT3" i="36"/>
  <c r="CU3" i="36"/>
  <c r="CV3" i="36"/>
  <c r="CW3" i="36"/>
  <c r="DI3" i="36"/>
  <c r="DJ3" i="36"/>
  <c r="DK3" i="36"/>
  <c r="DM3" i="36"/>
  <c r="DN3" i="36"/>
  <c r="DO3" i="36"/>
  <c r="DP3" i="36"/>
  <c r="DR3" i="36"/>
  <c r="DS3" i="36"/>
  <c r="DU3" i="36"/>
  <c r="DV3" i="36"/>
  <c r="DW3" i="36"/>
  <c r="DX3" i="36"/>
  <c r="ED3" i="36"/>
  <c r="C4" i="36"/>
  <c r="P4" i="36"/>
  <c r="U4" i="36"/>
  <c r="V4" i="36"/>
  <c r="W4" i="36"/>
  <c r="X4" i="36"/>
  <c r="AB4" i="36"/>
  <c r="AF4" i="36"/>
  <c r="AI4" i="36"/>
  <c r="AK4" i="36"/>
  <c r="AM4" i="36"/>
  <c r="AN4" i="36"/>
  <c r="AO4" i="36"/>
  <c r="AP4" i="36"/>
  <c r="AQ4" i="36"/>
  <c r="AW4" i="36"/>
  <c r="AY4" i="36"/>
  <c r="AZ4" i="36"/>
  <c r="BC4" i="36"/>
  <c r="BF4" i="36"/>
  <c r="BI4" i="36"/>
  <c r="BS4" i="36"/>
  <c r="BY4" i="36"/>
  <c r="BZ4" i="36"/>
  <c r="CA4" i="36"/>
  <c r="CB4" i="36"/>
  <c r="CF4" i="36"/>
  <c r="CI4" i="36"/>
  <c r="CK4" i="36"/>
  <c r="CO4" i="36"/>
  <c r="CS4" i="36"/>
  <c r="CT4" i="36"/>
  <c r="CU4" i="36"/>
  <c r="CV4" i="36"/>
  <c r="CW4" i="36"/>
  <c r="DA4" i="36"/>
  <c r="DJ4" i="36"/>
  <c r="DK4" i="36"/>
  <c r="DM4" i="36"/>
  <c r="DO4" i="36"/>
  <c r="DP4" i="36"/>
  <c r="DW4" i="36"/>
  <c r="DX4" i="36"/>
  <c r="ED4" i="36"/>
  <c r="B5" i="36"/>
  <c r="F5" i="36"/>
  <c r="M5" i="36"/>
  <c r="P5" i="36"/>
  <c r="X5" i="36"/>
  <c r="Y5" i="36"/>
  <c r="Z5" i="36"/>
  <c r="AF5" i="36"/>
  <c r="AG5" i="36"/>
  <c r="AH5" i="36"/>
  <c r="AI5" i="36"/>
  <c r="AK5" i="36"/>
  <c r="AL5" i="36"/>
  <c r="AO5" i="36"/>
  <c r="AP5" i="36"/>
  <c r="AQ5" i="36"/>
  <c r="AR5" i="36"/>
  <c r="AS5" i="36"/>
  <c r="AT5" i="36"/>
  <c r="AV5" i="36"/>
  <c r="AX5" i="36"/>
  <c r="AY5" i="36"/>
  <c r="AZ5" i="36"/>
  <c r="BB5" i="36"/>
  <c r="BN5" i="36"/>
  <c r="BU5" i="36"/>
  <c r="BZ5" i="36"/>
  <c r="CA5" i="36"/>
  <c r="CF5" i="36"/>
  <c r="CG5" i="36"/>
  <c r="CH5" i="36"/>
  <c r="CI5" i="36"/>
  <c r="CJ5" i="36"/>
  <c r="CK5" i="36"/>
  <c r="CO5" i="36"/>
  <c r="CP5" i="36"/>
  <c r="CQ5" i="36"/>
  <c r="CR5" i="36"/>
  <c r="CS5" i="36"/>
  <c r="CT5" i="36"/>
  <c r="CU5" i="36"/>
  <c r="CV5" i="36"/>
  <c r="CW5" i="36"/>
  <c r="CX5" i="36"/>
  <c r="DF5" i="36"/>
  <c r="DK5" i="36"/>
  <c r="DL5" i="36"/>
  <c r="DM5" i="36"/>
  <c r="DN5" i="36"/>
  <c r="DO5" i="36"/>
  <c r="DP5" i="36"/>
  <c r="DR5" i="36"/>
  <c r="DS5" i="36"/>
  <c r="DU5" i="36"/>
  <c r="DV5" i="36"/>
  <c r="DW5" i="36"/>
  <c r="DX5" i="36"/>
  <c r="ED5" i="36"/>
  <c r="M6" i="36"/>
  <c r="P6" i="36"/>
  <c r="V6" i="36"/>
  <c r="W6" i="36"/>
  <c r="Z6" i="36"/>
  <c r="AE6" i="36"/>
  <c r="AF6" i="36"/>
  <c r="AG6" i="36"/>
  <c r="AH6" i="36"/>
  <c r="AI6" i="36"/>
  <c r="AJ6" i="36"/>
  <c r="AK6" i="36"/>
  <c r="AM6" i="36"/>
  <c r="AN6" i="36"/>
  <c r="AO6" i="36"/>
  <c r="AP6" i="36"/>
  <c r="AQ6" i="36"/>
  <c r="AW6" i="36"/>
  <c r="AY6" i="36"/>
  <c r="AZ6" i="36"/>
  <c r="BE6" i="36"/>
  <c r="BJ6" i="36"/>
  <c r="BL6" i="36"/>
  <c r="BV6" i="36"/>
  <c r="CM6" i="36"/>
  <c r="CU6" i="36"/>
  <c r="CV6" i="36"/>
  <c r="CW6" i="36"/>
  <c r="CX6" i="36"/>
  <c r="DA6" i="36"/>
  <c r="DF6" i="36"/>
  <c r="DI6" i="36"/>
  <c r="DJ6" i="36"/>
  <c r="DK6" i="36"/>
  <c r="DL6" i="36"/>
  <c r="DM6" i="36"/>
  <c r="DN6" i="36"/>
  <c r="DO6" i="36"/>
  <c r="DP6" i="36"/>
  <c r="DR6" i="36"/>
  <c r="DS6" i="36"/>
  <c r="DU6" i="36"/>
  <c r="DV6" i="36"/>
  <c r="DW6" i="36"/>
  <c r="DX6" i="36"/>
  <c r="ED6" i="36"/>
  <c r="B7" i="36"/>
  <c r="D7" i="36"/>
  <c r="E7" i="36"/>
  <c r="F7" i="36"/>
  <c r="M7" i="36"/>
  <c r="P7" i="36"/>
  <c r="U7" i="36"/>
  <c r="V7" i="36"/>
  <c r="W7" i="36"/>
  <c r="X7" i="36"/>
  <c r="Y7" i="36"/>
  <c r="Z7" i="36"/>
  <c r="AE7" i="36"/>
  <c r="AF7" i="36"/>
  <c r="AH7" i="36"/>
  <c r="AI7" i="36"/>
  <c r="AK7" i="36"/>
  <c r="AM7" i="36"/>
  <c r="AN7" i="36"/>
  <c r="AO7" i="36"/>
  <c r="AP7" i="36"/>
  <c r="AQ7" i="36"/>
  <c r="AW7" i="36"/>
  <c r="AX7" i="36"/>
  <c r="AY7" i="36"/>
  <c r="AZ7" i="36"/>
  <c r="BE7" i="36"/>
  <c r="BU7" i="36"/>
  <c r="BW7" i="36"/>
  <c r="CM7" i="36"/>
  <c r="DF7" i="36"/>
  <c r="DJ7" i="36"/>
  <c r="DK7" i="36"/>
  <c r="DL7" i="36"/>
  <c r="DN7" i="36"/>
  <c r="DO7" i="36"/>
  <c r="DP7" i="36"/>
  <c r="DQ7" i="36"/>
  <c r="DX7" i="36"/>
  <c r="ED7" i="36"/>
  <c r="J8" i="36"/>
  <c r="P8" i="36"/>
  <c r="AD8" i="36"/>
  <c r="AF8" i="36"/>
  <c r="AK8" i="36"/>
  <c r="AU8" i="36"/>
  <c r="AV8" i="36"/>
  <c r="AW8" i="36"/>
  <c r="BD8" i="36"/>
  <c r="BE8" i="36"/>
  <c r="BL8" i="36"/>
  <c r="BV8" i="36"/>
  <c r="CM8" i="36"/>
  <c r="CU8" i="36"/>
  <c r="DF8" i="36"/>
  <c r="DK8" i="36"/>
  <c r="DL8" i="36"/>
  <c r="DM8" i="36"/>
  <c r="DN8" i="36"/>
  <c r="DO8" i="36"/>
  <c r="DP8" i="36"/>
  <c r="DR8" i="36"/>
  <c r="DS8" i="36"/>
  <c r="DT8" i="36"/>
  <c r="DU8" i="36"/>
  <c r="DV8" i="36"/>
  <c r="DW8" i="36"/>
  <c r="DX8" i="36"/>
  <c r="ED8" i="36"/>
  <c r="EM8" i="36"/>
  <c r="U9" i="36"/>
  <c r="X9" i="36"/>
  <c r="Y9" i="36"/>
  <c r="AE9" i="36"/>
  <c r="AF9" i="36"/>
  <c r="AG9" i="36"/>
  <c r="AM9" i="36"/>
  <c r="AR9" i="36"/>
  <c r="BC9" i="36"/>
  <c r="BD9" i="36"/>
  <c r="BF9" i="36"/>
  <c r="BG9" i="36"/>
  <c r="CE9" i="36"/>
  <c r="CF9" i="36"/>
  <c r="CL9" i="36"/>
  <c r="CM9" i="36"/>
  <c r="CV9" i="36"/>
  <c r="DF9" i="36"/>
  <c r="DG9" i="36"/>
  <c r="DI9" i="36"/>
  <c r="DJ9" i="36"/>
  <c r="DK9" i="36"/>
  <c r="DL9" i="36"/>
  <c r="DM9" i="36"/>
  <c r="DN9" i="36"/>
  <c r="DO9" i="36"/>
  <c r="DP9" i="36"/>
  <c r="DQ9" i="36"/>
  <c r="DR9" i="36"/>
  <c r="DW9" i="36"/>
  <c r="DX9" i="36"/>
  <c r="ED9" i="36"/>
  <c r="EM9" i="36"/>
  <c r="R10" i="36"/>
  <c r="U10" i="36"/>
  <c r="Z10" i="36"/>
  <c r="AM10" i="36"/>
  <c r="AN10" i="36"/>
  <c r="AQ10" i="36"/>
  <c r="AR10" i="36"/>
  <c r="CC10" i="36"/>
  <c r="CD10" i="36"/>
  <c r="CE10" i="36"/>
  <c r="CM10" i="36"/>
  <c r="CV10" i="36"/>
  <c r="DE10" i="36"/>
  <c r="DF10" i="36"/>
  <c r="DH10" i="36"/>
  <c r="DI10" i="36"/>
  <c r="DJ10" i="36"/>
  <c r="DK10" i="36"/>
  <c r="DL10" i="36"/>
  <c r="DM10" i="36"/>
  <c r="DO10" i="36"/>
  <c r="DP10" i="36"/>
  <c r="DQ10" i="36"/>
  <c r="DR10" i="36"/>
  <c r="DS10" i="36"/>
  <c r="DT10" i="36"/>
  <c r="DU10" i="36"/>
  <c r="DV10" i="36"/>
  <c r="DW10" i="36"/>
  <c r="DX10" i="36"/>
  <c r="ED10" i="36"/>
  <c r="EM10" i="36"/>
  <c r="B11" i="36"/>
  <c r="K11" i="36"/>
  <c r="R11" i="36"/>
  <c r="S11" i="36"/>
  <c r="U11" i="36"/>
  <c r="AQ11" i="36"/>
  <c r="AR11" i="36"/>
  <c r="BD11" i="36"/>
  <c r="BE11" i="36"/>
  <c r="BV11" i="36"/>
  <c r="CC11" i="36"/>
  <c r="CE11" i="36"/>
  <c r="CV11" i="36"/>
  <c r="DE11" i="36"/>
  <c r="DF11" i="36"/>
  <c r="DI11" i="36"/>
  <c r="DJ11" i="36"/>
  <c r="DK11" i="36"/>
  <c r="DL11" i="36"/>
  <c r="DN11" i="36"/>
  <c r="DO11" i="36"/>
  <c r="DP11" i="36"/>
  <c r="DQ11" i="36"/>
  <c r="DR11" i="36"/>
  <c r="DS11" i="36"/>
  <c r="DT11" i="36"/>
  <c r="DV11" i="36"/>
  <c r="DW11" i="36"/>
  <c r="DX11" i="36"/>
  <c r="ED11" i="36"/>
  <c r="EM11" i="36"/>
  <c r="C12" i="36"/>
  <c r="D12" i="36"/>
  <c r="E12" i="36"/>
  <c r="I12" i="36"/>
  <c r="R12" i="36"/>
  <c r="U12" i="36"/>
  <c r="V12" i="36"/>
  <c r="AK12" i="36"/>
  <c r="AQ12" i="36"/>
  <c r="AR12" i="36"/>
  <c r="BR12" i="36"/>
  <c r="BS12" i="36"/>
  <c r="CC12" i="36"/>
  <c r="CD12" i="36"/>
  <c r="CE12" i="36"/>
  <c r="CV12" i="36"/>
  <c r="CZ12" i="36"/>
  <c r="DA12" i="36"/>
  <c r="DB12" i="36"/>
  <c r="DD12" i="36"/>
  <c r="DF12" i="36"/>
  <c r="DI12" i="36"/>
  <c r="DJ12" i="36"/>
  <c r="DK12" i="36"/>
  <c r="DL12" i="36"/>
  <c r="DM12" i="36"/>
  <c r="DN12" i="36"/>
  <c r="DO12" i="36"/>
  <c r="DP12" i="36"/>
  <c r="DQ12" i="36"/>
  <c r="DR12" i="36"/>
  <c r="DS12" i="36"/>
  <c r="DT12" i="36"/>
  <c r="DU12" i="36"/>
  <c r="DV12" i="36"/>
  <c r="DW12" i="36"/>
  <c r="DX12" i="36"/>
  <c r="ED12" i="36"/>
  <c r="EM12" i="36"/>
  <c r="C13" i="36"/>
  <c r="D13" i="36"/>
  <c r="F13" i="36"/>
  <c r="P13" i="36"/>
  <c r="U13" i="36"/>
  <c r="AJ13" i="36"/>
  <c r="AQ13" i="36"/>
  <c r="AR13" i="36"/>
  <c r="BT13" i="36"/>
  <c r="CZ13" i="36"/>
  <c r="DA13" i="36"/>
  <c r="DB13" i="36"/>
  <c r="DF13" i="36"/>
  <c r="DI13" i="36"/>
  <c r="DJ13" i="36"/>
  <c r="DK13" i="36"/>
  <c r="DL13" i="36"/>
  <c r="DM13" i="36"/>
  <c r="DO13" i="36"/>
  <c r="DP13" i="36"/>
  <c r="DQ13" i="36"/>
  <c r="DR13" i="36"/>
  <c r="DS13" i="36"/>
  <c r="DT13" i="36"/>
  <c r="DU13" i="36"/>
  <c r="DV13" i="36"/>
  <c r="DW13" i="36"/>
  <c r="DX13" i="36"/>
  <c r="ED13" i="36"/>
  <c r="EM13" i="36"/>
  <c r="E14" i="36"/>
  <c r="F14" i="36"/>
  <c r="U14" i="36"/>
  <c r="V14" i="36"/>
  <c r="W14" i="36"/>
  <c r="X14" i="36"/>
  <c r="AK14" i="36"/>
  <c r="AL14" i="36"/>
  <c r="AQ14" i="36"/>
  <c r="AR14" i="36"/>
  <c r="CE14" i="36"/>
  <c r="CF14" i="36"/>
  <c r="CG14" i="36"/>
  <c r="CH14" i="36"/>
  <c r="CQ14" i="36"/>
  <c r="CR14" i="36"/>
  <c r="CS14" i="36"/>
  <c r="CT14" i="36"/>
  <c r="CU14" i="36"/>
  <c r="DF14" i="36"/>
  <c r="DK14" i="36"/>
  <c r="DO14" i="36"/>
  <c r="DR14" i="36"/>
  <c r="DT14" i="36"/>
  <c r="DV14" i="36"/>
  <c r="DX14" i="36"/>
  <c r="ED14" i="36"/>
  <c r="EM14" i="36"/>
  <c r="C15" i="36"/>
  <c r="E15" i="36"/>
  <c r="L15" i="36"/>
  <c r="U15" i="36"/>
  <c r="AQ15" i="36"/>
  <c r="AR15" i="36"/>
  <c r="BI15" i="36"/>
  <c r="BW15" i="36"/>
  <c r="CE15" i="36"/>
  <c r="CF15" i="36"/>
  <c r="CG15" i="36"/>
  <c r="CH15" i="36"/>
  <c r="CJ15" i="36"/>
  <c r="CP15" i="36"/>
  <c r="CQ15" i="36"/>
  <c r="CR15" i="36"/>
  <c r="CS15" i="36"/>
  <c r="CT15" i="36"/>
  <c r="DF15" i="36"/>
  <c r="DX15" i="36"/>
  <c r="ED15" i="36"/>
  <c r="EM15" i="36"/>
  <c r="D16" i="36"/>
  <c r="N16" i="36"/>
  <c r="Q16" i="36"/>
  <c r="U16" i="36"/>
  <c r="AJ16" i="36"/>
  <c r="AQ16" i="36"/>
  <c r="AR16" i="36"/>
  <c r="AZ16" i="36"/>
  <c r="CE16" i="36"/>
  <c r="CF16" i="36"/>
  <c r="CG16" i="36"/>
  <c r="CH16" i="36"/>
  <c r="CP16" i="36"/>
  <c r="CQ16" i="36"/>
  <c r="CR16" i="36"/>
  <c r="CS16" i="36"/>
  <c r="CT16" i="36"/>
  <c r="CU16" i="36"/>
  <c r="CZ16" i="36"/>
  <c r="DA16" i="36"/>
  <c r="DB16" i="36"/>
  <c r="DF16" i="36"/>
  <c r="DG16" i="36"/>
  <c r="DH16" i="36"/>
  <c r="DI16" i="36"/>
  <c r="DJ16" i="36"/>
  <c r="DK16" i="36"/>
  <c r="DL16" i="36"/>
  <c r="DM16" i="36"/>
  <c r="DN16" i="36"/>
  <c r="DO16" i="36"/>
  <c r="DP16" i="36"/>
  <c r="ED16" i="36"/>
  <c r="EE16" i="36"/>
  <c r="EM16" i="36"/>
  <c r="C17" i="36"/>
  <c r="D17" i="36"/>
  <c r="M17" i="36"/>
  <c r="O17" i="36"/>
  <c r="P17" i="36"/>
  <c r="R17" i="36"/>
  <c r="U17" i="36"/>
  <c r="AJ17" i="36"/>
  <c r="AQ17" i="36"/>
  <c r="AR17" i="36"/>
  <c r="AZ17" i="36"/>
  <c r="BK17" i="36"/>
  <c r="BV17" i="36"/>
  <c r="CN17" i="36"/>
  <c r="CO17" i="36"/>
  <c r="CP17" i="36"/>
  <c r="DA17" i="36"/>
  <c r="DL17" i="36"/>
  <c r="DT17" i="36"/>
  <c r="DW17" i="36"/>
  <c r="I18" i="36"/>
  <c r="N18" i="36"/>
  <c r="O18" i="36"/>
  <c r="P18" i="36"/>
  <c r="Q18" i="36"/>
  <c r="T18" i="36"/>
  <c r="U18" i="36"/>
  <c r="AA18" i="36"/>
  <c r="AJ18" i="36"/>
  <c r="AQ18" i="36"/>
  <c r="AR18" i="36"/>
  <c r="AZ18" i="36"/>
  <c r="BH18" i="36"/>
  <c r="BZ18" i="36"/>
  <c r="CM18" i="36"/>
  <c r="CN18" i="36"/>
  <c r="CY18" i="36"/>
  <c r="DA18" i="36"/>
  <c r="DC18" i="36"/>
  <c r="DI18" i="36"/>
  <c r="DO18" i="36"/>
  <c r="DW18" i="36"/>
  <c r="F19" i="36"/>
  <c r="N19" i="36"/>
  <c r="O19" i="36"/>
  <c r="P19" i="36"/>
  <c r="Q19" i="36"/>
  <c r="U19" i="36"/>
  <c r="Z19" i="36"/>
  <c r="AA19" i="36"/>
  <c r="AJ19" i="36"/>
  <c r="AQ19" i="36"/>
  <c r="AR19" i="36"/>
  <c r="AZ19" i="36"/>
  <c r="BL19" i="36"/>
  <c r="CM19" i="36"/>
  <c r="CN19" i="36"/>
  <c r="CY19" i="36"/>
  <c r="DA19" i="36"/>
  <c r="DC19" i="36"/>
  <c r="DR19" i="36"/>
  <c r="DS19" i="36"/>
  <c r="D20" i="36"/>
  <c r="J20" i="36"/>
  <c r="N20" i="36"/>
  <c r="O20" i="36"/>
  <c r="P20" i="36"/>
  <c r="Q20" i="36"/>
  <c r="S20" i="36"/>
  <c r="T20" i="36"/>
  <c r="U20" i="36"/>
  <c r="Z20" i="36"/>
  <c r="AR20" i="36"/>
  <c r="AU20" i="36"/>
  <c r="BJ20" i="36"/>
  <c r="CM20" i="36"/>
  <c r="DA20" i="36"/>
  <c r="DR20" i="36"/>
  <c r="DV20" i="36"/>
  <c r="DW20" i="36"/>
  <c r="J21" i="36"/>
  <c r="M21" i="36"/>
  <c r="O21" i="36"/>
  <c r="P21" i="36"/>
  <c r="R21" i="36"/>
  <c r="T21" i="36"/>
  <c r="U21" i="36"/>
  <c r="Z21" i="36"/>
  <c r="AA21" i="36"/>
  <c r="AJ21" i="36"/>
  <c r="AK21" i="36"/>
  <c r="AR21" i="36"/>
  <c r="AT21" i="36"/>
  <c r="AV21" i="36"/>
  <c r="BT21" i="36"/>
  <c r="CA21" i="36"/>
  <c r="CM21" i="36"/>
  <c r="E22" i="36"/>
  <c r="G22" i="36"/>
  <c r="J22" i="36"/>
  <c r="N22" i="36"/>
  <c r="Q22" i="36"/>
  <c r="R22" i="36"/>
  <c r="S22" i="36"/>
  <c r="T22" i="36"/>
  <c r="U22" i="36"/>
  <c r="AR22" i="36"/>
  <c r="AU22" i="36"/>
  <c r="AW22" i="36"/>
  <c r="BS22" i="36"/>
  <c r="BU22" i="36"/>
  <c r="BY22" i="36"/>
  <c r="BZ22" i="36"/>
  <c r="CB22" i="36"/>
  <c r="CL22" i="36"/>
  <c r="CM22" i="36"/>
  <c r="CN22" i="36"/>
  <c r="DG22" i="36"/>
  <c r="DP22" i="36"/>
  <c r="DV22" i="36"/>
  <c r="J23" i="36"/>
  <c r="P23" i="36"/>
  <c r="Q23" i="36"/>
  <c r="R23" i="36"/>
  <c r="S23" i="36"/>
  <c r="T23" i="36"/>
  <c r="U23" i="36"/>
  <c r="AS23" i="36"/>
  <c r="BS23" i="36"/>
  <c r="BU23" i="36"/>
  <c r="CA23" i="36"/>
  <c r="CB23" i="36"/>
  <c r="CL23" i="36"/>
  <c r="CM23" i="36"/>
  <c r="CN23" i="36"/>
  <c r="DB23" i="36"/>
  <c r="DG23" i="36"/>
  <c r="DP23" i="36"/>
  <c r="DT23" i="36"/>
  <c r="B24" i="36"/>
  <c r="N24" i="36"/>
  <c r="P24" i="36"/>
  <c r="Q24" i="36"/>
  <c r="R24" i="36"/>
  <c r="S24" i="36"/>
  <c r="T24" i="36"/>
  <c r="U24" i="36"/>
  <c r="W24" i="36"/>
  <c r="AC24" i="36"/>
  <c r="AT24" i="36"/>
  <c r="AU24" i="36"/>
  <c r="AV24" i="36"/>
  <c r="BM24" i="36"/>
  <c r="BN24" i="36"/>
  <c r="BO24" i="36"/>
  <c r="BP24" i="36"/>
  <c r="BQ24" i="36"/>
  <c r="BR24" i="36"/>
  <c r="BT24" i="36"/>
  <c r="CI24" i="36"/>
  <c r="CJ24" i="36"/>
  <c r="CK24" i="36"/>
  <c r="CO24" i="36"/>
  <c r="CP24" i="36"/>
  <c r="CQ24" i="36"/>
  <c r="DB24" i="36"/>
  <c r="DS24" i="36"/>
  <c r="DU24" i="36"/>
  <c r="DW24" i="36"/>
  <c r="B25" i="36"/>
  <c r="V25" i="36"/>
  <c r="AM25" i="36"/>
  <c r="BL25" i="36"/>
  <c r="BM25" i="36"/>
  <c r="BN25" i="36"/>
  <c r="BO25" i="36"/>
  <c r="BP25" i="36"/>
  <c r="BQ25" i="36"/>
  <c r="BR25" i="36"/>
  <c r="BS25" i="36"/>
  <c r="CM25" i="36"/>
  <c r="CP25" i="36"/>
  <c r="DB25" i="36"/>
  <c r="DS25" i="36"/>
  <c r="B26" i="36"/>
  <c r="C26" i="36"/>
  <c r="Q26" i="36"/>
  <c r="R26" i="36"/>
  <c r="S26" i="36"/>
  <c r="T26" i="36"/>
  <c r="U26" i="36"/>
  <c r="V26" i="36"/>
  <c r="BM26" i="36"/>
  <c r="BN26" i="36"/>
  <c r="BO26" i="36"/>
  <c r="BP26" i="36"/>
  <c r="BQ26" i="36"/>
  <c r="BR26" i="36"/>
  <c r="BV26" i="36"/>
  <c r="BW26" i="36"/>
  <c r="BX26" i="36"/>
  <c r="BY26" i="36"/>
  <c r="CM26" i="36"/>
  <c r="CO26" i="36"/>
  <c r="CP26" i="36"/>
  <c r="CQ26" i="36"/>
  <c r="CR26" i="36"/>
  <c r="CS26" i="36"/>
  <c r="CZ26" i="36"/>
  <c r="DS26" i="36"/>
  <c r="B27" i="36"/>
  <c r="C27" i="36"/>
  <c r="K27" i="36"/>
  <c r="M27" i="36"/>
  <c r="N27" i="36"/>
  <c r="O27" i="36"/>
  <c r="U27" i="36"/>
  <c r="AK27" i="36"/>
  <c r="AL27" i="36"/>
  <c r="BU27" i="36"/>
  <c r="BV27" i="36"/>
  <c r="BW27" i="36"/>
  <c r="BX27" i="36"/>
  <c r="CM27" i="36"/>
  <c r="CO27" i="36"/>
  <c r="CP27" i="36"/>
  <c r="CQ27" i="36"/>
  <c r="CR27" i="36"/>
  <c r="CZ27" i="36"/>
  <c r="DR27" i="36"/>
  <c r="DS27" i="36"/>
  <c r="B28" i="36"/>
  <c r="C28" i="36"/>
  <c r="D28" i="36"/>
  <c r="E28" i="36"/>
  <c r="F28" i="36"/>
  <c r="I28" i="36"/>
  <c r="K28" i="36"/>
  <c r="L28" i="36"/>
  <c r="M28" i="36"/>
  <c r="N28" i="36"/>
  <c r="O28" i="36"/>
  <c r="U28" i="36"/>
  <c r="AI28" i="36"/>
  <c r="AJ28" i="36"/>
  <c r="AK28" i="36"/>
  <c r="BE28" i="36"/>
  <c r="BU28" i="36"/>
  <c r="BV28" i="36"/>
  <c r="BW28" i="36"/>
  <c r="BX28" i="36"/>
  <c r="CO28" i="36"/>
  <c r="CP28" i="36"/>
  <c r="CQ28" i="36"/>
  <c r="CR28" i="36"/>
  <c r="CS28" i="36"/>
  <c r="CZ28" i="36"/>
  <c r="DF28" i="36"/>
  <c r="DQ28" i="36"/>
  <c r="B29" i="36"/>
  <c r="C29" i="36"/>
  <c r="D29" i="36"/>
  <c r="F29" i="36"/>
  <c r="K29" i="36"/>
  <c r="L29" i="36"/>
  <c r="O29" i="36"/>
  <c r="AC29" i="36"/>
  <c r="AK29" i="36"/>
  <c r="AL29" i="36"/>
  <c r="AM29" i="36"/>
  <c r="AV29" i="36"/>
  <c r="BA29" i="36"/>
  <c r="BE29" i="36"/>
  <c r="BW29" i="36"/>
  <c r="CZ29" i="36"/>
  <c r="DA29" i="36"/>
  <c r="DB29" i="36"/>
  <c r="DF29" i="36"/>
  <c r="DG29" i="36"/>
  <c r="DI29" i="36"/>
  <c r="B30" i="36"/>
  <c r="C30" i="36"/>
  <c r="K30" i="36"/>
  <c r="L30" i="36"/>
  <c r="M30" i="36"/>
  <c r="N30" i="36"/>
  <c r="O30" i="36"/>
  <c r="AM30" i="36"/>
  <c r="AU30" i="36"/>
  <c r="AV30" i="36"/>
  <c r="AW30" i="36"/>
  <c r="AX30" i="36"/>
  <c r="BA30" i="36"/>
  <c r="BD30" i="36"/>
  <c r="BF30" i="36"/>
  <c r="BW30" i="36"/>
  <c r="CZ30" i="36"/>
  <c r="DA30" i="36"/>
  <c r="DB30" i="36"/>
  <c r="DF30" i="36"/>
  <c r="DG30" i="36"/>
  <c r="DI30" i="36"/>
  <c r="B31" i="36"/>
  <c r="C31" i="36"/>
  <c r="AM31" i="36"/>
  <c r="AU31" i="36"/>
  <c r="BG31" i="36"/>
  <c r="BH31" i="36"/>
  <c r="BJ31" i="36"/>
  <c r="DF31" i="36"/>
  <c r="DG31" i="36"/>
  <c r="DI31" i="36"/>
  <c r="E32" i="36"/>
  <c r="K32" i="36"/>
  <c r="O32" i="36"/>
  <c r="AM32" i="36"/>
  <c r="AU32" i="36"/>
  <c r="AY32" i="36"/>
  <c r="BA32" i="36"/>
  <c r="BC32" i="36"/>
  <c r="BF32" i="36"/>
  <c r="BZ32" i="36"/>
  <c r="DF32" i="36"/>
  <c r="E33" i="36"/>
  <c r="AM33" i="36"/>
  <c r="AU33" i="36"/>
  <c r="BG33" i="36"/>
  <c r="BH33" i="36"/>
  <c r="BQ33" i="36"/>
  <c r="BR33" i="36"/>
  <c r="BS33" i="36"/>
  <c r="BT33" i="36"/>
  <c r="BY33" i="36"/>
  <c r="CB33" i="36"/>
  <c r="CK33" i="36"/>
  <c r="CS33" i="36"/>
  <c r="DF33" i="36"/>
  <c r="DG33" i="36"/>
  <c r="DH33" i="36"/>
  <c r="DI33" i="36"/>
  <c r="AF34" i="36"/>
  <c r="AH34" i="36"/>
  <c r="AI34" i="36"/>
  <c r="AJ34" i="36"/>
  <c r="AK34" i="36"/>
  <c r="AL34" i="36"/>
  <c r="AM34" i="36"/>
  <c r="AU34" i="36"/>
  <c r="AV34" i="36"/>
  <c r="AW34" i="36"/>
  <c r="AX34" i="36"/>
  <c r="BD34" i="36"/>
  <c r="BF34" i="36"/>
  <c r="BP34" i="36"/>
  <c r="BQ34" i="36"/>
  <c r="BR34" i="36"/>
  <c r="BS34" i="36"/>
  <c r="BT34" i="36"/>
  <c r="BU34" i="36"/>
  <c r="BV34" i="36"/>
  <c r="BW34" i="36"/>
  <c r="BX34" i="36"/>
  <c r="BY34" i="36"/>
  <c r="CB34" i="36"/>
  <c r="CC34" i="36"/>
  <c r="CD34" i="36"/>
  <c r="CG34" i="36"/>
  <c r="CH34" i="36"/>
  <c r="CI34" i="36"/>
  <c r="CS34" i="36"/>
  <c r="CT34" i="36"/>
  <c r="CU34" i="36"/>
  <c r="DG34" i="36"/>
  <c r="DH34" i="36"/>
  <c r="DI34" i="36"/>
  <c r="AV35" i="36"/>
  <c r="BD35" i="36"/>
  <c r="BQ35" i="36"/>
  <c r="BS35" i="36"/>
  <c r="BY35" i="36"/>
  <c r="CB35" i="36"/>
  <c r="CK35" i="36"/>
  <c r="CS35" i="36"/>
  <c r="DA35" i="36"/>
  <c r="DG35" i="36"/>
  <c r="DH35" i="36"/>
  <c r="DI35" i="36"/>
  <c r="BC36" i="36"/>
  <c r="BH36" i="36"/>
  <c r="AU37" i="36"/>
  <c r="AV37" i="36"/>
  <c r="AW37" i="36"/>
  <c r="BG37" i="36"/>
  <c r="BH37" i="36"/>
  <c r="DA37" i="36"/>
  <c r="F38" i="36"/>
  <c r="AI38" i="36"/>
  <c r="AO38" i="36"/>
  <c r="BA38" i="36"/>
  <c r="BE38" i="36"/>
  <c r="BH38" i="36"/>
  <c r="BP38" i="36"/>
  <c r="DA38" i="36"/>
  <c r="DH38" i="36"/>
  <c r="N39" i="36"/>
  <c r="U39" i="36"/>
  <c r="V39" i="36"/>
  <c r="AU39" i="36"/>
  <c r="AV39" i="36"/>
  <c r="AW39" i="36"/>
  <c r="BH39" i="36"/>
  <c r="DE39" i="36"/>
  <c r="DK39" i="36"/>
  <c r="L40" i="36"/>
  <c r="M40" i="36"/>
  <c r="N40" i="36"/>
  <c r="O40" i="36"/>
  <c r="Q40" i="36"/>
  <c r="R40" i="36"/>
  <c r="T40" i="36"/>
  <c r="AG40" i="36"/>
  <c r="AW40" i="36"/>
  <c r="BC40" i="36"/>
  <c r="BH40" i="36"/>
  <c r="DH40" i="36"/>
  <c r="N41" i="36"/>
  <c r="AF41" i="36"/>
  <c r="AI41" i="36"/>
  <c r="AL41" i="36"/>
  <c r="AO41" i="36"/>
  <c r="AR41" i="36"/>
  <c r="AW41" i="36"/>
  <c r="BD41" i="36"/>
  <c r="BE41" i="36"/>
  <c r="CX41" i="36"/>
  <c r="CY41" i="36"/>
  <c r="CZ41" i="36"/>
  <c r="DA41" i="36"/>
  <c r="DB41" i="36"/>
  <c r="DC41" i="36"/>
  <c r="DD41" i="36"/>
  <c r="L42" i="36"/>
  <c r="Y42" i="36"/>
  <c r="AV42" i="36"/>
  <c r="AW42" i="36"/>
  <c r="AX42" i="36"/>
  <c r="BD42" i="36"/>
  <c r="BF42" i="36"/>
  <c r="DH42" i="36"/>
  <c r="H43" i="36"/>
  <c r="N43" i="36"/>
  <c r="R43" i="36"/>
  <c r="U43" i="36"/>
  <c r="V43" i="36"/>
  <c r="X43" i="36"/>
  <c r="AM43" i="36"/>
  <c r="AU43" i="36"/>
  <c r="BC43" i="36"/>
  <c r="BG43" i="36"/>
  <c r="BH43" i="36"/>
  <c r="CP43" i="36"/>
  <c r="CQ43" i="36"/>
  <c r="CR43" i="36"/>
  <c r="CS43" i="36"/>
  <c r="CT43" i="36"/>
  <c r="CU43" i="36"/>
  <c r="CV43" i="36"/>
  <c r="CW43" i="36"/>
  <c r="DE43" i="36"/>
  <c r="DK43" i="36"/>
  <c r="AU44" i="36"/>
  <c r="AV44" i="36"/>
  <c r="AY44" i="36"/>
  <c r="BA44" i="36"/>
  <c r="BD44" i="36"/>
  <c r="BF44" i="36"/>
  <c r="BG44" i="36"/>
  <c r="CP44" i="36"/>
  <c r="CT44" i="36"/>
  <c r="CU44" i="36"/>
  <c r="N45" i="36"/>
  <c r="O45" i="36"/>
  <c r="P45" i="36"/>
  <c r="T45" i="36"/>
  <c r="V45" i="36"/>
  <c r="X45" i="36"/>
  <c r="Z45" i="36"/>
  <c r="AK45" i="36"/>
  <c r="AU45" i="36"/>
  <c r="AW45" i="36"/>
  <c r="BA45" i="36"/>
  <c r="BD45" i="36"/>
  <c r="BG45" i="36"/>
  <c r="BH45" i="36"/>
  <c r="BJ45" i="36"/>
  <c r="BU45" i="36"/>
  <c r="CI45" i="36"/>
  <c r="CJ45" i="36"/>
  <c r="CO45" i="36"/>
  <c r="CP45" i="36"/>
  <c r="CS45" i="36"/>
  <c r="CU45" i="36"/>
  <c r="CV45" i="36"/>
  <c r="G46" i="36"/>
  <c r="M46" i="36"/>
  <c r="R46" i="36"/>
  <c r="X46" i="36"/>
  <c r="Z46" i="36"/>
  <c r="AI46" i="36"/>
  <c r="AV46" i="36"/>
  <c r="AX46" i="36"/>
  <c r="BD46" i="36"/>
  <c r="BF46" i="36"/>
  <c r="BU46" i="36"/>
  <c r="BV46" i="36"/>
  <c r="BW46" i="36"/>
  <c r="CP46" i="36"/>
  <c r="M47" i="36"/>
  <c r="T47" i="36"/>
  <c r="V47" i="36"/>
  <c r="X47" i="36"/>
  <c r="Y47" i="36"/>
  <c r="Z47" i="36"/>
  <c r="AG47" i="36"/>
  <c r="AH47" i="36"/>
  <c r="AI47" i="36"/>
  <c r="AN47" i="36"/>
  <c r="AW47" i="36"/>
  <c r="BA47" i="36"/>
  <c r="BE47" i="36"/>
  <c r="BS47" i="36"/>
  <c r="BT47" i="36"/>
  <c r="BU47" i="36"/>
  <c r="BW47" i="36"/>
  <c r="CD47" i="36"/>
  <c r="CE47" i="36"/>
  <c r="CO47" i="36"/>
  <c r="CP47" i="36"/>
  <c r="M48" i="36"/>
  <c r="P48" i="36"/>
  <c r="S48" i="36"/>
  <c r="W48" i="36"/>
  <c r="AI48" i="36"/>
  <c r="AQ48" i="36"/>
  <c r="AW48" i="36"/>
  <c r="BE48" i="36"/>
  <c r="BV48" i="36"/>
  <c r="BW48" i="36"/>
  <c r="BX48" i="36"/>
  <c r="CD48" i="36"/>
  <c r="CF48" i="36"/>
  <c r="CG48" i="36"/>
  <c r="CH48" i="36"/>
  <c r="CI48" i="36"/>
  <c r="CJ48" i="36"/>
  <c r="CK48" i="36"/>
  <c r="CM48" i="36"/>
  <c r="CP48" i="36"/>
  <c r="CQ48" i="36"/>
  <c r="CR48" i="36"/>
  <c r="CS48" i="36"/>
  <c r="CT48" i="36"/>
  <c r="CU48" i="36"/>
  <c r="S49" i="36"/>
  <c r="U49" i="36"/>
  <c r="Z49" i="36"/>
  <c r="AA49" i="36"/>
  <c r="AC49" i="36"/>
  <c r="AG49" i="36"/>
  <c r="AH49" i="36"/>
  <c r="AI49" i="36"/>
  <c r="AJ49" i="36"/>
  <c r="AN49" i="36"/>
  <c r="BU49" i="36"/>
  <c r="CD49" i="36"/>
  <c r="CE49" i="36"/>
  <c r="CO49" i="36"/>
  <c r="CP49" i="36"/>
  <c r="CU49" i="36"/>
  <c r="P50" i="36"/>
  <c r="R50" i="36"/>
  <c r="S50" i="36"/>
  <c r="T50" i="36"/>
  <c r="U50" i="36"/>
  <c r="V50" i="36"/>
  <c r="W50" i="36"/>
  <c r="X50" i="36"/>
  <c r="Y50" i="36"/>
  <c r="Z50" i="36"/>
  <c r="AA50" i="36"/>
  <c r="AB50" i="36"/>
  <c r="AC50" i="36"/>
  <c r="AD50" i="36"/>
  <c r="AI50" i="36"/>
  <c r="AX50" i="36"/>
  <c r="AZ50" i="36"/>
  <c r="BB50" i="36"/>
  <c r="BD50" i="36"/>
  <c r="BF50" i="36"/>
  <c r="CP50" i="36"/>
  <c r="CU50" i="36"/>
  <c r="DJ50" i="36"/>
  <c r="L51" i="36"/>
  <c r="P51" i="36"/>
  <c r="Q51" i="36"/>
  <c r="R51" i="36"/>
  <c r="AD51" i="36"/>
  <c r="AK51" i="36"/>
  <c r="CI51" i="36"/>
  <c r="CJ51" i="36"/>
  <c r="CO51" i="36"/>
  <c r="CP51" i="36"/>
  <c r="CU51" i="36"/>
  <c r="DH51" i="36"/>
  <c r="DI51" i="36"/>
  <c r="DJ51" i="36"/>
  <c r="L52" i="36"/>
  <c r="O52" i="36"/>
  <c r="P52" i="36"/>
  <c r="R52" i="36"/>
  <c r="U52" i="36"/>
  <c r="V52" i="36"/>
  <c r="W52" i="36"/>
  <c r="X52" i="36"/>
  <c r="Y52" i="36"/>
  <c r="Z52" i="36"/>
  <c r="AA52" i="36"/>
  <c r="AB52" i="36"/>
  <c r="AD52" i="36"/>
  <c r="AQ52" i="36"/>
  <c r="AU52" i="36"/>
  <c r="BH52" i="36"/>
  <c r="CP52" i="36"/>
  <c r="CT52" i="36"/>
  <c r="CU52" i="36"/>
  <c r="CV52" i="36"/>
  <c r="DJ52" i="36"/>
  <c r="L53" i="36"/>
  <c r="O53" i="36"/>
  <c r="R53" i="36"/>
  <c r="U53" i="36"/>
  <c r="V53" i="36"/>
  <c r="W53" i="36"/>
  <c r="X53" i="36"/>
  <c r="Y53" i="36"/>
  <c r="Z53" i="36"/>
  <c r="AA53" i="36"/>
  <c r="AB53" i="36"/>
  <c r="AD53" i="36"/>
  <c r="AI53" i="36"/>
  <c r="AN53" i="36"/>
  <c r="AO53" i="36"/>
  <c r="AQ53" i="36"/>
  <c r="BM53" i="36"/>
  <c r="CP53" i="36"/>
  <c r="DH53" i="36"/>
  <c r="DJ53" i="36"/>
  <c r="H54" i="36"/>
  <c r="K54" i="36"/>
  <c r="O54" i="36"/>
  <c r="Q54" i="36"/>
  <c r="R54" i="36"/>
  <c r="U54" i="36"/>
  <c r="V54" i="36"/>
  <c r="W54" i="36"/>
  <c r="X54" i="36"/>
  <c r="Y54" i="36"/>
  <c r="Z54" i="36"/>
  <c r="AA54" i="36"/>
  <c r="AB54" i="36"/>
  <c r="AD54" i="36"/>
  <c r="AE54" i="36"/>
  <c r="AP54" i="36"/>
  <c r="AQ54" i="36"/>
  <c r="BH54" i="36"/>
  <c r="BK54" i="36"/>
  <c r="BL54" i="36"/>
  <c r="BM54" i="36"/>
  <c r="BN54" i="36"/>
  <c r="BO54" i="36"/>
  <c r="CP54" i="36"/>
  <c r="DJ54" i="36"/>
  <c r="D55" i="36"/>
  <c r="K55" i="36"/>
  <c r="M55" i="36"/>
  <c r="N55" i="36"/>
  <c r="O55" i="36"/>
  <c r="R55" i="36"/>
  <c r="AD55" i="36"/>
  <c r="AG55" i="36"/>
  <c r="AR55" i="36"/>
  <c r="BM55" i="36"/>
  <c r="CP55" i="36"/>
  <c r="CU55" i="36"/>
  <c r="CV55" i="36"/>
  <c r="DH55" i="36"/>
  <c r="DJ55" i="36"/>
  <c r="F56" i="36"/>
  <c r="G56" i="36"/>
  <c r="H56" i="36"/>
  <c r="K56" i="36"/>
  <c r="L56" i="36"/>
  <c r="M56" i="36"/>
  <c r="N56" i="36"/>
  <c r="O56" i="36"/>
  <c r="P56" i="36"/>
  <c r="R56" i="36"/>
  <c r="S56" i="36"/>
  <c r="T56" i="36"/>
  <c r="U56" i="36"/>
  <c r="V56" i="36"/>
  <c r="W56" i="36"/>
  <c r="X56" i="36"/>
  <c r="Y56" i="36"/>
  <c r="Z56" i="36"/>
  <c r="AA56" i="36"/>
  <c r="AB56" i="36"/>
  <c r="AC56" i="36"/>
  <c r="AD56" i="36"/>
  <c r="AX56" i="36"/>
  <c r="AZ56" i="36"/>
  <c r="BB56" i="36"/>
  <c r="BD56" i="36"/>
  <c r="BF56" i="36"/>
  <c r="BM56" i="36"/>
  <c r="CP56" i="36"/>
  <c r="CU56" i="36"/>
  <c r="DH56" i="36"/>
  <c r="D57" i="36"/>
  <c r="E57" i="36"/>
  <c r="I57" i="36"/>
  <c r="AA57" i="36"/>
  <c r="AP57" i="36"/>
  <c r="AQ57" i="36"/>
  <c r="AV57" i="36"/>
  <c r="BK57" i="36"/>
  <c r="BO57" i="36"/>
  <c r="CP57" i="36"/>
  <c r="CQ57" i="36"/>
  <c r="CU57" i="36"/>
  <c r="E58" i="36"/>
  <c r="K58" i="36"/>
  <c r="L58" i="36"/>
  <c r="M58" i="36"/>
  <c r="N58" i="36"/>
  <c r="O58" i="36"/>
  <c r="P58" i="36"/>
  <c r="AJ58" i="36"/>
  <c r="AL58" i="36"/>
  <c r="AN58" i="36"/>
  <c r="AQ58" i="36"/>
  <c r="CP58" i="36"/>
  <c r="CU58" i="36"/>
  <c r="DH58" i="36"/>
  <c r="D59" i="36"/>
  <c r="E59" i="36"/>
  <c r="F59" i="36"/>
  <c r="H59" i="36"/>
  <c r="I59" i="36"/>
  <c r="Q59" i="36"/>
  <c r="W59" i="36"/>
  <c r="Z59" i="36"/>
  <c r="AC59" i="36"/>
  <c r="AD59" i="36"/>
  <c r="AE59" i="36"/>
  <c r="AI59" i="36"/>
  <c r="DE59" i="36"/>
  <c r="DK59" i="36"/>
  <c r="D60" i="36"/>
  <c r="E60" i="36"/>
  <c r="F60" i="36"/>
  <c r="P60" i="36"/>
  <c r="R60" i="36"/>
  <c r="X60" i="36"/>
  <c r="AB60" i="36"/>
  <c r="AE60" i="36"/>
  <c r="AP60" i="36"/>
  <c r="DH60" i="36"/>
  <c r="D61" i="36"/>
  <c r="E61" i="36"/>
  <c r="F61" i="36"/>
  <c r="H61" i="36"/>
  <c r="P61" i="36"/>
  <c r="Y61" i="36"/>
  <c r="AD61" i="36"/>
  <c r="AH61" i="36"/>
  <c r="C62" i="36"/>
  <c r="H62" i="36"/>
  <c r="P62" i="36"/>
  <c r="S62" i="36"/>
  <c r="T62" i="36"/>
  <c r="Y62" i="36"/>
  <c r="AD62" i="36"/>
  <c r="AE62" i="36"/>
  <c r="AK62" i="36"/>
  <c r="AN62" i="36"/>
  <c r="DH62" i="36"/>
  <c r="C63" i="36"/>
  <c r="D63" i="36"/>
  <c r="E63" i="36"/>
  <c r="F63" i="36"/>
  <c r="P63" i="36"/>
  <c r="R63" i="36"/>
  <c r="W63" i="36"/>
  <c r="Y63" i="36"/>
  <c r="AD63" i="36"/>
  <c r="AI63" i="36"/>
  <c r="DE63" i="36"/>
  <c r="DK63" i="36"/>
  <c r="P64" i="36"/>
  <c r="S64" i="36"/>
  <c r="Y64" i="36"/>
  <c r="AD64" i="36"/>
  <c r="AG64" i="36"/>
  <c r="AH64" i="36"/>
  <c r="AI64" i="36"/>
  <c r="AQ64" i="36"/>
  <c r="BF64" i="36"/>
  <c r="BR64" i="36"/>
  <c r="BS64" i="36"/>
  <c r="BT64" i="36"/>
  <c r="BU64" i="36"/>
  <c r="D65" i="36"/>
  <c r="H65" i="36"/>
  <c r="I65" i="36"/>
  <c r="P65" i="36"/>
  <c r="R65" i="36"/>
  <c r="Y65" i="36"/>
  <c r="AD65" i="36"/>
  <c r="AE65" i="36"/>
  <c r="AI65" i="36"/>
  <c r="AL65" i="36"/>
  <c r="AQ65" i="36"/>
  <c r="AY65" i="36"/>
  <c r="AZ65" i="36"/>
  <c r="BC65" i="36"/>
  <c r="BF65" i="36"/>
  <c r="BR65" i="36"/>
  <c r="BY65" i="36"/>
  <c r="CM65" i="36"/>
  <c r="CN65" i="36"/>
  <c r="CO65" i="36"/>
  <c r="O66" i="36"/>
  <c r="Q66" i="36"/>
  <c r="S66" i="36"/>
  <c r="AE66" i="36"/>
  <c r="AG66" i="36"/>
  <c r="AH66" i="36"/>
  <c r="AI66" i="36"/>
  <c r="AK66" i="36"/>
  <c r="AV66" i="36"/>
  <c r="AZ66" i="36"/>
  <c r="BA66" i="36"/>
  <c r="BH66" i="36"/>
  <c r="BL66" i="36"/>
  <c r="BN66" i="36"/>
  <c r="BO66" i="36"/>
  <c r="BP66" i="36"/>
  <c r="BT66" i="36"/>
  <c r="BU66" i="36"/>
  <c r="BV66" i="36"/>
  <c r="BX66" i="36"/>
  <c r="BY66" i="36"/>
  <c r="BZ66" i="36"/>
  <c r="CB66" i="36"/>
  <c r="CD66" i="36"/>
  <c r="CM66" i="36"/>
  <c r="CN66" i="36"/>
  <c r="CO66" i="36"/>
  <c r="DG66" i="36"/>
  <c r="DH66" i="36"/>
  <c r="DI66" i="36"/>
  <c r="N67" i="36"/>
  <c r="AE67" i="36"/>
  <c r="AI67" i="36"/>
  <c r="AM67" i="36"/>
  <c r="AO67" i="36"/>
  <c r="AQ67" i="36"/>
  <c r="AY67" i="36"/>
  <c r="AZ67" i="36"/>
  <c r="BC67" i="36"/>
  <c r="BJ67" i="36"/>
  <c r="CM67" i="36"/>
  <c r="CN67" i="36"/>
  <c r="CO67" i="36"/>
  <c r="DG67" i="36"/>
  <c r="DH67" i="36"/>
  <c r="DI67" i="36"/>
  <c r="N68" i="36"/>
  <c r="O68" i="36"/>
  <c r="Q68" i="36"/>
  <c r="S68" i="36"/>
  <c r="AE68" i="36"/>
  <c r="AG68" i="36"/>
  <c r="AU68" i="36"/>
  <c r="BC68" i="36"/>
  <c r="CC68" i="36"/>
  <c r="CD68" i="36"/>
  <c r="CQ68" i="36"/>
  <c r="DG68" i="36"/>
  <c r="DH68" i="36"/>
  <c r="DI68" i="36"/>
  <c r="N69" i="36"/>
  <c r="Q69" i="36"/>
  <c r="AE69" i="36"/>
  <c r="AG69" i="36"/>
  <c r="BC69" i="36"/>
  <c r="CQ69" i="36"/>
  <c r="AD70" i="36"/>
  <c r="AE70" i="36"/>
  <c r="AJ70" i="36"/>
  <c r="AL70" i="36"/>
  <c r="AN70" i="36"/>
  <c r="AP70" i="36"/>
  <c r="BA70" i="36"/>
  <c r="BC70" i="36"/>
  <c r="BE70" i="36"/>
  <c r="BT70" i="36"/>
  <c r="BX70" i="36"/>
  <c r="CH70" i="36"/>
  <c r="CQ70" i="36"/>
  <c r="DR70" i="36"/>
  <c r="O71" i="36"/>
  <c r="Q71" i="36"/>
  <c r="S71" i="36"/>
  <c r="Y71" i="36"/>
  <c r="Z71" i="36"/>
  <c r="AA71" i="36"/>
  <c r="AB71" i="36"/>
  <c r="AC71" i="36"/>
  <c r="AD71" i="36"/>
  <c r="AE71" i="36"/>
  <c r="AH71" i="36"/>
  <c r="AO71" i="36"/>
  <c r="AQ71" i="36"/>
  <c r="AV71" i="36"/>
  <c r="AW71" i="36"/>
  <c r="AY71" i="36"/>
  <c r="BD71" i="36"/>
  <c r="BF71" i="36"/>
  <c r="BU71" i="36"/>
  <c r="BV71" i="36"/>
  <c r="BW71" i="36"/>
  <c r="CJ71" i="36"/>
  <c r="CM71" i="36"/>
  <c r="CQ71" i="36"/>
  <c r="DR71" i="36"/>
  <c r="DS71" i="36"/>
  <c r="DT71" i="36"/>
  <c r="Q72" i="36"/>
  <c r="AG72" i="36"/>
  <c r="AJ72" i="36"/>
  <c r="AL72" i="36"/>
  <c r="AN72" i="36"/>
  <c r="AU72" i="36"/>
  <c r="AW72" i="36"/>
  <c r="AX72" i="36"/>
  <c r="BD72" i="36"/>
  <c r="BF72" i="36"/>
  <c r="BG72" i="36"/>
  <c r="BR72" i="36"/>
  <c r="BT72" i="36"/>
  <c r="BX72" i="36"/>
  <c r="BZ72" i="36"/>
  <c r="CI72" i="36"/>
  <c r="CK72" i="36"/>
  <c r="CL72" i="36"/>
  <c r="CN72" i="36"/>
  <c r="CQ72" i="36"/>
  <c r="DR72" i="36"/>
  <c r="DS72" i="36"/>
  <c r="DT72" i="36"/>
  <c r="E73" i="36"/>
  <c r="F73" i="36"/>
  <c r="G73" i="36"/>
  <c r="Q73" i="36"/>
  <c r="Y73" i="36"/>
  <c r="AA73" i="36"/>
  <c r="AC73" i="36"/>
  <c r="AY73" i="36"/>
  <c r="AZ73" i="36"/>
  <c r="BD73" i="36"/>
  <c r="BF73" i="36"/>
  <c r="BO73" i="36"/>
  <c r="BS73" i="36"/>
  <c r="BV73" i="36"/>
  <c r="BY73" i="36"/>
  <c r="CD73" i="36"/>
  <c r="CJ73" i="36"/>
  <c r="CK73" i="36"/>
  <c r="CL73" i="36"/>
  <c r="CM73" i="36"/>
  <c r="CP73" i="36"/>
  <c r="CQ73" i="36"/>
  <c r="CX73" i="36"/>
  <c r="CY73" i="36"/>
  <c r="CZ73" i="36"/>
  <c r="DA73" i="36"/>
  <c r="DB73" i="36"/>
  <c r="DC73" i="36"/>
  <c r="DD73" i="36"/>
  <c r="DE73" i="36"/>
  <c r="DF73" i="36"/>
  <c r="DG73" i="36"/>
  <c r="DH73" i="36"/>
  <c r="DI73" i="36"/>
  <c r="DJ73" i="36"/>
  <c r="DK73" i="36"/>
  <c r="DL73" i="36"/>
  <c r="DQ73" i="36"/>
  <c r="DS73" i="36"/>
  <c r="DU73" i="36"/>
  <c r="F74" i="36"/>
  <c r="G74" i="36"/>
  <c r="I74" i="36"/>
  <c r="K74" i="36"/>
  <c r="N74" i="36"/>
  <c r="O74" i="36"/>
  <c r="Q74" i="36"/>
  <c r="AC74" i="36"/>
  <c r="AV74" i="36"/>
  <c r="BB74" i="36"/>
  <c r="BF74" i="36"/>
  <c r="BO74" i="36"/>
  <c r="BR74" i="36"/>
  <c r="BS74" i="36"/>
  <c r="BY74" i="36"/>
  <c r="BZ74" i="36"/>
  <c r="CA74" i="36"/>
  <c r="CF74" i="36"/>
  <c r="CG74" i="36"/>
  <c r="CH74" i="36"/>
  <c r="CI74" i="36"/>
  <c r="CJ74" i="36"/>
  <c r="CK74" i="36"/>
  <c r="CL74" i="36"/>
  <c r="CM74" i="36"/>
  <c r="CQ74" i="36"/>
  <c r="CX74" i="36"/>
  <c r="CY74" i="36"/>
  <c r="CZ74" i="36"/>
  <c r="DA74" i="36"/>
  <c r="DB74" i="36"/>
  <c r="DC74" i="36"/>
  <c r="DD74" i="36"/>
  <c r="DE74" i="36"/>
  <c r="DF74" i="36"/>
  <c r="DG74" i="36"/>
  <c r="DH74" i="36"/>
  <c r="DI74" i="36"/>
  <c r="DJ74" i="36"/>
  <c r="DK74" i="36"/>
  <c r="DL74" i="36"/>
  <c r="DQ74" i="36"/>
  <c r="DS74" i="36"/>
  <c r="DU74" i="36"/>
  <c r="Y75" i="36"/>
  <c r="AA75" i="36"/>
  <c r="AC75" i="36"/>
  <c r="AT75" i="36"/>
  <c r="AU75" i="36"/>
  <c r="AV75" i="36"/>
  <c r="BP75" i="36"/>
  <c r="BS75" i="36"/>
  <c r="CJ75" i="36"/>
  <c r="CK75" i="36"/>
  <c r="CL75" i="36"/>
  <c r="CM75" i="36"/>
  <c r="CO75" i="36"/>
  <c r="CQ75" i="36"/>
  <c r="CV75" i="36"/>
  <c r="CW75" i="36"/>
  <c r="CX75" i="36"/>
  <c r="CY75" i="36"/>
  <c r="CZ75" i="36"/>
  <c r="DA75" i="36"/>
  <c r="DL75" i="36"/>
  <c r="DS75" i="36"/>
  <c r="E76" i="36"/>
  <c r="G76" i="36"/>
  <c r="I76" i="36"/>
  <c r="K76" i="36"/>
  <c r="X76" i="36"/>
  <c r="AT76" i="36"/>
  <c r="AU76" i="36"/>
  <c r="AV76" i="36"/>
  <c r="BN76" i="36"/>
  <c r="BP76" i="36"/>
  <c r="BT76" i="36"/>
  <c r="BU76" i="36"/>
  <c r="BV76" i="36"/>
  <c r="BW76" i="36"/>
  <c r="BX76" i="36"/>
  <c r="BZ76" i="36"/>
  <c r="CE76" i="36"/>
  <c r="CI76" i="36"/>
  <c r="CK76" i="36"/>
  <c r="CL76" i="36"/>
  <c r="CN76" i="36"/>
  <c r="CQ76" i="36"/>
  <c r="CV76" i="36"/>
  <c r="CW76" i="36"/>
  <c r="CX76" i="36"/>
  <c r="CY76" i="36"/>
  <c r="CZ76" i="36"/>
  <c r="DA76" i="36"/>
  <c r="DC76" i="36"/>
  <c r="DD76" i="36"/>
  <c r="DE76" i="36"/>
  <c r="DF76" i="36"/>
  <c r="DG76" i="36"/>
  <c r="DH76" i="36"/>
  <c r="DI76" i="36"/>
  <c r="DJ76" i="36"/>
  <c r="DL76" i="36"/>
  <c r="DS76" i="36"/>
  <c r="AT77" i="36"/>
  <c r="AU77" i="36"/>
  <c r="AV77" i="36"/>
  <c r="BP77" i="36"/>
  <c r="BS77" i="36"/>
  <c r="BW77" i="36"/>
  <c r="BX77" i="36"/>
  <c r="CE77" i="36"/>
  <c r="CJ77" i="36"/>
  <c r="CM77" i="36"/>
  <c r="CN77" i="36"/>
  <c r="CQ77" i="36"/>
  <c r="CV77" i="36"/>
  <c r="CW77" i="36"/>
  <c r="CX77" i="36"/>
  <c r="CY77" i="36"/>
  <c r="CZ77" i="36"/>
  <c r="DA77" i="36"/>
  <c r="DC77" i="36"/>
  <c r="DD77" i="36"/>
  <c r="DE77" i="36"/>
  <c r="DF77" i="36"/>
  <c r="DG77" i="36"/>
  <c r="DH77" i="36"/>
  <c r="DI77" i="36"/>
  <c r="DJ77" i="36"/>
  <c r="DL77" i="36"/>
  <c r="DR77" i="36"/>
  <c r="DT77" i="36"/>
  <c r="BW78" i="36"/>
  <c r="BX78" i="36"/>
  <c r="CE78" i="36"/>
  <c r="CL78" i="36"/>
  <c r="CM78" i="36"/>
  <c r="CQ78" i="36"/>
  <c r="CV78" i="36"/>
  <c r="CW78" i="36"/>
  <c r="CX78" i="36"/>
  <c r="CY78" i="36"/>
  <c r="CZ78" i="36"/>
  <c r="DA78" i="36"/>
  <c r="DB78" i="36"/>
  <c r="DC78" i="36"/>
  <c r="DD78" i="36"/>
  <c r="DE78" i="36"/>
  <c r="DF78" i="36"/>
  <c r="DG78" i="36"/>
  <c r="DH78" i="36"/>
  <c r="DI78" i="36"/>
  <c r="DJ78" i="36"/>
  <c r="DL78" i="36"/>
  <c r="DR78" i="36"/>
  <c r="DT78" i="36"/>
  <c r="CA79" i="36"/>
  <c r="CP79" i="36"/>
  <c r="CQ79" i="36"/>
  <c r="CV79" i="36"/>
  <c r="CW79" i="36"/>
  <c r="CX79" i="36"/>
  <c r="CY79" i="36"/>
  <c r="CZ79" i="36"/>
  <c r="DA79" i="36"/>
  <c r="DC79" i="36"/>
  <c r="DL79" i="36"/>
  <c r="CC80" i="36"/>
  <c r="CD80" i="36"/>
  <c r="CE80" i="36"/>
  <c r="CF80" i="36"/>
  <c r="CG80" i="36"/>
  <c r="CH80" i="36"/>
  <c r="CI80" i="36"/>
  <c r="CJ80" i="36"/>
  <c r="CK80" i="36"/>
  <c r="CL80" i="36"/>
  <c r="CM80" i="36"/>
  <c r="CN80" i="36"/>
  <c r="CO80" i="36"/>
  <c r="CP80" i="36"/>
  <c r="CQ80" i="36"/>
  <c r="CR80" i="36"/>
  <c r="CS80" i="36"/>
  <c r="CT80" i="36"/>
  <c r="CU80" i="36"/>
  <c r="CV80" i="36"/>
  <c r="CW80" i="36"/>
  <c r="CX80" i="36"/>
  <c r="CY80" i="36"/>
  <c r="CZ80" i="36"/>
  <c r="DA80" i="36"/>
  <c r="DB80" i="36"/>
  <c r="DC80" i="36"/>
  <c r="DD80" i="36"/>
  <c r="DE80" i="36"/>
  <c r="DF80" i="36"/>
  <c r="DG80" i="36"/>
  <c r="DH80" i="36"/>
  <c r="DI80" i="36"/>
  <c r="DJ80" i="36"/>
  <c r="DK80" i="36"/>
  <c r="DL80" i="36"/>
  <c r="C56" i="24"/>
  <c r="D56" i="24"/>
  <c r="C57" i="24"/>
  <c r="D57" i="24"/>
  <c r="C58" i="24"/>
  <c r="D58" i="24"/>
  <c r="C59" i="24"/>
  <c r="D59" i="24"/>
  <c r="C60" i="24"/>
  <c r="D60" i="24"/>
  <c r="C61" i="24"/>
  <c r="D61" i="24"/>
  <c r="C62" i="24"/>
  <c r="D62" i="24"/>
  <c r="C63" i="24"/>
  <c r="D63" i="24"/>
  <c r="C64" i="24"/>
  <c r="D64" i="24"/>
  <c r="C65" i="24"/>
  <c r="D65" i="24"/>
  <c r="C66" i="24"/>
  <c r="D66" i="24"/>
  <c r="C67" i="24"/>
  <c r="D67" i="24"/>
  <c r="C68" i="24"/>
  <c r="D68" i="24"/>
  <c r="C69" i="24"/>
  <c r="D69" i="24"/>
  <c r="C70" i="24"/>
  <c r="D70" i="24"/>
  <c r="C74" i="24"/>
  <c r="D74" i="24"/>
  <c r="A823" i="41"/>
  <c r="HA432" i="40"/>
</calcChain>
</file>

<file path=xl/comments1.xml><?xml version="1.0" encoding="utf-8"?>
<comments xmlns="http://schemas.openxmlformats.org/spreadsheetml/2006/main">
  <authors>
    <author>Александр</author>
  </authors>
  <commentList>
    <comment ref="B2" authorId="0" shapeId="0">
      <text>
        <r>
          <rPr>
            <b/>
            <sz val="8"/>
            <color indexed="81"/>
            <rFont val="Tahoma"/>
            <family val="2"/>
            <charset val="204"/>
          </rPr>
          <t>Home, sweet home!..</t>
        </r>
      </text>
    </comment>
    <comment ref="D2" authorId="0" shapeId="0">
      <text>
        <r>
          <rPr>
            <b/>
            <sz val="8"/>
            <color indexed="81"/>
            <rFont val="Tahoma"/>
            <family val="2"/>
            <charset val="204"/>
          </rPr>
          <t>No time to make a shit!</t>
        </r>
      </text>
    </comment>
    <comment ref="AH5" authorId="0" shapeId="0">
      <text>
        <r>
          <rPr>
            <i/>
            <sz val="8"/>
            <color indexed="81"/>
            <rFont val="Tahoma"/>
            <family val="2"/>
            <charset val="204"/>
          </rPr>
          <t>CAUTION: shotguns and explosives are stored on the 2nd floor. ONLY FOR AUTHORIZED PERSONNEL!!!</t>
        </r>
      </text>
    </comment>
    <comment ref="G74" authorId="0" shapeId="0">
      <text>
        <r>
          <rPr>
            <b/>
            <sz val="9"/>
            <color indexed="81"/>
            <rFont val="Tahoma"/>
            <family val="2"/>
            <charset val="204"/>
          </rPr>
          <t>26122006</t>
        </r>
      </text>
    </comment>
  </commentList>
</comments>
</file>

<file path=xl/comments2.xml><?xml version="1.0" encoding="utf-8"?>
<comments xmlns="http://schemas.openxmlformats.org/spreadsheetml/2006/main">
  <authors>
    <author>Александр</author>
  </authors>
  <commentList>
    <comment ref="BG40" authorId="0" shapeId="0">
      <text>
        <r>
          <rPr>
            <b/>
            <sz val="9"/>
            <color indexed="81"/>
            <rFont val="Tahoma"/>
            <family val="2"/>
            <charset val="204"/>
          </rPr>
          <t>7061974</t>
        </r>
      </text>
    </comment>
    <comment ref="X41" authorId="0" shapeId="0">
      <text>
        <r>
          <rPr>
            <b/>
            <sz val="9"/>
            <color indexed="81"/>
            <rFont val="Tahoma"/>
            <family val="2"/>
            <charset val="204"/>
          </rPr>
          <t>5111955</t>
        </r>
      </text>
    </comment>
    <comment ref="BA53" authorId="0" shapeId="0">
      <text>
        <r>
          <rPr>
            <b/>
            <sz val="9"/>
            <color indexed="81"/>
            <rFont val="Tahoma"/>
            <family val="2"/>
            <charset val="204"/>
          </rPr>
          <t>75081</t>
        </r>
      </text>
    </comment>
  </commentList>
</comments>
</file>

<file path=xl/comments3.xml><?xml version="1.0" encoding="utf-8"?>
<comments xmlns="http://schemas.openxmlformats.org/spreadsheetml/2006/main">
  <authors>
    <author>Александр</author>
    <author>Admin</author>
  </authors>
  <commentList>
    <comment ref="AU48" authorId="0" shapeId="0">
      <text>
        <r>
          <rPr>
            <b/>
            <sz val="9"/>
            <color indexed="81"/>
            <rFont val="Tahoma"/>
            <family val="2"/>
            <charset val="204"/>
          </rPr>
          <t>28111979</t>
        </r>
      </text>
    </comment>
    <comment ref="AI87" authorId="1" shapeId="0">
      <text>
        <r>
          <rPr>
            <b/>
            <sz val="8"/>
            <color indexed="81"/>
            <rFont val="Tahoma"/>
            <family val="2"/>
            <charset val="204"/>
          </rPr>
          <t>458376</t>
        </r>
      </text>
    </comment>
  </commentList>
</comments>
</file>

<file path=xl/comments4.xml><?xml version="1.0" encoding="utf-8"?>
<comments xmlns="http://schemas.openxmlformats.org/spreadsheetml/2006/main">
  <authors>
    <author>Александр</author>
  </authors>
  <commentList>
    <comment ref="BW26" authorId="0" shapeId="0">
      <text>
        <r>
          <rPr>
            <b/>
            <sz val="9"/>
            <color indexed="81"/>
            <rFont val="Tahoma"/>
            <family val="2"/>
            <charset val="204"/>
          </rPr>
          <t>666</t>
        </r>
      </text>
    </comment>
    <comment ref="CH51" authorId="0" shapeId="0">
      <text>
        <r>
          <rPr>
            <b/>
            <sz val="9"/>
            <color indexed="81"/>
            <rFont val="Tahoma"/>
            <family val="2"/>
            <charset val="204"/>
          </rPr>
          <t>3546</t>
        </r>
      </text>
    </comment>
  </commentList>
</comments>
</file>

<file path=xl/sharedStrings.xml><?xml version="1.0" encoding="utf-8"?>
<sst xmlns="http://schemas.openxmlformats.org/spreadsheetml/2006/main" count="1841" uniqueCount="1175">
  <si>
    <t>But LISTEN TO ME, bustards, who killed all my friends and kept me scared all night long - now I'm angry too! And i'm dangerous. Dangerous Dave!.. Huh, it sounds good!</t>
  </si>
  <si>
    <t>Tennis for two (1st electronic PvP action game with graphics)</t>
  </si>
  <si>
    <t>Spacewar! (1st computer PvP action game  with graphics)</t>
  </si>
  <si>
    <t>Periscope (1st electronic automat game)</t>
  </si>
  <si>
    <t>Bingo (1st text simulator of real game)</t>
  </si>
  <si>
    <t>Space Travel(1st UNIX computer game)</t>
  </si>
  <si>
    <t>Galaxy Game (1st automat arcade game)</t>
  </si>
  <si>
    <t>The Oregon Trail (1st educational/economic simulation game)</t>
  </si>
  <si>
    <r>
      <t xml:space="preserve">Maze War </t>
    </r>
    <r>
      <rPr>
        <i/>
        <sz val="9"/>
        <rFont val="Arial Cyr"/>
        <charset val="204"/>
      </rPr>
      <t>(1st tile-step 3D first person shooter-FPS)</t>
    </r>
  </si>
  <si>
    <t>Tank (1st two-dimensional labyrinth game)</t>
  </si>
  <si>
    <t>Spasim(1st 3D space multi-user simulator)</t>
  </si>
  <si>
    <t>Akalabeth: World of Doom (1st RPG Ultima with vector first-person 3D)</t>
  </si>
  <si>
    <t>Games, developed entirely in Microsoft Excel VBA:</t>
  </si>
  <si>
    <t>Pac-Man(1st Indy-genre automat arcade game)</t>
  </si>
  <si>
    <t>3D Monster Maze (1st tile-step 3D FPS for PC)</t>
  </si>
  <si>
    <t>Catacomb 3D(1st 3D FPS with texturized walls)</t>
  </si>
  <si>
    <t>Ultima Underworld: The stygian Abyss(1st 3D fully texturized PC game)</t>
  </si>
  <si>
    <t>Blue Sky Productions</t>
  </si>
  <si>
    <t>Телепорт на лабиринт перед пирамидой</t>
  </si>
  <si>
    <t>Телепорт 1 в лабиринте западной двери башни</t>
  </si>
  <si>
    <t>Телепорт к выходу  на лабиринт перед пирамидой</t>
  </si>
  <si>
    <t>Телепорт 2 в лабиринте западной двери башни</t>
  </si>
  <si>
    <t>Телепорт 3 в лабиринте западной двери башни</t>
  </si>
  <si>
    <t>Additional height for creature remains (0 - +10)</t>
  </si>
  <si>
    <t>left(indent) - will be activated after (indent level*4) seconds from level start</t>
  </si>
  <si>
    <t>Shrink To Fit (сжатие/растяжение текста)</t>
  </si>
  <si>
    <t>Applied to cells with high ceiling line set, it codes texturizing of it.</t>
  </si>
  <si>
    <t>Hi, Mike! Didn't change ya mind to rob a bank? Meet me tonight at the CyberCenter. I've got TNT.The vault will be full of cash! Let these stupid scientists think about their science, but we have to think about us -   I don't like what's goin' here. We'll BLOW UP THE VAULT DOOR, take the loot and quickly dump!          -Stan.</t>
  </si>
  <si>
    <t>I have to beat these bustards to get the key to the Top of the Tower!</t>
  </si>
  <si>
    <t>Works only within the cells, marked as ceiling holes. You need to mark with this marker ONLY border cells, surrounding area with the "ceiling hole" cells, where high ceiling has to be drawn.</t>
  </si>
  <si>
    <t>Hi! If you don't know- my name's Dave.I am a low-level technitian in a 'PROJECT 7'. They found remains of ancient extraterres- trial expedition in Antarctica... Never heared about this?</t>
  </si>
  <si>
    <t>They call him 'Ziggy'- the only corpse of E.T. leaved untouched through the millions of years... They studied it in a high security level deep in the heart of base... And you know what?</t>
  </si>
  <si>
    <t>IT TURNED ALIVE!!! DIDN'T  U HEAR THE BOOM SOUNDS AND SHOTS BEHIND THE WALL OF SECOND LEVEL THIS NIGHT?.. C'MON, IT WAS LOUD!</t>
  </si>
  <si>
    <t>THEY CRIED WHILE IT KILLS THEM... ALL OF THEM... NOW I THINK I'M ONLY ALIVE HUMAN IN THIS BASE... JUST A DAMNED LONER... WHAT CAN I DO!?</t>
  </si>
  <si>
    <t>Ok, I'm not a soldier. I'd rather get out of here and run away as fast as I can... But I can't. Why? BECAUSE THEY'VE LOCKED ALL DOORS IN A HOUSE! JUST TO PREVENT ESCAPE OF E.T.</t>
  </si>
  <si>
    <t>The only thing I can do - is to try to enter the higher levels. Thus I have to find the access keys of the level security officers (I suppose there are all of them exactly DEAD now).</t>
  </si>
  <si>
    <t>...And may be some-where   deep in a base I will find out HOW TO UNLOCK OUTER DOORS... AND I MAY FIND ZIGGY TOO!</t>
  </si>
  <si>
    <t>...By the way, my only weapon for now is a screw- wrench... JUST DAMNED SCREW-WRENCH, DUDE!.. That's my situation. ISN'T IT RIDICULOUS!? JUST FINE!..</t>
  </si>
  <si>
    <t xml:space="preserve"> ...A couple more steps - and I'll be at the Top of the Control Tower. As far as I understand, Ziggy is here, right above me! Now he controls the entire base from there, preparing the invasion of Earth.So I have no choice but to fight him. And, despite what I had to go through, now I'm really scared...</t>
  </si>
  <si>
    <t xml:space="preserve"> ...I am horrified at the thought that now I will encounter a powerful force described in legends drawn up long before the advent of mankind on Earth! Will I have the strength to defeat him - the ancient evil God, named Bastoth-Ragn-Ka,which he essentially is?        The moment of truth is coming right now!</t>
  </si>
  <si>
    <t xml:space="preserve"> Top of the Control Tower</t>
  </si>
  <si>
    <t>More of it, yesterday MY EYES WERE WOUNDED with the toxic fluid by accident at work. Thank to it, i'm still alive, staying at home all the day long. BUT I CAN HARDLY SEE NOW!! HOW CAN I SURVIVE!?</t>
  </si>
  <si>
    <t>...But ok. No more time for this SHIT... I HAVE TO DO SOMETHING! And I have to do it now.</t>
  </si>
  <si>
    <t xml:space="preserve">                                                                                                                                                                                 LET'S GO.                                                                                                                            (PRESS SPACE TO START)</t>
  </si>
  <si>
    <t>YES, I damn SCARED, but I HAVE to GO OUT to see WHAT'S HAPPEN!</t>
  </si>
  <si>
    <t>DAMN, it's a DEAD SILENCE! Where are all the people?</t>
  </si>
  <si>
    <t>OK, here's CARGO TELEPORT area and ARMORY, am I right? Money and guns.</t>
  </si>
  <si>
    <t>This BUTTON should open something SOMEWERE!</t>
  </si>
  <si>
    <t>Some MULTIPORT facilities look like a PUZZLE. Try to earn some money?</t>
  </si>
  <si>
    <t>This massive gate should be opened elsewere with a switch.</t>
  </si>
  <si>
    <t>These communication MINES are so deep, you'll never survive the fallin' into it! JUST BE CAREFUL.</t>
  </si>
  <si>
    <t>Push this box to move it to the teleport. C'mon, Dave, you did it before!</t>
  </si>
  <si>
    <t>They told me: 'To engage MultiPort, fill all the MultiPort areas with the boxes'... I remember.</t>
  </si>
  <si>
    <t>TO AUTHORIZED PERSONNEL: some backdoors for trespassing to the hidden P7 areas are active now!</t>
  </si>
  <si>
    <t>Hi, Todd, it's you? What happens here?.. Stop! Why you look so strange? Do you hear me?.. Damn, it's not you! Not you anymore!</t>
  </si>
  <si>
    <t>Oh my God, Nick!!! What a surprise from you! PLASMA GUN!? Cool! Thanx a lot, buddy!</t>
  </si>
  <si>
    <t>God damn, it's Nick!!! He's DEAD!.. I'll miss you, guy... RIP.</t>
  </si>
  <si>
    <t>As I know, these are the experimental HOVER transport platforms invented after study of the alien technologies. Incredible!</t>
  </si>
  <si>
    <t>Mgm... I've never been here before, but heard the gossips about CEMETERY... Suppose it's a bullshit!</t>
  </si>
  <si>
    <t>'TO ALL HYDRAULIC/ SANITARY WORKERS: As you know, last week the inspection of water tonnels was performed due to the cooling system malfunction. All the necessary repairs were performed.</t>
  </si>
  <si>
    <t>But your chief reports me that there are a lot of gear (including weapon units) were missing in tonnels during the inspection, which can lead to another system malfunctioning!</t>
  </si>
  <si>
    <t>I consider this result as unsatisfactory and suppose new inspection next week will eliminate all the excess parts from the tonnels (and will not leave the new ones there) ______P7 Chief J.Carmack</t>
  </si>
  <si>
    <t>Wow! It 's an experimental TelePort/TimePort facility. I heard they sent human objects not only over the distance, but through the time too!</t>
  </si>
  <si>
    <t>I have to find all keys to pass here!</t>
  </si>
  <si>
    <t>...so I leave this grim surrounding while steppin' into the dark rooms of second P7 security level. My friend, Nick Romero, helped me inspite of his death... What a terrifying things I will see there? Hordes of damned freaky creatures?.. Deadly effects of weird experiments?..</t>
  </si>
  <si>
    <t>Wow! PLASMA GUN! But guys, HOW could you lose it here?! Ahaha))</t>
  </si>
  <si>
    <t>THERE SOMETHIN' STRANGE ON TV!</t>
  </si>
  <si>
    <t>This BRIDGE is broken! I have to find other way.</t>
  </si>
  <si>
    <t>TO ALL: Barrels are extremely flammable and may explode with the hit or shot! Be careful!</t>
  </si>
  <si>
    <t>51 - (teller machine codes)</t>
  </si>
  <si>
    <t>52 - computer messages</t>
  </si>
  <si>
    <t>THERE'S NOTHING SUSPICIOUS.</t>
  </si>
  <si>
    <t>NIGHT AND SILENCE... THERE'S NO REASON FOR BEING NERVOUS.</t>
  </si>
  <si>
    <t>WHAT DO YOU WANT TO SEE THERE? DON'T WASTE YOUR TIME!</t>
  </si>
  <si>
    <t>HI, DAVE. YOUR PIN-CODE FOR TELLER MACHINE IS 112358. DON'T FORGET IT!</t>
  </si>
  <si>
    <t>Welcome to Window 2029! Push the START button to activate system.</t>
  </si>
  <si>
    <t>Nick wrote that he had lost the access keycards somewere nearby.</t>
  </si>
  <si>
    <t>...To those who will read this!!! I'm Nick Romero, the security guard of outer level. We are under ATTACK! Guys from upper levels said by INTERCOM that experiment went wrong trying to revive alien...</t>
  </si>
  <si>
    <t>All the people from my security level were vanished. I'm wounded and may be duying soon... As I know, my friend Dave was absent today, may be he's still alive?.. For you, Dave:</t>
  </si>
  <si>
    <t>Hi, John! As I know, month ago headquarter sent us new automated teller machine to supply base workers with cash. I thought I will never need it here, without the ability to spend money.</t>
  </si>
  <si>
    <t xml:space="preserve">But! Last week we were provided with vending machines for - you'll not believe - selling to us the bullets for our guns to maintain our responsibility... Guys up there are nuts!.. </t>
  </si>
  <si>
    <t>Still we, as armed guards, are in need for bullets to train the skills in shooting range. So now I ask you to provide us with PIN's for teller machine ASAP. ________Nick Romero'</t>
  </si>
  <si>
    <t>71 - paper messages</t>
  </si>
  <si>
    <t xml:space="preserve"> 'Hi, Tom! I can understand your disagree with this headquarter' directive, but we have no choice, thus we have to adopt it. ____ J.C.  P.S. Here's your PIN for teller machine: 20091970'</t>
  </si>
  <si>
    <t>Hello, it's Mark. Peter, you told me that yesterday in a bathroom you lost a paper with a PIN for the research arsenal. Guy, this is a serious thing, do not be so careless! Now your PIN: 26122006. Do not lose it again!</t>
  </si>
  <si>
    <t>P7 Bank Payment Bill  __________________________  Account PIN:  654543   Type:payment for food  Amount: 5 gold      __________________________  Balance on account:45 gold                           CAUTION: Don't share your PIN to protect your account from fraud!</t>
  </si>
  <si>
    <t>Level3</t>
  </si>
  <si>
    <t>Level5</t>
  </si>
  <si>
    <t>Level6</t>
  </si>
  <si>
    <t>Level7</t>
  </si>
  <si>
    <t>Link to line above</t>
  </si>
  <si>
    <t>Dave stayed for a while thinking about this possibility. Then he took a wrench in his left hand (he was lefty) and said to himself as bold as possible: "No matter what happens here, I have to do something! And i have to do it now!"</t>
  </si>
  <si>
    <t>With these brave words, Dave have pushed the door of his room and came out...</t>
  </si>
  <si>
    <t>Map description:</t>
  </si>
  <si>
    <t>Min. value</t>
  </si>
  <si>
    <t>Max.value</t>
  </si>
  <si>
    <t>Description:</t>
  </si>
  <si>
    <t># of indexes available</t>
  </si>
  <si>
    <t>Cell value -&gt;</t>
  </si>
  <si>
    <t>Integer part:</t>
  </si>
  <si>
    <t>High floors texture index +10000(optional, default 190000)</t>
  </si>
  <si>
    <t>(+ one of below, optional)</t>
  </si>
  <si>
    <t>Static wall (texture index)</t>
  </si>
  <si>
    <t>Dynamic wall (128 + texture index)</t>
  </si>
  <si>
    <t>Moving walls chain/train (256 + texture index)</t>
  </si>
  <si>
    <t xml:space="preserve">has to be accompanied by active side set opposite to the wanted movement of wall </t>
  </si>
  <si>
    <t>Movable Box Cell (384 + texture index)</t>
  </si>
  <si>
    <t>Window (512 + texture index)</t>
  </si>
  <si>
    <t>Door (640 + texture index)</t>
  </si>
  <si>
    <t>Sprite index (+ 768)</t>
  </si>
  <si>
    <t>Creature index (+ 1024)</t>
  </si>
  <si>
    <t>Voxel 3D object texture index (+ 1152)</t>
  </si>
  <si>
    <t>Polygonal 3D object model index (+ 1280)</t>
  </si>
  <si>
    <t>Underwater cell ID (+1536, m.b. paired with on-water cell)</t>
  </si>
  <si>
    <t>Message object ID (+ 1792)</t>
  </si>
  <si>
    <t>x16</t>
  </si>
  <si>
    <t>x17</t>
  </si>
  <si>
    <t>Spawn cell(+2176 for frozen,and +2176+64 for hunt creature)</t>
  </si>
  <si>
    <t>128 (64+64)</t>
  </si>
  <si>
    <t>Will be activated via special tag, applied to this cell</t>
  </si>
  <si>
    <t>Гранатометчик</t>
  </si>
  <si>
    <t>Fraction:</t>
  </si>
  <si>
    <t xml:space="preserve">Sprite index (in one cell with every object from above) </t>
  </si>
  <si>
    <t>It will be placed on all sides of the wall/door as decal (so called "special sprites") if it has no active side, or on active side of wall/door/voxel 3d object, if they have active side (see below)</t>
  </si>
  <si>
    <t xml:space="preserve">Polygonal 3D index (in one cell with every object from above) </t>
  </si>
  <si>
    <t>HINT:</t>
  </si>
  <si>
    <t>You can place into one empty cell 2 of sprite / polygone 3D object / creature (in any combinations) by using integer part for one object and fraction for another (for example: 768+13+0,013+0,0006).</t>
  </si>
  <si>
    <t xml:space="preserve">Creature index (in one cell with every object from above) </t>
  </si>
  <si>
    <t>(+exact position set for sprite/polygonal 3D/creature, optional)</t>
  </si>
  <si>
    <t>Upper height position (+ 0,5)</t>
  </si>
  <si>
    <t>In-cell position (0 - center, 9 - random, 1-8 - clock rule)</t>
  </si>
  <si>
    <t>Hint:</t>
  </si>
  <si>
    <t>1) Exact position modifiers work only for fraction-coded objects.</t>
  </si>
  <si>
    <t>2) if used on walls with special sprites, it codes the degree of sprite alignment to the left 1-4 or right 6-9 edge of cell. Useful for merging two sprites in adjacent cells)</t>
  </si>
  <si>
    <t>3) if used on walls and doors with special sprite, 5 meas that sprite must be horizontally inverted on it's position (to avoid backward appearance of oriented arts like text)!</t>
  </si>
  <si>
    <t>or -&gt;</t>
  </si>
  <si>
    <t xml:space="preserve"> - hero initial position</t>
  </si>
  <si>
    <t xml:space="preserve"> - position of stop for head of train</t>
  </si>
  <si>
    <t>Cell formatting -&gt;</t>
  </si>
  <si>
    <t>Text alignment:</t>
  </si>
  <si>
    <t>Vertical:</t>
  </si>
  <si>
    <t>Active ("special") side of cell (default - center, no active side)</t>
  </si>
  <si>
    <t>North  ^</t>
  </si>
  <si>
    <t>Purposes:</t>
  </si>
  <si>
    <t>1) If wall texture has "special side skin", this skin will be displayed only on this side of wall (visible in low details mode)</t>
  </si>
  <si>
    <t>(top - north, bottom - south, justify - west, distributed - east)</t>
  </si>
  <si>
    <t>West &lt;-</t>
  </si>
  <si>
    <t xml:space="preserve"> -&gt; East</t>
  </si>
  <si>
    <t>2) If wall has a special tag (see below), this wall can be activated only from active side</t>
  </si>
  <si>
    <t>South v</t>
  </si>
  <si>
    <t>3) if wall / door / voxel object has active side and applied "special sprite", then sprite will be placed only on that side. Note! There are NO special sprites on windows cells</t>
  </si>
  <si>
    <t>4) If there is a voxel object within the cell with active side, it's 3D texture will be rotated by it's top side to the active cell side</t>
  </si>
  <si>
    <t>5) if window has an active side than only active side of window cell will be seen ("thin windows")</t>
  </si>
  <si>
    <t>6) Defines the move axis for train, dynamic wall and voxel 3d platform (vertical or horizontal) and initial direction of movement (if train or voxel 3d platform encounter the obstacle, it will turn it's direction of movement to the opposite. Voxel plarforms has an stop for 3 sec at that time).</t>
  </si>
  <si>
    <t>Телепорт 4 из лабиринта западной двери башни</t>
  </si>
  <si>
    <t>Одност.телепорт в лабиринт 1 замка</t>
  </si>
  <si>
    <t>Одност.телепорт в лабиринт 2 замка</t>
  </si>
  <si>
    <t>Одност.телепорт к выходу из замка</t>
  </si>
  <si>
    <t>Напольная кнопка, спаунящая монстров за красной дверью замка</t>
  </si>
  <si>
    <t>Практически ровную линию горизонта нарушали только силуэты строений центральной части базы (две огромные башни - радиобашня и центр управления - высились за стеной внутреннего периметра) да приземистая горная гряда, скрытая в дымке огромного расстояния. Дэйв не был силен в географии, да и не особо интересовался - что это за горы.Вечерами солнце красиво играло на боках башен и вершинах горной гряды, окрашивая их во все оттенки красного - это было поистине захватывающее зрелище! Особенно - под пиво.</t>
  </si>
  <si>
    <t>Texture_Lighter_Destroyable_By_Explosion(if 0 - not destroyable, if 1 - destroyable through blinking, if 2 - fully destroyable)</t>
  </si>
  <si>
    <t>Instructions for using the interactive map of the base area: 1. It works only when TAB is activated. 2. Closed doors are highlighted with corresponding colors. 3. If you have a BioMotion scanner, the map will receive relevant data from it (the movement will be highlighted in violet). Pete. '</t>
  </si>
  <si>
    <t xml:space="preserve"> 'Mark, given the recent security issues at the base, our lab has developed a kind of BioMotion scanner. Although it is not such a stable working tool, and it has a small radius of action, it still has to be useful,because sometimes it detects movement even behind walls. P.S.I left it on the 3rd floor.        Pete.'</t>
  </si>
  <si>
    <t>Но вчера все было по-другому. Начать хотя-бы с утреннего инцидента. Черт, Дэйв еще никогда так не отвлекался при выполнении ответственной работы. Но одного раза оказалось достаточно. Заболтавшись с напарником, он перетянул разводным ключом вентиль помпы, откачивающей отработанную воду с кислотными отходами. Кран сорвало, и едко пахнущая зеленоватая жидкость брызнула Дэйву прямо в лицо. Все сразу потемнело в его глазах! Наскоро умывшись, Дэйв хотел было снова приступить к работе, но не тут то было! Не прошло и четверти часа, как кожа на лице пошла нехорошими красными пятнами, а глаза стало жечь так, что их невозможно было открыть... Осмотрев больного, врач поставил диагноз: "Острый химический ожог кожи и слизистых, двухсторонний коньюнктивит и кератит с помутнением роговицы". Дэйв был отстранен от работы, ему было предписано оставаться два дня в своей жилой комнате, получать болезненные уколы, строго по расписанию закапывать в глаза лечебные капли и ожидать следующего вердикта доктора.</t>
  </si>
  <si>
    <t>Дэйву очень не хотелось совсем потерять зрение, поэтому он старательно выполнял все предписания, попутно изнывая от жары (потолочный светильник в его комнате был снабжен вентиллятором, но это выручало мало) и скуки в своей комнате. Спать он лег рано. Несколько часов спустя от тревожного сна, полного фантасмагорических видений, боли и страха, его разбудили звуки взрывов и выстрелов, доносившиеся из-за стены его комнаты. Его глаза болели и слезились, все вокруг было словно в тумане, очертания знакомых предметов были искажены, цвета при этом выглядели неестественно яркими, с резкими переходами между ними. Телевизор все еще транслировал глупый ролик, вкратце описывающий историю создания проекта и призывавший всех сотрудников трудиться не покладая рук - шагать в светлое будущее вместе с последними научно-техническими достижениями Проекта 7...</t>
  </si>
  <si>
    <t>Только теперь в ролик были внесены некоторые странные дополнения - в частности, там фигурировало лицо (если можно назвать это лицом) того самого инопланетного существа с кодовым названием "Зигги". Причем, на крупных планах этот Зигги выглядел так, будто бы он был жив! Возможно, всему виной было искаженное зрительное восприятие Дэйва, но это не объясняло других странностей. Дэйву показалось, что сквозь звуки канонады - то приближающиеся, то отдаляющиеся предположительно за периметр зоны второго уровня допуска - можно было расслышать отдельные крики и стоны людей, а также некие странные звуки, происхождение которых Дэйв не мог объяснить (ведь на базе не было диких зверей, да и звуки эти лишь с большой натяжкой можно было сравнить с утробным звериным рыком). Первоначальная мысль о масштабной аварии реактора, вызвавшей пожары и спонтанный подрыв боеприпасов на складах, уступила место другим, еще более мрачным теориям, что заставило Дэйва отдернуть назад протянутую было к двери руку.</t>
  </si>
  <si>
    <t>тп</t>
  </si>
  <si>
    <t>Афиша</t>
  </si>
  <si>
    <t>This teleportation engine is just experimental attempt to maintain the SHORT ethernal connection between the Project 7 Low Security Area and the Top of the Control Tower! You use it at your own risk! You are warned!</t>
  </si>
  <si>
    <t>Type of message: empty - no message, 1 - simple on-line message without pad (sound#,MessageColorRamp1-7,MessageText), 2 - off-line message with pad, may be multy-page (Sound#,BackGroundRamp1-7,BackroundDarkestColorIndex1-11,BackroundBrightestColorIndex1-11,Message_ColorRamp#1-7,MessageShadow#,MessageText,SPACEbuttonColorRamp(if empty/0 - no SpaceButton)x#ofPages), 3 - off-line message in embossed window, may be multy-page (Sound#,BackGroundRamp1-7,BackroundDarkestColorIndex1-11,BackroundBrightestColorIndex1-11,WindowTop,WindowBottom,WindowLeftEdge,WindowRightEdge,Message_ColorRamp#1-7,MessageShadow#,MessageText,SPACEbuttonColorRamp(if empty/0 - no SpaceButton)x#ofPages),4 - teller machine access codes ((AccountAccessCode,GoldPerThisAccount)x#ofAccountsOnThisLevel), 5 - is the same as 3, but the timed events are holded while player reads message</t>
  </si>
  <si>
    <t>If I stay alive during this weird experimental transfer, I will be in the very center of the base and meet with Ziggy and the other horrors that are concentrated there. I already regret taking this step!</t>
  </si>
  <si>
    <t>But, reasoning sensibly, I understand that sooner or later this should happen. I am not very ready for the battle now, but at least I am alive to begin it. It'll never be easy for me to overcome my fear.</t>
  </si>
  <si>
    <t>Best FINAL Score:</t>
  </si>
  <si>
    <t>Best saved score:</t>
  </si>
  <si>
    <t>LevelX</t>
  </si>
  <si>
    <t>You have found the entrance to the alternative finale of the game! If you go further, you will not be able to return to the main final scene! Make your choice now.</t>
  </si>
  <si>
    <t>От мысли броситься на помощь не осталось и следа. "Террористы? Захват базы коммунистами? Бунт?" - такие версии теснились теперь в его лихорадочном мозгу. И Дэйв в панике забился в угол своей комнаты, ожидая худшего. Никогда он еще не был так не готов к неприятностям, как в этот момент... Впрочем, спустя некоторое время звуки пальбы отодвинулись глубоко внутрь базы, и вскоре совсем стихли. Наступившая тишина обрушилась на Дэйва со всех сторон, словно голодный зверь, разрывая на части остатки его здравого рассудка. "Что происходит? Почему так тихо? Если базу захватили, то где захватчики? Почему никто не приходит?" Постепенно мысли о бунте или террористическом акте отступили, а на их место пришло холодное и  отчужденное понимание: это не саботаж и не "красные", это - нечто невообразимо более жуткое, имеющее отношение к гробовой тишине за дверями и к инопланетной твари, скалящейся с экрана телевизора... "Как же я защищу себя? У меня ведь нет никакого оружия!" - внезапно пришло в голову Дэйву. Эта мысль застала его врасплох.</t>
  </si>
  <si>
    <t>Пошарив по комнате, он отыскал увесистый гаечный ключ - и это было все, что он мог противопоставить неизвестности снаружи. Некоторое время Дэйв сидел на кровати, вертя в руках свое новообретенное оружие и отрешенно наблюдая за тем, как свет лампы играет на его тускло блестящих гранях. Не то чтобы вес тяжелого металлического предмета в руках придавал ему храбрости или уверенности в своих силах - казалось, это сама тишина и гнетущее состояние неопределенности выдавливают его из его комнаты, словно пасту из тюбика, заставляя действовать... В конце концов, он встал, удивившись тому, как громко и жалобно скрипнули под ним пружины кровати, и прошелся по комнате взад-вперед несколько раз. Примериваясь, несколько раз взмахнул гаечным ключом, словно бил наотмашь воображаемого противника. Подойдя к двери, он тихо позвал. Никто не откликнулся. Немного осмелев, Дэйв позвал громче, стараясь подавить предательскую дрожь в голосе. Опять ответом ему была тишина. "Так или иначе - что бы там снаружи не произошло - я должен что-то сделать... И я должен сделать это прямо сейчас!" И с этими словами Дэйв, собрав в себе всю решительность, на которую только был сейчас способен, взялся слегка трясущейся правой рукой за прохладную ручку двери...</t>
  </si>
  <si>
    <t>Напольная кнопка, спаунящая монстра на выходе из уровня</t>
  </si>
  <si>
    <t>7) Define the initial movement direction for the Moving Box, if it has special tag or autoactivation set (see below). In this case Hero can't move the Box by pushing it until it becomes activated</t>
  </si>
  <si>
    <t>8) If wall texture has lighter property, than light will shine only from active side of wall</t>
  </si>
  <si>
    <t>9) If wall has texture scrolling set, than texture will scroll only on active side of wall (see below)</t>
  </si>
  <si>
    <t>10) if cell with creature has active side, then face of creature will be initially directed to the active side of cell</t>
  </si>
  <si>
    <t>11) If cell with teleport has active side and if near is the wall, adjacent to that active side, then teleport becomes elevator (works only when Hero pushes that adjucent wall)</t>
  </si>
  <si>
    <t xml:space="preserve">This is an alternative pathway to the Yuggoth! This portal was hidden here for million years, and was discovered by the builders of P7 Base. Think twice before step into it! </t>
  </si>
  <si>
    <t>Falling into this damn hole, I felt an ever-growing chill and thought about what troubles are promised me by the decision to use the portal. Be that as it may, I will find out it soon.</t>
  </si>
  <si>
    <t>12) If cell with active side set has landscape on floor (see below), then landscape texture will be oriented by it's top side to the active cell side</t>
  </si>
  <si>
    <t>Horizontal:</t>
  </si>
  <si>
    <t>Direction of texture scrolling on static walls:</t>
  </si>
  <si>
    <t>left(indent) - to the left edge</t>
  </si>
  <si>
    <t>(Indent level codes scrolling speed 1-18, if Active Side set, then only this side will scroll; if wall has special texture and active side set then only this side will scroll, and If in addition to it special sprite is here then it will NOT scroll with the texture)</t>
  </si>
  <si>
    <t>right(indent) - to the right edge</t>
  </si>
  <si>
    <t>the same</t>
  </si>
  <si>
    <t>distributed - from top to bottom</t>
  </si>
  <si>
    <t>the same (but indent level means nothing here)</t>
  </si>
  <si>
    <t>General/center - no scrolling(default)</t>
  </si>
  <si>
    <t xml:space="preserve">In voxel 3Ds,it determines the type of dynamic voxel object: </t>
  </si>
  <si>
    <t>left(indent)</t>
  </si>
  <si>
    <t>lift</t>
  </si>
  <si>
    <t>(Indent level codes movement speed of all types of objects) -&gt;</t>
  </si>
  <si>
    <t>right(indent)</t>
  </si>
  <si>
    <t>press</t>
  </si>
  <si>
    <t>distributed(indent)</t>
  </si>
  <si>
    <t>In dynamic walls, it codes autoactivation (at the level start)</t>
  </si>
  <si>
    <t>left(indent) - will be activated after (indent level) seconds from level start</t>
  </si>
  <si>
    <t>(if MOVING BOX has active side, it does the same thing)</t>
  </si>
  <si>
    <t>right(indent) - will be activated after (18+indent level) seconds from level start</t>
  </si>
  <si>
    <t>distributed(indent) - will be activated after (36+indent level) seconds from level start</t>
  </si>
  <si>
    <t>If applied as left(indent) on cells with the 1st floor/ceiling texture, Indent Level means # of multi-Port group (1-18) for Box-World mini-game (Player have to fill all such cells of same group # with the moving boxes to complete the task and to achieve the gold).</t>
  </si>
  <si>
    <t>Hint! You can fill one/several such cells with the boxes (with the active side NOT set) at the map creation time (when Hero will fill others, whole group will disappiar and gold will be achieved - it's useful trick to create self-removable obstacles to motivate Hero to complete Box world tasks to pass further in the game)</t>
  </si>
  <si>
    <t>Encodes MegaBoss, if applied to the creature (max morale)</t>
  </si>
  <si>
    <t>Encodes reverse appearance of special sprites</t>
  </si>
  <si>
    <t>Top of the Control Tower, prepared for the invasion of Earth! Ziggy is in front of me - just behind the doors of the former control room... I've been detected by the alarm system and it's very little time left to dig around before Ziggy spots me and leaves his lair! Hurry up!</t>
  </si>
  <si>
    <t>Note: can be combined with sprite horizontal alignment, coded by 0,0001-0,0009 values</t>
  </si>
  <si>
    <t>Font properties:</t>
  </si>
  <si>
    <t>Font style&amp;underline</t>
  </si>
  <si>
    <t>Codes special tag of a cells (see the right chart for # of tag):</t>
  </si>
  <si>
    <t>Font style</t>
  </si>
  <si>
    <t>Underline</t>
  </si>
  <si>
    <t>S.Tag #</t>
  </si>
  <si>
    <t>Note:</t>
  </si>
  <si>
    <t>Special tags regulate in-game interactions between cells</t>
  </si>
  <si>
    <t>Normal</t>
  </si>
  <si>
    <t>Single</t>
  </si>
  <si>
    <t>Player must activate it to engage all potential actions!</t>
  </si>
  <si>
    <t>Double</t>
  </si>
  <si>
    <t>Player can activate it by pressing the special switches on walls or doors</t>
  </si>
  <si>
    <t>Single Acc.</t>
  </si>
  <si>
    <t>Special switch is the static wall with (or without) special sprite on it, and with or without active side set (see active side specs)</t>
  </si>
  <si>
    <t>Double Acc.</t>
  </si>
  <si>
    <t>If special sprite applied on such a wall, after activation it will change it's skin (see sprite specs)</t>
  </si>
  <si>
    <t>Bold</t>
  </si>
  <si>
    <t>Different objects react on activation of special tag: dynamic walls, trains, moving platforms, lifts, presses (and in some cases - boxes) start their movement (and can be stopped by repeated depression of special tag, except moving walls)</t>
  </si>
  <si>
    <t>Lighted cells with special tag initially are set OFF LIGHT, and turn light on by activation of special tag</t>
  </si>
  <si>
    <t>Italic</t>
  </si>
  <si>
    <t>Bold Italic</t>
  </si>
  <si>
    <t>If Underline is NOT set, F.Style codes access key color -&gt;</t>
  </si>
  <si>
    <t>no</t>
  </si>
  <si>
    <t>YELLOW KEY</t>
  </si>
  <si>
    <t>BLUE KEY</t>
  </si>
  <si>
    <t>RED KEY</t>
  </si>
  <si>
    <t>2 floor grid door</t>
  </si>
  <si>
    <t>Map</t>
  </si>
  <si>
    <t>BioMotion Scanner</t>
  </si>
  <si>
    <t>To all associates of A2 research facility! The actual state of development of a prototype spacecraft requires enhanced security. From today you must use the new access code: 75081. __J.C.</t>
  </si>
  <si>
    <t>Here's the entrance to the A2 research facility.</t>
  </si>
  <si>
    <t>If set in cell with ceiling enabled, It sets SPECIAL texture to the ceiling</t>
  </si>
  <si>
    <t>SPECIAL (3rd) TEXTURE FOR CEILING</t>
  </si>
  <si>
    <t>If Superscript is set to the lighter cell, then light will be set ON, if Subscript used - light will be set OFF (can be paired with Strikethrough for blinking)</t>
  </si>
  <si>
    <t>Superscript/Subscript</t>
  </si>
  <si>
    <t>0,256+0,028</t>
  </si>
  <si>
    <t>John! Yesterday we've completed the automated guard system. These nice robotic machine guns can be turned on from control room. The entry code is: 7061974. P.S. Just don't try it for fun - it's dangerous as hell! Pete.'</t>
  </si>
  <si>
    <t>Mark! Everything we do is wrong, and I don’t know how far it could go...Now I know what Wherner von Braun did in Antarctica in 1966! Reproducing the ancient alien spacecraft and all those odd things-isn't that what we call the 'space program'?...We will burn in hell for it! P.S.Check an account 32767</t>
  </si>
  <si>
    <t>This is the back door to the P7 mines!</t>
  </si>
  <si>
    <t>What did they get here? Probably materials for a spacecraft.</t>
  </si>
  <si>
    <t>Он не был интеллектуалом, но с ним было о чем перекинуться парой слов за баночкой "туборга" (сотрудникам позволялось по одной банке пива после работы, и ребята не игнорировали этот бонус). Будь Дэйв военным, с Ником он бы запросто "пошел в разведку". Впрочем, Дэйв не был военным...</t>
  </si>
  <si>
    <t>Yesterday, Dave was suspended from work for health reasons. This was inopportune, because tomorrow he was to participate in the cleaning of the pools and the adjacent external hydraulic sub-tunnels, and he was hinted that in case of quick and high-quality performance, the entire team would be awarded. Now, Dave could only say “good bye” to bonus and to his plans for a speedy upgrade to a senior technician. But today’s realities dramatically drop down the actuality of that prize... It starts yesterday at morning. In-house TV channel all the time broadcasted motivational video/. It meaned that all the base personnel were preparing for the beginning of a series of experiments to revitalize the “Ziggy” object - the body of a creature of extraterrestrial origin (presumably a UFO pilot, discovered by NASA in the Antarctic last year). Actually, the whole "Project 7" was, figuratively speaking, built around this "flying saucer".</t>
  </si>
  <si>
    <t>Basic palette (color of costume)</t>
  </si>
  <si>
    <t>There only the best scientists and guards were elected for working in this top secret project. Also, the tech associates and handymen (and Dave withing this number) were taken not directly from the street. Nobody drank, no one had a criminal records and everyone had at least some qualifications. For example, Dave was good at operations  with explosives (he worked at the mine for a couple of years), was able to carry out technical maintenance of hydraulic structures, was well versed in technology and even took short courses on a simplified program for dealing with the innovation of recent years - personal computers! He was neither a soldier nor a scientist, so he could not shoot like marksmen do or operate with complex math formulas. To be honest, it was not required. The major part of his work consisted of cleaning the premises, caring for the park zone of external level, maintenance of hydraulic pumps that provided the functioning of a ramified network of cooling and washing hydrotunnel, cleaning of the ventilation communications, assistance in the warehouse (so Dave had already managed to push and pull boxes for life ahead).</t>
  </si>
  <si>
    <t>Он знал только то, что после отбора (собеседование и медосмотр) и оформления всех необходимых бумаг его и еще несколько парней усадили в автобус с зашторенными окнами и повезли на объект (дорога заняла часа два). Новые знакомства, ощущение, что все занимаются каким-то очень важным общим делом - все это расцветило для Дэйва первые месяцы пребывания на базе в почти что радужные тона. Дальше стало хуже. Большие надежды, как и в случае с объектом в Розуэле, скоро сменились кропотливыми буднями, наполненными рутиной и ожиданием непонятно чего. Дэйву было тяжело свыкнуться с однообразием здешней обстановки, и только мысли о неплохой здешней оплате труда и перспективе через пару лет открыть свое маленькое дело где-нибудь у моря, помогали ему не утратить позитивный настрой. И еще Ник. Охранник внешнего периметра, бывший морпех, отец двоих милых девчушек, он оказался отличным товарищем. Спокойный, как скала, всегда уверенный в правильности приказов, он, как правило, действовал последовательно.</t>
  </si>
  <si>
    <t>Nice place to listen the music!</t>
  </si>
  <si>
    <t>Вчера Дэйв был отстранен от работы по состоянию здоровья. Это было некстати, так как завтра ему предстояло участвовать в очистке бассейнов и примыкающих к ним гидротоннелей внешнего уровня, и ему намекнули, что в случае быстрого и качественного выполнения работ всей бригаде начислят премию. Теперь вот с премией и с планами на скорое повышение до старшего техника придется попрощаться. Да что уж теперь премия, когда... вчера с самого утра по внутреннему телеканалу крутили мотивационный ролик, т.к. весь персонал готовился к началу серии экспериментов по оживлению объекта "Зигги" - тела существа внеземного происхождения (предположительно - пилота НЛО, обнаруженного НАСА в Антарктике в конце прошлого года).  Собственно, весь "Проект 7" был, образно говоря, построен вокруг этой "тарелочки". В проект отбирали только самых лучших ученых и охрану. Впрочем, обслугу и разнорабочих (к числу которых принадлежал Дэйв) также брали не прямо с улицы. Никто не пил, ни у кого не было судимостей и каждый имел хоть какую-то квалификацию.</t>
  </si>
  <si>
    <t>Gosh, snow in this place? Is it winter now?</t>
  </si>
  <si>
    <t>0,256+0,029</t>
  </si>
  <si>
    <t>Eureka, Paul! Today I found a correct equation for the safe teleportation via 6th dimention! It's as follows:   Sin2U+Cos(U+R)+SinR = P(ray)+B/4+U-D(i). Simple and shining, ain't it? Tomorrow I'll show it to the chief! Erwin. P.S.Password for the main time-port is: 5111955</t>
  </si>
  <si>
    <t>Lighter power (0-1000)</t>
  </si>
  <si>
    <t>Reflection exception ramp# (1-7, empty - no exception))</t>
  </si>
  <si>
    <t>Marker for full transparency of the texture (for doors and windows)</t>
  </si>
  <si>
    <t>Открытие двери в Time-port research facility (будущее)</t>
  </si>
  <si>
    <t>...Last week they started the experiments with humans. Paul, research associate, was the volunteer... God, I remember him very well, he was kind and polite person…</t>
  </si>
  <si>
    <t>...I knew the games with teleportation are dangerous, but gossips from science department depict just awful things!</t>
  </si>
  <si>
    <t>...and what did he become after teleportation!? Nightmare! Formerly alive, now he has turned into some kind of zombie! He killed three guards before he was defeated.</t>
  </si>
  <si>
    <t xml:space="preserve"> ...I am afraid that monstrous human mutations are far from the worst that awaits us. They think they can use alien technologies without a clear understanding of how it works! Fools!.. </t>
  </si>
  <si>
    <t xml:space="preserve">...I am afraid that monstrous human mutations are far from the worst that awaits us. They think they can use alien technologies without a clear understanding of how it works! Fools!.. </t>
  </si>
  <si>
    <t>Someone had a strange sense of humor... I'm so tired!</t>
  </si>
  <si>
    <t>Now everything is even worse! I have to move through time to get to the center of the base! And it is not known what I may meet there and whether I will find my end in one of these time points.</t>
  </si>
  <si>
    <t>But I still need to get into its heart to unlock the outer gates. Only then I will escape from this monstrous base! Back to the normal world with normal people and without nightmares!</t>
  </si>
  <si>
    <t>And again, all my weapons are lost, except the wrench! I hate it!</t>
  </si>
  <si>
    <t>Открытие решетки в подводном бассейне</t>
  </si>
  <si>
    <t>2 floor door</t>
  </si>
  <si>
    <t>(DO NOT MOVE!!!)</t>
  </si>
  <si>
    <t>Вкл света в компьютерной комнате</t>
  </si>
  <si>
    <t xml:space="preserve">        TOP SECRET!       ===========================   (For authorized personnel              only)               (Sharing is strictly             prohibited)</t>
  </si>
  <si>
    <t>One of these places was discovered here - this was the reason for the Project 7 deployment. Our science department established that this artefact requires some kind of key to activate. By our suggestion, subject Ziggy is a carrier of such a key.</t>
  </si>
  <si>
    <t>There is reason to believe that the true homeland of Ziggy is the Andromeda nebula. Taking into account the distance to this galaxy - 2.5 million light-years - we believe that the subject moved to the Yuggoth via extra-distant teleportation, and then used starship to move across Solar System.</t>
  </si>
  <si>
    <t>Wolf Guard</t>
  </si>
  <si>
    <t>At the moment, all attempts to activate the gate using any part of the Ziggy spacecraft or the Ziggy body have failed. But we assume that there is an possibility to revive (using revivation unit from alien spaceship) the subject in order to force him to open the gate.</t>
  </si>
  <si>
    <t>While disassembling the alien ship, we've recreated anti-gravity technology, cargo teleportation and movement in time, but instant remote cross-space teleportation technology (IRCTT) is still unclear. Given its importance, we believe that all possible risks are justified.</t>
  </si>
  <si>
    <t>...I've lost my access keycards somewere here. If you want to survive - find it and try to get to the next level to find the way to escape... And take my Reminghton 1100, dude. May be tis  shotgun will save your life.Good luck.'</t>
  </si>
  <si>
    <t>Mental status: some primitive human reactions remained while subject became highly agressive. Taking into account the extreme durability of tissues, it can be concluded that such a modification is very promising in the military industry.</t>
  </si>
  <si>
    <t>Experiment 128. Subject: Charles Dexter Ward, male, 31 years old. Personal P7B account 589210. Type of intervention: body modification using alien DNA. Result: the transformation of the whole body into arachnoid form occurred during the 5th day of the experiment.</t>
  </si>
  <si>
    <t>In this regard, we are proud to announce that the attachment to the subject of a new remote stun weapon was successful. Thus, we have a new type of effective soldier.</t>
  </si>
  <si>
    <t>This massive door is locked. I can't get through it.</t>
  </si>
  <si>
    <t>distributed(indent) - door will be marked as "stuck"/"malfunctioning" (if indent level = 0, door just not react on player's push, if &gt;0 then it will initially open on specified # of texels an then stuck, with the console message "This door is broken. You can't open it!" - in any case noone can pass through it)</t>
  </si>
  <si>
    <t xml:space="preserve">It seems that in a future this door is locked or stuck. </t>
  </si>
  <si>
    <t>Gosh, what happened here in the future? And what is this on the walls?</t>
  </si>
  <si>
    <t>Открытие кодового замка</t>
  </si>
  <si>
    <t>Открытие замков смонстрами в больнице</t>
  </si>
  <si>
    <t>Flag for complex 3D textures, forbidden for creature entrance (if set to 1, creatures can't enter this cell, if set to -1, it mean thet this object is flat and easy accessable to monsters)</t>
  </si>
  <si>
    <t>Вкл света в госпитале</t>
  </si>
  <si>
    <t>Encodes high Z position of Hero (initial jump from above)</t>
  </si>
  <si>
    <t>Spaceshuttle frontwindow</t>
  </si>
  <si>
    <t>Spaceshuttle Tail</t>
  </si>
  <si>
    <t>Health get (0-99, if &lt;0 - it's a ONwall/Onvoxel cannon and abs(Number) means # of wizzbang sprite)</t>
  </si>
  <si>
    <t>Distance of damage, caused by this sprite (if &lt;0 then it's on-wall/on-voxel cannon and abs(Number) means wizzbang speed)</t>
  </si>
  <si>
    <t>Smart wizzbang trigger (0 - linear, 1-4 - degree of traectory change to hit Hero)</t>
  </si>
  <si>
    <t>Телепорт к началу лабиринта за южной дверью башни</t>
  </si>
  <si>
    <t>Лестница вниз в лабиринте южной двери башни к активатору западной двери башни</t>
  </si>
  <si>
    <t>Лесница №1 наверх на открытую площадку с монстрами в лабиринте южной двери башни</t>
  </si>
  <si>
    <t>Лесница №2 наверх на открытую площадку с монстрами в лабиринте южной двери башни</t>
  </si>
  <si>
    <t>Лесница №3 наверх на открытую площадку с монстрами в лабиринте южной двери башни</t>
  </si>
  <si>
    <t>Лестница наверх на этажной развилке в лабиринте южной двери башни</t>
  </si>
  <si>
    <t>Лестница вниз на этажной развилке в лабиринте южной двери башни</t>
  </si>
  <si>
    <t>Alan Turing Chess Algorhythm (1st logical game pseudocode)</t>
  </si>
  <si>
    <t>cathode ray tube amusement device (1st electric action game)</t>
  </si>
  <si>
    <t>I'm tired, my mind is shattered by horrific reality around me. My panic fear turned into frightening indifference. This night seems never to end.</t>
  </si>
  <si>
    <t>And yet I need to gather all my strength. To make some more deadly shots.</t>
  </si>
  <si>
    <t xml:space="preserve">It looks like all the P7 base now staffed with the angry monsters -guardians and scientists in a past. I'm afraid that I will face even more dangerous and awful creatures in the inner levels of base... </t>
  </si>
  <si>
    <t>This cabin is stuck! I have to find another way for return!</t>
  </si>
  <si>
    <t xml:space="preserve">       Damned Church</t>
  </si>
  <si>
    <t xml:space="preserve">   Alien starship hangar</t>
  </si>
  <si>
    <t>MThd"3 lfgfn4аMTrk"3 Њ3яQ i:Ў †3я iBWho Sgoes Sthere? 3яX!7 h:Ў 3я •3MTrk!3 5‰ 3я iwUWho Sgoes Sthere? €3±d!3e!3 lr3б 3@ 3±e!3d gf9@ fY!3e 3d 3°d!3e!3 lr3а 3@ 3°e!3d gf9@ fY!3e 3d 3±e!3d hf9@ 3e 3d 3°e!3d hf9@ 3e 3d 3Б ѓ3А ѓ3±"3°"3± :` 3° :` 3± pЋ3° pЋ3±]!3°]!3±[!3°[!3±\!3°\!3±_!3°_!3ђ __xЂ _PЃpђ ]_xЂ ]PЃpђ Z_ЃpЂ ZP 3ђ Y_ЃpЂ YPЃpђ __xЂ _PЃpђ ]_xЂ ]PЃpђ Z_ЃpЂ ZP 3ђ Y_ЃpЂ YPЃpђ __xЂ _Pxђ ]_xЂ ]Pxђ V_xЂ VP 3ђ W_ЃpЂ WPxђ __xЂ _PЃpђ ]_xЂ ]PЃpђ Z_ЃpЂ ZP 3ђ Y_ЃpЂ YPЃpђ __xЂ _PЃpђ ]_xЂ ]PЃpђ Z_ЃpЂ ZP 3ђ Y_ЃpЂ YPЃpђ X_ZЂ XP Qђ V_ZЂ VP Qђ X_ZЂ XP Qђ Y_ZЂ YP Qђ Z_ZЂ ZP Qђ V_ЃpЂ VPxђ __xЂ _PЃpђ ]_xЂ ]PЃpђ Z_ЃpЂ ZP 3ђ Y_ЃpЂ YPЃpђ __xЂ _PЃpђ ]_xЂ ]PЃpђ Z_ЃpЂ ZP 3ђ Y_ЃpЂ YPЃpђ __xЂ _Pxђ ]_xЂ ]Pxђ V_xЂ VP 3ђ W_ЃpЂ WPxђ __xЂ _PЃpђ ]_xЂ ]PЃpђ Z_ЃpЂ ZP 3ђ Y_ЃpЂ YPЃpђ Z_‚hЂ ZPxђ ]_ѓ`Ђ ]P 3ђ Z_‚hЂ ZPxђ X_ЃpЂ XP 3ђ V_ЃpЂ VP 3ђ ]_’`Ђ ]P 3ђ __ЃpЂ _Pxђ ]_ЃpЂ ]Pxђ Z_ЃpЂ ZP 3ђ Y_‚hЂ YP 3я •3MTrk!3 5џ 3я iHby SAlexander SShumakov 3іd!3e!3 lr3г 3@ 3іe!3d gf9@ fY!3e 3d 3Іd!3e!3 lr3в 3@ 3Іe!3d gf9@ fY!3e 3d 3іe!3d hf9@ 3e 3d 3Іe!3d hf9@ 3e 3d 3Г „3В „3і"3І"3і :P 3І :P 3і =X 3І =X 3і]!3І]!3і[!3І[!3і\!3І\!3і_!3І_!3’ __x‚ _PЃp’ ]_x‚ ]PЃp’ Z_Ѓp‚ ZP 3’ Y_Ѓp‚ YPЃp’ __x‚ _PЃp’ ]_x‚ ]PЃp’ Z_Ѓp‚ ZP 3’ Y_Ѓp‚ YPЃp’ __x‚ _Px’ ]_x‚ ]Px’ R_x‚ RP 3’ S_Ѓp‚ SPx’ __x‚ _PЃp’ ]_x‚ ]PЃp’ Z_Ѓp‚ ZP 3’ Y_Ѓp‚ YPЃp’ __x‚ _PЃp’ ]_x‚ ]PЃp’ Z_Ѓp‚ ZP 3’ Y_Ѓp‚ YPЃp’ X_Z‚ XP Q’ V_Z‚ VP Q’ X_Z‚ XP Q’ Y_Z‚ YP Q’ Z_Z‚ ZP Q’ V_Ѓp‚ VPx’ __x‚ _PЃp’ ]_x‚ ]PЃp’ Z_Ѓp‚ ZP 3’ Y_Ѓp‚ YPЃp’ __x‚ _PЃp’ ]_x‚ ]PЃp’ Z_Ѓp‚ ZP 3’ Y_Ѓp‚ YPЃp’ __x‚ _Px’ ]_x‚ ]Px’ V_x‚ VP 3’ W_Ѓp‚ WPx’ __x‚ _PЃp’ ]_x‚ ]PЃp’ Z_Ѓp‚ ZP 3’ Y_Ѓp‚ YPЃp’ Z_‚h‚ ZPx’ V_ѓ`‚ VP 3’ V_‚h‚ VPx’ X_Ѓp‚ XP 3’ V_Ѓp‚ VP 3’ ]_ fQ_’`‚ ]P fQP 3’ __ fS_Ѓp‚ _P fSPx’ ]_ fQ_Ѓp‚ ]P fQPx’ Z_Ѓp‚ ZP 3’ Y_‚h‚ YP 3я •3MTrk!3 4p 3я in[c Џ†–d8 3·d!3e!3 lr3з 3@ 3·e!3d gf9@ fY!3e 3d 3¶d!3e!3 lr3ж 3@ 3¶e!3d gf9@ fY!3e 3d 3·e!3d hf9@ 3e 3d 3¶e!3d hf9@ 3e 3d 3З x3Ж x3·"3¶"3· :H 3¶ :H 3· =@ 3¶ =@ 3·]!3¶]!3·[!3¶[!3·\!3¶\!3·_!3¶_!3– ’eѓ`† _P‡@– ’eѓ`† _P­ 3–P_ 3K_Ѓp†*P 3KPЃp–P_ 3K_ѓ`†*P 3KPҐ@–G 3?_‹ S†GP 3?P 3–I 3B_‡@†IP 3BP‹ S–D_Ѓp†DPx–B_Ѓp†BPx–?_Ѓp†?P 3–&gt;_ѓ`†&gt;P 3–; Q†;P 3–8 Q†8P 3–6 Q†6P 3–3 Q†3P 3– —Q† dP 3– ”Q† aP 3– ’Q† _P 3– ЌQ† ZP 3– ‹eЃp† XP 3я •3MTrk"3° 3я i;Contact: 3єd!3e!3 lr3к 3@ 3єe!3d gf9@ fY!3e 3d 3ёd!3e!3 lr3и 3@ 3ёe!3d gf9@ fY!3e 3d 3єe!3d hf9@ 3e 3d 3ёe!3d hf9@ 3e 3d 3К ”3И ”3є"3ё"3є :H 3ё :H 3є =@ 3ё =@ 3є]!3ё]!3є[!3ё[!3є\!3ё\!3є_!3ё_!3я •3MTrk!3 5ї 3я iCDaveVsZi*gy@i aua 3µd!3e!3 lr3е 3@ 3µe!3d gf9@ fY!3e 3d 3ґd!3e!3 lr3д 3@ 3ґe!3d gf9@ fY!3e 3d 3µe!3d hf9@ 3e 3d 3ґe!3d hf9@ 3e 3d 3Е 3Д 3µ"3ґ"3µ :` 3ґ :` 3µ =@ 3ґ =@ 3µ]!3ґ]!3µ[!3ґ[!3µ\!3ґ\!3µ_!3ґ_!3” S_Ѓp„ SPx” Q_Ѓp„ QPx” N_Ѓp„ NP 3” M_‚h„ MPx” S_Ѓp„ SPx” Q_Ѓp„ QPx” N_Ѓp„ NP 3” M_‚h„ MPx” S_Ѓp„ SP 3” Q_x„ QPx” M_x„ MP 3” N_Ѓp„ NPx” S_Ѓp„ SPx” Q_Ѓp„ QPx” N_Ѓp„ NP 3” M_‚h„ MPx” S_Ѓp„ SPx” Q_Ѓp„ QPx” N_Ѓp„ NP 3” M_‚h„ MPx” L_x„ LP 3” J_x„ JP 3” L_x„ LP 3” M_x„ MP 3” N_x„ NP 3” J_Ѓp„ JP 3• ЃQе 3E s3K s3P s3U r3[ s3` s3e @… NP 3е 3@ 3” S_Ѓp„ SPx” Q_Ѓp„ QPx” N_Ѓp„ NP 3” M_‚h„ MPx” S_Ѓp„ SPx” Q_Ѓp„ QPx” N_Ѓp„ NP 3” M_‚h„ MPx” S_Ѓp„ SP 3” Q_x„ QPx” M_x„ MP 3” N_Ѓp„ NPx” S_Ѓp„ SPx” Q_Ѓp„ QPx” N_Ѓp„ NP 3” M_‚h„ MPx” N_ѓ`„ NP 3” V_ѓ` J_Ѓp„ JPЃp” L_Ѓp„ LP 3” J_Ѓp„ JP 3” Q_‡@„ QP‹ S” S_Ѓp„ VP fSPx” Q_Ѓp„ QPx” N_Ѓp„ NP 3• M_„Xе 3;3 354 fc3 f^4 fX3 fS4 fN3… MP 3е 3@ 3я •3MTrk!3 g„3я 6!3јd!3e!3 lr3м 3@ 3јe!3d gf9@ fY!3e 3d 3»d!3e!3 lr3л 3@ 3»e!3d gf9@ fY!3e 3d 3јe!3d hf9@ 3e 3d 3»e!3d hf9@ 3e 3d 3М t3Л t3ј"3»"3ј :P 3» :P 3ј p†3» p†3ј]!3»]!3ј[!3»[!3ј\!3»\!3ј_!3»_!3›D_Џ 3‹DPЏ 3›D_Џ 3‹DP‹ S›B_ѓ`‹BP 3›D_‚h‹DP 3›D_&lt;‹DP&lt;›D_‹ S‹DP‹ S›B_ѓ`‹BP 3›D_Џ 3‹DP 3›G_‹ S‹GP 3›B_Џ 3‹BP 3›B_x‹BP 3›C_‚h‹CP 3›D_Џ 3‹DP 3я •3MTrk!3 7Ц 3я 6!3№d!3e!3 lr3й 3@ 3№e!3d gf9@ fY!3e 3d 3Й!3№"3 :P f=@ 3]!3[!3\!3_!3™5_ fX_ fW_ѓ`‰5P fXP fWP 3™5_ f__Ѓp‰5P f_P 3™ W_Ѓp‰ WP 3™5_ fX_ fW_Ѓp‰5P fXP fWP 3™ ]_Ѓp‰ ]P 3™5_ f^_ fW_Ѓp‰5P f^P fWP 3™ X_Ѓp‰ XP 3™5_ fX_Ѓp‰5P fXP 3™ W_Ѓp‰ WP 3™5_ f__ fW_Ѓp‰5P f_P fWP 3™ a_Ѓp‰ aP 3™5_ fX_ fW_Ѓp‰5P fXP fWP 3™ __Ѓp‰ _P 3™5_ fW_x‰5P fWP 3™ Y_‚h‰ YP 3™5_ fX_ fW_ѓ`‰5P fXP fWP 3™5_ f__Ѓp‰5P f_P 3™ W_Ѓp‰ WP 3™5_ fX_ fW_Ѓp‰5P fXP fWP 3™ ]_Ѓp‰ ]P 3™5_ f^_ fW_Ѓp‰5P f^P fWP 3™ X_Ѓp‰ XP 3™5_ fX_Ѓp‰5P fXP 3™ W_Ѓp‰ WP 3™5_ f__ fW_Ѓp‰5P f_P fWP 3™ a_Ѓp‰ aP 3™5_ f`_ fW_x‰5P f`P fWP 3™ `_x‰ `P 3™ ^_x‰ ^P 3™ ^_x‰ ^P 3™5_ f\_ fW_x‰5P f\P fWP 3™ d_ fY_‚h‰ dP fYP 3™5_ fX_ fW_ѓ`‰5P fXP fWP 3™5_ f__Ѓp‰5P f_P 3™ W_Ѓp‰ WP 3™5_ fX_ fW_Ѓp‰5P fXP fWP 3™ ]_Ѓp‰ ]P 3™5_ f^_ fW_Ѓp‰5P f^P fWP 3™ X_Ѓp‰ XP 3™5_ fX_Ѓp‰5P fXP 3™ W_Ѓp‰ WP 3™5_ f__ fW_Ѓp‰5P f_P fWP 3™ a_ fЉex‰ aP fWP 3™ Љex‰ WP 3™5_ fX_ fW_Ѓp‰5P fXP fWP 3™ __ fW_Ѓp‰ _P fWP 3™5_ fW_x‰5P fWP 3™ Y_‚h‰ YP 3™5_ fX_ fW_ѓ`‰5P fXP fWP 3™5_ f__Ѓp‰5P f_P 3™ W_Ѓp‰ WP 3™5_ fX_ fW_Ѓp‰5P fXP fWP 3™ __Ѓp‰ _P 3™5_ f^_ fW_Ѓp‰5P f^P fWP 3™ X_Ѓp‰ XP 3™5_ fX_ fW_Ѓp‰5P fXP fWP 3™ `_Ѓp‰ `P 3™5_ f__ fW_Ѓp‰5P f_P fWP 3™ ^_Ѓp‰ ^P 3™5_ f`_ fW_x‰5P f`P fWPx™ ^_x‰ ^Px™ d_ fY_Ѓp‰ dP fYP 3™ ]_Ѓ4‰ ]P 3™ Љe&lt;‰ WP 3™9_ fb_x‰9P fbP 3™ b_x‰ bP 3™ b_x‰ bP 3™ b_&lt;‰ bP 3™ Љe&lt;‰ WP 3™ __ f`_x‰ _P f`P 3™ `_x‰ `P 3™ `_x‰ `P 3™ `_&lt;‰ `P 3™ W_&lt;‰ WP 3™ __ f^_x‰ _P f^P 3™ ^_x‰ ^P 3™ ^_x‰ ^P 3™ ^_&lt;‰ ^P 3™ W_&lt;‰ WP 3™ __ f\_x‰ _P f\P 3™ \_x‰ \P 3™ \_ fW_x‰ \P fWP 3™ \_x‰ \P 3™ d_ fX_ fW_‚h‰ dP fXP fWP 3™5_ fa_ fW_‚h‰5P faP fWP 3™ d_ fЊfW_Ѓp‰ dP fYP fWP 3™9_ fY_ fW_Ѓp‰9P fYP fWP 3я b 3</t>
  </si>
  <si>
    <t>WGT_Outro.mid</t>
  </si>
  <si>
    <t>MThd"3 lfgfn4аMTrk"3 Њ3яQ i:Ў †3я iBWho Sgoes Sthere? 3яX!7 h:Ў 3я •3MTrk!3 Ba 3я iwUWho Sgoes Sthere? €3±d!3e!3 lr3б 3@ 3±e!3d gf9@ fY!3e 3d 3°d!3e!3 lr3а 3@ 3°e!3d gf9@ fY!3e 3d 3±e!3d hf9@ 3e 3d 3°e!3d hf9@ 3e 3d 3Б ѓ3А ѓ3±"3°"3± :` 3° :` 3± pЋ3° pЋ3±]!3°]!3±[!3°[!3±\!3°\!3±_!3°_!3ђ3_ЃpЂ3P 3ђ4_ЃpЂ4P 3ђ3_ЃpЂ3P 3ђ __ЃpЂ _P 3ђ e_ЃpЂ eP 3ђ3_ЃpЂ3P 3ђ d_ GЂ dPЃ\ђ3_ѓ`Ђ3P 3ђ4_ЃpЂ4P 3ђ3_ЃpЂ3P 3ђ __ЃpЂ _P 3ђ e_ЃpЂ eP 3ђ3_ЃpЂ3P 3ђ __ЃpЂ _P 3ђ b_ЃpЂ bP 3ђ3_ЃpЂ3P 3ђ4_ЃpЂ4P 3ђ3_ЃpЂ3P 3ђ __ЃpЂ _P 3ђ e_ЃpЂ eP 3ђ3_ЃpЂ3P 3ђ __ЃpЂ _P 3ђ b_ЃpЂ bPѓ`ђ \_ЃpЂ \PЃpђ \_xЂ \P 3ђ \_xЂ \PЃpђ Y_ЃpЂ YPЃpђ3_ЃpЂ3P 3ђ4_ЃpЂ4P 3ђ3_ЃpЂ3P 3ђ __ЃpЂ _P 3ђ e_ЃpЂ eP 3ђ3_ЃpЂ3P 3ђ d_ GЂ dPЃ\ђ3_ѓ`Ђ3P 3ђ4_ЃpЂ4P 3ђ3_ЃpЂ3P 3ђ __ЃpЂ _P 3ђ e_ЃpЂ eP 3ђ3_ЃpЂ3P 3ђ __ЃpЂ _P 3ђ b_ЃpЂ bP 3ђ3_ЃpЂ3P 3ђ4_ЃpЂ4P 3ђ3_ЃpЂ3P 3ђ __ЃpЂ _P 3ђ e_ЃpЂ eP 3ђ3_ЃpЂ3P 3ђ __ЃpЂ _P 3ђ b_ЃpЂ bPѓ`ђ __ЃpЂ _PЃpђ `_xЂ `P 3ђ `_xЂ `PЃpђ a_ЃpЂ aPЃpђ6_ fb_ЃpЂ6P fbP 3ђ7_ЃpЂ7P 3ђ6_ЃpЂ6P 3ђ b_ЃpЂ bP 3ђ5_ЃpЂ5P 3ђ6_ЃpЂ6P 3ђ d_ GЂ dPЃ\ђ6_ fb_ѓ`Ђ6P fbP 3ђ7_ЃpЂ7P 3ђ6_ЃpЂ6P 3ђ b_ЃpЂ bP 3ђ5_ЃpЂ5P 3ђ6_ЃpЂ6P 3ђ b_ЃpЂ bP 3ђ e_ЃpЂ eP 3ђ6_ fb_ЃpЂ6P fbP 3ђ7_ЃpЂ7P 3ђ6_ЃpЂ6P 3ђ b_ЃpЂ bP 3ђ5_ЃpЂ5P 3ђ6_ЃpЂ6P 3ђ b_ЃpЂ bP 3ђ e_ЃpЂ ePѓ`ђ5_ f__ЃpЂ5P f_PЃpђ5_ f__xЂ5P f_P 3ђ5_ f__xЂ5P f_PЃpђ5_ f__ЃpЂ5P f_PЃpђ3_ f__ЃpЂ3P f_P 3ђ4_ЃpЂ4P 3ђ3_ЃpЂ3P 3ђ __ЃpЂ _P 3ђ e_ЃpЂ eP 3ђ3_ЃpЂ3P 3ђ d_ GЂ dPЃ\ђ3_ f__ѓ`Ђ3P f_P 3ђ4_ЃpЂ4P 3ђ3_ЃpЂ3P 3ђ __ЃpЂ _P 3ђ e_ЃpЂ eP 3ђ3_ЃpЂ3P 3ђ __ЃpЂ _P 3ђ Y_ЃpЂ YP 3ђ3_ f__ЃpЂ3P f_P 3ђ4_ЃpЂ4P 3ђ3_ЃpЂ3P 3ђ __ЃpЂ _P 3ђ3_ЃpЂ3P 3ђ e_ЃpЂ eP 3ђ d_ЃpЂ dP 3ђ c_ЃpЂ cPѓ`ђ c_ f\_ЃpЂ cP f\PЃpђ c_ f\_xЂ cP f\P 3ђ c_ f\_xЂ cP f\PЃpђ c_ f\_ЃpЂ cP f\PЃpђ b_ f[_ЃpЂ bP f[P 3ђ c_ЃpЂ cP 3ђ b_ЃpЂ bP 3ђ [_ЃpЂ [P 3ђ a_ЃpЂ aP 3ђ b_ЃpЂ bP 3ђ `_ GЂ `PЃ\ђ b_ f[_ѓ`Ђ bP f[P 3ђ c_ЃpЂ cP 3ђ b_ЃpЂ bP 3ђ [_ЃpЂ [P 3ђ b_ЃpЂ bP 3ђ a_ЃpЂ aP 3ђ `_ЃpЂ `P 3ђ __ fX_…PЂ _P fXP 3ђ __ fX_xЂ _P fXP„Xђ `_ fY_ЃpЂ `P fYP 3ђ __ fX_ GЂ _P fXPЃ\ђ __ fX_…PЂ _P fXP 3ђ __ fX_xЂ _P fXP„Xђ `_ f[_ЃpЂ `P f[P 3ђ __ fX_ GЂ _P fXPЃ\ђ __ fX_…PЂ _P fXP 3ђ __ fX_xЂ _P fXP„Xђ b_ f[_ЃpЂ bP f[P 3ђ __ fX_ GЂ _P fXPЃ\ђ b_ fY_…PЂ bP fYP 3ђ b_ fY_xЂ bP fYPxђ `_ fY_…PЂ `P fYP 3ђ __ fX_ GЂ _P fXPЃ\ђ __ fX_…PЂ _P fXP 3ђ __ fX_xЂ _P fXP„Xђ `_ fY_ЃpЂ `P fYP 3ђ __ fX_ GЂ _P fXPЃ\ђ __ fX_…PЂ _P fXP 3ђ __ fX_xЂ _P fXP„Xђ b_ f[_ЃpЂ bP f[P 3ђ __ fX_ GЂ _P fXPЃ\ђ __ fX_…PЂ _P fXP 3ђ __ fX_xЂ _P fXP„Xђ b_ f[_ЃpЂ bP f[P 3ђ __ fX_ GЂ _P fXPЃ\ђ b_ fY_…PЂ bP fYP 3ђ b_ fY_xЂ bP fYPxђ `_ fY_…PЂ `P fYP 3ђ __ fX_ GЂ _P fXPЃ\ђ __ fZ_…PЂ _P fZP 3ђ __ fZ_xЂ _P fZP„Xђ __ fY_ЃpЂ _P fYP 3ђ __ fX_ GЂ _P fXPЃ\ђ __ fZ_…PЂ _P fZP 3ђ __ fZ_xЂ _P fZP„Xђ `_ fY_ЃpЂ `P fYP 3ђ __ fX_ GЂ _P fXPЃ\ђ __ fZ_…PЂ _P fZP 3ђ __ fZ_xЂ _P fZP„Xђ __ fY_ЃpЂ _P fYP 3ђ __ fX_ GЂ _P fXPЃ\ђ __ fZ_…PЂ _P fZP 3ђ __ fZ_ЃpЂ _P fZPЃpђ b_ fZ_Ѓ SЂ bP fZPЃ Sђ b_ fZ_Ѓ SЂ bP fZPЃ Sђ b_ fZ_Ѓ SЂ bP fZPЃ Sђ8_ЃpЂ8P 3ђ9_ЃpЂ9P 3ђ8_ЃpЂ8P 3ђ d_ЃpЂ dP 3ђ7_ЃpЂ7P 3ђ8_ЃpЂ8PЃpђ7_ѓ`Ђ7P 3ђ8_ЃpЂ8P 3ђ7_ЃpЂ7P 3ђ d_ЃpЂ dP 3ђ6_ЃpЂ6P 3ђ7_ЃpЂ7P 3ђ d_ЃpЂ dP 3ђ4_ЃpЂ4P 3ђ6_ЃpЂ6P 3ђ7_ЃpЂ7P 3ђ6_ЃpЂ6P 3ђ d_ЃpЂ dP 3ђ6_ЃpЂ6P 3ђ4_ЃpЂ4P 3ђ d_ЃpЂ dP 3ђ __…PЂ _P 3ђ;_ fb_ЃpЂ;P fbPЃpђ;_ fb_xЂ;P fbP 3ђ;_ fb_xЂ;P fbPЃpђ&lt;_ fc_ЃpЂ&lt;P fcPЃpђ8_ЃpЂ8P 3ђ9_ЃpЂ9P 3ђ8_ЃpЂ8P 3ђ d_ЃpЂ dP 3ђ7_ЃpЂ7P 3ђ8_ЃpЂ8PЃpђ7_ѓ`Ђ7P 3ђ8_ЃpЂ8P 3ђ7_ЃpЂ7P 3ђ d_ЃpЂ dP 3ђ6_ЃpЂ6P 3ђ7_ЃpЂ7P 3ђ d_ЃpЂ dP 3ђ4_ЃpЂ4P 3ђ6_ЃpЂ6P 3ђ7_ЃpЂ7P 3ђ6_ЃpЂ6P 3ђ d_ЃpЂ dP 3ђ6_ЃpЂ6P 3ђ4_ЃpЂ4P 3ђ d_ЃpЂ dP 3ђ __…PЂ _P 3ђ;_ fb_ЃpЂ;P fbPЃpђ;_ fb_xЂ;P fbP 3ђ;_ fb_xЂ;P fbPЃpђ&lt;_ fc_ЃpЂ&lt;P fcPЃpђ d_ fX_‹ SЂ dP fXP 3ђ d_ fX_ЃpЂ dP fXP 3ђ b_ fX_Ќ CЂ bP fXP 3ђ b_ fX_ЃpЂ bP fXP 3ђ `_ fX_‹ SЂ `P fXP 3ђ X_ЃpЂ XP 3ђ Z_ЃpЂ ZP 3ђ [_ѓ`Ђ [P 3ђ ]_ЃpЂ ]P 3ђ __ЃpЂ _P 3ђ b_ѓ`Ђ bP 3ђ [_ЃpЂ [P 3ђ Z_ЃpЂ ZP 3ђ d_ fX_Ќ CЂ dP fXP 3ђ d_ fX_ЃpЂ dP fXP 3ђ b_ fX_Ќ CЂ bP fXP 3ђ b_ fX_ЃpЂ bP fXP 3ђ `_ fX_‹ SЂ `P fXP 3ђ X_ЃpЂ XP 3ђ Z_ЃpЂ ZP 3ђ [_ѓ`Ђ [P 3ђ ]_ЃpЂ ]P 3ђ __ЃpЂ _P 3ђ b_ѓ`Ђ bP 3ђ d_ЃpЂ dP 3ђ b_ЃpЂ bP 3ђ d_ fX_ѓ`Ђ dP fXPЃpђ d_ fX_ЃpЂ dP fXPЃpђ d_ fX_ЃpЂ dP fXPЃpђ d_ fX_ЃpЂ dP fXP 3ђ b_ fX_ѓ`Ђ bP fXPЃpђ b_ fX_ЃpЂ bP fXPЃpђ b_ fX_ЃpЂ bP fXPЃpђ b_ fX_ЃpЂ bP fXP 3ђ `_ fX_ѓ`Ђ `P fXPЃpђ `_ fX_ЃpЂ `P fXPЃpђ `_ fX_ЃpЂ `P fXPЃpђ `_ fX_ЃpЂ `P fXP 3ђ ^_ѓ`Ђ ^P 3ђ [_ЃpЂ [P 3ђ Z_ЃpЂ ZP 3ђ [_ЃpЂ [P 3ђ ^_ЃpЂ ^P 3ђ [_ЃpЂ [P 3ђ Z_ЃpЂ ZP 3ђ d_ fX_ѓ`Ђ dP fXPЃpђ d_ fX_ЃpЂ dP fXPЃpђ d_ fX_ЃpЂ dP fXPЃpђ d_ fX_ЃpЂ dP fXP 3ђ b_ fX_ѓ`Ђ bP fXPЃpђ b_ fX_ЃpЂ bP fXPЃpђ b_ fX_ЃpЂ bP fXPЃpђ b_ fX_ЃpЂ bP fXP 3ђ `_ fX_ѓ`Ђ `P fXPЃpђ `_ fX_ЃpЂ `P fXPЃpђ `_ fX_ЃpЂ `P fXP 3ђ X_ЃpЂ XP 3ђ Z_ЃpЂ ZP 3ђ [_ѓ`Ђ [P 3ђ ]_ЃpЂ ]P 3ђ __ЃpЂ _P 3ђ ]_ѓ`Ђ ]P 3ђ __ЃpЂ _P 3ђ ]_ЃpЂ ]P 3ђ __ fS_ѓ`Ђ _P fSPxђ ]_ЃpЂ ]Pxђ Z_ЃpЂ ZPxђ Y_ЃpЂ YPxђ __ЃpЂ _P 3ђ ]_ЃpЂ ]P 3ђ Z_ЃpЂ ZPxђ Y_ЃpЂ YPxђ __ЃpЂ _P 3ђ ]_xЂ ]Pxђ Z_xЂ ZPxђ Y_xЂ YP 3ђ S_ЃpЂ SPxђ __ЃpЂ _Pxђ ]_ЃpЂ ]Pxђ Z_ЃpЂ ZPxђ Y_ЃpЂ YPxђ __ЃpЂ _P 3ђ ]_ЃpЂ ]P 3ђ Z_ЃpЂ ZPxђ Y_ЃpЂ YPxђ Z_ЃpЂ ZP 3ђ ]_xЂ ]Pxђ Z_xЂ ZPxђ Y_xЂ YP 3ђ Z_xЂ ZP 3ђ ]_ЃpЂ ]P 3ђ __ЃpЂ _Pxђ ]_ЃpЂ ]Pxђ Z_ЃpЂ ZPxђ Y_ЃpЂ YPxђ __ЃpЂ _P 3ђ ]_ЃpЂ ]P 3ђ Z_ЃpЂ ZPxђ Y_ЃpЂ YPxђ __ЃpЂ _P 3ђ ]_xЂ ]Pxђ Z_xЂ ZPxђ Y_xЂ YP 3ђ S_ЃpЂ SPxђ __ЃpЂ _Pxђ ]_ЃpЂ ]Pxђ Z_ЃpЂ ZPxђ Y_ЃpЂ YPxђ Z_‚hЂ ZPxђ6_ fb_ѓ`Ђ6P fbP 3ђ b_ f]_ѓ`Ђ bP f]P 3ђ X_ZЂ XP Qђ Y_ZЂ YP Qђ X_ZЂ XP Qђ V_ZЂ VP Qђ X_ZЂ XP Q‘ V_ 3б 3@` 3AP 3B –3C –3D †3E8Ѓ VP 3б 3@ 3я •3MTrk!3 @® 3я iHby SAlexander SShumakov 3іd!3e!3 lr3г 3@ 3іe!3d gf9@ fY!3e 3d 3Іd!3e!3 lr3в 3@ 3Іe!3d gf9@ fY!3e 3d 3іe!3d hf9@ 3e 3d 3Іe!3d hf9@ 3e 3d 3Г „3В „3і"3І"3і :P 3І :P 3і =X 3І =X 3і]!3І]!3і[!3І[!3і\!3І\!3і_!3І_!3’ S_Ѓp‚ SP‹ S’ S_Ѓp‚ SPЏ 3’ S_Ѓp‚ SP‹ S’ Y_Ѓp‚ YPѓ`’ Y_Ѓp‚ YPЃp’ Y_x‚ YP 3’ Y_x‚ YPЃp’ V_Ѓp‚ VPЃp’ S_Ѓp‚ SP‹ S’ S_Ѓp‚ SPЃp’ S_x‚ SPx’ S_Ѓp‚ SP‰ c’ S_Ѓp‚ SP‹ S’ Y_Ѓp‚ YPѓ`’ S_Ѓp‚ SPЃp’ T_x‚ TP 3’ T_x‚ TPЃp’ U_Ѓp‚ UPЃp’ V_Ѓp‚ VP‹ S’ V_Ѓp‚ VPЃp’ V_x‚ VPx’ V_Ѓp‚ VP‰ c’ V_Ѓp‚ VP‹ S’ Y_Ѓp‚ YPѓ`’ S_Ѓp‚ SPЃp’ S_x‚ SP 3’ S_x‚ SPЃp’ S_Ѓp‚ SPЃp’ S_Ѓp‚ SP‹ S’ S_Ѓp‚ SPЃp’ S_x‚ SPx’ S_Ѓp‚ SPѓ`’ S_Ѓp‚ SPЃp’ T_Ѓp‚ TP 3’ S_Ѓp‚ SP…P’ S_Ѓp‚ SPѓ`’ \_Ѓp‚ \Pѓ`’ \_Ѓp‚ \PЃp’ \_x‚ \P 3’ \_x‚ \PЃp’ W_Ѓp‚ WPЃp’ [_…P‚ [PЃp’ [_Ѓp‚ [PЃp’ Y_Ѓp‚ YP 3’ [_ѓ`‚ [P…P’ [_Ѓp‚ [P 3’ Z_Ѓp‚ ZP 3’ Y_Ѓp‚ YP 3’ X_…P V_Ѓp‚ VP 3’ X_Ѓp‚ XPЃp’ V_Ѓp‚ VP 3’ S_ G‚ SPЃ\’ X_…P‚ XP 3’ V_Ѓp‚ VP 3’ X_Ѓp‚ XPЃp’ Y_Ѓp‚ YP 3’ V_ G‚ VPЃ\’ X_…P‚ XP 3’ V_Ѓp‚ VP 3’ X_Ѓp‚ XPЃp’ [_Ѓp‚ [P 3’ S_ G‚ SPЃ\’ Y_…P‚ YP 3’ Y_x‚ YPx’ Y_…P‚ YP 3’ Y_Ѓp‚ YP 3’ X_Ѓp‚ XPѓ` XP 3’ V_Ѓp‚ VP 3’ X_Ѓp‚ XPЃp’ V_Ѓp‚ VP 3’ Y_ G‚ YPЃ\’ X_…P‚ XP 3’ V_Ѓp‚ VP 3’ X_Ѓp‚ XPЃp’ Y_Ѓp‚ YP 3’ V_ G‚ VPЃ\’ X_…P‚ XP 3’ V_Ѓp‚ VP 3’ X_Ѓp‚ XPЃp’ [_Ѓp‚ [P 3’ S_ G‚ SPЃ\’ Y_…P‚ YP 3’ Y_x‚ YPx’ Y_…P‚ YP 3’ Y_Ѓp‚ YP 3’ Z_ fS_…P‚ ZP fSP 3’ T_Ѓp‚ TP 3’ S_Ѓp‚ SPЃp’ T_Ѓp‚ TP 3’ Y_ G‚ YPЃ\’ Z_ fS_…P‚ ZP fSP 3’ T_Ѓp‚ TP 3’ S_Ѓp‚ SPЃp’ T_Ѓp‚ TP 3’ X_ G‚ XPЃ\’ S_…P‚ SP 3’ T_Ѓp‚ TP 3’ S_Ѓp‚ SPЃp’ T_Ѓp‚ TP 3’ S_ G‚ SPЃ\’ S_…P‚ SP 3’ Z_ fS_Ѓp‚ ZP fSPЃp’ V_Ѓ S‚ VPЃ S’ V_Ѓ S‚ VPЃ S’ V_Ѓ S‚ VPЃ S’ X_x‚ XPx’ X_x‚ XPx’ X_x‚ XPx’ X_x‚ XPx’ [_x‚ [Px’ X_x‚ XPx’ X_x‚ XPx’ ^_ fX_‚h‚ ^P fXPx’ X_x‚ XPx’ X_x‚ XPx’ X_x‚ XPx’ [_x‚ [Px’ X_x‚ XPx’ X_x‚ XPx’ ]_ fX_‚h‚ ]P fXPx’ ]_x‚ ]Px’ ]_x‚ ]Px’ ]_x‚ ]Px’ [_x‚ [Px’ ]_x‚ ]Px’ X_x‚ XPx’ X_ f[_…P‚ XP f[P 3’ ђfX_ѓ`‚ ]P fXP 3’ ‘fV_ѓ`‚ ^P fVP 3’ ’fW_ѓ`‚ _P fWP 3’ X_x‚ XPx’ X_x‚ XPx’ X_x‚ XPx’ X_x‚ XP 3’ X_x‚ XP 3’ [_x‚ [Px’ X_x‚ XPx’ X_x‚ XPx’ ^_ fX_‚h‚ ^P fXPx’ X_x‚ XPx’ X_x‚ XPx’ X_x‚ XP 3’ X_x‚ XP 3’ [_x‚ [Px’ X_x‚ XPx’ X_x‚ XP 3’ X_x‚ XP 3’ ]_ fX_‚h‚ ]P fXPx’ ]_x‚ ]Px’ ]_x‚ ]Px’ ]_x‚ ]Px’ [_x‚ [Px’ ]_x‚ ]Px’ X_x‚ XPx’ [_ fX_…P‚ [P fXP 3’ ђfX_ѓ`‚ ]P fXP 3’ ‘fV_ѓ`‚ ^P fVP 3’ ’fW_ѓ`‚ _P fWP 3’ V_Ѓp‚ VP 3’ X_Ѓp‚ XPЃp’ X_Ѓp‚ XPЃp’ X_Ѓp‚ XPЃp’ X_x‚ XP 3’ X_x‚ XP 3’ V_Ѓp‚ VP 3’ X_Ѓp‚ XPЃp’ X_Ѓp‚ XPЃp’ X_Ѓp‚ XPЃp’ X_x‚ XP 3’ X_x‚ XP 3’ T_Ѓp‚ TP 3’ X_Ѓp‚ XPЃp’ X_Ѓp‚ XPЃp’ X_Ѓp‚ XP 3’ V_Ѓp‚ VP 3’ S_ѓ`‚ SP 3’ Z_Ѓp‚ ZP 3’ X_Ѓp‚ XP 3’ V_ѓ`‚ VP 3’ X_Ѓp‚ XP 3’ V_Ѓp‚ VP 3’ X_Ѓp‚ XP 3’ V_Ѓp‚ VP 3’ X_Ѓp‚ XPЃp’ X_Ѓp‚ XPЃp’ X_Ѓp‚ XPЃp’ X_x‚ XP 3’ X_x‚ XP 3’ V_Ѓp‚ VP 3’ X_Ѓp‚ XPЃp’ X_Ѓp‚ XPЃp’ X_Ѓp‚ XPЃp’ X_x‚ XP 3’ X_x‚ XP 3’ T_Ѓp‚ TP 3’ X_Ѓp‚ XPЃp’ X_Ѓp‚ XPЃp’ X_Ѓp‚ XP 3’ V_Ѓp‚ VP 3’ S_ѓ`‚ SP 3’ Z_Ѓp‚ ZP 3’ X_Ѓp‚ XP 3’ V_ѓ`‚ VP 3’ X_Ѓp‚ XP 3’ V_Ѓp‚ VP 3’ X_Ѓp‚ XP 3’ X_&lt;‚ XP&lt;’ X_&lt;‚ XP&lt;’ X_&lt;‚ XP&lt;’ X_&lt;‚ XP&lt;’ d_ fX_Ѓp‚ dP fXP 3’ X_&lt;‚ XP&lt;’ X_&lt;‚ XP&lt;’ d_ fX_x X_&lt;‚ XP&lt; dP fXP 3’ d_ fX_Ѓp‚ dP fXP 3’ X_&lt;‚ XP&lt;’ X_&lt;‚ XP&lt;’ b_ fX_ѓ`‚ bP fXP 3’ X_&lt;‚ XP&lt;’ X_&lt;‚ XP&lt;’ b_ fX_x X_&lt;‚ bP fXP fXP&lt;’ X_&lt;‚ XP&lt;’ X_&lt;‚ XP&lt;’ b_ fX_x X_&lt;‚ bP fXP fXP&lt;’ b_ fX_x X_&lt;‚ bP fXP fXP&lt;’ X_&lt;‚ XP&lt;’ X_&lt;‚ XP&lt;’ `_ fX_Ѓp X_&lt;‚ XP&lt; `P fXP 3’ X_&lt;‚ XP&lt;’ X_&lt;‚ XP&lt;’ X_&lt;‚ XP&lt;’ `_ fX_Ѓp‚ `P fXP 3’ X_&lt;‚ XP&lt;’ X_&lt;‚ XP&lt;’ `_ fX_x X_ G‚ XPd `P fXP 3’ `_ fX_x S_ G‚ SP Ћ`P fXP&lt;’ X_&lt;‚ XP&lt;’ X_&lt;‚ XP&lt;’ ^_ fX_ѓ`‚ ^P fXP 3’ [_Ѓp‚ [P 3’ Z_Ѓp‚ ZP 3’ [_Ѓp‚ [P 3’ X_Ѓp‚ XP 3’ X_Ѓp‚ XP 3’ W_Ѓp‚ WP 3’ X_ f†eЃp‚ XP fSP 3’ X_&lt;‚ XP&lt;’ X_&lt;‚ XP&lt;’ X_&lt;‚ XP&lt;’ X_&lt;‚ XP&lt;’ d_ fX_Ѓp‚ dP fXP 3’ X_&lt;‚ XP&lt;’ X_&lt;‚ XP&lt;’ d_ fX_x X_&lt;‚ XP&lt; dP fXP 3’ d_ fX_Ѓp‚ dP fXP 3’ X_&lt;‚ XP&lt;’ X_&lt;‚ XP&lt;’ b_ fX_ѓ`‚ bP fXP 3’ X_&lt;‚ XP&lt;’ X_&lt;‚ XP&lt;’ b_ fX_x X_&lt;‚ bP fXP fXP&lt;’ X_&lt;‚ XP&lt;’ X_&lt;‚ XP&lt;’ b_ fX_x X_&lt;‚ bP fXP fXP&lt;’ b_ fX_x X_&lt;‚ bP fXP fXP&lt;’ X_&lt;‚ XP&lt;’ X_&lt;‚ XP&lt;’ `_ fX_Ѓp X_&lt;‚ XP&lt; `P fXP 3’ X_&lt;‚ XP&lt;’ X_&lt;‚ XP&lt;’ X_&lt;‚ XP&lt;’ `_ fX_Ѓp‚ `P fXP 3’ X_&lt;‚ XP&lt;’ X_&lt;‚ XP&lt;’ `_ fX_Ѓp‚ XP 3’ X_Ѓp‚ XP 3’ V_Ѓp‚ VP 3’ S_ѓ`‚ SP 3’ Z_Ѓp‚ ZP 3’ X_Ѓp‚ XP 3’ V_ѓ`‚ VP 3’ X_Ѓp‚ XP 3’ V_Ѓp‚ VP 3’ X_Ѓp‚ XP 3’ S_Ѓp‚ `P fSPx’ ]_Ѓp‚ ]Px’ Z_Ѓp‚ ZPx’ Y_Ѓp‚ YPx’ __Ѓp‚ _P 3’ ]_Ѓp‚ ]P 3’ Z_Ѓp‚ ZPx’ Y_Ѓp‚ YPx’ __Ѓp‚ _P 3’ ]_x‚ ]Px’ Z_x‚ ZPx’ Y_x‚ YP 3’ S_Ѓp‚ SPx’ S_Ѓp‚ SPx’ ]_Ѓp‚ ]Px’ Z_Ѓp‚ ZPx’ Y_Ѓp‚ YPx’ __Ѓp‚ _P 3’ ]_Ѓp‚ ]P 3’ S_Ѓp‚ SPx’ Y_Ѓp‚ YPx’ Z_Ѓp‚ ZP 3’ ]_x‚ ]Px’ Z_x‚ ZPx’ Y_x‚ YP 3’ Z_x‚ ZP 3’ V_Ѓp‚ VP 3’ S_Ѓp‚ SPx’ ]_Ѓp‚ ]Px’ Z_Ѓp‚ ZPx’ Y_Ѓp‚ YPx’ S_Ѓp‚ SP 3’ ]_Ѓp‚ ]P 3’ Z_Ѓp‚ ZPx’ Y_Ѓp‚ YPx’ S_Ѓp‚ SP 3’ ]_x‚ ]Px’ Z_x‚ ZPx’ Y_x‚ YP 3’ S_Ѓp‚ SPx’ S_Ѓp‚ SPx’ ]_Ѓp‚ ]Px’ Z_Ѓp‚ ZPx’ Y_Ѓp‚ YPx’ S_‚h‚ SPx’ b_ f]_ѓ`‚ bP f]P 3’ ]_ fV_ѓ`‚ ]P fVP 3’ S_Z‚ SP Q’ T_Z‚ TP Q’ S_Z‚ SP Q’ V_Z‚ VP Q’ S_Z‚ SP Q“ V_ 3г 3@` 3AP 3B –3C –3D †3E8ѓ VP 3г 3@ 3я •3MTrk!3 6— 3я in[c Џ†–d8 3·d!3e!3 lr3з 3@ 3·e!3d gf9@ fY!3e 3d 3¶d!3e!3 lr3ж 3@ 3¶e!3d gf9@ fY!3e 3d 3·e!3d hf9@ 3e 3d 3¶e!3d hf9@ 3e 3d 3З x3Ж x3·"3¶"3· :H 3¶ :H 3· =@ 3¶ =@ 3·]!3¶]!3·[!3¶[!3·\!3¶\!3·_!3¶_!3–D eѓ`†DPѓъ S–I_ 3D_x†IP 3DPx–I_ 3D_Ѓp†IP 3DP­ 3–I_ 3=_ѓ`†IP 3=P 3–N_ 3;_ѓ`†NP 3;P 3–O_ 3&lt;_ѓ`†OP 3&lt;P 3–I_ 3D_x†IP 3DPx–I_ 3D_‰ c†IP 3DP 3–I_ 3D_Ѓp†IP 3DP 3–I_ 3;_ѓ`†IP 3;PЃp–G_ 3C_Ѓp†GP 3CP 3–D_ 3@_Ѓp†DP 3@P 3–G_ 3C_Ѓp†GP 3CP 3–I_ 3C_Ѓp†IP 3CPѓ`–I_ 3E_x†IP 3EPx–I_ 3E_‰ c†IP 3EP 3–I_ 3E_Ѓp†IP 3EP 3–I_ 3D_ѓ`†IP 3DP 3–I_ 3E_Ѓp†IP 3EP 3–I_ 3D_Ѓp†IP 3DP 3–I_ 3B_ѓ`†IP 3BP 3–@_Ѓp†@P 3–?_Ѓp†?P 3–=_Ѓp†=P 3–I_ 3D_x†IP 3DPx–I_ 3D_‰ c†IP 3DP 3–I_ 3D_Ѓp†IP 3DP 3–I_ 3G_ѓ`†IP 3GPЃp–G_ 3C_Ѓp†GP 3CP 3–D_ 3@_Ѓp†DP 3@P 3–G_ 3C_Ѓp†GP 3CP 3–I_ 3C_Ѓp†IP 3CPѓ`–I_ 3E_x†IP 3EPx–I_ 3E_‰ c†IP 3EP 3–I_ 3E_Ѓp†IP 3EP 3–I_ 3D_ѓ`†IP 3DP 3–I_ 3E_Ѓp†IP 3EP 3–I_ 3D_Ѓp†IP 3DP 3–I_ 3B_ѓ`†IP 3BP 3–@_Ѓp†@P 3–?_Ѓp†?P 3–=_Ѓp†=Pј 3–I_ 3D_x†IP 3DPx–I_ 3D_Ѓp†IP 3DP‹ S–I_ 3C_x†IP 3CPx–I_ 3C_Ѓp†IP 3CP‹ S–I_ 3E_x†IP 3EPx–I_ 3E_Ѓp†IP 3EPЦ S–P_ 3K_Ѓp†*P 3KPЃp–P_ 3K_ѓ`†*P 3KPҐ@–G_ 3? e‡@†GP 3?P 3–I 3A e‡@†IP 3AP 3я •3MTrk!3 6~ 3я i;Contact: 3єd!3e!3 lr3к 3@ 3єe!3d gf9@ fY!3e 3d 3ёd!3e!3 lr3и 3@ 3ёe!3d gf9@ fY!3e 3d 3єe!3d hf9@ 3e 3d 3ёe!3d hf9@ 3e 3d 3К ”3И ”3є"3ё"3є :H 3ё :H 3є =@ 3ё =@ 3є]!3ё]!3є[!3ё[!3є\!3ё\!3є_!3ё_!38_Џ 3€8P© S e_ѓ`€ eP 33_Џ 3€3PЏ 38_Џ 3€8PЏ 3;_Џ 3€;PЏ 3B_‹ S€BPЃp8_ђp€8P 38_Џ 3€8PЏ 38_‹ S€8PЃp5_ fc_ђp€5P fcP 34_Џ 3€4PЌ C d_Џ 3€ dP 3 d_‹ S€ dP 3 e_ѓ`€ eP 3 d_‹ S€ dP 3 e_ѓ`€ eP 39_…P€9P 39_Ѓp€9P 36_…P€6P 36_Ѓp€6P 38_Џ 3€8P 3 d_‹ S€ dP 3 e_Ѓp€ ePЃp d_‹ S€ dP 3 e_ѓ`€ eP 39_…P€9P 39_Ѓp€9P 36_…P€6P 36_Ѓp€6P 38_ђp€8P­ 38_Ѓp€8P 39_Ѓp€9P 38_Ѓp€8P 3 d_Ѓp€ dP 37_Ѓp€7P 38_Ѓp€8PЃp7_ѓ`€7P 38_Ѓp€8P 37_Ѓp€7P 3 d_Ѓp€ dP 36_Ѓp€6P 37_…P€7P 36_Ѓp€6P 37_Ѓp€7P 36_Ѓp€6P 3 d_Ѓp€ dP 36_Ѓp€6P 34_Ѓp€4P 3 d_Ѓp€ dP 3@_ fd_…P€@P fdP 3 d_ѓ`€ dP 3;_ѓ`€;P 3&lt;_ѓ`€&lt;P 3=_‹ S€=P 3@_Ѓp€@P 3:_‹ S€:P 3=_Ѓp€=P 3@_Ѓp€@P 3B_ 39_Ќ C€BP 39P 3B_ 39_Ѓp€BP 39P 3@_ 38_Ѓp€@P 38PЃ‡ 3=_‹ S€=P 3=_Ѓp€=P 3;_Ќ C€;P 3;_Ѓp€;P 39_Ќ C€9P 39_Ѓp€9P 37_ѓ`€7P 34_Ѓp€4P 33_Ѓp€3P 34_Ѓp€4P 37_Ѓp€7P 34_Ѓp€4P 33_Ѓp€3P 3 d_Ѓp€ dP 3я •3MTrk!3 ?ќ 3я iCDaveVsZi*gy@i aua 3µd!3e!3 lr3е 3@ 3µe!3d gf9@ fY!3e 3d 3ґd!3e!3 lr3д 3@ 3ґe!3d gf9@ fY!3e 3d 3µe!3d hf9@ 3e 3d 3ґe!3d hf9@ 3e 3d 3Е 3Д 3µ"3ґ"3µ :` 3ґ :` 3µ =@ 3ґ =@ 3µ]!3ґ]!3µ[!3ґ[!3µ\!3ґ\!3µ_!3ґ_ 3Ц S” V_ѓ`„ VP 3” S_Ѓp„ SP‹ S” Y_ fѓeЃp„ YP fPPѓ`” S_ѓ`„ SP 3” T_ѓ`„ TP 3” U_ѓ`„ UP 3” V_…P„ VP 3” V_Ѓp„ VP 3” b_…P„ bP 3” V_ѓ`„ VP 3” V_ѓ`„ VP 3” V_Ѓp„ VP 3” b_Ѓp„ bP 3” Y_Ѓp„ YP 3” V_Ѓp„ VP 3” Y_Ѓp„ YP 3” V_…P„ VP 3” V_Ѓp„ VP 3” b_Ѓp„ bP 3” V_Ѓp„ VP 3” Y_Ѓp„ YP 3” S_Ѓp„ SPѓ`” P_ѓ`„ PP 3” Q_ѓ`„ QP 3” R_ѓ`„ RP 3” S_…P„ SP 3” S_Ѓp„ SP 3” __…P„ _P 3” S_ѓ`„ SP 3” S_Ѓp„ SP 3” S_ѓ`„ SP 3” __Ѓp„ _P 3” S_Ѓp„ SPЃp” T_Ѓp„ TP 3” S_…P„ SP 3” __Ѓp„ _P 3” S_Ѓp„ SP 3” R_Ѓp„ RP 3” Q_Ѓp„ QP 3” P_Ѓp„ PPѓ`” P_ѓ`„ PP 3” P_x„ PP 3” P_x„ PPЃp” P_ѓ`„ PP 3” O_…P„ OP 3” O_Ѓp„ OP 3” [_…P„ [P 3” O_ѓ`„ OP 3” P_Ѓp„ PP 3” O_Ѓp„ OP 3” V_Ѓp„ VP 3” [_Ѓp„ [P 3” Z_Ѓp„ ZP 3” Y_Ѓp„ YP 3” X_ѓ`„ XPЃp” V_Ѓp„ VP 3” X_Ѓp„ XPЃp” M_Ѓp„ MPЃp” L_…P„ LP 3” V_Ѓp„ VP 3” X_Ѓp„ XPЃp” Y_Ѓp„ YPЃp” X_ѓ`„ XPЃp” V_Ѓp„ VP 3” X_Ѓp„ XPЃp” L_Ѓp„ LPЃp” V_…P„ VP 3” V_x„ VPx” T_…P„ TP 3” O_Ѓp„ OP 3” L_ѓ`„ LPЃp” V_Ѓp„ VP 3” X_Ѓp„ XPЃp” M_Ѓp„ MPЃp” L_…P„ LP 3” V_Ѓp„ VP 3” X_Ѓp„ XPЃp” Y_Ѓp„ YPЃp” X_ѓ`„ XPЃp” V_Ѓp„ VP 3” X_Ѓp„ XPЃp” L_Ѓp„ LPЃp” V_…P„ VP 3” V_x„ VPx” T_…P„ TP 3” O_Ѓp„ OP 3” S_…P„ SP 3” N_Ѓp„ NP 3” S_Ѓp„ SPЃp” T_Ѓp„ TPЃp” S_…P„ SP 3” N_Ѓp„ NP 3” S_Ѓp„ SPЃp” Q_Ѓp„ QP 3” L_ G„ LPЃ\” S_…P„ SP 3” N_Ѓp„ NP 3” S_Ѓp„ SPЃp” T_Ѓp„ TP 3” O_Ѓp„ OP 3” S_ѓ`„ SP 3” S_Ѓp„ SP 3” Q_Ѓp„ QP 3” S_Ѓp„ SP 3” V_Ѓ S„ VPЃ S” V_Ѓ S„ VPЃ S” V_Ѓ S„ VPЃ S” L_x„ LPx” L_x„ LPx” L_x„ LPx” L_x„ LPx” S_x„ SPx” L_x„ LPx” L_x„ LPx” X_‚h„ XPx” S_x„ SPx” R_x„ RPx” L_x„ LPx” R_x„ RPx” L_x„ LPx” L_x„ LPx” O_Ѓp„ OP 3” Q_x„ QPx” Q_x„ QPx” Q_x„ QPx” L_x„ LPx” Q_x„ QPx” O_x„ OPx” L_x„ LPx” L_…P„ LP 3” S_x„ SP‚h” V_Ѓp„ VPЃp” W_Ѓp„ WPЃp” L_x„ LPx” L_x„ LPx” L_x„ LPx” L_x„ LPx” S_x„ SPx” L_x„ LPx” L_x„ LPx” X_‚h„ XPx” S_x„ SPx” R_x„ RPx” L_x„ LPx” R_x„ RPx” L_x„ LPx” L_x„ LPx” O_Ѓp„ OP 3” Q_x„ QPx” Q_x„ QPx” Q_x„ QPx” L_x„ LPx” Q_x„ QPx” O_x„ OPx” L_x„ LPx” L_…P„ LP 3” S_x„ SP‚h” V_Ѓp„ VPЃp” W_Ѓp„ WPЃp• V_ЃXе 3E ~3KЃp… VP 3е 3@ 3” L_Ѓp„ LP 3” L_ѓ`„ LP 3” L_ѓ`„ LP 3” L_x„ LP 3” L_x„ LP 3• V_ЃXе 3E ~3KЃp… VP 3е 3@ 3” L_Ѓp„ LP 3” L_ѓ`„ LP 3” L_ѓ`„ LP 3” S_Ѓp„ SP 3• V_ЃXе 3E ~3KЃp… VP 3е 3@ 3” L_Ѓp„ LP 3” L_ѓ`„ LP 3” L_Ѓp„ LP 3” N_Ѓp„ NP 3” O_ѓ`„ OP 3” Q_x„ QPx” S_Ѓp„ SP 3” V_ѓ`„ VP 3” O_Ѓp„ OP 3” N_Ѓp„ NP 3” L_Ѓp„ LP 3• V_ЃXе 3E ~3KЃp… VP 3е 3@ 3” L_Ѓp„ LP 3” L_ѓ`„ LP 3” L_ѓ`„ LP 3” L_x„ LP 3” L_x„ LP 3• V_ЃXе 3E ~3KЃp… VP 3е 3@ 3” L_Ѓp„ LP 3” L_ѓ`„ LP 3” L_ѓ`„ LP 3” S_Ѓp„ SP 3• V_ЃXе 3E ~3KЃp… VP 3е 3@ 3” L_Ѓp„ LP 3” L_ѓ`„ LP 3” L_Ѓp„ LP 3” N_Ѓp„ NP 3” O_ѓ`„ OP 3” Q_x„ QPx” S_Ѓp„ SP 3” V_ѓ`„ VP 3• X_ЃXе 3; ~35Ѓp… XP 3е 3@ 3” O_Ѓp„ OP 3” L_&lt;„ LP&lt;” L_x„ LPx” L_x„ LP 3” X_Ѓp„ XP 3” L_&lt;„ LP&lt;” L_x„ LPx” L_x„ LP 3” X_Ѓp„ XP 3” L_&lt;„ LP&lt;” L_x„ LP 3” X_Ѓp„ XP 3” L_&lt;„ LP&lt;” L_x„ LPx” L_x„ LP 3” V_Ѓp„ VP 3” L_&lt;„ LP&lt;” L_x„ LPx” L_x„ LP 3” V_Ѓp„ VP 3” L_&lt;„ LP&lt;” L_x„ LP 3” V_Ѓp„ VP 3” L_&lt;„ LP&lt;” L_x„ LPx” L_x„ LP 3” T_Ѓp„ TP 3” L_&lt;„ LP&lt;” L_x„ LPx” L_x„ LP 3” T_Ѓp„ TP 3” L_&lt;„ LP&lt;” L_x„ LP 3” R_ѓ`„ RP 3” O_Ѓp„ OP 3” N_Ѓp„ NP 3” O_Ѓp„ OP 3” R_Ѓp„ RP 3” O_Ѓp„ OP 3” N_Ѓp„ NP 3” L_Ѓp„ LP 3” L_&lt;„ LP&lt;” L_x„ LPx” L_x„ LP 3” X_Ѓp„ XP 3” L_&lt;„ LP&lt;” L_x„ LPx” L_x„ LP 3” X_Ѓp„ XP 3” L_&lt;„ LP&lt;” L_x„ LP 3” X_Ѓp„ XP 3” L_&lt;„ LP&lt;” L_x„ LPx” L_x„ LP 3” V_Ѓp„ VP 3” L_&lt;„ LP&lt;” L_x„ LPx” L_x„ LP 3” V_Ѓp„ VP 3” L_&lt;„ LP&lt;” L_x„ LP 3” V_Ѓp„ VP 3” L_&lt;„ LP&lt;” L_x„ LPx” L_x„ LP 3” T_Ѓp„ TP 3” L_&lt;„ LP&lt;” L_x„ LP 3” T_Ѓp„ TP 3” L_Ѓ4„ LP&lt;” N_Ѓp„ NP 3” O_ѓ`„ OP 3” Q_x„ QPx” S_Ѓp„ SP 3” V_ѓ`„ VP 3• X_ЃXе 3; ~35Ѓp… XP 3е 3@ 3” S_Ѓp„ SP 3” S_Ѓp„ SPx” Q_Ѓp„ QPx” N_Ѓp„ NPx” M_Ѓp„ MPx” S_Ѓp„ SP 3” Q_Ѓp„ QP 3” N_Ѓp„ NPx” M_Ѓp„ MPx” S_Ѓp„ SP 3” Q_x„ QPx” N_x„ NPx” M_&lt;„ MP&lt;” V_‚h„ VP 3” S_Ѓp„ SPx” Q_Ѓp„ QPx” N_Ѓp„ NPx” M_Ѓp„ MPx” S_Ѓp„ SP 3” Q_Ѓp„ QP 3” N_Ѓp„ NPx” M_Ѓp„ MPx” S_Ѓp„ SP 3” Q_x„ QPx” N_x„ NPx” M_&lt;„ MP&lt;” N_x„ NP 3” Q_Ѓp„ QP 3” S_Ѓp„ SPx” Q_Ѓp„ QPx” N_Ѓp„ NPx” M_Ѓp„ MPx” S_Ѓp„ SP 3” Q_Ѓp„ QP 3” S_Ѓp„ SPx” M_Ѓp„ MPx” S_Ѓp„ SP 3” Q_x„ QPx” N_x„ NPx• Q_Zе 3E n3K m3P m3U n3[Ѓp… QP 3е 3@x” S_Ѓp„ SPx” Q_Ѓp„ QPx” N_Ѓp„ NPx” M_Ѓp„ MPx” S_‚h„ SPx” V_ѓ`„ VP 3” V_ѓ`„ VP 3” X_ fL_x„ XP fLPx” X_ fL_x„ XP fLPx” X_ fL_x„ XP fLP 3” Q_‚h„ QP 3я •3MTrk!3 4№ 3я 6!3јd!3e!3 lr3м 3@ 3јe!3d gf9@ fY!3e 3d 3»d!3e!3 lr3л 3@ 3»e!3d gf9@ fY!3e 3d 3јe!3d hf9@ 3e 3d 3»e!3d hf9@ 3e 3d 3М t3Л t3ј"3»"3ј :X 3» :X 3ј p†3» p†3ј]!3»]!3ј[!3»[!3ј\!3»\!3ј_!3»_!3›D eЏ 3‹DPЃІ C›D_ђp‹DP« C›@_Ѓp‹@PЌ C›D_Ѓp‹DPЌ C›D_Ѓp‹DPЌ C›D_Ѓp‹DPњ C›D_Ѓp‹DPЌ C›D_Ѓp‹DPЌ C›I_Ѓp‹IPњ C›K_Ѓp‹KPЌ C›K_Ѓp‹KPЌ C›?_Ѓp‹?PЌ C›D_Ѓp‹DPЏ 3›I_Џ 3‹IP‹ S›G_ѓ`‹GP 3›I_Џ 3‹IPЏ 3›I_Џ 3‹IP‹ S›L_ѓ`‹LP 3›I_Џ 3‹IPЃя 3›D_Џ 3‹DPЏ 3›D_Џ 3‹DP‹ S›B_ѓ`‹BP 3›D_‚h‹DP 3›D_&lt;‹DP&lt;›D_‹ S‹DP‹ S›E_ѓ`‹EP 3›D_Џ 3‹DP 3›G_Џ 3‹GP 3я •3MTrk!3 }ѓ3я 6!3№d!3e!3 lr3й 3@ 3№e!3d gf9@ fY!3e 3d 3Й!3№"3 :P f=@ 3]!3[!3\!3_!3™ ]_ fX_ fW_ѓ`‰ ]P fXP fWP 3™ X_ѓ`‰ XP 3™ X_ѓ`‰ XP 3™ X_Ѓp‰ XP 3™3_ fЉeЃp‰3P fWP 3™ X_ѓ`‰ XP 3™ X_ѓ`‰ XP 3™ X_ѓ`‰ XP 3™ a_ fX_ѓ`‰ aP fXP 3™ ]_ fX_ fW_ѓ`‰ ]P fXP fWP 3™ X_ѓ`‰ XP 3™ X_ѓ`‰ XP 3™ X_Ѓp‰ XP 3™;_Ѓp‰;P 3™ X_ѓ`‰ XP 3™;_ fX_ѓ`‰;P fXP 3™3_ fX_ѓ`‰3P fXP 3™ a_ fX_ fW_ѓ`‰ aP fXP fWP 3™ ]_ fX_ fW_ѓ`‰ ]P fXP fWP 3™ X_ѓ`‰ XP 3™ X_ѓ`‰ XP 3™ X_Ѓp‰ XP 3™3_ fЉeЃp‰3P fWP 3™ X_Ѓp‰ XP 3™ ^_Ѓp‰ ^P 3™ \_ fX_ѓ`‰ \P fXP 3™ X_ѓ`‰ XP 3™ a_ fX_ѓ`‰ aP fXP 3™ ]_ fX_ fW_ѓ`‰ ]P fXP fWP 3™ X_ѓ`‰ XP 3™ X_ѓ`‰ XP 3™ X_Ѓp‰ XP 3™;_Ѓp‰;P 3™ X_ѓ`‰ XP 3™;_ fX_ fЉeѓ`‰;P fXP fWP 3™3_ fX_ fЉeѓ`‰3P fXP fWP 3™ a_ fX_ fW_ѓ`‰ aP fXP fWP 3™ ]_ fX_ fW_ѓ`‰ ]P fXP fWP 3™ X_Ѓp‰ XP 3™ ]_Ѓp‰ ]P 3™ a_ fX_ѓ`‰ aP fXP 3™ X_Ѓp‰ XP 3™3_Ѓp‰3P 3™ X_ѓ`‰ XP 3™ X_Ѓp‰ XP 3™ ]_Ѓp‰ ]P 3™ a_ fX_ѓ`‰ aP fXP 3™ ”fX_x‰ aP fXP 3™ ]_ fЉe‚h‰ ]P fWP 3™ ]_ fX_ fW_ѓ`‰ ]P fXP fWP 3™ X_Ѓp‰ XP 3™ ]_Ѓp‰ ]P 3™ a_ fX_ѓ`‰ aP fXP 3™ ^_ fX_Ѓp‰ ^P fXP 3™;_ f__ f\_Ѓp‰;P f_P f\P 3™ X_ѓ`‰ XP 3™;_ fX_ fW_ѓ`‰;P fXP fWP 3™3_ fX_ fW_x‰3P fXP fWP 3™ `_x‰ `P 3™ ^_Ѓp‰ ^P 3™ a_ fX_ fW_ѓ`‰ aP fXP fWP 3™ ]_ fX_ fW_ѓ`‰ ]P fXP fWP 3™ X_Ѓp‰ XP 3™ __ fW_Ѓp‰ _P fWP 3™ a_ fY_ѓ`‰ aP fYP 3™ X_Ѓp‰ XP 3™3_Ѓp‰3P 3™ X_Ѓp‰ XP 3™ W_Ѓp‰ WP 3™ X_ fW_ѓ`‰ XP fWP 3™ a_ fY_Ѓp‰ aP fYP 3™ ЉeЃp‰ WP 3™ __ fY_x‰ _P fYP 3™ Y_x‰ YPЃp™ ]_ fX_ fW_Ѓp‰ ]P fXP fWP 3™3_Ѓp‰3P 3™ X_Ѓp‰ XP 3™ ]_ fW_Ѓp‰ ]P fWP 3™ a_ fY_ѓ`‰ aP fYP 3™ X_Ѓp‰ XP 3™;_ fW_Ѓp‰;P fWP 3™ X_ѓ`‰ XP 3™;_ fX_ fW_ѓ`‰;P fXP fWP 3™3_ fX_ fV_x‰3P fXP fVP 3™ W_‚h‰ WP 3™ a_ fX_ fW_ѓ`‰ aP fXP fWP 3™ ]_ fX_ fW_ѓ`‰ ]P fXP fWP 3™ X_Ѓp‰ XP 3™ __ fW_Ѓp‰ _P fWP 3™ a_ fY_ѓ`‰ aP fYP 3™ X_Ѓp‰ XP 3™3_Ѓp‰3P 3™ X_Ѓp‰ XP 3™ W_Ѓp‰ WP 3™ X_ fW_ѓ`‰ XP fWP 3™ a_ fY_Ѓp‰ aP fYP 3™ ЉeЃp‰ WP 3™ __ fY_x‰ _P fYP 3™ Y_x‰ YP 3™ W_Ѓp‰ WP 3™ ]_ fX_Ѓp‰ ]P fXP 3™ ^_Ѓp‰ ^P 3™ \_Ѓp‰ \P 3™ __ fW_Ѓp‰ _P fWP 3™ a_ fY_ѓ`‰ aP fYP 3™ Y_Ѓp‰ YP 3™3_ fW_Ѓp‰3P fWP 3™ ]_ fX_Ѓp‰ ]P fXP 3™ ^_Ѓp‰ ^P 3™ \_Ѓp‰ \P 3™ __ fW_Ѓp‰ _P fWP 3™ a_ fY_ѓ`‰ aP fYP 3™ Y_Ѓp‰ YP 3™3_ fW_Ѓp‰3P fWP 3™ ]_ fX_Ѓp‰ ]P fXP 3™ `_Ѓp‰ `P 3™ ^_Ѓp‰ ^P 3™ __ fW_Ѓp‰ _P fWP 3™ a_ fY_Ѓp‰ aP fYP 3™ ^_Ѓp‰ ^P 3™ \_Ѓp‰ \P 3™ d_ fY_ fW_Ѓp‰ dP fYP fWP 3™ X_Ѓp‰ XP 3™ W_Ѓp‰ WP 3™ ^_Ѓp‰ ^P 3™9_ fY_ fW_Ѓp‰9P fYP fWP 3™ X_Ѓp‰ XP 3™ W_Ѓp‰ WP 3™ \_ f^_Ѓp‰ \P f^P 3™ a_ fW_Ѓp‰ aP fWP 3™ ]_ fX_Ѓp‰ ]P fXP 3™ ^_Ѓp‰ ^P 3™ \_Ѓp‰ \P 3™ __ fW_Ѓp‰ _P fWP 3™ a_ fY_ѓ`‰ aP fYP 3™ Y_Ѓp‰ YP 3™3_ fW_x‰3P fWP 3™ ђe&lt;‰ ]P 3™ ђe&lt;‰ ]P 3™ ]_ fX_Ѓp‰ ]P fXP 3™ ^_Ѓp‰ ^P 3™ \_Ѓp‰ \P 3™ __ fW_Ѓp‰ _P fWP 3™ a_ fY_Ѓp‰ aP fYP 3™ `_x‰ `P 3™ `_x‰ `P 3™ ^_x‰ ^P 3™ ^_x‰ ^P 3™3_ fW_Ѓp‰3P fWP 3™ ]_ fX_Ѓp‰ ]P fXP 3™ `_Ѓp‰ `P 3™ ^_Ѓp‰ ^P 3™ __ fW_Ѓp‰ _P fWP 3™ a_ fY_Ѓp‰ aP fYP 3™ ^_Ѓp‰ ^P 3™ \_Ѓp‰ \P 3™ d_ fY_ fW_Ѓp‰ dP fYP fWP 3™ X_Ѓp‰ XP 3™ W_Ѓp‰ WP 3™ ^_Ѓp‰ ^P 3™9_ fY_ fW_Ѓp‰9P fYP fWP 3™ X_Ѓ4‰ XP 3™ Њe&lt;‰ YP 3™ Y_ fW_Ѓp‰ YP fWP 3™ \_ f^_Ѓp‰ \P f^P 3™ a_ fW_Ѓp‰ aP fWP 3™ ]_ fX_Ѓp‰ ]P fXP 3™ ^_Ѓp‰ ^P 3™ \_Ѓp‰ \P 3™ __ fW_Ѓp‰ _P fWP 3™ a_ fY_ѓ`‰ aP fYP 3™ Y_Ѓp‰ YP 3™3_ fW_x‰3P fWP 3™ ђe&lt;‰ ]P 3™ ђe&lt;‰ ]P 3™ ]_ fX_Ѓp‰ ]P fXP 3™ ^_Ѓp‰ ^P 3™ \_Ѓp‰ \P 3™ __ fW_Ѓp‰ _P fWP 3™ a_ fY_Ѓp‰ aP fYP 3™ ^_x‰ ^P 3™ ^_x‰ ^P 3™ \_x‰ \P 3™ \_x‰ \P 3™3_ fW_Ѓp‰3P fWP 3™ ]_ fX_Ѓp‰ ]P fXP 3™ `_Ѓp‰ `P 3™ ^_Ѓp‰ ^P 3™ __ fW_Ѓp‰ _P fWP 3™ a_ fY_Ѓp‰ aP fYP 3™ ^_Ѓp‰ ^P 3™ \_Ѓp‰ \P 3™ d_ fY_ fW_Ѓp‰ dP fYP fWP 3™ X_Ѓp‰ XP 3™ W_Ѓp‰ WP 3™ ^_Ѓp‰ ^P 3™ X_ fW_Ѓp‰ XP fWP 3™ d_ fY_Ѓ S‰ dP fYPЃ S™9_ fY_ fW_Ѓ S‰9P fYP fWPЃ S™ a_ fY_Ѓ S‰ aP fYPЃ S™9_ f]_ fW_Ѓp‰9P f]P fWP 3™ ]_Ѓp‰ ]P 3™ ]_Ѓp‰ ]P 3™ ]_ fW_Ѓp‰ ]P fWP 3™ a_ fY_ѓ`‰ aP fYP 3™ ]_Ѓp‰ ]P 3™ a_ fW_Ѓp‰ WP 3™ X_Ѓp‰ aP fXP 3™ ]_ fW_Ѓp‰ ]P fWP 3™ ]_Ѓp‰ ]P 3™ ]_ fW_Ѓp‰ ]P fWP 3™ a_ fY_ѓ`‰ aP fYP 3™ ]_ fY_x‰ ]P fYP 3™ Y_x‰ YP 3™ a_ fW_Ѓp‰ aP fWP 3™ ]_ fW_Ѓp‰ ]P fWP 3™ ]_Ѓp‰ ]P 3™ ]_Ѓp‰ ]P 3™ ]_ fW_Ѓp‰ ]P fWP 3™ a_ fY_ѓ`‰ aP fYP 3™ ]_Ѓp‰ ]P 3™ a_ fW_Ѓp‰ WP 3™ X_Ѓp‰ aP fXP 3™ ]_ fW_Ѓp‰ ]P fWP 3™ ]_Ѓp‰ ]P 3™ ]_ fW_Ѓp‰ ]P fWP 3™ d_ fY_ѓ`‰ dP fYP 3™ ]_ f`_x‰ ]P f`P 3™ `_x‰ `P 3™ a_ f^_ fW_x‰ aP f^P fWP 3™ ^_x‰ ^P 3™9_ f]_ fW_Ѓp‰9P f]P fWP 3™ ]_Ѓp‰ ]P 3™ ]_Ѓp‰ ]P 3™ ]_ fW_Ѓp‰ ]P fWP 3™ a_ fY_ѓ`‰ aP fYP 3™ ]_Ѓp‰ ]P 3™ a_ fW_Ѓp‰ WP 3™ X_Ѓp‰ aP fXP 3™ ]_ fW_Ѓp‰ ]P fWP 3™ ]_Ѓp‰ ]P 3™ ]_ fW_Ѓp‰ ]P fWP 3™ a_ fY_ѓ`‰ aP fYP 3™ ]_ fY_x‰ ]P fYP 3™ Y_x‰ YP 3™ a_ fW_Ѓp‰ aP fWP 3™ ]_ fW_Ѓp‰ ]P fWP 3™ ]_Ѓp‰ ]P 3™ ]_Ѓp‰ ]P 3™ ]_ fW_Ѓp‰ ]P fWP 3™ a_ fY_ѓ`‰ aP fYP 3™ ]_Ѓp‰ ]P 3™ a_ fW_Ѓp‰ WP 3™ X_Ѓp‰ aP fXP 3™ ]_ fW_Ѓp‰ ]P fWP 3™ ]_Ѓp‰ ]P 3™ ]_ fW_Ѓp‰ ]P fWP 3™ d_ fY_ѓ`‰ dP fYP 3™9_ f`_x‰9P f`P 3™ `_x‰ `P 3™ ^_ fW_x‰ ^P fWP 3™ ^_x‰ ^P 3™9_ f]_ fW_Ѓp‰9P f]P fWP 3™ ]_Ѓp‰ ]P 3™ ]_Ѓp‰ ]P 3™ ]_ fW_Ѓp‰ ]P fWP 3™ a_ fY_Ѓp‰ aP fYP 3™ W_Ѓp‰ WP 3™5_ f]_Ѓp‰5P f]P 3™ a_ fW_Ѓp‰ WPЃp aP 3™ ]_ fW_Ѓp‰ ]P fWP 3™ ]_Ѓp‰ ]P 3™ ]_ fW_Ѓp‰ ]P fWP 3™ a_ fY_Ѓp‰ aP fYP 3™ W_Ѓp‰ WP 3™5_ f]_Ѓp‰5P f]P 3™ a_ fW_Ѓp‰ aP fWP 3™ ]_ fW_Ѓp‰ ]P fWP 3™ ]_Ѓp‰ ]P 3™ ]_Ѓp‰ ]P 3™ ]_ fW_Ѓp‰ ]P fWP 3™ a_ fY_ѓ`‰ aP fYP 3™5_ f]_Ѓp‰5P f]P 3™ a_ fW_Ѓp‰ WP 3™ X_Ѓp‰ aP fXP 3™ ]_ fW_Ѓp‰ ]P fWP 3™ ]_Ѓp‰ ]P 3™ d_ fY_ fW_Ѓp‰ dP fYP fWPЃp™ Y_ fW_Ѓp‰ YP fWP 3™9_ f`_x‰9P f`P 3™ `_x‰ `P 3™ ^_ fW_Ѓp‰ ^P fWP 3™9_ f]_ fW_Ѓp‰9P f]P fWP 3™ ]_Ѓp‰ ]P 3™ ]_Ѓp‰ ]P 3™ ]_ fW_Ѓp‰ ]P fWP 3™ a_ fY_Ѓp‰ aP fYP 3™ W_Ѓp‰ WP 3™5_ f]_Ѓp‰5P f]P 3™ a_ fW_Ѓp‰ WPЃp aP 3™ ]_ fW_Ѓp‰ ]P fWP 3™ ]_Ѓp‰ ]P 3™ ]_ fW_Ѓp‰ ]P fWP 3™ a_ fY_Ѓp‰ aP fYP 3™ W_Ѓp‰ WP 3™5_ f]_Ѓp‰5P f]P 3™ a_ fW_Ѓp‰ aP fWP 3™ ]_ fW_Ѓp‰ ]P fWP 3™ ]_Ѓp‰ ]P 3™ ]_Ѓp‰ ]P 3™ ]_ fW_Ѓp‰ ]P fWP 3™ a_ fY_ѓ`‰ aP fYP 3™5_ f]_Ѓp‰5P f]P 3™ a_ fW_Ѓp‰ WP 3™ X_Ѓp‰ aP fXP 3™ ]_ fW_Ѓp‰ ]P fWP 3™ ]_Ѓp‰ ]P 3™ d_ fY_ fW_Ѓp‰ dP fYP fWPЃp™ Y_ fW_Ѓp‰ YP fWP 3™9_ f`_x‰9P f`P 3™ `_x‰ `P 3™ ^_ fW_Ѓp‰ ^P fWP 3™5_ f]_ fW_x‰5P f]P fWP 3™ W_x‰ WP 3™ ]_Ѓp‰ ]P 3™5_ f]_Ѓp‰5P f]P 3™ ]_ fW_Ѓp‰ ]P fWP 3™5_ fa_ fY_Ѓp‰5P faP fYP 3™ W_Ѓp‰ WP 3™5_ f]_Ѓp‰5P f]P 3™ a_ fW_Ѓp‰ WP 3™5_ fW_x‰ aP 35P fWP 3™ W_x‰ WP 3™ ]_Ѓp‰ ]P 3™5_ f]_Ѓp‰5P f]P 3™ ]_ fW_Ѓp‰ ]P fWP 3™5_ fa_ fY_Ѓp‰5P faP fYP 3™ W_Ѓp‰ WP 3™5_ f]_Ѓp‰5P f]P 3™ a_ fW_Ѓp‰ aP fWP 3™5_ f]_ fW_x‰5P f]P fWP 3™ W_x‰ WP 3™ ]_Ѓp‰ ]P 3™5_ f]_Ѓp‰5P f]P 3™ ]_ fW_Ѓp‰ ]P fWP 3™5_ fa_ fY_ѓ`‰5P faP fYP 3™5_ f]_ fW_x‰5P f]P fWP 3™ W_x‰ WP 3™ a_ fW_Ѓp‰ WP 3™5_ fX_Ѓp‰ aP 35P fXP 3™ ]_ fW_Ѓp‰ ]P fWP 3™ ]_Ѓp‰ ]P 3™ d_ fY_ fW_Ѓp‰ dP fYP fWP 3™ W_x‰ WP 3™ W_x‰ WP 3™ Y_Ѓp‰ YP 3™9_ f`_x‰9P f`P 3™ `_x‰ `P 3™ ^_ fW_Ѓp‰ ^P fWP 3™5_ f]_ fW_x‰5P f]P fWP 3™ W_x‰ WP 3™ ]_Ѓp‰ ]P 3™5_ f]_Ѓp‰5P f]P 3™ ]_ fW_Ѓp‰ ]P fWP 3™5_ fa_ fY_Ѓp‰5P faP fYP 3™ W_Ѓp‰ WP 3™5_ f]_Ѓp‰5P f]P 3™ a_ fW_Ѓp‰ WP 3™5_ fW_x‰ aP 35P fWP 3™ W_x‰ WP 3™ ]_Ѓp‰ ]P 3™5_ f]_Ѓp‰5P f]P 3™ ]_ fW_Ѓp‰ ]P fWP 3™5_ fa_ fY_Ѓp‰5P faP fYP 3™ W_Ѓp‰ WP 3™5_ f]_Ѓp‰5P f]P 3™ a_ fW_Ѓp‰ aP fWP 3™5_ f]_ fW_x‰5P f]P fWP 3™ W_x‰ WP 3™ ]_Ѓp‰ ]P 3™5_ f]_Ѓp‰5P f]P 3™ ]_ fW_Ѓp‰ ]P fWP 3™5_ fa_ fY_ѓ`‰5P faP fYP 3™5_ f]_Ѓp‰5P f]P 3™ a_ fW_Ѓp‰ WP 3™ X_Ѓp‰ aP fXP 3™ ]_ fW_Ѓp‰ ]P fWP 3™ ]_ fY_Ѓp‰ ]P fYP 3™ d_ fW_Ѓp‰ dP fWPЃp™ Y_ fW_Ѓp‰ YP fWP 3™9_ f`_x‰9P f`P 3™ `_x‰ `P 3™ ^_ fW_Ѓp‰ ^P fWP 3™5_ fX_ fW_ѓ`‰5P fXP fWP 3™5_ f__Ѓp‰5P f_P 3™ W_Ѓp‰ WP 3™5_ fX_Ѓp‰5P fXP 3™ __Ѓp‰ _P 3™5_ f^_Ѓp‰5P f^P 3™ X_ fW_Ѓp‰ XP fWP 3™5_ fX_ fW_ѓ`‰5P fXP fWP 3™5_ f__Ѓp‰5P f_P 3™ W_Ѓp‰ WP 3™5_ fX_Ѓp‰5P fXP 3™ __Ѓp‰ _P 3™5_ fW_x‰5P fWP 3™ Y_‚h‰ YP 3™5_ fX_ fW_ѓ`‰5P fXP fWP 3™5_ f__Ѓp‰5P f_P 3™ W_Ѓp‰ WP 3™5_ fX_Ѓp‰5P fXP 3™ __Ѓp‰ _P 3™5_ f\_Ѓp‰5P f\P 3™ X_ fW_Ѓp‰ XP fWP 3™5_ fX_ fW_ѓ`‰5P fXP fWP 3™5_ f__Ѓp‰5P f_P 3™ W_Ѓp‰ WP 3™5_ fX_Ѓp‰5P fXP 3™ __Ѓp‰ _P 3™5_ fY_x‰5P fYP 3™ Y_x‰ YP 3™ W_Ѓp‰ WP 3™5_ fX_ fW_Ѓp‰5P fXP fWPЃp™5_ f__Ѓp‰5P f_P 3™ W_Ѓp‰ WP 3™5_ fX_Ѓp‰5P fXP 3™ __Ѓp‰ _P 3™5_ f^_Ѓp‰5P f^P 3™ X_ fW_Ѓp‰ XP fWP 3™5_ fX_ fW_ѓ`‰5P fXP fWP 3™5_ f__Ѓp‰5P f_P 3™ W_Ѓp‰ WP 3™5_ fX_Ѓp‰5P fXP 3™ __Ѓp‰ _P 3™5_ fW_x‰5P fWP 3™ Y_‚h‰ YP 3™5_ fX_ fW_ѓ`‰5P fXP fWP 3™5_ f__Ѓp‰5P f_P 3™ W_Ѓp‰ WP 3™5_ fX_Ѓp‰5P fXP 3™ __Ѓp‰ _P 3™5_ f\_Ѓp‰5P f\P 3™ X_ fW_Ѓp‰ XP fWP 3™5_ fX_ fW_ѓ`‰5P fXP fWP 3™5_ fa_ fW_ѓ`‰5P faP fWP 3™5_ fY_x‰5P fYP 3™ W_x‰ WP 3™ __ fW_x‰ _P fWP 3™ W_x‰ WP 3™5_ fY_x‰5P fYP 3™ W_x‰ WP 3™ W_Ѓp‰ WP 3я b 3</t>
  </si>
  <si>
    <t>LT_Who_Goes_There.mid</t>
  </si>
  <si>
    <t>MThd"3 lfgfl4аMTrk"3 Њ3яQ ioZА 3я iBPost SScriptum †3яX!7 hoЌ3я •3MTrk!3 oq3я iwUPost_Scriptum †€3іd!3e!3 lr3г 3@ 3іe!3d gf9@ fY!3e 3d 3Іd!3e!3 lr3в 3@ 3Іe!3d gf9@ fY!3e 3d 3іe!3d hf9@ 3e 3d 3Іe!3d hf9@ 3e 3d 3Г ѓ3В ѓ3і"3І"3і m~3І m~3і =@ 3І =@ 3і]!3І]!3і[!3І[!3і\!3І\!3і_!3І_!3 mѓ3і mѓ3’ d_ fX_xІ m‡3і mTxІ mЊ3і mYxІ m‘3і m^xІ m–3і mcxІ :4 3і :4xІ :9 3і :9xІ :&gt; 3і :&gt;xІ :B 3і :BxІ :G 3і :GxІ :L 3і :LxІ :P 3і :PxІ :U 3і :UxІ :Z 3і :ZxІ :_ 3і :_xІ :c 3і :cxІ :h 3і :h 3‚ dP fXP 3’ XL pdLЃ ]‚ XP fdP&lt;’ XL pdLЃ ]‚ XP fdP&lt;’ XL pdLЃ ]‚ XP fdP&lt;’ XL pdLЃ ]‚ XP fdP&lt;’ XL pdL =8LЃ S‚ XP fdP 38P&lt;’ XL pdL =8LЃ S‚ XP fdP 38P&lt;’ XL pdL =8LЃ S‚ XP fdP 38P&lt;’ XL pdL =8LЃ S‚ XP fdP 38P&lt;’ XL pdL =9LЃ S‚ XP fdP 39P&lt;’ XL pdL =9LЃ S‚ XP fdP 39P&lt;’ XL pdL =9LЃ S‚ XP fdP 39P&lt;’ XL pdL =9LЃ S‚ XP fdP 39P&lt;’ XL pdL =9LЃ S‚ XP fdP 39P&lt;’ XL pdL =9LЃ S‚ XP fdP 39P&lt;’ XL pdL =9LЃ S‚ XP fdP 39P&lt;’ XL pdL =9LЃ S‚ XP fdP 39P&lt;’ XL pcL =9LЃ S‚ XP fcP 39P&lt;’ XL pcL =9LЃ S‚ XP fcP 39P&lt;’ XL pcL =9LЃ S‚ XP fcP 39P&lt;’ XL pcL =9LЃ S‚ XP fcP 39P&lt;’ XL pcL =9LЃ S‚ XP fcP 39P&lt;’ XL pcL =9LЃ S‚ XP fcP 39P&lt;’ XL pcL =9LЃ S‚ XP fcP 39P&lt;’ XL pcL =9LЃ S‚ XP fcP 39P&lt;’ XL pcL =8LЃ S‚ XP fcP 38P&lt;’ XL pcL =8LЃ S‚ XP fcP 38P&lt;’ XL pcL =8LЃ S‚ XP fcP 38P&lt;’ XL pcL =8LЃ S‚ XP fcP 38P&lt;’ XL pcL =8LЃ S‚ XP fcP 38P&lt;’ XL pcL =8LЃ S‚ XP fcP 38P&lt;’ XL pcL =8LЃ S‚ XP fcP 38P&lt;’ XL pcL =8LЃ S‚ XP fcP 38P&lt;’ XL pbL =8LЃ S‚ XP fbP 38P&lt;’ XL pbL =8LЃ S‚ XP fbP 38P&lt;’ XL pbL =8LЃ S‚ XP fbP 38P&lt;’ XL pbL =8LЃ S‚ XP fbP 38P&lt;’ XL pbL =8LЃ S‚ XP fbP 38P&lt;’ XL pbL =8LЃ S‚ XP fbP 38P&lt;’ XL pbL =8LЃ S‚ XP fbP 38P&lt;’ XL pbL =8LЃ S‚ XP fbP 38P&lt;’ XL paL =8LЃ S‚ XP faP 38P&lt;’ XL paL =8LЃ S‚ XP faP 38P&lt;’ XL paL =8LЃ S‚ XP faP 38P&lt;’ XL paL =8LЃ S‚ XP faP 38P&lt;’ XL paL =6LЃ S‚ XP faP 36P&lt;’ XL paL =6LЃ S‚ XP faP 36P&lt;’ XL paL =6_Ѓ S‚ XP faP&lt;6P 3’ XL paL =6_Ѓ S‚ XP faP&lt;6P 3’ XL p`L =6LЃ S‚ XP f`P 36P&lt;’ XL p`L =6LЃ S‚ XP f`P 36P&lt;’ XL p`L =6LЃ S‚ XP f`P 36P&lt;’ XL p`L =6LЃ S‚ XP f`P 36P&lt;’ XL p`L =6LЃ S‚ XP f`P 36P&lt;’ XL p`L =6LЃ S‚ XP f`P 36P&lt;’ XL p`L =6_Ѓ S‚ XP f`P&lt;6P 3’ XL p`L =6_Ѓ S‚ XP f`P&lt;6P 3’ XL pbL =6LЃ S‚ XP fbP 36P&lt;’ XL pbL =6LЃ S‚ XP fbP 36P&lt;’ XL pbL =6LЃ S‚ XP fbP 36P&lt;’ XL pbL =6LЃ S‚ XP fbP 36P&lt;’ XL pbL =4LЃ S‚ XP fbP 34P&lt;’ XL pbL =4LЃ S‚ XP fbP 34P&lt;’ XL pbL =4_Ѓ S‚ XP fbP&lt;4P 3’ XL pbL =4_Ѓ S‚ XP fbP&lt;4P 3’ ^L =4L pdLЃ S‚ ^P 34P fdP&lt;’ ^L =4L pdLЃ S‚ ^P 34P fdP&lt;’ ^L =4L pdLЃ S‚ ^P 34P fdP&lt;’ ^L =4L pdLЃ S‚ ^P 34P fdP&lt;’ ^L =4L pdLЃ S‚ ^P 34P fdP&lt;’ ^L =4L pdLЃ S‚ ^P 34P fdP&lt;’ ^L =4L pdLЃ S‚ ^P 34P fdP&lt;’ ^L =4L pdLЃ S‚ ^P 34P fdP&lt;’ _L =4L pdLЃ S‚ _P 34P fdP&lt;’ _L =4L pdLЃ S‚ _P 34P fdP&lt;’ _L =4L pdLЃ S‚ _P 34P fdP&lt;’ _L =3L pdLЃ S‚ _P 33P fdP&lt;’ _L =3L pdLЃ S‚ _P 33P fdP&lt;’ _L =3L pdLЃ S‚ _P 33P fdP&lt;’ _L =3LЃ ]‚ _P 33P&lt;’ _L =3LЃ ]‚ _P 33P&lt;’3_‡@‚3Pѓ`’3_ fX_‡@‚3P fXP‡@’ XL pbL =4_F‚ XP fbP Q4P 3’ XL pbL =4_F‚ XP fbP Q4Px’ XL pbL =4_F‚ XP fbP Q4P 3’3_ f__ fX_‡@‚3P f_P fXPѓ`’3_ f__ fX_‡@‚3P f_P fXP‡@’ XL pbL =4_F‚ XP fbP Q4P 3’ XL pbL =4_F‚ XP fbP Q4Px’ XL pbL =4_F‚ XP fbP Q4P 3’3_ f__ fX_‡@‚3P f_P fXPѓ`’3_ f__ fX_‡@‚3P f_P fXP‡@’ XL pbL =4_F‚ XP fbP Q4P 3’ XL pbL =4_F‚ XP fbP Q4Px’ XL pbL =4_F‚ XP fbP Q4P 3’3_ f__ fX_‡@‚3P f_P fXPѓ`’3_ f__ fX_‹ S‚3P f_P fXP 3я •3MTrk!3 4Ї 3я iHby SAlexander SShumakov 3µd!3e!3 lr3е 3@ 3µe!3d gf9@ fY!3e 3d 3ґd!3e!3 lr3д 3@ 3ґe!3d gf9@ fY!3e 3d 3µe!3d hf9@ 3e 3d 3ґe!3d hf9@ 3e 3d 3Е „3Д „3µ"3ґ"3µ m~3ґ m~3µ =@ 3ґ =@ 3µ]!3ґ]!3µ[!3ґ[!3µ\!3ґ\!3µ_!3ґ_!3 mѓ3µ mѓ3” X_xґ m‡3µ mTxґ mЊ3µ mYxґ m‘3µ m^xґ m–3µ mcxґ :4 3µ :4xґ :9 3µ :9xґ :&gt; 3µ :&gt;xґ :B 3µ :Bxґ :G 3µ :Gxґ :L 3µ :Lxґ :P 3µ :Pxґ :U 3µ :Uxґ :Z 3µ :Zxґ :_ 3µ :_xґ :c 3µ :cxґ :h 3µ :h 3„ XP 3” X_Џ 3„ XP 3” X_Џ 3„ XP 3” S_Џ 3„ SP 3” S_Џ 3„ SP 3” X_Џ 3„ XP 3” Q_Џ 3„ QP 3” T_Џ 3„ TP 3” S_Џ 3„ SP 3” R_Џ 3„ RP 3” S_Џ 3„ SP 3” X_Џ 3„ XP 3я •3MTrk!3 4N 3я in[c Џ†–d8 3·d!3e!3 lr3з 3@ 3·e!3d gf9@ fY!3e 3d 3¶d!3e!3 lr3ж 3@ 3¶e!3d gf9@ fY!3e 3d 3·e!3d hf9@ 3e 3d 3¶e!3d hf9@ 3e 3d 3З …3Ж …3·"3¶"3· m~3¶ m~3· =@ 3¶ =@ 3·]!3¶]!3·[!3¶[!3·\!3¶\!3·_!3¶_!3 mѓ3· mѓ3–8_ fS_x¶ m‡3· mTx¶ mЊ3· mYx¶ m‘3· m^x¶ m–3· mcx¶ :4 3· :4x¶ :9 3· :9x¶ :&gt; 3· :&gt;x¶ :B 3· :Bx¶ :G 3· :Gx¶ :L 3· :Lx¶ :P 3· :Px¶ :U 3· :Ux¶ :Z 3· :Zx¶ :_ 3· :_x¶ :c 3· :cx¶ :h 3· :h 3†8P fSP 3–4 eЏ 3†4P 3я •3MTrk!3 5h 3я i;Contact: 3єd!3e!3 lr3к 3@ 3єe!3d gf9@ fY!3e 3d 3ёd!3e!3 lr3и 3@ 3ёe!3d gf9@ fY!3e 3d 3єe!3d hf9@ 3e 3d 3ёe!3d hf9@ 3e 3d 3К Ќ3И Ќ3є"3ё"3є m~3ё m~3є =@ 3ё =@ 3є]!3ё]!3є[!3ё[!3є\!3ё\!3є_!3ё_!3 mѓ3є mѓ3 L_xё m‡3є mTxё mЊ3є mYxё m‘3є m^xё m–3є mcxё :4 3є :4xё :9 3є :9xё :&gt; 3є :&gt;xё :B 3є :Bxё :G 3є :Gxё :L 3є :Lxё :P 3є :Pxё :U 3є :Uxё :Z 3є :Zxё :_ 3є :_xё :c 3є :cxё :h 3є :h 3€ LP 3 L_Џ 3€ LP 3 L_Џ 3€ LP 3 L_–@€ LP 3 S_ѓ`€ SP 3 S_ѓ`€ SP 3 L_Џ 3€ LP 3 Q_‡@€ QP 3 Q_ѓ`€ QP 3 Q_ѓ`€ QP 3 T_Џ 3€ TP 3 L_‡@€ LP 3 L_ѓ`€ LP 3 L_ѓ`€ LP 3 N_Џ 3€ NP 3 S_‡@€ SP 3 S_ѓ`€ SP 3 S_ѓ`€ SP 3 L_‹ S€ LP 3 L_Џ 3€ LP 3 Y_x€ YP 3 Y_x€ YPx Y_x€ YP 3 L_‹ S€ LP 3 L_Џ 3€ LP 3 Y_x€ YP 3 Y_x€ YPx Y_x€ YP 3 L_‹ S€ LP 3 L_Џ 3€ LP 3 Y_x€ YP 3 Y_x€ YPx Y_x€ YP 3 L_‹ S€ LP 3 L_‹ S€ LP 3я •3MTrk!3 8» 3я iCDaveVsZi*gy@i aua 3№d!3e!3 lr3й 3@ 3№e!3d gf9@ fY!3e 3d 3Й!3№"3 :h f=@ 3]!3[!3\!3_!3 :h f:h 3™ __x№ :h f:hx :h f:hx :h f:hx :h f:h 3‰ _P 3™ __x№ :h f:hx :h f:hx :h f:hx :h f:h 3‰ _P 3™ __x№ :h f:hx :h f:hx :h f:hx :h f:h 3‰ _P 3™ a_x№ :h f:hx :h f:hx :h f:hx :h f:h 3‰ aP 3™ ]_ fW_Ѓp‰ ]P fWP 3™ __Ѓp‰ _P 3™ __Ѓp‰ _P 3™ __Ѓp‰ _P 3™ a_Ѓp‰ aP 3™ __Ѓp‰ _P 3™ __Ѓp‰ _P 3™ __Ѓp‰ _P 3™ ]_ fW_Ѓp‰ ]P fWP 3™ __Ѓp‰ _P 3™ __Ѓp‰ _P 3™ __Ѓp‰ _P 3™ a_Ѓp‰ aP 3™ __Ѓp‰ _P 3™ a_Ѓp‰ aP 3™ __Ѓp‰ _P 3™ ]_ fW_Ѓp‰ ]P fWP 3™ __Ѓp‰ _P 3™ __Ѓp‰ _P 3™ __Ѓp‰ _P 3™ a_Ѓp‰ aP 3™ __Ѓp‰ _P 3™ __ fW_Ѓp‰ _P fWP 3™ __Ѓp‰ _P 3™ ]_ fW_Ѓp‰ ]P fWP 3™ __Ѓp‰ _P 3™ __Ѓp‰ _P 3™ __Ѓp‰ _P 3™ a_Ѓp‰ aP 3™ __Ѓp‰ _P 3™ __ fW_Ѓp‰ _P fWP 3™ __Ѓp‰ _P 3™ ]_ fW_Ѓp‰ ]P fWP 3™ __Ѓp‰ _P 3™ __Ѓp‰ _P 3™ __Ѓp‰ _P 3™ a_Ѓp‰ aP 3™ __Ѓp‰ _P 3™ __Ѓp‰ _P 3™ __Ѓp‰ _P 3™ ]_ fW_Ѓp‰ ]P fWP 3™ __Ѓp‰ _P 3™ __Ѓp‰ _P 3™ __Ѓp‰ _P 3™ a_Ѓp‰ aP 3™ __Ѓp‰ _P 3™ a_ fW_ѓ`‰ aP fWP 3™ ]_ fW_Ѓp‰ ]P fWP 3™ __Ѓp‰ _P 3™ __Ѓp‰ _P 3™ __Ѓp‰ _P 3™ a_Ѓp‰ aP 3™ __Ѓp‰ _P 3™ __Ѓp‰ _P 3™ __Ѓp‰ _P 3™ ]_ fW_Ѓp‰ ]P fWP 3™ __Ѓp‰ _P 3™ __Ѓp‰ _P 3™ __Ѓp‰ _P 3™ a_Ѓp‰ aP 3™ __Ѓp‰ _P 3™ a_ fW_ѓ`‰ aP fWP 3™ ]_ fW_Ѓp‰ ]P fWP 3™ __Ѓp‰ _P 3™ __Ѓp‰ _P 3™ __Ѓp‰ _P 3™ a_Ѓp‰ aP 3™ __Ѓp‰ _P 3™ __Ѓp‰ _P 3™ __Ѓp‰ _P 3™ ]_ fW_Ѓp‰ ]P fWP 3™ __Ѓp‰ _P 3™ __Ѓp‰ _P 3™ __Ѓp‰ _P 3™ a_Ѓp‰ aP 3™ __Ѓp‰ _P 3™ __ f`_x‰ _P f`P 3™ ^_x‰ ^P 3™ __Ѓp‰ _P 3™ d_ fW_ѓ`‰ dP fWP 3™ `_Ѓp‰ `P 3™ ^_Ѓp‰ ^P 3™ \_Ѓp‰ \P 3™ __Ѓp‰ _P 3™9_ fW_ѓ`‰9P fWP 3™3_ѓ`‰3P 3™ __ѓ`‰ _P 3™ __ѓ`‰ _P 3™ a_ѓ`‰ aP 3™ d_ fW_ѓ`‰ dP fWP 3™ b_Ѓp‰ bP 3™ `_Ѓp‰ `P 3™ ^_Ѓp‰ ^P 3™ \_Ѓp‰ \P 3™9_ fW_ѓ`‰9P fWP 3™;_ѓ`‰;P 3™ __ѓ`‰ _P 3™ __ѓ`‰ _P 3™ a_‚h‰ aP 3™ ‰ex‰ VP 3™ d_ fW_Ѓp‰ dP fWP 3™ b_x‰ bP 3™ b_x‰ bP 3™ `_Ѓp‰ `P 3™ ^_Ѓp‰ ^P 3™ a_Ѓp‰ aP 3™ \_Ѓp‰ \P 3™9_ fW_ѓ`‰9P fWP 3™;_ѓ`‰;P 3™ __ѓ`‰ _P 3™ __ѓ`‰ _P 3™ a_‚h‰ aP 3™ ‰ex‰ VP 3™ d_ fW_Ѓp‰ dP fWP 3™ `_x‰ `P 3™ `_x‰ `P 3™ ^_x‰ ^P 3™ ^_x‰ ^P 3™ \_x‰ \P 3™ \_x‰ \P 3™ a_x‰ aP 3™ ^_x‰ ^P 3™ \_x‰ \P 3™ \_x‰ \P 3™9_ fW_ѓ`‰9P fWP 3я b 3</t>
  </si>
  <si>
    <t>Post_Scriptum_2.mid</t>
  </si>
  <si>
    <t>MThd"3 lfgfn4аMTrk"3 Љ3яQ ioZА 3я i@Steps Sof SD*om 3яX!7 hoЌ3я •3MTrk!3 8ю 3я iuUSteps SOf SD*om €3±d!3e!3 lr3б 3@ 3±e!3d gf9@ fY!3e 3d 3°d!3e!3 lr3а 3@ 3°e!3d gf9@ fY!3e 3d 3±e!3d hf9@ 3e 3d 3°e!3d hf9@ 3e 3d 3Б j3А j3±"3°"3± :x 3° :x 3± =8 3° =8 3±]!3°]!3±[!3°[!3±\!3°\!3±_!3°_!3ђ ]O…PЂ ]P 3ђ dOЃpЂ dP 3ђ6O…PЂ6P 3ђ ^OЃpЂ ^P 3ђ ]O…PЂ ]P 3ђ dOЃpЂ dP 3ђ6Oѓ`Ђ6P 3ђ ^Oѓ`Ђ ^P 3ђ ]O…PЂ ]P 3ђ dOЃpЂ dP 3ђ6O…PЂ6P 3ђ ^OЃpЂ ^P 3ђ ]O…PЂ ]P 3ђ dOЃpЂ dP 3ђ6OЃpЂ6P 3ђ5OЃpЂ5P 3ђ4OЃpЂ4P 3ђ3OЃpЂ3P 3ђ eO fYO…PЂ eP fYP 3ђ `OЃpЂ `P 3ђ eO…PЂ eP 3ђ ZOЃpЂ ZP 3ђ YO…PЂ YP 3ђ `OЃpЂ `P 3ђ eOЃpЂ eP 3ђ `OЃpЂ `P 3ђ dOѓ`Ђ dP 3ђ bO…PЂ bP 3ђ ]OЃpЂ ]P 3ђ bO…PЂ bP 3ђ ]OЃpЂ ]P 3ђ dOЃpЂ dP 3ђ cOЃpЂ cP 3ђ bOЃpЂ bP 3ђ aOЃpЂ aP 3ђ `OЃpЂ `P 3ђ _OЃpЂ _P 3ђ ^OЃpЂ ^P 3ђ \OЃpЂ \P 3ђ ]O…PЂ ]P 3ђ dOЃpЂ dP 3ђ6O…PЂ6P 3ђ ^Oѓ`Ђ ^P 3ђ ]Oѓ`Ђ ]P 3ђ dOЃpЂ dP 3ђ6Oѓ`Ђ6P 3ђ ^Oѓ`Ђ ^P 3ђ ]O…PЂ ]P 3ђ dOЃpЂ dP 3ђ6O…PЂ6P 3ђ ^Oѓ`Ђ ^P 3ђ ]Oѓ`Ђ ]P 3ђ dOЃpЂ dP 3ђ6OЃpЂ6P 3ђ5OЃpЂ5P 3ђ4OЃpЂ4P 3ђ3OЃpЂ3P 3ђ eO fYO…PЂ eP fYP 3ђ `OЃpЂ `P 3ђ eO…PЂ eP 3ђ ZOѓ`Ђ ZP 3ђ YOѓ`Ђ YP 3ђ `OЃpЂ `P 3ђ eOЃpЂ eP 3ђ `OЃpЂ `P 3ђ dOѓ`Ђ dP 3ђ bO…PЂ bP 3ђ ]OЃpЂ ]P 3ђ bO…PЂ bP 3ђ ]OЃpЂ ]P 3ђ dOЃpЂ dP 3ђ dOЃpЂ dPЃpђ dOЃpЂ dPЃpђ dOѓ`Ђ dP 3ђ d_ЃpЂ dPј 3° :P 3± :P 3ђJ eЏ 3ЂJPЏ 3ђG eЏ 3ЂGP 3° :x 3± :x 3ђ dOЃpЂ dP 3ђ cOЃpЂ cP 3ђ bOЃpЂ bP 3ђ `OЃpЂ `PЃpђ _OЃpЂ _P 3ђ ^OЃpЂ ^P 3ђ \OЃpЂ \P 3ђ ]O…PЂ ]P 3ђ dOЃpЂ dP 3ђ6Oѓ`Ђ6P 3ђ ^Oѓ`Ђ ^P 3ђ ]OЃpЂ ]Pѓ`ђ XOЃpЂ XP 3ђ ]OЃpЂ ]P 3ђ _OЃpЂ _P 3ђ `OЃpЂ `P 3ђ dOЃpЂ dP 3ђ eOђpЂ eP 3ђ cO‰ cЂ cP 3ђ cOЃpЂ cP 3ђ dOЃpЂ dP 3ђ ]O…PЂ ]P 3ђ dOЃpЂ dP 3ђ6O…PЂ6P 3ђ ]OЃpЂ ]P 3ђ [Oѓ`Ђ [PЃpђ dOЃpЂ dP 3ђ ]OЃpЂ ]P 3ђ _OЃpЂ _P 3ђ `OЃpЂ `P 3ђ dOЃpЂ dP 3ђ bOЏ 3Ђ bP 3ђ cOЏ 3Ђ cP 3ђ dO…PЂ dP 3ђ _OЃpЂ _P 3ђ dO…PЂ dP 3ђ YOѓ`Ђ YP 3ђ XOѓ`Ђ XP 3ђ _OЃpЂ _P 3ђ dOЃpЂ dP 3ђ YO…PЂ YP 3ђ dO…PЂ dP 3ђ _OЃpЂ _P 3ђ dO…PЂ dP 3ђ YOѓ`Ђ YP 3ђ XOѓ`Ђ XP 3ђ _OЃpЂ _P 3ђ dOЃpЂ dP 3ђ ^O…PЂ ^P 3ђ d?…PЂ dP 3ђ _OЃpЂ _P 3ђ dO…PЂ dP 3ђ YOѓ`Ђ YP 3ђ XOѓ`Ђ XP 3ђ _OЃpЂ _P 3ђ dOЃpЂ dP 3ђ YO…PЂ YP 3ђ dO…PЂ dP 3ђ _OЃpЂ _P 3ђ dOЃpЂ dP 3ђ XOЃpЂ XP 3ђ YOЃpЂ YP 3ђ dOЃpЂ dPЃpђ cOЃpЂ cP 3ђ bOЃpЂ bP 3ђ aOЃpЂ aPЃpђ _OЃpЂ _P 3ђ ^OЃpЂ ^P 3ђ \OЃpЂ \P 3я •3MTrk!3 l—3я iGby SAlexandr SShumakov 3іd!3e!3 lr3г 3@ 3іe!3d gf9@ fY!3e 3d 3Іd!3e!3 lr3в 3@ 3Іe!3d gf9@ fY!3e 3d 3іe!3d hf9@ 3e 3d 3Іe!3d hf9@ 3e 3d 3Г ~3В ~3і"3І"3і :` 3І :` 3і =P 3І =P 3і]!3І]!3і[!3І[!3і\!3І\!3і_!3І_ 3ј 3’N? 3&gt;? feOЏ 3‚NP 3&gt;P fePЏ 3’N? 3;? fbOЏ 3‚NP 3;P fbP 3’P? 3L? fdOЃp‚*P 3LP fdP 3’P? 3L? fdOЃp‚*P 3LP fdP‹ S’B? 36OЃp‚6P 3’ cOЃp‚ cP 3’ dOЃp‚ dP 3’7OЃp‚7P 3’6OЃp‚6P 3’ cOЃp‚ cP 3’ dOЃp‚BP fdP 3’CO 37Oѓ`‚CP 37P 3’BO fc?Ѓp‚ cP 3’ d?Ѓp‚ dP 3’7OЃp‚7P 3’6OЃp‚6P 3’ cOЃp‚BP fcP 3’C? 34OЃp‚4P 3’7OЃp‚CP 37P 3’BO f]OЃp‚ ]P 3’ cOЃp‚ cP 3’ dOЃp‚ dP 3’7OЃp‚BP 37P 3’6OЃp‚6P 3’ cOЃp‚ cP 3’ dOЃp‚ dP 3’CO 37Oѓ`‚CP 37P 3’BO fc?Ѓp‚ cP 3’ d?Ѓp‚BP fdP 3’@O 37OЃp‚@P 37P 3’BO 36OЃp‚6P 3’ cOЃp‚BP fcP 3’@O 34OЃp‚4P 3’7OЃp‚@P 37P 3’B? feOЃp‚ eP 3’ _OЃp‚ _P 3’ `OЃp‚ `P 3’3OЃp‚3P 3’ eOЃp‚BP feP 3’ _OЃp‚ _P 3’ `OЃp‚ `P 3’CO 33Oѓ`‚CP 33P 3’BO feOЃp‚ eP 3’ `?Ѓp‚ `P 3’3OЃp‚3P 3’ eOЃp‚ eP 3’ `OЃp‚BP f`P 3’@? f`OЃp‚ `P 3’ `OЃp‚@P f`P 3’BO fbOЃp‚ bP 3’ \OЃp‚ \P 3’ ]OЃp‚ ]P 3’ cOЃp‚BP fcP 3’ bOЃp‚ bP 3’ \OЃp‚ \P 3’ ]OЃp‚ ]P 3’ e_Ѓp‚ eP 3’ d_Ѓp‚ dP 3’ dOЃp‚ dPЃp’ dOЃp‚ dPЃp’ dOЃp‚ dP 3’ d_Ѓp‚ dP 3’ d_Ѓp‚ dP 3’B eљ S‚BP 3’C eѓ`‚CP 3’@ eљ S‚@P 3’@ eѓ`‚@P 3’&gt; eЌ C‚&gt;P 3’= eѓ`‚=P 3’&gt; eѓ`‚&gt;P 3’= eЃp‚=P 3’&gt; eѓ`‚&gt;P 3’= eѓ`‚=P 3’B fb_Ѓp‚BP fbP 3’ \_Ѓp‚ \P 3’ ]_Ѓp‚ ]P 3’ c_Ѓp‚ cP 3’ b_…P‚ bP 3’ ]_Ѓp‚ ]P 3’A fd_Ѓp‚AP fdP 3’@O fcOЃp‚@P fcP 3’?O fbOЃp‚?P fbP 3’&gt;O f`OЃp‚&gt;P f`PЃp’=O f_OЃp‚=P f_P 3’&lt;O f^OЃp‚&lt;P f^P 3’;O f\OЃp‚;P f\P 3’9O fdOЃp‚9P fdPѓ`’9O fdOЃp‚9P fdPѓ`’5O f_Oѓ`‚5P f_P 3’6O fdOЃp‚6P fdPѓ`’ ]OЃp‚ ]P 3’ `OЃp‚ `P 3’ bOЃp‚ bP 3’ dOЃp‚ dP 3’6OЃp‚6P 3’ eOЃp‚ eP 3’ _OЃp‚ _P 3’ `OЃp‚ `P 3’3OЃp‚3P 3’ eOЃp‚ ePѓ`’ dOѓ`‚ dP 3’ cOѓ`‚ cP 3’ ]OЃp‚ ]P 3’ `OЃp‚ `P 3’ \OЃp‚ \P 3’ ]OЃp‚ ]P 3’ XOЃp‚ XP 3’ `OЃp‚ `P 3’ \OЃp‚ \P 3’ ]OЃp‚ ]P 3’ `OЃp‚ `PЃp’ \OЃp‚ \P 3’ ]OЃp‚ ]P 3’ `OЃp‚ `P 3’ _OЃp‚ _P 3’ ZOЃp‚ ZP 3’ [OЃp‚ [P 3’ _OЃp‚ _P 3’B? 36?Ѓp‚BP 36P 3’D? 38?Ѓp‚DP 38P 3’E? 39OЃp‚EP 39P 3’I? 3=?‰ c‚IP 3=P 3’E? 39?‡@‚EP 39P 3’D? 3&lt;?‡@‚DP 3&lt;P 3’B? 3&lt;?‡@‚BP 3&lt;P 3’ d_Џ 3‚ dP 3я •3MTrk!3 7: 3я in[c Џ†–d8 3µd!3e!3 lr3е 3@ 3µe!3d gf9@ fY!3e 3d 3ґd!3e!3 lr3д 3@ 3ґe!3d gf9@ fY!3e 3d 3µe!3d hf9@ 3e 3d 3ґe!3d hf9@ 3e 3d 3Е x3Д x3µ"3ґ"3µ :P 3ґ :P 3µ =H 3ґ =H 3µ]!3ґ]!3µ[!3ґ[!3µ\!3ґ\!3µ_!3ґ_!3” ]OЏ 3„ ]P 3” ]OЏ 3„ ]P 3” ]OЏ 3„ ]P 3”6O f]OЏ 3„6P f]P 3”N? 3&gt;? feOЏ 3„NP 3&gt;P fePЏ 3”N? 3;? fbOЏ 3„NP 3;P fbP 3”P? 3L? fdOЃp„*P 3LP fdP 3”P? 3L? fdOЃp„*P 3LP fdP‹ S”NLЌ C„NPЌ C”L?ѓ`„LP 3”NLЌ C„NP‡@”L?Ѓp„LP 3”N?ѓ`„NP 3”L?ѓ`„LP 3”JLЌ C„JPђp”N?Џ 3„NP 3”P? 3L? fdOЃp„*P 3LP fdP 3”P? 3L? fdOЃp„*P 3LP fdPЃp”P? 3L? fdOЃp„*P 3LP fdPЃp”P? 3L? fdO…P„*P 3LP fdP 3”NL 3@ eЌ C„NP 3@P 3”O 3C eЃp„CPЃpOP 3”N 3B eѓ`„NP 3BP 3”L 3@ eЃp„LP 3@P 3”N 3B eѓ`„NP 3BP 3”O 3C eѓ`„OP 3CP 3”*L 3B eЌ C„LP 3BP 3”O 3C eЃp„CPЃpOP 3”N 3B eѓ`„NP 3BP 3”L 3@ eЃp„LP 3@P 3”N 3B eѓ`„NP 3BP 3”L 3C eѓ`„LP 3CP 3”JL 3B eЌ C„JP 3BP 3”L 3= eѓ`„LP 3=P 3”N 3&gt; eѓ`„NP 3&gt;P 3”L 3= eЃp„LP 3=P 3”N 3&gt; eѓ`„NP 3&gt;P 3”L 3= eѓ`„LP 3=P 3”N? 3; eЏ 3„NP 3;P 3”P 3I 3= eЃp„*P 3IP 3=P 3”P 3I 3= ex„*P 3IP 3=PЊ K”N 39? fd?Ѓp„NP 39P fdPѓ`”N 39? fd?Ѓp„NP 39P fdPѓ`”5? f_?ѓ`„5P f_P 3”6? fd?Ѓp„6P fdP…P”=?‡@„=P 3”N?ђp„NP 3”L? 3@?ѓ`„LP 3@P 3”E?Ѓp„EP 3”H?ѓ`„HP 3”5Oѓ`„5P 3”E? 3=?Џ 3„EP 3=P 3”D? 3;?Џ 3„DP 3;P 3”B? 39?Џ 3„BP 39P 3”D? 3&lt;?Џ 3„DP 3&lt;P 3”D? 3=?Ќ C„DP 3=Pђp”=? 38?Ќ C„=P 38P‹ S”&lt;? fc?…P„&lt;P fcP 3”D? 3=?Ќ C„DP 3=Pђp”D? 3=?Ќ C„DP 3=P 3”DO 3=OЃp„DP 3=P 3я •3MTrk!3 9y 3я iCDaveVsZi*gy@i aua 3·d!3e!3 lr3з 3@ 3·e!3d gf9@ fY!3e 3d 3¶d!3e!3 lr3ж 3@ 3¶e!3d gf9@ fY!3e 3d 3·e!3d hf9@ 3e 3d 3¶e!3d hf9@ 3e 3d 3З ‡3Ж ‡3·"3¶"3· :` 3¶ :` 3· =@ 3¶ =@ 3·]!3¶]!3·[!3¶[!3·\!3¶\!3·_!3¶_!3– QLЃp† QPњ C– QLЃp† QPЌ C– QLЃp† QPЌ C– Y_Ѓp† YPЌ C– M_Ѓp† MP‰ c– T_x† TP‚h– V_ѓ`† VPѓ`– V_ѓ`† VPѓ`– X_Ѓp† XP 3– W_Ѓp† WPЃp– U_Ѓp† UPЃp– S_Ѓp† SPЃp– P_Ѓp† PP 3– Q_…P† QP 3– Q_Ѓp† QP 3– ]_…P† ]P 3– R_ѓ`† RP 3– Q_Ѓp† QPЃp– Q_x† QPx– Q_Ѓp† QPЃp– R_ѓ`† RP 3– Q_…P† QP 3– Q_Ѓp† QP 3– ]_…P† ]P 3– R_ѓ`† RP 3– Q_Ѓp† QPЃp– Q_x† QPx– Q_ѓ`† QP 3– O_ѓ`† OP 3– M_…P† MP 3– M_Ѓp† MP 3– Y_…P† YP 3– N_ѓ`† NP 3– M_Ѓp† MPЃp– M_x† MPx– Y_Ѓp† YPЃp– L_ѓ`† LP 3– V_…P† VP 3– Q_Ѓp† QP 3– V_…P† VP 3– Q_Ѓp† QP 3– L_Ѓp† LP 3– L_Ѓp† LPЃp– X_Ѓp† XPЃp– [_Ѓp† [P 3– V_Ѓp† VP 3– X_Ѓp† XP 3– Q_Ѓp† QP 3– W_Ѓp† WP 3– X_Ѓp† XP 3– ^_Ѓp† ^P 3– ]_Ѓp† ]P 3– Q_Ѓp† QP 3– X_Ѓp† XP 3– R_ѓ`† RP 3– Q_ѓ`† QP 3– ^_Ѓp† ^P 3– ]_ѓ`† ]P 3– R_ѓ`† RP 3– R_Ѓp† RP 3– Q_Ѓp† QP 3– X_Ѓp† XP 3– ^_Ѓp† ^P 3– ]_Ѓp† ]P 3– Q_Ѓp† QP 3– X_Ѓp† XP 3– R_ѓ`† RP 3– Q_ѓ`† QP 3– X_Ѓp† XP 3– ]_ѓ`† ]P 3– [_ѓ`† [P 3– Y_Ѓp† YP 3– M_Ѓp† MP 3– T_Ѓp† TP 3– Z_Ѓp† ZP 3– Y_Ѓp† YP 3– M_Ѓp† MP 3– Y_Ѓp† YP 3– N_ѓ`† NP 3– M_ѓ`† MP 3– X_Ѓp† XP 3– Y_Ѓp† YP 3– M_Ѓp† MP 3– X_ѓ`† XP 3– V_Ѓp† VP 3– P_Ѓp† PP 3– Q_Ѓp† QP 3– W_Ѓp† WP 3– V_…P† VP 3– Q_Ѓp† QP 3– L_Ѓp† LP 3– W_Ѓp† WP 3– V_Ѓp† VP 3– T_Ѓp† TPЃp– S_Ѓp† SPЃp– P_Ѓp† PP 3– Q_…P† QP 3– Q_Ѓp† QP 3– ]_ѓ`† ]P 3– R_ѓ`† RP 3– Q_Ѓp† QPЌ C– M_Ѓp† MPѓ`– M_Ѓp† MP 3– Y_Ѓp† YP 3– M_ѓ`† MP 3– X_ѓ`† XP 3– W_…P† WP 3– W_Ѓp PLѓ`† WP fPP 3– X_Ѓp† XP 3– Q_…P† QP 3– Q_Ѓp† QP 3– ]_…P† ]P 3– Q_Ѓp† QP 3– O_ѓ`† OPЃp– O_x† OPx– [_Ѓp† [P 3– O_Ѓp† OPЃp– T_Ѓp† TP 3– V_…P† VP 3– ]_Ѓp† ]P 3– b_…P† bP 3– V_Ѓp† VP 3– W_…P† WP 3– S_Ѓp† SP 3– W_…P† WP 3– S_Ѓp† SP 3– L_…P† LP 3– L_Ѓp† LP 3– X_…P† XP 3– M_ѓ`† MP 3– L_Ѓp† LPЃp– L_Ѓp† LP 3– X_Ѓp† XP 3– M_…P† MP 3– L_…P† LP 3– L_Ѓp† LP 3– X_…P† XP 3– M_ѓ`† MP 3– L_Ѓp† LPЃp– L_Ѓp† LP 3– X_Ѓp† XP 3– W_…P† WP 3– L_…P† LP 3– L_Ѓp† LP 3– X_…P† XP 3– M_ѓ`† MP 3– L_Ѓp† LPЃp– L_Ѓp† LP 3– X_Ѓp† XP 3– M_…P† MP 3– L_…P† LP 3– L_Ѓp† LP 3– X_Ѓp† XP 3– L_Ѓp† LP 3– M_Ѓp† MP 3– L_Ѓp† LPЃp– W_Ѓp† WPЃp– U_Ѓp† UPЃp– S_Ѓp† SPЃp– P_Ѓp† PP 3я •3MTrk!3 &gt;о 3я 6!3№d!3e!3 lr3й 3@ 3№e!3d gf9@ fY!3e 3d 3Й!3№"3 :P f=@ 3]!3[!3\!3_!3™3_ѓ`‰3P 3™ X_‡@‰ XP 3™ X_Ѓp‰ XP 3™ ]OЃp‰ ]P 3™3_ѓ`‰3P 3™ X_‡@‰ XP 3™ X_Ѓp‰ XP 3™ ]L&lt;‰ ]P 3™ ]L&lt;‰ ]P 3™ ]L&lt;‰ ]P 3™ ]L&lt;‰ ]P 3™ a_ѓ`‰ aP 3™ X_…P‰ XP 3™ `_Ѓp‰ `P 3™ T_Ѓp‰ TP 3™ ]_Ѓp‰ ]P 3™ a_ѓ`‰ aP 3™ T_Ѓp‰ TP 3™ ]_ f^_Ѓp‰ ]P f^P 3™ T_Ѓp‰ TP 3™ ]_Ѓp‰ ]P 3™ T_Ѓp‰ TP 3™ ]_ f^_Ѓp‰ ]P f^P 3™ a_ f\_ѓ`‰ aP f\P 3™ T_ѓ`‰ TP 3™ `LЃp‰ `P 3™ X_ѓ`‰ XP 3™ ]_ f^_Ѓp‰ ]P f^P 3™ a_ f\_ѓ`‰ aP f\P 3™ T_ѓ`‰ TP 3™ ^?Ѓp‰ ^P 3™ XOЃp‰ XP 3™ b?Ѓp‰ bP 3™ ]L f^_x‰ ]P f^P 3™ ^_x‰ ^P 3™ a_ f\_ѓ`‰ aP f\P 3™ T_ѓ`‰ TP 3™ T_Ѓp‰ TP 3™ ^_Ѓp‰ ^P 3™ T_Ѓp‰ TP 3™ a_ f`_Ѓ4‰ aP 3™ 3_;‰ 3P g`P 3™ b_ f]_Ѓp‰ bP f]P 3™ b_Ѓp‰ bP 3™ ]_Ѓp‰ ]P 3™ `_Ѓp‰ `P 3™ ]_Ѓp‰ ]P 3™ ^_Ѓp‰ ^P 3™ ]_Ѓp‰ ]P 3™ \_Ѓp‰ \P 3™9_ fW_…P‰9P fWP 3™ V_Ѓp‰ VP 3™ Y_ 33_Ѓp‰ YP 33PЃp™ X_Ѓp‰ XP 3™ WLЃp‰ WP 3™9_ fW_…P‰9P fWP 3™ V_Ѓp‰ VP 3™ Y_ 33_Ѓp‰ YP 33P 3™ W_Ѓp‰ WP 3™ X_Ѓp‰ XP 3™ Y_ 35_Ѓp‰ YP 35P 3™9_ fW_…P‰9P fWP 3™ V_Ѓp‰ VP 3™ Y_ 33_Ѓp‰ YP 33P 3™ W_Ѓp‰ WP 3™ X_Ѓp‰ XP 3™ WLЃp‰ WP 3™9_ fW_…P‰9P fWP 3™ V_Ѓp‰ VP 3™ Y_ 33_Ѓp‰ YP 33P 3™ W_Ѓp‰ WP 3™ Y_ 35_Ѓp‰ YP 35P 3™ WL fY_Ѓp‰ WP fYP 3™9_ fW_…P‰9P fWP 3™ V_Ѓp‰ VP 3™ Y_ 33_Ѓp‰ YP 33P 3™ W_Ѓp‰ WP 3™ X_Ѓp‰ XP 3™ WLЃp‰ WP 3™9_ fW_…P‰9P fWP 3™ V_Ѓp‰ VP 3™ Y_ 33_Ѓp‰ YP 33P 3™ W_Ѓp‰ WP 3™ Y_ 35_Ѓp‰ YP 35P 3™ WLЃp‰ WP 3™9_ fW_…P‰9P fWP 3™ V_Ѓp‰ VP 3™ Y_ 33_Ѓp‰ YP 33P 3™ W_Ѓp‰ WP 3™ X_Ѓp‰ XP 3™ WLЃp‰ WP 3™9_ fW_Ѓp‰9P fWP 3™ V_ fa_ѓ`‰ VP faP 3™ Y_ 33_Ѓp‰ YP 33PЃp™ W_Ѓp‰ WP 3™ Y_ 35_x‰ YP 35P 3™ Y_x‰ YP 3™ WL fYLЃp‰ WP fYP 3™5_ fW_Ѓp‰5P fWP 3™ `_Ѓp‰ `P 3™ ^_Ѓp‰ ^P 3™ V_Ѓp‰ VP 3™5_ fY_ 33_Ѓp‰5P fYP 33P 3™ `_Ѓp‰ `P 3™ ^_Ѓp‰ ^P 3™ \_ fЉeЃp‰ \P fWP 3™5_ fX_Ѓp‰5P fXP 3™ `_ fV_Ѓp‰ `P fVP 3™ ^_Ѓp‰ ^P 3™ W_Ѓp‰ WP 3™5_ fY_Ѓp‰5P fYP 3™ W_Ѓp‰ WP 3™ c_Ѓp‰ cP 3™ a_ fb_x‰ aP fbP 3™ b_x‰ bP 3™5_ fW_Ѓp‰5P fWP 3™ `_Ѓp‰ `P 3™ ^_Ѓp‰ ^P 3™ V_Ѓp‰ VP 3™5_ fY_ 33_Ѓp‰5P fYP 33P 3™ `_Ѓp‰ `P 3™ ^_Ѓp‰ ^P 3™ \_ fЉeЃp‰ \P fWP 3™5_ fX_Ѓp‰5P fXP 3™ `_ fV_Ѓp‰ `P fVP 3™ ^_Ѓp‰ ^P 3™ W_Ѓp‰ WP 3™5_ fY_Ѓp‰5P fYP 3™ W_x‰ WP 3™ W_x‰ WP 3™ b_Ѓp‰ bP 3™ a_ f`_x‰ aP f`P 3™ ^_x‰ ^P 3™5_ fW_Ѓp‰5P fWP 3™ `_Ѓp‰ `P 3™ ^_Ѓp‰ ^P 3™ V_Ѓp‰ VP 3™5_ fY_ 33_Ѓp‰5P fYP 33P 3™ `_Ѓp‰ `P 3™ ^_Ѓp‰ ^P 3™ \_ fЉeЃp‰ \P fWP 3™5_ fX_Ѓp‰5P fXP 3™ `_ fV_x‰ `P fVP 3™ W_x‰ WP 3™ ^_Ѓp‰ ^P 3™ W_Ѓp‰ WP 3™5_ fY_Ѓp‰5P fYP 3™ W_Ѓp‰ WP 3™ ^_Ѓp‰ ^P 3™ a_ f\_Ѓp‰ aP f\P 3™5_ fW_Ѓp‰5P fWP 3™ `_Ѓp‰ `P 3™ ^_Ѓp‰ ^P 3™ V_Ѓp‰ VP 3™5_ fY_ 33_Ѓp‰5P fYP 33P 3™ `_Ѓp‰ `P 3™ ^_Ѓp‰ ^P 3™5_ f\_ fЉeЃp‰5P f\P fWP 3™ __Ѓp‰ _P 3™ `_ fV_Ѓp‰ `P fVP 3™ ^_Ѓp‰ ^P 3™5_ fY_ fW_Ѓp‰5P fYP fWP 3™ __Ѓp‰ _P 3™ W_x‰ WP 3™ W_x‰ WP 3™ __ fb_x‰ _P fbP 3™ b_x‰ bP 3™ a_ f`_Ѓp‰ aP f`P 3™ W_Ѓp‰ WP 3™ WLЃp‰ WPЃp™ WLЃ4‰ WP 3™ 3_;‰ 3P 4™ b_Ѓp‰ bP 3™ `_Ѓp‰ `P 3™ ^_ 35_ѓ`‰ ^P 35P 3™9_ fWL‡ 7‰ WP 3™ 3L;‰ 3P 49P 3™ ]LЃp‰ ]P 3™ ]LЃp‰ ]P 3™ ]_Ѓp‰ ]P 3™ a_Ѓp‰ aP 3™9_ fW_…P‰9P fWP 3™ V_Ѓp‰ VP 3™ Y_ 33_Ѓp‰ YP 33PЃp™ X_Ѓp‰ XP 3™ WLЃp‰ WP 3™9_ fW_…P‰9P fWP 3™ V_Ѓp‰ VP 3™ Y_ 33_Ѓp‰ YP 33PЃp™ X_Ѓp‰ XP 3™ WLЃp‰ WP 3™9_ fW_…P‰9P fWP 3™ V_Ѓp‰ VP 3™ Y_ 33_Ѓp‰ YP 33P 3™ W_Ѓp‰ WP 3™ X_Ѓp‰ XP 3™ Y_ 35_Ѓp‰ YP 35P 3™9_ fW_…P‰9P fWP 3™ V_Ѓp‰ VP 3™ Y_ 33_Ѓp‰ YP 33P 3™ W_Ѓp‰ WP 3™ X_Ѓp‰ XP 3™ WLЃp‰ WP 3™9_ fW_…P‰9P fWP 3™ V_Ѓp‰ VP 3™ Y_ 33_Ѓp‰ YP 33P 3™ W_Ѓp‰ WP 3™ Y_ 35_Ѓp‰ YP 35P 3™ WL fY_Ѓp‰ WP fYP 3™9_ fW_…P‰9P fWP 3™ V_Ѓp‰ VP 3™ Y_ 33_Ѓp‰ YP 33P 3™ W_Ѓp‰ WP 3™ X_Ѓp‰ XP 3™ WLЃp‰ WP 3™9_ fW_…P‰9P fWP 3™ V_Ѓp‰ VP 3™ Y_ 33_Ѓp‰ YP 33P 3™ W_Ѓp‰ WP 3™5_Ѓp‰5P 3™ Y_Ѓp‰ YP 3™ W_Ѓp‰ WP 3™9_ѓ`‰9P 3™ V_Ѓp‰ VP 3™ Y_ 33_Ѓp‰ YP 33P 3™ W_Ѓp‰ WP 3™ X_ 35_Ѓp‰ XP 35P 3™ WLЃp‰ WP 3™9_ fW_…P‰9P fWP 3™ V_Ѓp‰ VP 3™ Y_ 33_Ѓp‰ YP 33P 3™ W_Ѓp‰ WP 3™5_Ѓp‰5P 3™ Y_Ѓp‰ YP 3™ W_Ѓp‰ WP 3™9_ѓ`‰9P 3™ V_Ѓp‰ VP 3™ Y_ fW_Ѓp‰ YP fWP 3™5_Ѓp‰5P 3™ X_ fW_Ѓp‰ XP fWP 3™3_Ѓp‰3P 3™9_ fW_…P‰9P fWP 3™ V_Ѓp‰ VP 3™ Y_ 33_Ѓp‰ YP 33P 3™ W_Ѓp‰ WP 3™5_Ѓp‰5P 3™ Y_Ѓp‰ YP 3™ W_Ѓp‰ WP 3™9_ѓ`‰9P 3™ V_Ѓp‰ VP 3™ Y_ 33_Ѓp‰ YP 33P 3™ W_Ѓp‰ WP 3™ X_ 35_Ѓp‰ XP 35P 3™ WLЃp‰ WP 3™9_ fW_…P‰9P fWP 3™ V_Ѓp‰ VP 3™ Y_ 33_Ѓ4‰ YP&lt;3P 3™ W_Ѓp‰ WP 3™5_Ѓp‰5P 3™ Y_Ѓ4 3_;‰ 3P gYP 3™ b_ f]_Ѓp‰ bP f]P 3™ b_Ѓp‰ bP 3™ ]_Ѓp‰ ]P 3™ `_Ѓp‰ `P 3™ ]_Ѓp‰ ]P 3™ ^_Ѓp‰ ^P 3™ ]_Ѓp‰ ]P 3™ \_Ѓp‰ \P 3я •3MTrk"3й 3я 6!3јd!3e!3 lr3м 3@ 3јe!3d gf9@ fY!3e 3d 3»d!3e!3 lr3л 3@ 3»e!3d gf9@ fY!3e 3d 3јe!3d hf9@ 3e 3d 3»e!3d hf9@ 3e 3d 3М} 3Л} 3ј"3»"3ј :H 3» :H 3ј =@ 3» =@ 3ј]!3»]!3ј[!3»[!3ј\!3»\!3ј_!3»_!3› dL‹ S‹ dPѓ`›4?Џ 3‹4P 3› d?‹ S‹ dPѓ`›4?Џ 3‹4P 3› dLЏ 3‹ dP 3›4?Џ 3‹4P 3› d?Џ 3‹ dP 3я •3MTrk!3 @Т 3я i:Track S7 3єd!3e!3 lr3к 3@ 3єe!3d gf9@ fY!3e 3d 3ёd!3e!3 lr3и 3@ 3ёe!3d gf9@ fY!3e 3d 3єe!3d hf9@ 3e 3d 3ёe!3d hf9@ 3e 3d 3К s3И s3є"3ё"3є :` 3ё :` 3є =@ 3ё =@ 3є]!3ё]!3є[!3ё[!3є\!3ё\!3є_!3ё_ 3Ѓр f:X 3є :X 3ё p~3є p~3N ex€NP 3ё :S 3є :S 3I exё :O 3є :O 3€IP 3E exё :J 3є :J 3€EP 3B exё :E 3є :E 3€BP 3N exё :@ 3є :@ 3€NP 3I exё :&lt; 3є :&lt; 3€IP 3E exё :7 3є :7 3€EP 3B exё m3є m3€BP 3N exё m”3є m”3€NP 3I exё mЏ3є mЏ3€IP 3E exё mЉ3є mЉ3€EP 3B exё m†3є m†3€BP 3N exё mЃ3є mЃ3€NP 3I exё m|3є m|3€IP 3E exё mw3є mw3€EP 3B exё ms3є ms3€BP 3ё :X 3є :X 3ё =h 3є =h 3N exё mn3є mn3€NP 3ё :S 3є :S 3I exё :O 3є :O 3€IP 3E exё :J 3є :J 3€EP 3B exё :E 3є :E 3€BP 3N exё :@ 3є :@ 3€NP 3I exё :&lt; 3є :&lt; 3€IP 3E exё :7 3є :7 3€EP 3B exё m3є m3€BP 3N exё m”3є m”3€NP 3I exё mЏ3є mЏ3€IP 3E exё mЉ3є mЉ3€EP 3B exё m†3є m†3€BP 3N exё mЃ3є mЃ3€NP 3I exё m|3є m|3€IP 3E exё mw3є mw3€EP 3B exё ms3є ms3€BP 3ё :X 3є :X 3ё p~3є p~3N exё mn3є mn3€NP 3ё :S 3є :S 3I exё :O 3є :O 3€IP 3E exё :J 3є :J 3€EP 3B exё :E 3є :E 3€BP 3N exё :@ 3є :@ 3€NP 3I exё :&lt; 3є :&lt; 3€IP 3E exё :7 3є :7 3€EP 3B exё m3є m3€BP 3N exё m”3є m”3€NP 3I exё mЏ3є mЏ3€IP 3E exё mЉ3є mЉ3€EP 3B exё m†3є m†3€BP 3N exё mЃ3є mЃ3€NP 3I exё m|3є m|3€IP 3E exё mw3є mw3€EP 3B exё ms3є ms3€BP 3ё :X 3є :X 3ё =h 3є =h 3N exё mn3є mn3€NP 3ё :S 3є :S 3I exё :O 3є :O 3€IP 3E exё :J 3є :J 3€EP 3B exё :E 3є :E 3€BP 3N exё :@ 3є :@ 3€NP 3I exё :&lt; 3є :&lt; 3€IP 3E exё :7 3є :7 3€EP 3B exё m3є m3€BP 3N exё m”3є m”3€NP 3I exё mЏ3є mЏ3€IP 3E exё mЉ3є mЉ3€EP 3B exё m†3є m†3€BP 3N exё mЃ3є mЃ3€NP 3I exё m|3є m|3€IP 3E exё mw3є mw3€EP 3B exё ms3є ms3€BP 3ё :X 3є :X 3ё p~3є p~3N exё mn3є mn3€NP 3ё :S 3є :S 3J exё :O 3є :O 3€JP 3E exё :J 3є :J 3€EP 3B exё :E 3є :E 3€BP 3N exё :@ 3є :@ 3€NP 3J exё :&lt; 3є :&lt; 3€JP 3E exё :7 3є :7 3€EP 3B exё m3є m3€BP 3N exё m”3є m”3€NP 3J exё mЏ3є mЏ3€JP 3E exё mЉ3є mЉ3€EP 3B exё m†3є m†3€BP 3N exё mЃ3є mЃ3€NP 3J exё m|3є m|3€JP 3E exё mw3є mw3€EP 3B exё ms3є ms3€BP 3ё :X 3є :X 3ё =h 3є =h 3N exё mn3є mn3€NP 3ё :S 3є :S 3J exё :O 3є :O 3€JP 3E exё :J 3є :J 3€EP 3B exё :E 3є :E 3€BP 3N exё :@ 3є :@ 3€NP 3J exё :&lt; 3є :&lt; 3€JP 3E exё :7 3є :7 3€EP 3B exё m3є m3€BP 3N exё m”3є m”3€NP 3J exё mЏ3є mЏ3€JP 3E exё mЉ3є mЉ3€EP 3B exё m†3є m†3€BP 3N exё mЃ3є mЃ3€NP 3J exё m|3є m|3€JP 3E exё mw3є mw3€EP 3B exё ms3є ms3€BP 3ё :X 3є :X 3ё p†3є p†3J exё mn3є mn3€JP 3ё :S 3є :S 3I exё :O 3є :O 3€IP 3E exё :J 3є :J 3€EP 3B exё :E 3є :E 3€BP 3J exё :@ 3є :@ 3€JP 3I exё :&lt; 3є :&lt; 3€IP 3E exё :7 3є :7 3€EP 3B exё m3є m3€BP 3J exё m”3є m”3€JP 3I exё mЏ3є mЏ3€IP 3E exё mЉ3є mЉ3€EP 3B exё m†3є m†3€BP 3J exё mЃ3є mЃ3€JP 3I exё m|3є m|3€IP 3E exё mw3є mw3€EP 3B exё ms3є ms3€BP 3ё :X 3є :X 3ё =X 3є =X 3J exё mn3є mn3€JP 3ё :S 3є :S 3I exё :O 3є :O 3€IP 3D exё :J 3є :J 3€DP 3= exё :E 3є :E 3€=P 3J exё :@ 3є :@ 3€JP 3I exё :&lt; 3є :&lt; 3€IP 3D exё :7 3є :7 3€DP 3= exё m3є m3€=P 3J exё m”3є m”3€JP 3I exё mЏ3є mЏ3€IP 3D exё mЉ3є mЉ3€DP 3= exё m†3є m†3€=P 3J exё mЃ3є mЃ3€JP 3I exё m|3є m|3€IP 3D exё mw3є mw3€DP 3= exё ms3є ms3€=Pxё mn3є m;» ;ё :X 3є :X 3ё p~3є p~3N ex€NP 3ё :S 3є :S 3I exё :O 3є :O 3€IP 3E exё :J 3є :J 3€EP 3B exё :E 3є :E 3€BP 3N exё :@ 3є :@ 3€NP 3I exё :&lt; 3є :&lt; 3€IP 3E exё :7 3є :7 3€EP 3B exё m3є m3€BP 3N exё m”3є m”3€NP 3I exё mЏ3є mЏ3€IP 3E exё mЉ3є mЉ3€EP 3B exё m†3є m†3€BP 3N exё mЃ3є mЃ3€NP 3I exё m|3є m|3€IP 3E exё mw3є mw3€EP 3B exё ms3є ms3€BP 3ё :X 3є :X 3ё =h 3є =h 3N exё mn3є mn3€NP 3ё :S 3є :S 3G exё :O 3є :O 3€GP 3D exё :J 3є :J 3€DP 3@ exё :E 3є :E 3€@P 3N exё :@ 3є :@ 3€NP 3G exё :&lt; 3є :&lt; 3€GP 3D exё :7 3є :7 3€DP 3@ exё m3є m3€@P 3N exё m”3є m”3€NP 3G exё mЏ3є mЏ3€GP 3D exё mЉ3є mЉ3€DP 3@ exё m†3є m†3€@P 3N exё mЃ3є mЃ3€NP 3G exё m|3є m|3€GP 3D exё mw3є mw3€DP 3@ exё ms3є ms3€@Pxё mn3є m;» ;ё :H 3є :H 3ё p~3є p~3I ex€IP 3ё :D 3є :D 3D exё :@ 3є :@ 3€DP 3&gt; exё := 3є := 3€&gt;P 3= exё :9 3є :9 3€=P 3I exё :5 3є :5 3€IP 3D exё m—3є m—3€DP 3&gt; exё m”3є m”3€&gt;P 3= exё mђ3є mђ3€=P 3I exё mЊ3є mЊ3€IP 3D exё m€3є m€3€DP 3&gt; exё m…3є m…3€&gt;P 3= exё mЃ3є mЃ3€=P 3I exё m}3є m}3€IP 3D exё my3є my3€DP 3&gt; exё mv3є mv3€&gt;P 3= exё mr3є mr3€=P 3ё :H 3є :H 3ё =h 3є =h 3I exё mn3є mn3€IP 3ё :D 3є :D 3D exё :@ 3є :@ 3€DP 3&gt; exё := 3є := 3€&gt;P 3= exё :9 3є :9 3€=P 3I exё :5 3є :5 3€IP 3D exё m—3є m—3€DP 3&gt; exё m”3є m”3€&gt;P 3= exё mђ3є mђ3€=P 3I exё mЊ3є mЊ3€IP 3D exё m€3є m€3€DP 3&gt; exё m…3є m…3€&gt;P 3= exё mЃ3є mЃ3€=P 3I exё m}3є m}3€IP 3D exё my3є my3€DP 3&gt; exё mv3є mv3€&gt;P 3= exё mr3є mr3€=Pxё mn3є mn3я b 3</t>
  </si>
  <si>
    <t>MThd"3 lfgfn4аMTrk"3 Љ3яQ ioZА 3я i@Evil SWhispers 3яX!7 hoЌ3я •3MTrk!3 &gt;Q 3я iuUEvil SWhispers €3±d!3e!3 lr3б 3@ 3±e!3d gf9@ fY!3e 3d 3°d!3e!3 lr3а 3@ 3°e!3d gf9@ fY!3e 3d 3±e!3d hf9@ 3e 3d 3°e!3d hf9@ 3e 3d 3Б 3А 3±"3°"3± :P 3° :P 3± =@ 3° =@ 3±]!3°]!3±[!3°[!3±\!3°\!3±_!3°_!3ђ X_ЃpЂ XP 3ђ X_ GЂ XPdђ X_ GЂ XPdђ d_ЃpЂ dP 3ђ __ GЂ _Pdђ8_ЃpЂ8P 3ђ d_ fX_ GЂ dP fXPdђ8_ЃpЂ8P 3ђ d_ GЂ dPdђ d_ GЂ dPdђ8_ЃpЂ8P 3ђ7_ЃpЂ7P 3ђ d_ GЂ dPdђ d_ GЂ dPdђ7_ЃpЂ7P 3ђ d_ GЂ dPdђ3_ЃpЂ3P 3ђ3_xЂ3P 3ђ3_ЃpЂ3P 3ђ d_ GЂ dPdђ d_ GЂ dPdђ3_ЃpЂ3P 3ђ X_ЃpЂ XP 3ђ X_ GЂ XPdђ X_ GЂ XPdђ d_ЃpЂ dP 3ђ __ GЂ _Pdђ8_ЃpЂ8P 3ђ d_ fX_ GЂ dP fXPdђ8_ЃpЂ8P 3ђ d_ GЂ dPdђ d_ GЂ dPdђ8_ЃpЂ8P 3ђ9_ЃpЂ9P 3ђ d_ GЂ dPdђ d_ GЂ dPdђ9_ЃpЂ9P 3ђ d_ GЂ dPdђ4_ЃpЂ4P 3ђ4_xЂ4P 3ђ4_ЃpЂ4P 3ђ d_ GЂ dPdђ d_ GЂ dPdђ3_ЃpЂ3P 3ђ X_ЃpЂ XP 3ђ X_ GЂ XPdђ X_ GЂ XPdђ d_ЃpЂ dP 3ђ __ GЂ _Pdђ8_ЃpЂ8P 3ђ d_ fX_ GЂ dP fXPdђ8_ЃpЂ8P 3ђ d_ GЂ dPdђ d_ GЂ dPdђ8_ЃpЂ8P 3ђ7_ЃpЂ7P 3ђ d_ GЂ dPdђ d_ GЂ dPdђ7_ЃpЂ7P 3ђ d_ GЂ dPdђ3_ЃpЂ3P 3ђ3_xЂ3P 3ђ3_ЃpЂ3P 3ђ d_ GЂ dPdђ d_ GЂ dPdђ3_ЃpЂ3P 3ђ X_ЃpЂ XP 3ђ X_ GЂ XPdђ X_ GЂ XPdђ d_ЃpЂ dP 3ђ __ GЂ _Pdђ8_ЃpЂ8P 3ђ d_ fX_ GЂ dP fXPdђ8_ЃpЂ8P 3ђ d_ GЂ dPdђ d_ GЂ dPdђ8_ЃpЂ8P 3ђ9_ЃpЂ9P 3ђ d_ GЂ dPdђ d_ GЂ dPdђ9_ЃpЂ9P 3ђ d_ GЂ dPdђ4_ЃpЂ4P 3ђ4_xЂ4P 3ђ4_ЃpЂ4P 3ђ d_ GЂ dPdђ d_ GЂ dPdђ3_ЃpЂ3P 3ђ d_Џ 3Ђ dP 3ђ ‘eЏ 3Ђ ^P 3ђ __Џ 3Ђ _P 3ђ ”e‡@Ђ aP 3ђ ‘e‡@Ђ ^P 3ђ __Џ 3Ђ _P 3ђ “eЏ 3Ђ `P 3ђ ]_Џ 3Ђ ]P 3ђ “e‡@Ђ `P 3ђ8 f__‡@Ђ8P f_P 3ђ d_Џ 3Ђ dP 3ђ ‘eЏ 3Ђ ^P 3ђ __Џ 3Ђ _P 3ђ ”e‡@Ђ aP 3ђ ‘e‡@Ђ ^P 3ђ __†H8 e‡@Ђ _P 38Pxђ `_†H9 e‡@Ђ `P 39Pxђ ]_†H9 e‡@Ђ ]P 39Pxђ9 f“e‡@Ђ9P f`P 3ђ8 f__‡@Ђ8P f_P 3° :h 3± :h 3ђ= Ћf‹[Ѓ4Ђ=P fXP&lt;ђ ‹[Ѓ4Ђ XP&lt;ђ ‹[Ѓ4Ђ XP&lt;ђ ‹[Ѓ4Ђ XP&lt;ђ ‹[Ѓ4Ђ XP&lt;ђ ‹[Ѓ4Ђ XP&lt;ђ ‹[Ѓ4Ђ XP&lt;ђ ‹[Ѓ4Ђ XP&lt;ђ7 Ћf‹[Ѓ4Ђ7P fXP&lt;ђ ‹[Ѓ4Ђ XP&lt;ђ ‹[Ѓ4Ђ XP&lt;ђ ‹[Ѓ4Ђ XP&lt;ђ ‹[Ѓ4Ђ XP&lt;ђ ‹[Ѓ4Ђ XP&lt;ђ ‹[Ѓ4Ђ XP&lt;ђ ‹[Ѓ4Ђ XP&lt;ђ8 Ћf‹[Ѓ4Ђ8P fXP&lt;ђ ‹[Ѓ4Ђ XP&lt;ђ ‹[Ѓ4Ђ XP&lt;ђ ‹[Ѓ4Ђ XP&lt;ђ ‹[Ѓ4Ђ XP&lt;ђ ‹[Ѓ4Ђ XP&lt;ђ ‹[Ѓ4Ђ XP&lt;ђ ‹[Ѓ4Ђ XP&lt;ђ9 Ћf‹[Ѓ4Ђ9P fXP&lt;ђ ‹[Ѓ4Ђ XP&lt;ђ ‹[Ѓ4Ђ XP&lt;ђ ‹[Ѓ4Ђ XP&lt;ђ ‹[Ѓ4Ђ XP&lt;ђ ‹[Ѓ4Ђ XP&lt;ђ ‹[Ѓ4Ђ XP&lt;ђ ‹[Ѓ4Ђ XP&lt;ђ8 Ћf‹[Ѓ4Ђ8P fXP&lt;ђ ‹[Ѓ4Ђ XP&lt;ђ ‹[Ѓ4Ђ XP&lt;ђ ‹[Ѓ4Ђ XP&lt;ђ ‹[Ѓ4Ђ XP&lt;ђ ‹[Ѓ4Ђ XP&lt;ђ ‹[Ѓ4Ђ XP&lt;ђ ‹[Ѓ4Ђ XP&lt;ђ7 Ћf‹[Ѓ4Ђ7P fXP&lt;ђ ‹[Ѓ4Ђ XP&lt;ђ ‹[Ѓ4Ђ XP&lt;ђ ‹[Ѓ4Ђ XP&lt;ђ ‹[Ѓ4Ђ XP&lt;ђ ‹[Ѓ4Ђ XP&lt;ђ ‹[Ѓ4Ђ XP&lt;ђ ‹[Ѓ4Ђ XP&lt;ђ9 Ћfђ[Ѓ4Ђ9P f]P&lt;ђ ђ[Ѓ4Ђ ]P&lt;ђ ђ[Ѓ4Ђ ]P&lt;ђ ђ[Ѓ4Ђ ]P&lt;ђ ђ[Ѓ4Ђ ]P&lt;ђ ђ[Ѓ4Ђ ]P&lt;ђ ђ[Ѓ4Ђ ]P&lt;ђ ђ[Ѓ4Ђ ]P&lt;ђ9 Ћf’[Ѓ4Ђ9P f_P&lt;ђ ’[Ѓ4Ђ _P&lt;ђ ’[Ѓ4Ђ _P&lt;ђ ’[Ѓ4Ђ _P&lt;ђ8 f’[Ѓ4Ђ _P&lt;ђ ’[Ѓ4Ђ _P&lt;ђ ’[Ѓ4Ђ _P&lt;ђ ’[Ѓ4Ђ _P&lt;8P 3ђ@ Ћf—eZЂ@P Qђ= [ZЂ=P Qђ8 [ZЂ8P Qђ= [ZЂ=P Qђ@ [ZЂ@P Qђ= [ZЂ=P Qђ8 [ZЂ8P Qђ= [ZЂ=P Qђ@ [ZЂ@P Qђ= [ZЂ=P Qђ8 [ZЂ8P Qђ= [ZЂ=P Qђ@ [ZЂ@P Qђ= [ZЂ=P Qђ8 [ZЂ8P Qђ= [ZЂ=P „dP 3ђ@ [ZЂ@P Qђ= [ZЂ=P Qђ7 [ZЂ7P Qђ= [ZЂ=P Qђ@ [ZЂ@P Qђ= [ZЂ=P Qђ7 [ZЂ7P Qђ= [ZЂ=P Qђ@ [ZЂ@P Qђ= [ZЂ=P Qђ7 [ZЂ7P Qђ= [ZЂ=P Qђ@ [ZЂ@P Qђ= [ZЂ=P Qђ7 [ZЂ7P Qђ= [ZЂ=P Qђ@ Ћf—eZЂ@P Qђ= [ZЂ=P Qђ8 [ZЂ8P Qђ= [ZЂ=P Qђ@ [ZЂ@P Qђ= [ZЂ=P Qђ8 [ZЂ8P Qђ= [ZЂ=P Qђ@ [ZЂ@P Qђ= [ZЂ=P Qђ8 [ZЂ8P Qђ= [ZЂ=P Qђ@ [ZЂ@P Qђ= [ZЂ=P Qђ8 [ZЂ8P Qђ= [ZЂ=P „dP 3ђ@ [ZЂ@P Qђ= [ZЂ=P Qђ: [ZЂ:P Qђ= [ZЂ=P Qђ@ [ZЂ@P Qђ= [ZЂ=P Qђ: [ZЂ:P Qђ= [ZЂ=P Qђ@ [ZЂ@P Qђ= [ZЂ=P Qђ: [ZЂ:P Qђ= [ZЂ=P Qђ@ [ZЂ@P Qђ= [ZЂ=P Qђ: [ZЂ:P Qђ= [ZЂ=P Qђ@ Ћf—eZЂ@P Qђ= [ZЂ=P Qђ8 [ZЂ8P Qђ= [ZЂ=P Qђ@ [ZЂ@P Qђ= [ZЂ=P Qђ8 [ZЂ8P Qђ= [ZЂ=P Qђ@ [ZЂ@P Qђ= [ZЂ=P Qђ8 [ZЂ8P Qђ= [ZЂ=P Qђ@ [ZЂ@P Qђ= [ZЂ=P Qђ8 [ZЂ8P Qђ= [ZЂ=P „dP 3ђ@ Ћ39 eZЂ@P Q9P 3ђ= [ZЂ=P Qђ9 [ZЂ9P Qђ= [ZЂ=P Qђ@ [ZЂ@P Qђ= [ZЂ=P Qђ9 [ZЂ9P Qђ= [ZЂ=P Qђ@ [ZЂ@P Qђ= [ZЂ=P Qђ9 [ZЂ9P Qђ= [ZЂ=P Qђ@ [ZЂ@P Qђ= [ZЂ=P Qђ9 [ZЂ9P Qђ= [ZЂ=P Qђ? Ћ36 eZЂ?P Q6P 3ђ= [ZЂ=P Qђ9 [ZЂ9P Qђ= [ZЂ=P Qђ? [ZЂ?P Qђ= [ZЂ=P Qђ9 [ZЂ9P Qђ= [ZЂ=P Qђ? [ZЂ?P Qђ= [ZЂ=P Qђ9 [ZЂ9P Qђ= [ZЂ=P Qђ? [ZЂ?P Qђ= [ZЂ=P Qђ9 [ZЂ9P Qђ= [ZЂ=P Qђ? Ћf’eZЂ?P Qђ= [ZЂ=P Qђ8 [ZЂ8P Qђ= [ZЂ=P Qђ? [ZЂ?P Qђ= [ZЂ=P Qђ8 [ZЂ8P Qђ= [ZЂ=P Qђ? [ZЂ?P Qђ&lt; [ZЂ&lt;P Qђ8 [ZЂ8P Qђ&lt; [ZЂ&lt;P Qђ? [ZЂ?P Qђ&lt; [ZЂ&lt;P Qђ8 [ZЂ8P Qђ&lt; [ZЂ&lt;P „_P 3° m~3± m~3ђ d_P8_P=_Ќ`Ђ dP 38P 3=P 3я •3MTrk!3 lz3я iGby SAlexandr SShumakov 3іd!3e!3 lr3г 3@ 3іe!3d gf9@ fY!3e 3d 3Іd!3e!3 lr3в 3@ 3Іe!3d gf9@ fY!3e 3d 3іe!3d hf9@ 3e 3d 3Іe!3d hf9@ 3e 3d 3Г ѓ3В ѓ3і"3І"3і :` 3І :` 3і p~3І p~3і]!3І]!3і[!3І[!3і\!3І\!3і_!3І_!3’ XL‹ S‚ XP’`’ XLZ‚ XPЃ I’ XLZ‚ XP›6’ XL‹ S‚ XP’`’ XLZ‚ XPЃ I’ XLZ‚ XPЃ“6І :h 3і :h 3’ ’f‹e&lt;‚ _P fXPЃ4’ ’f‹e&lt;‚ _P fXP›T’ ’f‹e&lt;‚ _P fXPЃ4’ ’f‹e&lt;‚ _P fXPl’![Z‚ [PЃ I’ Ќ[Z‚ ZP Q’ ’f‹e&lt;‚ _P fXPЃ4’ ’f‹e&lt;‚ _P fXP›T’ ’f‹e&lt;‚ _P fXPЃ4’ ’f‹e&lt;‚ _P fXPЊT’ ‹e‡@‚ XP 3’ ’ex‚ _P 3’ ’ex‚ _P 3’ ’ex‚ _P 3’ ’ex‚ _P 3’ ’ex‚ _P 3’ ’ex‚ _P 3’ ’ex‚ _P 3’ ’ex‚ _Pш 3’@ Ћf‹eZ‚@P Q’= [Z‚=P Q’8 [Z‚8P Q’= [Z‚=P Q’@ [Z‚@P Q’= [Z‚=P Q’8 [Z‚8P Q’= [Z‚=P Q’@ [Z‚@P Q’= [Z‚=P Q’8 [Z‚8P Q’= [Z‚=P Q’@ [Z‚@P Q’= [Z‚=P Q’8 [Z‚8P Q’= [Z‚=P „XP 3’@ [Z‚@P Q’= [Z‚=P Q’7 [Z‚7P Q’= [Z‚=P Q’@ [Z‚@P Q’= [Z‚=P Q’7 [Z‚7P Q’= [Z‚=P Q’@ [Z‚@P Q’= [Z‚=P Q’7 [Z‚7P Q’= [Z‚=P Q’@ [Z‚@P Q’= [Z‚=P Q’7 [Z‚7P Q’= [Z‚=P Q’@ Ћf‹eZ‚@P Q’= [Z‚=P Q’8 [Z‚8P Q’= [Z‚=P Q’@ [Z‚@P Q’= [Z‚=P Q’8 [Z‚8P Q’= [Z‚=P Q’@ [Z‚@P Q’= [Z‚=P Q’8 [Z‚8P Q’= [Z‚=P Q’@ [Z‚@P Q’= [Z‚=P Q’8 [Z‚8P Q’= [Z‚=P „XP 3’@ [Z‚@P Q’= [Z‚=P Q’: [Z‚:P Q’= [Z‚=P Q’@ [Z‚@P Q’= [Z‚=P Q’: [Z‚:P Q’= [Z‚=P Q’@ [Z‚@P Q’= [Z‚=P Q’: [Z‚:P Q’= [Z‚=P Q’@ [Z‚@P Q’= [Z‚=P Q’: [Z‚:P Q’= [Z‚=P Q’@ [Z‚@P Q’= [Z‚=P Q’8 Ћf—[Z‚8P fdP Q’= [Z‚=P Q’@ [Z‚@P Q’= [Z‚=P Q’8 [Z‚8P Q’= [Z‚=P Q’@ [Z‚@P Q’= [Z‚=P Q’8 [Z‚8P Q’= [Z‚=P Q’@ [Z‚@P Q’= [Z‚=P Q’8 [Z‚8P Q’= [Z‚=P Q’@ [Z‚@P Q’= [Z‚=P Q’9 Ћf—[Z‚9P fdP Q’= [Z‚=P Q’@ [Z‚@P Q’= [Z‚=P Q’9 [Z‚9P Q’= [Z‚=P Q’@ [Z‚@P Q’= [Z‚=P Q’9 [Z‚9P Q’= [Z‚=P Q’@ [Z‚@P Q’= [Z‚=P Q’9 [Z‚9P Q’= [Z‚=P Q’? [Z‚?P Q’= [Z‚=P Q’9 Ћf—[Z‚9P fdP Q’= [Z‚=P Q’? [Z‚?P Q’= [Z‚=P Q’9 [Z‚9P Q’= [Z‚=P Q’? [Z‚?P Q’= [Z‚=P Q’9 [Z‚9P Q’= [Z‚=P Q’? [Z‚?P Q’= [Z‚=P Q’9 [Z‚9P Q’= [Z‚=P Q’? Ћf’eZ‚?P Q’= [Z‚=P Q’8 [Z‚8P Q’= [Z‚=P Q’? [Z‚?P Q’= [Z‚=P Q’8 [Z‚8P Q’= [Z‚=P „_P 3’? Ћf’eZ‚?P Q’&lt; [Z‚&lt;P Q’8 [Z‚8P Q’&lt; [Z‚&lt;P „_P 3’? Ћf“eZ‚?P „`P 3’&lt; Ћf’eZ‚&lt;P „_P 3’8 [Z‚8P Q’&lt; Ћf’eZ‚&lt;P „_P 3’ ‹e&lt;‚ XP 3я •3MTrk!3 5в 3я in[c Џ†–d8 3µd!3e!3 lr3е 3@ 3µe!3d gf9@ fY!3e 3d 3ґd!3e!3 lr3д 3@ 3ґe!3d gf9@ fY!3e 3d 3µe!3d hf9@ 3e 3d 3ґe!3d hf9@ 3e 3d 3Е „3Д „3µ"3ґ"3µ :` 3ґ :` 3µ =h 3ґ =h 3µ]!3ґ]!3µ[!3ґ[!3µ\!3ґ\!3µ_!3ґ_!3” XL f†[‹ S„ XP fSP’`” ‹f†[Z„ SP „XPx” ‹f†[Z„ SP „XP› K” XL f†[‹ S„ XP fSP’`” ‹f†[Z„ SP „XPx” ‹f†[Z„ SP „XPЃ“ Kґ :p 3µ :p 3” ‹f„e&lt;„ XP fQPЃ4” ‹f„e&lt;„ XP fQP›T” ‹f„e&lt;„ XP fQPЃ4” ‹f„e&lt;„ XP fQPl”![Z„ [PЃ I” Ќ[Z„ ZP Q” ‹f„e&lt;„ XP fQPЃ4” ‹f„e&lt;„ XP fQP›T” ‹f„e&lt;„ XP fQPЃ4” ‹f„e&lt;„ XP fQPЊT” †e‡@„ SP 3” ‹Q„ XPZ” ‹Q„ XPZ” ‹Q„ XPZ” ‹Q„ XPZ” ‹Q„ XPZ” ‹Q„ XPZ” ‹Q„ XPZ” ‹Q„ XPшZ” ‹eЏ 3„ XP‹ S”![Z„ [P Q”![Z„ [P Q” ‹G„ XPd” Ќ[Z„ ZP Q” ‹eЏ 3„ XP‹ S” Ќ[Z„ ZP Q” Ќ[Z„ ZP Q” ‹G„ XPd”![Z„ [P Q” ’f‹eЏ 3„ _P fXP 3” “f‹e‹ S„ `P fXP 3” “f‹[Z„ XP „`P 3” “f‹[Z„ XP „`P 3” ‹G„ XPd” ’f‹[Z„ XP „_P 3” ђf„eЏ 3„ ]P fQP 3” ’f†e‹ S„ _P fSP 3” “f‹[Z„ XP „`P 3” “f‹[Z„ XP „`P 3” ‹G„ XPd” ’f‹[Z„ XP „_P 3” „e&lt;„ QP 3я •3MTrk!3 &gt;о 3я i&lt;Contacts: 3·d!3e!3 lr3з 3@ 3·e!3d gf9@ fY!3e 3d 3¶d!3e!3 lr3ж 3@ 3¶e!3d gf9@ fY!3e 3d 3·e!3d hf9@ 3e 3d 3¶e!3d hf9@ 3e 3d 3З n3Ж n3·"3¶"3· :X 3¶ :X 3· =@ 3¶ =@ 3·]!3¶]!3·[!3¶[!3·\!3¶\!3·_!3¶_ 3ш 3–@_x†@P 3–=_x†=P 3–8_x†8P 3–=_x†=P 3–@_x†@P 3–=_x†=P 3–8_x†8P 3–=_x†=P 3–@_x†@P 3–=_x†=P 3–8_x†8P 3–=_x†=P 3–@_x†@P 3–=_x†=P 3–8_x†8P 3–=_x†=P 3–@_x†@P 3–=_x†=P 3–7_x†7P 3–=_x†=P 3–@_x†@P 3–=_x†=P 3–7_x†7P 3–=_x†=P 3–@_x†@P 3–=_x†=P 3–7_x†7P 3–=_x†=P 3–@_x†@P 3–=_x†=P 3–7_x†7P 3–=_x†=P 3–@_x†@P 3–=_x†=P 3–8_x†8P 3–=_x†=P 3–@_x†@P 3–=_x†=P 3–8_x†8P 3–=_x†=P 3–@_x†@P 3–=_x†=P 3–8_x†8P 3–=_x†=P 3–@_x†@P 3–=_x†=P 3–8_x†8P 3–=_x†=P 3–@_x†@P 3–=_x†=P 3–:_x†:P 3–=_x†=P 3–@_x†@P 3–=_x†=P 3–:_x†:P 3–=_x†=P 3–@_x†@P 3–=_x†=P 3–:_x†:P 3–=_x†=P 3–@_x†@P 3–=_x†=P 3–:_x†:P 3–=_x†=P 3–@_x†@P 3–=_x†=P 3–8_x†8P 3–=_x†=P 3–@_x†@P 3–=_x†=P 3–8_x†8P 3–=_x†=P 3–@_x†@P 3–=_x†=P 3–8_x†8P 3–=_x†=P 3–@_x†@P 3–=_x†=P 3–8_x†8P 3–=_x†=P 3–@_x†@P 3–=_x†=P 3–9_x†9P 3–=_x†=P 3–@_x†@P 3–=_x†=P 3–9_x†9P 3–=_x†=P 3–@_x†@P 3–=_x†=P 3–9_x†9P 3–=_x†=P 3–@_x†@P 3–=_x†=P 3–9_x†9P 3–=_x†=P 3–?_x†?P 3–=_x†=P 3–9_x†9P 3–=_x†=P 3–?_x†?P 3–=_x†=P 3–9_x†9P 3–=_x†=P 3–?_x†?P 3–=_x†=P 3–9_x†9P 3–=_x†=P 3–?_x†?P 3–=_x†=P 3–9_x†9P 3–=_x†=P 3–?_x†?P 3–=_x†=P 3–8_x†8P 3–=_x†=P 3–?_x†?P 3–=_x†=P 3–8_x†8P 3–=_x†=P 3–?_x†?P 3–&lt;_x†&lt;P 3–8_x†8P 3–&lt;_x†&lt;P 3–?_x†?P 3–&lt;_x†&lt;P 3–8_x†8P 3–&lt;_x†&lt;P 3–@_x†@P 3–=_x†=P 3–8_x†8P 3–=_x†=P 3–@_x†@P 3–=_x†=P 3–8_x†8P 3–=_x†=P 3–@_x†@P 3–=_x†=P 3–8_x†8P 3–=_x†=P 3–@_x†@P 3–=_x†=P 3–8_x†8P 3–=_x†=P 3–@_x†@P 3–=_x†=P 3–7_x†7P 3–=_x†=P 3–@_x†@P 3–=_x†=P 3–7_x†7P 3–=_x†=P 3–@_x†@P 3–=_x†=P 3–7_x†7P 3–=_x†=P 3–@_x†@P 3–=_x†=P 3–7_x†7P 3–=_x†=P 3–@_x†@P 3–=_x†=P 3–8_x†8P 3–=_x†=P 3–@_x†@P 3–=_x†=P 3–8_x†8P 3–=_x†=P 3–@_x†@P 3–=_x†=P 3–8_x†8P 3–=_x†=P 3–@_x†@P 3–=_x†=P 3–8_x†8P 3–=_x†=P 3–@_x†@P 3–=_x†=P 3–:_x†:P 3–=_x†=P 3–@_x†@P 3–=_x†=P 3–:_x†:P 3–=_x†=P 3–@_x†@P 3–=_x†=P 3–:_x†:P 3–=_x†=P 3–@_x†@P 3–=_x†=P 3–:_x†:P 3–=_x†=P 3–@_x†@P 3–=_x†=P 3–8_x†8P 3–=_x†=P 3–@_x†@P 3–=_x†=P 3–8_x†8P 3–=_x†=P 3–@_x†@P 3–=_x†=P 3–8_x†8P 3–=_x†=P 3–@_x†@P 3–=_x†=P 3–8_x†8P 3–=_x†=P 3–@_x†@P 3–=_x†=P 3–9_x†9P 3–=_x†=P 3–@_x†@P 3–=_x†=P 3–9_x†9P 3–=_x†=P 3–@_x†@P 3–=_x†=P 3–9_x†9P 3–=_x†=P 3–@_x†@P 3–=_x†=P 3–9_x†9P 3–=_x†=P 3–?_x†?P 3–=_x†=P 3–9_x†9P 3–=_x†=P 3–?_x†?P 3–=_x†=P 3–9_x†9P 3–=_x†=P 3–?_x†?P 3–=_x†=P 3–9_x†9P 3–=_x†=P 3–?_x†?P 3–=_x†=P 3–9_x†9P 3–=_x†=P 3–?_x†?P 3–=_x†=P 3–8_x†8P 3–=_x†=P 3–?_x†?P 3–=_x†=P 3–8_x†8P 3–=_x†=P 3–?_x†?P 3–&lt;_x†&lt;P 3–8_x†8P 3–&lt;_x†&lt;P 3–?_x†?P 3–&lt;_x†&lt;P 3–8_x†8P 3–&lt;_x†&lt;P 3– d_Ѓp† dP 3– d_ G† dPd– d_ G† dPd–=_Ѓp†=P 3– __ G† _Pd–D_Ѓp†DP 3– d_ G† dPd–D_Ѓp†DP 3– d_ G† dPd– d_ G† dPd–D_Ѓp†DP 3–C_Ѓp†CP 3– d_ G† dPd– d_ G† dPd–C_Ѓp†CP 3– d_ G† dPd–?_Ѓp†?P 3–?_ G†?Pd–?_Ѓp†?P 3– d_ G† dPd– d_ G† dPd–?_Ѓp†?P 3– d_Ѓp† dP 3– d_ G† dPd– d_ G† dPd–=_Ѓp†=P 3– __ G† _Pd–D_Ѓp†DP 3– d_ G† dPd–D_Ѓp†DP 3– d_ G† dPd– d_ G† dPd–D_Ѓp†DP 3–E_Ѓp†EP 3– d_ G† dPd– d_ G† dPd–E_Ѓp†EP 3– d_ G† dPd–@_Ѓp†@P 3–@_x†@P 3–@_Ѓp†@P 3– d_ G† dPd– d_ G† dPd–?_Ѓp†?P 3– d_Ѓp† dP 3– X_ G† XPd– X_ G† XPd–=_Ѓp†=P 3– __ G† _Pd–D_Ѓp†DP 3– d_ G† dPd–D_Ѓp†DP 3– d_ G† dPd– d_ G† dPd–D_Ѓp†DP 3–C_Ѓp†CP 3– d_ G† dPd– d_ G† dPd–C_Ѓp†CP 3– d_ G† dPd–@_Ѓp†@P 3–@_x†@P 3–@_Ѓp†@P 3– d_ G† dPd– d_ G† dPd–?_Ѓp†?P 3–=_Ѓp†=P 3– d_ G† dPd– d_ G† dPd–=_Ѓp†=P 3– d_ G† dPd–B_Ѓp†BP 3–6_ G†6Pd–B_Ѓp†BP 3–6_ G†6Pd–6_ G†6Pd–B_Ѓp†BP 3–E_Ѓp†EP 3– __ G† _Pd– __ G† _Pd–E_Ѓp†EP 3– d_ G† dPd–D_ 3@_Ѓp†DP 3@P 3–D_ 3@_x†DP 3@P 3–D_ 3?_Ѓp†DP 3?P 3– __ G† _Pd– __ G† _Pd–?_Ѓp†?P 3–=_Џ 3†=PЏ 3–=_Џ 3†=PЏ 3–=_Џ 3†=PЏ 3–B_Џ 3†BP 3–D_‡@†DP 3–8_‡@†8P 3–=_Џ 3†=P 3я •3MTrk!3 :Ш 3я iCDaveVsZi*gy@i aua 3єd!3e!3 lr3к 3@ 3єe!3d gf9@ fY!3e 3d 3ёd!3e!3 lr3и 3@ 3ёe!3d gf9@ fY!3e 3d 3єe!3d hf9@ 3e 3d 3ёe!3d hf9@ 3e 3d 3К Ќ3И Ќ3є"3ё"3є :X 3ё :X 3є =@ 3ё =@ 3є]!3ё]!3є[!3ё[!3є\!3ё\!3є_!3ё_!3 LL‚h€ LP„X LL‚h€ LP„X LL‚h€ LP„X LL‚h€ LP„X LL‚h€ LP„X LL‚h€ LP„X LL‚h€ LP„X LL‚h€ LP„X LL‚h€ LP„X LL‚h€ LP„X LL‚h€ LP„X LL‚h€ LP„X LL‚h€ LP„X LL‚h€ LP„X LL‚h€ LP„X L_ѓ`€ LPѓ` LL‚h€ LP„X LL‚h€ LP„X LL‚h€ LP„X LL‚h€ LP„X LL‚h€ LP„X LL‚h€ LP„X LL‚h€ LP„X LL‚h€ LP„X LL‚h€ LP„X LL‚h€ LP„X LL‚h€ LP„X LL‚h€ LP„X LL‚h€ LP„X LL‚h€ LP„X LL‚h€ LP„X LL‚h€ LP„X L_Ѓp€ LP 3 L_ G€ LPd L_ G€ LPd X_Ѓp€ XP 3 Q_ G€ QPd __Ѓp€ _P 3 V_ G€ VPd [_Ѓp€ [P 3 Q_ G€ QPd X_‚h€ XP 3 L_Ѓp€ LP 3 L_ G€ LPd L_ G€ LPd X_Ѓp€ XP 3 Q_ G€ QPd ^_Ѓp€ ^P 3 V_ G€ VPd [_Ѓp€ [P 3 Q_ G€ QPd X_‚h€ XP 3 L_Ѓp€ LP 3 L_ G€ LPd L_ G€ LPd X_Ѓp€ XP 3 Q_ G€ QPd __Ѓp€ _P 3 V_ G€ VPd [_Ѓp€ [P 3 Q_ G€ QPd X_‚h€ XP 3 L_Ѓp€ LP 3 L_ G€ LPd L_ G€ LPd X_Ѓp€ XP 3 Q_ G€ QPd ^_Ѓp€ ^P 3 V_ G€ VPd [_Ѓp€ [P 3 Q_ G€ QPd X_‚h€ XP 3 L_Ѓp€ LP 3 L_ G€ LPd L_ G€ LPd X_Ѓp€ XP 3 Q_ G€ QPd __Ѓp€ _P 3 V_ G€ VPd [_Ѓp€ [P 3 Q_ G€ QPd X_x€ XP 3 X_x€ XP 3 Q_ G€ QPd L_Ѓp€ LP 3 L_ G€ LPd L_ G€ LPd X_Ѓp€ XP 3 Q_ G€ QPd `_Ѓp€ `P 3 V_ G€ VPd [_Ѓp€ [P 3 Q_ G€ QPd X_x€ XP 3 X_x€ XP 3 L_ G€ LPd L_Ѓp€ LP 3 L_ G€ LPd L_ G€ LPd X_Ѓp€ XP 3 Q_ G€ QPd ]_Ѓp€ ]P 3 V_ G€ VPd Z_Ѓp€ ZP 3 Q_ G€ QPd Q_Ѓp€ QP 3 Q_x€ QP 3 S_Ѓp€ SP 3 S_x€ SP 3 S_x€ SP 3 S_x€ SP 3 S_x€ SP 3 S_x€ SP 3 S_x€ SP 3 __Ѓp€ _P 3 __x€ _P 3 __x€ _P 3 __ G€ _Pd __x€ _P 3 V_ G€ VPd __x€ _Pш 3 L_Ѓp€ LP 3 L_ G€ LPd L_ G€ LPd X_Ѓp€ XP 3 Q_ G€ QPd __Ѓp€ _P 3 V_ G€ VPd [_Ѓp€ [P 3 Q_ G€ QPd X_‚h€ XP 3 L_Ѓp€ LP 3 L_ G€ LPd L_ G€ LPd X_Ѓp€ XP 3 Q_ G€ QPd ^_Ѓp€ ^P 3 V_ G€ VPd [_Ѓp€ [P 3 Q_ G€ QPd X_‚h€ XP 3 L_Ѓp€ LP 3 L_ G€ LPd L_ G€ LPd X_Ѓp€ XP 3 Q_ G€ QPd __Ѓp€ _P 3 V_ G€ VPd [_Ѓp€ [P 3 Q_ G€ QPd X_‚h€ XP 3 L_Ѓp€ LP 3 L_ G€ LPd L_ G€ LPd X_Ѓp€ XP 3 Q_ G€ QPd ^_Ѓp€ ^P 3 V_ G€ VPd [_Ѓp€ [P 3 Q_ G€ QPd X_‚h€ XP 3 L_Ѓp€ LP 3 L_ G€ LPd L_ G€ LPd X_Ѓp€ XP 3 Q_ G€ QPd __Ѓp€ _P 3 V_ G€ VPd [_Ѓp€ [P 3 Q_ G€ QPd X_x€ XP 3 X_x€ XP 3 Q_ G€ QPd L_Ѓp€ LP 3 L_ G€ LPd L_ G€ LPd X_Ѓp€ XP 3 Q_ G€ QPd `_Ѓp€ `P 3 V_ G€ VPd [_Ѓp€ [P 3 Q_ G€ QPd X_x€ XP 3 X_x€ XP 3 L_ G€ LPd L_Ѓp€ LP 3 L_ G€ LPd L_ G€ LPd X_Ѓp€ XP 3 Q_ G€ QPd ]_Ѓp€ ]P 3 V_ G€ VPd Z_Ѓp€ ZP 3 Q_ G€ QPd Q_Ѓp€ QP 3 Q_x€ QP 3 S_Ѓp€ SP 3 S_x€ SP 3 S_x€ SP 3 S_x€ SP 3 S_x€ SP 3 S_x€ SP 3 S_x€ SP 3 __Ѓp€ _P 3 __x€ _P 3 __x€ _P 3 __ G€ _Pd __x€ _P 3 V_ G€ VPd __x€ _P 3 L_Џ 3€ LP 3я •3MTrk!3 6Щ 3я 6!3јd!3e!3 lr3м 3@ 3јe!3d gf9@ fY!3e 3d 3»d!3e!3 lr3л 3@ 3»e!3d gf9@ fY!3e 3d 3јe!3d hf9@ 3e 3d 3»e!3d hf9@ 3e 3d 3М ‡3Л ‡3ј"3»"3ј :X 3» :X 3ј =@ 3» =@ 3ј]!3»]!3ј[!3»[!3ј\!3»\!3ј_!3»_ 3ћ 3› [Z‹ LPЃ I› [Z‹ LP№6› [Z‹ LPЃ I› [Z‹ LP№6› LLZ‹ LP» Y› LLZ‹ LPЃ• Y› L_Ѓp‹ LP 3› L_ G‹ LPd› L_ G‹ LPd› X_Ѓp‹ XP 3› Q_ G‹ QPd› __Ѓp‹ _P 3› V_ G‹ VPd› [_Ѓp‹ [P 3› Q_ G‹ QPd› X_‚h‹ XP 3› L_Ѓp‹ LP 3› L_ G‹ LPd› L_ G‹ LPd› X_Ѓp‹ XP 3› Q_ G‹ QPd› ^_Ѓp‹ ^P 3› V_ G‹ VPd› [_Ѓp‹ [P 3› Q_ G‹ QPd› X_‚h‹ XP 3› L_Ѓp‹ LP 3› L_ G‹ LPd› L_ G‹ LPd› X_Ѓp‹ XP 3› Q_ G‹ QPd› __Ѓp‹ _P 3› V_ G‹ VPd› [_Ѓp‹ [P 3› Q_ G‹ QPd› X_‚h‹ XP 3› L_Ѓp‹ LP 3› L_ G‹ LPd› L_ G‹ LPd› X_Ѓp‹ XP 3› Q_ G‹ QPd› ^_Ѓp‹ ^P 3› V_ G‹ VPd› [_Ѓp‹ [P 3› Q_ G‹ QPd› X_‚h‹ XP 3› L_Ѓp‹ LP 3› L_ G‹ LPd› L_ G‹ LPd› X_Ѓp‹ XP 3› Q_ G‹ QPd› __Ѓp‹ _P 3› V_ G‹ VPd› [_Ѓp‹ [P 3› Q_ G‹ QPd› X_x‹ XP 3› X_x‹ XP 3› Q_ G‹ QPd› L_Ѓp‹ LP 3› L_ G‹ LPd› L_ G‹ LPd› X_Ѓp‹ XP 3› Q_ G‹ QPd› `_Ѓp‹ `P 3› V_ G‹ VPd› [_Ѓp‹ [P 3› Q_ G‹ QPd› X_x‹ XP 3› X_x‹ XP 3› L_ G‹ LPd› L_Ѓp‹ LP 3› L_ G‹ LPd› L_ G‹ LPd› X_Ѓp‹ XP 3› Q_ G‹ QPd› ]_Ѓp‹ ]P 3› V_ G‹ VPd› Z_Ѓp‹ ZP 3› Q_ G‹ QPd› Q_Ѓp‹ QP 3› Q_x‹ QP 3› S_Ѓp‹ SP 3› S_x‹ SP 3› S_x‹ SP 3› S_x‹ SP 3› S_x‹ SP 3› S_x‹ SP 3› __‚h‹ _P 3› __x‹ _P 3› __x‹ _P 3› __Ѓp‹ _P 3› S_Ѓp‹ SPћ 3› [Z‹ LPЃ I› [Z‹ LP№6› [Z‹ LPЃ I› [Z‹ LP 3я •3MTrk!3 rp3я 6!3№d!3e!3 lr3й 3@ 3№e!3d gf9@ fY!3e 3d 3Й!3№"3 :P f=@ 3]!3[!3\!3_!3™3_Џ 3‰3P 3™3_Џ 3‰3P 3™3_Џ 3‰3P 3™3_Ќ C‰3P 3™ ђeP‰ ]P 3™ ђeP‰ ]P 3™ ]_P‰ ]P 3™3_ f”e‡@‰3P faP 3™3_‡@‰3P 3™3_ f”e‡@‰3P faP 3™3_‡@‰3P 3™3_ f”e‡@‰3P faP 3™3_‡@‰3P 3™3_ f”e‡@‰3P faP 3™3_‡@‰3P 3™ W_…P‰ WP 3™ W_Ѓp‰ WP 3™ Y_Ѓp‰ YPѓ`™ W_Ѓp‰ WPЃp™ W_Ѓp‰ WPЃp™ W_Ѓp‰ WP 3™ Y_Ѓp‰ YPЃp™ Y_ fW_‚h‰ YP fWP 3™ ђe&lt;‰ ]P 3™ ]_&lt;‰ ]P 3™3_ f”fW_…P‰3P faP fWP 3™ W_Ѓp‰ WP 3™ Y_Ѓp‰ YPѓ`™ W_Ѓp‰ WPЃp™ W_Ѓp‰ WPЃp™ W_Ѓp‰ WP 3™ Y_Ѓp‰ YPЃp™ Y_ fW_x‰ YP fWP 3™ Y_x‰ YPЃp™ d_ fW_…P‰ dP fWP 3™ W_Ѓp‰ WP 3™ Y_Ѓp‰ YPѓ`™ W_Ѓp‰ WPЃp™ W_Ѓp‰ WPЃp™ W_Ѓp‰ WP 3™ Y_Ѓp‰ YPЃp™ Y_ fW_‚h‰ YP fWP 3™ ђe&lt;‰ ]P 3™ ]_&lt;‰ ]P 3™3_ fa_ fW_…P‰3P faP fWP 3™ W_Ѓp‰ WP 3™ Y_Ѓp‰ YPѓ`™ W_x‰ WP 3™ ђe&lt;‰ ]P 3™ ]_&lt;‰ ]P 3™ a_Ѓp‰ aP 3™ W_Ѓp‰ WPЃp™ W_Ѓp‰ WP 3™ a_ fY_Ѓp‰ aP fYPЃp™ a_ fY_ fW_x‰ aP fYP fWP 3™ Y_x‰ YPЃp™ a_ fW_…P‰ aP fWP 3™ W_x‰ WP 3™ Y_Ѓp‰ YP 3™ W_ѓ`‰ WP 3™ W_x‰ WP 3™ Y_Ѓp‰ YP 3™3_ fW_…P‰3P fWP 3™ W_x‰ WP 3™ Y_Ѓp‰ YP 3™ W_ѓ`‰ WP 3™ W_x‰ WP 3™;_ fY_x‰;P fYP 3™ Y_x‰ YP 3™ a_ fW_…P‰ aP fWP 3™ W_x‰ WP 3™ Y_Ѓp‰ YP 3™ W_x‰ WP‚h™ W_x‰ WP 3™ Y_Ѓp‰ YP 3™3_ fW_…P‰3P fWP 3™ W_x‰ WP 3™ Y_Ѓp‰ YP 3™ W_x‰ WP 3™ Y_Ѓp‰ YP 3™ W_x‰ WP 3™ W_x‰ WP 3™;_ f__ fY_Ѓp‰;P f_P fYP 3™ a_ fW_…P‰ aP fWP 3™ W_x‰ WP 3™ Y_Ѓp‰ YP 3™ W_ѓ`‰ WP 3™ W_x‰ WP 3™ Y_Ѓp‰ YP 3™3_ fW_…P‰3P fWP 3™ W_x‰ WP 3™ Y_Ѓp‰ YP 3™ W_ѓ`‰ WP 3™ W_x‰ WP 3™;_ fY_x‰;P fYP 3™ Y_x‰ YP 3™ a_ fW_…P‰ aP fWP 3™ W_x‰ WP 3™ Y_Ѓp‰ YP 3™ W_x‰ WP‚h™ W_x‰ WP 3™ Y_Ѓp‰ YP 3™;_ fW_ѓ`‰;P fWP 3™;_Ѓp‰;P 3™ W_x‰ WP 3™ Y_x3_x‰ YP 33P 3™ W_x‰ WP 3™ Y_Ѓp‰ YP 3™3_ fW_x‰3P fWP 3™ W_x‰ WP 3™ Y_Ѓp‰ YP 3™5_ fW_Ѓp‰5P fWP 3™ `_x‰ `P 3™ ^_x‰ ^P 3™5_ f\_Ѓp‰5P f\P 3™ W_x‰ WP 3™ W_x‰ WP 3™5_x‰5P 3™ `_x‰ `P 3™ ^_Ѓp‰ ^P 3™5_ f`_x‰5P f`P 3™ ^_x‰ ^P 3™ \_Ѓp‰ \P 3™5_ fW_Ѓp‰5P fWP 3™ `_x‰ `P 3™ ^_x‰ ^P 3™5_ f\_Ѓp‰5P f\P 3™ W_x‰ WP 3™ W_x‰ WP 3™5_x‰5P 3™ `_x‰ `P 3™ ^_x‰ ^P 3™ W_x‰ WP 3™5_ f`_x‰5P f`P 3™ ^_x‰ ^P 3™ \_x‰ \P 3™ W_x‰ WP 3™5_ fW_Ѓp‰5P fWP 3™ `_x‰ `P 3™ ^_x‰ ^P 3™5_ f\_Ѓp‰5P f\P 3™ W_x‰ WP 3™ W_x‰ WP 3™5_x‰5P 3™ `_x‰ `P 3™ ^_Ѓp‰ ^P 3™5_ f`_x‰5P f`P 3™ ^_x‰ ^P 3™ \_Ѓp‰ \P 3™5_ fW_Ѓp‰5P fWP 3™ `_x‰ `P 3™ ^_x‰ ^P 3™5_ f\_Ѓp‰5P f\P 3™ W_x‰ WP 3™ W_x‰ WP 3™5_x‰5P 3™ `_x‰ `P 3™ ^_x‰ ^P 3™ \_x‰ \P 3™5_ fY_x‰5P fYP 3™ `_x‰ `P 3™ ^_Ѓp‰ ^P 3™5_ fW_Ѓp‰5P fWP 3™ `_x‰ `P 3™ ^_x‰ ^P 3™5_ f\_Ѓp‰5P f\P 3™ W_x‰ WP 3™ W_x‰ WP 3™5_x‰5P 3™ `_x‰ `P 3™ ^_Ѓp‰ ^P 3™5_ f`_x‰5P f`P 3™ ^_x‰ ^P 3™ \_Ѓp‰ \P 3™5_ fW_Ѓp‰5P fWP 3™ `_x‰ `P 3™ ^_x‰ ^P 3™5_ f\_Ѓp‰5P f\P 3™ W_x‰ WP 3™ W_x‰ WP 3™5_x‰5P 3™ `_x‰ `P 3™ ^_x‰ ^P 3™ \_x‰ \P 3™5_x‰5P 3™ `_x‰ `P 3™ \_x‰ \P 3™ W_x‰ WP 3™5_ fW_Ѓp‰5P fWP 3™ `_x‰ `P 3™ ^_x‰ ^P 3™5_ f\_Ѓp‰5P f\P 3™ W_x‰ WP 3™ W_x‰ WP 3™5_x‰5P 3™ `_x‰ `P 3™ ^_Ѓp‰ ^P 3™5_ f`_x‰5P f`P 3™ ^_x‰ ^P 3™ \_x‰ \P 3™ \_x‰ \P 3™5_ fW_Ѓp‰5P fWP 3™ `_x‰ `P 3™ ^_x‰ ^P 3™5_ f\_Ѓp‰5P f\P 3™ W_x‰ WP 3™ W_x‰ WP 3™5_x‰5P 3™ `_x‰ `P 3™ ^_x‰ ^P 3™ \_x‰ \P 3™5_ fW_x‰5P fWP 3™ Y_x‰ YP 3™ Y_x‰ YP 3™ Y_x‰ YP 3™ d_ fW_x‰ dP fWP 3™ W_x‰ WP 3™ W_x‰ WP 3™ W_x‰ WP 3™ W_Ѓp‰ WP 3™ W_Ѓp‰ WP 3™;_ fY_Ѓp‰;P fYP‚h™ W_x‰ WP 3™;_ fY_x‰;P fYP 3™ W_x‰ WPЃp™ W_Ѓp‰ WPx™ W_x‰ WP 3™ W_x‰ WP 3™;_ fY_‚h‰;P fYPЃp™ a_ fY_ fW_x‰ aP fYP fWP 3™ Y_Ѓp‰ YP 3™ ђe&lt;‰ ]P 3™ ]_&lt;‰ ]P 3™ d_ fW_x‰ dP fWP 3™ W_x‰ WP 3™ W_x‰ WP 3™ W_x‰ WP 3™ W_Ѓp‰ WP 3™ W_Ѓp‰ WP 3™;_ fY_Ѓp‰;P fYP‚h™ W_x‰ WP 3™;_ fY_x‰;P fYP 3™ W_x‰ WPЃp™5_ fW_Ѓp‰5P fWP 3™5_x‰5P 3™ W_x‰ WP 3™ W_x‰ WP 3™;_ fY_‚h‰;P fYP 3™5_Ѓp‰5P 3™ a_ fY_ fW_x‰ aP fYP fWP 3™ Y_Ѓp‰ YP 3™ ђe&lt;‰ ]P 3™ ]_&lt;‰ ]P 3™ d_ fW_x‰ dP fWP 3™ W_x‰ WP 3™ W_x‰ WP 3™ W_x‰ WP 3™ W_Ѓp‰ WP 3™ W_Ѓp‰ WP 3™9_ fY_Ѓp‰9P fYP‚h™ W_x‰ WP 3™;_ fY_x‰;P fYP 3™ W_x‰ WPЃp™ a_ fW_Ѓp‰ aP fWPx™ W_x‰ WP 3™ W_x‰ WP 3™9_ fY_‚h‰9P fYPЃp™ a_ fY_ fW_x‰ aP fYP fWP 3™ Y_Ѓp‰ YP 3™ ђe&lt;‰ ]P 3™ ]_&lt;‰ ]P 3™ d_ fW_x‰ dP fWP 3™ W_x‰ WP 3™ W_x‰ WP 3™ W_x‰ WP 3™ W_Ѓp‰ WP 3™ W_Ѓp‰ WP 3™9_ fY_x‰9P fYP 3™3_x‰3P 3™3_x‰3P 3™;_x‰;P 3™ d_x‰ dP 3™3_ fW_x‰3P fWP 3™3_ fY_x‰3P fYP 3™;_ fW_x‰;P fWP 3™5_Ѓp‰5P 3™5_ fW_Ѓp‰5P fWP 3™5_x‰5P 3™ W_x‰ WP 3™5_ fW_x‰5P fWP 3™ Y_x‰ YP 3™5_ fd_Ѓp‰5P fdP 3™5_Ѓp‰5P 3™5_ fY_ fW_x‰5P fYP fWP 3™ Y_x‰ YP 3™ a_Ѓp‰ aP 3™9_Џ 3‰9P 3я b 3</t>
  </si>
  <si>
    <t>Evil_Whispers.mid</t>
  </si>
  <si>
    <t>MThd"3 lfgfk4аMTrk"3 3яQ i:Ў †3я i@Post `Scriptum 3яX!7 h:Ўј 3я l&lt;Section †—3я •3MTrk!3 9® 3я iuUPost `Scriptum €3±d!3e!3 lr3б 3@ 3±e!3d gf9@ fY!3e 3d 3°d!3e!3 lr3а 3@ 3°e!3d gf9@ fY!3e 3d 3±e!3d hf9@ 3e 3d 3°e!3d hf9@ 3e 3d 3БZ 3АZ 3±"3°"3± :h 3° :h 3± =P 3° =P 3±]!3°]!3±[!3°[!3±\!3°\!3±_!3°_!3ђ d_ЃpЂ dP 3ђ `_ЃpЂ `P 3ђ __ЃpЂ _P 3ђ ]_ЃpЂ ]P 3ђ X_ЃpЂ XP 3ђ ]_ЃpЂ ]P 3ђ __ЃpЂ _P 3ђ `_ЃpЂ `P 3ђ d_ЃpЂ dP 3ђ `_ЃpЂ `P 3ђ __ЃpЂ _P 3ђ ]_ЃpЂ ]P 3ђ X_ЃpЂ XP 3ђ ]_ЃpЂ ]P 3ђ __ЃpЂ _P 3ђ `_ЃpЂ `P 3ђ c_ЃpЂ cP 3ђ `_ЃpЂ `P 3ђ __ЃpЂ _P 3ђ ]_ЃpЂ ]P 3ђ Z_ЃpЂ ZP 3ђ ]_ЃpЂ ]P 3ђ __ЃpЂ _P 3ђ `_ЃpЂ `P 3ђ c_ЃpЂ cP 3ђ `_ЃpЂ `P 3ђ __ЃpЂ _P 3ђ ]_ЃpЂ ]P 3ђ Z_ЃpЂ ZP 3ђ ]_ЃpЂ ]P 3ђ __ЃpЂ _P 3ђ `_ЃpЂ `P 3ђ d_ЃpЂ dP 3ђ `_ЃpЂ `P 3ђ __ЃpЂ _P 3ђ ]_ЃpЂ ]P 3ђ X_ЃpЂ XP 3ђ ]_ЃpЂ ]P 3ђ __ЃpЂ _P 3ђ `_ЃpЂ `P 3ђ d_ЃpЂ dP 3ђ `_ЃpЂ `P 3ђ __ЃpЂ _P 3ђ ]_ЃpЂ ]P 3ђ X_ЃpЂ XP 3ђ ]_ЃpЂ ]P 3ђ __ЃpЂ _P 3ђ `_ЃpЂ `P 3ђ c_ЃpЂ cP 3ђ `_ЃpЂ `P 3ђ __ЃpЂ _P 3ђ ]_ЃpЂ ]P 3ђ Z_ЃpЂ ZP 3ђ ]_ЃpЂ ]P 3ђ __ЃpЂ _P 3ђ `_ЃpЂ `P 3ђ c_ЃpЂ cP 3ђ `_ЃpЂ `P 3ђ __ЃpЂ _P 3ђ ]_ЃpЂ ]P 3ђ Z_ЃpЂ ZP 3ђ ]_ЃpЂ ]P 3ђ __ЃpЂ _P 3ђ `_ЃpЂ `P 3ђ d_ЃpЂ dP 3ђ `_ЃpЂ `P 3ђ __ЃpЂ _P 3ђ ]_ЃpЂ ]P 3ђ X_ЃpЂ XP 3ђ ]_ЃpЂ ]P 3ђ __ЃpЂ _P 3ђ `_ЃpЂ `P 3ђ d_ЃpЂ dP 3ђ `_ЃpЂ `P 3ђ __ЃpЂ _P 3ђ ]_ЃpЂ ]P 3ђ X_ЃpЂ XP 3ђ ]_ЃpЂ ]P 3ђ __ЃpЂ _P 3ђ `_ЃpЂ `P 3ђ c_ЃpЂ cP 3ђ `_ЃpЂ `P 3ђ __ЃpЂ _P 3ђ ]_ЃpЂ ]P 3ђ Z_ЃpЂ ZP 3ђ ]_ЃpЂ ]P 3ђ __ЃpЂ _P 3ђ `_ЃpЂ `P 3ђ c_ЃpЂ cP 3ђ `_ЃpЂ `P 3ђ __ЃpЂ _P 3ђ ]_ЃpЂ ]P 3ђ Z_ЃpЂ ZP 3ђ ]_ЃpЂ ]P 3ђ __ЃpЂ _P 3ђ `_ЃpЂ `P 3ђ b_ЃpЂ bP 3ђ `_ЃpЂ `P 3ђ __ЃpЂ _P 3ђ ]_ЃpЂ ]P 3ђ Y_ЃpЂ YP 3ђ ]_ЃpЂ ]P 3ђ __ЃpЂ _P 3ђ `_ЃpЂ `P 3ђ b_ЃpЂ bP 3ђ `_ЃpЂ `P 3ђ __ЃpЂ _P 3ђ ]_ЃpЂ ]P 3ђ Y_ЃpЂ YP 3ђ X_ЃpЂ XP 3ђ `_ЃpЂ `P 3ђ X_ЃpЂ XP 3ђ ]_ЃpЂ ]P 3ђ X_ЃpЂ XP 3ђ `_ЃpЂ `P 3ђ X_ЃpЂ XP 3ђ ]_ЃpЂ ]P 3ђ X_ЃpЂ XP 3ђ `_ЃpЂ `P 3ђ X_ЃpЂ XP 3ђ ]_ЃpЂ ]P 3ђ X_ЃpЂ XP 3ђ `_ЃpЂ `P 3ђ X_ЃpЂ XP 3ђ ]_ЃpЂ ]P 3ђ X_ЃpЂ XP 3ђ `_ЃpЂ `P 3ђ X_ЃpЂ XP 3ђ [_ЃpЂ [P 3ђ X_ЃpЂ XP 3ђ __ЃpЂ _P 3ђ X_ЃpЂ XP 3ђ [_ЃpЂ [P 3ђ X_ЃpЂ XP 3ђ __ЃpЂ _P 3ђ X_ЃpЂ XP 3ђ [_ЃpЂ [P 3ђ X_ЃpЂ XP 3ђ __ЃpЂ _P 3ђ X_ЃpЂ XP 3ђ [_ЃpЂ [P 3ђ X_ЃpЂ XP 3ђ __ЃpЂ _P 3ђ X_ЃpЂ XP 3ђ Y_ЃpЂ YP 3ђ X_ЃpЂ XP 3ђ b_ЃpЂ bP 3ђ X_ЃpЂ XP 3ђ Y_ЃpЂ YP 3ђ X_ЃpЂ XP 3ђ b_ЃpЂ bP 3ђ Y_ЃpЂ YP 3ђ Y_ЃpЂ YP 3ђ X_ЃpЂ XP 3ђ __ЃpЂ _P 3ђ X_ЃpЂ XP 3ђ Y_ЃpЂ YP 3ђ X_ЃpЂ XP 3ђ __ЃpЂ _P 3ђ X_ЃpЂ XP 3ђ `_ЃpЂ `P 3ђ __ЃpЂ _P 3ђ ]_ЃpЂ ]P 3ђ Y_ЃpЂ YP 3ђ X_ЃpЂ XP 3ђ ]_ЃpЂ ]P 3ђ __ЃpЂ _P 3ђ `_ЃpЂ `P 3ђ ]_ zd_ЋlЂ ]P fdP 3я •3MTrk!3 4Ђ 3я iGby SAlexandr SShumakov 3іd!3e!3 lr3г 3@ 3іe!3d gf9@ fY!3e 3d 3Іd!3e!3 lr3в 3@ 3Іe!3d gf9@ fY!3e 3d 3іe!3d hf9@ 3e 3d 3Іe!3d hf9@ 3e 3d 3Г —3В —3і"3І"3і :` 3І :` 3і p–3І p–3і]!3І]!3і[!3І[!3і\!3І\!3і_!3І_ 3Џ 3’ d_‡@‚ dP 3’6_‡@‚6P 3’8_Џ 3‚8P 3’3_Џ 3‚3P 3’ d_Џ 3‚ dP 3’9_Џ 3‚9P 3’8_Џ 3‚8P 3’&lt;_Џ 3‚&lt;P 3’=_Џ 3‚=P 3’B_Џ 3‚BP 3’D_Џ 3‚DP 3’?_Џ 3‚?P 3’B_Џ 3‚BP 3’A_Џ 3‚AP 3’B_ћ 3‚BP 3’D_љ S‚DP 3’@_ѓ`‚@P 3’E_–@‚EP 3’D_‡@‚DP 3’B_ 3=_Џ 3‚BP 3’B eЏ 3‚=P 3BP 3я •3MTrk!3 5x 3я in[c Џ†–d8 3µd!3e!3 lr3е 3@ 3µe!3d gf9@ fY!3e 3d 3ґd!3e!3 lr3д 3@ 3ґe!3d gf9@ fY!3e 3d 3µe!3d hf9@ 3e 3d 3ґe!3d hf9@ 3e 3d 3ЕX 3ДX 3µ"3ґ"3µ :P 3ґ :P 3µ =P 3ґ =P 3µ]!3ґ]!3µ[!3ґ[!3µ\!3ґ\!3µ_!3ґ_ 3–@”9_ѓ`„9P 3”6_ѓ`„6P 3”8_Џ 3„8P‡@”8_ѓ`„8P 3”3_ѓ`„3P 3”9_Џ 3„9P‡@”9_ѓ`„9P 3”6_ѓ`„6P 3”8_Џ 3„8P‡@”8_ѓ`„8P 3”3_ѓ`„3P 3”9_Џ 3„9P‡@”9_ѓ`„9P 3”6_ѓ`„6P 3”8_Џ 3„8P‡@”8_ѓ`„8P 3”3_ѓ`„3P 3”9_Џ 3„9P‡@”9_ѓ`„9P 3” d_ѓ`„ dP 3”6_Џ 3„6P‡@”6_ѓ`„6P 3” d_ѓ`„ dP 3”8_Џ 3„8P‡@”8_ѓ`„8P 3”4_ѓ`„4P 3”=_ fe_ fb_‹ S„=P feP fbP 3”&gt;_ fe_ fb_‹ S„&gt;P feP fbP 3”A_ 35_ fd_‡@„AP 35P fdP 3”B_x„BP 3”=_x„=P 3”9_x„9P 3”8_x„8P 3”6_x„6P 3”8_x„8P 3”9_x„9P 3”=_x„=P 3”B_x„BP 3”=_x„=P 3”9_x„9P 3”8_x„8P 3”6_x„6P 3” d_x„ dP 3” `_x„ `P 3” __x„ _P 3”B_ f]_‡@6_‡@„BP f]P 36P 3я •3MTrk!3 &lt;H 3я iCDaveVsZi*gy@i aua 3№d!3e!3 lr3й 3@ 3№e!3d gf9@ fY!3e 3d 3Й!3№"3 :` f=@ 3]!3[!3\!3_!3™3_Џ 3‰3P 3™3_‡@‰3P 3™ __ѓ`‰ _P 3™ __ѓ`‰ _P 3™3_ЋD‰3P 3™3_;‰3P 4™3_‡@‰3P 3™ __ѓ`‰ _P 3™ __Ѓp‰ _P 3™ __x‰ _P 3™ __x‰ _P 3™3_Џ 3‰3P 3™3_‡@‰3P 3™ __ѓ`‰ _P 3™ __ѓ W‰ _P 3™3_;‰3P 4™3_Џ 3‰3P 3™3_‡@‰3P 3™ __ѓ`‰ _P 3™ __Ѓp‰ _P 3™ __x‰ _P 3™ __x‰ _P 3™3_ fa_x‰3P faP 3™ ]_x‰ ]P 3™ ђex‰ ]P 3™ ]_x‰ ]P 3™ ђex‰ ]P 3™ ]_x‰ ]P 3™ ђex‰ ]P 3™ ]_x‰ ]P 3™ a_x‰ aP 3™ ]_x‰ ]P 3™ ђex‰ ]P 3™ ]_x‰ ]P 3™ ђex‰ ]P 3™ ]_x‰ ]P 3™ ђex‰ ]P 3™ ]_x‰ ]P 3™3_ fa_x‰3P faP 3™ ]_x‰ ]P 3™ ђex‰ ]P 3™ ]_x‰ ]P 3™ ђex‰ ]P 3™ ]_x‰ ]P 3™ ђex‰ ]P 3™ ]_x‰ ]P 3™ a_Z‰ aP Q™ ]_x‰ ]P 3™ ђeZ a_ P‰ aP g]P 3™ a_Ѓp‰ aP 3™ ]_x‰ ]P 3™ ђex‰ ]P 3™ ]_x‰ ]P 3™ d_ fa_x‰ dP faP 3™ ]_x‰ ]P 3™ ђex‰ ]P 3™ ]_x‰ ]P 3™ ђex‰ ]P 3™ ]_x‰ ]P 3™ ђex‰ ]P 3™ ]_x‰ ]P 3™ a_x‰ aP 3™ ]_x‰ ]P 3™ ђex‰ ]P 3™ ]_x‰ ]P 3™ ђex‰ ]P 3™ ]_x‰ ]P 3™ ђex‰ ]P 3™ ]_x‰ ]P 3™3_ fa_x‰3P faP 3™ ]_x‰ ]P 3™ ђex‰ ]P 3™ ]_x‰ ]P 3™ ђex‰ ]P 3™ ]_x‰ ]P 3™ ђex‰ ]P 3™ ]_x‰ ]P 3™3_ fa_Z‰ aP Q3P 3™ ]_x‰ ]P 3™ ђeZ a_ P‰ aP g]P 3™ a_Ѓp‰ aP 3™ ]_x‰ ]P 3™ ђex‰ ]P 3™ ]_x‰ ]P 3™ d_ fa_x‰ dP faP 3™ ]_x‰ ]P 3™ ђex‰ ]P 3™ ]_x‰ ]P 3™ ђex‰ ]P 3™ ]_x‰ ]P 3™ ђex‰ ]P 3™ ]_x‰ ]P 3™ a_x‰ aP 3™ ]_x‰ ]P 3™ ђex‰ ]P 3™ ]_x‰ ]P 3™ ђex‰ ]P 3™ ]_x‰ ]P 3™ ђex‰ ]P 3™ ]_x‰ ]P 3™9_ fa_x‰9P faP 3™ ]_x‰ ]P 3™ ђex‰ ]P 3™ ]_x‰ ]P 3™ ђex‰ ]P 3™ ]_x‰ ]P 3™ ђex‰ ]P 3™ ]_x‰ ]P 3™ a_Z‰ aP Q™ ]_x‰ ]P 3™ ђeZ a_ P‰ aP g]P 3™ a_Ѓp‰ aP 3™ ]_x‰ ]P 3™ ђex‰ ]P 3™ ]_x‰ ]P 3™3_ fa_ fV_x‰3P faP fVP 3™ ]_x‰ ]P 3™ ђex‰ ]P 3™ ]_x‰ ]P 3™3_ fђex‰3P f]P 3™ ]_x‰ ]P 3™ ђfV_x‰ ]P fVP 3™ ]_x‰ ]P 3™ a_ fY_x‰ aP fYP 3™ ]_x‰ ]P 3™ ђex‰ ]P 3™ ]_ fV_x‰ ]P fVP 3™3_ fђfV_x‰3P f]P fVP 3™ ]_x‰ ]P 3™ ђex‰ ]P 3™ ]_x‰ ]P 3™3_ fa_ fV_x‰3P faP fVP 3™ ]_x‰ ]P 3™ ђex‰ ]P 3™ ]_x‰ ]P 3™3_ fђex‰3P f]P 3™ ]_x‰ ]P 3™ ђfV_x‰ ]P fVP 3™ ]_x‰ ]P 3™ a_ fY_x‰ aP fYP 3™ ]_x‰ ]P 3™ ђex‰ ]P 3™ ]_ fV_x‰ ]P fVP 3™3_ fђfV_x‰3P f]P fVP 3™ Y_x‰ YP 3™ ђex‰ ]P 3™ ]_x‰ ]P 3™3_ fa_ fV_x‰3P faP fVP 3™ ]_x‰ ]P 3™ ђex‰ ]P 3™ ]_x‰ ]P 3™3_ fђex‰3P f]P 3™ ]_x‰ ]P 3™ ђfV_x‰ ]P fVP 3™ ]_x‰ ]P 3™ a_ fY_x‰ aP fYP 3™ ]_x‰ ]P 3™ ђex‰ ]P 3™ ]_ fV_x‰ ]P fVP 3™3_ fђfV_x‰3P f]P fVP 3™ ]_x‰ ]P 3™ ђfV_x‰ ]P fVP 3™ ]_x‰ ]P 3™3_ fa_ fV_x‰3P faP fVP 3™ ]_x‰ ]P 3™ ђex‰ ]P 3™ ]_x‰ ]P 3™3_ fђex‰3P f]P 3™ ]_x‰ ]P 3™ ђfV_x‰ ]P fVP 3™ ]_x‰ ]P 3™ a_ fY_x‰ aP fYP 3™ ]_x‰ ]P 3™ ђex‰ ]P 3™ ]_ fV_x‰ ]P fVP 3™3_ fђfV_x‰3P f]P fVP 3™ Y_x‰ YP 3™ ђex‰ ]P 3™ ]_ fV_x‰ ]P fVP 3™3_ fa_ fV_x‰3P faP fVP 3™ ]_x‰ ]P 3™ ђex‰ ]P 3™ ]_x‰ ]P 3™3_ fђex‰3P f]P 3™ ]_x‰ ]P 3™ ђfV_x‰ ]P fVP 3™ ]_x‰ ]P 3™ a_ fY_x‰ aP fYP 3™ ]_x‰ ]P 3™ ђex‰ ]P 3™ ]_ fV_x‰ ]P fVP 3™3_ fђfV_x‰3P f]P fVP 3™ ]_x‰ ]P 3™ ђex‰ ]P 3™ ]_x‰ ]P 3™3_ fa_ fV_x‰3P faP fVP 3™ ]_x‰ ]P 3™ ђex‰ ]P 3™ ]_x‰ ]P 3™3_ fђex‰3P f]P 3™ ]_x‰ ]P 3™ ђfV_x‰ ]P fVP 3™ ]_x‰ ]P 3™ a_ fY_&lt;‰ aP&lt; YP 3™ ]_x‰ ]P 3™ ђex‰ ]P 3™ ]_ fV_x‰ ]P fVP 3™3_ fђfV_x‰3P f]P fVP 3™ Y_x‰ YP 3™ ђex‰ ]P 3™ ^_ f]_&lt; `_;‰ `P g^P f]P 3™3_ f`_ fV_&lt;‰ `P&lt;3P fVP 3™ ]_x‰ ]P 3™ ђex‰ ]P 3™ ]_x‰ ]P 3™3_ fђex‰3P f]P 3™ ]_&lt; ^_;‰ ^P g]P 3™ ^_ fV_&lt;‰ ^P&lt; VP 3™ ]_x‰ ]P 3™ Y_x‰ YP 3™ ]_x‰ ]P 3™ ђex‰ ]P 3™ ]_ fV_&lt; \_;‰ \P g]P fVP 3™3_ f\_ fV_x‰3P f\P fVP 3™ ]_ fV_x‰ ]P fVP 3™ ђex‰ ]P 3™ ]_x‰ ]P 3™ d_ 33_ fa_ fV_Џ 3‰ dP 33P faP fVP 3я b 3</t>
  </si>
  <si>
    <t xml:space="preserve"> c_x‰ ]P fcP 3™ W_x‰ WP 3™ ]_ f^_ fW_x‰ ]P f^P fWP 3™ W_x‰ WP 3™ d_ fb_ fY_&lt;‰ dP fbP fYP 3™ b_&lt;‰ bP 3™ b_&lt;‰ bP 3™ b_&lt;‰ bP 3™9_ f`_ fW_&lt;‰9P f`P fWP 3™ `_&lt;‰ `P 3™ `_&lt;‰ `P 3™ `_&lt;‰ `P 3™ d_ f`_&lt;‰ dP f`P 3™ W_&lt;‰ WP 3™ W_x‰ WP 3™5_ fY_&lt;‰5P fYP 3™ W_&lt;‰ WP 3™ W_x‰ WP 3™5_ fY_x‰5P fYP 3™ W_Z‰ WP 3™ “Q‰ `P 3™9_ f`_&lt;‰9P f`P 3™ W_Ѓ4‰ WP 3™5_ fW_x‰5P fWP 3™ W_x‰ WP 3™5_ fY_x‰5P fYP 3™ W_Z‰ WP 3™ “Q‰ `P 3™ a_ f`_&lt;‰ aP f`P 3™ W_&lt;‰ WP 3™ W_x‰ WP 3™9_ f^_&lt;‰9P f^P 3™ W_&lt;‰ WP 3™ W_x‰ WP 3™ d_ f`_&lt;‰ dP f`P 3™ W_&lt;‰ WP 3™ W_x‰ WP 3™5_ fY_&lt;‰5P fYP 3™ W_&lt;‰ WP 3™ W_x‰ WP 3™5_ fY_x‰5P fYP 3™ W_Z‰ WP 3™ “Q‰ `P 3™9_ f`_&lt;‰9P f`P 3™ W_&lt;‰ WP 3™ W_&lt;‰ WP 3™ W_&lt;‰ WP 3™5_&lt;‰5P 3™ Љe&lt;‰ WP 3™ W_&lt;‰ WP 3™ W_&lt;‰ WP 3™5_ fY_x‰5P fYP 3™ W_Z‰ WP 3™ “Q‰ `P 3™ __ f`_ fЉe&lt;‰ _P f`P fWP 3™ W_&lt;‰ WP 3™ W_&lt;‰ WP 3™ W_&lt;‰ WP 3™ __ fY_&lt;‰ _P fYP 3™ `_&lt;‰ `P 3™ ^_&lt;‰ ^P 3™ \_&lt;‰ \P 3™ d_ f`_&lt;‰ dP f`P 3™ W_&lt;‰ WP 3™ W_x‰ WP 3™5_ fY_&lt;‰5P fYP 3™ W_&lt;‰ WP 3™ W_x‰ WP 3™5_ fY_x‰5P fYP 3™ W_Z‰ WP 3™ “Q‰ `P 3™9_ f`_&lt;‰9P f`P 3™ W_Ѓ4‰ WP 3™5_ fW_x‰5P fWP 3™ W_x‰ WP 3™5_ fY_x‰5P fYP 3™ W_Z‰ WP 3™ “Q‰ `P 3™ a_ f`_&lt;‰ aP f`P 3™ W_&lt;‰ WP 3™ W_x‰ WP 3™9_ f^_&lt;‰9P f^P 3™ W_&lt;‰ WP 3™ W_x‰ WP 3™ d_ f`_&lt;‰ dP f`P 3™ W_&lt;‰ WP 3™ W_x‰ WP 3™5_ fY_&lt;‰5P fYP 3™ W_&lt;‰ WP 3™ W_x‰ WP 3™5_ fY_x‰5P fYP 3™ W_Z‰ WP 3™ “Q‰ `P 3™9_ f`_&lt;‰9P f`P 3™ W_&lt;‰ WP 3™ W_&lt;‰ WP 3™ W_&lt;‰ WP 3™5_&lt;‰5P 3™ Љe&lt;‰ WP 3™ W_&lt;‰ WP 3™ W_&lt;‰ WP 3™5_ fY_x‰5P fYP 3™ W_Z‰ WP 3™ “Q‰ `P 3™ __ f`_ fЉe&lt;‰ _P f`P fWP 3™ W_&lt;‰ WP 3™ W_&lt;‰ WP 3™ W_&lt;‰ WP 3™ __ fY_&lt;‰ _P fYP 3™ `_&lt;‰ `P 3™ ^_&lt;‰ ^P 3™ \_&lt;‰ \P 3™ a_ f`_ fЉe&lt;‰ aP f`P fWP 3™ W_&lt;‰ WP 3™ W_&lt;‰ WP 3™ W_&lt;‰ WP 3™5_ fY_x‰5P fYP 3™ W_x‰ WP 3™5_ fY_x‰5P fYP 3™ W_Z‰ WP 3™ “Q‰ `P 3™9_ f`_&lt;‰9P f`P 3™ W_&lt;‰ WP 3™ W_&lt;‰ WP 3™ W_&lt;‰ WP 3™5_ fY_x‰5P fYP 3™ W_x‰ WP 3™5_ fY_x‰5P fYP 3™ W_Z‰ WP 3™ “Q‰ `P 3™ a_ f`_&lt;‰ aP f`P 3™ W_&lt;‰ WP 3™ W_Z‰ WP 3™ “Q‰ `P 3™9_ f`_&lt;‰9P f`P 3™ W_&lt;‰ WP 3™ W_x‰ WP 3™ a_ f`_&lt;‰ aP f`P 3™ W_&lt;‰ WP 3™ W_&lt;‰ WP 3™ W_&lt;‰ WP 3™5_ fY_x‰5P fYP 3™ W_x‰ WP 3™5_ fY_x‰5P fYP 3™ W_Z‰ WP 3™ “Q‰ `P 3™9_ f`_&lt;‰9P f`P 3™ W_&lt;‰ WP 3™ W_&lt;‰ WP 3™ W_&lt;‰ WP 3™5_ fY_x‰5P fYP 3™ W_x‰ WP 3™5_ fY_x‰5P fYP 3™ W_Z‰ WP 3™ “Q‰ `P 3™ a_ f`_ fЉe&lt;‰ aP f`P fWP 3™ W_&lt;‰ WP 3™ W_&lt;‰ WP 3™ Y_ fW_&lt;‰ YP fWP 3™9_&lt;‰9P 3™ `_&lt;‰ `P 3™ ^_&lt;‰ ^P 3™ \_&lt;‰ \P 3™ d_ f`_ fЉe&lt;‰ dP f`P fWP 3™ W_&lt;‰ WP 3™ W_&lt;‰ WP 3™ W_&lt;‰ WP 3™5_ fY_x‰5P fYP 3™ W_x‰ WP 3™5_ fY_x‰5P fYP 3™ W_Z‰ WP 3™ “Q‰ `P 3™9_ f`_&lt;‰9P f`P 3™ W_&lt;‰ WP 3™ W_&lt;‰ WP 3™ W_&lt;‰ WP 3™5_ fY_x‰5P fYP 3™ W_x‰ WP 3™5_ fY_x‰5P fYP 3™ W_Z‰ WP 3™ “Q‰ `P 3™ a_ f`_ fЉe&lt;‰ aP f`P fWP 3™ W_&lt;‰ WP 3™ W_&lt;‰ WP 3™ W_&lt;‰ WP 3™9_ fY_&lt;‰9P fYP 3™ W_&lt;‰ WP 3™ W_&lt;‰ WP 3™ W_&lt;‰ WP 3™ a_ f`_ fЉe&lt;‰ aP f`P fWP 3™ W_&lt;‰ WP 3™ W_&lt;‰ WP 3™ W_&lt;‰ WP 3™5_ fY_x‰5P fYP 3™ W_x‰ WP 3™5_ fY_x‰5P fYP 3™ W_Z‰ WP 3™ “Q‰ `P 3™9_ f`_&lt;‰9P f`P 3™ W_&lt;‰ WP 3™ W_&lt;‰ WP 3™ W_&lt;‰ WP 3™5_ fY_x‰5P fYP 3™ W_x‰ WP 3™5_ fY_x‰5P fYP 3™ W_Z‰ WP 3™ “Q‰ `P 3™ a_ f`_ fЉe&lt;‰ aP f`P fWP 3™ W_&lt;‰ WP 3™ W_Z‰ WP 3™ “Q‰ `P 3™ a_ f`_ fЉe&lt;‰ aP f`P fWP 3™ W_&lt;‰ WP 3™ W_x‰ WP 3я b 3</t>
  </si>
  <si>
    <t>MThd"3 lfgfs4аMTrk"3; 3яQ iAN ‚3я iHPyramid SOf SLost SHopes 3яX!7 hAN‚и 3я l&lt;Section †—3я •3MTrk!3 ht3я i}UPyramid SOf SLost SHopes €3°d!3e!3 lr3а 3@ 3°e!3d gf9@ fY!3e 3d 3e!3d hf9@ 3e 3d 3А w3°"3 :` f=X 3]!3[!3\!3_ 3ѓяpђ&lt;OxЂ&lt;P 3ђ&gt;OxЂ&gt;P 3ђ?OxЂ?P 3ђ&gt;OxЂ&gt;P 3ђ&lt;OxЂ&lt;Pxђ&lt;OЃpЂ&lt;P 3ђ:LxЂ:P•Hђ&lt;OxЂ&lt;P 3ђ&gt;OxЂ&gt;P 3ђ?OxЂ?P 3ђ&gt;OxЂ&gt;P 3ђ&lt;OxЂ&lt;P 3ђAOЃpЂAP 3ђ?O‚hЂ?P 3ђ&gt;OЃpЂ&gt;P 3ђ&lt;OЃpЂ&lt;P 3ђ=_…PЂ=P 3ђ&lt;_…PЂ&lt;P…PђCOxЂCP 3ђAOxЂAP 3ђCOxЂCP 3ђAOxЂAP 3ђCOxЂCP 3ђAOЃpЂAP 3° :H 3ђM_ 3&lt;_xЂMP 3ђK_xЂ&lt;P 3KP 3ђM_ЃpЂMP 3ђK_xЂKP 3ђJ_xЂJP 3ђK_ЃpЂKP 3ђJ_xЂJP 3ђH_xЂHP 3ђJ_ЃpЂJP 3ђH_xЂHP 3ђF_xЂFP 3ђH_ЃpЂHP 3° :`xђD_ЃpЂDP 3ђC_ЃpЂCP 3ђ@_ЃpЂ@PЃpђ&lt;OxЂ&lt;P 3ђ&gt;OxЂ&gt;P 3ђ?OxЂ?P 3ђ&gt;OxЂ&gt;P 3ђ&lt;OxЂ&lt;Pxђ&lt;OЃpЂ&lt;P 3ђ: exЂ:P„Xђ=_…PЂ=P 3ђ&lt;_…PЂ&lt;P 3я •3MTrk!3 hq3я iGby SAlexandr SShumakov 3±d!3e!3 lr3б 3@ 3±e!3d gf9@ fY!3e 3d 3e!3d hf9@ 3e 3d 3БR 3±"3 :P f=X 3]!3[!3\!3_ 3ѓяp‘&lt;OxЃ&lt;P 3‘&gt;OxЃ&gt;P 3‘?OxЃ?P 3‘&gt;OxЃ&gt;P 3‘&lt;OxЃ&lt;Px‘&lt;OЃpЃ&lt;P 3‘:LxЃ:P•H‘&lt;OxЃ&lt;P 3‘&gt;OxЃ&gt;P 3‘?OxЃ?P 3‘&gt;OxЃ&gt;P 3‘&lt;OxЃ&lt;P 3‘AOЃpЃAP 3‘?O‚hЃ?P 3‘&gt;OЃpЃ&gt;P 3‘&lt;OЃpЃ&lt;P 3‘=_…PЃ=P 3‘&lt;_…PЃ&lt;P…P‘COxЃCP 3‘AOxЃAP 3‘COxЃCP 3‘AOxЃAP 3‘COxЃCP 3‘AOЃpЃAP 3± :@ 3‘M_ 3&lt;_xЃMP 3‘K_xЃ&lt;P 3KP 3‘M_ЃpЃMP 3‘K_xЃKP 3‘J_xЃJP 3‘K_ЃpЃKP 3‘J_xЃJP 3‘H_xЃHP 3‘J_ЃpЃJP 3‘H_xЃHP 3‘F_xЃFP 3‘H_ЃpЃHP 3± :Px‘D_ЃpЃDP 3‘C_ЃpЃCP 3‘@_ЃpЃ@PЃp‘&lt;OxЃ&lt;P 3‘&gt;OxЃ&gt;P 3‘?OxЃ?P 3‘&gt;OxЃ&gt;P 3‘&lt;OxЃ&lt;Px‘&lt;OЃpЃ&lt;P 3‘: exЃ:P„X‘=_…PЃ=P 3‘&lt;_…PЃ&lt;P 3я •3MTrk!3 Bч 3я in[c Џ†d*97 3Іd!3e!3 lr3в 3@ 3Іe!3d gf9@ fY!3e 3d 3e!3d hf9@ 3e 3d 3ВW 3І"3 :P f=X 3]!3[!3\!3_!3’ ђeѓ`‚ ]P‹ S’ ђeѓ`‚ ]P‹ S’ ђeѓ`‚ ]P‹ S’ ђeѓ`‚ ]P‹ S’ ђeѓ`‚ ]P‹ S’ ђeѓ`‚ ]P‹ S’ ђeѓ`‚ ]P‹ S’ ђeѓ`‚ ]P‹ S’ “eЃp‚ `P 3’ “eЃp‚ `P 3’ “eЃp‚ `P 3’ “eЃp‚ `P 3’ ’eЃp‚ _P 3’ ’eЃp‚ _P 3’ ЏeЃp‚ \P 3’ ЏeЃp‚ \P 3’ “eЃp‚ `P 3’ “eЃp‚ `P 3’ ЋeЃp‚ [P 3’ ЋeЃp‚ [P 3’ –eЃp‚ cP 3’ –eЃp‚ cP 3’ ’eЃp‚ _P 3’ ’eЃp‚ _P 3’ “eЃp‚ `P 3’ “eЃp‚ `P 3’ “eЃp‚ `P 3’ “eЃp‚ `P 3’ ’eЃp‚ _P 3’ ’eЃp‚ _P 3’ ЏeЃp‚ \P 3’ ЏeЃp‚ \P 3’ “eЃp‚ `P 3’ “eЃp‚ `P 3’ “eЃp‚ `P 3’ “eЃp‚ `P 3’ ’eЃp‚ _P 3’ ’eЃp‚ _P 3’!eЃp‚ eP 3’!eЃp‚ ePЃТ 3’ `_&lt;‚ `P&lt;’ `_&lt;‚ `P&lt;’ `_&lt;‚ `P&lt;’ `_&lt;‚ `P&lt;’ `_&lt;‚ `P&lt;’ [_x‚ [P 3’ `_&lt;‚ `P&lt;’ `_&lt;‚ `P&lt;’ `_&lt;‚ `P&lt;’ `_&lt;‚ `P&lt;’ `_&lt;‚ `P&lt;’ \_x‚ \P 3’ b_x‚ bP 3’ b_x‚ bP 3’ c_x‚ cP 3’ c_x‚ cP 3’ `_&lt;‚ `P&lt;’ `_&lt;‚ `P&lt;’ a_&lt;‚ aP&lt;’ a_&lt;‚ aP&lt;’ `_&lt;‚ `P&lt;’ [_&lt;‚ [P&lt;’ `_&lt;‚ `P&lt;’ `_&lt;‚ `P&lt;’ a_&lt;‚ aP&lt;’ a_&lt;‚ aP&lt;’ `_&lt;‚ `P&lt;’ [_x‚ [P 3’4_x‚4P 3’4_x‚4P 3’ d_x‚ dP 3’ d_x‚ dP 3’ `_&lt;‚ `P&lt;’ `_&lt;‚ `P&lt;’ `_&lt;‚ `P&lt;’ `_&lt;‚ `P&lt;’ `_&lt;‚ `P&lt;’ [_x‚ [P 3’ `_&lt;‚ `P&lt;’ `_&lt;‚ `P&lt;’ `_&lt;‚ `P&lt;’ `_&lt;‚ `P&lt;’ `_&lt;‚ `P&lt;’ \_x‚ \P 3’ b_x‚ bP 3’ b_x‚ bP 3’ c_x‚ cP 3’ c_x‚ cP 3’ `_&lt;‚ `P&lt;’ `_&lt;‚ `P&lt;’ a_&lt;‚ aP&lt;’ a_&lt;‚ aP&lt;’ `_&lt;‚ `P&lt;’ [_&lt;‚ [P&lt;’ `_&lt;‚ `P&lt;’ `_&lt;‚ `P&lt;’ a_&lt;‚ aP&lt;’ a_&lt;‚ aP&lt;’ `_&lt;‚ `P&lt;’ [_x‚ [P 3’4_x‚4P 3’4_x‚4P 3’ d_x‚ dP 3’ d_x‚ dP 3’ `_&lt;‚ `P&lt;’ `_&lt;‚ `P&lt;’ `_&lt;‚ `P&lt;’ `_&lt;‚ `P&lt;’ `_&lt;‚ `P&lt;’ [_x‚ [P 3’ `_&lt;‚ `P&lt;’ `_&lt;‚ `P&lt;’ `_&lt;‚ `P&lt;’ `_&lt;‚ `P&lt;’ `_&lt;‚ `P&lt;’ \_x‚ \P 3’ b_x‚ bP 3’ b_x‚ bP 3’ c_x‚ cP 3’ c_x‚ cP 3’ `_&lt;‚ `P&lt;’ `_&lt;‚ `P&lt;’ a_&lt;‚ aP&lt;’ a_&lt;‚ aP&lt;’ `_&lt;‚ `P&lt;’ [_&lt;‚ [P&lt;’ `_&lt;‚ `P&lt;’ `_&lt;‚ `P&lt;’ a_&lt;‚ aP&lt;’ a_&lt;‚ aP&lt;’ `_&lt;‚ `P&lt;’ [_x‚ [P 3’4_x‚4P 3’4_x‚4P 3’ d_x‚ dP 3’ d_x‚ dP 3’ `_&lt;‚ `P&lt;’ `_&lt;‚ `P&lt;’ `_&lt;‚ `P&lt;’ `_&lt;‚ `P&lt;’ `_&lt;‚ `P&lt;’ [_x‚ [P 3’ `_&lt;‚ `P&lt;’ `_&lt;‚ `P&lt;’ `_&lt;‚ `P&lt;’ `_&lt;‚ `P&lt;’ `_&lt;‚ `P&lt;’ \_x‚ \P 3’ b_x‚ bP 3’ b_x‚ bP 3’ c_x‚ cP 3’ c_x‚ cP 3’ `_&lt;‚ `P&lt;’ `_&lt;‚ `P&lt;’ a_&lt;‚ aP&lt;’ a_&lt;‚ aP&lt;’ `_&lt;‚ `P&lt;’ [_&lt;‚ [P&lt;’ `_&lt;‚ `P&lt;’ `_&lt;‚ `P&lt;’ b_&lt;‚ bP&lt;’ b_&lt;‚ bP&lt;’ `_&lt;‚ `P&lt;’ [_x‚ [P 3’4_x‚4P 3’4_x‚4P 3’ d_x‚ dP 3’ d_x‚ dP 3’ co&lt;‚ cP&lt;’ co&lt;‚ cP&lt;’ co&lt;‚ cP&lt;’ co&lt;‚ cP&lt;’ co&lt;‚ cP&lt;’ ^ox‚ ^P 3’ co&lt;‚ cP&lt;’ co&lt;‚ cP&lt;’ co&lt;‚ cP&lt;’ co&lt;‚ cP&lt;’ co&lt;‚ cP&lt;’ _ox‚ _P 3’ eox‚ eP 3’ eox‚ eP 3’3ox‚3P 3’3ox‚3P 3’ co&lt;‚ cP&lt;’ co&lt;‚ cP&lt;’ co&lt;‚ cP&lt;’ co&lt;‚ cP&lt;’ co&lt;‚ cP&lt;’ do&lt;‚ dP&lt;’ co&lt;‚ cP&lt;’ co&lt;‚ cP&lt;’ co&lt;‚ cP&lt;’ co&lt;‚ cP&lt;’ co&lt;‚ cP&lt;’ ^ox‚ ^P 3’7ox‚7P 3’7ox‚7P 3’4ox‚4P 3’4ox‚4P 3’ co&lt;‚ cP&lt;’ co&lt;‚ cP&lt;’ co&lt;‚ cP&lt;’ co&lt;‚ cP&lt;’ co&lt;‚ cP&lt;’ ^ox‚ ^P 3’ co&lt;‚ cP&lt;’ co&lt;‚ cP&lt;’ co&lt;‚ cP&lt;’ co&lt;‚ cP&lt;’ co&lt;‚ cP&lt;’ _ox‚ _P 3’ eox‚ eP 3’ eox‚ eP 3’3ox‚3P 3’3ox‚3P 3’ co&lt;‚ cP&lt;’ co&lt;‚ cP&lt;’ co&lt;‚ cP&lt;’ co&lt;‚ cP&lt;’ co&lt;‚ cP&lt;’ do&lt;‚ dP&lt;’ co&lt;‚ cP&lt;’ co&lt;‚ cP&lt;’ co&lt;‚ cP&lt;’ co&lt;‚ cP&lt;’ co&lt;‚ cP&lt;’ ^ox‚ ^P 3’7ox‚7P 3’7ox‚7P 3’4ox‚4P 3’4ox‚4P 3’ co&lt;‚ cP&lt;’ co&lt;‚ cP&lt;’ co&lt;‚ cP&lt;’ co&lt;‚ cP&lt;’ co&lt;‚ cP&lt;’ ^ox‚ ^P 3’ co&lt;‚ cP&lt;’ co&lt;‚ cP&lt;’ co&lt;‚ cP&lt;’ co&lt;‚ cP&lt;’ co&lt;‚ cP&lt;’ _ox‚ _P 3’ eox‚ eP 3’ eox‚ eP 3’3ox‚3P 3’3ox‚3P 3’ co&lt;‚ cP&lt;’ co&lt;‚ cP&lt;’ co&lt;‚ cP&lt;’ co&lt;‚ cP&lt;’ co&lt;‚ cP&lt;’ ^_&lt;‚ ^P&lt;’ co&lt;‚ cP&lt;’ co&lt;‚ cP&lt;’ do&lt;‚ dP&lt;’ do&lt;‚ dP&lt;’ co&lt;‚ cP&lt;’ ^ox‚ ^P 3’7ox‚7P 3’7ox‚7P 3’4ox‚4P 3’4ox‚4P 3’ co&lt;‚ cP&lt;’ co&lt;‚ cP&lt;’ co&lt;‚ cP&lt;’ co&lt;‚ cP&lt;’ co&lt;‚ cP&lt;’ ^ox‚ ^P 3’ co&lt;‚ cP&lt;’ co&lt;‚ cP&lt;’ co&lt;‚ cP&lt;’ co&lt;‚ cP&lt;’ co&lt;‚ cP&lt;’ _ox‚ _P 3’ eox‚ eP 3’ eox‚ eP 3’3ox‚3P 3’3ox‚3P 3’ co&lt;‚ cP&lt;’ co&lt;‚ cP&lt;’ co&lt;‚ cP&lt;’ co&lt;‚ cP&lt;’ co&lt;‚ cP&lt;’ do&lt;‚ dP&lt;’ co&lt;‚ cP&lt;’ co&lt;‚ cP&lt;’ co&lt;‚ cP&lt;’ co&lt;‚ cP&lt;’ co&lt;‚ cP&lt;’ ^ox‚ ^P 3’7ox‚7P 3’7ox‚7P 3’4ox‚4P 3’4ox‚4P 3’3&lt;‚3P 3’ aL&lt;‚ aP 3’3&lt;‚3P 3’ aL&lt;‚ aP 3’3&lt;‚3P 3’ aL&lt;‚ aP 3’3&lt;‚3P 3’ aL&lt;‚ aP 3’3&lt;‚3P&lt;’ ax‚ aP 3’3&lt;‚3P 3’ b_&lt;‚ bP 3’3&lt;‚3P&lt;’3&lt;‚3P&lt;’5&lt;‚5P&lt;’3&lt;‚3P&lt;’ bx‚ bP 3’5&lt;‚5P 3’5L&lt;‚5P 3’5&lt;‚5P 3’5L&lt;‚5P 3’6&lt;‚6P 3’6L&lt;‚6P 3’6&lt;‚6P 3’6L&lt;‚6P 3’3_&lt;‚3P 3’ `_&lt;‚ `P 3’3&lt;‚3P 3’ `L&lt;‚ `P 3’3&lt;‚3P 3’ `L&lt;‚ `P 3’3&lt;‚3P 3’ b_&lt;‚ bP 3’3&lt;‚3P&lt;’ b_&lt;‚ bP&lt;’3&lt;‚3P&lt;’4&lt;‚4P&lt;’3&lt;‚3P&lt;’4&lt;‚4P&lt;’3&lt;‚3P&lt;’ ax‚ aP 3’ a_&lt;‚ aP 3’ ”e&lt;‚ aP 3’ a_&lt;‚ aP 3’ ”e&lt;‚ aP 3’ ^_&lt;‚ ^P 3’ ‘e&lt;‚ ^P 3’ ^_&lt;‚ ^P 3’ ‘e&lt;‚ ^P 3’ Z_&lt;‚ ZP 3’ aL&lt;‚ aP 3’3&lt;‚3P 3’ aL&lt;‚ aP 3’3&lt;‚3P 3’ aL&lt;‚ aP 3’3&lt;‚3P 3’ aL&lt;‚ aP 3’3&lt;‚3P&lt;’ ax‚ aP 3’3&lt;‚3P 3’ b_&lt;‚ bP 3’3&lt;‚3P&lt;’ e&lt;‚ eP&lt;’3&lt;‚3P&lt;’5&lt;‚5P&lt;’3_x‚3P 3’5&lt;‚5P 3’5L&lt;‚5P 3’5&lt;‚5P 3’5L&lt;‚5P 3’6&lt;‚6P 3’6L&lt;‚6P 3’6&lt;‚6P 3’6L&lt;‚6P 3’3&lt;‚3P 3’ bL&lt;‚ bP 3’3&lt;‚3P 3’ bL&lt;‚ bP 3’3&lt;‚3P 3’ bL&lt;‚ bP 3’3&lt;‚3P 3’ bL&lt;‚ bP 3’3&lt;‚3P&lt;’ b_&lt;‚ bP&lt;’3&lt;‚3P&lt;’4&lt;‚4P&lt;’3&lt;‚3P&lt;’4&lt;‚4P&lt;’3&lt;‚3P&lt;’ ax‚ aP 3’ Z_&lt;‚ ZP 3’ Z_&lt;‚ ZP 3’ Z_&lt;‚ ZP 3’ Z_&lt;‚ ZP 3’ Z_&lt;‚ ZP 3’ Z_&lt;‚ ZP 3’ Z_&lt;‚ ZP 3’ Z_&lt;‚ ZP 3’ ]_&lt;‚ ]P 3’ ]&lt;‚ ]P 3’6&lt;‚6P 3’ d&lt;‚ dP 3’6&lt;‚6P 3’ ]&lt;‚ ]P 3’6&lt;‚6P 3’ d&lt;‚ dP 3’6&lt;‚6P&lt;’ dx‚ dP 3’=_ 36_ fe_&lt;‚=P 36P feP&lt;’6_ fe_&lt;‚6P feP&lt;’=_ 36_ fe_&lt;‚=P 36P feP&lt;’6_ fe_&lt;‚6P feP&lt;’=_ 36_ fe_&lt;‚=P 36P feP&lt;’ ex‚ eP 3’8x‚8P 3’8x‚8P 3’9x‚9P 3’9x‚9P 3’6&lt;‚6P 3’ e_&lt;‚ eP 3’6&lt;‚6P 3’ e&lt;‚ eP 3’6&lt;‚6P 3’ e_&lt;‚ eP 3’6&lt;‚6P 3’ e&lt;‚ eP 3’6&lt;‚6P&lt;’7&lt;‚7P&lt;’6 f]_&lt;‚6P f]P&lt;’ d f]_&lt;‚ dP f]P&lt;’7 f^_&lt;‚7P f^P&lt;’ e f^_&lt;‚ eP f^P&lt;’6 f]_&lt;‚6P f]P&lt;’ dx‚ dP 3’6_x‚6P 3’6_x‚6P 3’ d_x‚ dP 3’ d_x‚ dP 3’ ]_&lt;‚ ]P 3’ ]&lt;‚ ]P 3’6&lt;‚6P 3’ d&lt;‚ dP 3’6&lt;‚6P 3’ ]&lt;‚ ]P 3’6&lt;‚6P 3’ d&lt;‚ dP 3’6&lt;‚6P&lt;’ dx‚ dP 3’=_ 36_ fe_&lt;‚=P 36P feP&lt;’6_ fe_&lt;‚6P feP&lt;’=_ 36_ fe_&lt;‚=P 36P feP&lt;’6_ fe_&lt;‚6P feP&lt;’=_ 36_ fe_&lt;‚=P 36P feP&lt;’ ex‚ eP 3’8x‚8P 3’8x‚8P 3’9x‚9P 3’9x‚9P 3’6&lt;‚6P 3’ e_&lt;‚ eP 3’6&lt;‚6P 3’ e&lt;‚ eP 3’6&lt;‚6P 3’ e_&lt;‚ eP 3’6&lt;‚6P 3’ e&lt;‚ eP 3’6&lt;‚6P&lt;’7&lt;‚7P&lt;’6 f]_&lt;‚6P f]P&lt;’ d f]_&lt;‚ dP f]P&lt;’7 f^_&lt;‚7P f^P&lt;’ e f^_&lt;‚ eP f^P&lt;’6 f]_&lt;‚6P f]P&lt;’ dx‚ dP 3’6_x‚6P 3’6_x‚6P 3’ d_x‚ dP 3’ d_x‚ dP 3я •3MTrk!3 CL 3я i&lt;Contacts: 3іd!3e!3 lr3г 3@ 3іe!3d gf9@ fY!3e 3d 3e!3d hf9@ 3e 3d 3Г ’3і"3 :H f=P 3]!3[!3\!3_ 3Ѓґ f:@ 3“Y eЌ CѓYP 3“Z e‰ cѓZP 3“Z e‡@ѓZP 3“X eѓ`ѓXP 3“V eѓ`ѓVP 3“U eЌ CѓUP 3“S e‰ cѓSP 3“Q eЏ 3ѓQP 3“Q e…PѓQP 3“P e‡@ѓ*P 3“U eЃpѓUP 3і :H 3“N 36_ fd_Ѓ4ѓ6P fdP&lt;“6_ fd_Ѓ4ѓ6P fdP&lt;“6_ fd_Ѓ4ѓ6P fdP&lt;“6_ fe_Ѓ4ѓ6P feP&lt;“6_ fe_Ѓ4ѓ6P feP&lt;“6_ fe_Ѓ4ѓ6P feP&lt;NP 3“=_ fe_Ѓ4ѓ=P feP&lt;“&gt;_ fe_Ѓ4ѓ&gt;P feP&lt;“O 36_ fc_Ѓ4ѓ6P fcP&lt;“7_ fc_Ѓ4ѓ7P fcP&lt;“6_ fc_Ѓ4ѓ6P fcP&lt;OP 3“N 36_ fd_Ѓ4ѓ6P fdP&lt;“7_ fd_Ѓ4ѓ7P fdP&lt;“6_ fd_Ѓ4ѓ6P fdP&lt;“9_ fd_Ѓ4ѓNP 39P fdP&lt;“6_ fd_Ѓ4ѓ6P fdP&lt;“N 36_ fd_Ѓ4ѓ6P fdP&lt;“6_ fd_Ѓ4ѓ6P fdP&lt;“6_ fd_Ѓ4ѓ6P fdP&lt;“6_ fe_Ѓ4ѓ6P feP&lt;“6_ fe_Ѓ4ѓ6P feP&lt;“6_ fe_Ѓ4ѓ6P feP&lt;NP 3“=_ fe_Ѓ4ѓ=P feP&lt;“&gt;_ fe_Ѓ4ѓ&gt;P feP&lt;“O 36_ fc_Ѓ4ѓ6P fcP&lt;“7_ fc_Ѓ4ѓ7P fcP&lt;“6_ fc_Ѓ4ѓOP 36P fcP&lt;“N 36_ fd_Ѓ4ѓ6P fdP&lt;“7_ fd_Ѓ4ѓ7P fdP&lt;“6_ fd_Ѓ4ѓ6P fdP&lt;“9_ fd_Ѓ4ѓNP 39P fdP&lt;“6_ fd_Ѓ4ѓ6P fdP&lt;“U 36_ fd_Ѓ4ѓ6P fdP&lt;“6_ fd_Ѓ4ѓ6P fdP&lt;“6_ fd_Ѓ4ѓ6P fdP&lt;“6_ fe_Ѓ4ѓ6P feP&lt;“6_ fe_Ѓ4ѓ6P feP&lt;“6_ fe_Ѓ4ѓ6P feP&lt;“=_ fe_Ѓ4ѓ=P feP&lt;“&gt;_ fe_Ѓ4ѓUP 3&gt;P feP&lt;“O 36_ fc_Ѓ4ѓ6P fcP&lt;“7_ fc_Ѓ4ѓ7P fcP&lt;“6_ fc_Ѓ4ѓOP 36P fcP&lt;“N 36_ fd_Ѓ4ѓ6P fdP&lt;“7_ fd_Ѓ4ѓ7P fdP&lt;“6_ fd_Ѓ4ѓ6P fdP&lt;“9_ fd_Ѓ4ѓ9P fdP&lt;NP 3“6_ fd_Ѓ4ѓ6P fdP&lt;“Q 36_ fd_Ѓ4ѓ6P fdP&lt;“6_ fd_Ѓ4ѓ6P fdP&lt;“6_ fd_Ѓ4ѓ6P fdP&lt;“6_ fe_Ѓ4ѓ6P feP&lt;“6_ fe_Ѓ4ѓ6P feP&lt;“6_ fe_Ѓ4ѓ6P feP&lt;“=_ fe_Ѓ4ѓ=P feP&lt;“&gt;_ fe_Ѓ4ѓQP 3&gt;P feP&lt;“O 36_ fc_Ѓ4ѓ6P fcP&lt;“7_ fc_Ѓ4ѓ7P fcP&lt;“6_ fc_Ѓ4ѓOP 36P fcP&lt;“N 36_ fd_Ѓ4ѓ6P fdP&lt;“7_ fd_Ѓ4ѓ7P fdP&lt;“6_ fd_Ѓ4ѓ6P fdP&lt;“9_ fd_Ѓ4ѓ9P fdP&lt;“6_ fd_Ѓ4ѓNP 36P fdP&lt;“T 39_ 34_Ѓ4ѓ9P 34P&lt;“9_ 34_Ѓ4ѓ9P 34P&lt;“9_ 34_Ѓ4ѓ9P 34P&lt;“9_ 35_Ѓ4ѓ9P 35P&lt;“9_ 35_Ѓ4ѓ9P 35P&lt;“9_ 35_Ѓ4ѓTP 39P 35P&lt;“@_ 35_Ѓ4ѓ@P 35P&lt;“A_ 35_Ѓ4ѓAP 35P&lt;“R 39_ 33_Ѓ4ѓ9P 33P&lt;“:_ 33_Ѓ4ѓ:P 33P&lt;“9_ 33_Ѓ4ѓRP 39P 33P&lt;“Q 39_ 34_Ѓ4ѓ9P 34P&lt;“:_ 34_Ѓ4ѓ:P 34P&lt;“9_ 34_Ѓ4ѓ9P 34P&lt;“&lt;_ 34_Ѓ4ѓ&lt;P 34P&lt;“9_ 34_Ѓ4ѓQP 39P 34P&lt;“X 39_ 34_Ѓ4ѓ9P 34P&lt;“9_ 34_Ѓ4ѓ9P 34P&lt;“9_ 34_Ѓ4ѓ9P 34P&lt;“9_ 35_Ѓ4ѓ9P 35P&lt;“9_ 35_Ѓ4ѓ9P 35P&lt;“9_ 35_Ѓ4ѓXP 39P 35P&lt;“@_ 35_Ѓ4ѓ@P 35P&lt;“A_ 35_Ѓ4ѓAP 35P&lt;“Y 39_ 33_Ѓ4ѓ9P 33P&lt;“:_ 33_Ѓ4ѓ:P 33P&lt;YP 3“9_ 33_Ѓ4ѓ9P 33P&lt;“X 39_ 34_Ѓ4ѓ9P 34P&lt;“:_ 34_Ѓ4ѓ:P 34P&lt;“9_ 34_Ѓ4ѓ9P 34P&lt;XP 3“&lt;_ 34_Ѓ4ѓ&lt;P 34P&lt;“9_ 34_Ѓ4ѓ9P 34P&lt;“T 39_ 34_Ѓ4ѓ9P 34P&lt;“9_ 34_Ѓ4ѓ9P 34P&lt;“9_ 34_Ѓ4ѓ9P 34P&lt;“9_ 35_Ѓ4ѓ9P 35P&lt;“9_ 35_Ѓ4ѓ9P 35P&lt;“9_ 35_Ѓ4ѓTP 39P 35P&lt;“@_ 35_Ѓ4ѓ@P 35P&lt;“A_ 35_Ѓ4ѓAP 35P&lt;“R 39_ 33_Ѓ4ѓ9P 33P&lt;“:_ 33_Ѓ4ѓ:P 33P&lt;“9_ 33_Ѓ4ѓRP 39P 33P&lt;“Q 39_ 34_Ѓ4ѓ9P 34P&lt;“:_ 34_Ѓ4ѓ:P 34P&lt;“9_ 34_Ѓ4ѓQP 39P 34P&lt;“&lt;_ 34_Ѓ4ѓ&lt;P 34P&lt;“9_ 34_Ѓ4ѓ9P 34P&lt;“T 39_ 34_Ѓ4ѓ9P 34P&lt;“9_ 34_Ѓ4ѓ9P 34P&lt;“9_ 34_Ѓ4ѓ9P 34P&lt;“9_ 35_Ѓ4ѓ9P 35P&lt;“9_ 35_Ѓ4ѓ9P 35P&lt;“9_ 35_Ѓ4ѓTP 39P 35P&lt;“@_ 35_Ѓ4ѓ@P 35P&lt;“A_ 35_Ѓ4ѓAP 35P&lt;“Y 39_ 33_Ѓ4ѓ9P 33P&lt;“:_ 33_Ѓ4ѓ:P 33P&lt;“9_ 33_Ѓ4ѓYP 39P 33P&lt;“X 39_ 34_Ѓ4ѓ9P 34P&lt;“;_ 34_Ѓ4ѓ;P 34P&lt;“9_ 34_Ѓ4ѓXP 39P 34P&lt;“=_ 34_Ѓ4ѓ=P 34P&lt;“9_ 34_Ѓ4ѓ9P 34P&lt;“&lt;o 37oЃ4ѓ&lt;P 37P&lt;“&lt;o 37oЃ4ѓ&lt;P 37P&lt;“&lt;o 37oЃ4ѓ&lt;P 37P&lt;“&lt;o 38oЃ4ѓ&lt;P 38P&lt;“&lt;o 38oЃ4ѓ&lt;P 38P&lt;“&lt;o 38oЃ4ѓ&lt;P 38P&lt;“Co 38oЃ4ѓCP 38P&lt;“Do 38oЃ4ѓDP 38P&lt;“&lt;o 36oЃ4ѓ&lt;P 36P&lt;“=o 36oЃ4ѓ=P 36P&lt;“&lt;o 36oЃ4ѓ&lt;P 36P&lt;“&lt;o 37oЃ4ѓ&lt;P 37P&lt;“=o 37oЃ4ѓ=P 37P&lt;“&lt;o 37oЃ4ѓ&lt;P 37P&lt;“?o 37_Ѓ4ѓ?P 37P&lt;“&lt;o 37oЃ4ѓ&lt;P 37P&lt;“&lt;o 37oЃ4ѓ&lt;P 37P&lt;“&lt;o 37oЃ4ѓ&lt;P 37P&lt;“&lt;o 37oЃ4ѓ&lt;P 37P&lt;“&lt;o 38oЃ4ѓ&lt;P 38P&lt;“&lt;o 38oЃ4ѓ&lt;P 38P&lt;“&lt;o 38oЃ4ѓ&lt;P 38P&lt;“Co 38oЃ4ѓCP 38P&lt;“Do 38oЃ4ѓDP 38P&lt;“&lt;o 36oЃ4ѓ&lt;P 36P&lt;“=o 36oЃ4ѓ=P 36P&lt;“&lt;o 36oЃ4ѓ&lt;P 36P&lt;“&lt;o 37oЃ4ѓ&lt;P 37P&lt;“&gt;o 37oЃ4ѓ&gt;P 37P&lt;“&lt;o 37oЃ4ѓ&lt;P 37P&lt;“?o 37oЃ4ѓ?P 37P&lt;“&lt;o 37oЃ4ѓ&lt;P 37P&lt;“&lt;o 37oЃ4ѓ&lt;P 37P&lt;“&lt;o 37oЃ4ѓ&lt;P 37P&lt;“&lt;o 37oЃ4ѓ&lt;P 37P&lt;“&lt;o 38oЃ4ѓ&lt;P 38P&lt;“&lt;o 38oЃ4ѓ&lt;P 38P&lt;“&lt;o 38oЃ4ѓ&lt;P 38P&lt;“Co 38oЃ4ѓCP 38P&lt;“Do 38oЃ4ѓDP 38P&lt;“&lt;o 36oЃ4ѓ&lt;P 36P&lt;“=o 36oЃ4ѓ=P 36P&lt;“&lt;o 36oЃ4ѓ&lt;P 36P&lt;“&lt;o 37oЃ4ѓ&lt;P 37P&lt;“=o 37oЃ4ѓ=P 37P&lt;“&lt;o 37oЃ4ѓ&lt;P 37P&lt;“?o 37oЃ4ѓ?P 37P&lt;“&lt;o 37oЃ4ѓ&lt;P 37P&lt;“&lt;o 37oЃ4ѓ&lt;P 37P&lt;“&lt;o 37oЃ4ѓ&lt;P 37P&lt;“&lt;o 37oЃ4ѓ&lt;P 37P&lt;“&lt;o 38oЃ4ѓ&lt;P 38P&lt;“&lt;o 38oЃ4ѓ&lt;P 38P&lt;“&lt;o 38oЃ4ѓ&lt;P 38P&lt;“Co 38oЃ4ѓCP 38P&lt;“Do 38oЃ4ѓDP 38P&lt;“&lt;o 36oЃ4ѓ&lt;P 36P&lt;“=o 36oЃ4ѓ=P 36P&lt;“&lt;o 36oЃ4ѓ&lt;P 36P&lt;“&lt;o 37oЃ4ѓ&lt;P 37P&lt;“&gt;o 37oЃ4ѓ&gt;P 37P&lt;“&lt;o 37oЃ4ѓ&lt;P 37P&lt;“@o 37oЃ4ѓ@P 37P&lt;“&lt;o 37oЃ4ѓ&lt;P 37P&lt;“? 3:Ѓ4ѓ?P 3:P&lt;“? 3:Ѓ4ѓ?P 3:P&lt;“? 3:Ѓ4ѓ?P 3:P&lt;“? 3;Ѓ4ѓ?P 3;P&lt;“? 3;Ѓ4ѓ?P 3;P&lt;“? 3;Ѓ4ѓ?P 3;P&lt;“F 3;Ѓ4ѓFP 3;P&lt;“G 3;Ѓ4ѓGP 3;P&lt;“? 39Ѓ4ѓ?P 39P&lt;“@ 39Ѓ4ѓ@P 39P&lt;“? 39Ѓ4ѓ?P 39P&lt;“? 3:Ѓ4ѓ?P 3:P&lt;“@ 3:Ѓ4ѓ@P 3:P&lt;“? 3:Ѓ4ѓ?P 3:P&lt;“B 3:Ѓ4ѓBP 3:P&lt;“? 3:Ѓ4ѓ?P 3:P&lt;“? 3:Ѓ4ѓ?P 3:P&lt;“? 3:Ѓ4ѓ?P 3:P&lt;“? 3:Ѓ4ѓ?P 3:P&lt;“; 3?Ѓ4ѓ;P 3?P&lt;“; 3?Ѓ4ѓ;P 3?P&lt;“; 3?Ѓ4ѓ;P 3?P&lt;“F 3;Ѓ4ѓFP 3;P&lt;“G 3;Ѓ4ѓGP 3;P&lt;“? 39Ѓ4ѓ?P 39P&lt;“@ 39Ѓ4ѓ@P 39P&lt;“&gt; 39Ѓ4ѓ&gt;P 39P&lt;“? 3:Ѓ4ѓ?P 3:P&lt;“@ 3:Ѓ4ѓ@P 3:P&lt;“? 3:Ѓ4ѓ?P 3:P&lt;“C 3:Ѓ4ѓCP 3:P&lt;“? 3:Ѓ4ѓ?P 3:P&lt;“B_ 3=_xѓBP 3=Px“B 3=xѓBP 3=Px“B 3=xѓBP 3=Px“B 3&gt;Ѓ4ѓBP 3&gt;P&lt;“B 3&gt;Ѓ4ѓBP 3&gt;P&lt;“B 3&gt;Ѓ4ѓBP 3&gt;P&lt;“I 3&gt;Ѓ4ѓIP 3&gt;P&lt;“J 3&gt;Ѓ4ѓJP 3&gt;P&lt;“B_ 3&lt;_xѓBP 3&lt;Px“C 3&lt;xѓCP 3&lt;Px“B 3&lt;xѓBP 3&lt;Px“B 3=Ѓ4ѓBP 3=P&lt;“B 3=Ѓ4ѓBP 3=P&lt;“B 3=Ѓ4ѓBP 3=P&lt;“F_ 3=_ЃpѓFP 3=P 3“B_ 3=_ЃpѓBP 3=P 3“B_ 3=_xѓBP 3=Px“B_ 3=_xѓBP 3=Px“B_ 3=_xѓBP 3=Px“B 3&gt;Ѓ4ѓBP 3&gt;P&lt;“B 3&gt;Ѓ4ѓBP 3&gt;P&lt;“B 3&gt;Ѓ4ѓBP 3&gt;P&lt;“I 3&gt;Ѓ4ѓIP 3&gt;P&lt;“J 3&gt;Ѓ4ѓJP 3&gt;P&lt;“B_ 3&lt;_xѓBP 3&lt;Px“C 3&lt;Ѓ4ѓCP 3&lt;P&lt;“B 3&lt;Ѓ4ѓBP 3&lt;P&lt;“B_ 3=_ЃpѓBP 3=P 3“D 3=Ѓ4ѓDP 3=P&lt;“B 3=Ѓ4ѓBP 3=P&lt;“F_ 3=_ЃpѓFP 3=P 3“B_ 3=_ЃpѓBP 3=P 3я •3MTrk!3 7Э 3я iCDaveVsZi*gy@i aua 3ґd!3e!3 lr3д 3@ 3ґe!3d gf9@ fY!3e 3d 3e!3d hf9@ 3e 3d 3Дk 3ґ"3 :H fpЋ3]!3[!3\!3_!3” ђeЏ 3„ ]P 3” ђeЏ 3„ ]P 3” ђeЏ 3„ ]P 3” ђeЏ 3„ ]P 3”6_ fђeѓ`6 eѓ`„6P f]P 36P 3” e_ fђeѓ`„ eP 3”!eѓ`„ ]P feP 3”:_ fђeѓ`: eѓ`„:P f]P 3:P 3”4_ fђeѓ`„4P 3”4 eѓ`„ ]P 34P 3”6_ fђeѓ`6 eѓ`„6P f]P 36P 3” e_ fђeѓ`„ eP 3”!eѓ`„ ]P feP 3”:_ fђeѓ`: eѓ`„:P f]P 3:P 3”4_ fђeѓ`„4P 3”4 eѓ`„ ]P 34P 3”9_ f`_ѓ`„9P f`P 3”9_ f`_ѓ`„9P f`P 3”8_ f__ѓ`„8P f_P 3”;_ f__ѓ`„;P f_P 3”9_ f`_ѓ`„9P f`P 3”;_ f`_ѓ`„;P f`P 3”&lt;_ f__ѓ`„&lt;P f_P 3”;_ f__ѓ`„;P f_P 3”9_ f`_ѓ`„9P f`P 3”9_ f`_ѓ`„9P f`P 3”8_ f__ѓ`„8P f_P 3”5_ѓ`„5P 3”9_ f`_ѓ`„9P f`P 3”;_ f`_ѓ`„;P f`P 3”&lt;_ f__ѓ`„&lt;P f_P 3”;_ f__ѓ`„;P f_P 3” dOѓ`„ dP‰ c” `_ѓ`„ `P…P”3_‡@„3P 3”4O‡@„4P 3” dO…P„ dP 3” dO‡@„ dP 3” eO‡@„ eP 3” dOЃp„ dP 3” eO…P„ eP 3”3O„ O„3P… G” dO…P„ dP 3” bO„ O„ bP… G” `OЏ 3„ `P 3”7O…P„7P 3”6O‰ c„6P 3”9O…P„9P 3”6O‰ c„6P 3”7O…P„7P 3”6O‰ c„6P 3”9O…P„9P 3”6O‰ c„6P 3”7O…P„7P 3”6O‰ c„6P 3”9O…P„9P 3”=_‰ c„=P 3”7O…P„7P 3”6O‰ c„6P 3”&lt;O…P„&lt;P 3”9O‰ c„9P 3”:O…P„:P 3”9O‰ c„9P 3”&lt;O…P„&lt;P 3”9O‰ c„9P 3”:O…P„:P 3”9O‰ c„9P 3”&lt;O…P„&lt;P 3”9O‰ c„9P 3”:O…P„:P 3”9O‰ c„9P 3”&lt;O…P„&lt;P 3”&lt;_‰ c„&lt;P 3”:O…P„:P 3”9O‰ c„9P 3”?O…P„?P 3”&lt;O‡@„&lt;PЃp”=O…P„=P 3”&lt;O‡@„&lt;PЃp”?O…P„?P 3”&lt;O‡@„&lt;PЃp”=O…P„=P 3”&lt;O‡@„&lt;PЃp”?O…P„?P 3”&lt;O‡@„&lt;PЃp”=O…P„=P 3”&lt;O‡@„&lt;PЃp”?O…P„?P 3”CO‡@„CPЃp”=O…P„=P 3”&lt;O‡@„&lt;PЃp”BO…P„BP 3”?O‡@„?PЃp”@O…P„@P 3”?O‡@„?PЃp”BO…P„BP 3”?O‡@„?PЃp”@O…P„@P 3”?O‡@„?PЃp”EO…P„EP 3”BO‡@„BPЃp”CO…P„CP 3”BO‡@„BPЃp”EO…P„EP 3”IO‡@„IPЃp”CO…P„CP 3”BO‡@„BP 3я •3MTrk!3 &gt;й 3я 6!3µd!3e!3 lr3е 3@ 3µe!3d gf9@ fY!3e 3d 3e!3d hf9@ 3e 3d 3ЕK 3µ"3 :h f=@ 3]!3[!3\!3_!3• ]O‡ 7… ]P‡|• ]O‡ 7… ]P‡|• ]O‡ 7… ]P‡|• ]O‡ 7… ]P‡|• ]OЃp X_Ѓp… ]P fXP 3• ]OЃp… ]P 3• `OЃp… `P 3• ]OЃp Y_Ѓp… YP 3• X_Ѓp… ]P fXP 3• Y_Ѓp… YP 3• ]OЃp XOЃp… ]P fXP 3• ]OЃp… ]P 3• `OЃp… `P 3• ]OЃp… ]P 3• YOЃp… YP 3• bOЃp… bP 3• `OЃp… `P 3• ]OЃp XOЃp… ]P fXP 3• ]OЃp… ]P 3• `OЃp… `P 3• ]OЃp YOЃp… YP 3• XOЃp… ]P fXP 3• YOЃp… YP 3• ]OЃp XOЃp… ]P fXP 3• bOЃp… bP 3• `OЃp… `P 3• dOЃp… dP 3• bOЃp… bP 3• `OЃp… `P 3• _OЃp… _P 3• `Ox… `P 3• “ex… `P 3• `Ox… `P 3• “ex… `P 3• _Ox… _P 3• “ex… `P 3• `Ox… `P 3• “ex… `P 3• cOx… cP 3• “ex… `P 3• `Ox… `P 3• ’ex… _P 3• _Ox… _P 3• “ex… `P 3• bOx… bP 3• ’ex… _P 3• `Ox… `P 3• “ex… `P 3• `Ox… `P 3• “ex… `P 3• _Ox… _P 3• “ex… `P 3• `Ox… `P 3• “ex… `P 3• cOx… cP 3• ’ex… _P 3• _Ox… _P 3• ’ex… _P 3• _Ox… _P 3• “ex… `P 3• bOx… bP 3• ’ex… _P 3• `Ox… `P 3• “ex… `P 3• `Ox… `P 3• “ex… `P 3• _Ox… _P 3• “ex… `P 3• `Ox… `P 3• “ex… `P 3• cOx… cP 3• “ex… `P 3• `Ox… `P 3• “ex… `P 3• _Ox… _P 3• “ex… `P 3• bOx… bP 3• ’ex… _P 3• cOx… cP 3• –ex… cP 3• cOx… cP 3• –ex… cP 3• eOx… eP 3• –ex… cP 3• cOx… cP 3• –ex… cP 3• cOx… cP 3• ’ex… _P 3• cOx… cP 3• ’ex… _P 3• b_x… bP 3• ’ex… _P 3• b_x… bP 3• ’ex… _P 3•=O 35O f—eѓ`…=P 35P fdP 3•9O 36Oѓ`…9P 36P 3•;O 35O…P…;P 35P 3•9O feO‰ c…9P feP 3•9O 33O…P…9P 3•;OЃp…3P 3;P 3•8O feOѓ`…8P feP 3•7O fbOѓ`…7P fbP 3•6O fdO…P…6P fdP 3•5O fdO‡@…5P fdP 3•6O fbOѓ`…6P fbP 3•8O fbOѓ`…8P fbP 3• dOЃp… dP 3•9O feO…P…9P feP 3•9O 33O‰ c…9P 33P 3•9O 34O…P…9P 34P 3•8O feO‡@…8P feP 3•=O 35O fdOЃp…=P 35P fdP 3•6O fdO…P…6P fdP 3•6O feO…P…6P feP 3•8OЃp…8P 3•9OЃp…9P 3•7O fcO…P…7P fcP 3•6O fdO…P…6P fdP 3•=OЃp…=P 3•:OЃp…:P 3•6O fdO…P…6P fdP 3•6O feO…P…6P feP 3•8OЃp…8P 3•9OЃp…9P 3•7O fcO…P…7P fcP 3•6O fdO…P…6P fdP 3•=OЃp…=P 3•:OЃp…:P 3•9O fdO…P…9P fdP 3•9O feO…P…9P feP 3•8OЃp…8P 3•9OЃp…9P 3•7O fcO…P…7P fcP 3•6O fdO…P…6P fdP 3•=OЃp…=P 3•:OЃp…:P 3•6O fdO…P…6P fdP 3•6O feO…P…6P feP 3•8OЃp…8P 3•9OЃp…9P 3•7O fcO…P…7P fcP 3•6_ fd_…P…6P fdP 3•:OЃp…:P 3•6_Ѓp…6P 3•4O 39O…P…4P 39P 3•9O 35O…P…9P 35P 3•;OЃp…;P 3•&lt;OЃp…&lt;P 3•:O 33O…P…:P 33P 3•9O 34O…P…9P 3•@OЃp…@P 3•=OЃp…4P 3=P 3•9O 34O…P…9P 34P 3•9O 35O…P…9P 35P 3•;OЃp…;P 3•&lt;OЃp…&lt;P 3•:O 33O…P…:P 33P 3•9O 34O…P…9P 3•@OЃp…@P 3•=OЃp…4P 3=P 3•&lt;O 34O…P…&lt;P 34P 3•&lt;O 35O…P…&lt;P 3•;OЃp…;P 3•&lt;OЃp…5P 3&lt;P 3•:O 33O…P…:P 33P 3•9O 34O…P…9P 3•@OЃp…@P 3•=OЃp…4P 3=P 3•9O 34O…P…9P 34P 3•9O 35O…P…9P 35P 3•;OЃp…;P 3•&lt;OЃp…&lt;P 3•:O 33O…P…:P 33P 3•@O 39O 34O…P…@P 39P 34P 3•=OЃp…=P 3•9OЃp…9P 3•O? 3&lt;O 37O…P…&lt;P 37P 3•8_ 3&lt;_…P…8P 3&lt;P 3•&gt;_Ѓp…&gt;P 3•?_ 3?_Ѓp…OP 3?P 3?P 3•N? 3=O 36O…P…NP 3=P 36P 3•O? 3&lt;O 37O…P…OP 3&lt;P 37P 3•COЃp…CP 3•@OЃp…@P 3•O? 3&lt;O 37O…P…&lt;P 37P 3•&lt;O 38O…P…&lt;P 38P 3•&gt;OЃp…&gt;P 3•?OЃp…OP 3?P 3•P Њ3&lt;O 36O…P…*P 3&lt;P 36P 3•O Њ3&lt;O 37O…P…OP 3&lt;P 37P 3•COЃp…CP 3•@OЃp…@P 3•O? 3&lt;O 37O…P…OP 3&lt;P 37P 3•P 38_ 3&lt;_…P…8P 3&lt;P 3•&gt;_Ѓp…&gt;P 3•?_ 3?_Ѓp…*P 3?P 3?P 3•N? 3=O 36O…P…NP 3=P 36P 3•O? 3&lt;O 37O…P…OP 3&lt;P 37P 3•COЃp…CP 3•@OЃp…@P 3•O? 3&lt;O 37O…P…&lt;P 37P 3•&lt;_ 38_…P…&lt;P 38P 3•&gt;OЃp…&gt;P 3•?_Ѓp…OP 3?P 3•N 3=_ 36_ѓ`…=P 36P 3•&lt;_Ѓp…NP 3&lt;P 3•O 3H f–e…P…OP 3•@OЃp…HP 3@P 3•&lt;_Ѓp… cP 3&lt;P 3µ :` 3•K_ 3?O 3:Ox…KP 3•K_‚h…KP 3•I_Ѓp…?P 3:P 3IP 3•K_ 3?_ 3;_…P…KP 3?P 3;P 3•A_Ѓp…AP 3•B_Ѓp…BP 3•L_ 3@O 39Ox…LP 3•L_‚h…LP 3•J_Ѓp…@P 39P 3JP 3•K_ 3?O 3:O…P…KP 3?P 3:P 3•F_Ѓp…FP 3•C_Ѓp…CP 3•K_ 3?O 3:Ox…KP 3•K_Ѓp…KP 3•I_Ѓp…IP 3•K_x…?P 3:P 3•?O 3;O…P…KP 3?P 3•A_Ѓp…AP 3•B_Ѓp…;P 3BP 3•L_ 3?O 39Ox…LP 3•L_Ѓp…LP 3•J_Ѓp…JP 3•K_x…?P 39P 3•?O 3:O…P…KP 3•FOЃp…FP 3•COЃp…?P 3:P 3CP 3•I_ 3EO 3=Ox…IP 3•I_Ѓp…IP 3•G_Ѓp…GP 3•I_x…EP 3=P 3•EO 3&gt;O…P…IP 3EP 3•DOЃp…DP 3•EOЃp…&gt;P 3EP 3•HO 3CO 3&lt;Ox…HP 3•HOЃp…HP 3•EOЃp…EP 3•IOx…CP 3&lt;P 3•BO 3=O…P…IP 3BP 3•F_Ѓp…FP 3•B_Ѓp…=P 3BP 3•IO 3BO 3=Ox…IP 3•IOЃp…IP 3•GOЃp…GP 3•IOx…BP 3=P 3•BO 3&gt;O…P…IP 3BP 3•DOЃp…DP 3•EOЃp…&gt;P 3EP 3•H_ 3C_ 3&lt;_…P…HP 3CP 3&lt;P 3•I_ 3B_ 3=_…P…BP 3=P 3•:_Ѓp…:P 3•6OЃp…IP 36P 3я •3MTrk!3 &gt;± 3я 6!3¶d!3e!3 lr3ж 3@ 3¶e!3d gf9@ fY!3e 3d 3e!3d hf9@ 3e 3d 3Жl 3¶"3 :H fpЋ3]!3[!3\!3_ 3‚Ћ 3–6_&lt;†6P… G– e_&lt;† eP&lt;– e_&lt;† eP&lt;– d_&lt;† dP&lt;– e_&lt;† eP&lt;–4_&lt;†4P&lt;– e_&lt;† eP‰l– d_&lt;† dP&lt;– d_&lt;† dP&lt;– c_&lt;† cP&lt;– d_&lt;† dP&lt;– c_&lt;† cP&lt;–6_&lt;†6P„ O–6_&lt;†6P… G– e_&lt;† eP&lt;– e_&lt;† eP&lt;– d_&lt;† dP&lt;– e_&lt;† eP&lt;–4_&lt;†4P&lt;– e_&lt;† eP‰l– d_&lt;† dP&lt;– d_&lt;† dP&lt;– c_&lt;† cP&lt;– d_&lt;† dP&lt;– c_&lt;† cP&lt;–6_&lt;†6P„ O–6_&lt;†6P… G– e_&lt;† eP&lt;– e_&lt;† eP&lt;– d_&lt;† dP&lt;– e_&lt;† eP&lt;–4_&lt;†4P&lt;– e_&lt;† eP‰l– d_&lt;† dP&lt;– d_&lt;† dP&lt;– c_&lt;† cP&lt;– d_&lt;† dP&lt;– c_&lt;† cP&lt;–6_&lt;†6P„ O–6_&lt;†6P… G– e_&lt;† eP&lt;– e_&lt;† eP&lt;– d_&lt;† dP&lt;– e_&lt;† eP&lt;–4_&lt;†4P&lt;– e_&lt;† eP‰l– d_&lt;† dP&lt;– d_&lt;† dP&lt;– c_&lt;† cP&lt;– d_&lt;† dP&lt;– c_&lt;† cP&lt;–6_&lt;†6P„ O–9_&lt;†9P… G–5_&lt;†5P&lt;–5_&lt;†5P&lt;–4_&lt;†4P&lt;–5_&lt;†5P&lt;–7_&lt;†7P&lt;–5_&lt;†5P‰l–4_&lt;†4P&lt;–4_&lt;†4P&lt;–3_&lt;†3P&lt;–4_&lt;†4P&lt;–3_&lt;†3P&lt;–9_&lt;†9P„ O–9_&lt;†9P… G–5_&lt;†5P&lt;–5_&lt;†5P&lt;–4_&lt;†4P&lt;–5_&lt;†5P&lt;–7_&lt;†7P&lt;–5_&lt;†5P‰l–4_&lt;†4P&lt;–4_&lt;†4P&lt;–3_&lt;†3P&lt;–4_&lt;†4P&lt;–3_&lt;†3P&lt;–9_&lt;†9P„ O–9_&lt;†9P… G–5_&lt;†5P&lt;–5_&lt;†5P&lt;–4_&lt;†4P&lt;–5_&lt;†5P&lt;–7_&lt;†7P&lt;–5_&lt;†5P‰l–4_&lt;†4P&lt;–4_&lt;†4P&lt;–3_&lt;†3P&lt;–4_&lt;†4P&lt;–3_&lt;†3P&lt;–9_&lt;†9P„ O–9_&lt;†9P… G–5_&lt;†5P&lt;–5_&lt;†5P&lt;–4_&lt;†4P&lt;–5_&lt;†5P&lt;–7_&lt;†7P&lt;–5_&lt;†5P‰l–4_&lt;†4P&lt;–4_&lt;†4P&lt;–3_&lt;†3P&lt;–4_&lt;†4P&lt;–3_&lt;†3P&lt;–9_&lt;†9P„ O–&lt;o&lt;†&lt;P&lt;–&lt;_&lt;†&lt;P&lt;–;_&lt;†;P&lt;–&lt;_&lt;†&lt;P‚ _–8o&lt;†8P&lt;–8o&lt;†8P&lt;–7o&lt;†7P&lt;–8o&lt;†8P&lt;–:o&lt;†:P&lt;–8o&lt;†8P„ O–=_&lt;†=P&lt;–=_&lt;†=P&lt;–:_&lt;†:P&lt;–=_&lt;†=P‚ _–7o&lt;†7P&lt;–7o&lt;†7P&lt;–6o&lt;†6P&lt;–7o&lt;†7P&lt;–6o&lt;†6P&lt;–&lt;o&lt;†&lt;P„ O–&lt;o&lt;†&lt;P&lt;–&lt;_&lt;†&lt;P&lt;–:_&lt;†:P&lt;–&lt;_&lt;†&lt;P‚ _–8o&lt;†8P&lt;–8o&lt;†8P&lt;–7o&lt;†7P&lt;–8o&lt;†8P&lt;–:o&lt;†:P&lt;–8o&lt;†8P„ O–=_&lt;†=P&lt;–=_&lt;†=P&lt;–&lt;_&lt;†&lt;P&lt;–=_&lt;†=P‚ _–7o&lt;†7P&lt;–7o&lt;†7P&lt;–6o&lt;†6P&lt;–7o&lt;†7P&lt;–6o&lt;†6P&lt;–&lt;o&lt;†&lt;P„ O–&lt;o&lt;†&lt;P&lt;–&lt;_&lt;†&lt;P&lt;–&lt;_&lt;†&lt;P 3–:_&lt;†:P 3–&lt;_&lt;†&lt;P‚ _–8o&lt;†8P&lt;–8o&lt;†8P&lt;–7o&lt;†7P&lt;–8o&lt;†8P&lt;–:o&lt;†:P&lt;–8o&lt;†8P„ O–6_&lt;†6P&lt;–6_&lt;†6P&lt;–5_&lt;†5P&lt;–8_&lt;†8P‚ _–7o&lt;†7P&lt;–7o&lt;†7P&lt;–6o&lt;†6P&lt;–7o&lt;†7P&lt;–6o&lt;†6P&lt;–&lt;o&lt;†&lt;P„ O–&lt;o&lt;†&lt;P 3–:_&lt;†:P 3–&lt;_&lt;†&lt;P&lt;–&lt;o&lt;†&lt;P 3–:o&lt;†:P 3–&lt;o&lt;†&lt;P‚ _–8o&lt;†8P&lt;–8o&lt;†8P&lt;–7o&lt;†7P&lt;–8o&lt;†8P&lt;–:o&lt;†:P&lt;–8o&lt;†8P„ O–=_&lt;†=P&lt;–=_&lt;†=P&lt;–:_&lt;†:P&lt;–=_x†=PЃp–7o&lt;†7P&lt;–7o&lt;†7P&lt;–6o&lt;†6P&lt;–7o&lt;†7P&lt;–6o&lt;†6P&lt;–&lt;o&lt;†&lt;P„ O–?&lt;†?P 3–&gt;o&lt;†&gt;P 3–?&lt;†?P 3–&gt;&lt;†&gt;P 3–?&lt;†?P 3–&gt;&lt;†&gt;P 3–?&lt;†?P 3–&gt;&lt;†&gt;P 3–?&lt;†?PЃ4–;&lt;†;P&lt;–;&lt;†;P&lt;–:&lt;†:P&lt;–;&lt;†;P&lt;–=&lt;†=P&lt;–;&lt;†;P&lt;–?&lt;†?P&lt;–?_&lt;†?P&lt;–A&lt;†AP 3–?&lt;†?P 3–&gt;&lt;†&gt;P 3–?&lt;†?P 3–@&lt;†@P 3–?&lt;†?P 3–@&lt;†@P 3–?&lt;†?P 3–@&lt;†@P 3–?&lt;†?P 3–@&lt;†@P 3–?&lt;†?P 3–@&lt;†@PЃ4–:&lt;†:P&lt;–:&lt;†:P&lt;–9&lt;†9P&lt;–:&lt;†:P&lt;–9&lt;†9P&lt;–?&lt;†?P&lt;–?&lt;†?P 3–?_&lt;†?P 3–?_&lt;†?P&lt;–7_&lt;†7P 3–7_&lt;†7P 3–7_&lt;†7P&lt;–?&lt;†?P 3–&gt;&lt;†&gt;P 3–?&lt;†?P 3–&gt;&lt;†&gt;P 3–?&lt;†?P 3–&gt;&lt;†&gt;P 3–?&lt;†?P 3–&gt;_&lt;†&gt;P 3–?_&lt;†?PЃ4–;&lt;†;P&lt;–;&lt;†;P&lt;–:&lt;†:P&lt;–;&lt;†;P&lt;–=&lt;†=P&lt;–;&lt;†;P„ O–@&lt;†@P 3–?&lt;†?P 3–@&lt;†@P 3–?_&lt;†?P 3–@_&lt;†@P 3–?_&lt;†?P 3–?&lt;†?P 3–@&lt;†@P 3–@&lt;†@PЃ4–:&lt;†:P&lt;–:&lt;†:P&lt;–9&lt;†9P&lt;–:&lt;†:P&lt;–9&lt;†9P&lt;–?&lt;†?P&lt;–?&lt;†?P 3–:&lt;†:P 3–9&lt;†9P 3–:&lt;†:P 3–?&lt;†?P 3–=&lt;†=P 3–B&lt;†BP 3–I&lt;†IP 3–B&lt;†BP 3–=&lt;†=P 3–=&lt;†=P 3–B&lt;†BP 3–=&lt;†=P 3–=&lt;†=P 3–A&lt;†AP 3–=&lt;†=P 3–B&lt;†BP 3–=&lt;†=P 3–=&lt;†=P 3–B&lt;†BP 3–&gt;&lt;†&gt;P&lt;–&gt;&lt;†&gt;P&lt;–=&lt;†=P&lt;–&gt;&lt;†&gt;P&lt;–@&lt;†@P&lt;–&gt;&lt;†&gt;P&lt;–&gt;&lt;†&gt;P 3–&gt;&lt;†&gt;P 3–@&lt;†@P 3–@&lt;†@P 3–B&lt;†BP 3–B&lt;†BP 3–D&lt;†DP 3–D&lt;†DP 3–E&lt;†EP 3–&gt;&lt;†&gt;P 3–&gt;&lt;†&gt;P 3–E_&lt;†EP 3–D_&lt;†DP 3–&gt;&lt;†&gt;P 3–D_&lt;†DP 3–&gt;_&lt;†&gt;P 3–E_&lt;†EPЃ4–=&lt;†=P&lt;–=&lt;†=P&lt;–&lt;&lt;†&lt;P&lt;–=&lt;†=P&lt;–&lt;&lt;†&lt;P&lt;–B&lt;†BP&lt;–6_&lt;†6P&lt;–6_&lt;†6P&lt;–:_&lt;†:P&lt;–:_&lt;†:P&lt;–B&lt;†BP 3–=&lt;†=P 3–=&lt;†=P 3–A&lt;†AP 3–=&lt;†=P 3–=&lt;†=P 3–A&lt;†AP 3–=&lt;†=P 3–B&lt;†BP&lt;–E_&lt;†EP&lt;–&gt;&lt;†&gt;P&lt;–&gt;&lt;†&gt;P&lt;–=&lt;†=P&lt;–&gt;&lt;†&gt;P&lt;–@&lt;†@P&lt;–&gt;&lt;†&gt;P&lt;–&gt;&lt;†&gt;P 3–&gt;&lt;†&gt;P 3–=_&lt;†=P 3–&gt;_&lt;†&gt;P 3–E&lt;†EP 3–&gt;&lt;†&gt;P 3–=&lt;†=P 3–&gt;&lt;†&gt;P 3–C&lt;†CP 3–&gt;&lt;†&gt;P 3–&gt;&lt;†&gt;P 3–B&lt;†BP 3–&gt;&lt;†&gt;P 3–&gt;&lt;†&gt;P 3–B&lt;†BP 3–&gt;&lt;†&gt;P 3–C&lt;†CP 3–&gt;&lt;†&gt;P 3–&gt;&lt;†&gt;P 3–C&lt;†CP 3–=&lt;†=P&lt;–=&lt;†=P&lt;–&lt;&lt;†&lt;P&lt;–=&lt;†=P&lt;–&lt;&lt;†&lt;P&lt;–B&lt;†BP&lt;–@_&lt;†@P&lt;–@_&lt;†@P&lt;–:_&lt;†:P&lt;–;&lt;†;P 3я •3MTrk!3 :г 3я 6!3·d!3e!3 lr3з 3@ 3·e!3d gf9@ fY!3e 3d 3e!3d hf9@ 3e 3d 3З t3·"3 :h f=X 3]!3[!3\!3_!3—6O‡@‡6P 3— eO‡@‡ eP 3—6O‡@‡6P 3— eO‡@‡ eP 3—6O‡@‡6P 3— eO‡@‡ eP 3—6O‡@‡6P 3— eO‡@‡ eP 3—6Oѓ`‡6P 3—6Oѓ`‡6P 3—6Oѓ`‡6P 3— eOѓ`‡ eP 3—6Oѓ`‡6P 3—6Oѓ`‡6P 3—6Oѓ`‡6P 3— eOѓ`‡ eP 3—6Oѓ`‡6P 3—6Oѓ`‡6P 3—6Oѓ`‡6P 3— eOѓ`‡ eP 3—6Oѓ`‡6P 3—8Oѓ`‡8P 3—6Oѓ`‡6P 3—8Oѓ`‡8P 3—9OxE ex‡EP 3—H ex‡HP 3—E ex‡9P 3EP 3—9Ox‡9P 3—E ex‡EP 3—H ex‡HP 3—E ex‡EP 3—8Ox‡8P 3—D ex‡DP 3—H ex‡HP 3—D ex‡DP 3—5Ox‡5P 3—D ex‡DP 3—G ex‡GP 3—D ex‡DP 3—9OxE ex‡EP 3—H ex‡HP 3—E ex‡9P 3EP 3—9Ox‡9P 3—E ex‡EP 3—H ex‡HP 3—E ex‡EP 3—8Ox‡8P 3—D ex‡DP 3—H ex‡HP 3—D ex‡DP 3—;_x‡;P 3—D ex‡DP 3—G ex‡GP 3—D ex‡DP 3—9OxE ex‡EP 3—H ex‡HP 3—E ex‡9P 3EP 3—9Ox‡9P 3—E ex‡EP 3—H ex‡HP 3—E ex‡EP 3—8Ox‡8P 3—D ex‡DP 3—H ex‡HP 3—D ex‡DP 3—;_x‡;P 3—D ex‡DP 3—G ex‡GP 3—D ex‡DP 3—&lt;_x‡&lt;P 3—E ex‡EP 3—H ex‡HP 3—E ex‡EP 3—&gt;_x‡&gt;P 3—E ex‡EP 3—H ex‡HP 3—E ex‡EP 3—?_x‡?P 3—D ex‡DP 3—H ex‡HP 3—D ex‡DP 3—;_x‡;P 3—D ex‡DP 3—G ex‡GP 3—D ex‡DP 3—=_Џ 3‡=P­ 3— eOЃp‡ eP 3— dOЃp‡ dP 3— eOЃp‡ eP 3—3Oѓ`‡3P 3—3 Y…P‡3P 3— dO…P‡ dP 3—5Oѓ`‡5P 3—5 Yѓ`‡5P 3—8OЃp‡8P 3—6O&lt;‡6P 3—9O&lt;‡9P 3—6O&lt;‡6PЌL—7O&lt;‡7P 3—;O&lt;‡;P 3—7O&lt;‡7P„ O—6O‡@‡6PЃp—6O&lt;‡6P 3—=O&lt;‡=P 3—:O&lt;‡:PЌL—7O&lt;‡7P 3—;O&lt;‡;P 3—7O&lt;‡7P„ O—=O‡@‡=PЃp—6O&lt;‡6P 3—9O&lt;‡9P 3—=O&lt;‡=PЌL—7O&lt;‡7P 3—;O&lt;‡;P 3—=O&lt;‡=P„ O—6O‰ c‡6P 3—6O&lt;‡6P 3—9O&lt;‡9P 3—6O&lt;‡6P 3— dLЃp‡ dP‚ _—=L‡@‡=PЃp—7O&lt;‡7P 3—;O&lt;‡;P 3—9O&lt;‡9P 3—4O&lt;‡4Pѓ`—9O 36Oѓ`‡9Pѓ`6PЃp—9_&lt;‡9P 3—&lt;_&lt;‡&lt;P 3—9_&lt;‡9P„ O—&lt;_‰ c‡&lt;P 3—:O&lt;‡:P 3—&gt;O&lt;‡&gt;P 3—:O&lt;‡:P„ O—9O‡@‡9PЃp—9_&lt;‡9P 3—@_&lt;‡@P 3—=_&lt;‡=P„ O—&lt;_‰ c‡&lt;P 3—:O&lt;‡:P 3—&gt;O&lt;‡&gt;P 3—:O&lt;‡:P„ O—@O‡@‡@PЃp—9_&lt;‡9P 3—&lt;_&lt;‡&lt;P 3—@_&lt;‡@P„ O—@_‰ c‡@P 3—:O&lt;‡:P 3—&gt;O&lt;‡&gt;P 3—@O&lt;‡@P„ O—9O‰ c‡9P 3—9O&lt;‡9P 3—&lt;O&lt;‡&lt;P 3—9O&lt;‡9P 3—4O‚ _‡4P‹ S—:O&lt;‡:P 3—&gt;O&lt;‡&gt;P 3—&lt;O&lt;‡&lt;P 3—7O&lt;‡7Pѓ`—&lt;O 39Oѓ`‡&lt;Pѓ`9PЃp—&lt;O&lt;‡&lt;P 3—?O&lt;‡?P 3—&lt;O&lt;‡&lt;PЌL—=O&lt;‡=P 3—AO&lt;‡AP 3—=O&lt;‡=P„ O—&lt;O‡@‡&lt;PЃp—&lt;O&lt;‡&lt;P 3—CO&lt;‡CP 3—@O&lt;‡@PЌL—=O&lt;‡=P 3—AO&lt;‡AP 3—=O&lt;‡=P„ O—CO‡@‡CPЃp—&lt;O&lt;‡&lt;P 3—?O&lt;‡?P 3—CO&lt;‡CPЌL—&lt;O&lt;‡&lt;P 3—BO&lt;‡BP 3—DO&lt;‡DP„ O—C_‰ c‡CP 3—&lt;O&lt;‡&lt;P 3—?O&lt;‡?P 3—&lt;O&lt;‡&lt;P 3—7O‚ _‡7P‹ S—=O&lt;‡=P 3—AO&lt;‡AP 3—?O&lt;‡?P 3—:O&lt;‡:Pѓ`—?O 3&lt;Oѓ`‡?Pѓ`&lt;PЃp—?_&lt;‡?P 3—B_&lt;‡BP 3—?_&lt;‡?P„ O—B_‰ c‡BP 3—@O&lt;‡@P 3—DO&lt;‡DP 3—@O&lt;‡@P„ O—?O‡@‡?PЃp—?_&lt;‡?P 3—F_&lt;‡FP 3—C_&lt;‡CP„ O—B_‰ c‡BP 3—@O&lt;‡@P 3—DO&lt;‡DP 3—@O&lt;‡@P„ O—FO‡@‡FPЃp—B_&lt;‡BP 3—E_&lt;‡EP 3—I_&lt;‡IP„ O—B_‰ c‡BP 3—CO&lt;‡CP 3—GO&lt;‡GP 3—IO&lt;‡IP„ O—BO‰ c‡BP 3—BO&lt;‡BP 3—EO&lt;‡EP 3—BO&lt;‡BP 3—=O‚ _‡=PЃp—B_‡@‡BPЃp—CO&lt;‡CP 3—GO&lt;‡GP 3—EO&lt;‡EP 3—@O&lt;‡@Pѓ`—EO 3BOѓ`‡EPѓ`BP 3я •3MTrk!3 =› 3я 6!3ёd!3e!3 lr3и 3@ 3ёe!3d gf9@ fY!3e 3d 3e!3d hf9@ 3e 3d 3И Ќ3ё"3 :h fp–3]!3[!3\!3_ 3ѓю 3 WO&lt;€ WP&lt; WO&lt;€ WP&lt; WO&lt;€ WP&lt; WO&lt;€ WP&lt; WO&lt;€ WP&lt; ROx€ RP 3 WO&lt;€ WP&lt; WO&lt;€ WP&lt; WO&lt;€ WP&lt; WO&lt;€ WP&lt; WO&lt;€ WP&lt; SOx€ SP 3 YOx€ YP 3 YOx€ YP 3 ZOx€ ZP 3 ZOx€ ZP 3 WO&lt;€ WP&lt; WO&lt;€ WP&lt; WO&lt;€ WP&lt; WO&lt;€ WP&lt; WO&lt;€ WP&lt; XO&lt;€ XP&lt; WO&lt;€ WP&lt; WO&lt;€ WP&lt; WO&lt;€ WP&lt; WO&lt;€ WP&lt; WO&lt;€ WP&lt; ROx€ RP 3 ^Ox€ ^P 3 ^Ox€ ^P 3 [Ox€ [P 3 [Ox€ [P 3 WO&lt;€ WP&lt; WO&lt;€ WP&lt; WO&lt;€ WP&lt; WO&lt;€ WP&lt; WO&lt;€ WP&lt; ROx€ RP 3 WO&lt;€ WP&lt; WO&lt;€ WP&lt; WO&lt;€ WP&lt; WO&lt;€ WP&lt; WO&lt;€ WP&lt; SOx€ SP 3 YOx€ YP 3 YOx€ YP 3 ZOx€ ZP 3 ZOx€ ZP 3 WO&lt;€ WP&lt; WO&lt;€ WP&lt; WO&lt;€ WP&lt; WO&lt;€ WP&lt; WO&lt;€ WP&lt; XO&lt;€ XP&lt; WO&lt;€ WP&lt; WO&lt;€ WP&lt; WO&lt;€ WP&lt; WO&lt;€ WP&lt; WO&lt;€ WP&lt; ROx€ RP 3 ^Ox€ ^P 3 ^Ox€ ^P 3 [Ox€ [P 3 [Ox€ [P 3 WO&lt;€ WP&lt; WO&lt;€ WP&lt; WO&lt;€ WP&lt; WO&lt;€ WP&lt; WO&lt;€ WP&lt; ROx€ RP 3 WO&lt;€ WP&lt; WO&lt;€ WP&lt; WO&lt;€ WP&lt; WO&lt;€ WP&lt; WO&lt;€ WP&lt; SOx€ SP 3 YOx€ YP 3 YOx€ YP 3 ZOx€ ZP 3 ZOx€ ZP 3 WO&lt;€ WP&lt; WO&lt;€ WP&lt; WO&lt;€ WP&lt; WO&lt;€ WP&lt; WO&lt;€ WP&lt; R_&lt;€ RP&lt; WO&lt;€ WP&lt; WO&lt;€ WP&lt; XO&lt;€ XP&lt; XO&lt;€ XP&lt; WO&lt;€ WP&lt; ROx€ RP 3 ^Ox€ ^P 3 ^Ox€ ^P 3 [Ox€ [P 3 [Ox€ [P 3 WO&lt;€ WP&lt; WO&lt;€ WP&lt; WO&lt;€ WP&lt; WO&lt;€ WP&lt; WO&lt;€ WP&lt; ROx€ RP 3 WO&lt;€ WP&lt; WO&lt;€ WP&lt; WO&lt;€ WP&lt; WO&lt;€ WP&lt; WO&lt;€ WP&lt; SOx€ SP 3 YOx€ YP 3 YOx€ YP 3 ZOx€ ZP 3 ZOx€ ZP 3 WO&lt;€ WP&lt; WO&lt;€ WP&lt; WO&lt;€ WP&lt; WO&lt;€ WP&lt; WO&lt;€ WP&lt; XO&lt;€ XP&lt; WO&lt;€ WP&lt; WO&lt;€ WP&lt; WO&lt;€ WP&lt; WO&lt;€ WP&lt; WO&lt;€ WP&lt; ROx€ RP 3 ^Ox€ ^P 3 ^Ox€ ^P 3 [Ox€ [P 3 [Ox€ [P 3 Z_&lt;€ ZP 3 U_&lt;€ UP 3 Z_&lt;€ ZP 3 €e&lt;€ UP 3 ZO&lt;€ ZP 3 ‡Y&lt;€ TP 3 ZO&lt;€ ZP 3 €Y&lt;€ UP 3 ZO&lt;€ ZP&lt; UOx€ UP 3 ZO&lt;€ ZP 3 V_&lt;€ VP 3 ZO&lt;€ ZP&lt; ZO&lt;€ ZP&lt; \O&lt;€ \P&lt; ZO&lt;€ ZP&lt; VOx€ VP 3 \O&lt;€ \P 3 \O&lt;€ \P 3 \O&lt;€ \P 3 \O&lt;€ \P 3 ]O&lt;€ ]P 3 ]O&lt;€ ]P 3 ]O&lt;€ ]P 3 ]O&lt;€ ]P 3 ZO&lt;€ ZP 3 T_&lt;€ TP 3 ZO&lt;€ ZP 3 ‡Y&lt;€ TP 3 ZO&lt;€ ZP 3 ‡Y&lt;€ TP 3 ZO&lt;€ ZP 3 VO&lt;€ VP 3 ZO&lt;€ ZP&lt; [O&lt;€ [P&lt; ZO&lt;€ ZP&lt; ZO&lt;€ ZP&lt; ZO&lt;€ ZP&lt; ZO&lt;€ ZP&lt; ZO&lt;€ ZP&lt; UOx€ UP 3 U_&lt;€ UP 3 U_&lt;€ UP 3 U_&lt;€ UP 3 U_&lt;€ UP 3 R_&lt;€ RP 3 R_&lt;€ RP 3 R_&lt;€ RP 3 R_&lt;€ RP 3 N_&lt;€ NP 3 UO&lt;€ UP 3 N_&lt;€ NP 3 UO&lt;€ UP 3 ZO&lt;€ ZP 3 T_&lt;€ TP 3 ZO&lt;€ ZP 3 UO&lt;€ UP 3 ZO&lt;€ ZP&lt; UOx€ UP 3 ZO&lt;€ ZP 3 V_&lt;€ VP 3 ZO&lt;€ ZP&lt; YO&lt;€ YP&lt; ZO&lt;€ ZP&lt; \O&lt;€ \P&lt; V_x€ VP 3 \O&lt;€ \P 3 \O&lt;€ \P 3 \O&lt;€ \P 3 \O&lt;€ \P 3 ]O&lt;€ ]P 3 ]O&lt;€ ]P 3 ]O&lt;€ ]P 3 ]O&lt;€ ]P 3 ZO&lt;€ ZP 3 VO&lt;€ VP 3 ZO&lt;€ ZP 3 ‰Y&lt;€ VP 3 ZO&lt;€ ZP 3 ‰Y&lt;€ VP 3 ZO&lt;€ ZP 3 V_&lt;€ VP 3 ZO&lt;€ ZP&lt; [O&lt;€ [P&lt; ZO&lt;€ ZP&lt; ZO&lt;€ ZP&lt; ZO&lt;€ ZP&lt; ZO&lt;€ ZP&lt; ZO&lt;€ ZP&lt; UOx€ UP 3 N_&lt;€ NP 3 N_&lt;€ NP 3 N_&lt;€ NP 3 N_&lt;€ NP 3 N_&lt;€ NP 3 N_&lt;€ NP 3 N_&lt;€ NP 3 N_&lt;€ NP 3 Q_&lt;€ QP 3 X_&lt;€ XP 3 ]O&lt;€ ]P 3 XO&lt;€ XP 3 ]O&lt;€ ]P 3 QO&lt;€ QP 3 ]O&lt;€ ]P 3 XO&lt;€ XP 3 ]O&lt;€ ]P&lt; XOx€ XP 3 ]_ fR_&lt;€ ]P fRP&lt; Y_ fR_&lt;€ YP fRP&lt; `_ fY_&lt;€ `P fYP&lt; Y_ fR_&lt;€ YP fRP&lt; ]_ fY_&lt;€ ]P fYP&lt; YOx€ YP 3 _Ox€ _P 3 _Ox€ _P 3 `Ox€ `P 3 `Ox€ `P 3 ^O&lt;€ ^P 3 QO&lt;€ QP 3 ^O&lt;€ ^P 3 YO&lt;€ YP 3 ^O&lt;€ ^P 3 QO&lt;€ QP 3 ^O&lt;€ ^P 3 YO&lt;€ YP 3 ^O&lt;€ ^P&lt; ^O&lt;€ ^P&lt; ]_ fQ_&lt;€ ]P fQP&lt; X_ fQ_&lt;€ XP fQP&lt; ^_ fR_&lt;€ ^P fRP&lt; Y_ fR_&lt;€ YP fRP&lt; ]_ fQ_&lt;€ ]P fQP&lt; XOx€ XP 3 dO&lt;€ dP 3 ]_&lt;€ ]P 3 dO&lt;€ dP 3 ]_&lt;€ ]P 3 aO&lt;€ aP 3 ]_&lt;€ ]P 3 aO&lt;€ aP 3 X_&lt;€ XP 3 Q_&lt;€ QP 3 X_&lt;€ XP 3 ]O&lt;€ ]P 3 XO&lt;€ XP 3 ]O&lt;€ ]P 3 QO&lt;€ QP 3 ]O&lt;€ ]P 3 XO&lt;€ XP 3 ]O&lt;€ ]P&lt; XOx€ XP 3 ]_ fR_&lt;€ ]P fRP&lt; Y_ fR_&lt;€ YP fRP&lt; `_ fY_&lt;€ `P fYP&lt; Y_ fR_&lt;€ YP fRP&lt; ]_ fY_&lt;€ ]P fYP&lt; YOx€ YP 3 _Ox€ _P 3 _Ox€ _P 3 `Ox€ `P 3 `Ox€ `P 3 ^O&lt;€ ^P 3 QO&lt;€ QP 3 ^O&lt;€ ^P 3 YO&lt;€ YP 3 ^O&lt;€ ^P 3 QO&lt;€ QP 3 ^O&lt;€ ^P 3 YO&lt;€ YP 3 ^O&lt;€ ^P&lt; ^O&lt;€ ^P&lt; ]_ fQ_&lt;€ ]P fQP&lt; X_ fQ_&lt;€ XP fQP&lt; ^_ fR_&lt;€ ^P fRP&lt; Y_ fR_&lt;€ YP fRP&lt; ]_ fQ_&lt;€ ]P fQP&lt; XOx€ XP 3 dO&lt;€ dP 3 ]_&lt;€ ]P 3 dO&lt;€ dP 3 ]_&lt;€ ]P 3 aO&lt;€ aP 3 ]_&lt;€ ]P 3 aO&lt;€ aP 3 X_&lt;€ XP 3я •3MTrk!3 7€ 3я 6!3»d!3e!3 lr3л 3@ 3»e!3d gf9@ fY!3e 3d 3єd!3e!3 lr3к 3@ 3єe!3d gf9@ fY!3e 3d 3»e!3d hf9@ 3e 3d 3єe!3d hf9@ 3e 3d 3Л v3К v3»"3є"3» :H 3є :H 3» pЋ3є pЋ3»]!3є]!3»[!3є[!3»\!3є\!3»_!3є_ 3Ѓ·`љ6_ѓ`Љ6P 3љ8_…PЉ8P 3љ&gt;_ 39_‰ cЉ&gt;P 39P 3љ?O 39O…PЉ?P 39P 3љ;OЃpЉ;P 3љ@O 38Oѓ`Љ@P 38P 3љ;O 37Oѓ`Љ;P 37P 3љ9O 36O…PЉ9P 36P 3љ8O 35Oѓ`Љ8P 35P 3љ;Oѓ`Љ;P 3љ;O feOѓ`Љ;P feP 3љ@Oѓ`Љ@P 3љ8_ fdOЃpЉ8P fdP 3љ9O feOЃ4Љ9P feP&lt;љ8O feOЃ4Љ8P feP&lt;љ9O feOЃ4Љ9P feP&lt;љ?O 39O‰ cЉ?P 39P 3љ=O 39O…PЉ=P 39P 3љ&gt;O 38O‡@Љ&gt;P 38P 3љAO 3=O 35OЃpЉAP 3=P 35PЃя 3љ&lt;o 36oЃ4Љ&lt;P 36P&lt;љ=o 36oЃ4Љ=P 36P&lt;љ&lt;o 36oЃ4Љ&lt;P 36P&lt;љ&lt;o 37oЃ4Љ&lt;P 37P&lt;љ=o 37oЃ4Љ=P 37P&lt;љ&lt;o 37oЃ4Љ&lt;P 37P&lt;љ?o 37_Ѓ4Љ?P 37P&lt;љ&lt;o 37oЃ4Љ&lt;P 37PЏ&lt;љ&lt;o 36oЃ4Љ&lt;P 36P&lt;љ=o 36oЃ4Љ=P 36P&lt;љ&lt;o 36oЃ4Љ&lt;P 36P&lt;љ&lt;o 37oЃ4Љ&lt;P 37P&lt;љ&gt;o 37oЃ4Љ&gt;P 37P&lt;љ&lt;o 37oЃ4Љ&lt;P 37P&lt;љ?o 37oЃ4Љ?P 37P&lt;љ&lt;o 37oЃ4Љ&lt;P 37Pш&lt;љB_ 3=_xЉBP 3=PxљB 3=xЉBP 3=PxљB 3=xЉBP 3=PxљB 3&gt;Ѓ4ЉBP 3&gt;P&lt;љB 3&gt;Ѓ4ЉBP 3&gt;P&lt;љB 3&gt;Ѓ4ЉBP 3&gt;P&lt;љI 3&gt;Ѓ4ЉIP 3&gt;P&lt;љJ 3&gt;Ѓ4ЉJP 3&gt;P&lt;љB_ 3&lt;_xЉBP 3&lt;PxљC 3&lt;xЉCP 3&lt;PxљB 3&lt;xЉBP 3&lt;PxљB 3=Ѓ4ЉBP 3=P&lt;љB 3=Ѓ4ЉBP 3=P&lt;љB 3=Ѓ4ЉBP 3=P&lt;љF_ 3=_ЃpЉFP 3=P 3љB_ 3=_ЃpЉBP 3=P 3љB_ 3=_xЉBP 3=PxљB_ 3=_xЉBP 3=PxљB_ 3=_xЉBP 3=PxљB 3&gt;Ѓ4ЉBP 3&gt;P&lt;љB 3&gt;Ѓ4ЉBP 3&gt;P&lt;љB 3&gt;Ѓ4ЉBP 3&gt;P&lt;љI 3&gt;Ѓ4ЉIP 3&gt;P&lt;љJ 3&gt;Ѓ4ЉJP 3&gt;P&lt;љB_ 3&lt;_xЉBP 3&lt;PxљC 3&lt;Ѓ4ЉCP 3&lt;P&lt;љB 3&lt;Ѓ4ЉBP 3&lt;P&lt;љB_ 3=_ЃpЉBP 3=P 3љD 3=Ѓ4ЉDP 3=P&lt;љB 3=Ѓ4ЉBP 3=P&lt;љF_ 3=_ЃpЉFP 3=P 3љB_ 3=_ЃpЉBP 3=P 3я •3MTrk!3 9S 3я 6!3Ѕd!3e!3 lr3н 3@ 3Ѕe!3d gf9@ fY!3e 3d 3јd!3e!3 lr3м 3@ 3јe!3d gf9@ fY!3e 3d 3Ѕe!3d hf9@ 3e 3d 3јe!3d hf9@ 3e 3d 3Н x3М x3Ѕ"3ј"3Ѕ :P 3ј :P 3Ѕ pЋ3ј pЋ3Ѕ]!3ј]!3Ѕ[!3ј[!3Ѕ\!3ј\!3Ѕ_!3ј_ 3ѓ† 3њ9_ 34_Ѓ4Њ9P 34P&lt;њ9_ 34_Ѓ4Њ9P 34P&lt;њ9_ 34_Ѓ4Њ9P 34P&lt;њ9_ 35_Ѓ4Њ9P 35P&lt;њ9_ 35_Ѓ4Њ9P 35P&lt;њ9_ 35_Ѓ4Њ9P 35P&lt;њ@_ 35_Ѓ4Њ@P 35P&lt;њA_ 35_Ѓ4ЊAP 35P&lt;њ9_ 33_Ѓ4Њ9P 33P&lt;њ:_ 33_Ѓ4Њ:P 33P&lt;њ9_ 33_Ѓ4Њ9P 33P&lt;њ9_ 34_Ѓ4Њ9P 34P&lt;њ:_ 34_Ѓ4Њ:P 34P&lt;њ9_ 34_Ѓ4Њ9P 34P&lt;њ&lt;_ 34_Ѓ4Њ&lt;P 34P&lt;њ9_ 34_Ѓ4Њ9P 34P&lt;њ9_ 34_Ѓ4Њ9P 34P&lt;њ9_ 34_Ѓ4Њ9P 34P&lt;њ9_ 34_Ѓ4Њ9P 34P&lt;њ9_ 35_Ѓ4Њ9P 35P&lt;њ9_ 35_Ѓ4Њ9P 35P&lt;њ9_ 35_Ѓ4Њ9P 35P&lt;њ@_ 35_Ѓ4Њ@P 35P&lt;њA_ 35_Ѓ4ЊAP 35P&lt;њ9_ 33_Ѓ4Њ9P 33P&lt;њ:_ 33_Ѓ4Њ:P 33P&lt;њ9_ 33_Ѓ4Њ9P 33P&lt;њ9_ 34_Ѓ4Њ9P 34P&lt;њ:_ 34_Ѓ4Њ:P 34P&lt;њ9_ 34_Ѓ4Њ9P 34P&lt;њ&lt;_ 34_Ѓ4Њ&lt;P 34P&lt;њ9_ 34_Ѓ4Њ9P 34P&lt;њ9_ 34_Ѓ4Њ9P 34P&lt;њ9_ 34_Ѓ4Њ9P 34P&lt;њ9_ 34_Ѓ4Њ9P 34P&lt;њ9_ 35_Ѓ4Њ9P 35P&lt;њ9_ 35_Ѓ4Њ9P 35P&lt;њ9_ 35_Ѓ4Њ9P 35P&lt;њ@_ 35_Ѓ4Њ@P 35P&lt;њA_ 35_Ѓ4ЊAP 35P&lt;њ9_ 33_Ѓ4Њ9P 33P&lt;њ:_ 33_Ѓ4Њ:P 33P&lt;њ9_ 33_Ѓ4Њ9P 33P&lt;њ9_ 34_Ѓ4Њ9P 34P&lt;њ:_ 34_Ѓ4Њ:P 34P&lt;њ9_ 34_Ѓ4Њ9P 34P&lt;њ&lt;_ 34_Ѓ4Њ&lt;P 34P&lt;њ9_ 34_Ѓ4Њ9P 34P&lt;њ9_ 34_Ѓ4Њ9P 34P&lt;њ9_ 34_Ѓ4Њ9P 34P&lt;њ9_ 34_Ѓ4Њ9P 34P&lt;њ9_ 35_Ѓ4Њ9P 35P&lt;њ9_ 35_Ѓ4Њ9P 35P&lt;њ9_ 35_Ѓ4Њ9P 35P&lt;њ@_ 35_Ѓ4Њ@P 35P&lt;њA_ 35_Ѓ4ЊAP 35P&lt;њ9_ 33_Ѓ4Њ9P 33P&lt;њ:_ 33_Ѓ4Њ:P 33P&lt;њ9_ 33_Ѓ4Њ9P 33P&lt;њ9_ 34_Ѓ4Њ9P 34P&lt;њ;_ 34_Ѓ4Њ;P 34P&lt;њ9_ 34_Ѓ4Њ9P 34P&lt;њ=_ 34_Ѓ4Њ=P 34P&lt;њ9_ 34_Ѓ4Њ9P 34Pш&lt;ј :@ 3Ѕ :@ 3њ? 3:Ѓ4Њ?P 3:P&lt;њ? 3:Ѓ4Њ?P 3:P&lt;њ? 3:Ѓ4Њ?P 3:P&lt;њ? 3;Ѓ4Њ?P 3;P&lt;њ? 3;Ѓ4Њ?P 3;P&lt;њ? 3;Ѓ4Њ?P 3;P&lt;њF 3;Ѓ4ЊFP 3;P&lt;њG 3;Ѓ4ЊGP 3;P&lt;њ? 39Ѓ4Њ?P 39P&lt;њ@ 39Ѓ4Њ@P 39P&lt;њ? 39Ѓ4Њ?P 39P&lt;њ? 3:Ѓ4Њ?P 3:P&lt;њ@ 3:Ѓ4Њ@P 3:P&lt;њ? 3:Ѓ4Њ?P 3:P&lt;њB 3:Ѓ4ЊBP 3:P&lt;њ? 3:Ѓ4Њ?P 3:P&lt;њ? 3:Ѓ4Њ?P 3:P&lt;њ? 3:Ѓ4Њ?P 3:P&lt;њ? 3:Ѓ4Њ?P 3:P&lt;њ; 3?Ѓ4Њ;P 3?P&lt;њ; 3?Ѓ4Њ;P 3?P&lt;њ; 3?Ѓ4Њ;P 3?P&lt;њF 3;Ѓ4ЊFP 3;P&lt;њG 3;Ѓ4ЊGP 3;P&lt;њ? 39Ѓ4Њ?P 39P&lt;њ@ 39Ѓ4Њ@P 39P&lt;њ&gt; 39Ѓ4Њ&gt;P 39P&lt;њ? 3:Ѓ4Њ?P 3:P&lt;њ@ 3:Ѓ4Њ@P 3:P&lt;њ? 3:Ѓ4Њ?P 3:P&lt;њC 3:Ѓ4ЊCP 3:P&lt;њ? 3:Ѓ4Њ?P 3:P 3я •3MTrk!3 z—3я 6!3№d!3e!3 lr3й 3@ 3№e!3d gf9@ fY!3e 3d 3Й!3№"3 :P f=@ 3]!3[!3\!3_!3™3_Џ 3‰3P 3™3_Џ 3‰3P 3™3_Џ 3‰3P 3™3_Џ 3‰3P 3™3_‡@‰3P 3™3_‡@‰3P 3™3_‡@‰3P 3™3_…P‰3Px™ ђ[‰ ]P 3™ ђ[‰ ]P 3™ ]_ [‰ ]P 3™3_ f”e‡@‰3P faP 3™3_‡@‰3P 3™3_‡@‰3P 3™3_‡@‰3P 3™3_ f”eѓ`‰ aP 3™ ”eѓ`‰3P faP 3™3_ f”eѓ`‰ aP 3™ ”eѓ`‰3P faP 3™3_ f”eѓ`‰ aP 3™ ”eѓ`‰3P faP 3™3_ f”eѓ`‰ aP 3™ ”eѓ`‰3P faP 3™3_ f”eѓ`‰ aP 3™ ”eѓ`‰3P faP 3™3_ f”eѓ`‰ aP 3™ ”eѓ`‰3P faP 3™3_ f”eѓ`‰ aP 3™ ”eѓ`‰3P faP 3™3_ f”eѓ`‰ aP 3™ ”eѓ`‰3P faP 3™ —eЏ 3‰ dPЏ 3™ —e‹ S‰ dPЃp™ ”eЃp‰ aPЏ 3™ —e…P‰ dP 3™3_‡@‰3P 3™;_Ѓp‰;P 3™ —e…P‰ dP 3™3_‡@‰3P 3™3 f—eЃp‰3P fdP 3™ a_‹ S‰ aP 3™;_ѓ`‰;P 3™3_…P‰3P 3™ a_‡@‰ aPx™ ђ[‰ ]P 3™ ђ[‰ ]P 3™ ]_ [‰ ]P 3™ a_‹ S‰ aP 3™ a_ѓ`‰ aP 3™3_…P‰3P 3™ a_…P‰ aP 3™ a_ѓ`‰ aP 3™ a_‡@‰ aP 3™ ]_Ѓp‰ ]P 3™ ]_Ѓp‰ ]P 3™3_ѓ`‰3P 3™;_…P‰;P 3™ a_Ѓp‰ aP 3™ ]_Ѓp‰ ]P 3™ ]_x‰ ]P 3™ ђ[‰ ]P 3™ ђ[‰ ]P 3™ ]_ [‰ ]P 3™ a_Ѓp‰ aP 3™3_Ѓp‰3P 3™ a_ѓ`‰ aP 3™ ]_Ѓp‰ ]P 3™ a_ѓ`‰ aP 3™ ]_x‰ ]P 3™ ђ[‰ ]P 3™ ђ[‰ ]P 3™ ]_ [‰ ]P 3™ a_Ѓp‰ aP 3™3_Ѓp‰3P 3™;_…P‰;P 3™ a_…P‰ aP 3™ a_Ѓp‰ aP 3™ a_Ѓp‰ aP 3™ a_ fW_Ѓp‰ aP fWPЃp™ __ fX_Ѓp‰ _P fXP 3™ __ fW_Ѓp‰ _P fWP 3™ ]_x‰ ]P 3™ b_x‰ bP 3™ __ f`_x‰ _P f`P 3™ ^_x‰ ^P 3™ a_ fX_x‰ aP fXP 3™ W_x‰ WP 3™ Y_x‰ YP 3™ ђ[‰ ]P 3™ ђ[‰ ]P 3™ ]_ [‰ ]P 3™ a_ fW_Ѓp‰ aP fWPЃp™ __ fX_Ѓp‰ _P fXP 3™ __ fW_Ѓp‰ _P fWP 3™ ]_x‰ ]P 3™ b_x‰ bP 3™ __ f`_x‰ _P f`P 3™ ^_x‰ ^P 3™ a_&lt;‰ aP 3™ Љe&lt;‰ WP 3™ W_x‰ WP 3™3_ f\_x‰3P f\P 3™ \_x‰ \P 3™ a_ fW_Ѓp‰ aP fWPЃp™ __ fX_Ѓp‰ _P fXP 3™ __ fW_Ѓp‰ _P fWP 3™ ]_x‰ ]P 3™ b_x‰ bP 3™ __ f`_x‰ _P f`P 3™ ^_x‰ ^P 3™ a_ fX_x‰ aP fXP 3™ W_x‰ WP 3™ Y_x‰ YP 3™ ђ[‰ ]P 3™ ђ[‰ ]P 3™ ]_ [‰ ]P 3™ a_ fW_Ѓp‰ aP fWPЃp™ __ fX_Ѓp‰ _P fXP 3™ __ fW_Ѓp‰ _P fWP 3™ ]_x‰ ]P 3™ b_x‰ bP 3™ __ f`_x‰ _P f`P 3™ ^_x‰ ^P 3™ a_&lt;‰ aP 3™ Љe&lt;‰ WP 3™ W_x‰ WP 3™3_ f\_x‰3P f\P 3™ \_x‰ \P 3™ a_ fW_Ѓp‰ aP fWPx™ __x‰ _P 3™ W_x‰ WP 3™ W_x‰ WP 3™ a_ fX_Ѓp‰ aP fXP 3™ X_&lt;‰ XP 3™ ђe&lt;‰ ]P 3™ ]_x‰ ]P 3™ W_x‰ WP 3™ W_x‰ WP 3™ a_ fX_x‰ aP fXP 3™ W_x‰ WP 3™ Y_x‰ YP 3™ ђ[‰ ]P 3™ ђ[‰ ]P 3™ ]_ [‰ ]P 3™ a_ fW_Ѓp‰ aP fWP 3™ X_Ѓp‰ XP 3™ __ fW_x‰ _P fWP 3™ W_x‰ WP 3™ a_Ѓp‰ aPЃp™ __ fW_x‰ _P fWP 3™ ^_ 3?_x‰ ^P 3?P 3™ a_&lt;‰ aP 3™ Љe&lt;‰ WP 3™ W_x‰ WP 3™3_ f\_x‰3P f\P 3™ \_x‰ \P 3™ a_ fW_Ѓp‰ aP fWPx™ __x‰ _P 3™ W_x‰ WP 3™ W_x‰ WP 3™ a_ fX_Ѓp‰ aP fXP 3™ X_&lt;‰ XP 3™ ђe&lt;‰ ]P 3™ ]_x‰ ]P 3™ W_x‰ WP 3™ W_x‰ WP 3™ a_ fX_x‰ aP fXP 3™ W_x‰ WP 3™ Y_x‰ YP 3™ ђ[‰ ]P 3™ ђ[‰ ]P 3™ ]_ [‰ ]P 3™ a_ fW_Ѓp‰ aP fWP 3™ X_Ѓp‰ XP 3™ __ fW_x‰ _P fWP 3™ W_x‰ WP 3™ a_Ѓp‰ aP 3™ __ fX_Ѓp‰ _P fXP 3™ __ fW_x‰ _P fWP 3™ ^_ 3?_x‰ ^P 3?P 3™ a_&lt;‰ aP 3™ Љe&lt;‰ WP 3™ W_x‰ WP 3™3_ fY_x‰3P fYP 3™ Y_x‰ YP 3™ d_ fW_x‰ dP fWP 3™ W_x‰ WP 3™ X_x‰ XP 3™ W_x‰ WP 3™ Y_x‰ YP 3™ __x‰ _P 3™ W_x‰ WP 3™ W_x‰ WP 3™ ]_ fW_x‰ ]P fWP 3™ W_x‰ WP 3™ W_x‰ WPx™ d_ fY_x‰ dP fYPx™9_ fY_x‰9P fYPx™ d_ fW_x‰ dP fWP 3™ W_x‰ WP 3™ X_x‰ XP 3™ W_x‰ WP 3™ a_ fY_x‰ aP fYPx™ W_x‰ WP 3™ W_x‰ WP 3™ ]_ fW_x‰ ]P fWP 3™ W_x‰ WP 3™ __ f^_x‰ _P f^P 3™ W_x‰ WP 3™ d_ fY_x‰ dP fYPx™9_ fY_x‰9P fYPx™ d_ fW_x‰ dP fWP 3™ W_x‰ WP 3™ X_x‰ XP 3™ W_x‰ WP 3™ Y_x‰ YP 3™ __x‰ _P 3™ W_x‰ WP 3™ W_x‰ WP 3™ ]_ fW_x‰ ]P fWP 3™ W_x‰ WP 3™ W_x‰ WP 3™ __x‰ _P 3™ d_ fY_x‰ dP fYPx™9_ fY_x‰9P fYPx™ d_ fW_x‰ dP fWP 3™ W_x‰ WP 3™ X_x‰ XP 3™ W_x‰ WP 3™ a_ fY_x‰ aP fYPx™ W_x‰ WP 3™ W_x‰ WP 3™ ]_ fW_x‰ ]P fWP 3™ W_x‰ WP 3™ __ f^_x‰ _P f^P 3™ W_x‰ WP 3™ d_x‰ dP 3™ Y_x‰ YP 3™9_ fW_x‰9P fWP 3™ W_x‰ WP 3™ d_ fЊfW_x‰ dP fYP fWP 3™ W_x‰ WP 3™ X_x‰ XP 3™ W_x‰ WP 3™ Y_x‰ YP 3™ __x‰ _P 3™ W_x‰ WP 3™ W_x‰ WP 3™ ]_ fW_x‰ ]P fWP 3™ W_x‰ WP 3™ Y_x‰ YP 3™ W_x‰ WP 3™ d_ fY_x‰ dP fYPx™9_ fY_x‰9P fYPx™ d_ fW_x‰ dP fWP 3™ W_x‰ WP 3™ X_x‰ XP 3™ W_x‰ WP 3™ a_ fY_x‰ aP fYPx™ W_x‰ WP 3™ W_x‰ WP 3™ ]_ fW_x‰ ]P fWP 3™ W_x‰ WP 3™ Y_x‰ YP 3™ W_x‰ WP 3™ d_ fY_x‰ dP fYPx™ __ fY_&lt;‰ _P fYP 3™ Y_&lt;‰ YP 3™ Y_&lt;‰ YP&lt;™ d_ fW_x‰ dP fWP 3™ W_x‰ WP 3™ X_x‰ XP 3™ W_x‰ WP 3™ Y_x‰ YP 3™ __x‰ _P 3™ W_x‰ WP 3™ W_x‰ WP 3™ ]_ fW_x‰ ]P fWP 3™ W_x‰ WP 3™ X_x‰ XP 3™ W_x‰ WP 3™ d_ fY_x‰ dP fYPx™9_ fY_x‰9P fYP 3™ W_x‰ WP 3™ d_ fW_x‰ dP fWP 3™ W_x‰ WP 3™ __x‰ _P 3™ W_x‰ WP 3™ a_ fY_x‰ aP fYPx™ a_ fY_x‰ aP fYP 3™ W_x‰ WP 3™ ]_ 3</t>
  </si>
  <si>
    <t>LT_Pyramid_Of_Lost_Hopes.mid</t>
  </si>
  <si>
    <t>MThd"3 lfgfr4аMTrk"3 Џ3яQ i:Ў †3я iEAndry SSmile SOf SGod 3яX!7 h:Ў 3я •3MTrk!3 j€3я izUAngry SSmile SOf SGod €3°d!3e!3 lr3а 3@ 3°e!3d gf9@ fY!3e 3d 3e!3d hf9@ 3e 3d 3А ”3°"3 :X f=@ 3]!3[!3\!3_ 3Ѓ° SђDOѓ`ЂDP 3ђIOЏ 3ЂIPй 3ђIO‹ SЂIPЃpђIOxЂIP 3ђJOxЂJP 3ђIO‹ SЂIPЃpђI Њ3=OxЂIP 3=P 3ђJ Њ3&gt;OxЂJP 3&gt;P 3ђI Њ3=O‹ SЂIP 3=PЃpђIOxЂIP 3ђJOxЂJP 3ђIO 3=OЏ 3ЂIP 3=P 3° :@ 3ђI_ЃpЂIP 3ђI_ЃpЂIP 3ђI_ЃpЂIP 3ђI_ЃpЂIP 3ђI_ЃpЂIP 3ђI_ЃpЂIP 3ђI_ЃpЂIP 3° :X 3ђIOxЂIP 3ђJOxЂJP 3ђI_Ѓp° :@ 3ђI_ЃpЂIP 3ђI_ЃpЂIP 3ђI_ЃpЂIP 3ђI_ЃpЂIP 3ђI_ЃpЂIP 3ђI_ЃpЂIP 3° :X 3ђ=OxЂ=P 3ђ&gt;OxЂIP 3&gt;P 3ђ=OЃp° :@ 3ђI_ЃpЂIP 3ђI_ЃpЂIP 3ђI_ЃpЂIP 3ђI_ЃpЂIP 3ђI_ЃpЂIP 3ђI_ЃpЂ=P 3IP 3° :X 3ђ=OxЂ=P 3ђ&gt;OxЂ&gt;P 3ђ=OЃp° :H 3ђI_ЃpЂIP 3ђI_ЃpЂIP 3ђI_ЃpЂ=P 3IP‡@ђ8_‚hЂ8P 3ђDO„XЂDPxђDO‚hЂDP†HђDO„XЂDPxђDO‚hЂDP†HђDO„XЂDPxђDO‚hЂDP†HђDO„XЂDPxђ@O‚hЂ@P 3ђBOѓ`ЂBP‚hђDO„XЂDPxђDO‚hЂDP†HђDO„XЂDPxђDO‚hЂDP†HђDO„XЂDPxђDO‚hЂDP†Hђ@O„XЂ@Pxђ@O‚hЂ@P 3ђBOѓ`ЂBP­ 3° :P 3ђU_‡@ЂUP 3ђU_‡@ЂUP 3ђIOЏ 3ЂIP‡@ђGO‡@ЂGP 3ђCOљ SЂCP 3ђ@Oѓ`Ђ@P 3ђIO–@ЂIP 3ђGO‡@ЂGP 3ђCOљ SЂCP 3ђ@Oѓ`Ђ@P 3° :H 3ђ=OxЂ=P 3ђ=O‚hЂ=P cђIOxЂIP 3ђIOxЂIPћ 3ђ=OxЂ=P 3ђ=OxЂ=P 3ђ=OxЂ=P 3ђ=O„XЂ=P‡@ђ@OxЂ@P 3ђ=OxЂ=P 3ђ=OxЂ=P 3ђCOxЂCP 3ђ=OxЂ=P 3ђ=OxЂ=P 3ђ@OxЂ@P 3ђ=OxЂ=P 3ђ=OxЂ=P 3ђFOxЂFP 3ђ=OxЂ=P 3ђ=OxЂ=P 3ђ@OxЂ@P 3ђ=OxЂ=P 3ђCOxЂCP 3ђ=OxЂ=P 3ђ=OxЂ=P 3ђ=OxЂ=P 3ђ=OxЂ=P 3ђ=OЃpЂ=P 3ђ=OЃpЂ=P 3ђ=OЃpЂ=P 3я •3MTrk!3 5V 3я iGby SAlexandr SShumakov 3°d!3e!3 lr3а 3@ 3°e!3d gf9@ fY!3e 3d 3e!3d hf9@ 3e 3d 3А ”3°"3 :X f=@ 3]!3[!3\!3_ 3ѓ„ Cђ XOxЂ XP 3ђ ^OxЂ ^P 3ђ XOѓ`Ђ XP‰ cђ dOxЂ dP 3ђ eOxЂ eP 3ђ dO fXOѓ`Ђ dP fXPѓ`° :` 3ђ eOѓ`Ђ ePxђ6O‚hЂ6P 3ђ8Oѓ`Ђ8PЃpђ9O…PЂ9P 3ђ9Oѓ`Ђ9P 3ђ8Oѓ`Ђ8PЃpђ6O…PЂ6P 3ђ4Oѓ`Ђ4P 3ђ8Oѓ`Ђ8PЃpђ9O…PЂ9P 3ђ;Oѓ`Ђ;P 3ђ8Oѓ`Ђ8PЃpђ9O…PЂ9P 3ђ;Oѓ`Ђ;P 3ђ8Oѓ`Ђ8PЃpђ9O…PЂ9P 3ђ;Oѓ`Ђ;P 3ђ8Oѓ`Ђ8PЃpђ6O…PЂ6P 3ђ4Oѓ`Ђ4P 3ђ8Oѓ`Ђ8PЃpђ9O…PЂ9P 3ђ6Oѓ`Ђ6P 3ђ4Oѓ`Ђ4PЃpђ9O…PЂ9P 3ђ;Oѓ`Ђ;P 3ђ XOѓ`Ђ XPљ Sђ XOѓ`Ђ XPЃ’ Sђ XOxЂ XP 3ђ XO‚hЂ XPЃpђ XOxЂ XP 3ђ XOxЂ XP…Pђ [OxЂ [P 3ђ [OxЂ [P 3ђ XOxЂ XP 3ђ XO‚hЂ XP‹ Sђ XOxЂ XP 3ђ XO‚hЂ XPЃpђ XOxЂ XP 3ђ XOxЂ XP…Pђ [OxЂ [P 3ђ [OxЂ [P 3ђ ^OxЂ ^P 3ђ ^O‚hЂ ^P‰ cђ [OxЂ [P 3ђ [OxЂ [P 3ђ XOxЂ XP 3ђ XOxЂ XP 3я •3MTrk!3 CШ 3я in[c Џ†–d8 3Іd!3e!3 lr3в 3@ 3Іe!3d gf9@ fY!3e 3d 3e!3d hf9@ 3e 3d 3В ѓ3І"3 :h fp–3]!3[!3\!3_!3’ XO fdOЃp‚ XP fdP 3’=OЃp‚=P 3’8OЃp‚8P 3’6Oѓ`‚6P 3’ dOЃp‚ dP 3’=OЃp‚=P 3’4Oѓ`‚4P 3’ dOЃp‚ dP 3’=OЃp‚=P 3’6Oѓ` bOЃp‚ bP 3’ ]OЃp‚6P f]P 3’ _OЃp‚ _P 3’ dOЃp‚ dP 3’8OЃp‚8P 3’=OЃp‚=P 3’6Oѓ`‚6P 3’ dOЃp‚ dP 3’=OЃp‚=P 3’4Oѓ`‚4P 3’ dOЃp‚ dP 3’=OЃp‚=P 3’6Oѓ`‚6P 3’ bOЃp‚ bP 3’ ]OЃp‚ ]P 3’ [OЃp‚ [P 3’ dOЃp‚ dP 3’=OЃp‚=P 3’8OЃp‚8P 3’6Oѓ`‚6P 3’ dOЃp‚ dP 3’=OЃp‚=P 3’4Oѓ`‚4P 3’ dOЃp‚ dP 3’=OЃp‚=P 3’6Oѓ`‚6P 3’ bOЃp‚ bP 3’6OЃp‚6P 3’8OЃp‚8P 3’ dOЃp‚ dP 3’=OЃp‚=P 3’8OЃp‚8P 3’6Oѓ`‚6P 3’ dOЃp‚ dP 3’=OЃp4O fdOЃp‚=P 34P fdP‡@’;O fbOx‚;P fbP 3’;O fbOЃp‚;P fbP 3’;O fdO f_OЃp‚;P fdP f_P 3’;O fbOx‚;P fbP 3’;O fbOx‚;P fbP 3’=O fdOx‚=P fdP 3’ XOЃp‚ XP 3’ dOЃp‚ dP 3’=OЃp‚=P 3’ dOx‚ dP 3’6OЃp‚6P 3’6Ox‚6P 3’ dOЃp‚ dP 3’6OЃp‚6P 3’ XO 34OЃp‚ XPx4P 3’4Ox‚4P 3’ dOЃp‚ dP 3’4OЃp‚4P 3’6O‚h‚6P 3’ XO 36Ox‚ XP 36P 3’ bOЃp‚ bP 3’6OЃp‚6P 3’ ]Ox‚ ]P 3’ _Ox‚ _P 3’ XOЃp‚ XP 3’ dOЃp‚ dP 3’=OЃp‚=P 3’ dOx‚ dP 3’6OЃp‚6P 3’6Ox‚6P 3’ dOЃp‚ dP 3’6OЃp‚6P 3’ XO 34OЃp‚ XPx4P 3’4Ox‚4P 3’ dOЃp‚ dP 3’4OЃp‚4P 3’6O‚h‚6P 3’ XO 36Ox‚ XP 36P 3’ bOЃp‚ bP 3’;O fbOx‚;P fbP 3’;O fbOx‚;P fbP 3’;O fbOx‚;P fbP 3’=O fdOx‚=P fdP 3’ XO f_OЃp‚ XP f_P 3’ dOЃp‚ dP 3’=OЃp‚=P 3’ dOx‚ dP 3’6OЃp‚6P 3’6Ox‚6P 3’ dOЃp‚ dP 3’6OЃp‚6P 3’ XO 34OЃp‚ XPx4P 3’4Ox‚4P 3’ dOЃp‚ dP 3’4OЃp‚4P 3’ XO 36O‚h‚ XP 36P 3’ XO 36Ox‚ XP 36P 3’ bOЃp‚ bP 3’6OЃp‚6P 3’ ]Ox‚ ]P 3’ _Ox‚ _P 3’ XO fdO f_OЃp‚ XP fdP f_P 3’ dOЃp‚ dP 3’=OЃp‚=P 3’ dOx‚ dP 3’6OЃp‚6P 3’6Ox‚6P 3’ dOЃp‚ dP 3’6OЃp‚6P 3’ XO 34O fdOЃp‚ XP 34P fdPѓ`’ XO 34O fdOѓ`‚ XP 34P fdP 3’6O fbO f]Ox‚6P fbP f]P 3’6O fbO f]OЃp‚6P fbP f]P 3’6O fbO f]OЃp‚6P fbP f]P 3’ XO fbO fdOx‚ XP fbP fdP 3’6O fbO f]Ox‚6P fbP f]P 3’8O fdO f_Ox‚8P fdP f_P 3’ XO fdO f_O‚h‚ XP fdP f_P 3’9O 34O f`O‚h‚9P 34P f`P 3’4O fbO f[O‚h‚4P fbP f[P 3’3O faO fZO‚h‚3P faP fZP 3’ eO f`O fYOѓ`‚ eP f`P fYP 3’ XO fdO f_O‚h‚ XP fdP f_P 3’8O fdO f_O‚h‚8P fdP f_P 3’9O 34O f`O‚h‚9P 34P f`P 3’4O fbO f[O‚h‚4P fbP f[P 3’6O fdO f]Oѓ`‚6P fdP f]P 3’ XO fdO f_O‚h‚ XP fdP f_P 3’9O 34O f`O‚h‚9P 34P f`P 3’4O fbO f[O‚h‚4P fbP f[P 3’3O faO fZO‚h‚3P faP fZP 3’ eO f`O fYOѓ`‚ eP f`P fYP 3’ XO fdO f_O‚h‚ XP fdP f_P 3’8O fdO f_O‚h‚8P fdP f_P 3’9O 34O f`O‚h‚9P 34P f`P 3’4O fbO f[O‚h‚4P fbP f[P 3’;O 36O fbOѓ`‚;P 36P fbP 3’ dOx‚ dP 3’8Ox‚8P 3’=Ox‚=P 3’ dOx‚ dP 3’8Ox‚8P 3’;Ox‚;P 3’ dOx‚ dP 3’8Ox‚8P 3’=Ox‚=P 3’ dOx‚ dP 3’8Ox‚8P 3’;Ox‚;P 3’ dOx‚ dP 3’=Ox‚=P 3’ dOx‚ dP 3’ eOx‚ eP 3’ dOx‚ dP 3’8Ox‚8P 3’=Ox‚=P 3’ dOx‚ dP 3’8Ox‚8P 3’;Ox‚;P 3’ dOx‚ dP 3’8Ox‚8P 3’=Ox‚=P 3’ dOx‚ dP 3’8Ox‚8P 3’&gt;Ox‚&gt;P 3’ dOx‚ dP 3’=Ox‚=P 3’ XOx‚ XP 3’ ^Ox‚ ^P 3’ dOx‚ dP 3’8Ox‚8P 3’=Ox‚=P 3’ dOx‚ dP 3’8Ox‚8P 3’;Ox‚;P 3’ dOx‚ dP 3’8Ox‚8P 3’=Ox‚=P 3’ dOx‚ dP 3’8Ox‚8P 3’;Ox‚;P 3’ dOx‚ dP 3’=Ox‚=P 3’ dOx‚ dP 3’ eOx‚ eP 3’ dOx‚ dP 3’8Ox‚8P 3’=Ox‚=P 3’ dOx‚ dP 3’8Ox‚8P 3’;Ox‚;P 3’ dOx‚ dP 3’ _Ox‚ _P 3’7O feO f^Ox‚7P feP f^P 3’7O feO f^Ox‚7P feP f^P 3’7O feO f^Ox‚7P feP f^P 3’7O feO f^OЃp‚7P feP f^P 3’ eO f`O fYO‚h‚ eP f`P fYP 3’ dOx‚ dP 3’8Ox‚8P 3’=Ox‚=P 3’ dOx‚ dP 3’8Ox‚8P 3’;Ox‚;P 3’ dOx‚ dP 3’8Ox‚8P 3’=Ox‚=P 3’ dOx‚ dP 3’8Ox‚8P 3’;Ox‚;P 3’ dOx‚ dP 3’=Ox‚=P 3’ dOx‚ dP 3’ eOx‚ eP 3’ dOx‚ dP 3’8Ox‚8P 3’=Ox‚=P 3’ dOx‚ dP 3’8Ox‚8P 3’;Ox‚;P 3’ dOx‚ dP 3’8Ox‚8P 3’=Ox‚=P 3’ dOx‚ dP 3’8Ox‚8P 3’&gt;Ox‚&gt;P 3’ dOx‚ dP 3’=Ox‚=P 3’ XOx‚ XP 3’ ^Ox‚ ^P 3’ dOx‚ dP 3’8Ox‚8P 3’=Ox‚=P 3’ dOx‚ dP 3’8Ox‚8P 3’;Ox‚;P 3’ dOx‚ dP 3’8Ox‚8P 3’=Ox‚=P 3’ dOx‚ dP 3’8Ox‚8P 3’;Ox‚;P 3’ dOx‚ dP 3’=Ox‚=P 3’ dOx‚ dP 3’ eOx‚ eP 3’ dOx‚ dP 3’8Ox‚8P 3’=Ox‚=P 3’ dOx‚ dP 3’8Ox‚8P 3’;Ox‚;P 3’ dOx‚ dP 3’ _Ox‚ _P 3’;O 36O fbO f]Ox‚;P 36P fbP f]P 3’;O 36O fbO f]Ox‚;P 36P fbP f]P 3’;O 36O fbO f]Ox‚;P 36P fbP f]P 3’;O 36O fbO f]OЃp‚;P 36P fbP f]P 3’6O fbO f]OЃp‚6P fbP f]P 3’ XO fdO f_Ox‚ XP fdP f_P 3’ XO fdO f_O‚h‚ XP fdP f_P 3’9O 34O f`O‚h‚9P 34P f`P 3’4O fbO f[O‚h‚4P fbP f[P 3’3O faO fZO‚h‚3P faP fZP 3’ eO f`O fYOѓ`‚ eP f`P fYP 3’ XO fdO f_O‚h‚ XP fdP f_P 3’8O fdO f_O‚h‚8P fdP f_P 3’9O 34O f`O‚h‚9P 34P f`P 3’4O fbO f[O‚h‚4P fbP f[P 3’6O fdO f]Oѓ`‚6P fdP f]P 3’ XO fdO f_O‚h‚ XP fdP f_P 3’9O 34O f`O‚h‚9P 34P f`P 3’4O fbO f[O‚h‚4P fbP f[P 3’3O faO fZO‚h‚3P faP fZP 3’ eO f`O fYOѓ`‚ eP f`P fYP 3’ XO fdO f_O‚h‚ XP fdP f_P 3’8O fdO f_O‚h‚8P fdP f_P 3’9O 34O f`O‚h‚9P 34P f`P 3’4O fbO f[O‚h‚4P fbP f[P 3’;O 36O fbOѓ`‚;P 36P fbP 3’ XO fdO f_O‚h‚ XP fdP f_P 3’9O 34O f`O‚h‚9P 34P f`P 3’4O fbO f[O‚h‚4P fbP f[P 3’3O faO fZO‚h‚3P faP fZP 3’ eO f`O fYO&lt;‚ eP f`P fYP 3’ eO f`O fYOx‚ eP f`P fYP 3’ eO f`O fYO&lt;‚ eP f`P fYP 3’ eO f`O fYOЃp‚ eP f`P fYP 3’ XO fdO f_O‚h‚ XP fdP f_P 3’8O fdO f_O‚h‚8P fdP f_P 3’9O 34O f`O‚h‚9P 34P f`P 3’4O fbO f[O‚h‚4P fbP f[P 3’6O fdO f]Oѓ`‚6P fdP f]P 3’ XO fdO f_O‚h‚ XP fdP f_P 3’9O 34O f`O‚h‚9P 34P f`P 3’4O fbO f[O‚h‚4P fbP f[P 3’3O faO fZO‚h‚3P faP fZP 3’ eO f`O fYO&lt;‚ eP f`P fYP 3’ eO f`O fYOx‚ eP f`P fYP 3’ eO f`O fYO&lt;‚ eP f`P fYP 3’ eO f`O fYOЃp‚ eP f`P fYP 3’ XO fdO f_O‚h‚ XP fdP f_P 3’8O fdO f_O‚h‚8P fdP f_P 3’9O 34O f`O‚h‚9P 34P f`P 3’4O fbO f[O‚h‚4P fbP f[P 3’;O 36O fbOѓ`‚;P 36P fbPЃТ 3І mCЏ fm}3’=_ 3:_ 34_xІ mQx mWx m^x mex :9x :?x :Fx :Mx :Tx :Zx :ax :h 3‚=P 3:P 34P 3’4O f[Ox‚4P f[P 3’4O f[Ox‚4P f[P 3’4O f[Ox‚4P f[P 3’4O f[Ox‚4P f[P 3’ XO f_Ox‚ XP f_P 3’ XO f_Ox‚ XP f_P 3’ XO f_Ox‚ XP f_P 3’ XO f_OЃp‚ XP f_P 3’ XO f_OЃp‚ XP f_P 3’ XO f_OЃp‚ XP f_P 3’ XO f_Ox‚ XP f_P 3’ XO f_Ox‚ XP f_P 3’ XO f_O‚h‚ XP f_Pђp’ XO f_Ox‚ XP f_P 3’ XO f_Ox‚ XP f_P 3’ XO f_Ox‚ XP f_P 3’ XO f_OЃp‚ XP f_P 3’ XO f_OЃp‚ XP f_P 3’ XO f_OЃp‚ XP f_P 3’ XO f_Ox‚ XP f_P 3’ XO f_Ox‚ XP f_P 3’ XO fdO f_O‚h‚ XP fdP f_P 3я •3MTrk!3 qЃ3я i&lt;Contacts: 3іd!3e!3 lr3г 3@ 3іe!3d gf9@ fY!3e 3d 3e!3d hf9@ 3e 3d 3Г „3і"3 :h f=P 3]!3[!3\!3_ 3ћ 3“ XO f_OЃpѓ XP f_P 3“ XO f_OЃpѓ XP f_Pљ S“ XO f_OЃpѓ XP f_P 3“ XO f_OЃpѓ XP f_Pљ S“ XO f_OЃpѓ XP f_P 3“ XO f_OЃpѓ XP f_P’`“6O fbO f]Oxѓ6P fbP f]P 3“6O fbO f]OЃpѓ6P fbP f]P 3“ bO f]OЃpѓ bP f]P 3“ bO f]Oxѓ bP f]P 3“ bO f]Oxѓ bP f]P 3“ dO f_Oxѓ dP f_P 3“ XO f_OЃpѓ XP f_P 3“ XO f_OЌ Cѓ XP f_PЏ 3“ XO f_OЃpѓ XP f_P 3“ XO f_OЌ Cѓ XP f_PЏ 3“ XO f_OЃpѓ XP f_P 3“ XO f_Oњ Cѓ XP f_P 3“ XO f_OЃpѓ XP f_P 3“ XO f_O‰ cѓ XP f_PЃp“ XO f_OЃpѓ XP f_Pѓ`“ XO f_Oѓ`ѓ XP f_P 3“6O fbO f]Oxѓ6P fbP f]P 3“6O fbO f]OЃpѓ6P fbP f]P 3“6O fbO f]OЃpѓ6P fbP f]P 3“ XO fbO fdOxѓ XP fbP fdP 3“6O fbO f]Oxѓ6P fbP f]P 3“8O fdO f_Oxѓ8P fdP f_P 3“ XO fdO f_O‚hѓ XP fdP f_P 3“9O 34O f`O‚hѓ9P 34P f`P 3“4O fbO f[O‚hѓ4P fbP f[P 3“3O faO fZO‚hѓ3P faP fZP 3“ eO f`O fYOѓ`ѓ eP f`P fYP 3“ XO fdO f_O‚hѓ XP fdP f_P 3“8O fdO f_O‚hѓ8P fdP f_P 3“9O 34O f`O‚hѓ9P 34P f`P 3“4O fbO f[O‚hѓ4P fbP f[P 3“6O fdO f]Oѓ`ѓ6P fdP f]P 3“ XO fdO f_O‚hѓ XP fdP f_P 3“9O 34O f`O‚hѓ9P 34P f`P 3“4O fbO f[O‚hѓ4P fbP f[P 3“3O faO fZO‚hѓ3P faP fZP 3“ eO f`O fYOѓ`ѓ eP f`P fYP 3“ XO fdO f_O‚hѓ XP fdP f_P 3“8O fdO f_O‚hѓ8P fdP f_P 3“9O 34O f`O‚hѓ9P 34P f`P 3“4O fbO f[O‚hѓ4P fbP f[P 3“;O 36O fbOѓ`ѓ;P 36P fbPґ@“&gt;O 37O feO f^Oxѓ&gt;P 37P feP f^P 3“&gt;O 37O feO f^Oxѓ&gt;P 37P feP f^P 3“&gt;O 37O feO f^Oxѓ&gt;P 37P feP f^P 3“&gt;O 37O feO f^OЃpѓ&gt;P 37P feP f^P 3“9O feO f`O fYO‚hѓ9P feP f`P fYP 3“ XOxѓ XP 3“ XOxѓ XP 3“ XOxѓ XP 3“ XOxѓ XP 3“ XOxѓ XP 3“ XOxѓ XP 3“ XOxѓ XP 3“ XOxѓ XP 3“ XOxѓ XP 3“ XOxѓ XP 3“ XOxѓ XP 3“ XOxѓ XP 3“ XOxѓ XP 3“ XOxѓ XP 3“ XOxѓ XP 3“ XOxѓ XP 3“ XOxѓ XP 3“ XOxѓ XP 3“ XOxѓ XP 3“ XOxѓ XP 3“ XOxѓ XP 3“ XOxѓ XP 3“ XOxѓ XP 3“ XOxѓ XP 3“ XOxѓ XP 3“ XOxѓ XP 3“ XOxѓ XP 3“ XOxѓ XP 3“ XOxѓ XP 3“ XOxѓ XP 3“ XOxѓ XP 3“ XOxѓ XP 3“ XOxѓ XP 3“ XOЃpѓ XP 3“ XOxѓ XP 3“ XOxѓ XP 3“ XOЃpѓ XP 3“ XOxѓ XPx“ XOxѓ XP 3“ XOxѓ XP 3“ XOxѓ XPx“ XOxѓ XP 3“ XOЃpѓ XP 3“ XOxѓ XP 3“ XOЃpѓ XP 3“ XOxѓ XP 3“ XOxѓ XP 3“ XOxѓ XP 3“ XOxѓ XP 3“ XOxѓ XP 3“6O feO f]Oxѓ6P feP f]P 3“6O feO f]Oxѓ6P feP f]P 3“6O feO f]Oxѓ6P feP f]P 3“6O feO f]OЃpѓ6P feP f]P 3“6O feO f]OЃpѓ6P feP f]P 3“=O feOxѓ=P feP 3“8O‚hѓ8P 3“DO‚hѓDP 3“9O‚hѓ9P 3“DO‚hѓDP 3“9Oѓ`ѓ9P 3“8O‚hѓ8P 3“DO‚hѓDP 3“6O‚hѓ6P 3“DO‚hѓDP 3“4Oѓ`ѓ4P 3“8O‚hѓ8P 3“DO‚hѓDP 3“9O‚hѓ9P 3“DO‚hѓDP 3“;Oѓ`ѓ;P 3“8O‚hѓ8P 3“DO‚hѓDP 3“9O‚hѓ9P 3“@O‚hѓ@P 3“BO 3;Oѓ`ѓBP 3;P 3“8O‚hѓ8P 3“DO‚hѓDP 3“9O‚hѓ9P 3“DO‚hѓDP 3“;Oѓ`ѓ;P 3“8O‚hѓ8P 3“DO‚hѓDP 3“6O‚hѓ6P 3“DO‚hѓDP 3“4Oѓ`ѓ4P 3“8O‚hѓ8P 3“DO‚hѓDP 3“9O‚hѓ9P 3“DO‚hѓDP 3“6Oѓ`ѓ6P 3“4O‚hѓ4P 3“@O‚hѓ@P 3“9O‚hѓ9P 3“@O‚hѓ@P 3“BO 3;Oѓ`ѓBP 3;Pф S“ XO fdO&lt;ѓ XP fdP&lt;“ XO fdO&lt;ѓ XP fdP&lt;“ XO fdO&lt;ѓ XP fdP&lt;“ XO fdO&lt;ѓ XP fdP©\“ XO fdO&lt;ѓ XP fdP&lt;“ XO fdO&lt;ѓ XP fdP&lt;“ XO fdO&lt;ѓ XP fdP&lt;“ XO fdO&lt;ѓ XP fdP‹\“ XO fdO&lt;ѓ XP fdP&lt;“ XO fdO&lt;ѓ XP fdP&lt;“ XO fdO&lt;ѓ XP fdP&lt;“ XO fdO&lt;ѓ XP fdPљ\“ XO fdO&lt;ѓ XP fdP&lt;“ XO fdO&lt;ѓ XP fdP&lt;“ XO fdO&lt;ѓ XP fdP&lt;“ XO fdO&lt;ѓ XP fdP&lt;і mCЏ fm}3“:_ 34_ fa_xі mQx mWx m^x mex :9x :?x :Fx :Mx :Tx :Zx :ax :h 3ѓ:P 34P faP 3“ bO f[Oxѓ bP f[P 3“ bO f[Oxѓ bP f[P 3“ bO f[Oxѓ bP f[P 3“ bO f[Oxѓ bP f[P 3“ XO f_Oxѓ XP f_P 3“ XO f_Oxѓ XP f_P 3“ XO f_Oxѓ XP f_P 3“ XO f_OЃpѓ XP f_P 3“ XO f_OЃpѓ XP f_P 3“ XO f_OЃpѓ XP f_P 3“ XO f_Oxѓ XP f_P 3“ XO f_Oxѓ XP f_P 3“ XO f_O‚hѓ XP f_PЃp“@O f[Oxѓ@P f[P 3“ XO 3=Oxѓ XP 3=P 3“ XO 3=Oxѓ XP 3=P 3“CO f^OxѓCP f^P 3“ XO 3=Oxѓ XP 3=P 3“ XO 3=Oxѓ XP 3=P 3“@O f[Oxѓ@P f[P 3“ XO 3=Oxѓ XP 3=P 3“ XO 3=Oxѓ XP 3=P 3“FO f^OxѓFP f^P 3“ XO 3=Oxѓ XP 3=P 3“ XO 3=Oxѓ XP 3=P 3“@O f[Oxѓ@P f[P 3“ XO 3=Oxѓ XP 3=P 3“CO f^OxѓCP f^P 3“ XO 3=Oxѓ XP 3=P 3“ XO f_Oxѓ XP f_P 3“ XO f_Oxѓ XP f_P 3“ XO f_Oxѓ XP f_P 3“ XO f_OЃpѓ XP f_P 3“ XO f_OЃpѓ XP f_P 3“ XO f_OЃpѓ XP f_P 3“ XO f_Oxѓ XP f_P 3“ XO f_Oxѓ XP f_P 3“ XO fdO f_O‚hѓ XP fdP f_P 3я •3MTrk!3 9C 3я iCDaveVsZi*gy@i aua 3ґd!3e!3 lr3д 3@ 3ґe!3d gf9@ fY!3e 3d 3e!3d hf9@ 3e 3d 3Д ‡3ґ"3 :h f=@ 3]!3[!3\!3_!3” LOЏ 3„ LPЏ 3” LOЏ 3„ LP‹ S” VOx„ VP 3” VOЃp„ VP 3” VOx„ VP 3” LOЃp„ LP 3” LO…P„ LPѓ`” LOЃp„ LP 3” LOЃp„ LP‹ S” VOx„ VP 3” VOЃp„ VP 3” VOx„ VP 3” LOЃp„ LP 3” LO…P„ LPѓ`” LOЃp„ LP 3” LOЃp„ LP‡@” VOx„ VP 3” VOЃp„ VP 3” VOx„ VPx” SOx„ SP 3” VOx„ VP 3” XOx„ XP 3” LOЃp„ LP 3” LOѓ`„ LP 3” LO…P„ LP 3” LOЃp„ LP 3” LOЃp„ LPЃp” LOѓ`„ LP 3” LOЃp„ LPЃp” VOx„ VP 3” VOx„ VP 3” ]OЃp„ ]P 3” ]Ox„ ]P 3” _Ox„ _P 3” LOЃp„ LP 3” LOѓ`„ LP 3” LO…P„ LP 3” LOЃp„ LP 3” LOЃp„ LPЃp” LOѓ`„ LP 3” LOЃp„ LPЃp” VOx„ VP 3” VOx„ VP 3” QOx„ QP 3” QOx„ QP 3” SOЃp„ SP 3” LOЃp„ LP 3” LOѓ`„ LP 3” LO…P„ LP 3” LOЃp„ LP 3” LOЃp„ LPЃp” LOѓ`„ LP 3” LOЃp„ LPЃp” VOx„ VP 3” VOx„ VP 3” ]OЃp„ ]P 3” ]Ox„ ]P 3” _Ox„ _P 3” LOЃp„ LP 3” LOѓ`„ LP 3” LO…P„ LP 3” LOЃp„ LP 3” LOЃp„ LP 3” LOЃp„ LP 3” LOЃp„ LP 3” LOЃp„ LP 3” LOЃp„ LP 3” VOx„ VP 3” VOЃp„ VP 3” VOx„ VPx” SOx„ SP 3” VOx„ VP 3” XOx„ XP 3” LO‚h„ LP 3” TO‚h„ TP 3” OO‚h„ OP 3” NO‚h„ NP 3” MOѓ`„ MP 3” LO‚h„ LP 3” LO‚h„ LP 3” TO‚h„ TP 3” OO‚h„ OP 3” QOЃp„ QP 3” QOЃp„ QP 3” LO‚h„ LP 3” TO‚h„ TP 3” OO‚h„ OP 3” NO‚h„ NP 3” MOѓ`„ MP 3” LO‚h„ LP 3” LO‚h„ LP 3” TO‚h„ TP 3” OO‚h„ OP 3” VOЃp„ VP 3” VOЃp„ VP 3” XOЌ C„ XP 3” LOЃp„ LP 3” LOЌ C„ LP 3” LOЃp„ LP 3” XOЌ C„ XP 3” LOЃp„ LP 3” LO‡@„ LP 3” ROx„ RP 3” ROx„ RP 3” ROx„ RP 3” ROЃp„ RP 3” MOx„ MP 3” MOx„ MP 3” MOx„ MP 3” XOѓ`„ XP 3” XO‡@„ XPЃp” LOЃp„ LP 3” LOѓ`„ LP 3” LO‡@„ LPЃp” LOЃp„ LP 3” XOѓ`„ XP 3” XO‡@„ XPЃp” LOЃp„ LP 3” LO‡@„ LP 3” QOx„ QP 3” QOx„ QP 3” QOx„ QP 3” QOx„ QPx” MOx„ MP 3” MOx„ MP 3” MOx„ MP 3” LO‚h„ LP 3” TO‚h„ TP 3” OO‚h„ OP 3” NO‚h„ NP 3” MOѓ`„ MP 3” LO‚h„ LP 3” LO‚h„ LP 3” TO‚h„ TP 3” OO‚h„ OP 3” QOЃp„ QP 3” QOЃp„ QP 3” LO‚h„ LP 3” TO‚h„ TP 3” OO‚h„ OP 3” NO‚h„ NP 3” MOѓ`„ MP 3” LO‚h„ LP 3” LO‚h„ LP 3” TO‚h„ TP 3” OO‚h„ OP 3” VOЃp„ VP 3” VOЃp„ VP 3” LO‚h„ LP 3” TO‚h„ TP 3” OO‚h„ OP 3” NO‚h„ NP 3” MOѓ`„ MP 3” LO‚h„ LP 3” LO‚h„ LP 3” TO‚h„ TP 3” OO‚h„ OP 3” QOЃp„ QP 3” QOЃp„ QP 3” LO‚h„ LP 3” TO‚h„ TP 3” OO‚h„ OP 3” NO‚h„ NP 3” MOѓ`„ MP 3” LO‚h„ LP 3” LO‚h„ LP 3” TO‚h„ TP 3” OO‚h„ OP 3” VOЃp„ VP 3” VOЃp„ VP 3я •3MTrk!3 &lt;g 3я 6!3µd!3e!3 lr3е 3@ 3µe!3d gf9@ fY!3e 3d 3e!3d hf9@ 3e 3d 3Е ‹3µ"3 :h f=@ 3]!3[!3\!3_!3• LOЏ 3… LP„Ќ 3• LOx… LP 3• SOx… SP 3• XOx… XP 3• SOx… SP 3• ROx… RP 3• XOx… XP 3• QOx… QP 3• NOx… NP 3• LOx… LP 3• OOx… OP 3• VOx… VP 3• UOx… UP 3• TOx… TP 3• XOx… XP 3• SOx… SP 3• ROx… RP 3• LOx… LP 3• SOx… SP 3• XOx… XP 3• ROx… RP 3• XOx… XP 3• [Ox… [P 3• VOx… VP 3• UOx… UP 3• LOx… LP 3• OOx… OP 3• SOx… SP 3• _Ox… _P 3• ^Ox… ^P 3• XOx… XP 3• ROx… RP 3• OOx… OP 3• LOx… LP 3• SOx… SP 3• XOx… XP 3• SOx… SP 3• ROx… RP 3• XOx… XP 3• QOx… QP 3• NOx… NP 3• LOx… LP 3• OOx… OP 3• VOx… VP 3• UOx… UP 3• TOx… TP 3• XOx… XP 3• SOx… SP 3• ROx… RP 3• LOx… LP 3• SOx… SP 3• XOx… XP 3• ROx… RP 3• XOx… XP 3• [Ox… [P 3• VOx… VP 3• UOx… UP 3• LOx… LP 3• OOx… OP 3• SOx… SP 3• _Ox… _P 3• ^Ox… ^P 3• XOx… XP 3• ROx… RP 3• OOx… OP 3• LOx… LP 3• SOx… SP 3• XOx… XP 3• SOx… SP 3• ROx… RP 3• XOx… XP 3• QOx… QP 3• NOx… NP 3• LOx… LP 3• OOx… OP 3• VOx… VP 3• UOx… UP 3• TOx… TP 3• XOx… XP 3• SOx… SP 3• ROx… RP 3• LOx… LP 3• SOx… SP 3• XOx… XP 3• ROx… RP 3• XOx… XP 3• [Ox… [P 3• VOx… VP 3• UOx… UP 3• LOx… LP 3• OOx… OP 3• SOx… SP 3• _Ox… _P 3• ^Ox… ^P 3• XOx… XP 3• ROx… RP 3• OOx… OP 3• LOx… LP 3• SOx… SP 3• XOx… XP 3• SOx… SP 3• ROx… RP 3• XOx… XP 3• QOx… QP 3• NOx… NP 3• LOx… LP 3• OOx… OP 3• VOx… VP 3• UOx… UP 3• TOx… TP 3• XOx… XP 3• SOx… SP 3• ROx… RP 3• LOx… LP 3• SOx… SP 3• XOx… XP 3• ROx… RP 3• XOx… XP 3• [Ox… [P 3• VOx… VP 3• UOx… UP 3• LOx… LP 3• OOx… OP 3• SOx… SP 3• _Ox… _P 3• ^Ox… ^P 3• XOx… XP 3• ROx… RP 3• OOx… OP 3• LOx… LP 3• SOx… SP 3• XOx… XP 3• SOx… SP 3• ROx… RP 3• XOx… XP 3• QOx… QP 3• NOx… NP 3• LOx… LP 3• OOx… OP 3• VOx… VP 3• UOx… UP 3• TOx… TP 3• XOx… XP 3• SOx… SP 3• ROx… RP 3• LOx… LP 3• SOx… SP 3• XOx… XP 3• ROx… RP 3• XOx… XP 3• [Ox… [P 3• VOx… VP 3• UOx… UP 3• LOx… LP 3• OOx… OP 3• SOx… SP 3• _Ox… _P 3• ^Ox… ^P 3• XOx… XP 3• ROx… RP 3• OOx… OP 3• LOx… LP 3• SOx… SP 3• XOx… XP 3• SOx… SP 3• ROx… RP 3• XOx… XP 3• QOx… QP 3• NOx… NP 3• LOx… LP 3• OOx… OP 3• VOx… VP 3• UOx… UP 3• TOx… TP 3• XOx… XP 3• SOx… SP 3• ROx… RP 3• LOx… LP 3• SOx… SP 3• XOx… XP 3• ROx… RP 3• XOx… XP 3• [Ox… [P 3• VOx… VP 3• UOx… UP 3• LOx… LP 3• OOx… OP 3• SOx… SP 3• _Ox… _P 3• ^Ox… ^P 3• XOx… XP 3• ROx… RP 3• OOx… OP 3• OOx… OP 3• LOx… LP 3• LOx… LP 3• OOx… OP 3• LOx… LP 3• LOx… LP 3• OOx… OP 3• LOx… LP 3• LOx… LP 3• OOx… OP 3• LOx… LP 3• LOx… LP 3• OOx… OP 3• LOx… LP 3• ROx… RP 3• LOx… LP 3• OOx… OP 3• LOx… LP 3• LOx… LP 3• OOx… OP 3• LOx… LP 3• LOx… LP 3• OOx… OP 3• LOx… LP 3• LOx… LP 3• OOx… OP 3• LOx… LP 3• LOx… LP 3• ROx… RP 3• LOx… LP 3• QOx… QP 3• LOx… LP 3• OOx… OP 3• LOx… LP 3• LOx… LP 3• OOx… OP 3• LOx… LP 3• LOx… LP 3• OOx… OP 3• LOx… LP 3• LOx… LP 3• OOx… OP 3• LOx… LP 3• LOx… LP 3• OOx… OP 3• LOx… LP 3• ROx… RP 3• LOx… LP 3• OOx… OP 3• LOx… LP 3• LOx… LP 3• OOx… OP 3• LOx… LP 3• LOx… LP 3• OOx… OP 3• LOx… LP 3• LOx… LP 3• OOx… OP 3• LOx… LP 3• LOx… LP 3• ROx… RP 3• LOx… LP 3• QOx… QP 3• LOx… LP 3• LOx… LP 3• LOЃp… LP 3• LOЃp… LP 3• LOЃp… LP 3• LOЃp… LP 3• LOx… LP 3• LOx… LP 3• LO‚h… LPЃp• OOx… OP 3• LOx… LP 3• LOx… LP 3• OOx… OP 3• LOx… LP 3• LOx… LP 3• OOx… OP 3• LOx… LP 3• LOx… LP 3• OOx… OP 3• LOx… LP 3• LOx… LP 3• ROx… RP 3• LOx… LP 3• QOx… QP 3• LOx… LP 3• LOx… LP 3• LOЃp… LP 3• LOЃp… LP 3• LOЃp… LP 3• LOЃp… LP 3• LOx… LP 3• LOx… LP 3• LOЃp… LP 3я •3MTrk!3 Mф 3я 6!3№d!3e!3 lr3й 3@ 3№e!3d gf9@ fY!3e 3d 3Й!3№"3 :h f=@ 3]!3[!3\!3_!3™ aO fWO 35O…P‰ aP fWP 35P 3™ WOЃp‰ WP 3™ YO f]OЃp‰ YP f]P 3™ ]OЃp‰ ]P 3™ ]OЃp‰ ]P 3™ WO faOЃp‰ WP faPЃp™ WOЃp‰ WP 3™ WOЃp‰ WP 3™ WOЃp‰ WP 3™ YO f]OЃp‰ YP f]P 3™ ]OЃp‰ ]P 3™ YO faOѓ`‰ YP faP 3™ WO faO 35O…P‰ WP faP 35P 3™ WOЃp‰ WP 3™ YO f]OЃp‰ YP f]P 3™ ]OЃp‰ ]P 3™ ]OЃp‰ ]P 3™ WO faOЃp‰ WP faPЃp™ WOЃp‰ WP 3™ WOЃp‰ WP 3™ WOЃp‰ WP 3™ YO f]OЃp‰ YP f]PЃp™ YO faOЃp‰ YP faP 3™ ]Ox‰ ]P 3™ ]Ox‰ ]P 3™ aO fWO 35O…P‰ aP fWP 35P 3™ WOЃp‰ WP 3™ YO f]OЃp‰ YP f]P 3™ ]OЃp‰ ]P 3™ ]OЃp‰ ]P 3™ WO faOЃp‰ WP faPЃp™ WOЃp‰ WP 3™ WOЃp‰ WP 3™ WOЃp‰ WP 3™ YO f]OЃp‰ YP f]P 3™ ]OЃp‰ ]P 3™ YO faOѓ`‰ YP faP 3™ aO fWO 35O…P‰ aP fWP 35P 3™ WOЃp‰ WP 3™ YO f]OЃp‰ YP f]P 3™ ]OЃp‰ ]P 3™ ]OЃp‰ ]P 3™ WO faOЃp‰ WP faPЃp™ WOЃp‰ WP 3™ WOЃp‰ WP 3™ WOЃp‰ WP 3™ YO f]Ox‰ YP f]P 3™ YOx‰ YPx™ YOx‰ YP 3™ aOx‰ aP 3™ YOx‰ YP 3™ YO f]Ox‰ YP f]P 3™ YO f]Ox‰ YP f]P 3™ WO faO fdOЃp‰ WP faP fdP 3™ `OЃp‰ `P 3™ ^OЃp‰ ^P 3™ WOЃp‰ WP 3™ YO f]OЃp‰ YP f]P 3™ ]OЃp‰ ]P 3™ ]OЃp‰ ]P 3™ WO faOЃp‰ WP faPЃp™ WOЃp‰ WP 3™ WOЃp‰ WP 3™ WOЃp‰ WP 3™ YO f]OЃp‰ YP f]P 3™ ]OЃp‰ ]P 3™ YO faOѓ`‰ YP faP 3™ WO faOЃp‰ WP faP 3™ `OЃp‰ `P 3™ ^OЃp‰ ^P 3™ WOЃp‰ WP 3™ YO f]OЃp‰ YP f]P 3™ ]O fVO 3[OЃp‰ ]P fVP 3[P 3™ ]OЃp‰ ]P 3™ WO faOЃp‰ WP faPЃp™ WOЃp‰ WP 3™ \OЃp‰ \P 3™ WO f^OЃp‰ WP f^P 3™ YO f]Ox‰ YP f]P 3™ YOx‰ YP 3™ YOЃp‰ YP 3™ `O faOx‰ `P faP 3™ `Ox‰ `P 3™ ]O f^Ox‰ ]P f^P 3™ ]O f^Ox‰ ]P f^P 3™ WO faO fdOЃp‰ WP faP fdP 3™ `Ox‰ `P 3™ `Ox‰ `P 3™ ^OЃp‰ ^P 3™ WOЃp‰ WP 3™ YO f]OЃp‰ YP f]P 3™ ]Ox‰ ]Px™ ]O f^Ox‰ ]P f^P 3™ ^Ox‰ ^P 3™ \O fWO faOЃp‰ \P fWP faPЃp™ WOЃp‰ WP 3™ WOЃp‰ WP 3™ WO f`Ox‰ WP f`P 3™ ^Ox‰ ^P 3™ YO f\O f]OЃp‰ YP f\P f]P 3™ WO f]OЃp‰ WP f]P 3™ YO f\O faOЃp‰ YP f\P faP 3™ \OЃp‰ \P 3™ WO faO fdOЃp‰ WP faP fdP 3™ `Ox‰ `P 3™ `Ox‰ `P 3™ ^OЃp‰ ^P 3™ WOЃp‰ WP 3™ YO f]OЃp‰ YP f]P 3™ ]Ox‰ ]Px™ ]O f^Ox‰ ]P f^P 3™ ^Ox‰ ^P 3™ WO f\O faOЃp‰ WP f\P faPЃp™ WOЃp‰ WP 3™ \OЃp‰ \P 3™ WO f^OЃp‰ WP f^P 3™ YO f]Ox‰ YP f]P 3™ YOx‰ YP 3™ WOx‰ WP 3™ YOx‰ YP 3™ aOx‰ aP 3™ YOx‰ YP 3™ WO fYOx‰ WP fYP 3™ WO fYO&lt;‰ WP fYP 3™ WO fYO&lt;‰ WP fYP 3™ WO fdO‚h‰ WP fdP 3™ `O‚h‰ `P 3™ WOx‰ WP 3™ WOx‰ WP 3™ WOx‰ WP 3™ ^Ox‰ ^P 3™ WOx‰ WP 3™ WOx‰ WP 3™ YO f`O faOЃp‰ YP f`P faP 3™ `Ox‰ `P 3™ ^O&lt;‰ ^P 3™ ^O&lt;‰ ^P 3™ WO fdO‚h‰ WP fdP 3™ `O‚h‰ `P 3™ WOx‰ WP 3™ WOx‰ WP 3™ WOx‰ WP 3™ ^Ox‰ ^P 3™ WOx‰ WP 3™ WOx‰ WP 3™ YO faOЃp‰ YP faP 3™ YO fWO faOЃp‰ YP fWP faP 3™ WO fdOЃp‰ WP fdP 3™ ]Ox‰ ]P 3™ `OЃp‰ `P 3™ ]O&lt;‰ ]P 3™ ]O&lt;‰ ]P 3™ WOx‰ WP 3™ WOx‰ WP 3™ WOx‰ WP 3™ ^Ox‰ ^P 3™ WOx‰ WP 3™ WOx‰ WP 3™ YO f`O faOЃp‰ YP f`P faP 3™ `Ox‰ `P 3™ ^O&lt;‰ ^P 3™ ^O&lt;‰ ^P 3™ WO fdO‚h‰ WP fdP 3™ `O‚h‰ `P 3™ WOx‰ WP 3™ WOx‰ WP 3™ WOx‰ WP 3™ ^Ox‰ ^P 3™ WOx‰ WP 3™ WOx‰ WP 3™ YO faOЃp‰ YP faP 3™ WO fYO faOx‰ WP fYP faP 3™ WOx‰ WP 3™ WO f]O 33Ox‰ WP f]P 33P 3™ ]Ox‰ ]P 3™ ]Ox‰ ]P 3™ ]Ox‰ ]P 3™ aOЃp‰ aP 3™ ]Ox‰ ]P 3™ ]Ox‰ ]P 3™ ]Ox‰ ]P 3™ ]Ox‰ ]P 3™ aOx‰ aP 3™ ]O&lt;‰ ]P 3™ ]O&lt;‰ ]P 3™ ]Ox‰ ]P 3™ aOx‰ aP 3™ ]Ox‰ ]P 3™ YOx‰ YP 3™ WO f]O 33Ox‰ WP f]P 33P 3™ ]Ox‰ ]P 3™ ]Ox‰ ]P 3™ ]Ox‰ ]P 3™ aOЃp‰ aP 3™ ]Ox‰ ]P 3™ ]Ox‰ ]P 3™ ]Ox‰ ]P 3™ ]Ox‰ ]P 3™ aOx‰ aP 3™ ]O&lt;‰ ]P 3™ ]O&lt;‰ ]P 3™ WO f]Ox‰ WP f]P 3™ ^Ox‰ ^P 3™ WO f]Ox‰ WP f]P 3™ YOx‰ YP 3™ WO f]O 33Ox‰ WP f]P 33P 3™ ]Ox‰ ]P 3™ ]Ox‰ ]P 3™ ]Ox‰ ]P 3™ aOЃp‰ aP 3™ ]Ox‰ ]P 3™ ]Ox‰ ]P 3™ ]Ox‰ ]P 3™ ]Ox‰ ]P 3™ aOx‰ aP 3™ ]O&lt;‰ ]P 3™ ]O&lt;‰ ]P 3™ ]Ox‰ ]P 3™ aOx‰ aP 3™ ]Ox‰ ]P 3™ YOx‰ YP 3™ WO f]O 33Ox‰ WP f]P 33P 3™ ]Ox‰ ]P 3™ ]Ox‰ ]P 3™ ]Ox‰ ]P 3™ YO faO&lt;‰ YP faP 3™ YO faO&lt;‰ YP faP 3™ YOx‰ YP 3™ `Ox‰ `P 3™ `Ox‰ `P 3™ ^Ox‰ ^P 3™ ^Ox‰ ^P 3™ ^Ox‰ ^P 3™ WO f]O f^O&lt;‰ WP f]P f^P 3™ WO f]O f^O&lt;‰ WP f]P f^P 3™ ]Ox‰ ]P 3™ WO f^Ox‰ WP f^P 3™ WOx‰ WP 3™ WO faOx‰ WP faP 3™ WO fYO fdOx‰ WP fYP fdP 3™ ]Ox‰ ]P 3™ ]Ox‰ ]P 3™ ]Ox‰ ]P 3™ aOЃp‰ aP 3™ ]Ox‰ ]P 3™ ]Ox‰ ]P 3™ ]Ox‰ ]P 3™ ]Ox‰ ]P 3™ aOx‰ aP 3™ ]O&lt;‰ ]P 3™ ]O&lt;‰ ]P 3™ ]Ox‰ ]P 3™ aOx‰ aP 3™ ]Ox‰ ]P 3™ YOx‰ YP 3™ WO fYO fdOx‰ WP fYP fdP 3™ ]Ox‰ ]P 3™ ]Ox‰ ]P 3™ ]Ox‰ ]P 3™ aOЃp‰ aP 3™ ]Ox‰ ]P 3™ ]Ox‰ ]P 3™ ]Ox‰ ]P 3™ ]Ox‰ ]P 3™ aOx‰ aP 3™ ]O&lt;‰ ]P 3™ ]O&lt;‰ ]P 3™ ^O&lt;‰ ^P 3™ ^O&lt;‰ ^P 3™ ^Ox‰ ^P 3™ WO f]Ox‰ WP f]P 3™ YOx‰ YP 3™ WO f]O 33Ox‰ WP f]P 33P 3™ ]Ox‰ ]P 3™ ]Ox‰ ]P 3™ ]Ox‰ ]P 3™ aOЃp‰ aP 3™ ]Ox‰ ]P 3™ ]Ox‰ ]P 3™ WO f]Ox‰ WP f]P 3™ ]Ox‰ ]P 3™ aOx‰ aP 3™ WO f]O&lt;‰ WP f]P 3™ WO f]O&lt;‰ WP f]P 3™ ]Ox‰ ]P 3™ aOx‰ aP 3™ WO f]Ox‰ WP f]P 3™ YOx‰ YP 3™ WO f]O 33Ox‰ WP f]P 33P 3™ ]Ox‰ ]P 3™ ]Ox‰ ]P 3™ ]Ox‰ ]P 3™ YO faO&lt;‰ YP faP 3™ YO faO&lt;‰ YP faP 3™ YOx‰ YP 3™ `Ox‰ `P 3™ `Ox‰ `P 3™ ^Ox‰ ^P 3™ ^Ox‰ ^P 3™ ^Ox‰ ^P 3™ WO f]O f^O&lt;‰ WP f]P f^P 3™ WO f]O f^O&lt;‰ WP f]P f^P 3™ ]Ox‰ ]P 3™ WO f^Ox‰ WP f^P 3™ WOx‰ WP 3™ WO faOx‰ WP faP 3™ WO fdO‚h‰ WP fdP 3™ `O‚h‰ `P 3™ WOx‰ WP 3™ WOx‰ WP 3™ WOx‰ WP 3™ ^Ox‰ ^P 3™ WOx‰ WP 3™ WOx‰ WP 3™ YO f`O faOЃp‰ YP f`P faP 3™ `Ox‰ `P 3™ ^O&lt;‰ ^P 3™ ^O&lt;‰ ^P 3™ WO fdO‚h‰ WP fdP 3™ `O‚h‰ `P 3™ WOx‰ WP 3™ WOx‰ WP 3™ WOx‰ WP 3™ ^Ox‰ ^P 3™ WOx‰ WP 3™ WOx‰ WP 3™ YO faOЃp‰ YP faP 3™ WO fYO faOЃp‰ WP fYP faP 3™ WO fdOЃp‰ WP fdP 3™ ]Ox‰ ]P 3™ `OЃp‰ `P 3™ ]O&lt;‰ ]P 3™ ]O&lt;‰ ]P 3™ WOx‰ WP 3™ WOx‰ WP 3™ WOx‰ WP 3™ ^Ox‰ ^P 3™ WOx‰ WP 3™ WOx‰ WP 3™ `O fYO faOЃp‰ `P fYP faP 3™ `Ox‰ `P 3™ ^O&lt;‰ ^P 3™ ^O&lt;‰ ^P 3™ WO fdO‚h‰ WP fdP 3™ `O‚h‰ `P 3™ WOx‰ WP 3™ WOx‰ WP 3™ WOx‰ WP 3™ ^Ox‰ ^P 3™ WOx‰ WP 3™ WOx‰ WP 3™ YO faOЃp‰ YP faP 3™ WO fYO faOx‰ WP fYP faP 3™ WOx‰ WP 3™ WO fdOЃp‰ WP fdP 3™ dOx‰ dP 3™ `O‚h‰ `P 3™ WOx‰ WP 3™ WOx‰ WP 3™ WOx‰ WP 3™ ^Ox‰ ^P 3™ WOx‰ WP 3™ WOx‰ WP 3™ WO fYO faO&lt;‰ WP fYP faP 3™ WO&lt;‰ WP&lt;™ WO&lt;‰ WP 3™ WO f`Ox‰ WP f`P 3™ dOx‰ dP 3™ WO faO‚h‰ WP faP 3™ `O‚h‰ `P 3™ WOx‰ WP 3™ WOx‰ WP 3™ WOx‰ WP 3™ ^Ox‰ ^P 3™ WOx‰ WP 3™ WOx‰ WP 3™ YO faOЃp‰ YP faP 3™ YO faOЃp‰ YP faP 3™ WO fdOЃp‰ WP fdP 3™ ]Ox‰ ]P 3™ `OЃp‰ `P 3™ ]O&lt;‰ ]P 3™ ]O&lt;‰ ]P 3™ WOx‰ WP 3™ WOx‰ WP 3™ WOx‰ WP 3™ ^Ox‰ ^P 3™ WOx‰ WP 3™ WOx‰ WP 3™ WO fYO faO&lt;‰ WP fYP faP 3™ WO&lt;‰ WP&lt;™ WO&lt;‰ WP 3™ WO f`Ox‰ WP f`P 3™ dOx‰ dP 3™ WO fdOЃp‰ WP fdP 3™ dOx‰ dP 3™ `O‚h‰ `P 3™ WOx‰ WP 3™ WOx‰ WP 3™ WOx‰ WP 3™ ^Ox‰ ^P 3™ WOx‰ WP 3™ WOx‰ WP 3™ YO faOЃp‰ YP faP 3™ YO f]OЃp‰ YP f]P 3™]O fVO 3oO‹ S‰]P fVP 3oPЃp™ ]Ox‰ ]P 3™ ]Ox‰ ]P 3™4O 3*_‹ S‰4P 3_P 3™7O‚h‰7P 3™ YO faOx‰ YP faP 3™ VO 3]O 3oO‡@‰ VP 3]P 3oPЃp™7OЃp‰7P 3™ ]Ox‰ ]P 3™ ]Ox‰ ]P 3™\OЃp‰\P 3™ VO 3]O 3oOѓ`‰ VP 3]P 3oP 3™ aO fVO 3oOѓ`‰ aP fVP 3oP 3™ QO fVO fYO&lt;‰ QP fVP fYP 3™ QO fVO fYO&lt;‰ QP fVP fYP 3™ YOx‰ YP 3™ VO fYOx‰ VP fYP 3™ YOx‰ YP 3™ VOx‰ VP 3™ YOx‰ YP 3™ VO f`Ox‰ VP f`P 3™ VO f`Ox‰ VP f`P 3™ VO 3]Ox‰ VP 3]P 3™ ]Ox‰ ]P 3™ ]Ox‰ ]P 3™ VO f]Ox‰ VP f]P 3™ YO 3\Ox‰ YP 3\P 3™ ]Ox‰ ]P 3™ ]Ox‰ ]P 3™ VO 37Ox‰ VP 37Px™ VO 37Ox‰ VP 37Px™ VO f]Ox‰ VP f]P 3™ YO faOx‰ YP faPx™ VO f]Ox‰ VP f]P 3™ VO f]Ox‰ VP f]P 3™ VO 3]Ox‰ VP 3]P 3™ ]Ox‰ ]P 3™ ]Ox‰ ]P 3™ VO f]Ox‰ VP f]P 3™ YO 3\Ox‰ YP 3\P 3™ ]Ox‰ ]P 3™ ]Ox‰ ]P 3™ VO 37Ox‰ VP 37Px™ VO f]Ox‰ VP f]P 3™ VO 3\Ox‰ VP 3\P 3™ YO 37Ox‰ YP 37P 3™ aOx‰ aP 3™ YOx‰ YP 3™ VO f]Ox‰ VP f]P 3™ VO 3\Ox‰ VP 3\P 3™ VO 3]Ox‰ VP 3]P 3™ VO f]Ox‰ VP f]P 3™ VO f]Ox‰ VP f]P 3™ VO f]Ox‰ VP f]P 3™ YO 3\Ox‰ YP 3\P 3™ ]Ox‰ ]P 3™ ]Ox‰ ]P 3™ VO 37Ox‰ VP 37Px™ VO 37Ox‰ VP 37Px™ VO f]Ox‰ VP f]P 3™ YO faOx‰ YP faPx™ VO f]Ox‰ VP f]P 3™ VO f]Ox‰ VP f]P 3™ VO 3]Ox‰ VP 3]P 3™ ]Ox‰ ]P 3™ ]Ox‰ ]P 3™ VO f]Ox‰ VP f]P 3™ YO 3\Ox‰ YP 3\P 3™ VO f]O&lt;‰ VP f]P 3™ VO&lt;‰ VP 3™ VO f]Ox‰ VP f]P 3™ YO 37Ox‰ YP 37Px™ VO 37Ox‰ VP 37P 3™ VO f]O&lt;‰ VP f]P 3™ VO&lt;‰ VP 3™ VO f]Ox‰ VP f]P 3™ YO faOx‰ YP faP 3™ YOx‰ YP 3™ VO f]Ox‰ VP f]P 3™ VO f]Ox‰ VP f]P 3™ VO 3]Ox‰ VP 3]P 3™ ]Ox‰ ]P 3™ ]Ox‰ ]P 3™ VO f]Ox‰ VP f]P 3™ YO 3\Ox‰ YP 3\P 3™ ]Ox‰ ]P 3™ ]Ox‰ ]P 3™ VO 37Ox‰ VP 37Px™ VO 37Ox‰ VP 37Px™ VO f]Ox‰ VP f]P 3™ YO faOx‰ YP faPx™ VO f]Ox‰ VP f]P 3™ VO f]Ox‰ VP f]P 3™ VO 3]Ox‰ VP 3]P 3™ ]Ox‰ ]P 3™ ]Ox‰ ]P 3™ VO f]Ox‰ VP f]P 3™ YO 3\Ox‰ YP 3\P 3™ ]Ox‰ ]P 3™ ]Ox‰ ]P 3™ VO 37Ox‰ VP 37Px™ VO f]Ox‰ VP f]P 3™ VO 3\Ox‰ VP 3\P 3™ YO 37Ox‰ YP 37P 3™ aOx‰ aP 3™ YOx‰ YP 3™ VO f]Ox‰ VP f]P 3™ VO 3\Ox‰ VP 3\P 3™ VO 3]Ox‰ VP 3]P 3™ VO f]Ox‰ VP f]P 3™ VO f]Ox‰ VP f]P 3™ VO f]Ox‰ VP f]P 3™ YO 3\Ox‰ YP 3\P 3™ ]Ox‰ ]P 3™ ]Ox‰ ]P 3™ VO 37Ox‰ VP 37Px™ VO 37Ox‰ VP 37Px™ VO f]Ox‰ VP f]P 3™ YO faOx‰ YP faPx™ VO f]Ox‰ VP f]P 3™ VO f]Ox‰ VP f]P 3™ VO 3]Ox‰ VP 3]P 3™ ]Ox‰ ]P 3™ ]Ox‰ ]P 3™ VO f]Ox‰ VP f]P 3™ YO 3\Ox‰ YP 3\P 3™ VO f]O&lt;‰ VP f]P 3™ VO&lt;‰ VP 3™ VO f]Ox‰ VP f]P 3™ YO 37Ox‰ YP 37Px™ VO 37Ox‰ VP 37P 3™ VO f]O&lt;‰ VP f]P 3™ VO&lt;‰ VP 3™ VO f]Ox‰ VP f]P 3™ YO faOx‰ YP faP 3™ YOx‰ YP 3™ VO f]Ox‰ VP f]P 3™ VO f]Ox‰ VP f]P 3™ VO 34O 37Ox‰ VP 34P 37P 3™ VOx‰ VPx™ VOx‰ VPЃp™ ]Ox‰ ]P 3™ ]Ox‰ ]P 3™ ]Ox‰ ]P 3™ ]Ox‰ ]P 3™ VOx‰ VP 3™ VOx‰ VP 3™ VO f]Ox‰ VP f]P 3™ VO f]Ox‰ VP f]P 3™\Ox‰\P 3™\Ox‰\P 3™7Ox‰7Px™ VOx‰ VP 3™ VOx‰ VP 3™ VOЃp‰ VP 3™ ]Ox‰ ]P 3™_Ox‰_Px™ YOx‰ YP 3™ VOx‰ VP 3™ VO f]Ox‰ VP f]P 3™ YOx‰ YP 3™ VO 3\Ox‰ VP 3\P 3™ VO faOx‰ VP faP 3™ YOx‰ YP 3™ VO 34O 37Ox‰ VP 34P 37P 3™ VOx‰ VPx™ VOx‰ VPЃp™ ]Ox‰ ]P 3™ ]Ox‰ ]P 3™ ]Ox‰ ]P 3™ ]Ox‰ ]P 3™ VOx‰ VP 3™ VOx‰ VP 3™ VO f]Ox‰ VP f]P 3™ VO f]Ox‰ VP f]P 3™\Ox‰\P 3™\Ox‰\P 3™7Ox‰7Px™ VOx‰ VP 3™ VOx‰ VPЃp™ ]Ox‰ ]P 3™ ]Ox‰ ]P 3™ ]Ox‰ ]P 3™_Ox‰_P 3™ VOx‰ VP 3™ VOx‰ VP 3™ ]O f`Ox‰ ]P f`P 3™ VO f]Ox‰ VP f]P 3™\Ox‰\P 3™\Ox‰\P 3™ YO 3\Ox‰ YP 3\P 3™ VOx‰ VP 3™ ]Ox‰ ]P 3™ VO 37OЃp‰ VP 37P 3™ VO faOЃp‰ VP faP 3™ VO 3\OЃp‰ VP 3\P 3™ VO f]Ox‰ VP f]P 3™ VO 3\Ox‰ VP 3\P 3™ YO 37Ox‰ YP 37P 3™7OЃp‰7PЃp™7Ox‰7Px™ VOx‰ VP 3™ VOx‰ VP 3™ VOЃp‰ VP 3™ ]Ox‰ ]P 3™_Ox‰_Px™ YOx‰ YP 3™ VOx‰ VP 3™ VO f]Ox‰ VP f]P 3™ YOx‰ YP 3™ VO 3\Ox‰ VP 3\P 3™ VO faOx‰ VP faP 3™ YOx‰ YP 3™ YO 3\Ox‰ YP 3\P 3™ VOx‰ VP 3™ ]Ox‰ ]P 3™ VO 37OЃp‰ VP 37P 3™ VO faOЃp‰ VP faP 3™ VO 3\OЃp‰ VP 3\P 3™ VO f]Ox‰ VP f]P 3™ VO 3\Ox‰ VP 3\P 3™ YO 37Ox‰ YP 37P 3™7Oѓ`‰7P 3я •3MTrk"3ф 3я 6!3¶d!3e!3 lr3ж 3@ 3¶e!3d gf9@ fY!3e 3d 3e!3d hf9@ 3e 3d 3Ж] 3¶"3 :X f=@ 3]!3[!3\!3_ 3„Ш 3–IO 3DO–@†IP 3DP 3–GO 3BO‡@†GP 3BP 3–CO 3&gt;Oљ S†CP 3&gt;P 3–@O 3;Oѓ`†@P 3;P 3–IO 3DO–@†IP 3DP 3–GO 3BO‡@†GP 3BP 3–CO 3&gt;Oљ S†CP 3&gt;P 3–@O 3;Oѓ`†@P 3;P« C–=O 3:O 34Oђp†=P 3:P 34Pћ 3–IO‹ S†IP 3–IOЃp†IP 3я •3MTrk"3µ 3я 6!3·d!3e!3 lr3з 3@ 3·e!3d gf9@ fY!3e 3d 3e!3d hf9@ 3e 3d 3З] 3·"3 :X f=@ 3]!3[!3\!3_ 3„њ 3— XOѓ`‡ XPљ S— XOЏ 3‡ XPЏ 3— XOЏ 3‡ XPЏ 3— XOЏ 3‡ XPЏ 3— XOЏ 3‡ XP­ 3— LOЏ 3‡ LPЏ 3— LOЏ 3‡ LPЏ 3— XO‹ S‡ XP 3— dOЃp‡ dPђp— XO‹ S‡ XP 3я •3MTrk!3 8@ 3я 6!3ёd!3e!3 lr3и 3@ 3ёe!3d gf9@ fY!3e 3d 3e!3d hf9@ 3e 3d 3И!3ё"3 :X f=@ 3]!3[!3\!3_ 3ѓ¤ 38O‚h€8P 3DO‚h€DP 39O‚h€9P 3DO‚h€DP 39Oѓ`€9P 38O‚h€8P 3DO‚h€DP 36O‚h€6P 3DO‚h€DP 34Oѓ`€4P 38O‚h€8P 3DO‚h€DP 39O‚h€9P 3DO‚h€DP 3;Oѓ`€;P 38O‚h€8P 3DO‚h€DP 39O‚h€9P 3@O‚h€@P 3BO 3;Oѓ`€BP 3;P 38O‚h€8P 3DO‚h€DP 39O‚h€9P 3DO‚h€DP 3;Oѓ`€;P 38O‚h€8P 3DO‚h€DP 36O‚h€6P 3DO‚h€DP 34Oѓ`€4P 38O‚h€8P 3DO‚h€DP 39O‚h€9P 3DO‚h€DP 36Oѓ`€6P 34O‚h€4P 3@O‚h€@P 39O‚h€9P 3@O‚h€@P 3BO 3;Oѓ`€BP 3;P­ 3 dOx€ dP 3 dO‚h€ dPѓ`4Ox€4P 34Ox€4P 34OЃp€4Pј 3=Ox€=P 3=Ox€=P 3=Ox€=P 3=Ox€=P 3IOx€IP 3=Ox€=P 3=Ox€=P 3IOx€IP 3=Ox€=P 3=O‚h€=PЃp=Ox€=P 3=Ox€=P 3IOx€IP 3=Ox€=P 3=Ox€=P 3IOx€IP 3=Ox€=P 3=O‚h€=PЃp=Ox€=P 3=Ox€=P 3GOx€GP 3=Ox€=P 3=Ox€=P 3IOx€IP 3=Ox€=P 3IOx€IP 3=Ox€=P 3=Ox€=P 3IOx€IP 3=Ox€=P 3=Ox€=P 3IOx€IP 3=Ox€=P 3=O‚h€=PЃp=Ox€=P 3=Ox€=P 3IOx€IP 3=Ox€=P 3=Ox€=P 3IOx€IP 3=Ox€=P 3=O‚h€=PЃp=Ox€=P 3=Ox€=P 3IOx€IP 3=Ox€=P 3=Ox€=P 3IOx€IP 3=Ox€=P 3=Ox€=P 3=Ox€=P 3=Ox€=P 3 dOx€ dP 3 dO‚h€ dPЃp dOx€ dP 3 dOx€ dP…P4O f[Ox€4P f[P 34O f[Ox€4P f[P 3 dOx€ dP 3 dO‚h€ dP‹ S dOx€ dP 3 dO‚h€ dPЃp dOx€ dP 3 dOx€ dPѓ`4O f[Ox€4P f[P 34O f[Ox€4P f[P 34O f[Ox€4P f[P 34O f[Ox€4P f[P 3:O f^Ox€ ^P 3 ^O‚h€ ^P…P:PЃp7O f[Ox€7P f[P 37O f[Ox€7P f[P 37O f[Ox€7P f[P 37O f[Ox€7P f[P 3=O fdOx€=P fdP 3=O fdO‚h€=P fdP‹ S@Ox€@P 3=Ox€=P 3=Ox€=P 3COx€CP 3=Ox€=P 3=Ox€=P 3@Ox€@P 3=Ox€=P 3=Ox€=P 3FOx€FP 3=Ox€=P 3=Ox€=P 3@Ox€@P 3=Ox€=P 3COx€CP 3=Ox€=P 3DOЏ 3€DP 3я •3MTrk!3 iz3я 6!3єd!3e!3 lr3к 3@ 3єe!3d gf9@ fY!3e 3d 3e!3d hf9@ 3e 3d 3К!3є"3 :X f=@ 3]!3[!3\!3_ 3„њ 3љ dO‡@Љ dP 3љ dO‡@Љ dP 3љ dO‡@Љ dP 3љ dOxЉ dP 3љ dO‚hЉ dPѓ`љ dO fLOxЉ dP fLP 3љ SOxЉ SP 3љ XOxЉ XP 3љ SOxЉ SP 3љ ROxЉ RP 3љ XOxЉ XP 3љ QOxЉ QP 3љ NOxЉ NP 3љ dO fLOxЉ dP fLP 3љ OOxЉ OP 3љ VOxЉ VP 3љ UOxЉ UP 3љ TOxЉ TP 3љ XOxЉ XP 3љ SOxЉ SP 3љ ROxЉ RP 3љ LOxЉ LP 3љ SOxЉ SP 3љ XOxЉ XP 3љ ROxЉ RP 3љ XOxЉ XP 3љ [OxЉ [P 3љ VOxЉ VP 3љ UOxЉ UP 3љ dO fLOxЉ dP fLP 3љ OOxЉ OP 3љ SOxЉ SP 3љ _OxЉ _P 3љ ^OxЉ ^P 3љ XOxЉ XP 3љ ROxЉ RP 3љ OOxЉ OPЏ 3љ XOЏ 3Љ XPЏ 3љ XOЏ 3Љ XPЏ 3љ XO‡@Љ XP 3љ XO‡@Љ XP 3љ XOЏ 3Љ XP 3љ XO‡@Љ XP 3љ XO‡@Љ XPћ 3љ XOЏ 3Љ XP 3љ ROЏ 3Љ RPЏ 3љ [O fOOxЉ [P fOP 3љ XO fLOxЉ XP fLP 3љ XO fLOxЉ XP fLP 3љ ^O fOOxЉ ^P fOP 3љ XO fLOxЉ XP fLP 3љ XO fLOxЉ XP fLP 3љ [O fOOxЉ [P fOP 3љ XO fLOxЉ XP fLP 3љ XO fLOxЉ XP fLP 3љ aO fOOxЉ aP fOP 3љ XO fLOxЉ XP fLP 3љ XO fLOxЉ XP fLP 3љ [O fROxЉ [P fRP 3љ XO fLOxЉ XP fLP 3љ ^O fQOxЉ ^P fQP 3љ XO fLOxЉ XP fLP 3љ _O fLOxЉ LP 3љ LOЃpЉ LP 3љ LOЃpЉ LP 3љ LOЃpЉ LP 3љ LOЃpЉ LP 3љ LOxЉ LP 3љ LOxЉ LP 3љ LOЃpЉ LP‚h _P 3я b 3</t>
  </si>
  <si>
    <t>LT_Angry_Smile_Of_God.mid</t>
  </si>
  <si>
    <t>MThd"3 lfgfm4аMTrk"3 ‹3яQ ioZА 3я iADead SEyes SL*ok 3яX!7 hoЌ3я •3MTrk!3 5я 3я i;Guitar †—3°d!3e!3 lr3а 3@ 3°e!3d gf9@ fY!3e 3d 3e!3d hf9@ 3e 3d 3А 3°"3 :h fp–3]!3[!3\!3_ 3xђ4OЃpЂ4P 3ђ7OxЂ7P 3ђ;OЃpЂ;P 3ђ4OЃpЂ4P 3ђ eOЃpЂ eP 3ђ6OxЂ6P 3ђ;OЃpЂ;P 3ђ eOЃpЂ eP 3ђ bOЃpЂ bP 3ђ cO‚hЂ cP 3ђ ^OxЂ ^P 3ђ eOxЂ eP 3ђ cOЃpЂ cP 3ђ bOЃpЂ bP 3ђ `Oѓ`Ђ `P 3ђ ^OxЂ ^P 3ђ `OЃpЂ `P 3ђ bOѓ`Ђ bP 3ђ4Oѓ`Ђ4P 3ђ6O‚hЂ6P 3ђ eO‚hЂ eP 3ђ bOЃpЂ bP 3ђ `O…PЂ `P 3ђ [OЃpЂ [P 3ђ6OxЂ6P 3ђ7OxЂ7P 3ђ9OxЂ9P 3ђ@OЃpЂ@P 3ђ&gt;OxЂ&gt;P 3ђ7OxЂ7P 3ђ6OxЂ6P 3ђ4OЃpЂ4P 3ђ7OxЂ7P 3ђ;OЃpЂ;P 3ђ4OЃpЂ4P 3ђ eOЃpЂ eP 3ђ6OxЂ6P 3ђ;OЃpЂ;P 3ђ eOЃpЂ eP 3ђ bOЃpЂ bP 3ђ cO‚hЂ cP 3ђ ^OxЂ ^P 3ђ eOxЂ eP 3ђ cOЃpЂ cP 3ђ bOЃpЂ bP 3ђ cO f`O‚hЂ cP f`P 3ђ ^OЃpЂ ^P 3ђ `OЃpЂ `P 3ђ bOѓ`Ђ bP 3ђ4Oѓ`Ђ4P 3ђ6O‚hЂ6P 3ђ eO‚hЂ eP 3ђ7O‡@Ђ7P 3ђ6OxЂ6P 3ђ4OxЂ4P 3ђ eO‚hЂ eP 3ђ bO‚hЂ bP 3ђ eOЃpЂ eP 3ђ [Oѓ`Ђ [P 3ђ4Oѓ`Ђ4P 3ђ6O‚hЂ6P 3ђ eO‚hЂ eP 3ђ7O‡@Ђ7P 3ђ6OxЂ6P 3ђ4OxЂ4P 3ђ6O‚hЂ6P 3ђ eO‚hЂ eP 3ђ4O…PЂ4P 3ђ;Oѓ`Ђ;P 3ђ9O‚hЂ9P 3ђ6O‚hЂ6P 3ђ7O‡@Ђ7P 3ђ6OxЂ6P 3ђ7OxЂ7P 3ђ9O‚hЂ9P 3ђ9O‚hЂ9P 3ђ;OџpЂ;P 3я •3MTrk!3 i‡3я i;Guitar †3±d!3e!3 lr3б 3@ 3±e!3d gf9@ fY!3e 3d 3e!3d hf9@ 3e 3d 3Б!3±"3 :h f=P 3]!3[!3\!3_!3‘4O&lt;;O&lt;@O… GЃ;PЃ*4P 3@P 3‘@O 39O feO€8Ѓ@P 39P feP 3‘&lt;O 37O‹ SЃ&lt;P 37P 3‘9O 34O‚hЃ9P 34P 3‘ bO&lt;4O&lt;;O†HЃ bP&lt;4P&lt;;P 3‘9O feO f`O‡@Ѓ9P feP f`P 3‘4O f`O f[O‡@Ѓ4P f`P f[P 3‘ eO f`O†HЃ eP f`P 3‘4O&lt;;O&lt;@OЉdЃ;Pѓ W4P 3@P 3‘ cO&lt;7O*&lt;OЉ [Ѓ cP&lt;7P*&lt;P 3‘9O 34O f`Oѓ`Ѓ9P 34P f`P 3‘;O 34O fbO‡@Ѓ;P 34P fbP 3‘9O feO f`O…PЃ9P feP f`P 3‘&lt;O 37O fcO‰ cЃ&lt;P 37P fcP 3‘9O 36O feO†HЃ9P 36P feP 3‘4O&lt;;O&lt;@O†HЃ4P&lt;;P&lt;@P 3‘9O feO f`O…PЃ9P feP f`P 3‘CO 3&lt;O 37O fcO‡@ЃCP 3&lt;P 37P fcP 3‘6OxЃ6P 3‘4OxЃ4P 3‘EO 39O 36O feO† ?ЃEP 39P 36P feP 3‘4O&lt;;O&lt;@O&lt;GO… GЃ@Px4P&lt;;P 3GP 3‘6O&lt;9O&lt;&gt;O&lt;EO‚ _Ѓ6P&lt;9P&lt;&gt;P&lt;EP 3‘ cO&lt;7O*&lt;O&lt;GOЃ4Ѓ cP 3&lt;P&lt;7P 3GP 3‘&lt;O 37O fcO† ?Ѓ&lt;P 37P fcP 3‘6O&lt;9O&lt;&gt;O&lt;JO‚ _Ѓ6P&lt;9P&lt;&gt;P&lt;JP&lt;‘ [O&lt;;O&lt;@O&lt;LO‚ _Ѓ [P&lt;;P&lt;@P&lt;LP 3± :H 3‘4OxЃ4P 3‘;OЃpЃ;P 3‘:OЃpЃ:P 3‘ [OЃpЃ [P 3‘4OxЃ4P 3‘:OЃpЃ:P 3‘;OЃpЃ;PЃp‘ [OЃpЃ [P 3‘4OxЃ4P 3‘;OЃpЃ;P 3‘:OЃpЃ:P 3‘ [OЃpЃ [P 3‘4OЃpЃ4P 3‘:OЃpЃ:P 3‘4OxЃ4P 3‘;OЃpЃ;P 3я •3MTrk!3 5ц 3я i7Ba*s 3Іd!3e!3 lr3в 3@ 3Іe!3d gf9@ fY!3e 3d 3e!3d hf9@ 3e 3d 3В Ќ3І"3 :p f=@ 3]!3[!3\!3_ 3x’ OO‚h‚ OP 3’ OOx‚ OP 3’ [O‚h‚ [P 3’ M_ѓ`‚ MP 3’ M_x‚ MP 3’ YOЃp‚ YP 3’ OOЃp‚ OP 3’ WO‚h‚ WP 3’ WOx‚ WP 3’ [O‚h‚ [P 3’ TOx‚ TPx’ TOx‚ TPx’ ROx‚ RP 3’ TOx‚ TP 3’ ROx‚ RP 3’ TOx‚ TP 3’ VOx‚ VP 3’ OO‚h‚ OP 3’ OOx‚ OP 3’ [O‚h‚ [P 3’ M_ѓ`‚ MP 3’ M_x‚ MP 3’ YOЃp‚ YP 3’ OOЃp‚ OP 3’ WO‚h‚ WP 3’ WOx‚ WP 3’ [O‚h‚ [P 3’ M_ѓ`‚ MP 3’ [OЃp‚ [P 3’ YOx‚ YP 3’ ROx‚ RP 3’ QOx‚ QP 3’ OO‚h‚ OP 3’ OOx‚ OP 3’ [O‚h‚ [P 3’ M_ѓ`‚ MP 3’ M_x‚ MP 3’ YOЃp‚ YP 3’ OOЃp‚ OP 3’ WO‚h‚ WP 3’ WOx‚ WP 3’ [O‚h‚ [P 3’ TOx‚ TP 3’ R_x‚ RP 3’ TOx‚ TPx’ ROx‚ RP 3’ TOЃp‚ TP 3’ TOЃp‚ TP 3’ OO‚h‚ OP 3’ OOx‚ OP 3’ [O‚h‚ [P 3’ M_†H‚ MP 3’ OOЃp‚ OP 3’ WO‚h‚ WP 3’ WOx‚ WP 3’ [O‚h‚ [P 3’ M_†H‚ MP 3’ OOЃp‚ OP 3’ OO‚h‚ OP 3’ OOx‚ OP 3’ [O‚h‚ [P 3’ M_†H‚ MP 3’ OOЃp‚ OP 3’ WO‚h‚ WP 3’ WOx‚ WP 3’ [O‚h‚ [P 3’ M_…P‚ MPx’ OOЃp‚ OP 3’ OO‚h‚ OP 3’ OOx‚ OP 3’ [O‚h‚ [P 3’ M_…P‚ MPx’ OOЃp‚ OP 3’ WO‚h‚ WP 3’ WOx‚ WP 3’ [O‚h‚ [P 3’ M_…P‚ MPx’ OOЃp‚ OP 3я •3MTrk!3 43 3я i&lt;Pi*zicato 3іd!3e!3 lr3г 3@ 3іe!3d gf9@ fY!3e 3d 3e!3d hf9@ 3e 3d 3Г x3і"3 :h f=@ 3]!3[!3\!3_ 3јx“@O‡@ѓ@P 3“&gt;O‡@ѓ&gt;P 3“&lt;O†Hѓ&lt;P 3“9O…Pѓ9Px“9OЃpѓ9P 3“;O‡@ѓ;P 3“&gt;O…Pѓ&gt;P 3“@O€8ѓ@P 3“&gt;O€8ѓ&gt;P 3“@O 3;O‡@ѓ@P 3;P 3“BO 3&gt;O…PѓBP 3&gt;P 3“CO 3&lt;O€8ѓCP 3&lt;P 3“BO 3&gt;O†HѓBP 3&gt;P 3“@O 3;O‰ cѓ@P 3;P 3“BO 3&gt;O…PѓBP 3&gt;P 3“CO 3&lt;O€8ѓCP 3&lt;P 3“EO 3&gt;O†HѓEP 3&gt;P 3“GO 3@O‚hѓGP 3@P 3я •3MTrk!3 &lt;а 3я i8Drums 3№d!3e!3 lr3й 3@ 3№e!3d gf9@ fY!3e 3d 3Й!3№"3 :h f=@ 3]!3[!3\!3_ 3x™ VO f\O 3=Ox‰ VP f\P 3=P 3™@Ox‰@P 3™@Ox‰@P 3™ VO 3=Ox‰ VP 3=P 3™ YO 3@Ox‰ YP 3@P 3™@Ox‰@Px™ VO f\O 3=Ox‰ VP f\P 3=Px™ VO 3@Ox‰ VP 3@P 3™@Ox‰@P 3™ VO 3=Ox‰ VP 3=P 3™ YO 3@Ox‰ YP 3@P 3™@Ox‰@P 3™&lt;Ox‰&lt;P 3™?Ox‰?P 3™ \O fVO 3=Ox‰ \P fVP 3=P 3™@Ox‰@P 3™@Ox‰@P 3™ VO 3=Ox‰ VP 3=P 3™ YO 3@Ox‰ YP 3@P 3™@Ox‰@P 3™ XOx‰ XP 3™ \O 35O 3=Ox‰ \P 35P 3=Px™ VO 3@Ox‰ VP 3@P 3™@Ox‰@P 3™ VO 3=Ox‰ VP 3=P 3™@Ox‰@P 3™ VO 3@Ox‰ VP 3@P 3™ YO 3&lt;Ox‰ YP 3&lt;P 3™ \O 3&lt;Ox‰ \P 3&lt;P 3™ VO f\O 3=Ox‰ VP f\P 3=P 3™@Ox‰@P 3™@Ox‰@P 3™ VO 3=Ox‰ VP 3=P 3™ YO 3@Ox‰ YP 3@P 3™@Ox‰@Px™ \O fVO 3=Ox‰ \P fVP 3=Px™ VO 3@Ox‰ VP 3@P 3™@Ox‰@P 3™ VO 3=Ox‰ VP 3=P 3™ YO 3@Ox‰ YP 3@P 3™@Ox‰@P 3™&lt;Ox‰&lt;P 3™?Ox‰?P 3™ VO f\O 3=Ox‰ VP f\P 3=P 3™@Ox‰@P 3™@Ox‰@P 3™ VO 3=Ox‰ VP 3=P 3™ YO 3@Ox‰ YP 3@P 3™@Ox‰@P 3™KOx‰KP 3™ VO f\O 3=Ox‰ VP f\P 3=Px™ VO 3@Ox‰ VP 3@P 3™@Ox‰@P 3™ VO 3=Ox‰ VP 3=P 3™ VO 3@Ox‰ VP 3@P 3™@Ox‰@P 3™ \O 3&lt;O 3KOx‰ \P 3&lt;P 3KP 3™&lt;O f\O 3KOx‰&lt;P f\P 3KP 3™ VO f\O 37O 3=Ox‰ VP f\P 37P 3=P 3™@Ox‰@P 3™@Ox‰@P 3™ VO 3=Ox‰ VP 3=P 3™ YO 3@Ox‰ YP 3@P 3™@Ox‰@Px™ \O 35O 3=Ox‰ \P 35P 3=Px™ VO 3@Ox‰ VP 3@P 3™@Ox‰@P 3™ VO 3=Ox‰ VP 3=P 3™ YO 3@Ox‰ YP 3@P 3™@Ox‰@P 3™&lt;Ox‰&lt;P 3™?Ox‰?P 3™ VO f\O 37O 3=Ox‰ VP f\P 37P 3=P 3™@Ox‰@P 3™@Ox‰@P 3™ VO 3=Ox‰ VP 3=P 3™ YO 3@Ox‰ YP 3@P 3™@Ox‰@P 3™ XOx‰ XP 3™ \O 35O 3=Ox‰ \P 35P 3=Px™ VO 3@Ox‰ VP 3@P 3™@Ox‰@P 3™ VO 3=Ox‰ VP 3=P 3™@Ox‰@P 3™ VO 3@Ox‰ VP 3@P 3™ YO 3&lt;Ox‰ YP 3&lt;P 3™ YO 3&lt;Ox‰ YP 3&lt;P 3™ VO f\O 33O 3=Ox‰ VP f\P 33P 3=P 3™@Ox‰@P 3™@Ox‰@P 3™ VO 3=Ox‰ VP 3=P 3™ YO 3@Ox‰ YP 3@P 3™@Ox‰@P 3™KOx‰KP 3™ \O 35O 3=Ox‰ \P 35P 3=Px™ VO 3@Ox‰ VP 3@P 3™@Ox‰@P 3™ VO 3=Ox‰ VP 3=P 3™ YO 3@Ox‰ YP 3@P 3™@Ox‰@P 3™;O 3&lt;O 3KOx‰;P 3&lt;P 3KP 3™?Ox‰?P 3™ VO f\O 33O 3=Ox‰ VP f\P 33P 3=P 3™@Ox‰@P 3™@Ox‰@P 3™ VO 3=Ox‰ VP 3=P 3™ YO 3@Ox‰ YP 3@P 3™@Ox‰@P 3™KOx‰KP 3™ \O 35O 3=Ox‰ \P 35P 3=Px™ VO 3@Ox‰ VP 3@P 3™@Ox‰@P 3™ VO 3=Ox‰ VP 3=P 3™@Ox‰@P 3™ VO 3@Ox‰ VP 3@P 3™ YO 3&lt;O 3;O 3KOx‰ YP 3&lt;P 3;P 3KP 3™ YO 3&lt;O 3KOx‰ YP 3&lt;P 3KP 3™ VO f\O 37O 3=Ox‰ VP f\P 37P 3=P 3™@Ox‰@P 3™@Ox‰@P 3™ VO 3=Ox‰ VP 3=P 3™ YO 3@Ox‰ YP 3@P 3™@Ox‰@Px™ \O 35O 3=Ox‰ \P 35P 3=Px™ VO 3@Ox‰ VP 3@P 3™@Ox‰@P 3™ VO 3=Ox‰ VP 3=P 3™ YO 3@Ox‰ YP 3@P 3™@Ox‰@P 3™&lt;Ox‰&lt;P 3™?Ox‰?P 3™ VO f\O 37O 3=Ox‰ VP f\P 37P 3=P 3™@Ox‰@P 3™@Ox‰@P 3™ VO 3=Ox‰ VP 3=P 3™ YO 3@Ox‰ YP 3@P 3™@Ox‰@P 3™ XOx‰ XP 3™ \O 35O 3=Ox‰ \P 35P 3=Px™ VO 3@Ox‰ VP 3@P 3™@Ox‰@P 3™ VO 3=Ox‰ VP 3=P 3™@Ox‰@P 3™ VO 3@Ox‰ VP 3@P 3™ YO 3&lt;Ox‰ YP 3&lt;P 3™ YO 3&lt;Ox‰ YP 3&lt;P 3™ VO f\O 33O 3=Ox‰ VP f\P 33P 3=P 3™@Ox‰@P 3™@Ox‰@P 3™ VO 3=Ox‰ VP 3=P 3™ YO 3@Ox‰ YP 3@P 3™@Ox‰@P 3™KOx‰KP 3™ \O 35O 3=Ox‰ \P 35P 3=Px™ VO 3@Ox‰ VP 3@P 3™@Ox‰@P 3™ VO 3=Ox‰ VP 3=P 3™ YO 3@Ox‰ YP 3@P 3™@Ox‰@P 3™;O 3&lt;O 3KOx‰;P 3&lt;P 3KP 3™?Ox‰?P 3™ VO f\O 33O 3=Ox‰ VP f\P 33P 3=P 3™@Ox‰@P 3™@Ox‰@P 3™ VO 3=Ox‰ VP 3=P 3™ YO 3@Ox‰ YP 3@P 3™@Ox‰@P 3™KOx‰KP 3™ \O 35O 3=Ox‰ \P 35P 3=Px™ VO 3@Ox‰ VP 3@P 3™@Ox‰@P 3™ VO 3=Ox‰ VP 3=P 3™@Ox‰@P 3™ VO 3@Ox‰ VP 3@P 3™ YO 3&lt;O 3;O 3KOx‰ YP 3&lt;P 3;P 3KP 3™ YO 3&lt;O 3KOx‰ YP 3&lt;P 3KP 3™;Ox‰;P 3™&lt;Ox‰&lt;P 3™?Ox‰?P 3™?Ox‰?P 3™=O‚h‰=P 3™&gt;OЃp‰&gt;P 3™&lt;Ox‰&lt;P 3™?Ox‰?P 3™?Ox‰?P 3™=OЃp‰=P 3™=O fUOЃp‰=P fUP 3™&gt;O 3;Ox‰&gt;P 3;P 3™&lt;Ox‰&lt;P 3™?Ox‰?P 3™?Ox‰?P 3™=O‚h‰=P 3™&gt;O 35OЃp‰&gt;P 35P 3™&lt;Ox‰&lt;P 3™?Ox‰?P 3™?Ox‰?P 3™=OЃp‰=P 3™@Ox‰@P 3™@Ox‰@P 3я •3MTrk!3 45 3я i&gt;Tinkle SBe*l 3ґd!3e!3 lr3д 3@ 3ґe!3d gf9@ fY!3e 3d 3e!3d hf9@ 3e 3d 3Д q3ґ"3 :h f=@ 3]!3[!3\!3_ 3x”@OЏ 3„@PЏ 3”@OЏ 3„@PЏ 3”@OЏ 3„@PШ C”@O€8„@P 3”&gt;O†H„&gt;P 3”LOЃp„LP 3ґ :H 3” [OЃp„ [P 3”4Ox„4P 3”;OЃp„;P 3”:OЃp„:P 3” [OЃp„ [P 3”4Ox„4P 3”:OЃp„:P 3”;OЃp„;PЃp”LO f[OЃp„LP f[P 3”4Ox„4P 3”;OЃp„;P 3”:OЃp„:P 3” [OЃp„ [P 3”4OЃp„4P 3”:OЃp„:P 3”4Ox„4P 3”;OЃp„;P 3я b 3</t>
  </si>
  <si>
    <t>MThd"3 lfgfn4аMTrk"3 ‹3яQ ioZА 3я iADead SEyes SL*ok 3яX!7 hoЌ3я •3MTrk!3 @ 3я i;Guitar †—3°d!3e!3 lr3а 3@ 3°e!3d gf9@ fY!3e 3d 3e!3d hf9@ 3e 3d 3А 3°"3 :h f=8 3]!3[!3\!3_!3ђ [OЃpЂ [P 3ђ4OxЂ4P 3ђ;OЃpЂ;P 3ђ:OЃpЂ:P 3ђ [OЃpЂ [P 3ђ4OxЂ4P 3ђ:OЃpЂ:P 3ђ;OЃpЂ;P 3ђ cOЃpЂ cP 3ђ [OЃpЂ [P 3ђ4OxЂ4P 3ђ;OЃpЂ;P 3ђ:OЃpЂ:P 3ђ [OЃpЂ [P 3ђ4OxЂ4P 3ђ:OЃpЂ:P 3ђ;OЃpЂ;P 3ђ \OЃpЂ \P 3ђ [OЃpЂ [P 3ђ4OxЂ4P 3ђ;OЃpЂ;P 3ђ:OЃpЂ:P 3ђ [OЃpЂ [P 3ђ4OxЂ4P 3ђ:OЃpЂ:P 3ђ;OЃpЂ;P 3ђ bO`а 3E ~3ExЂ bP 3а 3@ 3ђ bOЃpЂ bP 3ђ [OxЂ [P 3ђ;OЃpЂ;P 3ђ:OЃpЂ:P 3ђ [OЃpЂ [P 3ђ4OЃpЂ4P 3ђ:OЃpЂ:P 3ђ4OxЂ4P 3ђ;OЃpЂ;P 3ђ ^OЃpЂ ^P 3ђ7OxЂ7P 3ђ&gt;OЃpЂ&gt;P 3ђ=OЃpЂ=P 3ђ ^OЃpЂ ^P 3ђ7OxЂ7P 3ђ=OЃpЂ=P 3ђ&gt;OЃpЂ&gt;P 3ђ3OЃpЂ3P 3ђ ^OЃpЂ ^P 3ђ7OxЂ7P 3ђ&gt;OЃpЂ&gt;P 3ђ=OЃpЂ=P 3ђ ^OЃpЂ ^P 3ђ7OxЂ7P 3ђ=OЃpЂ=P 3ђ&gt;OЃpЂ&gt;P 3ђ ^O`а 3E ~3ExЂ ^P 3а 3@ 3ђ ^OЃpЂ ^P 3ђ7OxЂ7P 3ђ&gt;OЃpЂ&gt;P 3ђ=OЃpЂ=P 3ђ ^OЃpЂ ^P 3ђ7OxЂ7P 3ђ=OЃpЂ=P 3ђ&gt;OЃpЂ&gt;P 3ђ3OЃpЂ3P 3ђ ^OЃpЂ ^P 3ђ7OxЂ7P 3ђ&gt;OЃpЂ&gt;P 3ђ7OxЂ7P 3ђ=OЃpЂ=P 3ђ ^OxЂ ^P 3ђ7OxЂ7P 3ђ=OЃpЂ=P 3ђ eOЃpЂ eP 3ђ&gt;OЃpЂ&gt;P 3ђ4OЃpЂ4P 3ђ;OxЂ;P 3ђAOЃpЂAP 3ђ;OxЂ;P 3ђ@OЃpЂ@P 3ђ4OxЂ4P 3ђ;OxЂ;P 3ђ&gt;OЃpЂ&gt;P 3ђ@OЃpЂ@P 3ђ5OЃpЂ5P 3ђ4OЃpЂ4P 3ђ;OxЂ;P 3ђAOЃpЂAP 3ђ;OxЂ;P 3ђ@OЃpЂ@P 3ђ4OxЂ4P 3ђ;OxЂ;P 3ђ&gt;OЃpЂ&gt;P 3ђ@OЃpЂ@P 3ђ5OЃpЂ5P 3ђ4OЃpЂ4P 3ђ;OxЂ;P 3ђAOЃpЂAP 3ђ@OЃpЂ@P 3ђ&gt;OЃpЂ&gt;P 3ђ;OxЂ;P 3ђ&gt;OЃpЂ&gt;P 3ђ@OЃpЂ@P 3ђ5OЃpЂ5P 3ђ4OЃpЂ4P 3ђ;OxЂ;P 3ђAOЃpЂAP 3ђ;OxЂ;P 3ђ@OЃpЂ@P 3ђ4OxЂ4P 3ђ&gt;OЃpЂ&gt;P 3ђ;OxЂ;P 3ђAOЃpЂAP 3ђ@OЃpЂ@P 3ђ dOЃpЂ dP 3ђ8OxЂ8P 3ђ&gt;OЃpЂ&gt;P 3ђ8OxЂ8P 3ђ=OЃpЂ=P 3ђ dOxЂ dP 3ђ8OxЂ8P 3ђ;OЃpЂ;P 3ђ=OЃpЂ=P 3ђ eOЃpЂ eP 3ђ dOЃpЂ dP 3ђ8OxЂ8P 3ђ&gt;OЃpЂ&gt;P 3ђ8OxЂ8P 3ђ=OЃpЂ=P 3ђ dOxЂ dP 3ђ8OxЂ8P 3ђ;OЃpЂ;P 3ђ=OЃpЂ=P 3ђ dO`а 3E ~3ExЂ dP 3а 3@ 3ђ dOЃpЂ dP 3ђ8OxЂ8P 3ђ&gt;OЃpЂ&gt;P 3ђ=OЃpЂ=P 3ђ;OЃpЂ;P 3ђ8OxЂ8P 3ђ;OЃpЂ;P 3ђ=OЃpЂ=P 3ђ eOЃpЂ eP 3ђ dOЃpЂ dP 3ђ8OxЂ8P 3ђ&gt;OЃpЂ&gt;P 3ђ8OxЂ8P 3ђ=OЃpЂ=P 3ђ dOxЂ dP 3ђ;OЃpЂ;P 3ђ8OxЂ8P 3ђ&gt;OЃpЂ&gt;P 3ђ=OЃpЂ=P 3ђ [OЃpЂ [P 3ђ4OxЂ4P 3ђ;OЃpЂ;P 3ђ:OЃpЂ:P 3ђ [OЃpЂ [P 3ђ4OxЂ4P 3ђ:OЃpЂ:P 3ђ;OЃpЂ;P 3ђ4O fbOlа 3E r3KxЂ4P 3а 3@ 3Ђ bP 3ђ cOЃpЂ cP 3ђ7OxЂ7P 3ђ6OЃpЂ6P 3ђ7OЃpЂ7P 3ђ ]OЃpЂ ]P 3ђ dOЃpЂ dP 3ђ6OЃpЂ6P 3ђ7O‚hЂ7P 3ђ [OЃpЂ [P 3ђ4OxЂ4P 3ђ;OЃpЂ;P 3ђ:OЃpЂ:P 3ђ [OЃpЂ [P 3ђ4OxЂ4P 3ђ:OЃpЂ:P 3ђ;OЃpЂ;P 3ђ4O fbOlа 3E r3KxЂ4P 3а 3@ 3Ђ bP 3ђ cOЃpЂ cP 3ђ4OxЂ4P 3ђ6OЃpЂ6P 3ђ7OЃpЂ7P 3ђ aOЃpЂ aP 3ђ4OЃpЂ4P 3ђ7OЃpЂ7P 3ђ6O‚hЂ6P 3ђ [OЃpЂ [P 3ђ4OxЂ4P 3ђ;OЃpЂ;P 3ђ:OЃpЂ:P 3ђ [OЃpЂ [P 3ђ4OxЂ4P 3ђ:OЃpЂ:P 3ђ;OЃpЂ;P 3ђ4O fbOlа 3E r3KxЂ4P 3а 3@ 3Ђ bP 3ђ cOЃpЂ cP 3ђ7OxЂ7P 3ђ6OЃpЂ6P 3ђ7OЃpЂ7P 3ђ ]OЃpЂ ]P 3ђ dOЃpЂ dP 3ђ:OЃpЂ:P 3ђ=O‚hЂ=P 3ђ [OЃpЂ [P 3ђ4OxЂ4P 3ђ;OЃpЂ;P 3ђ:OЃpЂ:P 3ђ ]OЃpЂ ]P 3ђ dOxЂ dP 3ђ:OЃpЂ:P 3ђ;OЃpЂ;P 3ђ6O`а 3E ~3ExЂ6P 3а 3@ 3ђ cOЃpЂ cP 3ђ7OxЂ7P 3ђ;OЃpЂ;P 3ђ:OЃpЂ:P 3ђ aOЃpЂ aP 3ђ4OЃpЂ4P 3ђ7OЃpЂ7P 3ђ6O‚hЂ6P 3ђ&lt;OЃpЂ&lt;P 3ђ@OxЂ@P 3ђCOЃpЂCP 3ђ@OЃpЂ@P 3ђ;OЃpЂ;P 3ђ@OxЂ@P 3ђCOЃpЂCP 3ђ@OЃpЂ@P 3ђ;OЃpЂ;P 3ђ:OЃpЂ:P 3ђ@OxЂ@P 3ђCOЃpЂCP 3ђ@OЃpЂ@P 3ђ6OЃpЂ6P 3ђ@OxЂ@P 3ђBOЃpЂBP 3ђ@OЃpЂ@P 3ђ;OЃpЂ;P 3ђ&lt;OЃpЂ&lt;P 3ђ@OxЂ@P 3ђCOЃpЂCP 3ђ@OЃpЂ@P 3ђ;OЃpЂ;P 3ђ@OxЂ@P 3ђCOЃpЂCP 3ђ@OЃpЂ@P 3ђ;OЃpЂ;P 3ђ:OЃpЂ:P 3ђ@OxЂ@P 3ђCOЃpЂCP 3ђ@OЃpЂ@P 3ђ6OЃpЂ6P 3ђ@OxЂ@P 3ђBOЃpЂBP 3ђ@OЃpЂ@P 3ђ;OЃpЂ;P 3ђ&lt;OЃpЂ&lt;P 3ђ@OxЂ@P 3ђCOЃpЂCP 3ђ@OЃpЂ@P 3ђ;OЃpЂ;P 3ђ@OxЂ@P 3ђCOЃpЂCP 3ђ@OЃpЂ@P 3ђ;OЃpЂ;P 3ђ:OЃpЂ:P 3ђ@OxЂ@P 3ђCOЃpЂCP 3ђ@OЃpЂ@P 3ђ6OЃpЂ6P 3ђ@OxЂ@P 3ђBOЃpЂBP 3ђ@OЃpЂ@P 3ђ;OЃpЂ;P 3ђ&lt;OЃpЂ&lt;P 3ђ@OxЂ@P 3ђCOЃpЂCP 3ђ@OЃpЂ@P 3ђ;OЃpЂ;P 3ђ@OxЂ@P 3ђCOЃpЂCP 3ђ@OЃpЂ@P 3ђ;OЃpЂ;P 3ђ:OЃpЂ:P 3ђ=OxЂ=P 3ђBOЃpЂBP 3ђ=OЃpЂ=P 3ђ6OЃpЂ6P 3ђ:OxЂ:P 3ђ=OЃpЂ=P 3ђ:OЃpЂ:P 3ђ dOЃpЂ dP 3ђ [OЃpЂ [P 3ђ4OxЂ4P 3ђ;OЃpЂ;P 3ђ:OЃpЂ:P 3ђ [OЃpЂ [P 3ђ4OxЂ4P 3ђ:OЃpЂ:P 3ђ;Oѓ`Ђ;P 3ђ [OЃpЂ [P 3ђ4OxЂ4P 3ђ;OЃpЂ;P 3ђ:OЃpЂ:P 3ђ [OxЂ [P‡@ђ4OЃpЂ4P 3ђ4OxЂ4P 3ђ;OЃpЂ;P 3ђ:OЃpЂ:P 3ђ4OЃpЂ4P 3ђ4OxЂ4P 3ђ:OЃpЂ:P 3ђ;OЃpЂ;P 3ђ [OЃpЂ [P 3ђ4OЃpЂ4P 3ђ4OxЂ4P 3ђ;OЃpЂ;P 3ђ:OЃpЂ:P 3ђ4OЃpЂ4P 3ђ4OЃpЂ4P 3ђ:OЃpЂ:P 3ђ4OxЂ4P 3ђ;OЃpЂ;P 3ђ4OЃpЂ4P 3ђ4OxЂ4P 3ђ;OЃpЂ;P 3ђ:OЃpЂ:P 3ђ4OЃpЂ4P 3ђ4OxЂ4P 3ђ:OЃpЂ:P 3ђ;OЃpЂ;P 3ђ [OЃpЂ [PЃpђ4OxЂ4P 3ђ;OЃpЂ;P 3ђ:OЃpЂ:P 3ђ4OЃpЂ4P 3ђ4OЃpЂ4P 3ђ:OЃpЂ:P 3ђ bOxЂ bP 3ђ;OЃpЂ;P 3ђ4OЃpЂ4P 3ђ4OxЂ4P 3ђ;OЃpЂ;P 3ђ:OЃpЂ:P 3ђ4OЃpЂ4P 3ђ4OxЂ4P 3ђ:OЃpЂ:P 3ђ;OЃpЂ;P 3ђ [OЃpЂ [P 3ђ4OЃpЂ4P 3ђ4OxЂ4P 3ђ:OЃpЂ:P 3ђ;OЃpЂ;P 3ђ&gt;OЃpЂ&gt;P 3ђ&lt;OЃpЂ&lt;P 3ђ;OЃpЂ;P 3ђ9OxЂ9P 3ђ7OЃpЂ7P 3ђ4OЃpЂ4P 3ђ4OxЂ4P 3ђ;OЃpЂ;P 3ђ:OЃpЂ:P 3ђ4OЃpЂ4P 3ђ4OxЂ4P 3ђ:OЃpЂ:P 3ђ;OЃpЂ;P 3ђ [OЃpЂ [PЃpђ4OxЂ4P 3ђ;OЃpЂ;P 3ђ:OЃpЂ:P 3ђ4OЃpЂ4P 3ђ4OЃpЂ4P 3ђ:OЃpЂ:P 3ђ bOxЂ bP 3ђ:OЃpЂ:P 3я •3MTrk!3 h}3я i;Guitar †3±d!3e!3 lr3б 3@ 3±e!3d gf9@ fY!3e 3d 3e!3d hf9@ 3e 3d 3Б 3±"3 :h f=H 3]!3[!3\!3_!3 :h 3‘; YЏ 3Ѓ;PЃб 3‘@OЏ 3Ѓ@P 3‘:O‡@Ѓ:P 3‘6OxЃ6P 3‘;O†HЃ;P 3‘7OЏ 3Ѓ7P 3‘4O‡@Ѓ4Px‘:O†HЃ:P 3‘ bOЏ 3Ѓ bP 3‘ ^O‡@Ѓ ^Px‘ aO†HЃ aP 3‘@O‡@Ѓ@Px‘BO†HЃBP 3‘CO‡@ЃCPx‘CO†HЃCP 3‘&lt;O 37OЏ 3Ѓ&lt;P 37P 3‘:O 36OЏ 3Ѓ:P 36P 3‘&lt;O 34OЏ 3Ѓ&lt;P 34P 3‘:O 36OЏ 3Ѓ:P 36P 3‘&lt;O 37OЏ 3Ѓ&lt;P 37P 3‘:O 36OЏ 3Ѓ:P 36P 3‘&lt;O 34OЏ 3Ѓ&lt;P 34P 3‘6O faOЏ 3Ѓ6P faPЏ 3‘4Oѓ`Ѓ4P„X‘ dOxЃ dP 3‘ cOxЃ cP 3‘ dOxЃ dP 3‘ ^OxЃ ^P 3‘ X_xЃ XP 3‘ Y_xЃ YP 3‘ Z_xЃ ZP 3‘4OЏ 3Ѓ4P 3‘4O‡@Ѓ4P 3‘ eO‡@Ѓ eP 3‘4O fcOЏ 3Ѓ4P fcP 3‘ eOЏ 3Ѓ eP 3‘4OЏ 3Ѓ4P 3‘4O‡@Ѓ4P 3‘ eO‡@Ѓ eP 3‘4O fcOЏ 3Ѓ4P fcP 3‘ eO…PЃ ePx‘ •eѓ`Ѓ bP 3‘ ‘eѓ`Ѓ ^P 3я •3MTrk!3 6Е 3я i7Ba*s 3Іd!3e!3 lr3в 3@ 3Іe!3d gf9@ fY!3e 3d 3e!3d hf9@ 3e 3d 3В 3І"3 :p f=@ 3]!3[!3\!3_ 3‚и 3’ OO‡@‚ OP 3’ QOѓ`‚ QP 3’ ROѓ`‚ RP 3’ QO‡@‚ QP 3’ XOѓ`‚ XP 3’ ]Oѓ`‚ ]P 3’ [O‡@‚ [P 3’ ]Oѓ`‚ ]P 3’ ^Oѓ`‚ ^P 3’ ]O‡@‚ ]P 3’ XOѓ`‚ XP 3’ QOѓ`‚ QP 3’ OO‡@‚ OP 3’ QOѓ`‚ QP 3’ ROѓ`‚ RP 3’ QO‡@‚ QP 3’ XOѓ`‚ XP 3’ ]Oѓ`‚ ]P 3’ [O‡@‚ [P 3’ ]Oѓ`‚ ]P 3’ ^Oѓ`‚ ^P 3’ ]O‡@‚ ]P 3’ XOѓ`‚ XP 3’ QOѓ`‚ QP 3’ OOѓ`‚ OP‹ S’ OOѓ`‚ OP„X’ XOx‚ XP 3’ WOx‚ WP 3’ XOx‚ XP 3’ ROx‚ RP 3’ L_x‚ LP 3’ M_x‚ MP 3’ N_x‚ NP 3’ [O fOO‚h‚ [P fOP 3’ OOx‚ OP 3’ [O‚h‚ [P 3’ OOЃp‚ OP 3’ OOЃp‚ OP 3’ OOx‚ OP 3’ [OЃp‚ [P 3’ [OЃp‚ [P 3’ M_‚h‚ MP 3’ M_x‚ MP 3’ Y_‚h‚ YP 3’ M_Ѓp‚ MP 3’ M_Ѓp‚ MP 3’ O_Ѓp‚ OP 3’ M_x‚ MP 3’ YOЃp‚ YP 3’ WO‚h‚ WP 3’ WOx‚ WP 3’ [O‚h‚ [P 3’ WOЃp‚ WP 3’ WOЃp‚ WP 3’ WOx‚ WP 3’ [OЃp‚ [P 3’ [OЃp‚ [P 3’ M_‚h‚ MP 3’ M_x‚ MP 3’ YO‚h‚ YP 3’ M_Ѓp‚ MP 3’ M_Ѓp‚ MP 3’ M_x‚ MP 3’ Y_x‚ YP 3’ T_x‚ TP 3’ V_x‚ VP 3’ ZOx‚ ZP 3’ [O fOO‚h‚ [P fOP 3’ OOx‚ OP 3’ [O‚h‚ [P 3’ OOЃp‚ OP 3’ OOЃp‚ OP 3’ OOx‚ OP 3’ [OЃp‚ [P 3’ [OЃp‚ [P 3’ RO‚h‚ RP 3’ ROx‚ RP 3’ ^_‚h‚ ^P 3’ ROЃp‚ RP 3’ ROЃp‚ RP 3’ ^_Ѓp‚ ^P 3’ ROx‚ RP 3’ V_Ѓp‚ VP 3’ WO‚h‚ WP 3’ WOx‚ WP 3’ [O‚h‚ [P 3’ W_Ѓp‚ WP 3’ W_Ѓp‚ WP 3’ R_x‚ RP 3’ [OЃp‚ [P 3’ [OЃp‚ [P 3’ M_‚h‚ MP 3’ M_x‚ MP 3’ Y_‚h‚ YP 3’ VOЃp‚ VP 3’ VOЃp‚ VP 3’ QOЃp‚ QP 3’ VOx‚ VP 3’ ROЃp‚ RP 3я •3MTrk!3 mk3я i7Harp 3іd!3e!3 lr3г 3@ 3іe!3d gf9@ fY!3e 3d 3e!3d hf9@ 3e 3d 3Г ”3і"3 :h f=P 3]!3[!3\!3_!3 :X 3“@OЏ 3ѓ@PЏ 3“LOЏ 3ѓLPЏ 3“&gt;OЏ 3ѓ&gt;P 3“?O‡@ѓ?P 3“&gt;O‡@ѓ&gt;PЪ 3“=OЏ 3ѓ=PЃ‹X“@O‚hѓ@Pѓ`“@Oѓ`ѓ@P„X“@O‚hѓ@P‡@“@Oxѓ@P 3“@O‚hѓ@P 3“@O‚hѓ@P 3“@Oxѓ@Px“@OЃpѓ@P 3“@Oxѓ@Px“@Oxѓ@P 3“@Oxѓ@P 3“?Oxѓ?P 3“@_lг 3E r3Kxѓ@P 3г 3@ 3“BOxѓBP 3“BOxѓBPx“BOЃpѓBP 3“BOxѓBPx“BOЃpѓBP 3“BOxѓBPx“BOxѓBP 3“BOxѓBP 3“@Oxѓ@P 3“BO`г 3E ~3ExѓBP 3г 3@ 3“C_xѓCP 3“C_xѓCP 3“COxѓCPЃp“C 3&lt; exѓCP 3&lt;Px“COЃpѓCP 3“COxѓCPx“COxѓCP 3“COxѓCP 3“BOxѓBP 3“CO`г 3E n3K n3P n3UxѓCP 3г 3@ 3“GOxѓGP 3“GOxѓGP 3“GOxѓGP 3“GOxѓGP 3“GOxѓGP 3“FOЃpѓFP 3“FOxѓFP 3“FOxѓFP 3“BOЃpѓBP 3“BOxѓBP 3“BO`г 3E ~3ExѓBP 3г 3@ 3“LOxѓLP 3“LOxѓLP 3“@Oxѓ@P 3“@Oxѓ@P 3“LOxѓLP 3“@Oxѓ@P 3“@Oxѓ@P 3“LOxѓLP 3“@Oxѓ@P 3“LOxѓLP 3“@Oxѓ@P 3“LOxѓLP 3“@Oxѓ@P 3“LOxѓLP 3“LOxѓLP 3“KOxѓKP 3“LOlг 3E r3KxѓLP 3г 3@ 3“NOxѓNP 3“NOxѓNPx“NOЃpѓNP 3“NOxѓNPx“NOЃpѓNP 3“NOxѓNPx“NOxѓNP 3“NOxѓNP 3“LOlг 3E r3KxѓLP 3г 3@ 3“LOxѓLP 3“LOxѓLP 3“LOxѓLPx“LOЃpѓLP 3“LOxѓLPx“LOЃpѓLP 3“LOxѓLPx“LOxѓLP 3“LOxѓLP 3“LOxѓLP 3“LOTг 3; m35 mf–nf‘mf‹mfSxѓLP 3г 3@ 3“FOxѓFP 3“FOxѓFP 3“@ Yxѓ@P 3“FOxѓFP 3“@ Yxѓ@P 3“FOxѓFP 3“@ Yxѓ@P 3“FOxѓFP 3“@ Yxѓ@P 3“FOxѓFP 3“@ Yxѓ@P 3“?Oxѓ?P 3“?Oxѓ?P 3“?Oxѓ?P 3“@OЏ 3ѓ@P 3“LO 3@OЏ 3ѓLP 3@P 3“@O 34OЏ 3ѓ@P 34P 3“@O feO‡@ѓ@P feP 3“&gt;O feO‡@ѓ&gt;P feP 3“@O 34OЏ 3ѓ@P 34P 3і :P 3“LO 3@OxѓLP 3@P 3“LO 3@OxѓLP 3@P 3“LO 3@OxѓLP 3@P 3“LO 3@OЃpѓLP 3@P 3“LO 3&gt;OxѓLP 3&gt;P 3“LO 3&gt;OxѓLP 3&gt;P 3“LO 3&gt;OЃpѓLP 3&gt;P 3“JO 3&gt;OxѓJP 3&gt;P 3“JO 3&gt;OxѓJP 3&gt;P 3“JO 3&gt;OЃpѓJP 3&gt;P 3“GO 3&gt;_xѓGP 3&gt;P 3“GO 3;_xѓGP 3;P 3“GO 3;OxѓGP 3;P 3“@O 3LOxѓ@P 3LP 3“@Oxѓ@P 3“GOxѓGP 3“JOxѓJP 3“@O‚hѓ@P 3“LO 3@OЃpѓLP 3@P 3“@Oxѓ@P 3“GOxѓGP 3“JOxѓJP 3“@Oxѓ@P 3“COxѓCP 3“GOxѓGP 3“JOxѓJP 3“LO 37OxѓLP 37P 3“@Oxѓ@P 3“GOxѓGP 3“JOxѓJP 3“&gt;O‚hѓ&gt;P 3“JO 37OЃpѓJP 37P 3“&gt;Oxѓ&gt;P 3“GOxѓGP 3“JOxѓJP 3“*OxѓOP 3“NOxѓNP 3“LOxѓLP 3“JOxѓJP 3“LO 3&lt;OxѓLP 3&lt;P 3“@Oxѓ@P 3“GOxѓGP 3“JOxѓJP 3“@O‚hѓ@P 3“LO 3&lt;OЃpѓLP 3&lt;P 3“@Oxѓ@P 3“GOxѓGP 3“JOxѓJP 3“@Oxѓ@P 3“COxѓCP 3“GOxѓGP 3“JOxѓJP 3“LO 3&gt;OxѓLP 3&gt;P 3“@Oxѓ@P 3“GOxѓGP 3“JOxѓJP 3“&gt;Oxѓ&gt;P 3“GOxѓGP 3“JOxѓJP 3“LO 3;_ЃpѓLP 3;P 3“COxѓCP 3“GOxѓGP 3“JOxѓJPx“CO 3?_xѓCP 3?P 3“CO 3?_xѓCP 3?P 3“CO 3?_xѓCP 3?P 3я •3MTrk!3 hЂ3я i7Harp 3ґd!3e!3 lr3д 3@ 3ґe!3d gf9@ fY!3e 3d 3e!3d hf9@ 3e 3d 3Д ”3ґ"3 :X fp–3]!3[!3\!3_!3 :X 3” [OЏ 3„ [PЏ 3” [OЏ 3„ [PЏ 3” ^OЏ 3„ ^P 3” ^_‡@„ ^P 3” ^O‡@„ ^P 3”:O f^OЏ 3„:P f^PЏ 3”;O f[OЏ 3„ [PЏ 3;PЃґ 3” [OЃp„ [P 3” bOx„ bP 3”7O„X„7Px” ]Ox„ ]P 3” aOЃp„ aPѓ`” cOЃp„ cP 3”7Ox„7P 3”;Oѓ`„;P 3” ]OЃp„ ]P 3” aOЃp„ aP 3”4OЃp„4P 3”6O‚h„6P 3ґ :8 3” –eЃp„ cP 3”4_x„4P 3”4_x„4Px”4_x„4P 3”4_x„4Px”4_Ѓp„4P 3”4_Ѓp„4P 3”4_ѓ`„4Pѓ`”:_x„:P 3”:_x„:PЃp”:_Ѓp„:P 3”:_Ѓp„:P 3”:_ѓ`„:P†H”;_x„;P 3”;_Ѓp„;P 3”;_Ѓp„;P 3”;_ѓ`„;P 3”:_Џ 3„:P’`”:OЃp„:P 3”:OЃp„:P 3”:OЃp„:P 3”:OЃp„:P 3”:Oѓ`„:Pѓ`”;OЃp„;P 3”;OЃp„;P 3”;OЃp„;P 3”;OЃp„;P 3”;Ox„;P‘h”@ eЏ 3„@P 3я •3MTrk!3 6† 3я i&lt;Pi*zicato 3µd!3e!3 lr3е 3@ 3µe!3d gf9@ fY!3e 3d 3e!3d hf9@ 3e 3d 3Е “3µ"3 :` f=@ 3]!3[!3\!3_!3 :`ш 3•;O f[O‹ S…;P f[P 3•7O f[Oѓ`…7P f[P 3•6O f[O‹ S…6P f[P 3•9O f[Oѓ`…9P f[P 3•7O f[O‹ S…7P f[P 3•4O f[Oѓ`…4P f[P 3• bO f[O‹ S… bP f[P 3•4Oѓ`…4P 3• dO‹ S… dP 3• _Oѓ`… _P 3• ^O‹ S… ^P 3• `Oѓ`… `P 3• _O‹ S… _P 3• [Oѓ`… [P 3• _O‹ S… _P 3• dOѓ`… dP 3•GO f[Oѓ`…GP f[P 3•GOx…GP 3•GOЃp…GP 3• [Ox… [P 3•GOx…GP 3•GO‚h…GP 3•GOѓ`…GP 3•CO fcOѓ`…CP fcP 3•COx…CP 3•COЃp…CP 3• ]Ox… ]P 3•COx…CP 3•COx…CP 3•CO‚h…CP 3•CO‚h…CP 3•@O f[Oѓ`…@P f[P 3•@Ox…@P 3•@OЃp…@P 3• [Ox… [P 3•@Ox…@P 3•@O‚h…@P 3•@Oѓ`…@P 3•:O fcOѓ`…:P fcP 3•:Ox…:P 3•:OЃp…:P 3• aOx… aP 3•:Ox…:P 3•:Ox…:P 3•:O‚h…:P 3•&lt;O‚h…&lt;P 3•;O f[Oѓ`…;P f[P 3•;Ox…;P 3•;OЃp…;P 3• [Ox… [P 3•;Ox…;P 3•;Ox…;P 3•:OЃp…:P 3•;Oѓ`…;P 3•7O fcOѓ`…7P fcP 3•7Ox…7P 3•7OЃp…7P 3• ]Ox… ]P 3•7Ox…7P 3•7Ox…7P 3•6O‚h…6P 3•7O‚h…7P 3• [Oѓ`… [Px•;OЃp…;P 3•@O f]OЃp…@P f]P 3• ]Oѓ`… ]P 3•:Ox…:P 3•@OЃp…@P 3• cOѓ`… cPx•:OЃp…:P 3• ]OЃp… ]P 3•@O faOЃp…@P faP 3•BOЃp…BP 3•:Ox…:P 3•@Ox…@P 3•BOx…BP 3•@OЏ 3…@PЃГ 3µ :8 3•@_Џ 3…@P 3•@_‹ S…@P 3•&gt;_ѓ`…&gt;P 3•@_Џ 3…@P 3•@_Џ 3…@P 3я •3MTrk!3 LD 3я i8Drums 3№d!3e!3 lr3й 3@ 3№e!3d gf9@ fY!3e 3d 3Й!3№"3 :` f=@ 3]!3[!3\!3_!3™&gt;Ox‰&gt;P 3™&lt;Ox‰&lt;P 3™?Ox‰?P 3™?Ox‰?P 3™=O‚h‰=P 3™&gt;OЃp‰&gt;P 3™&lt;Ox‰&lt;P 3™?Ox‰?P 3™?Ox‰?P 3™=OЃp‰=P 3™@Ox‰@P 3™@Ox‰@P 3™&gt;Ox‰&gt;P 3™&lt;Ox‰&lt;P 3™?Ox‰?P 3™?Ox‰?P 3™=O‚h‰=P 3™&gt;OЃp‰&gt;P 3™&lt;Ox‰&lt;P 3™?Ox‰?P 3™?Ox‰?P 3™=OЃp‰=P 3™;O 3=OЃp‰;P 3=P 3™&gt;Ox‰&gt;P 3™&lt;Ox‰&lt;P 3™?Ox‰?P 3™?Ox‰?P 3™=O‚h‰=P 3™&gt;OЃp‰&gt;P 3™&lt;Ox‰&lt;P 3™?Ox‰?P 3™?Ox‰?P 3™=OЃp‰=P 3™@Ox‰@P 3™@Ox‰@P 3™&gt;Ox‰&gt;P 3™&lt;Ox‰&lt;P 3™?Ox‰?P 3™?Ox‰?P 3™=O‚h‰=P 3™&gt;OЃp‰&gt;P 3™&lt;Ox‰&lt;P 3™?Ox‰?P 3™?Ox‰?P 3™=OЃp‰=P 3™;O 3=OЃp‰;P 3=P 3™3O 3&gt;Ox‰3P 3&gt;P 3™&lt;Ox‰&lt;P 3™?Ox‰?P 3™?Ox‰?P 3™=O‚h‰=P 3™&gt;OЃp‰&gt;P 3™&lt;Ox‰&lt;P 3™?Ox‰?P 3™?Ox‰?P 3™=OЃp‰=P 3™@Ox‰@P 3™@Ox‰@P 3™3O 3&gt;Ox‰3P 3&gt;P 3™&lt;Ox‰&lt;P 3™?Ox‰?P 3™?Ox‰?P 3™=O‚h‰=P 3™&gt;Ox‰&gt;P 3™3Ox‰3P 3™&lt;Ox‰&lt;P 3™?Ox‰?P 3™?Ox‰?P 3™=OЃp‰=P 3™=OЃp‰=P 3™3O 3&gt;Ox‰3P 3&gt;P 3™&lt;Ox‰&lt;P 3™?Ox‰?P 3™?Ox‰?P 3™=O‚h‰=P 3™&gt;OЃp‰&gt;P 3™&lt;Ox‰&lt;P 3™?Ox‰?P 3™?Ox‰?P 3™=OЃp‰=P 3™@Ox‰@P 3™3O 3@O&lt;‰3P 3@P 3™3O 3@O&lt;‰3P 3@P 3™3O 3&gt;Ox‰3P 3&gt;P 3™&lt;Ox‰&lt;P 3™?Ox‰?P 3™?Ox‰?P 3™=O‚h‰=P 3™&gt;Ox‰&gt;P 3™3Ox‰3P 3™&lt;Ox‰&lt;P 3™?Ox‰?P 3™?Ox‰?P 3™=OЃp‰=P 3™;O 3=OЃp‰;P 3=P 3™3O 3&gt;Ox‰3P 3&gt;P 3™&lt;Ox‰&lt;P 3™?Ox‰?P 3™?Ox‰?P 3™=O‚h‰=P 3™&gt;OЃp‰&gt;P 3™&lt;Ox‰&lt;P 3™?Ox‰?P 3™?Ox‰?P 3™=OЃp‰=P 3™@Ox‰@P 3™@Ox‰@P 3™3O 3&gt;Ox‰3P 3&gt;P 3™&lt;Ox‰&lt;P 3™?Ox‰?P 3™?Ox‰?P 3™=O‚h‰=P 3™&gt;Ox‰&gt;P 3™QOx‰QP 3™&lt;Ox‰&lt;P 3™?Ox‰?P 3™?Ox‰?P 3™=OЃp‰=P 3™;O 3=OЃp‰;P 3=P 3™3O 3&gt;Ox‰3P 3&gt;P 3™&lt;Ox‰&lt;P 3™?Ox‰?P 3™?Ox‰?P 3™=O 3@Ox‰=P 3@P 3™JOЃp‰JP 3™3O 3&gt;OЃp‰3P 3&gt;P 3™&lt;Ox‰&lt;P 3™?Ox‰?P 3™?Ox‰?P 3™=OЃp‰=P 3™@O 3KOx‰@P 3KP 3™3O 3@O&lt;‰3P 3@P 3™3O 3@O&lt;‰3P 3@P 3™3O 3&gt;Ox‰3P 3&gt;P 3™&lt;Ox‰&lt;P 3™?Ox‰?P 3™?Ox‰?P 3™=O 3JOx‰=P 3JPЃp™&gt;Ox‰&gt;P 3™3O 3QOx‰3P 3QP 3™&lt;Ox‰&lt;P 3™?Ox‰?P 3™?Ox‰?P 3™=O 3NO 3QOx‰=P 3NP 3QP 3™*Ox‰OP 3™;O 3=O 3NOx‰;P 3=P 3NP 3™*Ox‰OP 3™3O 3&gt;Ox‰3P 3&gt;P 3™&lt;Ox‰&lt;P 3™?Ox‰?P 3™?Ox‰?P 3™:O 3=Ox‰:P 3=P 3™POx‰*P 3™POx‰*P 3™:O 3&gt;Ox‰:P 3&gt;P 3™3Ox‰3P 3™&lt;Ox‰&lt;P 3™?Ox‰?P 3™?Ox‰?P 3™=OЃp‰=P 3™@Ox‰@P 3™@Ox‰@P 3™3O 3&gt;Ox‰3P 3&gt;P 3™&lt;Ox‰&lt;P 3™?Ox‰?P 3™?Ox‰?P 3™:O 3=Ox‰:P 3=P 3™POx‰*P 3™POx‰*P 3™:O 3&gt;Ox‰:P 3&gt;P 3™3O 3QOx‰3P 3QP 3™&lt;Ox‰&lt;P 3™?Ox‰?P 3™?Ox‰?P 3™=O 3QOЃp‰=P 3QP 3™=OЃp‰=P 3™3O 3&gt;Ox‰3P 3&gt;P 3™&lt;Ox‰&lt;P 3™?Ox‰?P 3™?Ox‰?P 3™=O 3@Ox‰=P 3@P 3™JOЃp‰JP 3™3O 3&gt;O 3POЃp‰3P 3&gt;P 3*P 3™&lt;Ox‰&lt;P 3™?Ox‰?P 3™?Ox‰?P 3™;O 3=O 3KOЃp‰;P 3=P 3KP 3™@O 3KOx‰@P 3KP 3™@Ox‰@P 3™3O 3&gt;Ox‰3P 3&gt;P 3™&lt;Ox‰&lt;P 3™?Ox‰?P 3™?Ox‰?P 3™=O 3@Ox‰=P 3@P 3™IOx‰IP 3™JOx‰JP 3™&gt;Ox‰&gt;P 3™3O 3QOx‰3P 3QP 3™&lt;Ox‰&lt;P 3™?Ox‰?P 3™?Ox‰?P 3™=O 3NOx‰=P 3NP 3™*Ox‰OP 3™;O 3=O 3NOЃp‰;P 3=P 3NP 3™ VO f\O 3=Ox‰ VP f\P 3=P 3™@Ox‰@P 3™@Ox‰@P 3™=Ox‰=P 3™@Ox‰@P 3™@Ox‰@Px™ \O 35O 3=Ox‰ \P 35P 3=Px™@Ox‰@P 3™@Ox‰@P 3™=Ox‰=P 3™@Ox‰@P 3™@Ox‰@P 3™&lt;Ox‰&lt;P 3™?Ox‰?P 3™ VO f\O 3=Ox‰ VP f\P 3=P 3™@Ox‰@P 3™@Ox‰@P 3™=Ox‰=P 3™@Ox‰@P 3™@Ox‰@P 3™ XOx‰ XP 3™5O f\O 3=Ox‰5P f\P 3=Px™@Ox‰@P 3™@Ox‰@P 3™=Ox‰=P 3™@Ox‰@P 3™@Ox‰@P 3™ \O 3&lt;Ox‰ \P 3&lt;P 3™ \O 3&lt;Ox‰ \P 3&lt;P 3™ \O fVO 3=Ox‰ \P fVP 3=P 3™@Ox‰@P 3™@Ox‰@P 3™=Ox‰=P 3™@Ox‰@P 3™@Ox‰@P 3™KOx‰KP 3™ \O 35O 3=Ox‰ \P 35P 3=Px™@Ox‰@P 3™@Ox‰@P 3™=Ox‰=P 3™@Ox‰@P 3™@Ox‰@P 3™&lt;O 3KOx‰&lt;P 3KP 3™?Ox‰?P 3™ VO f\O 3=Ox‰ VP f\P 3=P 3™@Ox‰@P 3™@Ox‰@P 3™=Ox‰=P 3™@Ox‰@P 3™@Ox‰@P 3™KOx‰KP 3™ \O 35O 3=Ox‰ \P 35P 3=Px™@Ox‰@P 3™@Ox‰@P 3™=Ox‰=P 3™@Ox‰@P 3™@Ox‰@P 3™ \O 3&lt;O 3KOx‰ \P 3&lt;P 3KP 3™ \O 3&lt;O 3KOx‰ \P 3&lt;P 3KP 3™ VO f\O 37O 3=Ox‰ VP f\P 37P 3=P 3™@Ox‰@P 3™@Ox‰@P 3™=Ox‰=P 3™@Ox‰@P 3™@Ox‰@Px™ \O 35O 3=Ox‰ \P 35P 3=Px™@Ox‰@P 3™@Ox‰@P 3™=Ox‰=P 3™@Ox‰@P 3™@Ox‰@P 3™&lt;Ox‰&lt;P 3™?Ox‰?P 3™ \O fVO 37O 3=Ox‰ \P fVP 37P 3=P 3™@Ox‰@P 3™@Ox‰@P 3™=Ox‰=P 3™@Ox‰@P 3™@Ox‰@P 3™ XOx‰ XP 3™5O f\O 3=Ox‰5P f\P 3=Px™@Ox‰@P 3™@Ox‰@P 3™=Ox‰=P 3™@Ox‰@P 3™@Ox‰@P 3™ \O 3&lt;Ox‰ \P 3&lt;P 3™ \O 3&lt;Ox‰ \P 3&lt;P 3™ VO f\O 33O 3=Ox‰ VP f\P 33P 3=P 3™@Ox‰@P 3™@Ox‰@P 3™=Ox‰=P 3™@Ox‰@P 3™@Ox‰@P 3™KOx‰KP 3™ \O 35O 3=Ox‰ \P 35P 3=Px™@Ox‰@P 3™@Ox‰@P 3™=Ox‰=P 3™@Ox‰@P 3™@Ox‰@P 3™;O 3&lt;O 3KOx‰;P 3&lt;P 3KP 3™?Ox‰?P 3™ \O fVO 33O 3=Ox‰ \P fVP 33P 3=P 3™@Ox‰@P 3™@Ox‰@P 3™=Ox‰=P 3™@Ox‰@P 3™@Ox‰@P 3™KOx‰KP 3™ \O 35O 3=Ox‰ \P 35P 3=Px™@Ox‰@P 3™@Ox‰@P 3™=Ox‰=P 3™@Ox‰@P 3™@Ox‰@P 3™ \O 3;O 3&lt;O 3KOx‰ \P 3;P 3&lt;P 3KP 3™ \O 3&lt;O 3KOx‰ \P 3&lt;P 3KP 3™ VO 33O 3&gt;Ox‰ VP 33P 3&gt;P 3™&lt;Ox‰&lt;P 3™?Ox‰?P 3™?Ox‰?P 3™=Ox‰=P 3™ ]Ox‰ ]P 3™ ]Ox‰ ]P 3™3O 3&gt;Ox‰3P 3&gt;P 3™ VOx‰ VP 3™&lt;Ox‰&lt;P 3™?Ox‰?P 3™?Ox‰?P 3™ VO f]O 3=OЃp‰ VP f]P 3=P 3™ aO 3@Ox‰ aP 3@P 3™@Ox‰@P 3™ VO 33O 3&gt;Ox‰ VP 33P 3&gt;P 3™&lt;Ox‰&lt;P 3™?Ox‰?P 3™?Ox‰?P 3™=Ox‰=P 3™ ]Ox‰ ]P 3™ ]Ox‰ ]P 3™3O 3&gt;Ox‰3P 3&gt;P 3™ VOx‰ VP 3™&lt;Ox‰&lt;P 3™?Ox‰?P 3™?Ox‰?P 3™ ]O fVO 3=Ox‰ ]P fVP 3=P 3™ ]O f`O 3?Ox‰ ]P f`P 3?P 3™ VO 3@Ox‰ VP 3@P 3™ ^O 3@Ox‰ ^P 3@P 3™ VO 33O 3&gt;Ox‰ VP 33P 3&gt;P 3™&lt;Ox‰&lt;P 3™?Ox‰?P 3™?Ox‰?P 3™=Ox‰=P 3™ ]Ox‰ ]P 3™ ]Ox‰ ]P 3™3O 3&gt;Ox‰3P 3&gt;P 3™ VOx‰ VP 3™&lt;Ox‰&lt;P 3™?Ox‰?P 3™?Ox‰?P 3™ VO f]O 3=Ox‰ VP f]P 3=P 3™AOx‰AP 3™ aO 3@Ox‰ aP 3@P 3™@Ox‰@P 3™ VO 33O 3&gt;Ox‰ VP 33P 3&gt;P 3™&lt;Ox‰&lt;P 3™?Ox‰?P 3™?Ox‰?P 3™=Ox‰=P 3™ ]Ox‰ ]P 3™ ]Ox‰ ]P 3™3O 3&gt;Ox‰3P 3&gt;P 3™ VOx‰ VP 3™&lt;Ox‰&lt;P 3™?Ox‰?P 3™?Ox‰?P 3™ VO f]O 3=Ox‰ VP f]P 3=P 3™ ]O f`O 3?Ox‰ ]P f`P 3?P 3™ VO 3@Ox‰ VP 3@P 3™ VO f^O 3@Ox‰ VP f^P 3@P 3™ VO 33O 3&gt;Ox‰ VP 33P 3&gt;P 3™&lt;O 3BOx‰&lt;P 3BP 3™ ]O 3?Ox‰ ]P 3?P 3™ ]O 3?Ox‰ ]P 3?P 3™ VO 3=O 3AOx‰ VP 3=P 3AP 3™ ]Ox‰ ]P 3™ ]Ox‰ ]P 3™3O 3&gt;Ox‰3P 3&gt;P 3™ VOx‰ VP 3™&lt;Ox‰&lt;P 3™?Ox‰?P 3™?Ox‰?P 3™ VO f]O 3=OЃp‰ VP f]P 3=P 3™ aO 3@Ox‰ aP 3@P 3™@Ox‰@P 3™3O fVO 3&gt;Ox‰3P fVP 3&gt;P 3™&lt;O 3BOx‰&lt;P 3BP 3™ ]O 3?Ox‰ ]P 3?P 3™ ]O 3?Ox‰ ]P 3?P 3™ VO 3=O 3AOx‰ VP 3=P 3AP 3™ ]Ox‰ ]P 3™ ]Ox‰ ]P 3™3O 3&gt;Ox‰3P 3&gt;P 3™ VOx‰ VP 3™&lt;Ox‰&lt;P 3™?Ox‰?P 3™?Ox‰?P 3™ VO f]O 3=Ox‰ VP f]P 3=P 3™ ]O f`O 3?Ox‰ ]P f`P 3?P 3™ VO 3@Ox‰ VP 3@P 3™ ^O 3@Ox‰ ^P 3@P 3™ VO 33O 3&gt;Ox‰ VP 33P 3&gt;P 3™&lt;O 3BOx‰&lt;P 3BP 3™ ]O 3?Ox‰ ]P 3?P 3™ ]O 3?Ox‰ ]P 3?P 3™=O fVO 3AOx‰=P fVP 3AP 3™ ]Ox‰ ]P 3™ ]Ox‰ ]P 3™3O 3&gt;Ox‰3P 3&gt;P 3™ VOx‰ VP 3™&lt;Ox‰&lt;P 3™?Ox‰?P 3™?Ox‰?P 3™ VO f]O 3=OЃp‰ VP f]P 3=P 3™ aO 3@Ox‰ aP 3@P 3™@Ox‰@P 3™ VO 33O 3&gt;Ox‰ VP 33P 3&gt;P 3™&lt;O 3BOx‰&lt;P 3BP 3™ ]O 3?Ox‰ ]P 3?P 3™ ]O 3?Ox‰ ]P 3?P 3™ VO 3=O 3AOx‰ VP 3=P 3AP 3™ ]Ox‰ ]P 3™ ]Ox‰ ]P 3™3O 3&gt;Ox‰3P 3&gt;P 3™ VOx‰ VP 3™&lt;Ox‰&lt;P 3™?Ox‰?P 3™?Ox‰?P 3™ VO f]O 3=Ox‰ VP f]P 3=P 3™ ]O f`O 3?Ox‰ ]P f`P 3?P 3™ VO 3@Ox‰ VP 3@P 3™ ^O 3@Ox‰ ^P 3@P 3™&gt;Ox‰&gt;P 3™&lt;Ox‰&lt;P 3™?Ox‰?P 3™?Ox‰?P 3™=O‚h‰=P 3™&gt;OЃp‰&gt;P 3™&lt;Ox‰&lt;P 3™?Ox‰?P 3™?Ox‰?P 3™=O 3@OЃp‰=P 3@PЃp™&gt;Ox‰&gt;P 3™&lt;Ox‰&lt;P 3™?Ox‰?P 3™?Ox‰?P 3™=O‚h‰=P 3™&gt;OЃp‰&gt;P 3™ YO 3&lt;Ox‰ YP 3&lt;P 3™ YO 3?Ox‰ YP 3?P 3™ VO 3=Ox‰ VP 3=P 3™ YO 3;OЃp‰ YP 3;P 3™@Ox‰@P 3™ YO 3@Ox‰ YP 3@P 3™ VO f\O 3=Ox‰ VP f\P 3=P 3™@Ox‰@P 3™@Ox‰@P 3™ VO 3=Ox‰ VP 3=P 3™ YO 3@Ox‰ YP 3@P 3™@Ox‰@Px™ VO f\O 3=Ox‰ VP f\P 3=Px™ VO 3@Ox‰ VP 3@P 3™@Ox‰@P 3™ VO 3=Ox‰ VP 3=P 3™ YO 3@Ox‰ YP 3@P 3™@Ox‰@P 3™&lt;Ox‰&lt;P 3™?Ox‰?P 3™ \O fVO 3=Ox‰ \P fVP 3=P 3™@Ox‰@P 3™@Ox‰@P 3™ VO 3=Ox‰ VP 3=P 3™ YO 3@Ox‰ YP 3@P 3™@Ox‰@P 3™ XOx‰ XP 3™ \O 35O 3=Ox‰ \P 35P 3=Px™ VO 3@Ox‰ VP 3@P 3™@Ox‰@P 3™ VO 3=Ox‰ VP 3=P 3™@Ox‰@P 3™ VO 3@Ox‰ VP 3@P 3™ YO 3&lt;Ox‰ YP 3&lt;P 3™ \O 3&lt;Ox‰ \P 3&lt;P 3™ VO f\O 3=Ox‰ VP f\P 3=P 3™@Ox‰@P 3™@Ox‰@P 3™ VO 3=Ox‰ VP 3=P 3™ YO 3@Ox‰ YP 3@P 3™@Ox‰@Px™ \O fVO 3=Ox‰ \P fVP 3=Px™ VO 3@Ox‰ VP 3@P 3™@Ox‰@P 3™ VO 3=Ox‰ VP 3=P 3™ YO 3@Ox‰ YP 3@P 3™@Ox‰@P 3™&lt;Ox‰&lt;P 3™?Ox‰?P 3™ VO f\O 3=Ox‰ VP f\P 3=P 3™@Ox‰@P 3™@Ox‰@P 3™ VO 3=Ox‰ VP 3=P 3™ YO 3@Ox‰ YP 3@P 3™@Ox‰@P 3™KOx‰KP 3™ VO f\O 3=Ox‰ VP f\P 3=Px™ VO 3@Ox‰ VP 3@P 3™@Ox‰@P 3™ VO 3=Ox‰ VP 3=P 3™ VO 3@Ox‰ VP 3@P 3™@Ox‰@P 3™ \O 3&lt;O 3KOx‰ \P 3&lt;P 3KP 3™&lt;O f\O 3KOx‰&lt;P f\P 3KP 3™ VO f\O 37O 3=Ox‰ VP f\P 37P 3=P 3™@Ox‰@P 3™@Ox‰@P 3™ VO 3=Ox‰ VP 3=P 3™ YO 3@Ox‰ YP 3@P 3™@Ox‰@Px™ \O 35O 3=Ox‰ \P 35P 3=Px™ VO 3@Ox‰ VP 3@P 3™@Ox‰@P 3™ VO 3=Ox‰ VP 3=P 3™ YO 3@Ox‰ YP 3@P 3™@Ox‰@P 3™&lt;Ox‰&lt;P 3™?Ox‰?P 3™ VO f\O 37O 3=Ox‰ VP f\P 37P 3=P 3™@Ox‰@P 3™@Ox‰@P 3™ VO 3=Ox‰ VP 3=P 3™ YO 3@Ox‰ YP 3@P 3™@Ox‰@P 3™ XOx‰ XP 3™ \O 35O 3=Ox‰ \P 35P 3=Px™ VO 3@Ox‰ VP 3@P 3™@Ox‰@P 3™ VO 3=Ox‰ VP 3=P 3™@Ox‰@P 3™ VO 3@Ox‰ VP 3@P 3™ YO 3&lt;Ox‰ YP 3&lt;P 3™ YO 3&lt;Ox‰ YP 3&lt;P 3™ VO f\O 33O 3=Ox‰ VP f\P 33P 3=P 3™@Ox‰@P 3™@Ox‰@P 3™ VO 3=Ox‰ VP 3=P 3™ YO 3@Ox‰ YP 3@P 3™@Ox‰@P 3™KOx‰KP 3™ \O 35O 3=Ox‰ \P 35P 3=Px™ VO 3@Ox‰ VP 3@P 3™@Ox‰@P 3™ VO 3=Ox‰ VP 3=P 3™ YO 3@Ox‰ YP 3@P 3™@Ox‰@P 3™;O 3&lt;O 3KOx‰;P 3&lt;P 3KP 3™?Ox‰?P 3™ VO f\O 33O 3=Ox‰ VP f\P 33P 3=P 3™@Ox‰@P 3™@Ox‰@P 3™ VO 3=Ox‰ VP 3=P 3™ YO 3@Ox‰ YP 3@P 3™@Ox‰@P 3™KOx‰KP 3™ \O 35O 3=Ox‰ \P 35P 3=Px™ VO 3@Ox‰ VP 3@P 3™@Ox‰@P 3™ VO 3=Ox‰ VP 3=P 3™@Ox‰@P 3™ VO 3@Ox‰ VP 3@P 3™ YO 3&lt;O 3;O 3KOx‰ YP 3&lt;P 3;P 3KP 3™ YO 3&lt;O 3KOx‰ YP 3&lt;P 3KP 3я b 3</t>
  </si>
  <si>
    <t>MThd"3 lfgfl4аMTrk"3 “3яQ i:Ў †3я iIYou Shide †“Sdeath Ss*eks 3яX!7 h:Ў 3я •3MTrk!3 :– 3я i&lt;Дорожка †—3±d!3e!3 lr3б 3@ 3±e!3d gf9@ fY!3e 3d 3°d!3e!3 lr3а 3@ 3°e!3d gf9@ fY!3e 3d 3±e!3d hf9@ 3e 3d 3°e!3d hf9@ 3e 3d 3Б 3А 3±"3°"3± :` 3° :` 3± =8 3° =8 3±]!3°]!3±[!3°[!3±\!3°\!3±_!3°_!3ђ Z_ЃpЂ ZP 3ђ3_ЃpЂ3P 3ђ:_ЃpЂ:P 3ђ d_ЃpЂ dP 3ђ:_ЃpЂ:P 3ђ4_ЃpЂ4Pѓ`ђ Z_ЃpЂ ZP 3ђ3_ЃpЂ3P 3ђ:_ЃpЂ:P 3ђ d_ЃpЂ dP 3ђ:_ЃpЂ:P 3ђ b_ЃpЂ bPѓ`ђ Z_ЃpЂ ZP 3ђ3_ЃpЂ3P 3ђ:_ЃpЂ:P 3ђ d_ЃpЂ dP 3ђ:_ЃpЂ:P 3ђ4_ЃpЂ4P 3ђ:_ЃpЂ:P 3ђ3_ЃpЂ3P 3ђ:_ЃpЂ:P 3ђ d_ЃpЂ dP 3ђ:_ЃpЂ:P 3ђ b_ЃpЂ bP 3ђ:_ЃpЂ:P 3ђ a_ЃpЂ aP 3ђ:_ЃpЂ:P 3ђ [_ЃpЂ [P 3ђ Z_ЃpЂ ZP 3ђ3_ЃpЂ3P 3ђ:_ЃpЂ:P 3ђ d_ЃpЂ dP 3ђ:_ЃpЂ:P 3ђ4_ЃpЂ4Pѓ`ђ Z_ЃpЂ ZP 3ђ3_ЃpЂ3P 3ђ:_ЃpЂ:P 3ђ d_ЃpЂ dP 3ђ:_ЃpЂ:P 3ђ b_ЃpЂ bPѓ`ђ Z_ЃpЂ ZP 3ђ3_ЃpЂ3P 3ђ:_ЃpЂ:P 3ђ d_ЃpЂ dP 3ђ:_ЃpЂ:P 3ђ3_ЃpЂ3P 3ђ:_ЃpЂ:P 3ђ4_ЃpЂ4P 3ђ:_ЃpЂ:P 3ђ3_ЃpЂ3P 3ђ:_ЃpЂ:P 3ђ d_ЃpЂ dP 3ђ:_ЃpЂ:P 3ђ b_ЃpЂ bP 3ђ:_ЃpЂ:P 3ђ a_ЃpЂ aPш 3ђ Z_Ѓp3_Ѓp:_ЃpЂ3P 3ђ3_ЃpЂ:P 3ђ8_ЃpЂ3P 3ђ3_ЃpЂ8P 3ђ:_ЃpЂ3P 3ђ3_ЃpЂ ZP 3ђ b_ЃpЂ3P 3ђ3_ЃpЂ:P 3ђ:_ЃpЂ3P 3ђ3_ЃpЂ:P 3ђ8_ЃpЂ3P 3ђ3_ЃpЂ8P 3ђ:_ЃpЂ3P 3ђ3_ЃpЂ bP 3ђ a_ЃpЂ3P 3ђ3_ЃpЂ:P 3ђ:_ЃpЂ3P 3ђ3_ЃpЂ:P 3ђ8_ЃpЂ3P 3ђ3_ЃpЂ8P 3ђ:_ЃpЂ3P 3ђ3_ЃpЂ aP 3:P 3ђ;_Ѓp __ЃpЂ;P 3ђ:_ЃpЂ3P 3ђ3_ЃpЂ:P 3ђ8_ЃpЂ3P 3ђ3_ЃpЂ8P 3ђ:_ЃpЂ _P 3ђ __Ѓp Z_ЃpЂ3P 3ђ3_ЃpЂ:P 3ђ:_ЃpЂ3P 3ђ3_ЃpЂ:P 3ђ8_ЃpЂ3P 3ђ3_ЃpЂ8P 3ђ:_ЃpЂ _P 33P 3ђ3_ЃpЂ ZP 3ђ b_ЃpЂ3P 3ђ3_ЃpЂ:P 3ђ:_ЃpЂ3P 3ђ3_ЃpЂ:P 3ђ8_ЃpЂ3P 3ђ3_ЃpЂ8P 3ђ:_ЃpЂ3P 3ђ3_ЃpЂ bP 3ђ a_ЃpЂ3P 3ђ3_ЃpЂ:P 3ђ:_ЃpЂ3P 3ђ3_ЃpЂ:P 3ђ8_ЃpЂ3P 3ђ3_ЃpЂ8P 3ђ:_ЃpЂ3P 3ђ3_ЃpЂ aP 3:P 3ђ9_Ѓp `_ЃpЂ9P 3ђ6_ЃpЂ3P 3ђ3_ЃpЂ6P 3ђ8_ЃpЂ3P 3ђ3_ЃpЂ8P 3ђ9_ЃpЂ `P 3ђ `_Ѓp Z_ЃpЂ3P 3ђ3_ЃpЂ9P 3ђ:_ЃpЂ3P 3ђ3_ЃpЂ:P 3ђ8_ЃpЂ3P 3ђ3_ЃpЂ8P 3ђ:_ЃpЂ `P 33P 3ђ3_ЃpЂ ZP 3ђ b_ЃpЂ3P 3ђ3_ЃpЂ:P 3ђ:_ЃpЂ3P 3ђ3_ЃpЂ:P 3ђ8_ЃpЂ3P 3ђ3_ЃpЂ8P 3ђ:_ЃpЂ3P 3ђ3_ЃpЂ bP 3ђ a_ЃpЂ3P 3ђ3_ЃpЂ:P 3ђ:_ЃpЂ3P 3ђ3_ЃpЂ:P 3ђ8_ЃpЂ3P 3ђ3_ЃpЂ8P 3ђ:_ЃpЂ3P 3ђ3_ЃpЂ aP 3:P 3ђ;_ fЏeЃp __ЃpЂ;P 3ђ:_ЃpЂ3P 3ђ3_ЃpЂ:P 3ђ8_ЃpЂ3P 3ђ3_ЃpЂ8P 3ђ:_ЃpЂ _P 3ђ __ЃpЂ \P 3ђ Z_ЃpЂ3P 3ђ3_ЃpЂ:P 3ђ:_ЃpЂ3P 3ђ3_ЃpЂ:P 3ђ8_ЃpЂ3P 3ђ3_ЃpЂ8P 3ђ:_ЃpЂ _P 33P 3ђ3_ЃpЂ ZP 3ђ b_ЃpЂ3P 3ђ3_ЃpЂ:P 3ђ:_ЃpЂ3P 3ђ3_ЃpЂ:P 3ђ8_ЃpЂ3P 3ђ3_ЃpЂ8P 3ђ:_ЃpЂ3P 3ђ3_ЃpЂ bP 3ђ a_ЃpЂ3P 3ђ3_ЃpЂ:P 3ђ:_ЃpЂ3P 3ђ3_ЃpЂ:P 3ђ8_ЃpЂ3P 3ђ3_ЃpЂ8P 3ђ:_ЃpЂ3P 3ђ d_ЃpЂ aP fdP 3ђ e_ЃpЂ:P feP 3ђ9_Ѓp e_ЃpЂ9P feP 3ђ8_Ѓp e_ЃpЂ eP 3ђ4_ЃpЂ4P 3ђ e_ЃpЂ8P 3ђ6_ЃpЂ eP 36PЌ Cђ= e‡@Ђ=P 3ђ6 e‡@Ђ6P 3ђ —eЏ 3Ђ dP 3ђ= e‡@Ђ=P 3ђ9 e‡@Ђ9P 3ђ8 eЏ 3Ђ8P 3ђB e‡@ЂBP 3ђ= e‡@Ђ=P 3ђ6 eЏ 3Ђ6P 3ђB e‡@ЂBP 3ђ= eЃp6 eЃpЂ=P 36P 3ђ9 e…PЂ9P 3я •3MTrk!3 k€3я i&lt;Дорожка †3іd!3e!3 lr3г 3@ 3іe!3d gf9@ fY!3e 3d 3Іd!3e!3 lr3в 3@ 3Іe!3d gf9@ fY!3e 3d 3іe!3d hf9@ 3e 3d 3Іe!3d hf9@ 3e 3d 3Г ‚3В ‚3і"3І"3і :h 3І :h 3і =@ 3І =@ 3і]!3І]!3і[!3І[!3і\!3І\!3і_!3І_ 3ш 3’ ZLЃ4‚ ZP&lt;’3LЃ4‚3P&lt;’:LЃ4‚:P&lt;’ dLЃ4‚ dP&lt;’:LЃ4‚:P&lt;’3LЃ4‚3P&lt;’:LЃ4‚:P&lt;’4LЃ4‚4P&lt;’:LЃ4‚:P&lt;’3LЃ4‚3P&lt;’:LЃ4‚:P&lt;’ dLЃ4‚ dP&lt;’:LЃ4‚:P&lt;’ bLЃ4‚ bP&lt;’:LЃ4‚:P&lt;’ aLЃ4‚ aP&lt;’ ZLЃ4‚ ZP&lt;’3LЃ4‚3P&lt;’:LЃ4‚:P&lt;’ dLЃ4‚ dP&lt;’:LЃ4‚:P&lt;’3LЃ4‚3P&lt;’:LЃ4‚:P&lt;’4LЃ4‚4P&lt;’:LЃ4‚:P&lt;’3LЃ4‚3P&lt;’:LЃ4‚:P&lt;’ dLЃ4‚ dP&lt;’:LЃ4‚:P&lt;’ [LЃ4‚ [P&lt;’:LЃ4‚:P&lt;’ XLЃ4‚ XP&lt;’ ZLЃ4‚ ZP&lt;’3LЃ4‚3P&lt;’:LЃ4‚:P&lt;’ dLЃ4‚ dP&lt;’:LЃ4‚:P&lt;’3LЃ4‚3P&lt;’:LЃ4‚:P&lt;’4LЃ4‚4P&lt;’:LЃ4‚:P&lt;’3LЃ4‚3P&lt;’:LЃ4‚:P&lt;’ dLЃ4‚ dP&lt;’:LЃ4‚:P&lt;’ bLЃ4‚ bP&lt;’:LЃ4‚:P&lt;’ aLЃ4‚ aP&lt;’ ZLЃ4‚ ZP&lt;’3LЃ4‚3P&lt;’:LЃ4‚:P&lt;’ dLЃ4‚ dP&lt;’:LЃ4‚:P&lt;’4LЃ4‚4P&lt;’:LЃ4‚:P&lt;’3LЃ4‚3P&lt;’:LЃ4‚:P&lt;’ dLЃ4‚ dP&lt;’:LЃ4‚:P&lt;’ `LЃ4‚ `P&lt;’:LЃ4‚:P&lt;’ _LЃ4‚ _P&lt;’:LЃ4‚:P&lt;’ [LЃ4‚ [PЃр&lt;’ ]LЃ4‚ ]P&lt;’9LЃ4‚9P&lt;’ dLЃ4‚ dP&lt;’8LЃ4‚8P&lt;’ dLЃ4‚ dP&lt;’4LЃ4‚4P&lt;’ dLЃ4‚ dP&lt;’6LЃ4‚6P&lt;’ eLЃ4‚ eP&lt;’9LЃ4‚9P&lt;’ eLЃ4‚ eP&lt;’8LЃ4‚8P&lt;’ dLЃ4‚ dP&lt;’4LЃ4‚4P&lt;’ dLЃ4‚ dP&lt;’6LЃ4‚6P&lt;’ ]LЃ4‚ ]P&lt;’9LЃ4‚9P&lt;’ dLЃ4‚ dP&lt;’8LЃ4‚8P&lt;’ dLЃ4‚ dP&lt;’4LЃ4‚4P&lt;’ dLЃ4‚ dP&lt;’6LЃ4‚6P&lt;’ eLЃ4‚ eP&lt;’9LЃ4‚9P&lt;’ eLЃ4‚ eP&lt;’8LЃ4‚8P&lt;’4LЃ4‚4P&lt;’6LЃ4‚6P&lt;’4LЃ4‚4P&lt;’8LЃ4‚8P&lt;’ ]_Ѓp‚ ]P 3’&gt;_Ѓp‚&gt;P 3’6_Ѓp‚6P 3’=_Ѓp‚=P 3’ d_Ѓp‚ dP 3’9_Ѓp‚9P 3’ ]_Ѓp‚ ]P 3’8_Ѓp‚8P 3’ e_Ѓp‚ eP 3’&gt;_Ѓp‚&gt;P 3’6_Ѓp‚6P 3’=_Ѓp‚=P 3’ d_Ѓp‚ dP 3’9_Ѓp‚9P 3’ \_Ѓp‚ \P 3’8_Ѓp‚8P 3’ ]_Ѓp‚ ]P 3’&gt;_Ѓp‚&gt;P 3’6_Ѓp‚6P 3’=_Ѓp‚=P 3’ d_Ѓp‚ dP 3’9_Ѓp‚9P 3’ ]_Ѓp‚ ]P 3’8_Ѓp‚8P 3’ e_Ѓp‚ eP 3’&gt;_Ѓp‚&gt;P 3’6_Ѓp‚6P 3’=_Ѓp‚=P 3’4_Ѓp‚4P 3’9_…P‚9P 3я •3MTrk!3 7р 3я i&lt;Дорожка S3 3µd!3e!3 lr3е 3@ 3µe!3d gf9@ fY!3e 3d 3ґd!3e!3 lr3д 3@ 3ґe!3d gf9@ fY!3e 3d 3µe!3d hf9@ 3e 3d 3ґe!3d hf9@ 3e 3d 3Е ”3Д ”3µ"3ґ"3µ :h 3ґ :h 3µ =H 3ґ =H 3µ]!3ґ]!3µ[!3ґ[!3µ\!3ґ\!3µ_!3ґ_!3” ЌeЃp3 eЃp„3P 3”: eЃp„:P 3” —eЃp„ dP 3”: eЃp„:P 3”4 eЃp„ ZP 34Pѓ`” ЌeЃp„ ZP 3”3 eЃp„3P 3”: eЃp„:P 3” —eЃp„ dP 3”: eЃp„:P 3” •eЃp„ bPѓ`” ЌeЃp3 eЃp„3P 3”: eЃp„:P 3” —eЃp„ dP 3”: eЃp„:P 3”4 eЃp„4P 3”: eЃp„:P 3”3 eЃp„ ZP 33P 3”: eЃp„:P 3” —eЃp„ dP 3”: eЃp„:P 3” •eЃp„ bP 3”: eЃp„:P 3” ”eЃp„ aP 3”: eЃp„:P 3” ЋeЃp„ [P 3” ЌeЃp3 eЃp„3P 3”: eЃp„:P 3” —eЃp„ dP 3”: eЃp„:P 3”4 eЃp„ ZP 34Pѓ`” ЌeЃp3 eЃp„3P 3”: eЃp„:P 3” —eЃp„ dP 3”: eЃp„:P 3” •eЃp„ ZP fbPѓ`” ЌeЃp? eЃp„?P 3”F eЃp„FP 3”= eЃp„=P 3”F eЃp„FP 3”? eЃp„?P 3”F eЃp„FP 3”@ eЃp„ ZP 3@P 3”F eЃp„FP 3”? eЃp„?P 3”F eЃp„FP 3”= eЃp„=P 3”F eЃp„FP 3”; eЃp„;P 3”F eЃp„FP 3”: eЃp„:Pє C”: eЃp„:P 3”3 e‡@„3PІP”4 eЃp„4P 3”3 eѓ`„3P 3”?_ѓ`„?P 3”K_ѓ`„KP 3”?_‡@„?P 3”?_Ѓp„?P 3”?_Ѓp„?P 3”K_ѓ`„KP 3”?_‡@„?P 3”?_ѓ`„?P 3”K_Ѓp„KP 3”:_Ѓp„:P 3”I_Ѓp„IP 3”:_Ѓp„:P 3”I_Ѓp„IP 3”:_Ѓp„:P 3”G_Ѓp„GP 3”:_Ѓp„:P 3”F_Ѓp„FP 3”:_Ѓp„:P 3”G_Ѓp„GP 3”:_Ѓp„:Pѓ`”?_ѓ`„?P 3”K_ѓ`„KP 3”?_‡@„?P 3”?_Ѓp„?P 3”?_Ѓp„?P 3”K_Ѓp„KP 3”K_Ѓp„KP 3”?_‡@„?P 3”?_ѓ`„?P 3”K_Ѓp„KP 3”?_Ѓp„?P 3”I_Ѓp„IP 3”?_Ѓp„?P 3”I_Ѓp„IP 3”?_Ѓp„?P 3”G_Ѓp„GP 3”?_Ѓp„?P 3”G_Ѓp„GP 3”?_Ѓp„?P 3”I_Ѓp„IP 3”?_Ѓp„?P 3”K_Џ 3„KPЏ 3” ђeЏ 3„ ]P 3” ЏeЏ 3„ \Pћ 3” ђeЏ 3„ ]P 3” •e…P„ bP 3” Ћe‰ c„ [P 3” ђe‹ S„ ]PЃp”= e‡@„=P 3”6 e‡@„6P 3” —eЏ 3„ dP 3”= e‡@„=P 3”9 e‡@„9P 3”8 eЏ 3„8P 3”B e‡@„BP 3”= e‡@„=P 3”6 eЏ 3„6P 3”B e‡@„BP 3”= eЃp6 eЃp„=P 36P 3”9 e…P„9P 3я •3MTrk!3 7З 3я i&lt;Дорожка S5 3·d!3e!3 lr3з 3@ 3·e!3d gf9@ fY!3e 3d 3¶d!3e!3 lr3ж 3@ 3¶e!3d gf9@ fY!3e 3d 3·e!3d hf9@ 3e 3d 3¶e!3d hf9@ 3e 3d 3З Ќ3Ж Ќ3·"3¶"3· :P 3¶ :P 3· =@ 3¶ =@ 3·]!3¶]!3·[!3¶[!3·\!3¶\!3·_!3¶_!3– NLЃ4† NPЌL– NLЃ4† NP‹\– L_ G† LPЃ\– NLЌ C† NP 3– NLЃ4† NP‚ _– NLЃ4† NP‰l– OLЃ4† OP&lt;– NL…P† NP‰ c– NL…P† NP‡@– OLЃ4† OP&lt;– N_‡@† NP…P– O_Ѓp† OPЃp– N_Ѓp† NPЃp– L_Ѓp† LPЃp– N_Ѓp† NPЃp– O_Ѓp† OP 3– N_Ѓp† NP‹ S– N_Ѓp† NPЃp– N_Ѓp† NP‰ c– N_Ѓp† NP 3– N_Ѓp† NP‹ S– N_Ѓp† NPЃp– N_Ѓp† NPЃp– L_Ѓp† LP…P– L_Ѓp† LP 3– N_Ѓp† NP‹ S– N_Ѓp† NPЃp– N_Ѓp† NP‰ c– N_Ѓp† NP 3– N_Ѓp† NP‹ S– N_Ѓp† NPЃp– L_Ѓp† LPЃp– N_Ѓp† NPЃp– L_Ѓp† LPЃp– O_Ѓp† OP 3– N_…P† NP 3– N_Ѓp† NP 3– Z_…P† ZP 3– V_Ѓp† VPЃp– V_Ѓp† VPЃp– V_Ѓp† VP 3– Z_ѓ`† ZP 3– V_ѓ`† VP 3– U_Ѓp† UP 3– U_Ѓp† UPЃp– N_Ѓp† NP 3– Z_…P† ZP 3– S_Ѓp† SPЃp– S_Ѓp† SPЃp– N_Ѓp† NP 3– Z_Ѓp† ZP 3– S_Ѓp† SP 3– O_Ѓp† OP 3– S_Ѓp† SP 3– N_…P† NP 3– N_Ѓp† NP 3– Z_…P† ZP 3– V_Ѓp† VPЃp– V_Ѓp† VP 3– V_Ѓ S† VP 3– V_Ѓ S† VP 3– V_Ѓ S† VP 3– Z_ѓ`† ZP 3– V_ѓ`† VP 3– U_Ѓp† UP 3– U_Ѓp† UPЃp– N_Ѓp† NP 3– Z_ѓ`† ZP 3– N_ѓ`† NP 3– T_ѓ`† TP 3– N_ѓ`† NP 3– O_ѓ`† OP 3– T_ѓ`† TP 3– N_Џ 3† NP 3– V_Џ 3† VP 3– Q_Ѓp† QP 3– Q_Ѓp† QP 3– Q_‹ S† QP 3– S_‡@† SP 3– S_ѓ`† SP 3– S_ѓ`† SP 3– N_Џ 3† NP 3– V_Џ 3† VP 3– Q_Ѓp† QP 3– Q_Ќ C† QP 3– Y_…P† YP 3– O_ѓ`† OP 3– V_ѓ`† VP 3– O_Ѓp† OP 3– Q_Ѓp† QP‹ S– Q_Ѓp† QP…P– L_Ѓp† LPЃp– M_Ѓp† MPЃp– L_Ѓp† LP 3– Q_Ѓp† QP‹ S– Q_Ѓp† QP…P– O_Ѓp† OPЃp– O_Ѓp† OPЃp– O_Ѓp† OP 3– Q_Ѓp† QP‹ S– Q_Ѓp† QP 3– M_Ѓp† MPѓ`– L_Ѓp† LPЃp– M_Ѓp† MPЃp– L_Ѓp† LP 3– Q_Ѓp† QP‹ S– Q_Ѓp† QP 3– M_Ѓp† MPѓ`– M_Ѓp† MP 3– [_Ѓp† [P 3– O_…P† OP 3я •3MTrk!3 r‡3я i:Ударные 3№d!3e!3 lr3й 3@ 3№e!3d gf9@ fY!3e 3d 3Й!3№"3 :P f=@ 3]!3[!3\!3_ 3Ќ C™ ]_Ѓp‰ ]P 3™ a_‹ S‰ aPЃp™ ]L&lt;‰ ]P 3™ ]L&lt;‰ ]P 3™ ]L&lt;‰ ]P 3™ ]L&lt;‰ ]P 3™ a_‡@‰ aPЃp™ `_Ѓp‰ `P 3™ T_Ѓp‰ TP 3™ a_Ѓp T_ѓ`‰ aP fTP 3™ T_Ѓp‰ TP 3™ ]_ f^_Ѓp‰ ]P f^P 3™ T_Ѓp‰ TP 3™ ]_Ѓp‰ ]P 3™ T_Ѓp‰ TP 3™ ]_ f^_Ѓp‰ ]P f^P 3™ a_ f\_ѓ`‰ aP f\P 3™ T_ѓ`‰ TP 3™ T_Ѓp‰ TP 3™ “eѓ`‰ `P 3™ ]_ f^_Ѓp‰ ]P f^P 3™ a_ f\_ѓ`‰ aP f\P 3™ T_ѓ`‰ TP 3™ T_Ѓp‰ TP 3™ ‘eѓ`‰ ^P 3™ ђf^_&lt;‰ ]P 3™ ђe&lt;‰ ]P 3™ ђe&lt;‰ ]P 3™ ђe&lt;‰ ]P f^P 3™ a_ f\_ѓ`‰ aP f\P 3™ T_ѓ`‰ TP 3™ T_Ѓp‰ TP 3™ ^_Ѓp‰ ^P 3™ T_Ѓp‰ TP 3™ a_ f`_Ѓp‰ aP f`P 3™ T_Ѓp‰ TP 3™ ^_Ѓp‰ ^P 3™ T_Ѓp‰ TP 3™ ]_ f^_Ѓp‰ ]P f^P 3™ T_Ѓp‰ TP 3™ ]_ f\_Ѓp‰ ]P f\P 3™ T_Ѓp‰ TP 3™ ]_ f^_Ѓp‰ ]P f^P 3™3_ f]_ fW_ѓ`‰3P f]P fWP 3™ ]_ѓ`‰ ]P 3™ ]_ѓ`‰ ]P 3™ ]_Ѓp‰ ]P 3™ W_Ѓp‰ WP 3™ ]_Ѓp‰ ]P 3™ W_Ѓp‰ WP 3™ ]_ѓ`‰ ]P 3™ ]_ѓ`‰ ]P 3™ ]_Ѓp‰ ]P 3™3_ fW_Ѓp‰3P fWP 3™ a_ fW_ѓ`‰ aP fWP 3™ ]_ѓ`‰ ]P 3™ ]_Ѓp‰ ]P 3™ ]L&lt;‰ ]P 3™ ]L&lt;‰ ]P 3™ ]L&lt;‰ ]P 3™ ]L&lt;‰ ]P 3™ a_Ѓp‰ aP 3™ W_Ѓp‰ WP 3™ ]_Ѓp‰ ]P 3™ W_Ѓp‰ WP 3™ ]_Ѓp‰ ]P 3™ W_Ѓp‰ WP 3™ ]_Ѓp‰ ]P 3™ `_Ѓp‰ `P 3™ a_Ѓp‰ aP 3™3_ fW_Ѓp‰3P fWP 3™3_ f`_ fW_ѓ`‰3P f`P fWP 3™ ]_ѓ`‰ ]P 3™ ]_Ѓp‰ ]P 3™ W_Ѓp‰ WP 3™ ]_Ѓp‰ ]P 3™ W_Ѓp‰ WP 3™ ]_Ѓp‰ ]P 3™ W_Ѓp‰ WP 3™ ]_Ѓp‰ ]P 3™ `_Ѓp‰ `P 3™ ]_Ѓp‰ ]P 3™ W_Ѓp‰ WP 3™ ]_Ѓp‰ ]P 3™3_ f`_ fW_Ѓp‰3P f`P fWP 3™ a_ f^_ fW_ѓ`‰ aP f^P fWP 3™ ]_ѓ`‰ ]P 3™ ]_Ѓp‰ ]P 3™ ]L fW_&lt;‰ ]P 3™ ]L&lt;‰ ]P 3™ ]L&lt;‰ ]P 3™ ]L&lt;‰ ]P fWP 3™ a_Ѓp‰ aP 3™ W_Ѓp‰ WP 3™ ]_Ѓp‰ ]P 3™ W_Ѓp‰ WP 3™ ]_Ѓp‰ ]P 3™ `_ fW_Ѓp‰ `P fWP 3™ ]_Ѓp‰ ]P 3™ ^_ fW_Ѓp‰ ^P fWP 3™ a_Ѓp‰ aP 3™3_ f\_ fW_Ѓp‰3P f\P fWP 3™ d_ fW_Ѓp‰ dP fWPЃp™ ]_Ѓp‰ ]P 3™ W_Ѓp‰ WP 3™ a_ f[_Ѓp‰ aP f[PЃp™ X_Ѓp‰ XP 3™ W_Ѓp‰ WP 3™3_Ѓp‰3P 3™ W_Ѓp‰ WP 3™ X_Ѓp‰ XP 3™ W_Ѓp‰ WP 3™ a_ f[_Ѓp‰ aP f[Pѓ`™ WL&lt;‰ WP 3™ WL&lt;‰ WP 3™ WL&lt;‰ WP 3™ WL&lt;‰ WP 3™ d_ fW_Ѓp‰ dP fWP 3™ W_Ѓp‰ WP 3™ ]_Ѓp‰ ]P 3™ W_Ѓp‰ WP 3™ a_ f[_Ѓp‰ aP f[PЃp™ X_Ѓp‰ XP 3™ W_Ѓp‰ WP 3™3_Ѓp‰3P 3™ W_Ѓp‰ WP 3™ X_Ѓp‰ XP 3™ W_Ѓp‰ WP 3™ ]_ f[_Ѓp‰ ]P f[P 3™ W_Ѓp‰ WP 3™ ]_ f[_Ѓp‰ ]P f[P 3™ WL&lt;‰ WP 3™ WL&lt;‰ WP 3™ WL&lt;‰ WP 3™ WL&lt;‰ WP 3™ d_ fW_Ѓp‰ dP fWPЃp™ ]_Ѓp‰ ]P 3™ W_Ѓp‰ WP 3™ a_ f[_Ѓp‰ aP f[PЃp™ X_Ѓp‰ XP 3™ W_Ѓp‰ WP 3™3_Ѓp‰3P 3™ W_Ѓp‰ WP 3™ W_Ѓ S‰ WP 3™ X_ fW_Ѓ S‰ XP fWP 3™ W_Ѓ S‰ WP 3™ a_ f[_ fЉeЃp‰ aP f[P fWPЃp™ ]_Ѓp‰ ]P 3™ WL&lt;‰ WP 3™ WL&lt;‰ WP 3™ WL&lt;‰ WP 3™ WL&lt;‰ WP 3™ d_ fW_Ѓp‰ dP fWP 3™ W_Ѓp‰ WP 3™ ]_Ѓp‰ ]P 3™ W_Ѓp‰ WP 3™ a_ f[_Ѓp‰ aP f[PЃp™ X_Ѓp‰ XP 3™ W_Ѓp‰ WP 3™3_Ѓp‰3P 3™ W_Ѓp‰ WP 3™ X_Ѓp‰ XP 3™ W_Ѓp‰ WP 3™ ]_ f[_Ѓp‰ ]P f[P 3™ W_Ѓp‰ WP 3™ ]_ f[_Ѓp‰ ]P f[P 3™ WL&lt;‰ WP 3™ WL&lt;‰ WP 3™ WL&lt;‰ WP 3™ WL&lt;‰ WP 3™ d_ fW_Ѓp‰ dP fWPЃp™ ]_Ѓp‰ ]P 3™ W_Ѓp‰ WP 3™ a_ f[_Ѓp‰ aP f[PЃp™ X_Ѓp‰ XP 3™ W_Ѓp‰ WP 3™3_Ѓp‰3P 3™ W_Ѓp‰ WP 3™ X_Ѓp‰ XP 3™ W_Ѓp‰ WP 3™ a_ f[_Ѓp‰ aP f[Pѓ`™ WL&lt;‰ WP 3™ WL&lt;‰ WP 3™ WL&lt;‰ WP 3™ WL&lt;‰ WP 3™ d_ fW_Ѓp‰ dP fWP 3™ W_Ѓp‰ WP 3™ ]_Ѓp‰ ]P 3™ W_Ѓp‰ WP 3™ a_ f[_Ѓp‰ aP f[PЃp™ X_Ѓp‰ XP 3™ W_Ѓp‰ WP 3™3_Ѓp‰3P 3™ W_Ѓp‰ WP 3™ X_Ѓp‰ XP 3™ W_Ѓp‰ WP 3™ a_ f[_Ѓp‰ aP f[P 3™ ]_ f[_Ѓp‰ ]P f[PЃp™ ]_ f[_ fW_Ѓp‰ ]P f[P fWP 3™ d_ fa_ fW_Ѓp‰ dP faP fWPЃp™ ]_Ѓp‰ ]P 3™ W_Ѓp‰ WP 3™ a_ f[_Ѓp‰ aP f[PЃp™ X_Ѓp‰ XP 3™ W_Ѓp‰ WP 3™3_Ѓp‰3P 3™ W_Ѓp‰ WP 3™ X_Ѓp‰ XP 3™ W_Ѓp‰ WP 3™ a_ f[_Ѓp‰ aP f[Pѓ`™ WL&lt;‰ WP 3™ WL&lt;‰ WP 3™ WL&lt;‰ WP 3™ WL&lt;‰ WP 3™ d_ fW_Ѓp‰ dP fWP 3™ W_Ѓp‰ WP 3™ ]_Ѓp‰ ]P 3™ W_Ѓp‰ WP 3™ a_ f[_Ѓp‰ aP f[PЃp™ X_Ѓp‰ XP 3™ W_Ѓp‰ WP 3™3_Ѓp‰3P 3™ W_Ѓp‰ WP 3™ X_Ѓp‰ XP 3™ W_Ѓp‰ WP 3™ a_ f[_Ѓp‰ aP f[P 3™ [_Ѓp‰ [PЃp™ [_ fW_Ѓp‰ [P fWP 3™3_ f]_ fW_ѓ`‰3P f]P fWP 3™ ]_ѓ`‰ ]P 3™ ]_ѓ`‰ ]P 3™ ]_Ѓp‰ ]P 3™ W_Ѓp‰ WP 3™ ]_ѓ`‰ ]P 3™ ]_Ѓp‰ ]P 3™ W_Ѓp‰ WP 3™ ]_Ѓp‰ ]P 3™ W_Ѓp‰ WP 3™ ]_Ѓp‰ ]P 3™3_ fW_Ѓp‰3P fWP 3™ a_ fW_ѓ`‰ aP fWP 3™ ]_ѓ`‰ ]P 3™ ]_Ѓp‰ ]P 3™ ]L&lt;‰ ]P 3™ ]L&lt;‰ ]P 3™ ]L&lt;‰ ]P 3™ ]L&lt;‰ ]P 3™ a_Ѓp‰ aP 3™ W_Ѓp‰ WP 3™ ]_ѓ`‰ ]P 3™ ]_Ѓp‰ ]P 3™ W_Ѓp‰ WP 3™ ]_Ѓp‰ ]P 3™ `_Ѓp‰ `P 3™ a_Ѓp‰ aP 3™3_ fW_Ѓp‰3P fWP 3™3_ f]_ fW_ѓ`‰3P f]P fWP 3™ ]_ѓ`‰ ]P 3™ ]_ѓ`‰ ]P 3™ ]_Ѓp‰ ]P 3™ ]L fW_&lt;‰ ]P 3™ ]L&lt;‰ ]P 3™ ]L&lt;‰ ]P 3™ ]L&lt;‰ ]P fWP 3™3_ f]_ fW_ѓ`‰3P f]P fWP 3™ ]_Ѓp‰ ]P 3™ W_Ѓp‰ WP 3™ ]_Ѓp‰ ]P 3™ W_Ѓp‰ WP 3™ ]_Ѓp‰ ]P 3™ ]L fW_&lt;‰ ]P 3™ ]L&lt;‰ ]P 3™ ]L&lt;‰ ]P 3™ ]L&lt;‰ ]P fWP 3™3_ f]_ fW_ѓ`‰3P f]P fWP 3™ ]_ѓ`‰ ]P 3™ ]_Ѓp‰ ]P 3™ ]L&lt;‰ ]P 3™ ]L&lt;‰ ]P 3™ ]L&lt;‰ ]P 3™ ]L&lt;‰ ]P 3™ a_Ѓp‰ aP 3™3_ fW_Ѓp‰3P fWP 3™3_ f]_ѓ`‰3P f]P 3™ ]_Ѓp‰ ]P 3™ ^_ fW_Ѓp‰ ^P fWP 3™ ]_ f\_Ѓp‰ ]P f\P 3™ d_ f`_…P‰ dP f`P 3я b 3</t>
  </si>
  <si>
    <t>LT_You_Hide_Death_Seeks.mid</t>
  </si>
  <si>
    <t>MThd"3 lfgfm4аMTrk"3 }3яQ ip’ђ3я 6!3яX!7 hp’3я •3MTrk!3 7„ 3я iMSaxophone S: SBaritone Sin SEb 3°d!3e!3 lr3а 3@ 3°e!3d gf9@ fY!3e 3d 3e!3d hf9@ 3e 3d 3АA 3°"3 :x f=@ 3]!3[!3\!3_ 3…Pђ bOЃpЂ bP 3ђ;OЃpЂ;P 3ђ:OЃpЂ:P 3ђ9OЃpЂ9P 3ђ8OЃpЂ8P 3ђ7OЃpЂ7P 3ђ bOЃpЂ bPЃpђ bOЃpЂ bP 3ђ dOЃpЂ dP 3ђ7OЃpЂ7PЃpђ6OЃpЂ6PЃpђ eOЃpЂ ePЃpђ ]OЃpЂ ]P 3ђ bOЃpЂ bP 3ђ dOЃpЂ dP 3ђ eOЃpЂ eP 3ђ6OЃpЂ6P 3ђ4OЃpЂ4P 3ђ bOЃpЂ bPЃpђ ^OЃpЂ ^P 3ђ aOЃpЂ aP 3ђ4OЃpЂ4PЃpђ eOЃpЂ ePЃpђ ]OЃpЂ ]P 3ђ \OЃpЂ \P 3ђ ]OЃpЂ ]P 3ђ `OЃpЂ `P 3ђ _OЃpЂ _P 3ђ ^OЃpЂ ^P 3ђ ]OЃpЂ ]P 3ђ ^OЃpЂ ^P 3ђ bOЃpЂ bPЃpђ bOЃpЂ bP 3ђ dOЃpЂ dP 3ђ7OЃpЂ7PЃpђ6OЃpЂ6PЃpђ eOЃpЂ ePЃpђ bOЃpЂ bP 3ђ dOЃpЂ dP 3ђ eOЃpЂ eP 3ђ4OЃpЂ4P 3ђ6OЃpЂ6P 3ђ4OЃpЂ4P 3ђ4OЃpЂ4PЃpђ bOЃpЂ bP 3ђ5OЃpЂ5P 3ђ5OЃpЂ5PЃpђ6OЃpЂ6P…Pђ ]OЃpЂ ]P 3ђ6OЃpЂ6P 3ђ4OЃpЂ4P 3ђ eOЃpЂ eP 3ђ ]OЃpЂ ]P 3ђ bOЃpЂ bP 3ђ6OЃpЂ6P 3ђ5OЃpЂ5P 3ђ bOЃpЂ bP 3ђ7Oѓ`Ђ7P 3ђ6Oѓ`Ђ6P 3ђ bOЃpЂ bP 3ђ6OЃpЂ6P 3ђ5OЃpЂ5P 3ђ bOЃpЂ bP 3ђ4OЃpЂ4P 3ђ eOЃpЂ eP 3ђ dOЃpЂ dP 3ђ `OЃpЂ `P 3ђ bOЃpЂ bP 3ђ6OЃpЂ6P 3ђ5OЃpЂ5P 3ђ bOЃpЂ bP 3ђ7Oѓ`Ђ7P 3ђ6Oѓ`Ђ6P 3ђ bOЃpЂ bP 3ђ6OЃpЂ6P 3ђ5OЃpЂ5P 3ђ bOЃpЂ bP 3ђ4OЃpЂ4P 3ђ eOЃpЂ eP 3ђ dOЃpЂ dP 3ђ `OЃpЂ `P 3ђ ^OЃpЂ ^P 3ђ eOЃpЂ eP 3ђ dOЃpЂ dP 3ђ ^OЃpЂ ^P 3ђ3Oѓ`Ђ3P 3ђ eOѓ`Ђ eP 3ђ ^OЃpЂ ^P 3ђ eOЃpЂ eP 3ђ dOЃpЂ dP 3ђ ^OЃpЂ ^P 3ђ cOЃpЂ cP 3ђ aOЃpЂ aP 3ђ `OЃpЂ `P 3ђ \OЃpЂ \PЃpђ aOЃpЂ aP 3ђ `OЃpЂ `PЃpђ bOѓ`Ђ bP 3ђ aOѓ`Ђ aP 3ђ eOЃpЂ eP 3ђ dOЃpЂ dP 3ђ cOЃpЂ cP 3ђ bOЃpЂ bP 3ђ aOЃpЂ aP 3ђ `OЃpЂ `P 3ђ _OЃpЂ _P 3ђ ]OЃpЂ ]P 3ђ ^OЃpЂ ^P 3ђ eOЃpЂ eP 3ђ dOЃpЂ dP 3ђ ^OЃpЂ ^P 3ђ3Oѓ`Ђ3P 3ђ eOѓ`Ђ eP 3ђ7O f^OЃpЂ7P f^P 3я •3MTrk!3 6t 3я i8Organ 3±d!3e!3 lr3б 3@ 3±e!3d gf9@ fY!3e 3d 3e!3d hf9@ 3e 3d 3Б v3±"3 :x f=@ 3]!3[!3\!3_ 3њ C‘&gt;O 3;O…PЃ&gt;P 3;P c‘;O feO‡@Ѓ;P fePљ S‘&gt;O feOЃpЃ&gt;P fePЃp‘6O feOЃpЃ6P feP 3‘=O fdOЃpЃ=P fdP 3‘&gt;O feOЃpЃ&gt;P feP 3‘@O 34OЃpЃ@P 34P 3‘BO 36OЃpЃBP 36P 3‘@O 3;OxЃ@P 3;Px‘@O 3;OxЃ@P 3;P‚h‘;OxЃ;Px‘AO 3;OxЃAP 3;Px‘AO 3;OxЃAP 3;P‚h‘BO 3=OЃpЃBP 3=PЏ 3‘;O‹ SЃ;Pѓ`‘;O 36OЃpЃ;P 36P‹ S‘9O 34OЃpЃ9P 34P 3‘&gt;O 3;Oѓ`Ѓ&gt;P 3;PЃp‘;O feOѓ`Ѓ;P fePЃp‘6O faOxЃ aPx6P 3‘6O faOZЃ aPZ6P 3‘6O faO QЃ aP Q6P 3‘ bO f]OЃpЃ bP f]P…P‘ ]O&lt;Ѓ ]P 3‘ bO&lt;Ѓ bP 3‘ eO&lt;Ѓ eP 3‘6O&lt;Ѓ6P 3‘ ]O&lt;Ѓ ]P 3‘ bO&lt;Ѓ bP 3‘ eO&lt;Ѓ eP 3‘5O&lt;Ѓ5P 3‘6O&lt;Ѓ6P 3‘ `O&lt;Ѓ `P 3‘ dO&lt;Ѓ dP 3‘4O&lt;Ѓ4P 3‘ dO&lt;Ѓ dP 3‘4O&lt;Ѓ4P 3‘9O&lt;Ѓ9P 3‘=O&lt;Ѓ=P 3‘&gt;O 37O‡@Ѓ&gt;P 37P 3‘&lt;O 33Oѓ`Ѓ&lt;P 33P 3‘&gt;O feO&lt;Ѓ&gt;P feP&lt;‘&gt;O feO&lt;Ѓ&gt;P feP‚ _‘:O feO‚hЃ:P fePx‘7O fdO‚hЃ7P fdPx‘:O fcO‚hЃ:P fcPx‘9O 35Oѓ`Ѓ9P 35P 3‘:O 37O 33O‡@Ѓ:P 37P 33P 3‘:O 33O&lt;Ѓ:P 33P&lt;‘:O 33O&lt;Ѓ:P 33P† ?‘&gt;O 36Oѓ`Ѓ&gt;P 36P 3‘&gt;O 36O&lt;Ѓ&gt;P 36P&lt;‘&gt;O 36O&lt;Ѓ&gt;P 36P‚ _‘:O 36O feOѓ`Ѓ:P 36P feP 3‘:O 36O feO&lt;Ѓ:P 36P feP&lt;‘:O 36O feO&lt;Ѓ:P 36P feP‚ _‘7O feO&lt;Ѓ7P feP&lt;‘7O feOxЃ7P fePЊ K‘6O feOxЃ6P feP 3‘7O feOЃpЃ7P feP 3я •3MTrk!3 4” 3я i?Glockenspiel 3Іd!3e!3 lr3в 3@ 3Іe!3d gf9@ fY!3e 3d 3e!3d hf9@ 3e 3d 3В o3І"3 :x f=@ 3]!3[!3\!3_ 3ц C’=OЃp‚=PЏ 3’6OЏ 3‚6P 3’6OЏ 3‚6P 3’NO 36OЏ 3‚NP 36P 3’GO 36OЏ 3‚GP 36P 3’ eOЃp‚ eP 3’9OЃp‚9P 3’8OЃp‚8P 3’ eOЃp‚ eP 3’:Oѓ`‚:P 3’9Oѓ`‚9P 3’ eO…P‚ eP 3’9OЃp‚9P 3’7OЃp‚7P 3’5OЃp‚5P 3’4OЃp‚4P 3’ cOЃp‚ cP 3’ aOЃp‚ aP 3’5OЃp‚5P 3’4OЃp‚4P 3’ aOЃp‚ aP 3’6Oѓ`‚6P 3’5Oѓ`‚5P 3’ `OЃp‚ `P 3’8OЃp‚8P 3’7OЃp‚7P 3’6OЃp‚6P 3’5OЃp‚5P 3’4OЃp‚4P 3’3OЃp‚3P 3’ dOЃp‚ dP 3’ eOЏ 3‚ eP 3’&gt;OЏ 3‚&gt;P 3я •3MTrk!3 6­ 3я i@Acoustic SBa*s 3іd!3e!3 lr3г 3@ 3іe!3d gf9@ fY!3e 3d 3e!3d hf9@ 3e 3d 3Г †3і"3 :x f=@ 3]!3[!3\!3_ 3Џ 3“ ROЃpѓ RP…P“ UO…Pѓ UP 3“ VOѓ`ѓ VP 3“ XOЃpѓ XP 3“ YOЃpѓ YP 3“ VOЃpѓ VP 3“ QOЃpѓ QP 3“ XOxѓ XPx“ YOxѓ YPx“ VOЃpѓ VP 3“ ROЃpѓ RP 3“ ROЃpѓ RP 3“ ^OЃpѓ ^P 3“ ROЃpѓ RP 3“ QOЃpѓ QP 3“ ]OЃpѓ ]P 3“ QOЃpѓ QP 3“ YOѓ`ѓ YP…P“ VOЃpѓ VP 3“ QOЃpѓ QP 3“ YOЃpѓ YP 3“ VOЃpѓ VP 3“ ROЃpѓ RP 3“ ROЃpѓ RPЃp“ ROЃpѓ RP 3“ TOЃpѓ TP 3“ `OЃpѓ `PЃp“ YOЃpѓ YPЃp“ YOЃpѓ YPЃp“ YOЃpѓ YP 3“ XOЃpѓ XP 3“ YOЃpѓ YP 3“ XOЃpѓ XP 3“ VOЃpѓ VP 3“ [OЃpѓ [P 3“ OOѓ`ѓ OP 3“ OOЃpѓ OP 3“ \OЃpѓ \P 3“ POѓ`ѓ PP 3“ QOЃpѓ QP 3“ QOЃpѓ QP…P“ ]Oѓ`ѓ ]P 3“ QOѓ`ѓ QPћ 3“ VOЃpѓ VP‹ S“ TOЃpѓ TP 3“ VOЃpѓ VP…P“ VOЃ4ѓ VP 3“ VO&lt;ѓ VP 3“ YOЃ4ѓ YP 3“ YO&lt;ѓ YP 3“ TOЃ4ѓ TP 3“ TO&lt;ѓ TP 3“ QOЃpѓ QP 3“ ROЃpѓ RP 3“ YOЃpѓ YP 3“ XOЃpѓ XP 3“ ^OЃpѓ ^P 3“ ZOЃpѓ ZP 3“ WOЃ4ѓ WP 3“ WO&lt;ѓ WP 3“ YOЃ4ѓ YP 3“ YO&lt;ѓ YP 3“ TOЃ4ѓ TP 3“ TO&lt;ѓ TP 3“ ROЃpѓ RP 3“ YOЃ4ѓ YP 3“ YO&lt;ѓ YP 3“ XOЃpѓ XP 3“ ^OЃpѓ ^P 3“ WOЃpѓ WP 3“ UOЃ4ѓ UP 3“ UO&lt;ѓ UP 3“ YOЃpѓ YP 3“ \OЃpѓ \P 3“ ZOЃpѓ ZP 3“ UOЃpѓ UP 3“ TOЃpѓ TP 3“ ZOЃpѓ ZP 3“ VOЃpѓ VP 3“ SOЃpѓ SP 3“ UOЃpѓ UP 3“ ]OЃpѓ ]P 3“ YOЃpѓ YP 3“ XOЃpѓ XP 3“ WOЃpѓ WP 3“ VOЃpѓ VP 3“ UOЃpѓ UP 3“ TOЃpѓ TP 3“ SOЃpѓ SP 3“ QOЃpѓ QP 3“ ROЃpѓ RP…P“ ZOxѓ ZP 3“ YOxѓ YP…P“ ROЃpѓ RP 3я •3MTrk!3 6‰ 3я iAAcoustic SPiano 3ґd!3e!3 lr3д 3@ 3ґe!3d gf9@ fY!3e 3d 3e!3d hf9@ 3e 3d 3Д!3ґ"3 :x f=@ 3]!3[!3\!3_ 3…P”;O fbOЃp„;P fbP 3”GO 3;OЃp„GP 3;P 3”FO 3:OЃp„FP 3:P 3”EO 39OЃp„EP 39P 3”DO 38OЃp„DP 38P 3”CO 37OЃp„CP 37P 3”;O fbOЃp„;P fbPЃp”7O f^OЃp„7P f^P 3”=O fdOЃp„=P fdP 3”CO 37OЃp„CP 37PЃp”BO 36OЃp„BP 36PЃp”&gt;O feOЃp„&gt;P fePЃp”6O f]OЃp„6P f]P 3”;O fbOЃp„;P fbP 3”=O fdOЃp„=P fdP 3”&gt;O feOЃp„&gt;P feP 3”BO 36OЃp„BP 36P 3”@O 34OЃp„@P 34P 3”;O fbOЃp„;P fbPЃp”7O f^OЃp„7P f^P 3”:O faOЃp„:P faP 3”@O 34OЃp„@P 34PЃp”&gt;O feOЃp„&gt;P fePЃp”6O f]OЃp„6P f]P 3”5O f\OЃp„5P f\P 3”6O f]OЃp„6P f]P 3”EO 39OЃp„EP 39P 3”DO 38OЃp„DP 38P 3”CO 37OЃp„CP 37P 3”BO 36OЃp„BP 36P 3”CO 37OЃp„CP 37P 3”7O fbOЃp„7P fbPЃp”7O f^OЃp„7P f^P 3”=O fdOЃp„=P fdP 3”CO 37OЃp„CP 37PЃp”BO 36OЃp„BP 36PЃp”&gt;O feOЃp„&gt;P fePЃp”;O f]OЃp„;P f]P 3”=O fdOЃp„=P fdP 3”&gt;O feOЃp„&gt;P feP 3”@O 34OЃp„@P 34P 3”BO 36OЃp„BP 36P 3”4O f[OЃp„4P f[P 3”4O f[OЃp„4P f[PЃp” bOЃp„ bP 3”5O f\OЃp„5P f\P 3”5O f\OЃp„5P f\PЃp”6O f]OЃp„ ]Pѓ`6PЃp”7OЃp„7P 3”6O f]OЃp„6P f]P 3”4O f]OЃp„4P f]P 3” eO f]OЃp„ eP f]P 3” ]OЃp„ ]PЃ‡ 3”7O f^O‚h„7P f^P 3я •3MTrk!3 =Б 3я i:Drumkit 3№d!3e!3 lr3й 3@ 3№e!3d gf9@ fY!3e 3d 3Й!3№"3 :x f=@ 3]!3[!3\!3_!3™ aOЃp‰ aP 3™ _OЃ4‰ _P 3™ _O&lt;‰ _P 3™ aOЃp‰ aP 3™ _OЃ4‰ _P 3™ _O fVO&lt;‰ _P fVPЃp™ _OЃ4‰ _P 3™ _O&lt;‰ _P 3™ aOЃp‰ aP 3™ _OЃ4‰ _P 3™ _O fVO&lt;‰ _P fVP 3™ VO fTO faOЃp‰ VP fTP faP 3™ _OЃ4‰ _P 3™ _O&lt;‰ _P 3™ aOЃp‰ aP 3™ _OЃ4‰ _P 3™ _O fVO&lt;‰ _P fVP 3™ VOx‰ VPx™ _O f`Ox‰ _P f`P&lt;™ _O&lt;‰ _P 3™ aOx‰ aP 3™ ^Ox‰ ^P 3™ _O f[Ox‰ _P f[P&lt;™ _O fVO&lt;‰ _P fVP 3™ VO faOЃp‰ VP faP 3™ _O fVOЃ4‰ _P fVP 3™ _O&lt;‰ _P 3™ aOЃp‰ aP 3™ _OЃ4‰ _P 3™ _O fVO&lt;‰ _P fVP 3™ VOx‰ VPx™ _O f`Ox‰ _P f`P&lt;™ _O&lt;‰ _P 3™ aOx‰ aPx™ _O fbOx‰ _P fbP&lt;™ _O fbO&lt;‰ _P fbP 3™ VO fTO faOЃp‰ VP fTP faP 3™ _OЃ4‰ _P 3™ _O&lt;‰ _P 3™ aOЃp‰ aP 3™ _OЃ4‰ _P 3™ _O fVO&lt;‰ _P fVP 3™ VO f_Ox‰ VP f_Px™ _O fVOx‰ _P fVP&lt;™ _O fVO&lt;‰ _P fVP 3™ aO f[Ox‰ aP f[Px™ _O f[Ox‰ _P f[P&lt;™ _O f[O&lt;‰ _P f[P 3™ VO fTO f_OЃp‰ VP fTP f_P 3™ _OЃ4‰ _P 3™ _O&lt;‰ _P 3™ aOЃp‰ aP 3™ _OЃ4‰ _P 3™ _O fVO&lt;‰ _P fVP 3™ aO fVOx‰ aP fVP 3™ TOx‰ TP 3™ _Ox‰ _P 3™ TO&lt;‰ TP 3™ _O&lt;‰ _P 3™ aOx‰ aPx™ _O f[Ox‰ _P f[P&lt;™ _O f[O&lt;‰ _P f[P 3™ VO fTO faOЃp‰ VP fTP faP 3™ _OЃ4‰ _P 3™ _O fVO&lt;‰ _P fVP 3™ aO f[OЃp‰ aP f[P 3™ _OЃ4‰ _P 3™ _O fVO&lt;‰ _P fVP 3™ aO fVOx‰ aP fVPx™ _O fVOx‰ _P fVP&lt;™ _O fVO&lt;‰ _P fVP 3™ aO f[Ox‰ aP f[Px™ _O f[Ox‰ _P f[P&lt;™ _O f[O&lt;‰ _P f[P 3™ VO f^O f_OЃp‰ VP f^P f_P 3™ _OЃ4‰ _P 3™ _O fVO&lt;‰ _P fVP 3™ aO f[OЃp‰ aP f[P 3™ _OЃ4‰ _P 3™ _O fVO&lt;‰ _P fVP 3™ aO f[Ox‰ aP f[P 3™ [Ox‰ [P 3™ _Ox‰ _P&lt;™ _O fVO&lt;‰ _P fVP 3™ aO f[Ox‰ aP f[P 3™ [Ox‰ [P 3™ _Ox‰ _P&lt;™ _O fVO 33O&lt;‰ _P fVP 33P 3™ VO fTO fdOЃp‰ VP fTP fdP 3™ _OЃ4‰ _P 3™ _O&lt;‰ _P 3™ aOЃp‰ aP 3™ _OЃ4‰ _P 3™ _O fVO&lt;‰ _P fVP 3™ VO 39Ox‰ VP 39P 3™ TOx‰ TPx™ TO&lt;‰ TP 3™ _O&lt;‰ _P 3™ aOx‰ aPx™ [O fdOx‰ [P fdP&lt;™ _O&lt;‰ _P 3™ VO 33O f`O‡@‰ VP 33P f`P 3™ aO f^O…P‰ aP f^P 3™ ^OЃp‰ ^P 3™ VO fdOЃp‰ VP fdP 3™ _OЃ4‰ _P 3™ _O&lt;‰ _P 3™ aOЃp‰ aP 3™ _OЃ4‰ _P 3™ _O fVO&lt;‰ _P fVP 3™ aO fVOx‰ aP fVP 3™ TOx‰ TP 3™ _Ox‰ _P 3™ TO&lt;‰ TP 3™ _O&lt;‰ _P 3™ aOx‰ aPx™ _O f[Ox‰ _P f[P&lt;™ _O f[O&lt;‰ _P f[P 3™ VO fTO f_OЃp‰ VP fTP f_P 3™ _OЃ4‰ _P 3™ _O&lt;‰ _P 3™ aOЃp‰ aP 3™ _OЃ4‰ _P 3™ _O fVO&lt;‰ _P fVP 3™ aO fVOx‰ aP fVP 3™ TOx‰ TP 3™ _Ox‰ _P 3™ `O&lt;‰ `P 3™ _O&lt;‰ _P 3™ aOx‰ aP 3™ ^Ox‰ ^P 3™ _O f[Ox‰ _P f[P&lt;™ _O fVO&lt;‰ _P fVP 3™ VO fTO 39OЃp‰ VP fTP 39P 3™ _O fVOЃ4‰ _P fVP 3™ _O&lt;‰ _P 3™ aOЃp‰ aP 3™ _OЃ4‰ _P 3™ _O fVO&lt;‰ _P fVP 3™ aO fVOx‰ aP fVP 3™ VOx‰ VP 3™ _Ox‰ _P 3™ `O&lt;‰ `P 3™ _O&lt;‰ _P 3™ aOx‰ aPx™ _O fbOx‰ _P fbP&lt;™ _O fbO&lt;‰ _P fbP 3™ VO fTO f_OЃp‰ VP fTP f_P 3™ _OЃ4‰ _P 3™ _O&lt;‰ _P 3™ aOЃp‰ aP 3™ _OЃ4‰ _P 3™ _O fVO&lt;‰ _P fVP 3™ aO fVOx‰ aP fVPx™ _O fVOx‰ _P fVP&lt;™ _O fVO&lt;‰ _P fVP 3™ aO f[Ox‰ aP f[Px™ _O f[Ox‰ _P f[P&lt;™ _O f[O&lt;‰ _P f[P 3™ VO fTO faOЃp‰ VP fTP faP 3™ _OЃ4‰ _P 3™ _O fVO&lt;‰ _P fVP 3™ aO f[OЃp‰ aP f[P 3™ _OЃ4‰ _P 3™ _O fVO&lt;‰ _P fVP 3™ aO fVOx‰ aP fVPx™ _O fVOx‰ _P fVP&lt;™ _O fVO&lt;‰ _P fVP 3™ aO f[Ox‰ aP f[Px™ _O f[Ox‰ _P f[P&lt;™ _O f[O&lt;‰ _P f[P 3™ VO fTO faOЃp‰ VP fTP faP 3™ _OЃ4‰ _P 3™ _O fVO&lt;‰ _P fVP 3™ aO f[OЃp‰ aP f[P 3™ _OЃ4‰ _P 3™ _O fVO&lt;‰ _P fVP 3™ aO f[Ox‰ aP f[P 3™ VOx‰ VP 3™ _Ox‰ _P&lt;™ _O fVO&lt;‰ _P fVP 3™ aO f[Ox‰ aP f[Px™ _O f[Ox‰ _P f[P&lt;™ _O f[O&lt;‰ _P f[P 3™ VO fTO faOЃp‰ VP fTP faP 3™ _OЃ4‰ _P 3™ _O fVO&lt;‰ _P fVP 3™ aO f[OЃp‰ aP f[P 3™ _OЃ4‰ _P 3™ _O fVO&lt;‰ _P fVP 3™ aO fVOx‰ aP fVPx™ _O fVOx‰ _P fVP&lt;™ _O fVO&lt;‰ _P fVP 3™ aO f[Ox‰ aP f[Px™ _O f[Ox‰ _P f[P&lt;™ _O f[O&lt;‰ _P f[P 3™ VO fTO faOЃp‰ VP fTP faP 3™ _OЃ4‰ _P 3™ _O fVO&lt;‰ _P fVP 3™ aO f[OЃp‰ aP f[P 3™ _OЃ4‰ _P 3™ _O fVO&lt;‰ _P fVP 3™ aO f[Ox‰ aP f[P 3™ [Ox‰ [P 3™ _Ox‰ _P&lt;™ _O fVO&lt;‰ _P fVP 3™ aO f[Ox‰ aP f[P 3™ [Ox‰ [P 3™ _Ox‰ _P&lt;™ _O fVO 33O&lt;‰ _P fVP 33P 3™ VO fTO fdOЃp‰ VP fTP fdP 3™ _OЃ4‰ _P 3™ _O&lt;‰ _P 3™ aOЃp‰ aP 3™ _OЃ4‰ _P 3™ _O fVO&lt;‰ _P fVP 3™ aO fVOx‰ aP fVP 3™ TOx‰ TP 3™ _Ox‰ _P 3™ TO&lt;‰ TP 3™ _O&lt;‰ _P 3™ aOx‰ aPx™ _O f[Ox‰ _P f[P&lt;™ _O f[O&lt;‰ _P f[P 3™ VO 33O‡@‰ VP 33P 3я b 3</t>
  </si>
  <si>
    <t>Pong.mid</t>
  </si>
  <si>
    <t>MThd"3 lfgfi4аMTrk"3 q3яQ i7“а 3я •3MTrk!3 i~3я i&gt;Synthesizer 3АP 3яX!7 h~n3ђLHЃpЂL@ЃpђOHЃpЂO@ЃpђLH‚hЂL@ 3ђJHxЂJ@ 3ђ*H‚hЂH@ 3ђJHxЂJ@ 3ђLHЃpЂL@ЃpђOHЃpЂO@ЃpђLH‚hЂL@ 3ђJHxЂJ@ 3ђ*H‚hЂH@ 3ђLHxЂL@ 3ђJHЃpЂJ@ЃpђMHЃpЂM@ЃpђJH‚hЂJ@ 3ђ*HxЂH@ 3ђGH‚hЂG@ 3ђJHxЂJ@ 3ђ*HЃpЂH@ЃpђCH‚hЂC@ 3ђCHxЂC@ 3ђEH‚hЂE@ 3ђCHxЂC@ 3ђGH‚hЂG@ 3ђJHxЂJ@ 3ђ*H 3ђLHЃpЂH@ 3ЂL@ЃpђOHЃpЂO@ЃpђLH‚hЂL@ 3ђJHxЂJ@ 3ђ*H‚hЂH@ 3ђJHxЂJ@ 3ђLHЃpЂL@ЃpђOHЃpЂO@ЃpђLH‚hЂL@ 3ђJHxЂJ@ 3ђ*H‚hЂH@ 3ђLHxЂL@ 3ђJHЃpЂJ@ЃpђMHЃpЂM@ЃpђJH‚hЂJ@ 3ђ*HxЂH@ 3ђGH‚hЂG@ 3ђJHxЂJ@ 3ђ*HЃpЂH@Ѓpђ*H‚hЂH@ 3ђ*HxЂH@ 3ђJH‚hЂJ@ 3ђJHxЂJ@ 3ђ*H‚hЂH@ 3ђ*HxЂH@ 3ђEHЃpЂE@Ѓpђ*HЃpЂH@ЃpђMH‚hЂM@ 3ђLHxЂL@ 3ђMH‚hЂM@ 3ђQHxЂQ@ 3ђOHЃpЂO@ЃpђJHЃpЂJ@ЃpђOH‚hЂO@ 3ђQHxЂQ@ 3ђOH‚hЂO@ 3ђMHxЂM@ 3ђLHЃpЂL@Ѓpђ*HЃpЂH@ЃpђLH‚hЂL@ 3ђMHxЂM@ 3ђLH‚hЂL@ 3ђJHxЂJ@ 3ђ*HЃpЂH@ЃpђEH‚hЂE@ 3ђEHxЂE@ 3ђGH‚hЂG@ 3ђGHxЂG@ 3ђ*Hѓ`ЂH@ 3ђMHЃpЂM@Ѓpђ*HЃpЂH@ЃpђMH‚hЂM@ 3ђLHxЂL@ 3ђMH‚hЂM@ 3ђQHxЂQ@ 3ђOHЃpЂO@ЃpђJHЃpЂJ@ЃpђOHЃpЂO@ЃpђCHЃpЂC@ 3я •3MTrk"3Ў 3я i&gt;Synthesizer 3АP 3ђ&lt;Hѓ`Ђ&lt;@‹ Sђ&lt;Hѓ`Ђ&lt;@‹ Sђ7Hѓ`Ђ7@‹ Sђ&lt;Hѓ`Ђ&lt;@‹ Sђ&lt;Hѓ`Ђ&lt;@‹ Sђ&lt;Hѓ`Ђ&lt;@‹ Sђ7Hѓ`Ђ7@‹ Sђ&lt;Hѓ`Ђ&lt;@‹ Sђ5Hѓ`Ђ5@‹ Sђ7Hѓ`Ђ7@‹ Sђ&lt;Hѓ`Ђ&lt;@‹ Sђ9Hѓ`Ђ9@‹ Sђ5Hѓ`Ђ5@‹ Sђ7Hѓ`Ђ7@ 3я b 3</t>
  </si>
  <si>
    <t>Doom_Theme.mid</t>
  </si>
  <si>
    <t>MThd"3 lfgfm4аMTrk"3 }3яQ i:Ў †3я 6!3яX!7 h:Ў 3я •3MTrk!3 h‚3я i&lt;Дорожка †—3±d!3e!3 lr3б 3@ 3±e!3d gf9@ fY!3e 3d 3°d!3e!3 lr3а 3@ 3°e!3d gf9@ fY!3e 3d 3±e!3d hf9@ 3e 3d 3°e!3d hf9@ 3e 3d 3Б_ 3А_ 3±"3°"3± :X 3° :X 3± =8 3° =8 3±]!3°]!3±[!3°[!3±\!3°\!3±_!3°_!3ђ ‹e‚@ —e‚@Ђ dP 3ђ= e‚@Ђ XP 3ђ X_‡@Ђ=P fXPѓ`‘I_‚8б 3E ‚3K ‚3P ‚3U ‚3[ ‚3` ‚3eѓ!3*` 3`Ћ †3e` 3eЎ`ЃIP 3б 3@!3@ 3ђ d_ј 3Ђ dP 3ђ@ fd_Џ 3Ђ@PЏ 3ђA e–@Ђ dP 3AP 3ђ= f—eѓ`Ђ=P 3ђ@ eѓ`Ђ@PЏ 3ђ= eЏ 3Ђ dP 3=P 3ђL e‡@ЂLP 3ђP e‡@Ђ*P 3ђO e‡@ЂOP 3ђL e‡@ЂLP 3ђI_‡@ЂIP 3ђP_‡@Ђ*P 3ђO_‡@ЂOP 3ђL_‡@ЂLP 3ђI_ f—eѓ`ЂIP fdP 3ђP_ f—eѓ`Ђ*P fdP 3ђO_ f—eѓ`ЂOP fdP 3ђL_ f—eѓ`ЂLP fdP 3ђI_ f—eѓ`ЂIP fdP 3ђP_ f—eѓ`Ђ*P fdP 3ђO_ f—eѓ`ЂOP fdP 3ђL_ f—eѓ`ЂLP fdP 3ђI_ f—eЏ 3ЂIP fdP 3я •3MTrk!3 4‹ 3я i&lt;Дорожка S6 3єd!3e!3 lr3к 3@ 3єe!3d gf9@ fY!3e 3d 3ёd!3e!3 lr3и 3@ 3ёe!3d gf9@ fY!3e 3d 3єe!3d hf9@ 3e 3d 3ёe!3d hf9@ 3e 3d 3К_ 3И_ 3є"3ё"3є :X 3ё :X 3є =P 3ё =P 3є]!3ё]!3є[!3ё[!3є\!3ё\!3є_!3ё_ 3–@љI e‚8к 3E ‚3K ‚3P ‚3U ‚3[ ‚3` ‚3eѓ!3*` 3`Ћ †3e` 3eћ 3ЉIP 3к 3@!3@ЃЉ`= eЏ 3€=P 3L e‡@€LP 3P_‡@€*P 3O e‡@€OP 3L e‡@€LP 3I e‡@€IP 3P e‡@€*P 3O e‡@€OP 3L e…P€LP 3I eѓ`€IP 3P eѓ`€*P 3O eѓ`€OP 3L eѓ`€LP 3I eѓ`€IP 3P eѓ`€*P 3O eѓ`€OP 3N eЃp€NP 3D eЏ 3€DP 3я •3MTrk!3 im3я i&lt;Дорожка †3іd!3e!3 lr3г 3@ 3іe!3d gf9@ fY!3e 3d 3Іd!3e!3 lr3в 3@ 3Іe!3d gf9@ fY!3e 3d 3іe!3d hf9@ 3e 3d 3Іe!3d hf9@ 3e 3d 3Г Ќ3В Ќ3і"3І"3і :h 3І :h 3і =@ 3І =@ 3і]!3І]!3і[!3І[!3і\!3І\!3і_!3І_ 3Џ 3’ L_ѓ`‚ LPѓ`’ L_ѓ`‚ LPѓ`’ L_ѓ`‚ LPѓ`’ L_ѓ`‚ LPѓ`’ L_ѓ`‚ LPѓ`’ L_ѓ`‚ LPѓ`’ L_ѓ`‚ LPѓ`’ L_ѓ`‚ LPѓ`’ L_ѓ`‚ LPѓ`’ L_ѓ`‚ LPѓ`’ L_ѓ`‚ LPѓ`’ L_ѓ`‚ LPѓ`’ L_ѓ`‚ LPѓ`’ L_ѓ`‚ LPѓ`’ L_ѓ`‚ LPѓ`’ L_ѓ`‚ LPѓ`’ L_ѓ`‚ LP 3’ L_ѓ`‚ LP 3’ L_ѓ`‚ LP 3’ L_ѓ`‚ LP 3’ L_ѓ`‚ LP 3’ L_ѓ`‚ LP 3’ L_ѓ`‚ LP 3’ L_ѓ`‚ LP 3’ L_ѓ`‚ LP 3’ L_ѓ`‚ LP 3’ L_ѓ`‚ LP 3’ L_ѓ`‚ LP 3’ L_ѓ`‚ LP 3’ L_ѓ`‚ LP 3’ L_ѓ`‚ LP 3’ L_ѓ`‚ LP 3’ L_Ѓp‚ LPЃp’ L_Ѓp‚ LPЃp’ L_Ѓp‚ LPЃp’ L_Ѓp‚ LPЃp’ L_Ѓp‚ LPЃp’ L_Ѓp‚ LPЃp’ L_Ѓp‚ LPЃp’ L_Ѓp‚ LPЃp’ L_Ѓp‚ LPЃp’ L_Ѓp‚ LPЃp’ L_Ѓp‚ LPЃp’ L_Ѓp‚ LPЃp’ L_Ѓp‚ LPЃp’ L_Ѓp‚ LPЃp’ L_Ѓp‚ LPЃp’ L_Ѓp‚ LPЃp’ L_ѓ`‚ LPѓ`’ L_ѓ`‚ LPЃp’ L_ G‚ LPЃ\’ L_ѓ`‚ LPЃp’ L_ G‚ LPЃ\’ L_ѓ`‚ LPЃp’ L_ G‚ LPЃ\’ L_ѓ`‚ LPѓ`’ L_ѓ`‚ LPЃp’ L_ G‚ LPЃ\’ L_ѓ`‚ LPѓ`’ L_ѓ`‚ LP 3’ L_ѓ`‚ LP 3’ L_Џ 3‚ LP 3я •3MTrk!3 ip3я i&lt;Дорожка S3 3µd!3e!3 lr3е 3@ 3µe!3d gf9@ fY!3e 3d 3ґd!3e!3 lr3д 3@ 3ґe!3d gf9@ fY!3e 3d 3µe!3d hf9@ 3e 3d 3ґe!3d hf9@ 3e 3d 3Е r3Д r3µ"3ґ"3µ :h 3ґ :h 3µ =@ 3ґ =@ 3µ]!3ґ]!3µ[!3ґ[!3µ\!3ґ\!3µ_!3ґ_ 3Л 3”I_Ѓp„IP 3”I_Ѓp„IP 3”I_Ѓp„IP 3”I_Ѓp„IP 3”I_ѓ`„IP 3”C_ 3= eЃp„CP 3=P 3”C_ 3= eЃp„CP 3=P 3”C_ 3= eЃp„CP 3=P 3”C_ 3= eЃp„CP 3=P 3”C_ 3= eѓ`„CP‡@=P 3”I_Ѓp„IP 3”I_Ѓp„IP 3”I_Ѓp„IP 3”I_Ѓp„IP 3”I_ѓ`„IP 3”D_ 3= eЃp„DP 3=P 3”D_ 3= eЃp„DP 3=P 3”D_ 3= eЃp„DP 3=P 3”C_ 3= eЃp„CP 3=P 3”C_ 3= e…P„CP 3=P 3”?_ 38 e…P„?P 38P 3”I_Ѓp„IP 3”I_Ѓp„IP 3”I_Ѓp„IP 3”I_Ѓp„IP 3”I_ѓ`„IP 3”C_ 3= eЃp„CP 3=P 3”C_ 3= eЃp„CP 3=P 3”C_ 3= eЃp„CP 3=P 3”C_ 3= eЃp„CP 3=P 3”C_ 3= eѓ`„CP‡@=P 3”I_Ѓp„IP 3”I_Ѓp„IP 3”I_Ѓp„IP 3”I_Ѓp„IP 3”I_ѓ`„IP 3”D_ 3= eЃp„DP 3=P 3”D_ 3= eЃp„DP 3=P 3”D_ 3= eЃp„DP 3=P 3”C_ 3= eЃp„CP 3=P 3”C_ 3= e…P„CP 3=P 3”?_ 38 e…P„?P 38PЪ 3”I_ѓ`„IP 3”P_ѓ`„*P 3”O_ѓ`„OP 3”L_ѓ`„LP 3”I_ѓ`„IP 3”P_ѓ`„*P 3”O_ѓ`„OP 3”L_ѓ`„LP 3”I_ fd_Џ 3„IP fdP 3я •3MTrk!3 5Ђ 3я i&lt;Дорожка S4 3·d!3e!3 lr3з 3@ 3·e!3d gf9@ fY!3e 3d 3¶d!3e!3 lr3ж 3@ 3¶e!3d gf9@ fY!3e 3d 3·e!3d hf9@ 3e 3d 3¶e!3d hf9@ 3e 3d 3Зf 3Жf 3·"3¶"3· :P 3¶ :P 3· =@ 3¶ =@ 3·]!3¶]!3·[!3¶[!3·\!3¶\!3·_!3¶_ 3‹ S– —eѓ`† dP h—=_ 3з f–Ћ35 Ћ3; Ћ3@‚8 3E ‚3K ‚3P ‚3U ‚3[ ‚3` ‚3eѓ!3*` 3`Ћ †3e` 3e 3–DLѓ`‡=P 3з 3@!3@ 3†DP 3–D fd_Џ 3†DP­ fdP 3–@ fd_ћ 3†@P 3–A e–@† dP 3AP 3–= fd_ѓ`†=P fdP 3–@ fd_ѓ`†@P fdP 3–E_ f—e‡@†EP 3–D_‡@†DP 3–C_‡@†CP 3–@_‡@†@P 3–E_‡@†EP 3–D_‡@†DP 3–C_‡@†CP 3–@_‡@†@P 3–E_ѓ`†EP 3–D_ѓ`†DP 3–C_ѓ`†CP 3–@_ѓ`†@P 3–E_ѓ`†EP 3–D_ѓ`†DP 3–C_ѓ`†CP 3–@_ѓ`†@P 3–E_Ѓp†EP 3–D_Ѓp†DP 3–C_Ѓp†CP 3–@_Ѓp†@P 3–E_Ѓp†EP 3–D_Ѓp†DP 3–C_Ѓp†CP 3–@_Ѓp†@P 3–E_Ѓp†EP 3–D_Ѓp†DP 3–C_Ѓp†CP 3–@_Ѓp†@P 3–E_Ѓp†EP 3–D_Ѓp†DP 3–C_Ѓp†CP 3–B_Ѓp†BP 3–@_ 3= eЏ 3† dP 3@P 3=P 3я •3MTrk!3 8љ 3я i:Ударные 3№d!3e!3 lr3й 3@ 3№e!3d gf9@ fY!3e 3d 3Й!3№"3 :P f=@ 3]!3[!3\!3_ 3Џ 3™ W_‡@‰ WP 3™ W_‡@‰ WP 3™ W_‡@‰ WP 3™ W_…P‰ WP 3™3_ f[_Ѓp‰3P f[P 3™ W_‡@‰ WP 3™ W_‡@‰ WP 3™ W_‡@‰ WP 3™ W_Ѓp‰ WP 3™ \L&lt;‰ \P 3™ \L&lt;‰ \P 3™ \L&lt;‰ \P 3™ \L&lt;‰ \P 3™3_ f\_ѓ`‰3P f\P 3™ W_ѓ`‰ WP 3™ ]_ѓ`‰ ]P 3™ ]_ f\_Ѓp‰ ]P f\P 3™ ^_Ѓp‰ ^P 3™ a_ f\_ѓ`‰ aP f\P 3™ W_ѓ`‰ WP 3™ ]_ѓ`‰ ]P 3™ W_ѓ`‰ WP 3™ ^_Ѓp‰ ^P 3™3_ f[_Ѓp‰3P f[P 3™ W_ѓ`‰ WP 3™ ]_ѓ`‰ ]P 3™ ]_ f\_Ѓp‰ ]P f\P 3™ ^_Ѓp‰ ^P 3™ a_ f\_ѓ`‰ aP f\P 3™ W_ѓ`‰ WP 3™ ]_Ѓp‰ ]P 3™ \L&lt;‰ \P 3™ \L&lt;‰ \P 3™ \L&lt;‰ \P 3™ \L&lt;‰ \P 3™ ]_ f^_Ѓp‰ ]P f^P 3™ \_ѓ`‰ \P 3™ a_ f[_Ѓp‰ aP f[P 3™ W_ѓ`‰ WP 3™ ]_ѓ`‰ ]P 3™ ]_ f\_Ѓp‰ ]P f\P 3™ ^_Ѓp‰ ^P 3™ a_ f\_ѓ`‰ aP f\P 3™ W_ѓ`‰ WP 3™ ]_ѓ`‰ ]P 3™ W_ѓ`‰ WP 3™ ^_Ѓp‰ ^P 3™3_ f[_Ѓp‰3P f[P 3™ W_ѓ`‰ WP 3™ ]_ѓ`‰ ]P 3™ ]_ f\_Ѓp‰ ]P f\P 3™ ^_Ѓp‰ ^P 3™ a_ f\_ѓ`‰ aP f\P 3™ W_ѓ`‰ WP 3™ ]_Ѓp‰ ]P 3™ \L&lt;‰ \P 3™ \L&lt;‰ \P 3™ \L&lt;‰ \P 3™ \L&lt;‰ \P 3™ ]_ f^_Ѓp‰ ]P f^P 3™ \_ѓ`‰ \P 3™ a_ f[_Ѓp‰ aP f[P 3™ W_Ѓp‰ WP 3™ ]_ f^_Ѓp‰ ]P f^P 3™ \_Ѓp‰ \P 3™ a_ f^_Ѓp‰ aP f^P 3™ \_ѓ`‰ \P 3™ W_Ѓp‰ WP 3™ ]_ f^_Ѓp‰ ]P f^P 3™ \_Ѓp‰ \P 3™ a_ f^_Ѓp‰ aP f^P 3™ \_‚h‰ \P 3™ WL&lt;‰ WP 3™ WL&lt;‰ WP 3™ ]_ f\_Ѓp‰ ]P f\P 3™ ^_Ѓp‰ ^P 3™ a_ f\_ѓ`‰ aP f\P 3™ W_Ѓp‰ WP 3™ ]_ f^_Ѓp‰ ]P f^P 3™ \_Ѓp‰ \P 3™ a_ f^_Ѓp‰ aP f^P 3™ \_ѓ`‰ \P 3™ W_Ѓp‰ WP 3™ ]_ f^_Ѓp‰ ]P f^P 3™ \_Ѓp‰ \P 3™ a_ f^_Ѓp‰ aP f^P 3™ \_‚h‰ \P 3™ WL&lt;‰ WP 3™ WL&lt;‰ WP 3™ ]_ f\_Ѓp‰ ]P f\P 3™ ^_Ѓp‰ ^P 3™ a_ f\_Ѓp‰ aP f\P 3™ \_Ѓp‰ \P 3™ W_Ѓp‰ WP 3™ ]_ f^_Ѓp‰ ]P f^P 3™ \_Ѓp‰ \P 3™ a_ f^_Ѓp‰ aP f^P 3™ \_ѓ`‰ \P 3™ W_Ѓp‰ WP 3™ ]_ f^_Ѓp‰ ]P f^P 3™ \_Ѓp‰ \P 3™ a_ f^_Ѓp‰ aP f^P 3™ \_‚h‰ \P 3™ WL&lt;‰ WP 3™ WL&lt;‰ WP 3™ ]_ f\_Ѓp‰ ]P f\P 3™ ^_Ѓp‰ ^P 3™ a_ f\_Ѓp‰ aP f\P 3™ \_Ѓp‰ \P 3™ W_Ѓp‰ WP 3™ ]_ f^_Ѓp‰ ]P f^P 3™ \_Ѓp‰ \P 3™ a_ f^_Ѓp‰ aP f^P 3™ \_ѓ`‰ \P 3™ W_Ѓp‰ WP 3™ ]_ f^_Ѓp‰ ]P f^P 3™ \_Ѓp‰ \P 3™ a_ f^_Ѓp‰ aP f^P 3™ \_‚h‰ \P 3™ WL&lt;‰ WP 3™ WL&lt;‰ WP 3™ ]_ f\_Ѓp‰ ]P f\P 3™ ^_Ѓp‰ ^P 3™ a_ f\_Ѓp‰ aP f\P 3™ \_Ѓp‰ \P 3™ d_ fV_Џ 3‰ dP fVP 3я b 3</t>
  </si>
  <si>
    <t>ъ­Цt TЯ¬‰76™6оVзЬfv ”XQШ— p[Г 8Бv†У ;¤Nяуp`Ќ &gt;xЩtЛ ‹9J BЩ Yх– K†’nIј¬7ц¶‹m ZoйІФ 3ћє©9 Oј!6а N‘K3є @X T†3e —;‚8рЃ K&gt;ћ Њ@щ”?‚‡KУ Al‡ Tў† Eм fzcМ _r „C°а [ґ ЋOY EaU™ eYHI dу ЉDzX»Н CэЫl zaс¬m№ WЭ 4М„ 7“ &gt;ь =@ j=Д!_зkФОо“Эя ?}*: ›кH{3@зv‘ RУUv» VЯ‡_жWьофЛью–ыпяу`p’ =`ЗzП †VH C` 5ю 7!3 4яїРUҐ•ZJ 4§ЊЉ•uгїwe{ Tёє Qf HЌM orLJ„g©ЈtЊЗю DjS b“Щxyя±‘ЁҐ @c K}@ђ €5¦” [| ЋJq 5Oz {Ђy–[° =?ы«ф bY 4‡9VЄ 5AB …Mтr5 &gt;J‚ѓX ‹&lt;ђ[ ^q k[`УиjЇxє \8а„иРЂTЈГЇXЄ©*ЂЩДъяу*p„ &lt;фПzЛ ccK s[Zни ;F [АБхsњ ?ђ m3»Ѓ= U6ІЌ·т°ЧИb« A&lt;С ‰3ЖYС YЛГTЧЯ =П G*Ыї‡€•]^Пo ZЊ™Tйі7™F VП |uwIK S’Џµ« 9ћ :@Бd F6“µЈuъ‹ ;»@Ё|Ґj“ ¤П CдГ•яЅ ;ЯМдM `€ Y­ј§Й|д&gt;“ G= BrЛц =V— UЂ yQ·›A TP OЄ 8ќ D;¦юЖЧ© Aь V°{ I’ бкІяу*`  q3Лrk _¦J wLZрц cF’p ;hґаt3 C‚рQБѓ Y= `KкєЗЏ Љ_Yт| KКHОG]lV T”шЇ”*Ш LЪ±я _ПUXйщ TТY3 @б` —Iњ _УН E„ЮИtkіГ 3МDЏгoфюІ­NP SыЛP Iџ ‘Ќ_ЉМcцЫю QжЖ ђ3†А— 7’г avвИ± •8G 6o 9БЂ ђOhk7wЉ€ЄHяуp`Љ =„Нpk§Њ gDИvичK ~5®ЗЛ {^СzОЉ= :z &gt;J†ІZ 3љЎ*V¦«­Йь fFТ 8ў _h†‰8Љ? uVҐO‰Ґ‹ pT’ЁеЉФ*”гХ q^• ЏK¶ mЊ^фk{ [Рю‰ ;ЮV &gt;6д¦t‰°ргDQІ ^hM ZЧ Oь9 €ChСBЭbлыяЪc»шЏЕДаРC8&gt; yBpм|wЬs*яиќях‡ 6AhXDЎ”hЋ@K e« e¬І© o‹h3G aB@яу`pЏ vH‡pЛЗ  3”A¦й]Џ C!5Rмв Yв’d c­ [µG№ЌRќ‘ OIќJДhўЈ \P`la}oS PJFI Lл UЄЩ*Ъ&gt;Цыж Sа cЪ ZїщGЄ Su [яьОL  ;© V„µо`=Ѓ Cр TKќоiYћ &lt;¶XI§y `^Bvtoщф·uygtUc]h§њ dА S@У 8ZН‚Љz O¶џ«сж ^Іґ:ЅiEяу*pD ;М±} ^д nf=аnт 8Ж!3вІ fKдq EI \Ђ;Ь‘ &lt;}—њ eЩ±zФХl¶h BЏXtГЪќцѕFҐVЖ HA7ZыTQ«UjVЃ HJ7 a°Й_сo_€E№иЌШiІЊRУ†Ч¤‹у XЭыz S•: }9”V \БK¬сгхпГ Jl bљЛ Rю·язHэrФ[к^ЮоцЬ”‘f№¶Ыф 3€ 9~ЉEh4Щ \E Qё |valрЈ 7ґ ЉЌUUЛSЋ3a|ЌHяу`ps &lt;x•vЛ&lt;bHЉ€jъ f;ЖHыС6ajЄїwЂвq€ {DЫ^јS MшVЧ [HвҐ a[‘l eљГG ‘Bn°€R Dey BЕ*НaҐ\ПAHd dћp`йуж!8ОЊpўђr‘ќ•ЏР›яњъ@ `ЙU_„ 7!9жЂ€О;Е 7н uIt\&lt;тП€пч7Јйь 7џї† 7=‡у†‰e eЅ :ФёѕюндянRP @яу*p„ &lt;€ЗvЛ _cH ?ЁNни ;Ж \ї H¤Ў® 7hЭ¶О Mп izSЮpъ· UНr›х;Оџ~RО…5 WЃId ЋђЂ5¦ ‚°§ 5Љ„ 5ЎPиЂ ѓ;&lt; S9 U` Lз K= u|]› &lt;Жzял‹ЂгхWр Dрґђ• 4аЪSЗ8lЛR Dъ _јт?»B=w;LщУz©{ЬЧ‡Mm @q “@HЃ9–¤ ;r Z8qЯt»;ъ…МТҐj­¶дњ BЉЏAЖ~ Z§°нMОзэ…Q5яу*p¦ &lt;д­vk&lt;cI BсІеX KЖ•Z±еWСeBФ DЪЁ KFyї™:эцжµГдg7 &gt;vcKпу VPВвІfa«3µTвґ ЪEП‹ и^С 5п WF=3Ялџ—rД =eU’Ђ{4 EЉ [Яn[…Wq ^GA by ђ=‘x| 7Am Cёz‰ Hmй?‰ўГ Gг‡ Њ|hUQix4А№Г TbЄ K~­ ѓJ~ҐјcИ 3P ]f«s!4аFЛj’ 8бшPй{еl5 [~BЛ G`яу*`ё =иЫrП`fJ D8^е– cЖJР ‹VJЭ_ UИ¬s5А „JMЄЎБIт; ђЃ_на Ќ=Jе™ Xб Mћ …fB:a 4рybб Yе^ЧЮгB J»Ує‘Љµ*UNP XВЕфpkW« :xq@’Ќ„MЃЖ }]чЂR Ђ7Шµ—=Ћ U&lt;ўHљ ny&gt;±«IЉ u[гMQРц‰Mm¶ТЋ HwBєБ†z@яхRp ?HK ;яуp`ў =¬ЯpЛ&lt;cJ CшBх–AД YВIЃ YЅhµҐуaIП YС UlCў©*4ПЯЖ{Ъі ebи© Js Hѕ d©ъОnЉМшщ“›gЖїZАкЂжЎа eIњ ‚8Y№ф·i ;Ўµ \Nц daякUљUљNЃ’ ;ИўЩ qVґ S“YМЬв ~V~Їz«о*Oу n”78 …dq ALъЙ“ po@‹­Ё:‘Ђб@ eVЯщ±y»Ёw&lt; }Љ[ў’ e`¦џ©· O” sTxл [8хёяу*`© =Ђїvk&lt;fI Dцн–@ДrlОИж« OcТ e9ВГv ђLЕ _п\­R dF XИЙ…°WЃС„LаC Cдв fCYЁj 7Ф yjQ™d“ ”3@d`ЄЛљhё QТХ^зпoкжёў sE[’ WЇщx Pg @jХS4ЃЭЩzт 8°o Џ|W?F W5п‰— “YМЯ4ФнmSw3OL€ў KЦс¦•&gt;БЊ•KШ±K;яуp`• =дЕxП _cH EQЉтV KЖђ‡Ѕ©BµrIиЄ}S@Z–YЄN 4P8Ќ Bj ѓ=FvРз&lt;e XµґЛУя eтњу T5 IAkШS ~[°оzТґ:« oA†ВвГB ait© Cv&lt;D–Xћ I9 G=B Z_їZхu”еЇк¤е 3j Yлґc nw6ХMѓІЏ° wHB QLQvХґИСN MX 3ВЦ»^}lJУCЇУKW­Ќ`ЊЛ4нXR‰ZЄsЃ54 HDyс}7пяу`p• &lt;„·~Л GCI A`jхм KFH{ђ=ХЦPдZц’”ы™hLHe ‰CД­ =¤«Rj_Q¶› E®LХ: &gt;S FBE {]ЖѕlЛbT EЉЗҐО’ЯтbW \7ҐZЄf©є 9¦*о: G„тP &gt;u ]tК qd‡e€ DR« Ѓ”ЋKЊЮ\` 8?KНњ ~ѓ[HБ‡· Gў= dd 4ФefQKv ^тf ;и ‚PK‡ 3йV«Ьяуp`– &lt;xЅvЛ ccH DXЉщ– KFNаJ!C Xё IќDъ \vЩ9™:‘ЁЋвлVбГ:Hj BЁ’Oй©R 8¬i |eJП› 9fщznNЎDм3p _x HЌ ‘wQI7‡|ЁУ«ЭFэ `9 zB ”4й h; X…SdлёrЕ=™Хьш¬жVН \щ …MBбќ _О–Ю\ ?i6lЎгКЎґ DpЖм JЩoъО­И &lt; ф’W¶Yк¬GкТp ?О— @Jњ ibHо eёzдТVHяу*`Ґ &lt;АЧr{ ccJ Cq aдО cЖ’Д [ЕZ GKѓЦџr 5p•… I¬{іВ Kшз UЄґб·цEUСЬH8uЂ qј ЋWAFЙ gIq«D WE Yи @R ==ҐЇWхЮЫЅ BК­S” &lt;· ?в aё _…M ѓo`¬r 9TМW~Н\О€†*g_kКXЗВ 5@р Y\р4с ;” pE\ЩЎ ‰GЗ ;±PQ… ЂFXQф•tКЬ…]яуp`њ =¬Лnk&lt;cK EИъдц`„rЭП[юЂdGZя–Ѓ Mг ”&lt;Pт IтO JRћ:‚} eј KЌь»эwњ UЏwП:Y@Ђ ghVћh…фџ‰Ып—OШ ‡&lt;­н :§pч Jы¶*{}Дэ[Фfеђ ]iиєёЌt‹8С 5Е™h “8жл±х› BЫі*ЕЯпY{ЉZЁк¬ A‘Cq·U±@ѓ vcZ ‡G‘ќ 4Т‚„M„ 3гЌ8Бч p@!Yц …al &lt;з dysвъ™Чё cяу*`њ @СmpЛHf\Ќа ]б¶ yh7’ P=\§ятљ¦ЄejЄїr 4‚xр ЃBе‡µu bЦ­zґЄ O; [т &lt;DmP6†кзџ ?¶чgйрК‚zL KxLz OЊ:¬ 9ЕA„ 3‡О5 33ЖTm aw uVЦЖP§Ќ eћ±QbV |eљ^ 8!4џUI‚АёцТ3эѓџ L@Bд ЃeО&lt;в|*чл­ Fњ Ґ‹kNк*љЯяу*p} =АїvЛ ccH rSJнм KD Xы{*яа&gt;Э :m@BZ…ZSЃ ^Ѓ SrД&lt;SzщЖЄdOёЛ {&gt;Ћ|тB°µ aЄbҐ Q°BI{оиЫ3їЦЗ• GХ‰KѓЈRР‹М eФЮ6љЅМўdОЊЩ¦Т \л ™®¶I Ws` 7ЗША&lt;NтЂЁВўБa†„ F® Z«—№ЙmcQJ\тD=JjЬ›”фе7 zbШЖ YЭ`Гх[ј &lt;X =’”ї @vЭщJ*‘GЉќ– 5”Љ¬йяу`p— oKЅvЛ&lt;bH ?и ]ю j;D 7n§ &gt;€ЋFNЁ 7 „ClМJ7cН LЭ b±Lй«d¤aE &lt;„ s9L &lt;АеЙ4ВOZkҐцђЦ’№_A=е*IЛ Om№ Z@v XД NЂ¦ &lt;‰•Kz ?Бd [ЎGФЪ w=u =Xўe GM§@ —]ЬеЙH AdЩиѕПЁ]жзљЂєґ 3якТt &lt;yNЊ&lt;г d| 4НІ’–Nlzяу*pЎ p;Сtk ccJ Aшjц jKFH­дЗ _&lt;лЬ`і…ЦХ @sQFР’љ“°‘р NбР 8BУД MЂsЪХOГuLВ·ґQзФ \ЙЗ 9н}є 7И aИБ VЁЩv&lt;Zёт…БЎДП•— a±v–п¬cШ aі  kHс JGFф Yу† 8Цa &gt;J 8ЋиOй cuм 6Шсe 3эVЄ“Ђ P„@DµuЭ®uе”bф[ @™т bX6ZIЌM¶ѓјd\xhу6c7 {Dэ l;ЋЎяу*`µ ;Д?xk&lt;Г ‹BЂbмо ;„JAУ8єgрµ4c¦9дiЇйq;Iк G¬ut XР§эf›MAэVN 4Ђ tR–фД k&lt;Ж Kл*жaМ©ИЄW ME Џ‘PLщµ L6 _кMZЪЮфЂV O6 H4 RXг{ґТ_ H‡E G»э MЂҐY*ЄnЂф PеШѓЃ CЋCqЏп«Z HpAт^ФzнMц`K “KhRM—D… IUкяуp`· &lt;Мнv{ ccK B8~дЦ [FJг`4 : 8ЂЃ YЏ ’–Ђh:Ђ WR &gt;›Z `°тЙ &lt;ЦUhMОР†іы ]O§ W„~« Z@х 4H8©ЇВДf«]Йл Iї]ѕ ЊG‰ QлE„Тд WтR ‘u€~{Ib `lЁFбЖњ _·6ў¶=;—Що Lk’UN\xНVЄЬЂ6 @7 FСC ЂIЈW;Жtю™ЏpсМFїNіrћџQіSК— Zі ^О· Af{ZHLФіЕ} Џ6х° Cяу*`М =PЏvЛ&lt;cI CHљаЦHЖNѓ3OvЧїзm 6†СP„й‡ Sо™NzЛшИі‰ ;Г‰PqЄ KqgеГeЛђџj“]zќ [Ґ4ХVп 5c e? =uЫvГЙO Ћ&gt;¬fMЙb¦wч7|ZКЕ¦q &lt;н &lt;JC‚З p&gt;  –@¶e 9Ќјџ{DгЃu rD›©тntе p~6NPзХТиёH— a«эЬ 7C 3ЃђС YяWяуp`ї ?јчp{&lt;ЖZ Epъе–`ЖpPЊё …_]@¤›љox Hbъ ЌoZЄ¦PРъоЄ€M© XlЉ‰ Iжb| y‘XҐ SC –‹_PиА 4w№ЖЊі[ ZR¦ЎЗ”КТ®«&lt;нa H»UОp ?Д‡ NтL hWЖж@ ;РQ» r8WН±Юон^з Tџµ b№І U9”` C\ ”qDaР:RК8єE¶› opa\DNюЯ*[«Е@VѕVЇo 4Ѓз fCm3 MљCХ€‡ЁдЛ±цСяуp`° =LЙy ЃWcH D9bн– ;Dђ uy^r_=zЁmХ_[— eбсw… Mи =‘’И d† 7м CРZ ІЕDЄHЁ± S*p*°q 3Јcзw»хЮгиH 8ШФ ЏWУ€ AВ 6І j[N R®Жљ ?PЮ›сga;y°T Qp eqЛејъPУН M&lt;[&gt;•„A V–Ђі;Ъx±!Hcе &lt;TО@gЎи@n|Ё 9E4|іDЖ[ P;€ЏNШИ\I;– Gзёb s&lt;\ ЂЉUC‰БpБяу`p№ &lt;фПvЛ ScJ CЩ–о j;Ж”wЁщ‘R slrvg&gt;¬E Kqг©&gt;бєiпОъя Mv “XдЯ™Ufа O4 c°a op9qСЊ‡Ѓ¤Њ;x @к¶„97Ъ®ш±¶ІЗ AD‚Y 8G qWX ?¤ЅNЉІ \µQnяє eU*ЄnЂДTё 6изЏЖ jCўдЩ _ЛyЅ 8©G«kL =† IЊ X\аrhbШ?ѕЌ ?ќ ~PЄяуp`­ ;€Et·&lt;c ЌtC:рц KЖ YЯ BbгC‘ a` SCі  FБЎ ТЌn&lt;З 3K 9Рa*AН =¬”~К=И c§НEw X–UjNЃъ*†ђ xDЋЖ[УтќлЄ =±‘џб‰Ѕ &gt;Ш¬ҐїLчгЙvyщ Ez l7В„ 54” mKФ Ѓ|d°9\Lx!]t;±FQ©WКћew{ЁkЮ”XШ юU XZЄ®ЅЙc fYр@‘”~ Tc 6К Н A; T‡и X–fi°мћiз= Vљ}яу*`С &gt;8«vЛЁЊ gF№vдчI ~5ћ§’ F4&lt;ЊJцЃў·mFWФQ jLpnе^z Q’w¦|v aУsY§ЪТкнђЙу{? @Yс mQJ“Fјvљїvо:я8Л@v Aб  &lt;ЖС 9hfpб8ЃўRз‰ ЏNЏІvїяъяНУRҐзЮБЮ;O _ЏN q •9гLЉ­5УRM¶› 3`B5 nXа&gt;­а kESхс &lt;х®яу*pЇ EugnЛМ ’3™jVЭ]Њ –3iГЫ|ч ”I–бяW JPХPЕQу¶Х®tјgc€”Ю® Ve·ОФ&lt;OoЫ Rь¶џутRфќ eZщЩїЯяпсн GИR RоЅC¶Ч„њчф OЛ‚F@W№ ]m[” r€6*b JЮЦЛ~ОQхxЁ@4 ‹=‰› W†№D 8лс» aјГ\nОQЖ K~Пњ ZUЭя9{YЎЄsС”УRIVXU5¶Kї 6Д5 ЌYu№ЎОH M«xFјЃ eяу*`V :Ё `zЫдЂ f@рrюГ vf[rE I©µ _ЭV?6З»[чй?gјAЯЭчд MџRKИ J!Xyљ­Ю mBЌ» SaтTPaЂTё&gt;|рє v}ѓ:Фѕсh CјШ a§ J€Ю YҐХPіЗ 8Pm 6Ь8IX QЮћ„ SUэЉ `х;јЌЛ ]kґЌ¶ЬјЃ WdВ4 Dб CЂ4ГВ e` e Rи •gRиZ IэйV [\ &lt;яу*ph ;` P{ ЃWc xAX ]ю j;D j&lt;љ~oЎ HU J{]pўt :ґ›GF·Ў@Vє•Zn 4J ‚yY8Ђ¦ђ9@Ђ –‡Ghё _`rЕ V3&gt;ўЅШю„ѓ 5Џ*q&lt; YiqЙyшА UAЗ _йіMћ 4QЋOк S‚SЏкЄњ N›Ёо€5*Шз:h ’PЗ 6dЏўє QЕї]Љ3h FS=§_]ґ|Ѓ]џЪЦ№lгу«H vUVЄSЃO &lt;„R`VУ [{Яќк‹IЈ LБ Wњ‡яу*`Њ :Р V~Л Љ‰y?Иs 96 CДJ L”–dGХ*3Д­ZMAЊljНб q~&gt;€CLh±sdЕBa dЙ _¦¤Ш«– MцRЌCКе®: HX ‰eЄІp @n PМ k:`µ]Б U•®n‡И&gt; KqtЁD 9[ &lt;µ«¤ ЊGjц _}pj7s‹&lt;±E—€ГEAZиЧс|­[y ђO†¤зкІ” qxCµЎДь„GSюHтXяуp`Ў &lt;ґЏpЛ ccH v;†й–@ЖJ \„«Т’=Лі TKЄ4b KЄ…ZбsґЁЄЉ°ИЎЁ {]PN’yvПPЙ NT bщЫ‡ЬЎ ]РЉ osK™9ёЕVijJB kHG jmG&lt;xq[5Ќ LХ^l­В =БЙпr ` ЉА VPдЂЃЎP E‡XфЂЉ w5Ќ№ЦЧшQ 7Ґў€ Uц­ Z”UvUЄN gTD_KТҐvА­\eЉ&gt;нЈTC7X `Йцrу3ЛjIўУ;ћyIЦG WБяу`pґ oc]rk&lt;c7 BЉн\ d†N‹ GЖY N™ D© :8µдХО jUJq~ KцЫ GЦ«ЯюН‹VЇЮY©К 6IОEuBP? Puє &lt;ЖA†Ж vtv3З7ЗF—Ч™woэnвП€ •[аѕ“ &lt;QC’wіЄoыдя№ф© ;э 3i^Єї’Ѓ 4ј» BАn ZО§ FMћ G8СcS8lшtЅСзMфЯpЫ _¦ bb^5Ґtчяуp`і &lt;PЕtЛ&lt;cI Aщ Yмц`D’M4ъМV5жS 6u Xe]bZ‘ Fѓ3ОКЏ¤ј[УЪЇл45g~оэ&lt;{ Sќ PљОb ^€љnЖоEґпсЭђяынясe Џ6й NЏ B‹@у”«ki oMm· Yщ¦[ 7O5 BешР ;*HF SИU;КП^НSPЗ]X}’БDтвi \ЙSjъ­ъxиS XG YЮѕ®яїёOчятзы;6ЪoхАҐъ­¶д” ml&lt;ПВ `Ж 8|яу*`Н AбwrЛ&lt;Ж\ D опЋHFq?у¬:Af wO&lt;С:‘s ePH •jQѓЃ±©М•E§»Jkэ \ЯS :KoR SЖЉwЉxЛlГч^Ъ]I vltcc‡ zњ …:ШM A`E•RжMeэйНRU»Y Nn@ f6Й E‹r†љU I€dз=укГ&lt;«oR Z’‰П­Ёц]jУ PrєNт :Ц aF •Єїn 3€; Gяу*p– &gt;јЫvП&lt;fJ &gt;Бnц jKД‘¬ EМ TЙЯџ¶Sq® VrЄ z[— g‚A‰ AВc¤µRZЄ‚ dTEoюу RM*=: 6hуо eн jNsZ­¦URу aпЧ—гЖ HЬоЩћсу[•К s5yуЯ _MYоI‡ЬЖPwLюgnЩ– 6Шjш 3:7З DT ЂAїTђшAҐР \µ _Y DЏ Eљ QаИlJ‡ [fejЇь4В~!ErОН A–Ѕ dљZ ^ЮL&gt;яЯjH»]o†Эяу`pЄ ?б :tЛ cfZ€pBнX ;F ЉV№ЋЫы‰цj† G5Їh 4ЮC 7чVJ 3jў sh8c A8aEсЈ ?ҐбЋ„&lt; V8ҐОWЁVC 5; gy]•Ќ[ k3н VSж^з [ ќ±· W„Ђ 8sxщЦw`Iгoў BГ DKтд 8ц7—ќSnЁы L»Х ‹;jо„N_ЛдµЄ­ёдђ qGЉ&lt; _и‹*_cZ±Ѕc†Ь»яу*pЁ ?9 JrК&lt;ГZ &gt;‰Jц jC†‘Ktіi }e® &gt;®“·ckЫ :O&lt;єЪА 7Hлd–Uџ @ЋЙђМ&lt;X’I“&lt;j ROНЯ± OЅПцСjШ©8пµ &lt;Ш FN6LјО·Г O»Џ›еk kY3ќW|ЛхЪЮшЁuµ GяУJЫД›lЂ A9јф H\W_ \™ЩG­·†Ѕ–д —&lt;бHёДi;э…†G9 R‚f aЭЕАҐU«я’ 4Txз5ЧIvl^ ai‰7л 7;l~SИ7сЇяу*p№ tsRrП`ЖZЉ№:йp LF‘ \Y{­ЙwШТцЋ“Ќshу BЉЎ LuaЬ&lt;Єh*ЋАSjAЭB­MМ“FєЉ:ЌO6 €=фџNіёЉђВ– _PАj [D°«‘ AёQvM5ЌН rHgЄу!3tњПаЭIFЪМEkЅљ?O ‘DXэьбщ_а—Ґ7¤aЁА*к €3e 8ZЇь4” ~‹[± qNZqм :—Ь‘3} ‹CyИMР Ђ=щMw¶ёCЪМdяУ=Ъzf 6яу`pѕ ?б NrЛ&lt;ГZ p&lt;Rй\ K†ђўИВ ko7WҐY€Џ HЁа ?Рћr VЈЊVW“s Jfz›Ц n&lt;шZS9щ*K3€ ”Yс7йВ3 Ua &gt;џЩв VЏ 6А@яqв 6LФ!7bh™ђЙ a[Ч 7ЧТJZФ¤gЧ}чџѕfУL &lt;їдІ _ј †Љ:Х_„д= ~E№¦Љн»:‘Є¶ e«Ћнw ‘Y?!E S9йќUH Xяу*pµ @©KpК&lt;ГZ€РbдИ ;„I: cЫ”¦н ;Ё5 EDФ[Щ¬њ9tdћОq K`Z‘¤ЋZШ ]ђВв ]p’ ezl @3Ё 5qiҐМЧґџ e:Q°ИfД UЩњЏ›іKЛџЋСЇu […љT [® ”BКЂ_ 8„vюdB]’H ?@ BЬсу~ TS 3°aejїr 3• MoБh &lt;R™†ќхm AzfФL btШ№фeaTS–k vW±„DДЭ™dмdN‹Єm|]B; GeB7cяу`pЕ BЌ;hє`ЖZѓ  5бp!3 4СЮ @`ЉЇ sSVҐ‹© 7u…‘ KM [ѕnVRЦ nZ™ ;{ДJ dЊo Hьљ 7w `Ых ]eј№7‘Ґ Zч V°^Ѕ —&lt;нл5ѕ¶Ч¬~` Qм¦@ _тI4a 3н xDЮЕnщhЂћDEj _7Н eїУ Pц“ш 3Ґъ©¶дђ :Eфџђ6 GТХЅ©лlъRZЅSx*е W— KТҐЖѕяу*pБ vPklЛ&lt;Й\‡P¶бp KМmgf„f @y aуµ­R“•љ d®HКpн^ WЛM&lt; YuSНгҐs›o bр№¤53 MЩyчщИz\ґ–С P№О—т&gt;»±¤ЏTзЭZMэk_лW° 4RнUЂ :e \–hЩФЗwT Iљ“nуVм*оП] b=яJ[e3|ВЏ 5&lt;¬†=Щ† 3PҐfЇь ‚mQ©ЁжоaЬоЗґ­щ Pъ‡lg7sАЩЯdZ?ч:K d«]кНЗ‡©zяу`pГ @Q RtП&lt;ЖZЉй’йи ;ЉђjјbТъi=oQґ] VЎи¤6§H Ы=‹Ь&lt;мFj6Ю»пћјЁљ ri@шMщ &gt;?›ЧkїЙ“ыжр’Ґ d6Ьђ fl7QгђP 5П}ѓ Tк Xэ[СќBOЯ©¬oвсj­„ІњR«EtGїY 5гУ°&gt;‚~њ‘eZїь OB\L @ЗМQ5g®ю YТЩЉk‡c@К VCOв—яу*pі &gt;шыrК cЖZЌ 3zт j;DIЦ Њѓ“ KєQс~ТУГ nA“ O&gt;` _ВhfrҐЂH pd»U…‚ ѓ7ЂРT 3‘w4cL mO`q’cСh LZЮ¤ HЅѓ;X€ВЉNDЫ’ fLA lcМD}G `SЉХ P3їВтОR _ОТ6Уя b«’ dmСJђ ^K A±ЉБcпКцeU«яr 3вЦЕ  ;^ C_ж MrќцЬ‰CЪЯ dX EрЖ BУэKЗh `| GЗ `ЉT›жт Bяу`pА &gt;°ХpК&lt;cJ sLjо j[Ж‘G6©ќsG5ЛдЙ :ФOxБq }EйК F§Ѓњ·пЊмЊveїіbЮь[уч •M]Ъoґнй&gt;ЌаL]N Y“ї~гъ~э°Q dD’m\Д 39 KIH 3®:NиШло» d‘ЕdнIя&gt; Mp Jоы Ao _T{ Ад _а 3йхWб§ eВ Ae ‰M№ЅФ‘ЇхX°таЙ h&lt;fяу*pµ @± bpЛ cЖZ‹ [Кж ;@Жm cАKРА*Њr t`e CД HФкЎ @‡лЮM IґйgгNАtћбїЪ|b·3 eyщЌµ9юя;їvоaЄћњТLѕ Z~µ`№ґ SУ €I6ЏзgЗЦcЭЏЊhЈ«ґ G=РTJзђKЂ DЅђЖ]‚‘sХ OЖ XзД*t Љ…@“ |aеZЅ· W” pIм GZ†№ cl†Ж№ОjЧ Mђ‹x¦B®Wy{ K68љл \ћHМ©Џ6ш9Жяу`p» ?б 4nj&lt;fZ‰8‚йX c„HЙжСS‡†mK BN_в E•«pНУoБ GТQ„VФe HUh D®Ґ {X6[љ]ь¤Љt iђ[Ўй^ЩvжВ5ї*Яя Dеnю €TLяШ ~XB EO~qм6 6 ‘ YСe Z¬zпнжЄф ;Ыlw? N6о4вф–S EWы ;«Гtњзobк›ЖјwО GGrfыїп bґydяу*p¶ @ДщpПa YZЉ ЏMеи9Lp Mаи4цМЄ dЗ dxѕкFl®R~ Y5 BѕрЁ \z4*ГўЩ…§љ ;вPAr‚Тy @­ЄШ‡bлz P§s R–бпCсqb VГqвћ@^YSљ x?D“mєЂИФїВ’ @Чх [¬ЁЉPОr|§D4ы Q}kpтn C›4&lt; ЊЌuPђ4 sWс 3Ш YҐ4’ FtРwK5 XўlзE@¦“ FM№ XаbPЏ CfЁ±івg5ЅЄяГ4ЪK Yяу`pА ?Э 8rЫ&lt;ЖZ B Оид ;†lЫЊW S‘ ?в—Lды¬Џ ™`·K[Щbљ:|шкЏjX±Qv MUxhµ _\Ж eћжў6~6Љ S§ ЃS nЋVy–ќЬ ZN Ћ7­z K•ХJHЃ„ 6MЙ Њ3iЬЌсъ†«у CНaz_я±Qќ qeњк; k\=35•`*Јє№ ‹AѕИЊН{ TВк‡іl}ЯWэїРcwяу*pЎ r[хtЯ= ;Z C™‚о jDF‘[zШRGV®sЂЈ CL—КfЙm] I… vO5ЙzоЁ ’U’ЖёУ;фќM @W ^‘UЁы L€TO©L‘6 Dq`:ЌT i“;–IYв JњZЪ&lt;!apsWі:*ЫЛЄ=•9 3[ &lt;µ W—к R•™]qµ |A›&lt;ъy› b6d¤їЛ№ђЉ­~пЭ6Mhќ HќС† 7›3ё?jїщц aЅ ]6нрW–љЇw 4Ц a@ XtcіћA„ ?3яу`pћ =LїtЛ4EH tLnо fCД‘ m[µьЛRK—=ћµы]*ѕДвІ bьotщэчmх}эLPн¶ `Dcg№: zMЎQfЂBdРDNУ 4–ТъR• `цzЕ_WaҐ Sљ VUmn9 Љf?Rтa S Ћ L‘qщ’oґXz–ЮиsіЈЁyY~П] EBі ^ПQ€ ]5iў 9Sf ^Чбћїµ&gt;ям~ЂeV«яr 4яу*pљ =ФЙtЛ WfH u\Vц j;Д‘V‹зAHе]Ѕ~°|‰ hZT cБ}Ихeµ5­— Z”ЩP5ђПчkK ^•ҐzдДhx z7Ѕ{fґIђ QгоЫ{ 9KF­якУКШX WIМqє;L Туяґў¬ЕQ EЕRиЬЋ x3И‘‰xC‚ 7ѓ FґЩTњ^Yя©lв’Пщзчэ* YгІюtЮяэЯbД©Чк`¦–й¶дј =ШYЛ &gt;д„шя9Д| ‡‚7ж HHт ]Jяу`p§ qWЇvЛ ccHЊFц j;F XrЎs4Л ЏBGOбІсз dя¦gS}щЫдҐ¤Л·—¤yИь&gt;г MҐЄ;ЫviЧЭтX№’f qO&lt;Ед]”ЕЭг€Ъx^‡4\‘ LNDЪp fk6–ЅоЋ`8 KЬ]wЬС Miдь?ю:4 cе dЌ AdіЮЯтьфмdY± Uџjщ ]IK a°`ћЋBEZ®nЃ– –PоС @ф Mяу*pў &gt;XпtП&lt;fJ AQВк jCЖ•kuНиЦцб S†ІyPЪру¦ЛмS dыЪeЂѓг±ж :Iб Ea E­Юj№он3Е NaТK„о T‹ …_С :ЭХЇЩ[сqкЈХ;NФpІ 7hRН lBЁ 4ід Wmq @© pO’”P K hЃ–v\ѓ€ V|оЌ*яНє C:†Вa ђDR bЙ ?ЉЩfy [8 hf[HQV«QФ\А•–Єїs 4V: CJHќ 9нп\ЭнvМнEђ K•яу*pЇ r—8nЛ&lt;ИZ ?щЉо j;†‘Iн L;у ]ПыоOщжH…«HН Tйл Њ^?ЙjЛЗ·UЈ ‰jSW=xы YFї ^Лob_ bЕ ѓQ3;ЫкqчSРiй` jq[YҐ[\ќmzCOk K…ѕkлца zD&gt;xbHИ S&lt; &lt;va ‰HіK e­[nэяОsjµстѕoЇЊПвўјУcл {&lt;Aэ TCР 5™L z|5ђ x=  xCД*ЕB€ 7ДГ 3В7 „eх Vwск&gt;Э`яу*`є ?± @pЛ`ЖZ Gщ‚х– DL’њ I«›АIА YҐ]mMОЪч±А QЗ I–у \CлSягпы›’љ S4 _п№зwяЌ›°fыgЮщhБgЃj gX8v YТfnНDџ YъВ‹ WЋiђкяЅЭяц¶~яр^ O›bЋЫ O’b 9zФCЈO– Gвіф±~WЪу—ґј•i ~DS‹l‹эdЈС€Ы© C°щђ¬ [ЊҐяу*p‡ =ёЕp{ cжH‘q–т jCК” OaxЖ RH™ m‚‹ђ6Ѕµл W« AWvЂ Kuљ“Аu 7†П5Qлзњ OЂ fKU‚Н B6 ^›ї—Ї?цЉAbО Bљ“ ^ДуЈъ V&lt;pЪGўБgёЮ Ab Ai UЃ`Iн MѓPВ” E\ЃРєСєПGЎ `c I©Д­НяU \@БP i†w:Aб&lt;GRИФ§јз;є DQ‰s†^Щ¤¦ЁµdKy5d K® :Щbб 6миґЮпБ TЇ&lt;—ZТяу*`Њ pWБp{ WhH BСnщ– ;Д’|tет@ KҐZ’Ђ [&lt; &gt;†›ГKУpТґЄё F3 ^F:Ґ UЄмМНХ•JЂЉбя M3{ –vGЧхЂEH –vF3† hefc№ lHUT ^Rц?ц Gtѓ dcД„Kq ЏIK \X ]о Xp ^@Љ ‹\:ЦЎЙ XёЃ cЎ c„ €CЌ ~o3ЉЏG \Jc KПях \K*fRяЄ¬Зvц‡ямяу*p‚ q3эj{ Sc[ wdљв j;†”Ґсµ bЫШвЂ‰uЂ©PФ _х‚±ЃЪЏ{3Ш5 Ќ v3•Ђ 4p PC –B‡ѓшДаFпь Љ”]ЕЉ‹jn±QmBмЦ `Иё w|3Pd f~?Ас§хЂ2я2я2я2я2я2я2я2я.яу`p† 7&lt; yЃK=† f6ђ A9x c!32я2я2я0яа fC)3)3)3)3)3)3)3)3)3#3яуpPЬ BP ga$3а 5\°)3)3)3)3)3)3)3)3)3)3)3)3)3)3)3)3#3</t>
  </si>
  <si>
    <t>”rм c•›Єї“Ѓ5 “I… ^8Ф“ @у™ncrґяу*`­ =L±vk&lt;cI D`Nеn D† ђFHјGLRЭ[Y¶&gt;}¬r»W&lt;ЯI№e› C»eаS ;Х\Ј±„ Gh 7О=R le9±т Nju}eЃHІ‹ &lt;‰} T§ EO `ы NЈЬMъVЄN 4&lt; I@°LG]*dЖ Pќ @a‰Rц&lt;ЫНH©я‘ K|Mg `I Н‘Ъ«PВЂ™C¦ќ }BЁР ‚Ћ?ђHИ KB a4л =П9 …8^Жяуp`њ =ШпpЛa 6J y\:иц@Ж’сNzЎчнe fSёќЌwо@ aa H9Ќ `u¬[гvҐ“ •ѓ]•Y&gt;УZЫde„‰:§EGM…Гw€ЂуH K№нUФc_6¦ќ aнрлГ ]о;µ ?џ¬р•Г ”RзШ6р [хBк«Љ&lt;U»ФP 9† qSAгJ*{эqЙ YАfR M© @у ?&lt;є’ќ ‰XµЋ[пЫоёЈН W&gt; Aд; 8ч A‚Л scтЈ– ]pР»…Vт•@BA¬\яу*`™ &gt;Ипq ^&lt;iJ EИко^ KРlЊYМсNEлN‚ Tѓо­‚ЃЌ@ WЬ¬•_пp KЂg &lt;Јjд©Њc ;Е dМ` •5huѓ LОYл” …U‘Њ 6¦TзwSжz L=ќ7і WД eН9Z»НСR„З І ;oыЁ n^Iп¬мђ =c VL’DTЂ R©…Ђ 4sњgґжc‘ DІdхyфI5b p‰Sѓќік®ЮNЯ“·¦цяу*pv &lt;4лy ‘z]J ?щЪж!;„•пlЗ|Q»Hа 4eьЁ jpSPpЄe 8;Ъ®Ћб VЊwѕў`iC`aЊtЏ `З G`е” NЎ—К ngMЊHJТ–“z©Ъ–ЦТ«„u;}ҐисљB«µBVй¶–O·§Ц– _Ќ ЉoGDЇS` LЖи“єВвCҐЉ‚` Њ7‡„Џ eСu cDэ W¬ж UЖЛ9 K ЂAЛHУGќ D?– i;\ЪЛ@ЖЩД@ҐUљ*«їэ¶к fy;яу`@™ pSУr·Ў  gAШ IтWF f5…№Б}’?„ођ J9ЂМr·ј§J YGЧ z‡ЂeЄa hcMЎвqРECќѓВ™ YТІў 5p H•e¦ПhВ FdEўВ“ UИ :Г ђWyG… ‰U4„Ё‰ \{Аз &gt;lЏ‘ “]:чќ!V@«O cЮЭЖзUr‹цџ KХ Nґr@Ґ ~^9хЃN‡њЮ …hp7V*U w„TД †fjCяуpP“ CЎ RpЛЗ¤ 3!L¶ЭaѓX hCAАUD [ЙC crЉ `e jT›aНA‡ЗqYёЮ{‰:о¤T ?јчs bµ‡|› }[t‚ ZПіћ @ЪцЭ“¤ђA G№_єящ= Fw La VҐЦP JьІЏмџ8¦ —bю¦© Q‚`E5 aЄUМ 9«Љ [ж tv„’uQxъEДВМ ?¶@ YЮSHзЋGmZЯJ _УьY ZҐфяйЩ—BL^®й \Ь 9ј¤­G ”:—›c cD HZЕ’яу`pJ 9T H NбЂ f&gt;@jщнГ!3 P[ ]^ыЛ]ыЪ ^kъ‡4…ѕ› `яьЂeUЄяr 3к UрфѓСRљqbЉщц^Д ?КАN I°iH„о—@ўA pE‘ћ E‡Ъ ;!K\Pы3 ]З S@Ј ђ3p E« k&gt;™њы¦ўYB„~ MѓЌ RNаЦµ’_R 96¦Ю€ =bG q{&lt;љ‰ HЛКRВYFљЫ»ОЂ 7мХ vRх Eяу*pq sWХrЛ&lt;cJ‡hўеX 3†LWЛ s[З· †[і©MG _6ф &gt;тпIаXd IfЄь LQ r5Ф 7ЄҐ Yц&gt;чсЇKk†hy–ЧоФ F™ J_э d*љ«їЬ‚ ЏKґeSІЧ 5° PRЈP IЙS{еп¤ eUКLхч 7Ќ O·Їч[ PT”№“ў AсжГ fCЉ„ =b IЈ&gt;Ы Cж: @ I@ЪnЂ Aoяђgy Bg DьJз!U:5: 5fпОЪфg ;еФ O`RUљїь BKяу`p‹ rw@pК&lt;ИZ ;ЙBо f;„ђѓщp^Ы RЯoію:ѕЮ;Є‰ґЏ AЕп№Л XЖу aі @ҐvЃр&gt;MдИfsИAВ…X8z Aq KiЩ¶МшЧоLSш‡•±“b5 XEр d…бЩt …h&lt;Єb– eч}ЬякЊоjЬcYx«~јїа 4Ўёїи 3ьі Rг±Ўё?уum^Ц¬Ѓ„3µ{ ]Сйw 76БаUujяу*pЋ @= 6rК cИZ€ ‡]си ;„ђїn 3ІЃ4Ge B¬Jгµ¶rC€УДЪ“A UЗ ^ЮіІ OэvўТјІ¬т6гЋlЛk ~yDi ]ѓЉ«Ћ¬g _ЛG_ &lt;OxеИЕЎєв^ЃО¬ЧLэяелXй”нG&gt; :?пЯяТэ [QkU№ ‹f4¦ &gt;х &lt;–°nї’mµkЧЭє Eh&gt;•ОqrUУЮФ“јђ‹ч=8Э 3¦i©· Wђ mFј= Z†¬”рнс™Ѕpвqы_9яу`p¤ &gt; ЫtЛ _ЁJ‹Iўъ j;„•~Йь8 Bз ]›}vуRЌЗ vHg T9•Щ [HDЭт‘¦— ydі8M `уОxс± Yn^ XFoЗLЕётўеЉKЫ§тЉок zK§µаЁTвФ\Z\¦З­€ц¤‘ TN6Ь wf9ўфMї–? `ФX3І ’Fџ~8„¤Ч &lt;·E­• Mк=C® YЃv@eUjЇr 4Јe©x4б ^чяу*p  ?щ @rП&lt;ЖZ =a eо j;К‘ F_Юolm«ПЋZч{8VгУfз‹dцvy‚›_ Oючr8Ilд Ѓs\d§Xы qdЦ]C=ё~ eqтW GьќlЈ HаЋ `yщ•ыk NQ V}|Т7ЅµжµЭЧЮ Y­Ліыїр‘¤i6дЉ f86ч —G{ TT•б :]®‚лWGBЛ=pін R4IО*КгA Pќ•в _­ €&gt;«Г®|йp•_Хn@ w3Л nUt№JЕv¬@У^©]яу*pЇ ?№ FpЛ&lt;ИZЌ Drо jCЉ‘HblЧtv&gt;RA‰юЈhТЈ ^‚“ L=н7ґЮжц~F[гЗи^&lt; doZgЖ _&gt;ФњК–h›Џ ѓqT‰ъчnя=4s;eщVgЗљlыу~жbo Mpќ 9\ф kN ЄА ;JЅњ fRњэсяВї*©WGAяj nRЙ _®WVє‚eлJ°БЕ5Ф 9™ `фђoХнА oDX 7‰ j…Yµт~фH¬m jMt ђ4ЬЭ[E9nЛQ¤Ыяу`p¶ s\Cn»= 9Z =irе\ &lt;J‘ёьдИФг¶d|» XбЏзЊД} S”®JУC¶wлќ‚QєV H}W aњ&gt;дг±l I&gt;тe 6®‹Њ®‚|L ]ЉЂ PЧ5Ыr 3?б yY‚Љ§ ?7ЈFј ‹]?пP«vйG_ ђ^wZњГЉЪ ;– GєрЋпЇTOl‘ @JЁ*ejїs 4B †Y€А 9ЙzUх|Bc‹к \NH Gr Dяу*pЄ &gt;I :p»4¦Z sTnйм ;ЉђтЫњТ*D ћщxїЉЎЋт…О9a ѓBјVЕw•K dF°БЈЪ‘Ж EіO bG v’‡9АМ &gt;Ж p…SaД ЏB¬Г @ЬзхФTГz@V¦ХЫr 3&gt;vњ‚= k“=W—…kЈ¦}…ќ D[gґБ j;*яЖ›щіКI±љ‰Ьм8 ‚IrЛЮ [д¤ r4№XЁ… `| SHVђCJ LТPЖV®o 3€Р Gй‹ctЭ»©*Щ :ё»ДЯ ‹KЋяу`pј &gt;€ЯrЛ _hJ Diўйм K†”[z—G xmikzkQи WбT S`B©ќ§UУ†ш6€*ў‰eЁ‰LX`Ё Sslе ^ЫЦ bhe[Л ^—–}П|сD Eћ•Vy¤ЄЇ@3vЈm· W  Aц GЫ 3Ћ Rр c[3M eмМЧжZU 9p :vzґіцєјЫ«є¦ТіВСШYЮ”ЕЄіѓa`ь S=с”°зЪ ‹IbѕЂ¦кяу*pЎ &gt;u \rЛ4ЈZ C№¶т j;Д”©¶дњ sd‡¬ђКУsRЦоaЋ g7®pИ JШ ?ЭЉUяог°l G№vzf*’‡НєЉє±юYјAzЭVшэџ b&gt; d{x|цЁљ^„З› Oт@Ш”Pв |Gљ­Л &lt;3к WГНъБ&lt;™© ‹vRђ‰ЗT KRIўHЩ LNjгЯзэфxn\О3Ю~wНЊє bhR¬ ST сq® F‹Ђ`{Ц›–ЫPЄ&gt;ЪX@§PЌҐj›аrfћяу`pЈ &gt;hзvП&lt;fJ BЩ eе\ CLђ^р Y*µё‘kMkD “k&lt;Џ–I\°€µD Mfn}®@Ћї¬[ 8ѓu SҐ“µ je5T ;f e¶K P‚»= S`Ќ &lt;¬ѕ‰=IкСЃx‘e CєЙЈPїE:“ HX« PQ YЭm№ XА ;л KL@mдJDbP3ој‰*зiд§–ЄD GюЭю VSШљР}€І U­Рє&gt;ґ 9ущъж¤яу*pЏ qGчr{&lt;cZ CЦц j;Жm±RYНяxц®ьУѕы•VЄїwЃѓф’ –YаEµв|ЫWФFы¶DkЧћҐ†e \]§ EЩЃXн HлЯЏ¶н«h;rї aФ©џуЅХ“КЕb TЎrВ‚ 9ўе cѕчo™rЇ]НЩђ PxЈbz@Ґq¤џЂ FСsЏАщB “^°и” 6ѓ 4Ф:_;o [э·пt»ѓ”КЎфXќ ]ї§у Z|¬\Н 3ҐZля—ЂфЈ TЇ &lt;»4ю}bяу`p• =€НvЛ&lt;fJ &gt;шnсp ;ЖI ju5іЇ¬5Е© e¬Ю|яЯю&gt;CЁ±іLiЪн·•єОхэ[Ќ Q[ЙV „e“ 6…Љ \°’ћЈ‚ѓ*Љ |{Sq ;Au±ЬЧУ| WhЏ@Sr4“эѓзёґђтC }&lt;MHсЋ» J§йµљШП‚ ]5дІић XІшcПѓоҐaГVЎїE5¦лЅянрҐ»Ѕ¶дј q8дS‚€яу*p— =”ЇvЛ&lt;fH @‰ Uнp CД‘бљДМwГ¶PЃxч c€} ‘;cґ i[gЬwЙq{Wѕ PлґkоwЌu5Ўђ[ѕы|[vЅЊшнљїЅџr UNВЃv 9Н xOkZУJ§ MКЮФў `LИMejЄ©8 8І CLОCГ¬ЂІZvw№ґпeим K¦qL5 f‹[LГ*E’Ў¤–hР WѓaУ &lt;A juO‡І€э¶¤Y·Ъѕ­ЦиюUZ“Ђ`™¬ќ‹LT¬Lb &gt;п DФяу*`­ qKйvП cfJ CPЪх– ;„n tC5=ЙK‡3 JэОыt¬U &gt;5ОKІњ™ Њ|VK=3@Ўiљ 5pb\zFm_=rQМ±І 7ћЖЁ…O¶ R” JжµІЌ =– 7’¬‰ YЫЂ 3yгѓbД €6”љ 9fМ a‡N Tз;xЫЬo Gй 4ЭїДд¬h k…J9М Puиж]їя ?”g5°яfЇЫаhЊМiнbKЉ7 ]яу*pљ pSбv{&lt;cK tSfо j;†Iq KF 3К ;Џt¤ЗўУ= u;х &gt;Ін hdґn–цЧµ ‰seЪH7Rљи‰B Wбѓ W‰ PE[YШ„ ‚JґivґщCKri DXыK_ьJ¦±СєVэuU Z@оИМW† H5€О–юТ5Н6Ziµй¶T9ќ GYв‹ †`ЎБSВб Ќ&gt;&lt;ўR wc4 EyбiT RU Nю’эt~ГЗb :G 3эeЄ“Ђ`т[ Gщ[хљMХz Pг—ќяу*`± &gt;&lt;Сr{&lt;hJ CђЪфц C†nц¬s …NЬіwћИ; Dd tI®юоЕ® wSkZPтt‘у‰ЦmcF»tё…xжU ^Vмe Ls‰№кjх– ЏCЃЂ¦ AфєЄ?@ ђWнM¶дИ AM©ШЖр?к’ЧЙKX§rЎ¦ЩяЄґ°Ї •J[ J‚ 6ZHС84^»ГжЪ&lt;ьc Dё№ UVm– ]VУ DPЕхSt 8п 4°яу*p› =”зx{ chK BxЦт j&lt;„li„W `zь Y’ЛаЕ’п›І? Y‚е 8сяlыX 7X GХўdFјOЦf}ЗЙ–vЗ B6~їU TQ O№ DlP CzZB ‚S&lt; Y|UЁ»]хj§{n [м&gt;*J ^[’P g6MIr eЏ 9ч Pцќ ?ЪV VUТУц8Вгћю@‰д _Ў M» ]ўҐьі 6FhљSГМ¦«й¶д” hђSиKL‡ 7ЩЛ e4 _dВlb PКzЊzюЁФҐиЮЅ3яу`p© =\Бpk cfH ?ЃЉц jC†‘f9EaЬ&gt;Eйh»o‚Sж ^b~’ &lt;J YҐMвo3K¦ін›^ &lt;ЎюIЕ ]Ъrю¶кГг j4p№іРІEМ:єИ­Я P[kR„ ]ЭH“n  BTшO&gt;Зl wZL V9[Ї7Э O{ЗџuљНKs…ў Ћ†VC €Wле 4W’“a¬Uў 3•WкЇsЂР …`®LУ_™єґ&gt; Tџяу*p« ?ЊхrП cЖZ ?A eйpI†‘Оіе|нЎІ~хЫвlУµ° ЌTыЫп~П›ЫЬnлЧПу =№F QLx_«ubЭОЂecЊѓ 7A vL‚ \ј Tєq 7©ЫwyЧ7 Wз SJї[mЗ —6їП‡ ;Зj‘й`ЊоЫMф¦ [јм4…дя{ ѓNUDЏ TЯОfpK †?хЂ bпm[ђџщ…= n]•Ђb• F_ьј nRZ –QЋЗТъ¤ 5е ?r 8ќ„Щ DNЕzЎйК \di‚Цяу`p¶ =шХtЛ cЖJ AYfсt C†ђт E™ВУЯЮs `O eЩnШ \›л WaZ]Цѕ?ЁUЊЪV —l]ѕљ·G:†ушl P№dЦФcЯцЯяї &gt;УТ ?IXЫqЙ@ INv•аГґ d”O MZUКµ—и aм}HкЎuкџ®Ў“BP­‡ s;…J\ФЈґює xe гG  lFaЎЁF5›M mKђ @µ[ЫАa–:‡яу*p« &gt;ђЫtЫ _¦J‘AІо jDF”‡–к|иСI `г ?дйжҐ ?¦ ]у ’@J \„Ы 9чОцэYчяЊи O‰UІ TэR;‰ q‹C¶µМ_эПEМzhЦE _€ю3у a•ВГу 6м Pиn&gt;™ TjѕЄ¤и PуZ8ЁT @б OК5M\ BЋЮв ]yф z[еz ѓЉ4Ъє Y|cРz {roUдД bX|R9a jdl \;hО»UЦt ;ґ«ъѓ· ?eµЂV*Єя“ЃБeTы›QЕяуp`Є =ђэp{ cfZ Dй Qх–: =’Џ@ъt Ha Љ_їsq 7FrИнёjжЎ e*h„вXf„b c{@†¬ ?т Q? †Dљ№ aEҐ 6± ‰TEХО–еSLЙ jS&lt;a :П ?Ьќwх _ыxїCн ]Фњ 6C \ДЭ @Б ‚ЃMЉx —T7h|э4 ^8wґцвяO3ш „\Аj€bД ^PЖ n8CЎ А” 3ђx zEµ x© {DЖ6нЂк f8hЮNЎ¦:СхЂUkЄїsЂвИ fYяу*`® =µ 8tЛ KcZ FaZмц [Ж’Ґ ;… @\Й @рYіЄ EJ 9oЖhч9LГ Qц HРш_ CГЭ‚ Ѓ]№‘Х›Кr jKњЕ’ 8@Б€Uи [DиёєO:eОMПgMюпѓтщ9„ЅjIА 5†gђВНА™щиeљHеv WИК¦fgaЖ KAРy &lt;ѕІ r}[DЎ¦ h3ЫCd KЕј»—ЕЪбСяјІ A –Wяу*p‘ pCЙxЛ ?cH BђЖн\ C†lЄяrЂвx ;сщ =JO»b–Е [З VЦd ’e9 Q9ј 9э VДIP&gt; Lхe™ђpЪ L7 u;lҐAJзРі @Т 9:Р«U ^‘BбРА„№pTаuг!:Q 5Ц·l4}DZ–У 5†ґВЏR FI aHгMИЎ 7† Ќ‡w~&lt;IЉБ JФ ^бэъ4кпўµ pVН u_ѓ 8h®°B°ЂH„• KС]ЖЫх[ё njSмM;W~rРWqЊY Sяу`pЈ &gt;фГtЛ&lt;hH rLRт f;Жђ¤ QЧ¦J‰U ;ц ;н&lt;ѓчм&lt;чE»АK IyMуш—уґя a=lУ·рХЧm 4U‘ ?ћл~‹O¶щГСЮЋл @їђ Pл5ьы PIЭо±яїи–Э HґЬЃ jlTА CЩі` CЗиI pdа=VУяЙ–¦_~„ыЯSҐ CИµ ‘:µD„х7SіS­Ћ&lt; @ЇµNp [W 44З `яу*pљ &gt;XБrk cfHЊщ‚т j;P‘Xњ·3\ІЊlј K»ЁЕ{f Oыѕ9«ъ›џК @ЪRЅУ eЊЉ[ТfСЪЎ YбRf Dґ ~84јP eСМ xAЃ ‚dИ iFiVд ‚`»©G 5н·IAИлM¶дИ Ayш¶rЇ·r AґхєКц]пfЄ•9фG@ 43AВqЕпtNгiЮвЙ zWgu ?ЅJ}йЂikґ 3Ґ•Єї“ 4C ?` @змщf•ЖяV© &lt;уgМ|… Ѓ?Ў^ 5яу`p¬ =TЗt» chH A тц jCДpxЮi Mќ DъB№P_АГщ‘l NЃвњQ¬8 WЊA {TZ‚ nrFЉ• E‹†§ @ЃЬЂ±F@ ‰6‚ T&lt;б RхсПIФЄФњ 6ЬІE Cб W‰В€cЂ“7 4а NEђ¦«_*3^јухъж7 :ґ=И8†AgЗ u;гЪ V©ё®fIМ ЊTiь W‹n±з MЛMR»d ЏG® `¬тUЇяуp`Ґ =ФЗtЛ&lt;cH EЙѕмц KP–Ьаi 7B :NbЄЕр·ф†±eg [ЗRСІСЩµ Y«јs=љзА LЫDz Eѕ GЄЊNНIAµє OТ: U¬c8я LІ xAЏ 6Й? e­ceХ7иЪЫЈх”К« \А \6г’™Яу \]БтtКн™ЉЊЭ {?DЅЇ cї•¶WµJн ]ФМPа T†ГБТoС Iч A‚J­ґ^ aч 8Py4oz’ †cсє@Ґ]Zя{ЂыЃ8 rO‘Т Hoяу*`¤ &lt;длt{ cCJ DIbмц CД’Ээ¬љVX‡‚w\5йћ_ W¤ZКЅ№kХ‚;U®ЮЧ T§ЎлtBEхО eyH ЏEЄЩ’ѕGА w5ЗУ YwO—€ GН¶ХJ {YЌh WҐ Wi¦Ы‚ 4‚ЉЋsве C— ‹Ty3у=i OUЦ—зЬья ‘;ЇYт ”ЃGB”Њ&lt;NxH [`к QzЫНT  UЪ SЄЌ Sеjй6дЬ 8яу*p– =@ЯvЛ chJ uLNт jKЖђ`| Jф \­жcоy VЧzЉіЎ¦ @vЈ4њѕн _o WПY e±ГEBb NzЩ6 YќЄЦ5†S8yo^3ЁU ?й E‹Юx€ o_qр eRђў‚OТѕoх=ne` 5Є‘4Ыq feї3 qDзa`Ћ5m–Ht‹ @–зіУлЬ =Ж bc ^?fдe D9ХZ„µЎ 8я E&gt;ѕЫб@ҐRў_ьј ;O…А]Щ Kик ‹JЅі ЃO;L®4 WђЬ Qµяу`pЁ =ЊЩxП&lt;cJ @IRт j;КђЬ6¶й CЉ—GЁuJ pSЦN‰Rln: &lt;¦ё{}¶М‹dй `ыЖ \· d¶ CrзL ѓswKH @|V–±_‹ЖhФКэ8 7ЎБ “g O9[?bМ”J NFы4u &gt;db; JjZ…hё@ ]L 3H6ЃгШ ѓWR {YІG…Уd« VfГeГD„EњОrL“ХV™Ц ?z P e*VЄN 4яуp`Ґ =јНtЫ&lt;hJ E8тдN KДrctВ 3РУ94хf €ђYбQИаM8О “L¬ѕ™iµЧwdЊ9] ‹dЂ­ V¶ Ѓ_Cs¬Њw}ё SvIR ђ’t4Ђ¬ sz7Ећ ђI8„&lt;Љ ѓd¦L¤ЅВ©_ЧGНSTќ 5RaCђЃCЦH JуZјe ”MЄA cиKOWнk?ыРЩ«Е ]‚Ѓ№›Авї ° CXђhx L Р°вувєљяш™ ROЊ aъ bs: 3гн[њ &gt;¤G:яу*`§ =ФµvЛ&lt;HI DйRрц KЖ’Ы V|u yaЎM\ЭЈкґ HG&lt;Фr»І…MVСЬЋ№л`5КЪЮдzљйCќЩЉМД™ќџёЁµ‘ЊеN4ЪNґАґЦ?m§ IЙz FГЃ Pxp &lt;®¦€С` 6ЃЄ–¬aћlDC­bФлюMћ M§ЙОПы°–klЏcYќ] NBv© {N¦г RPdѓ GLщ ЌlJйШzSЫяу*pЏ pKзrk&lt;ҐJ BБљй` KД”ЁT YeЇwЃ q5ђХy‚ТўymШ Sp[в‰ 4ј3МУХ {&lt;C©иyCУЁ«ЧВ‹ H°Щ… Ri7јзч G”жJнS&lt;У ?и`Б 5CЃP‹ўjЪФЧ&gt; aёqП}nbцў_M†– 3LЄ¬њ 6F@O‹b…uЭ;єVFерf„ёЬџЄf…Ъ¶l _к^ c¶Ѓ&gt; ЉJcE &gt;­L!F` O8 ]ЃЌ:АЇ± b^j‡Чяц=`э•Є“ЂJ{яу*`  =ЬНrЛ chJ C`тй– KЖr @‚К ‘QV Dы\ЮТ*З@ ‹cМѓ–»\©ЧВ~лЭ^“ kYм@ђ3c _Фsм`ъЭ¦•Z VEuaЯ­ K QA° [° G€ак If Њ_„!G Ij|Xйљin dld~д 9КІЙА9h9xYSmҐ±]BЦ [П„›Э Qєъ€N;я ’€KѓиЗz9О Wъ …8^SW Hј€8lяуp`Ћ &gt;DЅv{&lt;hI Da Mиц KРr’ЖA` xDgТ… &gt;Zљ[j–ЕЯ@i[№¶дј AYЎі„ ;€Вz«ы” c©¶Ы§·hЧzйn B3ц^yU¶¤­ 9„OrЉ|ФTGRс J=op6љ’є±Т „‚ђ„_‘… xЃ|gW*ь7v†oУ&lt;‡С []Є 4kщкЄ› ^г &lt;EЃЦ L;‰хСњ3Ш’ ^ЗҐаВ§ eіsмОя™рµcИЏ8f Fћ YhШтП K\ YЦ°‘e© 9яу*`Џ =аГvП WИH E°цфцHЊrZ ’q}ixBЪ bM Pяф‰ Qv 5\TP ‰D5{ј ?F †[jн*їџo Zц»V”ЮЈј°Щ Cм€Y©ч5–ѕыQ QSк9ю|щ?: ;ђЫ HГ yA°л &lt;„ў“‹ …J»№х­&gt;фСЙЅ amDў _±6Щўј fLЩИўX Nу SФ№ўЎQВ…a‚В 6dН¬ XDP[Кы HaЛТмяу*pt &lt;LГtЫ&lt;cH @ШNц!;† [о EЉ I8іUЖфл aћ—¤яхRP rZМA„n7UµГg¦ eчJ ЏYь|ЉД=¦CAz EВПњШ№=zPЃ Z±©j XФН=экЊ^°П®mМmFЅ=^bиЎс‡љ 8&lt;•¬eї] ZязЄэ?ІµRp &gt;]r ~[l MC‰›Nx§Aѓ6 _С =O T° NфЬЮіtК{Y nIvXЄћЁH&gt;Ш =„ 3ч ‚=ґ 3t …B‡ѓo 7о =™яуp`“ p_Хtk&lt;fK Fa YицHР’ ’dдЪЕцвр:•GФБ•V“Ђsd [D¬чaЅZ;TO Xd —wdЦ ^ў ]ЌW; †5є HЄЬEыЭЮ I‹єiѕ U–лҐоўb QnЁl&lt;Џ \k¤ЗЏ  ЋЉ9&lt;6&lt; ^љsvКЌ OmЋ DWье»Z•VjЄ· ЋRJ 5Z ”7~”¶gє •VBт ]VМъ Lo {G‘з] Pёў Yy‘иРЌuS}&gt;}уМОz a¤XжБђH ?°™ШфM;яу*`• =°Чr{&lt;ЁK Eщ¦с– cЖ–U…FЋK ‚U­_њ¶Н Sю*Єњ aИ~ d8zШk&gt;Љѓ s’3lлжПЎB…_ 5{гЕ ^w SY Џѓ3¤ O– _P „x=ЮzЛ ЊGJЌјXЗ‰ 7  =Э†Фa &lt;|P«©»PЈЃ kD[T oa8ТMљ ^а :цM 8ИДфнcћ‚M‘йЉПDI«њ `ћщ `Vэ 7µКzЫ „n7ТLяу*pz &lt;ј{z{ cc9 vSто ncДp‚” 4d [И€:І 9U® M9oІг|5Ѕ 3CяN 4j KblЮxё c8Ю &gt;EЉ‚ёjЁY LT­ PЪ@Љ«» ‰“DС b\ H№ы Qe ^{Q \ “ґ &gt;Щu Yd ]е_Oэ nw`U«f©К 8=8ґ WI6ћіІ\ —_Е•B?p{[dОb¤·яё¬ZDNф±жT•b’— S—C{љ— AХІn•я Ё‰zЂPЇ”Ь’ЃG TШTЄUС±яу*`Њ :ш{rg&lt;e9 B`цс–HДr­kУ7­vШvs¬ YtB dJxe™№htі=‹H ѓBo«Њм€† _P“ 4ЩЬЉpЌ®~йH ^е \йчRњ QeНеEј&lt;Fkµэ‹=Ћ S›Г Ed YЉ …eЎ–iЛХxµC nY&gt;©№ Wј qKЫ 9y§b‘ \“ ?r •CфО KE Aщ№§МЩl SIВ:qt 78‘AE‡љЛбТяуp`• ?‰ &lt;rї&lt;fZ z&lt;Цо&gt; CЖ” 3W oHXТУ4N P¬е yAз D9KH v?И9вОQ?Ї?џ©@ 5Y—йА sdѓ 3њ mo@h –Ћ8Xђ ?ЈobХ CАR 5V _WL Uy4€аf iE„ј `ѕн@=:є 7уF nT&gt;” \©ТЇP GкЎJ 4ОsH9ж PЕЗ¦TШЂ€ё© FНэ RзфСщёєe: UЏ a5¶8YNЭ§х† lWLИPэ•V“Ђ[ SшРTХг Mњ»йЩрPяу*`Ѓ :” &gt;~З 7@ g?HZсЋ 3† ]NC 5F=’|ЂҐХ Yr”уl‰ 9їял*ОГЫ3VЊ JЄиД[ [щ _„ДУЂYљЇI Tїпuй Dmэn•о*яч&gt;ЮP”У›U6и 6T Cўєк—B cg¬5О YЊ F¶•ЭowЛџЫЅW‘e •V»хґЧJФ \„‰ Ga¶„EЙ —@ЋUzЗц`РUљYЄNЃZ–Fі… @Y Fяу*pљ &lt;шПz{ WCKЋщ~см KДђѓ4I Sµ kKк \l a Т &gt;– ]xн \*°= 6‚§cCI _}dJ†Y {@• 5¬МЂ‹:«ояgoіЂaR €]Ђ*ў“LЄКP5 EН ?Л &gt;ъ:LB —3PЎ–hB r{GЧу‹Щ?яdvM&gt;ќюы§мЙХїяс [H‹6‹–Ї cUT aђбкІt =«ЗpЬ Zb–ЃS _nцђИ}J“TЖ„ bwy€Б P&gt;ZОЇZ VЉ u;ѓ‹X&lt;µ&lt;яу*`Ї ;М3|Л cC ‹AЉBх–8D¶Vи–}‰›P*xTi‡ ]¦ ЂNХv\е^яХЗ nP*KUuS B  Q  @’…¦wOп ‡Y¦uѕC dыіGgWЙжU VҐ A5© Kµ— HЫgzЪТџшЇ_е&gt;Ћ‰u ^Фq S©f­№ X A¬ bq ‡x7«д Fkf5ё9›ч_Ьмю[\&gt;9яон Kи UНX^ {jQґ8 :ќ:»яуp`µ oGyrk&lt;b9 Apцх–XДr Љ5d‚ ‚S  d г hdBТ† ‰@G@ XGЉLn†ПфZ“± nA„ѓ…дCk 6Я3gфњBЉ 8†З Vх©8 :ё\9 „Cѕ7Жїd¦„ЄvYhеU sB4Й|ябyцуОЭ@‘… e¦h ]Hл 4АН±Ђ _† KВАЙГC 3д^д№ ‹MЪм®IтЦSТфц tW©jЄї’ g|Lm –:‚ &lt;Z’&lt;Јk[ѓчќ _… ;Јx:«Н eЋuaяу*`У ?Ґ 6rП&lt;ГZ Eс–дЦXЖ–vя 7к\r”уSж_ JЉЦтжЄp ‘TL \F Ќeџ‘ЈҐКќвЎ•¬B †Ћ9:hF q9F6зцuЉп@TИ° W9 Vi WЭ fBи 8Іi OрУ PL NUjАЏPbрк—uѕEWSЖ*™¤ЁҐ tMфoЇr Uwё YН SPµ–«ь |8}@ FоwЌїЇZV :Ѕ7rл eФ Wќ¦ Ceяу*p© q{&lt;vЛ&lt;cZ ?p~о jc†HGiЇ PЇеТµ™ NВђ¬ n[ ‡S±N \A eЖWkЕ°YІ stЉPI…№ wH~ Lж OЦTё ”HJA7‹ 5и {x“H°_P †„\¬q?P AUbI ZА :eA MM™ \Н\Ћ ]џђќ ;эФяV^‰фЩUlЄu’VZ `оЄ @І‘ч•`Гх_аИма eИхЦпјТшЖпщ‡Сpl]Bt l7µ [Y ] ЕR–жdў ђXЪwЭЙ 4Тяу`pї ?tхpК&lt;ГZ qdbк f;Д‘“хчйoЛ§x»Kn Qз7 Ru^к `ЌМИцъУЪ SМgФ}kіZ ЂOЂО 7Л¦8A ]м U|КµYpЅ№Н{ =нЖ’O@ hf[5&lt; 53 ‡ѓ]ХRў `TЯцюq® ?сvУщ·dХqњ”\Z |EБM 3” 8jїr 4; €LD 5УЇї•i7S &lt;Ыьп3f TЫgy*Ќsf Lp Pяу*pµ ?­ Lpj&lt;fZЉр Mйp ;Ђ 4;e Jy7 F4Йµє€іUO :° cв &lt;Eў Lбл hIFAЭ…MШ&gt;Д›љҐv4ЩЉ’¦CЩ68g•ніJ Wд¤‡кs PDЅ cAYd”ОjџIўящ¶•ъю` icп¦Rnъxю*Уа·SV•…ь™wЯ]!H|уwИЇ ;WoLсАҐV©¶дђ :€h7Бb¦T4?VБЬ \[hъ OЖGѓPФ •p`щЄљ \Л ]УЫ ‘Sтщ6Щяу`pД @±OnЛ`ГZ‰°теXxЖq¤‹»|Ќ=Л’ПM 7“JOo @§v GM·ОйRн·I bmDКOc CЅК dRп—XэіM?Zfe*с™Ып|Ззv9Љa·ѓ BµО U§ЄґъґВ 4ќ Wњў &gt;…`GЌ‹5EV SХ• &gt;:р aWМВQVхъbрЧ EI’ BЧнА Y:АК§W ЉVЛєbћ™@aY 4F W€Xжѓ¤ ?яу*p¶ Aq9nП&lt;ЖZ oSвШИxЖlT =Y ЂVyї_ OП¶eгkn&lt;џҐ ‰7Ќ*Hђгп F ¤ Uџ]—gФk;c®·ў8ъ‡ар; d• `ЄИя RЙUьІ_*яЮонЯ¦lѕїЖ 5УС±A PR [Ьќ—тЏ^АЉЂЛ:F •^’ LЛUz‰г V† X`bP–5| dЊ“ 6ё8 &lt;Тї SgЉљїs 4T‚a KJK›ZЧї®ЫЩќ®Їнc yc7юјеУЖцЌКШ@МЅщM8яу*pї rCбp»&lt;fJЌ 3тйXHЖqнљсXИБмТM XБ«T“©lV&gt;ў&lt;ґv[;6дiрpиBТПpµGЏ5Ўќ^{*JТЂ± eАгI·б 8Pk KБ Ѓ8чџ¬hpV·в `zЏ _юя Ђ;Љ Eha‡Т±ќ—@n ’7H A”об–Ю IєVЊиQiVїn g3  3TЎЈ Eё{• \U= S„ ѓYѓД Жe;Ъ§ cE l;мlFіR©їО EK NA 6† ‡7KwЈ“ WF Nяу`pЛ qGбvЛ cЖJ @АЦт fKЖm ”KdYњ†u &lt;PЁшыЩЎ›ЭU» `†і Ta`D’D@ SТФ|ji eЭнщ ]ЉRЖЫrHЂ@N™ OG LЂёШу LЗ® KL ?g8xs ZOЇд`ЊњQ 4a 4‹нl¬»‰ YЩ‰@t =‘ [xВM 3ҐєЄяsЃ†AФ`АsУ~· „8qV6ЈљУ \­ hOVђґT8CO:ў•йяу*pВ ?HсpЛ WiZ @щRт j;Ж‘ oGЮ¶ 8Pў–Ђ•¤ENУjW‚ Hљ pO‹8 Ѓ3„ЂBА`8AА ‘&gt;D XІљ;Z‘Чk LmжoФЃoлЇn Љ9D CЌ ^; [еЅщEнЪЩ^HM¶ЎҐd\µі°• HјкУ}z§ [оМP?Няэ\ШOНЖ Nеzп¤ХшГхSњ uO[NУМDЭє} ’9ъ|K\ 9Яz“?М«­’»F;щљаФ ЃЏC“К;©FјW ;BA8Xяу`pИ qcЕtЛ&lt;cH Aтн\ KДqk*X  ’ЌA‘S IР c€ NІ †M*8 ЃgEcЕ 8Ђ°Їъ›I=› ?µJ§хVЬH n_рБ§” lcє 3Ю‡S™Ў° ‘&gt;&lt;ЊВqoжЦJЗ P®№Iяа…Zu m=B Ђ‡Z]±g|ПЇU{З XЯ KЏжо`eVЄя“Ѓ®i`я s[«¬Lч IПХ ЏQCS Љ?‚РЩЗs7uК VД­яу*p» =м—nk&lt;ГH BИ’е\AFM IЂ Lx U4 n_Еє ^бА xG@Ђ€ CPHАЭБї`щ™џeж™Ъe Q^ёІз „SQ7 aДxћ¦s‚к­RХIР8v m?uїшnv \н ;T№XЂ pGБ RЪE &gt;фBY Cя;жп¬HPКќHђъiEБЃ [ё KъbuЬ‹Ж§ўфЅ IzЁbAщ™фЂ¦Єн· Wњ ks4Pь™ЮaЋt?Ъ _\ E©GDS– OЄѓЈњl D‚Shмяу*`Е =мщrЛ&lt;cZ D±bс– c†’П €vdЊ ]3Арѓ9 E;‰аЁ SL YaP UАЁp UЂ cГв cH{‹ Jq•54р3 NzяЖT ^єҐijЄ¤а E‘ ?*ТЗlV OНџ 3¤dЊ ;R wMкЄ 3r LўГ eШх \±ҐVb…—Іъ·ERЂРnаБ ђntK–Ўu ZЇп o[SюEЯHVЇµIР Yсѓш;{9e?xЖяуp`­ =рїvП _cH DIZх– KЖ’ 3†НА ;Д ’‰–KБЦМоуsь¶C†: Fљ€d‚ H«’ ;СБ U‹ dn p&gt;Ђ r:З z&gt;– M}м±i Q[oFЛЫъ Gіnq [бцщjNr mЋIЁ†ЦUi59Bсa Tхкџт Rп™ OЈА €jhY^ Tqd‡Jr jqdџ eц@7ш±e Mm·V”9EЊR­`ҐХjїs 3И –kKшЊ•}=їЅн MХЧ[m”­gЌ \Иљ ejeGяу`p± &lt;Р·z» ЉVI BёЦн\ KЖl WFoY;E Z4­№Ж ’7Hm]F jl8і 4ЄА cЦ o|Aѓ =В\ y€Њ[ьяVї™ Wѕ XГЉ&gt; K{UЅ№|тyg &gt;дЉШІ]M_Я C@ ?„ПI±ѕkЕд{Pў N†8« wO”ўDB H*QкЅ]С XFT­jxI ?Ъ P¤ UђМ8В :qЂVЎZїo!4 ;b[Rм GҐ=пҐ•їяу*pЄ rCыrЛ&lt;ГZ @yЋнм KКђс… N3?Ё4м:Y [’C `=і•ЯП¶»vxя¶В EФ‰q:ґ3S `ђў‡ Cд&lt;fїоQµЩО u5*ў4&lt;хВ z\„I•{ЇяЉґ¬’ЮН@ IвХU9Аг3OCKPЋ Сњђ­ e„дM 7ЁLu…ЊАЌЂO Fc^e J¬ђM„ 5AТЃt=Їb ~RЅ°н»XlмѓВЏю‹ Kкoc ]Е–«Ьа dP@ M›ЊЅ 9ЇЯ aХK Zf`Мяу*`ґ q_ЯtЛ cfJ w[ћк6 CЖLэB \…?х…Г3fЎx°IдЬбgВ¬[ЭzЖc4 ]jБTћ gCX ЊPq¶€Ъуг«n [ы X·А9Я–B«*UR” A‹ 7ўБ°іiЃЌ YVѕ: 9Ґ 4BЈ @љ gEP ]`М MQ 7&lt; =` WХ &gt;№L 4 :G px_¤&gt;щVY G~Я C N\W’КѕzЧ [гяNЃ O™©Бр¬ 9Јяуp`ќ &lt;tЙr{ ccH DHfх– KFJ oSZщ‰«ьЛ_ 6Yф¦ ЉYҐі@бЛ 3„` C« x5:\в &gt;ЅЎў®&lt;9 _EZ L›j s\яе}µKх‰\¤&gt;«9@У3 5й”PълsҐХя cнЁ– eЂ cЁ 8Г§ҐІш G5ќ4yН Om†Xф&lt;ЋіЗ\—&lt; 8H№БИ¦oёB¶5Ц?ЧнXьQХUbTH 3\Q L‘ьТ’D‘L€ w8С BҐL«¶ __µTЕl•‡бж`оdляу*`­ ;PKpg§Њ gCHfаЧK fhb› `жo ’‹p9ЕфЦK K!Nћ±}f k5ўPi OdЫў‰•‹й ShIџHШ`С O® ZЗУAT’EЬтi YЃMђaжQ87… JI cр&lt; NUї¤И:л»^_@” X‰ E‰ SS Qm&gt;fМ·©ъЦэ•юjЕ 4нся¦Z‘Q¤ЪrЁд: frv`ќ¤ dv =• MС SцЦ “Eчђяу*p° EIsjkМ4 4љZJЭuЏ@ 3zAєђd–џ ‚cе±г BґѓћХйo¤›Бёє &gt;‹WґъKІ LA дF 4b@у+яыQ OP †CДj 7З+ячяuЧшз’DдQ† n9И~‘йXSяйVRЃд*Г·э MЧ¶ХЛ OЙ M№ц… 4AѓЊ@Р FG5ТЇn†nфЈ c­‚ЛЫ ЛЌ5lS7 JH eЧ ^HІ]А BР3џ] pC3„ ^…ы= I3ЪЖЏµ Ivбъяу`pU 9ґC„Лг rg?8†ъ 8Г v3&lt;^ЏCdUjъФЧ `чП­¶ YОђRjVЄSЂВ †?Џ &gt;ѕюV|7zИ®ЊЏA JAшЛYЋ– G–~V 97 xЌJ3ѕ№ Lе–fF9} ]‡ќ et[Нх 9yёb Yu VоEzЏШч«ш EСYҐ«r &lt;єЫ VЌЙ €3Wxu¶ђ„ 65:ґЊ;b‘mэЦI“ X*щяѕтЬrќ ]Pщ­яу*pu &lt;ЁСvЛ _cJ @Шjю jCFIgЎ \Нpз»јS_oзчюПРН•щp ?P§8џ [ч®`hd6¤„ O¦ KYЁ YtР YxРе±dҐћOKФ „7e AНџ @Џ: [uЏaе5~ЗяЎ§KЊSЧ~н b&lt;Еи 55 W‘¤Ыё 4• &lt;‚ 9”t ~D‡V a| UЧ‘“h·Љ6Оym tZxкP 5R№Ѕ aвОЯТ‰ GЋ{ K янRp &gt;`j N­Љ9Ьч ђUЦХ Cи—D•HЬЧL cяу`p‘ ;`7xw&lt; ‰‹?  9ц 7"3ья YR&lt;¬–7ґЊJRз 4S® ?9 v5 L·:Ц— `t[ YA rЉc!D 8• &lt;9wЅk^ mH?н±•Э¤A™_§ 3Ё` ЋUЖ Pґ H8A`!; €GpPТ ^8 :j`pMbЗЬаб‘[ ?ШЖ№Е“Єкd{’ґ°¬jъj Ћ_Њџс 8@¶Z­· WІ`@q v;b AlxсЂЗ3Фяуp`ў pKЧvk&lt;cK u[BйЋH„ YФе[ЋM«ZnхЭ}ѕв¬чхЁx]† ѓ?« oU|н :бi@гпэЁ®ц&lt; xЋt7*„дВ’‡ cѓG‡ 5и 4µvи¦ф uaд±хY8 9^Ib* i `C»”о LЕИ„сПEП €]•R —5bћ Kн‘ Hsy? €ZП&lt;Ў MN™еВП?Т°® Hbв 7ЌБEP ‘6я^яБЇKgQѕZПя:їю 3якІp AВс&lt;U „IJЛ‹S;±яуp`µ =dЫsГ@ГJ z4¦аЦ`Ж—± hLf EI› LЖ 7ВfЮs YЁЖД†№ —TљEоYиV’ ѓ^™т J—Њ ђl8‹– ~bЪ ‡K8фru =K© QњPwЄЃ X™Ue ЋD` l–OXШi†њ lo4‚ЈF°&gt;й©Ў‚л ;ЎҐ CО§№іЩt b©в® HyЎм·JоЈҐ­ ЋHbЦУ HЦaЋq@Aх[њ @”bЁЖОж‘_† IM7 4йsd 9hn^fTыЛ C® K„ 7_s¤’яу*`І &lt;pНvk&lt; VK BА Uн– &lt;„ hIо’њНЉ  iIБ ‹‚]Ў SЌў m` iц a}г_а„ ”Iъц”p f9чJIфхi8 j•gЋ†aeµ:ёчSІ\њт4 &lt;љЙ6 `иsкЕі ‰eиџOW{&gt;иЕ c°q 9Њ WpXlВJ9 EОы… L ъэЯ¤ Cuk [Вљ«эК k†”ѓE“3 \M bЦђ9 K†ЁH­ \9° ~]яуp`® &lt;діrk _cH Cy^мЦ@Д’: TТ cХЊЫ N3µ[№єdjШvХ*лC\ЗK*гmЫ VюY§[ГzЩН~\‡‚б`Р [4јЪВўЈ QЎ FРВhІїhп­–VK­яI· XаGS&lt;O‚вм ‡?H YF _‘\Ю ђФtFэђъ&lt;нќQоПѕI ^ўСФЏ;ж P`ШЈ!&gt; N›BR„5g KЌЁЭѕMOзdЂЄvкяwЃB †’[Љг &gt;ЄКМќв“L CЖ«Mў @яу*`ѕ &gt;њЯy ЃWfJ D™ўц&gt; KD”ГКBxЅrL«”;“°ZиG—b ѓ_Ј=¬оjёq ]E 8MќLJ G9Х^цЙVm—ЯFКТс xaX]T«Rp 4ШаІrфjжЛ 9D XдиkлCл{ґ­· E:aЁiб К 5дГeЂB¤У _ґЬ 6~ `nХ›Ѕ_Шx¶s¬WZ¦пwЃґdB™q ]&gt; NУD©i Eц Db{zЊяуp`Ў &lt;tЅzЛ WcH u;Zщ– 3Ж ]Щwѕ“ C’ў; C€e„ Sho]fF[ –DЮ ;Ѓa qѓАЎQ@КЙ°QDБ: g9:ј«\Э¶\†¤zЭЁжWеА!Y oDЎjЙл vDрлќmtKѓ YУеТ…J9 aѓЈиK 3¤T… lmeќ WЩ=о &gt;пэlVЦ:Ч‘p 4Ё M\Кi–WЄїsЃb ~tPпwrыµї{„L†b’D G4fm TІ€Ґи„ўvw:ЄB \LвJ ^ќGяу*`є &lt;Ш·xЛ _bH BPћро ;†NЁЂ {’–ЋA’HАTN† Fґ Wdэg®ДU T‰_d^ћЙцњ№ 6TКµIА8*к Pѓ« i[f|Ь zSтоџQ7¦•іp©” JKh ~rwgW: N&lt; ]E@ ctDТ ScHE 3DБIъЅЄkц=ймР–¬efЄя“Ѓ lWa dз QЪЙЯВ L’r ѓ7^kґЅYҐЖѕW \з|hЁ]яуp`µ &lt;МЎvЛ –XH Cbх– CЖJ5”^DyМы &lt;юZсTЯC±e¬ DЬd‹EO 3Щ FB •`9Ќn«Ґt5A c« ^IА=aр W№… \Эl| Yцw“«›ґ«УЧ^*»їўжJ6F;ђ CV 6…D`иСD 9† rbQ8џ ЭRkK C:‹µ KjРЏHҐUЄїsЃhБєI B©ўь^»‡и¬n :і ”;іbuБK[mќїпW†7wxфЧ} Oа: ncW Ilа 8PЌ }@Rяу*`Е o_ЧxЛ _cJ C‘rс– K„’Г Pй NJГ†Њ 4А ^8d –F[Лп±i Q«юЅЌIEK NuЙ XА sXМ Ks WDГ[‚ _ИЉмћFоЅ \і^нK!^ќЩ–єAB@К Kал 3@ S©а\ЎД= sFЗИ^!ZRФ `РSхЂҐV«я’Ђж aѓА†·Зr¦[sёо “_‡Л‹и5Де9нэW¦ OхЭљ§ bZpяу*pА =tЯtЛ&lt;cJ Ca&gt;ц j;ДђS {WЛeыи§{LT¦Џ Aћ EЛ]FЖ^e™:Ѓ Pyn‘њЙ§ю QM ЋzF€А ‹ MH’ 9·}mї¤КB6ni ;њ| ^ядB 4Мк &lt;¤И*яЬ Oи €Yc№…°а­Ќ‹п:§”яд YsE6ю&gt;K ‰a[† ґ \ҐЦ‘Ёd &lt;тЗб H K^¤Ы’а = Шn?ЏОE3LЭЫg;ЃЙZ№ ICь 3&gt;sфК[љ–fx p‚&gt;Yz„@Ґ§яу`pЛ ?xсrЛ&lt;ЖZ @сЄн\ KЖ• Iп H3[ Љ^Ц Yун|Њ” F™– CР FC ђ@ЂГЄMЊjVО· ЏH„В 4ЎuЦЫ° &lt;6Нђѓ§щ¤3 ЋUсл 7И UсГ‰ _] [• J[ @L gKj [‡ _&lt; ‡r;Ђc” [BL Fz Kўй¦ћшЌ·r*`VZїs g`‰№Д„AЮ3Љg JУ Kє Cм±оNЯ™H‡”Rћячї5яу*p¶ =Њсw …ccZ u3’н\ ;„L? Nо;гаЩc „G~® ‘•ЏЃ]»ym|мy4 5Б±g [x | _ЃоCJрЛп XЭBоfћ Rъ¬њ 6r5T KВ›ЩШ°лD¬¤|? 7п­‘ Q»ъє Zж{ Z@IDЦ^•ЩО QT±Жr [6 A_u7ЮF”µj @њ‰€Ґ 5l9ЗЂщљїЬа ЊeLHVNВ‹ХУю9Аe Xjщc R‰g SLZ BµЁХµ}МШjМдЬPОБМЁ Wяу*`Ж =pНtЛ&lt;fJ C©Онv C„–f™ТP Uv mCђЗ5T:v™RрdЂH Yn ck 3:џjЫr;nҐњю°YЊД’m·P LдьЎ 4UC [іm Gв?г }Ќ8пЄС&gt;“;hґxс —cX Yp NH|ђХ ЉU`  9уA ‰U=Ї»щЧ• a‡VХЂR¦ZЇs gXP`Y ZV?ї}m RЌґ ]{ LO*fЖV– SЁфb{µйяу*p¶ =Pзt{ WcJ Bй Mо jKДp I}HSй AP«Ѕm= Ћ]” E† W”R &gt;w§Ґ8bA“ЃТ 4*°™BЖђыQ IЮG_¤RgwJ*ФНRp ?ТЏ Q;Ю eykєu BЎ®ыь…knЋѕЬ—ХQ7sY wI­ъђ HЁ‘Ь |a8X A= bXікЫ—в«BPnЏШЬ`UЦљїs 4Ы =Ж7 &gt;НZг&gt;Ыо cШR ^4 RC;аКXDЉ T^ъJп«~|™oдM\–Ёфv» 8яу*`Д =TЯtЛ cЈJ v4Љх– KД’gо*a‹bA 5A 93АЪ gU`Ђpй† SFt^ж&gt;Бa \« ]Ѕ Pў9 M”5uUюп 65 O• [ЂЇГIЏy ?КЏ Џ6] `ні3яЭ¶8§ Љ]У¦gеy©G YL Dчbу IeҐ 7EЙKФў&gt;·ЩЮ©:љпёYЬШVЦZЇs 3а`” _HГКgЁHW GfOA R™· ye„\^ Lяуp`ё =јУtЛ&lt;cJ C±ўн– LF”o§ќaЗїjуY–yГЪґД8Є E©ЪЊиn8¦µXН‹9q ^ђ CKШЮ‘Њ“ QьSТЖi q]ФМХ7 3НСN‘‚щЎ· 5g— ;§ J4ѕЯ_{оґt©ЧwdFў8•Й }u†RJ@ktmЕЦФЅЉ€X YhsSяЯ6•ЦЄяs 3bS 5ti— L†№•®ЈЏ‰К `њ¤KР&gt;™— Sж№лgMHбќ Wµ 4кђ Mф»Ћ:ђ„ Jяу*`А &lt;длvЛ ScJ udRщ– KD’P9Їq _L·№— EТ €;ўМ WФ 3… YЇuєЄЋs UфУ c­ =іTњ 5№Њ “CБІ@Yyеg@]Flµ© &gt;¦g ZщОю¤„s€їв =жRђх T9 ‚cd†Ь†ЙFј Dk &gt;уМ‹ч™zdяzфP©Чн¶дњ oJc9CW [xyЌъпd acсТ YD| DSєҐb:¦ oЂ6яуp`» =|нvЛ ccJ CЃzх– K†’¤¦ dY 4C©€ \?µЉСМєa VSФб DЄАЊЗђCГg m7Є ‰MLBPЫІЪ Rфj QW dIkU\п 4T…E F„ 9иЫ DI j&gt;FМUНcЄ Eч YєMV“ NцЮ~[єtЋн &gt;r{ф© SЕ3о}Лцю |qeЃ; \F·Љк dще§HБuЄЬа Ћ•ђTУk­Ч;oV M§U°ьРіЈГчт K¶ъЕѓ X­ыЪ‹WO®З @с©ВШќяуp`Ж =tпvП&lt;cJ CБжиц [†ґот±dfFиSQ CУJ —VeР\Ђ 3±ИўAm[ F_Z•Ќ_© ]ґХUIА H™Аd№d“ 3{Ч[K [;ЦX\ ;ТV‹ nQ„№К cА 6‚„ЕѓЙ D› OчЌ 8]AќЏ KPrzYъ…йя†•ТГх[x 9е ЏCдRnЧ :;–?±aЁмш ;№A D¬ 4КЈтм¦Hщ­eAЋЃ» “—UPЃJ Ћ{Ih CҐ3ЙМ? sCн cђ„ `Е„ Aяу*`Р &lt;млt{ _cJ B`~щ– CFJ 9ЌѓГЃ@ИЅЦ„\ХVЖ TЉc ^Кґ•чйV&gt;й Yгј sB°ґT EЛ Oт —53BБеQІОS V?…9ВяК Hй™eд— V{ _s [хfзb№ DSTqРc A‡Л€Л‰ CЃпE PҐќ AbXЉQjVUjVЄN g6А HEРћци‹YФм—™с &gt;f|—ж_u cУљd…А`ЬЛяуp`К &gt;@Чrk&lt;cJ E№®нћ@Ж” 3wWНA„ Dh°Dµл zKГ…bPµ6!C StN;Par 5G Sk*‡Тљ BфюФ ;µ;7 ^Ая oWe aO 7F‡І|¶S»уИІ“ \–Tы–Э bяЬЛЇgё‚v4 Mє ‘Z\p±·џJќЬ ьљяґ^Сея™XЎp @ЂZ“АrаЬ6ыЄuЄ©5 ђE¦ЊE ‹@ќћ{ЯoЮчrояwжЎф•7‰нRтU–БQ W\eZzп GXяу*`Ж &lt;ДЅ|Л SCI vLЉн– KЖ*ђЃ c Pb@иё MDШњ „:ђbЅ qTo­ю”@­©nї«Ыv 4„А‰ ЂL€пў GJЈNљ UXЛзЮ }Y};KП–cѕ@Ќз™к•“ T»m ?Ц C—ґxЕёh Mж;ъ_Pѕк 3¦ћ«їsЃmЂ wCС Xѕсчіќr‰Y•Dф ж»ЬіUѓ ;ЌФ CВ’ E\©џої|П“Zяу*pѕ =8Гt{ SfH Bajх\ ;ЖђЖѕoпfч ”P»мK&lt;з­л” ~5„ 9&lt;ъсFЉ9Њ±ўсE?E Afy ]іJµIА cbѓоыG8НЯ¬BЩЌ UнГ VЛTяоs3я Ќ`Qj FC Њ\КG› 3Sj HL€H„б”ѓбжЉД®cТ“·ZI a±ЄH M»–МєЅHФянRp AЖL A¬ Rпй E7М·¤ s?НCD ‘LsF ЏhSМ¬уBµaІхёзњРt G®iXњ›яу*`П =ЊПxЛ WfJ EЎvх– KЖ’gЪкМ Mх~” V”„© иuфIUзЮ¦Ґ­uhСҐёu ]·uХNP Љ†Љc± ^‡ћп:ЕvbnрГ 4E\4В\ Y&lt;вЭ—Е 5µ [’W QA BhЈЬUН HE ;X 7н 7”МВJ’Й¦Ќ 3пуRt 9гtL„”н F…А€•ђ·¦ 9f [ЖЇ †Zl*бAѕ¤d LҐЭт|Ы Kуяуp`· &lt;¬зxk&lt; VK v3Ћщ– ;†N ‘EDc}lЯ?я7Q @m^ ЂZФCэ]У5 WЗJ‘ UъЙў±sЈїнР;ыzйUYє mC‚kpB&lt; dcr cAЧ GДґЦ†Г® r{SiВоP€bH–&lt;* uдћ =ќЕЦв[ЈЃ¤†§іСBКCљ c[r HЯэП eUjЄwЃ5 w‡;АђhИ7Є N{eTъ 9цы‰Vщу®Ь 8оВX85 [МмМґ LpLиQ„ЕЦt 7Р &gt;Њµяу*`К p;Зpk&lt;fI C ‚ЬV d†Jµ 6O [G Eж EҐpпю‰ ‘W„хO\EиЄ±џЭU\Ь A™бfq &lt;xвsвU \«F ?ЫТ«v*щЪѕPTUЮ [&gt;•j JЏu Qсu M•wJ dO•=Х €[Ќхµ d¬BО¬gхR” oVђН@Y€ 8;Lk@¦—ьЖyJ~ ‰?гЊ~ VWіШj–ЛгRЂ©хmx Y…†г =¶EDяуp`ѕ &lt;мgpЛ`Г7 uKОдцHЖnИ‹8T S6†б [jъЙ– Y‡пЅ“Y B;QЁ« KКW Q”–А Cu p9§TY M? 8нЦ~Ц¦™ {5’m8 ѓс¦К &lt;гq­КрcyчљЪ Hбb’g LЖ DЙн ‡d\Р e—XЊ dб’P vЂ^Xi„В@оu*ЄфЫ’Hд’ fGi ?`¦nH †‡‚?йpLФqн­Цo¤ ^5{ d!Kџ9Ї8щ @q–G[с \СЦ 5hв „_ї№Mяу`pУ ?pГbk¬¤ g?xЄЙqO ~fTBЪ…„“¦цџ” X“ЯC ђOє GРа 6ћ …@ПЗ“Т FFс\ћйЩэWЂЎ `P©фЕ H¤§ AKf·lЦ B¦oМПМю &lt;oЩ—Єм Aх RЛЭz z9IљіЌ«ѓ¶у3?,3jюS Yу3?3 b­U^‚‹^Љ­ Q8їљ 8н ‹M‰9 w?С ‡rf{TђщЖ№{ Wmья &gt;:яу*pД H9‹rПМ –fPІRйyЏX 3¤Iч PУbmѓ–©“ Kіћ» tUФЎЄS_ХюЕ§‡&gt;Ѕп} Ђ‚Pд‘ЮnJі¤ ;о NГ]мIcм§Сb =џ4 ‹I&lt;ї… XН­ QїъЉн‰ЫаеЕ=пё W–ТйQЭЦ€5юЎZ aзћ°dЏХmА |cM”бОЊh~ЕЄгXО~ \јWYЖ ‹EЕ‡ QдZѕUNт9ъ8?K]„ TП |bоH¬eny &lt;пй ”;&gt;QdЕішЂёЪ¦яу`pD =Фsr»зЊ 3†°nц 4В f4ы¶цЇoуёЈ±у Lnѕ bЛлнЯи fdlЌ¤ †:Oх;т¤k…~aЊ}ЖЏ Z\vЊјЂҐZэ№ Wђ 8cYдSџl8¬6ЇйЄЧаях Nтге6” EBU&lt;¬| Sф\Л[ ekІвћ&gt; NђН FЉ8JҐ”љ‹ RэеЧ6~У“ґђЪтйђIРь“&gt; Tm L]q±ЫжG{gюяу*pY @БMtП&lt;ЖZ„ f9н\ nf4ќ ;ЯЫї~»я›Љп±ч `уQ;‘цэY» hT!3GEТ_m°я[lГ[е =U{t jp–dFґЌ gepМ‰` ЋQеїЊ@К“Ж89^пМглКu|ўрыГ bчЂвu JЮ‘ CV¤s 7м= at F&lt;нР…® ?‹ўК~МЫс^Ђ”‘і3ѓ°Ј =8†ИdZT 9rB­ e3s NЄ ]э„E vTZЬц&gt; Л?R W–ЎEjїn 4ЁВ eяу`p| &lt;pЧzЫ ?cJ &lt;Шbнд ;FH^ t:™тKјcЬ}]Б–ОмР°d L] PЕ FHEы°бЕ`ё—б 9tШ ‡6:ґ= CимВЊK‰ miЂE=…CБj Bw”d mA=‡ 6GZ’ ‰o`€duц»~У @GЦј :яо!3С z5dOя ;g ЏLћРzщ]їщr RцСЛРъ4s P}_Эйo« oЃz:ѓо°ИЂ¦Єэ№яу*pђ &gt;|нtЛ&lt;CJ &gt;а’с\ ;FM W” 9D 5‘ nA•\ЦєIDвЛ ?‹Аћд \– C«м]ЈhҐЏ5 N&gt;o Nн€EsM»Д9сЌЭ 8n IsF™Сg 9G H6I =‹CИuIxч?¶|ЙЦQХyкЏп DCO g@B ~]UкЮІ {3цxФѓLН\А FSc ;Lўлµ@ДЧЋ Fw|Є ^Ос dЄєЪш QЖ^‰P*€@АZ«ЫЂeЁ‹ XС Mг|п?4М =цйєЪigґµ= Kяу*pҐ ?… 4tП WЖZ o;bеX ;FI&lt;№ Oљ ‘`WыЕьМ6d†» DЬ’kК ?гцKГVЫ©ЇynўтQ Cц&gt; &gt;Ьп e«3RЌ7:ЌI \яoЦЏ!BtH ЉxqWСҐ©В‚ДижЌъ\¦p’M№ C@ @aў§Ў]?сL^ AGN—зawr‡•€уЇї{? eЁ–‘ Eћж‚ 6‘°дЄIS ‡AҐV«я“ 3Ё ZГ cіrѓ[E‹M{дШЖpFµ EЃ8T „VКЃ8r«мЪяу`pЅ ?°чp{&lt;ЙZ ?‘Љнt [Ж‘4tЈ yoNуaMJцG —\ЎШаЩЦќ HHЭ IЈБТаё`R°Ђ KЁp’АО aй© Eo MhQЂ w]љы|ЏІУnMBжЭяЄ :”YЕёПфЛъlљЉ XЬъюjп”эe Yж§Т 8N yM®k№ dI№ЌК [:€АХљЇЫА4Њ nTQSlѕЭ R U…ЈHuS Aћлк @Z _zяу*p¬ &gt;мµtЛ&lt;fH &gt;ЃbнX CЖ‘Ё7ЭѕпuЏЕОхТ•‡ИbiЩ UПУhДжћйІ dгe KНЛg™Ф 6 й4 9Ф‘sH p_вGЎMУіи» QtЫъЉ ]Y NnI Њ3j O§ЉќЈ]И5h PњЧ“иПЫ AґUЛ¦\Ьь™ B«\ NЊа°ЖA†fЦеH \Ј_¤ ;JрЃ 7Ь&lt;ѓкШз~х f9» HҐU«я“ЂБи lCП]ЄП‡ ZејЪ =•ЛCe 9Y 6‰щљLҐяу`pї q[Яr{ _fJ wd‚т jCЖ*ђE}‘| Tх4я–ИlюгДЦn cч*«Ќfh|я OЪ|Энзuў `™EР„6“m 9ГG@ AEeь[*ЎЙшЯҐWљЄ©H 9l v{‡lIEpЧLє ‘Yz™ CF “Rq= •^Ѕ{ ?d JЊP\ e  ‰3„ўҐ ‡Iјhx·:Г TрУl doс@ ;ўZ UпpРe›ЄїsЃ¦ ?‚ &lt;яуp`Ё &gt;8щtЛ cfZ Cрвх– KЖny« &gt;i®л«R 6ґ›I… VХз\ымGXЅ€Ўl№®Dє!FВw :Ъ GNЙIi E  bВ cv ЌB„ 8„ o5ёєѓЮ7ъ ]K= axЗнТ ELHњn9s 6V \Q8Ђ­ЯБВq XпЛNcЭFЯќ] \WцВ9*¤’a ;*ќоЬЄбЩџу©µќмвa·ЮчЯЦ^ня ҐU©· Wњ 89ФCГё•ег N›Зю_ RЮ 7\OпЏоп _йяу`p« &lt;њЗvЛ _cH BЁ aц j&lt;† 8mІ¶s_;ож }aОф“w‡®°ЪњъоF ^fл–i ЃeЃZК W“Ј“Ч·xЊъщ°зKЅfЧ Љws=&gt;i |e„9ї’c 7TXЉYf*ЄЬ LъР QDд{™ IEKЪчzщLы[°тъr¬ќУО7щ JmмФЪ—vГyљ D—•їЪЅт h’ѓ”k@F¬Ѓ*БУ¬Z‡JЦяуp`¦ ?HэpП§ fGI–с—L ~5х W^Z 8v‘ FШіґбТА¶iSZ YUuюЬхЂ VдҐCч€т5 E»›OќОФя \зJ TК Rb ‘&gt;Т’Р[” JK G«Пў wBYєЖcob jz9’¤Їvчu EҐШ [&lt;@ }Q©W FSotЖ Tq h[D …uMy© H=Чэ~±sЯ§Ю F°С€ _—FIг [•Ґ©ҐеорвїкУ _«4’ЌЂ Zmвtб H8Ю· DВ=­&gt; \ZnЪяу*`“ AЙ brЫМ †fKвBичЏ@ 5¦·VаGjvйХ ?Щ“№J—X‚R=ї®зЋ…Д CАВ &gt;[*я …VГ ѓSА±GЌљSoѕ*яж anэ&gt;с ?с© 8fЃ c3Ящ· Rш n9D W6ЎwЧјКТ’· fЃђsi:в~хЋцµнХМЖЃ Q¬zW 7p ђ;~_¬ •Ur«N[’±tй©щіуяЇH‡О n‡Cp jlFяу*p@ =ЁЅ} NЖ rfDa[ h8‚ v3З9lDW {I¬іo®й y[і±}iµНZР EМ&gt;ЦK*m¤ЪNL!3 dСс Dn=џ 9БЉwAFpИ |HPОAc PЮ: Kqd;­©‚B YW_эщ b‡ opIЅNu6•{Уй_Љ№|~ cU№UVNЂ©Ѓ’ 7з­mПaWЌ uw7нхфETц d: R•µ Ѓeќ]id WЉ]–э;Ую™ю CТzI S†¦­59@ЇPLбP@X5Эј—Ѕяу*`F 9l VЂЛдЂ gp~i97А f5чbЖЪ© OЋЌ9П ^эњ [T­Єgъ7¤ЗяJ gGП 3L=g TЕЦ Џ8эГ @ЂЊ 5b y‚c^aЊv†c L&gt;ь`¤сaаЁм HЂЮ9ЂСPdЁфЉ |aiC V@KR‚ЉHqЌх©яBї–ҐkWX©Х Y“І 6Ш8 iDљF ?ї Lb™]ЋL lhz7ъnн”»L»Є _Ммє ^Dяу*pq &lt;Tgpg&lt; V7 ?™6еp@Dђ±cБШkЋеЏX HЅЉeV*Єs 4ќЎ`ЁIVНҐ©N e€nљЯР&lt;}HРм Dєѓ ET:4 &gt;ШQu FТ‡M:e e6Е« Eѓ= HkKјё 3{ uFi EУLї¦«o=\Я«_ќґ efE~•V®Є№x Qx ’“ЊM@’IEMЋћ5| CІFЊ“&lt; w{5±DTuЩ &lt;`ЙG Lј„пkY:ЪEџ‡†™ &gt;¬d 6l5B‰­MR [аQ ЋDяу*`• &lt;р‘rЛ`cI Eђzй–IFJҐPх Q¬Зкі” kBO я— KЗВ№M:Т©VуГ¶»OОkґSбѕ ‘ TT[ZD ;Юэєp CEВ \ђhPЩвBPё _ZЌіТlи•Н p`ЩЧцкЯЅЙmкн» oS ^m¶ЬL° jsNзи _Л 6QгЯЪKж IµњЫYЬO¦ГР|Ѕгй =цt©}ЩFu‘В“SP5яу*p‚ =4gdk¬ rgrcfСuO f4`•@ HVUeљ HY fLJљ&lt;€ЋG 5В…кs X¬?· eзyЫ№ ]Ј @N BUaу SИ|“ Њ\l– ”Np Gљќ \М [? DU:їш®­ 8ЏC‹ n4ЅчЯыто‰H v:ДЂ€ fgjЌvI*ъяфяїЇтC°h‡нR:LAWXя‡Ля4К¬УNґМТ©FЂ @‹‘8 3M ;е&lt;д*R O‘х€oкО\ A&lt;^*Ў `И¦†!I=ЮћШяу`p  A] `lЛМ  gLb6б]Џ@ 5GiҐкnьLВО—яЯьxlє A…П^~ bчt«JРj :вS 5д… 8ю;люфп*яИ wAЂ‹‰ `язУф–M@ Wёµ _µТр lxf—G‰ PсI± FVі7Т±NbLЇ¬кф?ХйkVХщ}Щ]Ќc» –—99J zxђ@ёLЎК6=GђkµLIЛњ _{уV}њ  JmЁm7яу*pN oG№{ ^д nf=рVю 4В!3д 8} ?дfyЏ \ўC TаЇ I&lt;Д!`¬ЋґBMQPоUFгы 9ё±:РЧ© fSҐ X_§ 3’Ђ nKј„Ьа§ dСЬњч†Э aЗ P`E&lt;r ^С 36uВМZJ &gt;LOГF¬H« `Јє “&lt;н ]ЉK:† &gt;[CС‰¶­d‰ Vы© ЏfЂdъ‡rTM ?ЪCЄ8° –€_I‰ c4m”тмчPї 6R ^x­ќ:L `My Jаv7§ФUf•ЄN 4©яу`pz n?G} }Sc Ќ? o &lt;м ;ЖJЂY]b ]^u·ыЎ: [ћ QvWTО Fs \Ј»kХъ±™wРкЗѓB Pњ†\ VЋПs”Ёшf {WБC a• @ќ ’Us?јXљ ЉKж ^ІЇ©WjЄ©: 4Ќ!?ЌЋИ 5] 7Е`І Vі~ ‘GЦ¤йєЈlіQЊµ©–Чѕh§Ќћ BS[©·x®џяU=&lt;ўє 3яхRt o’j‹Uяуp`Ћ &lt;XЙzЛ cbI tTZщ– ;D’ч:’·:] ]ЋИ¬Ъ™ GRj’•ЫжTИІfїз 7Т ‡:ҐeRx E…R „DAKx Gcf SЖ…А 3ЁhJtJ ?ё4ЎgѓO _&lt; 5§я­ЯЫ©€IW _кjRљњ  “Vaа E† {Џ89дУ EДІЭжGIgЇ:56;М ’7і NI^йЦЏE qx5§„ ‡UП&lt;тў•Щ!MЬшJ­™VЮА“ XUл{ bщPэVЄҐАU f9€ =@“яуp`« =Ф«nk`cI Dщ&gt;ЬЦ€Д’XO« H­Пv OЃ =‚ 5З YЛ¬E•у™C „—?ѓ© NєЁV cў EВ cZ@Р n’x5‚ў V­6ѓLљOщY =}m?ф«N¶U*Єn p8Я–Ґр¬ C° U6­І —[т Ѓ UЈ„‚ –GЋ MyђС MУH™s ^@UЈШUk 5ЅЌ“ &lt;?ъuµ`эЄ®Ы M&gt;вк GHXj GУЮZhЭ|зІ№—5Ѕo–№fnЌ„ 7ђ¦єЩУ]µ ;Ияу`p­ &lt;Pwl{&lt;c9 @ёBб\В lYнІ 4МY№Фl№ё Z6Ф»ќ®»s ”^SL cЌ Y3 dР…d~ЦнxS Qє=oЗTSnmПЯ”ЫІпBБщ8‚§ JSїк 7БршєlµTќ 5нЙ9Q SРЌrIG~Пy Y±~хLµщk ?;_¬b MЩ5чЅG YО@l H®VYдОUњf[кЙЯ Y{i†D lOаДЂ~ nlSывяуp`І @tсh{¬ ЉgHQ ]МчX –h:ѓп— Bъ— OпыБ d8&gt;m¤©^ХrMЗ WrXА 5F 7РЛ Q`j PубY `_n t‰c^ G®[?в lUВ IЮµ5іЌ XY Mп”7:й*зИH•њ~Ї·Ъ cЊ mwx]‡gsXДаE ?]©A@ИаТВ–К=Л¬бHќ gAWяВэъм cиЈt± 8нО WWЪIN A‡ &lt;^џ ]D KrЯЫ} &lt;™nдQ YЪi Yгna fkSъ№ Cўяу*`’ vgVw RЗ¤ fLЄ6нї‹ –3”њх `J± L€6ЛЌ [Ѓ“iЭjTwЩЫјE 4а[ NщрЌНп›П}џую?с6‰зЕБ Yy¦йвD UФ ѓ?4¤tЇQЫя¬яэму№упЭcІ vptWГL uNятЙX [9 WHЪОр [бp&gt;7шЋ VXWIVґ&gt;Дceme: W9њ’ RЧOфЎџэ6iсfЧъеЮї­ &gt;яу*p lK7 ^д!3 =ШC h8Г!3nЦі Fnд mCЅ=Н p5A¦В lk&lt;Ѓ [?њ№=Чzu\µUфЎ AъТюяfе 3Y·T3\Ь =*HNeлКHМ„ wQ©4 caqд‰ЏjMDЄ}g GgX¦ †|6Ѓ ‘zKеSIҐ= bnД OE MK;ЁcЧ[сm©IоЕ `3awхMNP ZфsD `4…aЂT›mO Hа6 WP^Н RЎWM7 MжN bы”‹Ё®ВЛњz _jЫ Іxяу*`v ;Њ3|Ы Љ‰Љ@`O 8– ;Д ]аоЄРfjкїsЃЇ‰ЂdњілY®ь9 S± ;” vAГ ;тЧсEчи5й¬“э UлЁ’E|‹ —p‡Qp …_ЈGI‰ 9¬Йц„ „\nЖЮЫ^ћЯAzО §оA ‹]лI6ЬH @C‘®€‰о‰‡… [ќЖ \™[щТћIљцє®€®TtЬl 5‘ x7CTUн&gt;=PЈ HђгПлZяу*pѓ &lt;t©vЛ –VH Aq Qт jKДђ\’ 3U—UЄN 4†C †cUЦ•ѕбa P&gt; ?FОYћЩ \Zд›лочј…G›N o98L&lt; =°Hp”Q UОj ЂE&gt; _Ђq† IФ­6mM76 PЇA 8цѕ±gЄY¤а PШИQ ‹uZШ;z Gk pLTA€ќm8 9ta’‚A Hx 8Ів 4‚Ґ”Ў ^^ YпnъЯ§У HXЇы*¬bkZїsЃ‘Cи 6ђF‹Цп·№v O‰—_ъ}nћtСяу*`ћ oCќ|Л SbI APљщ– CЖN &lt;О^“ H{?†} _§8НA¶F Љ…;А k5Ў‘ KPё| YXтИ iDА[џСнvПм Q9¤Хћ¦Є“ Z ;хЕQ‘Д gLЗМKЪЈЩY TК W|©z Bђ4° cЁЃц ‹:EЙ 7F™ &lt;ґ UС…Л№ uaAЧ Tмю¦ ^э•– =Й :4 3¦k©¶дј :ф [‘€·шїЕ3ЅU W±”іGяуp`Ј o[ҐvЛ _cH Cx^щ– KFJљS8BVfc»«€ZЭ™ћZ{Uf»эЯO™ BTЌeшЙk e5ЎЭЋПс4Щ…к —:DЃг 9‚Џ JЫaЎГiЎжvщ4лE”Л’IЉ G›mА@ЁвW S·…ЪR±ђWЄ ‰XчёїЏШ&gt;№џ°НP Cr¦De3=9І Kё XlMнЪлZmњјяЪ :]я¬Ґ{jїsЃ Cђ tV9 ?‰­oP©дГ ;ўЄ ^6Є_жi eb5eідЮ¶яу`pё =дЭvП&lt;¦J u[–о jCДMЖK“ L™–yиrоСШ|MTXц _а \k® NЊН ‚~’zX…ZюҐЮ [оYи `п 9О Wа¶йUlўI¶ЭА r_aћS r;Ђ aЬ 6ЫpМя GвtР ]ЧH8T †cXй e© Uд †”D`Е4rњє‚дэ 7Уq w@‘‚Ѓ*ҐЖѕЂцn­ёдЬ ;Dё dД…NЇОw© Sjъ› {Rяу*p« =pгvЛ&lt;cJ BА–сt [DLЗW ]…й[z† 7tЫ¶ RЯЭГ»36[—±7нc‰t™ЧYO¬[T·ЬуZOНЯP4 kh;жЎg :·W “Mq Bd]у zF*ЄЂ‘ IЄБ t7rсq• ‘b8јgИѓћКРNУB VПOЕяt ?Ѕ… &gt;тN ]–ењµ \ъго”рИ lKYGx SeYЄяsЃC· 9ѓE–ѕжEХЅPОt IЙ ‹Id­PЩаЇb§ _ЉФUSС @ъuЦяу`p№ q[ЫvП&lt;fJ @Y~еX LF‘ґx•шЂЬZ DCД _р¤‘ ђMo– tUrDN bEҐС@ m5©OђҐ h9Ў YЄsЃ°A _№ W*М@“љ ’VҐЊdR NјЌ ;pH x6”xФПѓ¬ eхёРћ\:µЎО4ЦSMU8ХЭe_±?ЉL \–¬•UЄя“ 3Ш Zb|}їguH¶oeЯ¦ •g8жЇЮw TI№ї sAёяуp`± &lt;¬гvЛ cЈJ CXzй¶ KFHh¶ўyЇ?іч•*—С‚ЏtУхжЬ8 m]] ^щ =vрiйkУЮM}HЇ BЮ=}ПћcЭмО KИ AЩ `Ж&lt;Ї7† ^юgъ®cЦ¬\H¤€J 3ыf?e Џ3;еMК:¬У ePс ?E P–¬Ў·Д‡ед¤KeKє I› d:I ?© xSГ T¬ялRP 9‰ SМ ?ЁbЄ bеюЭЌ Љ[7qК†HшМb\Цu Zп PъwЮ&gt;і~ЮЈІ __xяу`pГ ?y 8pЛ&lt;ЖZЊЃBад 9‘„H ЉURјЊ4с @zЫ€х _ €Ќ;‚ €i4Ђє vw„\y™„8Y›? &gt;|oP ic’R® 6– WъЦЭЙ¦·Ў L«r —~^4–s`‹О—•пoщl*iн‚ 9ь_C‘Щz tpGY–5*Њ}ОZ@с­ 7uЂTeZ»s g;А6I’Є @ќЫЛ= \‚†ЈЖ ;¬f ‰YГ”Дз¬яу*pґ =ґХvk c¦K Bafеp c†ђ ЉAщ&lt;гNDынnытZьњМѓ ђ8ћaоV¶\*гnя_ЬД _µ =‹„б;ЃS¬пqУО ?=ѓЦЏЛ == J} =©X’mД M„кQЕВ8©ъ€LYі]O VН 9сЌ dя~ЫЩђuQиG­ ЃTю Vж ^Ќ FшP`qЊТ‘ &gt;† 3Ў¶ZЇs 4ѓёњ &gt;yВыПєйП IЛ; 83«Є bDУ DаЯ…nа‰TЬґ •WgFчwКџNзEяу`pБ q?ЧrЛ&lt;fJ @°–нt KЖMy dо gvH†rH HЯ ;g ku_©Ч ЊfcЗВ U‚мgyJ®и®ѕi GTR WЫrT 7@ 9ХJз QЗ c†Fи±а PҐ EьЮ—Э{j№ё Xаґ“фПYW RМ№гT| :4L xTЬW bt[Qы¦Ця dч*яэЂev©¶дј @„Ђ C€Лk Hе W\fІ=ж] \фzІхѕ :нЌт Dяу*pё =XХtЛ&lt;cJ Cnт j[ДIя«8ќџRC7j®дЊЃ 7\Ql KEџ•Ф Pe&lt;‡ zSСV…Х S• t;EЗњ D› _Ж =ЁКT €]™ф eЌHs®ХRЛс¦Ы’ z:`45ЁФ [з{ВsBц3r \ЪФиьјХ¶ bќІ*ZВ bкАMЕoiдflXS Y_‹Ж~„ ]ЎqЈак 5ЇTХ B Ея ђ4rМ« [“®^ @vХЌв· AVЪЗВђ€ ‹SЃ ]SЬQ6 Sц§љяу*pГ &gt;ґйtП cГJ CI¦нt cЖ”’ L^=ё ^Wr‰ ]Вrќ§ lTЊвЕГbЗ„Є „CЮAлj CЋI]6УдЪiѓ VТµ ’ќ‘ W“Ћd 8¤&gt;ѕ d±hог‚›5 [¦Яoзк}ЪЯІ^«sЄХ DН¦U:• ;ж8€ €;“ЅЕњ« GHь“wOЅTЬ6ђх–»ЫАJ‘H’6©°з5›ўf]о°]MіVУЮ NњъБ·я6Г^ ]3ЯеУи—zК@И [` EЋљ Wн Eяу`pЕ &lt;шЅtg&lt;CI B±‚т jKДђcЂА e°U da\Q®м8в± S] •U8a[u VД ?у KtјЛ 8яЈ6}ЌiЭ^]Uыј :‘ wNб R}µ№ ?ЭЩЭЛ„Z3№oгу†\Ик—тџщ _–Ў L©D3ёF№l W¤‰ Cx _p _І TEЁ f„—Pсwћ‡ Hю“v qFаҐЄЬАe C;‰Г PЫЧ– Vо `йц =cxЛ ^яуp`Ѕ &gt;Н 4r{&lt;ГZ D©~иц c†ђmXeнt €bQМЌ \AµЬўҐЋ &gt;«HcrБЗЋђЈ d§…WFЛёЂV4 VfпГ vD6 Џ_ЌФѕ‘V;жzK94«Rp 9ВП 7F’кsК Bз ‚C’ i&lt;Ћ ЊTЊgMeуЏ Ѓi;\ a8ь 9·‹±…ВaS« 9Vа»R ]ДЅ AFё”UЊHІYф_фЂUoХIА ЉQ: :‡C? …e8 @qп5X _в6ЋОдp‰[ч87х CЊяу*`№ p?лr{&lt;cJ Cрfрц c†J¬ UПјЈkЬ3n VќQ–SB HТH NЋ[|v[ЭK&gt; YзВAр&lt;: L¬иµHҐ @Ё SНя« YйµZєЄN h8*H5Ќ [`фѓ jzK”йЎіY :Ќэ f‡6ьЧi =†уЮ»Їч^ѕыm^џvяЈ` ^юн5юУµхЫЂэZЇЬЂ [\ ЂTІ YЬІ­&gt;µ7K[ ;… Hђл IЋHяу*p« =°Уv» cfK Ax6й\J hXХL^ ?;”Kj XЪО CК—=ЉIћ Y\iаР ѓЋѓDћЌ FЈ T‚ eЮр@т Q]‡ BR§fC 4ГЈ F§Mf” ЊgCъЄдфЊo8L clKdэтК«*ЬЋ^ 7®і±ЈЄ KжЕD’Тv„Fє‹НцgпгчќЫwЇЪszу*Ж_с† T„Щ5 ЂG‰U ^E:УЏ ;™ jfu†;Tбiwѓ ЋHЊHєj \µ _DЫ N®рб­ SQ«µяу*`ј ?¤Эt{ WhJ”Сzсћ KМђIа N_ yHmbЮћ™Ж \»У9‹Ый’ —ђE‘I &lt;е§ПzGс K•m BZЛ¦… 6ЬbҐ B^«°±Њ r:V\” ?tЙ…ў“БЗ[lУ G„ЯСтk^µ‚еЋкцЭ@B ‡€T‘PИ![&lt;:4:°’Eћўp»T DrУ 9‚ UЎAВq N„C…‰ЅЄ e‚ jGBе\ц ]еohЇҐµ bяу*pЉ &lt;¤їv»&lt;cH Bё 9хм"3 NйUyjЇsЃ U±аB c&gt;цMG ?P IФБgAщ D:5 5Ьѓ?&gt;¦©њ;чFИ­З9дs VЛЁъ\ ]б =&lt; =4 ’€Љ{]Ў [ёр [Њ 5љ6Ј¬ЌOЧчRuҐiZЕwъЄћа`ХL €?з3ШрvХТ \±\ \R‹…L Xхј I[Џ :ЦrЎ TІ4ф N[ЧM HefMїw X€‡&lt;«с]ZО«Ѕ SянR”!&lt;Bcсд4 ‘DPГjг ^яу*`џ &lt;иЕvЛ _cH BH~н– K†Hі LI[;:6 _љЂ¬ }{&lt;7Чg¦–€EC*Q \4Ґm {c8W My6 ?СTїoЩOзя?*яЭьЊ!GЅб*яыбdSшwUZкЅД fIVbGђ¤ JРі &lt;ъKV&lt;w €sT±†ж†ҐяЗ—C dљБ Cnp’ЉрСэ 8~7ЇЖЪV UЮд t=EBaкІt o‡x–8Ў€ ‡`яу*p™ p[;tk cЖ XЋ°~е\J 9IА5ЋЩб»ЬUn} GhкsдqL A“[© EПі°ГДYW¤d KизўПwї DrоC‹flt PНDљ‡w —=сHБМ€yњ„WzќИ–Ї[§э™йЅoяш†mЃ 9Qъї‰ †:? €J©K¶Jm `@wю &lt;©бMћ OAj¶шњНsЗ bҐ ЂDYU|VЬЌm= p3eg EM№ WаdЯTЉ iK7ЈіAµjЯ5п^n RjoЙ«п©Ъ IРяу`p® &gt;±Sjk= 5]‹i 5Э\xЖpШљђ ѓ`hСН«@7G D8Ом Y”Ў LУ …eЄsc&lt;o5 Tѓ ^Н 5еfYdq©юМ5ёП YЪI’ 7ЃБВ x4жЋ ;Џ8R• eєQы@‰YE {VD W›Ђ AЭA]W›№›D ;лі4hМ &lt;T€ c @&gt;“lяNП BРMЙГ?sБ 4—yuЛѕ\jz«я’ gF„ Eђ @6 hђ&gt;fяу*p© ?ФгpЯ&lt;ЙJ ?€vт 7x†JGЄZШі¬ I:Ћ aД¦8 N¬Њ &gt;3\ =K &lt;… D@J 5ђk™ўђн!:L¦ўЂЙHљЋbV mWbBFШіYк^sшвE8Р 8HЃѓs kqFйЌыц UЭЫУчf?Щп p3P UM¶ж 3w` CQ aГ|X  €5BPХ©ЙmСбq \b° ]‚« Ik‚ dћv’BЊmє3Й№Z ]ћ‰ RоHL• X«юH 7¶VјTФYОUл?†я O*яу`p± ?‰ :vЛ ccZЌШFт j–jЉ@аїbУ 3ТЌ ?xВНсҐ `6USC;}|јrЪ d*Ъ …`џzЊ SљЮЇtO b[ ѓ9wзЅп~ПЌЯ¶і ЋQEў U‘ M Ђ ‰7Юшaoц\цПcџф;  gFеjЂ tf4аPФгНЋ ZпзбAй?Ш«эЪZ h&gt;эg _&gt;E 5—gR¶pЛЏjoHйяµЂЩнWавё BДZ№яу*pњ r_уu N`fZ‹р&gt;еи nlXwXsпT®sќnБ &gt;Љ –3Вm IщlЙMбд*ЊjA–J W@ dы {c *Пe= ?њсТ e‚ dGІ¤tт†­q=9К¦ G” }FєfЎ PЬхОz°ТЫn _r¦ГozsЅюяJ =eИ“M  4DfБ¤М{!6 Tk 6“ЩHi5ёЪsn§ @ч3ФjИсќ¶ЅЩЂҐZ©¶дђ 8`щ 48LHђґ `7М±y*P VF“Ј V™„ў®e?5яу`p« rOыpj&lt;cZ‰РЉо fCFM€Б_уJЇD]нљС7}z¤ cпY¬hIЕЦҐSњОЖыГХ›Gі Hmљeж ]Џg _М GKj ^iJEђЁiќC ?ЩДrk O· ]Ћ№З™·€n[W [VЋ®OАIјiЮ€JDЫ j–†:TPrАФнцЁ YНьљ TЗ pHљ` 8jя’ 4Hћc=G’ ђvIџ9 r]МѕY®Rяу*p© AхClП&lt;ЖZ†X~в 3HЖIg§F B„ўЏХ†Ъ—cЛ5Ћ¬ЫюЯІРЇ‰ di WЏ EIфИ= 88BSЦоЌи± cШPЇ ЊIЩЁNq _®–apх»ЏЈ© YK T†Є @uClНV JaґQv S«™ ;гРЈУІН FS°ОКk ]U– 9ХSЦњEЊай‘h@M f6j [Дрk 6D GU }VM ^H8&lt;ҐZ«я’Ђх C?IqўЉeыљшѕv P®F GAФЬ=ЬВЈeЖяу*p№ vLfЛ`И\† 3BХtyЊ Xв \o {nN‡F¤З z\‚ь{Є SwћкFк*ЫЪF Gz ‘Vџ– Z·[ј3‡„Ш°nQ\ \vцЫ·6яc^х RoяЯяXєъЇР ukY’ \…рњ VH‚Ћи@ =Ѓ? s…Kхщ R›млIЭч^і P¶xh&gt;Њ bЗ cп‘Їчћ ‡Y`LҐ bч W’` ЃS„ 3Бф&gt;ЧЕZ y‡e&lt;IЎ ygcp Sѓ h?­[BPдGъ­yLыш 3”јaжEяу`pБ &gt;hЕrЛ&lt;cHЌ ;ZеXxF \™ Q­9ѓ LJMi C?PЬі CлcУ YrЩеў YщY‘zъў ^B &gt;€ Mв!9 =Щ {[Ќ&gt;Лоuв•№e© XЌЖд€Ђ6 i&gt;Ђ¤ё“dG§ esЋ¶ TЦO ;qЁEpjЂџ Z?B YхуOЉf‡¦_ O|х cЂ« „;«‘ЄDтЋw`B IY«nЃD@:’ a»oOйНёя~xКcУяу*pё ?lнy …_fJ BAЉц j[Ж‘O B|…Ойз †7… TяЊЬЏ™GГџђЮу[©7Ѕґлw&gt;Эv§DШЙї7ShOЋнRф jl‚D&lt; vSHUБсдђ¶Љ}‰лq @­ ѓ^A aI UM· vfs=цW aU \ґуГµ3buйWч SApд©® ^пЄ P§љXФчЮ 6›h‚ I°№ iAиD 3UeZЇs 4ЉFЎ \Нq­µн7©Д :Y 7Кm*“Ў ЂXk Q]b _МэЫҐ Gяу`pё &gt;tзrЛ _ЖJ sT~т jCЖ‘ъЧЪѕ6}јJ±зЗ…ЈЉ GWЃMеVЯ¬Єк_Ќя Fи‹ RARaBAЗ„Цд`UЈіЌЅQХъЂ ђЏEMёа fbШ IўОSЌИ@ [в Љ\„ X4ВШюu mXб¬Г Pf¦ЕТF6О†ЅџЧ C€ШQ™ѓќ RШYґЯќПчнћ Nл&gt;Шиых[x sXИЩЮКyЁЧ eСm y6|яу*p® q;зrЛ cfJ CЎ‚о jCF‘KкAe†F°Б¬ ”VґЅlЯю¶^UТЭлъ|¤¦ћ …\lWh cNЫ }Ut 8М€ 3dКЂЪ €A…Џ‚в@Р Kъ Iґ iT§ W™ :µ Gюён aйUќЖ›mК 3о uH› KЋ« ;· D°дo‹¤†ёDZўUЛП GЙj L”®СД QЕ P°o`_p h]›4°mYЋ dы Yщ&gt;ЏЫхьТ`aV«я“ 4XЕ 4ўaЉ;cЛ &lt;M =ќ Xnўп‚яу`pґ &gt;@Їnk&lt;fH C`fеtHЖIмйд Oъ}|Нtћ]§r‰ Wpиѓ…zЖ OZ DPЃ 4љ &gt;Шњy DE CЫ– 6lGП ]F}С`фрtђЊГАBr„RсЧ; GkZъ­ІxUЅ TЩjIЦ iFР :ТѓUвHNШmoДНЂДAќЇрЏд©vBеВ”ЮCXPм ZD¶LT e:dЗёЬpЌЅC zPbЛ rOJЌП@v [яу*pџ &gt;¬бpЛ&lt;ГJ D‘zЬМ cЖђ¦ ‡AСPEЇХ€ 3?F ”ZJ›ZЭФЗ 6iEа¦‰ Qњ&lt;@єAНPп„ Cѓ GJ!T@n dЩY U€ѕ*РІ‡ћВСч ZоNЈ kIp A«Уo ‘H CИ}¦IРЉЬђьG©Y*ЄЫpЂХ ZЌ WsУLг±GЏ‚}FЮ—wй }D?t ZдИЏ eНЭogЎ№„”9h&lt; X&lt;]Hњ°|™БD 7Й J&gt;ЩЃ@\? IьЈ MЯ r3UfЄяsЃяу`pњ &lt;шхsѕ _cZ DYfй\ cЖђ Џ;FХGM dWЉЦrЄwS SиСCU]Ќ*r¦RM PеўИoв6eСh •CКI 7± LЭ“|l R6оќНгС—РЊ«=г™G –[hбXZ OQф®Щ… J:ЛМ|ф T5&lt;ЧшќZжj©8 :ё&gt;§«T5‡9 M</t>
  </si>
  <si>
    <t>яуp` f?е \= ] ¬ 3€ v5zY@!3­ђНЁLЭ 3Жа fCА 8А ifd° 5Ж|3ц3э•±њѕ*яц{ Lя ?Щ\Я*яіШКчѕчЯпMрn~эжза–O? nx&lt;‡ yP†’ш Љ:Ѓр¬ ngC±3рhq dШL9 Tзж RябпАDA ѓBсяСрЗЌf hTHP Ќ:ДgБ :q f†W8|@аCхC OЈї8QЯQВЂґ 7Ы f6y G!3Ї“IX”YU·gqmжіmЭxяу*` u;dU*ЏГ rf?h« QW‚ h4x ‰4Чjix&gt;в E± ;E№AИ;ѓrjпCЁ @95{ ZсmOЭиGvњС?§SхKэХЌ{wo&lt;ФЂ KЊG UЃДJ­ 3АЂ BИ|ANшўWqЃёG®жbѓю ‡qGЋoИWХЩ­Л5іХ»яФ+я¬OkfБнMР GH WsЅL·cЋT¤|ѓ!O­EЩ  c„пы•с Jяуp` ‡8м7… ^бЂ f&gt;€s =WГ n3g”§хўsFВО«_р‡т‚}цЬЅ~\ :иф© NЅ kefT Y•Ѓ C”“w7„ќКуџ Dй»g] aчpв _¦Я*оБ f47Ґ…­Ч k5Hф ]• K…µPц‹3 WЊ·ъкПФЛю¤цъкџўQm±}wiЭ*я{РЭ `е ZgcVv B­—e3 LE 7њ’З n_Ґ 3эЙ ^›Sс6Lлќ kCцч Xо}UхЅЛяЇOб›Z XЁяу`pd :Е; ђGBZ ?YRъ jKДђ\ђ Rю¦5^Ф_’nђ W· XЉ Wњ’ 4@± I°јцЊg eЅG S№ҐG«w“tfDе§еп[wЯъ]ОџgwfҐ Lњ  TJз UЛoЩNyJЛ Py‘к ^¶ИУ ]‹Qќ D|X’ 6с™ PэLЁ ^Kµu WЬx BЉП» ew ?&lt;ЧU dЙ UЛ3|ЅSТ_сюїйь9џS®‡Z wJХюяу*p{ pHU •GE\‹йNю jK„ђ…Щ Lфд 3!X `‰Хn@9б ZS ZOo™mаУђГ :uf —Mц• ZЈЯDZУсяbPЌ§уґЛоџЧ VД… e;=иџ™ЄT _зo=B3 ^™‡xѓє ] b“Ў¦d CBС q—[Q… 3b·E &lt;I5 3юa HQђеR6¬SК =РYf]=¶=oЯЄLќ F® Iфкџл JKїКє®ЇЎщ 3Uµ LU_б‹ &lt;ЖІp¶ћЩОкSЗЄяу`p› =…w} ‘KB\Њ™Nц jKКђ€ewKўчI ]ќЮW4ЮКF}sзk‚µ]js Z»’ФПg BVwTyЇV±Ye \Mu 9цe| C¦Єќ“ОэЋ¬м™зqNJUѓ Z’QЋo•m· Љ4ѕ RАчЄЎч ‘UІ P ѓOЕю[ ]СlЧЈщ iNхМПNЇ‘ЮџвЛ№Bн3ЪН Ћ@V™pbе Mu|ђ ?tШ X\Цмяу*p› =Э]xЪ _B\ @©‚ъ jcЉђЯѕцї|‹Z 9:Z¤ Uw[о‰*‘ Xф ›фS=Wrйi ?О„rмwЭmBКз’s T«R3 ?e9ДE BU CE OЕіўµ 7…кц vJVC TGЈh †_s5А­B MщH vHЁ S­Х WЫr@ Ќq?LH‰uР‰mS”Ўѓ™gшn›U^Oж 6ь“&lt;mоЯ… ‹;ЮШп BЃ…:ЂVw ]U[Њ n=Ѓxс«^GЫ™°ТФЎЩФ¶ TGu5яу`p® ?MyxЫ cE\‹щ†ц jKКђѕJo№¬є5 Ћ`ї ЃVцk&gt;Ље Mє;Ґл•VЃ5 wcxб®пдzJКЂВ…Dµз; [ K\XиВ _9Љ Yі— }eљиЄ…aU5 GsЯV vW· P©¤€Ъ v4¦Ы@ ebР n?L sjYf№СНV· mVSМ dё›Y*ЋhЈzуИ Ђ]Y:@H· W±Чо@ S€ &lt;‚v LќЌьD]яу*pў rTyvЫ cE\ &gt;ђўт ncDLK ?Cd ‰&gt;c U[&lt;j’ЬUьД~Dxd©жGd] Qэ =ы•кфRўTЇЧяЁRуфQ{ I©xMYR€PЅ7ЁС–к ?ї `БX’Њ–x«I№ †PIh D\Џ¤VЗolUCЎ `…я &lt;F­™ЖяУя«?ъЗюъ{яцк @^јO ^U }A¬Хє‹WшfеA“ P’ OO|Я Iы·¤СХ8XfD®&gt; ]8ю–i&gt;§ъ j^яУF®&gt;й:яу`pі pd}{ ‘’U\ @R =ъ 7@„ґЇц*®€№ѕ«€ K9аxЏ G“э XЌЋ{]H @4ДҐЭ4•u 5k§‰^®Со Dж m_П ;ГXБYё‘^ѕтЕGН GIЋґТIйЂр M OКZ3№}Wгd5 K† Wв &gt;S:~ :‘SР©ьА ^wkm¶ @ыz:“иЁж8¦ dR 3Жщjї &lt;M“јІУ Nиѕя9ДЮДrђ®Ояу*pі ?ҐwrЉ= ;\ @‰¶к 7x„”ЖWѕКфЄ·—ъЊ 3хђ§{ @®У\лщцџ*ћюjbҐqЫЯЋ_Яц‰€ ] @ыэЫG Tнi&lt; {Lр­ц‰Л=Т~XЉэГ_?C\ЪЂЉ \[’‰6фЂJ–xа6‹Щ @g _V \ЁЕ‘Я Lя€®«z·ъЉяБі}[c^ЭЯ ђRбSuвQ· 5M_б &lt;ty 8иЕ RЛдЦ™Ч± wЏBяRТ¬†ЮVяPbТПецЫ:і·э—яу`pё &gt;©{rz&lt;Ё\ &gt;й¦о 7X„•џV |zJ° ®¬У a548Ўф5] DЮБЁW TfTIБgў U9RЊ †?оЁ*т; ђABЉ XЛ‘‰ YЫАo ЏQMБГЛLЎ_cЭtLЁcЄcяAк§M• `·u Dь™_я 8япоІ±Ищ `ЇлкGпж bMл eивnМ fщ ]‰7 WЂZ@р SЌ[?Zґ ]y­{ S©СXНJ Mяу*pІ =йytЪ cҐ\ BЪzо 7X„µЇgлТ¬їаџЫлF›мџэ’п IV` 78КФVMЄєЁЖj lUM KУЊ¶:Ј6ж ]4нљЁмwF C»‚g=LzQ eъФIЖд 6§ 3т fѓ_u^ЧA·Ћ¶џЌ·ыhЩ° Hщ Ny¦э:а 5Ою¶Х€^»­…ђПrђ5 _Іb°eg Vu{ђ A4 ђ7€ 8K©[¬lv ?c dL‡CЪBХ “\tM[“ъ :ъ_ъцяшO_юкяъ‰яу*`ј =}axЯ Wў\ЌиКт^HДl­ЙWZzЮЯвфЇ:^а VOщч PLK ?«[ PvtFг ?єЫ§ЎЧс qOzДџ™– [Ё Yl Wгr gN‡zbм»†Э5яОB ]PёѕУвїжяЗяБр{±oыJцgяюжсmЄ a©Rзњeя AѓYш_фњH• `®_т@ dаt H;SИ LЌНm5ЭF4ГМW3v&lt;яуp`· &gt;aytЫ WH\ BтЋо^X„µК6wЄСO·х @?Ј¦[Йяs Mј‹km ]K ‘]ЈYЅйjёѓ» [u®—bЭЧ `Ґr e¦Ъ:?•ф±~3  Uћє ]“Ќё 8U’¤ 4fУт N^Ћ;»иvaт bтМ”Э—я ZюняіяNчй ;Йpїщ­ЁФ3НГuQ@Ґg MW|ђ oKРЃNR `Вѓl7Я LЭ­™¬{ Qе›T cзwНўлEYЯа Lіµ™їj} =єсм9ТЩяу*`Ѕ =9*y ‘cв\ @№¦т^H„”ўjгK4­є cЛО“ [Ј»9ВGcQ§‹ WМD W¬Д Oх{‘vGbёуўІHЊк Sj‡ q;” XЉ WЈs gѓ9JЂУV a¤7Л IкЄ F5E«ЈYЎ‘UХх5? џ_ѓядЭ}sєяnмVйoх Uъ&lt;р^ aь`ЩЁж Seg EI· OЂ@† ufKцL± Pм—пNкi–ж SЎяу*p» rTwtЫ&lt;е\ЏтFк 7X„ґџ \еТѓ a€^¤іwxА 7’і9 QЈ:Чm™К»ОЊЏMV „JpРG!Dvcі: b}Ћ 5rМК¦zњ– ‡;†» CH]С OPМфRґ\кsєјт»8±DVrТ’hгrM –R&lt;ГЂDС— MЖµk3 Vј¦RЙЎ Eп” `»h¶Oаэлд}zqЌЇыqs &gt;”є ^d ЌMUяб p\o K«‡Ї_ZТoQулz– OЇнјLіхВун*яу*p» ?с}rЯ cҐ\ЊЎІо 7xЉ” EочсШ Zsчu}ќ M¦zеsІ‰ ^ЅNUmQj ѓ€PЛ Uи*«С;Ђf| DФКвОµХ `eqЋ?V Vўveё‘‰ b«c AґБ GЈС 7›z`&gt;Іt? YрЎёWУ L«ќ Aмg3–Њ U€Я =яҐъх6єіаЅґлk}ЫэБ§KЂ [“ Wi¶Ь’ 4fЗў|«K ^ЭnР7€№ФkІ Ky Ol»:!^І ?Ю®Џg5mHР 4kЗnіФяу`pВ r@yrЪ= 8\Њ d¦к 7yD•юЏьrЋЯ 6єџл¬m 7” \8ЫгTџNлжѓи~ JЧ»ѕгЫљ NR„ЙњЋ‘Ё•ХµI”T]CГ}Uљ?j &lt;Ћий7 –ID8‹Ѓ Sb‘ LkGРR» CЉЗFs3kЁOюvoрП«jнъuя—Ф¬иEe?ыWШЧ з [ёVk®»ь ’WQўЎC­ T›IЅ3€ё [AжDTяу*p· ?й{u b&lt;Ё\ @Ъ Mе\iJµ _“­jMwдѕ =§tg•иv yB‹€GF}“«њ•Цv3 :ДTвgЈ “PeЇAFЅ Fўєbл;ўjtFЌµфЉќ &lt;Чк ЋYзЭm№Ђ°Р \ѓЅT‡R XЊ±Йб&gt;Ѓeюз?ХуПЮ‹^­ 7Ёqr ;Q †@ш|ЧDЁєъYРvЛЫOІж _¦»©¶дђ j^ЂRеwПщmV UЫ&gt;џLСG7c ]Hn•gЪЫ¶lg¦NK›щ™ияу`p№ =Ў?xК SEZ AqBхм [Дђ­НъFuќћ e^kc› dз;c ђX„А8—Љґл 46 ѓI‘Q X– ѓ†&gt;Ґ¬cэ3; ‘XЧb‰ят@ ;@ oY; &lt;ґ X‹ kђ\ьDблч}®­±хwшы eЩ ZS\‡ x‹CсF KЙpЎЖ©М &lt;ёЁ~Є [‘zKРI 8јѓЁWЕ ?ъАW«Z«n 3в Sё‘l™{ўґn b†з ?њяуp`± =АЩzП WfJ DQRцV ;Дђ«СЏҐщчй ZќY Gюёm›міk9Л— e_э ;щXмд 9АФк ђP№ OH\аѓsХћKRЎ—ҐЪ{ MЦ›C” &lt;Ќяuь” sЋU~ aDIМа*` q4Е GД =їПEk5 ?дъш X…–ѓў Љ6ѓ A± DV–CO =Ї —Lў!HPьм·NќK·Ь°E&gt;©®ь clYт‚ВЎniИЦ… ]Иk ѓ;щнџФfИ—Пя№ 4HоуќЬКяу*`¶ &lt;Ѕ 6xЛ _cZ Bй Qц6 CDђОГ 8жиўCUњЊИDКB YwЮоЮћ‹©РoA3&lt; ђB”zM№¶Ѕtщд©иq DVЌ ZU№ 3™—p Ќ5!WОСgIм| Oе№ЁЕwaС bЩeыN…tDKµ\­EGJ K«fЩm&lt;Т»хµяхр|эпЯMmE[ UЏ \P™e MWьђ rNгu VgЄ 7[• \€;Г± F›®яуp`Ї =Q BtК SeZ wpQн¶@„ґў GЎЪrz_‘§;ї{ћBяЙ^L» 6D¬ъжсYћГ6Ц8ъГїнWнХљм Zю Q±ћо} –8Tя·ЬrЦяЪ‹ґр‰FЬ’@:ё [P vЉG°Зті3шО‹ XљZv–Ь¬Zы¦;МB–ЁRкIj |NsG =VB–nЙКwЅ— eОъ5µLє 3©{й¶дђ!9Іа =`pSЈеz =_Ѓ \хЬуsX]§Ф UфKя PЇ»™С_яу*`№ =d™tЫ&lt;cHЏётнѕH„pч~Bф‰яЫФ \9Ч}я„na±yeт‡Ѓ 5Ш 4З›П_ЧД DN9Э D§хПч&gt;ОћI|ЉВ¦т “‹Op uoB° TђLЙ HшкЪflP ’Qе—: ][ЦМжґх _ЋґіК?ЇV·_ћ[ЅЁe›… V@iU«я’ 49v L‚‰ќ Tѓџ–[ MµZ]= a·k Zњ–Лg‚µ BыЖяуp`® =¬лvП ccJЌ8nйѕH†HОЕ ѓXЅvKtЁѓБГЕ fЂ@`ЂтЩ [7Bе AстDfM VЗ~лµњO TЊМИЏГт 9Ќ YиґТ°UD№t G·”=B G“wAkгї YШЈe :ё’l n&lt;М Y¦ &lt;›H¶Щ ZпJ ;є=т°їz HOЈ YґъH Zгб¤в tKша` XjЇь ‚P‹8f€‚¦ ?iхoс aхі`«НLй¶” LрRі 4aнЪ NЇкg L3¤g ;УK”яу`pД @m5pЛ`ГZЉ 3цеp`ДqЬоДaз eСќЗ d•µП8щГ &gt;E[ IмRёµт N6юЯш… W«ґулоцѕд vB•KЕ EojЮ’ aF=o”E y9Vг’ ЉfC‰С FчЇњкq 4—щ”ЏkД _Мяlуѓ“? [“‹HZaчцz AX Ќ=АҐu©6дђ 6Ј` n9б 5ГЌґ U™ MMфrЛ XЋкPв» eB aB Qяу*p·!@ JpК&lt;ЖZ =штсt C†q ‹^Є–бъy GФе}m—ЖxоЗЈ¬П‰OU— `Ювў FФyeУоWН_№Ф ]·д&gt;;ГН3feщлЦя}ь a@L w„cк­ Rrф E›rґ›~@ LЊ 75ѓfVсЙє ;q†A GoгЧ{5МЁПъzb©­©~окцЁf =уV|єъ¶¤–©¶дђ &lt;dИ„MЈMeт­Оcш6№ЭКог‘ЭHЇ‰Y™М—F [*µщЫ‹ &lt;МЄљЙяу`pГ ?…?vП _fZ r–Yт f;F 4¶… Mз•Љ WЋўknо¤bLЋјхlnd™*—і @F e‰ XЁ 85ыHуM KEћ [ш qY† ‰_ПN…в№ `jТ GЧќ«9u ЊVчb¤й EѓM PЩЪvдey¤ 7U@bQБрЋИр@d~ф—tЁиЭVЄD] s3ЕZ«я nЋSqЁSЂА›3jЇ HzЖјD6 @A:Ґ aдbt 5яу*pµ uTWnП`Ж\†РўбpHЖLHО¤`м vX“y® ]_&gt;am^џшпеь3cЦ;Ut&lt;дЛ cз‡&gt;ЏаS»M‡;љяЮГvєЯ®пЫ Zєљs Wі=Ђ*tУ •&gt;D_DпыҐEК–мM¶ SH BRµБёмоEµ“ѕ¶lРЕ&lt;b™ТйКbхkјAІ o[xбBО X‰ 3a BХ_„Ґ” _ЖЋ© sVЖћЬF›TШ?TБ SA“бЋ ЏqGZ ;ѓр{&lt; ‘qIAСщcкяу`pБ ?с Vlz&lt;fZЉ°Оеt`Дl U7з~Љj¶ѓ ZЪ~т Z[_№} ¤ ‰^»_Тoј¬lхыґKZ w;jЫ*— eю}Lg}ќПв5:НКкLРSўи VM8 ^Ј L›i6ўQ †‹QD AЦъєЧщі C5§ 4э8§љџ9иQ x‡q6a FрIнWбE©ЛEР DxљЏ§ЇЧ‡ 8‘њ Љk;лШbЭzfЛM ‚Qh”яу*pµ @©Kjє`fZ‰ SТбt`Жm—?њfј M} Yу№юEdЭ»џ‘„фшў… WO~nќјЫЏw N[&gt;6Є™ъе€ВаА™ Џ”QbGЛdЪҐ›C a•8й SЊrD“mЙh MњH Ce `&gt;U _Е ’;†4:gђB–EмхКЪHЗ; C’]Л± `ьР®y‘|‹ШФ·8ЉйTC–„щ@‚ 4‹zt‘Љ R[·W 5[т M•@ WДЩЄэё 7@ ‚ЉQЈНЧ–ъИру4 G— YFяуp`Д &gt;с 4pj cfZ y&lt;Цо^8Ж”в [o=[Х&gt;пйg ]C;*ЯФ= ?Ѓ PФЕ NЂ 3“¬ЂЏb5nЁkc8 N–У§dCґЌ‡jЗgъgиЫв AЊ± eHъяrX :AЙЋUњЎABиdLЃ4€x Wд‚*ЉOч’gе ?Л°лP Cь—Вrfa¤cа7 rw8Мkq kLъecw]^°TЩљїqЃ ZАШ WAэьt­єуѕыlц\ХЌQ№Э­эK4fдfНJЯўЩпяу`p№ &lt;х 6w Ѓ_cZ C9Єхм KF”_h5‰B‰ C@Э ?D¦ vA"D• 7„Ј… ‰]БE AЕ† =8H \‘ HJй Њ’H4Tq‘ “@ЩоЪ` Kљ‘ W›nH 8ц 8^9“Г [[RU38Xє·фЭЪrf‡я?сЗ—›5™љ•ҐЭrќиhЕ [NE ‘J&gt; ”QЎ!9њ° Y| _ч‡Z&gt;§wРUЦљ«n g?„ ]ОT:Еk Oяу*pЇ &gt;XбtЛ _ГJ DInо jKЖђpЊ V™ nC5c=3Rї• pG—VF:fBHµЋ &gt;ГБd‹ 4H‚н –}pR¬Раѓ r[8 ‚BфЋ№ Sm°z 9Sь·±‚»›&lt;8–«_№ ”iYФZ TВ L›~l=¬h’ GaрЃфЉѕТ :ѓbЗК 7ЙДГ ;&lt; MЉІ] fEД…Џ \Gђ F° ;jL NRшґrџЪ ҐћЄї’ 4U 3· \Ш 8зЌY¦aНlЊZ dcўцoЦИьЭt Wяу`p° &lt;ёutЛ –V6 vcЉсм KЖLп AЕ WC ]yО OХЈs\ЅН¶–|;уЋЊrАU ‘EБе Oh6З‰ZfЈ¶ќAґЪПS:е@МЅя^ЬЁ uЉxL5ҐІbЮ v^“‚МЗpА~ A•Н Jvm ZXi —vjTUєЕЄq =жTёД‰gлp¬u6в Hы_PeWЄїь aшЉ =ЏAMNVS ЅdТWљaY ђYQ &lt;©Уяу*pЁ p?ЯtЛ&lt;cJ Aђjн\HЖHS `Ѕ\М D]О‹ XХВq ’8N LјAa!7 _9  PWСЯX _xD –WЂГВ©i±МHЌЊЯњТ¦щbJq}\Ыђ 9–Ь @@jRўДrЙ €NШ ‡o;цб ђIO E” ]eу|сHh NC K4ЎЛщRѓBО@Св„ Oє }YQ_@P—µ_ѓЃ c? WZхы® YЅу| ETRЮ T›‰*Y T№ YН Kо»в A‚ 6iѓ YЁ Gx†яу`pѕ =PПtК ccJ uo5нм cЖp±©edU9 SHАУ &gt;сF Cv@сэ·ѕp— ‰KIJа Cў JzШH _=Ъ “V±Щ•‚ўfЉ¶ЬЂC Z„Ќ †[щ g?ђI 7Д@ d™°‰ Њ–Gъ—wљпzЛ&gt; UшћЄСъ·ОW `Јg»иc“jk cЈж [g№ Gj·PЭVjЫЂ zu5@¤Hж^ХHосѓі?3a 6Е Bfi PКяу*p¶ &gt;!8rє&lt;cZ vT®нм KF” &gt;Ћйџm· Z» PКеё“:U aЖSЁЄ rMvІє3» ^Z Њ]` OaљGW Yj `l –D:УВ®{^©љ EЭн_{ C‰b[Љ¦ЇЭ D vA:B8=€s W‚L YТFНб &lt;Ю…ІУуъ“щ—= ?Ќа UўЎQИЫАѓГ kC\Ў X†­ }Hі U¶ cЌ«K L•§n_ь°’ZjяnЂФw E6IлЅвЪНsћ•si ^µ VZb zC“ V¶яу*`ѕ =ряt{ SeZ DЙVо6 KFђЉcМоЪ3Ьr &lt;‘“ o€[bЮ±Ђћ \ьJўУ =ЪM– YВР ;Ѕў‹Й‡KуЙЬОnµ^Mцыъ e­I 9љjmИ 98и®СК—б ?ў u?l cАЂД 9Їч; ^№ ^oЫbO‰Ґ^Љдq u5?HЊ Z„ ЃJ5 W– SP Xf«ь [D l3ўB ;6ж&lt; H№9«Й V‚hЂЄeЊ `яу*p¦ =TгvЛ&lt;cJ @Йfнм KDђ 8Ф4 ЛуQйDZѓ?wE™ G3ФЙ«МЊиўтЋ ‚7sf |&lt;ВІ‚т`жxLІO&gt;в nђЏK‚ 6VЬk6ѕЖ_o6Hn&gt;ЇЫ“ 4Ф J•З4 SWD Q±;·и’yзR JHьИБ‘ d:Z—¤ѕ‡ ;ЊЩ‡J¶ Rж… \w p_D4UҐdЫ Rq Vn Sд djA =xРeU«ї’ЃvТ 7p3 ;єї ‘_µ‹[Fј_™«ЏЇJ &lt;`B€яу`pЅ =ьеrК WcJ DiЉнм KЖђ6 &lt;ФЅ№ Џ‰7rЧ =ИФ»sҐ› St Gjb‚ &lt;hC LFj O… dQКXk cиHт e;Ъў JZYЮ« aUЊутюЌЎJ|лFUi KВl®кi7 W ?h*Ё~ 7 LЦAм­ dЌкаb3F¬Aђ T†x[gяМяйЬожЅ7 mDЖ HP MQг‚БСph ;HЫѓ„€ 6Р™ zHяуp`¦ ?m=pЛ§Њ fGЃ6еїH ~fQ^sbЉўЪy ^zЦ‡Xµ= 3н­eM© JUЮЫ’ fZA„}Я 5Q­™ѕ&lt;ІЩE `¬Єя6Љ‚MEL ]в ;Pв Ef _C tPQ sHPњТ•·[—Ѕrю°БPZv Pя AgkЭ Kq G]S EY FКЊ&gt;‘­БЃ LV &lt;w BwљwоP±FҐ§ҐKn UТIdфЂ Aыd X|dњ `‡†Эk H®ч 5і Aґ NЁЕL&gt; `IДЮѓ~€†I e®…яу`p‘ rcбvЫМ rfFБFйuЏ ~3K‘ =~ъ IiHМЗ \hѕЉ 9• B4 eGфУv k;јЉ_яю™ђH©4iЯтр S&lt; =…УэgТљ®ЎНe§Є ;”їЫ·_oҐупZq ^еJМЉУ Vћ[О R^I`хMҐЇM B•¦Ќ Vt[wщД= &gt;Sх 5жъИЫnU 3ьЎХeRЃ [sЃ CиаX Њ‰E¬Y =Y‘ ‡|Xz8№7яу*pg ;dЕ ^д rf@АBю 8Г!39М ]p [PЈЬє 8bе :hкНnPЕ 3DI OIUор €|3‡ =oы KЖЪџ &lt;лІќЎ¦З ByngwD•ЁзzRKчtЩ› ‹J[»еѓ aа &gt;Д TY!Dґ°№fЂ FА [МВ aA \Ж»Ѕ§њ®э Ћ4·\DэО :п JWЊГКiј 9·Џ3 SњЂшЪЉР±au Yµњb[ ;Г [µlN&gt;ДжO¶Ъ Pu ;џ^пѕ _vчФLQjUЄs 4dяу*`Ќ &lt;Ђµ} ‘WbH ApbоN CЖHАё ЊR[’n F4rE±†S6=‡: jLlйV­k ]t N‚AР UРeзJ o7¦X j;Ёp ;вЖҐ 7{Рґ {BP `ґ\ WE‹_ЭЛ _eSB¬тЄЙА=… 6:Њс „Sэ= ¶ 7FJ Eу¶ dПћ Pe5 WУ™]J^Љч‘p ]ИЁM —]n XїФ®—»лhєTYЌ©@фДUVо 4›яуp`Ћ &lt;L=vЛ Wc Љu3zх– KЖJ 8†Ўzж ?] Ћc*иэ …V«ѓ…Ѓ d€ rS*XІLЎLx&lt; ”LЁЄV &gt;‰Г ”Yt 7xpеЅ© Sl“К 7Tс¬roЉz O&gt;пС_Лj GnUVN 4Я D@9A [Ч YО‹Ћ Gџ 5hd ѓW8 ;уCFRЮG @lcФ XЋнs±гCВҐпa5?Џjф8ВќЮЯєQ”ј*’Ґ~Єї—ЃRА {O€ ЙгЇ…ЏЩІ jUiа =“€‘УV eEяу*`Ё oS7t‹ —iЉBшjн– cЖJПм„ќ*ц?®[ CД @АЧ–: ?ВcЂaТ qcЄШзґЂ‚µJЦ 3qг~§пЪ„ ђ[ъњҐf™VҐ †@kЎ |Cx ]©t*Ad Bґ =`СТ€kАє­]‰№ “‚m=ґм: E6qP ~Oђж№B‡¬ bgЩK NEъН q^цЈX№ZЄя“ 4E D~ Pб|A“Є Jр±_‡№¦w»яуp`¦ &lt;°•vЛ –VH v;Rс– cЖ ]Vђ H—Ъ e€ ЋOйг›† JUL’eШµ 6 u tZ№“A L¦ ЏA№ kJX K¦: @V P[N 5V±Vg3 `jЋЂ D…T*Р c“c ]Z\ы [нk \ЮЄЉ [8›N6Y@ dл’C¤ 8й\ЯзЬзпe9ы3втSwЏ№S—Ы Lз RJзж jЏ&gt;{sЙєHѕшЦSЯ|шю3зм~зҐH©A•Uf«®ѕА}Рe±Ѓ o“Q\ћ O ‡laќяу*p№ r[хrЛ§Њ fB™’к 8K –3» FxжlhЊ Aвz Y† A"`bЗ–µР6ѓ M{Ш;ИbєМNҐDУcЖиЙ№‰Ўў Џ~J• eM EZШt= EA&lt; FI 6Ш{:v\l]Ј :ќБ [кЋІPрN Pг¬ ;З D a„ЅјмЋў›qЄЪъќ7ЅС MGЎш*ЏзяЇёгя*ЇШъ‡ХFќ _VбҐ©jЄэёЫ wfSѓ Wф 5ўс7їсV ~‘9р± Q„3 9b8{ Zе4яу`pє E™ѓlКМ ’3›’6б]Џ@ 3€в D¦–фH®5¬R _ЄУ _­RЕОз|ѓKqZ8бўВ [ш ‘SИ Lw4ЧJ ^Z±ЭЂуЕБАр Ђ=Џ»Ъ ]wяЩЄ–tгн POa {=їэIµИ XKk‰Uур cЃLўМЖ U¶©ё U“RуЁФњ© _ъ\?_нNщ Dzх Mfyrщ —w‘G^ `ўЊ&lt; VmedPЕj ds_ _яу*p&gt; ;ШГЃ ^бЊ fp[VхнГ!3FСПлКЩе^4”ЬҐЄ”„ 6ЊЄIѕ4f63¤ L™ e‚жR\МнЛ§[» _`лЪ}х®щнpн@ FюеЄs gc^ k9Kф=Д K€Є FR ;ћhЕз5 &lt;mчі¤ҐAЬ c!aµ †EЁJ kIP6=BR WљpaTµсд xUi 9мй =Ђсџмф^ђ—Ќ ‰‘Ќ3ьi L·” ЃUR [Вb SqДЕ e№wЉ_»{sяI­!CЕЮф @}Пяу*`o ;°{zЛ ‚U8 s[nэ¶ C†JмфЉЇУ»F…Їz‡ 3Hгiоа S° rC‰€hћgT`пl Y=„ T™;¤іXlDэ•m8XjIFНіf°Џ:іпAљ…В 3Ђ S`x 3±р‹»\ [ФeыЄ ^Їќт»оEи 8З O­¤ЫЉ 4ЫЋ ‡5njјmь F¶cХЪ} a{НЧїйDєЈhЦ ab™ €@bEH\вHЙ«яу*p{ &lt;`«{ ‘ScH @Ѓ^ц j;Дђ|™ ‹RЎ«эV«ЬАA 9ђОС|П7 dDЯвЎ`И€†Ф9 _у`·„”¦f•®ЪжFOЈ eѓ Pы™ќ5 ]d GJБ‚›д€љH|QuБаY Tф I&lt;y d¦X ?@ќ yVќ|тµ\Н UЗеWор6 T°9Йо&gt; IЃфUБвЙ^ьыHЦтҐ 5ЕГB¦Е :ё&gt;бb [b‚М [y„ [©ПЎ7n YќoIM“З:фЂ Mи•Єs 3ЕЁяу*`› =Њеv{ _cJ Bpўс– ;„LђzШkXђЃќкѓж Bјx ;H™RU^x cБpi 7Р5вP*А Tр:Е_ Y|њЂISp L`И 3TЕЃwЋr @єuЦjйЈ»J·У5Rђ @ўN5ђ DхЇ:M_f»‚Ќ}СVџKвлk E№‘А*5 YзH “ЏF¦їјUОu_°y ‰3zкK“Vя@§®кя—ЂуБ`ашwвяуp`Џ ;фEvЛ Kc ЊAЂЋэ– ;ДN Sу V»hpK… RcV¬°NЇ CgћН…Ўсpq &lt;PQв§Ѓ DГ }_†ёу“B‚f‚жd iDe?Ц PvЇM‹_8 ]Цк 8Ec‰чуp7CT xGў ”UpeFђ6·№іSќэ •fR…I9eЌ 9P±ЊPCqkэ‡ШaЊb Oу \±Ѕ4Ў?Ю\P•–Їn 3P l5±’fBZЧAН PЭlkсsЅУџ­ cФЭЉї `ї&lt;њОRZ† Uз:яу*`® oSYzЛ _B6 Ap aцV ;F j:» H™W Rџ•і ?рєТzЈ‹›[¦€па“&gt;МДСЙЬкRk X…Ш cmf = цv±p…*иBWо]BєЃ [ЖЧ{Ѓ S;ќ cОМ C”¦¬”?Г3cП—*у G¦лСя ^SjњОЎС¬¤ О `YЉЙЩ‘‚µС CR:‚в |pKQЂ–Єo gVРјw R”ZЫ№оЯ®= WилA3яу*pІ r;уpЛ4ЖZ Aiєйм CД•єЮ &lt;‹ѓ™Нdo^І eH“ V§ґЧ8Th _Р …E‹…‚b4 N8Li °тcM… LY·Xy a3ЄЅ{ [\T arд ’k&gt;Ћ5ЛАч’ rN– JЋqN ^PDХ KЉЅ&lt;ЉTDZSЭ ?ёpСU MRЬi°ЛФ WC E§› HR 7Љdе A` MХ9¶ dNЎ{uА PъАTe–Їw 4м5Ц• EЕ‹ Zюіи§ ЉЃ4Ј †ZZ&lt;¬ =рLЩ:ЩЈdяу*`№ =8©tЛ cCH Cб 9тV CДpbТЧ¬hЯ™y OuР±О ‘nBMЗХД U6 TЖPx: L!7…P 6КЭ8Јів­rШс=Ѕ eзіы YЃHЖН{p S8PЌ †KIU Me8 aЙb^љ XO­={яћ‘Кђ8ѓ bd3W·У c|Y{ ’‹4ф ]А pJЄњ FoFI† Jµ§эiЇЫ a @X –bЎ Vі•eVн{ХМюяу*pЄ =ЁУtЛ&lt;CJ B±Zнм ;†‘ T[ыvУу SиЮИзlзэOж¦Zфчцcл¶›–HE–e¦… bM5А†k K– XXШжтлыj–„;¤Ч ?XЎЛ]&gt;¤E =ЅЏїьЋы W” `uUщ cy&gt;M ?кг P§…Т `Q¦ ^УКKl¬Z3§ъЅ{ T§7Ц:WjсG cь eйё Vў 3a X–Їo 4С Y@йC•°&lt;єЮµ?S HЕYЁЃ TЖЩ± HIHшхЎ‰i&lt; EмB9№ўяу`p· &gt;|уp{ cЖZ &gt;с‚йX KЖ‘ TВ3йЬ‰Р G– fKe`С‚ CaFА€p&lt; Ћ4Ш‰rR rhLЏ OГюWnП[_oя·kw{*;шЄ¬ХUIА `ј tyeZ ^ЪЧ Vўz‡У &gt;Ч =ъTЬы№9Я VtУm&lt;‰;[­Zo”`|;[ OГk }{7€ђ r[{RД `Я¬ш\ІQnфЫewдЂfYкЇw 4k o4&lt;@ QOяуp`І &gt;ЊЛrЛ&lt;ЈJ‘щЉх– ;Ж’c Yўт VЩ©AбЫ gZrъ†Д· `g*еЯі‹|€¤йKD ;*R c`Р eX]e :јP° ?Љ– XRZ ЉQ™MнSmgПM Ќ`Н WІНU Ќ3ЯЋVEЈM [HЋf O*ДѕмчйЈчСPЪп{С ;и§Ef ЏЉ9u jzЋEj¤f KДЩІ®ґ [Љ­§гЩ¬¦Z­6д m&gt;a@ё®§юЧї±?RJў5Ё aГй MзИBU LQяу*`® &lt;Д№vЛ _cH Birщ– CD’·ьЮнг®n»З eу7lЇ7 t;ЏsкН»љ3ОЛеaЛ–©з :D‡Ba°€8 9]`CжIЉXН G|™ФXа _UК NTД“mБ 3в aЗwgFіn п 9Їvr©}ь*ИѕIядGU»‘з =`ОД±К Kо {VZt¬ ђ@пъѕс¤@ЇнЯ~lHВg¶Ь’` A 4Е‡Ќзї«яу*p© &gt;ЂЭvП c¦J udbнt C†‘ҐZц»†аЩ ]JВ }ZwgOjПчbCХ UЙO ‘=х OaF„AлMHџE tct€ dРтсE lIЂў\Z JH ?YW;ы PЭ› 4a—й@ W’Њ РМm 7Ѕ¤ @@aу 4f cPЉ 77·cТ*e YЉґ ; ?4` HBОц _w–‰ ЌrTH3do»ц „@ІЦ±GЦ§k©№ Wњ &lt;hS SQ‘Ґ `™5· dд`І ?Q EЈЕY Zй»µЪsяу*`± p3Сy …WCJ BёjнЋ ;ДJжKшк’H°« ]µ lCЪ †TS €g?U 4:к„l ’Cp№ ‡&lt;Bбt°Lhѓ PplТ B9mёЧ¦ЉRиqЌH3 _µRp @ш…ђ —H¤ eЋ3РТBЋs— _я9h;[36 T‚ќ `*т U€ч€ Vт Et K:`Д@r XZљn­ыvлEЪuуџё‰Ђ—G«я“ gU€:µ^ЭО©†*яуp`© =фПxП&lt;ЈJ C9bх– CF’{б Rйg OЉ T9 j]fgиF@ћ© @n VknбІбй KkЛс &lt;jкЗ Rl— aгНj coТІбц Nјо9tеХ •[ЈK›JcMYыЄm\ВіХURp ?C Gd e=у G¦‹pЋД ^n DљЌS™э L_AЪбЛ‡љ4‰сq cЂ„p©Q V’к[ Ђ;NЧsєЧ ^z Uн~ЮQкZ@ WHY«эО l:‡ 4`ЫyzНўZd„ OE9xCИGяуp`± =”щvЛ _fZ Chжщ– ;Дn:cg3 V&lt;ъT‰l &gt;e4U7 R3ІаL PсЗ7 IЊхИд6 YЭђ ЃL ЪљсVЅбs’¬№л7{ї‡—k]Н— 5EХdќ@sђБ ’H`ЫЪГрWhVrсУ№ЏЯюхояsЗ 6Ю G§[ ‡—Cе[· p&gt;еuн}т}чџвMыiЫjоЩџпШ‹хZt p‹Eб™єаПњj 7ЁEђдЙЦc7 Vн ue… BИ\Ё PдM”tТHЛBяу`p» =@Хw ЃScJ BЁnй\ C„I ?Н C“©’Щ7д dМ@ y:К 9C 3а &lt;@ѓ®pYПh™ _;?wші9 4ят  Fі 3БЬ„ИЈ‘Ўй^F ЉVcбдn tJH Yd ~4Ѕаё C&lt;l`¬ =`гЕF*Ё8 zUµ =ђ Qу z8Ћ&lt;ЖrЫчО7ошЎА‹® 3WYЄяsЂА@А—л —_Ь*ТB93m„Ђ ;QhD‚ CЊяуp`± &lt;°Йtk WcH D ЄмО CЖnЮ &lt;q4ч RНmпґУЙфЪХ Jdс5 SЕґ QП„ `ЧH Q±ъяn3деґЎ‚` f?PГ€ \ф­Щ ‡VXз­_¬т I=I\’–«¦Є“ЂBҐ WAt CЖ ‹KI4 PwZ‹чЛсv±“–WН7йЦјµ BІ aT 5ћ†Ж OPI° ^ДкCШіЗпяЬ‡·яык@WХZїsЃ 4Ф 6ѓ _sўлК ђO{B =бkръ°ћіУе~—Ї P*іяу*`ѕ &gt;hЭxЛ KfJ B™Bэ– ;Ж’Mќ“™Щµ°s“” AhУNрљhХvZЪN ’~&lt;НI4`X `qSШЊTQ Nч™Св WPЎ”M yOЋыщ †fLt €?Ђ ‡DЧL”ЛШоІ Iоf Rт“ ]іЭ tOМызА§±ЯZїДQњ C9 ONҐ QЫ&lt;C¬ @| 7єs3йыя 3Qљ–Їw 4иёН·пrуe*4 Њ[Шт 3„Dяу*p« =dЙvЛ SfH v&lt;zхм ;Ж‘Р€АОobПj‰qYµo Z№ћ… TR¦fqХпQ O‰л †–FФ 3“ scсW rE¬‚ b›Z 8{~”©ЋН fG] ]Фз 6Џ  Kг Fџ€†жЖ©W®ЛЌ K¦ F» bТeD VVЊя¶жЈ ђ‚yl:Ђ –CъЎТн ]aхПK&gt;ХэнBЫЭк™R‰ицљЇЭаrўY cHђ¦h5Ювc HО“€ UъEt9ѕ7BДф§Ѕ aЩIоМн 8яу*`ё &lt;„ЛxЛ ЉVJ C№Fо6 KДђ‘ ]PtбГ°хI=і 7\б¤9Ґ@B®є;Kt 3M{_ъ Wju5эJµJP64сP ЏgKг[—°г„@жД 5м¦l\ґ‰»®udЂ 7ѓб [•  MГ@Ў 5Ґ‰7W:’Н_Pзъ…Џ 9‘ D±бЅm Kn’КZ]PБfjеаHrJ 9жЂFГЬ _jљ dj[:›ЦЛg¤|ЎВ&gt;яуp`° &lt;DЙt{ WcH DаNрцBD ]@: ~x8Е™ y=‚« 9B 4u kD@Ѕ pE„ @’ЎЃ±Fј±з _©ЭђёлМbЁЯит¦ RҐ‹ tGэ•ZњЂ6&lt;¬ Q` gVH tЃ]_Z eМЫ `?›ёЙqb Wл N7ЕZE AopLTx E&gt;4€4ЂаЁ KУ Ђ9ЬUГRД cиuj]І¬Yeё­¤ЄѕнэђАUZ”nG PЦЭ UєЂ n4дF AЃ–в9W \ЮЙM ЃЌѓDµBЋ S\яу*`ї &lt;аUn{¦ rfFhjдчL fhK9Ь ‹tGpЎ’ 5©qpшYJ ^Ъ]ъBЋҐn Ћ3є _FЛ &gt;&gt;ЋOк YѕЉ¬|RыЉjA W•^Ы{їчYnј*  3a I‘ ]« @Ј Aµ;еP4Ёк ?ИbPМc“€P†ЕЖ iEн xTв&gt;шыµф ;woЫъ ZфuUZїn g_lЇpHА ;6 PК‰№ vWэ `LlSak ]{5©яу*p© &lt;ФW‚ЫДЊ gAИљю 8‰ ~4y– L5ќ… x•=З \Н &lt;аў3gБЩ‹= vUj‚Dµ GP|’\‡dТљ ђvGђp§¦њ`Q WQL‰ FR3bИ‘ ”EГКЖ­ =• |qGrO enkяЌ¶¬КИфнЩХ{›ыc[Еж№‡В US 7”!?г›¦›“™ W° qf&lt;хЙ@и{«Fp”xeЕZЇn gL™Ќѓ 7\— Ibя eµћ PП RЬS ^F Љ|W‰X Nd…Ђёц‰7‚с Sяу`pА C‘WlЛм ~3„H UйuМ!3аХS&lt;FпСЧЯQзп dя’ИАKNтU5«AЪ«п|ЋИCя\зЮлЂІ Ѓfn:±Џrд“7NМл^ц =єµ’„M¶Ыђ!3‘&lt;Ст ‡Qц™Cл akcQpУЄE“ќхОB’rпъy ‘=4 Nс:B]8bY4Ґљ№¶дђ 8Jш7 5Rq_БН§МjEО¶hC№ ;qЕ&gt;ђяу*p± ?dэnЛ`fZ &gt;с eк j;Ж‘’аM 3мґ FS SЊ3 KG =ЩK’ TP: u—ЊEґ Xо NЪDhуіiЗр eАR® C7:¦ ?:¤У3 G№ IДҐґҐњ “6ј SI_їТ @№љcаB«¶љ~њ\ VЌ’ѓ~| YпЇцYј dnJФ4МcWдАD f5F?^*  ?Д&gt;а‰@АV«я ;§@Ф BlС VВ‡¬}yѕчЛYl· 6¶:FjV\¶·NTРSЈ JЄЫЖK [Њe PKІяу`pї BµenП&lt;Ж\ jЋ]е\ &lt;‚ 8њФ&gt;СIШ `Т &lt;ъЉ ‰_щ lXp№ыЮѕ Hа¬Вlе–Z[™ Zб~ыжЈЫМUaqъ_NИєЉ­ЎCNOf ]Яњ]s№Э &gt;ЯХш@ PЖ KВ™І’ЫЋRм“§Ф aњ¤pІ4?Ѕ§&lt;‰ bW=‹ ©›— nI™€H•j¶Ь’@ €y8`Щ N=jfNУлы K¦t [І‚—T’џБяу*p· @Е \nz&lt;ЖZЉyRйX KЖђL JвF{ТI X‹yw]Lo§|™*vФ —&lt;†J CЈ¶ЬЉ“6 \ЕПЁ¬–›ч •J©w jRU‡И &gt;ц XЎlXl B{щ| AЗoыюА WёbI&lt; S? VвЁ:TнJ±•Ї :Ё TLКжPAШ Z&gt;±·У?Оюеb V№H ё 4ђЫ7 €OI†Ђ¦Z­¶дђ ;ЊBЦV¶&gt;‰­Я H¬L}iЙ· K™ ZМ°ndы LДЩх BR»ѕD [тEяу`pА r;чu …cfZЊщЉж fKЖ‘KkL‘…жБ”р†О `І IUйeб± cW‹6‘SйЗме &gt;{»G”љ&gt; MќЫ_Ь^UЖп† _DГ¬j§љ sD§ЃUюђ pY3U@ :бС jPJз TёJ nMАBтgћV• \‘и\ ЏKЅМ‰ѕПЅ e†™Те†ЛO68”я OUЃjЇn 3± nl6ga¬ЬgP‡Жw Oлљ„9ЁЎяу*pІ ?С JrП= 9Z ?Q’би CЖђf @Y`pО ;H¤ 8RбШ TЄ C*Иц \C­K Jж AЄ OЄ &lt;дF S&gt;A›C qKxR–иЉґ„B `Ґ§Ё»§‰‹[ёхRЊ qЂOpL bАYµVЦ^ђ[R WЫr U@ P¬c Ћ^”ШтљЅ¦ &lt;йГ“еґъm™ _РО№с‰О*У ]„ w…O Мtсь5Ж ;Qњ±Ђ‘EZЇs 3І;Авd e[ MМєµну© D’”ENЎ CЧМТ \V^яу*p» ?‘ @pЛ WhZ sd’о jCЖђп}Q±йі7 XУЄK LъµуO† ]шy@Џ W‡ЗЁx ‘Yс&gt;ЧФH ѓ&lt;ё&lt;mб¤ЕЂП eitЉ :jЯodµЮіBЧw^д f=ёу•‡ґA &gt;6JЎ 5ЉсE„AсЭпї*юВ[vp n†B{`¦Ья ZМ P |™aЄ Pџ eЧ9ПОя «ZЅ№ W qOЂ &lt;” cњц7nХЅ9іЏ¶ЈвJ№НЗЉ aX&lt; dёYpi3kшї?“ІЏяу`pВ q_ЫrЛ&lt;fJ A€Jн\ CF X= 6м»ѓВ“ –&lt;ra’Tќ’ћ xSF eN?RФМ{М XљњIы…&gt;цЗТвRЉ ЃЊlA‹™&lt;о“ H|љ[DЁ®ХД 4м aV`рІWйђHў e» B¬ Kл da™х7Uі3Э»e¦ОНЩ’ bі ZТХйп†Єљ­¶дњ ;LА@Љ№ПGfrk–о]ЎЛN KлЄ];д«і`fяу*pµ ?”эrП _ЖZ &gt;С6еX KМ‘Уws VZюTЦґЛ•3± 3u4хЪцЯ ЃEМjwhmnПҐRЭ— 3ЇZl9іLP@СpЋ ay |~y&lt;њ cзw€СФЦ8X 9ї59Ђк M‰NъЦЩьPf^ђ‚ј [9*S…ў RIйъФ&gt;‘ ybюхя U‡: Sёв„MDйъYTMеО &lt;uП±Я e” G;\oа5w{*яјеяСЯАҐV©6д =° yCоdXЛ YiЉъЛюAяу*`В &gt;ШнtП cЖJ FqFбv cЖ‘Юag dNЋfR±ХЊdr»ХiкМчШ€zw?[ [К‡Э ^Ј VO±ф®IЋјрЃт’Ниwщsn¬Г¦ќЁЖlФ‰ Ђ“[хЪ”:—©&lt; 7·х =OХd  Hfд4НВtшB–© •oavЉВХЇЊ;*OЧр ђdfdЃЧ E^ =^Ѕ 5е Hc m’&lt;~JЂҐ GwУ Oм 9cє `ыЯяуp`њ &gt;Ґ 8rП&lt;¦Z F@~еvHЖKя™,яЬф†ЯЫ~ЯmЂ*eєїwЃШЙPЛH¬ ЏHёi©єзv}хmгЙ»k LШd|6ЏЯшЬD CzБЇ &lt;ВA c\6 q|x&lt;I &lt;Ђ 6Н z’€A‚П &lt;›TЁ@_»ч =©{ FeС–erК5џTЬМ j’h&lt;AёPuQ B7s I­ J_шф 7N‰ GцЦе 8Ж¤З\F5Je o~EX»‰‹еXЈB Є VДFtъЌ mUP™T9Fяу`p’ p?srЛ§Њ fBHvе]H v3YZi Z’ f?хr Eт q[¶нJa’K_МўіТ N“ш VєЧ@Ш†ЩOz”™Гцќ eе5U9 ;q _Й ?–ҐЙ Xоѓ®цжgKЉ… hCћnw ЉCcИмЋ:є¬Б ѓFKTџ bTвdѓ H“9ч Rя? 8‹ЦцЛv[ u[;Ч ]5yІ y9Б—ЇV“`6zЃЗђ­]J‹5oХйёЯяу*p‹ CM ^lЛМ ’fЂEFб]Џ@ 3d 3ў 3rQ•Gk \¦з t‘GРйG­ &gt;XЖдш ае4@ …qFP; €&gt;Щn QЊЉ dM Ђ]Ч·ь aдHF±f OPЃsчЫbБ 5™МC9 XћHЅ EG5М}wй oHwх ‚B‘і\ћа c¶БNЃ fWЙ XEP®р GF 7ѓ iAGЄ?Цл‘Вg„АEV cѓн© BЪ ]т cїZ®Nk b Јтн Jфо° YЌ [ЩJk_  bЄџ§ 3яэЬяу*`A m~Z{ ^д!3 =и^щЏГ fh`аvjmК ‚_DЩ“ UЎЖ RwnЧg{3€Ы{ќїKюі¶яМ UПсАRє–ЄWЃ} p8; VъSв {U:Ў 8є€ЃЎ Cd E4 brG ЋM[C‡J‘ ‚”jw&lt;dХ ЂWHа™°«^uВ©&gt;X|I¬k¶?м f`Й69 DйЕZі№gЦ«}5TҐ 6± hD№ g€icЃ cА Uv Њ:Щяуp`c &lt;њ3tЛ&lt;c ЉCFщ– KF Y\ =’Ъ T@XЊщЧ Haиґ 5’ТКCn®рмѓ L_wк r7’ђиuа 9t QrVж9 [Z 3вeъђ ?ј &lt;[ \Q PЃьqћ MDђ z9ЂH pw’Sa±…Vљ° FЯ E 4­Т [eьЉ­ѕҐш± X© R“iѓБЩ®ыЋЈэjЕ ]і” &gt;њСЉ…°cФгјx eьЁxH` UnіЎI `Чэ `­ЪџыLЛL \щ SVR UAђilbнРф†Ќяу*`t :¬ Htw=б iAрBицI„ Њ;ЄS™‹Ђю•Єњ &gt;C@ hI@о59M—ІЕа UЦ 8‚™• 8e’љem=yђU‘‰R•®гНЌYЃ©€ў S°ЄvQяЋ‘їЈ&lt;»Ея«иrDFҐU Ќ†LЬdhі `KЂtЄ PрЛмanf S9X CЮnzы‡ YИФdiG p&gt;© „[µ?ф Yх±э 3eU*ЄrЃm… =Мяу*pЃ n[‡p{&lt;b9 @H‚Э\zFJ 5±gЃс 5З¬УU±Ъ[?[љµъь·ћ YUТ ~_Єљ ‚Q€–ZxY¤Nрj c:&lt; [zY ?yђпЅОЩU°ПІ· Z®;ы™EЕ Џ9«*R@ ‘E® :nб DW‚ю Aх»{ТЯлНv ~WXB HШ ’?–bФ MqQ &lt;g’ ?Џh o:EЖ YҐШ№‚ї&lt;№‡–DRаТЯЪXв ^L*ЄІ ЊxfaЎ UЕX ;bџJщnдW c«kёc•Жяу`p« &lt;`[jЛ¬ rgC°jМНO f5:РЧ ЉѓTtмэ S&lt; ]Ґњ­sЛ c* С“УнІ|…5Rќу}IЫ]жtH[ VљЌжgb®?ы“К |O{Ю SЛ” 7бxр RGЂD®яъя{ AC6Пu]k R“ж‹µp 6Ѕчьєњ‹ C’ Wґd: „zЏЉ7bd A` 3ј }=anђHа3Ій’цґчОQ kKA±ж8бCќ„яу*p¤ B= Pn{М ’g|Tєв &lt;Џ ЋfKВ…щЖ‹“b ZЕ =Д Eя ‰F9њpё±Sяђоt ‰t[ё€xЎBg‰Пщіі*яТ±аV*љЄn 38А^ O=G6–« MВ­Іc :]wО ѓbб ”_к№IВ8ШИ\Б­лШцъdz±ћ– oЂkc|йbNIЩ H5 UМ ‚]…ЯBПЅ H= Jъ4 FFєЩ W’ 7ЂкЬgу|ґўKL ?lЯ№кя Mkљ}’*ы»w[ЊV ‘e¶зяу`pr &lt;d·ЂЛд rg&gt;Ё mh8Б f4yЯ~s·пямп–ЄЭа _l lЊ—QҐЦyJ 7Jdс VЮ =5 Ur5йЎp D\ЏM¦Ж AцS} K›»“–~Lgћб°ЁХИ… m;ћ Q&lt;— DRвЄe PcЌ KъєY &lt;9ЪИNIэ_„ 9B› DЁЖ i—;u ‘U86N KВ‚Д &lt;Х ^{®nКЕЦ „ffgЂЌ4№гVd FyЁмb 3яу*p &lt;h№v{ WcH ?А‚си ;FHҐ IkїwЃ†bB cQqpі Z§Хц V3~Іѓbйc MЪґe\К GT= IЃ VТйHYRГ—B“P¤5” Qr¶F DєЃ]FQiб‚W \Jy R¶M @ФЯИЬ X~*V“Ђ} ”`3 ‘T¦ D&gt;Н¤TЃЗу @vШµ8Zе ^ў5©ц©v§ѕ—V7к¬g9•њc LВ &gt;ЊK ~’]е· UяТ k_Xэµ7єех 3ЃкІp @@Б 9† …L\ўWяу*`Ў &lt; ЙtЛ&lt;cH DIЉмцXД’d™T= fcЛЄ|Ь9ЩI‘i м` T‹ Rћ WГБ” p4B…Л€Ы Wі®bАH ’TEаЁ oSP wЌ4CЋb L `rЯяЭ I}NТ– XUiК 94Ж“:F°¬икґЏѕеВ‡8h PptщpЙT– GAFЊ Ieбн =CcуE@ET&lt;B h^b‘E Z‹&gt;mMЎ =|W 9ЁЈб XЊФУяуp`• &lt;РQlk`Г ЌDёRЬц{ jђ3•YjЄrЂК :„9—N©Ч» Im}ЩїЩк8ЌлшЪКчy–W ehЌ =°P gUЂV“XhАВЈ±© \л 8Ґ vKР HmЙб ѓVrTБ M&lt; wC™ @ Iyk ^O’QЭO}я ]тЪm· ‡w4spbr 84“pk OўЇRЦ9w @ч~·Оч FGБь§кoњlѕ© Yt‘ы&gt; bКJTђШq= ?Y YЎj•*UfЪ*Yµj fHt AВяу*p  =Ь№lЛ¬Њ gAЙBЩuX ~3i@¤Ўnі°ЄХ V\З№гWVjЊЅЬu*DЁУЗTс UиJ”eTw»ҐИҐ Q:bэЇYмJ&lt;|і*яїяЁ ynuS\PВ ^л*я©ъ*я ‚aзгдxdа… RДЕ aЮSђJH’[ЊШm9Ў CIfe 3S SґDPхЕA Aб U¤‰Сc¬mЧх vcҐN YЁк \`K nG§ [јЈћF©”кLrќ›ъ ^Х`к€ UcЯ BчЉ 5яКяу`pЇ ?Х VrЛМ †gGсNв 8 Ћ3PфиaFњ \*я:н SUzUjRЂ` &lt;„ SЂ\щvѕ Ib]¶Івk­wмй‘p‹Ї ;№ь{w Yoъ~f†ав­rx&lt;Y Hњ5I‚*Бd±‚хѕу;п–©ЭлЕleтв‰ Qђ H¬P6YЈM¦ЬH AЖ&gt;c« L’Аe 8… 6‚… 7ny« G§ JvнюV°¬ҐдЕР jJJ’ѓ 8яу*p{ &lt;ґїvЛд rf?ЁFъ 8Г!3э® `B: 3Uк–ЄN gTаL tL5 NОуўSz„‚Хjо &lt;PШкћgЇuЎeЙЭ JЦ9ф·aJd@ ‚UГC 3шВўп cIQu•ји &lt;ыT _єE TCзЮ·ц{Ё `Fе‘ ‹M· FmМЂ±Zѓљ ”4ГВA 3„ v[Т`3j ]сҐkqЖ№ЇИkќC¬ _Eгэ d[ X*®НT9 Dw3b–euR_ьј ?ЂМkј^дэн»¤&lt;t¦Ип 6яу`p› &lt;¤“~Л ScI @° Uъ j;F 34 UІ YP dПшF YІіcћc“ЌНФc U°СD j3тГL8 tOcБ xBso ЊbО M }БyK aNНЦХ  Yъ‘I Yк 5cQ rlexЊ‰ W Na5 7ѓeZв; IВБ‘qJШ№‡ K©Ѓ—З…к hSђУб TF \N 5IятG7№ S©j©· Wњ rUВ 5Ё•*™6НбЗУe“Eяу*pћ &lt;“xЫ ccH AЁbнt ;FH‡5mН TA Ґwћјм~ЗрЖй•ПGйU9X7б™pt=ФдўсПx cDжi“±j3w D¶•у ‡:¦„`a SЂ6 [° 5Ш †3ЃF 5зњiНeЉфУd^\’J•ю ngxL‡{™± XиєАМЏаК XЯ OsQlм ZHиFЖЁ Mљќ BY ;И SаСЂЁj­№ Wј ALДр5Mо ѕlЇЮ RSЪ 8IEW·йл Z[– 9ЯєI• \фJяу`p· ?xзpП&lt;ЖJ =Щ Eеи@Жq®vmA ‰Aќdє aъШ[ EFЩ 7Џ@S ;@9U¤± EEЮњwNхў =€ ђXэѕЦэя&lt;ВҐ APR`ќ·Yэ’кx°4Эwэ*ЅЇурUєЇЂ„ 4ъ“Wn 7†кчLЖ d›™хЯо‰ QиЈ 6уж ^3]°\E:n¶і†PUfUЄN 4йD †‘ZП \Љ ^[ Tсў …UU 8П Rѕяу*p® @8ыpП&lt;ЖZЉq Mб\ d†p†|s6тO*щ LЌ‘› ^­EN‰W6J &lt;„ Nо TV­Э•јX€abд M\›К€ ;Ь_­« FЕGѕQх¬щД ZMK†IEЛ MM·!ST [НR CґиЌ wNќ Jн_ ћ„µгШ‚BД zU6Ц“R DB wЉDґq¤Ж LZE\·Д ЌKK± SЕYj“Ђ P‚@ NfCK _Ч­wсЄцЪSЩЮыХaФ ]¬Б @ж_wuЯ[ Nѕ L—Ґv¦·яу`p» =€НxЛ ccK t;†т j[ЖHЅжNnЕMЬн[ Џ^™bЛІЂьmnr§[Y§ [Ь8« 5Ќ Cё[CКЊMЅ‹: P:кW _…Rд‚‹Љ4“mА 3чXb§A–Вкf|‘6 _н;еµh‰ЩrъZ·›Uf©ПлwF^Ґ LХ–r m7&gt;‡нd? GDл eяз 3•§VЇsЂФ@ 9©­4fц \o}_vsb —er=яу*pµ &gt;дпn{&lt;ЖJ AЙvк jK„‘ D\і ‹cE_ьМьЉMзxэщ’v DZ‡ќ ^СD SМXђ¦Џќё —\*Pи” SІЕШ 5QД eЧ aжRЇU t4ЕИ·]K W–дI6г„ gUҐ Mрv8МL UHD [ЩФ AlTя=WfЅт:лs6щ MкDg ‡Iu W‡ 7Q8t[ ZЮ• ’6№WTе•j›АHg &gt;ЎўэЦ‘Њчїј QH…А­№љє &lt;ЦP»„ЛЮ_зЭ eМБКJ™ `{яу`p» =АУrЛ&lt;cJ Ay‚о jCDђ¦ oZЈ!?PшCS OЛђ d’•ЌV icЄФ ‰9T KiуВ GµЈШЧ№ѓl ^с Oы IХ;B ^]_ьј p~TКШ¬ LВrU WMpь DMЙЏOЁwтъ¦‰¦УXѕyљъўHG ;Н \€ ge§аиЂ]Ђ 4*CЪИeа‚ЈШlTHщД¤щM &lt;rњЂGя ђ4ЫЯЊ ;Q­ 9}зzяуp`І =фЭp{&lt;cJ Eщ^й– KЖђjж Ќ_ис:= &lt;d*SХF™CЩLтc¶гҐyљ F›&lt;6s= ђFЈ—љ O„GTб aбЭБ &gt;;‰ЬҐфЁљ¤ћљ~ЛањXAB ^яТЂB dl†Tи &lt;БђP UА™so e§ fLrио`цЂ«Ш\Й Љ`n S–SXzq” }yCkо[O ;­j RЇц8›^ ]жл•Uj«o g?ђ‰ L§ H•фy5›бэ6‚ ;И]&gt;Jc™Ј 9lHXС Teяу*`Ї &lt;ЁЧtg&lt;cK BpBмО CD Yw©BрИК­|фЎъAг TСpБЉ `;ѓ¦8U†u JВ C€ 9¤ o:Г S‹k &lt;№k¤ Ѕ€ҐЯЎ‡®XІЄ¬” 6ґ Z\Љ [ѕЪ ђ=‘ЋВV e= 5ЌRШљ `жG _­шћЮџы PПд« ba8[ЋEБЬ „I6Р›Ќґ©‚н =Љ¬ 5e aС‘ю’ ]RТхЂVvZїsЃh j4^яуp`« =фЧrЛ&lt;cJ xTћиц LF–~ KaЏ9 T™ ^‘8 YФыhю*ћ tFйфм8С ^ЦдSО GЋl EБДЪM ?ИEэ© dB7…Њ _љцѓDљ |TQVІЯ GпЈТ†©фQТI Y8SM· pit@кb&gt;ќ SОnѓ UX OЎOь—ы|­NY @Т[ў wPњЦKХ 6Е’d™ 6®`:¤ BЉЎ‡џЊ›4‡ЦђҐe«я“ 4МБ„@®Йё‘b[щ \›€ _7ВЪ…СЧ A№ 6„•яу`p« &lt;јЧtЛ WcJ u\Bо jKДђO» RќИ\Эe TFОЗЄ¬e? 9„ ?S 8u^±Ћ{yЬиTA@и`Ud 5ЖHЊґМј6† XКGуu9 GќТJ Њ[›mэ 4`D®оAРЧe…еPи№ш aГnпзOШХЯoMct=т…Hb8&lt;е·нfE ^6ЎЛfИюUЄ“ЂaXO Gў_Gџл~·рЄІ L[{ikшсИэяу*p§ =јЭtЛ&lt;cJ s—=о fCЖq eяк O&lt;ТнsB nXЁejЩ›@ў‰F 7TA […zЊ»ЈіAЫ =@Ш I=E5oҐП GamIь &gt;®Х 3_µUа Ђ5m¦xJ GT@а¦ zrTo[ ]qы &lt;эѕъyџО Њ]н3е*WЫ lT7ЫaLћ· ::]N· A5ЯЇП ЕjїЬАrр:т An SМ J–6» AЧ `щ‹ыњ YПМ [’rVј–н d=^Z[Б‰ Ne› et«IЦLц  ^яу`pЅ &lt;ДЯx{ ccK APRйX K† \;S7Ћзђdо …CЅзэUFBsZхYљШПUј±W ђ_»’† To]ћ·EH SIЎD™љ™ TЃl‰NБ BtґaЮќ9МэКf A§ T]AUДQ J·wФц GC6в¬FB Jy ;ч XМ4ЎВ„† Sёц —:ЦЗнS| sGb@_Zд–5ЎRС©чWФ LQСХ K­ Ra‰A \ЖШСяу*pј &gt;Шэp{ cЖZ A‰Љб\IJ‘®_¦ћ ?Р3’Ц U–b pWRЈмeU 9s tz\’љ‰МєK™} eаRШ M№б©т{ЛЉы RЇ·_жI F4\ЙeоЇд” 4Д:Ми`†: `г±Ъp3Qеу bЅьЏ Zї8СdJІD9«}г E9№°Е`Fє„CЋ O­ 4= rUiѓФ—Щ№–юјоJM§я`” IЄїoЃѓ”yџёjp– X·O :: 3ѕЋ ђkVдi ~N…Bтяу*pД &gt;Xхpk&lt;cZ‘йЉн\ KЖ‘‡Ж[§ sCИСХЈW¦Љк Tѓ ;± ;a ”6Ё„5jК ЌTЬ€@!W _*Aб KСаАAjmН;a;U‹ъk }V6‹P &gt;ю” 6pђЧ ѓ?8Ф„EC&gt;ћ©9v =h |s;Й EzZА ?aЦ 3eM I{Џ :‰ c tN§ 9NЊ Q§ edj¦TҐЌљ ;І|TЉЧютК @Ъй A юej“ a †&gt;– }ob«@G[ЦЯ*Ч«iѕпс V¶lЩЕ Zяу*`В &gt;\УrЛ&lt;cJ Dи†дО KЖJ8mщќИҐМГ Sc5 Ќ=`ЌX» —4TrgT‘Dz®L ?ШІЛSГ“ђbµle;€”‘|ОЋ„ DCЮMe– =µНI: 3кМЇҐN Sг UHЙ¬ЁЙ@; 6дF&lt;РЁa¬KЙ y6ё&lt;тЊKN•4*ЎТ iK‹‚D AЕ•5ў« PЄ¤Эqв Mk©U™›ЄїяюЂS qy;]“ўфЪяу*p¦ =њбv{¦ rgBИRе]I!3т ?“к `ћ8*Ц}FP JmњD©ґі Mm ?ХјA X•ЊХgb“3Ч®Lє XYњ Џ6“FfH j6!SXTрMH ЉA  ‡?ЈЃйЇ ЊOШвмОrЉ† u7„ D&lt;ЊГѕЙLнд”Ћкs? HРъЄяГXZM± eЁ ?]фµZu=u SУmХrIЗ VnHА &gt;?зц e–±QФъчК\Csо:ИNZх U”u OcXфШЗM­І—|Lћ8Х Iяу*`і vkVtКЗ¤ fOТ eнџ‰X fbtЅqHC jg7t’х SР­b’ ?uўPtщУ*y± ?\L&lt;д MLЈnj \Я bщёюе»jўлЇTлѓЂ 6 n{c@зЦ†?В QfUVN 3ЂA Sb5яgS\юЬмj €ifG…j E¬іщs Wѓ @`”7 O4*бAVPРЛAўГ^ {A‹ {=«zќ ZлqхЎHNЮ§і¤яу*pF ;ё3~Лг fg=rю 8Г nf}`µё“Њ v9…ЕД IЕ™ICГлf s`‰ AЙ Hr M‡}нNЫ J&lt;ґ‹ U‘—еu 3UЄ•–NЂ± vn^KcмєД‡G¤ке Eѕ aAw GRMD [„Ж К u]с]йЕJz’АБ _Ѓ `eСїдФЈЄe =і[ o:BЏ¬Э®X =Ы5q6еи &lt;xљsjф‡5 Yѓ` 6®hУО¬ЛЮu”MЭЏeкJ8‘V[Ngт] &lt;Ј@Д =?Hэяу`pv ;tG~Л Wb Ќ?@bю j;ЖHҐj” Rа!cєХСєQ=«q •EБ‘ o8“ЧI“~ЗLпИv c5eXk jU  CDJ q:‚ЋЪ5к8’Єљ m\eџл YEўѓdћ»РШwЊх pHT­9@Ѕ ‡†KящЖ [4‘Rж zPYУЦ :ЋыmЬХн¶dтМЩAБ_ `ВBПгю9 8¤Ѕ‹•bАяхRt @Ф]УЙRВяуp`€ o7‹z{ Wb9 s;Fх– xjY„=W№;рЮХЦ5ЋЧ ЌЉV №M¬hKь7ptЭ7 AАў;KL C©„qv C— 3Ћ †J&gt;° e„ bQ4¦ыкi 7s= I№sj©ЬsE hbuљ–[ ]« Z@q Xџh o†CgMтђ CСЃ d@А6ЎW wct Y9ЈZ ’[AБ Hы Ѓ;ЕU™ЈµCeО Hщц [¶»эГ¤И5~LҐ®«я“ gђSt aЩEЉ GVwЧЌoЌоЪҐµ©o\яу*`¬ =&lt;Јvk&lt;cI BёBдц3 lYkн IЪЩO[‹Bг VЄOѓКЧћ•^vIЭzХgi R©XKМN{*V—‘µ}Ыжыu bЗvсчa Z¬›кўЈбa [6*РQ®|¬ ^Е¬ЂџФ’ dЪЫr V«ё 5ђ ѓvЉBЁ G‡РьSҐЄ:eҐ=мZ9S°¦ dзѕЛ¤‹ЈНdN© 8Г —’Rox Cк ‹HК@™h}мУRяу*pў ?] 8tЛ§ ftLBт &lt;H ~4n Њ3Cў”±‡q„ LЂНЈOt ‡Uа N|ПRЙ EKFkDT† lJYщёT…iВ[iY H34Ў _л @Й pY’3юЈjPЬ XFќЌЁFvцyнkЬR EЈ ~„_Ќzi B‰Ё `6бШ†]eОяѕЩ =qRЯ7Gaще BуЁ•s &lt;и cг RќЧТ ‚KС c@ё™ EIД¤JЄ«ЫmєА hcеm Jz6ЅЫg[ ^i OЈо BЊџЕG‹&lt;\яу`p§ CY ^p»М ЉfKСюйнЊ@ 3Џ eЈQі— G¬ZвЙh‹зэ C“‚r 8C“QM±« 9цЏ«№ ‹tCЌЛbX:yњЁП~ Xо `ыЖќЁp4 Њ?­7 Hќzoч AaпХmР UЖW†X‰ ‡LЮЅµ\{MЌЦя5ЅvC†u R­йчwР cн 4–™ eDqєOЬ @†§&lt;rGbЗФw[јгу[ыЌ Йїµ„oчНЯяу*pH =@Ct»зЊ 3‰ИrейВ n3юызтмкҐяњ f&lt;^Мґ 3ы©К9В5ЋиВe 3‚« ]&lt;u€Aч U†ЈёUўЪ T™K r3fЁR]ыp mЋw9А‚Љ ]ьњwq N¤нћµB7C•dW Y”ЬП ЊTAYk…Л™ e~`Ф`оrZ{љЎ \ВЧКёв c=‹ЫrZ“=PLUе B—gbх^sУЬ’VІЩ VnЂ qNп CБГ*ЃЂёЄ“Њ№нjфµж°лхѕЫаяу`po &lt;рЗvЫ WcH &lt;@ ]ц f;‚ 8їъпSэpАV«я pђEQ? `Eй¦»c Bы Jub®М  SC &lt;Ї= N5 ]nаШJЁ t7NаХњб ‘47љl ѓ3FаNУJЇ v3aВ eі ЏЋ6;…[’ lcЄ*сnN ђWp Ђ?‘ }QЗh AКЖ[ F— ;Њѓ Y9љ6Х&gt; dЉ~Ї“џА pY7 FR fo6R HОpЭџj aCеБtяу*pЃ @‘=nz`cZ‡ Zж f&lt;F \PчL­opБГЗГҐV©6дђ :ЁpGРГ GўvЪгyvч NЈ–Y№Ш Q¬ћҐсмч¦Ьm7 LЈ3 —Y}‰Пт Zh›9*¤ЊХэ\BљчПjЖ K‹SPжa 5= Mђ‚Gbо36f‘ЩЬ–™ PЄ ?¦PР Mос№‘~Еc 8¦XINЋ; aМ»hВ †3и“™ 4л _€іТшЄ `Ђ&lt; HЧE Ѓ?hйj­· Wђ &lt;k “wIQF©f W4*яу`p— @]YpП&lt;Г\ 9pJеp d† X®г–Њ :G“« AH‹љtmн­ФhЩQzД }‰fAЊL…­s Sў’Аc¤¦љy‘аТ =W&lt;; U[L[h bЛgkRZ G7ЇС‚NЗп3m}эіЧоїµ»oЯя b3 ^}_ –3У TCА M]mи’ eЎС J“ AGДmЛж_MЏ}У&gt;T V¦Д‰АґЂэљ«Ы RЈBHд \ѕ yHяу*p™ ?tУrПa 6J‰Ў EеX cЖq ^с¬Ъ BGR¶УwB ‘v3Vuq CКfибт„ЋaЎM }U^Є aс sX‚ l[[ Cp7 ;6 DЭeЉ”ТГ€FгАБ dMk 8ЩU X= R± VЪ ]ѕµhўm7к jrn&gt;rXњC bш‹R‚{©•Ґ—Ґ UНюћЕМ‹€е w`Я A6 &lt;Аш{уRQL ?іxЃ€зѕ „WR[љїrЃFЂШY 5нm_чин|Йїw r‹Y;RЬЭЛg6г Xяу*pЇ =Руr{&lt;cZ @С ]йp KЖ‘еХj*Зu&lt;cдzОъH‰xйT Oв KГМ “MзU¤tм:љЬц¦­H [x UX ]x­°л ?‹­O OфЦлѕэm@ ADбE Zб 9ртcўMџV5®µ CГ Vr w\}Ль¬тК ЏIW— €aZE№ 8ШГ€F 6 dќёН¬Р B^«­х FаMхSt qp‹d9 X”§se3­ zaщґD6‘лГ’ДbџдЕ›пЯK ‘dЫOЦR IИ¦ Bяу`pВ &gt;TЭtЛ WЖJ AЃfо fKЖ‘†ъ mP… V‰ХЊ… ~iqBXҐr 9ВЙ;Я’VSb ‡L@ђ&gt;жЏMЛ@rЃПФЃєP as№Bяч W€ Aп^»¦ PҐ h&lt;\ЌМДH„e‘¤S3 Aћ†ц X•©ыњ‰r\ф eJFTЂЋЭ 7љ† d;FOc‡ 96з zad… Wj­@¤]©6дњ pVCTwє ЏUB‹њo ]¶ Seяу*pґ &gt;lуpk4ГZ CAВн\ KF”aЇµ†ЕЏХhВ*€єI `„s€f ?Љ 53 7М P”e[ oDTВE I5 DЋkL–‰ cБЂ n€;†ЋO¤  [рHNВОrхШGn X`uЦ‡ _XМЇТЂH nNџ–±а 6j&gt;P 3d ѓexШ}Ж Oф*‹†‰ QТ oG7 SD UФ…gX@QBQИRЭ s“MЖ 4М¤ Cка RЧиK 8к CЂ¤Z©¶дњ oH` Q‚мЮ TєLЛёћЪ вЈяу*`ё &gt;ґЧrП&lt;cJ C Fдо L† Yњ YЖ ]•nҐ4ЄD[ InСK лZ’І RЈ Gё™ `h ]їV PЫиS [±j№ ЉlvKЌI „Nx 3‹„¦ћP• ?jkFGЬ ]ЕҐ5ҐZN 3Л [€8Чў­ 8вN LЭ‡ Q^ГЛѕµ?Ц¦ыЯ3gіСЄіЮЕ¤оKLk•њ§ arЌ ЉUUd3Ќ [© DUNfОE Khй¦ґxA A:яуp`ћ =ШбpП&lt;ЈJ Hqѕац dЉ–6мDб Kх &gt;№j{№ G:V Uљ•jNЃVa UP–иц‰ „GZGЭ L!eiL=Ѕ‡o•|ЉНІїЅЭ FwнЦЗz {MЁZ \Ќ™Л Aп zaq \@УtЧ±џVЫ5э’§C ЃFPЌT«R” @В k5„ вDЕGKX TјЂђ 7@ЉЌњ­em¦Ѕ™SБЫЕHTlЙ \Б¬µИo‹mюE·QS­®ъ 9ЂянRp &gt;•OM 4бю•¶ZЩ–яу*`’ ;фГvЛ&lt;bI A`Zн–8† ђ:™X&gt;©фЄBеZ PќEDщуСmЮё™ЮЫ”џњЏ€µ]ь«сЛM=ЌиґцhKЊ @„–9дШ@ 5ю¶›‹5Bѓ 9P№{®зо*AIcI6дd :I!CА3&lt;M6·њ;‰ „t[ђb¶6”V–Ѕ`шё D” Rc SбЃgMџ S‚I 64ќЈ†Цj»™…”RbUЄnЂс WIMЧяу*p— =4Лxk cfK AђZт jcD [рЇЅV•*¶TЦYо &lt;Nё DхЛ9 Rн[·Цяшј¤ “O™„Ы›&lt;sѕйєХ @† Щ F®^ 4e*Рa®г ‡=“vчDН®Бљ±в?хѕЯНЧяч YeЮїхnd @OVSЂY№3 a· 7y Lь@ \ЌЪhр¶WљыK±•*o±«s}QЁ ;hSљ ?и Xћ &lt;Ч ENcЉ GvQ…ГЯ &gt;Ц ‚IЅ§Я H&lt;±iЩ™QаBxI5{њ ?L 4@Їяу*`¬ &gt;\»tЛ&lt;fH‘a‚сv KD’©—·–Љ’T ђRъM&lt;жWч9¶S·ОЪЩ№ыз7 …\џОпЬ}¶— N§д±ї ЏMyЫJуu ЃJQ Љ\Њ AГ‘g*I…4U{Ѕu5 €=Б—яN 4РfИbY _пX№zd &lt;ЉЬ s‹]{ MmЇ _‡н GKЦxБ 8¬c‹­гнyщжbж EДлJШ :•‹WЌрY &lt;Y Gф 3янRяуp`’ p;ЫvЫ SfJ Bx†сn ;FJt 7™ AЉЦcє J€я“] |PґkLЏґЋҐґ§rютъo Fxћ X‹Ћ KХЎќg KуХh XU dЮo­ Q‰G5€ҐЦN§љjФa° :vt =|рp3E ‘Ђ^TЄ¬њ 6иh&gt;rі“•W =ЗR 7P® RK„ВйX MуПH r„I[Q WЖ JдXжД¤xђ l=¤yRЄK\зїмєUѓWэтoHOї ђ4Њљ‹ 4фKЎ¦dlй7QђР ‚eяу*`¤ &lt;ЬЩzk WcK Bрfс–@ЖJн ei™OQЋџ8 Ђz8„ S™гґ ЋpA‹ ]Х = ’vc’н 9‹ « Њ_ыi—Ў Agу«d‹k :яNЃ`аЃ‹Q„«П ѓ{:ѓ°Г ^: _ќМI©6ЁЪ‘ |OaI &gt;џ PS­UфWщ `ЏРФЂЗД XmъзАd@о[_ YCя ”4Џ RЋAxµ dѕ»–Оґ3Щz@оN¦Ћe Cяуp`њ ; Utg cc7 B8 YмО C† 5Г‹Э j[‹ ;фј DК a&lt;„ bE8d”У&lt; F|y±• c”СG m?…‹Eг– |MA RТ {x7Р `\•T€ ;OЖЅ =іR­IР&gt;Ѓ ”5д·Ёi† eсIC™ {`Ee 5‹lg JDјeu \ЕШ ЋE– ?ҐЉ hcАb a§f›UЫЅ |bWаIBгL NкQнVЇsЃЈ 3Ђ AK Q¦Л \­Чxas 89№б¬3вз±¦БІ7°H`іTҐJяу*`» =LЗtg ccI Bи‚х– cЖJЋeТZ•ЛLМ4R WВ’ ^|VСPJШ gW&lt;в ;љЊ ]д’R¦ \~џЄвХ &gt;4«фа …Yд| hSИЇ‘ 7dX UHлCM UuI KFА ;U ^jЭ¶l­ ’I„l A€CL}V‘Іў3 EЕkІ`л 8ЪЛЁж C°DЕ:Їю^ 6Г c‘ІгЗЖ \чml X¬G Uо @Б  FѓЂ*nю ?zяуp`° &lt;дЧvЛ WcJ BZсЋ cЖ ]Ek№U gcмЈ3 cBc @orU ‰EOP@D¤ Ћy;ЦлРp• @ЄЪ69Є `Qp8ЙЭЌUкЏ6ЏЧыэЯЇцНя*»ІcІхюЬ †&lt;До MЉЋrыCШЉАЕЪдlЦ Iv ‚^‹3`ТЦг [RN O@° W§ y&gt;© Wж¦ЖЌ _љ©‘&gt;ыћ 5ЭX¦*ЄяwЃ‚@Ъ 3I J¦щGs Qм‰ќнw4 cґ cHlХi•Щ CЃ D™WџЋ[™:яу`pГ &gt;°Зw N&lt;cHЋИКсм CЖlЋ aY ujKХ¤JЬf`– N’“;5Ш*X €7HЎf UГF 3E“e \ЋvJоYп9э 7Ґ NкЅё fIјsД Ey eB Fbd –€Cв*™‘чJlъю®jЎsіHтJQо: yMБВК D‚A¶9Ќz H&lt;›€ц¤•YЄЇsЃF а=ищЇoпMb 9°Ё G*ФВm†И ЄPКw3яу*p± =ЊУvЛ _cJ AЩNсм KDђ&lt;–3ТҐ ЌG‹©·v ¬™ PХЧ4UAН&gt;eIz Q„ 9љy CxL JJ;FЭ5•Ь§щЂэ­J­U5Rp pLйУuk iB»њЧXs“ €TBSўФ­ Љ5Ў 5К =‚жPx n7ќ GAЃ De©Вз‹ IrФ„ћҐ Xџп§ґљ IЇwЅЙ W`я ђ4ѓес ;Ћ°АV ]лJшх§ЄC8щ‚‘Н 4R ?вPЃOњЕ*d!TВ ‘€V_ :О 5R†яу*`В &lt;фХtЛ&lt;cJ CђЉх– K†NDjВЊQЕK4ш°¬ 8°Њжэяtґ;R~’А’ I  ]•ЧOюњ 6R B”ЫЬTИЩFCMМОBSС6 ;ЗCЈЮQ dL`x Ђ9Т§№§A@TQа FI [Г¬nЭОкx©SХWж Q—Ѕ_ЮЌ@В ђ4qІ pEД&gt; =к ^d®ЇёіЁЌЙ 9ф|Й JЦ {I…D \[ч:&gt;u Qтяуp`· &lt;јЇpg&lt;cI BаЉдО`ЖN —4SDCжIXц…Џд•Џ Hѓ&gt;мЂЪ VKљQ»Џ3рї&gt;џКE H{џsR F~њ ioG;J ДЭт±‰JпЪц ЊVп[жВ_ћ TЄJЧ–Т6…:Щ6У№e°N 7kФ @¬й ЌeьВЊ W±k Wi8щ—ztaђ FRiUЄї“Ѓ ^ѓФ NРИQ KИиъЭ­ИРдE3Qь;‡•М T;9Ђ nBY4ўЭЊ ‡cBc7њ =P V‰ M°К ^яуp`К &lt;ЬЧpg&lt;cK w4VаО cЖ’Ї№Ђ 6s»… hv_б‹„ EљDes CигЌ6 7p aU 3йARЈ‹ј„ЅЯдО bє‚‰ ]VЦЬ¤ =Д f]@КFЫ:~°}j F’љu8P@ Zq gaі v&lt;~&gt;”Ћh @H kSsБ &lt;сD CЗџ vX&lt;W GµФЂAVЄї u3ptБ‘zП \Tэ ЉUЫ J­JBґЕDАВ _вR &gt;їп yU†7NvШкwГa FеN5УФл DЦИѕмюѕЅВяу`pШ rCлrЛ&lt;cJ AhћймHЖLсфё]C® NXТпГЉNбИ€›CЦl;я}AЩw?їХюzЯХ«єїч –Lі =8 kPr Zzыdl¤=Пb’№ИE©daЪ™Ёx¬ђ› Њc¦lµъБрфл„58ИEґЅ`G 8А Ti :ђZe GЕЋ}Jyсk{”ЋPё®·ъ f†—`U©J 7ќ g9‹ЫZц9™яR¬ S‹QІяуp`Д &gt;°Уrz ‡9J“±–н– KЖ”5јК™ N“LЧНМлШ_ю™ЎѓPf¤ Wі“О„_ђч EЪ a©жb GB E{ ‚Wњ eб X6 \дК FЊэK =’ ASк 4idiuчp eмv Fb dњ |}{8BЃЖџГ vD§Ээ6 &lt;H dќкњy¦9 \‰KRJ¶ HЌКЮД Wл EZЇ 8VжЦ…ъЂљjZЇo 4•АWЗl®q]k Kс ;ЗЪ eB8ТеџЋЅЖ—F4нМЩРi &gt;МY&gt;яу*`ё pSЫw ЃccJ BPBцV ;† WU[^Gї cђ vOtB4g Pќѓy™x’‰ Qt]“ q`№ bЕж=oшБowZR|УSt =7Љ ]S @ФzЉ @6ўъзчїЅ[нэ:Џ 8IФчЂѓ 8”в 9Б±Fёс d{ћ–¦&lt;p ZX«ІcРфэ‘qс’­|‚ IDЃ Ijэѕ 8г g5cЩYєЧ!RЬ•3 ScOњ=»гtъIИWяуp`° &lt;ФЭtЛ&lt;cJ CQ Uх– C„’o’С[YянХЫУќjДfњJxs P”–J4ф 5Ж3о gBpA €Kъ E·О …F­gµ a§r‚МЎ|ђ vSвI¶Ь  Bє‹nРѕJ: Q• QХxjї_ =т^ыИФBЯ XИ®­aФг 4ґ [щтb ]њФ”{¤ЕщЗлј” 5· e°P5Z»o 43 9щ‘°pУtкН\*…— Jґ_WЅ Qчyљ›LЯ€љш§№g–q AЌVy ?ВЌЋ¤яу`pБ =tНs N&lt;fJ AщJо jC„ђѕ VЊ•zЧО©вй¶d‰ S]°ШќcДт W™cZsЧи T^ХV K‚Э^п 6т FрЯсйS^Ї &gt;g­ќ4 Ц­s7OБ¬ќMk€qJоч ЏLР­ І‹{ BµsФЇС[Ў–сdх CM«УXЭ•«ЫАuсИю ]3zЬ±ч®Е 8pТ9Б edµR \•ъ=aИі J“ЕГф±ХOsяуp`ё pOлrЛ4HJ ud¦й– C„”UЎrB DN mЃDЁуЏРЌ o]И Kg L…ћёs¤Њ vzWівЙ JЏ cуЯх± ^№ `GМ«Tњ 5ўХ9 kK@—„|Ф@iЧХй6х§чц‡ДHиэmB9К“њB„V{ ђQF|Жµ¤uy ]ы5?ЅЦ@{EЄOX v8®д 3¶Ъ©· Wњ @иsє Hту»iІ|ьRoОДG FmЊ Ls№Q•rивМЕ df’‰wФжsвh3 Hбљяу*`Л =”лr{&lt;CJ CвJрц [„¶љЭъ‰« bЩы*yДЮATш@ЬыЇ?ЕЧP”ЌЇJиK 9‹Ѕ”пg= AC C| ЏX6»nT :ҐN ”Ohz9 CҐ:” K›c~YM{wХ AД»л¬”y Sћh:аyз9 :ґБf9N–KЬ– EТy 7ХAЬxeєЄяwЂв¶Њ 5‘Ыь ‹P§‰8hЏlB cЄ§nТ’ЅО“9њ4яу*p№ &gt;TсvП&lt;¦Z ugYнм K„ђМ Nл 9A rQ’љ&lt;Џq 4ќк°Ш ЊeBgЁ t@ h6M†G 7RлЗ EC Wz SТ’‡&gt;iЬW¬v‚Rq8Уmё nO°s3 XTаЁT Nљ™»• =ђЫК±dWTN „rWё°љђqІfBдЬрµCН :љХµм: QB Az@ҐeЄњА {&gt;‡CЩ ЏCП*?s| SЊ№}¶Зяк \гЮОg*vз QPвЬ‰ cе6 ExЯЅ UЫTЧ?”њяу`pГ =PЗxЛ WcH A°vц jKЖH_уЏ®з«S ]Ф… ^‡Z¤Е]{TR DЮч°иНіlїяЭЬѕыуќҐънЄЫ*U Z@±‘…Њ u:¬\і IЊ™ЗjюВХviV F[ђq€ =‘’вѓв Sѓ ЂTAЖЉ’ AёѓВg Gh°Њ©PIGЏ 6KЯwм UDjЌ8пвS¦a« Cх¬™@*U®j®юЂ I`…A?Kш¤Ц Hяуp`ј &gt;dГr{Ґ 3“hъх—E ~5umFѕ •mXG HV¤Ў© _йГf8хB Yз @ЙѓБГдсмѓ B`F6 :СР TФ 6Dfь Nє¦ЋђщЧБФ— WSЗ¬эУ &lt;] d®z°еПg ye@¶9 W]3™цЅ 6ЉҐ 8O5I«Ї N]eЗVµ @аЪkнќяТ N¦c*яqй Q‰U¶СUWчжty‰Ь fgS&lt;6­В TмКДAиМM vey±¶6Ґa H¦ Gґ“!7qpVXяу`pґ CЅspКЗ¬ 3•ЩКйс€@ 3~ &gt;Д!8Ѓ”Ђ ЉЂY8&lt;eВgг®Фл Uґ§Ix–Ћ“k”g;*яп3 \яэ° €f;7 V® YљQ*ЄIYЂ 4M` SLГє k9й QЁм SЖ O©µ„ЉЌGСDжаК™М ЏOЯн«№~fl§ iNjЯ IrЩ p&lt;Y‹4 [р‹Kё YуЅlЫџ3эџЗ9DЄ UЌИA ?B [D c† 8яу*p] p?Н} ^БЊ fu;ѕц9ѓ ~4+ЭЬ fC@; j6ѕЎDЦ8 ѓЃЋSr№… ;HЁФс”M7 94нb­‡c]Пэм«_ярL– UWUVU–iҐk 39 гD…¬йЫ9v†µ MыЎѓЋТѕ ѓOt F‘laf @ё[СvзA Oс ;DXюї‰›ЛЎ ;n xRхэxлCнЮg {BР}ГНҐяэЧйяшщZ&gt;‚Ћ U}МщFР3¤ __&lt;*яґl@ 9Д№“E €EfмѓЋяу*`q &gt;щ RzЛГ †gzD®мПѓ Ћ5Ж„ nЊ…z^д v‡k?Z°ё|… urPr«Y —€Џ?ЌЩ…¬ЙљЊ§J&gt;јоKIЎќ 6Ђр kUОй«Ю ЊbTqЈЯѓ€ъ ip9¦WйА €GDJPЭЃ 5B 6‚Ђ`8 @НА Y@ W‚« GKD®»иSе CВlz OЛ«JzРЈ‹Ў _rЭђcз®EЏ‹wЫXN@хEў\  Ak¬†яу*pH :” PЂЗбЂ gs3vъ 8В ~3ЎИювPЖbиЎ dБ ?ІМЮEЫYЎ7 ?­tњVGЮЭЦ»8vm =z Cы L&lt; MP†wV«sЂҐ WFѕcjыЭ*}хS ;То¦ SA—&lt;RґџЄ eћЏQ&gt;g NЫЛ”| cђW Zh¦›ђ3Ю‘*dkAњ ScK5гBHyfvYЈKџэIУZP е PцўOА Aк N« D&gt;L Vп№EA] WU[d &lt;лuПз ayТ59orЙ¬ =іо8дяу`px &lt;°ЧvЛ&lt;ЈJ =Ёvц fKFHЂS 5VЄs 4– DE9}r¤щѕнапцжэ 9лЕ§ 6”*т*b lbc CIEBZ [YbЏ± 7e HР\ВхQ JtК›q®X‘ 9°У 7§†Vг· 6­XсЌ]5ьPчg¬ I†u YЫЋ j:ѓћѓ 4A9 e^вљФХЩMyjЭk]®ЛЄЈ†Ў X•у‘”Б PqWXІяQbщГ ;яу*p† =XСrЛ&lt;eJ sD’т jCDђ—Ґљ­¶дњ 7И P ~NЗЉћPРъЌЕсѕf &gt;»iсn}hM WС45 M­Нґ–eЋq­4±‚ИЖ 9`н!B8 xSгG \iBEbN4z‘– GгOІ O®ЋмЕЪэ PRНЪ&gt;ЪQЫђYWцPJB¬ЫrH o65ќqЇСњіД Qcћ›Г \\B§дмЙЈ MЏI\ N©Ј cx XЉpХЁУ `{у:ќвя OЫщ•j’Ђ]°:tY№I¬яу*p  &gt;Ѕ \rП5 8Z @Inо jDD‘o Mс¦п PgЄ 4mХwУ _х’Љг GI JX’‹9† [©…]‡°« i[“Ё  OЂ@P ‘Њ‡7J 8П^жЃК Qћ t\ ›–шїэ YМ®ЗґІ©эURt @ ·VъT{:=Ў Zи ” `чX•®ц‹ }”‹OрЩЦ Sj–м› \=qТu«њъ­Є»№‘  9a:ЂVUfяsЃТA? SАЈщ­ iIСп nD†›E QЅСпюTЋ;9яу*`® =Tµv{&lt;ҐI AhЄх– C„nк ^X O[ \bЊс \ЃyФЕ C¤ fT‚ЎХ e© 7СГвpR  5Г d§NµBд*5у ]иGвеC •|\­ 9T­Rp BзKМ\…Ы{Ю&lt;’ MD3vҐ WЖ™ DЯ?ъyќjў”vU’± Tін b Yx{V@ҐOў {z]ц hCmк InлVкљдю№фJ© ѓ3яхRp &gt;\—P[аўbяуp`Ё =ЊЕpЛ&lt;CH DБ‚иц c†’cТщ‹µ WЁ`фЧdRпЫўр©ЛЋѓ ;X {PО ‡V»l®:љё±Ё L№ Љ—jCГ t4‡ }9A S| ”mOAC 9ґ@Э D[ 8бu·Щ¤‹э@ @я§ 3ѓqД‹ 5ЮJsВл cЂ№ C~| SXNБAQAt—Pa C‹Ољ S°і[@ќA IШ –~UД”]®ИV… [В4е” FL­з&lt;ў</t>
  </si>
  <si>
    <t xml:space="preserve"> d©›|RU AtЕsu›цщ·К ]Ўяряуt`і &lt;ґэ\ cЈZ ?И~№ћ@ДHV gaQЦ WiЙў”м3u SЃeд&lt;a[­µхс dП 5ЌKR„®QхЭ Q к5 NF ’]‚¦ P¤­9 7ХЂ;V [†ѓ[? AбS ?Эѕh ^В*=Ў ]‡ `Ј‰*­·сЯRћлЇ†ЪFKe e«@j–юI `° AќUѕ ~_ш‡ DЫ [к: ]z vXѕЩh°ѕ°Ґ~QЙ™« 5ч]го a±y­ќR±^кп TухяуdpЕ &gt;иЭXП=fJ &gt;Ш~№ty„H4ЏГсQУb DЮY a¦¤ЪZ4µД U~iBм ?ЂDЙЁ^Ф GЉСэТM W«wы WMђ &gt;Џ AЮqЯ by3 G›K_mя4ІЂё ;Ђ CK 5Еh^ &gt;Џ T[Sб 3Љ*p ”Wњr[mЪЃМзМEZ:ЋM¶гjl6оЉІ› ?С _ъ bЖXEqQ­кМK d§щюяуtp± tѓ4RП=жZ… c6ҐЊJB ‹abяќБ«ш›Эх&lt;ZeЉa Xs UҐ :` n5‰5b№ 6U :Л AC…Ћ WѓЕЛ†‘]&gt;ўгF QП aaґ‡ ]ѕ— cѓТK |OжґhI‹ Ht­ѕд— NE° nfEАМ]Б Њ&gt;ќa Њ|6kЗбuЂ IJ­¶дґ AХ5PШуf aФ„ R~ 7ь«Bґ™­ XПµґ8Тn M§шkb‰Ї|V‘ь NV QqјкR‰RWяуdpѕ AE FS b=иZ 8ЂNЄ 7zJ [я] E…Нм^Ўґ \ѕ JZЙ=мъHI Gt ^Д” }†W„~С€Ce biCvҐ6њь] ~a? M‘®T6&gt;Ы„дЬ™Цп}ъ»ШP ;!3АГИmAґXўоЬ 4њзК eЂZ–Є«nЃзqр«[*W Iиу \µs 8ЧЦп Qяvёћњв‚ P«кДЮ±јгzяуtp° AA &lt;JП=йZ…PNЎtz j[«eskл9‡6 F«” DMЯИЁЊ;пН ?ФKfњ @i¶бWqr R–Іb n9Zc|…Т^[ ^V ;г—дГH7=*NP {ZG5N~ЇЁ 9i ]4 ?@!3d«hёлO6Ъ 9Zйшje Aи wq3_жЫ‘Й aу:·ХЮЯy Wє¬ NmђХІлХIќз Go vTBтЯбЕ} ^{oТ Ns~wlЛ ’?8В®Цяуdp» @Б &gt;PЛ=й[ lC~ќьZОH 5WЏьАИJsМРШ@ТЩ”„ au ЉRОЖЙСBч€— Rg6zK ]†x S™©Jq”ХZmGкМk3щ j\ћЇW6 ЊZxQ‡m gD fG¦ m?[‡ћ… eљя” s3Iљ©¶Ьѕо? H¦ `р–¶Ч DpY eж OШХ=uђЗ sXMЅ ‘4L†ЕЧт69ДЌяуtpЇ Ay \KЗ=йZ jS~‘&lt;9ФH»_P·lЧ±ВоzлкBАоpZ­’ 7ѓeyц±бЂц&gt;кЧzНЖz¶ O*&lt;; O`ю|юДГілNЇґ —a­п c[kґcv»Уэ4y–Ч· dСнѕ dBћэч`Ђ f“8hСоК jdґЂeUZЇ’ЂАФХ ]a­‰6ай †3Q VНwѕїZk &gt;С‹ЇXM«ґ Xцqљ&gt;џuµqњ_XМ—pъЯЭw gTяуdpЅ uZEГ=мZѓ K6€ДIB WъЪФ&gt;™TOW`; 3ЛЪf &gt;атYi¶ AР fKv:Ћф&gt; ]  T“mU©џqкфЪјхsл^›NтнЉХЛk aКM GЦ ^ЙѕпякєyЩ mЂ;Р nfWЖ hl4ИўяеђЂYpHяю¦TC¶е xw;€ O”TUяэ {D~е ђa…!? :~ЉU,яуtpІ Be N&gt;Л TмZѓа Q…ь ;‚ 4.яаHd!3d 9я H2я2я2я2я2я2я2я2я2я2я2я2я2я+яуdpє 8¬§ Kt 7ўH‚ Ћhcд"32я*яю)3)3)3)3)3)3)3)3)3)3)3яуtPя xfga$3Ё 5\¬)3)3)3)3)3)3)3)3)3)3)3)3)3)3)3</t>
  </si>
  <si>
    <t>і €3?NJ&gt;н aq”©Гщ !L—Ц [R»ѕЩы^шн»ыЫпBЭч] O€Aѕ XNб“ёSПЧМЯ PТяуd`Б &lt;ЂЛv» SEJ AxjоV cДHp`@± C’дЉ ;u5 @bH ZмЬoP J]K\Ш ?\€ DД&gt;=лчњ C° Op †YY…Г”¬“vћ©ЪРҐТҐ L№BЏkjEЇ[й*}bл™&gt; 7ЅЁqКо№Іа*ҐљїwЂЁ ”&lt;ѓ‚ SЖЈЊ=A95*рЖTжф EХ яюkчЙИfЇз;Оэdяуt`¶ &lt;ФУv{ WfJ AрNн– L„ [е jPМїzmyVє eФw”z 7ЕЃ•ѓIJB UЋ[Вў‡… bQ… E*УЧ¶MY  Њ\И j]&lt;Z ut7EB§‚ЇяQ EвИСЄ‡·цҐ ^ЕпЋCn®Г¤\xT H©М B’5МуєА\YZќАe€ hEЃЪЫЩЇ CКг D\ HШл@Б}•UЭ8Duћe @з”_фќ Gvљv &lt;|гKF Њ„OD …HRяуd`ѕ =XЅxЛ ‹9H ?` Yщ– C„ 5N Qћm‚Ц±ЙXе­oI Re4  ACЪ*n j‡9oDвk @№Ю g_TH fIE `¦„Ьj5 ?Z &lt;­Е asЋЗ’Q¤Ў ѓGРчы€К N€жUшCP &lt;Я ”4­ i;Х b‹VfВ cѕ•!QюjВ WЎz®nфщ; ;а?Е NeG 9Оmѕn: 8ИјD b6YHяуt`ґ &lt;X№v{ SЈH @ё aн– ;Д jC…‹ 4µ’ Gn•¬їз I@»n°чCq 5T 5ОJ¬Ь hSЎ p^Ј €nAфАL U{H kfdu `T ѓ`цq &gt;’] ?Щ []Д &gt;7к ;5‚Q[ШёФЈu RхЂэVZ“ DT ~Nђ—FoН€¶DШжЄUж V@§&lt;|Яd SHў @^щк№–}№у М U3№ F»і  D=Ї… z’Gqа@ 7ѓг &lt;ZРa o\Юяуd`Е ;ь“vg ‹6I @Pbс– ;FJє 8v]ї‹‘z†ЏR „HVN 4E u;’j± Y5§ ?J k†mdжY ZsЖ X=Йјў€RЛШзh 8њ iu|y‡IJ6Д‹ь»™n›џ±єЂялRp ?  t‹‰7Ё C”T“SO QЇНҐ­Oфzџ&gt;¶kъЪЬИч;Ќ№*хню*жњи Mл—¤nE=І ]яуt`В pSїz{ ‹6I APVс–H† ]dђ…зёV ‚yЂIEЃ :&lt;ВЕl ;{йЄyюЉ’­TL¬Ґ 58… pjcjПJ„ ULp &lt;е№° Uў»›hъ aЙ eЫ—gЉ&lt;№J JџEZяA ‰TуЖ ==†џЈ’U»©¦дј 7‚э„mqzщЭСь[LqК [:П¬ t{—D{Ч 4DД@pC OЙ tRжб±фT lT4¦В¶S ^њЄC \МЬФ DЁ&lt; rLяуd`К &lt;ьЙxk WЖK @€&gt;х– CЖ Y&gt; 8ШАbю]Eu™ъRЅ ]CвФ›l ?^ c9eC Wљ‘’ tRXђ RaІЗIAЪCц¤ 5LVI h|MH {]`mАT9cЮЎЋЉЌL‚њ;фЂю•Є“  ~‹UН =А 9ц€оR 8fQ 8¬рzЩ=K _ЧьVЎѓD® G‡ aґБgO ‰OЁ&lt;€ GJ4 &lt;“ 8яуtpї p_ЫvП ‹6J tcFй\XЖ WO xI@Ўсg _Ибuј*ц~•t·Чi•°rЎXЄТ” sG 9¶w3шV« 8ё° &gt;фЃH•K¦ C…Э‘zщ•8ј‰ {7Џёґе:†\мWЈ ]`иІ Hv*жL 3oх{x 8Х FpNЗ dVыъ7C–іА W’њAµBћEA…aDaХ •=о_е eХ« ]«Ў]Ы V8ІQ~ d4ж c¤гҐјЛ ]Р№У‹ѓяуd`З &lt;TЇ|{ KcI tSbх–`†J QhµI [„ѕ—I¦k SХRЛwTЫ•· [Ф®чеFЙ4Bбг¬ДЌA YЮ€Z \М 5Нj®к 4@© \РШ sA›¦ c8B xLВэgМ PV L@яхRt A*T C^ _€3ЭнIЪ™ ’?Яз 7ЮgЅ?яПуО “\ѓ=йМwЏ D{ ExГЗЙ cсЃ©A3Вяуtpѕ @} Dlk= &lt;Z :hљШиHFM7–&gt; umj‰xc”њ 9ч WШ[Ґgхя¦ЎE TUЄХ©: 6W 68т aя ЃR…ХYЋО{’|J±Я~›*нЛх8 ‡mC± Cи B‰Гг KТBЃ  jc©ЕџйoХё?яо} €3э¦®ЭАL G&lt;&gt;ў 7ГншF¶5‘9Ѕ 9ЇT°yµ53чцмQ€oeµґк `±4U¬Ґ°Ђ&lt;јX I»AXЦъЈzк Ev‰яуd`З &lt;x›|k WfI Bq&gt;щ– cД’џ:Рb HёШMK Uy Z‹CИ~V 8H© yaі•х ^ЧJЧЅАЃДў‹fЌ ]8дЙ‰±‘ 7ИB &lt;ѓ Cя‘L—њѕDNљ G_7!YfНXЦѓ &lt;€Ђ 5Xу 3єE z3jћФЅ¬· p;f xdЕїЬ U®U W“З@сXх›] FpЂ vKРеD;І ’oWяуt`ё =ДЩv{ WИJ DЩZн– KFђ– `ЂУ‚d 8@Џ A  Gћx…жВ 7ЂаСч I4 ’‰K…s„k!D SgЛц№иЖ Yh EЈu¶’Nр 9CЭДE 4`й  SH 9ћ kzHJЋ¬P›:48­‚зhх®ЂП©Ћ« zUKЈж &lt;PdZеЂBї ђ4ЊRаf TMьC;ХҐЧ&gt;ЉD _Д5НrhE 8Ф*{ ’H‹‚PAIю© QPҐtГZ eЭяуdp­ ;?yГ Љ‹Љ@X Uц j&lt;„ 3•SLd›‡ Y‹DZ€ c:б ]Ж _8Yn[Е ~Yк­ЅO©лkюТ»Ц©їMlєАh fmn QЄb{f ZЬШџХP] _ИВЮ­ю»ЫI AѕЅKW &gt;pњ 3dV©¶д• 9IJ„ёІA· Zв_х9jSAG©лќ~Мп­6бА [уЄQ’ ”WЬ _GЖ VцYяуtp­ =њ·nga 9I p]е\XД‘ 4Z N” [с NжТMўЊП… Xm {‘HЕ C_К Y™R” Wи¦ю@n ?Г Gnbіз–”w°†с™6µ _њс&lt;ќx_Тд Z¶з{·кн•RQ g8ЂБvPЬ7 Dв·ci :&gt;ТЊаЙђҐV©ёд±QШј§P JaFbрПjОчй¦;ЭЬџ«Њ;jҐ№·ЋЗ c т lIхЫЯЈ5ыјю ‡dЊ=ѕЭ b­·?яуdpВ tKхiГaйZ…°RХ\{ l\їZcМXјЅуфкWќЎG_g—}лщLґ}ЌEлЪ›єНю`} cж*›ж9ь“ЧЅлЧ `?3Ч j&lt;@Ц ~T€« –XVЗэК7ЇpҐµп|S MЩЁ u€K©X I©Є®Ѕ7Z 3C¤\R¤рv &gt;§ ?SКf Rk5»Ь3н RnђWпи™ \!L›JKCRћяуtpµ sGЯiГ¬ –3‡ђ†ЩYO@ 3;‰ 5ыДЦ†уqа№FЏ =Y¬БwґЅћ dгwWЩ»n« ’^ЖqtаДМџ‰ =JQ±K«г:я9ЬhЗ_ќ­у‡Ь G3°§d‹ЇйяОяфЉкz@–Ук= TДћт ]kоШ†Iї-яХћ¶Ґ”Ћї*язф­ UЌmђcq¦Ь‘¶Ы’i W` 8y A: ;Z9Ггщ· ‹b4\Љ &lt;9†њ]j8@яуdpБ FЃ…pЛМ&lt; 3њ‚То 8Џ Ћ3xЃ G: €_v:™ђ]•ДPД eі’ДwAG ‰&gt;9„њq\ЧµДў ;ЛqtяЂ t[¤ WѓИ –†cL8Љoя \СEДЕ‰AF;і•ОЉ§*яТі‰Џч&gt; MVo­kЋ 3Сp‘ 7¦[dH…щ‡‹еpxАГўо @”is¬k|bФрТ ‘KчЬЅ VЭ*Юяуtp ”m[5~Лг!3 &lt;Xo =•В!3»ФХ№lД_ ^яHЪМ 4EЈй _° 5А·цsУ eњеu;ёT ‚Ћ{&lt;©Ї—”R–’KУХЈFD°LµTi¶д’ 4а Љ9Qк•ЗОqљR¤F PЅкR|ZЫџГМґ \B©ж U› =i bйIя9›ь‡B &lt;‰†‰› „—8BЩЂвРE XЬҐФЋ…ЏfОІz IІF n\Adi6 6`N Eґ9Б!B 63р ;v Tяуdpb &lt;Ё§} b&lt;cH!; Yц jCF g&lt;5 y:х§я?\х W{y«ь ahНЋ L•А _У CТC VFc =‘‰‡ [bТ¬йsc† ‡‰9‘ Js† ~Oќ “|zx;obћ±Ї F&gt;Г‚Ћ‘•\ЄO ?N„ЫBБ \С MuЬђ s4»ЂNҐ –7Rх ^З Љ‡_~КR† d®‡te WЖі¦чЫ OФР¤м =яуt`o ;€?zК Љ‰Љ@аnцV KDH S…O¬х ?Ј»6ФыF![§nЄюJ 9pИ eдrцГ•aD¦в] &lt;A rX6ЁЫK~ѕ®ЦжngпГvмРL*g–Єй} 9[чзЪr EЪЬH_ХчлџсNх @XЯы `»~К EС Km7 X 4Ѓ Y• †~5ѓа™ъЙ GiҐь±›»;Тї ]¶!GU¬•8µ4ҐЛнЦл¬ЂZсц© RЎ ;ҐкЄяs 4яуd`† o[={ N&lt;e WЌ° Qц^ eB 3B TШ‚7 Rчkы7›ј cfqKP|YйЇю ”ѓFиfzs UШ UФ I„ЮП \вr VО pkEГз GXbGС€7н‹ dЌ№Оґ_=ђ€љґ’”Ћґо·h D*‚ eф@fНVPЉ*» 8„ЕG’uГђ‡E= ;c‰Ш¦ RSќ3©ЇcUЊЧVЧWKжЭIЛзяуt`Ѓ &lt;DҐxЛ ccH AxrтV KДHv№ &lt;b• &lt;5[” 9©Rѓ±&gt;uj™µtўЛsN«ђ ^ѓp6°ЪЛ At ‘=­ЁjEВѓЉ …cф†ГЙk 8T ђiLJM Sв]ц BF—ъ¶·’@=є ‰]жАCЊY 7BQЎ [6F 8к EЂ GҐљ Pфєк b3e FuСGІы ?©э4Хѕ Xc KЙ G±7Аа•k®я— 3‘ v9I8yГ©»«± S8дNfKяуd`ђ ;t=xЫ&lt;c Љscrс¶ KFH„ _і›ъ§Ж‹жFyя l]„¦e„ 4ҐИњkQ ЋЊ@4 9ЖЉ“fM©&gt;| 8Рн =Р RюїX°У eТp &gt;ц7 4КK rKЅ ЂGчН¤ё4¬А Rsг«wіҐ&lt;вl Wl[@Н PЮ›ниЈ: 5§№gG±`*© FI№ YаXФk QЮ_A 4›{ДЉhs |rhZяуt`’ ;”“zЛ WcH ?рzх–H†JЛ4pбI±w U‰а C”y5Ќ 3Ъ ѓw_x fhjЋЉ:J DqИҐґТJЯej9 {aЋ‡ж®]D–cЌІ’· –R@уKsЈraф~ …?9ЙаИѓЦ KYѓ4шж &lt;—·u &gt;ZкФУ UД…&gt;l±єЅ EХи}uЂT ]fЇw 4ћ ED[U„уLјXЮ›кtћ“ї€3ЬЫu°Ч _·†c•HN± KРК J*9яуdp¬ or\|Я cВ z@p~ц jcЖH{T “?9”ЃO 9G‡O SP r‰Sч*Ґ^ї]„Љ CДQЉкҐY~¦©ё 9q hWИ “’c†„N ;“@¤\р; ]йi Zљў¦=М q„IZЂ BµГҐ seТ &gt;Љ?‰7ђіх EзЯWП sYUjUjN 4«Ѓaў&gt;€в ^9z± YЗљ:}&gt;‹bН¦dZ»Јяуt`Ё &lt;ёµtЛ ccH AИfх–HFJ \› ^э;µ AQB OМФ –ЉЂ8В U¤ ~JHќF 4щ€b¦ Vю¤Iїя ;ЦЁюI W“јЂРІЬ Ќ?Я G`“Ф &gt;‰—Aй¦ GїЪнis¬qіќХ SђдєЋeuЄЪс;ѓ«­”z@Cї ”4€ &lt;А°r Cjz|ЫъµгSЬЩ‰­4a6Cяёч Ce :¦­д {6U ~€D€ђK `ШЭв h4K„XT@ QЉ DяуdpІ ;|џzЛ cbI ?Шzсt cDH­ў Dў‰іaуяАkBС ;ЮЧ VhҐiP XDељј hilLТ3BЌљ ?w—ЉЛв’ :6 S¶кX:СBaЕ’[вБ 4§Ddк T™ &gt;¬@еЅт kAфz fЉiXZ­о 4`Pи UАґN_я ЌTт dМ§b—P“ qS› K№«t^[ 4№† ]C’«™ЉЋ Dv Xяуtpµ &lt;Ф§tg cГI @h~ни KFHvОtынJ {Nc:БV vcБ­ qF{_ cХ 8DЏ– Њ3{яЦлSA \єсI6Ь f&lt;hајЬђб@zї HVЉ:·Ґ« ICЄ»ґ\€X yrЉ_jX UT CkћрУЋkT &lt;Q›~¤ЂVUe«{ЂСр’LЊ cЎVэ cзэиiTIj¬D \еdМб†Щ OЙH®GѓLЦ d;сJёІ Ss™њЧ Uбх 7e3яуdpГ =4Лw ЃWЈJ @ jц jKЖHЃЈCМ†Ћ‚§…Ж 7ЫЩ eы Ђ€A?зђ _ЦЄХђ6 …UHWБ Y53 8; `BЙhъФ gO=K: •wIyDZТг fUЕeb WќZ®Э¬RA IЎ ^Ќ©Y­· WЬ 9сeЂжi MЋgt BMЙOќЪ[ачoр dFгґјЌэзN CЃ: Vl` ‚Qе°Jи Hяуtpµ &lt;ЬХtЛ ccJ @H‚йX cFHќН4 SBh†Ш ;и XLqo°ѓБГ\ѕjГfМjYQ€ PEмQц ‚‹n‹MШeЈµ&gt;Е ;4‰ XHЂ dг@р H5 bЗмl›¶Ф–Ц;3Н6‹ЊuЊ°€‹› 6XЗ*™XВњЈЪ ?PбхS 6Ѕ MHXЃжОzЋШpsL5F·І Hаі°кV aј¤3E p‚NtУцЩ»ЋЩфЌ Zy7U ЌЂAб J¦ Iђ»яуdpД &gt;¤лrП&lt;ГZ q‡EЭpa†p=­х; OЈMC ZЮгMё ]O Iц_®]ѕ 4ЭnkµЛ—єН FЏ™Ё v6Х}Нu [ъ 6M _єeк”R‚ LЪ3 NV*‘ ZђЕЏfы®Э‹ГоUPhТ 3Ая ђ3хЂњ AРиcЄк·Ф|г7Я[ {`k°` E=_›±Ж=B `CD kWeђ• 6№€ИЋF ‰Fяуtpµ ?с 6jk=†Z 9ш~бXyЊI AІ©M™UЭШeЭ© \Јa 7—k JzѕћЩлnю 3® ]…Z*•g ЋEљ iI§ @ХРґg ‘BБ TЎ®™ I® W… M·8„mjR F± 5ЛЕ KuКо‹ЎYµS I*RІ5x ѓ:Y©:тСаВUЄЬ`FC ;kГvёOзоя HЦЄЙЛЬзЭqRУ’Х ^цЕ&lt;­э¬ъ OЧX~g&lt;ЈПN C@];ёP YXя±яуd`Д &lt;°Пpg= 8K B8‚й–xЖJЌw FmмИЫ&lt;™iрLЫ YњлDCЯMmг Ђe3э‚ FyЏm Bo L{ ;8&lt;L c Б BФЈRЄФЖ 4B G6 ‹4воЉ™ќ‡ЭЫэфыa&lt;§ЙЌkЌЩЋКЉФ*ЦM*ЩИко Sr j3°`€x лD pMM :д6ІsҐЧяюs—D‹ЄЅК 73°\¶яуt`ґ ?ќ `p{&lt;ЖZ wo]б–Y„ђтАB Q” [4 fcb ;qMЅю› ЏIЫ—ЬкZ \фгюBч{@о PEи DM ]чT©ЃGваЊ?ЬпюНПуэOwэ} 8ї¤iUs` dbСъt 3C ‡enИх[ ^†ЮҐЦйе№ХnҐ MФ ^ZШзTЩДµNcjЭY®OY¶¬Ў \бЙ T[iҐљ«я’ЃR@;„ @^Рх …&gt;Uс“°ґя h?4Ш7 Q”xяуd`ћ ;А V{ N&lt; ‰EЋЂ~тV KFH ЊX“Lqi ]хМnЖQ¦ ’&gt;_Жањц LI ?*`– ctЕг ?® S9 5СДЃбLр¤В­Ч]uѓЛр FДФ Jі65 \NП·Ф PўO¬‚ zMЕ&lt;рG‹–7эњo &gt;ю ]ў‚DЊЎsК›Јњb!T`оUV“ЂFВдr_№e 7z 7­ПьІ®Кn _u§вяуtp™ &gt;АсnЛ&lt;ГZ nKЄбXxКm‹ 8V‚еSН je±yЙ}™ =NS5^ъЦїmUITcи“Є €†;![Ѓ Ej IЖЦлhҐv?ы5У_ Gm¶п@dѕЌTЎ ` UL\у 5Ґ† Ђat] oЉiD9e bEг‡4ы „[QѓК Ck–ф uSѕЛьPµ~ѕqnpёянRt 6дж@‰S­ън¦ 9·6«]RъЭужЗ§ё &gt;vщыЯѕю6?ѕю{яуdp­ &lt;dїr{`cI A Zйtx„ [a—ѕozµ pLsУИRК ЏKЊ bpWP| ?eжН =– G=B_[ 8kсZЇпш YГJ±J«NP zIђ± O`о&lt;SA’k«ФО·S*¶ЪіЙЅ Q•·oOюцЩу C‡ђIw oDHOCнS¬]„ШзqK xCCOk‘ HF i GЎ*UХчЦЫЙ!34 v?яуt`ў p?іtk§ gCIbй—M v5Mџ— &lt;¤R ‘5uЭ­ Iд¤юRыЎ €ЊoJj°њ•’ ’Ja«ИіY”¤ QЄ WШb&gt;б* P8eCEЦ B±9ы№ц ЏVnЕ j”9ДЛЁv§чПнмЅCГхHљњ‘Bpыџ*яюѕЧ†x^ьµ FnJь ]•8—уџ‡ЃR 4Ч‘ж eЉЌUWR&gt; ~i\Hй HТщweёунФОЇp–WЈёвЬh ;„?яуd`Ј BС9u NЗ¤ f}URй· ~f;рЃЩёBA 5m OE DЎЫХO3ЊЇ ;§И_lќSN“^ Z&gt;wуьђтЬї3Л bхн bяСР@ђНh6ЯяЮ UҐ© FUь° 7ГДѓД 5YГcґX™mМъ©@аЦ4xb _m _‚ЕsЎ 9ЕЄ ”]Е b^Б‰tQ”№хXЄє‡њЅо S=nNQ RЗ y3¶яуtpC nj^|ЫдЂ f&lt;` Iъ 4Г!3· Oz [PА*  CКҐ„ SиЂђ‘ 3TZ ѓfLr\ЇPr bF¤~ЂР D7YЄ¬9фAi WрK P}QЮaЦ‘ ;`@ PRБ№Ч IEЊо‡кmЋ `h–м]ы{Т:zЖ ‹Apj» Lџнк{ Kб n3« ^M6еl ojG„dF iwCшR—CiЊB7Фа ђ;ІvXYц 7МЕхЄчъфЇXрI H«M¶д’!4яуd*p :T \xК cc z=ш‚ц j;FHЛLџѕ5~j LЎ E€­ SшєN&lt;щq F ;ђ KdY©PУ ^b [µb©\ЊL J4ТўЎe3_€ћСКAF\`{ C’N _€‘€YAЯ¬’Ie¬ AґOX–xЗЖЄО oUЂU‹„MІ ‰{fYҐ TMн ѓNЫ VЎOCW§’кє…gx±]О©@iїЄї’ gWяуtp„ ;ф?} •–€ЉscNъ 7HЖ [нAM „TwУцВLгЈ“Эѓ:а SАЩСsPМr ЏhX5Z= 5ЇІ Gpы ?вpІс–ЬзњЁЃ°ѓќS ]x°ж X«ўХ EZђ6Ы‘Й 3Г ЉBP U‡Ёаp F8Н Y„вБ 5м aMскo¶ PН€ `rе HPЛ LЪ‡ ]№ЅмJйЏєЁїЯ®ђоХ«Ы @] =n 9R Q—ўКС @й X–”W Qє B‘ґYЕzяуd`љ ;d=vЛ&lt; ‰Љt~Qо^@Д 3yщ¦ВМр cс f4ПKOТ Ќ:EДо =„ ?H |Ђ6h _^qsnD«VEмсєщ¤ ‹_PM FDm8›rl 5B EA„8ие 3€ H@б`D aтIT€Њ SэТuЅ¶®Л&lt;U«kвжЛ·мBІ¬ІщavE EІ ^ПA Ћ?fёТWыё AсДЎoѕaиу Vяуt`™ &lt;xmt{ cc6 B@ Iт^HЂ f;oЁA3”ЌGW€TiЁ MФ” u[U– MXD Ѓ]Ґ Ђ7Di°z ы &lt;ґHuмD™К DІљЭиRХе{ђInИ’®жа c: [EDРрВOi 9Fф =_FҐЛЎ…Њ?В53µЋСєъЊйУЎ QџOЉ Wя¦фMЂeяЄяw 4Л aD ’ 8®Іnћ·Ag_ШVЋЕ 5{™dє QК}™FЄ“ Ut~ Eс _Pяуd`Ј ;|A|Ы&lt; ‰Љ?ђ~цV cЖH&gt; iA„ :а D…‹Ђ „”FNМ 9–{юFж¤—{ ѓeHJє’ Џ‹‘5D ЌMЉ mEђ KxL gx:В@° e РЎ7Ќ&lt;eOv„JШЧЙ™ MК’dRmµz§hHmЦ UeµЏЩЮЪ 3Ґ—й6дЬ n8 7‚ A*t [РCу¤І I4™¶ ;ГWџ cЦ Si‘Б– 9яуtp§ ;ј“xЛ WcH u~Uо 7:F 3ѓ¦S&gt;\Ёt ЉIПCСBbп pQB 8А WmgЇ _p^Л¶ Ybaэ =ЗsЏ«›Ѓ‚н ;[ &gt;щ cФ }{t6`Ў {gIHь‚ІЕµ­ ЏQV§ “LжБҐtзќ6—х L»™•jY»·Я– ]нк«ЭАPb SЃ°„ђf ?fКqоGЈ^њ~ 3Ћt” O6=¤OЇ”ЪCшзЪЙO3 ^w UcGh [t :M WШ Eаяуd`· ;¬7xП _c Љt†eн¶ eD 7шu CхG T]BґF wСщv~qЕ_НА =ў`И•†Ў•JУ 9†жЗМ DђЁадПШ—Ї6лG Ns Gђ9Уё EсeЅ ]} P±¬мОj]K­f`¤iЄї—Ѓ SІљ±З Nз€»IјЫ8Ъ{шШЬЅ} H›OЋЩ°ї№ЇЅ YО XЙЛ Sљ ^™ o|w&lt;яуt`ґ ;рµr{ _cH AРvй¶HЖH’Ц Ј 4џ” ^3 |GxАt Q6m¶‡– :A ‡Lц^щ =XVF§цfUYЪЄ›ЂQT ”H@=ћЁH 44эV K T4¶ЬnѓЗ“‡Л€ MША –Yб:ЂKBF WU 6G ‹4ОК &lt;©Џ„ 4№ 7]fПлPdhЉU{ј r\Ќ@™ }:Ї”Ы·Я¶p№—Ц[ь~в^ Rіl^Oџsmњ­ф‡ўљ ЌEкУw4Кяуd`Д =hГrЛ&lt;ГH BШrс–HFJ“Й mn:Џ {ЉShВх Q`iЌ3мвг R{юЅмR{¦•Ґ ЋG°’М«6 cќ w?Сг¬а Uж Eµ A9 Iх?мEг‹‡љУ 7O BЃ~–іюqз Oі _u BUN:арUЄUjrЃ Cxl Њ9з`Еє o3‰І 9F; u‹PТЅ¶ dЪ\› SШњ aiа№е5яуt`¬ &lt;hіtЫ&lt;ГH @Ш~рцH†J€ WЃЙq 4Ќ·\›¬kо Dj Qiјз¬ 3юЃ YЄi§ ЋIЦ D‚M§ј @Ь Љ8r? V9LjІg„ъf‘Y MµЈЄ№иОIЁҐЮв|uМNqВЉъшRФ 3ялRt 8Бy HcФP&gt;fOг6Цu¶3‰ gqk&gt;h ?Qeй№xJfЂП} eК RеУґ [IMИЁ‚ dDв‰Њ IТ JУ dШaб ЊN‡– JЂЫmяуd`ј :р?zЛ Љ‰‹s[‚с–HFJ*С€7 Jю 3БR ]ЅM5NP TґFA &gt;‚“ЏL –vhr:Н 5yW„Arѓ o9Й·пz 8‡Ґ9Аі*ЕЋ\ MУЖ{ dЛ~ћр« DєЭ &lt;ћЁ¤mZїwЂ9 4РL }4eѓ wd«wЯw}\mЉyнXи6ь*Эw·dЩСlЊ¤}[S§тЮЅ 9Љ YњЫЬ &gt;яуt`В p?Пtk&lt;cK AШ6н–a„ YЩГvз E…• `sї·s Ch Y\Т DY‡ YFЋі 6›№Є JуИbђ &lt;‰YE n&lt;BРЎjnBҐ `ќ™bіґЋ— kV:ъ» NіЈdІ xLщЩnGg„ Uk :Є• 3ямТ” kFE©ћ ’JлГ:±љ Ђ‰6о’єїk@їЎщя}н°И8эFpЃ~—ГЅ “7З AГДЄp CР DаADQ Zч Vб€… ZЉє¤ YяуdpЙ =ИПpЛ cЖJ &gt;A aЭ\`†‘e•g ЋCZ g‰Gyб xKМiШ ;Ъ V” SF@вҐ ?¬ 3xнўи‘[ЭZPН—щуnэ uX™эљ FЭйРљАҐVЄї“ 3џ GаЅ L«зУдж_зnе‹ 5Шљu¤O]CW …J­lП dDЌO6 G‰s^‡Э8уп~cнџlP¶тN*МУ· =@ WиЫўяуt`А ;pЇxk WcI @°~н–8FJе Iџ¤ќ™іJј—учЮZ AрШhQ &gt;z§ДпЭTюЈы ѓ\ЛУ¬¶А ’3… WЊ7 P–W ‘Tв =пЪЉ Gцµ]аSЬ·™ @уRSй© ?4 M№Y­¶дђ kЏC„ fWQ ?Aф† [ _nх aгk D74 &lt;r_A‘M] gm;e¤њб: Wјєsо| …cјeҐ &lt;Q¬ PУhсDеj5 L5 :ѕ№‡ћtЛяуdpШ ?|щpЛ=fZ =A =й\IFqН5WKбІп?RЪЄцНњРb‡p HПЌ­Р^5І„ч›Ыµ aґАТРД6АQ@D 5Б@LkуШ ]Ѓ ‘Fч¤{њ34Ќ ;ЈЉ RPянRђ ;‚ѕ ^¦Zбa }97Х· |\† BrИЎ›°їщIж› dТ†§уєГВжРнГ…r°—ЮЌpKJХ •`ѓ o8яуtpЖ @} 6pП&lt;ЖZ‡рІб\8Жm… „FЌІEя® рhТЦZШTлЭµ€HђеUоP@ВPЁ^© P‘s© I&lt;dл 8К gxMЌ;Х `s `zZчґЁґj aXЪ€4ф HЇe¤@d 8Єї—Ѓ JJ zZњт s5X?­jW[»оt NЪљХпМъ·@µшХA6¤T± _”…Ђ‰f T‰\PИ‚zЛ]XђМ”ЪRл ]’Ж l;ЂZL*E d“Л¬ Z{яуdpН &lt;АЙtk&lt;cK rvMймcА 3лNDЭ Љ^ъ¶ЄЉ]Јm№ D¤ :ЎC GвvQ QrV}MђјrmnЪUG 7Ф™ c©Д Fр 4E4р;њЖбд:w RЪ 9эMл \@НjM№ •58B 7Я ’L}=іUqпuЌjЦ°Зvкk№w ?V@yC LЮ ‘«!XЭДw I]є Sц‘¦ёЪZfiY™[UяуtpЙ =рµfЛaѓH scЉЩtxРM P3&lt;N¦г‹ [рT G:p8 B‡Ѓі S‹В±5ўё­ ЊMЃЏoс}4·Д›m D]@ &gt;аЂ JЎё{ Mпюя­пЏ[¦u y3ЫзЖЭАе ‚[љ 6фИ ЏT®э TычИт ^I3·УпeОхЅМ@©TнTТJ Љf5ВL‘€Њє hF3v Jр4«™~к_ќА€В =Еѓжg nAМn UЉ„·&lt;з±R AяуdpП &gt;¬№h¬ †fBxbЩyO f4¶® JwзЃ°ЫB±C ;T ”ЉH®тД• AлG y?DH‰„H w“^Яэ„‘ ze‘` d!Fr YЋUS FНя~ь ‡5нЉТ*‰яpЦ”R”† PЏхпЯ+я]ёо Vo+яЅљf wIиAХ xy‡€}Us Z3 eP!3€і sH:F 7Ѕgч9IzЅяуtp® x4‰p»М¤ g‚]nЩ‘@ 3н[—ЧС^@„HЁЄЊ9 P„qB LЗТРЪҐg? RЁИЉё§ЎЇGЬNэю„ ~‰`»°й AFЇ*я 3Р V:K Bвч“F Jµ+яНєH _[…&gt;›Ёf9Щ…Џё \DiљЫC lEЙiґг  &lt;ІђљcТж It7 KЗУ FУC CшЙЕ GN{?i®ы \№ЙЎWe PE B»фHъPµоMЯЭя }vi3яуdp@ : G‡ bДЊ ftK“ A±‚ ~3pH‡h ЉeC*3DEDuP f@ц S]•†x`«®&gt;Бbѓлє«5№hЧcЯgКПжe ]«ыѕэ?эHэ@В USUр*C_ xF6 ‚KіЙ=·|ТШФШПФz^ИФЎњ ^P ‰ocў~ O?ЃЊ †Q@І…@ Ax©З 5K c§ wF©V§ Wљ Iz IMc 4qяуtpE &lt;ьutЉзЊ 3!;~т 4Г ~3€ ‚Yf O^ ^h¶ FФI XM ViЂ Tє  €9цfKGШъKє­ЎN S|є^9Hj ”IЋbџU«ь6’| 4“3џЩw6 Cрy dйФMO4ЊЄєOnНч*B°РЙGЋ7ЦСЖH \м eЖ&lt;¶а“R¦ ‹&lt;I– ‡ЂHл™r xg&lt;K ЂЏSY 6X[  TЪB@tYSґAbЗ &gt;ҐЧ« J] dЈ»тq[“±`ZХяуdph nO…xК cb8 oSjт jKFHZ›ЂpМ &gt;Fђ± }bv —E…йКЧ Ћь LП‡­oЦнҐ~ЛЬ¦ L]нґт ]›vs»• LR ђI;­см?BPµ”Z YЊµ m\·[Х=X 8і ]D”“l ;‰Ђ Ama®?ћI qFJѓ [«цЬ¦ґT} ?¬ўP ]z WeЛDгЈЄшХЎ R…А©_«я’ЃЖяуtp} ;ґНx{ SbJ &gt;и~т j;ЖH*Аи™ўsR§ЯЉў8ОQЬ R| QOP©–Я e›l BmЏ @\С @™‚ —STx°EЌ Љ&gt;Фhђ‰l tUСйZЏ \є‚rд‘\йZ®С*№Tђк “W™l tWчЧїMµћ TNБ [R aХofЧХµYm E–‹§ RYVGєН Y‰ el™^Єя’ 4c v?уЇ 8ҐE…П[ЊМЪVжђ:ю z5EGCbжшОІяуdpљ &lt;pЌzЛ WcH =Рцсt cДpВ€k\Ё 35 @ђlZ p7P H}± :– ‡8H LљAЎЮПыпУ ”Ytё9•‚ѓЌ 7D 5WТ X¶€Їв”ЁПЧ\ ?° –8‚ F§‹Ь€ІУђ“±Пloъ eъ[ eєQ NШ–sџЫqЙ qe№E‚ 3Є [•eЄїrЃ 3Ф Fњ NВT bкит;БnсТUJGяуtpћ =е &lt;tЛ ccZ &gt;anн\ KД‘ 8…\owq emҐ Hп yZDщТ UZХаЈ ^ЋHЅѓ™PAЊ “ЋW6= G=eЮђЂH‚Ь®¬ 7„@OЪнn±mDЁЅU°K 5‚БH¬иe»ї QШ№‘ KУGгЌј«rьл«@я9ЏЮЇ e9wЧ“ћЪш 3” DjЇnЂё Yd TZ„ї` WТгvЕ{’ ѓЊKЃЈХ ;± C‡ 3Њ &lt;Ьи Fз\ 7[ ;рв!;яуdp¬ pG·tЛ —6H =р~н\H„IЁЗ©‹d YCЬ;‹МPж ]ЃPАФc9v=їЈѓз 6G MЙҐ\ Nљ G‰I]яЅЦ UљЄАђкз@н TQR_cKQЭ]Д;CС \m=ЋъO: `·{Щ aW IґfG@эZЇЭаWD|ІfЗ ‰\Ц\]Ц ?cЊЛ\„ЪМHЈҐЩ—ТЉ ?[Є Oљ`ЛjяуtpЄ &gt;8ЫpЛ&lt;cJ &lt;й YйX c„‘b†Fd &lt;» Dй Pњ№ЬS©‚®b Uа?&lt;ЭuЉµI zaъэ 8€T­ЊНTњ 4Њ 6D pRpыL‚Mчљ¬wѓ«ЦfК bеЬҐг‚ vdдбм lr~?‰Ѓ±@уњ  &lt;°ta \¶ BЋS Kлєю«tяЫФY“ EWыј &lt;PъДT 8Gёe QЫ [bзFЩ\–щоd}qЦN’;»У: aє©9«¶ Dwv `’cяуd`» oOБv{ WCH C@юх– c†r v[VzШну HяУ hЊ4P Lѓ mbxєяfaxыд&lt;н fP№Ui8 6Ў 3H€ЧБШEПГ‹QЕћSB ЋrЏЊO¤… 7LP6ЫСmЈJT=EП5ў 6hzRчўњКulмe?йЅЪ@яj«Эаp© r&lt;г 4Иctщ[]кХSэДњSkF\е7…чяуt`¬ pCЙvЫ cfJ Aр^рц9FJ ‘P“†С§ Hй Mks&lt;ФqаW \сPЩ DD› :вG9‚гЮє &lt;;*M M}K JК?”ђ@ YWйА 3АCђтLИM‹ _:Д@‘Ђиd»Й“=H…‚ё¦QI mKа cэ &gt;ZJЧґн ]­ы=¬кPЕЁЖ«=Ciє[№· W” 94aЬw B¤ dт}уd [3SоЙ \©f«ш‰РnРz6 kO©EMыРТ 7¦ґЦяуd`І &lt;@Ґv{ WcH AЂJнЋ cD YЈ Cщз&gt;ІСbГ…Щ‰I 7Tnp`йp SLqmЄ •AгЛ \G &lt;5lsИЏdwµ ]xЪUўI¶ 6ґ mѓ5ў¶ R§тый CЋD w3Ђ Yy“S=ъҐ NИнz† NтR 6« uMbаKшP•YeЄNЂ|–Аe­I =uf d¶‚М•¦„ЗО M7µ!GHСяуtp© &gt;pЕtП&lt;ГJ &gt;€Цйt`FmЄcЫl =YW 6Cѓ СБ Co cj~•;Й _PіPI &lt; gЌe Q–р”€фЃsФУmёЂ &lt;Ц C† qQD„Ф LpP Ћ’oicH:‘зЋЇ:іґ N&gt; 9ґ±А Cж C­DЪз YцUO­®Cl cҐW© YЫ‡ ‹–ЂHђ FґOьКkq‹П ’ITБv9 ·4™Т3Sе eИуcґйК™‘ 6ўMГ­LAЊ ~@“@яуdpІ ;pOzЛ&lt;c Ќ@Ш:т 7`† WР 3E„ 3вaпUG &gt;°оЪ ЃMЫ?u =±М­IР Kcџ 7C HqјKmj±8 e° ZK¤·Юх·¶DТґ}{лEV:ОC‘ЭД l5И –a„ AyуЛмО @яШ 8їщd Aj 3о•Z“Ђ]°‘Џ ^YR ‡oй} M¦•њ eЌљжґй–e‘ Lю”3u›Eпrяуt`І &lt;L§sГ ccH BщNн–x„’Ќ VёрўІ&lt;е €5cќ =М® _ІЊ 8„з^xёtQ UH &lt;„6T|X ЉMlzфib„ QІ*U •6ћ ~EЖ O5љНO K OЎчё6•­u 4H I€ByЪЗ x@єymR 8Bі– bµ 3e ;СwUfo] ]оШъЂUiZЄN 4Bёr[Vсљёє{ Њ]к‚ &gt;7ЛЩ A™зoXѓQy©е HРdЧЦџY6Э `uяуd`є p;Лv{&lt;eK u3Rе¶H† [}ЎЙ TPn Ѓaђ‰R &gt;J 7б Q&lt; ”K»к aђIv·ц_J &gt;U ]Тt ks4€эFґvhH Aщ”wru BSkе§ўяєN·Yоїьб ;zмгђXh&lt;Xi·ё 5¦АОЂ Dы &lt;µчAp¦‚@UiUZN 3‘ ‡7Zўa W_н}dЇ CЇ ‡\” eo}©=3ћяуt`Ё &lt;4µxЛ ccI Bсvн–8Д’ЇП­ъоЏЪІ aРr‘ШЉК‘ [|\°„bЌ—&lt; fPBJzЮбVhBєµcUnЄZ” 8H\ГЛrYу ‘]в:нќe ZWOћ’Є*і5tЇэv»ҐЉ¦€ UВБ¶ –SY@V“ОЅµ7яA“ oW…ЎН®} f7 ђgAP 3вUFSb UX*F }d’vlЁЪ`»м®и ШЬ~ 6R:3Г~EЬ•¤‚|яуd`± ;€ГzЛ WBI v&lt;Fщ– cД’«BЁ№‚В@ [Ё^ €`GЌХЋо¦ЏсG–‡S ]э8 j;a @k:? ABђCцf [e№’ Tи;Ш«ЩrЪHa 6® ’–YqrЛaФҐ oP~ d‰ЏE ^&lt;У6ћJ K]”vн¬юUZ“ЂJА\аєµvі ]ю uYSшЙж ;ИФПUїяї7ПШЗЦ­чяуt`§ ;|»tg †VI BxВмN C†n™ычь™Ќ[®“йfљd =ЭЄЅј8TS Ule‡O ?Z4 XJБUY5K‘] a4єЉmIWyў¶ 3VВ€Ј*LЖЙв \†AЫїI _—ы· Lьыѕq]жю|л­а L‹ @аяЇ·oњЧи Dш*яуЂюUЄ“Ђn: 9Pd b3°„€ Vh GrAЃpшUs:es bCпYФCё·Pка` 9ЃЎ8к9 `F\яуdpё &lt;Иїz{ cfI t;6хр KD XS R¤XГ9к6 Iht ?ЧЁQтЂ 5вЙпЏ­фяbА AUъp =ВЂЈ w‰NЖ Bz 3ў5 ’AI€r 6 Ўz‡ OЃГП MЂГAr A› Y„CљЇШзЄѓ¤©hµ]сЇяЦex’Wьё BВ‚¤GнIэ“у\‹Д;њ{ c[Џ &lt;iu3ђя!b[иv“hяуt`¬ &lt;h№x{ _cI AЁbйЋ KFJЇ Lљ &gt;эс 4q 3БЏ :М :^ KxҐб =] Zj—Vи“PcSў B‰Д =µLЄО@ Љ’O CСLБ™Ю ;cЊЃБзР _ њкВ „a§bОґі _§oµ” ^LµA… XФҐВн^б;еЫ—ЛЂЫнWА’ SYR`M PeOЌЏ ®†‰ѓ®Ь ‰€ZНПҐчєPi™9АзЄ jF‘ 4Кл“ cФtЦІ Џ‡–Yяуd`№ o_ЈxЫ WcH Ap&gt;х– c† Yњ&lt;EpЊ M¶МЧ ;Џ h:а O› r;њC*ъ‘Њ¶‰† QУїдуdEФ X‘ дљЃ‚ fWА y6‚sР ~”9!5B¤Г 9R ;9 k`ј{ѕжШ8К©TFцЎ D: PgО4_­jЯIєЈћOm…ђЙЄ«ю 84AжD Qе}йєН•j M­љ•±gy b™aW ;яуt`° =АЗvj WcJЏ8 Eъ^ c@ 3К [№zC‹уV EЃЁіЉИћНAс…&lt;Х Wѓ Nєд[ЛЧВ  =ИЏNћ SТџћ„m9tь№ЎП 8‘љ3 ЉAdґџPЗЯсО X3NьЄМЯY YvН Dxhш EЪ QfUт ‹H@hVNm€ 9‰мN© ‡= T X–«ш –A*AЂ\‚†EЈ: ^©o3 C6Т•O kVзоfj?љг ]Ъ ]ў©”Д cИv±U{Wяуdp° @№ bnz= 9Z 7hVеX`Ж [S =Ѕo”ѓ\‚O Y¬: _•@шA? y6фФ€WAџ YН}ряХ|џzяпP &gt;ЩY eH Mс Yj —LЂљ± iTf 5Г@H@|а± I  Tjv eЮкT ?‡њ Ќ;4 cШ 7•*ZЇь y…3СЉ ;¶wУ `x3њ*‹Й№П ?Jµ¦щwэЮВџќУaџ5 b§6яуtp« =ИЧtК ‡6JЉаFй\HF W[ќ® Lѓ ;Е mvs5†ШP 7ащ…±м KзґБЬўфґ Uин—­Jяko«’Ѓ Њj‘UЧ D TЊ™8 •[єЉ †5L 3‡ gu:к©э U‡ D±У AШїCмлИЅщ 6гKёk‹УлФфn!3P›V«nЃ 3±^\jz7gъcЮS SЖ®a®Ж†hЪІY PХб M©VNТ `ѓ8Nч Xp TЛ¬ҐѕЄНяtБяуd`ј &lt;LµxК _CH A°rс¶@FH„ 3p”™ UЛEг‰ @!] ’‰?›k¦kµm~ЮH [€qЙCI·i 5” Eчс uQа‡џ 7аBГД „jGўОфЁхgD †&lt;•X—¦Ф7 \Щ IПЃ 8\Q ZcP= Ib€¦wєї’ 4ѓшz ]Ёе bЧo“µмвxПѕЫЎЌv ѓ5у® „NЇшVKЅЛfjg9яуtp± &lt;ьНvЛ _гJ @ИFц 7XD WG PС·Kњ wQМe9L RvidYDLё WY OTx v]є ЂiIЭmЕў•jzБ D§ K•T” &lt;… 3pD T9С Љc‡Њ 5€ &gt;5Ю†°‘ЬqxҐ7ЉЁфp“c^ aҐіШЬ‚’кSЧІО« RЇ[”`RUjь †]є …h6»ќkNПсЉкW5Р‹;ЎwЁ Kќtн{¶WA«6д±И Mb DЉ ]ЊК IжB Cяуd`Ѕ p[ПxЛ —8J t[NоV KF [Ц Eіґљ»J9гёТ 6Ў VЉ :–± T‡¶ ‡Dх XХiI 5ЪеюD•_ ‹5„Ђj &gt;Й—r c¶hc 7Ду dq lZYЎеt TкszДКIц@б eвf dzkЉ»„UNДUеuњm GjQo•Єn 3„‘бZдЇЪµҐ6•эх‹¦› QИ’&gt;у 4г VоuѕЮвяуt`® p[бtК cеJ Aprс¶ c†H a~е G¬У–й –=ъU ?r G\a YBd*S5VF OT}ъ €]ёЦr 8 bBЦЊ‚Ъљ?ЁЩ Y9 _M¶дё!&lt; „gЃcv iSTX C:iД ]‘s O¦ \З†ѕкmYk‰6У\QПU» l\&lt;S}экS«юHDҐ M«эК 3Аx…q”;n \ФОI‘NеkХ®p¶d VocМELПmі3¬ Sд j]дyоряуd`¶ pGхvЛ —8Z @ИNъ^ ;F [6с @ИдХЃЎ‘{ Kђ Dисз¦Х  a… Y9z{?mH [И¤eЧта S… op7О3 k:!4а —SЂBѓb 4uh›@v5Ч ‹&gt;`™ 7ЕIЪђ HАH¤ Yr|ГC ;И?T 8жЅ3W}XLH“y{ю\ 5J srZіЭ4н·!D”… LзЭlеэ YЫтяуt`© &lt;`С{ ЃSЈJ B° aцV C† 74№ cЬ‘њ TЂ u@Мѕ w†U:¦†§ў cЂ G]!8 XZ e:^›JЛ e¶ЧюяY ђЏ_Ќ WњМ r{DCкхЪ&gt;azІ‡ VGF Lxќ ЋQ‡Ґ U_YFоТЩе§фm“|r N}НЪ‚¶ ‡VKzЦ ЉiPZ­є 4pjP[S]­сЋЧ ]€® BFzќ`Mc6їюY‘L H•В©К› jUЫ Z[ oM‰± qAЫ FЮяуdpІ ;ФЈ} ЃcCH @ђbъ jKЖHќфhfW„МІ 4XIДRЁН ЂDAGчюРи‡ЁЩjњАQU OCЙГ™XЇ kЏ:– &gt;Ґ 6ћ [¦Ф6KbЮфµм HJKZќo”3ed JQзіэЉ¤ AнNфІ MTµNP =KЋ 9*“ YљYхкЕ\ ZPЛ„E•нЧ›Ў a] bґїє E&gt;М MЗb&lt;ХвМяуt`° &lt;tгw ЃccJ tKVн¶ K„ [МЦХУTтОј bу‡љТ yG;q {_¶ТЗъEЮ™Є EЁ“ ^±*ЧЭЂДQ@k QБ —C*Ў‘ЏU zWDq Z4µHLЈс [їк€Ю A‹ДMC„:ќ?mўVЩ©‚П№ m;sЌ§¤к@TэљяrЂXј†NЖ‘±µ{R*@ ELўb› L‡ ‰[ђ O”кљМИw=Cb–Ќsb&lt;Є ]Х‹ Eўd®й gISFяуd`ї &lt;8гv» ccJ uSbцV [ЖHКWћ= ]LЪ HlRю:€ЮSgPПяu\ё @©д3±S Q¤ [x:гEЛ‚¬H™E ZЛJ®чЬ`аЉi qp]тmЪIЏIfќqЖ©дWµяЦ° eтыzд@T X•«ь WU°8м[4E ;ВЄf€Њй M”И†b ]ЉjяхЋ‘ЭHђ ‰DjPДҐъ›Ўщэяуt`і oGеxЛ ЉVJ Aиbс–@ЖHгрЈ `9XO¦тС­F ^kзвФцL ZFG¬ CљџS wM8 :tсв uO6 ‰K№:Љq@€у B8 8BЛ¶e­rµЪ aг ZБ‰jцЎз Q¦щэй_UЌъЮkNЂR Nµ_…c VЉ @­Х›[¦ Uі»µ5 RьТЎэ; @5ИК FЙKщфЛ 5ax “Y&gt; eЊ¤Оѓ} ;DГ `µM~[»7«?rWФ±ЅџщояуdpБ ;еvК ЉVJ tcbнрHFHЩїх;ъяюP‰mOлЊС ‚4g &lt;Vaщ \Jв v@ФFa LY ?Њ YеЦfТ·C»=sмж xP‹=Ю› L ыл 8’  VE RУA¬ @S»U©9 3Ґєїr 4h@QZ D&lt;B¶М’Км Jh¦4rхQє§ ]Y?¶— e»fъO:Жrg»ѕ 7ЄWпoзNРBяуtpѕ &lt;\‡tє&lt;c8Џ© =срHDpЎC ]p Ia HъhQЙ:Ф u3Ћ№aGJ:є”}ЖЯ^е hvUaЌM ot‚c4 ѓgv6Ё€°ј™—MљЉ®ќй Eц†ФЯ xP^Щu |aпe I¬ь‡ ]уНRЯ^ЄШ c…yV«nЂЦd 7‹Л RTХ­ZWб aмв”К N‡3Л;ЎрШ¶ЭшжДд†–”¦|G OЕ FыSІ:npНжHЫlnL C€ zeсяуd`З &lt;HГxЛ WcH Aа Qс¶ D‚ 3ѓ ZЗ°Ўћ=м|лчw9D diє®L kFЏЪnю\ gV|н4QО [ъЕGCи =ЩKѓ 6ЯЏ ?ЬХMkdC}‡рE*Ї Kп HЭЎЊE\ћI \DЮЄэК 8Кањ dGЅ]ѕе&lt;•\ЁВІ:Сy© FdV QyкЕTу« bQтЙHY&gt;ЁПЄ N“ IМ”яуt`ј &lt;мгvЛ&lt;cJ AhjтVHFHЁщ TlЛ 4кaУ` eЖVhеґ”jИє·Іл Rг8 C–х E5_»Ђ·Б ?hV‰ CМЅTK S5 I{ s`Њ­ґ 4vL4Њмрат `М“{Т9‹ЋFWъцч PNЯЇI°aхR5{” rЂ|pv6uъµуdV—ё«Єтђt±—МыяТQ`†Џщr ѓ [PЊЏ…щ@ш WMKкд H~ AЋ vs]БО¬3zµяуd`Ж &lt;ёУ{ ЃccJ @°vъV KDH RC OЄЃv X‡_ O{XўKІ8ЩI6Ш rzNЖњ AЃA cш ’X;8 p7А ‡3QвЁЅЎ ”Eґbї 5®DК Ce– FA;X{lGщOҐ aХР j{@Хiё 6ЙkЊD`нµ©±¶Зh&gt;Ё&lt;XzЧR”·lйP FЫ3 KОйиi JьYC8 …djГЎ^ЭФяуtpј &lt;РПxЫ WcJ t~Mт jE@ 3s NFvL@•S‘ X; OЄЧR?умІйМOЗФк GJVЉ SкЬА@Г 7@ВS U™РйЮЅ“—гЙ bяй R&lt;Чюу bюЪ&gt;ЌЫFоS7ц UяNЏНэТя—шХzА Ћ:c c­n –U5 &lt;Y~ ^«ч›ьЦЮPв G{WІ“t X°ныeяЎ FWz [FyЯќG; Eхe@еh€ГHAЖ€іs•µ bh­;яуd`И &lt;ЭOu Ѓ_ў\ @љћтV@Dё UШ_У:» V6® cд:zё№ўPЦлC`ЊТ@ W± Oђ“jџЩакa7…c KотЎ™щ Fя*ЄWO*яУцPн E“cZ GпS3не9B :џ· 3Ђ‘g¦«ь ~mTcD&gt;MзТщЭўhcg…Њb 8СИа@D‚МЊg*” oFл™Ъ№Д Vр‰яыАЙяуtpЅ pd?u ^&lt;EZ AiЉо ;@„”~я¤BD™Q зѓпѓGх!9 [ёLЮ‡ JIКЗ _InPвЙ DБ¤ :ы” 4¬Pa…иц VЋOзS°ѓ@7” D©їл?ъ TONс `vЏ ЂaНҐє–¶ї–*‹ю¦ye 3¦џкя’ЃDД \” ;€T |cє ЃFBn*Г ji~NoLc№Ы_jDlс·€D°V4«{чМA‰ bр R}qяёpБЯOЮ‡С_кяуd`Д &lt;иЧvК&lt; VJ ?шnтV [ДH ]ѓ bчЕћ›ЛФ fi`I}n@ [¶uџт nЃ&lt;™№9 jYU„¬4ЂЫЪNY Ћ4Y{\ _з —MУ  [і 5Пk ;ъХЎ dQ ]ЭбС_лЪ dEљїш NЙЃr‡ D8|sЪHy¤ oVж€мХ: UдqД‚Ёо®Scѕ UJAџ c§ўТ’ XzЩж FZ№‡яуt`» &lt;@ T~Л ЉЏEЋ jцV KFHr rGВЌ mЃ‰?Б ]ІX• Bы\Щс…cГO :IstоХ _O B*6к7uЪЎйј”­&gt;ЂЊ ;їйшwїїwZ« —vyvgeXHC `bc‰ ~4Ѓ E9 ҐZ­· OЊ lIС7H 9i}†Й BЇNе4 LЎ`Ba ?LьPЭА± @„I eHлqSСЉ NЪІі— ЏEзб… O™~cHmўчrэ —3†ћ’upяуdpЙ @µ PnК&lt;ЖZ…8BбpHД XpBмК}|© WYuџі*ПЋ…о L¦¶VK D‡pj a=ЬбіёЮц D­|њ^ЙpHРирКjЄ” ЉSK iђ‹P­ wЃ…8‰ S[mгПп &lt;Y it[UлЄїr 4Ё8 aP‘ЏЭR O± z`Zд ;r3 &lt;­µ№} ]obnзшeњљ nYG¤Т98 ]A ’SяуtpБ A™KpП= 9Z‡ 3~еta†IgQAзБ &lt;;й›Є [w KvяN«t \8дVѕj dћNw»ыІHr9 MI8Ш OxI оБЯҐ wЃIтxаЩи 4ђ @ґХР’ MеU OФкY‘s‘ a›ЦёҐмbEеЯ`ЈbиҐЫЄЇrЃЦGЪµБ ^Э?Я­Ї•|ОxkJ€ Y4f3 [Gb Eщ F‘F aяc Dь ?†f‡ј TE &gt;М‚ЗЯ`X g:М v4яуdpГ &lt;Р±xЛ SCHЌ vт jcFH9Ч b43ҐsE JPл—k d”© UЬ‘D“n 4¤ЂB 3Х MЪ |UБМ JPж D„ѓы…R@К[nVeўrЋ Љ’O}n =єчЇLYb«ЙХ¤т 3e*jЇs 4Ќ€ 6AxІ•4±ћю`Ъ4®жЩИC L‚Ћ d“ъ_gD VeКЅFC ZЁ§ Vу„зvѓ =’eяуtp№ &lt;ёЛvЛ&lt;cJ @ Nт jc„ ЋTLTЋвЪ C4 ‰:Ј V–ЛхО `Э; Kцc O’€ЪeД›p° GE 6J Ѓe AХ N; 6дў &lt;Рwт Eу–ѕыs]єЫ©]QЇ[‰ _4Kc Z’н7ъгфV  ЏH&gt;«юL :vЏ? DЄЙJH»Ч‹ XжҐE’ўn®‹Ўr§ ;љ};k \?е G–Б U•ВxНж ^s8bPq ]к¤{gж ‘Vы~ Dю sAMяуdpЗ &lt;ЊЛvЛ ccJ @IJт 7@„ђус…џ?шОекQ:¤’ WДФWьё p“M‡ІIжWqяЅ6• 8щО …Sе V|!\ќчя†я I№vВN№9 ]Rю Oы OsT &lt;E…Л 7Љм­ДWЊ3лU›Чч ’Y©Є­· W” &gt;ЈЙ &lt;Жњ• BdM{kzЙ ^В 9йИ WшиЙNf»Љ IЉ‹п tj[яуt`А pЏ6w N&lt;cZ w\jоV`Жђ “XМ YdщBPg» WЪОиЮ^В Cs Js‘ёы›фо hO’ЛbЂ [AV m_ЮNhЎл _о] AM `_W”K 4№Д bХ ZГ AаПJV_’a*о™Ц]D Xќ a|цYпm™Э ?У«Ћ}Gn8ЂXoЧоP Mц c™ }]ж‚HxЫW­*®бщG ^е„Пњ·Lю—QJC bµK CЃѓ SІ ;а`lоБPKђiяуdpЅ &gt;4ЧrП&lt;fJ &gt;q Yе\x„‘О±`Њ f5xЎ” [@ўм‰Щ^ДФ ]rн Rс{‘@J4Є№x C› ?CH‹ Ѓ8¬ =…J 7O =џ DЉ ?q VfљAEШ Pћ wG=IUE 6mЪИyИҐ •T@Єњ‹ G–]—Ј5§йc*ЂUo­IА W‚ 3g” …‚‘?V[©]S X:Т Q`ei9–d_ ;яуt`° &lt;ј»r»&lt;cH v†Qй¶bB 3бмK ;яП e…J• AЪM A‘сВ 5Ї 5ЃФ x„hYЃ 5ЈЏ5„o Ps F9z ;Ў IНь®ґЇУЂj [КЏ oKУЎ*RKЋе z?‡ wU9Ё MЎfuђ6¤®lЭ ;bЕ Q“ 5пмґE*цмц7Фв s^Rѓ5ЂUoµIА [Г a– lcҐ=Їн¶Р FHJфw–GbОUХ \оgLХюqЊі5 p\« 5ZAбпяуd`ґ &lt;”µv» ccI tSRиоxЖ ]Bc ’ЋCъ “C”Ў 9PВZ`њ№q»ФсО QFЮЅkы¬­Eк¦Єn 9X ;ЫЙ Tg L6 tEI E“ц ЛHaѓП8Е=n ?&lt;б DЇЗл V8х =µ‚ @ѕН¦ @з aТ›±ЋВэ5 3UљUЄN 4 `S¤ЌЮ ~W‡}Lµ t“GЉ D±БЅI `&gt;gтЇ emьяуt`© &lt;xЙx» ccK AXjй–xЖHx¬ SГ [z;Џ ;8с C5Ц‰ ЋPВ T° S`4@NUҐVU®hсf&lt;Ґ–w¦ЕЧяuJ¬ІЄЙА C&lt; &gt;­ЋvйЈвЌ ‹9*M C™ 83 Mxa dБѓгDо O†FК» T\щ 7вiєe{xЯСїKPаdUY«wЂИЭ‚8–;Хг»M Z8тCvрEі KЛ™=3pИЉҐ Tщ Lц ‰l`PХUOЧ’Т™яуd`¶ &lt;¬ЇzЛ WcI @И†с–@ЖJ EЎѓ}3 [ЮЉX±:Мђp™ 4‚g —eµАГXЉ›хuјТіRЁТђ 5‚З 5J 3{X© =ґЈ 4 –;xYHKД‰Б№дю G¬] zwHCВgѓЪЋ‘oQЌ Q¶ dBб YјnZЧµД ђ&lt;ЯN g9А v]_bХџe JлV Vy [—v|џЏ{?П6OНKReяуt`¬ &lt;ФУvЛ ccJ uKRх– cЖ ][Ю CB GD„@щRЕBіЊ Ђ&lt;ЊМ X® |rk‡;pз aҐ}WjжЂX•Vњ A ;;Њ 7xdLh@vІа U4CЈ›°YUтЅmУћ sdЏҐ 3SџR a_IЦm aLJЈБ&lt;чЉЊ o=ЁЎkЄя—ЃН ds l\FЭЅво9хЁШ»XifM® &lt;Ё•©Є &lt;FZнRѕYуЦфb†ъcѕ |CХsЋФpLеяуd`ґ ;h—vg KcI t†Qс– MB 56gН —GfY·hУF 5O C&lt;рЧ” Qь 9IБёL BDХ5{–ДР«T¶ 7Ђ`” xNk«ўjЈ oEрЗ L« =A§З№zC‡ђ‡ ^*Ј,яВЏ P›qЕ 8Ќ Oѕ ^¤ю•Z“  ‹H‚Б c°Х|lєоfcЬЊѓ EИ·§И[‰жћd5Q OХЮµ_В ‹Pяуt`і qOЛrЛ= 9J ?8bйЋ`†JяЁ†›р‹° A&gt; ?h«J |wU’ ‡`‚cп–э† 8ИETю¶yдЮQю^UГ 7кЭR@ AP [Ґ ^N¤М9sPD°[ГE Z}ш •;ѓ ]SЯн: XCї*яює»э &gt;§ЦЯQєPЂҐUЄя’Ђ§ ;бр Rg Dђх‚ A• `°g’ QЇH RkgЩв@°*A8х EГђ’®эЄт bФN cњћђdІ LTЄьяуd`ј =LЯv{ —;K &gt;Иrн–xЖJЋ WЅ7 LJє xYMdU‹lТИз©eCI€џ› PџњУџы &gt;¬Ё \:їк Ds§6 [\ RbAт‡ inFјж—ъЅ ]Ў!5 6ШN†c`F™іЋ¦Шђ Tф&gt; KKXL\еv©· W 88@€¦KЛh›·ЦўЫTїЏњWc ГдЇ t„^МфqВ¤3 Lп’яуtpµ tЏFlЛ= \Z 9`~бXxFIУтmєнС—‡е­КB cЕ WjvPмиЫKГrі¶W®ЗГнїМ\:ЩkЮ’IЯчЧє” _ ]µ nv9А ]‡ќ Bщ“ђ ;€&lt;хЉхg ]о·«эщzsЏЄ&gt;грШЩ}е …UNњ S•*fЄN 3Ц Z…С ]ЯjWД*ћь ‚AМ6 HJ— дY9ЅC X™џѓ j\AС^ф [JзLь ’Zа3 EвЕ UэQ†CяуdpЅ =дчvП&lt;fZ =и^еXHFIЂ‰Sa 6L: _Б o}]оЮ”lMЛЫQ SЉщ–J` 8Ђ ‘ Cњ 7ђЖ €~h„AѓeЂ7•SЮ :xjх aс} aй@СЕШ8тЏ\с¬}4;Ёµ JО MXЕ_iђэ•j“ Tю J¤ЭEЫл; 7ъї¬5 ‹E¬m‚Й \\Ї &gt;_у8ЄyO¬Н \™ЃиЙMяуtpµ &lt;Ф·zЛ&lt;cI Aё IймJ@ 3Я Gk =єo 89Ы©х 4¦ЈжE i9ZсZ mc5сЙKФД~ 9bЦД Ћ{^фа @ўКТrќ DЊ r&lt;rzC cH zHQ7 7PсGd]ZdPґуL7 ]µОщg bz [ШъЯъФ†ХяР№Є­· Wµ;ЪИ 3ф®^©” MЮmб3•Ћж€ AR 7&gt;фЙу SИФк»х•ЁZz Lрў»; aѕК9AOЃЎ&gt;|PЕяуd`ѕ &lt;¤Еv{&lt;cK @pVеЋxF ]»ѓ„бд [z†±EѓЖZ Aµ§‰9ЛЇ NB­ EЄТ” ;cµ8}–ъ©Яj 9·€Ь Oю WОЉ· Tпr Rжzч—gW^щ]7:Н^TW 7Є‰c [Ў S&lt;ґ^ЅoЫвЦF’yюх¤U­[N WўА©–jя‘Ѓ„‚q4 Ѓmo:zБJЙPНуZљ4f[јҐяуt`¶ pGеuГ&lt;cJ Dй~й–x„’fЬvЙщЌ~–ы R{E TЊ CвЏ’ :‡‰? \ьЬ L€ N­4~AЏЫ6 Ђ?ЅЩч; @сЫэЅчw{• bXЩ—љРчуЮійЂ c&gt; …;ЂА–_ ѓa‚ WЄш –8‰ RҐj N„ [зф LЕN =Ђ ‚7Kf]Х x=]єчз•6‰[„W Rы l`л[YQПяКq 3yн_Б†н`O6џѓkbT‰q‹]A cеYяуd`° ?ќ `vЛ cЖZ scfс¶ c„HёA 8bЊ3ЉT ce™Ў |XћпГ•`дИдЌ Kq 9NuQЃAoЃ‘ G‹ ;РS r±Ф\@ 43 8„MҐШ `v ]F84 nY±ъь3 [jЃZq Qч— `ѕ‹¤ 8І ~t@ЈuDњхЁ rK™ KЌЏiЉ„Љ„ KЫ =Ґk«я‘Ѓtф X`·=k®х 6ЖЏ5w•яуtp‘ r‹Hpj&lt;cZ†ёЉаМ cЖMpLы[\;&lt; t&gt;Dc‡ыRМџ c¶·™МЦ”ЉhЕ›‘S&gt; ЃdЭ?¦_ ?хйm—ЦМW 4lfk› RY ;у8ЋLz‘ ?i7 B] V” K­рЁeяЄЙ `ЃuЭF 4у &gt;UG &lt;Eдђ€&lt;ФDй Kй Gu mE 6=yK OЎrѓ@ЭVjю 8Рґ AЊЉ“^ќп X9m· aе‚–к†fejґ4·lйч eЅЙ ~4яуdpЁ &gt;YAvЛ&lt;cZ‰ Љн\HЖLСОN7 w&gt;Ж [e&gt;ї&lt;ќ Ag*ЪSV‡нЗПc6 _„’6§ @[Ъ&lt;? Љ‚5г~©ѕCґ g9} ]ЭБ°» TaQ PОШ6 7m T¶ cЄ qg6ѓHЪоA X]­BvSЧЮ`Љ PyЦ» W¶Їп{ ;B›b„S?=мR fWЃ MZЅё 8€Њ ЂVqУJx­гVЗяуt`Ў =] &gt;tz WcZЋjк4@†HЩ€ЪЏђQP‹™зНgршeЮ™љkrlу ЏCЄкдбкMу3 \Ўwп Yf KыDЎОцЕъD _]ку¶і§ MO»·нф f4Є WVлВ† jPАЂв @лa`•А@а MҐ C•z LW№ТЫйв… ђGeґ·®КЁfжфТЏq^ґЕ M eYЄї’ 3Ўx jo:6f[мГ}ѕJЊџ —ШЩT«c iO¶¦Ояуd`¦ p7бw ЃWcJЌ KFкT LЖ WђЪЅЋеw—rЩ Odђ€Њ9 &gt;б*љ H‰=ЭЄШfGК\ъGѕшѓ4њ¤З@fzгzТ7pR _ЋЙЊyяЅґЈi bn 4q]rДа№Њб &lt;yо§ dk [| ?уg E= `UЉяrf@ Pн©k»{\ЅЃдХ G=шYkКл· ¤^Єїr g;s¤ЬФ ?“»pяуt`њ =е FvЛ WcZЌhnй IHFH“~џЈ‘ B± ?­Љ Cb…d†”KRcШъл…lеµ‘ЉД Њv`оА &lt;¶D@ф†J]К ^’ 7qш§СаvйоЫWЩojТ?ЬчЪкуWо =ЇХT w’=аx ЂKЂ 3ђqT9ш Џ†TчС [3ўPл RЭ±[•ж€FEлдА WЁ©ZЅЪ 5h jUЊC IПnК[ nVЅЉсЇ±Њ \иZ P№mэ ЏX@NKsяуdpў =lЛvЛ&lt;cJЉ KFн\ KF ‹e&lt;™|б3is cЕ [9 Lc‘ E·ч¦ MО‚ 3eЋ&lt;щй{^г GЌјaї±d 9¬Ќ¶’N° \Ў UUu:@ Њ€?Xf 9БІж €}3« KMЩ ‹?Іы‚ORb m?Ѓ: ‘@UыV†СoGЬйк 3” 9V«rЂЪ L§ЫC} Xc®Јfєы SнN· NPфҐUbзяуtpЎ &lt;lЫy ЃWCJ @ёbт 7HDHИj B†¦Жф \іО €NЄђЖ ЏjEh†d OаЛJЩ p6Г I8 5lЅlkЬ!aчZд LK–пы Oъe}АќW ”4©Ђ­ G‚ѓрM@Бr W@аЩѕPFа;HщrмBhu ”I~Ы·п }U«jKIip«–ч PFП]&gt;°ѓя ђ3T r:ЈжФ`зыЬкћru R&gt;3ї?qџEђhТјRuпF4‰™L—§Vяуd`± &lt;иЇtЛ&lt;cH tvaн¶xД jP’М·HЛb 6АЖAf z3†о E№nџј§RІ¬С Iив‚ОXв UMА DI9€ nmCґФ*QbЛ ?Ѓ 3бў‡я &gt;µИK’ЄС] €Mem]– H•Zиjѕ aяХ ^[ђ T№хЂAfWйА r5ѓHWu}E eЮ Њb”ГЦЛI D”p X“мЇDH€лХ]Вяуtp¤ &lt;L№tg _ГI s–Uйt:F fWЧќ…;С 7яЁHиB–ћqyQFпЁ‰®Ущж 7VкtЎ Fк@ЄU IR 3ђ€:¦hAьлN tp|Љ8’џҐ Fв•Иях ]ЊY &lt;ЖЯ ~[ґЯиЇЏ WaА De©ЏgB@U–UjN 4@&gt;gQ wKџK7nѕЦs]‰ЩQкЋsЈЬ CuҐQЭS« \ЁuЯт7о¦и Х A9o’DимES rL\pСT— &gt;яуd`· ;Ђ·xЗ _ҐI ?РNс–IF ]_dуДz O‰Ћ 8Ћjo &gt;XХ MoкTzљjrЃ 5Њ lLЕи`dШhl­†o•E 43ч»Ьх‹ CB lXNbJҐ•ґR§е &gt;®дј Z« OVЦ{tЃ Qm‘ [UџµIА WёШ Ylуq_Н=… 9Сй«ѓЄпB5пОЉїb C…ЄX 5B =lЄ€д•]ЊSПяуt`є pSпxЛ cи[ Ah Qх– K„ 5r L®¦ _DXUоy X@ъ–b„ UwАЈu]‹јҐ?Р 4R bДЂ8™Z ’Iѕ SКД ;БАRЯaўM­NН Ђcеwиі·Ѕ _gяьТЌ ЂI`є MwТЪ@ҐUjїrЂn &lt;ащ IБd5ДRлґы“ Fѓ| Lч Ga 7wЅoкbЗUO°ЌИЄУэzV… :нNЪ?Е X|ЗЕ jck¬Ў Vq eШМЅ ]i9YЕяуd`В &lt;&lt;Яz» WҐK &gt;ШNнЋ dF ђ5Е b[Ѕ ‹cљ·ьaљЦМЕџvk [V«[UНsхєgы`г TDG†„§аx ^CvпЕ C¶†q r3‹ lCџ 3DFЂPЎT^”@¦; 3эZ«ЬА —Gdш¶›ЌЈ}•БЅЬІ;­TClKд Zђk `Т¬ё јѓH5¶Ж 4і m^Эћ [Lх cшЫfЩUЌяуtpГ A°яjЛ=ЊZ 8@JЭpJ l‹D^—¤@n O‚ 5z€Й `Ldг _t›mДC№ ЊIp –SMоMщґ¬YB5¦ПRХґЫSh S°&lt;ЅAl 8  GҐьп lURЌњЕ aДґт¤*ъѕґ{­гBP gC©®ЅЙ Wј 93Tй `Kў”nџh¶‰ьwW€х¬ uS=IЇDСјRўѕЄ·v5рZЦХпоЦ:AЕи_^FЩUТ Ћv{]Лw cш„¦яуdpЛ ?Dгl{= [J &lt;xтб\`Дq”ZьЖЩ6 \&gt;Ѓ”D’ћмц DГ _7 G{ aћ Wє“њ–б‚О ’SЦ bi3°”› uUЮЕW] }n7’А•­EњмЊєx ‹‰iC†A{8p –~8ZЇnЃЬ] ^У [вdu ѓCkїЄшZµ]єрґЌkџ°е IйQ OBо’x‘йнмYЛ ac[ Uыж«яуtpѕ tOлnП=‰Z 8иnШдxDHKхHцz” ?’ф=Щ ?C aRmЫlc DщЇi{Q@ &lt;—±ap|N nltVѕџи¶” 5yU№ё &lt;Ј &gt;‰ыК ZNлЉх P¦ЛM 9к NLЬ GYcAкШ| “UТЊnгJЎ 5‚C‹ GI r_` :Ў ЌTzkW[GPе_д=ЁUЩVЇn gOы ’‹e*ќ‘ ?“TЕлx± up&lt;cў°ЎW…ћVPдъЁ ђ@Pяуd`И &gt;РлrЛ&lt;ЖZ vS–е–HЖLВQХ4Й9 xU*fcb¶Щ¶wБdНДѕј Dќ‡єѓµќСyњєmПу Dpaп 8н4уKЄ:тVkъ HїЌ¤ WА K`C‰Щ‰c&lt;Ђ]‚лЂH6юW™ @я7 N•wJwф 8ІOHiVЄя— gGњ y8Њ HѓЪо7¶‰o eИќСЃќ‰ГРS„ 9‡Pяуtp¤ &gt;€чrЛ&lt;fZ &lt;Ё Iнt CЂ 4¦]B `g` &gt;‚„Жмв`S 9Ў 5іѓњ z&lt;б oeуe‡ ^Уї‰€ 6й ;‰‚€ z_U€ E¶БT Xоb ] µЩ HS©YҐ †C Mfё¦Ію? TЭтЉ‹®Џ9Kб|џѕ– MЇ 9T Yџъ Sў cиє ;† &lt;‚jRћѓ Y5Ї{ы v{WLZЗ№Њ!J©т4 3•ejЄN 3ш J`СM7@ђр¶ —`ућЙvяуd`ґ =рЭtЛ ccJ CйRс–XД’ИМцн }STЊЪ CМq©њ n‹6±‘№ Kб OЃ8¤„ћ™ q7‡Э 7aЗ 8@ўЛ ‚t‚@­ “]ХиwФ^`Й GҐU¤L¬VЫq 5ЂаApfZNѓ‘= Nк`tU €CК TСо `„Зиv‚Й z8† TB SX€QwX¤“љ _Щ•i JRёвяДЬ `~’ќ7яуtp“ =D±xЛ&lt;ГI = Vт jc† [Б=E dш Qњ CЉ„`Вћр—&lt;Qіh‘DћdщЦl;“ ‰N™ ЌEµ¤ n…5µCЁ4љ”DR AЕ GЫД @Ґ 3•І W“nd 4ГЂҐ{`Щ” Lµ dun C„м8DXQ©Ґн: s[„ [|‰ €E`бD fGd;i: Ђ_С«¦Н B4RЅ€±І«@VU &lt;U[ =А3 –a– AXzя»|iK AФ P†Е lYЬЦяуdp© &lt;x·sГ&lt;cH Bшnо 7hЖHћД WWІК€ЦЖf dЙ€] ExS [ЏE;ЅУ rNXaFB g†4PHбт`Gћ ;‡ЪКў¤ Dи Qљb Bаr kWџ± WЫsP W? =ЪхїЉСуСФђзћЇ cфт B›k¬ъ5дtFмgє=Y _†…sC4њ qT¬Kе &gt;PЏtcЪЃќ GЂк•«я 8О 3„яуtp =h·tЫ ccH AщNсtX„ђ§ЃR UснцЙ N„Ў“9иоNga eях:…PВ E8z9Ж*МЎHхAУ [U‡5`mљЁc [ќшТҐюЦJЧ V`BАІГ ?hа“…Re8 KЇ¶¤„”оDХW ‹4Њ gBQ^„AЌ[ЯЁ Tжbh„‰ m`угe mXY G&gt;…ЄбF ZјdJЭм ”dhn„ bYљ Dч3щђµV«я‘ЃV &lt;T*м ”YIяуd`› =€хvz WcZ tC^с¶ [ЖH P± VХ7sжкT —ЋV IУfZ GrL›3{ЧДќдЌ„Zm§ЖЮK|”QЦgl _c X’uќёf^ ^э“ыЅ3msiф¤Ј¶&gt;ЅLEЛK® ~em=пщчF7ЪГбхяGя› G}Єuю© G” gCId r…W–{¬ьh ;в 4йіtл@ЗVe–«юяуtp‰ @‘MpЛ`ЖZ† K^бty†I =И Љ4@ 6“‰љЖp]Ќ :†5Ты‘ Y± &gt;W7Ў R[|N*іч EWН…fv~я CзьЦнsђ~Nµ4w«MгJњЙ ]±џ3JT I»№t{s PќmяґЗҐябыdZ W“ @·@С BM †7Ѓѓ LК Gi“k q7ЩN Me»ЫZ Aь\pB•Єю p_” iAX®I QрЫ? &gt;М X?T9CB¦т ^ґ’ѓяуdp— =аЯrz WfJ€ S6йtXД Xу –K€ Rbлe anўе~‰LЄlZ N&gt; ;Ol eс7›кч I№4к&gt;ПХ3Ю IЭэ^ъЛяK¶Й CX S: fK‘ЧЎ4|…4XЪяеЂh 5Ё W3ЊвО &gt;з jH°aЈd &gt;©N—пQGџ CrhR 6уjtЭ B¤Є KЃыкєВ wMДлт©9GмHe^©6дяуt`љ &gt;U Drz WfZ AЂjс¶@†Hђ ;v ЌЃAз uX_Rz`°Ѕ=Ш~…^э Bx™DЙ BKоy®П4ќCEf!`¶5ыЅ{нќТk›Хµ9№3 &gt;ќ[ 8o©—·н*їnJь;бl ilKV4h*ыхЖСN±ЇюZ l5ўag [у5и UNрx MHDiВ _МнґYj ~NFQ‚±YЊ”ЪЈ CU `Єм®–VўН iRwЭгЂ [Ј ]¦Ь’ –]яуd` =Е FxП _fZ AHnх¶8†H› €DEпкTоќ :q®д3Э ibњі\кЦu \· {EW TЖ ]кж€ ‡NЧl IЙEDFG… 7pP =©ЩVҐ`dкh~ћ_Љ; S§ |Њ|W”Ю kBєфҐzЄ©UшТ ЏYе 4 6ЕKVСи 3Ўq gcD4 Z… 5D nelM®¬:жС[vЬЕљсB kO“яуtpѓ =Шч{ …WЈZ @x eсt d† 7Ћр H§є MхќGXхљЅ· WЊ n&lt;Р •;Й}B VW~6ЧFTс[ПI ]нL \Y bВпХў’ожі“Ўн7ЩQ 6оNЁ8{З hF[Ь­ F4Pр—ЉHAxGZ LЉ°ч|cZК r`тмNќ _‚™ Iд Yљо? zPн‰ЧD bуґІТ [М‚@e!5ИзEd@ЊҐX aђ`uZ«n gTюґeђ4 rb™wгАяуdp‰ ?|бtП&lt;ИJ„ЁRе\ cЖ [¬6v¤ZґЃОyПЕА»6K”љмЃї PhV Xuд OоДN lLЇґЄЇ№п OЕЁ Ѓ|B–V X*[JЅ ^Fь·vЩзэџкџмр„SќХ eШ 5И ?|А°„Ы r3| ‚i4EЦ 8ѓВО6ВЕуШG ^d§Y z3TkZяь&lt;R N•Ўlko6?yњi xQяуtpЌ =XЈtЛ&lt;cH‰X6нм d‚ W:[*`еєшґ~Ѕ TюlґЗkн eЋљ Н†‰Ч~С¦¤џ¶8п w@Т 6µљ r_X Q= ;ЌYФ }3\HрФ F~]€Сm­·4I WJЬI6г 6”b¦8¬н 7ИGв–Q r“&lt;‚@ТK Nxл°ЉCJ|љ JUЈ:—WТНпѕЅ®©«uд¬ЧHҐnЄї’Ђ° n‘5W ЊGzіrЖЅ HML©~:: pXяуdp§ =|БtК cfH @°rо 7HFH|ЌnжШ{н&gt;T 3cзVp›8O­XFѓ«Аь6aASеЮUQФй cbfђ T&gt;з 5М }iTbGЭik‰‚¦\ЅЪ–С VjмnIw h8„e©±яЊ `Хш W№х Y~ZJQЛ~Ч‹:ч6 F8бK!a·йЮгЏ }A|уl ^ҐBєќфЏЊҐg©6д” 8яуt`— =ЬЯvЛ ‹6J AHbъ^XFH 4ЕБЎY SїќеО CWЕяИя„ =qбRъE @п&lt;вјСсnp9• SDэИ—w a™¤Ш ]Rиq@Т‚н EЈ№Ш TOП 5Їњ F• a*^ВЊ“ТN”zА RюZ¤ *A L‘ѓшЂђ©“В }r&gt;Д “@СsЁLA QЄҐХX° эЁЅJ ueе JҐ©zмз OНмS}wЊв dEЄпqЃ p&lt;Юa EбIE R–яуd`љ p[еzП WcJ t;Fн– KF WН a¦… AZМeЙй\;ҐЂc€ ;т Mlцu±ҐњФ_ ”ЌK5И I„ WYAQ 5Б dіу IЕ WщТЧoЌВSjЁ¬ёІn ]Глї ME— \}9u}UэЪTх\ѕ `ј BNх ”:W PэЩ–*ґ­А‘ †gk7о C¶| LШ_p \иy^н· Wђ AЫ K‘ 4:яуtp‹ @Ќ ZpЛ= ;Z„ђ:йpH„ X№xк WJп Eъж e¤|C№H AњYЪе NQђSJУ M:ѓ“и™у 6ћK·щд EYЎ xЏS§ t3Ѓ ]i neN]ЧШК x]L­¤^o OgљЋу `Б·ОЫ7}Е O]wтU] x~;° IX\‚ D] D… ik7ђЅЎx~Wц 8¬Ґ L­¶дЊ @ќИX Vgў† UФWР­Yх­F {Cэ»©Ц 4yГW№zмяуdpџ r‡PtП= 6Z†pЋеpHДL 9A 6У&lt;Х [љ;zLГ HИl ’‚VIыЌdИ«\¬*WЭ{Г…§љYЛ{¶ДЖ№‘l† лі =:із‹њџ ;Ї з BйЏMЖ C[эWВ?ћЕЪЙUІ iЉ7K 4:iЁ‰ ЉTЕЌ®° N&lt;v@¦—ЄяrЃњЬr·ЁєО \н¬УЭ^vњпb^oЅ€Ї Kяуtpџ @™ BpП&lt;ЖZ… [BбtJF XОЩ№[ЊT3 MоП cyйС©ыВiN[ T¦SkЋЉЅ*†Ешїч y;&lt;›Е ;‰ M· OkS`ЦХ«ЈsR•5ЏA hYжfD |8™ЃD„ S“7RќRfЙЖўєьє FC E*Кo=?*є ^ъц 7f aРeµ EMЙ W a«bИЄ]КУ«в Yѕ6ш№мтмвІТЗдп“v№ћі \ЅІеЈ jFC]ЁJ“—яуdp° =ґПvЛ&lt;ЖJ =A^йм ;„‘]іi ‰F· 5іѓСґО Y† ‹U®ЙYЁi*m№ S¶е©ФоPjJШУ ZEДалТ\ ;Iu mHdjпѕ¤© :дV©М k5АВѓ &lt;Њ ?жPgБхУ•уол“EjЪЎnш Vґ‹Гj8:]ҐЬ‰„ѓvcЇЁ 7^ѕф3lмьRDV›Єїn 4M!]CKЎяуt`¬ ?ёзvЯ&lt;ЙJ AЃ 9й– ;„p…ЬИ 7“^dлмЅУR6: Lс `П Qї€ИІЫ „YуючEІ ^€ў‚pіО·ж T—ЗЙЏfъшmЛу kMDYW‘Ѕm MчЛе Gа VµчgкDЕeq¤ф CG]ђ HД ‡Fј RРЙ Cф Q@ _5¤ Ќ`і JэFХAн _R 3dVfїш eЖ†“Рь TС‘сd¶Ы•МCэA•­ ]Іm; D®‰а9·щяуdpџ =ЂНxЛ WЖJ &lt;P~ъ fCЖHуШ— C[Ф Oб“ a¬ @E oSХЃЋ S&gt;4AD „HЭ @P 8Г ?‚ђ ^BYє• mF†ДAb!aaCВС _ytљ e”Цуњm©U~4“ v;h f=9 8в ‘‰7ЕЖ cО„ ]Bь€—ьн ]Vье BW™ Ґv©7 Wђ rs7Л AЃ;7*Х „]БORЉkРў SІяуtp  ?@гrК&lt;ГJ ; ънp KFqљ3я MC ”Wі[ygЦ©МЈ™і OёЌ;[ fЋNo EBнЧ± {X•оЯ›UZШЫЭух8·К Sn5 `ґЉ}¤БџЮ«“еыЩ+R}Цг Љ;@¦hi C’ Џ}@q— \€№ќ®WfpяЭчоЩю 8жsЖМщNt? &lt;яЯYѕ R}Чgaояю 3UxТU|l 5Љ PЋV•4ѓyЗЭtN­–юP ]oЕIOяуdp® &gt;PщzП SfZЌЁ Eхм C@ 4sюИт»{7ЇЩ IоОеNќ·х|–? _YєЉьѕ¶Дью&gt;Фі=Я YЖ Uњ LгУ dМm †=Я}щ‹«­ Dд— O‰¤“*ђ8Г ?”?LТ[°•ї 4»mA—сЋ№ D•tGїжzZЯъuҐ«Щѓ‡њY cDjљЇr 3p ;’ќz 47 G\ ZёрМяуtp— =Ќ &gt;xЫ 9Z &gt;‰nт 7HД‘h®Я` vXyвX­ЌzЄыVХЊѓг&lt;µ Z›­ @Sџ›µ[є¶ †ZОэVЄf~Іћ5·ф bо|wb]—N L‹І·Кb| h\гЙУPЯ*ЭъcjІбjїrЂX6е8q[“™Уґњ| zs4j@ DпЂ€Ґы JЭf·‘ЃљQ 4к @¬фц°UЕћЄ«¶Н„–Ќh ]Э ZuЂ 3?µ_†ЩБЬ{…3ўsіяуd`§ &gt;ЊчtЛ KЖZЋрZн¶ cЖ [3nпЬџYg… Dнzд Z&gt;wcляМnЫцмКvжћ`’3Ю KЂді= “ояxкЛІЌ¤§ dцiz‘D dЎ ;°l Dp= …MdeЦЬDр¤ 7¦t ]w“ `№@ _M IH°[я¦Э™ CD —7Шя‘њ…ЅНХ _мЇ*§oЫъ L№ц d_}E»{л®бяуt`‰ =дЩrє KЖJ @±vй– cDђ~л…з”Q V¦Ї’ g\ЙМ =ЊІґeШµЬfт GШт­3  ђLЊюCяг dф•W3 ]ҐушНrј eµ*I¦ЎTµ cВ… RЖPҐі’ HXЁG _Ж­Їя]юЏє®{ ЃZьІHЄлm№ Xё 9pІИ‚М :Ё =a ]·Њf W\ђЉђЈ™TЇШ­бXQ3ЄҐw_‰[¦Pq dTЈvFНЫРї”UwRяуd`Ћ =tЯpЛ ccJЌШnо^ cFHI№ W*`ахBБЭшЩ†ИpЮ›њЇ DQ©z‘…·У ^ћe™Ю~r}=ћjyeЕr XY ‡DюmPQ P¬­ &lt;Мb—v V9 &gt;P—т·ЪNЯЙџ“ ~FаЄhБс‹y™VU•¶Ь’J l‡DЋ€bщl[h­‚cW yv4ЅHCуњђ›Ѓ9ЯЫ€яц [ь¶^яуt`~ =‘ dlЯ ccZ EHRЭѕa„ \N¦ Wѓ[w HЅNyNнOюЩf5 IиЊыЪјЇџлц§&gt; }RX 9ЪЄЫЂp°тДO‚ђ I\3± &lt;® CkЪР G‘‰ў 8Е€ :Я&gt; \pЧ ‹&gt;mЏvЁњЉ’Ґ =Є ]J 5• [ж9cдТP¬‰ QDі ђJё{ђIJН OrI ”hn&gt;E‡ U°‘г @4ђрРP ЌОxшPыєРћОFT{I T§UвЯ 5ЧcЦљяуd`s ;| bl{ Wc ЉAh Mж^ DЂ 35ПђCґQmм e€РV§[mЙ X s VЄ¬МH~ЁH :FёГ:њ…Ы°щH Qv RKXMСЛю @ЧK¬юfCyµь«Эe~ qRґЂ 7ДЯ &lt;e› &gt;~ Q…„ДйєЯ^ Kлщ®ч_ВЄХ¶д’Ъ 9ht 5C _;Р^§Ьмаој9ЕHћµB’гќЊB ~_яуt`p &lt;°knЯ WЈ6ЏР~бѕ ђ7H еO [ж \ЫЇЗуj• YС ]LЎk{D3ВЪЦE b=_¬ [Ґ Hm· W— 4Е Iz`3J^Р\EмгТ r{M¶ n@Eђ 6ђ:ЖЋ^БeZА N\ч UЪTM r&lt;kbъL?OHy BRХ &gt;m PмЃ &lt;MY[nI XАx V‹ RS X@вL FёLx ЉHhЊ yPAУfпч7{CЊ&gt;© ’U№ГЫ JU°Љ Caх AЎяуd`v!; bq •KВ ЉBXRв^ cЖ [гїЁ­тCmPҐi NmЙ W &gt;Є…‚ ev PМ _ЩKmk[ќ AhљЬЗ [‘bN{оҐ =i j;‚ Ќk@•L^ЅН e•PqЫ¦…СKX*mСКчЛХКы7 N’KЂ‘в SC 3оў tKHpd R@ _ЦЂP!Sb jc[cKXLвЙ‡ЙЎBQ3ЄPU :љ`­eяуt`s :ь7nЯ KГ ЉC6Эѕ [„ WЌy• XO@·yлћмО† —YЂэДТmЙ –„Ud Sёж OсЂ±A cжБpЃP№ Dз‚ 6Ж’~Ґш‘ЈЏУeёјYЭФ‘ QuбҐZpk oTыгС&lt;ыH™ф ЏELµ¶Ы’\ :H 7Е„ФЙвЃ @F:М„Ш Ѓm5€yбЕЃ &gt;PЬ^oђE =bЯ NHЃ«[Яp QҐШчЕl±ИsI; aпРк@Ug Mmяуd`ѓ :Ш XlЏ WВ xBаjЮ^ cДH№ WАa S· oECaA’m»Цм L¦F EТ ;љ &lt;DПY^EzЭ&lt;­ U9QoZM¶| 7‡R kNi 3гаг*Г§В aBђш ORz Џ^[ VиЛ›;6­vЖЬrKЂж PЂeRnP ‡}y\74р„AРdb_‡ Gф _ґ ѓe} =Ј@« uWЧbEт agц5¶яуt` &lt;|©jЯ&lt; UH uKzЩѕ cЖHы QОбжд CSbА DeZI· X rkY`± r€&lt;@Х4 ^“€q©8 Sњ\k®SъЬ`»омЂhm‘g!MЈ¶ pPI‡ TОPЎd _Uиb iJ‘oл c•С5 N’а=M &lt;T4 _pмИp ?p‘ UbA&lt;љK5н6о a—­ЋJ[Z HЯЩй}єHтѕ¤о Y•wЯ _Y—d’I `А`4еPHТbч r—cO9]яуd`‰ :ь5jЯ Kb Љs3:Х „cД WaШО™“µ:®J ;Г Zћ j:V–J&lt;k ђ5Е a“YэTЎ MЖ5ўи; WеЕ—§ґЅТ{Y© B· E«ЫЂlt h\Ц Є BqКB^t TЂСzVъ B?у ѓbвt‹ EsЮБХ=э® WT Sе5&lt;зwuЭKЮT¦g›mЙ ` aыф ”9фґ№ &lt;ЦЫ ”KY 8Хяуt`ђ ;lYjЯ SC6 @XvЭ |[†J &gt;њ pSНd¶иеDґҐХ›LЭ aЈИБФ^¦Ю Ѓw‹Zк DФЦЎЕH‹‚РБе WУ axNIЁ[!Ptк gwHU№ 3— PЪ :¬Ґ®Ё Њ^· d¦&gt; KЕ@вЊif›K—µjcх­‹Ґй№Ъ M†¦ЌE€ъ]Є­ЎКЕy M@}D›mЙ †P]™`Ъ ^З  ‹[qЇ¦ ^CV ]fa©UZE¦жѓуJЎО‰яуd`Є &lt;hЌfЯ cbH A@~Б Ia„Hћб —\‹ф AИ=Ђ`…m JЦ ‡]ЕІЁ*ЕoЪҐ?хІФЙ¶д¶а9a aЈ lEрГGЋ uJR eZшjђыUuМjiCт© QWЯк¦ Xd ‰HRсdДC™Е: Qs»P3bЂXД—я Љ5V&gt;йLњ»bК &gt;гu*…’fAr:И zAОКdJvШЕЎйfяуt`  n7?bЏ Xc ЉA€nЙѕIFHn]lЎ UФж‰@Џ›:T?: ^tШ ђcА ;гg [p…А w^S pD7ZЉ’jълУ JъЦЫnIp ‚qЏEгp‘ iZј PJ{j eCДљ§ОЭњђъ a•»Zw QЯEы \}лыкTчфтАэЄmЙ ‹i5гк t3ПуZУ =ѕwћґ e6Кы&lt; LЛBДnт­х |]–зcLґmS¶V‡z· eџ Љ=Y 6ЊЫKяуd`ё &lt;а№^‹ cЈH rK~Е „c„H‘~‘Vхт­—р EЪ Ћ|aЪXхъ•LwJ ‘8M· XА`QYbтКк 5и™ ZяЊ“Ќ Wбci` 4{ўѓ :Ф¶ЧюK}|rXХ \їх eНoІХќЁf[­№ W AщыФ CҐe» D  OµЊв |MЩЫ†[i ]</t>
  </si>
  <si>
    <t>уd`њ &lt;TЇvЛ&lt;bH @~оV KДHі° \g–{_Cёu џS9Ю™У¦FDl©‡6 lm3Ќ8 s_УЕ BѕI hbЧZЊ®»6xQє XrШљmЙё z5њ FP=¬…‡ќ ebА3ЄlJ­ VM4гр F‡&gt;I¤Ќ i–3Б` ^Б—9wҐД‰:џ}s6ҐДяќ •U*Єn 3L =Р ѓWу4Дяуt`– &lt;h­rЛ&lt;cH u†UнѕX† 3ьћкоuѕу;ЎШPДЩЭ ;«&gt;Т± p]K±Љ¤u С 6ІўdVW:HкёЂ@V [wќ eн7F=ШL8 7h A§ТL LH{o7e_©W‹¦©J 9Ё–вњH®єyч‚ф©”Њ€Tkйы=їФЛdЅiTъ \U W{4ЂЉ@X}uTЗјHp№яNўfђдЃW—cЮ‚О: юVЄ“Ђ@ ЊZ™Њ№*Њjяуd`Ў pKщzЛ4e[ Cqrх–X„’ГVs}жkРАaдh @¤ ]oМ@ф [Љ­ў…щР¬»Ґlд _жW»lG&gt;°А8з© D·ШZмвp©cВSЁЧ–»GoфчU5IР QHР }ЂFчd:¤ KИ [•©p eT’ jE¦Я caHK XЄj^ GQ` &gt;„о:ЙеЎ pE‰ Ф5wП VYЭѕ†=яуt`‰ &lt;¤лx{&lt;c[ BHRрц dF ]д@юеZњ  _Ж‹ HЁ VД« GЮ¦f bh 5¶ \ж„Ю–і wѓ^vc RяІIW TФs€M4 yUРHЩ ^Eћг€юa…9¤Ц7оьЪЅ5Дё lzCЃ[Кf E› LЩЕ`ЉаЛЬm‡ 8¶G Lv­—бзЂ~FЏэл_U®bз¬f Oъ I&lt;X”_µn –QЊ TP•\ ЌLQПця·¶89@~MђшrUiІяуd`‘ :фќ|{ WbI ?Иbэ– cЖJЕ^‹шї™ї ЃVс Њ†Du :et |‡ѓ‰`e@l GР§ Ѓ8ћ PАВ:]Б8Eea QpЌO‰Т8X9з \Њb7 v_Aўџ _Ф –dј Jї&gt; e¬З EjЬЂ S4d¦· OјJ b`A‘ &lt;¦† XЯ 5bќ{Є– eЗо—Qж” B€л®Е;лSЎЕїЧмfВ 3jяуt`™ ?…?t»&lt;cZЊРfмv [FHZЄю &lt;©“Е CДдЯ`«…S E”ц 8ВеЙь}В¶’љHMZ:&lt;ІwSЪљ Hq Zl YЬWZз Cі Pµ‡д¶&gt;x|ПP¬†›їЇ4НnсAМз]ЛГ—~ФЙoчЭЬЖ9nв\Vн I]и­ rUc¤ш—jyWP` †]„Ђ Ћ3ЛTQwE 7ёЗЫ=§ O№jн¶дЊ sI4 &lt;ю ‚VҐщХ Yu FwЈъяуdp” ?с Fnz —YZ…ђnеp@ДHЬP pGc’y=AБў8ч‘¬уPт‘fНУ ?“Эл B¶ыЂcП ђ@У=ђ–ЫлbеЫ&lt;T–Щ OГ_ ?¶eМ{…џ™ЌZЊS &gt;ёjA 3RKO &gt;° [g BG™ 4‚чХ?]™ҐT EЂЁM &lt;*• 4T†µPЊqЗgљ@•vљЇr 4A;HГ–ФBs &gt;зЪ Eќяуtp‘ sSпrП= 9Z… S&gt;йpY† X^ Iqцc U‘\Зm’ґеЄFЃ :UД MV =_рЏ&gt;ь ЌXc QA ]Ф E¤FH€\‹Ю f’bRgЯ Iб Љ9ГД–ащФЁ J{цћОўџЩ[mА[ 5M 9hрSѕ dџ№AgА 9Ћ 3Ё‚™ 8РЫU DRЦюэ Iµмжкф EќS&gt; =•kЄя’Ђ\ 9Ў›Zф 9[ I|N7єhpFЅ\РНбNщxК =E Z&gt; dьяуdp¦ =x·vЛ&lt;ЈH &gt;Q^хt@D‘Н D„у|Xv d6Ф H© L°PШ  cLА‘ WKј _ї ”7Xm:K±ы IнonжЇBR `E Vm№ aа –YД \ЊЗE Ђ@©ѓТВв eM [ш IЎ¬¶ ^{“ m7I&gt; ;џcW MRєО¤4TdHЩ¬¦uACъ `¦‚ ^Dй •g Nm№ XА ‚€&lt;nЯN·Лnяуt`  &lt;И§vЛ —6H CP:ц^ cF WзpЈ€ ;єlЌы№lн›Ѕ]®аС[Џћы±_D 8RЭ hFЁСВ TqиG B’ GWжІЅя”Z aeВБkГU_ U™’nх bu WђaтХ»АH&lt; ѓ_Ј_cШAЉAјc‚ҐН uaЃSН6Г @™ђkљY7 9[? B€o©„ЗіJґҐъ6pГчЕ @RЄФЗ\б Q YYЇw fW&lt;Е &lt;LЖ:сЬ wQs… ;яуd`Ј &lt;мзzЯ WГJ BА^о6H„H*k« VUЪ• vNћ“ПюШЁEX„[ў–яѓ F… €8љBжjЂX5S ;э doњqПfЯяЯпџїяхd‹Я =*E Wu|Ь pZЕU NЋо d]ЖF¶њ Ћ@аЂ 3іЊkЉHњЮЄ\ґR= eвSbљ NRд \ц«СгzхY¤еµЂQнSњ 7њte eяуt`Џ &lt;€™xЛ SЈHЋ8jцVH†HШњ ‹[ЫљWЮм`эєпs D™ј·~Ке W€M w[¦Fij@tj№•КW”кiз`fv™†&lt;У OЊвHђ U s[ЫC« AЧэ A“S ]”НBЃ‹J 4T 3Ђ`НВБLк LVм TЭр[Ы† d*ыT§С V®й‹э GЕwэ3 3•fЄя—Ђ„L IлMнбЇFуheZђи ?ТЬ”sO `Т•T;”§h •Yяуdpњ &lt;TГtk WЕH =а YнXZD 4[ pЂdЧ~ђ ЅЁ; &gt;бІ© ‹’F4lxu UвД fFў Uµђ’µC Jя9•CF TВщЄwЃP` 3A‚‡ AЖ _—жV \–‘ yij_¬СЂЋРГ xFIУЧ B&gt; ]СBV 4ЬҐ*µ]в‰hїЮцЕiя9Ц S ђ4Hnє7 J…FVо›kK K€ ?ч ZЅj¬яуt`  &lt;ёЛxЛ cЈJ A€†мц CDHAЁ‘іН KЧ»9Іњ&lt; ЏK=М 6…Ѓа LГF’ѓк ЌK™ J9е‚ aілЮП MЯАЈФ@РЁ›…KSј ;r F€A_ =AЫF R\эРhБ9ТAtЫ©шD b[J† g6W Eo&gt;PphSOР·i» O‡фъд@эeЄ“ЂI ЉrBL¦©КШї]fMnДa‡гщTфшПџ»ї{щЂ 3Б SVT ;Ђ€ 3ТЋlяуd`« ;ґ‹tg cЈI @h‚й–HDH A±IT KIvҐc}јa 9“† _‘† qF3 vNХЌфС*фҐh?йА EQбС@ 7lэ Зе k?B :a†ђb ElЬ n3°В MВ®Hб M–fсП _лЪж±u›Qr…Э ?wF “bЄПшЁЗяN 3ёA 3њ CW ]c—ёI FЅ`U R°лґ†R @†ЧlОцgяуt`Є &lt;¬Лx{ cГK AР&gt;иОHF Y¦ґ MЄ:тdј…џcЌЇҐ JяЧюьVЪЛэE¶Яэ&gt;яч*яц¦џµVО ]§ ЋC^ BођЂJ¬»ж ^XpPщBЋшlzсE XU JyxВП{IІћч;µ5ЙoЛ~­\c E°яхRt 4ІЈ WdCі ]Гј ==… dжF 54ЗѕE=іN Lя±ЈЎљ J ` TM8©єq;b‡Йe 5¦] VL C|\ aяуd`ґ ;Р dxg Wf XЊАZэ–@F ]ak _¶ Sе =щ |Lоэv DРЄЫ ]ґќ 6BЇLЭЎѓпЄ‡°xЊn h€]шЕб7 XЄ GY |“NSБ S DИL Uа c‘C•…[ ]7я{e;&gt;ak@янRp 4др L’[QЏsщ |dfШL XFЉEG9ЯKы ]ПH@МA NЈњAJИs G…Х KqG 6Ѓяуt`µ oOГzk WЈI A°Rх–HД ]p@ fKP™ДЉ EYь&gt;‡вЉwґлЪЋЊ YUЄn iЊ6°Р™CхА eп€; l]гeЌ‹†Ж¶зFd GЈI\ |_A©TC Wў bs”Б _®е‹©t dK ^°­¶7[Х[ґ 3э•j“  Њ–rI7 JНµ Sш] IF® nZ“Y ^FҐЊ eїю*o p’={–В]ЌP•i‘иЩҐЛ[АЁ wѓ‹C4©дФяуd`Д ;р©xk –XI BЁ^дц`DHЧkмЎдЅЯѕаТК †rЏW¤¦@\4 ^АІ Ak_BµXЌЃЬЛ:&lt;Б S’m Gj@Љ z_9lq Ћa*AS†A¦ Ijk YЅ·ЯЏџКЪО L„LЂЎejїwЃ kl@в ;ЬЊНјV[Ѕ…Ѕ aб¬7}йQ VхЦэК doM“z D*о†–№© 9•‚‡д diяуtpё o7Ѕx{ XCI u3Љеt`ДL ;Ёв€‚ hSр 3N| Ot di 4Ї Q¶Г Nu9 HЅzПч\q ]¬І­JP Eџ –\y¶ ЌMш{!N¦DOю!TDгO€wТщ J;­цЧ&gt; ?±т 3є!7бЂ pz&lt;…Ъ C:ЉЩЪoэ DQRpьЂћц h&lt;ЋXUuZї—Ѓ ml\—`’ Hч V`•ќЋ„lжnё e†eП R©Ё `Й gTRµЃы MjЁЎЃ!=aяуd`Ж p_­tЛ= 6H DQ Qс–`Д’ЄXЉNх·Л —~j‰„{–MU r—Elуm ’KO=ыє”–•U“  Њ{6cJ bђЗє‹‡ГА  3&gt;Е”qСЃбаd 9N–8t”ЅЋл“­Ц¶ѓ­JѓN*TІ:&gt;‘о=ТЇЉ ER@яхRp 7…S F°y• Tя*зд3&gt;DЩj dЮ: YЭј3вNНЯkяуt`Є &lt;hГvЛ WcH B@Bс–HD YјWТs€ZЮЉ§Kі &gt;ЕшbIҐ ~7nXєІбNкw§gЈ4В‰‹ўx |]5 ‡VЬк6¬e¶kхЄт«TP ~u;ѓ‰ …]ЯрЁsѓ UЕu}b\ЊўяVПћ­мa5Х @л iЊDo X°d…™ YЫЧE®K`ќ?„rcН¬Ю“эHТd D†­V eћa¶ыmIзЉЛYо^ Lє KД Q†Іњr K†R„ P7rяуdpґ =DЗvk cЖK =XЮеXHЖmІ&gt;ђИЖzMІTЏ–‚]&lt;о QТ*Q–T©М mDЈ; Vа T›г ~Fћ z_чЉЌ YK’pъ Z? [hQ 9Ђ…§Й48ДёnU…z‰ GD…TdRяЩсЁ XPҐVЄЇ—Ѓ 7¤б•Е± SТgѕк Z† MZ =GТ~о NЮ w:^еk–Ь{љ ЏFH PЋбнp›яуt`і &lt;8пsГ= 8Z AxVн–ID ]Ґ№Qў U¬ ?k ;воjД Tьґ €9¦Т« _c] ‘6‚m9‘Ѓ Jу46ЯXґ Hёчбj® [‚ 7” 5бз ~Z­ПlЖЪЄ©ZШ jv@В Eg‘к 7yДРПЏ«Z 9·H G«„Zкщ† ?F IҐUк« dJD fbYєЂ 3у6њР CЈ”ЙЛ SSmЗ·®К­ёз° ?Д f}CU„Q[ђэ`P| 7фQЄJIзћяуdpВ @@эfЛ¬ †f:ш†ХYO vf[¦ [Ж*“ CЎЊ‚ЗС &gt;џH9мЎ 9*l“IРы‡S CE±—G bEVЬ‡af N@ ”bqQчяэЕZяюоAђ @ЕП ukDЇ+яы©+яГѓ 6унЕЗы hWЄЉ X4 €fYRф DЌA D± E_љёiю•GҐєэf“ ewIJF±щ‹ PуxъS TЯDяуtpі CҐ‰n»М  gJ’bШН@ 5[й«*™‘sЗХЄ ezяхf C‘*я·сю”‰ўS,яK Oсп{ћ q6Дz?У_БтЂ 3І7 YХшVt @P” N…Б &lt;@DQ dп †cбъb z MзjR;P aЄшєоu9Ш¦ЮYNbт‡ЯYх]ЪdШ ’&gt;¤‘Й P” @†V¬о] аі„й qreLёґRQЙ^~Й– V‚О{ aQq[H—ЯЕяуdpb 9Ф J~ЉбЂ f?ђ Eю 8Г!3 ^Ж[„Ыи [e™jя‘ЃM ^­ T‹™eЩµКAт~­c ђ&lt;Yпь© ЌGП… ]„CfЫw«THY g‹FA« AЩХVr [hT€‰›у ag™ dщпЄф— V7 €9R Ne›4Њ ~ЃYx«VгјА j3ѓ‘ EQ †|kmЂbђ gLX Kш 9B rAZэ•Ыяуtpt &gt;9 `xЛ ccZ ;ђJо jKF X}шяzЋnҐХЩjЄю 8‡ЙЛЂЏєЌFMАsэ jЊhHk‘ d‡ґeVњђ‡PJPЭ e¦P LчЊЧCгЯCз •&gt;|т&gt;Ы{ K·m‚› ye“lДЌ‘{ђЖ Qtew 3fm {JјЫE†‹¤‘ЉFЩ U€ cц±~ B N 4•† c~й AiАJЌм uY«ЬЯK`Ґ‰jї‘Ђt pDb SДЈ Oп“ [№дЉ]фяуdp‹ =… @tz WcZ ncnц fcДI eЫDл ^№i}џКычн9Zхћ“цU5 aт*‘4М IEZ®з¶Ў;ЕЛW 8:ЋтX Ъ[±khу» Eяцф… GcЌ ]Ѕё :мДиNµ —sC‰М©‚A`QҐK „_„ ‡B‹ _VЕ `Ю{[©rЬNшZј•с·ЧцпZЅИJЭЁ\ИD• XjЅё 9“ 8яуt`‘ &lt;¬ЛzЛ WCJЋђ^цVHFH “c&gt;ч°n‰Jѓ:vяEшЙєmҐЄ75ЭМgьЗЌЇВ XЙЁ4IFкTЪ Y¤З]­щџэ7эЪVKлЩ›ыv&lt;Йяч =жЦЅёЫIЙh IИ s;– ‚7€ dIИ: 9Џ †B† `Ґ„ _RT‰зєk dҐfЕ :ќ©Ј K–t9¬хlеѕЎ[7 a°•v©6дђ rJ‘хд@M aс 4З&gt; &lt;ў*I^ cH 3nРяуd`њ o;7y Ѓcc WЌР^хѕ KЖHф@i3s™О HgBуЬС™ OY°Ba 4Ю E‚J CЌ¤: —`[ЃAvЉE®иЎaАШv[i RыGR«?їХyWпХнyЦЫ5ЙД›еA\VL &lt;ТЂ X:mи _{E yPf A¶ЇфїяЩЮїKЌkРЧ U№ч 8љпм¦©jїs g3VA8 vIС*ЯюҐяуtp— &gt;4ЯtП&lt;cJЉИnнp8DIЄ5 \‘ lFSЙ ?іќtШ—X3 C7kd= e‘ПЖaГr8 Tж\RЭv ‰*ѓ„ Ћ35­8‡:х5 bЅvo·*kљФЇкHЄ№° JЈA Fђ&lt; „w&lt;A¶¬6Ф x=— _ҐбV ;Їс–9кOTc¦‹*U~ ;5МsPґUR‡ ueТ”oBЮЂM VkцЬ’а eћH …Џ4зKг cc^o MрЫПЊmЙ xyBяуd`Ґ &lt;|їxЛ ccH AЁ Eс¶H@ f„?gФяZo 6O… RXЫjAV9—»±pЎ ?· x@­ EЦ ;K ;G±dИ M6 _жЛE X{bЎn[¶4•ЉP5 ]¤Л`Y [&gt;љ dzхИ C±‚РR9№’еpъ “vUЧ &gt;Т i[тdЖR’д…=l Q‘€aЕЂҐj©¶дј nKgМEмyу Y­|Ц eбШ4яуtp™ =@Ѕy R&lt;ГH &gt;Иbй\HDHПnршУЫ7Ѕ bтП{&lt;ќёuЎ ‚W…кg 4€Ћ [?T°Ј‰ ‚BM9 tu3Н‘ b•о_— VчRЉY_~©№H }CБcўOpЂ®L§ UАt¦рfµњ _•Ґn EЖўqMYВMs›zҐ Qѓ¶W±” dОjїхµ HЂҐfЄї—Ѓ &lt;V8 R§ 9mл&gt;oqґ Kа^ hie§КqzP¤ UOs±o eШпз Tл LяуdpЄ o;ќxП&lt;ГH @x^н\HЖH ae“\«Ъ@‘ВК tIsТтБёєѓFЋ [P°С{Ђ… k7; \AO _ҐеUЭЄ­»H R@c8 N”р„ &lt;Bфъ= atEР CЗ›љ{]k•yўЕЬ|€\N  ‡UbхЊ Jf”Яb Dz qozQ“&lt;ьАQ—Хор aЬ&gt;’§гэЙ NUя6h—щCхџ =&gt;яуtp¦ p;±tЛ&lt;cH uKzй\HFH™јwi‰К ‚XrzњN OъдоґС4ч CЇ§ &lt;A ~Љj9&lt; lx6µauґµз \wo{ Rкй– VЁ‚TC©ыё &lt;Cє e‘ц\ voP€ BыЖфџm __B eЯИ“7[n{ЧС G[њ’Ёнј·g{PФЂU•Єїs 3‡ ‰WИЧ» IЇoхlљFJЄЗЯЖ R5еЊx¬іфя M‹пэщqвUз*–&gt;›єяуd`¬ &lt;8іt»&lt;ГH ?X^к6hFH„э7ZВо cў _N6pЈНO ”„]Щ› YЉvЌ UЧI5•_ ‚[ЗЫ bъB5ђ 4ЌЉФп g–AKR5 [С«іо JЩ• rd‚Ўа?¤В\q V”Ф±p WгЬ ‚v_pl›З…ўНЌ&gt;¬jцхХЛ‹Ю­ћ]g zK*я ”3з hnЊO™ [jOЕјМм Ik|Њяуt`« =ДбtЛ cЖJ Bшfж6HЖH©Ы TњdIћэЭЛ¤ъХUМоV@z Qpq S‹­A HйПкяЖ­уъЅ“ oЉZZЌ6њЬЃ@ SИ4цh —?ОС€L 6Ё\4Тl I4КSъM[q 9Ш“—Ю‚ўИNkЧKЦЮ™фЪyIБkRt 8` JЋ‘`9Г*С P_§=П _° Xnч– LM xGпЇЫаоРg‹§9йLj ^|щѓ¬БЫй SfЅ zeпяуdpЁ :`—|g KeI @@bъ jKFHcМ ^’Ц›HрДмеXPi±©¬Т |QимB _№l·йУ _ё–ФщRТ„§“m‚ЪџЈп[Р?ъ°H fGБc kVB Uо­ЪpV‰ K„” G{Тgщ4Nx —†Y\UiYљNЃ 3шh &gt;8рmхУФU Mж ѓ?ѕ®Єu7TuDcXЭ®­DШ aЄЖ&lt;¦ЭWяуtpі ?шуhk=лZ n3¶ШИ`Жmс±i“з ?Ц– R7m bяе:*їW bл±ЌzгZUg Ћ;… MХY‚SP t€8 Аe _b‡H 9Џ 8ZП \У№—Юп§GЇ*ЕД :^ ^э ^єЫЬиўG Tв© OTЎY WЫ–cB QЋ‹ cІЙ\г:¶5Iш?жТcо}ЗO JN ADТ\ж°сі a@ш—i·ж PhZчyI Hoщ 8Lђс‡?Ґ €a–тр“Oяуd`ѕ ;HпzЛ Sз[ @ЁvмцhDJмu E¦ї[©Kt фІ«ЅАрD Sp¦с—ЬС CО°n DЪd jNЂ ѓbR {J4 Xy*жg@NµНУЯ¶uGе‰ЭJ~Ѓљ›лЖї IБfЇЬАEЋ uEPЖђ‘›q \¶¬QZpђ€G ;ЄҐЫњ ‰Z_{бзлЭЇ 56пN8љFeйA ?Њй WлH^Уяуt`А &lt;ДуsГ= ;Z Axbб–`DHА!SЈћ№ 3ahСД w_r4‘ЏyЙkBqа‚ BБЈЛ:gLьТ eg V™ћ«|CДG?ьх‘Я =URIђД j9b ]EКРoћ @ИЂЎкЂ љ 5и@єЂҐiљяr 3Э ~Iес*=i[ЧPtч IЖ ЏvG7 [Е Ee—мB ¦tЄ ;ћ XДНIjQgt;Фr[ Y•K•»љ~ Aџж&lt;:ФwЮ|\яуdpЛ @pгl{= YJ†р^бpxКIАч:e®_еK*оyюЬл7 @еQ ‹–_QT[ &lt;с®и•UЫ¤Ё Љw=о\ 6‰ђ Hр [Ї ]ы‚К…мQdyoЦ EP G±d PSТЯbР TZжЊk©‚иd•Е Dv“ЊУ‡ vPК 3©ћ­¶д” :Ѓ cЊ K&lt;щ™©В»Ю«хюЛ ‚LШЄЃИ№™ ytdяуt`ѕ ?m FtЛ&lt;fZЋ cZоV cF Ћ?МГ we8SЯФQ7€±R C3 qLыrФЋvN•ҐhЗ Bf‹™!9‡ЃЉґ8ъРх Іћ4ЄчTт ^cґ і•P r8Бq†&lt; Wо5Э ‡UЬШ^Чяу• YHйбs 9– b“zЅLO ‘6€t•f®ї“ЃpD X}vYf–OS&gt;буљ»Ь¦СЗUЫ3ж»SќЌn ’^€Ў’ Cі93Ґ Iџ5f ?•Bћ¤еяуdpґ =ДгrП ccJ &lt;и^бXHЖI OБb„КАі yvchiзBcD VЗґЪI RLШЦ dкb NC=| [ҐЄФКХ Ќfa‰б‚БЫКsэ~Кн @Q ЃHцЊД\ b…До*њжЕORХы z\»X« EЩ ?іЗ &gt;•`P ;УД 6‹°ОЉыъPзЮяЎЄ•~ЄЇwЂ¦ Ed Fёn› XХюЅрC Sяуt`± q7їpЛ`ГH D9nй–`Ж’Ђ CЋ!; V‘=F\ZПtqm TB\д~fD}†KМћ WtM 3Н tQa 9оHЂ&gt; F± i]_ЕШ‡† bю‹T«U ]ФЭ hEX KVMЁF` ЂDhup ‚ЊnKAd© &lt;І ’[Ћќ ’8„ 5` ;P’ЛЏ :‚е–ЂЫЮ‹M NзN &gt;ЎКZ [IПVЏ™TТ 3нeZ”  Њ9Д†ФDЋ;я©Ky m98 Vб C=њљ Qяуd`§ oO·tЛ&lt; VH CJс–`D Yz OзеЬЌэ TN bВ ђG3f I–¤мБ hЊ€6Н8X&gt; Y&gt;“† 6вП a† ZкМ  vAЎZ sЋ3Ыђ±Ё uWU†VУmЮ 3L {IhљIoC ]`ЙMyќnШф ‹=№Г FЗ±ЈЙ ;ѓГШ† „HJМЛиRхъRЗF‹ EІО IЩeЄЬ`q Ћ~•cѕ dѕяуtp– p7·z{ WcI A8‚ц 7HДH ѓSГ&gt; Jqa 8ИЖк‰ќ R}є PЩЌі —MAu vQB ђGжМ†&gt;DvR_­њЉ Nf IЄ ]Ќ Vіµ§KТЇЄWќ ѓLИD QФ ^€ A9эi y5юGйjHўй`· eщh K!EкЉЖ [зr Eя·С u8XЎ‰Г 6]gтЛхи–Н 5ИэNи 6О q;Ж 3= BµЧЭвВАЕх_Б sC† “7µo E^µ¬:Йяуd`  q83v{ WEZЌPЋцV c„LlЉ [AZОуq `;9л~whВ [lzч= =3їѓ :ЖtЙј3} InuЯ eeИ™® ЃЏDЋ 98хУG e|Ѓjж»і `*oюп‰Ѓ6›Ѓa QДьB·‹•iкVЙ`XH IјЯЇҐ ^аИ’” Fљ&gt;ОґrЖКЦK _о№?¤ХнWА &gt;N|и4‡ ‰=ЋЅяуtpЌ &gt;Ў bpj&lt;ГZ€ cЋй\`ДMVу†™ЄГvў \В†КЭ aжҐчЛл*9К­™ Dџn[Еїr Њ^¬єeТМєSћEV±НХ ]”8DЉ­щВ PЭ}Т`r¦ OЏк4 IQ XИТmяЎџubІЪ =u°Ж`ЂTN g[†Ѓ 9љ 7HЊA X_ xMҐ¦jdX7‘z’Ън aБй vJ`s&gt;{M“ЌvЏҐ fW“?wь!E 3@AкІ~ DыpЬ‡яуdpў == Vtj WcZЏ`&gt;т 3`Ж Љ`€ ;у–г7Y ?П eКk] ZtZЊ I&lt;x C^ ^И‹ђ§њ3Кщz d©JЄz­c®vУjЬiТЅ ђeІЉн ^Я {‡‘]OЗМ HюS… EаW_ю Ga ;а ѓ‘YЉ Cі¦U—я`gH `QасЩАфQ _ё’ KLzЗ’:д°?{¬ Sћpez·ЅѓЭЁюДЕяуt`Ќ =m &lt;u pWЈZЏ@zо4`ДH&lt;mі fW“ N«юF 8‘ …l6Ъ UjGµ K…є’x9 Ѓetс№c`«§»л R™ hbЁz«Їю ЉAЈ;жy§µJMЅЈeЯMЋнa\eАћы§ѕ&lt;:МXTќя¶ЇВKSълЬЂ!cм 64 @а _Њ jVМЁіq —3hЂќРЈ7‰ ajЦµо cлTqyхЭ &lt;PХоS bъкz5ЪUЇNЉС OҐ»©№ Wё 4яуd`Џ &lt;ђ dw ЃWe WЋШbо6 cFHЎъѓ@№ч Gљ§– r–pC„tє§&lt;“dЧ\®B‚ ;`lїbЖЎН m_XAљёs RTУ Dfb yZљ 9QЏ &gt;љ8…^=U* ёO `ЉФС|D EbЗ U4 ЭПщ° vѓLЁI  fAbЕБШlИ AТhiя›ЕV &lt;9 S›Њ \—‹ХmXы ]кwzШ–Мяуt`‚ =XУ|П SCJ @Ђ Qъ6 LЂ 3Pе­5eп¤WеҐЄw 4cK eЙ¶v EШ y[Н±µ KЏЙќХЄ¶SvќчIЅ ORЬР GЂ r9P± [€X Ћ^џ™B”Ќb ЉI7r aV§[M*j ]й 87d• 7ЬїЃлEРЦ xT±€‰ @—t4VPИЅЄфhkW¶Ў© Ge ЂEq„ AЄ±© VXЫµйё…б…&gt;ЛkFЂH§ Tm_уp8P cЊ‰й}яуd`Њ ;`y|Л Wb8 A zю^ KFHЬЪЕТ§M‚яК†j^n[wzы{BЯў eхѕЋ”ьАЦтЇJ 4;=GjOы U4нЄхUЅd… Ѓt[“wр ЋzDFW 5a ZVЉ9ЕМё&gt; gASQ‘ќЦY№ѕ¦У^сюяц c¦Чыµ B§s…АAґ•ZSЂРLc LПВІ¶ЩЫЦVzX Jщ›sќіцяуt`‰ :Њ· ‘WbH ?8Nц^ cF![6un¬ЮЋЕ[№ `Сћ”† }†o6ДЎP eB`рg IШY›їѕ 9іЎY H› Dъ N*}Ь ?Диѓ ?з‘l;ґ &gt;XZѕ’¦ПЂ 6ўЈ UЄx I¤і¤П Ts‚— TU4Ј [ЩЉеУ_ `qэ±Кbъ©@BcµJр ЂAАЭ @*ФQvш‡ђ“№N ;Пћc±ф ‘b—:_*ЬхFxўќ\„ъR«ЁЎ GPИlдяуd`® ;@©tЛ cbH AhZн¶X† ЋЃЊa@:PЁµ ?л8hw{«&lt;‰ PJы Cj“ ђ•PUNP89  3NX WdLk`ч [TК x]nЂ YЛXd `royз© `· MGs}¶9о @њъў…ђ‡љЗ@CЖЂяхRp &lt;‰Б© =uё§» _Е MRЉЂяь G№y ‹bфэlb¤МЯa©ў\Ё‘ГЦЎяуt`­ o_Ўt» _ЈH tcZщ– cF ]h®о T€іѓЋ5З„a`™В Xђ s7§J› ]вќњ VСђяК ]*ХU9@и*Д яћQ; p4•qс 7Д mIqъ¶ Wi» 8Ба±А cxоe­kЦ I¤cXяs: &gt;6†Nсfѕќ?Y ZkU©UjN g9ЕcЉ Gаг Q]ЯQЎQNQњБГ JЈ™њОґ bЭЯo CЇџwWїэrЭ `’Йћ 4ЬџЊ? bZ Z‘яуd`Ѕ oW§zk WhI Aш^щ–HFJlgj NYюЖ XМ r_†4 IЦ Cы Kе— R«к¤FfUY8 lj&gt;…Mк Kpс eI Њ4y@u‡F =€Ц’ —MO “y9‰ [«… ?»qЃµї ?—:Vn`} `t~л Ќq\†=ЊЧ№ 3Uo­JP N\ QІcuDЉ№›µвҐЕ 9э3 ZҐжnN]loK—Ґ ѓ\тяуt`і &lt;шХxЛ&lt;FK BЁ aн– ]Ж lGЁ =g‹ґywC CD¤„AЈfЪ r`Љ 5Њ…­h W¶ЇвА›“ AлѕБ NZ [¤«MФµ9@і 4м 6ОЗ7 PЃ 4Ж4H †‹OE Њ55Ў 3{}Йп •c‘љY4К:~ж czҐ©}¬?eµnЪДЂUe•ЄNЃ Dp BЈг ЁҐ ?&lt;€Зaќ’ fke}к QЋмуФ‡}і] M® ђ@вИАС ZўS…Б cшЎряуd`· &lt;„іx» ceI @Ђ6х–`Д Y± }=&gt; _бyRЛпhѓъ®Ч®ЮДЁ»F«Q*U9ЂHT :° I Ќ3Ѓ`БЗP ovr^ ґу:X¤µп MгEљbбg cпc= M›†Рџх~… CD@ ]8©љн· Wё 6Р‡ qC° &gt;n—G NЭE‚с©Oy:Q EЁ S‘м`„N FG;OкћU± G°­мяуt`Ї oW‡xЛ Wb9 @и Qх–JD 5Сњa®В K4 E!8Х=nкNТ†|Ё•Ia 4BФi 4nЙeЌf &lt;ЃO PUE©ійq~ф¶q UB ± c3\TЎЇюµСRІP@ 5EЂ’ cЗR _п8 6і nLП tf^± iѓxcnЂякУp Aь G‰ч 9Ґ ђ{S лў TCЌ 6йjВ KРІBЇ6 ]liv„А mZN …}OIЩ¤ЁDM t&lt;¬ A8 xOaКЅдяуdpБ sOсnП= YZ mK6Эt{ jX… eгЋl“кgчtЄТМµ9@т tЁєЂМ_С^mV |OфlЏ TБі ]ћів DRй·~я jv†ZSIfТ‰Ќ†чэ QѕB‘ :цd5 3якТp 9ВhІажзEќг …HИ?® :Љ4„ЏXнќ3ЙЬоЯ3&lt;ИЬн№nV?ї™ШшYp 3‚ }~:Mѓяуt`¶ ;¤Atk&lt;c ‹AЃ Qн–`Д’ GѓО |4О=G=^bы P_ЧУ ^ѕњ 4ѓ 5»[8лz CP[hrпNЋ aH z9T y6Їyђш|ыI Gy L3O;ЉW{п F“» KќфџIv«ШЏХт ;R 3ялRp 5•АГм D*П ^›_®E HР dА W}З„qY!=cО»еxyэ =ы7њЁ`QШ Ga 5@с†JмЌ LЖcuY ecn9ящj W&gt; ]Sм—яуd`Й ;јЇxk&lt;cI AШjиОxFJґВnc?йVЈЄЙР xVБB‚Б CЮмj rZч&lt;YC¬L’•п5 _хZњtoЁ®^U |=ЫOт bкю†ё •UZЄRЃL 9;с I ~ў EэgыГY‰Ъг¤ІURП‡9Г 7‘¬я!]®йЌМиУ~Ыјнџ yeеўс^уМ&gt;µўГШDс I†Igяуt`В &lt; лxk cc[ &gt;иBсvHЖ YRh‹з‚OЉќш4«BК©9Ђ pbB …Mє‡ wSљй&lt; G”5 Q\»PЧХҐiFч¦вё4 X`Ащ FЈы FЎcRфwтУ ZњЕ ‹HЂяхRt mS‰Љ®ЖВџR¬;…љЧкЩЦz­ЩfR›65o™ђtПBe©»юя EH @P‘ 6s eOҐ3NS\ѕd gW‘ЦA &lt;}Џ Z^Ґ 5Q cС@ўF T@wяуdpШ &lt;ьБvЛ`fI APbй\`ДJ ‹[_±ЅџьЄЏ9H]VrЃihAЉ ‰}—`·Rg‚ fYЮlP ”Q8Аг*‹‘ 5™^з 4[!J _Н ?®№ xn=4‰[ IўWTчRlјЗькШ ©UкґУJґ 35^5 73 L\¦ s;K„Х‘Т `jцheЦ U• 6Ё :EД¦Љh‚ў– ЊOZ RB¬rяуt`Й q?»nk¬ ~gB€ eШЧO fh@ЁA„ЏAђk™7ZЫЏ™† R3bЬ›[^ …K`ж }e^„ c”Уэ?г SєC]b l~DщњЧчтџчJ“яшёт Fг }_щdщЧ*ялЏ*ячЕЮЛ&gt;ЄT Cйе¦ЌI¤Бь f7ЊЮ&lt; 5^7‚RxбCSЋ :ѕ VїЋН ^d MТ™ОAҐ y~U&lt;д=NaК4ГСЩ Pф ^ўШ&lt; dЉVЇ€№Ь¦ Qaт CяуdpЕ BЙ‰p»М  gI*bЩaЏ Ћ4Д[Чямp TЬюэ?яцe9ФMХМVgkUыЊ ?:о: TbЭПD SџЄ Ps9иb ‡^±ОыфF·эиФ•¤ИJ}от CУ5’у©®хVm|‰лЫЈЬџ’¤P 7НіnЩ`й dЃ a‘¶f†а E‘И&lt;Q”Їь NЂЋ ЏSрёGY 6QMKцТ€¶;Н5яуtph ;u3ЂЫб€ f&gt;pW h&lt;В!3Сw:‰ Q·мбЎ йVЄю @C Lє&gt; 4вщяCmLN&gt;µм ]ђqФ cAФQ h}a¬X W”&lt;‚Ѓ ‚HE ‘nXЌXS –DRf&lt;Яй j?W U\і§~ґ5q THАT KљхпкМС WnўЪ5Y E®З›оіпЁ“­M &lt;Ў &lt;3…U CS 5} c§aS WK„± oSшqх_БХЪ 3gR T»NКе}‰я~ –5©яуdp‰ &gt;щArz ccZ 7ш:нX C† ЉЏKѕ Qа™г PњaЭ… •^®EB Xсa§ T›и№Жkя &gt;JxD6lРєJЋ]sF‡ Kж| FQнъЉ 7ї ;xїжЧ Cп·©Tіj‘PЂґhІЊ JF YQ 9NяW i[цў8 4јЄУу dъЙн|Уq …fWIЦїш `¬ЈGKs&gt;i€ШФЩw*WЅ [яуtpђ =Y &lt;rj ccZ‰ &gt;йX d„ X…{‘Щ№Э]ўоя»Ґ©їЁ\жЙHф BbЃ {‘[› G^b=›ПOmљгuo RшЗътf}®GЃЂLС„ё Y_KЫ~љЮщ7Їуoэ W’ Wi WА XЃИѕ zIоYЃДYД№ 9Ф{Ў9З&lt;сsхзЂҐЦї®нЯЉВ {S  9Ђ•YVїь&gt; S&lt; 7а§ъ BІ=М¬ 7T~kрЬ K¬ѕS§ЙOa |&gt;&gt;Gµяуdp© qSеtК&lt;FJЉР–о jdFMґGs [?·« &lt;Ќ KГiбN•»k€ҐE}Lє&lt;L oM°г 9Ќ 3€ QpVа PГ™…ыцjfH”ђ± WЫ`¶ 7П8т ]8 eЭ:Є {QП эE ^oу U6ЦеК~ф—·Иу }M” “uOBЕЂХVй· V B¶Ѓ t8ѕЧ ESЅ&gt; ^‘ jЏye©Є&gt;§у [fяуtpџ =XПvК KhJ &gt;Y aц j[†ђОЦ mW:Џ°SP€ Uµ 5ЉSё 9B G5@ђ 8Н [°р Ѓs8ЃѓЈДАќО O’f …HPЇАBКФН H­Ѓ 9\ ]M·к„¶ S·±^ђ_В €;;МИз GєћеJІ[OЮЗReC aѓ VЖ \Z ;VосҐЂei©7 W” BС†ЛYDј BЮB Y¬И 5Яєе§… ;й _ҐS?wчёBи7cv„« ‚ЋeИE‘¬яуdp± =PПzП KcJ qdJщp CDђ:I UЙ4Tч DоќЌ eM¤ EзЪЏ I&gt; BЃN :N Ђ~–ЋcШPт z[} OДџFв _МD’M‚X Q­ ‘O]МУг dФћb DЏHщ”nЅЧ™уї;n7OE XчЩ•O VМN td¤“pБх{t &gt;dШр’ IњdjуKъ ђ4oРH¶t Im MС4TІм•жnяуtp¬ &gt;LХxП WhJ &gt;Щ^сt c†‘q Dї…EDuЎ•—oXL \jkyУhґЕKAС W|фк`@ w&lt;‡€5з KЖFиA MЪ‚I3ъїжа8»ј—?ЌЂhњ QlґСrўЋґ Ќ^&lt;Ю aqтj– 3…^h| ’t[АDЉ C‡XµІчҐлСчKцЩHсх[p ;haИh Xџ’7›dgoґ‹ыЕ “7шЭЇКьµZS Y°ЇЙоґ AE}·Ьжяуd`µ &lt;Рбvk WЁJ AИ~ц6 cFH‹W }r=@WЭ&gt;Іэ G· ]ВЋ­*О6—іЬ†VksлЦxў Nсх“·l bћ`Рба»Ж±F­dU‰©п»]МZ‹L¬ѓ q6hb3] H:©QрHД DЎ 5wJґћИW ^{±~gи STiЦ«WЂ\*5СМH aйnNw±µC &lt;‡ &gt;зqЛЩ*Qt K}яуtp¦ ?tпnk=†Z ;€жб\`FlќЬQ 7БЕ Eѓ |_V»ИЖy 8&lt;Ю veѕm Bх ‹]Hwј€УыЊнЯ–v _єЄпИ JQhЎVR 3Ѓу‚БЁЯЫWЕЅ@jџъЗИќfїюх Џ9u ‚€3ФА ^›лт: rXсО M‡Sщ D“bЏ &gt;ь ?лЪЂ… &lt;jЇw 3r &lt;Њ^эxёyтх Oб~§а Xщ”¦‡Г =C¬R x[’уЙрF &gt;З6eїяуd`і &lt; сvЛ WЈZ A кс–@ДrоA7Џ MЧљъАfЦќ{rЌmжСrОмї™_¶љi‹[HB±БЦЁ`yй±’ H¶нEh Rщїжа ЉAЉ 4• Eјч—SЬбX _щsDПОЉuЦ’;YP U9РYЬE 5Ѓаl P8L»` ?P\ёЁDeЙ ocМ’ FUХ»8dcХяЮdB ”4‘ p3ИЪяуt`¦ =игtЛ cfJ D`юн–HКpH:Є F±С6к Xg mQщҐ№кЬ·gѕ™¤ ?ЋФд4Fu A Е T№ ;о Gѓ@ 3pTа jRx«њД =™p‰Сaхїъ •aAОЗiЗ _VN…ZЅЄ™ 6AП =н4нц bЎхFЩХ3ЄЉ·:jU QUйi F”µЛТо_‰ҐdЉЂянRђ 5А ]„r§Vg 7Ёхa!9 KPJ–¤ bO e;Э›МіRє‹ |5яуdpњ &lt;°—tg “6I pЏYнX cЖђ k{c*k@ИАИBdВЬђљ ‹3УХ°ЂЙ Cш DиXвжЋs4 †„A–Ы c‹‘ _dЌ4›*ЂY 3iњCиFт eшд 7и †T4 c&lt;·‰ Vn ]Ўhk†IЎLd”ьyi:Uлж: Љ3янRp 7М D  Ѓdгзѕ JK c¬ўVu—*KGя:k[Й Mяуtp  &lt;ьХzk SCK ?X^сt c„H†*AVQўП–ВF :Aе ‘IVхR GRАЈ 6Џ J‰d 3н VХЦNЅKY¶*ЄrЃ@ХГ°u`8СЊиУы{qг‹ z‰№АT Ћ5UЈЮ” „7*D ienR^бнs•QЄ:@¦ VS`Юї*GJVялRt qЊ7ІЛ¦њ •Xf&lt; KўБ UY‘¶р°FЬ»bЏћУDMюЇSWХл 3Ґu Ѓ_ґ \W e—яуd`± ;@Й|k WEK B8zэ– KЖJЎ ^]щ° OЏeВЂкН¬4bвF›§:»[ E;и&lt;ЦњЁ C\_K Wт 6Ќє Tb®‹ PYСA zSlЁЩшЄЕЏS¦И R{’t¬Љ’e^ozu ‡5П±щ B8©‘rЏVђAхы ?Љ Smd FJзтыЈ &lt;о¦ 8оЌЊf„ Wе]Ћ}V_Цц]…§P”{]яуtp­ &lt;ШЛzk WhK @pRнм cЖ [JєЙЅ¤Ѓв Pz ѓdє_ L’jЮ®Z Cё X6дҐd–КИ¤qaqbMЎOЎoJжљjпk YV« Gi Wф`бj{вЖtюЧЯ cEБ bNEє \gm„IyПу bюe”жI &lt;±є‘О9ц HжPБАeZ©6дј =Г Љ@a5bW MKю6Ut I[ЈЉШч‹І—‰J€щ KЎlй Y Ю=Цы†п &gt;ЦєLGu 9яуdp» =ЬЩrk ‹&lt;J &gt;й†нpHЖђжVЙрg:юєP XХ&gt;ФЦЃ™]SuнюЇзЮнYлu5ЖШ†Sщю¤‰ЃD“r xfx=dxJDОWє§F¤ЉB [ш YdzЫ Zыъћ©яjџtЄ ‹g\‘ЕJЭ3ьЬЗ :ЂБя ђ3™аШ :c’k LЈ[ыG pYћЋ O«kљ ‚:Еs[ПMk› CпЪяуtpЇ =ряvП W©Z ?Й~т 7@†‘ Uц^=c:EfПnм{ъШщ©|ъoЦZ©hNѓНr©u ENЖюПЋ^џ™U©8 6ЋOgNъGZ R9 X‹:ПиJН» eЄv±»Ољо¦8¶ ];“‡c 8Б —&lt;Ў 4U–PEчf :wцЁTnпWU 3VOХоp €{hMTK6}O n\lж V}€УЊsыпНеyју±lэ :xюtћbП@wнnо [4зЭяуd`· oCЗvg _fK AщZфц cD’ЗqИ№Ёm ‰\V G{ыdе 6ѕAИ dѓ h—;4TсРu a4@АёЄ„чWЧх­K9яN 4°B•7 @зvю‚tRІ dfЕ·П el°iҐ‚ЦR Cyз s„7Цy fCгњuВ xVЩ5`bЂРt ђP:з ‡?©bP&lt;b OЗюЕФG @ҐЄWЃ ‹3Ј aИнlйяуt`­ &gt;`Щt» WЖJ CшъмО K†r R¬tЎзЦ8lКyнЫ Z·Ц‰fЩ~у HЮ ‹dц Vj~; CNыnЯ7Rѕп’цTФМйIxс nCЛЙ”dы H{ FСM’Bя OEl UЌЊQ WM·|"63г OиFOЊяd ‘w_И®ъМчsю’9 gKJУH[;ZГ 4Д6Uи·З†7ЮЛw°T c5ог 3якКp ?: 9GЩЕ U&gt;·bK ]Ух Gl 8яуdpЎ &lt;ьЗvЛ WЖJ Aюъ jK„p6ъеjѕimuџ \x\—юљ_[ EЧЫЛы? NпМt4РСмХ±ФU ‰U‡ tJg h7‡E 7AШВR ZCkeы&gt;ҐЄґТХ \@° T‹[‘G XЁ?&gt; L¬њ ђ;ТзmР ЂA€Е” ’X&gt; 4bН p}=ЂI [pўђХ5 _} `Ґ4э™RG‘э =ИЂU}–«яуt`‘ p7Гxk ‹9I u3ћщ– CFNь xXD@Ф5 …}n E•XМЯ 7‡3‡ Aє Tчc&gt;pїGUu €l=·nи¤њ†W €VПЎч ^‚¤ QqВЎЖ¬МЁц F~ 6“Q YTr^sмђ hx&lt;‘4љ· ~OЎ±•Ф„° FњзNЗxИmТг Yt] tcќ ‹|]Ѕm PР—±”Ь ђ’IuўК_юhТ&lt;СяюL 9©Ґ©6дЊ ;Gш‘©Х€Ж¶е ?ђяуd`— &lt;„ЛvК WcJ tc†оVHДHґЁ9Цћі ’{@фrн YЬжЄTЛcМ›|лћОе­‘8ЉJ_ґ Mкгк“&gt; &gt;kbьѕгІ|™ 6Ќ¬Жк @¶“{Bwz A}{Я­:Сf aа*іYЄ=уho« 3o@ Kmьf:Y UQ‘ W‚ o4Q De—3 \ц&lt; SP8F– NЧ Sю &lt;дdUjЇь e­ІxяуtpЌ @93tП&lt;fZ†ђ~о 3HЖIЄVYЉФчn|юД vQ№Х… V”AB ЃtNJЫ qp?M€ѓU d‡§ Aџiзslз Oђ„&gt;cд¦FAпЅ eоЩ GЅ K«И4в”prLШ¤ [`·¤бnЪ‘LЙbIЂЉ`A@ЌЎ h„z\  4–XіОЂU3мZO7нс SMфH@ ZХ_ l=3Op •Aѕф‡4\ ‘Cd= YўН7 WЏ’ьЦ `BШY KєЋяуdpњ =€йtК&lt;cJ ;и eт j[„ 8ВХWPFI ?A 6mќ] `orЁ~L­ќђј±mєЪL M­ ]\РuЂb&lt;Њ 4Ё AцLТ^ ‚ay{ыБUЕjЃ XЂГ 3€Ў 3С‰ WЧX|b^ SВ± 5KЂ\ЊНг•¤JS°*зю =3ш¤Ђ”gjЇqЂь| Jg‘вјy iNЅЇT†A· ‰b‡B 5І€mяуtpџ =ёЧrє&lt;cJЉ‰ Qй\@F‘љ Mл Vшў±ѕNгЛ&gt;– Mх·] •MЩёуm¶і*аґ’ґВ†КочњяыKµ&gt;}JуХмћGpЦzЋшRэ¶‘ Њ&gt;Єљ 8Ѓ*‚ 3ЃА4 ?џ ‚hA¶VуЂB§†®;~mК= Mф±Л9„C;Ћ i3pе^Єя’ 3№ @ЎЙ UеЃЭэх F»ЩfJ¬ XhЖo &lt;±C™ЅдҐa°•а› VТ =А bєРяуdpІ =ь»tЛ&lt;fHЉЁ QнмY‚ 3”љд›єaG^ЁСnЋKъNiye “A“ DгЎ{b‹сзпюЯZяЫНъюН WI®юJ 8EF cНXH GFъ p†KЙДҐг›•:|ЬZЄEa· tE‡— F€ p8Ћ 3К ] ЌIАЙ`’ IБ v;ФP” a·РЇR&lt;Ъ 3юUЄЫ  Eа°Аi SФэµ”Э‡яуt`Є =¤№vЛ&lt;cHђИVн¶`D [3Llдўf @Лi¤i NuИпмДОрsЦV§Н„ћiТ \kЮs ‹zhB™ Q9ѓЫSCЗXЧЗ ]К SOФ= &gt;HЕ ^Ќ_тр zЊ8c :ё|у QVSљ QГВЙ6 tTпѕ§Wј r8B zcjЃ ?^ aNm„iцX¦ X;  BZъ±Љ¶х 3iUЄїrЃ —&lt;А SH€ iLЏ?ЭM&lt; YБIH‰ DM`|Ыc ^яуd`¤ o3Лv{ SCJ AИnцV [ДH QG*uҐ “\Лќт OO o@axВ BF ЃFѓCЃС T‘Р8Г 8’ cхH:M \hґ 6{ L¬Q} |TШф€ c®яжАL Hhж®iш WВ aўг @q —N§‚ @bЕ 8”д 6†Џ H!cHз R› 8L°“LІЖЫ­€[ОЧнkТЅV›кy4’AјeVwЂ™± RBяуt`› pc©vЛ WeH Bа&gt;т6HF WЃuш„@c vD:АY 4С*ВЕЊЏ8|Рњ™‰–4 yѓ;b&lt;ў”[{І„т”Ё †KЋK eО&gt;mГЕ•юCZИ C« ^i4о` [° KТсђб So &lt;x TИйcCgЩ sbєЋ Дqb ‹^[° JЎПЯҐ5i™±§ =РҐ Hjяw 3©P OTJ_† ‡Ow•СT Mё?h6·іЮBDњyЉjy• CЂ®Аи?sяуdpќ nЋbxЛ Љ‰Љ?h†ц j[FH =*9љ P*‹: Kc 4v¶сљЗџl~ DsZSн[«э =JІ•SRp :°ў ‹Pуо ^ЁPэ® LАВBЂЩ‘`Б \уH’nЦЗќ „–Sб@ЉN osXn 4O8YЈfсџщчXVеЇпФэeZ“Ђ cК ZМ`Uqлdu Rj€T“Д5љКч*‡­яsaяуt`Ґ ;ФµxЛ WCH BPnщ– cДJючU9– `YхІБМ·ѓZSЭІK?ќВШ‘ ‡CЊр 3iфJ —=}в¦&lt;оґоrТ SЫJ¬њ i}f7„зм`¬ио TПSДn C’ ’a:–ЭHD·ФHd|Ј~€ K† 3¤VЫ?вќ ^«Т= SэjЇЭаRљ V?јҐFЪЭ [`дnЏs3щИх D·&lt;…ћ~ n3W bяОЕВk ^Ђ“™ K@™3¶jяуd`ґ &lt;јУ|{ KFK sSzх– [†Jl… |D»5 KP€ Hк&lt;©8® KN Y4 a[±~• LY~кЄrЃЗ kTЈСnВЇb©d _Д 5АЩж—=@ч Ђ[b l@j6‡Ёщ VҐ‹Щmч¶п&lt;рr;¦‰Љ 8?КС‘Dя ”3ЕX {F¬Г»уOіД ?»ТтеB©ѓ X«ъ:yХ4У¶Т±S sQЁдяуt`¬ &lt;`Уx{ WcJ AЂs 4– K†J h{5вГ VН‹ 7… AЊ eБ S„”` Њ]ж Y‡wx“qYЕhДfB aB‹ GКІp ;ABД BЪкг3 @ЁёТ ZП­ЈР pK†N4цOVµPRЬЧbђ e§ S­GїиыїЄЂЎfъя—ЂђЉ¬ DeГMівzоgзn d„ 6Ѕ‹®€[юY VC|Ґ¤юЊ Dш{” ’~eђњ¤b ?ЩШ TEK‚`РdАLхЕ@яуd`є &lt;4ќvg ccI ?8Nх– C„ ]Л aAЂк…щ‘E° 7жlюѕ”Єµ ]­ Ќ3Ў D }¤­XєІЖ`wPT L`Р|шхЅ a Џ?¬ ;§чсSP nDе 5ҐЪђeВУз ?› =Ц@ѓЮЏткЄяж©Aeъp 85 3Щ ;јЮв¤ЛA ‰7Vs!: 7Ш¦Ўm Y| zMљ ?8&gt;ђјP MkЪ G]АPяуt`є &lt;діvЛ&lt;cH Bё^с–H†Jќк[mх &gt;Т9ЛиРиO§ьP 9~фа v–v3·6pH@©ђЩK &gt;!_rXxn ’kA;zTD&gt;ФПVБQВ 9П” U4тz HЗ¤Сг‚EW–_Kє[Й b@B ђ3ў¦@ =ё€‰ LФх“|[ўP¬э=™ DoФbcW4ftq}S» ‰‡\‹f¤ cХNАҐA cиЌ ‰O€&lt;хўЪШљ]я WъяиµУВяуd`ї :x;xw ’‰‹B8:йn KЖ YАэйА ’^ЦУ Vу dЅз¶ё=¤¦ ~O@Q veАдФєр ^ДDC CИ\&lt; WC‰€к ‚’Vrкv¦@іЌћnИH Xюя Ф ]в U«5]U] 3f ^Га¶ђЈЃВ4;ёC a’©jЧ Lµ _Uъ¶Ў uIь Ak MzУO QN9m “_9=vО8vтжМЏNЁяуt`Б ;М›tgҐЊ gB fиПF f5vћ :Ѓ g[к‹Пњ3 XХnЄаЁ †RЙ„‡З»Ў“h\ EќЄ;z aЇъё AогрMЉgЉґс UЄuЬЯћЩ™ћы}_sйэ|¬ @гCЁQ Bв®э GЄ35Uнґ“l f8@ql~ UCчS‡nR^­®ь] NФЊ]¦ІУ¦P™{ ]жHЌH\”ѓ K¬7TЁn¬рLсІ’nM =• y[л{4 kE“ћкЖяуdpП C­ \nzЗ° fM№Те]ЊH 3¦Jґ W…qE6ъуЎь‹l?±’Ux z?¬Б J}е Qх IЯяwъ 3R \T XА qЉ5’ B„ bR–ТШйVОqі&lt;сч QАлJЕSµZ bх|­љZѕЉ\ПoТ†§я^µSЄ•e ЋK]D 7‚ |Y«щ[*аЄЉЋ6T €D4 FNpЄ&gt;Лє_яF‹¬ящ•яуt`Y lCEzЗд rg&gt;€Vэ—И f5ЎЃ–я§HeEZЄrЃ CІQ ‰:Й5—вMjJг¬†S nN‰—¬ ]‡ЧSLЉ–ъ KлYчбЦы 4– :џ D‹БФ\§’!@S] _уЮГ ]ѕE &gt;эШтL›7 MKи =D€ ]X¬ Bђэ cҐ iЂn8ћyб D‡„Ј„D\]‹:JЌ WFO_M G‚ґd O­@эeZњ  ”&gt;R‘ uP¦Ј IІ 3Lз9 MpRЉ 8яуdpЌ ;¬ќxЛ&lt; VI &gt;А:йpz lЉ=°тФЊ 6R®ч `B ЉPZ… 7‡ =Џ‰ Kл‰\ос„7САЗ _нgЎИ vY•ZrЃЧ¤ 59Н pAt_3|6fНЛМ e± G±Ћд}·LnљH»’TЉй\лыF aЉџG¶zџТх 3UoµNP ‹6ѓim!\Ш V§Ќ QуШ ;F IЧeЁІmQPуKуnCяуt`“ :Ђ bt{&lt;c ‹s;†е–xFJѕvmэ¦т i;—PБP ;7 ;€F‡XHyR U–N ?у­kШншHXk­jйo~5Uj¦’rЂ¬ ^Г4 `Gў© ‹&lt;иM: Lѕ†Q–‹X ‡&gt;™p©UЊ v=­ =A yi8‘ S«L \BИ ‹z|[џс¬ =ЎЫ a¬тА`UjїsЃ’JHFЉс«Ь cз;шn•Шaрlај“Ћg c@’ fDрЌ\Y‡ dґJeяуdpµ &lt;XЃn»`c9 B jЭ\xFJM aя –dn@ЕёsD n_ыb :hTЬИЊ9ук¬Nт’b{ТЅ EзТул?ьЈі„ HY–Є› B [XВ¶ 7Ћ_UЮ &gt;&lt;Щ ;іS@‡_§ҐЛб^”©|Фќ &lt;Ю‡pАбҐ 9ЃЙЏ &gt;‰Ю BВгѓ 5ѓN \ђч h;П¤ъ &lt;Љ…Нг^ЏэZ ‹l3эѕI№ Wяуt`¦ =ЁЙnЛ`cJ Eёюй–xЖr 5N Oќ¦”¶ЖD§}9K doњ aј X©K ;е &gt;·7vґѕПХQ &gt;!DT‡Ђ°“@l¦эQyСИ_ zVЈ» D“ S9 Wx^с ]ЕмС ?F€±зS® O_эztбM pTJe lrNЂй«ь †HИ« Og“‡эн [X Wq`R z[ћн \aK8Ы™ Iqp\ ‚hNY Y…’Кћ®‡†Ьзj Irоя Њ6WxУU[”яуd` &gt;Acz Kc\Ћ 3&gt;с” [Д ЉAЫ‚Й =6Vp CБ¦A±‹ Kh{Dзђґ &gt;Y IQ`Шr 4:TіЫ yQM ѓ4Л“С_|Е¤¶є№ bё–DЫ 5їюєЛvь &gt;B_ w8Бa C rs&gt;¤и€Щ T©sЦ {Rі^ a„P [СSЪ K„‹*©EкжЦ– &gt;=ќЃ? |QМчµГ VЂS YUЄш c¶vяуt`Ѓ :t PЂЫ KC xuЋu=^ K!3ђ XAµі=ѕїЏsZDµ©n8 Y3иІю^ZњчЧіЙ‘46Т ]‰фPЛ €qM‡љЧ°Ее–ЛОћ KA© ?ґ Ћ;єв‰Wy qAпjВ XЭ V‘· L`k c9‰c`R„ m=‡Ж‘PЂzV= bi 4Pіч =P—_Ыєп©ЪН KFCejё _ So|чs3c*ъ z‹o]АIџK¬Ґ_k:цvFБ EЄ№YКяуdp› &lt;HЎvК ccH =°Rъ j[F [Џ`·![ yDI E@щА ЃreЇЛ &gt;EФ’‡WP€Q X€ @C*m W¶ Ќ*ѕH kQ9aE h6@И ”RФ  &gt;O s8ЕbОљЧµЄїЈ \ХZoS—©ѕ·SdгЫЎ^є Fл n3W®•«nЃ TPњ eбi USWGїI PС§жdў† ZJ ^§Ы—ИnG• a{яуt`Ў ;МЈxК WbH ?р YъV L† 3RМ D‘HяЯMгюъeмЛ aт|х \Љ SЎгЁР [Х Yчнњy’KЧҐ “Wдё i3BcCe¶Јпџxўзs 7њ’ЦzЕ V¬ѓ Qљ K©&gt;”^±оЎnҐ `ь•кEснВ 8zЊО ]ЂUџХя‚„ VOF YЕ Cєї J¤мР… W† ?Iє 5§~^&lt;Ґ¦X Fu‹ A”• &lt;^iЛXќЙ7\?Ў®K€Г–яуd`№ o_щzЛ SЈZ @И†щѕ ;†H BQX{3ШЕ№џВ·е D°ли‚Иф^МШ Nч®Р­Zъ™яыи 5„7 “SЫ hW‘Еa ^µђ K„ Zо g^ЂЪљњ¦WяР :сHXА№†лЃтЂ 6§Ј Bд&gt; fЉZYZ­К 5КЈ\xЗ b™µ LiЬ‹™VҐСВ–Є CЪю “ѓQ— ~D±ў 9!e&gt;дўІяуtpі qKГtє WhH‹X&gt;йм CД XНy }Ћ?іЇл±4pJ&gt;dBZyиA‘h*ЪСЫ— _¤Љтt =’”Љ°Єщp R@pкЛr®`ХЊШК©є ]`†і•› 6Ѓ Uґ“NRП™ ”…[Ф \e [ќhuJ Guz5 cµф Џ5їўnђ [… ^Єѕ\ 7@B BЂ` B©їґТє5NќЮжCєЁ TИТя¤м› Xj XS5S6ЊъГџ [sЦ[kf‘ЮD Tяуd`ї &lt;¤Щy ЃWCJ AШzцV cЖHэ:Љx  e‚ЈФ‹ Q†ЪЏкЄ aQ YН NЄжа3љ9 o]ю‡O dоx WYT· ’EИ \ЂАє®Фј”Ќ4Ш­Ъ•?ыu*j LйRem_LKP§rўWьё k‚zЂ&lt;Б«Tе Xs M¶ш=Фм Q—¶жCЖhyоPЎ Jr~]C Ql Jк A~ HL\Ь Tў¤яуt`± ;Ьх{ ЃSBZ @p†цV cЖHВЈМ dЃ XЌq·¤ ЎSУJ™и]GЦН `Ъхєтh‡ ^Ќ¤“wP zђ?•Eyх9q af &gt;:њLЩћ ;ШT^±Zфк{ґTqQ§ZрН–№Н№\ЈЋkgzTµХСJЂQ e•ЄwЂЈ@]ѓшг7[9 ?;Лд B‹ —EГ§— BІ Wд?йe™{ S:|ѓТ” 5eC —e  Iў 7p`ЄЇ„Mъв I4ЦЩAяуdpЗ &lt;М«xЫ _cH A8†т 7XДH M4SтfЯZ‹=JУp k~|~|57 ]ЭѓЧ=e z‡SЧ 5„p*кeџwUЗEBСч–Ь”щx ;‰ &gt;6љ]l}^‡¤ёҐЦкїwЃpM“ V‘ IЊЯаЯ†Ѓ 9‘й _ЛЉф™¶› Jрл›УEF\ЏгG V—иV CNКЛ‚5ЮЪe PЊє8qБ MШoяуt`є ;ґЎvЛ _cH @Аfх– [†JїS¬Т \ѕй bѕ€ХeєЄ§ †=‚ xXmwrкmi© 4X ~?c 7FА^u VhGЯя‡ ZZp V№&gt;Ж \R‰n»Ю‰„Zµзнj L—Fч·ИЂкUЄЭа x5Ћ |€Њ\eЫ`еpGmA’ Sеъќдњ WC ZЉ vE•ю†йб™ u}ucZ®Ќ BbSз VАќbЁФй yЊKйЈо WZЧь 7u&lt;оC SНяуd`Р ;рЙxЛ ccJ uЏQэ–8F’ X@ ZяN 4D cРЌ— lj@Њ`„ЂЃ*iV x4E^ vuE= Kуз oz;&lt;М tЋyLibЌE ]–~Ќ d\eзцn¦Ќ&lt;н SЏкІp mkwPЂэ9ћaЙЩH ђ^±Zl@Йµ· Њ&gt;OЅуЗXDЎ ;ж• @кц q_іПЉ­л&gt; R{‹MСЎR uCМ ]TxYяуt`Ж &lt;€зv{ ScJ AИ6нn KD Yв®єI ^zЕ dїWТЄЕ ]ґ¤ 4Б S8 roi†4`Ђ…ф‚ C€ђ h”^±oЅЁq¦кОы’ ђ4¬…i®xrР„уH wR­Иі§¬янRp tENFЗDT :ъLYџqєZЈ wvJиЏ’ 9c‡ kPlяэЯг V?ёZяѕ LбыдЩqU4Mћ K«Їo R»Ekџ‡CЎU jЃHўж«­—loцф XuYяуd`С &lt;&lt;зxk KcK @ё Iх– dА 5ё 9џА `еTaНІf =B ?ЇЏtэЕN•§ G№VЅ L’НСшГYWVdЁЦІuNҐЁ­_ыuЂҐgЄї“ 4qТXдПy WПU¬і…ZеЅeЪ¬ЩјШуж@НеъчЊfгеk}Љ­жOgШf}‰ЬУk\рMxt AсУfжNM№уOыжvЁ{чщяуt`Л &lt;¤Уvk cfK ?Ђ:дЦxЖ Y¦wцЮV ЉYeк Ir‘ b©Йн~…IЎ• Ќ†Ђ:Љ‚ ‡&lt;‘ ?ь Pa`UgАЇР…V 7®mZ‘kzїя† Rtы„U±Ъымa cтЪ„№&gt;ђU™VЄN 4dЃт@iґгТAieЌВ6Iў QДHђgху№©ЗFЬzВ c‚^љ \‚ 9FБГшDНЭіЎ &lt;‹ВРЪД oWy 3}Й bю„п§Fє”_нU;ђ Pяуd`Ю &gt;‘ 4pЛ`ЖZ ?А Uй–K t5`Й [QТџs} C‚ Skц\A† 7Ћ ?*ђ~^…Џ”ТЫS¦ґцп uU‡5и 5_пK‘¶Л: 3ђ 8jЇr 4PQж°№I:Ц `Ы«^nЕєъҐ·d™ҐOўЊqi; XХ aЂ™ 8ЪЖ„h№ DY †Љ]F [ЕаЋL Vњ zQfgje™UН Os J¬ CЁД eдтяуtpЙ ;иіzЛ ЉVI @@rй\HЖH Hб 7› VЖ MЃљЉU±ME TSJr…Кy°ЋЖ aТ @€Ь TQ Df‡j cnџRСл5 e@ ‡3I &lt;р KI \ЪVO XМшА87r*\I@h“ bцЬ’` R“ hIнЃ–єЮ RяЏЌЧё &gt;™ ]•I @– nYvmI a±МbҐ IkГчi: €=џ aЦэHЙ 8ОќҐвҐј§o‹wД@­ц KЦz€nл‚qВ CЛZяуdpЯ A|яhЛa \Z 9X^Э\xДIhуi X[ &lt;У­…\· aVк¦©ё j5dЎ‡~ 6— AђРh 5TЙ® gIJEЖ‹ИйHБЦ —=pJсо° SЃD ;nїЮж;7ёашпЋлЭVjЬ *d e@&gt;pЫ\Бf}љt•TФn¶^ 3Х№ eф‹т{у Q^ `хг ђ^vю8 I5|Жч dЯ7[ _яуt`М &gt;чy R&lt;fZ tC:щ–xD YЇфкivЇ]Х†б¦ 5Р E© J[й°кИ V~Ж aЊІЌо4’¬B” ‰oTY ‚SFАСҐ5cF vWўчЉ^Ґ A[‰И zHЙ Џ@Љ¤ъ‡6ЯЬ„98ї юUj“Ђ5 4QedЌ V¦·Rкk_o z5 E·jЃ &gt;¤B“Ћ„DгГЮыgDҐ 7x}€B wL© 4ЦGЧ Ќ&lt;wЗ‡ќ Z`j·бћ@ѓІ uMgaяуdpК =4зr{&lt;fJ ?Hvйp@DH •9ѓ 8ђС[УъA `QY Z@ ‚u‹E© cйc D…9КВL ѓ6H 3юсВўX\hФ W4сђј nOX6· &gt;›&lt;Шък6Ўж­sЄЈЮTІ±ѓХBАUҐ•ЄN 3P €ё?r¬‰Џ 7”ЉЖдg\Ћђf9’Х? a™ямџ S“ Aж Dк…Мpяёr=ђе? WяуtpВ p;Яt{&lt;cK BЂVЭ\HЖ [q h&lt;^‰ ;‚@ FИ zBЗ*HNoв¶ Nчъ ^Z seїN 4±о€Џ[µп¤аЇ Z±Hv5 GtFЦ P‡ЩSВ ?№„шАёХ …‰QчТ*­е&gt;Г B^ф|ЫЭіС—Ў]ZЇwЂј9ЭЎ‚н©±y —N&gt;Ђ…„ E^дВє¬ \УЎ|ЭУеlфТ“…п €Dh Dќ ;…ЁР …&lt;Ђ„Й‡‹Љ =ќ:¶ A‰ \€ЧЦяуd`Ж &lt;TГxЛ WcI @ШnйЋxЖJ FпS‘ѕnљVUY8 4P }8›ёЂt·ёn:3Q ‘GеrхкjҐХ—µЅЩоК_« eЫ[\ыvє KQd8гОћ&gt; 9ќЉUчm_ыҐЂIнUБ 4•H§Ґк Xы7b ~…•‘WМБ qWЉ e3ў:Bу­ІX§H›PлP [“ x’4Y 3Ш@д® o3З5qяуt`ї &lt;PµtЛ&lt; VH Aс–мцP„– 6ј3Bњ v„bЗѕ ‡iKйyШ_Ґ«ЃхNЋB =‹ €cЗЖ 6доЯ»фђў ?qҐ_Й@PЉ  tXсЌ–‘Љ D4 O&gt; i–RP s&lt;AлЊ Gёы¤‹Ў W‹ Hi‘ЋRЙМ…Я6Бyсb k€5c!4ЇHХ 9&gt;Ў OAѓаeUЄї‘Ѓ’иЬф›— zЊQ›· VЛБ‹\ ‡ЂxLё K–qB Eк pjМЃDРяуd`Л &gt;Зrj ccJ‘ [VтV KF [•*` ^mљe«YшъЦ OaЊ:ВGЎ EќО Nv6 K»WЏIT™ Ix ‡MFК C8\xТ’ѓЩ QBГ Te’ €ѓGVИ†Б ‚:mt… =IC zT@jжЁ 5ђС S’Ы `Ѓ gcеЎдЌ^я C8KБ 4‰ 3UgV«ш “E¦Й zK~Еb xDN»nr9 co§эяуtp¤ AќGpЛ&lt;hZ…X:бtKЖ XЇэЦчО\ќ·„–·зMкЯ&lt;ЇѕГ BЈ€°zюѓAЗХлъ dсE±=‚Р~љ= NtY Rлюuђ Љ&lt;Ніi° LуЯ KqОEaЧТvа Њ&gt;J W8фЕXДҐА­&lt;}юeУ ZO Tѕк O±@ e±dw p3e_©6дЊ A‰Bа°ћWј9ФЛжn aќm’Аo”ЅћeIх apЎ«I‘кjВИК EЫ eҐs†_яуdp¬ o[?xК Wb WЊ8rсм c†Hы7xпQбЕЁѕЄyO„ђу†o &lt;q\єlх\Tи 4ъ• CЭН” Udq¦’ЋF!: _и”w6Э\±Hn F• :XЉM @O _Чхџ™}п^э‹цЦ©ЮѕМџ|я9Y№у©ЫЪЗrBњ cе BhЈQ OpпжАUfZ«r g6№ ЌlOУ ^j›R“E Qяуt`¬ =y FvП ccZ‘!Uо^XДґW^Ц ]W aOѓР= KЗjlч MЬ &gt;ьlО±™ЯvюьOжµнm3x*їпРп Vѕшц M›§ЧЬќ{?«эцJ BG EЇе &lt; QSЁ HWаФз;Zщ &gt;BДБѓn|›фњЮЉ\јlЅО Z¶» ^~†Жo sRNљ EпЮщЌгРщY«›ЂXиЊЂ4Іr’и NМҐЄбrpЛ `›5 ^Ґ¶‘ ]^;‘ѓ X®Yяуd`¦ oO[xЛ _c6Ћ 3fцV c†HЄЎ№ nVм|зЄо €8¦ e€U :G… =M9µЁСаlDц rЮѕ¦ ]^ЬDдЄu o‰_µґЬ“` p|`PFцxД –n4knҐi‚Б dW=ѓ[ K«¬HўR ”EbЭЁ =ЈЖ OЦ OK \Ґє JуQJУ^ж ?yж aхT`ыЄЇrЃ \E 4ш…№яЖpЌ Uяуt`  &lt;м»v{ WcH Bаzъ^ cFH– =„ UCc yJSђmgЋ „&lt;ТP Zh SГ 5Л C€И „:…RA‡^lP ђ_8вV„Ўсhё `B“Љ¶ЌъzИ `Ylm ЌYА l–ZВћЏў•‰ ?rЗ‰ S*Ёе¦¤&lt;І JR5 aєУБN ;*© ’CЈ &lt;{ОїNЩ zDѕЩе T›QXR :µЇs 3XЁd Ђ5› ] џюЄб SЕ }dМ· Nє ѓ=¶Є ]Єх&lt;»яуd`¤ ;И dxЛ –‰ЉAVц^ CЖ [ЮУ]AЋiІюиЮHD¤Ы¶Iґ KЌЉЪl6y§KѕA|µ[ U}ФюСVЉ®Є Ѓ^M№ —i†I№G &gt;ЏI sn3ю{ХбЌP±u¤eФ 3Е®}fBЩ aдТ ^Нo‹ XЌШ‡лnфE Pэ 3•¦UЄN 3ф ]SqZ©|в_јjм†‚ Dk Pn®ЪµяZияуtpћ &lt;8ЧvЛ SЈJ @hzхt`FHя®tHРЧЁОѓ*J©t Vў Uн;zРгEZєУQЃJкІ“ГЋЮпе•­ЄЉњ  SS T  W‡E\Д ґ°Р C ~§¬Vа \wїжФі©ZМЕџЇGщ D©µ;Є I8‚И|™µ­тХ’I CU–•ЄN 3pЃa —a}¤т­ёС UA€8Иеc”{jџ­[Јлj№ aМАМ„4П wVјЁЊг B:ќдУEяуd`± ;HХ|Л&lt;EK AP Uщ– [F 5]ЖЊpnкQьЧrз»ъ `©RЉ©Y8 5@цй” TvN ;р`ю ;њ Y‚M 9L N6ў XIЅ‡ф ‹cШЦфS¤KF=Ю9ZпМяь¦ Ue•ЄN 3ё IЄ 3дзН«±^љЊ3@¬єЕйC[hћtя©«ш»вк’ZЮ ”6}M€ЅZЩ Cх `3WЖ*чRяуt`° ;xУ|Л WҐK ?рBх–IД ЊerгW EЌ`H»ћФпµ3Э©·№ю­ЙV¦ҐjRЂБ‚ mMЃ«`*В cyг\ Y4*Ўа :Ў·Ѕ[оFиg Lk x3I‘йЮП Rя atт» HсGФт SэeЄ“Ђ ]T oEќ!9 G@CІ„ю*г 9w№[Mџvъ…оnзw|B“N }[Ъ :©=ЈОYъЉHтF KќеХє KЇЌС^оVЛоU= U|яуd`Л &lt; УzЛ —;K @Ш ]х–A„ 9pMBП Hb 8і&gt;» ‚Tw·№” ]»U59@Ђ№¶ Ep ?·n @¶ z=4сG in”AЉ– y;§е 3вЫ a›PЧ„О pMP P5­ЁnЏ]ећН ?ИL¤Эz—LK4х!3 ZьЁ 8•4~cЁЩnЯ¶Е‚qx*4 Y~хюEЮСущА`юЄ}јФ []y :„ёяуt`Б =ДУx{ WЖK v3Jх–J lYѕЁQs¦ …|]xҐMpL&lt;сg=ФTо® EЇЯуv“ZeJкЄЬ \ђњPх¦|P’мЄ ;‹Џ‡ †ЋHrФ ЏMILk vM¬:ў·ЭҐZVЩЬDњцоWш­W]щ Xф 3ЗяNЃ ?  dШ R¦ўПјЗ¬ ]еРц6bЧќ5ю^Фв“’ЮќьЊ«qAЅXЖ| [Љ c6 ”KRКўЦЊbд~ѕ Fя~ @ЄK Kяуd`Ѕ ;ИЇt· WcI @ёnщ–xFJе9ВЋW” Nm ;ы “G&lt;n–…ZrЂАВ GЦ 7—¶§ Њ—O°4rRЁ”GШЯlЄЯ№‘LтoDН· \Vhoпж &gt;ЮДЮсu 3ЕнRј 7АЎФ…„• IqЄєкr i]f CYД ЊK  W?Њ¦sѓU:и ;нu K© xTa‡ј ;&gt; ЌTh Meєэ @—„ Sяуt`є &lt;Яtg= UK ?X†мцXFJзЎ~ј•^Qm5 ]э ~R&gt;¤ 4–N` –EKађЁЫё3X ‚dЏ TфЦlўЄP G{сUЌ uЃW}·= D·яНтiѕ† \О [iЌ§rS¬эVЄ“Ђ ”Њ‹r”rdІГт›пжIKh K№”М±zДPА ZVr!&gt; Eи‰¤ЮЊ=м°№€MЈЊ [ЉєIд\нЙ [єs”дхб ‰b^7 Lё IPX ђ‹9MЃ 7яуd`О ;ьЙtk WcJ @ёrиО c†J r&gt;ћ‰нR N~Ґ ?tЧхЦМЧUэ nKћ€!D Bm •`•R&lt; DѕЛџ—7z“Eх©Wз”Б»IД\б OB7Ф—•чc¬… 9Pќ•Є“А {Ђi=ЕХ ^–Яb9Вq ?ЌMЬЋ­ИЅљXКPу™vч Gеѕc=бІµwЉ·љNR° aщ5б buXОяяуtpК &gt;њЕx{ ‹&lt;K r\†нX cЖђухxћ o8U bёшґКL“:ы `ъх® _­UJґњ 3&lt;С 9е‚RЁt7 SG 69d iXP’ 8@ ЋE­ W¦TН RЎ 3к E’еђ hKыДYё§zUуџ_еСE`¦»щ6дњ h3BЃV№ьЅрц w5ђЄQн U№ТЅY}Њн§яьs©Й— bЗѕS ^ЖѕЖdпцAџ ]U№ћhєFэ aј» Sеѓ¬@4яуd`П pOгv{ WfJ tSNщ–HД ]uМ QE© iXнM Rн©J‹•Y8 4R 4БЦЁ®‰™ A{?=ќ tzYВ‚bП\ЈЧО X¬h‹PД™хй ”:ѓПe&gt;©ЈПО¶Ы&gt;›6ЕQPAgэ ЋjЉCр¶±ёX®*cХ’&gt; eF5 NФGбHчC_Яv oBЊ© CJQu d\z•ЊTФYЉ…ZйV:яуt`А pKбzП S¦J A8vх–@ДJµuJ–4c]Ѕ 4ч…‡‹\5П]oкъЊ­hWс™ZNЃ Z*ДKгЬ¤ ‘&lt;sЦ©МrЮ XB7атц aЇY ]•ЅM \7 MчnЧъ &lt;;Съ Ћ&lt;K 3‘ҐЄїwЃ jCҐЕOxћ @жЅsIR‘ cµ O8©]ањѓ ;сЬПўы T»›и›oўoЮYйњЮЌ @ЪІ ;^ IВкп:Ј™[F ЏdQq cЁh\ ѓIяуd`Й &lt; Уv·&lt;eK ?€Bх–X„ ЊjCUп aУ `‹¶ўuЈўЌ 9H« {S› &lt;ЄЙ ‡3©ъMЯM¬Дял G‚ИЎ8&gt;нEБ6GЙЛug± M‡LµћFXT`Љ„ІK—№ћ‘?sГЋ9ТЂUoµIА4 k5Иc Џ;»TпУ§ ‘СDЎуАЏMЬmOI Y*vб BU Pї &lt;еj8ЄФF XўђГяуtpД &gt;`ГrЛ&lt;fH @Й Uбмx„‘ж dh:я {}ZҐ Zєыf FIфtp© cLQe*ар:њй±дђЫ TsC“¶ЬT’Д lW’`4 7PX :­AюЌшЯ„Ґ X™” FfјэQ Lљьј„•оnЗҐ [5з8ҐЙsЂe*Zїr 4HKc‘TЙ–ЫGћ•і [cRH ]…”_ю№ёеЉ `ЋA m—:У6 PсЮYМПЪп &lt;\И€ eТdМКЩOЙяуdpД &gt;XЅv» ‹&lt;I q\Bк 7@„‘±ъ ^aа eз‡&lt;ЂUН ЏSl€®ЕР~Е®Xёb‘guЃ C¬ @T«щ Ћr7‘ NИ‡°э°n aеЙЃ…Vйл HYХ ’u|UFl DЂMcКІlDЉ’h D&lt;ыа4 ЃXVЪmNЄРХrњ\eћЄяr 4Zy± [щг•9H«‘9 75ђ\¤ ?ЊћСхw‘яуt`· &gt;&lt;ГvЛ= 9H BёNс¶ c„ [Є¶ћР©Ю €Ђ_¬бJ^ yGП¤ЁЙ7YЉ HsЖ J@tXr§ MвеU Qф®† 3‹ MpuЫГ^з &gt;’Ґ &gt;4‘№nАU 4Zь—Б¶ YЁіГЎЦ Ѓx=ђEд iUФ®љжщ&lt;·]CЛ ]т ?M€zЅЙmQџV§бРeVЄя‘Ѓ№ a‹ tY\U· GҐйZоБтД@БЫR 7Р \Шtњ4mЈ 5Є…ИВKЃмкяуd`± p3·|Л WcH sSc 4ѕ CDH J8 RThNҐЮH§† O] WД5БМ»Хv&gt;mг€ЄЋg®a« KТ©Еc^ћ6T»Џ©Јўф 4K SІ JEU aЁТM j:=ARЏ j~DnlyшWЗгьќљЧы?»·w№ъь cK¤АeVЄя‘Ѓ•Г ‹3q]i cЫЌAЬLк _7_…FрОпЏ9*[:яуtp§ rsdtЛ&lt;hZ &lt;@bнp cКIд`¤§ KЇ @iN IaMN©@ GФ”c &gt;КZ JЊM “5QљЪЩ=СЯ›8T T{Кя_л7ѓµ ЫЖъj ATk№фZљ‹uкщҐ‘Ъ›Ь6УUоп jJIґI ?ђ6± 6з 8ЦnИ*5 Љ@o¬н`Щ ЂeVЄя’ 4•Ьу HПi l“dќН]Z¤rEЦpsgТ[ CїY_eM =шм bQі EЏ…|ТQЛlЋяуdpґ sЏVpЛ&lt;ЖZ†H^Эta’IъщE=?«ЬЇЫ JѕLнґСю·јv·]&gt;“мыLe¤ W=лrџ ICЪж© d” 5T5х^е 6ѕЌ BZ‚љ3Ш: C§ђgќ@ jwMTВЬЖ¤W YЁ‘L4њЂр T3м €RЊXєжоq Xµ] :5© UД PЯяI SPЂХjn g5ЂбАЃ‚ь­ћеНd Љ^яуt`¬ q‹FvЛ&lt;¦Z Bbо6 cДHэ =¶=|Г&lt;• &gt;џk M”щm«Еc7ЎЪ I{°ЈЬELиq HЄлv [… [zч»Ф‡ ZЎQПuGЕ HB^Ч ‹MћкЬёє·З M«еАE cb6Тћ Iaќ€Рfш ^FTg Y±яf[™KgZюлWЧҐo\© VC td&gt;х“YЧLwѕµ aвзiО?оGU@ W€ YZїрR 6AсUЊЇ ZNжФрJQў ;¶Ряуd`§ &lt;х JvЛ SeZ B±nх¶@ДђМlы Nuk3 d‘ TО—юЖ Cф W=Б bѓЌBБqЈ GГј r[Ђd {r=ЁѓE 3‰xч [©aЫ7h»Г 5ЯИ‰I Zh Aц= `Vµ ўЋa`6Ѓ Cц 4зђ\к 7&gt;ч dQ ;ГХ–” `в±Љe{=цыЇ†¬Ґ™Љ”°T©Х«n 4bи¬Њa§ DµO—­яуtp“ &lt;ЊЕy ЂWCJ @HNсt cЖ [r d&lt;†y!F‡WК tKgлЪ­Є–eifeH =љnzЮs{я†? dBkЃ ‰&lt;IЎ SРгХЪPQ;э Z}U ETpVє№ –4C@ {ln…m5Вл AрБc “iOb 7ОbЬЌ¬? QО•u–·]zС№бKћ†d[ЮЫ­® HeЉЄя’ 4™ ~:B№Ф•ґ]в”я9«Ђ ѓH·яєЧ: NяОоОМЮ«n Zяуd`¤ ;дПvЛ –VJ @ё QтV CТ 3Oњ©C Xd L›ЖRі ЌYDQйм±Ыг &gt;fµS[ъ–хџЯЖ*ш›щ{’№хµ Uў¦ OJ ”[ђ*Э|ђEАЭjї“ 4р {IP5ЙЧ 8} :‰д†џq°В›®jОЉgн _yЄѓ aMoЙЕ±щГ U‹°RїШЯЫ­CЂT—Єп’Ѓ h ‡edЛ‹µv‚ћяуt`Ў &gt;4яvЛ&lt;ЖZ @hZтV@Д [БP[‘^¬µ±s®МОь&gt;Vй L: &lt;D xde•еИыЪПO kB7~ш Wйл &gt;си o`Јd eЎs›сY NхчјєЂ TАгM*3W 3°і« 4_И9Ў›Ь ZiЭЅ7ўVЦЫъХЪЌJSmZеЁ&gt;›h[Ьоzхї Pі­ИqVиU«Zпs gtwPbз eRT[щЏ =Иxs„ѕ]ыї­&gt;°’„ЋЉ KJяуdp¤ o[гxЛ SCJ @±rт n[„ђ@Џz&lt;ИЛf’e=ђц Eр hvЃY‡ 5А 5­8qЭњ ]›Ы9Ў RЦ …4ёвST @Ђ :J 8чD\Яb…ѓ=о¬±є_ ЊTЁПЩпнEїЯB ‰Gb ?tєА„hюXЛ©a—Е—·Ї[QЯЎ`j• M_ь” s•6…ЬSnѕ« ђJz±UJ}Щ {?‹яуt`џ o3ЅzЛ ScH uL&gt;с¶ KДђTs OЌgM`їЯCMСLЧЈќe€HsПBм Uиbh aы¤е R‡г AпгсWZ§ЗшўIУ _Џя»ЂйЏ8^eт EеЋ DС‡ Cзµ 3и D‰Hк pYµ”&gt;Б@ЭЇ AҐЊвХяtHЉ:цъ 3iиЈ±bи•TвWь 4¤Ђ[DЃ&gt;±7 u]ИрEмb9№‘Єе ZЫцп\µ8|a _C DК®Ё “WЫяуd`­ ;ФЗ|Ы KЈJ AX eюV d† 7Pgо _„B ;«љdВГЎр‰Јв ZЂШг ?I \d ;–JОќЫ EIQИТЄдАE ;YвЉQНЛu Xа €z8\ ;ёВ =ћ[®k›a VNRm wrѓJmд•Н [JёіP RK TЈЧ‘m•–У XСпk [ч§ VM№ XА@4…ъ GwІыjс±Ѕл 5*tw;Оеяуt`Ё &lt;њµxЫ ScH v;RоVHЖ [ПE•[«¦€” IѕЋµVShНм O3`–фJ _Р’¤†Љ :\уdVД&gt;є?ю*ќ EкAШЪI;Ё I  Lqіfу eь…S IЏТ B*ѓе `P:ы…7L bNЦR›к‹ІХ_9У3 W_eЏЦн hIЕЂ•ZкїЋ 4RV Aµйg ]Ю©=Ыџc FЂО ЃD®Мh}у…Ў eЛ—дe 8BИБ·}ђ№ј¬‚e©яуdp® ;¬ЕzЯ&lt;BJ @xzнtXFH: ?¤L•йэ a@М&gt; ЉBђ QХ cъ €4‡ТsS &gt;Эv—м O’ eKtmў VИ 6L 7И EVmбА dF c“№Ћ…ѓaЎ¤ 8Ќ 8Ж dQ wew©¬Z5 PA№Rж qG8® =*џw Jщ SЄЫ©¶д” 5ЃР„ IђA X‹·ВЎ ~d‹C®@й Nќ&lt; Jy9‘Ъќвяуtp­ &lt;ьЧrЛ`cJ Ahzо ;XFHЎe8EхЏе ‰9qДmsQ „?86 lx6l8 —VДH ;9s‡sх:ЙЕаvь eґ S’мvEЯЛЂе :L JЪЏТШCD‚АFЋ:@і Kз‹ј\іШЕ[EЁY: Qі 9Z&lt;у™Ц\S c‡eѕ*^» NWЛЩXPwљЇnЂx MС =pТэГеE…} 4«ug _¤ UXжµItDK¦m=’AъZ\‰Ў‘®яуd`¶ &lt;ЎzП ScH AёNцV KД [хЦВсD‚§Џ 4‡ =µ ЋZ8 _u –GVKsЬмUЮFєJ dK NU{ =Htpд 6ЁС dQб“ ZѓД ;‡ IAЛ JYs Ajп4™гdSЏS 3ҐmDLДQґ]€їоMt?BzУ·tD WЈ&gt;ЄЅИ 4Ё QH TђОщ 9ЗЃИЈAПЦtШґs–”ПуЫ‹JЯяуt`© &lt;HГxЛ KcH uЋUцVI† 3e†}пїWҐ›D3@4ї ve…ћГ 9!_нUя­’ю] J?dЇEэ Xг§пєю© Љ&lt;…n«– f&lt;‚Ђ‰@®Мў hT] 5Ap’h8ФљDрXУ7|UЄ°фЉv!&gt;SЅГXыцОЖ mO“™fх Fу SҐY NM· W s co VИZ¦Щ¦ Yш‹МњRCЌZ G§НLЊ­Ч*Л ѓ9 L^ Ea­ИСЦ[Ш=яуd`µ &lt;tЇ{ ЃKcHЋ –UцV KЖ f\— _юsМ№f*РЉ‚LVў®Ґ XЫ QЄj 6jц I© ;” Y•»ѕL 8Ў &gt;„x~Щжtа€жг HЛ 7tr©oQвZўґG 7ћэR@i Wo qTзЫЦјЦь¶МЈ*Ый\bЂъ6SVЮ 5еQ{Њ Д NАЦ«— [7ыНD9 ]‚¶ aфЉtЄ‹\ PIзуяуt`« &lt;lбvЯ&lt;cJ Ax~оVx†HmщNуПkЇ e™э? [нЙЧ ‘‡^Ѕут…–йЁ:з dїB PЇ—°ТiE ia±_тp `а t?тРџўK±Д№±@pф Aу*r† C®QЛDЎeЭТЊ™ GD =Ў|Рў•еҐъRяР¶¦°–^ъїs 4 сЕФ8Е«MЇ~фzlho xG4;Щмћ[•7чjwУі e&gt;І¤®ыо~ДJn ?– …&gt;— oYђяуd`ё oSхt‹&lt;cZ @аbтVHDH: 3дхҐ}ЄfґД¶lпR VH \© VE Wњ Y 3HCѓбsЕ 7gГўP =Дa Tђ [Ѕ€C¬fѓ DGґYВu„ЩД­Г’6 :нЖѕgv b¶д?­Ъ 3*VЄїr g6Ѓ‰Hо­•mЬЫЋ– 4л ewГЉuьб Kд dSЊiwd  BћНуЦ dеФeД›ҐяуtpІ ;И·xЛ ccH AЂ Uо 7HL 3мV QqсЯZІЮ =HбЈ† in9Н J@}BЫ·Л T® _ђшnРs IтК]И‰I3h xP…М XxT 6q»Л IНt¬Д Bлkюих§ Mэnµ ]эyЏcb*пнї UП U\ [ЭЛй fFe•Єn 3TрeаG cІ!3` q@L|ѕљ‚ґ _m N[y Pф8‰u§ed§Ю{b—®’ Rhг­ЁяЇя B¶їъ CБ ;яуdpД =ЊЕvЛ _fJ ?ш‚нt@FIю?зо ;*яюоыяу4ћ eЩ[’[ё OСДA`p!6 9EЂ§K G&gt; ~}WбWж5џ°±ц;©и LUѓЫAGзУїRГцЎЭеє®бшЁёе–©6дЊ :©Ґ 3љЩ Kcm MХљЧнГPфK Qe‡[JnXрѕк”TсТF etЙl6¬їnЛdиВKяуt`¶ ;р PzЛ ~ЊEЋ€ Yю^ cD 3ЧB =щДѕjЈNРvw¤ C‚[tЯ5° ЋЏHIn3 7•AV9 ЋaЬґнТД AiПQИф“Я‡6ґм&gt;fQќџ¶К 9gq“у^ ^L«‚ hU„ _8 eф L“€ Љ—8ћ8V~Єїш6B |7ќ“ЙВд“јcЯњzЪђ J6мzЛГU3nџG:ЗМµws«сnф e•н^:Ўk &gt;сiж [Г PЁвЈґО aZ =яуdpЗ AЌCpП`ЖZ„X eеX ]F 8±аР ; JCt›T¤ЙQIД®Э VH `в«R…8 mHf c‘Н„‡ 7bи ?–&gt;Щ cЃhґЉ‘C aj5 QЦ„ Ѓ–3fж¶ bЈJЉЕЬ°”jй7 OЊ 6ЎЊ b€ Kg—ЦЌTx‹”Q Ra –K&gt;b Zduк‹BОїH‘ьґвnb­ 9=Hu]Г iI8…hяуtpј =¬гvК ;J r;:йX@F Љ;4 O3 “JкљБКR6ШР­ &gt;\Ґ™ЫЄі]&gt;ЮІёs_щI XГєЄv g\Fз &lt;—Ч¬К ]&lt;ьК KВўм4H aZlm’ 5QОNцђyБ o—5” Qеk{}Х9пйjµ JШВХ cUЏЪІ S•YљЇrЂO nDдjгСЭHх^Ж3·‘Q!SUі®уЏW3}›3б XKwЛ№G†¬° KҐ&gt;ЁU Zяуd`Й =ИЫxП4ЈJЏИjо6`ДHѓ– [ь Pd edЙдM‰Ы cyhJкRcмsЗ X*M =иgХrР6 6`B Ta Ћ?ЇҐ @РгoXIмUЪЗ {Љ5сЌ–QkЙ{јkЕЬ–{СCvr­Ро°B[µNP qz@С­B»q •7BЁДЯ }?a GgЭоwuеҐ L—c \TQЮyДM@¦5lҐWяуt`® &lt;¬НvЛ4гJ ?€ Eн–XЂ f&lt;&gt;НpЯx’–Сґ^P cAвЋ I&lt;‡ aҐў^P—kН®ТJ Љ[” ?µRа8ЂЈр*ћчH ђaЉ6О ;§z†єзTє [ j 7†й EµВ :9¦—IOУјmщ \:uТЖџї ^rJVКVkЬ  P4</t>
  </si>
  <si>
    <t>зј:y DX_xу®ъ86Т _|‹ sr@ `цЭYwґQя ^ђ Hеў U7 3”&gt;ҐЃiЧ4‘ DZК§ 7ъ AДfw;о¶йЙо­rUШзСЭЇQФЕ8B ~S®т­з–‡V7VХ ZЭ ЙYЄЫЂRcЈK®¶cо ?lvР Tлn€HЩ DU&lt;FfGеы:яуtp¦ &lt;`гxП ЉVJ A±:й`@Дђ ђM8 ЉZЂЦ‘ [Ѕт4Ўy ‰RwЁRоkH KиЉ;жk†&gt; ]’„єИ°Ъ­VQџь Sў‘QЖТmЙp Q5 jTЂ _­f `р¤ж ?Ќ«¤dЦ LѕЏ©B “&gt;Oх?8W*ЭU‘ИB uђeтe®чў HЛґі cPµiN…=¦ Zл¬ 9ФТъх6}`UЇЄЇn 4b„ A{I &gt;FSNлHbЂТй VЩ ;У VP€Ўяуd`і &lt;pгv{ WcJ EyЖц^@Д”ЏL› Z@dDи•s ]JєйI¦нs;wСЊьcўҐGк FU• r_€еЦО‘yэ«љ^ЉY±B Xћqµ_Й@АЕѓ JўІЄ±їDЕ YWХ e• ?т§at€п*уC?еОФ] Z[КЈMVfњо“bY eйSкЉ YФ ЋE W9 ?f®g§кXёH7њЌ_няуt` &lt;ђеxЛ WcJ DIКх¶ KЖ”Р ]  BЋ„ЕY=6‚?ф; cВ …6b †MD·ЏжHј=xО@ Sг_†dњЇgхн YљB¤EТ \ЊT ` 7іEXе° XcX€щжµЉwъЙ \K­E W› S@T ^F Tыє &lt;3ФЦ eЄ’¬ RV =ТhЮ·^ћђ¦3ил }8u :: =ЂHЬЌ¦Ь’ 3ђЮ Ѓ@¤з W_Я w”^zP]6НУ eb—:wъ_яуdp™ &lt;hг{ ‘–VJ =ш†т 7HЖHТ&lt;ј« Hz^NюІ Dґ»7я aaGбхHJеk &lt;‚ Tµ„µ¦ОцCO Q€© b­HD ЌP±ґЫ–Ђ’` oЊAl †wNІR† KjBЎ A T¶в J  &gt;сgЧT»C^–Г–SПl­ =nЦоЉ‘;]DZђD•zкЅЖ 5° OЃ›ґ› _ЋWЇЅ dLоыѕяуtpњ &lt;`еy •_cJ A`bт 7XFH3‹ZЯ©њY “aҐХ¤&gt;iќ­ЯЃM &gt;ѕЛ™ґї e5 UGњҐ 4@r|„ aЈФ­‰ъвњ­еЄ UЄ9b@QЖ’HЌ I@3 –bhДтєщЦ7«л NЖuќo Dи _АLнШЁ± XTЗ‘ ’]|’ Gb°ќ QхЮЄ 4€•ЙOнђЧу±б ‰ EQ3UЫm· Nя  ?8 A• Vя Gv3·MЩЬ°Х6]8‚wЛ№яуdpЄ ocЕs N§Њ fBЂnж &lt;O!3Дм± \4јv= &gt;^7 lLћо CLmўDЪrЉК lW8х¦€У;4§ШІ hTZDедxP„ыnК@HјX€ђV‚I›6Ж¶і±IЄ‰ \ЕJїu~ярНЊ|т;pП{UЭ W4ё Fъ©щєђЎ 8eUZЄЁ j4ёiZ В5:=±…ЊхМlеv°БГ~џяуt`ќ B± bs QМ Љf~4ЪЭ• ~f?Ѓ»€7 7Q•X&gt;м ‚8Рќ •=S M«Мc„ ‘`43¶Ф `©9@гЦq Z°І GЃoTBУ`m ‚Aі{ i“…{WZ9€oцюй CDЧ `©5rр †‰p`Q}‘vЌЈZЦІ–РШ WkћхѕpFїЎ;щїj [s»W~u€Љ*]nЕY^џќ@ё bK}Iп—ЃЬ ]GmMBжлЄЎЄЌ¬Р Cх[–Х]¶яуd`R 9ґAЃ ^д nfr3jюWГ!3ЌVR5 AЭ3эоvkшнч[иЩћH  W™ WmUна8¤BhBс©:9zј“D pf4=` V– GcП p4”8sЬ| eЖ@у” ѓ]lx±‚ XђўeАЈЏ·Ґ4йЫы Uъх?X…K N«дА [› 7Р ^e 8Ю Ђ3— |s~M8т IqЦ¶л –5vШґSU¤яуt`g ;T ^y ‘WГ zs†Uс¶ D„ 3Згц SY7V­ЫЄиЧS6dґЂЁлcUь 8*Б‡ 3g 3ж `ЕЖ cX€… 6ТL Kq 7Љ Ar :5љж AZГ m=ѓ’Qb• v\cгАкE@aЗ7eko{‘іпМ ;Й AЛҐ}{ puDР3а 3€: m6†I 5I@ –aPZ VkлЮCµЅц8‹ UtЉ› bкBНлїе¶w?·э [RшЪ5Sx ;^5^ GТяуd`‚!; FzЫ ‹Ћf@p IтVIЂ 3іБM &lt;j e»;ѓb XAa `i[Љ XеАИ s‚IX3ЂДАH• kLYЂP‚‰Пд‰п R­ШѓыґtX• ^Wт­ Ќ3HaЊ Cм±щ—;JWи„3Ш M:‘ыи’ FяѕЯхҐ[ЯЄђ‰Gµu `hН‘:_ыэWЇ§Vv§Ф~vђ WЕ ^i5n` ЃSЂяуt`‡ njdxЫ cb ЉuMћщ–H„єжwЉ CРоЎЪЭ®bГ msW“†&lt;Щ SЦiўзЗЌ`p U’е  &lt;Ѕ”°6 yYёГ ;=|ПўэI№&lt;WS»J 3Ј‘ЦU§x ~w9c« 3H _Ў Fй 7А TPd6@ 3Ќи &lt;єN¶Uй™гM Qm BVѕПЇэи9‹:*·Q5 3–љкя’Ѓў hXi ѓ_Ц©Њ ^\ VЊgМЪ¬ы№Щсr Y67Rьd xe[‡яуd`ќ n77} ‘Kc Љ@Ђ^цV KFHИЖ›ап°ФсГ •9L yE©kY J“Т †^{Й ‹hI­”Ze PяЉ MFўЦ’DfЋ 4HX4°9е[J­юЗ]ЦмЭµrbF?Tл·ц?•oeg‘mЩі§Ј ]ўNЋ =т7tнe’ 6п [п T HЗ Pi6д— 3Yf„§џ?”7j7H GCe„ rC”nяуtpЎ oSЈ|Л KcH udІхx KД”eьЋ{x YUM 6™–y ]™o‘џЯЁЏ¤ЕА»БІ SщД Gx ЋJ=ruќkНЮй№ 6®ЩіfЂќЪб  DЛё OђфI› PБ 8ЋЊ f4БѕЃ@щЧ]ям­ asзЄ¬гкS bи R©LCЇў•z«ЧY`зёЫmЙ WЂ ђ‘5bjsЮ«m­ЯF9Fїs€‚ў•‘ЉdµD•љiФјnѓ_ [nJNС Xљяуd`® &lt;p№Ѓ •KcH ?А? 5^ CД W|3 ejяЖЪ dAЫ =4 k=Љ» ‡]·nтгbМiЪЦ^л?ьwєЧч|¤© aА l‰EР †‰sЊKДBЩ‡›ђ _Е ]яюятНqwз‘ОнB_o AЯ ^}ЅИ·Рђ•Ujяq 4 Џ—5 e©ж•3Я cй|ЫфД jL}ь 4ґНf—Љ Wп4uирх ?Жяуt`Є =lЧ~Я _ЈJ‹Hfъ^ KЖHД ђ^v4p‚ IrРyт bк6 DЦ ?I ]В©o =ѓ GgЩЉGES e!`EXк X{‚~ Z] Bьo _Гjи«qSWбгn JяУЇ&gt;мhP6ЃѓШ† Tл aP¬о a¤ R} 4A m3&lt;йsB ;p Mr@ҐY©6дЊ ;тЕ Qt= a•Ч‡·М WЬ¤ыq;= IЈж •ЉM…‡ХR Џ]ч; [єO ]XТnп‘9Кґ*Гяуdpј ?х3pЛ= ;Z‡ЁFаМx† ЉcLН v”ЋaЦd [сҐХ ‡_Лc `U :©5WRc SК _8 s8Б UЈк _Ц„ 6Ф `І U3 ]Ес6Ф YEiЄ€ YЃАШM Dv\ж J‹”\Iз ?3љ+ЩЅдrґбC@UfUjN 3ЬY&gt;} ’@¶эч=ЗВгc±Ѓ N©p SґѕrъuЧ•Ћ·Ъћ¤ {Uяуtp° ?ШбnПa ;J nSєЭ\xДmЬTв 8E }v:Ц‚ ‹vAі6 &gt;K’@€Zў 6лbХ5i*Ѕ B3ц ‹Ћ@LЄЙА TШ^Aхь r`гЙGҐ C&gt;U ‹ЏPСзw]µИmю _ҐэZ _ф6bЌхЅО r3•ZЄя’ЂФHќµйЉ”уUжўnшЙ\ЃBoЈ Ђy—ђвњоg®п K©q 4µeqІ”]гBb 6ќћ…RI Spзgr c­nко_яуd`» &lt;LµzЛ&lt;eI &gt;pfс–hFJ9‘цsўСJМЏЄљ “C6*Ыъ bbй@С Ђ`[ё 8Q oE¤ц RђНХы‡ Uєћ:ћ _rЎ]ЇCТНАcЏ@сC‰Iеѓ‡ЪрD DIНи dBСщЫь Tэл[™ cеV«ќА@ s_X B{[Жч Y›8aЯ± aRjw=ЁМ¬мЋўЫІ ?&gt;«ІЧЊvЭяуt`Ѕ =Б DvЛ&lt;ҐZ B8†й¶HDHЕБQоўи 9…З 9I RG5Љ¦вIPк NУ8„ ^ТыjR J_Н]Ь mElтўXа eO CHё}Ѓ·µoS‚®} 8h Zk©mЋ`іђ¶¦µЫVК№б»ТE OУП ^иЩXЁлхSё 7‚€–6a ОЯZP \я ‰—Rz] ^ГSм­cњwF3Лџv ?Ж t‹;?ndКV\ Tе”їн§щ Jsѕ@•ЗEzўяуd`Ѕ ;Ф±x{ SEH t3Rс– cD [ЧиПiйР‰Џлж©К j–~;PЁAt \h eHЁЂ [аИHPDйНOBE ќv:х’s ]ХfяФЉ›І^}J[PдtfЗЋ6яхRp!; BЗQU &gt;Фѓ &gt;4Ѓhя “?Џ8gTП¬T€ЏЛ;Р ѓG|ЎЇющ‰F bНўюѕк*Щ 9¬нєУ«юя^ Obяуt`№ ;°нvk WCZ @Ш Uьц CD 5]D:ґї@§џћпMЯVўЩХ ]Іp l~lx{;Ж_‘ ”d° Xt ZНzўЌ ;УЪцµ­ц®ЯЄ4њuv№дЄA”‡УСўЧ}м¶Д«яЌ™F™ WЫ‹дДО^lEЁ mO;ЩКфЫQЊБ ^ЋvїЉ –@Щ ]Є«х N} \љ [№б±ЅnЦ?EыоПсґЩ N™ОoЪЧVrњd YEБ TH©ЉP©мRzЊяуd`П &lt;LЛzk cfK @©6рц [Д’ XOнUTе h6p DЄRHт RЖЬмђb›Ѕ GјkХ\?H [E I5ЧјbЬнyX ONh3внЩЁЕр5Л}¶Ю¶ыїuтПчoю M&gt;яэЦъж 3якТt 6 Ё N`Ђ ?› h_†Hби љ€o©Ьќz‡ч™sC [w‰р¦dFЩќНШМО—† CdЎяуt`Й &lt;фНsГ&lt;fJ DиІрцHDov Fћ 9Е\ ‡oЂrs&lt;­ ?MFШ¦Чp» \eLъЕЧB i=­t«NP Kъ M•J PщZ€CgvaЛ GБ3ЃуBгп ]] YMйMк°•H€EЃ†вбr 5w8X Sєђб8БVџf mODв™vсЭ@оV ЏYи|ЁЎ`ЁxарЈу^Є AnN±M E5 U”жLдq†vC_м{ђ„hEv­Њ JйVюu Hm Kяуd`Д &lt;М·xk WcI CЂrх– cДJм 9qйSФNvg[яЇwqяsїє©Uєк©К miZI° 9ЇVѓ`*ёгhJЗ“ Bµ 5… nd‘d°ш«ЌЁ”QЄ6ЉVS Eл·№ Q]ПоA NЪЋяyђUi•ZN f…‹@‘‰ ‹&gt;;ХkabHЕdK·¶ DХ= C9 GnOМз D_е; CтгдWья MЁяуt`® ;ё—wЇ WbHЋ cFэ– cF YCb GЕ IX8 xJYъљ &gt;¦\imЅs tX«»R«5S” &lt;Piф _­ф©‡jnП aB8xz’ўЃж§ ?*P“ 3oHE &lt;› 8љ—џq–:e ]k«Цх QZмFЎV BMятhUe•jN 4` ‰ArКE [ёq [J„mуbІ„;a¬ЮzыSтNIИ G©ь“ҐjЉPГ_ Q¦`‚ўИ3Ёў 7Њ q=‰М :е ?яуd`В ;Ф·zЛ WcI BX†э–8ЖJ ;ЕѓЉУ Lх =ђ^Й?YкЈi~\ 6« =xщГ¬з‡fЊЌ ^рЎ NЗ _±8 —~3є =EЂЗ i•_ѓЕ x@љ aХ 3Л‡ :ЙiхЧM_­§ўЯ9АВАUfљЄNЂ‰Л3ў· ^ФЅv· \T“ШПл XRВцЛв6§КN¦TU mDРЮ ]Т Uђ‰№‘яуt`№ &lt;€ЙzЛ WcK u;ўмоxFN ePXЙј tЊ”]¤8EcШІ ]э `РПK; 9“TЈе¤ж`@ђ UiЃ OЃЯ±иУ_жTЖ sbmR 9щ ^±L@h€„рЧ¤Щa ђr|xA:А ; A`љЂЇXMХҐЊnЫsјЯЌje HUЄлэ ‹‚f—ZЖI;9A ”CCШh© @тvЮКи·ЭУse ~•g86q LЛu‚т\бw “ZцЌ47Ќс LZ•яуdpГ o3©zЛ¤Њ gv3–й]H ~3SVI›вк5P©4дuЎhzъxаНЎH­¬К _iгЙќЊfW [:єьW JоавhVЈЧ 95cкbыґ6 ‹WLБ‚ђбУjHђЃ—Шс· Gsїы j&gt;Є•UfЄп’93– †3CИ ‘SeўIЎ`r&lt;TРcАј®SBVZu›_ b•Є—ґ BД=FCяуtp¶ w3сnЛЗј fObZбaЏX fA№f aјћ4AђУК:aЁ¬­¬™~l iP6RrйЏ„µXГQђ €FО ‚PЋ*яФЉtнфњO¶“MЧЇ*яы»cзЇќхVубЏю°VZ—iА7 tSаQЁ*`‘Ч!= 4Ш ЋqWT± 4FЪ3Я _®ЖxкФЫz«ф9 Hм»яэ 3НJ¤ё jWґЕ=Fx…X Cо`X z;±БуdС UP5µSЄ –nXяуd`O 8¬ J‚ЗбЂ gr;RхЏГ f5Я IWщ 7хt;ю[§zЬ° W™?в’sЫ” IУR J”hwcЈ…rп si7IЂќ{ 8л№И Љq\!3 Tж ‚V&lt;кФ UјУТќ&lt;хЊ±?БЌh 3«]­¶”јЃК UФ ^^ „&lt;С &lt;ЙИВТt: ;гҐ DҐ Zµн Jґр§СUъ  YҐH©nяW HянRpяуtpl mfbЧ Љ€Љr3†ъ jKЖH ox7Ё &lt;цµ DЬазXg AтВет± 5»; 3ЊA Ѓ`ЖT9ЎЧ Њ”Ћ_№°У Oмu–¤цХyґ &gt;ХЎЋ9g Fu E]ЖзЗm‰J8fЧЦ ”N°Пї Ќ&lt;п•5Ѓyд &gt;ёµЈ\ bЖСєХ ђ“p4–Y`Y±РО4 O3:Яh bkЈ&lt; [Ї\ИHљ@` Hљ«ш™lЬУi–JЇ—Кqн WRФД® Pќ—l7яуdp— r7чrk&lt;i[ 9ИBбtI† ‹FZбЪЄщR¤ЧєzMmНpЙ ’”Wтi8уWLД§џtђ _\IИs‡ Ѓ`4ќtе LГЋойЩ “9J Rюs&gt;GњJ ;џ‚f}‘Vж a“ЭЇҐдe’Id &lt;I qCл~« Gz•Н·х†­ J°btҐZ©6д¬ zT”O Ѓ{\Q©eµ‰tz¤NћЯ3оуняуtp– rCнiВa YZ†P6еtzВ ‹Qq aШі[Ѕ h^№xЫLБjс G“ •RьС FF MОЎDO&lt;IEдМ X®i FVкю =глrЁC @№SЪКtа–ЄМ H•Фычь¤4 „OHлв•4“tхHМ™ X‚K †zVа bЛ YД `І}Л |YЎbяvД@ 5!S©P I©Є«Ѕ·› f;DУЪиІ™Y|¦ЯK E€=ч­» Rc] 5ЄЅX3HI M6: XFяуdpЇ ?дхgГ¬¤ fmCVСuO f4L q[Ъ8y©zў‡ПаМЊ\Ш‚к3…*‘–]Юѓм 4LЁњъй €^N©HiІ WЊ w=ј«еЛу j@БИЫ·Џ ђUV ?…’kы­јыяЄR FoБ№о— Vjl u‹\U UЯ-яГ Tџ Zї*янЎљшє Dz”›t”M Wљ U43Џ †3?I icэ6яуtp¦ EQ‰pЛМ ЉfN[ EеyЏ Ћ3NWР \&gt;3XУn 9ЬЃТЄJ&lt;в‘hб chГ TE\AСЊaм aѓQИB’®ЈgШi :± PЪ† DC mt[dљ¦dЫиsЇЃD 7D… 8‡ :мєчфKІѕУ ђHЂV3 Kї+яфЪЖ ‚W“ OqхтP ’vI‡4 Xt¦ЃpLш™e†™St‹7 \iOK&lt;’\» IІв—TЈН· жM›Ё6¤Юu•Ѕ Eяуd`9 mrV… ^бЂ fqЋ9фчБ!3 :ЛУp i9№уџФ f:F’ Љ[у” =ш™мЄаҐВЄщ\—S?| &lt;Уe HН;sіWМ DдfЄю &lt;dWє @…Ф Yw uWIЯщ d’ѕ~С bG HXr[ЏлМ P© Ѓ`R5•9 SR 7f–V NИ•єё5jуa¬ VП™ Qр®ІW€ф­ IЅdЭ aAчy z_› &lt;яуtpO &gt;u Frz&lt;ГZ„ИZт fcЖ [H PА5Эр IлкэѕцТ ЏJ!SІ€† 5…эЖ ЌS‰ &gt;s6j [etвUыђ B@А yNv¬`ънЊ UR4Di d€ c8™MС wXъ ]фI Jcјx ‚3&lt;гЙ‡К9МA CЩAљпG8лС:Uо &lt;lnъnLxТI e:ЩI eH RD pvKХX k5µDБ 7і eИC&gt; JlЄдЋO pX]Љє ^Цљ QA@¶Ікяуdps ;ђ—zЫ †UH =ёrт 7HЖHmЗ X Yy&lt;z 6‹нcЯ^•ЛЕ V±Н ‘Nю™ Jъ·Lя§Ум—]XњЧ Њn3:Ж UуЁDzњ`ў8 7Із¬— HZЈлrXњ{V” iGI E“ ’A`FаЊћC HЇ JPyaA [ЪTфЫr^µоЩ ЊVЊ=ЇrsОЬџJeАe• MM· W  Uў Zяуtp~ ;рџ|Я _cH =р eнtHЖ 7Е D;“№ІцьT†EЅcЦщНоЮ brоч R»Z· —^Ъ V№±н ^ў qUGР¦мҐ•bD [h‰ BW› wJjsH|§ЎеяЪ ?Ќѕ JBЧы©є ђCX«д¦‹` W„а†sИэчd dЋ ;cОАH@`ђ¤Еw{ X`q©{ЮФ€Ѓс EМњ Ol•Vjя’ 4ЈЁёO‰ =Oa~Шv` 6† JIU\9•ЖПVяуdpќ =a FvЯ _ГZ =рnй\HЖH vY› T3*дJГ WR =4 =ОдЎU¶h&lt; ЃGЂba {[@fцјЎІl MHFч \тdЏ KgЎ Ik MоШ`R«VЂ 9ЃNг oOЙг Oc 3ЂБН6а c€Ї Y§ыбїщУ| E®iНp6 Nъ°Ґfєя“!4&gt;9_™®9¶д¤YЩrK dPвЋLz Iы NзЌяуtp™ =8ЎtЛ ccH &lt;шnе\ cFIЪҐ EШ^„]X ђ‚?a– 9”ѓ‘±fЈУц€®@Э 43Ў c™¶О pЊU† m4ЏM&lt;Ё GmFoну¬}l¬ЬjЇ›ЃЪЎ DЃЬ&gt;; j3а6 ?X m&lt;‚ЎАAгИf¶”t ;› qP9 Mц CМ NќxјiµE7Ў 5}Ж›^ [|хд ;VлЁ|]і 3™V«я“ 4e@ {[°ТЖќBЎ7^ 6єЈ QjVіCЎюYяуd`І =LїvЛ&lt;cH CЂ6н¶I‚ WЪXкЌ&lt;ЊТ;j GUЄ 7в¬зєҐЩ‚ВZ¦bН F`yл 4№®qfЛ T} wGЈ Q†Ф•Ы}ЁА5KuЯ 5‚MЃБт†д &gt;™Љ„~&lt;П 7UYЕФ_cҐрsЉFeЩ‡Ы Mр*mRЁvв Њ`ЂҐnjя“ 4s„XС bWNЇ NYЌ€ёћ SжR ^]дяуtp &lt;м­rЛ&lt;cH &gt;q6йXHЖ‘й»s“„џ W¶ Mђ 4:ЈSOыиJ U‰БD :ДН`xщ«ђTc Eд ©*«A [J ^іэ VZ… eЅq ]ю^ 8h YdЊ cєё’нFWc°Цtфтen§ a’йs{ U±«ZjХ3 ЌWуu ђ_Ћ ;ўђт ;¦лІ ‘5Фп‰ЖљЩУЛ8Sz@э•Z“Ђ]њ[aхbг;€Ъзg ’^iЦ Љ9зя]&lt;т azyяуd`­ oWЎtЛ&lt;CH CЙvй¶HДђљuз§чЛ° Kd ]vлbќ„ЄЕG X° €_=л YХP PtZЏ4^•о·чРI XK EI7X 6с _њBЕ± ]ЁњЖЙ|ѓЧ s4ЃЮdб3 aIRъђlевЁ 7фЋ Ob a•ГлsШЫtD UW qJял eP 9AИ €LЏ€ 5Aэ’µіCЎ SHЖ WA ‰dж;hяуtp› ;ј№x{&lt;cI t;nо 7HЖHQќЅЉrкuoы GPбT&gt; CЃ ; ”pшЗRЛЂ ђ6‚Ґ ЂmWM AIµї I3­ EџюO@rЇУЂF rHГ*Ў H:\ €‡[NСЎ ds SquП [€ыG” lGUoPјx ]SвЦГ N4 Xч­]У J?Н”иCџ@ C7µNр a†ЏЈ E4М=Ь LЃY AU ME¤БTq…5 =X:W U°ТД\ЙHPVР 9яуd`° &lt;4Јxk –VI AА Iмо CЂ 5б 7*є‡q’ q:K]ЂO Iв G!H htUMBQ3 &gt;уГеRЭ ’O;§ыHЉЭ x‹ђfW` 4Љ Ѓ@: K”ОЅ±Ю I±КоЊv5­ХЪєФ‰3• ђ_@Ђ S– 5¬eпћ MюЃЕАэ™Z“ЂX A4 J™ђ IyУ3R™“ёHaUPР€ЕІ§^‘жZЙ‘Єяуtp¦ p7їt» WcH ?‰ Mнp KДђњџПJН? €IОд ncN7ђл— Pжy“е 4:B \ k PZ;ZЉ GцU[єT 3J9 o‹WШ 6БLГwtй 6}Э T‚ЮЋАq c”иБЖ Q]mtTЄt PЏ 3› k:“ ”xW\3Vі BкU @СФщfЇЬА] 3?L&gt;љЌV;8L]чєуlS F}ОсhЁЋег™є•±jУ U5TЁ W№ф¶y GЏ»|7ў‚яуdp¶ &lt;&lt;Хz{ WcK @Аjо jcЖH¬;„©Л59ЁЮSЯМcЧёu|тЫO Aс№mї3®” :Ч Lq3yЬ‡а =Й9 ’]ЄД5 9Нуl±Њ3йЕaЊ¶ C‘LЩу ’\\wПTn™”њ7 Њ4Lѓ[UoµIР }{‚=ѓ†АtiU‰ЇД P3EµpЏј§E¦^eрЭџЅ7Ъw4щї†:Dяуtp° &gt;Мсn{ —YZ &lt;ЁОЭXxЖm¦ўZbџ M†&lt;ж ]s=:ЉgoЅїgГG„cўз^tUО»MЕи‹Ц«OV”Ђ6] N‘ †ЉK¤з r|7WЌH Dbrц± =5бЕZ€яЎnx№aЊµ‰&lt;MХns NнФ D pbЬ­иэVЄ“ЂKўЅ 7pЩ [ґыБuљи IjЄ‘\вГЄ uUй…=™” 3RЏ• K–5k EЗ– WфHПЪ•fv&lt;ЁЧяуd`ѕ &lt;ЬХx» WfK @И eсvbD 9х•{®Nrџ b{?§Hс ‡q?ЉІ¦Zѕьу K†?ы5Є*ґµ9@kCНл“73Цi‚єҐ Ct G&gt;DЩ\]Ў y7AҐ§&lt; `« 6‚ ”‰EЂJдќJћжј«™:U§ц&lt;сn— B№Й№6W^ађe•i Wдђ :м HP uXiН hHмгkоъФ =xEIЎHяуt`і =„Чt{&lt;fK C Fй–z lYnФЭAK‡ 8Ћ№b€ DЎ:мЫъЮ~vы^Ц„tѕж\ T­ 7Ц†F dашцxZБ p;b LцоЪП·ЃЗ C?^8ш 5&gt; :cрN 53\П*яS7ЄИ@ W8 iYҐDюtGb 7ь–‚ —HО ;Ё ?Hа»Н 3Ш3hх €K’{ O]oKѓ*Й гЃ 9ЁеҐе9ця¦›P°ЂъЦїnЃ ^HCq JБЖхM^цяуd`Ї ?8сrП&lt;fZЋр†иЦXDJ C€ЌЃ ‚Љc ‚СМ &gt;Dм™жJЏї6е L–ЦҐХ]—мФ _d dxBbЪчwMrсйµ™иа±‚A9caF» 9H\’аk LУ«РўЃ¶HТOD 8&lt;L Aю &gt;u ]&gt;= ‹T@ШвЖ G§¬вќ~ЌуS dсf HPС¶ yGTbЎU{ё i‹w5Њ 3]цџ IяуtpЊ =pЧvЛ&lt; YJ pSfц f[†Hc [D ;R ;Ъ S„КЦm OLKЇ &lt;‹у \дKLіђйИЄCW…&gt;*Uў eB L\ђj…оИтЎ:VIтМ•Д¶h ЋD*­эур GаиР |Fђџ d*Ќ•A u]Р`» B5ўЁ&lt;ќiB R¶ЗШ·‘Цґ; DzW;ФД&lt;и Hнй« E№w W•UZЄN gI7м Ќ&lt;аЙe B5Щ `¬¤цхЉЕјЄ MпбnрхXяуd`Ј ;аЕvЫ ~VJ A°bтVPFHфCDд ~=Dx BV™ №xЕКЮx G„ ”_иўUИаk O?WЁs QИ KЃbЋ 3‚ SЁpT@еИїЦmТ ?kгп~ы b] ^UL jЂ5…§Џ9ЛGѕVҐф ”…UЁS« LЄГ;`§ь tT@3 S•fљЄRЂ№ 6\Р WмХaДї d·m№ KCтЏ xUЗяуtpњ &gt;ФГnЛ`ИI ;x‚Щ\БЖIB»]ИО:q]вfEHZQЙѕ›‹‰¦В oPтє WАЉ 6і g‹Gј\ 7ТeЛФЫlGsЋ CQч 8‰эа =UXкFњ Bj;@ =iЬ9K±? “&gt;эѓFЅ d‹ЅD‘УdTю*янZЫv‘kЂn|s7яN&gt;­pЭ`…JнЉ 3•ќЄя– 3№;‰ NS @Ы7zЦjЦч’ИЪzЁPЈ i}vQtК”3 7чяуd`® p;№xЛ&lt;CI A9fн–`Д’љ `3Пн• YЕЅШ|¶{єz ]Ђ¤Йёyb¬эBћnY­юэtk;ЬЦЧlэїи`°»‘ЃПеь»я8 RҐ9 &gt;m· YА –lnZўѕмµ 7уџIF@ L=дPўзaµ qc‚ыГSorV ‹OQ zFѓу [a™ЛТ¦_© ]s9GцђҐ®Єї‘ЂЙ&lt;Ћяуt`џ q‡6tЛ&lt;fZ B@^нѕ`†H QЇ|їNЅ;уCqdЗЛњ KU†¤‰—юk5gmвd™џ clvз‰tDW ;Ъ YP&gt;H ђkJaХЯ s&gt;А :ВеA :­Е@°эд– ]yч;o b SБ[€»– g3МПТ~dђљ 5нq n’]В 4С‚к I`ыїrФ±€s Fo°лЌЮ~‹7Ё¶МQ b9mE‚c HШП e&lt;зхБ‘ H7Nµ|ѓs boHшЬяуd`њ &lt;ф·xЛ ccH AИ^тV`DH &gt;coOb5рЩЃ &gt;ЙЋшћgmk_ЖЏjo¬‹ќ c“n€ЭД R=huуМ \”9ўы{IJГРqЋO“ ]~ L»§™І Qn9a ‡&gt;wЭ}сН &lt;M§ѕQЋє‚•°рp’…У 3Ђ«ё 5Ђи8} zVU [уґ*NpQ&lt;Т WAЖ QX™mjя‘Ѓqи QLЇф KяуtpЊ ?UCnj&lt;ИZ m;bб`HЖIJE№fQnfПз‰q„Хqв EzЫ9ЪК™ Sп wVће WЎ 4§`лIщw°хjm TЉъс SW«†q§3хёWҐ© Sі{µ[Їµє†‰љИ°х59’хфј‡У›ёп[ль”ЖИк™ўEЂ 7Y 43p ;в~ AГt K¬ AvЊПQ 3вZ»њ`sњСBRЉЃe{Jж=5 WOг Rb&lt;КЭ &gt;g· a„Lяуdp  ?щcnЛ= ;\…Bж ;xД XT —DЕIцЄЪ6 PЄЪ® †&gt;Vь—|Ч nB› bВ 7ѓык nB?„аMWй­O 6ю?кї«‘{aЉҐKЅЁ K«µXв p:ЏTn@ ‚Љlh[Ґ¦ AT f:юБ“G KQ€Fд;b:5їх—д_ю ‘[пОv¶Эґ*¤UЄїqЃ ђ„YD K[Ч ;ѓП~[яуt`њ &gt;Ќ Fp{= ;Z &gt;X eе– dF 7n•‰ JPД 7з~–XЉ} Bxc 9иІБаѓKЈБ–л dg ;ЭНy—ќnb•qwd‡ YD Cва™ tђcjхpф‚Єж: @№OеѕtAРџO} HтУ OOЗ ^Ъ\х·Ч 6и&lt;бЄ•f” 33W 3„њ Pnmr=‰‡ ЂGЄгMзѓn«ЏТUgZЇrЂ 9ђ ;‘u N· V&gt;Й 6у –M€j uV‹a XНEёatяуdpҐ @AMnЛ= ;Z 9ё~б`z 9I Od 7AхЁН ;эвЉJ FXN@Ж TB SђЎ ‹ThuД xDcѓ nЊF&gt;‰Ъњејn“” BҐ?meТ YGх[ ;° \‘ cфЯs‚J 9ЃІ ‘7Г aдкu YАNw \Mj© r6ґ 9±[Џ‡ 3ҐєкїrЂИЉ:ЊLh… ?нЧдС\Ў“ p`W ]ЊPзГDяуtp› =HЕvЛ KcJ =Ђ IхмIЂ 3pрІ; 6R¤Х:}Ч‚•‡ПnЬ] ]U @Iк‰V =­Ж :љА ‰u3hi 4оЩ bdи{ 5тZ DI WёюЄMЦ 9ѓЖ €FўхЁBиsC[R\M @¬ |x4*Ц €AЫ e„ LЇ@Ђ™„Ц —‘HMEєЙ –\„ћйОє :RяЧ UҐVЄї“ g‘{ЃW…Єґnџyз?MКЧтеk :u‘џ@NDЖмХA&gt; —\яуdp± &lt;ФЩvЛ ccJ uCjнмHЖHC 9ZpяT¦Ё [±QЃX7YЂDЁ U CаЃјЬ–у Qe¶ґєЌЕd†{l†яТЎє^Om7іХ= VЫЌ =ЅЬ 7CАP Cў­F®µmiH*”’\rbЊщзК[ `Mtig ^I’№YjЉUv*A —=€µw Lp ;хKўї\_Хё—дРђҐ¦©6дяуt`Ў qѓFpЛ`cZ C©bб IHДђЬ 7€rќ “WЖЌёМЇжЭф ?ЊсМБЯв QЭX„xщтFљZwм D7@кi›·v­нњLй§ wCxD aL Gј6 NYЁqкKlґБД [\ќT7ЩbїЄj¦и xЋRФ•ш№»“ GRЅ CDQчоД&gt;њОыimр€*P{p{ AИ seАФ 9уaUЙ pA”dЌ @zPж•&lt;”А I«эeg¦ЂОVI6яуd` p;ЙrП&lt;cJ CАЮмц`Дnд 3Ћ GйB|жђјІЗ*љЪ S;Z4Ђ’Вc b™ x6b¬Л Kљ¶ґџ Uz@—«и c7 Tб ~Xq TbCлШ”@А~ r_ve Nм[ы&gt;[Ѕz]nЅя|ЫюжЕҐV“Ђ`А |ZждЏµю YЦщ: ‡DR5 }K©зsОЈыЎmЯ*ЭЯичOІЉЈ‡sОbяуt` pSЕoЇ&lt;cJ‘ЎvдцxД’ 7h6 }t9АNK 8Рх8т •QBz«• KЄ~Ђц•Z“Ђ •ZД±c SµU*«]Ня7RbD :ЏЬЊЩ§lЋ]ыяї9яЧЅЖ `ШDЭ!9Ё°†HвлQОґИ cБ HlaS ]ѕ–xЩЪ 8ЁэY°Єџ§@k[ &gt;p8тF 7H‰c‹‚*В e† 3cА¶9J°л@Н ;YҐA—Ісиж E›~!QцmэмOяуd`z ;рЅv{&lt;cI @`bио cFJь 6ЕяN 3є ;шF CаW4‚ЌЊЕ TагNH w–Aa?х‰«cКTХ_Э3e ‚JЉюsGR»[w LЩ‘’sя_ЄяЄХw¦W_DTg bь·ыє¬ХSTе h3№U fYЕь _zѕ wCџ\ ЌS¬ WD J&gt; TѓВЂ QЁ  GBШ 9с…ж Eз8е±t яуt`x ;ь Vpg&lt;В FЏРzн–HЖJ Aя w=zРe:€Љ d?^Л5ЂUљ–js 3ьЬ „Uф’МПњ ~lIЂНВЦ O5 hj8Н …S­n@dшX;su‹ c4 ”ѓQз…Ю¤ЃЬЃ&gt;®й4 &gt;ЄЧХ@‹ЎЯаeЊЦ«UЄґе 6Aє d` JX UДw 6дEаР©аDр!c ;Ч `µ9 –ZэЭ‡„BD^a§ёэ —N=оЇX№ПюЉАUї­IР ;`ўяуd`ѓ ;|3vЛ&lt; ‰‹@6й–bB YfВўГ™XµлVа3:`4pL Y«¦ФR Uік· ђVі} ]ВN8гg cQ 9Ђ pS8 gloIxр±K NбєнсXўsџИµJ ?КЄКP TC 6b w^нЮ\НE yIьl=`°Q›Н 6Ћ UУ “[© JљB‚ДТ `8 ‡IЌ`r”‰Х z[ЭЅ  ?P_ KQяуt`ѓ ;МЈv» –XI v3nй–`ЖJIэВ э•Vњ  c« =bp„ё±9вФuс ~^Ј›•4‡‹ eЙсЩ &gt;ЎU*є; —?Ї}пWЙЪЯAЬD 7дZ—Ж W•±e \«ќ Rо 5¦оЇ @[© 3‰eYЪ kt5dђчPn…ј‘E† ‚LyІ°ѓб‘f [І Oре _¬ЁЭtєЌ `zЁµfUFҐх —4IТH AЉ&gt;5·u 3‘ \ZЇwЂaђr C:Юяуd`Џ ;©v{&lt;bI BXrй–`†JVЋ RR{Т*МоЁFu™°Зxћйфў]ыУҐ:b¬w8 PК ]B VБН” {8ЃсвЂ –[U 6ФtqW„ 9њђa bЮrкјљhџkиU›jжз  z_E“=хд –;`F@YBЗО Ic‰@ 8АЃ”ЉҐУ “Ћhs5BJAЫµЉ rjdDlO¤‹йWи aЪяуtp‡ &lt;А«rЛ&lt;cH BHЉй\ cFLђ}{хЂҐ®кї“ 3Й Wш &gt;¦8WХ­ YЫм› dC EY€Ћ =?ЇњeКw?Ѕт3Л­SoХ:№љ*” {p;NjC–G: ’HРц`VRЪЁгµ¦ VQu ]¬њ 6Д„Ac3ЙЋb —oV€Ёѓ°№ф€љЃ@’ЫG| &gt;VбµЪ­Дў©B ?ЎЂ Die»ќт¬±фя® •џљї›Ѓ 3ћЋf 85Ђi5 ?pяуd`Ћ ;ґ»zЛ –VH @ёnрц KFJ¦ u=¬ ]р 3РЂФ В\І­ Ya bТба k4…EЉ xM¬P4 gJ: rQPёҐ Q‹мk GКw8±н^FE o6\‰ WЫ”ђ _™Ј­кЭїШ…G5r t€nzU°EР ^_¶яK\ђ ^a =™VЪ”Ђк‚ЏrФкЂБ¦ЄоаEИ@ѕ :ђ° GСК9Џµ?ќяуtpЊ ;¬ PtЛ= ix?x^о 7xFHм_‘YЩ€Ґ DC A№ …tO=«“ [— Um _Мї°Иѓ …Jјў H¬4 _њ‘і‚4 ~Ue5 6*¤}ф TДђж ?эцih¤дЋ9 XTЃЛА‹¤¦5э4‡ @vІє _4:GDБU‘ qwKе TиД ^ЦзvЁеUK UцW¤Мeъp :в~ g†sVI &gt;}Oчh DщЖЂДгА*бАир€d\р 5…Џ u8П Py Uяуdp§ &lt; Ґj{`cH &gt;рzж 7yFH6 ]t°ќ«xY6FяҐoЅѕйOфґM’ШЫ€Ок 4q I@¤p}ГШаp h}:Џђ 8‚ ]h] &lt;8M„Гн}JBUЗЫeКЎоMkxИьња­ 6АҐ*UљfЄ© ‹xfK… Ih •4tЮ8U‰MKРLc• e»Ы [Vo `‚вљ№5 _¦ ‚‘Jћ TК KЩяуtpҐ :¤ Rnw§Ђ g@€ Uк &lt;O!3…®Юв DBq 3W Nъ¦ћ“жи‡±°ЁЂ †F§Ы®ћ©‰вЗ O\°ЁИФђёфИ® Vш™7&gt;‚·FЇ QR4 ZЊO Cі*я[ L КeyјВ¦ЈыJyjї R?*яЦК§*яжЖо&gt;ТіB?тНUJE FmЗ _–° 4Pй ?Ц pW¦й‡ V•еW“X}Я—HK RЙ 5ЃбhЋ [З ?іаc X&lt;ЪЏUу›=яуdpД DХ‰rЛМ¬ gQу Eбu@ 3Є“оык e…нГЛЏг¶ђэЮ` ‹I@n@ЫзщЃд VэР6 8B K№Ўd D+япІм]я» €HBa C&gt;f {\?+яЮл+я¤єисАUi €]іP r[¤Ѓ 5vј C®дNе&gt; ;Аа‚oо dk&gt;ыyJ D»gµГї bяЭїяQM‹хm¶е” r[яуt`4 8T7ЂЫбЂ f&gt;ЂW 5_Г!3”h¦V Rыш” =›8 WpM¶Щ©ћН=УйЇпЄЕ­TXSїЇыї \оXdXТUаЪFЫ 5д•­vg L©ClSJ&gt;Т RDогH x|@J 3®‰sµ¶ыБ§yч €z[lW@ѕ A¶нгђэЅЏtksљ—УѕцЧьЯюяЈїТKRй[M’X yD— 9оЁb &gt;&gt;UБљEАИ ;ѓGПШБgШ‹Л eҐ ]яуdpn &lt;PEzЪ cc Y‰аjъ j;ЖHчTэКefвUыЊ =Ўv k&lt;ќ·|7µЁlѓТИч;ЛЎё‚Пй HэъЯњпЮivЖѕ©bQтK&lt; [x [ДЋr’jфVАіH \€]I l[•A}©Aіо U’I aXТK {pDМP ~TД‚q bёќS3ъ ”zdH =&gt;N}Е KJ —?k]Цси вJЙЂҐяуtpw ocҐxЫ ccH =и~т fKЖHЁТM· WЂ*8¤ 4Й”ЭУъ¶5Й&gt;р\к ‚\Ќ eО*‘z&lt;Й Jј bГґИ LЌ‘eГП‘„NЕЅ Ќdа6 f{=–‹лЄ° ]РЧ€ ‚f„JyҐ `€­мн ’Rљ G’`¶!9 ?‰ OЎ:iF©c«ђ9Њ§ :Щ_ьК”Ю `О I^tз¦ЅОЩь [Y_ `џ 8SЂЋeZ›Ђ: S4КLы“Уъ¶s7ЮЅЗ‡яуdp” &lt;ёЗzЯ KcJ rL~т jK†‘ dОD \ћЮґ¦¶[Л™¤іЅЕG; _з*ґ«ҐB№ aј[ @F*8ґќ oXО &lt;° y]В taєX»ґ` Hа UQ YDљi¶Ш K€Ђњl YАFeнEAнhEЖD– G–©еXH UyeO eQ |6‹hyп RBTЉ A\ e]ZїrЃG 6вp}µQйW™роGяуtpђ &lt;PСv{ KbJ ?ЂZц jKF ЋTЊN \xц’i [Jфn EЎgдC‚*Ш „kB5Gґ _]°ВђUf*Ќ9эзЪ •Jы Rя‡nIKҐн JM’ЯЗющюГсU^4 El e@вЋЗo^к}XЮµ B– :Џ–IFџяСТ:YкЛСе®¬­U —[г^С­Ђ@їµMР †”Kb¦Zі X»ZЖт Qю=B 9Ьу№џ;›fљYм’;КBњЁ;яуdp¦ =@±vЛ WCH‹ \Zсt cД‘=G№® =О [D pw{uT¬‘a шT c@ aЦ­ XнРчґ™ЧhйЄ ѓ•‘YD«щё ‚…VzQ*ЄBОТЛК¤ 9`bB§ЬДџ¶— \жѓNPЪxkЙ Mџ @ѓБИќм 3TykГ€ Igђs› qcО}ПР¤ZdЉ@эiV“Ђ ‚–@L ReK’z‹e°‚яуt`ў &lt;\­t» WbH wKfс¶HЖHlҐ`a4gC38з 4Ь†ыSы ?Ћ”;™оV‘ ЌcЖ e†7f v`a D^‘Cs 7!F 3”‹ЗЏM aKи =ѕИ ­Ћй eі =4Э4њ  u[еЋ”‰NЌ©B ^ѓq« HK KЈm =Ґz€J D‹­щЅлјg„ЮЭUЮ­¶S і}:Ђ©gЄя—Ђ„р¤ќМ‰nЫoH© ]wѓж¤&lt;х…9 XpG[bзф‘ 7яуdpҐ &lt;МЩz{ ЉVK ?ёjс\ cЖH UЕ®dhХ ‘C·f V¤DfкмmHБ™ФЬ ]M nc¤ DdyAфXY ]i E©6єw ]ы QXfWйА5 ;8IW7 EНщ† x;DЊ ЊSPу UІА©A:– B°Q‹C¦”x\ѓўА i5®9µw ^ћ &gt;ЩYж_ O»\ `ѕпrП _mељќаN ‘oN`Rj JЩЙяуt`ћ &lt;шїxЛ ccH BАVмо KД ]Ыуѓ’LЬц Ѓ`КЭ_Wґ†Мж zA’i{¶dbJQn 58 ЏGm‘К`j=Ч 4љѕюЬ t4Mз†zТ bY…Vкf¦а Ek„ 5У s8В«ўyn @зЪHоМО¤µКVИQ YЭЉ ’Њ}KaK Q“Д &lt;L^†ЅH©@«Н¦Ґ Sе G6Q RСх 3ю•Z“Ђ @† ;Ѓqw O…ќѓ BЊ Hj8©€k•¶ќ™›Їяуd`ў ;ђЎv{ WbH Bижщ–@ДnZtЛB­нJ ]J3Ѕ I  Љ;гЁ`JI±s SЂ”XЩ¤Џ 8SR MDЭO­¶­B opCо¤ Ee~њ 4@ –“Iќ„™©8ЃЗ xc+А ;ЩЂН &gt;`Іbб­Rйp 8gf• `[­fї‹щЦшХ­oцчY aПмЫt 45Q\GNЏr®цГ~ [щ LC aѓяуt` oc§z{ WbI tKJсЋ \† ЊWBVђЦ CX8P¤I 8„EX Y&lt; ‹@NЛ GA DИ&lt;9 Cўо r3R ”zE™€„ Zt№ _l5чйЈЖҐ 7R ]9cI3C7 3·‹‡Ј§лІ 3З &gt;Dh¬ Ђx=ѓ 5ѓ &gt;Њ&lt;G:©о pz{a™ S«€ 3hSнґ ?©ckхe NM· Xа JS¬d :DA 5– b…hчХA &gt;€LP DВa@ TћY D{HD…a eяуdp© &lt;H[tk cc6 scbц ;XFHНvЧiH¤ѓ‹№ў W‚Ґ–D H9H5ёUaЖ `ВЋy· bі5їыўк HJ«IА 9и u5вj§j cx4 ”s6BКr 7Ї‡ 3Є@Іџ e–†–“RюІе BґС‘а©ДАБЖ TЦ3c Dя ]KэOРЖ*YSЂ&lt;p3 &lt;¬ Tџoчkj• 8ќ…ъ;ќД |Vм&gt;яуt`Ґ &lt;ЊќvЯ&lt; VH uS:н–HF ЊO[•ИљЛ?Лr =В•ЂФЕ°Д‡=iC®TXыјЃf†­l^ :ig=snєJЪ IЉ fM•ъp 9¦@„Ф~Є ђWВЕ‚fЙГKCЭS©XЁУ–ЊJ‡ [D JTш AЎy €bШ‡ DйШ uaФSДхљ}?лUmҐЄN 4*з 7DГtWКdLeр©З ;rћ•Ыr­Ф ‘VOНrЭРi–мX UўЭJіж[яуd`Ї ;иЈt{&lt; VI tc&gt;еЋXД YµL 9A  Ќd‚Мc Uґ}®&lt;С_яҐFъUiё 6‰ 58 ]wб _Њ:э­Шу|ж Џ4·&lt;ѓшЧ±b» J¬ЩЉвW r3ѓвG8ўЉ¤ЛЬҐ LC‡¬^§^СnЗzt Wя•Z“ЂHy =† W ›ыёo®ЊҐ 7л t@•’Йe¶ъЫяu¶ќ ]s V; HZ¬љяуt`Є ;XГzЛ cbI BЂvс–Q†J j±¤њУ« zOФґГ ]МP‚•ZЏЦіUTе 4D €M= rP[w­вџI SЂ†б€MdН L¤±¦ґPa FЎ }=Y`Р©ЖКv R{уё ?ќЎu{к 4oяy&gt; Ґ^©¶Ь¶;‰є 7б&gt; KіЉyбЯ LХ ЉC]iadTб№ ‡Iґу3С oFYo‘ДН L\‹dC ЋFd6 OБ»V¦_‘ _ъзЛдяуd`ј :ьНx{ _BK Aиrх–9†J9qJ3ЯейБEqюsюrAQE EM№Ђ!K „eЅ^:m \XЮЏшdі№4Я7…mмЙvдХ= &lt;іUe &gt;&gt; t&gt;Ќ?j…@ †Eб‡YЎL№mцЎ rJa JУЗ 3ЗяN 4™N Hsт7хљ† FмA _DаЕ†±hj ;4саxD Ѓa±r XДIx©@; =ѕ‘яуtp» &lt;°нuГ&lt;cZђ \6к 7@Дђ8xгЌ \С›vi8ЧїmцыїЈre_§ 3њPЕER|ы шЃОѓk n`ҐЈШ &lt;№Ы uCЁр {Ug‘Q HШ• ]y§¦ИєъO¶а “@xўlc _GиюUЄ“ LfRјQ~ыV3єWЄ&gt;Ѕ 8KҐ№Ґ dмlЎЮ•­ДЃ &lt;A &gt;d5лFрв*ѓgPqC… †c&lt;[ќ!CД 6 А©` &lt;аЫ‹¤І M9Чяуd`ї :И dxg&lt;c ‹t–EмN C@ hcнnjЄУс LsgћiUҐUi8 iQ€SЫЖ{У eSFy :K•џ‚бН*Ѕ R‘¶Ъm]mЫ]ЩБГзН 4E` em OУБб3Ё @э›о dЎџРюUj“  [АQ· =еrц±IДQіў=U EUKC ]ДІгчLЯ;зlM3ЄЋ Yѓ¦iNПЁSийyJяуt`Г =xЅz{ ccI AЙNс– cД’‘ѓЈ™Н “‚}o6CЪx 5ъ OЌJ P© aѕ XЩOТ ]_ZІwUS” @„‰nSc‰_©¦ TTlHL&lt;ц Xф qaQпЋdRuЗЂ €Џ|;‘ 4ю§›zф TH~9Ъ«oэ5ЂюUZ“Ђ5ЎыкVї N›О3NEl] nM![”g; TY ?з C_fъ\НSOѕ§ 3€ ;Ф ^3Є8Ѓ…іXOШ “pCк Ox †Osяуd`З pGЅz{ WfI @ rэ– K†JXAц‡ъ&gt;цюѕџ&gt;Ї¦•iК 4љd ;uЗaХЬяeC&lt;¶ф 7§Ђ Fсфь:јґ«y Cкљ ЁM :Ѓ¤ S{№d EbХ«cћ”Пѕ Zю‰ЕЂҐV©7 O° 7Б “4D\”„Щ¦ @ ·ї*R“S Q§ 4ZЏKѕ ‚Aџ·ЗЯбП?]ѕЬkbПйўfЮ F…яуt`є &lt;PЗz{ cЈK Ah†фц c†J PO5° H ЂAЕ”XіЛ BП DC‡ yt_HIйгaeZMIё¤љ«‹ѓ bзЌЇ{Јз‡ GЄљ ђ€[\є¦Ѓў tO;rMь=U©f cж•zЂ C[` cQ 5Рќ VЖjВ…§b QLDЗ”jш SБV«г@B Њ5фcі `бчМ Kц{›Въl•ЋжњT*ѕ Z5чФ YЪФ DVЮиє5L] ‹SЖ Md[ PTђRяуdpИ u4gnП&lt;И\ 9`†б\`ЖHSC“A4њЫ¬Iё­ eј3Нц®KjИ wAЫ‹’ФRИ•E· aњ—k \~шҐoC WЭЄырШЙ|{ LдК ]ёn{bч SXњ Ey S™ W6 8‰ \= &lt;B&lt;ѓАWэђЂЭ–«я kvgTqP WoЅр“ЮyТНѕa 5Ђ _яФ_ом¬щt’OQЫz?№ 9nQяуtp± AuOn{&lt;Й\ 7  eбtx† kcа; \\ЋK |‡U4гЉk @qG V© ѓ[ЗpТ “KгЭ ЏC¬‚оLµ›–^*VЩЖ ‰M=„]µt UKQъ°K*`з Q{pЏ«jш­5sЬБзфМК dCПS~W»щЎр®„Tю R§ e» eЉA Sђ H–«n g†FC5 Gв§‹¬c4Цу­Ю E–ьрJZUЋз©wзщя‹ое‚b YTQ—ZuкЈ &lt;:яуdpЅ &gt;e brz _ЕZ &gt;‘FймxЖђy„”ґш H«к‡~«VЗ—W _’ЛrЇнМЇ|ЊHҐAн \я°Љ ђ:Tr6ЬШ qD‘ „Ќ;3yУоЖ ‹BЊ№ ђXP*I –n?}Ё№ &lt;ЋxFФ P9VЋDЇ©Ц­оTоvУН«]@Ых[p pL‰ 3л ^Z¶Чkv®YЁч _Љi~BћGМвDЮАЁяуt`® =• DrЛ= ;Z t–Aт^H!3 LрOИь 5bЭB FЧ —WDИТ&gt;Ґeµ CЕ; ЂyЏIL=AqZ@ :„И]ґJP \ж±ЬM7ТD«щp KR:¦¶9”ЖcК ~WП±ж ·QЦћ} `њnХZ‚¬ 4Њp KO ie› QмљТЦЧвЅ– }8піgт Ґz©6дЊ o8”г IУМўЋцШДMAЭk Lhє 7^Fy JсэA ]fVFуЯ„в_щkяуd`і &lt;њгrk ccJ A`†н¶XДH e~»lgЄр‰QљфэйыЗЪДЮЂ§sRЌ«yМяѕџЙК– n?HXZ§4YЊk—ЮєЙ c9 Wi34W 3Ђ–‹ёжa—ЏaЪ T©Ni Os…g«m№юиЛ;юЫҐ ?ж¶АРҐ =5ІВФ§оЊSћ{№^[¤bVҐЇn gVc SU dНmjЭw \Жяуtp§ q[чtП&lt;fZ AaJо ;@Дђрs*c8 e“SйЩ|їзу‡u9 xNз7вљ?»Sv –ЬҐн?XYѓ ]Н§;4¬я† aюV |XJе•4›–ЃР {Qу [ШИ UqW Z3 €CYQАДћё AЋ\WK_ WЊk Ђ–Y¤ pQУUL~Ффl”· bMЪ 3ЕYjЇ q‘EЈйБK „Aд‡ FоДъ esЦеe XЯ €]в pFЗ№р¤{ M8*U :…яуdp§ ; ЯxЛ&lt;cJ @Р‚ц jcFH tWМч l4m de L–УA AҐ eЫиЩГj*J dZч c±Ы—[ЋЭоТI HёвяеАF Ђeњ_сЬF ;р›cv9 H3јєINЗz ‘—Yн»мУ 8№ Ћz=°« ^] `GZ’JХЄЩ­M Lz‡jЄ“BаPw™Єn g€Kђ3 Y™ZЌ‡ _Циl†lН &lt;“яуt`Ґ &lt;јЧtz&lt;cJ BЎ&gt;цV KDђ —N&gt;yo—яNљЖ*U¬ Doѕz L™ IЦРi M‡Й ‡ђW±„ЛзЂ Ќt„[ Еґ«r E{ъЇz‰ _;ki34W 3БM KКdaдi‡vHJdy€!=Ш4’E _m O›ќ Ђaц ЏaAВIЃЪнW ^giЮ_–[МPєxЪM№ X @hT Bx„ Ѓ?vЭ·бвҐФОћ4­©ҐoдуќоTЎЖK X­b·яуdp« o[«vЛ ’VH t[‚ц n[FH[ї¦П:Ъќ `j3t JъOЮ®€ DЉ6®”СS NУZYЯФT_ёЪ ‹Yе 4ЬЃ&gt; BЩFЌ lW«¶ЖNlC DЃ“‹zX” =ъ•]ПhсQ €Ylќ• ЊaT x€RmоЪ— e¶ S[А Sd_µmА ЃBu TЂ AЧ l=bФҐй zU` DЗ LL &lt;`{±’Ilйяуtp¤ ;шгzЯ&lt;cJ Ahzнt cЖH U^SСњ‡ _°х— [ІXЋ…E WJwjLdE|Ґ U…ЗҐIe ^ґќй ^IG°PYСљіK WЙ X‘Wт` ~ubTг =f ejш|J Ћ;—@ {6ЬҐ„w™w‡_ IhmЂЙУЖD«¶¦ &gt;ЄГP4`ёMoХ_Є„»_ЦФ™H“ OI_тP c;[ФI¦jьо Iу\ €—Nµ 7Hd7’oќL‹“!Wџ±‘Mяуd`µ p3гt»&lt; XJ BЂVтV cF Ћ9Ђњ“&lt;ЌМњ€ V—І |&gt;Л;И_№еҐЄ ЃЋ;A k“WГr4м– Zu?hЄ№Иг«д  UЊX @BH?Ѕеt ?®йKєЅ HОп–щt™—¶ЄWЧУ{«¤Њ®ПZ; “Џ`Ц‰ FµЗД©їµюі ѓRbЁ [‰ &gt;‰5оP; ‹4qВг dЁwПq–b€яуt`ў &lt;Феy ^&lt;cJ B™Кс¶ [„”Р@Њb fwd–¬н ‡Nоы№П Wм¦уЧ: ‘@mЩf9кЎZqр‚ XE 8оџ©fТНЫРоу• WP–Щ Vn]АcГ‹оуЏI w€4b•‰…Й€U†W]¶Ъqк®Pож§c KЪ\iЗ·7·э o`А Mzи W“ I–©Ж 7њ „=Щ±гUїБ·г@ZНK3NЎІИ¬ЖwЛ \VЎQкW|Ћ d¶4Rш Mяуd`Ё ;ДГ{ ‘ЉUH @8 eю^ &lt;„ 7ЄnF—rСQПV TУ¶вµ —XE Jum VSjЎ±6K—H 7µ Oh’ Uhа q=  9‚J‚Л vh&lt;уиt o;ѓТҐ FeUcЧ}щoСmhчm©z6g=8‡H W“ M¦Ѕё 7[ЖIЮ&gt;WФІЭ Oњpќj\bµTkМ€п‘ \}ея©N 9b§uящЊ®™яуtpЁ &lt;4еy ЃcbJ ?@Љо nKDL €bљЂ‹ ]нлГР‹Vлt—Л6ъЕъa euisгut ]ўA€HЪHН DА GH CМ \¬Ў6 GKВ‡М ѓSЖXЛG RҐ OАMЋB o_оґ \рЃLUП 5RЫьјЉт PHf­`T•љЇш aбHP ;т» b?Ы5ЮблЩџМ HЫ§ N„LВ&lt;н A§ PЊИт uCj UЯ@Љ qdЩ¤3S*8д DCёљЮ [aяуdpА &lt;Q By ЃWcZ @ш^ц nCDHОЩѕ‰z{›V dј~|Ђ aAо Њ`›Ь¤ [я Vi V3w 3™ €;Жд}Н©{ o]РF„G ?ўюHFнЩ BУ6ОЫ LмЉЯБ ]ЋХ” e©F^h ?Aтю… e4DЁзЄ­М g7: ClћҐK^эzЦЯI°К Fш7wуЯм‰пТrNлм…{ _’QLuРҐ Sяуtpё =E PvК ceZ @й&gt;сx cДђюEN§] AKU‘Ћ —KМЮ–3 ZЯ6UиoҐ3KЪ Zх¬Ж[e &lt;¤m ^IР KT ‘mbёсQЖФ Љ8Aу 3А v‚MХ•CBсДeќ]oyћмOP ;‡ZMѓ©УGТЙ `cХ=&lt;z¬–ЂUєVЇn 3› hnJN ]ѕЎsИl VL” H5…ЮІ U&gt;}зяйЊf Њ]ь V­ @W&lt; zoxQп =«ѓ6сц¤†°ёяуd`Б &lt;№Cy ЃcbZЋ°6н¶@‚ We &lt;m KяK?џТщРR _п9&lt;Ч»ЧёЙ ]№ GjїrЂдѓ— Bwітqх &lt;Љ b±є¤Е–mДdnµLЏє^кН©•Ѓ8±Q`™ЙФ _8i»ђ”‚g« Uеэµф D®U?fЂUgZU[t j&gt;‹ sЉaR @eъqп Lо«Ќ LM b™Йе^ RҐџl¦°‚яуt`і &lt;• BxЛ WcZ C9 UцV cДђ¤ќпџ7 Yу¦GеO8 &lt;О 7Ц&gt; X=rK*њКЌeќжС»њ^ЪAJI NdґЬ xe ;[ўБ Xiґў b: i=Ќ°p’ XJAmLкWUMЎ GУhШ MF ?єЩџЅџAN[“ D©U«n 3Ў }&lt;„Пљмow b®вКGzPЊ =є«vD}нІ3 NQх&lt;hТУfѓX~SпкqaЪ• WЕ iJHяSћm bяуdpё ;ИГzЫ ScH scRц jcД [&gt;ш&gt;6aCO b&lt;ы Yї?я‚m Y‚A¶HбI7 ]m ‰K5[ІщЪ«Ч ?ў w‚”FЕпСђя Jм•gяљЁНэџCТчWІ e= =©мY™~•mК№ЅЁЄЖУ·к8 [›dqХя‚сЙ ?t*AХЛ9ЦЎоИe5И Tюr§±ЧUKыфч¬µ™Уќy &lt;яуt`ё &lt;сMtЛ _CZ BКљп¶HDґRІьVеE &gt;?V [ЧµДo•` ђFЭЉ°ѕд}»&lt;NHwmм‘™љH 6К ЌgXяЄћ§ X€Э =GQzКKфЇ¶wЛХ IЅчFЫюѕэ&gt;ф &lt;–C [&lt;кc™Ѕ‘j:Vi &gt;mЌ¶д–Ђ\ 8Ђ Sу wLѓO™ћ¦жЬђy}Ю9Ћy JЫ Te—и™Uл№™Є”У”љ H;^R? ^Є: ‰dќZК„?еЫ¶Х±яуdpј ;|бy ]&lt;EJ @БЉц ncД”‰«Йv» \­іѓ LS D” Њ7HЛцЛ W–Ѓ SЙ l5ХЌЊЭ l&lt;‚ :aр T‚ g6‰ GM«ФїoUmэ ђu“aҐmм9П dk}Ц TЃµдqpEЄUЇш –Xj6ы ?оЭгІГ fVcЂ 97 L’8Нљd @ќ JЅ bулЋh{ЪFnzE­Эуs S– S^яуtpј =A?{ •cbZ @ Bъ jcF W‚ GG­e D„ &lt;Љ Kkµ X†Й LФ MҐ ѓKба?уs¶§я№u‚@WXУmЙ †73 3їЊЏЮ€[w3 [G MdяW™~›}“ЧЮJ dиuїЅ“*к dP dR XОІAT№Иj = Dч]ЄЙДЎ· €_eYZїш •PСИ `„ L™єщvхZцґМѓF UІ 9ЌЭ 8feШa±Б&lt;j= E F VtЪщZМн _Љ Wяуd`Ж =PХxК –VJђ LЉъ^ ;Д”Pц“YPГј ]Щ AХ± Cнї Zї†Пх®†ЫњМЙЯџ&lt;JќaBЂ ;а 8Х ѓQ¦Pє YSђ WЫ Tђ85“Ў„‰ &gt;џщАЎj ?М F*яывnЯ ?ї LЗ}‹f EAЮБ LСKя@эZїд`UJ± [уѓ @M pEЈPЩd‚у 4АСL©ЛвМБ ;P*d Hяуtp® &gt;й FtК&lt;fZ =А eсt cД 8HXnѕt„а°Э \Ѓ [Ќ eа[BОЮuUSїk¦Пµ‹єкЬхеiK G}wшjh ЏOВЈ5 M¤Ки; `ќOњЕ¶рсrЌr…ЎґtяЄҐђ ‹|Љl~QDвЁ€r ѓQ„Ж„ =zG S—W XЕ 3ҐgєяqЂЩD ‘=‡C Z–э:“X ?ЫЈ=Z GµЩъЁѕG™ …bG^Й @€9 CjcѓH&lt;r8aяуdp¶ s—Pp{&lt;fZ†иnеtb 9H”‚‘•®lеЋ \6з… 5 ыagѕНЄ{ЮЦ Q4 _і =\ё®;ЖҐ 4Љ•R XЂPи _ЭіHk’Q‘NЩ O± t[`ТЃў \` „Њ_аЫ‘±L~ ]ИњBґЮщљ GХ cЁBGЪЇn 3EpБч:U ]nc Aє‹ yGЁ95 Y]ЅOd“^lu QSAe Y‘i7яуtp« =8»vЛ ccH ?8rе\H„H[®{”НS GHЩ3‚ ;±FDЙ*xл« gNI– ‘3Тm– TќФ a®T’ qД’mє kB•:™мZЮ ѓCџѓwєШ ЃЋ3Б§z^¶ :њ?™]оA€ ЉTC„Г D?}¶пЇъ@еЇ©¶д” 8И° &lt;’Ґ dG«ї `±{Сљ N‘ ANDRЊ‰ L¤тду 9ю CВі 6U BPЩЕhР ё 3Ф¤ &gt;“CsШў [3яуdp» &lt;XЅvЛ _cH ? rт 7HДH5X ~UЛН 3ѓ 8‘Ќ5{Г Њ7Џ^ cЫўuўOЊr wXN*їw 3ЄBД elљїzх ’RT9—СS 8Ют M—g™z “YХ7тн?от4&gt;S x‰aI‡N Ѓc–T S§ HBХТФRЦ™ЭУц“z@ey EW|ё lTвШНкЪРТшТј† WќђОЮГ™яуt`ё q;СvП&lt;cJ w4Jо6XЖђАij?Y~Е “=ТWo d&gt;С–HёPs– 9›°н“ ab\ 3bн]гbdo9ф– ЉZ&gt;кЄn 8° ‰Ђ]о@Ї№¤Z ]XT”‰¤¬ JUТu oЉbґњС JWШ Wф =Іъф№эї3K7ъЏTЅ 3diЄїw g&lt;T№ RIгЛkо_ MЇ¦кdRg^dNO7У¤ AГBoЩ &lt;N XRчfЋ SMЮвИ–С†­—Uяуd`® ;`«zЫ cbH @XNт6HЖ [Cє5&lt;і†зrаљ W[Ъh uXtЬRXQ¤ \ъ– ^± LъZЁC :Ђ ;vЂЫ„ ]Ј lUW…©ЕЂ°±[I·њ‰Њ7пШRЕґ ^G cШц Oщ ~=еїгКй&lt;ПЗ@©кя› 3ИtL W« ђcv}^ї|њЄtv Nі4= WПЫjZЮчiъФ*h ~]¦ Dсяуtp° p?гrЛ&lt;cJ s3RаИ`Д Џ&gt;sC Jc}ґ Pc!E g6г r&gt;Ш№ i7S`Ч Qґs Tе Q® ЋWЈC ^Ўu VUьЬ ;[ =‹ [УgИ SЋПБp DоH TгO 8*‚5 x=Ќ&gt;¬Ыo IQс ЏEВIрі­ YУ @yж KHX_7eиmч}‹ ^Ґ¬ыПRie EI¶еТВиИЂ’P =? G­РЩ`ќ =ж4&lt; DlюZD»яrЫ±тј ezAбуляуd`ѕ &lt;АµvЛ ccH Cшfн¶`ЖH—ФчG 7N &gt;И O*qЈ Ob«АЖЯ4Y»‹ aЭЊъХkЃ W›w fdІ®•t;‘»D u&gt;ћ €|:Ћй{®{Е\КЊ 8oEAХ M:ђUЙHUBT« Њ8c [‚Q” “?vEc‹НЩn°P ]UVN 4€Ђ cР ?bь¤ PУВ›‹ &lt;“ figcЈ uoOЈk :яуtp§ ;ИБwЗ WCH BР:нtxД WАЂ c8]ГgФ¤ѕ cЉЮ dи ?^ u3М BkЦР‹лфіЉ&gt; [мRЗмјrд•iҐV“ Cњ`CЂћ¬:j m5» ЂL–аЬ{Й„Й‹И =Yк VR A\i L@dOxё»T@©=uкяЯэ€лb 9Ёє@UџµIА }]РАщ enm ARХD SУ c‚ UL Wb ЂTeПЙРоіEЈў [І ?L9 Cь!U &lt;gi Pяуd`ґ ;и bvЛ WC ‹AАfс–xЖJ= p[H` MKLёHѓ MЮB¤PµСqњj®яЗ ]ґЄ« Ќ3€ qҐ‡ ZpЦT x;Ы 7¶агЎ§ Raашmo JPА¬XўR~z·l 4¬|\DxTАЈШL§Iн QєНцпц [ю•j”Ђ cZjBџЦ‡EїHLD Sч F6» ЃHљй Pіќб NИPПGяуt`¬ oW»z» ЉVI BЁjс–HЖJЭЂ° Dbг 5х ]¤ЃX :J”ЯЗжHЉ PVэ» dn*я±Kpш \цщ RоЧUi•U”  G6Oa‚Эjђ Wf 7eђ [°Ща MЌ SИ‘ h}oZ‘R™[ MY{СЮНЛ uDOQМY]gџ oQkMЉ QS=‹ ;ЅЄБeъp 5‘I ‡Wi4Пё \3 JR^j U„L‰ scxh• ЊCЗ‹ Ђ~”d¬rF№ z`‹ Sяуd`· &lt;h‹|{ _cIЏрJх– cЖ YЦVЋН‘ќк} [люЏJ«RЄі” pJћ ?¬Ўeр Ѓ8«©U\]boТ„•Єч [еtС K»]Эу \эГm XOвЋ QDX•EјґXµZЅ· W =с…иN Wu „8ь±¤нЮл SЩє ]Цcа©™ –nqcЈAM*HT†CЂ `\ [g*VЊ H­ M»9 F®яуt`§ :47xw cC ‹s;rх–`ДJ±Њ PEJµA•®J‡a VЂfA`’ЪЧµл :@® ‡“K‡РgФ7Су\mёБ`ЁKДэ8‡ _»„ЪчCaћTPТ‚ T&lt;• ^дHщЮХ &lt;™тИњ aPҐ]Єяw 3° GЃ :7B EXUмр­{xµХ=µm|fk3с L{™ D~3f6 `я» `F”оЫnмШЙ§Юў •F»¤ ^ь¦o&gt; MчоЖОМзX WяуdpМ &gt;|ЫnП`cJ &lt;иbеpx†I|@ 7‹w{Й LЌG]­OМТЧUWНА€AD°й F5k ?±Ѕн‰ЅmЉпT¦~в ЂFНLйЊM© qO  F^лi [gpЕј vQ\±’Ж •S™’М4ю 5^к D]iтЫЅ`ш*UЄє®­ Ќђf6H uCZЎPЊЎ`7mМОћџ·h§©сFй HT=M Љ]яуt`Г =ДЯnЛ§ fDPўЭ—O ~3fљ© CЖ ’B§‰GЦIgћj YЙ :У ‚x3‘R]ћXјвЌE§W8bФЗ Z_GП ЂSx„\*¤x?VЉН Z—ќ\ЮоoїkЄY°–№= eГо‡±› Yєя®?яыйлйЏ&gt;}NOИ~_х©U ‹wЏY’Q¬Ђ 4TKРU UЃ¤ZШЈОцч[?ОЧqd BF KцµЩ7 `=&lt; ]3СеОж§ZЩячяхяуdpє Cy bnЛМ ’fI9Vбu –fG§ИК{Яmц \9G WА} 4Ђ [lT Ay XE w‹dQЌ E… Kях [ИE KъЄЅЬ lGвУzKrNqЛL 5n EC°Rе}ЇЮыҐќLэжіЅo’т&gt;ЙЛGкХ9=¤{ЙоПя{*ящу9\­НќыwєЧч{Яь Sµ RУ!ch¤№ЇрЋIґA 6WvяуtpX ;А By NзЂ 3Љp MнйМ fg‰&gt;ЈмУэя»зЙo™Ћkwб*яєMх :‡l W• ]q5Sp8±`вКЈGЙ„8аёMa €”7Б  &gt;T• &lt;’Юfсw±З y†9Uv`ЬЄЏ;UШMНэDm[oZmЇЛ EXІ6’mФ@&lt;бh’чќЌynҐC  C°@s l;o KєЦЎМЪwщ:Щ:р 3°їe ?l”Ы–Vj•ZNЃA9blP6¶яуdp{ :¤ R{ ‘Kb xrcfц jcFHЫPчMЖ°X±МРМиЌ oT|6Ч§©3иљ ZРПVU LЋз] 4ґ UТЈ kSv‘;?йk­яK €^“зчU9@ ђ–a&lt;K Wч jXъЕq q]љ {zXQ€p u|&lt;гI NґіІ‚ЬD ђ‹_лІЦцqN b‹oР 9ЫBЂUfҐjNЂ^ YЊCСНУ‡ляуt`€ ;&lt;»xЛ&lt;bI @‚фцHFJ¶Як€4йhD€ Sђ»e†Ћjэ­®ѕЧїЉ©бBЂ dRЁ |_тЃ D¤ИЙЪ†Шл™іхІєю†ЏUя©jrЃ o3^ЂЄєЬ±ЋКL XЧV l{kQсЊњОЌы|Е J± z7Й‹ taµ VЭцї6Љ4№¶лэЉ@Uo«IА &gt;ЂHТ 4СZ ]Wж—ч»юTцЮ–§ЎГW§]‰c }A™ DщWї †XG©яуd`ў nS™xЛ cbI @h^х–`ЖJЯ ZКr‘ &gt;L 4cЧX[ў 9зP QI‚‡k?‡ =R¬Рй R|‡“U \YVNЂаР°І `ВЎplф a± KAНh„Ш‘ЃЊыE{„Ъ”] B7&lt;Ж “d*РЌN BіyѓHYэћ›ЇЭZ 8М \@iQ IҐZЄ­ ZJ fSЏSЂp :ш6С±Фу V*¦_№АУяуt`¦ &lt;`Чv»¦ rgBX Qн—L fhK„УQк ‡|V9A Lo UG Ly &lt;n c€† Nyp¦ S”й Iац“iFЙ4’8‘в§YкxзўЄ DН RDµ¤ЬY„c ?K AAЁ°С… n[*wS Rю™ъ]ЩџcС Yѓе†{-я„ЇяуЋўhл F6Тhµ WmИЫq№ W‚ –gIi t7№жНv4µ”JмS Qј?ѓђB@Є aЭ 4З XE Gљ3СBEяуdp° v8‰rЛЗ  fNы Eт 8Џ ~3bЧ{ HБ€F `» cИсµЋањ@ T~Mј8TИжb 3З ?ве |LD ]ЗSЛя bМу4„hџТ` HVД§,язояд\И‡HЛvj]н@ ЉN‡¤‚Ѓг UмЌ H_vЌF—Zsю–vs} H§ a=«ЫҐvfыї»юб s†:m©:їрйј S ‹Tяуt`; 8М b ^д!3 p;&gt;цUГ!3ИЙ 7‰ЖЃн§Sxївъ \ZzwҐэ·ЯїэяЯя~Ђ 3ё’ ^U SPЌ—‚s _Щцј9 ‡rl;Ф† [J E:9љО FИ3йічл}џT}ъщҐ·ХџПСЫые :‡ЁЦЧэЭ­I Љ‘`Ќ¦€к  ?аz fX}‘gqР Љw7Жљ• K@“ Oµ™eЩ =y— ‡=ZЏ DGSgh¦JЪI· W` z4ГРш Pяуdpw :• FvЪ ~UZ &gt;XVц ndF ЋSЫЩЅ?ХЃY‚€Тrж± Vк~y‚іюФU ekо•эц ^о» 5Aэ“gwпDi‡Њк€ЉТЧы CD’–ІF“ЌЦ :L¶ 6ЂЁ° FЋ*dg€i©eF‡NLВK[–Л¬ `ѕ; X­ P; PrСнGj PС M› ]}ълҐ~н6дђ 8B 7b“ ^–„ішfяуt`€ nDzЯ †UZ @ђ†т^ cFHB C&lt;§Ь~ N©эйWz¦ ‡&gt;XэЛЭ\фэф ‰`ЭюЪ XфK¤п9ОFЭ№*юя@ :¶W aзЉ­Щэ =y †;–З 5MЗ †|“O„Х–t {UB¤ EД@QsЎFќg№пі JъП5^ц­p XЗ FЩ·ќџйРыTэЮІ S–[fЇrЃаАH em«^ЭjZґ‡ D*`ђ• ;џМК Qч™ RГ ?ы’§\Ѕ F№яуd`¤ ;С FxП WbZ @8nо^PЖH™\ЈB†BЁbH e` …]xYГ…–&gt; ;° ?К HВи\ќ“„ЪUP Y­· u88 `І YеїЃ‘Р™З n&lt;ІP N!7†B`ђнО HєНf¶N{нK—х‘Z J»ЮR”Ы ]E7Ќw±T 3Bк©jS 4a`4М¶‘dо D»8щі™ ЌD‰Иl™; NЅ©mйEяуt`Ј &lt; ©xЛ ccH sneъ^ ;F 7є=С·ЉT¤6]ж „XYг„BeXУ‡\Гпёwќл‘›жэИ L@D‰ ]9mn WЭД nDЏ…hp ‚]l ЊЃЉ&gt;‡‚ ђ?S H­lsн…–Я Mз eQ”“ЬМ LЉфҐиC :„HД€­;ѓцгiUz•jN 4!c&lt;!ZЉ 8џ?т xCЂдF €ЂVЋaќЛхй} QЉю¬€¤ 9МЋ LE№њ„ –VЃБ 3ЁQпяуdpґ ;”“xЛ WbH A Eц 7HЂ 3jVl~mљСуЦ¶·{ЪиЉ W©f­Хsp xLZ 9цеgњ[‡ѓФщXBНЉ Tп a\ZЭ =µTвJ“И™Я›e?ІЕ_ЄФјbїь4©V№ Yд &gt;в FJX’ё† J”aЬіzЋХ B{КX EріEО–= YАi VХЕ©щ]Тjњ8©‘№Ш]чнҐяуt`° ;АЇzЛ ЉUI ?шnоVHЖHIІЃ”LЈщ‡b°®Qя”љџНVЮR Nb aхy–M¶ѕkг&gt;cЫЯ [ЪпQЛШ] E–uПhкi6Ъ‰ UА] kj„=ґ V® LлjЖµЖ;ќ™w T» —~LЄ3ё Z[4aТ |8ҐFЄя“ 3Ъ Dр‰ L§9Ж_вўЎCЌХЧџiґДЬчтv^ёН“!^nҐЛШ `хFEjс 3X=Я ‘XЅу eПРџIяуdpЙ ?Ў :lПa 9Z p3Обtx„m: [± M¤Yh&lt;=§OпN @ћrf§мХ=MМЕы¶5ЕYiJ›К Eш^:*VҐ &lt;dЂЬ4АвѕЇђВ›3ж„ OQЗ 4МO Hѕ]®B ‡K@U–UЄN*Ѓ‘ T¤ ?…ЙRЙей Tс DA¶U K‹cCBѕ— ]Лћ^J 7И8Ў XД OpЋ `иXAv =Ж¤љяуtp· r&lt;lЛ&lt;ЖZ n3¦Щ\xFm™„ |p^‘FЖ ZK 4n Hk _ЅйЦ‡ ?_Cї’klB·о Y“N x7Х J8¦ @ЗYЂ AЩњkyЉ= A4uj4 ђcVШ°qлє° NR;m qVj¤ SцЈW UkP•eY YЫЇД [‡›Екs cтЊб I=±¶@±DдИ™ •S‚ U•}щ*‘ @въ P ЩЖ§‡ќЗRҐ¬: ‰AУQ¦uЃUc»ш ЊѓЃhKМяуdpЙ pGЫxЛ WcK s3nнtHFH§[ Juя›7Ъляз FЮoJµ e«NP 3А 4CAа {•?a WIa«І|еМkЂН6ґї8…= lC:Д5BЉ F“= GЉћiМRгВ ;Ф •MRU@Й eHЄч7 PKµ 3юeZ“  e}гI XФШWv ]u&lt;¦ЏL•ХЧ DMHК’ЭXнзхЏэFnѕэнюяуt`ї =LїqГ&lt;fHђ°†й– cЖJ WUмІЙ¶ ?‰«*|¶›чrщќ­хгч[ћdбSоґК;ч ‹Pюё«Tе’D‘Ж’IЮЂўfR KЄб GCМз HОtxWђH„ ;І \—rљіЊЖj§[ OG}в• eйѓT}НCV5 &lt;~ђeUi YЬ‹кТ tOD€*ѓЏ©ЛКQ B‰ ’ЌMf‘ EЫ cOG V[ [в8ћY 6jН g]¬c}ZtZИЗ&lt;яуdpј p7гz{ cfK @Ш‚т 7HDHS®Т’fвеm La: HR ]hВГк¦љ IQA \ъ@Ъ‘msСЦj§іШmEј‚—­Гg G«Лfў«дз 8’z»мИ ;€ }`рeGЂЪ :XЖ ‰DЗКQРХВгСАтх[њ 7€ў PH’`y‰ V°М4U d§ґmЖ€Ќ†eујУ GЙґ }&gt;уMfZ№XояуtpЇ @Ѓ :kГ= \Z† C†ШИ`FHе=Бt 7йё’ dQs 5Ґ CЦЙA–Ш Y“N8Р RЇЦZљOC6ІYqT™Ё[ QFuґіъЊµУЇ™ obпH‘јгh±їRёр _КИH‚ 3©а =‹\ W®ЬдЏЅ:О &lt;Ђ [ЖiV©¶ЬЌ¤–qшXО S…J]™ Lb^ё… y•lCIF :ЃYQV JS GЈ`‚ {OЂх `Л ЂK&lt;GQBPЁA †Cr 8йИяуdpЅ @Tыhk= \Z 8ђZЭXKЖ [@mНЌ d‘] •B›o‰ ?ЉCmgе©Эь:Ъп{Yщ BxЩ¦Їіл&gt;9i &gt;ш :Oун R|Ъ DE 6LЉ‚ €•Ae SР?У Aґћ№»&lt;jґpbЛ Aйо­· W” :д„9ЌE ‘&gt;ѓШ—Ч­qЅosmXрTrэnјл5Kні Xв¦@ _|rT\©ЉУ«Qяуtp· s?щoГ= 9Z‡ SўЬИ`ЖLњ ‹—“cэ Љ`Н A[ 6r d®B™ =яUEc AјЪ…SoчС‰Ц}х [°€И©Т —^O9ЗiјcђI ]ёТЇЭА SЃC&lt;‡r ©*вaдћ*\а4 zgPX4д EјD] XЪЦ• v7H™YтN q8I\5нR BмTСОSе3\—ѕ« ЏeщVЄЫЂL =r e^‰KaF•gZ„Жэѕ&lt;°pб :~ 6ЂР Rяуd`Е ?} &gt;vП&lt;ЖZ CЂ UоV9„!3Ь3 Kо I„`ЬT c®ВФ 3VХ pZҐ KtўDљ ѓ_¶sCі F– ^\bь\лњhЭ \{ “XЭ dЩжm*№giЙ8ђ jH@lp• hF¤Аґ9мІЪrPҐJ ;Љ jVр Y^ш ]l CЖzгЗІ 3ёюUZ“Ђ5– wMO› ?Но—уё;Н5— TЏ €7фЩуяуtpљ s_чj{&lt;fZ kvaЭXyЊ 8г™z [©ќ ZzXЉЛ U©КrЋxЁдњ’ р±®Ј HD€ x]T Jxњk–u® }Yц7Юф S’?У Ђ Or W’ф hz:џѓдЛW­НFњ 7ЂUq dљЊЁСђЬ\w4 bbQ e5*рб &gt;Њ‘…i O°”EЄЇхРB A™ AҐ€ bW3omPЪяїУЦyБz›Ы&gt; eП ]P‰‡NЛ3к CфЎЈв Z”іN¤яуdpЇ &lt;ШБv{&lt;eI &gt;°vк 38ЖHа\rј ]@Ж‚ Ok ‚c } HjJ” }Lл qkЏ–Ћ€IYЊ =ЈE 4Bн NЭ I•i ]ЄRЃc –FІZЩЧ…ЅЃФф«zяЩjСu GРЌНєЋ OЊ C „ UіЎa‚ЃQ 3|&lt; 8Id Xґ sO] &gt;@Ж”оDзЁU  Dо°t zeЭ S•g EUыј r4З 8мяуt`¬ q3ЭqВ&lt;ИJ xKкс–x†r4«PіNЭ~&lt;Чlx}КЅП bg€јmЖэЇ RЬ±нtУї ai№ѕ OЦtЈ3ґ †“HЕCNчwЅ™фЈГ ;— qR4Ґ­U Ј4њ ]s¦Ы¤=D hV€–©Ю 5“ 3биIРћЫaЋ&gt; PбJ\ ЃVот‡ХЏ§|Дe™· E—]XеЄ [™ ЌЎ :RЩхЁ VCzіOЬu”ч?ЯTpэљ«Ь`\@:Д‚яуd`ћ =lСvЫ cЖJ vDNкVPДђTb3¤} Nbї=XЁ&lt;М‘§ 7ў ‡7¬E vSТќ} Q®vC=\w{ ?Гь Zг XM8 K… i5v ZЯХ V— …ZWTЛ^~_–gTІЯw8‰фЮ XМ ѓLtЇпє‰цHEK NI Lў8 mSкБЅ m[bZ®аЉ›x Ћ&lt;°ъCDПѕјЕlB IЛ I»ЉЁ Fяуtp… &gt;]?v{ WcZЏ`Vт ;@„ [db‡ p;›C4Ш `ыЕVф6·РЖ± Suj­· WЊ BEБF Jб[‡RЕЬ¶џvЭ Dй Ѓ?п KSOЈ~FS»Ь© HСМKN©С5іUюN N~э5кЮ \ЁСё‚ ej’ЙЯ XЫѕсРgэІл L™±GSmН–а;CГBЕОMЃІ€; 3:=u¤I’ 4UD \@У ]:ea IЙRКHiZЄя‘Ѓ†Иn‡Gяуdp ?E 8tП&lt;ЖZ 7h:ниHD XЂґ*’ YЄъ Gщџў6H NxI &gt;d:z¶ґ XBЃІw‡KЏu 6=ж Sл \@FЏНЋ 5Mшж _лd„iеrЅ3JЖpЃBrс”5 [п :&lt;lЙPТ ]з yGќЊ©UЁС XЄЎТ :fYTА 7К’@ G?3 &gt;PVlќ? ^бря iW®їqЃ¦e T  sHbяуtp† &gt;Y NtЛ&lt;cZ :h:еpI† ‹_‰Sx ^Dї€bdџЁ ^6Мxh‰­цep?чоўE8?ИјЌQ r7G ON l5рЄыІБ QЫЖБY” …°ЗЎ|џYёD“ ”C=Т ^‘Fг~*ЛЩя~яj”±¶К _ђ6 4Т‚”М« Sґ§њ® Ђ&lt;ґќ‹]ЁыKOVe¶ UpeZjї‘ЂЛD] g6уCХЮzхД ЌX–Џ­ k5d« UHTC ‘“6яуdp  &gt;‰ FtЛ —6Z€Q 5сt@„qйє ЏtRBЮвюЇo{Ц †E„лњB€ЋLј—&lt;њ Џ–·IO }EЩM D±°цтО^эvВУЗ—xКuЪ“ B]мъ y9µЏяNв«I M«д r `І &gt;†[кUѕ™ &lt;m GI¬іЈЄW `ymъ eµ \Э=WDz BW~¬·~ъќнoќ‘­Z ;‘‰г Eяуt`ќ ?u LtЛ c¦ZЏв =н¶X„ґ—кіэ TХЂBUkя AеЃPрJjЖOJ8±ЌШ \н cFЂCa§b¦ЩюгЮ X”ых§ЖEЈ¶АXv&gt;Ю–nK TР{‘У{†R–| CYj —Bё¦ye Nѕ M?fї‰ЖеіTпО— j8Й ђy5ћED betхnЈ _’m d°ИЂ S@Ю Ћ\Cs|—zЦ Ib:АТEjї ?8 &lt;EкЊЎшi»JxЛі4яуdpЊ &gt;е Frz WЖZ 9H YхtXD 4ж XDтy{G Yл HS‹љуЬ?‰[’G YН 44 eЛА \qw Sй S8 OгШґ–…KTш }~Uiяѕ[я klVҐTўи A€ ~–EМd L†ы \B …[В‚SТ¤BLUFX—:ИOr 8ўоЧКђЦ Vґђ№[Ѕ6дЊ o&gt;Иf F4j^ =љ OХДэЧЩњЖСяуtpЋ ;и«vz ccH qKZн\ cD [M MњЃТ U ‡„ I;Ћt€bяHVWzЦЌтj eT^d‡qчНЄ|НцёюьЌЄgi—МmЛяМЅл–]FСbЖ±Щє=¦SI™ OmДEW f“5Ж‹ґКr Uh=ыHГ G^ &lt;рuо‘CЭЏтЩvћ LЎu*фЎwоCfџ‚*›їзvщ Mк®sџЮ `с~Чз?` ‹&lt;YЇr 4~› NЄ JйШкяуdp­ &gt;i BtП&lt;fZ CИnт ncFI€nЇє`dк—ЌІ JЏЦЫ&gt; PЕ dҐЫ~&lt;Nц9lЦmСнµЂFtЄДЭuF MБ 6Ж 8З LeБ€«©ґфЬuКn®ъ ]z pЉP¬nI ^ YЃE P‡Ж bюm m‹s„MеЇ5_Cю– `€вI… Trs ^y7ќћ G±TТ=‹CVэє d юЄїдЂ7хяуtp‰ &lt;hЛtЛ&lt;eJ @€*ц j[ДpaЊ№ЩUWл— ;’?†Љs¬ЇZЭ&lt;kIЬ Z»;еЅЈoXЩm“џС†nРКЗ ?чq®e MшZ @Еїoы Iћч9Б Cљў €‡–ђ6J ‰&lt;±K _8 TЫ“РК{ WR X:иm· a  ^Ѓбqc„‰уyЈ§ ye±­к `ҐаhШ§ SбI P:[ ‚Wiв­ 8aЫ„ bFJ§л d®sKh©;©¶дј 9УрјЌUяуdpљ =иЕr{&lt;ЖJ @°bо 7@DH:ВЋ qHЭеuЏњ Y&gt;пD ?в‘:биAЮjќf OЎ D:6б3Grw§VD@©‡ `sЯN YЃвѓжА¬ Iпiад?Kп _лзд =І¤ИЄї}UЯАЂ ;UPЂёЃђ Њ&gt;Ќ` ep8&lt; ‚@јU Љ:dМ S4ш¤БщЉ Gщ ^ЅQ‚Д\ґ †T™CЁu‡яуt`‡ =DЯvП&lt;cJ BH aй– d† 7O@ bE7х†ЂъжЇЬА^RѕМ•і b‡ QХ¶љ©љйХщ»qаґЧыїЮiяvWм GђщАє f?L BC”Ї 7*щjК®‘ѓЎTd@ъ L;Сj 7J…›YйИIЛ*z Hкqь»Т©FUTњ 3C†J ^дxМҐмН N¤:HиЄћ№сV [ЁРXЌ ”4Ш O@ @к S9Еи8­МЦэ:|eжяУ­ 3яуd`Љ =&lt;бv{= 6J @аrщ– cDJhВ\i¶д—Ѓ¶Ѓ ;Џ DЇ e|bЮL9hAИІД qCкH€wт„ыЧw sTЊK&lt;BРbI’ ZsНDШ‹Х4l cT›XMn WY 3Ё HИ„Є V™V J·ц*®§К‰dЃ4®l 6t:ј=Jё YэXч ]BЅ BkФсGў‰яЯЎБ«I&gt;¬kТ dN®·c ?Тяуt`{ &lt;д·{ b&lt;cH sCrн¶ KЖH”{Ъv ^№ќТ •FЄїs 4NH SДA’Ёх 7FЦ Lч“· ZяПSую 5н KЪ ЋJЗсC…b W|ѕхNХ ^P ЉDТбўУ MЉ ђKйS RЊ…©7 ‘KЛFf«–]n№iq —9ЪDШРВвЫўі™хя»ZРbЎ 4@ n7’ 5D HЙЋPв•ќ°ь ]О8 PЂ•Eкя—Ђ€ DВ=dТшг ]m¦й–аКІ¶яуdpЉ &gt;hсnЛa ;Z 8Р^Э\@„IGЈФЅ8э‘Ф§F LЁТ 7td UЖдЯ d‘ЊЯ4¶·~z R_јF{хч&gt;Ыд AЫбЯхu IrЕШ¦ўn5 Jэ]п aН XuTе 5§ &lt;yш‡kтзY3їеХµ ^Х± jHd^С„бІПS dj dќГ G«&gt;хЧwтJf°юҐj“Ђ`h№Фъ`‡Lћяуt`’ =&lt;чtЛ4FZ ?hжщ– CDnЯЁjКwЅPMиw—Ј …\ФюN ZАЄПJPН \° [н®E xSENf ;h 7иаА„Т UО E4љ A&gt;Љф5 UIѕЏ№ S5Л4›И =†Є4њёA°њэ4 M·”ѕ WxіЕЈх RYµ ~S¶ФГ]Г Q=™eвЌU‰ъ‘ aўнЅNРщZ«ЬЂA 3z™—‹I \~Ѕй ;шDЛНD J”LиДЅФ d|мзµ9яуdpЎ o_Ѕz{ cЈI sS‚н\ [„HпМ ^БцЯЈ” 8ыќї]в „[ћAZяЬwG№szїВ qBг®ы ‰Bтщн Z—€fќр PНю V|— 8Sm№ XаDp ”Z¬э Rр\gЄС J¶эТЁёngЄРЬф–уbћ» 5&gt;TАЂИ aаВП _\rTх№oOmПЏ „[хоъ9 cU YUЄN 4k‹ 6яуt`ћ = Чt{ cFJЏбNсѕP„ђ” 9фл ?LZшт3ђ Wщ‘ @: \єFС{5Ух] PЦлJ ]CLК[ cксJ ‹ЂVzџZ ~PP»“3€·ќ=`iБі«¬уІ ~HШё gMIZn 4ѓ GA©!Tї‚v ZmЭflz n@„ц&gt;Шв—ъ·ґx &lt;kqHую™іdіm ReSїЎъАH•Y¦ЇrЃЈј ”zD•ЗІц `нЉВRФ‹ •‰aЎШя</t>
  </si>
  <si>
    <t>яуdp f&gt;РХ Mj= VJ 3Ё 5\¬"3тjі SNМ †|mЋ5Іф Jѓ D|z t8:Ѕэ… l’ЋK: &lt;¶Ј L8Bзґ¤ “jasҐ Th Tnq &lt;Рќэ FDЇД ]…\С= &lt;ыЎhUО €Ћ5»и SO F”qBс :Кb 8њ YЈ… &gt;џ jIpNRЏа!3ґ 7± f9t;!3HАі ”g9”:f k6™BнГяуtp u=°Л@g`ИK 3Ё 5\¬"3х Tыt”—iп±= SѓЮьЦ€»э­Ј u&gt;ў pS*AШ~P ’{BЙ Jd›ТR_яюяю Hн E‹ „aъW b–аЂњpdж‰Гяп [cцW`щ bа!3UjЄѕw 4Й€a ”o‘]ў zЊ?b sUF–4Њ J­i ‹[ndкЉжЌsiBLзj™№§љіd© ZПЈЋПSs ={Fє9х_°ѓ”]¤аъ [`HqяуdpI &gt;ЬБZЛ§¤ g3Ё 5\­@!3э `w:@D a¦ B» Hkпдк nHиb­о Tь!3 7!&lt;j« _GФ 3Y Dµ M{ТPн©6 ehЪґ±Ьх ^•і№D*Ъї&lt;д Isє @7Ьвb‡ —WSµл Iґ» PЕБm Ђ–?ЏZв•цНпfDб `V›ял Q&lt; `fчўІ ?оЎТ QїшЦяэяфюяуtpb Adн`»М&lt;!4 †5\­Ђ!3“з Dё|5 ?| UgП]ч№Я 4*яь!3ЯкТ” 8ц 5p SЃ rЂUНн 7’W 7E Xq№E J&gt;‘§Й3¦Ч;л ‡Ud±Uµpщ 3ЩIvҐHc«­4¦[Kн YЃј {\5dч FNQтШ yHRmgQЎ ЏE9 d™8хdV_*|ХК’  ”—Њ…Isю ’I»ке…“ь!3 :лRt 8ІЇѓ!C‡Х‹Бфяуdp} @\Я`kм Љg3Ё 5\­А!3це± LDдНwхzЁ3GъЛSК[в¬ &lt;3yЌbКЕJ™ЙКG°вЧvГ XBљu® _… 9Т°љlҐХ scЁэjу 6ЄµVќ;B?S uP‰…›»sXН QЋlУµѓ6*ЬmЭы3bЂ m|[u ;eXі’ NяЎж”аяр!3VЇэ№m EђPљ SEЕјсяуtpЉ uGгZkaмK 3Ё 5\¬"3&gt;RЩ rH„UАЊґч‹ yGВ ’`ҐХьђ WЬUB \НБ–фЋ“b`ќ]3ъf?ўњx” kM4I XIБ”Ac ЊZzБrH·ЌВib SЄ UbRr 3ш la’UЗ[ Uћ _І LybЛ¬†Я 8АxЬ MaТ @Жїщь!3 7d›ЌЙvlbN B™†E HapU kV\пРІ¦п‹±a`ѕ¦EЙ @oФ ;п RFgTяуdpЎ A|б]ГaйJЂЁ 5\¬"3ЎJљQг xMЄґСc8&lt;{ P±ъГ3aљ‡Є cNв*Q n’]ѓ{ 6F 6B“­ …B”z 7pЂЁ„D\гl Rn sTЪU \пч[“й­ LFїёЦєE 4АX ЉJg ‚?ќУь!3 Hd›’K¶IЦЬЖ pdSМ9EКА© LЅ&lt; 3„qжBБћ&lt;е€Й =Ґy U–яуtpҐ B|хWЗaйZ 3Ё 5\¬"3mВo… PТ &lt;Ыu; =Ў Ќ{`4ёУ‹4VйWЏµ tHТ] h`h …ayл ]Ѓ —\Д Fu ’Y; L§ IЋ”hК sDDВКУP*¶9SUт›iкуњj MЬFD &gt;ыS ^Ґ3К»їА fAЄM¶г A°Е•AEКNuЪб@ –NтС SдМ† QыTЙbBu¦БGЊёI @КђХКkЛl \Р• 5©¶›«Ъ&gt;kХяуdp№ BlсUЗiйZЂЁ 5\¬"3Yђй[µ KЭХ Њ”7ДХ ЏMѕrRM ^uF [ЏV ‡MN”Њ‰ЗР“_Ї `п_uђЇҐVUo®mж M­ІЩ9ѕєД E†Y5 IYm 8Ђ 3Pґ¤rЫ·g† ‡VZ UP|`ж–T*r 9ѓ JгтЦе JmКЏ[ I‘ЋK§6¤гЉµ Bl¤д­PЬ} QuЭяуtp¶ BЁчUЇeм[ 3Ё 5\¬"3х»SI5s ‰]Т&gt;љ:D_&gt;=; bјж:OI¬ dзeЕ VШsUз :zxOҐ O»ОFэЊYµh†х KZ­ъRc¤Ч SчЬјфx EЧъ Aрwр!3V¶д’[їћ BHЗЩ z=н :Hґв FЌ 8кҐkФ– RЩ= ^JЂu“‚g WXo ‡[QзAчU{Ц &lt;“еўmRЏq¤мс Jh¤IР“lA¦ЮоЗg BяуdpЙ B”эWЗeмZЂЁ 5\¬"3ЊKEgQJш†DR• Vp®TlD&gt; ]в!W7IГЩВ e:Ф ЊEХѓҐ bГьф­ЗТO3™ЮП:№Ѕzо ayъ±U†ЕИ№:їЂ f@ЄI¶гТ 9Ђ &gt;jн yo9ЩlZM blоS•U Ѓ&lt;^ы pWш bХNwg¬ ?EхСbќ©Xs aKкМ’OЄУЎ RяуtpД Cй 6WЗeмZ 3Ё 5\¬"3 CB•…a X…Шъ!F PZ§VёN E—“—ћЎ E• HB’m= \Й XIx ЃR4d}kYu­3у®ІµmЇZ ”&lt;U n•5ЋщїгFя!3 DdЫЋI `А=@ЂaЙJ q&lt;Ј4г EqкќeKи T cИ[›5oe’ёfлI Mt Rj*75 @Гу– ^Ж9[ ;Е¬µ=MmшћЊYы G6µ~Ѕi T8Р” ”~GяуdpН BdгUЇeмKЂЁ 5\¬"3Ѓ 3: TВк Qљ YҐЇ ЏwLa ‰5іf Dљ xJ&gt; N8гr»Кm‹G Њa­ 8О LsҐ ]s…ѕЎ~Jv„M8аXk­gхН bш!3Aце·oюtБй Kь@ўQ z]»ЬЌА°ъЮЌCTП sGБt KfЃF T‘g‰;ЕґЄ€С*bL RжбОЁІҐЃОЦpяуtpК DY 8TЯk &lt;[ 3Ё 5\¬"3lsPњЖк T гqЁф Џo4 s6« &gt;EтaІЪ …I–°йсмB d|–] ”NЋ ±l ?€D 5С 7сZ‘щХGН»Л“Ёц|Е e8«ЏV{ b\zёКnНc¬ Xю!3 4jЄя’ЂТAО EF SЁ¶CФ§C·QтxЦ XЏ~]gЮ 55 CГ@м 4о‘еЬ [t}ќR‘Ы cс±Б‚e &gt;њђј8*lмmq`eяуdpП D`ыWЗeмZЂЁ 5\¬"3RўідЖ 6b№А¶ onO’‰ЄЫЧ`@]ўa fS@`јВ‚G ‹:KkRЛЙПЁјжяцt*? ;SўЬ&gt;ЬeY~ъА€±ваCясїА 3Uґ›’ImOГђИdsS Ђ€h_µ ;д¦‘zг AБ —MЬ “6bqD [Wї6yqС [й Pбх &gt;­aй 3АфK«яуtpј CM JTЛeй[ 3Ё 5\¬"3ёј’S —OBaшЭ cИ„ wE‚ €`ђ DlP ]ЕuZі¶dИ d y?DTЂ4p•Fд‹H‘ЁЃ|—ИіrёД‡ V‘ґЩД74¤u±xWj BаWр!3PnэЙ W‚ w5UН’SI”ГЕ Њ;“ AkыA k^\ \·‰@ LtЩBЛ„ c4©xс—тќVё:pk‡U eУ5Ў bF?ЊЉSE±›Епиф UF \яуdpК BФэ]Зa‰[ЂЁ 5\¬"3 BЙУ YY ‚D©FЪн©І€ЂD n4ЎіВ HМ‘ B‚GU €M7 eZЁ^Вr†ьќцnнє\Ўх ‹`—яb‚“ „f:ТUшн—oя[aл :ЖfФ OЙ{Чd oUђІ4ЦЃвP ’uS c‰i q3Хјс X‰V’HAМ 8Э®Ї Z‚N`6¶7ЙЌjНgaFяуtpГ BАсUГiй[Ђш 5А¬"3g {WИ• U_ `  =rj:†aЉЋ&gt;RPЦ Bґ 5­К `Y™aAD NжYJ&gt;‰ &lt;М‰ SDјZ @¤ЪTжCTиҐМG 9w KЪ LaHЖАя M¶dµћѕѓ 5=c&gt;–iх ?OуґиЁр 3=`V®эЙ Љz5ЎеП zcъTЫ ‡ЂNцY buEQ]ђlNA &gt;Ѓ \PЕ=џQB e| [pµI aЕЭ| \§в’ШО DяуdpФ y{:WЗeпZЂр 9А¬"3 &lt;‹r RпqЮ±№ЌёхLuЁ®J3x° ^Ќўz¤ `PЧ aЁmpЃёrD4 ЂDКЈґёҐcЖ„њ€†kT`сo{гXтЯж’п HЧЕ RЬ y?ґ№@ЗGяб@8!3 gЂ&lt;л @ZI YаЁвМ F€ QQ  LpљKщЊЪЫT re:ъOЮнЗЪ…АP№ь{№яуtpІ CђпXПg B[ 4а eЁЬ fp7ЕҐДЁЊЄќгUГйY{:цmѕЙN @”Т8°ЄА|b&gt;В— \X B’ЕЭJ dBf UЅ­ d&lt;фeVЩщµn†Ёт ;ЁКЫ|HuЋнЮыічЩќМїЗ­дЪ&lt;z™± 3` f4яЁ VЌҐ*U•*ЄЅ¶л f8ЙЧ©љ^Ш 88 OЂќўBаРрP F8\ XPҐ7ґЙб ^R» 6_Wе ђqM†*Хши\б 6яуdp№ Aн 8UЇ¬° gh[Z°ЕE!3 7† 5eФnЏАр&lt; ;зEeн D€ `Xb LВУqdој gm\ВГ Ѓ3№ Vo _№њєSТъКАЖЫgю Q‡ eј©ахшзГЪ¬аЩ­WЇЭ PNSC“рv6 ^K§¬k”ЪКо8К{т‹Оэ¬ Z¦бщЙO eосЛµіГњзюї+я&lt;й9хП† &gt;Й?мяуtpґ IЩ `VЛНа g7°j№=Љ Ћ3k?¤ =™«ю f6ч =8‰` cТу°L 6А@d 3OкЄ±rь fOB›†ЗIи ]DµbВ ]&lt;І[ E†Л V‡©ҐЩ [Ъ6Ы­m F• cЁBДjЉf Xk\ч ьrгињ¬УДbWг EМBQ…&lt; Xt JМЧПДЛYЧЖгnVиlYхОязнЭ¬ъ CXYьнT3щЌ &lt;эВЮZїЦ 6i bя f4ьРњU»ляуdp} tOЗ^»Н&lt; g6€jС=… Ћ3¦ FяЄТЛW[nЦ!3о© seНhDЂ IќЁ rЏA…АB c@мB9 Lv fV§ NцґЁў¬ bЂВ P°Йe3р &gt;пb¬ЬИi gVp‹¬ь]Вх™eџюѓ „°v ‹e8дцяxM~{Ч ~h]4А!CТ ZO†{ҐОчюTью3У &lt;Лцd 4v NCr№Ю*яуtpy Gс7V{Ма gkSjµ=Љ8 3лї®у+яСЎЇ®’УЇцїG _їО*я*ящыэ*яыолг ^·Лњ*§йъяR~ђ HRџш fBШ rc]8 N:9 XАF 3ш8ҐV©¶дЊ ?!Cm© …UЮЗ› HхЕуX6р LљЩu»v^ ^cks\Ћ4ьnІњnйV 7Ќ ™ЁZ \ґь&lt;U¶Г Vсw…І dw7…•џ S°ђк }&lt;=‚ G] TiяуdpP @µCrПз f5И 9нСБ f4·ы Lm YfщЧiM &gt;ОКN R}]Jq B*› Id›qNР ЂTOА jSѓ ]я aЊ&lt;‘V®яqЂ€ ”T‚†ієЖµ[?ґ\АЖзб4 \Т8I± 4јяыNW I[HњЪюеPЯUђ{:«ІўЊO·nZФHТrоњ¤cBxў® Oв 7у^QЭ SЖљeу FЊяуtpR AAOnЛ= Y\€ИЖЭ\`ЖmЙF&gt;‘¬шн9 MхUOздлeiлЂрЌ®ў bbKжµёqйФWкjbM`AP KLE{¬­ \E Vzд­ jYrќюg“ќ€е№ѓlјК 3AµIА zwVrЦqiХBљЬГЌ« LЫ qKк­5Х–КW¶Њ‹Fќ Hђ§ q9G©Hb Vв ]ЊJ» u^ІќГп”·Ўќс›@xЈTҐ ЊЋ9УgнFд [”Эpяуd`O &lt;xбt»4еJ t[jоVHDH G•;@H`JџKПY8ИА © ;vЅХ°Щjїёcњ8T» \KЋЪ–‘mі™Юћ T¤ГEJЙEю–HҐ`ОнsЊ &gt;Њ jTфщљeo•пзF ‡d?aS 5N5т €XP: \Жс3 d| @шСГ ‰ZкЁm4є [®*Й‘J7ЎF UТЋ Zv ‚_} XЊ&gt;9яуtpE &lt;„Еrk cЁJ pSFймxD XК^Н©я Y” U[W I ђ `Ќ TЏwС vV”C‚F MwџякфыMЗ AчМGEФl `Ьчѕ8UhQU{” sqI5ојµкgы6ШЖgLЇц•bСGѕч»щхiзыЭ’њЊx\{МжНя d[~к8cCбHцlnuk¶v B№¬М[џ †:tўъ AУkЈћ5ѕп™HЗ OqЯуp8‰и Yџц es 5яуd`c =`гvЫ cЖJ AђnцVHDH XT№Ў \6аЂUНcњћMЈЦ ]¦ H&gt;pшYOrL9jх †5cZ [ЧсёЅ doы YЂU›Єя— 3зЁ oMБТэuЂџ Sы€›uF n3Фу6 Mi­ьogрFжЧDи™“ mfU†oљ qxBД EУDlQЫ‰ c@и ;\М4‚вuё …&gt;™ peЁ«Й aЯєяуtpP =XЕxЛ KГJ AшNсм KF [ќ• S” 8™Х¶н 5Ћ {cЊЮф€3 9U;ФіЪ pyI=Q3† ZЙЌ t9А†њ° c|!Aљ G&gt; ZЎўЗi¦ZПQЩЖ ЏC; NHћ HjњАpP Dж{…ФДXNхZГЋюІ &lt;ЦЖ “@µЉ9ПDFtuГ @ЇЈЕА SѕН 7ѕс 7б Wр’Щa_–Уm‰Ґ&gt;ївЋяyџ}№очхяЯю ]•B¬§ 3д &lt;яуd`T &lt;„wv{ 88Ќ©Rх–@D’џE WW§и gW; {7“я­ JхW—хЮЛнќ ]Сњ j‚ЋmJ? HчиE QХV›¬*Wф S©JЄяsЃ ѓD “\†I VЭ’aу n‚`ћcДЊП dnЄg±f*эџ v\‘Z!&gt;p F„b K€z Ќ&gt;ђ w4N o?ѓЈ…AcO4у· T[ЊсZР‹®ю;яуt`L &lt;њџxЛ WЈH v46мО@†’ Q;ю\ hC6\ЌЮожЖK d|Ї ^З 7Ц[&gt;ДhoчnBН `cй~r| eЗbЏ“ }@“ f&gt;°&lt;ё* ѕхк_ьа]nЬ3Р —YTVejїwЃafЊ YљHзRїЛJ\ Sпќm‰XГПIГ8yТ=U ?®dЌ K—tЂГ_ &gt;Ж; V› kcx 9Hx8]Ўф …=Ёs‡&lt; 6піs…—©яа 8Yџ§ 3ЎБ ;Ляуd`R oc±xЛ WcH @xjро8FJmЅ¤§Цё§ r[ё…57µ UbfРўCЪ…°љ †5о gUќ 9№ LF XYД’Ц† Y•WnСаюUj“Ђ }‡?ъUtЄм_фl¬Pu Kµ LnЖѓ&gt;Ѕ›wЯ;гХ Hј П D№= Q¬iSmUп7 ђbыvЫїцVцЕЊ ]ў`7жQ?DЭ“ѓ¬о¦еVяуtpM &lt;њЫz{ WFK BЃJъ 7@Дђ›FXдrIr 6&gt;ВCИЮyІ Ud aћ7Щ &gt;4к~Їµ “U™^…=Щ–Мb3 VБ 9Zz dgћґ‘џ J4A ђЊ[”|PІ’ЃYZ”а ѓ{sWІќxХГхY\A ЉRD_ Xn L9&lt;lП3&gt;њ V*НмпКg Y… ;” LЬЋDс 7‚ 7IRСЌ YФ ucїьт“wьў¬5_N 4иR UtтЄ iTя®Q ;Щяуd`U ;4·v{ WcH @hЋхЋHЖNЊБK‡ Xќd U‡µЧ й¶R [¦ЏS6mЮоЎ} YФ«ЩыЫE[z@еZI6бPй SБг© S[ ]э II4 Ћ4іт›}›5Ъj^eЭ© 9ЩWЫњФЏ‹ы3 QхІ Mу =Г·m;&lt; dvшR‘ґ &lt;™Н„ RџыdХ Pl¬сеS[x &lt;SѓЅZ @Q— Rфа Cяуt`X =pЯuЇ WЖJЌАЋмО@FNр &gt;М YХf;ю Tz4ВЪУ[ЪХї8lX [HЃ°}ц =ЎҐћҐЊ;Ґ¶zЕ 5€olђW EўЇй: эjЄ“ЂXР WJz;Э? ]ўСL 9ф \xЯЛ[¤Х™Ю5F„ X^Gс ZpДO DOє SBs \NЋ DcІ‰Ђђ 8@°•ЗН UгE &lt;њI `mы‰§±zt­PЉ•Y8 k„ЊN]jQЄ“ RЖ [рљЂяуd*` &lt;XЇz{ WГI t;bс–H„JК Ђ&gt;–XЧ¦e &lt;МЅ `¤\xj…·^Q WJ• B_ OЅ Z»ґ 3ЩяЕ GЂ ”3рЧ 7ЛЬ±C…єV P_µ kPеЯ&gt;jЄѕьsA 9Dd ђlCVћЛ« Ho &gt;7 Dц d9Ћ LLR8&lt;Аh`ЬN€ш _ ўЕl“ю^ —Y@ H| Jk cџТ‘Жб 3Ѓ ‰†v7jяуtpX &lt;”Ґpg= 6I oKтсpHDqsG“лжЏвЬЖLDъ©_wZ eIdyўЮ =yтянRt :в~Џ\§XZ·ё:{‹†Z[{¶d·чй±g›§·Їўљg YЋД &lt;Б«є‚V§T rTRt =ў†3fµM…ўќB8l vA&lt; WqНPЈнЉФ6» &gt;&gt;язmb|ЄjҐ Ћh3Ё E9HMЈ ^®ЅЁ_–у eOdфvЅ—я= HЋеBЖ f:‹ k:яуd`z =hУvk§Њ gv[црчH ~h7CБЈжП 3TГ†E EЧ— T3•як‹»Ў=[PҐUR —KХUчZы f8Е uWCщ– Fш‘­МWbЛ 9аы5Р~6o7 ]Tµ~lpШґ¦ MdС:DЭKє Bґ …:В“нs NМ &gt;јa c|Q 5R ZЯ™џЇїы a†«в`№Кxб• WhЯ†?&gt;;тяуtpa ?LнxЫЗ  fGсnц 8‹ ~fUЙ YаBIk±ґТq&lt;Э| 3K8 TЏбЃиEХ ;u bс cЊT cП SС‰ [‚8 3€ OИ±вСt§ЎмdaГ —[cЛ„c T_Д‰ :E 5€ F3pЬђ z=З J?яЅ¶яРХ 39eъ” ;АЙ­э§A ?kА 8ED¦ 3` —‰:Ў Ak ?њsD!7 EвИj `Pq [ТNњгЅЧTЯІЛЩхT36R [ Xmґяуdp= 9Ь R~wбЂ g&lt;°g h8В!3D gOle5 ?_*ИОАЃB WT\ p4ж aI Nн ^J aQЋХSHю•V”  cЃ@ OцD©6к‹ k_eVЦZ €aиџХ~•_v¦цьяђЖ6ЖgжPЌ s?:4ЄЖўз wG9ъ]‡ mbфй E¦™њАE [фdтБ=b xWДmiЦ8tJ„ји‘ЫSп cяуt`Z :ЂЕ~{ SўK ?И Qшц CВ hQwU …EВћЈБЪ—•ўХ§Oф gB9• 3ҐU© YЬ‡h Aбљ BФ{R~;4 L~Жќqt5x­ы DЂти¤пЎк»б@YЫk K&gt;*v‚н Џ9і O¬R hT—Pѓ‘ђОЃЁfШXUY‘F 6–tЄїЬ*]ивн®5ЩNI‘m„ j3m\«И Vh•O8ФЩ„ &lt;f†Йih ]3;дЉa UА¤ 9i YЫ‰ ;яуdp} =Щ @mГ&lt;ЕZ : љЩXxДM^”6 4µ¦ЇиФ9 CХєя‹У ZоtЧ e©nџщ—‰y·^ўzZОёµ…ђfе{ѓћ5Ф—обl&gt;¶kм A&gt;и| cђiџ Ѓ5ћ&gt; 7fhcOЊ¦Pћ†в®М|®Ь Љ{z|4pt 9й¦ A“ц–О Zю &gt;ЦџкЯ~ A\ VжЎ”Y*UҐ_ъJD fCяуtp‚ =деiГ¬ †fn[ўЭqO ~3‚&lt;ш” ?D 3“Жхbчr•В¦`ь `9^ Dоv J­PёЖ† QпщћяEПЛ_3]›Цuvњ…flVюНц· [d…’«пmaµ 4м DUИUМe M…~ЏуqДС ]Љ°­кѕb YLf“@ 8€3РЖex ?V¤|RШО&lt; AбSу`A ]ЁІwqlСZїю pDњr]яюG Cяз MчяРѓЏяьёV{•Їяуdpќ =м·tЗМ ~gCQ Mт PЏ ~3q 4ў’…‘ WШћp„Ыmµ ‹&lt;]Ї•uґS DЫcU Z[эoWcІ TY MaЁ€ЪРзbИuёњКQ W:І ^‹G; cёЩ 7ҐK EТ:њі«MМ¶W HС•M 3ХАJ ]°[янyA E8ЫdЋ9 W qr•N M‹О }9ѓв 5Д AҐ¬АCPeЅ„ Ѓ;WRяуtp &gt;‰3xЛд” 3Ћё6ю 8Ж!3ШбT dҐ zad{Ь ѓUа: QЗіІ№УЛкYД 3eVЄяш XеэxЂ N¬Ћ KЛ ‘=ЛзxЦl ?QYС P_‚lwJ HD 4Pm “N‚ђвд [9P vDђ]¬ LkЂЁЎN rKпUsLbFf Vw Fа‡­Д9IsЁвRh W=Ґ h6ДF”9f 5±щҐVЪ GS 4U wnGq”¶@ґ_ДЂгнWБ ]Њ·C Vlяуdpz r[чtК&lt;cZ 6x eнX KF 8П KЈж&gt;у LЇTМe ==Э©еРЗ§ШюЫУ?п dня [ЗД ?¦ EсW3¤Џv=љэџ WС &gt;6’юНt&lt;ЭєµfmЕV &lt;¬Њ9р Egњщз [qе CІIUьъK WЃґ` ‰N`J 9И CЁ®= ]џArж†€©x^Б… BiPҐmЄїr 3† „hT©Xяуtp… =Щ Nrj&lt;ГZ ;pnн\ cЖHwrы dЫsIV¦DЮeђЖФШъ§vЁ…ГЬЊнф;•ІВ UUв•Ъc„ |tgnJIf†— [ЛЭ©хPтSР5ЧAk–х°z«О W“р@Ц YHАУ `n ‡?h= aВ‚\ ;ьЈMЏ@»U9EЇ p8‡ =Џ WiНuµ \«tЉh Ґ~jпn 3 ” IL3 R—4Є|lg [8ЖвJ Z™z–і?zў ICз4Hяуdpџ &lt;T«vЛ ccH r;rнp cFH DЉЊЋS«6Г›ftQЖ Fё Axа©Р nY!] t;М’ ?J‘ku№КZ©PНќя¦]і FI6Л 5*Ђ ’:Е LЉЄXW— “ GнXжљnУ·j”†о¬FJм–ІfЈСџg»sЁ„ WтoП‚RХЂА•Є›Ђ ‡S€Ј 3 VV:Z€Ґ¶ 5¦Ь†B NЎАяуtpџ &lt;ё«vЛ _eH @™rнt@„ђ4ДCk bJ z9Q5@ KѓFпni™г ‡OBs p&gt;4Pа°ьkСФАecђЕ IiВ YЭRк &gt;u[{Nе© IU4› ?° xЌEЉђV_ю Ѓde‚ e‡Ъ e№H‹ bцІ {aД\п]ћЗШдХЪVG†ђ6х 3•jЄя’Ѓ Tь;VЎМЫ 8Ф°ЈbL^Ъ4 І‹Њ eо uM€5Ю™a™t•›VѕиИ W“]яуdp­ &lt;Ё­r{ –VH ?9RнtHД‘пГц DKЙ›µvґЏ©» YjѓіЖЮzGJv‚і=Цsц·3бEНЛ‹Л† 6ГН¦ d”ЎnющЌ‚V©Ъ 6IПFЉ·нУмcшDZюД pOе]юЇП‡¦Zл zC„гJсyг `X°By“I?GЅ \џ cyі•[Ђ•хЯ№ S¶^й· WЬ A? z6s Vяуt`© &gt;РпtЛ= 9Z Bxцдц`Жp№— YЇu`;PЗpu6ЊY’«Сл?”Љwx pdg@Ё{~*П ^АµDєToY:{ XI« ’;ЩдШ‚‘К ±W c*Rџс«BТg “‹ЃgS!AЊ†„‡c zRі?рN Kz H@г ?­»чҐph _УRЄY 8^‘нЩѕG L№z 3Ґ^Єї“ 3јІЈ Њ[уо]DЌ|ЩЬ Wќ±ѕ k]чо4F|ќщЇЯќyяуdpџ &lt;TбzП cЈJ &gt;и~н\@„Hпзјс›уП :TЅіio° :‹=®‹ЈЋЈ‰€ r_“ВОkЮµB ”U§” Љma&gt;†V‡юµ™кщij“Ђ ’‘4П =c PабЦ :э™pЅMЬ ‰N‚ †c?m \u n}3ЂВi „p;Ќ &gt;4 n?† 7‡ ;­bB¦§ †4o~onж bg§Љ­ШЁйZ©¶дЬяуt`џ = ·tЛ&lt;ЖH Cи–рцHЖN 5° ”5NЖEЗЋTБЊТ” cУбД 6*sµZ¶w…џжD¤§±“ћv• ZtiM… ~nPXtJ” Pqаp{C 4*Г€њ Gcw P\ҐJєсМ:•№&gt;;z©jN 3©Ђb:‡Ф«ЪжRCєд? ]”ЙБ dVЁ\ЄыPeІЊ…H …8Va*A4X\ |CЇ b~ы=я\†пяЁЂяJ 3Ї OA|Х„Ц TЦ•¶Єяуd`™ &lt;ш›vП cCH A@ЖрцXЖnХ ?фЩLтuXaЂXCё a[ ;Ъ ‡@N¬=О;с\ЌoѓЇC 7jqg·Jl;ёD§µЊe T° [XИ 7Л…Ц|йтiЭGъЂQUV©Udа @k 4р»У aћaЂAє8he€ =ЂгВА€ –Ћ]ЧµZЬ¦¶?d _¤™ЇЌk\ K:TyЫ @Z¤?v{S\ Xяуt`‹ &lt;рБpg&lt;cI B fй–xЖJця™B YV«wЃ Sа 5fтrж6&gt;!b ~M=^ЭfнWљцЭныіcf4і&lt;n EIПЏж JЏR MХ’‘{ҐІgB 4ЎЉ m5­iАPа @`@‘ 3шіwbVЬ¤ T=њ 9Ж dkTJ¬К@ yЂa*yКmcп ”AUті vќQЩЫ{ыэµmsїIО‚ЎЋL ICЯ Tї 7О hi[{Л‡ґптГ lAёгПяуd`ђ =l§vЛ KЖH v‡]х–HЉ’©Нg ђIЏ ”fnrEЋ “s;Ъa ;`l 9Li 7Ш 4wFt¶ѕы ]&gt;иДx d¬ i;Њё pN‡BaаАLд©Ф B‚Хк ;Uэо 4¦ \W^іЉЕU›©Vњ ;ћ?5WЂ± w:ЖCі°Т® ~==Џ 8ФЙ† ^6ґІЌ &lt;‚…ЪH WцО —UЌW &lt;ЅИ 9сEляуt`w ;Hѓxg rU9 ucrэ– cDJ OцЭЕцЪ·iжUъt pk:LРауїщА r4Hў m[‘ўB‡ cь aцЛ¶Xќ¤И‘!ACЮКн @‹ GmIW‘x N5о»я ]» MHKчw `9@} x~CX =@Ё5YЗ‹¬]Ђ DQ =ЙѓQаYбпыhхРIЖЩТЪ|Є®g±п•яФЧТюҐjњ L`4 iO6Ъ lGЪ›ЖD y’[ОЙЊ¶йМИЏяуd`‹ :| V|w hy?Ђ Iьц cЂ 5¦V JГОзџ3» V©D ЙB w9А 9• DЂT ~iH`µп ]BpЎБ© M›ѓЙ• 9А®ЊЫд­^ HSTе 5йЖ 4ґЉrъ· \&gt;g“‚ F‡C UP =G c^ bє ”[н J‘~Ц9~л¬хЊУн”ЫюЉ 3ҐZЇя“ЂЦ dУ‰ Ch TкцшФfqГКґcrЋяуt` &lt;”Ўz{ WcI ?hnрцxD*JvґvЋcњщfП V‚Љa 3ґдm &lt;[ Z7М dud ;йЩ cґO ^?“ѕ¦ A?Ћ cXіУ:ж{ж{ljCше\й–Тн ?фйрШd ?\@ЛMэЮћвц VХdГ gI 4ђH jHБaЅ6ЗN Kн 9zџ yLЬ c‚эҐЄ“ Itu ;йF5ҐЦё JОЅJСОV;Mtnоэ§ We D{ UЊLўЄћшЂ `яуdp¬ ?чnЛ= YZ 9Р†еt`†H‘ГЇKДrџ*Х K`\JАh6Hу 9†… …vLInџOпэЅлVKЄ«w 3л T~шб A]·s8D&gt;*8&lt;Ѓч \Ч5gЊ €[у &gt;Z &gt;М^ѓOuп _\Т6 Y7 JwсW—Т•ы bx©љ 3• ]љЇr 3є8„aW©jг»&gt;џк Aq*ЩщLQ \ЬЏ›—@`яуt`§ &lt;Ђ±z{ c¦I Aђnэ–@DJ WZЕЮ®©і‘¤jЊ€гіЇе ”hC`ЉаЄв©С‘ѓ:љи` t;Ѓ ^Zр…пЭмb±­H™х¦ИхБ6«М«эЬэ‚ 5±ўj©p 9A f&gt;х EёHО°ЁxЃ„M 4— 6RЅ„ 9^ ЌU…Њ 6 _YљА°Ћ{gЮ eЩ3Иl©фrt‹Ы \иHҐ_«яw ftlr&lt;Љх™й}ь»®nr?R biН 7MЉ Nяуd`і &gt;dуvЛ&lt;cZЋ VоV ;D Ћ\{kѓ¤ц€ ?JЫЌ№У rGM 7ЂGfи OMєЧ4 Џu`T‡QШх6Ђ“ШPwЧRц»yDіЎ W…•¶Уp vmђ&lt;‘Љ [lџёо ЌЉUaщ&lt;c®h ?С&gt;‡ХkТ]ДХЉљhY 8J PqcN†’якТp 9‡ Tѓ„ж =LЪ_ЫQЃtЪџ•б‘®MИюяуtp &lt;УxЛ WcJ r;Rц 7HF [‡¬Ч© K’ YОvrmd·wM 5EiЋY {[®I Ok&lt;FхO4Uвн{юЗµ¤фШЕб­”’ xH§ FIМ@Ў±е 6t§Ўт&gt;Z ѓ:Л5q =Sп u&gt;ЄЃEЎ [QФ N`б=„Ъ‚n&gt;х&gt;ЖсП•evЩТ©Як‚Uъp rj_Ек OЯЫ NдМvБ Yg[ЙњgKєс l8zЊ ЂJkZў TАРlЂАpКЕ„яуdp® o7Нxk ceK A8‚о 7HFH Sh Kµ 8@ =·Р S&gt;Iч 7љ»@Р\m­3z[Bћъ”KяN 3Р¬Ьљ:`bЭ=m`Z EpЁ 3aСв§;H’ТIтrdЊ7P ;X6MЕRпEЪЮ9I8”oћ Hyфu[л”Y© YЫ°ЙЉ E°ymKЅЙ?Хh uy[Ц°”и¬*T3YЋдZ±№Ѓщ bяуt`Ё o;[tw&lt;b7 ApNйn`Ж ]&lt;” dщЊA :у SADДqaМФw 9o kHѓЎ LМ &gt;ў—Cы LС ^oџ?»еїlИОґЪ ``ЬnHL 5ЛМЖb=Лы»3пi7 e·ЩЄ&lt;¦R y`9y; Eя ;яО D«W UПA aЂќ j4NgѕEћ{mи^А” HЄї‘Ђ_ 9А 9bEP™®‚У3 ]њ^mЈ•џ•ЯqЎб7фѕчЇ— RcўL RXњќwяуdp№ =&lt;СsГ&lt;ЈJЋqJт 7`†‘ b›°u{б GжкиоO\а X€Н№^љў‹ &lt;M7 Xuy’«gr= R9aГОД‚ qtSЫ 5&gt; jZK?Х ЉiG‚B CиО]?mZ3” Z; YҐ› Yљ `‘ЪфўъiфЁ; fAЋ Zх rHs Ep =kF}З ZЄy` Sµ№uЅ ]я— SQКцЇш =’€Р ;яуt`Ё &gt;Ѕ3tЛ cГZ vgAн–XДp™ 6iб…^ Ѓ7F :Д †dВ65 ZZ&gt;ђ©рАNт @КЋ &gt;4UA ya`ёЅ ђH‡ ?ђЉЭіабµ3©AоwBEЩ¶‘И†®а &lt;Ќ– XG Bа[ TГЌ№9ЎШБ _X“ Iи 4чaЅ _U‹zxжФQиvOч G] YсS 3U–кя‘ 4`дф` Oў= Yc HЬ­ HS§ SиП=ћrY—№еѕ ’u^гG btЄяуdpќ ;4 BxК ‹€f?°vъ ;H†HaXє s|wt@W ђ^ђс IђеTBXYСЩ DgҐNC D’ЁВ PPЏ dњЇUКйp…Ф]­O cргc MґњЮУи¦ћFЬ€ЉІ g&lt;BAЃТ &lt;SиЁV¶b3€@°”ЪNFт `r\ЫњX `Џ; HжЗљLъZЭm4Л=ЎЫеУїэК©O…т\ЃД QІCяуtpЈ rgbrЛ cЕZ whUсx8Fґ©iHТm№ W`Q ‡ђ_wґ L‡ь ^|n3WъЊ‘ПRLўOІВ XЕ© KЧ ‡_rќу ЏN»§ч№Љ†Ґ ‡QэRЬџ4TпЋEє Rя{ ?Птдх CµtГJ¤ѓЅІ ‹KќЌ¶д“@ ^S 4Уfэ:ъ…9… \йё§JL Gq: ;™Ґ PS§ЊёrЉ9П– n^Ќ Ubr DvЕЊwqb MEy6УІЂ©Ґ NnIяуd`’ &lt;н DvЯ&lt;cZ BHrт^HДH XЂx 6Џ Yр‘G —5цЭ†л”tЕ»9^bУ› b9 Lбdхзjл NfЭi®оЄ uAкзЎ m]и… I“•ЭЏоћкћ¤е‘Bйэ&gt; &gt;ўЦфїџ ?ГG JOEЯ‡у_пҐ…Z© Yг’ 3ГЎЁ ЂPf dpшбD BЬ^ЈнЫдИ‰зіЮg KэюJ}н‰ Zяуt`Ђ qbtЯ¦ r3’Є UеїK ~3уfњ afж‡ DЬуљ~”ї_ИЯуПЮџ ZПїAь 3&lt;н№Ц;Ыkт dUbM X*Uфв–Ђ O_ y\`Ъ^ыг K‹ A№Ф T‹хtu™R&gt;&lt; ЂJq Z*УБq \б“ІПWЛЁ*kBuч·у|В Kпю EEd‡ЎtШ Ne [6§±ћ &lt;РлЕЮcєЖы M”щ’ ;H }UЊ:ЪH yTE7e f4qµ”љ—}Ѕяуdpo qC№|ЫЗ fEђТц &lt;‹ ~3Їшr @pорЋ &lt;ѓ¶ X;™ш‚Љгсґ O*T –L[B Tц„Y 5|U 7gЅ±КдљW`z«® Wџю~Џ VЇeVR 4E`PБТ’g oLPГ8ђiд\ЖЂДЌєT©ъ EћКЋuє®о OІ¦§_х‘ a»ТµЋ^ЏB 46 ЏNS&lt;Ь nP‰и UЬтTy Gњяуt`G 9Ё d„ЛбЂ g&gt;XbъWГ!3РHвGЂО™CaСЗШїЩУЦнќ ^ЄЏэIgйЩH•ћЄЎNЂhB 6C† [{ҐФЛTє d¦ MЋ• &gt;·]П¬мMџЩhжgd XYЮ­ЅД©Ѕ}&lt;пwя*УСьІѕЉcъжаq UЦ DЧЊжшд=ьо LzI€ EѓЛCµ \М¤]‘J Dk ‘\g L§ЯЇЪПЙъА C®WйА lEЗ‚q Fq{ ЏN“6яуd`w 9ґќЂЛ OвI &gt;иfх¶ cДH— `Кт EЏої®фuoЁП*Ўљоцuш]wBЫГ Z|ўx*–х=Фи3®йZ}oТЅ E«7 3иX r4r &gt;c›°ѓqгО :Ћ*hЈ O8oVЋЌ MњПФ’m 7“m§ GдН¤ИёM ]хЧP†яJ fm&lt;ЋPr3c`яЏIg¦I&gt;їY S7q6ылЪДяуt`Њ :|·zЗ ‡5I ?°:рцHД YфПЩєJ§K GЊсД ?j•в 7wMF–мЉAюк9RаЎБINМ@„ WцЋЇјЫГ BB‚с ]• qg&lt;`°I lM“qяt {^&lt;ѓ zIнJ  6*нZ›@Ћ’Xќ…UєЦe W;QKвй KЩФЂ•U®я“ЂЬ Pў…ґmС ‰ЃvMi•–х ][X6 [џхs qR|kв :ОвБ¤И‘Х4дЬ ]VFI ‹Lяуdp° &lt;4Уtg ‹8K ?`^е\`ЖHфБb \dfЂ HA«gУЙ7;љJ ?оО~± x^oq€Ь6І I‹¬°pN @‹ &gt;8PLСЛ XЭgтмZйе© GЩ T¶А3 n—qU… aG=x |z^5КјmЌ{ыЅ I”q ‡5„Xнji¶д FЙь Ty o?¬JFЦ OЫCл mtUњUѕ№I UVX{­:¦ @яуtpЇ ?агnЛ= \J ;иєбty„lQЎµЂ‘ v[dЬµ;Јц TРH9¬„ Z=a… ”&lt;fСi 8й’WЊ­ ]{MT Ux8 gE‰Ђ 9¤C bЈ6X _s›ҐY4Ѓe»@^ dБЦњ |=°Ърхњf &lt;Є MmHйjU Wб§Ћ aЌFEяN 4ЁЌ€ TщъЅџяї&gt; &gt;Е &gt;¦»w T’м„ак [Ў—ЄҐшB7 XOБeљ‹С¬м|YИ6&gt;’4L–R ^Kgяуdp· &gt;`ЭoЇ= 9J ;ёІбtxЖmл|¤3” ”…YeўМx Lк*iіFEцRp®IмІџEлµ „Y“d†@jS 6P5nvЮЃ‘} MT‚€ HDЌ5Lт®&lt;oї eл¶Э4K plRЙ’‚ЂШХV•а \!;њ S…¤с Algw„†‹щ ddbЬИ: [:M KQО k†TЎРАгnюIH‘Њ `яуtpґ =А»pg —9I &gt;H^йtxЖIыЪ*BЕ ЏDН v–Kђ ypG6![P• &lt;j—Ю–pўя}– p`KэҐZњ  Љ†&gt;Е \Ѓ— =X M6Q©ФBmЮ3° Z{mЊ:A¶ќgФ ‰rhp8Г ^jP•ІЉн¦§©?пяЩЛЂэVЄ”  HGСBM“qYMmЙ¬зOДТёчї3 K·­6і YН*Эґ…i6ъ“а AЏНёјрЖІXn ^ІI—Pшяуd`Г =@±l{&lt;cH @И†ицx†JЩ BЬкрЏ3 &lt;Ўї*гъ”ґ*°Xќeb‡ЯќЂиyGЕJЌ aЗG &lt;” BAQi7  &lt;в`±·« &gt;qk MџQи LИ Yv‘ЕФ‡ TМ{УКyщпФhU @Ў b4 M*ЂЁ ’H`Dр &gt;HЊЛѓ XЛ 5АQ K«56E asґnФьъ 3ЃяRЂщleТhёјZяуtpґ &gt;дЫr{= YK xoMШМyFђc3…эhDg ‡7Т WEzЦz uk@ЅFИ uMpуЬ _ИёуЁlЎ 7Я JяfЫhЬж lA9_Ґv =hJЄО` P| &lt;є~Xfd­м NьЉV rAѕ yJЩhK ?j ;CэЙ№ЙъЮ”—х{чe ]йюЃt&lt;xЯн[” &lt;YЙ 7EГ„—ЫыRJ6± yjZѕCќ &lt;и ?ЊeШcК¬}]3B doі 8D |:EіЎяуd`џ :¤_tg&lt;Ј7 ? nмц`ДJSC Af S–Hќ4 Xu ]C›»™PоґГѓ‡лўюЗїА Hф h?Ћ| &gt;fщ:щьэЫц©о 4` I›УЊъ L­a 7у  ^„&gt; Ѓ&lt; ‚[@° 7m©QсА U` cT pcF\ €–7qе CЄ 6Т ‰YЦљiЭъЃ7Ўа8§^§ЁВАьV«ЫЂ^бВяуt`Є qWбrk&lt;cJ’ ;fдЦHДH5 IЬo] X*їЃ RX _йµqRі»a°ЗP HUe^S8ЊjpХH[3a q=З C®иМHВБв MљГ pVЌЊ¬T*3G GЋ Zcx ;5Q SљЋ‹†µЎ«hi &lt;пї “UЦФD f[6Ђ№|™я @a :N’ TM‡ ЏHЩќ l;К› P[ҐиeUљЇvЃ dlCG LnЃ P[ ow:VІб› `§”щ№ VС WZ Re‘яуdp› qOчp{&lt;cZ :рnе*XЖIоС }LK†P‰Dк”њ Tt”ЈSСЖ G^ n&lt;Б pEЛM T‚ ѓ8B e7*ЌЄ!A wSнКEzыКэµ?®QuЄдЃ 4e {5dґ™ѕµхкjР WЁPщО Wй V«PЯ aЦЄ¶еє aЋRЈJ MРЛлR” &lt;†tLКWBS®е;ЭgЊСL Eѕd \PЊНrяуtpќ =ёЫpЛ&lt;ГJ =№&gt;е\xД‘¤ТъЎ Cъe8yєтoљuy K3Kиђ—ињ {noWѓЈ @¦Ў ‘E№_wќB e[ R&lt;вLxe ?ЄХUNP c\6 ѓYђE q@B €yTbЖЛ*ЂЉX*ђaѓЃCгКЂ† JcЋЉ‘ w9ђ jAћ }Kз “V\Ы}їBэЅ;uЅHэZЄ”Ђ:a{аєћ‡пг4чеЩе¬Ё·ѕгЭлzП WтB xЉ[u Cяуd`Ї &lt;lіpk`cI BР Yй–[Ж hC6 ’C сЄ­Е©8`И™Еѓ Do XdvqШ }y3” ”‚vЃJ: odПЬ”&gt;µ5Я&gt; F&gt;ЉЕђєэ MUgнS” =“ Dr bMerf ‚?;Юk·x¦ѕ·|кm QҐZ esl¶oь:ѓg d] 8¬P&lt; ;“ y5`ВНѕ FJ pB{ми Ye UЛ&lt;ч»P„¶щTяуt`џ =иЈn{¬ rgEб AЭwO v5µЦи¤нYЭQ8џwюЬm fg]f DMEа‚П hYfЮ SвjQ ?„6Ђђ¶ ZT‰O [ф‘eлп39pк}ЁЯџc| E›9 eїЛwДпГGI ^LуФчzпз Iеµ&lt;¶ aЊL“ЯИтЭ @†яЮw{¶ьч YnЋ™ c•lkлЮ+яз}Ъ•] Wђ“ ЊZP­ WЉ+Dfд fgSй †eЈуYЊѓ•яуdpЏ A­kxЫЗ fHyrо &lt;€ ~3Э‹‚ЕdВР 4_ў Zь G€Cµ‘Ж¬Ynж|J”›џ3? Vн 7dp C ЃL™ _Pр G8ЂЧIЙф·Љ=‚ЈЦw*я†Ђ*e EU|p ?й8 u9КO5‹Zчoр±Q WСрl ;ҐЙ 9KЉ sw8ОёZlрhЮL YXў “wSЧ8Ч ;m PD ;¶ A{‘Nяуtp&gt; ;TE~Ыд rf&lt;Hc l8Г!3 Xйъ ]Z6 Rѕ‘‹ fЉoOЅ M&gt;Gгќ YЋ &gt;i Sђ GИгІ ‡XиUї?Q AЕi Oha–«ю nJЂиђ_k…©sjVшХe}¤WоY G7 bЃh*U VT…X yH3Jу SџMў‚bE ’~=€” [Ґ U› Lf„ ‹DC™U Њ^цвg©ЎїOFUsЖ‡[°aуцот JгmkH§Ѓ ЋUЃАн¶Е o_mµ=[яуdpi q“Prz&lt;cZ„ИZйX eF [°њЖpeZЇя‘ЃmЂШ …\b OЭпЈы4п‹кGН»€C?k|щQ§ђmФ SЁLD A№ЁoЕѓX~ЕрќiyдHk™с{€Ћcѕќл”sжxМх &gt;wСЈr—rЭяCсoяЭъ v‘XЂ‹ Sx@ы„й¬±ЭTўF Hў5\:§щЬю®ђ‹њҐй =Aяуtpw = ЛvЛ cГJ‰@ъе\H†q E^ WVgЄя’ 4ещЦP3Пјbт\иыґ· Y°ьrыП dЌ®&lt;Т[Б &lt;:№ L’Е 8l U†ГSґSg–TЙbТtяж_™‚ ’~€hnAd Џg_B]ev N°UХ‹а‹E wWi¦Бl =иF=р¤у 8ъ‚· ‘VA wW›ЮлЬсmpФ± Ab„д¬T“UZ\ e~Єї“ 4аЪѓ dHО~§ґЩґqилМяуdpђ &lt;фпxЛ KcZ =ёОц jKДlй dЯ‘ AПЄsуЁp ‰^э?S7‡ K6 Vc KЯ 5B AAP‘SжО!= ?8LГПТ–эe FLќЭ _‹ €XКІPђ9џe3=Ѓг› h^рэЁОМ‡цкю:VэЄrКV TYЖ‚”ѓ k=ѓ o}K¦^Д=кeo«яw 4мА’[ 6°¶пҐпТ cиЕјHяуtpђ oWЇzЛ WcH ?8єн\ cДlQ x@W T№ OПj ’\Wc Za”НЭ aA aP aTXЈDђ \° ~jЉa|‚ 3GЊ:j aҐlЧx g?Э4·эE_QHі ‰sYЬ ’@И@` Vv tY•ѓpчЅFG ;›дФQнЖ®~Іж ‚_Qв ’;t±BO{‡y*с”Q VfЄя“ 3z o`ж¤©k— 6©¦л R3 eМ H&gt;oљ ZnҐ YЩеІ~ X›Ч 7­у Hяуdp© &lt;”ЇzЛ KcH ?Иnц jKДH XZ±И…Њ5ЛШГ6ХIэ«Ёѓ: N^№i L*Aa`лAра€щгО |dQ­ mNnAќm|йWЎ 7µRр9 ‹xG3… ~XHS8vmaєдJ |5°vЂЌf 9• WА CJph&lt;Ѓа E·НЎ VOЉLв Ec _bџЅ gZШтЛьЌ J¬э–j“Ђs‰ oG»5яуt`¤ qCУxЛ 9J!Crн |KДHе N«€И–‚GuD e?ИъЛT©yчОІ}\Фі† DJнАbe jWџ Љ3b QЗ› DX XЉ&lt;Ю—Ч»ИнЬ№J ^JъU“ЂQАЎFљ Bє|&gt;ђ eёv FCѓн O–eЋ EK›mЄ IV«є MНПs„йЂ ^Ї­tj3UяWЅ” 3•U EIёеа` }Y”ЬЅ Tј Dwуa5 ЊzxYa€™ v5Ић FядЗ Cяуd`ћ ;`Ј~{ WCI @H~фц [†Jqи’!; Mг\ nCбE°4  :j«XГ†[hі eAM ”KaЎwS·АЮцvXj]iU{©ZN 4Eд&gt;Ы 4иб_R‚ TwҐ’†5t eЇКЛ `к»5р†‹†‘оҐА Sd‹М |cE @RЂ ’AтЗ†© [»[ї| 5Uj–ЄN 3ЩK‰mн‡Qд­л№Fяуt`  p3БvЯ –VH Bxжс–HДn ‡DЈ6‰ x‹7Й F№gМl 9Ѓ gpGcЪ PjЦНU‰D‚ED© QLкRґќ HN8Ш ;уdпьГ Oљ… O*Їъ•jr 4Ф ‚UL ЌRгвЎS ђVsцb `V}—ҐQєТЃЌxhqі †cр emcСZ4r— =ЯM Ђ]ћЙµыдґ cWfЇwЂґA @a ^ЊпЕZµW e‘ЩхrнP eD^ D”¶ ]яуd`Ґ &lt;8™xЛ&lt; VI AЂврц cДn W:± GП©xЕ c™Rђл¤O73 7tЛѓИ B№ 9^™5: aЇЮЛЄ]”{Ж=ТїN 3ёхЉZґ da6 —Sпkіё6?a ]`]‹ @‹– 5џRO—sМ _єФж™‰&gt;к‘«о S3OзT \чяЌ d ђ3д 8Kµ¦Ґ–F tKDHЙв j9ёQ 4M› AAуяуt`њ o?·vЛ WcH @иzроHЖJ WЏ nH† Bzн tb“ Fѕ{‹Љn PA fqd@ OP hUѕА IянЦЭ_S±рў« ѓeІ” 4”M U”aё dГ —Sъa’в@дЃ S:љЉЪ cWZҐQ Uгф~ 5T€бв [јЕУ|КсҐk3tфиР”EЄїs fЏEЗ dъ ‰a^фИФѓkеl3ХПЉ‹6r;љџA№b€‹c‘ј­ ђ‹6еuYgl¤Ияуd`Ї ;TЇvg †VI A8jщ–HDJ 4А K”C8s Wи;ІRіСEG J• :¶ Hts\:чo&lt;ютiRа Џ|`j› K8YЊЧше EYQЄиT3Ќbл TAc Cђ Ќp7яeІ;Ў A[ `c¤жsn }@µG sЂ?&lt; vY–ЄwЃ|Иђ3 JЖІюМKЗ›ќ{ hV–кЯо¬CЮЩ o8yFPл‚яуtp® rSпpЛ cЖZ &lt;Б EеXH†p‹ u`Їё 7VaEПЉ W^gjы^ќ‹9Ж aЏ[Zў‘ c:ФMЛШ ‚;в\РБсеvodЅЖu `’tzєл{іщо–·*Ф i4‡ЉAѓKќїиQr =Ў‹[^Ѕ BzИ=Wъ 3щх{ј!6Ћ ‰oS¶©ѓћ…jШз™X–{ЯTКeюEҐj &gt;X®Iwлк„ЫљN N53 KЬ c4 Љe\«TRL W– R© 5яуdp№ :р‰vЛ Wb8 u—eц jK„ђ”·љj…Є_пЎ NФ«Rp ;Fд…MДlЪ–аф9дОоs bG UйЫйфwУH*DB•L @™€ Pќ«Є’B„ e· Qљ!;\I _?¬џё·яoB 3¦љ©· WЬ jVБ 7P|RюЎеyЅX=‚µE \ZАv &gt;ЎЌЪ AGП H®Мx DЊОѕ`С9D‡tPИяуt`· ;¬№vk KCH B№Љфц8„–J ]ЁЫ 49є &gt;Ф ^лђF MHP eЕ dCЛ€ i|—5›ЩҐ^ЦhUnЄј@8 4ф ?cЖ 3g Nћ¦Лр*O Y8В Zo±тж№Ь©јкћHЉд[ tMђW Vf e†‡ 69vАэ•j“ЂAЕ`Дъ &gt;4Піэ‹ \»Ґvqd ;’ыџ &lt;я \OЛшgЦ§B ‡3Оќ=i @¤HГ e&gt;*ѕ]LїDуву[¤ „s;яуdpЕ =`СvП cCJ ?СvйX cЖ‘Ба W &lt;оS 6Ћ›Ў AZћ–ў­цЕ VХ[•Z“ qу 7el ¦я &gt;f S¤nl­5фшw a—¶MњэјыНYуBc[ў IК 4” |F w3Ђ UCс3д –P›нVЧЯя xXЉ [V ђgYCа ѓcМ`b @ЬЎ»¶jч‚яЏ™Sw `гЮбVёЕcQqяуt`№ =HЗz{ cfK CйZх– cЖ’™ –BЉЫЗ®Ѕу«oэКx |9C 3qW„Џ {?—[jAі¤EOєІnядЄI dйUY8 93 V©Z TYнIЛP¦ Y[ЮБEТд :Q 9EJЃШЪ :&lt;лVЂ°кly H‚ UўҐЏТ&lt;:С‡tzЪ·є5яШхЂ [“ UIор &gt;Ѕp 7y‰\й»О›Ў3љ ZE PlНтn J4 XC XD5–wF ?ј IЫ?Zзяуd`¶ &lt;p©vg WfI u[jфц ;†JО›5pМcй”эщъTОјлЯъЧ bp–•ѕ…VЋЫЮtЄ®c}Х5 ђ`U5MР T§з‹блБдпѓ‹л‘н] \·тСN @с¬AX 3Пї m4Rhш [«CҐ{ЭЯэ \JнЧ?тЅяћЇo,я°ѕ]Pыej“  M™Б [бe3nТeч 7Кхє&lt;ќяуt`Ё p?Яy ‘WfJ CHющ– ;Дs5њПтЫъя›БBF @Nї4„з LІX‰ ?|bЌѓ¦ў‡И‰ nNћ QЯф9 RдL›Р@ Y7 yЏDЈА jEюёЉ „MѓЛQ”&lt; Uфo3VЫДwеЛ?ёrћ©жjіv‹™ЅЮ _fз·PeZ©6дђ 7©ђ [¶Ґ KУъ« ]ЖQЋXS 9‚K™TОЋdn 9жMj!D Km 5*Ў O3PfЫ BW UB‡LX¤яуdp© ;&lt;±~{ KCI &gt;рjц nC„Hу›ФЊЖ SѓЫ™У@`pІЙ3…рЋo’&lt; “^• Zћ•Мюї^iВ§е_ЎШBйДЪ«д`P SҐ CЋаЬЪћ …iIqФЉ P[ђ aЪ Ly TЛsZЂ _ЎZ OqHz „g;”еД JҐ·Ю€ЁD ;ћ° VїшЂё¦V©· WЊ &gt;„*`X EњБ:йYО«Љbяуt`І &gt;ХgvП Wc\ BЂ aн¶ CД 7jiъLя&gt; Zт ZЦEw†…o{¬ :O~ЎgЫў«с R;вvЭµ·Sі –wGк¶8дСЊ d4 Sье“ RЙЦ: ;fЈwsІ~еoВ ;I cИЅҐ CЮъ DfЃЊЅУ ?еќ LЌПяз®э=BЄ» vfJ@Б­ 4VDZЋ@… Va@GFХЄш =ЗЎ™ ZЧt ZVгµ]b ;‹wr3 U§ћЮ§уЇ|T Xд6U YµяуdpЁ @эctП cЖ\„XVй\ KД [З„jпiљdчvc+5sы”iµI{©® [ОЈі{K3jьБЂo s&gt;ФKмZ DtAnaён N :ІО oЊ‹О„ IЗ‹Џ` P‡oGП6­· `¬rц E]T PvaRЄB^Ћ U±ыТ{oуП JSJZїr g†[k ‰AЌ­Ў¤§°·» U¦eГ=ЏЩѕяуt`Ў &lt;й LvК _cZ @°nъ^ [DH5ЗоЭNПэµїНч–С›zdDАэ№kЏљРл ]Ж {=»^lр« q„Kэ• @с Joк ]”Д|¶н 5@© CsђBS ?і r&lt;ќ•Џ Ud’…фkЋФ±EФuиЦ i^S F¬ЬѕпУsЛ&gt;‹4§ZR WВхЄЅМ 7Ђк€о5SЫ Azк—”ДMB™нҐ GоѓОw!XЬВJщ€ \ХB WjµЋG7 TVе Hяуd`® ;ьБxЛ SfH sfUн–HЖ fF»Ие ‘Mз]bхAгѓА&lt;FИг›Vєнэ«¶e I…Љ6“rn l=ОLw [»ЏB*ГEФL№ўй S; IQ« :Ук[Hё&gt;З AS…ѓopЋЖ [’:Љк_Жu ]Xiя«‡ 3RjљЇw 3  ut‹Tлj¬И;Ў9њ6 GжЕvяуфCLж`*Дџ€|яуt`­ &lt;xЫw Ѓ_ҐJ u†Yт^`Д 3і”Џг\·=нw 7SУ XgрВ ?P€v¶“[І‹Ж¦onд]У± =A [§[€ WњФ o=ИЕZ;sЫ :ЋЁД SkИ й’ЌqCЯ¶fЕЭЋ©~ `Ѓя&lt;•чg Y–‡F YD™jЇЬаA UЃгл®хcЇВb4 DЁ 5…aІ:бIb N&lt;эєkHЃ= dЅМЬж 5Б ;VЉ PкБ niOжJ aїУtw&lt;J jSяуdp· ;ФНxЛ ScJ ?€^т 7X†HВS i&lt;I‘Z H=`‘nyпкЅЉJ CС ]Уј o?J—j›ґ— cҐЏeQсоМ zP]E B’Љ p]DіQn] qЉ†G¬i AкКyюР iAPвvЩІгЌB 3ҐYЄяwЂP ^Ў“ cМьУЮс› \Tn]м J&gt;ч±пsз O­j*©lНr HtсЁU—‘яуt`№ &lt;фбv{ ?cJ Aиbй–XЖH¬ IЖdf a{|¦ KэMNg­©w LИ8kf 9Y:лFVa¶ђя­ ЏWM U™№х· i5` €4№Јйч dЕѓP8H4 5n§ЏTБwциЪ txЊFh qeЃuЮЄ EЯBTчX¬ђялRt ;: plDЏ a’8иЄsЪД¤ЈчVйЭ¬єч;Ўфi4V© 3Cё вДXД `М ЂUK QMТВЂўг z&lt;‹Т|`яуdpА pKХxЛ cжJ ?ё eхмJF jR?Яч&gt;–тмЉ &lt;F HRљ ZйА cИtЌ Ye» –Waм &lt;Г XЭвp‰ъ’8 dѕз LA€M¤ Mёщ GmЮюЩdn€Їgл IяЉjэjїЬА a•d5^z§мтоw}JЗrjsдР¶GїГ•\ ]A[ ‚NJ– `·ЋeGЪ·ЕХ&lt;qоВ 5UK&lt;Ѓ A’°яуt`· o3У|k ?EK @@^сЋXDJpБ bU 3Ё wЉЏq‘?эћТл X9µг Vиv H”ІшЯЙО]РШxўАиБpLM­i GДўu8ЇҐШ MЉ•‘ [E x7Љ„‘ eГЦ LН Tі ejсP mcаЯнRP qK8Э Xяwu\’“СШ `Юfv EµХ jDС LPy ]TМ&gt;Ћ\ &gt;Ћ‘ДЩдЉ’© pBCS3‡aыLEёі ‰‘R©ўµwУРю J” [яуdpН @Руl{=‰Z 8А^бp`МIѓЂD‹: ’z—^СяL‹Qіюњ 3±A TЬ^ Tиґ Jь Tж l7є‚GЯa± KлI‡ШЪОџY” D©b 5Rљ¦њћЧ‘WьёЧ№чYеЂҐЄ©7 W°’G@иаµF Y?Ѕ› b9і\и 4A‰ @xO^b=Нз …cАЖМзcќ¶]РИтіЖ Mуґи ѓCGяуt`В =њпxk WЁ[ @X^мО c„J`І TМB«Q™fkУ•Ї›[ H*M›яM6 LYјjB«IЊj«M `R” 7ъ gOcЇюџс wIРч¤bЪ—№еcіS—§Ґ ?‰™ЁК GѓЙ…DHK zWd tJc ЊmB№ЭКъ 3жХk’Au XcY€ 3Т GKTп 5Д† D‹ PТю QјЧй dѓсY Lґрpj}® P}¶i3ЮёЕ_ nCt5zЊFФД‚яуd`К =ґчwГ cfZ Cй Uх–HД’7•s— Y`ЉRМиљ Mi“Ќ Q@4б¶ XK 4№d mg~PnЅoz—™~\ 5УpTщo QtDs|¬xDљгЁ haў A&gt;… 9ТХ9Ј p_YжИЂG–pўђѓФ[Gщ_ф¦]У^Н;ФэeV“ЂsсД‘МЭ @›pчЁ8vЂЛb4„†{¤Jўї _Ґ e?яуt`« p[Сt‹ WcJ t[zмоHДJ{lЭ›мµцЛќх№ Nг dOЌTЄГT KўуkН}ЄµИ ЊAЕЮ ‹„aЗTьЕ±_ЪҐeљUdа zAЉADKС]‚c†x™ф@а XШMt&gt;З&gt; [уkн6’АmОї4С€It»Z]E]YnЯлэ•љ“Ђ apP vZІ·ЉgХX KosЭхI&gt;&lt;юЪЯ]Ѕv“!Fќ {_‚ n8ЇџїT Y®_яуd`ґ &lt;рЫx{&lt;fK @ Bс–HД Y‚G†‚ЃБ!dвАиб ;аё e°™Ў±н:Ў…Э}» H\…ыz JґЛфи zAЌЂОgs“5 їZF5АЄ… z]зbДЯ 9Nљ6uтFТd Z=E‰hжWЇФбC ^iЛ&lt;Љ \wщЙ ?xэ•j“ CQ XGґh­n;П›YР’5\Ж*wЦЫДтцГ \Rяуt`© &lt;Ь›x{ WИI Ap^моHЖJмkи*ЁС…5 gZa s4СR« 8„F3µ ?@щЂ|p PNЗП±иіКЕїХТl›ж•fjЄњ `:F &gt;Д§[6ќ°ЎmёWђЌх KІК OПЮRyЭ‹ Њ]€ ‹5“ eU№–W `єAT 5рhіћfeфMв`нЏsУXh»Ииоg­OH :ї ”3г‰љvI‘џgL’д‹GК»yfzy*]JѕS№ Mяуd`і &lt;€»v{&lt;cI xLRс–HЖ’©e9П €[AN§ CcЬ&gt; bPУеCм u=ј e¤ёѓ;&gt;Џq‡К \_ aЙх 6ЇH­;АЃБ HUНUµґ [Ёl ‡&lt;W W*7з?Bb}юz ^мt;Ий‡ :‹G‡Е†џIpЖ9П aЏгтtj CП№ RПЁ\‘zp ?Ж ~Ћ5nч»dм: `Лvb‹pSБ_Яяуt`™ ;dЎvg KeI uЏ]й–@Дђ3‹љЇэ b&lt;Њб— ]Ф‡ZV№CєЊуў Њ`‹j’9 ]†J4F [Z­c K]Ж±Э¬nІUЋFЩHН „fgo9оF™ ;fzчrFzC k;ћ UPЂф &lt;Ь Vѕ„S W‘Eћ _Гi8 d‡Е ЊGїI N4Y &gt;~Т!a LмPялS” j&lt;М F‹€И[^пxС &gt;B№—Г”Ґ b?ѕї ]7]•мjLf `^ s:яуdp¬ ;°·xw _CI B€jц nKЖH =†”т XМљz OБV •”&gt;5 ;:ч‘±‚„’µ•йwќQT ]­R©J` ty†„bО· O3 CV `¦ &lt;§– @њ4 PC&lt;ыХ”Џ«Љ VҐUa‡’ Pк JuТљ vMРЗкТp 7п ЌS° :p Ь?xъЯ\›‹ Ii gmaf N6Kд ]›Ц:j9 @ЖN&gt;&lt;яуtpЈ ;ДЈzk _bI ?°bс\H†J„vҐбГ e§ I‘Цiо q‚ЋZx 9dт IгзV’lЄ‹Ь¤ЩZ?тt­Uђ…!TVЪj dђ |XZТЗ4…‰ md”ПёWг¬ &lt;“д:Qж…MЎI^мУ ЌWзћм:ИeU*Єs 3оGЩ C*JЂH @XФяwЫхнeьЗ&gt;~8пИtжН¶¤жVП8‚no– @ЕJ…ъ UЕ]»{Nkdаb¶EФЖяуdpЅ &lt;¬µlk&lt;ГI ?PVЭXБ† \ЭCt Tц{Wbял] Sс¤›r¶ 4| @А¦ B‘;:­m[я Eї5‹јnЪ€F @tfWQ¬№й»Ї =ѓЈrнQЋ‹фIцџпжЌе®юЪ®»Я® 3©UVЄj*Є X¤ f=И k—&lt;Ћc r&lt;” FхhврЭЙM»№тU AvЕ’VXu¬r‹ c’7 xqKяуtp№ oG»pЛ¬ rgBаrЩuO n4к¦±і GL Y”ЉcПє›3&gt;­ЋВC“ Wє7s&lt; _х @W7sR3ѓ¤ Bяс @]3эЙZ6Є‚Бr~QMеП‡ :Ѓ C—·й ?»к HH­BЄ aЅU cH4d f}\8†!Q Љky&gt;ю”vѕчlYќялmµ“№ё}щЋ–Ґw7­z€r 3Б PЄьц†цO YRЇ*яэяшH·ќГ=gН nU щ Fз&gt;•яуdpГ AtлrЛМ ’g|4vе] –5ђЇ ЃTяЎ R¤ђ—]RJ W•_Ю›© f9fHЏр»X ^©:·кмb”€R™ AaЕ; G‡ cІ©ДИ RіЎDTжt yOЌЬҐHф SаыЋ e‡МгD tЋ’Љ”bhР LЮЊґqF 4Оз:Ж =Dо QQVvя«µ… ;CЪEtЉМuR_я*ьпюЕ‘К UIяуtpr tP‡zЫЖ zfI©Жт 8Џ ~fЋGbj7 Ђ[¤’if@ k&gt;љCpiЄ*ЯtљХЖђd 8r €Ak 8о SA VЃ „H^ qF«Џ &gt;GunEbкµ?зb G¦PСе·уэМFH SЁФy`ђQЁ~‡ c&gt;тck 9Єяw¦ … {‹W·mР=п eG QпЌyFЛ Y4H Ѓ8х5эЊ§яU…›ЇїЦдjнЧУ·ЯяґЩT †G„ХЖАЃ›¤§Н’яуd`9 8ђ Z… ^г!3 ;ђ =щ·Г!3zї`Ґ*Хb HKїЭ*G&lt;кМПюЏШc тV«ю ?дz8gЈ›^ѕ–оSДМРуUH&gt;Ј‰k±™њ BщГcх}€к ‰APѓшDd€yE SФъ `RGl &lt;ЁКЩ@t3Ґ5 :ђgFs “C{Хd La*€Б Eў uOА o&gt; ±Ѓм BM\p8 _” €5€6яуtpe &gt;Э Npz&lt;cZ 7:еX eF X9 ‡Vй ЂdІ6њsјъ@ОҐZЇ &gt;Р 9Ёђџg®;Ђ o–;la —]оyQw jYMO &gt;Іrад 7  S ’“А 5d‚ @i C…YВе№џBЌ› Fk QoMkMІ  FэJ“d p“;8FЌ\hlY¤ V9гКГћkЮЕµн­ Am¬Р e±?E®@Ј 8х\ђҐh’Uьђ @Р 3JS `_®C‰ kUѕБЪ AK  bяуdp† n’Lvz ‹€h=И~н\ KЖH KbЪ FЪs UМ|J:ЊµOо =‰Йє e¬qFј ZД cъ T»О’fw Hюб]гЗAіЮx“Oн•янюpYЄЦHє 6кt YХ„ 4uЈ [@r¤ИЬ ZіbЈµFсВ IЯю Hґ MсXќ9ЫҐТbГgОбЇю 3тj«ЬА~ 9Ш&gt;l `ЂF°C~Д N4|яуtp” &lt;РCxЫ cc WЊ [Bй\ cF ‹;µ€ЕЭЙ§qЏОy®^ `ЉИyZДr€@у…ТЇЂRњN ^·”ычЯѕqЇЧѕЏЯяю·п DЇА’›’4’n xkKEІ»СЌК;@ИО LZ XIt R7‰ AYЁQђґЭBќЄsШE‰ Y5xИ«њх]та@‰•®nЃ TР C© ѓBosЈ &lt;э·kv3C”шng4эілvЯцэ&lt;»c[eл9M=Ыяуdp§ ;ш Tx{ Љ€EЊЁbц jKЖH_ґЃiиn›B!3ёM ]їs €Sђ№‡ЃёknuЁЊЇ ZЭH„ёЩjҐАH @hЌ 8O 9ИѓO †p5б 3 6O Љ;ґI 4&gt;oQp &gt;Т]Пz–‘CЖnџ 9Дnw{Ы UБEbЛ~[«zкЩрРV[ХЄs 4W‚м¬R VЯ cЖEs­D wcJ\ …ZЂЭ«яуt`§ &lt;tµvЛ SfH BА Mн¶ DЂ 3‘ЬЅ;§©AВFҐн~µPGЊ WЕ aИ J^N P[йКxoїrЯе?Н{­КхюW*яџ &gt;э}гmUsp4 5@Аu‡@ EћYj;D Tвх­ _\±бf°¦е dbE N® xMЯ k‹Bj Gr{‘мХўљЭо _СЂђGQU[ј ;гъ:\fг_Ќ¦Cў™ЖСњ‚• XG H† Qx°‰ 5ЛHрв*АSH 4яуd`Ї &lt;ђ7tЛ&lt;b WЌшfн |KDH KЉ 3м G°W4]Џ _бSfћy ]‹­ПСeЙЅ…РЭЫ© Mд5 RФ«Rђ Aћ c±ШbГЋЁJЗЫМ; ‹8ПЋrM№ bЦ­ =А e  l&lt;Ъ &lt;ђXE†M 6N _°С» aOэТЛ&gt; rGSнљMт XЂЪ©ЄћаRВ Kо €e№ЪPN †FЌЦЮb¬ZD &lt;‚ Iљяуt`Ґ &lt;L?tЫ`c ЉBxbрц cЖJ8U7Љ–Yж 5·К€ЉР 5ЂЄa XЁ‹ IДпВi‘юіГ ‰M› xOчRhzҐVn 4ѓ¦Ј Oн|БГРЊ Џ7гCўБб@ L;ГecµЮЛв*ЙhЄЕЎ ux=ЭЬЂы©¦ dFџ*СмО­@В*U“Ђ^ n\њYЬsЊb·юLґѓ;п”Ї =DИЎBкЬИТrІ Jњз qI«‡ jCЄX „E\ m}_@г‰яуd`Ї nKAt{&lt;c Љ@и^мц KЖJ…LџA: _v©л R_№T NЇPМЇУЂk 7U« LђАЈ Pфg„Jm:v hW‚ t[ж 4G =гg@k&gt; njO°: 7лh aріЭ …XєдMVф Rщ‡ХюЁ« ?ЂюUV“Ђ6 ‹&lt;ґ*?C3f BьлћN P‰йZ[R ^HЛfM^ EmKц •UGCНt:G&lt;ъяуt`± ;ґ‹v{&lt;cI B`Ћио c†NHаЃв Pљ°@X I`pN 5ЂБAГRСѓ &lt;8Ќ NvЯ¤ЧЩQґ HҐV¬Ѓ cТ] &gt;ьёЫ K€HЭЪ­ Sм°cU PEі FМ \”ыCЧетвИАі:Ј’ ‡WшgГЪ_Ыяяn*я 3юUV“Ђ CТ Y&gt;9 ?Љ‘ехћµЛ4 y?­‡]Т5МНЄ ЏwPVЛ[№мЏж±џ*‘Но DД lxo9”j uqr8яуdpА &lt;ђ»x{ ccI AprйXHDI• AЊy e] `µ^ђуїю¶[т«np mI€ IPЪшвpЊЂ&gt; Q@”чPmЄ W‘s 5ҐZъФцФъ KV–Г±›ПJµ ;[‚к±—с EМю„ 3d Pjї›ЂхPҐSЁ 5} GЙ `гg VЦq C›¦‹Є¤ EJДѕ§Г eoR X¤Ј7уr‡“ [5 ‹=E:Xяуtpґ ;Р±x{ cbI tЋ]с\ eB 7Q Wљ4IhyЌ Z“ ^g sHГV_эХ№M­ LUVN 45F oL&gt;S ‚[•jб]EБ njWс@Ўiзђ`…П‹?’ &lt;ЌXўk Mа3 eµ w&lt;Ћ6»\чu eџ®Kю“ S` 4fїwЂЬ« ~f‚h–A¤\JЕwLН tj=гГфМґф©‘ 4† v”S&lt; IoOґВжBОJЂђ“c€ HI Pйѓvqjm` WdLяуd`З &lt;XЇrЛ&lt;cH AЁZдцaF ] BD 3l …r[T r—jMЇ}ў„ [rї bBШ 8кI№7 3 LБ® &gt;С7 Aсфм“YJe©lЄМСd? Y:®Jт \љ e*‘O4 ^М LУo6†ф¤Б noj6AФ™ :V …7аpPЃфЁi ~ :—Э¬Ђќ6УЩЦђѕV”I6ЫmёЫmя@ CЛ€‹ &gt;Pяуt`ј q;ЕjЛ§Њ fGQBЩџQ ~36 ZD5=Мы¬Рk ‘h7Iн© 6·Ll Qgа SЋЙ&lt; “7•ЋЄNІ8ћґ“”n Gі &gt;С 4eє± eeТЕ§ `Ф A]e A†Ќ S6 ЊO…эNyµ LyBm€ч [@ FE™b‰K Ћ4Ѓ} Rцъ—S €&gt;*яўЈ` jMa!5 MO 6¬­U~*±»яkќґy¬&lt;“ЕD§ a…&lt;!V JєЗЙМZ~ѕ ‡8З¦ёC bяуd`Ґ @фзtЯЗ¤ fJЎjеo –5№Tе§ \nl¶ Zп`юЌj`р? ~LY i4sгВЈE f_и“GЃN»Ґж&gt;ЏыHЂV[UVrЂP Tѓ@Y©¶dlяж—а©ѓРuGљ•oЭ­ґ{­фъћКйfСўШўґТЇ[?ѕЂL `А f7№а ?Y„‰Ќы•ыRыЮVYмЗmµч bЕЗюЌLяуtpQ lC7ЂЛг fg?Hjт 8Ж!3V‡щ MZEъСyё¦ь&lt;… dHGЇељo gU‚ YЩЅЭ &lt;ІЌ 7оОѓA qЈ\ 37 OЗ5ПT\ aіЃ[Я ThТ ‘UВg ?± &gt;H O]еи· FѓнzEтџфЬ°fйUdа CмFr iPв:DЖ ?»8»‚IroЭ‹ ba3„ґпЯ} ?Q¤ 6¬|С PОoТЏїцЭPE Hі‘Хn`4и D4ъVТ76яуd`‚ :р3|Л Љ‰Љ?€Zэ– CF ђd° SJµъ GTЂР =њЈн C:ЁЈ DQгe\µmW`Ш ‘]Р ;Ф€П MKЗ; 4ДЎЩ EZOoЭZPсv¤ nWўИУR\ 4Ќ O\8BT: xr6З3ЗZБPгI± Yо]Х SЅЊ›Іч^с}„mA YTa_Ы}iЎ·mЈ7 W•eкяw 4Г`7 ZљнЦГяуt`‹ ;7} ‘–‰ЉtnQц^ ;„ 3эьMGScЅІ‘“6¤іьз N‡ B‹•э a¬ ^cXцҐXi &lt;Tr 4*ѓ^ ѓo?:ђА DP3ћt’ LWIaИ eќэҐћ»J¤‹І6ЫpЂ 3C4 NѕXД·њµ Sq“vОњVB NоVПЯСо«г;} @™оZ•Їtј‹SF¦ЏяN 3РO 4–:_пэк3b K•ЪаЙ WЧzS=Qэ F»ТгН W&gt; JiзДяуdpЎ &lt;dЇtЛ&lt;CH &gt;ш~т 7`ЖIЩ8їНь CS~†PрЂНЮ·Фд AКќ8 l?‰рћ`x @Ё7 B— 6ѓ 4рЪЊ STeж Oѕџ¤‰ —~@  :Q№vЄQlkч `‰Р‹ G‘±;SЈп~ґЂD’ХЄwЃ ЏibSГµ&gt;Gf ge? MЄGUЈPJx\ iFg 8о Sу 9Z t3З‚вSNҐdђiяуt`Ў 9дЏxg ’UI A@BиоHF YЄc fZР8}·д] =*№Сљ“їъ CjҐъt n:ђ=† Kљd Dfф–ґ^у6ШP|уTѓ 7ЋјсµЋ›П ;ВR• DSДЪmЏ№YfцЭ°R _ОЌ:E 9ЂэZЄЬ`{ 6A™У W·®эжoВд8 Ќ?щ MрНРµpљOBµЬСSOС 7и­h‡SD[ґ 8¦ч? Uj Rё§Ф †TqE 8Б’Aч XkЁяуd`Г ;H?tЛ&lt; ‰ЉAё~нЋ`ЖJ­Ф¤ље9Птb =nci¶Ь ’8€ Ѓz6ц b: DФњAяТv}BЪЭ|Ѕі°’ Љa}Зщ &gt;Ро] Mю5 ЌK\ 9Эыї’ы RЫ P{їџ§XV[© YгЊ ?а Uqш@u’=XtЯ¬ FPЎ„џc w’aуx Z«УМю—ьЎsоT4Ю EV&gt;9 QёIИ 7яуtpА &lt;РУr{ ccJ uCFнtI† ‹`–[ l}HlџRmЩэлІТ :ґћТ8 S№ R: QЪЦXЂ CT’Z– W’3Up n_QЗ :_ѓz‡dБ l4а cРEЃЄDlPqаZ¶REmЦтW Uе„‹•’SD “ztWUfкяш ЂHќ [F 9кµODquрk tL› JЈИкW8_ BюПС \иБ ze‘ xM3 YЯ‘Х `йЪ Ђ\hЖq6bЙБЩяЪИњяуdpИ =™CvП ScZ s3Rо nЂjЋeтй jf]pя·б„ GБ‹Cµ k‘KУй W•[‰¤ЊЭЬ 6— I*’ k]Ўi: @CgDґП ZwмОэ^ ^я Jшhуч¶шаЛsЉb}ЇўоЪрєеj«ю jVТ DЄ jUљОьчз^†‹ GyWJiM”Ї}G­dМЄѕЊKўњ KАСњЌ YеЦ ;лyяуtpє =Ѓ3tК _cZ @8Bк ;JЖ ‹HЄVe Z;дЦЃZ‡›і N±VН zpcЯ—8Ф =·t¤ Uф’IvД’*fЋ 4c V» Џ9Щ”ќ­ЊLГ cЎЋp KЊЁj·bLЅцЇЭЃ&gt;\ј S8Б WDЭ„@ &lt;“‹kЗсhК6Х LЈHUХЄїqЂQc &lt;ЃLЃЙ\aгzѓ Sц»ў™ё7 JМЈ D’V DН Dа„YуНч4… @LЊЌк ‹B~SD bояуdpД &lt;е Btz cbZ Ba =о ;HDp…яvэФ§л?іу;gђ NР~¤ ?` yaђШ™[qµяЛ 3±Z JJА]Пц5U ?{ [мyхПз eя eџЧD [‰џим’С”тRМCСnwjMоЅ PнЪЇъgk„8ќЫнЈnЬЂGє•ЄrЂP 7§NjжпЦє DRБтsIэ [ьК}oщЫЄ E:яуt`І &lt;с DtЛ WcZ CЉ Uн¶HДґжl^h 5А:  8¬ъЕЄhІ@яS \ЗhoФy}фРХВичцґDjа |SK_Їџ@¬ ^WkW rkѓ@ЅҐO©кCW– QеDlZХ J­ИJзHЖэюЗU¶лuхЂҐ[Єя’Ђ@ 9dA‚М‚ќя4с’ Fd–ГRMЫ]Э BCkЫLэЋВJ _‰•C cµK`Bt =PН ?Й [Plh±6 sD8±Аяуdpі :М™zЛ KcH scfх`HЖHбж‡ :@K‰ y4¬CS MТc ]oЬ• TVЈ‰Uоа Q] gAe8П“G ‹Rt Aй X† cxe :Јњ¦‹ p^Iћtр C‚_M§ GIl 8VD4ЃeктЌM nreµzчБtЂ¦ GЬWь 8‘Ђcс›бЃ Sў b7Ц ]Щa 8†qm `Х^яДэєR SСyШљяуt`є =XµvЛ ccH BШbн¶ cДHЅ№ G]›†I®йЫЈћVOIс9‘яп¬Ч?чьУяЯяЧ:AVeЌURа 4‡ 5&gt; =РУ6ГЂВfЪ O@`6d ]hШ„БwЌbm ZЪqeSyЕ 3Л“K…: QХътt} PЛwк}v¤•VЈUыј nQD€ DЋ§ІV®µгRмC‚{nx bИнђЧ]Pм_І]ІnZі —s_§vEm `ЭЈіTЖяуd`є ;ш FxЫ Xѓ 3Џ@ aн¶ ED jCДloРЙ ЂNњB LоR Mф ]ПuU9 3ґЦ[ ;Щљlђ 7­^‘Шc°H&lt;ж»rз[ cТ•ёє TЃg B4« ’‡cякb_тНџ Xґ&lt; BЬOwЖ™Щ•V“Ђ [АЖДоSВ I6\н‰u 7m–‘4‹® ;4ЖaвКXг FЉ †€8@Ђёt jѓ&gt;‘ z=яуt`° ;¤ПxЫ _bJ Aёvщ–HFJ™Ц Ѓ5&gt;^„MU‹ q\п “‹I§u 8иT*•VN 3@ UвЂzЂЫџл \ШуЋЌЭЬЉжwЫъј•нЮЪv `ЅЇ[ DЧл[¶ц t|_тЪSєфочzяR EБяJ 3§U ZGq ;¬Р Џ:гк[ 6JШw~ ZµG @Fq&gt;ы8™ЖО Eф§ ]=е O‹џҐ F­fv¤љSйlЗ8|ќЭфС@эМ: WҐ :яуd`Г ;Ђ7x{ ’‰‹Ay®с–@„– p3њ&lt;Р‘7 Р©э_У DІЈU^@ Nі‹СnТaЬ PЮoI;€† 6A‡3 &lt;’ Kъ FM№ѓ‡че&gt;’{ Q°t4`dЈў PµЈ›QH ;ЂQf© YЫ¬„р QЄBјь5Ъl V” xB¬љT±Оd‹Жs cе»jD№Щ3ЄJFМа¬ q8PЇac3ЊdN3яуtpА =„Гpg&lt;fI @I†еXxFђGРTѓ {8^zxµK¦©Ю иф«фа {Sџ i–]Ђ ЏLpиtЫf lU:баИ CYmQЃAвPtа© xBЌњ KEЎ c’…’E*h DLS Qз|тў bнE :•ЈШFђэ•jќ  JЗS±№с«·–g693иS©™©ј“ yB; Z™дeоG™ђкfo eЌ 5ј• LN“ђР ”8Џ |&lt;в VО‘uкE `OЁяуd`Й ;РЙsГ ccJ C@RаОbД ]YбТ¦ijЧЬхҐU7X }ZЉu iNС J‹HnF ?‹ SkдXEHбО †3¬г–ТЦ­}RЪҐC WQCА €7Ќ В’†Yцp€‰Зu Z@янSё 5 _x ЃЉ~CЁжэa8¤}6Шт?НИ™ ASО JХ Zџ b6 €&lt;L«к xTCГm Qp“¤Џ’6[яуtpј &lt;D­t{ ccI Aа‚иМxЖJїvџіРeН xSj Cдц p}HяJТr  KМcсJЮИ&lt; B;ыжы–oл “dяЭмK9Ъ©3tЩЄUщв… 5гџ@R»Њ­]A Tџ №с [*K _Е PѕЮ°т?ЦYTLH f7Щ qf~[Р±шp¶]дwgЄ‹NMосёсСhZHю “D\хYzК†Ґџ7ш bo–Ж6ш LoDќЧ=s }C«§°™]яуdpЙ ;А‰rk¦ rgB`цдНO v5Z‚x’Eђqј]ЇЏх­E[™ВFЧ 5Ђл: n&lt;59 TэЯэгч®L L¤ =Vфћѕ¶Ні*ч+я\fЯьяlj JѓЈ=џRЈьі FшюIdЖА ;I‘ Y’оaЄ AQ9… 9‹ІY~мЛ dµ:їАрmІsВ ?Ш [„ЪЄ  s_І±] \•h 5AЂўяуtpА wѓblkЗј g‚TЪШµH 5„н UЬ†] &gt;  cЫґ6JЌeгэ|Я FЋ”aX =Н EЩ*яьb F”Ыя —IEU w\гчL‡ХuДI [«џGЮЎ Vf•VrЂ SXђ TqиЫBф·dОє¤ЭУpybETъЊ |~HxR… PHlu§еЗ·@іD ][ЋQ QБa„ 5J™ўґЊ €Plъ~ж6е‚оЋ6’X c|6dM YdдDGЄ =A &gt;GяуdpY ;„A~Лд rg&lt;Аfю 4Г!3™ LPm [Jk&gt;ФZ”ХSҐF UЈ5 3љi FWыј hEбЃчю^:OeьиFUv „Rn|CєU&lt;б QЩЭm Pя|`3 AмkжG 4uШL x’ѓ8O WИe i8ѓ BЅеЧ»щC“ъ InМ c№G ‹6\*ЦЫЂ!7АЙЗm™†CZ«Л 9Ќ Q@в§’” 4яуtph &lt;x­zЫ ccH =hfю j[†HYFщ Yµu ]Ў3ЫhІ 6@ XЗ WЙ5Nр3Ђ G&lt;ћ L„ж vhZнЦn©Ь ЂAи@€иО“ ?‘|ж T&gt;±a°­… @Ќз] MыЕ;Lpћ G»ьйg \€TёгUЫ” &lt;›лб ;ac3 A`¤4ЗZEyЖ QХ LRй† =Сuj ]ўе^©j{єЅљlХѕЗ Ћ]юeЄ“ЂH`L S\vЯЬЧЁ3Б 93·3ЎLяуd`… :ЂC} ‘†‰Љ?xk 8¶ ;FJџBLѕОG ysHP d ЁEAIІЦ4 HTВµ 7`… 5¤ h†z8зЃd‡ or4э ]лТЕРоўK AЯU` 9ЁLy¶Qю¤ч RR±B U]Іoi MЁыnV§8 •UМ”QћґкќWЅKяѕ«ЕїЦэ 3янRp lJЊ 9МцП†ы† ’F=н N¶ F«Uх?яуtp’ ;Р«z{ _CI ?hкниX„qZ `з;БОЉf; &lt;ЏqU TH9dB» eФг AНsтМMс UK a„9 Bє®ж OОюµ JCС•jwЃЏc4 PмЄµA Bш}_Ќd `ОШє BўЈ°™БЎЂ &gt;К RIЃq9 {JЂи^е PјчуwяйЦDVљ–ЄN 4„&lt; A”tі™gі°i‡!Z’ :шTГ RЭйNїшWN_¶[Ыє HR Eґџч ЏPЯUсжяуd`¬ ;ЂЫzk _EK @p~й–X„HУщ№ \І ydп§R› _xhСsЇe{gMq»я9©ZwV©: j”4B idЅ X‘ђ| UL VІ•*ЋЏ§nњыu “QсS \сІ»\wЈ4 V‹5d’§ ђЧЎIЬџаw?птЉ“Pф•я ‰h4¤ 7л =WёяЦ ЋNджHL±ЮWI€ТewA§ ‡N]яуt`­ &lt;ХzЛ cfK By^х–8„’Mq DБje QЊkЄЛКhЛoЇ®¬‡ьэ†оЮуЅпЪ“ †Rc dW \Vй `? 4шРъС UЂкI7 X @ \ґсOщtЕ5— \•Qучн«пиЄяЮЃ\x«FФ •GIbаЩ J ЎЧ X·“k Ulэ †X–ЄяqЃнD€ tЊЃaDz:f dҐn{г=†@‘’ —EЄ BgIu„‰*ЎШВY 3юЊяуdpµ p[чx‹ SFZ @Й Yц 7@„ђЇ :ЂД PE e!Y Ue5™П«А{ЄЅµаQЩСgMоГdy MўBїє‡Gя»сVh¤v|” hGЮ48З‹ 9fбe…BЛ ;—:т ЌKХ U`bФЎџ¶ё—і:Ik®ТC Lg Vl‡йs”Ґ \dheUЄяqЃ’G ovAx‰йU Cb eёD¬ &gt;X YФМ Eяуt`§ =ЂЧzЛ _cJЋ 3^щ¶ ;FH… rI‡Е =`z­‚ГR ?КЄ TUћc [@ь _ТeК IЪй _NL»v”™ U6iиµтєm‘ j&gt;Йwщ D^[ IzЯУ‰џ• AыЌЏ &lt;іґ6Ый›б›Ю«Г·Bф¦зЗU–SlІ@зGJ5 ]@уa d6ЩЬрњ@eVЄї‘Ѓ”МeБ W­уXWЮ&gt;Iа \у€=ELІj Hn 4лo{ P› G^sЩ”гяуdp® @БMpЛ&lt;fZ…hnеtHDHЧЊ HЭ &lt;Эй dцђXХkЇKЯпYсТ ZfВі4° ;bcLУЙЊяRо«*їзхUЈZI cЙ 6К 5б Y„ OЛLЧ ;ьЭџ‚µ d•n”nк*ьня 6жґЏ«ю“ QФ:™иҐVєяr 4ЈБШ&gt;ќvU№ЅЎ‡ TЇТШc…X `ћyхav ]”qшIяуtpҐ =X»vЛ&lt;cH‹xNнt l\ёОl G4UЉ Xф Aю`4@€ДЕ &gt;n·!LW} LэЅ&gt; aDхxsљчэяэьkящ}”RqЦТn6АlА°‘3х LР‚BPФхЅdKE›@бе` MXqur«9{ I§ Tі z}IA Eбр] †DнWбM F‰–rиc•бkэЂЄЗZ T&gt;ИРQ RBh— HlЙ«fOo DY Iљў CbЦљЕ Oќ– PЏc§яуdp· &lt;дѓxЛ cc8ЊР‚ц jcЖHў‹ђП NBZEШm3 CђН ;5;~№й ZЯ ЋKГЊт»YЄ›Хi_тP Ћ†c3 TжЂж 3Aђ`N s9Н TЂмр±U— Qm T5•&gt;бпXдЎл e°YBС [А”ъbП 6iё›ЮЂ \Z™j97яV cҐfЬM· WЂBvb Gл®S TЬхЊ [ЂД Ђ—L3яуt`Ї =9 `rj WcZ CА Iс¶ M@ fAbL u3жЗР°йPЏ:ј™ ]‘ыЭ NћLЕњЄy{›Oт”ФA =z GxaЉ G”¤ eОхіq:§гФ ^TЌ G›–ЃЋГ BHu rGBHzћ Ѕ©°О:©ЩсмЅ7b JќTHВipT™ЦЪU &gt;uж€Ї}ЇҐhЎ @ђ„…sпD`eS EWьђ ;jѓшІћк«†ІaЦA¦ seск9jЪ F?Тщtl Fхяуdp­ &lt;њгzЯ –VJ uc~сt@FHп G‰¶yВ\ГЦэґ|? MН№O“ЦN™тЁ A}У UьЊ 43 RьYmэнїюЭъ k]u’“nP XP 5ђ&lt; =^i^аnWђ aЁ@Д3§weІvУj[Ръ7ўR„DhjТў c·ќS\=л{ P€3П­©j™Ѓ GqJRҐaU[ђ ir–I‹aї\ LSВ Jяуtpћ &lt;€џxЫ _CHЏс~нt@„ђ» E}=†лEе”Ъ LNм &lt;± аРЩ L9eZч–°ј ;4p»Т Љ‹C–UoBЦЩ aа yLwЦТKY W8Ф„¤HЉа Dђєт HЗ 4° 4IвIлЛґВП NФд:№iљ7Дў¶©ЛпU‚єтkЧЊ›ѕсЅъЂi~й6дђ Aљ z[ў SR Wы IЂС =bђ±° CћrxХї b¤Pј“VBО™ NЯ ‡9яуdpҐ ;t{xЫ ?b8 @h aт n=D 7щ</t>
  </si>
  <si>
    <t xml:space="preserve"> ?‹Њ&lt;YЇ“т XKg f5ИFsl aЪЄ kc6Ђч O’[nАb s\њN 6ѓ FЋ[њОц J9ЌъL “:a LЦХџЧ FЇЩ¶х‚^ynRе5¬&gt;єwIЁм№яуtpј Aн TXЯe \Z 6ё&gt;БМI„ XЉZ ^iМ Qх &gt;фe @ХТ±ЉмGђ MДRqЗOFЇщI;©д DL \…ч‹glayНЏb5лdЦї9 CV _И V4с pQ9џЁ·wа 3di 3¶ Ћaѕ dbЂA †^яэЙeЬ =АBЄХЈ Lu ]И~жYШЭЫxu A3®DП_x}рЉ№R 4®w BЖЕУ_ UЄ@цJФXЭќaЌхЇ WлKqЇЕ§®АхяуdpИ A™ :ZЯaЊZ 6и Q№М{ r4ПДbК Jт F‰CшЏџЎЭќ\Х `6№ Q¶Ју 5jnэЇ x^і“ФgтbҐ ‘RмдМ {fdњk8Dїлїѕзp· Zа 3TPАxѓ `RS ^Щa 7`–Ђ 7§:¦д–а “€Cю \имУsVї• e™*Ч«¤:й®dJ Y”g a@Юа…J @ЊЮ^ЂLP¬ѓяуtpѕ BY RXПa _Z„  aµМГЖ 8З•њg 8UЈMR mxPЫDвМ=eX”Р^ xu`5® ЋIЌВ ‹c№кaРEeЩ”ku¶яv bKТІсґёYо&lt; IёОҐVк W© `7ё f~Hс f:эH TIЉ: SX N®Ѕ№ Xё &lt;HД 3Яd JкJе R_кk·sе¬ЄpҐчещS7§aІ jwcKSVЃ Љj&gt;’—ђа*єФ №иtm}Ё Y™ќЬ щHяуdpГ tgDY Ra &lt;Z jЋU№М{ j4хJ¦Zgn_UHвuJв ‰HG{:g{;¶Ќ wHЁ Mћ±N6]Иил‹п‘3v­сфЦМињ ?Ј· JBЎевЙX” Z7а 3X¤ wnAV LAТ @`oцд’ЫvА ’ЉSkPд d{9~№_&lt;µЋ LцєvEyЎ\K’§х‡±Fцма ЉXљqИ‰ЋE–яуtpЅ By FVПa _Z 6Ё a№МI† 8YЬFГ _©­ЌNi ‰Y]bС;DШ€ІсCQµL‹Ф HЊHz»±a Xц®lЙѓyFµ|gЬr [uш4 &lt;ҐlXH{®cIwиYnЛ@ fl5… S*d№EwЖ:gЂ ‰c&lt; 8· _–Ы¶Я 3]ѓ &lt;&gt;8b&gt;Q]м `Цєц¶ид*„”—нO=‰ IFЃFњ“МА 7А§–HХLµnљ‰ЩTj‰\›N =Ђ oVяуdpЕ A5 &gt;ZЯa \Z kneЅФK r8HБ KЇжµЙ „EХЪЌIНF oWi P4Ћ O№жФўХЇэ&gt;oэµ«] GEB±ц tNСPІ;ьо ‚Ћ^·Ы4!5 [А AЙ „F„‰ WpRF‘D dкЉH ‘T* 2я2я2я2я,яуtpє A!LO b&lt;ЖZ‡hV® ndЊ \2яяа f5)3)3)3)3)3)3)3)3)3)3)3)3)3"3яуdPѕ 9° ga#3 g~5\ґ)3)3)3)3)3)3)3)3)3)3)3)3%3</t>
  </si>
  <si>
    <t>Hardcore3.mp3</t>
  </si>
  <si>
    <t xml:space="preserve"> •QA @ёшИM […J¦ђ 5¶eZ¤ “8!Oґ¦~ЙUq8Ояуt`ћ psHy ђccZ u&lt;љцV K„” \РХ 95u±ЋКБС™wхУEF d¶СjLЋs?E]!e•Ю‡gWх~Wnкµм D€TнХє“Т TG“Y:Р 3Ќ‡ K™© 8Pq7^=ќЭЉефQС L¤T WП ]я­ЮХzmТѕK b~э|мSЗ@l6ЌЇеЭ &gt;Б‚ЪФЪЯPЃB Aе fSѓ?–ЄаP cjau{yЋКµD LpБ®“ ]_д©м{яуd`¤ oPAxК KBZ B‘ўтT [„”ЧoЯМ›V‹ 9ФЕ OЎк‘ Gb”™ BЕњєАйЬЧ cI[ 5cЏ OJЮ!4GmТSU 8Е iQ8 j4@ ]T Љt@4X8в pEґ –MC© Vй»ЛZ JЙх— ;= `OqЌjkn·кеЮКп Љ|9єжjґ8 E™gлеліУlћSw 9sRКДфB P3поЙяуt`— n3џ{ ЂObH tfEцT CЂ 3­Iµ© =уґ–лчҐ H‰U Xќ?я«Сє3?«яєф IE¬W Ќa‘·Q­Ћ9 ‰6ќўЦыщMв W“зO†ЎюОЦ^зы_лЄ bхЩЫWY»vы PљqХз O†W’ ICЛЉ•«Еiњk_RжЂFлҐљЁ WЁ _ўкє&gt;СЈ¶Зi ;Ѓ 4¦8МЩ 5‹Фэ_ќCD RлwЭ‘мҐTЦ•ўХ†to}џю€яуd`І :эAzК KBZ BYЇ 5^ c„”КћsНяпн eТZ e·М QС \ЭѕІ¦Ы€ BT 9“mcwЛB¤ 4°Ћ qKЬ` @gЫtцяi{ыЈ›Ї bnЦЭBђ[Не‚ „K4ЄҐґ bE IЌµ =©!3Д¤„­] k7°ЖЄSRtєРhTIБќ ]Bј;’gжnя—фЅ tXкF:8w©7Fµo=яуt`Ї ;UcxК ’U\Џ d–ъ^ cD”U CЦј­Ѕ ]В BЯ‚ QД¶p‡uпюGхзсйю dyI E=hwАц&lt;eзю¶j \JҐ SoUљњ6 bяйяжjЯяЙNr ZFЪоЙkз:ц 7…R° Uжл ;щvЁд€ХҐНшґЭ 8F cў 3EиплярБ :[Х¶к™›[D ЂefЯ;K_—Фrgw®ёXzХBґпsbєГ XЯ [uVtћ™ЩОdяуd`В &lt;IOy ђ?b\ђЃ®цT cД”*у§ю¦ cЋ _Ю? ЉHuЇs*Ф Gо·Y bшШ 9Qb9 Y6H†Њr ~9АдwKЇWьъnћЖt \fw!]‘оХ~ПM LZМ &lt;яђQл ‡6j:…7тєXЫ Lr‰ fXG\ЌUя :Aрn `nЄТОЭТG \w {`6R3ь‹ьЉNм_ўWЎ PvщХъ»яуt`° ;е J} Ђ†VZ BБЦюV ;Dґ«V§9 Fg U:ІімµnцЭЁП»fU EМС’ IОЪ‡ \к SI _’uU 6‘ O—ЮГ LXф€ [є‰¬X]G‰8рНMЫЦz6 TМѕмЩ[њъѓ QЗЭлюієQqC 3’зжЄш T‰ xЃ&lt;‰КOl_ЪlУЧvКH›&lt;јИтXmћьҐHЖNI\€еgCІ©n†3«©»ЄЭJ§э¦UЦћє®“3цяуd`ј ;б J} ђSbZ @XNцT c† [КЄVЅ[·µo r\Щ GxИ© TЦ _Њ»ш PG 7Uяй •NoлОbЊzиtm @·яыщ[п^µЅYЮяц WҐ `6TЫGя™щ=lї_DWз cоЙZОГ@` Ф `WБ 8уЂНH Yн¬ЕmcфбИ KM @M 8НЊЦ3mP№ :ьв”Ч75z &gt;­ bкfАuяуt`є &lt;µCvК&lt;bZ ue†тT c„ґ…Э` ^оQ5 –[ы 7xДЅ †gS¶8RT… 3ъ 9йяlФzщlўfS3ў? ]µѕц bюj~ЇЩtюћ›Щы}ТЯЩ8њЫ_сф5 \№нѓ HёќMя!8ЭЂ‹D3K63{ЮчЇЪ 5і^8Яя F3Эш‰ў ^™ EB w@‘ H­*u —;М Uоsє7G;Ѕ PЮб6®’э eЈлЬм3ъY’ A;яуd`В :¬;vЪ&lt; ‰ЉAB Eк\@„ґVµЪ„¤ 9Ч‹ Bщ!K Wў ђW;яеп|^&gt;s 5юдnМюяхcvпЄ?m=?K¦Љnя—Ґ3·Rgf ‡PоЯ ]Ў Hі \“ІPЫФ LАЈу EWяАT TЌаDF{9±ЭПўъGi IT®Й*ќЅм¶cдgpЕAPh*бt‹ AY± KT 5h”єЕaяуt`Ж &lt;еAw ]&lt;bZ v=ВтVX„ё h‡rcn–T›N€TпSЈДк­Э WЌ `¶Fџь CQ 5ќЁИ 3Б \тЃSa X9жз ЋBЪпYMй· FЌ U¶ї^З»Sц _Хs€лД B¬ {II•j® g€z4ќQЬj~jќAmUЩJ N™я›•n RГ§цa· [L H¶Х K@Ёиuћ«‚{R Mєc yVЧѓ• Fк pk]іo›vм;ЦK¶с aШ 7keяуdpЙ o?}zЪ _b8 sЋEц fLЂ 3З»яl«mµ¶д’@ TЂбѕ…vкsмf‘ –KвFЖF5ІdµYнхoСЌµ€¦3*]•¦j 5ђ @ЅVб`щS‘G&gt;ДйЎбwќв ^вБ MЧL6Ђ¦{э· OЊ l4б 3ђЌµҐ{w cl ZН°­љ ‰=ФМvmnИ\fгLе UІ­ OОue“ ^XЕ Gяуt`З &lt;мЩtz ScJ‘‰bъ^XDђвѓ_; ‰XdМlНїэќ3ZЋ ]нanzъSќfъ XС ]Q Si bр T5 FVЛж&gt;іLэR®pѕо GЦVOъЮНлM?ЭялЩ Xєљ¶ЫfЈ} dХЄwJl=Yфэ:Ж 3Ґ¶вWьЊ ;d o9•T=…Ї|b 9·{hђ e’ѓ ђL§Gd§ЅjКдКaP‹ъ№ G¦Ь W¬‚м3ъ*Y&gt;4 :ю№y™rуяуdpД &lt;‰ HzП SbZ @щѕт 3x„”Qrщтl8Щ&gt;ЦI7 ”D} gx&gt;”X‘ “Wа CЂ pU?D UЎpр&lt;ьЩЂT`Uй _й‚У«Єµ UмЄЏјЧ@y¤Ы±€µЏцRЈµЙЇ aьJ RЁUwе«ь ];5Г MЪ\ЯЬ‘NDmTу§aT&gt;kЏюwџщїыФ ‹Z‰рЌ{Л VgзсяП°вяуtpє &lt;С HxЫ&lt;CZ Aђ Mк 79Ђ fLИ `&lt;ЯaОБAнK™шG_ dQ TМ4’Єь: 9Џ XЏј I@жЏ|I Dd8&gt; 5jF± \mфjЫ WУ Y\eю*оЭНйзўні‰єфЎХ 3ЖµЄю 6¦@Г 3nR№шfe‹єQўh®уVG3 V…:яH EXЃ^Ї I“f¦ K @DА&gt;Ф …Kл”&lt;‘ 6ЈДЏ hE&lt; 8pГFK™м …f\™ФNЂ \х± ЉLяуd`Д ;4ЧxК ccJ ?а^тT cДH 9№ОэЖ hiDБ4µC7B =њf ;Ђ @†ёYWз;э®нukІє{№];} e~›цйюeZЪЌNМ @ъYЉQXeVjЇь X„¶ћ @…;З·ЃO^ЕЭ L„е \c»= dЋ;€zЄ®й° ]JV=†» aFЭц UДу*` ЌPЖ lWгУ{‰alЋЭ‰ќяуt`Й &lt;Њ‹vz WcH A’bцV CDґ cьF©;nьч„ =юoX JяЩЮчХ]џф 8А¦«а @„ X’ yH?ьµи L;m¤V XЁ№Ы‰”[kAЋ—є¶Й3=|`I„ IДngжЗЂeUЄїq 4Sєм 3k°5к5н­єёҐn &gt;§ГЌ EЖRt S¬г±@Т N¶Й Yув8}~ [л 5Rи eєУ·иҐ YU Qd ‚eh 6k 9ЙпВ±Nћќж№&lt;FяуdpХ =шЗvК&lt;cJ‹Ш EнX C@ 3_bЯ•ЕLgnяЅ ]№ NIїP –4CЅ` feKEљЈыЊ‚L BДЭOЎџэgЪ@И 6Ђ †]‡CКd L” :«ykиV RµЦҐW«я‘ЂЮyЈa“ 9uшЫ­`вЯ 7Ы¶’h ^К3 dЗ3й\њЏ 78@ Xў’ Iг OG AОF fSСР°Ат6¬ЊЮшяуtpИ q7СrЛ&lt;cJЌ8bйp KДI4YАеЙzЙ g5k bHИт@JЌDКQ\Y :НЄХ GIr†“^ЂT¤ vЉ‹K4Q FЙљ… ]*‡№ UЗN _сф JІU‚ UCИТфi 7Ь4ъШДЁ?jжЖЂҐu EM· W`6  R· AЭ \­ля®ѕlРЖBP@}ЮC Eоѕm Hng‘К— XОщХNҐ Fj·Tёщ YJлi Iga ђM• UВJ ;Љl№l 5€яуdpО =¤ГvЛ&lt;cH ?ЂNо 3HЖ [ѓ” 4ћCQ РЎE&gt;љ©Њ[ EMЗX xF…„ SYс se8нbе` dЉhў‡ d”R›·6тAФЋtЁ»·ZХhUцйч‹V*y :QЮЉйenjїш T»q4 7ЪКзћj^ТeЋњЎы6sлж€шx @9 Aп­Яyь”JњаЛЯ c“_Ў q;б ViКЌяуt`Б =HнvЯ&lt;ЈZ t–QнѕJB 33фeѕ–НЩ &gt;А`[ш?яюМя5яь‘ZУ‰чо –OUх5&gt;‹ W¤h¬ы S7 yog5бе€ъЊ :«F°щ| E hz…aсхєѓзиcзЅЋ^–ё±ЦTkQцiЅ@ЄjЄя‘Ѓ CБ€‡ж ‰Tх•ЧоҐ SРa Gv‹ H™[jµягTЅ3жvл ‡]ЃQЋ_;¬Cг k;ТЫ ’Pа EЈ… 9U• ]еяуd`Й &lt;“vК&lt;bHЏhnс¶ cFH pCqшаyЂњѓ ]~еlЧB’ `Fдm№ W*`Ґ±·ыFъg ?„ЋNOFйs Xтo}ЮZиєW»:і Uє VѕКк~ c‘`ЫзT 5ЦГ D{«uчР°дПWQ LKх 3Uvкїr 4DК ~cр=ЉЊ}KЊs c*†l =Ј Lо9Й7ZDf]тыщ^ &gt;Іяуt`№ &lt;ЁїzЛ WЈH C№Zъ^ cДђь R*UsјџY– Qdм ЃeРх·8Ч»RlBЄW4E–сй zWЌґ“r frqho5ЄОT? Q@ш K‰сФ¬ 78Ђ L‰ UДр®†X‹ЁiЕ :QР™фS©єџ _шV‰ bХLё¦VЄїr 3Ш HF[ Qи¤я \Nжx­Ы E¶ Cd cx;чfR VJdw:~^ N5k ‡ЂNЛі‘B ;хX im8с P†l Zяуdp» ;¬НxЛ WcJ APBц jcД W©ЁbK _„“ЩіҐХQФI SOъїАТ B¬х XBWъcАл U&lt;`щ•№n4м–Ч­Мє ]E® Љ‡U¦ PјЎў&gt;§щХ au§еХы NP©wЄя‘ЂЦ; BГ’ =¤џn Y·х 6qЫѓн± cЦ RЖ \™ :то‹ПќX­Ѓ@ДЂСLе ]n DэМІ 7fТъяуtp· oOЇvЛ ccH @°bниHFH wFЮS† ;Њ E№щЃЫГчќ \Z 9Gµ=Uyм\eYк*яўCPI I ‚6А©H &gt;ЦYЂ Wбх•Ѓљia FBЉ‹ dхµџкщг—g” UСяmЙ:5¶ticPЋ— SPvUЄј €“DЖ _WѕуЯ}ЬЋGh ^±ДDќмC39Ў—&lt;ЏIа B :DАT‰Ж№h 7– 6:ўM Љo_X ryA&gt;@у’47Фяуd`К =°ЭvЛ&lt;cJЌ CnоVHDHё”ЈZЮ CҐЉmIЦ SО‡ U«Би@•S XВ nC4 9рDИQЬ8j 8{ЫҐiъЮъТј6оч `‹ЈхыРEVќХк ?5ХW O•›Єїr 3Ь eУ‹очg»ЮЎЫ&lt; Nџ€X OОuЁEC|Ђ&lt;xS¦y p7eщќQ HuZЋЫ™нљ™oA‘ wЂ7veяуt`» &lt;\opК&lt;C6 @@ Qбґ3В 3^ ~Zc¤ _ХМ6GсEнлxєAЙdЂ8дґ ;P„`dВ¤¦ 4ё X“ rgjTРp …]YЇя¤Эы 6пЮ ]пў¤Е—я]3¶МЄҐsbЫ^К =Ђ’nU»ь †B’ђЖcї¦уїчGb :ё»ЏW„q eјР–ЗП‡щfЌI­’д f†[G:Ѓ LA¶eТ ‰Uю›тсPгRЗ rC^YP«M g7¤Ќ &lt;N‹uяуd`О &lt;TГvЛ&lt;cH @а:т^`D WdXќ R@ &lt;№Э eО –QBЃ qpf5ЗD@AcfЌ4@9 D8T ?•їbVцҐВ”9ђ&gt;¶ЭЂћм Vґ B¦CщГ „Lу™ 8VўєЄЇr 3щZS dљ ]јMйЏс·tҐ‰¤ [Ч¤Ё Zn‘ M¤?„T”§FT‹|ITbrј9• PBі ‚;жqИЃ 3Nљ ‚=ќяуt`Ж &lt;фгvК&lt;cJ tvIк6 cЂ fg3­ SDа‰3Ѕ;¬‰иU[мKB]mђ7 XШ lk;7~ь Ac NёPи †@†Г†L›;cЌ X_К ZЎХ Wx‘…Х p\МЧЕ R|•= IиgJџС YСZЄЫЂ •n]Ѓ CTM WmЗ‡њfЯѓиэЄњ KъМХнD ЋA&gt;нїрЯпх dO•dгvЮо :Ы_O•Їг ЌR]Шт‚ 3А &lt;„ OХ ’?8ы uUяуd`С &lt;ФБvЛ&lt;cH APJъ^`F W{y ImгґлR3 ]ЇvЂА8 “;wмуы dы Vkя›=ieDСРИХzќ_э5 Wкр ЪРAа©ьHч CrЕШ· &gt;Si^ PФы WЗ¶вvM 3•ъjїrЂX ЃBќ _y ZФrкpєљў zUоъЊдЭeщ}CдК–}°У™¦C@qY 6N№МX‰ J°љяуt`Д p3Лp{&lt;fJ BЙVе–@Dђ &gt;Љ cVЖ WxЇ?=[І} L^SZ=щКУ” q{6y[ЭЖ w;ЪќЭБ©—й„ 7Й MўфЬШІ QНMWzmK Cэњ 8\ЦФпW·vо bE Sеn©¶д” ;bД Uk 7эЗ Dіi&gt;чZ|оj@”Лж ONv™ы|3r|д`bNЖd cБJ GеS AEuw n{PХ”i]U\ИоKІ‰Љ®LоvtFІѕ¬Ѕёяуd`З ;”іxЛ WCH ?рbй–HDHЛ’» Ho{kлDЃpъюz 5cH@ЬаЬё@&gt;cт¤Z…ј ^J ”JJЪHЄВ† MW o[¬ Љ]ІW “RKнµ P¦Pх WжµХта•~fЇrЂЪњ y9фпЬ{R A·Џ‹D°рД№•Б®Я AЬіы}ЛБ—Kн Dd \ћrуў yee 8JГ X9 4б JЃ…ѓяуt`Й =Б FvП&lt;eZ @Ш Uо6HЖ f6Ё 7ш†^жs bіҐЏъ§·хџэЮхПкбк Oi№v 4@гXL_Ѕ 4;‡“g‰­ GM }‹It±¬Юµ ZҐfТЉ3ЧZ ^kµЅV;kЭ§U dPenjЇnЃe 4ш }EМ Iџ^Чкя VђГEYЊ:Jб QфR«љ…A OyЬьщЗн­y?О^поО°5 Sњ: `XЮ _ѓ9 JЯШўо AЉ 5И Mу„‚Ж Qяуd`О pGЗxЛ&lt;cJЊxRхѕ CD ЋG^Є Q«ЈТHrXRЄе  [€ cЉ7W™ j6і HЈ7цЅћ &lt;€‹ Cцtи Ki KтWnЕXКЧ­{Юыn„’пШкV€u@ҐЄТUыё q?„ &lt; X„ RW®иe Yж ]&lt;Р§шqМ—КЪУFфMY4еF*g &lt;є­СN _д„ 8Џ­CЃ Dґ’ 5јi‚ 9яуt`Ж =\ПtЛ c¦J @`¦оV [DlW=_\ЈЮзVъьOI &lt;A SMЇ› 4«Б• bЖжg 7sЉ E“ YCЅIh 8eZЇCъUMHSНП8Ґ N\ЖХWJ“Ќ [„ aw‹џ§bЛ 3Ґ–й YдЊ &lt;h5¬E &lt;Љ¦= N“ъХЄLі­[Xы5 •F; jYgБQ eћ]4сіУр›Ољ„І5 U§єћХьЅ ceЏ‘Ў 8ЇR YOn€x?RҐl •Twы7яуd`Р oGҐvЫ _eH tSNкV`Д [ЌTrнhЪшнVЎ&gt;¬ѕЪg9«µ]9bsZЅ Iа§ 8Њ H”j dQАgяѓ}эЮю ЊI™ 5  l7 ;s3¬ЂбР;v ~Re¤ EЂ¦љЄї— 4ґ48WЩJНЧУ MЅ=µсC LX¤ \QЖѓзм aЧ[EйМыk =ge K±V …KИг kIz L]Ј]ќLяуtpЙ uЏ6hПa _Z…ЂZХXyL [ич‘TХkµ¶€dТ{kPЗ w;7U‰ъТj eЉ*7 4± 4©Ь MЂлџO’G Ld {M”¶l W8’ЩwЬз|ЛU‹©IswЬm M6kHv aХ№m­ ^ЎhDЄ¤›’ –Ћ–Ef®eљ 9kЇ iL¦· wP…МЕeЙ„ґ*у3RЯЪo­чцупo VЃ ^&gt;Фб_УЬаѓ7џoЭпд TеІb Qїр†™яуd`М &lt;ИуtЛ&lt;ҐZ tcbе¶HДH ;Ґ7yzsdOыzЮпД“с L¶с BЩ :Mѕ=э?MИx„BЉЌыu[ђ rAep±њJ ;‹€ 3Ђp –ђ|B’Au€Ё’ @зО± ЃI„Т№”« eаІTvЗzj±I ewE MЕ ]ІєВ §ёТUьЊ o5@ ceµьЦ·R 4¦Г; ЏDш Zцйљyяуt`А ?}Cu R&lt;ЖZ B  Mк6xА 3њ*[»Oѕtа™ёШя cISќ}њћ&gt; [}„Ые`XЮґСѕU«юь¶ИльgуVяь Eяю© ЌЋC8sК‘€TЎ‚љ …4 А TP ;ЌЦ —UД aR :cUґ‹ B=6q¶9Э9[S­®HB†ceЂҐZ©¶дЊ o~Ceб‰“”lІsФнРSC 9Ери Tы aAі ”HAР”Ќu†ig43МжiЛfяуdp° &lt;HAzЫ Љ‰WЌ@jс\ KFHїЮз dж_v±џЅолU P=лeЪЧйјч3&gt;›s&gt;ч;Љ eC _нїEЇ U‘b kVI Lё 9Љ—IК¬gЕbыЁ us|m4ъ‡ћZТ9и] _©э]lq I§{Wнvїв C¦ZЄї’ gSж: L‹ЄRщЭ5›kЫZ[ V©ЮЧp§g=Ј ^Z SЛzіяуtp« =Э FvП _fZ &gt;иbо ;x„H7Ё7ј• q^ў=џћт­ P¦yТЋѕУ ^Цg –aНkg±„ Dы4ї H~ъ·¤  Wt 3љqЪ!7‹ Sh¬љЉў№¬ ?ЈАа°!WУюљы±’ьRА‡ҐЧ 3ґ}ЮВЇЄЊHН[хк@e­©6дђ =џ [µ@п T·“в67 tXJi»ЗъЭАHeїф ЉDW»Ћ Vк”ykT‘p [Й§XNjd6ф&gt;m]яуd`· &lt;Y FtЛ&lt;ўZ ?ёFж^x† Wо]‘Ї WRћi™fпґYFХnҐ«ЏщЇЏЛqг C§^ Vµ =¬§ EК¦Ep!3 5K@’ ‚aёЪЊ SfL Ђ‚†67,ях°ВкЧgк!;эDVсt«mN9 AЂ Vй–Їw 4ѕЂњuЊ7CW‹nЃ ~ЂP© [‰ `L•9;‘\ВкJдQЋХ3 T}]яуt`ґ &gt;… HnП= ;Z &gt;Ђ Qв^~ h3њЊd M&lt; GX |qry7ѓеЎЖњ GN¶їэ &gt;Ј^ EZ rx6’G FjoАаЁ: SFeЛц@„ |?&lt; a8 FYщЕ±„‘Пђ QіS–и?ь±В }cѕ‡ч8YvhU¬”B;ф W¦™љїwЃCp  Xу°АЦw‹ДЮ teІШопX7 cЙЪв J74Ґ» pЊ&gt;с E° UЪg zXR56 CYђ±[Ьv† P яуd`ј ;д±vЛ ’XH AhJо^HF W›З :Ъ± =­Yµ· [ШКP `Е?Lѓ =§jYZN 3P*А9 TыЎЯЬ:ы›ыњOЈRж‡ …jlRЎжЁЅҐВзПШЖЎ© lsѓ?†RР‹Њ Oјѕп^У AcWЩўІIR 3ЯяJ 3v`r5ѕ ZoЗ·Э PPЯ8&lt; e|sЄ —TgХ™;NКTР \¶‰]†яуt`¶ &lt;шБvЛ&lt;CH Bаљрц8†N4Xye 4Y 7JѕP g~Hu— иІЎђ ЂWVd Щ; Qѕлєeо [ЌUJ¬њ 4ЕБZжё f6D ‰5;6K„М©…Е &lt;\Љќk•Ћ i^¬нzЮТ5 C© &gt;Ѕ‰3cяOШяэ ;¦fљяwЃ Gч …Xѕ 5—:ЌЉЫvкцБы 8э Qn7Пл~LЃXпKО™ {GТ NЉЁ @s VzM –‹SРH nђGQсDяуd`№ ;ьѓxg cc9 s;rх–8FJѓА3 AЩ HҐЪ† `—4Wы¤ 9Љ xGb4*IJЂ _ЂD Y3яAz _9р® zs?zL‰ ЃY¦ўЛP‘ZљiI&gt;” FFЦ&lt;QжЂ·E a‘`ЪлEUК¬»ђROµNр YL p5мѓU `ЌVЗHчAС‘дGБ·лuхїz: [аЬЙ ‡‚\АвиGќПєҐяуtpё &lt;ДіvЛ&lt;cH A°fк jcДHХQЎ e^џГЭкXЬ L·q›Я№‡ЮЛеяояЯуkyЕ DI \ђ @apІfic }=rВ 6В‰Ћ cU[мЧ “6уО OХOґgТm Niџ][ aUxфft¬UiUZJ 4TаX’b&gt;jКfLЪќШ U‡;…&gt;Н„JЙ”ЈUЁFЄу: nMhGвЙјбҐ a|ТЖ ;uЏ A€ t?Е wVFxЩҐЇзA 3@ияуdpВ o_‘v» WBHЊRсt cD [‹ShQ»™я]љA•Iъp BBRУ=иH Њ‰Wpmd Jn™ўh zQ§ж M…Ђ &lt;^С kUЊ DҐ…”9v U¶zUC—eш OU‡ ]ЅTjZ@ђgY«nЃae XhjГш `_яzi±ҐrГ Dцж BцэОз E©§ Aщf yЉC9 ^t”Мv|•ЉЛ` ZЄd`‹яуt`Б &lt;ипxЛ cЈ[ AЂjнЋ cDJLЊќ­d Za ”jxvB‘ yTb¤ s~xIp№п39ПЦ†ЁЈ Wt7яЭАДЂуB¶gХЖ‘OSМШ Pс‚AЛ&lt;s¬j KЎ· }a•Y cЄљ@[}ыћ‡ЄФґЧ~ 5ч7»XЅ 3•Юjї“ gUґ “]љЅfы®н|ЫГЊ w=щъџe €Zб7ЗьёїuН 9§ХфcЬЊ tXLGvмx FSOЬЊ©Эяуd`К =гtЛ&lt;cJ AЁnтV8ЖH OЅшl [‡3м&lt;бeќJ’«Х~о§Z 4Pё 5ERp =P C” ;7сЈЏЁcЯњq–‹7л7 ]№ 5‰¬Ы Њ^I›юЫїbќOйs~¦µ°‘^jїwЃ@]Љюе`ц¶ьl{VОўљЄ¦_G V_mК” ‰7eSB Bћџ &gt;…‡ћ‚Л YPO_ ‰;}f…Вяуt`µ &lt;аыvЛ&lt;cZ &gt;иVх¶HF ]j _t YbVК§лuђк=ЯjЩК¤Ј PРV“nф 8ѓШН‚LlFDлpSИ @Л Oжґ }T€4RE± A|Б DW 3Ўж°ИґР» IдлжP ^СФсZ `y© `@Z? ”4е^ I3ИхҐ] 6TСЕ4iЮEЩ d„n wd‚О Oхcє8 SfE &gt;@пCћL]yl &lt;o§CдЦ8Q “Sр:VOћш| 3ЃЫЇяуdpЙ oKЇtЛ&lt;cH Aиjо 7HДH© bQКOT¤СR¬Э iЊ5~ш Y: ‚VнYИ Y F‚ TуҐ &gt;Я&lt;цa—в{ b] HЇы… Lйm &lt;u€mt·мЭ Y ?6в 3љнS 9р„ EўХКvъZч­µV\—GЯ№ќуrPцЭя };ьkfw} eЭ6І †6°сt’¬©bТ]Ў7 JE SщV¤s 6яуt`ї &lt;&lt;Гpg&lt;CI @ Vй–x† ]АІ‡ ?• ђRI X±ѓ 3ЦE«€ќђю UлўЇ®· 5@ Ћz3Ё jS‡{n”џ B] OY&gt;еRя E®?ЅZЯЗ©ф¬‰› bZ Jdіч _М€ьpњa ZlPпµop OB h9f pRЪЯ Yщ]єщ9¦µ·Ъb“чICЉiЧн*ЯКZТЯ8є:nЅоawЕcЕ IОЭ›=Уц_JЛ 7L…C 9‹Уо{ґяуdpС =`Бnk&lt;ИH @p‚й\XЖI±DL Re aN‹4 XFYUiє i€c: 5Ysжm Y† _Ј3©°бu WБЂЈЂ cЪћ@u &lt;T 8b‘ BњAђЉm 3TqБvVsК aF— &gt;*~ ^ыО5ж 3VЌY WЫ© ?Љ‡Е CNDїЕ[ђ ZЭ Џeэы‚=ы F‡N®«9еЩ· kPo ЋubUsч :X `Wяуt`Г =8Сr» cЖJ Bаjн–`ДJ`щ† Kf `Ф Ѓt_Ьнц;ЪуЎW ;iBF6дI YќД pGВ@™n @aPH a8\J k„&gt;I°Z—ПР¦еЋл pIX 4ѓ ]s5 Yч =ё{ M› OЉQ®„ЂялRp q\§ W‡д \џѕуI*j R±і iѓ5ГР JЦф ?3 IRЮ‘ Eзы_ҐЁг =\&gt;H; x6Є‚§cќ =‚q [I Y‹ SBaЋ \ЈВrяуdpД ;ґУwГ WcJ t†Qт 7Z j3J ?Ї7яҐVfU©К 5аЂ6 oVy 9ЛнbS [™ѕ t}?ЇgэХ Jяє aµюzЛT©F =8 ;ч …u5М*PШ U…ЫDW YЌ ?jµlfЦ^Ше­@БZ«Ь  \Mp &gt;‰ K&gt;Ќcs \[Ѕnґµ^“ ZXiҐЖЛThФ 4ЂU5SЕ‹і¬ Sк© Fф” Uјяуt`А &lt;XГvk&lt;cI C©Fн–HД’ИdЛt¶°ы№ `Х€ZЈ DГ6єХ«eҐ3ЈB…~УМєтёѕ–urжєцм_ZЮї“› {7в… 6Н:nс Tjw~§di HR@ hop&lt;ќ‚ U3Ш&lt;RqЧЯTХ| ЃA¦Vjї“ gc„ 5Ф 4рk &gt;YюПX}ь Kу¬*цФ \…АЩ·j KaМШ dб5М§дѓц NДj¬Д FЋ dYМZ­—“ ‹7*Ђ\VяуdpЕ @Ихf{= _Z 8ЁVХXВЖ [ЫNИМ~4Ф~ VMч =SФШИ{љОaE r‡&gt;…П &lt;ИЁ vtTбЈѓСOМh`К©‚X ;Ё &lt;Y ;б… 6Ђаp|Сепщ{ ?DэЛщаё¶F© ЌW ;ѓЅN4‡ dgШ±» Fњ»ћ 8oсd§Ъс&lt;©јzм Zя =·|CM;–НЭџ3NъРI LJяуtp» s[УjЛ= \J 9ШZЩXВ l\ЈRСK XLи™Њ“ЭћшF dљ UcLjRр‰ lы 4И  [aj †cдЄкiУb ‹{&lt;‰Vд XbK ЌKЅYпДAг j‘N– eхџ{ CR•О ^чџ vdґ KR—”v“„ФХ:A W:ќтчТ8e–Єя‘Ѓ‡lѓ cњPщЫ!`„ФИыf‘~YЪвЏ©ш; ZN‹фqp–6ф^ `°уaИP“ gyP@яуd`Й r;ЧtП`ЖJ @`bб–`DH\Ј &gt;p  cи YD3 ‹—=M \TѕE XтЭR© ;¤j LДф ЂATЪ»о uGDБu 6dЗљ[ТLъ¶C‰ Em‘¦Ы’А ’Kљ B‡ UЊ±Ќ± piЋW&lt; jUHPs—€Т ‹&lt;БMЪ 6uQ±{­¬z’ѕЛ @WJЏPyT DІ±@7фЂҐX’UьЊ 9Н &lt;ГШ cяуt`® ?­ ZvЛ cГZ AрVц^ cF [A’пЮэ±У¶К‘ Yй \:&lt;±и Qъг nI©h­жKHі9±’ \±нJ= ;¤ЕurQЎw [їs„GЅўIєён„rsBQЛўчlmћЩЅ VG?Ц S‚ Wm G€ _Ђб M8н †df„‰ХС…а‘ HЂsЬ„W&gt; Vїп7ґС Z}µЏ cњeX’Uь€ 9µЖ BВќЖv [ТН6iKMesVЌ LўкXУяуdpџ qgNvЫ ccZЉ cZк 7HД Џ]†nањп©шc &lt;©Я‰\&lt;§ Rw HYМБF _ЭП v&lt;Jr WК7OФурG ?уTИХ‘ ѓq?xXUІВЏJ sX=ґЄЇЭT 7Р WбмTљ3 3€ sKЦ:‰о;­= 4T]оoщя¦‹тХ{ QА}тuf©7 Wђ @Z Sі ѓ:fУ7їћхБі 6ь Re¦яуtp™ qkHtЫ&lt;cZ &lt;шRй\HЖ \в 4У NэІ®Дdы:TѕЭBkФ}м MЮйЋж?\ X:M ;{ѕЅxшц„іт°vї \¬ь —Ћ7є:ЙЊЩ« &lt;ь«чЪ&lt;gбяоЈ aіСZIґ“`a Y6 &lt;Ёµ«[СїF ^і 7’ …7юN}?О FXHю•&lt;Тb bЂe™jЇrЃЁnЃтjµ„ `r¶·4дЌsИd“@ExмPжeђC \±ч3 ;y Nияуdp¬ &gt;„еvП&lt;fJ‰Ў eсt@F‘K Ѓ7@Л ZйнЂ hQЪ T8‡ф TW O„:RHyЮ &gt;»­lшЫsШ›юС QµЯ;я}Ч?ц… d’Є·h vLўu&lt;Y¬’¦V DQ Oьі…Kг\њN«|ц]— ^mj; Gц{x Yu 6Х 8МҐ 7НZгJЈZ XЦІл”j§YµґЂeћjїrЃ aи;hќяуt`¤ =ЬЧvЛ cЈJђQjн¶ [ДђІюwЮbњrаЅ aї &gt;т¤ЮDO 9dn €D]zZЗрj§ AaT &gt;‘ѓ ]ТЏ 9geИ GМЫ T…RжV T8 LЪжвцµmI\®Ћ 8 W¶ф© YШEЃ‡° x7а Ђ–3Ё°[b|kЖ*kwыїЭЗ{Zл3ћVШщ FP›икЯи CЗ­mР c»` SL OСЉV DК±дqЋHУ ]‹ Wa ZKUVй@Л7ьћяуdpћ &lt; ХxЛ&lt;cJ qcNц jKF \¶зЗOгkПIъи¬Й Mщдщ¬nЪwЭї©јР Њ`‹\ {aP8е &gt;¤ъНґш ;є ItаNх XёЉФ RU{ј mFrжЅЮlЦ6ьН FlЃE WЎжє7« Ukў Xmkt·l4Ј® ‚\K”?j Lєюѕw¦„W*i·¤zZ№· Wё ?_c oKџ€№Ѓяуt`џ =фЩt» W¦J t&lt;Zс– cDђЁQ±е …?K 3Z4€ИйBЃ z&lt;·Q eќM V|єэvnП LW»ґ‹gыЭ‹‰›т{ VMћ DўЮі5 VJiХґH« &lt;5 n]хSц~X@&gt;–f Cж m_@ЄЌ`‡W{в!3‹O _‹ 8R3Xъt±‰~‚‡J„Њ¤ГВ дн{p 8вЂл 3э MМЎ aУV Pb]…ыs™s7ЏЛ§ъR KУpҐSNсk‘яуdpў =8ХxП&lt;FJ p[nйX cDH QzЫ] TЄю8ЦF [R•Ј ]”ъ 9ґD©ёlQ‘” ]СЮ*К QBД ;Љ NVТe5дЉУы 8Ќ;vк Zец?R8ЪЬhT ]J„ћ e@ћцЦaLЄ• 5ID =E©Ѓ¬ BJЄW ‰;щ 3©Z­· W qOаИ Qдмѕ ]S ]ЌЮJV PП?wg HьX…Вп Aяуtpў @Н 4jk= \Z 7xFбpHЖ XИЌ 75V{В¶· 8• ^s›gљЄц…»пПQYња †\HzТ?Dќч:d{M9Ј &gt;и =ћ Tp\&gt;T&gt; cМшTъЏчФ¦чд `oл ‡5h Oя ]ЕЭ6qkН¬Ш KF OЈ Kµ^yрч{ &lt;я x5Ѓ ;@я ђ4H aCuЭdО­љЮ—­њз RіПKў@n L°и^ЛmfXЙъ‰e›Б EvЌ9 56ЁжБmFяуdpґ &gt;иЩpП&lt;ЖJ ;XЄе\xЖmfЎц VЮ]¶gшуlчШт ‡DЕD pF‰ 5v†5хµ {^9ьСЦµc H­Хh@ 6Оў SУ;…ЖNф dЂ ‰hSBC Y@‚W b_BПтBЭ4­Lвhg vTH` 9ZЇs 3…Q8„ …3Ж¦п}3ЇO E=[ЄoК D‘ YҐjЛЁaгBз tTЗ;Џё~Рzяуtp® =ИЕpg= YK =©&gt;еX cF‘ _®Ж\ЗЖ S&gt;ґт SЏM Gj 8Ї {Ѓ\’&lt;° 3? nz?ЊH 7; Tг4 ]„Fµkъja Њ3P CµЂЫJjrВ OРмЏГ№ Piх·”Ї ZwЮz ZиЏп{ІК”UT P@¤UЄяwЂС\ }Њ&lt;АЏ;Y‹ ZYpюZ§єѕµиU Ѓ`“_µЅ 8јLа•EzЊВH yk†TЊ E„B 3ЂO*`S v&gt; ЌХяуdpА =ђЗtЛ —;J =с†н\ KДђЃ ‡5F|™‡КУЃґ 4ЎдЕ bЎЛhUыяТгЄm [eq· SA 3p ~_V„UЋ DЕтѕўн cэxї_«Яџ’Ю‡юЇДНdб\кg”¦дzfХjяsЃ€U‘FMџЛ J4ЭvмѓЬєЄэHзЦЗМЅxю 6з JЯ |ѓ[Е oLђ• RLрB Uџm ;яуtpє q3еtЛ cГJ &gt;xfц 7HDIHф Ђ‰Wуo g9‰ PЛ Ылgж •“PaємOЙЉ _Wэл›U‡¦® †xZ™ =зЄ 5ЙKК7Фµfe:ІЏљУзщџ–Љ}ЌяOџQ‰ Z’9 PTds=B­ђxҐUЄїsЃ8Я [‹т8љV iaь\S D­кJЦјП a=™vќ OQ brўЏЙK¬ :3T“ EК:ZШe«Аі wIЕгh3 e8Ъ…AѓяуdpЗ =ЂеtЛ&lt;ИJ r\nйXH†‘€Тї‘ќ–8_Єщ R‡ k3Kr‡™YBч H3K¬ыGЕ•]™m„ ou;ИK TkЋК N•h OвК=чИ…CXЉLѕРПщ WяЩЮ^UЊЁj `Ё‚ G\eҐjЇw 3†tx Љ=„¶­lпО¦VGM­ LшМ^шЛeљ[« ‰3Іouш JЌНЏ±ЊШ*ят3яуtpЅ &gt;ИзrЛ= [J &gt;a&gt;еXHЖ‘д РЕ QЮђФ‰щ5ц Aj: Rв `ЩЈ ?ў`Y ”_su6Ў‰Ѕ Aъ¦ wMеV‚ &lt;4 rRњ№›tТ8Д„ M` Aб †3DеRlнDef5Э a–tK dыЫМ AµGСЅђefЄї“Ђ†Ehѕё7_^Ѓ»я±—ј&lt;·6џ7‰№Л›Ј „Rч cnѕіЅеk98 d“™ m5В E8 s9`R« 7r c‚•‰ 5€Ѓ®яуdpД =€гtЛ cЖJ &gt;±Nе*XD‘щ Y”ІhF€yЊGeДB­y i@іјgн D]C cэW°ў 6џ Љk?sµжявж LRd7ЩO°ЯxwЂз TџKюЅ¦„ѓ NВ ]@“7Д ‰4ы Tё 3UeZЄN 4R ћ? TЌи^ьЏІ _ІЁlьОЯѕ«Т dьY Њ?@ЎЇѕдkQ¦Г KЃЋЩDЉЊ \яуtpј qGсtЛ cГZ ?a eн\ cЖ‘ІЋ VЊ3‹&gt;у ЌM®sжєїОФџя NџQ`ЛЫ \ЕзoRК U»~U[nЄ‚Ђ“† Kpі L·Є€ЖК9ВЫГ q‡ЃDкlj€ ^ыCЭk€јЙИ[ј &gt;f Ґљ©¶д” :m{ Њ69‚IЌ@иЛ bЅч bЛЄaЄd ]МЎCНЁ®¦ 5‰ CҐЪЙ’B _:ћ°– dbL“Ђc aLо‘Ѕ NeРb€ d„¦ТзяуdpД =гxЛ —9K =pѕйXHFmљ Lњк FЈ‰ЙЧіR &lt;о±:*g Jљ’гД ?Oc6[уЙш F_Щъ_ p‚ђ{f;Ѓ MЄ vtSо [к XfX¤ђ 7™LArщ ђL‘в qJJP E¤•ZЇrЂПР Qh[ј¶У*^Щ7©ь®Xі†ЄЊD‘«lµbQ IµDГЎ›®‚бVfmI„wЈнР…nяуtpА Aй 6jПa \Z 7рRЩlxЖ [хtkwатХъ OQFNЕ Q@нs]d 5jќ° ?и ZR‰ J•П«E a®ЯцйSTдЙіеэWФЁЌрлЪ«Р„ IҐ©H fwv3T Ѓ6‚dАИК KЯZі |h?ЛнYЄЬЂ4 :q4 O‹ІЬH oN› ^Kfв9Z z9V _mЌ—пz6оТo PЕv9Qh&gt; V~Ћf JЙФuЖЬЌД TGbЕ 5Eґ SqD :ЉяуdpИ @Б bjЛa 9Z 8АRЭtJF [зЇ‰‹XC« FP‡ HЏ aС_G CMi|PЫM•а ЏXљ‰ ЉJ€ |]Шё –_b 8ЗЧ†©n 35 hЋwHB¬ъPї‘ЪG: MИJўаѓхSЊ ifVЎЧ ZK &lt;™ ~LєСџ©ПЩЖмs NPVX^¶оdіЋ}jѕdгk_=КЌ Zk IЧЦ} Iv am•ёR Hяуtpѕ @Й 8f{=€Z 8XVЩpy† [°H™ ;jy B°s{&lt;M ZEeѓЅµФ`лO ?– \•ищ TЅПУ ЂdМ@ќ SСмҐ&gt;ћ}E¶ A}b~Ш†gЖяЯ{э№йНGY_Й 3|© PP&lt;ЧНіXґЕ4‡TceиЖІ…ж Bэ HOwїФЛЬЧ№Ъ«ёv c&lt;жњ mtj&gt;‡ЯhЋ| c‚чЅgЛ»и 4ѕкЯ bр@QЫjЇqЃ YўdКЫГйКДяуd`Н AеglkI†\ D©Nе–xДђІЭm™7sЅь UщuІ9йжФИaяOM WРЊґZЅ:wт a8x Lq¶еҐ {TиZ Wi”e KЮeЌI¦I— dЄ«5в_ЅРФв]V eu6ПXй€ NSіB FЭЊ†Ащґ U›‘Д›яБq8hЅc qGЩUЯЕ” K8x`6±ЛЌ YU EёИ|јкЪ y~&gt;яуt`Љ ?eKrЛ _ИZ DёVкTHF Ћ3зD 3S‚Џp hс 3LJ«њч PrЕЗЁP:¶U¬WІЦoхЪн· WЊ 8сm ;µZ ‚c¤…Џ«nХ¶|H¬6–f KГЕЏ№mVS 5іHc _Ќ§=_нЩЫ ^:zН™Й L4}кШuJGO dязS©·ZћbљҐз P‹њпэcQeзПїо|у‰jNИІќ 8T= &gt;° v7TЬ 6’ :ў †…r”Uеёяуdps ?9 dtП&lt;¦Z 7€ Mб*`Ђ gAҐєЄя’ 4ђъ bBЩґ&gt; `чх5?µw@Н‚e·H 7“&gt;†›_t^±™ eЌ‹ onO¬± LUЬ}F‹Іћ‡Sѓ€9 n†TЮЈ{&lt;‚{ GмЯS Aw m5CЂ YЃ ЊJW’] 5є6 Џ7ЂвЌ Y©Ъ 8‹Г E’ИФ&lt;”М= zKTЛБCҐ TAU Xц qHh:ѓяуt`z =мхtЛ&lt;eZ wCJжV`F Wl ;‡И ;[ 8ЮQ :И¬ lb^й &gt;‡ Gk‡Q‹L5 ЂE· ]гъv¬€VWjЇr*Ѓж EpUрєЧд czuJ &gt;±јб D;К QkoHµ{Ў DЁyШт UЎµz =\’ІJЕ9‡‚ GЕ© 9ЋЇ`ьTЁЂУ †eN±tњJT±Х~Јµ Uв 7–ДЌ¤’nР “–5mЗFД W® MXH tm7И!?x: e”ЅCZ Dяуdpq &lt;мЧvЛ WeJ BА&gt;о 7HD Љ‚cdаm·F— Xxb aЕЏSРіЖ j5иr Hz7ПсG9`Ґk©· Wњ tLBд &lt;?м NХb‡ 6бIХћ 9ЬП” W‡тЯ KтZq =“ aю€Z Lf eS F6 qD[ p5ОД‡ CЮф „†&gt;‰ m}~a9 b°а\{Ш K[Їz Jй~UJB k~`Sё 7ОЋЫЇяуt`] =@ХzП WcJ A zн¶HFH{ ]я7®Й±ћ ~YwО ?bЪЛ^9мA 8±Ё &gt;љs GUЋ @8№ҐжђѕеєЧХ ^ё›Iю„X Wu =U{ 7ђ ЉLwЪf DЅ¤киоc Fw пМЗZТЇФТ {Џ^9LIЌiXфTЈІZлq DsЬ§s ђXМА€|КЖЁ“Џ :4 PќKК¬Rэ @Ь§Ѕшє?ШЫ› XА@ 3жЖЯ  EF‰ h\o A„ dяуd`c &lt;ґЧzЫ WEJ @Hrс¶ cFHЗЉ ЋGЋЎ 9Tдu G[‘[Yґ№eпяІы¬mNJюaѕНш nW“ M«эЮ iOЂБ—[€wЮ{ Ѓz=bUїX `М®ЃOіZ`јй Fј8*Dй W{Х NfN’ыjl°xdnозЋGeв·‘ Ђgd¶®ЎQ™ґYl TВЁ W±\m `Nр c4Zуґ¶\ 7\яуt`[ &lt;`Пy ЃKcJ tK^оV`DH Ek ?PL rv”Jr ?oІщeYхћРuЉ v&gt;=О{ \Э\MWсEЋE AэиDн`@jUjSЂ cA 5n ]R9‰сМS8¦К№ъЋhr †`wщNЎ IGТл DНN \ц iSшЂ4 ѓ†W!8њаDГ 8Й€Ц V4¦ `”·ф5ИР–Їф№ &gt;WХ ]ОP c©”і Lohcj L©AИэ5† _шIиX Wh› Uќэ”яуd`j o?•vЛ ScH @Ш~щ–XЖJ·Zыzсоg— :Oy M”a [=јеоъX&lt;юҐZ” 4 [? dDvНв¤дНх 5ЎнE&gt;¶Ы ]юдsЧ\Я‘j—B”мa TЋ§b odЩ‰†QО§ dХEђ ;bд_UЭ|± к’Q‡cоЗ« z8пы”б Sa S&gt;J9µУ 9ЁPРа [¦ЊЖxф™ђяуtpe &lt;`Пz{ ceK ?и‚й\@ЖHX –XTіЯ VД HЦ¦©экѕ±CПb AіµЅ ?@Ё•VЄї“ЂВ 6І‘•MVjЕ¤Iј[йvR BT• KLВјХ XU\ zuѓNІ® Sq5 MЭцhЕNlМTҐ ldџKМh9у›d @ўџ&lt;c5fч}жDQwЁ`pMA6ёQ¬Яц MBkl¤гЉў [D &gt;Pћ OЛ Z–Пµ …Yи cOэ Oќ c’IV»sяуdpy &gt;`лpЛ= 9Z l[NйиxЖ Џ3ѕ?C”Ч»ЋmхMbЧn Yж¦UTY‘ Dс D3Mі‰›Ъ±нк_7vі|њаЕ KдЙЛ VYЇ Dы WЯѕkь“Ъb=FвВА°„H A› ‚tH&gt;i– 7I‹‘’ \5ї·z”Y•ъђ mQ&gt; X4gxГђ*@Т›ёЂЄDбІE [QK–фTЯіё‹хt—ояуt`Ђ q[ЯtЛ&lt;fJ @аfнЋXFJщT[WЂS=:qТвЎљИ \4 [PАYЄo g7X oSО&lt; wJҐs™ d*’`tг b®D•*tхLm OSu nBдзэоС}­K±СЪ ]k: &gt;ИЖц„ 9К·›iйН bСтUџ _Ф“ &gt;8СaДQ ѓJyбW[ Zw”kQљSI G” p†{&lt;ѓ@BРICж Ho At@нP;p BЗ 7п KҐЄ«я“Ђ‘ 5h`–яуdp‚ &gt;@УnЛ= 9J :8NбpHД \сNК№eеѕu Mъ¦ pK—“”ќX UГпs VR3 Bnх–M? \ґЄуMў–бЭ 7eЎkЎґ@c an XG G[&gt;­*qТЧUБЧtяZ_ HЭт“ Gµ­ZЗчш*яJ 8µjкB ;™ SУ&gt;‡TЅжњй3‰PІМ t?пpc NЁ*ЂҐ–jїsЂ№ Hтьpяуtp† &gt;© RnЛ= [Z :@‚бXАДI JhМ d`Цџ?JУ5Л ‘6? U: s?Nr —4Zµуs^ЛнхіJјjЪЬ С*±ѕCУ^zнxїЮЪ­Yчk¶•ЪЂ ‚6Mjдэџе”fAU”Ђ`h ‡ NыW9 cQ™EbЉ k&lt;;ц zs…6’©x¬]АфыђGЈЋ }zFќ 5Ѕ©j4 Vч№ЃГLzиЅKлҐZй· Wњ kSb…bd IЊNQ Wµэяуd`ћ &lt;изrЛ&lt;¦J Aр^е–xDJ Uzn; NН@›[ћШ Y­Џ VS GН TТтоџ:Г;·mь8ѕ e}Чч?ЧЛ7— Kn]ЊЇ IR¬&gt;ЩЭ@вИЏюяк EЛwіІ 8Ѕэ; `c }=™i \Б9•ѕЈ”ЭэЇ Y¤ &gt;Ѓ eK 75@ Ћ^dgimбЫ ‹Iк \7¦… K…Ё@жZЅ· W” 5ИL‰ SяуtpЋ @DеnП=мJ l[vЩpHЖI·§[5 RPwї Bv¶•&lt;…НЁОю&gt;•ЭFЪ™U›aЙвтґ qIЬC3s †YНU aЉi¬ъ‚ж p8O5№е 6 4dКA\У H§mіЃХњзлfшA Pп AЩуцэЎ gCЫ”иул B~Х ]… G‰ [ђ@b Kюњ L4ж STюV8А•кй6дђ 9¤ђ&gt;W§ѓ Eћ4Ю—ї¶ 9»Т­®8 5@ЖJ†—Юў®яуdpћ ?е @rП= YZ 7РZбt`„ Ћ€9сП&lt;Њ QЈPљ LhdфгЈС7—ґ¶ @У VДVЇf¬ Y8С CЗ 9ИqН 8БЈ 9љ YAҐЭЕ» BMвЙўUSћШeЕњ s„@9Ѓ5_¤ўЈ5 8w№@§њ Eќ^7е =‰’9fabЎLяУљ©Kvs`И 7K¶жЎ ‘€BK–Ю&gt; Бё†Ћ]ъЁЄяуt`ћ ?щ ZtП= ;Z AИъкVHDpњГюЯ cЗх[ђ 9срO &lt;l”Uв OXЩ…ч«\ Z…±ђМр &gt;йRЎ C‡ …:uФУpрq‘‰ A5 a»ЃцcЇЯ ‹A]x]B @ҐЇ¬›‹Ґ®мю XЎ’ЛJ“ЇЦ MЧлмU]Ј[„BЅ_pРТ@ M‘H –;†N’= ;вОCфdZtAёєЙx 3jы c{@•§ЄяwЂѕ RbІ ЃV*‚хr—WҐСw b_яуdpЋ &gt;5 @nk= ;Z m–Mж 3z@ 4№]ЭБ RП¬Г‹Цїћэ 4эѕюйk®”645жЮ¶«Уу MЋ IА Yџ p4I [€ґѓ 4јнщ Mџ Ї]ќЬNЎ‰ w_І cЬA@ t4б Љ6®ю\ PX¬ @Џ&gt;µ BXT ЉL°iv Pъ®~§Љ 7Р n„Dґ« 8ѓЂ•VљЇsЂЪ 6КВ9 \ґ\lё&lt;… `яуtp’ p?ЇrЛ&lt;ЖH &gt;Ђvо 7H†HтІГGЕ4· nFГ—ЧI Vв}№ cҐвбuh‰ї~ҐXПЊxNЊD;Н u3Л j’WXaҐ№‰Ё DCA¦ igS± jS†ЎО{ђжяV•JІQЋ4ЫmМЂjI†V OслQ„щ Sйњ Ѓ[ш&lt;c‘SЪы 9Ѓ” …м8ЦћQ m4Ђ pKфЏ [яуИ_4Ќo:}ъ@•kЄї’ 4q ;XЃXhи± Lбї¤ =яуdp¦ =дУpЛ= ;J AИ†к 7xFH{lРґCЭ[Иu ?и†:UЯѕ«aл—Ў ElUДЕУьж»бЋt uWхУr Iф Wck¤ЕS&lt;‘‚С NШЮ H—Уoќ_]•TtЭj‡ЯQ§ Aљ :Р RQ‰© 7ћn RL€МM YЬ— 3ХГ ‡OF­? N;ѓ9&gt;¤A*ФЉђH ?fhлћЬ S4&lt;qеK— Yяуt`Ћ ?Ў @rЛ= &gt;Z C°jо^`„H`ЫR™љ jFУз\| Yд pHЧgSmhAЯYх;¬нV«Ь@ YX–D@e’Њ ZX IХS’ђY9dОЈ _еУil 7КCЋN [‡WЋdcM‡ХhЦ ]·… ?zЎИДГќ|чe Y“ЂиmБ =…•…oҐw „wF“Ґ Zп4‚A Rоы~С _КгQь” ;ё 8e Jy°:dmM6№ЊopЂ“™pґЛ Hщяуd`y q[уv{ WcZЌИ~цV [FHЅ™ ЊEЉE B№Ї­c9Кх|Ї _·kІ‘эВАeWЄя‘Ѓ l&gt;Х Cf№!Y{W ?@–ф*ЅC&gt;Д–ђмњЭіfЈЕ·¶сэoэЋ8©¦©”K~5€ ?Tґ{D ;ОmІЖЈjюu”№ё­ќЪ­nZxЖEФтЕ E6љµЁ‹GоFC3Dс YСж¶ЭжСяуtpc ?ICrЛ&lt;ИZ k;&gt;еиa† ‹WЁP@€ ЂG«qyЈђѓО4 DЂш@№U MiЙ W`C9UЃ –=Ј}NИаЩ‹iЮіK o6¤ФYC C\и‰tkќНXјлmВ„ Z‘ RYЕ 5MH@Ў grLћj†“Bb\Мґ UШ Lщ Hюе ;д P®iѓыЋ@Ўвc9ЭЃЋыl5ЫцТйUИH SЂY 5J!8 :H 9€\‰ґ ђeљж qGC«WБ“Щ4яуdp &gt;щ PrЯ&lt;ЈZ† 3&gt;бtJF X&lt;Т®M±q=µL_ЮЖ aПїzмњeПяхxЊ†р†*FѕР Cxѕышд ‡Yп ћa_ug F|S™ q­ЮUЦ–І“ ^Х7i­гЭєв Yгё…OдpHp8ДЉ–X __D `]Н\° &gt;ќ… ”J: sq9@ 3бqA 4рДdQЄI‹ ^®Pr ѓaц F~яуt`‚ &gt;• Vpj&lt;ИZ Bш Aй–`!3іc _Ba eтM=&gt;dє 8еФЕ: _8КУIVХкЮђ–¦ЄїrЂP 7:ЩjЌъЬ…v 8|мЎP Vё VD„J!L AЬ&lt;XпВa O*МсwW‹ ЏpЌ&lt;J®*PА‹x ~7Ш:@8ЕE’ pN8:Т«Ќ HS C‰b­ ХпDЕЁVгкїw 4Џ &gt;ґ DH‚N№ВkпCЊ Њ_ІК eжCBй tSBсЪ 3Ўвбяуd`x =`їxЛ WcH C°nс–@ДH°С· O!I „Ha¤‘ Ћw9EЗ“S \=M\у Jf XюоЁtXvVЇnЂpD™ Kв«ФUщudJ =Tµm” ЏPпѓ Yя[k•Kћ§©¤}oХ5 \—њєv {?ЪЧ ЌIЩX‹ґ№тxp EKP|ЙУ :@М 3љY :°уи U‡юKјr]I SЁЬeЄw 3Д Iяуt`] =tГvЛ WfH AшzоV cFH@ mXDЌ@ €†7Ў=9¤ Ta n@­ Љ^Л°¬Pўq _кѓЗXд€ kQЗЄЛ PІ†Щхй§s5w&lt;о UєUЄR 3"S ;=гР Yq•\ N‚„ iYЋЏz«фGP Q@ Њ[lисp E@hLЫ‹ Dx OИШЗ aЏ7юUCzд W• 5ъц¤’ЪђFљ  4њл 7ІY„€В LХќ°а 6№e {;µ€СЏ› H»яуdp` :ш \~Л Kc {ocbц fcFH]ћµ^°ҐZ©6дё hCћ: t‰93чпК©c mPЦx›€ D‰ ec^r®РЭZ– wOЋь{Њb»5 ~ai =lЗfC‘ =QЊеІ»Њ ^њх€ ;M ЋЃxFKЪA &gt;zђ e®™J=ЦЁўФT U’NR 8б° `Њ;5ЧHкBкоjр€^@¬ bT6nяуtpv =ШбvП cҐJ CHjк 7xЖH gGiqu”XАЙбЗ aYф®Ѓ9 V@`в Dђ6}w®тFџJ5 eМД“VЭ 5EЃ 5cM a—jіcчй &lt;5ЮR– T¦y N^ bn™щч 9®DTаґyѕ Pу8] G^’їяUН Fњ OѓИйeb \gђУi eй  €@ЅйEФtђТ‘N‰ Ѓ@9 5П eа 3Штnџ 4&gt;TШњр@Ј@‚ѓt PрњгEЁїЎяуd`q &lt;њщv‹ WcZ APFц^HF W]·Ж“ёв EЫ‚w^§v &gt;\ж ]Э EнхЂI HoдЬ’р C6 @A 3‡BТ«ЁT Wq VbmcІ{4 VB…ЯЅЛэ°f–ьb:J}Z Mщ8ЪXґўѕЏжZќ GuN’БTКV =9 cФПVaяР}y W’ GwsTо 6М &lt;r Rх|\@abG vn6i SД…яуt`e &lt;„зy …ScJ Aр6к6`Д ЉK„ &lt;… Kч!\z65ҐЖєtmЩUZr§«]wЛy XќЇKUЩ w^ЦQ XZ«w 4Ѓo ^Ouyе–«cЪ»ВJ OHT; P± cщ CОuЊЉ\Q QMЬ з«UМЇy\]ОUeiЙў№ YZ=§:*‰±@йдXSх j8_o®ЇЅпЭЪячGЧ©ПQ hoEъJЁ*‚д \PН¤ёЈ ѓYзsU dvMN&gt;ьяуd*p =РУpЛ&lt;eJ‡8ZбXx† \Ц±—ЂЎ¶fЇn 4pЫ!Dњ;Јf№¦юµЎ­ BLЭ{БЪyмЁщкP»њУє“&gt;^hЅ¤ @ЫcЁpНљ¦JД ‰Y™dte 6ѓ 5з”| ayуЂС F¬a KдїKУЇй jKЕIUNа cШ€ [‰щ 5mђ~Ў 7бp=іщ•Е [`Aп:Ђ€Ъ‰iAИЎяуt`w p3ЫrЛ&lt;cJ A€bжVPDHtХ&gt; ]—~ЖQФдв©”6Н N^Ъ‰ 3U¦V«wЂП‚ VкФ{J]кЭь©В [Ф9c G@зў‘S:Qmщ IFЌмK NЗ™]лVЊNy›O _©•џTьc eд JA‹} [йu GzХ ~]uRH\B«Z :‚…їf»Z EXмд RСБЈ¬Љ p7Ж‡Ќµ aЕ­6XЛ5:…•KjmИo Q®Ј~°ЙfЄЭаR Eяуdp o?ХtЛ cЈJ &gt;ИfеX`ДH H“ ‘Nх?ZџUµRэZЈ– 5SнK LЛ &lt;ЛШ»љУсб&gt; ~ жA¶…„ЮЗ¦ШA©ч A7 =™и{htе CNu Z®Fъg_Ує 9ё°еїіЊ ]‘’¶¤Ыr w9А¤ &gt;¦эВ qLф&lt;г dочF†s ]^Ґs– :—v w—`‰uIrн 3H“ I¤Ыoяуtp‚ =L­l{a 9H pcЄбpxЉm \—c”W‹л5ћnю HчaJ@ЕKzи _SЫ‡ co lnZЕ7Ычћ7&lt;®Э»tб=…eYШТdM ^9иЅІ IД CSK›s” 8ОыъJ mQ„ ]„“pэ^е@ &gt;‰A L:§•µ eТжМ QrjMЎИІ YЌВљ PrЫZeАc BёЉ zKђй[Щtгцщwў± S•Ui WЫЉ@Ђ @d =єМ°г№Ч KЦ’§яуdp™ &lt;РЅsЧ&lt;fH @H¦йм`ДlСЙУ®aж®q­ЙЂЊЋ… S” NЪЮlБ· ?Ь…EдKR·^ Yо9Ї‘q·Ї©Л _Й6mЪ ‰BяX \r«nр?=NЦЮ H·Z–_ХIР }Uа[Хze¤ы‡Mg[ wKђ ‰3L„L¦ XjрМ;УAл 7t}© Ќbзk H· \O¦ъS tWђ’ Zяуt`ђ =АХqГ&lt;ЖJ‘™‚нvxF’l»УхzE}їЙ8›@ SUЦVЇs 3±ђ`ћpR®SП‹; sTС ?s–ЎЏ­ЛVҐлuилGsЋ„їхаЛvњ{Жыку—R: @;ѕґо LЌU; •{q^њ yuap^АіV ЊIiI–ѓШіYxЪ· `KzUiЬ 7Cд`B 3aL» x;L:p Ђ&lt;zћQкrџ:¦К°Vйа N&lt;ГИµE tDC‹ Xѕьяуd`† =ШгvЛ W¦J A°bй–HFHЄ{”ОxЩц±NэюЂeVЄяrЂЙйр zAм„_у—­;ЇєБ 8О H¦д e*l :w7MЊэ·¦ЩйЫrі 9— ZdK’J} bKћ S9чЇ•ИЎќїу 8¶м»ч†Щ›mъуЯѕJ8—¬E –Pµ­Z ;ёЏ;EZ’Щ —GШ 4Љ ЮAB4a® &lt;Ґ«ѓСяуtpo &gt;њыpЛ cЖZ :X’к 3xFM L›К OђЈч‰p WI 3‰яN gr@ВРї 9kјЏ&gt;їЦХЈ QИtdP €MмлWFЬ •]“fЬxЙ EЈ~zыHk*}~V†DQ„њ p[fІ«E &lt;m–&lt;Є UЬк `; UvяЉиTУ Y«rЃ—3 KЉ|Њ–™ж iHш6 &gt;іЃ I‡; KЕ &lt;Џљ yLёМ 5…Z­› ЋOYЕkД [Чъ•ъыч S“РUoµJP Lяуd`‡ &lt;@›pg&lt;¦I @ёbн–xDJBь cH e~W ЊUЕ®і\ `b e›НЫ dн AНЛМЇљПСЦя{УrбI·k \©ЯЖn aе7Џ G]ЋiњЇс•ыюЩ«6tb’rв I~:}¬ cу†РЎкYµ G’Fe ]¬е h]џн| cђc«Ћ:5 ‡Kgж 9l8 ‚3ѕ9 7KЁ‚lйЯї aімЄК Hяуt`Ѓ =фУp»&lt;ЖK @°bЬцАDJвЖtя&lt;П HdЧ [іу SЏї ”4a‚‹@Т YqIу€Х»ўЕr T„oX xr4ьћBГЃ™ҐИ€@° dДВ”Y 3&lt;D moь®eЇ L~ГLѓЂвШ=Ъюй\ _к „D?ЧЅiM”ъt &gt;Dш¬?х№ MD iZС 4љ ;†Р DЁ Vо6І‚ўЋ8 Zx @AхRЌ ’A5Еяа?oЦћCьx^кА‘YЄяуd`… &lt;`Еrg&lt;cK @ђbиоXFJї“ 3° @’ dyюdҐ}¶ОЯј_m cЕ;уЇзЯЩ &lt;Й¦O4¬8дЩ S7Э~уїf[† ’Mµ·dн=Т…Ь[PАјЖh|з»ЃF—oЇђШпсїЏtНЪцШМ q~:З^ Z?Љµo| aЧХR I8Уn]Ђ]a Dу eџ»їщ q`ВTШ€ъ§| јJ :яуt`~ rѓ@vЛ cЖZ B@®хѕH†lqGeФMlЫ6}FY B&gt;¬эгj` 8Й±V ZZЛФ– :мьNҐzZЇn g‡fzr6S—ћ ^’“qєw Qе eмОћzЄґИпъх¤Хa9 aєщd_Мd 3ёСвбquАЎ e¤њ{ a¦ S•ЙJ TAZ ?3ѕмЫґ EФаh VІ]АCЌ…&gt;HLD O=гБu&lt;LЯЋЃҐ[ЖwґQ©ЈKЫnнTд~[`яуd`s oW«zЛ WcH r†Qю^ ;„ fJoјф‘ЏXeZ«ю &lt;Y 3ю 3Тў X¬;Л» _sГї„кУ|;В L™lТКИ–„ ‚Y5ј‚|‚ N` [Ъ mG`…C­Ввњ®аb› 7ДpцzЩjЈѕvТП6hб© =Вцљ FК `Ц :звCч•њэл L•ЙVEA ґЋм 3‚ґЈ€ ‡L° XЗ?јУяуtpt &gt;‘ @pz _ГZ†`VеXbD [ГКµ•©· WЊ rAd ^‰j™ПUЕ¤Н7§ќ О† Bд}пSїЏ„ЃЬPFчw G€ѓкуh ^БоЃG NЏЬЈ `q“Н \‰ `Л TG®Я4ЬF;eЬ_ЯвW•ѕџµ\я _›џA№PД“іRюIя®wаHЁ hXЃ Ui5 ‰=Оќd c‚Ј›яЕt*ођiљ©¶дђ @vѓ Wвy 5n’њS_ 9Х Rяуdp‘ ?y HrП= 9Z…рrад`„IЃЭшє iJ–ПM bT“MiJ Ћ:OW hDB r_ЙTЮЦ SЋнщ E™ TvВЖ„ O± 8b‡± c€`ёЋЦ MRЫCў zU…—^µ‹ “EX± Y“ 3љ 8ѓб E»ОЗё‰\Ѕ€hў †’X@“ rCвkdФБ4ҐбЕ 5«eоЄї’Ѓљ™ fCаС«*Ы^‚ :mяуtpђ =ХvП _cJ pCfо 7H†HBd`Цh 8аД]t ЋЊ^xе&gt; :С…ю™іСЁёГ 7*64QЪ¶Ђќб› K‘dЫT¬Е·L№М©JІ …s:Яў{АM№kн­ dЖ JB–Ё‘jЬ X†Af Yњ cg U“ХО KОyRп SЩЦE‹ҐОYх¤PЂ 4НEб|V ?Љёd±U…ЪB 6·u¶ `оMљ”ЬчЇXҐЯЄїrЃDAJ cкП VЋюiJяуd`¦ =µ FvЛ _cZ BА^й¶HЖHtSeJК• &gt;{Њ ?»U5 Rэy ]7Z;ЦѕщЯЮќs« UХ^a‚s &lt;Nm bjсСbaУЎQ [pyсТЎж7Xn°4ъ &gt;Z |O•LРф¦UHD ’Rяр 9А‚ Cя„ TEВ PЭ}\сPн¶АЕ Q6ЎlVIн@qdФСдЛґ*ёeЪљЇrЂ”Р 3uИ IяуtpЊ =аГvЛ&lt;fH p[~хм CFH6Ь EЋlЃ M§ ‹7C K@е№ &gt;Э^о”&lt;иELx G»6Фа cр IcВ7нРPѓ XuЄ¦PГѓ&gt;ЦШ‹їAв Y°Бв‹U km{QVЧ dJS ?РЛRўjРэTQl 4¬ P†j¤фdпЋ &lt;¶ G€rte?йіћ_OС [I—ђоѓЦ CҐЁТM№ XАaDCb3WТыМыЬЃ L¦оm6 b¶3^ПvЮ”я‘яуdpџ =МеtЛ WЈJ &lt;YBй\@„ђг D–fЙ Ѓ•Pею—Я” WaщЅћљі PЋ \9Яj JЎ dёи GјґД…Ќ zf[©q® W_ wp6рђ± 5і„· FЛoR WДT X«— 3Ё tPЃ5r\ V7H7mн Cе…пKЇdRЩGѕвFТВЇ a¶ё“ПVЃеЂ VZ°U `ЉTMнЅ†l¦•цъ N¤яуt`ћ &gt;ґЧvЯ&lt;ЖJ v;rкVHДHЮ WЌ^п iNl ]b­»©Z­„sgD xXrgQ Dл7yьuЧыќ IW ^}ґ|§ч‘ЋЯyMuMhѓwEЮi Њ8Гj Yаь€ тб’ 8й­jH PЋHк _т 8є GНо Y¦аaђШ‘ТОБ9ёЪЌЦгк ]Ґ‹Ь cПМТ :·±oAТ°б 8= mFSйИ­®FҐnЉ·?­[hЙЂ ‡8fЇх LБ;7 •`Nяуd`“ &lt;иГv‹ ’YH @ё~н–@„HЗџH dђЋЇ @{©Њ–5хЎа·ш™tњ \вй€ѕL^вгјзиХ;Rl NJеыIиЫTЂ ђ‚P™•eOЇћэыяѓоэЃГъХ;Аѓ cvЛ” ]‘щ[VQs@‰ 6S¤ `ѕТўАв 4c¬: ѓSх R€БѓК [ы KUЭ®Ѕb®{¬OV Vs?–xЊяуt`‡ &lt;dЗuВ4FJЋиnй– C„HTЏХнр ]ђ `бЁ„РхК4“czј|ЁЏ n^9ж§=OQ :ВcjTкЃ`T Mo [бИ·D v@«Ф TИ«Efe‡|e4” 4ѓ 7ГЃ`Б¶ 8џY W№ ЉaЉ Zwл—:8ђ Gn4› wg5Pг e}‰@ ;‰ k3F pWБ eґOЎЁЅ¶Ф I‹ \J3 ‰Aй `Ю 3eЪЄя’Ѓ“Ч npuKuа·jµњ eї–Їцяуdp“ =XЕp»&lt;cJ pYк f[D‘ЁlRЗіЖюк»ЖЩЧ&lt;ы[9¤ ]F5»л ZtД 6€§‰Ьрn ]*8 BЩЭXЈаdЈМ‘ifСc_юЏ ђTф±Й ]¦¬ T·Qїw VҐh G!3Cў’ †aшд=№U mxWљI ’?h [*e NП `ЋC 9щ¬ &gt;В]¶АплRp 7CЄ \pG AY8J HKf Pяуtp’ ?с &gt;nЛ`ИZ 8рrЭt`DIњ`4Жj G5 K•5Љ=•у‘зZЄyЇ3С7ГжвЎтвд}ТUDґЌ?4ЙK \ќћqMҐkК _T4 m@DbЌQЭўГк i@`vT‹ ‘d‘v•Є°*U9@  ЏZw6ЋљaЯяЕhЇ}ь“Ы€ФЎн AyдBЉс sI‹4Х \ЕµkМS =Хц“] H•їЅJM@эҐЄ“Ђ`° BШ± †O^&lt;dSWяyяуd`Ґ &gt;DЛrk@¦K @С Iс–P†’ы BЖ9~OЯ [Н‘!XoъМ…gm…Ј v3ЖQБ LY&lt;ФGмшhДіg4©†ЮњrhгоГ ђZo~tЕТ&lt; MIцјГЮH]–н 5u]сћ©H OI6K fjx6Ѓc Sп@їрo:Ѓ LтњЭ‰q Dж Eq &gt;J…–a XЂa†© Yдђ FЦ @ґ“„ЯmQйMяуtpЋ qCУr{`ЖK ;рfеtP„HУ3фЗ„ OBё‚Ђ n”hZ‹ “\”g OЎ5 k‡`¦ ZERХЏ s=Q€ђaLЭ ^ЉJB V—w ?ц«Aе ‡Vў\k eШЈѓяў Nд @Щ RП ZV“ЂPБ pIн F?я 7±Рв ;Щґл• {NЏУ •_зoпе YWЭюф№{ ѓYЄхш ‡Ќ&gt;Ћ [±XЈ–„ї«Є SGMЮ°эeЄ“ЂL …’U^ @Х[уsCбяуd`¤ =ґнsГ&lt;hZЏ9‚иЦH†’§ JeB P«E”Y PЭКвпЇВЌІу qQ™Т†ђ86јй¶чн N‰C ЃZВ]zяѕЮ6VПзтўyґ ~b8љУЬ J¤Ґ AJ `ч @J_в¬h cЈЛќHћчЊхИБљж\r _ПOьм‹ЬтЮО{ҐXЊ§ VЫhЉ RCAP–Yљїr 4–Сk5qж‰[кяуtpЊ =@Хz{ W¦K =ЎVнX KДђЫЭkј Oћ«е KЋн Aи ЂD4БќВж ?Ў… Z“ZE‰¬ jJД;…[ &lt;О e™fя Dђ YбsЎЌ\ХЊіј &gt;лк Mjъ4 H«дp Y4Аz PЯwЩ &lt;G¤ 9Єw 3… :rJШQУF ?©р eЕC7v ђl]С…¤!5 CdAЋЄh8»t·Mщ»=JZ°К’ 3¦}Zё*°U™Єяs gUГЊ :lщwџv &gt;cяуd`ў =ФхvЛ&lt;cZЋЂbоV [ЖH‘ш X’ЭLЃCк 6ЯпнJ§зvБ–пвб `Нн GЖ eгМоiіМН eѓ g‡n5аF &gt;ґРiШ NэT Paљ9Эж™ZTgp’• nIT [9 ^D@| [№ yc©Т p€JґJtuчwµwыПє¦ Sn Zк @N=7 \v]d•[Єїs gЋ}8ЌБ {EgQ зяуtpЊ &lt;€·vЛ SfH &gt; Nйp`Ж Џ–dГ– `љqЦ Dв”‚Њq–є”б M€ U:Б­ UB 9dUй „@Ѓ c БHVоч KG Lу xhAЂѓJxЦЌ&lt;V@]U\‹ IзЉю \–I§ ME{Ь @t KУxВ3 Ik‡ ~kMD@ &gt;› S·9 5б©Џаg FcО№Bap:ђе4 =Ц8‚Hi¦5¤џ№Ювaq«nяЬй`ѓkS 9Б 9?–Ы·G •aэуяуd`¤ =`БrЛ&lt;cH vSBе¶`Д WХ7Н T‹іу Vђў :ґ« M·VQЉЂй _¦qТPЈ ;Зі WЕ BЙ 6АкЗ†‡ qccњ Љ8…H ЉvF–±ЉZ]Qf~оQ ЋFя§ 3»8Ђ4 ;© 7ѓАЂ {]yЈўГ^–&lt; D‚Т 3L ‹&gt;ђ SсZ—iqWґТ4­ X: _KЫоµ©@ Pе a‹rвЊ•Uяуt`‹ &lt;ЊҐpk&lt;eH Bh YеnxD 5ЦUZN 3p¬DnE HьзЭ“ M`Љ3 ЃiTљр zPЉy&lt;ЁPќZ]й Cyъ T–fь±Ц c5 Uqj ЂwOP ~l|&lt;…dY*ЪЯњR G—Ѕ–·u Љ{Nйi \@ &lt;Є ?9Ю“†™ FСF MhёрЙ vL‚Єѕ WxQЙ ЂAЋ a]Q 3Y Dv‹ JPё ANЎ‰ЕџШНнzџ4Ґ8ёeЦЄяqЃё ]46 €IKяуdp” o_БzЛ ЉVI BPFнмHЖ Wdи 9ДѓК Y“”®ДдрE AЕ wq?Ёыћц CОж –Њ46w ;ВA Dо &lt;€@z*дeJb GшбQсw €e–э }Rx° ЌЉ‰Hmа@±тН Q\а©ъC RbT Uо4YЇАј№ F†vB@ЅЄуMМИu’ BЁ&gt;T‹­bТ€йҐЌ¶”џЉ Jl:КЋ CjҐяуt`€ &gt;\гxЛ WcJ AРnнґ cЖHЩвпqme ;8§ HO] RЙЂ” 8jЇш [L &gt;ГВы 8qwSЗЖх\M¤хj­Xљ’® Xќ &lt;Щ‚Ќ6p*І 7Ђ eЩЅѕ ^»ґж*}Э·8щ‡Gh =¦a ^JъO ^¦¬*i—ыюo–нRФя•ҐM aЮRxєiЇ:—ПЯ “7\Ф•U 7’T‚’И =4E CC C3°G Hє n]А¦Є№· WЊ &gt;’ 5VЮ aКяуdp„ ?MArК&lt;fZ 7шRйм8† \MН–чОzљ ’=*yЙњщћ bХЕr I5хо• {9жЈHЕ№‡R3SЌN‘«l*„ &lt;”ИЬЃ PЮE Cc nUm ЌI­йпhаХЬЁdrZЎ ;БЙЏђ [­ nSїVю B7ж¬ :“ `‚ UЂ 5Ш!E V·ќ¬гH5RМG&lt;хђ±u ;`•ZЇь X6Ќbц9Mяуtp€ ?m PrП&lt;ГZ† CRбt{ l\_ _H~фЮ— A8№йцC[‡lл—_tХ•ЄжФp Zpп mKн 9Ў Eх K›_ U»Жї:9д„ [”&gt; Jґ¬iЅ jBю 4џ­ @ЏЇЄN ]tN_y›Ч PСwэ~Юб3ёЁІ \BЃAЃ fKщ dIН\ c· e“є D= 9~BяСt ”ЪЄяr 3©`’Н–&gt;Љ·ђCФ ]gц№ Dљ«pK9 N€ёРеяуdpџ ?&lt;ыpК&lt;ЖZ†а‚еtHFIКj¬ ;PЙ lIі GК osd; 4© XTjAЦ= ЉNqP EhБaB€*ZЈ WЪ :њ=­uќЇ{*Є NI Ynm¶в YЂШ @_[ cJkН™­X&gt;D¤їx &gt;ЄэЋNТ bЯќюq†ли3б= &lt;Эях{p 7Аaе‰ D‡У3°ИlC A€cјЈљyЗ{рЋ­Эяуtpњ =`ЛxЛ _cJ =Аnъ jcFID‚ d`¤ ZЕ ]E6 aјb±3ЉўДБhк`ё9 65EpГ*е‹ gfvЂDњ ЋZljН “&lt;ОM±†К9 Pњ C4« We Gљ 8ЃЖ H‘ОЦX ?И E7рБж u9Я W‰ѓНсkЖ5K4“Јћ l_“St 3•UЄя‘ЂЫ SЂ HЛSЄ V»{Jг …^QН¤g PєКв ?qЗQ a‚pёpNGp В§‘„Ђ _®¤ўяуdp± =њХtk WCJ =PbнtHDH_`fНІ 7uP J‚@*МH‘ WfЖў•ђЗЌћ к•¤ВЄЁ‹h AP TЂ•Јљ‡пЩhпюлвўI `U№ 3а9Ы– HЉU ”D° :дL EOjyЭJЧPt»…‡ &gt; ш 7Vс ^Р*Ѓ‡CеК’ Mђ –†]P Wх• sK6Ѕ}Ee—d_B JЂj&lt;к 3@Вfяуt`­ ?DыrЛ&lt;cZ‘Иєе–HFl«юL 6cXҐвo &gt;~µ¶oђг­i l&gt;ьЭ‚©fЎ3оTжЯ=z4 d© iHа WZ EМЩп 5І{`¤ ^Ј 8Џ‚!WY@EН c±ҐК№ Ug®їјgLgJ«D­[ј q~X3 6‰ tHН —UЈВ @Ж [ЩЙЪз CнnX= 5™ЂH &lt;–Ж NЁ@¤ Wг XќђСNе eъЧzчЯ^9ЈЂ•–­¶д i—vЏL‚яуd`– &lt;ґПw N&lt;cJ AиFй– c„ Wеi¤Ц ?`ґ Kф­ЖZ†V7 Jѕ Rж&lt;\f9dЩ№Щ—ЮЊМ eЈjШИйi› bC` L;„ћ[ P·¶Nщ ђXЫюЇ =hUgЌЭї_ Cж ‚W{Фi` ‰&gt;WыЊЎ…яµ z5„ ;ЉЂU€Џ… WТlИШ’ђ3 BZйs &gt;іkjl P: €3юej“ЂQ dt5яуtp‡ &gt;ЁэrП&lt;ЖZ!;¦аМHЖm€;5пNC€g —=C J8 Xvщ7ъlyЮ[зі7ёc7 cD‡ @г= Y ыe®`Ю&lt;B6Р 4@ dЖЄф5 _пШЕўяъ’MдЌ№ ]АR¤C±z [Е †;3Ив Oh oZP T®‘UЧC^ч®бH±: U­JBбжєФЭ5Ю[фЂ¤ZjяwЃ ђS‡&lt;~± E№ыД ;= 9D6 Zc [x&lt;О WЕшV3f ^чюяуdpњ ;€»|{ KCI ?ёbъ 7HDHФдg aтc NУ LЅЎД7—хeSу Zўсzw6Эс°ЖЎ ZG ]ѓЌhЋЪ ^XцPЖ?b EЕ­RЫК›ђ 4cCNе…”[ Kп {Xљ©L Dпё:_яьі· ]wРюЩфl‡еWf O°Jъ‡­я aзр¶V©· Wђ 9Т RЊ„`—rmЧ Ra Aђm @twQяуtpџ =XУvЛ&lt;fJ ?ЂBн\AD XљНQѕs ‰YуTkш [ї4ЌoBн[•Uq¬ZЁM WЃl™шy*ЪиЃR l_Ћ W¶t[ IYВ!&lt;ВB 9„LМ =€КѓCЭa¦VАЄ»л­I¬mЙ XА ^‡™ш 85]ђ: s5БЎPК MІgiZЄ JcЂn@©Ж &gt;G 7љл &gt;€ bbћ‚ T’іЊZ*­b¶лЦ® `rЕy 3U™ZЇs 4\‚ k[ањ]Ю Xmяуd`­ &gt;АгxП cFJ B  ]щѕ9Ђ 7jпO @T d„џю d9f[љ DсЋSш ]sт·=¶glWПсй±чOgДЅ [K·fe X•чµ®ѕFії ’ЉuU3Y&gt;5}Иr»Xbh’ ]’ ZWЛЂш JД “Oпб SЊ‘ †[¤kђwj–Q7 L~ 3[“ФнВпH^Ґ…Џ aEo¶ЊУIЎЇя:ЅQҐ…яуt`‹ =8йrЛ&lt;fJ A`zкVHFHЂVЦZЇwЃ‡ѓb:Е ‘_Ы=“FЭ ‚Ѓ8@у aс9µ aц:6о ѓ4«V†№5&lt;БmOЇ“ИсTjЉd ЏYр;оO 4bЁ n:Х&gt;—щџ@л {CYФo¤r•йР6 ?Y{U CЎ rJвгєЩЖЦ’ЉЗьz yG_S Gз X•у W~н Yh ?` &lt;юЌШф q`ж 3кљЅ№ Wј :АDdTnQЦМС aЖ©з5яуd`’ &lt;XУvЛ cCJ ?`‚мо@DJ…ZїґC4 ZљЌЖ Џd9 Wи Y4в JН›Y€Iсф­h‚pUБZa D©њj XY…§ Cl№д{„¤Q 9[x[ Њ‡?я Ky kL`pЂbR ?ЫЃ RcиSу3љvйя»яьпо &lt;!C w4cђa–ЖW gN›©Ж–Ў _бд@T™ZЇs gTЬZ Z_DEІ=яуtpђ @TЫpПa YJ…hRФаzD \ъО·{зuVЧ»|OЗхf¶f Lиf&gt;~ЦдNЭp± GКC &gt;Ґдй ”rC¶g” Sќ m‡AYнЖ] Rчь”ЁН—nеЪ _—кюЪРѓђ UR =@:H“ЅПѓ}G^гЭMр`ЋдA 5N{сZны M‚Є iqAYt @{ЬБЂҐ{Єя‘Ѓ Џg‚Ќ{LШgЊт№Ѕуm` HI w6• •^A ЊCіЋBДњКяуdpў p;уrЛ&lt;ГZ =ИzеtxЖHЕµКМ…ЃQ vF° 8¦Ї№ 5@OЊ XЭ r9­ГќбҐ |C[ bУ Eр«¶ы 6Йк nAД[°‡љ Iрє TЮ Z€‚ ‘PУHЛDїщ †E_ 3ЖЧo b~ИД ~^\об KЈћєkЃ CЃ ^дM±Њy†“ќ _АГC 6EЗ€ПЋ ;јЕ `u 4‹PTю„ї Y@яуt`Ў ?]7tЛ&lt;cZ CРrн¶`DH› =}®К 3їeZя =±‡KЗёD;q®­ M6Qў 66B; ‚“ЂѓQЖ wJе X№ЛџЩШ IЈУцt5S`НбWџи¬с©Љг™ K`рMЊB† ucxиl4’WV €Aзx–Oґ­хоР=А Yч?› a¬nC_Gaщ*P6у 5Гљ ]ЃЙЦбYОы MБi§ЕЄљЧBT¦_Е7±е “IIо7AФЂ™Vяуd`Ќ &lt;Шгrz&lt; VJ AШbн¶`ЖHjЫА` CбpџЌґ• Pк= V·Л&gt;uз _Г:M\нfЙ‡чc \4‰­oЫЙя~T§°ФЫ h_K GѓT­ `ЩoЇ‰5 |O№vшЕ пёD‡zЯG4}–ЬрОa` chЁ ;тџK Y?НҐ VK’ Њ=Љ †7†А»7Вs­µ]в€f DЩ wniVf¦e&gt;`Мяуtp} &gt;эl{&lt;ЖZ ;ЁЄж 7xFmа”АюҐZ“Ђr…^’с•уDѕс№ eK _‘нd ·™і]{]{ D3LюЫ­БІ”6V TГ ‰NTpлu Sr~ XЋЅkJ KЦ Joµ«MФ]ъP‰sюЄ·h ЂF–@RФBK x:Юс pzIs©~ъ¬ MІ &lt;ЯbхЎ :я CK |Њ_н€я*\* єQ­єОЬ°юUZ“Ђhн U‰Nмќ}‹П Y3Uўs¤ѕяуd`ђ ;ђЧz{&lt;BK @@ eэ–`F 9^’ G—59№­ 5&gt;зќМшЊЯ—X Kо€ f[DЃЉ@¬ BD jPВЕ f4ађ| yw&lt;АЃҐ O&lt;р 8Б 9MoAvЁ‚&gt;цR@MИЫI ЌЋ5B¬Сi[РQjх S“ ]aЌ :G 4е@Б YЗgХ 3Oє¶ :УR€—? c… DXІ…™Dы9EЅ} f9T 5f•Єsяуtp‘ =&lt;№v{&lt;cI AЂjк 7@ЖHЃ g=EAjи OХT•; „7¬¤Еѕ№G…”^Т:ЪU WСI€бЬнI {A оeHП Ђ;d№ SиХ —&gt;qV _Г 3ЁTбv¦р OrnWЪtЭЁ X8џ[IК 3ѓ@µ¬уЈ“­Sz‘Ф ~Oб Є^ HYЂБ :©7ЊЋ HZ o3H‡a ‘B5\КBмJ `xeжРiЉ’ dд Pй WЈeЄэЮ 9…аh–сi§ляуdp &lt;`№tЛ ?cH BЂZнмXЖ [;У–eЛkc5«§д¬ &lt;XUЩвЄ–µi ]® OµCµMбШd±ЄК WI v[6 &gt;8 {Wе™ w\а ”5·” B=WХ GKУc] 5«Э ^U Ќ3tЂЃРЦЮЄ‘ЏPUJ‰ДAсЇ\GДоp•П ”=Њ ЊM°ђ— H:Са¬Jм™ЯX ;іЛ?нк UляоЮяуt`Љ &lt;д№m ЃccH AШbе– cЖJЂU­*ЄN 4` 7O‰©№Чѕe a‡»Н5•ъ©j ]› =ІЩ·9шl YS etЩґюo B· YTj»у¤S _”юП N}Х Z§їe–fщ  9Ф~њ 6K  ^`iєOє”YTњѓw `юз“лћo\НъиЯщї’№OCѕ ]и WБdх6Ч QHС KAlЉWь =‹R •@UҐu»ып [{“ SЁќ eКщш UПіяуd`’ ncЧnЛ cгK ?€bСЋ`†J LЦYXМхФЩ^мlО~YMhy @в@fі§ gKиЖ \`3 –”v4ўР 7’жnzоюв‚Ё SёхMуp —‚6пq8л 7f­FК X:IQ [=кє_љЁVуD–н 7YџQОк‘е”џ§Цi D¶ім eИАDЄ‰6д›Ѓu ^EЇ TљЌгъЮ№Эжяуt`™ &lt; ЛfЫ&lt;cJ @ zТVXЖHC“ TТЛ4 eS&lt;®я eЮ] H™o…п–@ѕHь› [Нї BQЕv… иЊвѓб°•иK ?m[w6D8 “ZW[ЮµnъJ ‹†NF rXBй†jй WFa”ЈФ Oђ Y· ?x•:ї LЪзъ&gt; 5їцr†EФ QLҐХєз [ьfЄ“ \ LЂУеЧџ«xоЧю9mGorvF LлЖі Pз&lt;ЖY„™‹:иdяуd`Ё &lt;РГi b`cH ?ђbХ–xДJk Y“г™y Qпsгf LJ‘ @Jw dНїA—µV®чTцлWрќ UвиЛ EJЄN 4ў o8“– LOг¦ ZП\Дm ?юКФк [Х‰ cZYmwЏ N ‰ gD„Е \{ ’HУ]о·ъµ=ьИF9 _–ЫvЯЃ€ YЎ =· _™љћП @w L~ E№¬w Y*§Jзжёяуt`ў o_Хh{`CK @РљН¶АДNмtb›БS6qњQы®AШ®УЄmv VіHz“B› &lt;к¶х›B“LsЉB FIeђіЪиd c‹|гEOЛ YйЙItбЉ4bюЗщЗ=·m›3Gog‚nиn7_=яТ FJ‚  y8ђ Џm[DZ w@іЬHЃK МъЂZЁЫnI `АZ A@o\G®¬¦е»ј»Zt¶? ђxЊan{sPОG Y¬@ЛСяуdpґ A‘ @a ba‰Z…° e№иЛД k•]… BіWђ^ \ьlьТЉr“Њ¬ЂЏfЂЃх6©6“Ш–њЄlй‘ @дІdmО_3з­М‰Кѓѕ `Б 48x&lt;4 9гвA§„ 6NFн BujRя` cЂ 4ВZ RН™n gIa¦¤\ЂjцЫ’ImаdUсBXг @‡¦ bS[ЦЇПcv FvЄдA¦ъИ5 QяуtpЈ @ФсZЯa \Z 7p:Ѕlz jXZа HFОц c?Vџ c|g ‰&gt;ЖA jOЦ[:©§–I iBйEBXС LИ‰±Њ9 qHD T`&lt;QзtБЭrФHснk e¦ RЋ …‚MЅ r`kэЖЊ’ 86| r3H 4Ѓ ;ћ :’ M№Ёk v&gt;Й”mcd 9 J®­№ Xё qЉcЌ8щЧЦфJ_НvЖоTФ Ќ[7?K QНъ5—_ы LэУ®q yЃGнt \j UтќOяуdpµ s‡4\Яa ;Z lKVє 7zD [RIWў‰ E©г—\hДґ‘©@ЅЬ™~ДЉ[±HіҐєЕњ I»5УV3»ћy MeO&gt;Y›Нњ UЧ E? 8JЮлEяЫЅПЩM·E vh6EИt­·№°Ў UЬ­—c Ox \· Wr[mЫЃ –9а{ ToTСUраOY d¦ ]МќQ ЊMџ€ CµhФ i;ёЁ ~Bяуtp® @х DXПi \Z…@RЅиxЖ ЏsJЎ© eQlh‘ЁЪЛЬ…Sіj¦‰zЖЄh bЗМҐR Gе¤ ‘S“Xрї­ЩБ \­6¦¬ &gt;CхdЄ© aЕО­:Ћѕ ]a Kё™д}]ёВ[sАЂ 5ЁйX 3:6dP&lt;Ё™ ~cС &gt;ЂjяэЙ `ё pc±¦ z?…§NЖўVхzзlЭђгK·ЅC LцшС&lt;у6ш u&lt;Ь¶Ћ TШЗЮ ѓYћUоЩТзЇЭ Dйяуdpј @‘ &gt;] b= &lt;Z kЋ]№дВB 8яGїЌ A[KЧеC}µЫUk~µѓҐљЏ eИC ЌLюЛЋkЪэЛBq Bжп d\пћзµ Hђ W‚ПіЯQbУnЂ!C 8r =Ґы9uЯ S@ OµT ]Й”tZо­Й `ё ;hБ ’FJжA±‰|¦ V7–Yc®юаљ ’RшJЎЃdюd8»«vcLТ m[8Xяуtpµ @с FXПe _Z 8 RµиБ† [д§^m @е®Хн yHntЯ IЦї–Фущ·† 7iмЭeЃ [dн«Ёe I—» eјеыТтЦ UіszмЩm„ЂR B№гК V]Ц VYMK@!4` }8©XэА VbwJ kyC™@ NпЅЙmШ &lt;IЊ„БeФP€ПeV&gt;®XS[Цта… :њз°Б› ^d :№GЗ s&lt;S®в9 9л§6 AЧЗ @QЯ  OдюояуdpВ @х :XПi ?Z k[:№РyЖ X§…zҐ G M”ЏќУ =Ќ Y\ФTn &gt;‰¬BЙнµ•*ПnP…?x9у…6МКЛ4 7O‹Ќ Џ?±Й TrC &lt;іzЪы f5Ѓ ]ЃЮ A¤ U;№в &lt;W P gцЬ’KnаDPp H7цґ®ЅНЛчbЕ XЪ=гх=7ѕ—„¬^|Ф WpZ &lt;Џт I[ t]Т IГ ’=яуtpё A‰ 6XПa _Z 7P aµ&lt;ГЖ 83FI L’Лlй `Бе `©¦‘6ЄI&gt; ‘W3 WЃ Wй 5*§ MАґйё Eґ™бИ“Й &gt;jП ]Y•¦ГXГ^Д [Јhю qU? 3џЇhyяжMяЂ gVЂё ѓC`№;@ NцЫ’I aАTiCгґкJxќNю±КµЩuKZ« e=U WЯО‰ЫY†ЄЂҐЖС TЊЛ‰tктJЗЊ Var QЩД nCКJ =”aёяуdpЕ AмуZЯa \Zѓ fUЅ&lt;ЂШ 4«Ґ’«’o ]3 aj=№‰a« [~DYьќК AьЕТбълЖТTФжљ»©^зЅЁzЯ;^Ю</t>
  </si>
  <si>
    <t>8Н—ыиG G’ЉCRЄЙА S&lt; 3ЦYќ Vg‹єF ЋapxЄ “„bKы|Z ]БD‰ EЉЭJШ±`ќdT·ђ^ЩK¶Сb’є A|mT 3Ґїкя—Ђќp BG… 8=ѕLЭcFМДd:З™Гш&gt;оCm4КgжЖ„Ж±XT=ЪЉўШ Oc…DЂѓ u4Ш pcq“АC ђaЄ€= PxBж„uяуd`Е nWЌrg&lt;CI t3Vиц8„ ]нКtР„ХЖj·ё O” ?K°SЖ ]в rIq qOћLHА] f7±®*U 7Ъu €&lt;и `Ф Vk\ъ€: [i‹cЁ `u®л– Uj”RНB›РюЄj“ 4ґ x3ФL LмЏµ tHZб[3EЋfpф _ыЛ¶Ш…\ K*]А Y[“‹¤Ѓr ‡gKс 4Ґ®Е™ Bяуt`Ж &lt;ЬџvЛ ccH v3bй¶HЖHOEGњ6Д]…э¬ yVїТ§ 3‡НЂ•Kфа KёђЌ«uphЁчxM‰ f6В 6КQ€M}¦4Љ‹ QtPx}Hb[љ§}[їѕ—cU&lt;Х·w&lt;Ж^DHВ~«эМ 8ѓPhjБ«ж^уF „—keSr…±ЂaЧЙй№^P ?`МБ 6RVЁК [СК›Б 7ыP” KТ¬w г 9І‚‡ћ Y¬™»‰Ћ] ]яуd`К oW—z{ _cI t[jйЋXЖJ*¤*§\ ajl”ХяЄ№° K@xЌ cuE 7dJ q:АўаbG V]QjZD*ЙащЎVН4®¤ pU„¶еЈйЮѓ¬Q :Е@[¶фП©П¬¦wZU{ђ ;q‰СX­‰[o5Оu¦І qV‚; Kґ8Ъ№v Gдщ ^њЊХecыПК— NМХКљоќ—Ю RГяуt`Г &lt;шЛy Ѓ–VJ B@ Yт6 cD 3у d° \at5б Yж‚L`:DB…NЏ[о|у6THjk Wa9 ’h;qSщ“La LDш ’s6Ok 5j‡въ NыњоУ·µ M©њmєчЈuзЫІ·ўrсe SЪ™Z“Ђ GАЅCФ eн bЅn¦„pл Aїэ~ G“П S^ФГ_u=ЌЛt’э^•°Ќ‹ ZЙҐ{YҐ ]«УФ= GcCўba Wћ Rk*MЧZяуd`Й &lt;ЬЫzЫ&lt;cJ @8bц^ CDH Luzн±D IҐqµ®H lygEй]n‹f3c:c CµП¤LA HI©ћї7QzЏЫ Q±»6єЫЇc^л‡» Hhя–Ц«P \@‘Ъъяv 3€ EѓµљkіЅwЛОЋд4 V«§c«Ъ•ђП~А‰ЕWq YAeтЂ¤ ac  Ђ7‡Во z4Дб YёdzчҐяуt`А &lt;LХt{ ccJ tCЉоV@ЖLЧ; Mч­ 3]Ї W№•Оz‘IHkuьґ n5‚ &lt;r ЂFFы; TЃС}JиЕs aую¬*Њ€џt[tBZЧ TЭ™чЄКй^ ГќqоjY{!NЋ§qj~Ь DЁeЄЅК 6q e9ХР J© RZН UУЪХdt ;hУЛK ‹RЅ MщЩH¬“4Еe=Jк™Ѓ№VbEыњ e•мўФR EЊюџЅnх§}zY Gяуd`Р &lt;HќxЛ _ЈH BЩ–тV@„”фЅіч„4нЮ9 Pр»iЖ lB@А ‰MX @Ў W4!9ш ;би±Kh A‹6Ж GЙ eЧ"FzФ d‚к SRюќI IШ† I_Ц‡ЁІ SiZїr g&lt;Ћ =ГФЯf|И¶ЊжвТ|рч b™D&lt;‰Oуґ mdРщ_ZюЫЎ¦°vЫЮekґя DсбЮЫјїяуt`Б &lt;Щ?w N&lt;ўZ t–Iй–`А f[№›Ц*ФЯМ_{оЛт~Міи…J›{_ф EўJ 9Љ§ †RJ n—AR‚ g;У^S yЂ8х€З SЈћ bэ†¬Э A@ЅИџQКZ‡ЧO5lъwЅ&lt;Rs№lЉ 3HЦvЄярX B64ЩЬЪњЎђГrMр§ю°{*™ ‘QTґіљ\Ћ Rњ eшў5ШИ&gt;ЈѕpG™^І—rvМЋѓ qK:”ЁT”ЎХEяуd`М =DХxЛ KfJЌАrтVHFHѓ@“шn bЁџ¬‰ \ёњ @ЄqЃ¦– &lt;™Џ gVhC Pњ°ОYр [wГ‡ J{µ© rTR Gm› HZL№ zTопk=hBП ‹EoЉ*цiWeЄЇь EЂИYe4ЃГФН“nкЇЂ_іоє·®хіІ CПЭХЅҐчц¦щЌЊхoяЫ¬gя SRh—jч NДяуt`Ѕ &lt;tХ{ ЂWcJ tK^тV cDH NUжt ЁT Hл«‰Eе‚БH«С™зЭT UњLИТ I 3јЃРeЕВўіu4~36 ?і eV¬­яk}їЄ; ‰dИ§u EФ¤8У„†ќ |XЮФetЮ4HВ§Єю6 j&lt;‰ 4C¤8шIKюs pL„iЫ v9G‚ж«&lt;“‘ЦLЭ‰ ^» ЏAЩ Eb 8™± 4arА e†*… 7лxN{ t:Ф&lt;m 9BQяуdpМ pWУvК _ЖJ @©Zт 3@Dђ ЋYGсL»}Wђ 35 OmJХ 7`А†Bд•Mn HСЙLк tђ~]гNТ 3k·ї IpКЦ®жeдSP™¦6=ъМ±–M~МU_` cDЁ¶ЄярP H!K™Z„¶ …az `кѓ?*ПФК MHуAїз ?пнJџH T“ HЉHF„Юk AQУ ^ќыO t@8€яуt`ї &lt; «{ ЃЉXH @шrоT KЖHЪпRF3„Ф“Нe:PJz7\кЬ`v Of L&gt; L§]М3^ †J™ pOзЭ[»ЄўYпЮE¦§µХя§o*л» 6P x’Y^Ъ ?; &lt;ЎЇ Wнm°ІЪҐЅ±@HёљЌUя 6rЎ OT ]њfЭ§ЦqјХ†9 ‡j^X†tD UЭде \YI8S^ќ•дЈн]NъєФТ±YЮZЋ _M UИЦU¦ …DЉ¶АЁяуd`Н ;ЬЧ{ ЂWcJ CiљцV c„” &gt;т zEh¬—i U…№Ќ Zюг hy„it=и †PЊ †_я– `‚ jVЇhxб“п; X_ Laиєђ±ЅJ Y‘­Ц ZуЫe 9R*Юзw9 l3”їкяr f–z5СfЖЇэj UоЛ PҐvfr]ќ™]Ѕюi FМЎfпLІ5{ =єѕд‡ F?ob¶ Jўz jdУбяуt`ї &lt;ђЗy ]&lt;ҐJ Ap~цV [DHЮ\›ЅывО|BЭgPЊ·idm№ “hf4Ќ _р|@ ‡F‚c 4С 8Ў к =Td Up„њl} \IЖ:B‡ &gt;ЯE 5pМhрЪP `Rењ·~Ќ b‹№љ5† 3WЭ•«ш4Jl¤мv*6µM {[B WКqЎИРЮ€Я LLышG aw `av X3Miњ bvњ9‹V}Щ F~{ъwЧэ &gt;ЯфБ [д Ew?¦… RЎ Vяуd`Л ;|Ч|Л SCJ BШ Iю^ KЂ 3d±ёЫ’H 6„sўпУ6WћЁd o\]±ѕfGЗ±KКMиµҐ Aќ bШфgz rlBЋ Id«‰ё±‘ FЪ i&lt;Ф« l•Oywя&lt;Ъ NzР EМijё QS r_&gt;^mшc§•g –]Vтж•ІоЉДщ~ЫVлU№‰Y P8;Vх™жJ4™ &lt;э–яиЪЇў^¶яуt`В ;№ HxК ~VZ w&lt;Nю^ KДђУию®:Ыw 3@ A© NsUЎH `ЗF3’НК Tў©ѓeЈ YПјуЅы BяїgоЋЦEлmхРЦ Z}і ‘QЏy~Wя3¶ҐяН§йкгIWЅ`©~Єя‘Ђt @†L?”‡вqі· XЬcC¶Ч›nЏхЎЯє K^D X^ЄUђ†5 Ieп]бdmЖ 5]» RѓЯ} WЯ~еЃ·З¶п[9d5ч‰oьѕҐяуd`Л n&lt;CxК KEZ BЉ†тT KДґOЌ \Uь 8’ ;®ІOњ¦ yqOВ [±QI Lх©­|~ь 5O^ЉNю e8 |iQѕ MNІЋYЙT ZФ„О…™Z bX GҐљЈuаР x‘7р¬є @[ьТ— s9R †BЬаґжУЮюOй¦Љ?]hЪ kH« 7иGБ L’Р°пы dэъќ :Ї UЎOпn€oќяуt`З &lt;pГxЛ4BHЋP^нґ cFH„ ^я QсјЊТ YСЋі«ш w=Й©Л›XD h&lt;щѓ U{8ҐxDгҐ¦ A№ OfЕм `~єлP`\9&lt;f]&lt;…gk N·dМPОФj4BќUЄ¤ †kЂYFъЯ KЮ3«ЪщІЕL Cћ¤h®дjпИЊКwg~BK®§ G§ћtkм8†b ѓWБ4Ђ• ;€з:Ѕлt ]ZMы U©хr 6я_ѓ9©э 7єяуd`Х &lt;5CvЪ _BZЋР~оTXDHг Dґ—ш I^ЃF^гMэ*ЊC7ц*@FН z9КЉdЈµѕЊC©ћґЇЫG WіЪї™ ^—gkи¦“ЮЄъ“ ]ј·яв&gt;AQАEHщ«яр x6Ѓrj GmЅ&gt;ЊТЪ„Ћ¶™ыќ;IE }Yk©ўњ VM 7F„Љ Cu;‹ SсЫJ: aЁ M”Yсяђ„ PяуtpЛ &lt;Н=rК&lt;ўZ Bъ‚о fcDµв Nеь;™№Пя Qжqvd ^і §jыЄяА L¶ѓБР!; ]@U 3И v~„Ci• ;Г¬ ”]•8 Eb5®ґм†И Ћ‚F^ ”T@¬шФЂP»МЅOHЖ ‹PHК qeОPfjкїq g9Xp }Hf] E[ёє KБ F”‹RЎ—© \vDw;І TИRуКФйЎБYМ ‡DГа]UњД D^АVµШX W7?Фіяуd`П &lt;№ H{ ЂScZ CЂ 9ц4 C!3нѕy I–kЋ9з–п Kq NќЁ E„п–«ЃFБ &gt;q ?оюB &lt;:P yOрjU :n KэV»Й eс:Шѓ@kK&gt;цґўз ѓe…л‹?JoиФчSU@UШZ `UаQ‚p‰†Ј MЋП X3ЬYT 3уќзєU H‘и†T3єZУ–kРЊI ^=OfhaК„fяуt`є &lt;щ HzЛ SЈZ @и^т4 K†HgZч Qц°ў @O TЅµ&gt;·—CЅСbц­w ‘ &lt;»\®Єn g{[эФ LHRW\&gt;• k‚_‡Ґ®z ?лZµ‹уt8?^М§€t3k ReдЇB»rв^ЬЂ”ћЦЇш &gt;Ц 6О IQ&lt;»mі»ћ¦ csґЩAйХHЮ„”Јуцј Mj’4йП 8i DЁ bV¶”cT [ьЇ &lt;† L‰ЂUctK`­Вн‡sэ*яуd`Е &lt;4ЧxЪ WўJ s3bцV KFHЇъ XџшsяЙѓ MD¤’Ђ4 @XМ ;L ”X8:К;њ [А\€КњШU A}UT Lk‘џd ]|9U G5DM–М 5ЭЌ±i4Й AЇH 3ЁP ]ХЎR htIтk \¶ EхХc8 &lt;ХмбїэИъu…»ФТІZuJҐ Rй„з ‡KR] ;–‹ж SґT ‡Gй“УяуtpВ &lt;дЩxК cCJЋ SRнt cЖ [JюЗЅ‰;9 a„U7IG oTvўд™T x^їаd DЂћ_•|Ы¦Оb =ы; c‘!Isй№OУ¦·фҐжTЈ TКЌ aFm ;€ zЂ]Ў _§мйNц­k·3gюЃ R&gt; \Х­ 39 Xjю uXh H‡ {ZYА 5iДшFЃ9ож} }=S3Mц \ШFПйI ‡Yi aVSgЎ B4 V8Ї‡ Z’сPХћиd± @iм®яуd`Н &lt;mEvЪ KbZ CВfцT cDґаН }GB ;я5 &gt;Ґ TjHFGЁAЯт dЇV›мmћН8 gVїЬ` CЌ… IµџЪ RQpиљ§ KF«нIЉЧ•un:д `р—J MeNШ@G°ШУЃг BZЌіX©Vu= SdVZЇш Slр R‚pJђЈ&gt; jZxbіm3 lNё&lt;jG ЏJCeЊѕоЦз IДHяуt`№ qHCxz KcZЌр Iщ¶ ;Ђ 3ХXi ‡_ГЌљ Dd¤ JU ^[ЪкО_ЃT H‚ Oщ ‚pSYHM„rО HчS5vЃв4Н Y†МЈЫ;o G„Ѕj†v€Э ?@gЯ Џ9Бђэ \h8 ]јT ‡hEЉ vI *А ЂXџ LИ@эЄїд`hЁ WdќRv F&gt;a9 yaЛ–S OдVОunСѓўиЉ 8{ \¬°ЮFі Ylђѓ:°n 9w ?ўУ uGИ vcуяуdp» @Е `nК&lt;ИZ„HJеX C„ XС™ iCr‚Cј‚Й• CJъC9Јќ&gt; UСЕЄ [–Љn PЊ ЃUкњ`В’Щ© ?E† ]F S± ]¶Т±@°Q ?ЃС €lwh4p G‰ CиіfZw O?Ѓ=Јf@e 8j»ш […ЈН T‚›къо Xч NжЫнр YЙМЇЌ­ M‘YС J;Є\Бв§jyL Wc№… [яуtp¶ @=Kp{ WГZ‡@NбtJD Џ7S:ЌR =N·§q’і·Є ^K¦ CэЛнbд NГоґї4ЧЅдє]KkйFїf @Ѓ CaQ D±…› ?fЈ 8»… wS&gt;…©“яґQы·ъ•µ@ыoЏ9k ЃWueщvҐj№· WЊ &gt;ЋуБА—Zђ±љоюE€® B…hµ_НЪЙ“K Y‰ъПф}ТлФ Уuon”\dѕЖ»8^NЩљtєDн }:яуdpВ =БrК&lt;ЕH‹€FеXHЖ X­3гµ_­Э7»&lt;шGr®{зkПxнбњсrвыєjХ;Ч« _пЮ e­Х` jCY` W 8scZ”}aЬ 6•Ц wWtШрE DЬЖs `пщ ucи Ch• ]¤Ы’@ fwCОЉcЩ¤лф¶^µБС Њ=єќ UЂЮkЄQбщП{= bљnз RbS&lt;5Јяуtpє ?E DrП&lt;ЖZ‰с 5еXHЖqРЖ ;g›Я JІд ?ЁLНA ;*rЃ Iд _‘ sOowp ЂGФ_ш :cЙ;ЇџняЕYољ§ †?4А W‹Я jer ‚Cћ† sIhm €:€ „@№ VE IЭ ;@јЃAЋ p`Јнuєѓ P_Ю…т bњЧЮк¤ ‰IВY«›ЂF Aј¬ЁЏ3­Нm _Q“a [e”8f®Ѓќ Xу± `ЈQOщљ aЎыбb bУд·сяуd`Г qCнy …ccZЋ^н– cFHЅ X&gt;7f VozeїvwЦ YК &gt;O• B=— RЁ&lt; cТf«№iBЉЅґ q\ZЬdХоP YЖ 9†¤їvН ~7ДfЊ iKD NЁB]–Ы5 aОµ ђaЇJ `~cпxP z‹:Ux©;гЦ¤«ъ NKOф~Т ]ИЂҐijїrЃ‘Ђё —=ѓЙєшЅ `ї X!Hq†Vяуt`« =xХt{ cfJ B™^н¶@Dђ bь|Х ]ЫLт«ЕзР \м• SЈ›k Kе HЉL† Tо YeљX‚ dLr«’TY6eW GЅЋњоTl­O IuвfоШ :UЁ‚E{ґ ;Ј9 mqbР 5fѓ–ГZ ;KЦгNГoс¬&lt;}qw9ёуВ‹ {3¤рЎ”w&gt;љфS7U _оЯ|тjXdieЇr 4rTИ PfбM¤eq[kVpL† WЇЮtҐСU›Фяуd`« =@еtЛ= 8J Ahfй¶HFHУ^ЂЮ€f7 \• =Н¬ Mѓ _ўQЯEMxc·oим cЕ?Z d~ UHн‘± Nµ g@Ут “J4шрK»EРс CHfЬ ^fР 7љSЬYЁэh‘ѕЫ5r®яР^€ 5чЇЯ’PҐjJUыђ =“5 oK7‡”HъХЎыcЧЄ OБ 7щ 8Vо¬TпqohЖяуtpљ ;@ЧrЛ&lt;BJ ?иzо 7xДH·‰~ dеwВiо­ x—ђ45 FЉЩ®„юЧм Zнd] AќмUg]¤  HЎ°›RZ l;ЕА@auо |TnЃ‰‹ръ i_ю*§®}E ]w8пIv±Ё»«©GWMЇєЊІ[ GBЬ¶ ?fV«яrЃ We ;єњFµ]V¶ЅечPћo :vhфИCУџпb €TђЗd\фѓ L—ЇwQ}p Vo LцАќмЁ¬їяуd`· ;ШхrЫ&lt;ҐZ @РNж^xF [ќЎ„э›жGТvце SdQ 5*sOйЄб{‘ InПЬ IxЄA8ЬJя–Ѓ gcђTІЖО d‹ ~Ћ&gt;ё erСt„U e:І‰Q–њxРtЎt B@СГ@е 7л~Бu ўыюr­мbРїН &gt;КЋ¶• 3F™j«rЂ а] EЈnйНЉЃ~Ќ ]ѕ~ђUЖе =bяуt`ґ =ФЧrЛ&lt;ЖJ C` eкVSД 7ЊйЁXFB ?XCCЋ Eі7и©ҐОmГСу‡ _›fHdh s?° –wUЗ©”5ў¬iђ»С¶ХфҐЋ*T•tµ·WЯЂр rђSЈaг TРaҐT ‰yp&gt;‚Ѓат S=N^“« B5T •SжµH Z§ SќЌBм c§›’“ c‡є]ґ”m¤ E°©ЦbWьШ 5Н 6ЃЈ 8Ш AB CћЮЏв4Ђє[ `ЇKљТ `7яуd`® &lt;шЧxЛ _cJ B° QцV cД 3JэZз•¬K V» WЗ 53Bи †d^ЯВU9Ѓ 5_ї5 `ћЫЇ \ь»юУAю ?_яЇзчNѕАr8”Цн 58бX@° PГ_ „~&gt;‰ 4ж 9З=a d” Ѓ;z `F:&lt;ъ …i|–^Ы&lt;JзҐ¦loЦвО 4tя_bЂDvЄэЬ 9•DJз FB… YнэЁшяуt`љ &lt;И›zЫ WbHЋ fMн¶ KЂ f_НЂЛ `{zG”5џ“ R—”&gt;џЎ ZIґКжўPР— 7Q;А… Q&lt;Ар’ГЛuр xRA B°\ 5c Vщ\ҐИ ‹ЋKЌсs` c€ ‰[o ‘fDђ‹ћ‚юбеНD ]3 HfQ¤НЬЇч `їuGд©Фѕнт“ECVYЄ­±EЂVљЄЇw 4Љ WR &lt;3© EТdсo P]ОЈ &lt;tlЄЮFN^ e7ЎТ¶ dWj‘љяуd`¦ oS·y N&lt;cH @HzтV@DHн»QмaђЗS°qcmn Ik”бБ =…4Н UкF3N WлФІD’9 Pw 5I 7ЭЯсB ЃGoФ kw7Б3‚Л d&lt;G—ЬҐоQT a№4ЈшЇТЛ IбfЭnЈLKЩ ?§SУ [YXYUьј :A± :K „@€;эп&gt;ф‡ sTyВD…*чќ«v*Ъ°яyѓяуt`ў ;°·xЛ _BH @ШbтV@FH Etw Ge M°И\B …x@™[ Qќ UЎШЧњ™Ѕк»{СйЪҐzТ CY Wџэь lMђ©OwШћАч =t KSI ЋaUвў€«Чw]ъLIЇўµќюЭ Uпf;нмЕK^ ЄYЄя’Ѓ† 3Jhђ’Iвжџ \ц‰U rZ¶W 6ІҐUJЌeQs ]і:Эѓђ \­ bXq L±Фю”¬ъж _”Х:dы aЛkМяуd`ё ;ЁџxЫ _eH ?ђ^цV c„H†irЪ?ыж{mЩл †_~ [` …6ШЃЈlWКҐ• [vLХR o5ДИЦ Jќй \љ KН]GoѓзO7єo _Щ[vР —{DъF€mИw‚J·CЉ4лн{p =C ty3” „BPд6упY«† `= R7ђОЦ;Y¦Л PY @L„®·›о MЎ ‰EЬiMђj9яуtp» &gt;DуtЛ _¦Z &gt;pvеXHDIЪ Xз NН’Хдљд T¦Ў E€eі3 6Сы8л‚ыПЫC&gt;nJ§МдвЙґГE _8Ђн®@N‡йaЋЄБP MV‰™ †•^Ы›ТЙўA“ jWХНYҐЅo«ѕєёІ‹Џ fWUjЅЬ lT–љ^q•­U A= “:C‘Ёс WCUХќ F™ Dм°EЕДЦЫ5ЃXЌИ• CћрTзЂСM O] }Em s9б®РЫяуdpЖ ?a Fnk&lt;ЖZ ;ръе*XDq=CђLy“¦сk Ra†J—5Ґь \9ЎGуiЄl j—Gіa S‘@±а 3Dш*ФxB KµІP± UЕJ &lt;\a• n7„гТчЉ– MqП¦утцл @µЙnTC=&gt;} U­ Ak»D\Ґљ*ЄN 4PУ {7хy Pf ZYю 9н\ WљЎ ]·Г \ЏІЖ_эДП P^ Aяуt`є =Xеu N&lt;ЈJ CЂ Mй–R@ 3y ‡KЁ^ё~…YС c¶… &lt;Uo ЏI‡‚7 6и WN—ђпнь’ LР€ =Q OЇпаY eSЮЙєг*хu FА ‹GбCl elR?vЖ Є II o{eЉ]™} Aм±TґҐ© ‰{G„в®вНъЬђ§Ъ’M№ Yа6‰м zdцы| NЪъЕ… Ev ‡;ц] =—Sє­Yd @Ы•¦6we^omw6юшІЏo№іQяуd`ё ;ЬЕzЛ= 6K AиVоVx† [хк OvлK8ЌЪмФпяфXў–UЫоЭZИєфУшЕЄ·rХ9 3–ЗoN Dн&gt;Џ™Q 7lL ЂwO– 8ў5±z6zbіЁ M† Eі­^З¶­‡ЬкfЈsLVfНJZћй c”о©¶д° lpf=Л\ Љ&gt;§Ql DЊ &lt;Дv8Д 3ЩђИѓ dА_a‹чъѓЧяуt`° pWгtЯ&lt;¦J tK‚с–`ЖJ DВ jЏ&lt;ЙЗ?ZФЖ ekКdњ@O h;®к Ћ—Qm_Ќ RтЦXG &gt;8CТyЃзш 7sю*я …gUeqµЛЂВЂ§B MђWЮq7µj &lt;уz№ ?€—оWЫКЦт{iµћЗ{€3Z… LШъP BО ?ЬЛ _щx}мMе ?jюТ 5pD™ UI_т –vz3Њеф«ЋЕCфЯЌ &lt;BкdR Ѓb±ц L}Rжяуd`№ =ШЧvП †VJђ —aоVxДђ†]г_tђФ C»t¤іІ&lt; [ЏЄ IlЋhмДSЌVЦј Yµ7 \bV PIЃ PЦ :­Ћ‘ Sр— LKїюЮ«d Z\’ ]©Ж hpi}cg• kl‡Nн±№ь po–[–V PЎiх[ te[§ЬЁ¦е} R‰\;АД…:?xА Љ?ќD«Wѓ 4м F„Б„t`*@яуt`њ =Н F{ ‘_cZЌ ;~тV CFHX:T WЈbЈФRЁњЦLўЩ9Е kGыZ €ЉO@цјi¤k¶“®uZ Q»rDµ3х­ VЅЧI N–м 7ЖП F7о€Е eѓўpб wSt jAЂФ\сЃЎзІґЈ¦M47bпhіУВќgu FC &lt;bЃйлI^чVЪ:ШД 3•ё’UыЊ shcх 9хЭ Hр·ї‹Qy n}|Cb&lt;• Rs 7џ&lt;™я&lt;Пяоlяуd`¤ : Dy ђSВ fBШFю^HF WkAгЅrjЊћѕЧcФ›’3™©Z =&lt;AjїSЩ _»јПgШ¤ґD’З Nr]@э ^U ?6 8у €dњ H‚гн4 ]drгњ Xл:НФч[&lt;ю T]kеІ¶’к•‘m‰‘”ЇЪЇs 3А &lt;ҐСђГШ•“пьЧ :k¤ЃуЅ U¤№ IеМЪ ImХяOБ»Vяуtpў o7ХtЫ&lt;cJ ?ёRт 7x„ [уmтѕр9•Ъ‚®mц‘юэN] OЯ=ЈyrеС 5Hл‰№ YАT‘ЏА4 ec ?ш ђѓ4‡ЌЉ Tb v[D 5¤€љdZ xЋ\ТыФ·OTЕ5ЛУgЧЪлС¶Г‹Ы¦ОЂщVЄЬЂG 8FЇ Dжї YЯ·ц­ЊsП ^ша8iц YxЖw :ЛыР•б ?кЦ‘ Ob 5°ёvzJx›лі9aоШљъ dЏґЯюяуd`є :иЙrЛ&lt;bJ AР Uж^z l3эђ 3MЕі”ї·у raПсq“яЭ ^пЖпџоц UР ‹{OhбилЫPєdР T€ 3›Ѓ @xї 5р§Џ 4sYj dюЄїзќл8ТіЯ*яыї=ЈX¤&lt;ПФхЁ€UЌ–ЄwЃ VYF }_•€®¤ O*W?zF ;з“SЪџB ЃIyТУ‘Z p:RЈM*Yяуt`є ?u Dj{a 9Z =А6в&gt;ЃД WГ9 ‡9} N¤ &gt;Ю 8g AТИ&lt; dВЮ¤Йпъ C]йТ~чпў– jH?ыЄЬ S 7a jdЏЮ 5ђД–ХG4 nip”DР ђJ&gt;ѕФ‰Y\щтнeE&gt;DYєњџgЧ[Оm«д b| Y\©nй¶дЬ k5ЎLґйjГщ &gt;ЯтЗ“С bOЁ ’@X 7ЏЃ EgЬзvЎ Czm 9GWЃў‹б© h9g p€RђЊщ‘яуd`ѕ &lt;h·tЛ&lt;cH @аjщ–HDJ‹w‚ vaі‚аc§ ME [—B‚ыQZT:пН GDб[‰ WЬ‰ЂёxИPsЭВјЁ j…v†YE 5ЗђНod]6ОЕL 5к‘ Yё tjF&lt;“„‚Њ KEИKС±@Ґ[«я›Ѓ“Ф^ WЁuОбє^Ю’є{ =rµЄ^fuЖ JТфє aBVfQ P•I| TЅяуtp¶ =`ПxП _cJ @Ё eт 7H„ 7Ё D[Ѕ*кЗ PиЗ›г•r :ѓжIЛЋ–yd« SЦЎ–µлKЩм©€D Џ7n YЫ„Ѓ DЃH]—‰„@GФTq‚жV Ou«[MЫmjpіЦ a•Љј[Ы№M­ЗsTRҐ*ZїwЂСh umDЂi7@Ѕ3Ї\eЎ\“clс§&lt;йpнDњ ”ЂDќђЋqz WИ« ‚`| ѓKNj U‚j§ ЃQЊaYRiЄШПяуdpї &lt;аЗvЛ&lt;cJ &gt;ё Aт 7H!3мBцЎяt‚Ќu ]Іђ 5Гд &lt;µ?Ѕ `:Ў‹A ;п—A K±а‘ |Y N~¶yчj}ЁЭ ЋJbя­Ќ Sдx@ mQ‚ &gt;sJ X?R EU XjЇwЃxѓ”ф€VИЊFЪФЦІ¤{ќpc”&lt;–їRB№ XўОF5n‚ evRSЩ 6“ UoЊhЫВ ~M¤¦ ?– ^€яуt`ј ;фЙtЛ ccJ APvн–HЖJpI@*4± cPёPЮ¶ X5© YМ“r iRfРТ«U ]©jN 3г _Ќ­Њй …Ђ&gt;7 lu…tS™ eпR– G&gt;п atАрaAfЋ5 ѓgCШ‚\пSlыТ§ялЩ@e™кї“ gX3 4*шgДЇп­uЪПАп•&gt;ТЏћТ Oтo GVЬўI pcЇB»ЋОюѓ®ЃМw F· R_oиоg~ьС J9© K»k |:яуd`О =ЂЕrЛ&lt;cJ @Ё^с– cFJ :ДЂысF TЏE PИР ?К« Ќ3Ћ ?І8ї‡ љЊФЛ :Б‰” e® Eў¦„ bҐћаЯZ H€нqµ Ћ9Ъy‹ IЋУЮџОp@ђYU«n gb]г 9fХ XёЛugтяЖП3 8H™g I† elц ^л sUI3lИнXдVмеБ ^t‹5‚ZаЄЛiG»дНјяуt`ѕ &lt;ЬхvЛ ccZ ?x~мц K†JпM8 ^Xп¦Њ“—і3№тf McщўЬa CУ„B;Ф XЙPйе `ZDwъ© Љ†„@UЃК†№5 VТ3СA«ЬЋDХПkЙџМљ6—мџN‰‘bќ GЭyѓk =3ЮeЮ©· Wё 77— wlTЧ …d\¬зЌYMT Lo3ЯR ‘Q»дPd›sЯeг Pг}іp ^vhw;»Uм :Gўd—ћг &lt;QЙ]чzќяуdpР &gt;й :pЛ`fZ &gt;б Aе\@Жqlo [‘ A…@М KўcИё“ ?­Д 7KEџvЕ’L A4jчp CЉ 4ТЦ HлхЖD …K ]P _X 5д 4Я ;8 9lНIDу E¤М Ћ?ђ \ѓ‚@ы‹ ;ГҐРЈ3© „XoьЪЖ©ч~Ќ Sю•j“ЂB 6©юЊq&gt;jҐ‰o&gt;sa№qjЄКѕЈЎЗт GVяr*яуt`ј q7гtП cfJ CP^жV`FHC?d dЁD Sd OЭM^ 6ГЄ‡`В‰ D” ‘&lt;‡ѕ S7 :EF 4– F; M”\”Zг @‘ JV¤h r‡ЭI WЭPђ 4…†‡6©ьі“ҐЗYі \™ M7g NU ”\щ VtјТ {€•:EЏљ &gt;ЎjЉ ] ¬8l]IZt5 4ґЎ7 V:…ё:э•j“ mЂ]Ц [і;tkj ZЛБlyUNШ dЕЅЦКЛDFоЖяуd`µ =TПt{&lt;cK vwIг†@Жђ &gt;ѕ Oy C®N¬ aњf PЕиО _З3 b_ aёt Mtр O&lt;l5яUN Hѕ®жi bcЛ Џq^фа ~ђA§ N™ч ‰&lt;шХyЙ 9ТНJ–IVнZћљm{w‰† \яФЕiЩ«Ј•&gt;Яэ SЖN 4‚`{›Ъ9¦mqцѕ CI¤gsЫКЮ]ґ—3uП¤DRr 7яуt`ќ &lt;dЕv{&lt;CK &gt;РnйЋx„J xRApю Xp 7J@Ђё&gt; OGИ;ЅH ~O&lt; Ћ^mс =И™U [їоa¤ Le~њ 4Ђ°ё Z¦ ~;— ‚p”Dp [й 4оHЖЧ*A¦E Zoћ |eж° WP‚PGч5Цhm ?ЌуЈ”чРлЊ 3”Z™ WЫКВNeњыVКGo J„г &gt;HUY‘Ъ‹ [PЦвп ’7®r’±…V ZcA`ђ­S ehS:ѕPяуd`µ ;°{tg&lt;C9 tЋMйЋYЂ hV{@F6 l:  y5жMґа|T`ЉП®  ^ґ =zљ `№х{• †e]Е‰i† MЕP 4ЃYЃ‡A wdрсc Uµ^qтiA {;ФгУзЬ`ъN Im ?K r&gt;»нЉд 8у@ToЄЙА 3‚Е |7UЃЈо &lt;О —OW°іЃ†ўuМ uzYўNuВМXvсgZЂряуtp± &lt;и№sГ= 6H t;VнмxD Ћ—W« 8§ [jЁ eB•љЉSVфSWх @Ф‰±ЇєН Hа 4’иїЇHX”5 ‹;x№”„@n t8”„… KЂ T6 dFHm ‰ђn6bFЊ*C€ A¬qryчhШLцg №Oa`эfЄ“Ђ WD F¤ •M— =OґЉg †FЕМКМwvx`•~®jhZ:ЎK:ђ \eюХІDaЯї8ЇD’¦p O:[Xi J–П}Ўяуdpј :јAz» KC ‹BЁBхр`Ж W—4И­¦М w9Њ› Пs Nк QТ VЫшЉХ¶гmЙ6 g6‡‚ 3’ IOgѕ•а•ы‚7Ц—8еd†џUd†‹ыХ&lt;У3№Н U©FуQ ]H ‹…FднVЄЫа Љq5I s‰8ib PҐ‰ Wю N“х U]©q `©4 ^Уpe 5‡lOф s~’l|j3У ]н ‰j8яуtpє =xЗv{ —9K ?ЙVнtPЖ‘ЄођBЊ; FІb‚ {\ЭЬiҐ—„ eМХSљґ LЈOZ }B›Уv›МBт „DeP DЕњm 8њ R€ы;є\Њµ¬H€ CЉL 4|R =  “T^ &gt;ЈлІNЅ AњЙS =Ђэ•Y§пяЅ7S f6FEІ ;ШhЂ gv?rы ByTкЋ¤ћE b¦џѓєµЅ[ћ&lt;­Oыј ^п m„“KТ‰ Kl ?g ^ж I©УKYCяуdpЖ @4хh{§ f9`VЭuM f4њ Vё ’^• XЙќ B[ibV¦•HhЫ*dЋБ 9GК JР E6¬Tг ^kd L«єcvЗю›¬*»эЭќТ‡:H® U9з;шЧ*я RжюшХ \хHP Tiљx6МЧЯ-ясхяы+яЏ IµіbпQВ’ ‹ЌNm4“mИвl 3Б@ҐfO3w g^]µяуtpЅ GЌ‰nЛМј fL» Eж 88 3VМя cХЮuYЌtuC ЌO8д qK&gt;cЎгкГqЎХV3u PОzµ [} H&gt;‡ Qп«fЎзєзyояbДЃpкЋ HRЯ*яеMћhЉ‡ Oi V?+яМz\qА 9:љ ]ЫP ;дЁMЄW€Nm CћбЕП }ЋDkosї7JЋµ `^ eЎЄS MrБpѓЇк \їєЪ»ыя HЎ v9Ђd nX–а _  tZя &lt;яуd`D 9ё3~ЫбЂ frSG 5В!3 5? 7Ап†lе \§кТ…6ыGЙ?C Y“еы6 Nе MЎsћf•\ЄЂeUљїш Mўй xUйЧ IЖFЙаІД°¦ 9ЩЁ’Л xI†pGЙgҐ jGRИ PRІЁ ZФ•|™™mP† GhБЃ &gt;H 9гљQVщ {K¤ bЯ&lt;ЯJ*б3`Ф~Т ЂTЯYЯќЯ 4яуtpX &gt;\µtК&lt;cH…Pbо jcFHЯ_4I TD Cdђ i4ђ j_З e4 C›™ s&lt;И dЂcн_АХ‹¤ n5ЮђчWЃрЛ¦ BЄ!d&gt;7№Еb] Ќuai eбџЙЯ» Vyм¬ ZZьlљО— \ЯJЇµ=Є… Tаn‰Уп‘b« eЛ›эuЦчмd BлќХRўDЂЄЃ…S &lt;ѓњ Aѓ ?С•Их UХZ QсVSЂUijЇь Љu†€Gі EHnIkяуdpz &lt;ргrj&lt;cJ†h eйp L† 8L‚»ќЎтя Bп ==sс :^ G­ L?D—»R&gt;j8`O_ [HCЁ –^@ Љ4„†L «М ~M4 :€© U·„XкВсХцПХe [”Х­¶ЫD° q6WQ8 nw‰B Nі@а… Bc­ @Џ‹ЭPќ4Іq„ O=eF UД 3гU«я ;‚CЃq‚d 3nlщIяуtp‹ &lt;МЇtК WcH =рFт jc† Wй€ :ЁхђНжn UЈ E™ч^Qя‚ c—u\Gбў[«Ж VMБТЦ¤ Bs jGR†ћ° eЄ`}єхiҐD {56 ?y`‰ђЂЈЦ A±љ GшІ [ћм¤И 3d«D] 6ЃЄn­yќYќы 8O є \нў=љ·µ [ніЫЄж3`Аюђ©љ©¶д” qCћ 6У a°ђчмMс Ow €Wc WЌ@ЕdlґЅгдxl DяуdpЈ &gt;4гrz WhJ &lt;9 ]е\ c„‘¦Чa”Nї©Ж†цИЭ}К ]ЎЯґgјОрћAaPи8E 5И8ф‚ЗЦfQѓ@пг Itх©vь RBJ \8w{`° c¤Ђ `fs 8jЉђ3№a =Мq VO kGQ: 8\ГЃ…Ћ r7‚ 4G gq`m[Иіe &lt;IхS” q^† 5МvћФ&gt;l]z3„ЩС¬A[ Tяуtpџ =ИЙxП W¦J rcNсм K† [Ц*jЖVq¬ GwS8‰Gё e» cТЎm SІ±Lо cqОЄg9 II‘ KИ aЌw’Bў{јЦѕЈО= bSDСqWPЦ 9¶ЪUОX qk“Њq6ў4vs 6ћ¦§юT IкЃG6‚з¤ dГћЎE—RE@ќ3з«`XaЎ ђPHмVkЫ 6rZ HBwдEђлЫN ?QиЛ Hr Sэ Q€=cTоtПGЖщџГ©яуdp« =Х 6tk WҐZ &gt;@‚н\ DDHРрЯЅcЛвX®ЧG Ћt3• IќFOЈймr„i 3— ?Тµ ѓ&lt;±гVye’ѕ…{yҐ =зЧ[ ;°?цhш7 Vu9э¶Ьц†cдѓї=Љ®оw¶rj›УІ]‰З‰є•_S 8В  3Ѓ•ЄNЃb 6Ha6Н Z?pЊ H‹ •RЉНЕk}nХт_&gt;¶Іяуtpў =dНr{ c¦J &gt;©fн\ cД‘Ъ_&gt;о&gt;no|ЄOd[Ж @mП cР‚¶LТ ЃCХЏҐ •dЅ4sаСР6 a‘De‰зUK•«мтЄСTJя—Ѓзl§єzPЦwбVdвJЊ TP FчNЪьЅ Gк©“vYЩUќщС A„д [€МCw Ћ?ЄG]S»Ъ¦B ‰dџЮЕБ cрuЇЬАL El @» sckшдТc8‹ ЉY«9Л8К Vjш‡Шo*яуd`і p_ЫrЛ WЖJ v&lt;~с¶ c„ђ&gt; CИwщЩ @®bКyЪ“Њ&gt;Н8eb_ ST’‡ы IRf±H`в 5гГЏ _ўd‹›o8xВiТхй­•”Љ…DУlDЂfHBT‰ IvM¦J»Ґx¤ ]= DнJ“vШы№ЄЙ X¬ҐdgV4мЊЬF¦zП@•eЄїsЂ …:€HУ™cNє~Ic Cb&gt; @Пяуtpњ =„Гt{ W¦H r&lt;Vт jc„‘6T€ Nb 7хлм SнQ?f dћ dO›»¬НoЁв¶э bg›мсо sU9Ѓ eхЪ§• ?nuБ Kяwл 6 =р4Z·ё xNаШ oЉѓB5Ъ \ю Ћ_а dA qJM[ hCzh‰aП K=k 7иЅд ClyЭhAе DЧЎw &gt;‘ЅУ R^ c•U–ЄN g9І‘G[¤ђКҐ7pн X*5` VВ W@Ы L› :F eBяуd`Є &lt;њ№vЛ WfH Aшrн¶ KДHкЧфb:7і‹ CКg4БPRз ENГ wIцG™­ _cdЉ¤јEЗе B¦› ЋaЌ `ё­B bґВ?6ъ«WеKTе 5Љ 7ЎП 7в ЂgMщpAa C3Бp cQґYвaў¬[^ 8ZЊ„ OA I±ў№ёЎ &lt;=G‚нї№і &gt;ЅЗ G”їSЮкPКUZќа cK L‡яуt`њ =”ЙvЛ`hK Bђ Yрц KМ h&gt;ІцК94мd№Z­ bо dЯ Z—[Щ SУ“мЈў«кpKђмДPL w&gt;‰’ RЁ°Xa4C&lt;СсW± VGµ L… CУЯ¤ 4R HfЄVњ QDЂфаЬH`ИЃЖ°И ?ј fm†Qs¬єЭ‘&gt;rШP»V}АB UзК ZО QФNЖ•ќ n9CўGPэ]йDёeZЄЇsЃ4 5А± UЪ H¬кxа§УЂВ9дДяуd`њ ;ИЎt{ cbH BX Yх– L„ h?§НЎФ“№Пus Yт Tу¤Њ©v©‘hQv e•EаО g6Ђ •9ЌёлRшrkOZf№їы vTwKTп h[YV…ђ 78&lt; ;@ 3lГ sWD°тД‰ HJўм т B” |{a± 3е Q@ж9 TиуM T—UПE ’L~ъпЎ– ^н ‚]юYЄ“Ђi  IHjЃUяуt`“ ;Ь№vЛ WeH vfUй– EF 3pgWсЎCмQЌћK‹ ‰Z4Ґз&lt; o4Р GЌ GxЙо† K‹О°мeр OЎЌаЂИaщ4&lt;Э :… :ЋAИ 9]Le Vњл¶яE =3lЄЙА &gt;M C5 Fя”А UЏq Gл 985К CЋ BЄЫ 7К JZ§® JЎ;O¦КeИ 7Б Els® U=яСB RяоЁъUjњаYјіbXGбK}W6­ЭцbГіµA @eяуd`џ &lt;Њїz{ ccI tKjс– cFJќТђбзе G6\В QуPЏ‡Н 8V „Jk 8Lѓў 4зИ 9V aё µУг” _Іх?I‹?е 8Хi©V“ [ ;†Ш ’vU3 M” GаД _PЁ` 5‘‡QmOa¶± b—«`є iS° ГН xT‚¤€ &gt;™@ы MIџпИ \пgР‘“‹ †[VU©Ю 5гМPв]fяуt`• o;“t{&lt;CH BрFс–HF Y5^ёщж5:\Ccн? :Ф8 BR]RE*Р°`Ђќ 8Н :L @`8 ЊѓAѕђ‰»Ьђ MCќ~ =љћМ @ЈЁ ‹W¶FЫrш mcIЃR© 7g‡Њ€!E &lt;ECўа lU¦Ќc\†‹М OЖµЛЮЈзой3S ђ_– Q[?xyмМz 3UЇХIА LB 6З« L—YЖїнw3„PЁЬЋњ&gt;Ю&lt; bLЏ [¦ ;™Eяуdp  ;XOw ЃWc ЊtS6ъ 7@D Wjz CЉЎq AЇ“ѕ w5Т@„eJДY ?ид™ W¶‰ b_Ом4ХюKўµZ™UҐ ЋMѓRX VgЏ 7°с@Р` =† h6Џ=єњІ ;LуЁ«™ Gћ n3ДA  6Љ„ uH&lt;с~фзп]ъ–qDДТc=@ `ФЂѓя ”3ШвMп€љЌЊEЖ&gt; AbLЂ ;Ђяуt`џ oCЕz» ccK Bи&gt;с–@F YC z‘&gt;y LыJtЮБЯої|*cЦTйаЁTU T±AhХёЙ E„ћf ZxЩ 8{ FсhDэЖ6¦P\kЉМ ^tЄЙА4qВаО™&gt;|†лN‡FvbЊиЇMЪЅ Bv&gt;G™h GаЉ…– a|ѓ 4хСM°‘х‘KX5 lf&gt;ћҐ ]чҐУG P·BхЂTЫЦ«s gjKfC Ma5їўЛe‚Йpo PЧo &gt;? 7яуd`© &lt;dЏvg&lt; YI C@юрц@Дr]ЫZ_ QпyO{І9†O4} KО6 ?ц\у _КGOУvE V™ AGЂљ c; _H`rЊфіЛЯQнJ¬њ 6§Ёи Qѓ»RT O¶ =x Ad‚АЎ 5ЇZ COЯ°ъЄ W§ \ЫэC W_b C9O© Rb?sэh~ђГхSt 9r =p›‰ Ty L‹6Я®аG¶bЧtjяуt`— &lt;TзxЛ _cJ ?ш^фц K„JОЈжfr“ NНюљЏВ@I 6  zC:Љ‚Г :@ЃMЕ &lt;ЎВCј ЏOШZМк*ђ¦ІґВЁј eИ [ИlГ v@№Д–‚¬y W‡±mA Lu H“MI@ 5P ’K` Y}е™Э¤Щt·‹ `Мѕу Vr“м hЋd®™ \`єҐe«ЄыюFЪ fdЦв sEьEчI деN@tXSn{“Ц\µ —JЇDqЦam¬яуdp« &gt;°лlk§Њ f;А®бqH ~4ґvrSЬюE=µ O†Ws™YУWФВЋeйђЎUИ NыoЅчєx’ `FўN…Ґ G›жУj X‹ FMЈV– Hр›EС“± Dm@Љ `ЁЉб E¤йВe 7•zыЏYСi ЃL&lt;џћз*яылі ;•=жђ kAґТ W–гq¶Ыm¶гbР 3cЎ EЁ† g^ЃW±µяуtpҐ D…irЛМ ЉfKъ Eк 8Џ –4э­&gt; VCЦбєъ~ Ќ_ФeNЇb C–3 Pќ•;ЇSЋЗ;”С F8FMНи Ќ^*›u·ЉмR kCo …SйњyМ7гD·оПЁ uTњД eб°XчЙoУҐ•и”M· W`C EL;w™©JПсЅRЫ·¬фЮѕNЄ¶єr—іp©± †LjZњ ZЎrЏ§њжEУh53? €`нr•Ѓn SгўҐвi Cб IьЁкяуdpH &gt;ECvЯзЊ fjvIенЖ fg~DJІОЈ®Єl] \‰Ь cэv†I fkaЂD &gt;`h Д;OьD @ГЂD‰ ^rUуP xkEEФЕч M“ wS­ўм 8Є Њ&lt;‚Ж B‰ UЗGTiЏћмjaЖЉВlЮО§S _¤­™^W`sчmQBЌµ’G `ш 88 L†‹Д”f[J Aь IbIµ›u Bwxяуt`X :T dЃ ‘Љ‰Љ@И~ю^ CFHєи{[ЄДв Z 5уЫP¶mҐLћгЫћЩRµ&lt;\ Љ‹‰W­NР c: @ЎRgМscJЏ’PN U|ж Њ&gt;VPч†Fn GФJЎ [Ц d‡‹ &lt;^Ы  Mфц·п FЇЭ ZРЯd‰ ‡;аj«r g&lt;је ;¬ x’ђo&gt;њФтHЎ[юЯє·ъ ^™љsTЯFЅ7 T¶v;У·HP{UjRЂ“ MjT[qЈ; Oыµл Nяуd`y :4Ay ‘cc Љqfq5V Ћf5s:МмRм•e aМЭґ&gt;— VЮМЯ‘Ќm Љ€^ЄЈ‘•З oi?P Cт h9‡©; U­ч–•kuЉ~ѕµ jX*єЄњЂ [:€Ј;^д© …J;С®О!YRЗ5 _skxю¶ PTђўк[И aЄ•ю·JQ W\ YфЉОV ``}юН`H“:кю^ 5шнrz¶яуt`Ћ o;±rЛ&lt;bH AHvщ–h„JYwџYЗ¦Ь N™ЋБ5ҐћЦЎ№Ьц= MЃ ;з¶i›ўЅеFvmЄбОhЁ Wч nt`C :_X}J aУ:¶ YЇm Nл¦ „Љ&lt;D® WЬџЂЃЕ &gt;?т ;A JЅ 9"3n 6‰EІйЧлXЂ ^Ю `i 7w cj A3Я \GMYG CEuUђЩr 3eUjїqЂЫ c6Ђl Yдэ 3\Эшх‰¦ :qйOG¦ЭѕЙkЫяуd`џ o3Їy N&lt;BH @ђjт^ CDH h“[л ^¶ґѕµдЕ• Bgr3Тc’ЖDћ Azўs ЌFBТJ№x R“zДa4ДіЩ j?•№Ѕ9Ї =Я \я—юэЊ&gt;ь?f›нцЫ ZOЅ7` i3; L?ю‡iF GЃ g?ЃD fLђ•yл€В ‰Zµ¬ Ѓc–џЄЇs 3ЮжC¬Юк Ys»`±НђВ¬”гяуtp› @№7lЛ&lt;ЖZ… c^Э\HLIБЄ®МоТКо}j Gщи 8УЇ QE`d †rkr_і^JЎи ‚PKEљ :&lt; &gt;­іЗ» &lt;Wфп*[EdЁЭq¶оn 6ѓЎЃнNв nh–WNY ѓQBE€ &gt;©f™C Oэ©љ {‘Uf cп NЦДЎ ]ТПwCћВ: 5ЇўлЪєE m3”ZЄїwЂE 7С±и™ Bз»е :›jtѓdУЃIбю±IИ€›Щг L~яуd`« o_kxЛ&lt;b6 AрfтV cFH’RюђдGЂN 9‚А‘с eЉ }48 Zђ°ГD Q— HwOЂ‹9‰ _юыVо €V= ^фа ]НI Iі¬дЊF –WY–QЩN{W™­ъIІ5єР 3Zg uo[Ь·Xы»_go»ю®w ]TянRђ 8сј\СPЎ¬ _R Pй Q™ЭU{ W”lґ}b J­ N?яуt`  &lt;њ‹tЛ _cH ?ёjиоxDJ?— aдС ?C Sѓ±•ѓєЋг †V8д5 I8Ј 5W T­ tWzXБЪu |EЌiЙЌ &lt;кI ‡[њH”њH &gt;–lє&gt;ЫРLў}D=АЙБМ 3‡ tЉLЅ }`{ W~^“гbЎ =Ь”d b} hD§W7HякТp 6ј·„щЭ;jКZ aЎ@їЏЁ»Ц¦Ою·Юѓ3 Kх E”SЄх3Y{dkпЈчк ;y UDяуdpі &lt;”µvk&lt;cI s3Bж 7xF W…N x=†АВcОBћ ]U_тСлЄпУ»J« Џ3o VdC gAЇѓH NЖ5¬{kУ8Џ]аХф moRФ‡9 ;`Q CНІўf… M—?Ўбy FЃБj«ІПЂ§Љџ ^af?RћЂ™P Hj¦Ы­§b f8€·™PБ YиЗгmсВг»^ HЭг8w iC_щяуt`­ ;ј§tk§€ gCЁ†дчO ~hO|НК€ DSЌмК]=Џ VХ€кщбkjКћґХчџ 8ѕпoґК•lнibЧыЯ¦ W‹™®рґ\ћ†tї‰ taul|K|Цџ;єQFu8н*Ѕж?Ю5+я«в–*яЯ&lt;Ѓ]г6‚ B† [gЦчщAхюЄЌ YЈiДвr¶¬ frC=›„ёѓ Se… BЫ D7Ё Kя3n4›wЦ¦Д•‹ }EnЦЕ±яуdp· wX3nЛЗј fO©жеuЏx 3[^Фj»Мk^љХgЅbГќZП PќЊ{kя€­Saе4^ {vH№q—*ьюmK_Яе ;?ЭД¤ K›™ 4WФ– •’Њ@ўїщУ¬P*ЄiА xfiLжф€Ђ Ђs7„Ѓa¬Xз‘eB7 –4эµь—Eb”ьУЁєе WцПRџ}lіђ!; S¬яуt`6 8” RЂЗвЂ g?АW 4—Ж f5ьLJzЩ EYЃ 3Рq€R’ч€ IK±9 KЪ Lфў«• \qз Chѕ»‚c N±їP 3j—кP czі Jh·HВClЊК™ cќОyВ‚жШ©Ы sQnѕ·»K…‚rЅМтЖФц~ ѓSлЌ `®H4И‰jЁ MRок¤Э*@Ђ S¶ ] ; 5« 4Ђ† 5К G{!;“Я{ P№\» “Oe 5WpиEхE N8 [:яуdpi :`;zЗ ~‰‹?  Aэ\ ~f5€Ф d№ SU™•Єs 4ђщtSЁњвЎЧФ ahЧgЅ¦l}uУяIK·»Qя±\Z ;€‚бЦ‰@OЃЖ!U Qє Q«ЭнYТGҐF EНОЩюЈ‡t©OХUЛЂd &lt;ѓjяа yvQ}Д‰dQ€ zQui tY— _П|xѕbЗ cн hbB¤© _…Й [Vma Sяуt`v ;„{xЛ&lt;В9 Bhrх– cFJle `Љ]cpЇ± 7XHяхRp ;’@ \ё c‹aqI JМе _»:YЛ 4¤™oEЇkћv•DОiЫЎ &gt;Ї№…щ LlzXыЁЃ8ЋXСФР tO« 6:Tyљ ’ЌAЛ=н SЧtL· Wa† 3t­г?х­Эїъ”С WЖБDЂAJ:дт j&gt;blvcї^R¤Ґ^№· Wј :`VЉШt ]~ ^Ёi`*іЌЛ”фяуdp‡ &gt;&lt;ЕjkahK 8H UЪ 3ГД 4Тk JҐхµb­Ѕ\ХхЦњЉe® 4ЊўuПe ;c D&lt;ј ­A…JЎV§ jpFAyБі™r№µ N‹дТИ€¬ aТ›‘fі ѓNм*9€‡ґё\N‚dEКjИЋ \x dҐZЇІє Cа hL@ 4DNCЊ 9МG 8гµ§m5P bј 3эҐVЄ«їюIЪ f5H—Єяуtp“ @°ЩhП¬ Љf8АRХ]R f4pRc NЩtgЌЪNМи®XЇwXCї d…ZhПD…9Щ 5pUy¤к3 ?Ф M­µ UСШЖzx bЛ i@^ Azњ V© Sa Ћaф±¤Н9TУ •ЊXс¬тњЬЈ¦ ^G4 oO“ИX _фэz­їц rcNЋu &gt;і­R¤­ _’©ЎјТ|&lt;яШЏ RVYV Wўg f6A hGђ‰›њхй¶ЋЖ aЈ B~­¬ы NwяуdpЎ vd9rЛМ ЉfE‰zиН‹ –5QuP†ЅЧz}уќ RѕЭЈrдчПќў NяыXуРД Sш¦Д a5O MљђGСъ;иH †k^mUOp zs_ЋTg„Њ 7Г@ИЌ‡ 4Ђ Xѓ &lt;ЌџM•9b§gO Uѕ8€‰lSќHл:±^ї 5лK“ GfХSТ 5шkcq9q 6Ў ]уЈ”ѕЊ ~;Тi &gt;…RяуtpP :&lt; F ^д!3 ?ЂVю 8В!3Ђи X{ eЌ‘Ўmb“кm Jг ]®ZСыE IЕl»~WФUzҐVNЃ‚г9 Z \c [ш `‰Ѓ· SG e9fdцЏ L©s›XjЦ]эMзњ±jTЖЪЗU·Цп·Ьґ {_¬]хTе f†ђ[K‡@ 3IU @8ВE„® ?Ё`ц4АЕ —&lt;Єі Aг @±qЏ¦І®_·? ‹Lэ ^O;c{ћ \ Dj—йР }5F№®яуd`w 9јO|Л _b Ќ@ё Mэ– KЂ 58 SЗ ]v &gt;SHрR ;В@А 3ІгУE4 _DСж zaЫ &gt;ЕbҐ DMЋЕяјџэ©Oя TI4 ^щ•g †8@ ђСы\аІ dЎI‡ V№ o@јjЯTАL*Ќ©ЮмМУ–ГцвМbM D5ЪХ wELѕмXWAч9 4_ZА”jVЄw 3Ю r6UЕ5Eµ=iї¬яуt`… 9Р dxЗ Wc ‹Aрrн–X†JaбЗЩэЅБ OтЙ ?пИ¶Э]ШоЁж Nc j‚€WeC_ Y ”}?: ^ЇЅЄ NwЛТеЧЅџ™ SL’ЭЦ6’rю kwEћ QЙF Tі 85‰ ѓHЊШј€ Y–&lt;MљuХeў‡дЎU=‚Ѕ‚g OyЉбFЕ 3Л[“jќ~ы OъЇ dЭ¬Ђ™®jїqЃ €ћEiaBонЉДуШp‰»hE&lt;|лз™nпШяуd`Ґ ;‹tЛ&lt;bH Bш†о^HЖHR›Ож{зй6­jLЭМ TiЮ ‡ђ`&lt;ёFjn™CКk&gt;eќпоy~‡¦f[Aёчљ№› U  \DчGяЙ 3@q[КюoС‡№Vѓ T OKШЖ dпи Kз4m„ MвЌZ Mф _VлОI{оoґ a¤y‡кvЭцљe© EU{ђ &lt;C`ґ I&lt;ЛШ 9¦ y6яуt`› pd3xЛ WcZ @аvх¶ [FHc&lt;ЩБќhP’ |hGXз¬рjкЏ p;”D:&lt;UЛ ЉXx€ W&lt;лw ‹lk=·rt­dг€»њ^ЋоQd€ЖцG W—` [h &gt;‚ЁЕ? X6s d–м&lt; “MBr” FёЇ OД&lt;XОЌЪ jRJGЫћb—Ј°•n JЪЖ9€;¤ђeVЄя‘Ѓ 8w grCWЌКМ?ЃЁ e^6кДqSjЗ\Д FЋЕ H© Bmds Zяуd`Ґ ;¬5|Ы –‰ЉtC‚ъ^ ;ЖHёс _РX`8AЧI›єe чY™Щ№C RЉs @ќ‹6?Р g9В @рfT¤Ё†Юсv_їы»нЇ›”v‰ WШ _°4hћdр cСкwJдЄЮQ H;ШV­љmІы:YѕDp ђcЂ 3YЎУR :¶·@UЯ¦Їv 4бiУд ^Є~z–EЈѓЩш ЏZ‘9ї Tкяуtpў qWпrЛ&lt;cZ‹I a*дH†‘mэтЛ¤ CЪ iGPIпiВ‡I O†‰ ~C‰ljџ®Ц Њ9й±Цg§бҐ &gt;ЛЏbjф ;Х UD¤Ў`8ҐЋ jF‹ ~YhЄ z5&gt; P8 9sW e‡°Єўѕіў ‹Љ~jJhЗt ЌIzk§] ‘VS F‹ЂiWRI· WАzЄS hM№;V SWжєИ¶°Ѓ• `ЏиЉЪљ•W‘іп— YX Va’ПC X6© g…E‹‰яуdp® ;¤svЛ cc6 @@ Iйt dЂ 3U ;ќ @@Ћ ЂJBa  cЃЁh«ДЏ\ =пb Q…х UµЎкҐ mVI Zfа6 y3іPMс =сЂш ђjp;HјіXHP ‘zb‹ cs Fu6Ў¬ {NДи bb8НфхTЛ KлDбµgi¶І«eoљїs 4rЄ: SТЬUїOmx b№ U„« RўиВ Fћwlу Uяуt`® p3™tЯ&lt;cH BЂ Mйѕc!3“УIЛКv DЎ HJЇ JZє…qБ€ІРx €…6џЅJbX»јXљ HnэhТ¶7HяU“Ђ 6k®;ДЂ da &gt;’ C8р]б` SLф\э 8©s xSZС Y› Hz:kUw ђc¶3urОBу bZ№ @— SU XЪ«w 3T u…H‘т† ‹[ЬZ‘ &lt;4Br§эN bУ †\Е¬f&gt;ЛXі€ l:њUbЂPF –ЂKсBяуd`і oG©vЛ&lt;cH @И ]мЦ CD 9® C†A ‡K°ў^щ eЦл]i hVY G¦ъt5 NМЄІp 6E±и§ы ;€ ЉIД =Фџj 5sЁ@бі• ‹a®·&lt;sZ RЕ OЈe sY•!EЪ»… Nk a=ы¶WіЎФ± SпкТp ls&lt;eгЕБa¶OLЯD*Ј ђlVZ§‹Пь­«Ј€­hDyы;_ @«яуt`® &lt;l}vЛ We8 AЂzрц cFJr±h… Sk¬Ж Eр¬ o?s „k3FЁmIeЊK8 L”°rыЁ ]‡ЪµY¦V§ Ћv‡†fEu [‚B d»Х–Џ 3Њ S`q GњA =—4е `Х•4 q6П H6 cі…ELћ 9^Ыќ®‹–U„“r 8АG­ЛЎ¶ Y• =к OюUj›Ђ@9\ ‡]Д~&gt;ї›зСѓ ]АdҐ4§ ]ТЌNuфџЄг D‚cз GЁіТ@яуd`» &lt;Pїvk cbI DXfс– cFJ› M~©Э] M… ^дТх·ъќм¤F6•Yё 7¶Ѓ• :УО SВ Fк a©s¤pHђ\±ѓХ»§SУ LзrЛF›{} WGґPѓ&gt;ъяЈоm 3™Z©6дђ :¤R Eс6x @щC IњМ°—e… lN W‹hЕ =€В cљяjsЪYЮДФµ UZ @Я ЌL’ UR Gяуt`¦ :x}z{ cb9 ?Ё~н–HFJHђ KLЭ SCЋp [ЏH ѕЙ= LЌGУ§uZMн7 TПВЉ UnВ8ІҐќљвk D†Ш^Мл_у @©в \еВmё‡Эћ?¶»ў€m‚H 6EЂД®ы ЌziNiУќ Sв G°•Y«ї’ g\A TДйЬЯ­Xл’мЧї~Y† Ek |\Щ €X¶йС ^5Ґ 7–q‚tб8ВNЭ· ‡;Ѓ…„±kеkЧЇoN ’WэяуdpК Am bhПdЖZ…а YЩt6 l4FBH[ LaТ B’–jч UіQ„хҐ*|ящ~г‹o–Жh{Ok¬њҐlЦмvQ–vE­Ћ·щ}‰› Џ]‚ vђK6BЦ€ ?ъ ‹Hk} aЖ» 35Ѓё™Є©¶д 9Зв_PжЎН\f :‹ҐBvўВЯєй ЋUџдuкз AҐЭчoSPa Dќњ[Г9B Eяуtpє tЏ:fЛa \Z…ШZЩиБ„ [aP NЪзa;¶_M aб ;ч|m pr…BбрБрщВnQt=RlG­zи}ЖЧ_ 5@`J 6K 8ЈfБ` FЋ 7@жЂЃ 3Щe Ђf}Y]; Oi SNЗ JШЕµlA8*Ляnм»ЕvђXAY J}~LUfљЇrЃ 5Ў©p®8 &gt;¶ШжЮБ‰”ђ жЬ hEЊ R^љ“MЊY aЙj9 LќZжTв&gt;9nАљMяуd`Д =€зvП&lt;cJ B` Mн¶K!3М&gt;a &lt;Z TФўЌ KЌ”г 8`и8 cyЂ K«Ъ‡9ЭЋ­н_ЅB‚­¤’ДwSXA@°rDr*c‹фД?•Eќ UКpI Y=ьї} [ЯжЇэi :§|OAтэЄ‡іТВюБщ@U·jЄwЃeA:Х Yо€ЭJOУг:ж;Ю „PKЦ bЬЯ5 PгќB†№ Yяуtp­ =ЫtЛ ccJ ? RйиHF Џ^3™@BКУ lЃjvMRЊИ№хЁЌ ZjNч YП’| \tк ZwћиD№l±¦д€ 4I„wнaЌYpF &lt;‚б —Ћ”cђ nzUБПE64¶„ {WЫa8t№Б `дE JW¶ ^Іy 3” HЄїs 3‹ kC] Ќ9EФЄYЈпVљ5тгi BЯ LЎ†jіYХ }dѓЮm”czЄw†ри58 @…єё NЋФ zUUЊяуdpё ;а—tЛ ccH sKJц 7X† W&lt;QM ‚s‚^–Ђ 8@`ЃђвЙ†ЬшЋЖWы PЧ[ du 5‘U¤а 9гШ ‹o7‹д dD8*єЯыи®j¶еµ§ WнFBЭ›й«ЫaD4 K±‘ &lt;р &gt;ГJe ‹K  Ѓr~Uд_ЖОNЇьъ[PэҐj“  ѓ7›€q o6L«к c&gt;‘ц U6X9Ї ‹Zяуt`· =рХpЛ&lt;ГJ C‰^й–h„’Odуz KмБЋУ HШЖB†Јз`жЂ 3U‘ AMg UЏi7 \n±љ3кGэҐNLF eDІиУn^Ђ ЏЋhKBыщc–LаЙBб 3 [dЂ C“qґ7C IзУe FFLУj tGsTё ^Hў Uы&gt;‹Д@ҐYЄїsЂ№8HaИaџQS± V&lt;Нs dљ Dђ ќLЬ VжfР HСnѓnЌ­„ЖъiҐфc j@| Lяуdp° ;Д§z{ WbI @Рjц 7X†H» ko7”ЋщWё&lt;&gt; _p¤ S&lt;Uаx| 5е№‚зНК Gїr \Zw¶ф ђGJХ7 fЂ5*&gt;qfэ™\r7Ь 9іоy~¦^}РjиVCe rL4 Ћ9Ђ€GЃBc Qф dFX^ e”†ђaчЄ‹фu~L•љЫ `{ 9ВР4_N‹Њ&gt; BѕGЪ YBьµcяуt`­ =¤БtЛ&lt;cH B© Yс– [F’g VыHц»*oж±jZўj†YЙ{ў Lhdё ‡c°Ж‹ґ r=‘[„ЌUцґdbЌ Gпt—Н eъХЛъЄњЂ [A EКЊбЧљ Sб dbO G{ ;‹ђb6: M{hЎ¤зёТФђ[є—э5°fб®Cњ=GUЎФЂҐh’Wьј 8ЙдЊDќEfУєД &gt;*5Ш ^8ПХTs X’–O¬№*— &gt;~ ЂcщiмIяуd`¬ o[»xЫ cbH @xRэ– [„ ]№И ;PZГЋ[мзh [§хm 7pС†“ ‰iV:j’N=e^WЎ EД’6Ы’„ 6ENг aџь”С d¦jBУe–„·Tч_ѕ ^џзы»зsэ№ –JфyЧyGr Hї{Ўы TЧMю [UiUjNЃ [IHЈљ cФ‘MX aY‡ZѓQ ‰S“ 9›;­«{’ѕ[яуtp§ &lt;ЩtЫ&lt;CJ tfAт 7X fgI|оџТІ KІ[ ?8zў zu\МфКќД’X·ё^і rU‘ЯФЙЋћЉЖn8 _ѓ —bФЂJ e›чj’tиз RЅ =ЪJ96Ѓ™ |TiЃlЩRЇ»Л’ sXќџсWћq Aо [зBфT‹ “cяUZ“Ђ&gt; S… =YЊ&lt;ГHощјї \k Uтx Od dчzХ]ьѕ Vъ RКyК|Ms»хГ 6¦вГ Cк WFP Eяуd`µ &lt;\ЗtЛ&lt;CK s3ZеЋxЖ ]§‘Ћh Ut oGQс =ЌґТVз»Озх P4ќЋ§Z¬Ф ]Уt sM‰сЮёЧ x{Ћ^б &lt;¤дДеЉwц lA=•ѕ«Yg¤ dSЗґNI tHФ*Њ®… NiDNћяпЎU 3В?NЂё 9q6 YКа‰Јfѕ±Њd YД 9Q M} LЁ›9Ж Wc°х e^с \™яуt`± &lt;ф№r{&lt;ГI A`‚й–`ЖJТU”НЌJ ‚@I•S Kіj a—iЈ SEkU3lJкUЊg№ @igЏ 4¤Х”о@ |ARУО lgA]Г L¤ nkMNЪECd‰ QџєсЋ 6;рќс[ 8QХ°пі–JЎ c™VЄя– 4ў l4гЖмEOЄ ^·ЧЮfЮ› QЃ†јYщ±i~Ч№yђС EМ^lпЬШI4€bQp{Ш ?qvфѕЎ J­8”ЗМЌ Eяуdpє oSҐpg&lt;CI &gt;а:б\ cD WИ @‘ь U±@Jхф!Zpм­A jw;raћІ™ЂQhж ?Юљ› UX›рЏBqr5хWтР 9B¤YM GЊж YМО LА¤ g€7Жџl6AFЩ F–ѓП} ]bг :‡GФeл B€И±Њc \Q‡ fOоЁ? qWЅ`@ ‚–KєэшЂS­¦«n 3PB BВ®eЅ Uяуt`ј!@grЛ&lt;Г\ DXVй–HD [ў H„n ’•BoKь•пт—еzРуґІТo&lt;ЋиLtµбд|бхe^Ц†ўrB†њ¶ XВй G] Ae [HЧTіЪЩzf‰RШм}ь” s6b¶:7б V°^ ]•: d„L‡L D@ъЉ 85У‘іО­h `ҐJґ =ж} H“Ы¦ЯїфnE S•i–«ш UЏвАљmД I:x–Ґс\Uљ MXwhSЬ№*зћfGяуd`Ў o[ЫxЛ ScJ @€nцV@ЖHAyJieчхЈ­мкЬЅџ5 FИgцТЮЯ_Ёу;«§ЁІEЙ\m4гґ ;лў OSЩ ]К yUKє5Б8d4 –]· Q ‚™€№V ]ЋЈМ‘кЬy7_яђп~DБеЂЧх_АЪ ;qєS“Тi;ЛъЭ nJ†Scr­ ЊKь¤№e™Гі~Љ 8хЛ :яуtpњ :х DtК&lt;bZ sSZо 7xД ЋA6Ж ~aЎЏ Wy’мЂ„ЏzHfк; IDsЂ®х? J~клHЃ O‘ЧтР ‚AрГ ;dBІф†_°3љ sZЌ” Cґ ;8’ZЮ•»]OзП&gt;хюЕиТ­•H `Љ}zh©Ю eXeZi ЌWђ ;ѓґЖ `ЕXи™ &gt;ҐбgБ}{Э4ЎS‘ Yґ FяEa7ІЕRNњ„вбдчКVДg}’ :Ъ y67§ \ГNяуd`є ; klj&lt;c6 @р^вVxDHр™ Gѕ d© J FжUнI Uы—»]л*ы?яюvш*иђФ &gt;au :РсMЪW H 7 ;rР ;ЃP 3¬ fU” 7… H~ж ag ђ5d Y¶яы?1яїЮ‹ ¦еќ \vЅъ ђIR_љ«›ЃG 5`И№њЙUЕ¶k…љ€Zjс^\у Uћл B8@яуt`ё ?Ў FlП= 9Z ?‚ YЭ¦h„ґњh M7 8F‰Sqcoњ –dPљќ Y}ўсНЈoaj jX5@ H]Ls {K©яУVд h:Ўи WцЕІД 9`РЏ»І„…¬&gt;™ 7пСhBqs… aО~5‰&gt;ЧЃ 8їЧC?ХиЪ°ђЉљЇw 3\ 4b [ћ­эЏ¦gй‚”b E6д i‹IЛшp§ \іdщ YкЗжЋuубюg±€Ћ ~ЉA4©rQ ;Сs*бVяуd`ґ ;њmvЛ Wc6 ?Ёzщ–XДJ R¤sХCЕFҐMсt `№?YT ]ҐV¤а C8 P&gt;e TФ{ NЏ GЬ“7лy™~·нNХєхЩЋ¦ =Є† \†ѓс 3FБP@a YXqjЮ‡цz HО·цlЊ•–ZЄRЃ ѓ|\KоЩ _Й­ yL7¶ћЈк“r&lt;ј‹Ш}CU–Г3 YдЕ­gHFqЪ [W=яуt`· &lt;p№vЛ –VH uTBх– [Д’N Џd6H “;H KУJ ]8Ў IнOr™IфЋGvЦЮ a¶џBїяЛV TДЊ Unzа3B ЊЌ6ЄтЁwX\С@ъ IўcM– ¬­ЕЊT Nj bEєнљµѕ°¶[№¶дј =“ДA bEОМЮ6`Нѕ Oб ^ЎW D‚5 UоKJеIk“њ c« Љ‰e€єЙ 4“Ј EћgTўћМZВ UD5Nрv HpІB _8ЛяуdpВ &lt;”·|Л&lt;cI &gt;ёrнX cFHШ ЋfZ][УvЏ‹ pH– N*ЄrЂа p:Њіk°ђ№пKQ YЗ 3Pв fIE^ A¤ЫPЃ8 KA™ ‡IK”4jЙ `h  SЉ `M \QґЕ _ї Hbњ TGм­дB` D‹µJр=;ГI&lt;B«±‚f 4Ќ§Џ 7Џ y8”}k uT±®H Y8QGЛБ Eа fSЂ€ Њaяуt`Б =@ЧvП&lt;cJ CXbщ–@FJ!G 8Џ =Ћ {;Ѕ VB \‰^ъMЅнХ•3M 6яФµѓD” W’ћЂv‡ IітНlЁ»; |E°аXЂ c4Ю N©ы VRi№ @тъwТбКhн‰{¤л®йФџѕ”tЂeVљяsЃ ]IЎ y3pИЄЃ‰·XщqЯ —6‚ Q‚у™ч‚_Ц©њ№gЏжЬМ `9Юv› aSЩЛN \је&gt; `Б»П­*¤с ]A S­ 5яуdpА ;д dt» –€Љ@@fйtHDHБ F…—7ЇµЗPЎ­Gх ‡`y5 YYVM Ћ5НBёБ‡ VSeT~f[–pr”€ЊОO¬wDsQэ[=to4” ^¤Д:ј~И qLµЎХЃЪЈмO S©YЄї’ 4qA r\‚UГ U‹ \Kыw; G•©kOЪ@• OtДFj C‹VЄ bЪ•WЋцQГZlxЕзяуtpѕ =pГtЛ&lt;FH t4Rе\hД‘m ЋG^T …p:EГnѕaЄ;NбRйљП Kz8n OюЬ ]еoфчЊ¤nџf dрюHі|оЙU D\FЯJ i`vП«—*юlS4 5„ g9› L“S‡hDb WDlT ]кБ PИ SҐZЅ¶д” o7Н‘ QЦ[фћlыЏфЫ u?У TY­љ{mg&lt; Z‹*Њ\є N\3tAVPLn &lt;Д 6dй ;€БРИpF WqWяуdpЕ @н NlЛa 9Z† KVЭp`F \¤ bЊ ЌGМl`Жu Xhj C  OpЁ”Рm¦†39 YВГї–ф¦@sющ h3h :± Gґ 9GПяЎО 8FЭгњ TМсA `‘шoп KAжjҐR AњLА•]kїsЃN Gb{G wтЈл7¬рь `№;‹w Tњщпгт= G¤SЩІ‘ &gt;C |zc  xpcNЁъяуtpё &gt;„гpП&lt;ГJ =P QемK jgz9l `ZАХA@b ;ѓ›ЂґЄ &lt;•„Ц„А© ђUxyО IEўЎЪч \Jh‹э W|ЏыMTќ iZй9ЌўЄ Xiуч9LAК3‘„Ь ;–gчнfU UќT‘§Й KіЉ ZKў d‡‘ EЕШФЄ„±Е}ЭЊ«іеЌ _і lHялRp pvSv Spµ Cю\[UЅшgЧ–ѓ ђ=я:XцхЧ `og=[z \оЦяуd`Е &gt;tБnЛa VH C™FицxF’uHҐV8 †ЋObF Oкg v†L@€:У YЬz^a DW№п¬Э®яџ­–nє©К :k ѓ8нЂџґonИГR &lt;АОJЖи w=є …„€ђ:ЅEАadЃX CR ’rѓ”tCcФ ”JQЕrнлI~µЪЅЎ &gt;UъkVџµNP ”V“ 8Їн’Гї•«Ѓ*Њd Tяуt`ў &lt;X±rk&lt;ЕI Cђ‚н–xFJ§VZєЭтЮлСп¦љ:A o‡PgtIhОб„AІБ X&lt;H 8{K pN­fW “gQЄпРФ q^РГ={ІЄУ” Asѕ Lщ‹ќqHh “4NА ySЈБЄ Eд NTQzoF•VНЁ Ju¤P=зўЁХ &lt;ЭhQ B­@d •`wЧ;Z@якТt 7 dO5±Л 8eрТ›м DУJЃHЩ|ДВ cхe•» J=Љ TЭuяуd`Ё ;мЈx» cўI Aё^мцxFJјЇisя‡tщV  Uq@‰ g‡SИPЕЇjтV«еп Ls?°ВЎ‰Щ_·@ ”kBO Tж wk‰Hд“¤a &lt;аR‚ 88rЄ ‚qђE“ I[ЊЦВvZю‚ќїYІ‚ЉЕєRB·3щ =n H•_µNP Ѓ4њ=H¶ОЬҐ‰ј|e№ N¤f‰§ qD±щ[ЬПэяуt`  ;Р±vk ccI A`rиоHFJiMЦBґt¤ M9 PK U”Ањ ?’ Tб  GЃЬЃ 3¶ “3В XdSpФў¦^г GТCU–eY›  ’umqH\”КЅY© ‘GФcµrmµ›\‰›Ґ·ўхЛ}ћ¬Єj KИ ;NеьМ cа›З &gt;Ў ;[ 4єuшvъ?ЮаизкТp =ќ*bKЌ†eyёЇЕsс T*™ќ 9Bњ cN &lt;Њ• \Иjєњ8} 9F№яуd`і &lt;h­x»&lt;bI BЩ&gt;н–XД’яЅќ’ aџ bГ@XЄh U4a TQ ^N•У WхH{¤¬якUљ*Єw gdќ @ЇЈ{¶lTlЬ} kѓs_`ЄР ”_= ЃgUrL‰ћц 5‚® VP”“F№Ф^n{»ЌК DЬ»ДЦ T9*Ц [eU©¶д¶ђ MХ 8ш cЃе _”Џt&gt;јgе°@I Ѓ:ЏEQяуt`Ј ;Аіrk&lt;cI Bёbс–HFJkaiMq D= _іRўe© Wй W’І}Vv ?“€ІПІВ=ѓ ђHљ°3f™f UkЩ ]E—†Ґ =Nџ«VЮDѕGRЫ†™ѕJг‰ [P ЪE MMLFoЈ•` 6@ЉЃ &lt;:Л”Јр8fj bёяCE LЕ CянRp nAХA«9…­Ь– QmKА[Э}5 AЮ=38Бюxшму R^wщ8ЗЛv„вS=яуdp± sKйeГa \J 98ZСpВF [° L„Щ™lѓrЛ DЁ¦=б RZ«¬ДГ rPbНЉЅ„Ф Ѓ5i] WЭKїд:й¦*ЄЭАG ;SА‰E»n¶aл KХ3уЊD B†Ь ExА± ]еА*bА7b FжEH :пt ;A IцЉ R™9onД„~° UЕGlCJ UM@7 WҐ`E6¦ZЄ©@`a†d ]яуt`Є =ИЙrk§ gD`Vс—O fh?р·®\д9љГ®Њ­k8Е4 @Aг t†aѓ Vвкав UыvЙW  Ћg6і aеђчA™ UЗџ;–;щшV E3M‹„b ;ЉBZ9·— &gt;F9‰ AµR9‡b? aЏugУЭ? =‘ wy‰?њшЋ‰ „[ВфрУocѕXkЗ»С _в [ЖdvM OЋ7 W’:А 9ъА~ |Ќ[ЯxЖЅ `‰ d¤ Bµ cCЖ6ГbџdяуdpЎ B]KrКМ †f}dъц 8Џ ~f~I‰N ‰5‡ [CҐЧsҐЙУ `‹Ґе q\’ ahГi*sЮЈ ‚CU ;К9ь ‡:Фйщш&lt;ц…Т¶я“*8Аj—©¶дЊ BFЖЃЮ©| ћ 8Ы CзП­¬BЯЖлL\{ЏБчМЋSЙN u: FЊ Ww‡U™ЊQ j[\ Tћ‘Й]Пb”ЉЭkШг*™ NяуtpD &gt;€гvПзЊ 3ѓ€ eнYЖ f4» A\Qы 8vбz•п MС–~цrџпn*яо¶”_ €GA &gt;T Ayяі”[  3e^ЄЇь Y«a 3‡w:·µ Gr I™§МХЪ PОн „PG LN FB 7вѓС¦ Bџ [HQВ SMsИp»ТEN MИ зЁK[\Ј§MSK®ѕ*ЌЉjD’nq¤@P4PAіpJ°с zђ@РDЯ:‹Fй·уяюЏех ;eX’яуdpl o3[vК cc6 n–Yт fcF 4uыђ &gt;ѓeBдђ Xснэ€оCЩѓвЮ _ѕ7Г =^юN| ЏJ&gt;юs›Їжм‘Н &lt;Фя6т Lc!O a8И •эюzҐ  5H» &lt;µНQ 6I[Zy‰TњH‰U [PЊНИ¬b‚5 :€ 9Йq¬:аU Y–­–°нёХ9 t]и±кEUZ…J `” 3sх{p A‚яуtp~ &lt;`ЅxЫ WcH qn]нpI‚ 7™ {Jаґg LfXk eІИsисХqШЙ»}Хы}¬Ї°3*gгмҐѕњьgO3^j‡&gt;– „[x }Ib\ YjAА UH­WШQ Џ&lt;_qkвКмe„М”—Т¤“l 5А‘kйУOЦk EёЈyњW&lt;lЊ &gt;І§ ]ѕћП “OЉц|— PZєІ NѕОИр¦«Ы PТ…—@†ЭgіЫЇНD :ЎSkйИBo—яуdp™ p3Їtk W¦H q\6сtX„‘ WШшЄкпѕ JBк›юЙ€zjm ;юџ  cи AMћ6†Ыk„зР EШКЧv”X3sТ­RT«щp u4Ш†Щ KЇ„ EзђЭ6Ј5B‡8щ E¬Ќ§fҐ[хtlЄ¦Оѓ:e›сaнKMгЧЯ@…тф©ЕHяѕд 3j[кя—Ѓзi C5aj” Hќ Yц 8яуt`— ;ЬСv{ WCJ BQRс¶ KДђЧЃXЏ{ W”еЊЇu­zGі =єТЉ¦sЉ•њ HЊc 6Й —&lt;—ZGШ° FXєH№в°&gt;Ќ¶іћёуP¬ABЄ¦а r8–qџФbэаЏ[Ь‚\ ЂOј xCњбАі Kсў‹BTтЊєЂў B\&lt;ЖЌФ„жјЅ‚Х7УяЛ 3ЄtўM· Xаrм :У GрVIйїУ e° Yk^6•dЄTцХ•г№УјК€ Uяуd`Ґ ;њ©zЛ WBH APzэ¶ cДJ¦†жqblҐ&lt;њ©ъюz~сВ EHpa EЎ¶87RkЕ”ђЎ 7Љѕ¤»ШљР«b4Єщx GД= Aa &lt;® J:7ґK @t M8Є…J WС _л» :j­ |Sк {ЂCsН­ YХcY:Ц R^ґJ QµџлM@jtўUьј ?j 7Ґ 4€ =Ї¤|h [` Њ_ШИ™Ђ™яуt`Ў &lt;њНzЯ WCJ A`‚с¶ K„HіжФъ9ЬќtjЬиЦ©”;ЂY&gt;EбBCa DЕЄpЦ—џK =›°• q]фЈЉ·ф QI 7‰lj«›ЂвUКЗѕ W» c…№H°XбД AJQјH Dig‹ї^7¬фPѓ ЂdЋ O‡ЁЖ›ЕgХzэЊ WТфїkV°эij“Ђm ЋЂJ?`uУ}К UT‚—Тп¦lЋAБ 9rw№ЅоKf©‚Є]–g dЄ–яуd`­ ;ґ™zЫ †UH AшrтV cFHc do CU ЁЧ¤ 38°I _ЎПB·ьi— EЎ a– ZШћҐКUY8 :«6 YlVhъ¦ HТаPиDT@iґ BaYѓЛq”L ѓQ]KЪEћ…¬J _х 7П EBO 8Ї{їэ5vCV Iй•ъp &lt;UВ~‰ |eБbьнс af¦§ K„а‰РTт†¬ИрШ CN Aяуt`¦ ;р­|{ _bI A FрцHF ЊSі ns‚&lt;љ lCЃЌ iK&lt;9H U|ѕЕ \ЃЦч9эXІ Oђу{Х•ЖЁ•RЛ9 3±P9a dVJўГ¦б… s&lt;B 8ђ BѓВB 9Ь 6R “eфЎJ[ FыуЅЄC ;z7Ў]с ]С zRъ{‚ ю•Є“Ђ ЌSЂ jBA IуУ¶ 5L· 9‰Ґ AL§ЙнlM&gt;x| Vѓ PлРN `т [yСpХв WMЮ7љ ЉYD=яуd`· ;д dtw&lt;c ‹tCVн–HF ]†p ”WёТ…­y&lt;VЩќoН VяҐF™џ§ 3ЎЫ €YИf ‰ 5Ѓ 3Ш@ 9ZDДpр»f]ШPТPфрЌќ HNQщ¦ФпнЧян@эeZ“ЂX6 8њ@ jU^J ]Ю WЈжnґРћ TЎ9‘ґ7b@f[ц LSЋ*N C•xфM7 4G ?п 5†Rяуt`І oKЗz{ WcK ?x6сЋHD YбҐЋМ Yћ ‘t}†…|HP™к:ц\fqмђ;цh[ b•¦“nт :†µЂэ¦d 7A q:‹ &lt;‰ЙЕK3K†Й GПZв mwYё«RD\»a5IЯx­ @°чj wYPє‡t­ 3ю•j“Ђ P4 =ў zP ы~гіфЈ qYЬњЪВҐфоК™•тцЛ… LЯ8р5U| D9Л VЉ J}`ЫO№gA@’Ві= bяуdpК =4Хx{ WcK A°^сt cDHCZц_»GB«U_N 3P8“R eЕ§ ~3б Vp¤ќ eйєaњAЎасµoЧ{цРф `w d­UИ I№Ю¦\Юwci‹яЦгх[ј =џC 3ьV§¬vG‰7Ю¤ Q› S¤: —7ш –FІ SўzЗ?€ _ђЃ‰kІ NРјh W•ЩN 6Dў 8Ёт;ЗШ‰но:яуt`ё ;”Ґz{ WcI @P†сЋ cFJ‹ =*…ѓ¤Ац5 ЉG”ћbсЕz Hu}е HґҐjЂ „YDЬћ[ekЗs_ &lt;Лб„ ЋBй Ugf[§µэьыџs‘чg :л]ЙжШо“ eХгbИяхRp!B‡s n?p{b`ї&lt;А§¶8bУ W8\§8ћњЛзLРЌДЧ&gt;зMy‰Iљu bЧвҐЎtН B•в D{Џв =Б…Дд 7Г s3_~Е ^¤ ^j^ЖяуdpС =|Нpk&lt;cJ ?IrаИXFђSЦ№ ]ѕ«n` 5h 5”M}:`gN¬°” EШЁDB &lt;8шЉЙqX&lt;dul G6° ЏcЩБЊ p&lt;p ‰6d `[ [ЎcгXЉ [J›SlvђVYљЄN 3љЂЄJ 7н 8µ MјЂЅ ~DWKСИvіKЏ wvH7f ?·љ ЏLf bп‘ U©бhtщ Љ6ҐФ ~rv[яуtpЗ &lt;РПxk cfK v3~н\HЖHhxц„ :ЎЯoµч &gt;яоЬІRNV EI№а x‡KРe 9Б Uўp\ DI cT©A9о— 9ЏVi \ёА©З9 iAd’ mH= @І |Љ_Х±Ъ KЫe&lt;‹ОґД @¤юVЄ“ E odY„–G =n Lt Nd ‘H·спV ‰DcЧ*© P† lTЈЮ ;bКJ ;кC Pl 7pР€ ‚I„ Ђkfx8„ ”5† :ћSэ @±ЙХЯяуdpЛ ;РЎ|Л WCI Bђ Mт 78А 3ьQЃU¤’Ў~Х7 hWc o5Uґh‹9 W3 3l 8дК·єіоцOћ‹f~ыvtK•„Ь _‚DЖђJHb 6ыЖј“ …\О EXпнRp k4Q±bђ‘‹gїAбiЃѕ¬5w©Ог©XЄ `¦4s9ѓИЬV WSRЙ`љи¶4иs ;м DК‘ 9AСaД =…яуtpБ &lt;XЎz{ WЈI AyZнм [DђЦ „€I9 †NpП cЦXiЌЩэjКТµJP Џ~•eAВнFЖ UvZ Bиоlз—A ЃOLА 3Гq‚Њ 9Gµ gSMи &lt;†ѓг‚АШ GD5йP P«TР 4Ћ¤Rяф =Є aџх± 3БяN 3ж OEЌ°Њ„уЖmеЬ?њљґбy`{жЄ ^Ж[{PDУ&gt; Mнљ€рn8@БF cQУuЗ’A \hP S&gt;4 lB™pяуd`П &lt;Њ­vk “6I D@Љн–HЖNP wq8Д ]K \=Lax–н=к dЄПЉЭЄ–fїЪ p3=— 5b*БaИf M^j@ЌхКCєХ LєиБ„\™ FUi A7*6 [К GЕь F:Ц76•kянS 7‰ 9xЁ=Jv ЊK™w§цk Oн№4SЯЇ·®тЦН D&lt;Њ} Tыe&lt; M€d LоA° Knhяуtpё =X•ng= VI swYе\`†‘fd \Т` P&lt; –HQл{» |FуЅ Iъ? E [ t^5ХUЛА LJ di’Лs ;Y Yc {QP Klю ^4ІМ¤ n[Ј l;џ ‚9{ЭO­‡ХШч„eъXК C‡їдч*}НЏq@АVЄЬА ЋBфиY UЦЙкo cpгљ7Лi|Ѕ FвІЃе &gt;’EэўLњ SЙнѓЉLWў n‰ЉvK@™Z–ђ{В{hrќ­ edяуd`Д oWҐvk&lt;ГI AШ‚х–HFJЙ§yи  3C4\*^ЫпЊ›E&lt;v ‡9X&gt;\!C jSњ RhRѓ ?_O*”&gt;™UJB †qЉ6*ђ V`ІЏMh Љ€Mж •TйєvЭL _хЃ VЂҐjЄп– 3є RзщМП QVJл7Ѕл¬V¦џЦ;~ЪrqtсU~оґГvжlзl5Seж BC|ѕжяуtpє ?Ргh{= YJ!;’Щt`МM&gt;7Г·6ащС±I FшЅѓ ‹\э 5УKЯ’ЪN: bPi\ C}ЗҐY”ѓБ»:lҐ:лЗ&gt;X]cI; _е Fi¶|Ґ Yf ЌWЈ?–­И 4Т =lК NW*оЪ IЂ {cі¦‚LBT5{ї‹М°€SхЈЦJ¤¬yЇЪд \ХИЏэ b·ьћ¦cзF= ^кЊuѕЗE ^©ИўСTГ …—3Dk•jј „•3’3”lяуd`Ж @бctЛ&lt;Ж\’љѕк6 cD№Wн™«I™PЁ€ :9™”  TіУ UF@Kш~Ѕw}йьq»Н;xs Zu· _о9 bMЛrкMуsЫ&lt;јЙ=ѕgs«eбН kTюTL dЛ OыЫЂ dC ?НБ _7aђ B‡ CђH †f8ћўэF OЁлђДпЪх l‚RzH №ф‹^ЫЭнІ L{ QХлЦўяуt`‡ &lt;}AtК ’VZЏh:тV cЖ Waс@H [Ј‰U…F M*‰Е UgЄ v|K¦ 5ќјЂdEО‘!H –ЌJµa” \M S  Gъ&gt;YJYт S™ Si7т!;u†Euз_]?–G;wХёд¶ 3ЃeҐЏz‡F}Ѕґ Ђf6З @Ђ‰њm 5¬CЁF~от›Л [Q A­Ўy RW©™Х P9Щ Uyk™SХЦ WДљ™ЄаIђ NX =VЛj ^Л e5g¦ @жНяуd`ђ :а \{ ]&lt; ‰zAxbю^8ЖHbQ ]«O ]… h7Љµъj‹ ‹IЁ ?иЊљ ]іҐ MФ‚E4У·&gt;ґ·щ?ћЅQщ­?є‡ mPOA5‡mђ Wгђ rc·T•qiэСБЫњvЉЮ[ ‚[]ЊGЯяу5ц} [Н YїS [p  Ts UЦz°›·U¶шЭZ 6`H— aкЅЖ 5с KќKt:№ЇЬяуt`’ ;Х?w ЂWBZ A±љц^@Д”}*{i SFд4A ?RЩ¬ mHґ;oZfЈцъ™’ґ X—dЪZ ђ†e± lVиыфFOІ HX®­®К¤єј _МЕz‰ EQuќьЊ nVЇКЕyHГxCРй¤ЂМШР O‹uv A8цrцКчЉГ– Zь© Vл¬iЩ»{Н &lt;}M‰ЂHC z\Uя 6BўHт‚ \њМмъRiЫR KцЈZEЎ9з‚Ґ&lt;€ъ}яуd`Ј o\A{ N&lt; UZ @ЂЉъV C†L§{ UфХЯ”Ѕъз“і}U_ e9 ?§ожљ9з№юќЛжЮЅv` Ev `Є†Є –_СЏҐ 7µ P‚ =ЅЖ 9Ф9™ Н ^9”мcbк_фuянфэ Ij?ъч™&gt;єѕ‹PHТ ЏOлl*ж Q E</t>
  </si>
  <si>
    <t>єеz5 3ю•j“Ђa eH CшЛ dRфы¦уAТ‘® H`i&lt;ы¬Xя e[зѕ A_ 7Мt:іQµ `—_ {‰Cc‡3яуd`і o;ixЛ Wb6 @x Uщ– K† 5ѓЉ :‘ g:B`ГЕ4nкЮ§Ґ Z•їэZФЄІp sXЉЖ•¤Ґ e*Р !aQб“G 3u± 9ГЅhјђ«У8Џ•Юk‹PT\ 4О–Цџы^ќї cс KfZjЇwЃHЕИlЈQ•¤Чµmц&gt;Ў™ Њ\сљл5ІЎо F‚} &gt;~^ @@Н ‘6?ИЙжюь _ћяуt`Ї o?Ѕx{&lt;cI @P Qмцc!5=UґСД zj|k7АЃеј ~6† R8—\џ”s _ЩьQ ЋDЉWйА Ќr4L e…f CЗj 7P T@TєC 7…O‘І ]9љ Ep№zТ`\ OЕ[OУr] nПфuъ&gt; bH*яN 3B DI Y ‘­ :ц \iЙрсtСWізrиФZ*KзµJU6А•N5§`ez4¦YЫв}Ї№~ PBҐГGAёh{t [€; &gt;яуd`Д &lt;А·tЛ&lt;ГH s[VнЋHD ]‹љaЦњ GY 3TGhїЩ”TЉ AQўRn` 3P Cm IИ &gt;&lt;LТЇ s9Ђ‡И…‹ cћхкЗµ b†ўи[NґђH4 7yPЂQ _’Н=ґ‘сC &lt;—Y58†ђю•V“Ђ@ bC…3xLв &lt;LДЃ S3 Z¤ b*pFс9†њ e:5 sD© =h„рЦ &gt;–¬8 S8 ;яуtpј pGµvg cГI Aш Qнt C‚ 3Ќz 6б Т\y‹ Gxdч[ DЪ 4I”Уфоkй^©ъt 5”Qг g‡W&lt;ЅЄ [YтзѓБr§АLBђП•єт bJйї± 9g}очюЭЋgя5 @=KСнRњ q5GD3теРkЩmґ _мlЉАб‡Шђ B“&lt;J›иД“ѕњ cБ im}6БvЅ S~ v?ИЭ{&lt;©q·М w3ЏёіF sUК?Ю• &gt;СWяуd`В ;а?z{ –‰‹?@Vро c„ ]вT© W€џХЗ rgT:Д [Y‘ЙКWэp ;lr &lt;LЫ `f‡еПфы ?яіз№ NШTК\Ѓ e8іи cВ G@ТЌRх &lt;”‘Mє‹ЂС•ЄЭаhт kh‡ЁЈњїВЮkр F… Wef U¦yЄ— =ЫpQ k;°ѕвє `rHСФ±KPХ AђЛX Oђѓ HїѓяуtpЕ &lt;Нpk ccJ BYnнмHFђ 5† g‡3Аё ;a 8н VaѕбyкшЫ§cйЫъїк ;x •CЉ J‘gО oA*Р vMёд47Ю‰л a{3ќЇ qP|Тд| 4EЅ`ЅSiій4ЦкЅя~Аe Hjї› 4‰Р… ’4} UЄ 8mюaЊґ°¬кї cKўЁЋ =‡]к 5Cm™ 7RУd|пG™›‹ Eш E„g cC°‡„МТ BЕW 8^ 9![Ё 3Ѓђ LяуdpН &lt;иНr{ ccJ @@ eнX:D kC8ќg¦Й&gt;б– YяЩr¤Zкkв 7ЙЂHoKvжUоr ^ТБ AtМт ;Нї~дnЙэ¤~yrШO @зµђЏ&lt; \Ф cжѓpPЗ WN @еVђяЛЂ ei —cцEсy CXЯI 9™ HPN¦d E‹Из O” DкbШйќ®ЌГ|c®ы^ѓS©p8Fpй EяуtpГ =ЁСtЛ&lt;cJ AQrй*XЖ‘Ћ mCy` &lt;’Оы Yйђ Olк–µ©фП]4­J­ Z@д pѓY‰Жr AOТ DЄО5О&lt; _О©M‹юк©f= PЩф¶·hа Fг…В 8‚В \C }9&lt;Э 7lfХwя]YeЂBяN 4…4 Jд 8] l{XЕл*єшBwі¶яўѓдщЊ}­}v}щЯW a’ 3ђЭ GоyЉЖuЩ GзFd ^;—l·эk~ђВ6яуd`З &lt;&lt;Ўt }KcI uDVрц [Д’&gt;” –H^Ђ Wz Eх~¶RЇ dхmЕ 3” 5Љ Gt[ўЕ yTZSІь eФN Tй z&gt;KлтйgHнт ?sДЦ€… P6 &gt;c|¦›ЭоЧэ–ю 3ИN gORђД°ЉЄ› Tк „aкРЪе6№ыЩъЌМ c¤ 8XОђqц rf_p hDHЊF aX 7Р TЕ‰K &lt;дяуtp» &lt;њпrg&lt;В[ @Рrй\HДIRТ Zџ ‘9Њ5nCО `ЮэюЉiuю­єђ 6`P}° ЂkGЙѓDъ“йC™ [B G*p|\ YнЂ qKШР d Гк;YU°]В \dt»ЕoN эVj”  c–:ј =y–У“¶ІWwђ Cqѓ{S YЩjЬ| ?tµ™Д^Щ fFGџх»кЛќQ°|ІОH5П€;бe9ХпPї\Р w[hPуIЋЗ TmgшяуdpЙ ;иcpg&lt;Г7 @P~й\HЖH L¶TЛ|—ZІі5Tё 5Ји w4Сjц K„mМf vT…Ґ ц:°ђ·M™ EК ЋD‚@‘ XЙ№C й@›ДВ gw:¤№Dцъћ“ ЌQeй&gt;јэ N№Н ‘EРЂxюVjњА cµb S\фљїЇJЫрIд¤ўёцҐd _РшК †^Љ x’`Ѕ_78ф Fхяуt`З =T»r{= 9I E€Ой–HDn„ zЌAgM” &lt;Њ WH ЃЋZNY€?ЎIc†^нф ‹^bтg E«TЄЙ8 3АгXЪ5 qeAeUцX”Y”†N ЋU| ‚ lcќmЈ YDUА`\µ e‰TЦ]мяњд L[иХZ«д`4] M…¤¶рЩь›Я­·ЫуrЮћ™&lt;5 :Yj Q@ф€N¤і‰ _«  ehц4џJ ]Р3I±іrњзJ R=aШ h?ОяуdpЅ &lt;&lt;“x{ ccI s;fс\ cЖJљ;g eІ E~«± j?cеg ‡^№zЗ ZQ±М*pі gF¦Го Uн8ЛЯб9 ЌC?Ьї»П f4Ъ@Zь OE :ѓз HE«kvЉQ keЪ†Щ&gt;АК RћЭ&gt;ф|Лz ѓO¤ЪТ»т dЉЋЉ=Аri…РГ±;Ьѓ‹ \Д‚ѓБ m&lt;Юмэящp| †ZzUj°яуt`є @Б5r{ cЖZ‘qfб”@Дђ†Є WМv¦Ї5сЊ 8G4f@ _О G„^ЊижwЎґЪќъrћ¶ [7`офСЃbбВу’¬еЗ_XеєТ» bчюЈюы—уяхЬT \Л5Ћ PтP SQjж FД8СZ rSX _\бC­aЗK Oъђэйе b–F]®­oЇэU pdOыєЫS GЖ WBi•jё vkuKxKВk9 cyє3 :oаdRяуd`™ &lt;Ђ­w M&lt; UHЌ cNцV KF [Ёs\Кті™› };ч ‰\’ТXЙљIЕ–[ћѕz№\°№„4ЋAюдДµср…Т_j Eў 6±ШРLМСА †u9ЊПыШ Pµ©…ќa 4`б‡ YНяп HJ“3{Bъ^ M§¤4Љ‰з” @lэ Sh“ ]«юJ 4 ge|юj: `њьEМьфx Sђр…Дяуtp“ ;ђСtК ScJ ?ёfо ;@ЖH S®eГ |^юмяї _b KЪЕЖ;№“ d‹ЩEчeђ =вA 3СбІ 5q’aЂЃы @Ђ @јB XRњ•‘ ѓ\єѕЧy…5 WЖ NњWНЂЃвАH j‚?:ѓЊј Dк[O—WиYU Cz IЬІТT] Bun@Л“Evы®ЅЭ’ {aъ’р’А‘¦UЄrЂ@ DАвк &lt;NН¶_ fG•Ћ6‚ґ Gќ W№ftNп _·яуd`® =МҐw N&lt;fH @x Aо68!3@l =‚Љњ &lt;Ъ]В«x €:zЬ±і€¬ 8ЎТ8ѓS `RтOЭхEй TёЬЌ•s` ЉshRКёЩ SЉA†ёЃбгf EУ*‚ MFя Gµ®ўє &gt;]шеtcК= G­–ШЕ:YХ«ѕ» I@ўzЄЇw g;ђџ‡zЙЫуќ{Gъ¦i“Єw№iЬьИчЪ KD*яуt`њ ;`wvЛ –U8 @р^оV@FHџ =Џ№ўC ]`М°тCЉgћ№Z `ЖmU TжќЭ ЂqTЕД ы q8”Ц© ^9‹m 5^Zн Q=‘b\® [ВMёX C€‚ AЅц A9WrplЈЬЂ№у ?wЦOп QРЫ Lbol@фФtГЩ»kw5љЂVwVЇs gЊ&gt;C–“*ЈЧКюф4 €E‘ґЈќд @ћz‡цПъDЖю›Ы es g7oд Yњ¦Б 8лmяуdpґ pcПvЛ&lt;ГJ &gt;рbт j[ДH S`ЩРхa‚FВзЩ yzBЉ±ЛZђЄ^oOфнHтФюзЧуp c@ Dd SѕЗ« Pљ\­ IvфјТc @\H›љ9HA Kе Ѓ†Ѓ:ОЪі¬dиҐп¦ aЛѕч ‡&lt;Ьбu·Ј~TVc &lt;U{ј j}ji_HјЫДЫT Jж “[с ;y=бg: GДе ;€·hЕяуt`­ &lt;¬µvЛ ccH AШjс–HDHн’_ €VКЕ 7ч;ЈЏ¤R Sґ\ z=&lt; A&lt;kИ aТхlxЩ O^№¤kю”«5Mфа G4 X€BЯtF Oц eA”ЌAшж kXP°гµҐї}Ћ9quЌэµjкMї«ЈNїЧr 3•Єjї{Ђ` 8AЙ HrµЩ~чµ§ P§r№Ъ ;tц Lќ‰GіH MmУBmbљOЎ“ IqQ ‚s^х [ІИк€„ЕґИoяуd`· oW№vЫ ScH ?HvсЋHДJЂШЙIMRF KЗф±Y~ІKUёТI9Ш LЖ  cX« &lt;®aA· l@ј@ 7pQ jM„› Bn:Ы _йІ·€ I”MТ—©Кs M“ &gt;ыъ &lt;°ђѕуќ@©Z©· Wё ;раФъ©ёL5Ю†тЋШ™» QВК9Н jOr ‘v[мOчE”жЪVҐUЭ¦J—Ъrйєяуtp· ocБvЛ _CH AxBо 7@Д ЉCjљ Q“4‰ Lш: _Н }T„Y› Ux· ђR’ UXТ6нл9­њ K…О5±Дэ UlБёўцЅ?ТнЇ¬a?Яь—юOLЫ ]©R w3BHj FЬ uo;Й› K§Q ’ЃUK IН¤Ђ’WЄЇ›ЂФ]GK§КќMЅjє®О© Tі EСVmh5: vxj]yЦb7ЇДшЏг;ѓЫGЪё 3‰ h†‚&lt;… 4яуdpЖ tGйlПa \J†Р^ЩpxДI 4cбФ©‰]JY7Eы •Џ?{~µbбdЛRI En@  pЌEЃ¶A5U™ W^МYloQФYЙMй» QЇюунЙ:ъ­‚ 4я®т fvP¤mA!Q*я\B‡µНА OA o?:›»j¶•†•ўУPDyX iHњЈЙIZ7jn Su3Б AЦ…ѓ TEњRХќ `яуtpµ &lt;РіtЛ&lt;cH @‘ Yт 7hД‘|•Y p_ЊT M6‡ dрИцЬ~С‘ ^МЇй :щојы¶•НЯzНbю±b¬ |SAв DТцt‚ WWЄФ¦ hldOvФЗT wrWF iEF [Иж‹‘¶E›щG¬W№нс°Ж ЋcдЮdпђНU CЉ‚a [€иЄ– ~JSн HAd[чІV…§оК &gt;Ћ¦vЄїs 4±в ЊVЕ…¦™ЭнMБф Ђ„Vl€a •Aаяуd`Г &gt;Е Zt» SfZ E9~к6 [FђЬэ SRТщ‘„s°„Е €‰ђ;Чr ?lО O‘ pUeiё@аQЏ —eB Љ=¬cВЇј`Ї {wF¤eљqV» a„‹nЧЉ 5bБ€и&gt;]чoйРH ;B@› CЂjdi d–uїТ©Jк¬”аK‘ћЬ Mћ±O5 [P–UЄwЃ ?aЇ T® ;шT®wнk aUяуtp— =pїtЛ&lt;cH &gt;ЙRниXD‘ 7Іґ cдЩОes°ЧгЫ ]д [уE 86¤кN¤F¦Еe cG ’€s&lt;N¤C­oщ SёkEЪ± xNgН W8ҐURґд 3и‰ KnOщЬ =И™ =ЌHЫ OЛDb k`Е B9яo{ Kx‘b4 _VYќ =ЩuGZзR‡ `жjч[HGх{” 8; ‡}SzсBdњ8KХ RЋXµ AУJҐСs…Аnр?®њВ¶№yяуd`§ ;ь©tЛ&lt;cH tcjс–HЖJIXiЩҐЕНЧ№» GмЧ8tEЩJ€P kDBљlм ]ЪЉъЖyЩЕM Cdз d{њ{@вМd J‘fі XЄd QМVх*оэV}·PФЋ Ji mL{ђт®±MmN¦Ђ@ ‰jC@К: 7ёS JТФ U“–ЊҐZ№6д 9а® &gt;ЮpSHJз‡ &lt;»ґєХ kXюdяуtpЎ A™ 8bke‰Z 7ђ QСp{В 3± =¬о]dG= eЈѓРѓС·lоя X3†ЭтП Yj &lt;й oIђ@ 4M 7о Vm d; R¶ 8“ЭѕЕє°чVMРA p—AС5ѕ›В*Г gfQ¶ 6ѕЛеїklM &lt;А Ћh‡j|?’H 4”@Б™іtЕS KЂҐzЅ· W” 6xNЉ ‰ dіxv‡џп©eFBМО MҐѕ; _ЭhфP …ЊnJ•°»x‚IАЖв Vяуdp­ ?фчhП`ЖZ k[ZХXА† [^ѓ 7…›љн KЯi M‹Џ@eEo TI WRh TПшј wcрЁ7Г Gp yn7D CЙI :d ak ]І­ IЧRdFэ SдїЂ †Op… Vѓfp`г 7Г 5ЁҐ® 5ZЪИSоz Op €|@€„в &gt;ЯђuђЛЅ A{ґ PfPљѕSТGfVЇnЂа ?^ ?±FUў Qяуt`« ?TгrП= YJ AP Iк&gt;3А 3’«Ф¦h„ВМИЯwЩмlцЪќW ‹‰PШ L GpЉ9 cV@ц T“ 7wГ fNI ‰bZtЊ FГ Џ„_yСбЊX 5АХ 7\№I¬5ОЭ aAjя ]Уё rb…oЦIdљВ!M Fґњ ”;6 ЉHS QНћрЭ„› ›Ь Zy I№ЖZк}Js”еФBviш `·›mД ‚G–E–Їs 3|‰Ў€ЇSo5Епj?Чяуd`ў =\чtЛ ScZ u;Nк6`F [нEjg±­]f· [Ьщ &gt;¤ЫЄг‘ђµ Jъ“™Ж aюM n‡^ёЁ°XШD =DN ligqMPЁ” ЌKч}h Gb7Щ ]ЭR^~ґ”° &lt;Й€ю]»МєгnД MыЎбJ]В„Н br Eп UС WіШN _I :О­Л D~U _u ”ђN¦aХ?Ў`Uf–ЄN 3яуtpЋ &lt;м»tЛ&lt;cH t3vй\xDHЦ&lt;€ж“V =?в 9ѕ= 9‹Ё‚Њ u;н4Rlвщ_э gKuўkҐ PДФL \Ом ]э IМАЬ =бЈМѓ “W}о 5  …W·ЃйцуEяъ I«EJґд g?5; `Зв’µPрE\:lU` cбQl*Ц»~ЋзўL«K„GП5 ?c^Eт Bs` ^ћк KЈiZџH cѕ`ГяN 3ѕ9ПУ dw ^Eьѕю]•Шяуd`™ &lt;\­vЛ&lt;cI Aш:н–`Д Y„ ?v{ Tћ€[lРїЈвµИЄBСЪ=ч AЖдN@юH ^:б`±Х 7†5¦ЛЎv—rЮ I4¦Ш~ hOM€JЫ*ш І sGЯN 3 UXсЏ Lвъ AKЯ ђ^e €j3Чi©Ґґњ&gt;ХёYU [I 7Х:vы aoЈ{ QЕ?У6ЋН4iЋH“ QкэЖ 5LюKяуt`Ќ &lt;”§tg&lt;ЈI @‚йЋHДJ©JнFЃ 5ФОнлiў BУ6 7e¦ї_B—И© :вҐIZЃЁG kSІ©Ne “;йB6wbЄ‹}YОЌ¶№ BлDJ FюЦСќРћs‹Е^ Dи hERўФкщ ЋOhY HXfЫqЪ D?PАКЃА№3 BcњlpЧ=MВHiуН`ҐAВ BsДоB QШ9S–л•І„ЂьXcїwQ –KekкїrЃ uM6 Gяуd`ќ =E3w N&lt;bZ vS6оV cД ЉZzЭ [PN Y= Vj \fArв 6жЈЛ!F4BЎ9G c©V 3Ќљ tq4I„‚ 6Ж= ?p¬h±ЄШpнRЁ3МXлRWЁ’9ќД E‚Щ MqKh }Aш eЎ ^ъ [И Y&gt; u4Њ UHЃ EНѕнЈХfAC RмЩн фсx•; ^MD’Л ?ф”uТ 3iЈ M_ьЊяуt`… oЋb|Л cc Љ@HZщѕ C„ Ћ@CФ gFнzкЫЁФЩ9€СA&gt;5бГ edjNCYGX Qйжjv€ ;j RП aьЩЙ 7щ—юїЛсo cЛЬLХ‚ OЎqГмµ ;ф·3шя6Я?ыЦUrЖљN’@и” 7бАб Њb[= 7ё …[›’ZФЁxўLєАr b—Ъ—&gt;TN |CЂЙ©Єю &gt;!FЙ :†^?Ф=kj;ФdшЇp eнH‘яуdp™ =@vЫ&lt;c8Љ€bнt KДHВ[€5v§ћщ dЃМЬ€F”@“`Lb tvKv ~“|@Ѓџ? ‰^S7…CЄ¤д…уҐ Љq@І VН]ilXо№ —cэ A!DEzZWЃ YШ 8ђ \— 4q |[B¬XІUБ DЦ„9 `эЪ¶db V­QTE `ЂiЈ DWыђ rZњN c?Г ZN cпнаY CШяуtp— &gt;© Vnz&lt;ГZ ;ёТеtHДmщ€ |Uл: E»*3юУхІгrbсй™ю‘|Ж 5Ю6Аа6љ: =°СгO WmО e±Ф 7КЉ d*Ълo&lt;ҐР@yХ5 No _HJ№ MI eЛ 3ў 6ђ€¦zЬЊBй _і5МоD8 Ћ?щJЬЋ4Ц_юЯюNµЕщѕсЮ7“ 3H“:ЇюL 8ѓігђB†{їЭјХ€ OТ™Q§з e3Р?‘о9Ѕ4uГЋ yQяуdp© =\›tЫ&lt;FH &gt;ђ‚к 7@ЖIґ‰n`њU@иЈ 6Ћj‹ }Q\c8ј?WY :4ы ]ҐMъQq·¬c BО UZn6 k&lt;T 3‰ ZS TPO‹ p~ЉOL™ cсbхч¶З4~ЙD\ШК nB;фђµ­Шј Sзх{p l8П Xѕ=Б6*Ґ*НЖ c5ЎёК™€Ьlv[*яИџ»›ЧџЋ Nяуtpў oGuw Ѓcc8 ?ђnйtHFHRX z&lt;цЉ¦o’ ЃtH€VLмб‚®aF 7¤ M„N LiCЋ JЦ CYх 7ШCТж `зЄе o[ќUWНЂ‹ MДП d®пСб CъХjeдg± bџ— _ж…лТJYмл~уј‡ЇІ– v35M Sч№6 [u ђq{`ЬyЁ Js yRS •Qз©d@©r”m· XаXяm \лvУо№Охћц&gt;фAХRF”§“љ Lяуd`є =„Уtk cГJ D‰fн– cЖђ*ЪЂі©q&lt;ѕ} M5 HM? RЊ= QБ ChB ђЋr=…Ш ?†ћ X{ 8† …W—оћ GzeYъхЮF• ZоЄnf 3` vcш: A\ l=†FЊ: ѓk6cВL@Ha 6® Qb~•Љ Yia;‰’X4HXPX&gt; RЋ} ”VЈўоё 8С€—»¬ҐV© Yдё ;D kS@яуtpљ &lt;рЈxЯ&lt;cH BР Yн\ D„ 3Ь [§Сшf“ PM : ЁG`” T†БЇКЊFр±zјuв~Fs™Њh± @М ?єН&lt; :э¬ SмD 9Ы CPг NЗяьЯя»ЊыkыzяЏнрeoЄЇ—Ѓc 7аБ K№ЖmЈ;[ •ўХчё=І tQБUФQV©±aЮ ђTA‘Ј@U _оЦу®kЋYїІ a›ї”ЇXiU«я’ gC‹O†№Є5 8€мfѓяуd`ћ p3‹tП ccHЋи~й–HЖH:ж F~¶Гi {s_gв ;°с’И O°йTQ B{Uјћ”€vbПж‘ўё TDПЫzk­ Z“¶МJRIJї Dђщ HљСЬэѓ;мC6СOv~зъмAц6 eй­zРБч5CKЅ– CХkM c’ G@лЖБq;Г}Н‚ђG ѓWlЂҐ ]ЄїrЃ 3dЎAХ @aяуtpЌ @] TlЛ= 9Z kK:бpxД X­ЕВЫЮuШъ‹тф_ШNtїGжY w\‘ RµЙ3ме u&gt;Є Y6 l;¤‰ :„Bb` p3Ў YAb· =ѕѓЄ†­уІЫЬЯАЕ“ OВ№ `·р3™C `Щж L¬Щ &lt;Мњz±CљЂG=6U›FLЌ F;it:™e T*ч­•»T– \•qШ±fr‘ВЂ–Zэ· W” 7Шh†њz ЩЧZxц·т·”љ ZЅ 5z«яуd`  &lt;LЏtЛ&lt;cH A@Zт^xF [3ХФ ”UДkЄ“ ;И JIћЄљf ЌaџEл DAбђC\ТЙћ„}¤ g;Q ЉF&lt;Вй HС hZРєFМЌы…µ} SЄ [›ўazђMO O5м»&gt;zM•Ф›k Ђ j†jzKHA OЛРP°Qх {;BБн_Б@H Sе«—еюКн `Ѕл &gt;5jЮеu@ЎЊяуtp— ?рзlП= YJ 8X QЭp{Д 4CPѓ [| xeђ †;!C3уА †[”B°±ЕкЛRкТЉ@^ ;5‚†RҐіQ Uј cюјц§сјґгWm ]Ѓ»iк­µ @ЗҐ u;fП©ЊъFrb \H nECеєј=‹*яцUXЉЂ hg;4 3ўB¶T°…¶k €w3ҐVЄяw gTДhђВк…ж XЇ FzЦ§ Nш№…эя4сЭє ^ЦКї ^Њ •Z›иН _Бяуdp­ @№ &gt;*j`iZ„Ш ]Э\a‚ 8е W¬ V§Q aп№ :›6oEҐћЃ Z&lt; a®йс·ьyя~Z…ФyЏ MfIn¦†јhЦЎЫ E—t… G4 ЋGрж§ KHd ‡&gt;љД B…\v… 9Г§F :М Ze^–ќ VI ‡cђЎБ ?ђР•5Z«s 3 9a B[? •&lt;S Hдjв Xjљ= k5g @PФWѓ« &lt;”яуtp¦ &gt;DгtЛ&lt;ЖJ =XZеXHF [џ ‹=тМу –_rЪс 9±­µЎm BBђ LЭ’|ЉїЄЏ `фe ‘j3Ћ&gt;=«H ~]ж5vЪРЛ \я GD ЏЊHmМЂ‚и Op DгИ†AP ;І*‚‰э7ё YЧХ@њХ q}i8Г St¤Fз‚ p‰W¦ТЉVХ™ HюЎtZ&lt;ҐeЄя“ 3є YFт 3ц‹ =lЮ AaouЬ№ЪlЁЯТћ`ш‡‰lИн­vћNWяуdpµ =ЂУpЛ&lt;hJ t–QймPВ 3У ђ`›Д eдЁ*`тN =»7ґF ^EґФScЅЧ®РПу|Dоа°х 5u Ђ|KГтПюэ| AЉЫъp 6ѓј&lt;YСK Ipњ‚М‰U?й¬f ABЮM _Ћ={\– 8Ц8a° &lt;4© `Cя5 S&lt;9ґуSbmiђ V6nЉ‰ЙЂПхьј q]КД ‘qe_ Mяуt`Ј qOсtЛ&lt;ЖZ uCўйnhДNЃйнm _›€fWБ BќEЙЏж`о RоЩNюкb HЋџ7 =*]¶А UmNЯMИkф{ЛГ&gt;зМм[ГB3pКbїё‘њ ;Ъз RIзфўDТ„љn n3Ў&lt; KKM ahq W3 l6aЭ nW„\yнWRl Hќ Wen6xu 9E‹  W= 9ВшрГх{ђ ;­аџ Ѓ‰84ЕњнП BЯл;ў V¶Ж PАйpБЛ Jяуdp  p7Ыtk&lt;fJ rKZт 7HF [’ЇZ[ A№= :Zг j[4^ W¦ „€AљkVҐЯ :ЊDcИq`izњ8YIЎ Az±ИеУ Rі¬ Fѕ3ѕ TмЏt‹I eb _d b:ЪTѕҐЪ 7opЏю ]ЁVЙ fSA ‚YЋXgь“ =»™~Лд †c” \UЇn 3єP‡ѓт‹ @‹zсчЊ*ъ G†©З]• Tяуtpљ @=;nk= ;Z… [љеX c„LEіХ =®µWЏC¦в I9 ѓE¶· QХЩк —’;›wМ…¶ „w_KeнНЫ§FїЗ«Д\ ЃEњxp»›~еЫчTћ„ 5Њ Eµ;Ђ°ЁРsћTxђhЂD DЗЅ… ‰iAџiXэхёHі EbЉVЪФ ]§нµ¤ Y6bЏ ]Ў· YоВ’иH ҐeЄя’ЃPО46‰ e‚Ђa @RЗr№«єЌЪЇ› PI6яуd`® =°лrЛ&lt;¦Z A€ Eе¶`Ђ 3†CF BJ _Gtј ^wV‰‡ы„ї8Нe ]*Ъfh—kґЂ9 ^нѕaUћщЙ}5 PЖЈ FЧd _оЬ¶5СB±НOЫ F’[ bзr ^» RUinд •Uќ†Ьа xDylцґИМ” fh~M@hЛЉ=ЃМ’џG…@iV© Yд @ѕKyПY 8bФ3Щ™ЫЩТХяуtp™ tkVjЛa \Z 7€RЩXx† \µИЅ MЏёGаЎЄjГ [‰рнЯ@“vЇr \ф‘є o\к`Np r=Щ WЉ [ё ;‹›Њ‚ S†Шv~ВsТ UЁЅ8[qutЅђбЫPЭ¦кжљmъо5з»сљГц_;CУє° ~f†fgv‹v~LTўl 9Q|ЁфУSЃи©UЄїrЃ4_@k“Э¬ WГO‚Ё? ?®ЫЖ dџгЙвСЫ’иХ”Т lRяуdp© @}3jП`ИZ 8рZЩtВF [«ВщТwVn c4•цйUЙ Wц† 4РVґБuAдФif DБ GКеEЗ `ы Hr ER:“RbІr_5ќ;pяГЇ dйK OЗ YULeuµ~{\¶Иѓ xSѓЊ¤!= Lл4 “Q3kЂҐiй6дђ :Њ TРЈQ XмяПlп4¶чУј @ЅГВKPV 5¶]§eяуtp  @TуjЛa \Z 7p aЭpyЊ 8ќ RЌq Uq o_3€Ё› i7FD dщц^Лp ‡^*¦д UaР€§Бh —nX§“N ;pDI¦њl ]Ј \љЩЪv €Aыч Q&gt;xя ‡uRЅучечщыlШ”еa Hk‚ Sы ’†fZIа4‡Ћ¤L B° Q&gt;аЂHт AЄчbCa·L¬ rF`ШРх =fзЃ s:Вw zYп»°&gt; 6_ЂПц?х€ 3§¦™6дЊяуd`¶ t&lt;grП= 9\ BА aЬфxЖ j:Дьс TмUФРkMз …NОЄмn‡Lи eьІЩ”Њ¶ХXОїёРыWєИ_рЉЬви–э{QСќэ Ltј eи‚M W\V P•“Ч:И4¶ГЯмЫґЮљ·k~ое WRзp› Eљмяќк4‘qFЪЇдЂh Ћ€m9Р ‡S8 XЁY Alp ;©Ж XЌ“:яуt`Ѓ ?]3vП&lt;fZђpjтV cFHЗWpЈЇYRк sQPЦ9 6М 9Шqй±hJ‘]\Л‹bґ E7ІћХ¤РfjЄї’ 3љ :AИQ*­ Z] `љ®t^Zd ?mЫк ѓe‹± QE‘tсЈћ¬З &gt;fє ‹=TiХЭhкМ] ]RіЇKQ EТРIQЪўХ&lt;«¦В” \zЫbЕV†uВ¬¤ i3@—HхОHWо*pъ Oѓ ЋxfEYNуєZъ :^ґяуd`o &lt;Ѕ DxЛ SeZ @Pbй–H†HWѕо· Hs:ЯчЈh‡ЫY WЅµC‹ 3§›Єї’ 3Љ ]Pіi*ZfjжюЦМ B¦qcє u]­бw«ил56wЄ A3цзCрёЬ YЌ &gt;Тз”o ecBі°м›‘ПурoZ‹ 7вд Mo©вUjдX dC EIЙh nq6Ў&lt;јx WJK 8hP Gаg4 _яуt`f &lt;ЁсtЛ&lt;ЈZ A` Yеѕ[Д fBX—Z `SЭЉ»ЛKZв&lt;“d Eж«kЧ Vb« AЖy ^jо©Л¤P•Zїr 3ЬЂ Hн¤N*§¶ `ZIL›Ж &gt;Nч…џN GT —K‡Rў D  SОѕs bн» ok9г RAv©jJZy±пBп4љ№ ]юП•zЇz7Їуь~M cгЧr‰Й B^rµ^i €[АО :Ё LWЋ°В&lt;Of P¦ [&gt;u‡Ћяй |Rяуd`r qFnЛ&lt;ЁZ =  ]в6~ h7тµ3х*яЕе›Я |XШы6e@ Z*Єяw 4=† C4Тs&lt;lx WґЖшz SЩ kQдрѓJзo ;Я™†Bѓ:&lt; eN ‹?­ aгђdN± c\а €‡ђV@ќЊ¤Ґ 8—шОсЙЁЭHРќЛK :Л Wa» i_‹ўBФЛюy 3pkќт j‚[4Ўы BФ4ъяуt`i &lt;4ЎvЛ _cH @ЂrнѕxFHяЎMтaЋН Љ&lt;бщOэt JўБj®w[U@QЏэё j\Э uvLЙОн zXК8ќџ*M=NA‰ &lt;pUж‹ 6Q –ЉvM–ѓР eЁ }vcu_bЧ№ЂІ LyVЂЮФ `є‘_N•Ў 7‰DСДЫЃ vxrGмЂн‚ў`h SD a|  5Ѓv»ШЌ&gt;@аІlµ ?±Г†ў·Ц JUџµIА AЂгвѓЕ VЋэ=яуdp| n?Uz· –V7 qЋEъ j\Ђ 3‚ђЌM ’7fЋЖИ?‘ \kъ7YЫ3Юг Ikо ЉFз3І&lt;«kd6 VS–ЄоиxЩ«mnЯьп€ tOX`ЫЖ5› :ЁЂ YM‡Њ‡ _цФA‰ЦН\Ь sBњI’ 4pD ђ&lt;„ g}r=† 4¤ј LiЃav‹®ҐЙ =¤&lt;ж –Њ[Fа€ЉБ· =Џ Q’FЙяуt`Љ =њбz» WfK C° Aо6H!3 KT\Е &lt;•­—ћк Hяёђ]яN 4њЎ@ЊcЕ eЈѓ»оЪќлHbшёФ!W`шЂX№Ф 3Ъyў‹ o7iY— ЉF6ЈJ\™ MTН VјНґ&lt;@д„оэ}Ј oC[мЌЗ ђSL:Ы€ј aнM‚ _РИ “]ЗШ [dЌ=®©NЬЪ D·b ‚TѕфЌґ†Ђc HљЇsЃєџ 5и©:±џkc KтЧrmc V“Vяуdp… :иEzg _C ЌqCfю jCFHр™Є»ќLґ€© шэ§Ѓ»oy =·ЦЌiпmЏNќEtНVЭ“ a –нО d¤Е’ qr“AҐЛ: 8H 8ѓJшЪ;х ”ѓWђh«V§x GИІъo XЈ Lb &gt;Т9@Pi’E fZB™ Љ;ЖaБCк&gt;ф‡K¤ K6’ЎчђґиЕћ nP¬ Y¶ `Ы[ЈHIfяуt`” =рСtЛ= 9J w3fе–H†Hbлk·uЛ aЂHЖй ЏWЫyE cЇ Ђ@FЮКvMНђд 5oБi{ЄЙТгy™Ы Zя№‘З&gt;ќэЎПrN]N°F _ЃВ \ЩУ‰[йэДЬ [qЁ 5vgйА Њo=°§t]вQr …g[в _[ 4TІ Mx‡I\ЁGЪ eўГU –L°Ь `[» ‚bL]i»8 GK„±ФЂ©fЄїrЃ [оm XLЁи©8ёЮяуd`‹ n3Г{Ы4CH AHfнЋ [ЖJпЅ¶гF Jц;оµЉНµыощгc•Э»xk ‘RїP~VwГ Wє©tЦШЦШU ^g LеЌќОРЯOР\H jM’jваu GbCО{¶SС Gr odЈхRI` adгљ Rd Uas°[П Љ?ГeA«‚3 6]Е :№· S¬q№±ажЄ©· W° &lt;•И 8“S•JяуtpЊ =иЩtЛ&lt;ЖJ &lt;€FймHF Wхzэ~Y·VЖzпg cЗЖчњ®хKІю§ї c¤ Nв5`Юy¬Џ cb±© …ZЛж®eF d3Ж–] MТЗ „=ЌIHжІ Gz Ђ=Dў &lt;ќҐІ [° Sя &gt;кaЗ;¦ VFНgЌЁm4s*яr @ХUC lAСѕ9@‡›§‰ BЄ S”^©¶д 6‚ h7с™т 3pй®•HќAы^¤j5xЋ; 9}–щiГo›eяуdpЎ s_лpП`ЖZ„P MЭXz@ 4^де€љлП ]”цOЏм¬sЌ°›Зy We*мN_© dн¤Lїп •dФгП|4 jaP `&gt;§К’·эХ \B ‰;µnр8 …€FH g;§Є;&gt; 94 8?\© 57ўГД¤ДС ]WsA H‡  dB Љ…YІ €Tuµд @и –[РмЏ _е­6ц=ТT ‡W@•љ©яуt`Ў &gt;XыrПDЖZ C  Uб¶bF 3¶д ;р¬ DщЁб 4ЦҐ‘aЋ I7nЅNYЙJ Tв— ‚ЊG№њёCЄы LrЉ4ж©‘ Dx[ђа¶ЋщГ vS‰фЏ6эR{ Њ;W6 Sк D3О„rЉ§Є„ @Йо— c¬·ыфйёi vc|Оґ|µ5l8ў‰H 9‹№ WУ€|зБђxcсз«\3сdЊЛн[њ &lt;Fшћ€‹†eЅчЦВк@СT8МSTяуdp– ?U 4jПa 9Z 9nЭtxДH le™‘ mOвуP{Ыь{ЗЩf@ Gд P¶ cмФjа¬Е W~9QЪЫ¶ XЮ_№F L­@C ЋЂ„“IОbзVт RГ bЅ RўКіђ qzV±^ФтХиC WиeџуФCИ vMд”4 ‘PЊ8±€J’„№ fZ№Х Eѓ’Л![IлЏ A9ТBr5Т±P 7іЋwяуt`” =ЊСnk&lt;fJ Cx~дцxDJѕъ@”ei YдЬ J‚h 9±?w§ҐЅ›XМЧ 99_3Q•Нъ 3*Й;Q ;Л qCo¦ O5… Bs7Ћ·4ЬЊ SQОП– €&gt;‚P Њ‰аѓ &gt;џ KdcЋ EDAZX dЄ _ЫХ­KiR’W cV k3: A=Щ…Z‹ &lt;Љ€Ъ Cшм©49 _”IтО“ h8„ЉµEЫ[wa @ґ?ЬДw[I OZђ–†YЇwЂ„ Љ8яуd`ђ pKгuГ ccJ @pvз†XЖH ZXє_]^­&gt;Єэ»‚V6wи5гћ@Ќ ?¶r?™юDді Gєь cQs 7|б eўн Sy 5Ћ Ѓ9ЕE‹”?ќњµъlЕЏўЅџ afµi©V¦и q6‚QХu—¤U ?hR®8Кh8` €cDU¦џўфs&lt;L „8‰ 8N =Лє —;8Ф„љ… E?X @g GяРяуt`„ &lt;PГvЛ ccH BШjх–HЖJkя’R†PялRp 5‚ж 4¶‚B A†ў•nкyЇ“NOjчСoЮйЬF_я;kџЖ*яЫЭg‰ ZзvпШhП yc•cЈ{О­ЬЌ“ц 74|:Жzv e§ъя©i wOQ¦ќd° ‹WL‡Њє =EСЋK CRDa MRzNѓj•члЇцµтхLѕDMЂҐUkї“Ђw „S:™Ги Z—Ё‚ЃxRНh aWяуdpЌ &lt;LУvk WЖK =pNо 7yF \e¦q» Qfь§ E«ЁЬaё ]tжЬ—‚ЊЇ XЊE‚ ‰&gt;W6d LyЕ•€g MКТ‡“= B‹ r;†ў B’Ё8њ‰…bЅc a`†¦— CЋ n`@™бRај„†їцj] W¬€ f†4и =i cA’7ЈВw V©ШQФ dЂҐљ­¶д“…ОS Uf&lt;„Ci eЫµ±Ояуtp“ ?фуjЛ= [Z 8ЁVЩpy† [х=ѕЕ­—ДiФ DжУ cqVЄїЩpдп D°™fСдWKQ3 =щм!]@‘Л @g 6‘6–x”N: @dЎ ?5 XZ XHк”LБ 3Я}€ Gy…™и{4 w4ч” &gt;“†€ 9:¶’T¤@ 8yhKДаєд H§DКqЙЅqO8ҐZ­6Ь–T5љ s„YЫVћЛснNg‰ущЙT Aєј YЖ§№ —A™ viUЃеђяуdp§ ?иэkГa [Z 8RРМzF \j?ћ?›Z€q 9­ b  f8ѓ sUj dШ OФb YпNY’ C]ЮіЧQn ~QкШяѓyРm›иЮїоыоТИН `4Цд i9s`й a° d»W9k|ѕ OЈмw}Y—О–e’w`зХcч€EЕ° h]dкO o8ЪІ« cФ*Ег·W™ ђmCЎ®вА 9™b 3zяуt`¤ &gt;јЙqГ`ЖJ‘ KЦн–xДnљ­¶д° &gt;ЦЖбo [™X6ЬчKj–io№Ь9lUншvТ R9nріAЊN _КVИ Gk @ёЉ Ђm4Д°ZЪЋв iЋ]В]YРИіIЖZ|rЖГdAќ–&lt; ‘4‚rР ^f~щҐЃСѓ 66\X€ 9’АUэъц7Йд @€Х_ Љ3іВ 8№‡№p8 CL{ D  hTIѓЄ L&gt;dит ЊKд U„RЙ¶ OhNы Yяуd`” s\3xП&lt;ГZЏЂ Iс¶ cА 3Ж® ?Х IУ eЦ zTT@† L§*s[ ‹3d 8Y«ш JПгtн :йОШ¤pґ{aГ&gt;Zґ 7Т]ZЦоЏ 5v ‰AЂ TJЕ‡– ^wHбMХlp[”х8Ё Kмя6 eG® O[PH €TТ7`з‰Ш [JzВ N`N K@гшQ VЬ8Q Cџ‡ Eьѕ BҐ 3p Ce 3яуtpg ?9 LpК&lt;cZ… KJбt d„ XЙ fv3B М cЖЃ :y*Б UЂҐjЄї‘ЂЪ‡Ѕm WКMї¤ MMJЛ LФЫ‘с9ѓ± Т Q§б i&lt;У†ўhртЛ VB€GТ¶№\МЦ peў A:y Љk~\SP\ 5xa W± 3Ёal g]ШЈєUmЄI 7“ Ue CЃ rm&gt;Ћт|‰ C“TkM 9ma SPCI WB Z·зЮ”K Wv eM^Ь 6ќx †WI SЕ bСяуdpѓ =4­vЛ&lt;cH ;€Fк 7Y„ WВ“JлнPnf OУ‹я BЧ EmђT ?‘ 8“e aж;•7rВf•°  5О№ёИrҐa 8K!8—„a }o:њ Gs 6QS·®ҐЈT eўйЬФЂ 6R UJT Sf †6эЙЩf @‚ZKїsЈ•К—йдW]їyеuSўwВnЯ5 DњFхЂU›©6д” AЃ цяуtpЉ =dЭt‹ WcJ qgeк fKД‘ Z¤щ]o‰Јиi“ Rz ?B Љ_џOЮ“§Оелyп\®fVП ђ?ЦsьF·gC{ЧИЌ}«f8ДО“Јмґ =Щ5’•&lt; P¬ЫЙ]_NЯeSя~єЯ TњDё…‰¦Ь— 4†GKэQKј±№яЧb Mђ!el‹“єT—VJtСъz;Ўж UNqн&gt;ЬАЕ 6оB Y[yоВЊ cВыwт_nTаV«ЫЂxдяуd`ќ =АеxП WfJЏсRц^@Дђf 8Н GB Qd O§ї\¬ЊэЄҐјђЄ ‘bJЁ‰ iOEљЕ UйзрэКНЈ¤ЯyиЮ{Ch ‚b‘b X§Cх¬ф &lt;J9 [ў3i{†—­хџP`eЏ 4&lt;r aB M9 &lt;7JЭ C»HТJfU XRЃ… vp9Ёл LЌа~ PVъ‰hG 7д@eYi Yг p[dяуtp‚ &gt;Рхp{ —9Z 9x’йи KДM 5„йP”W‚µ¶ЖS FпшЯЌЙОw®ЎUКрЭй_ќM±Ѕ‹‡©Иша YфЈi In·ЕэП :lYчM Aх _пxуя_i OхБ’H Hя{бљЖ’ =W HHђ8В \L†Ѕf DMЋф™нj ZЛ ta№U ‰W}&lt;ІяCЊЁ‰з 3@Ґ–­¶д” 7€ V@ GКr5ЦfћаЩ‡циvdыj?&gt;µ IиaPЂґПяуdpњ pWуvП WfZ &lt;€rйиHЖH@j {TбI¤&lt; …?Tћ4Яm 7qљРиaншб…&lt;C[€l§ Lj c6ЧЊ{ LaД :G =‹ ;И°&lt;°€†7№ќэ€ WЛ 54«чp ‚K6Ђ 8mИ‰Ђ :ї ^ґ\… LЊpґp}ОkА’З H|‰УЈL” e*X 5Pа°m‘В§ OEЏ NмъмpЧe=~ HXяуt`џ &gt;ЬеvП _ИJ Bр~н¶ cDHҐљ©· Wј ?щ`&lt;pЅ‹нШшqxSМQ “”Cќd’eЈэFЃїҐPбі CМ57 ’Iж№» f[} OШХK ?c‘мбЗідў Bљ :Е _S cбіА@ C{кG P“ Dj§йА ‘[@Бі ;‘ CaЧ™ SL „nz;&lt;­m{€@ ?zeХµС@ UЈяК§Ю«^—mЪ»—є®…Р°¦• EI7 Qаa oRgйаяуd`“ p3еzП _cJ @`JсЋ [F Y±§[ѕmKТgУз6rзйHѕNVлцљtGЖU x†b;5 V{¤ 9aHKf kGЬfй‰3© OЉћ &lt;OiѓG &lt;D “TX :э 5б‹€Ч_ф¬’ЉїЈB TL 6‰ AЏV¶@Й PNµ UpЅИ‰ 7‰VЈ“ Uї›JсptЕ‘К _зН 3юUj“Ђ cРlG 3Ё–яуtp€ =8ХvЯ&lt;ГJ =X~йиHЖH GЇСу·¦®Ѓћ›®Ї hS]&lt; ‡Oб x&gt;ЁрьCюЛhLЂёЁ&lt;гЫД YфЉщ™fѕЬліьпEЬ_·о§ЬoЪЧy 3† bэМЂ7яR­с WR v5ВЗ‰AЃS Iп†g}Д UwR GO &lt;нKщІ”Ы E»§fB^Ы[=м ?°ҐZ®їsЃ 3^ Cst· S`БЕ b]о G{Й» KшдТCѓW›NЁ UfРuяуdpџ &lt;фзv{ cfK =Ѓ:йp@Д‘X Ђ„V‹~¦јт @d© 9ѕыПЅ|ЪЈ ZУЫ CЕіf Y5т &lt;74ЦЗН egr5«k?Ќ]D­¦E«y°­їп SС 5E KўI± z3X M »G 9wЙ QиіCv9fсяЯјo 7~гqrўЂҐZ­7 O 7ЂtџI±b\Ю e«o TЦv§ш•Ч &lt;@ PІ J¤яуtp  &gt;ФхrЛ= YZ ;h ]о fKД 8–jXЖ ]Mљ“‚ j[Щ~t 9«·XQ G&gt;hґqBжРёd Kй Yѓ`8шІ”B AДTV=З‰;[–cЎЪ_ C} 9—VzэФq lt‚ЃGAPоEяRЏ‹№Ё©X n3”4 j6ДA 3Y…`YІFвбђ 3ЯY«Эа Љx= NU9ъЫLpqЉѕЎAЕCВ &gt;„ Sґeмаdу:Ў ?• =¶]єTB aМчяуdpІ @Ѓ :nП&lt;ИZ 8HRбXIД \цb [? ‹?—Ь NсDфЧ 66 4Ћ”ЂЪ|\6™“©Z ђhpWЉ@]Љ§CSU»Q Yт 3@ UbDFИ KpЄHk Eљ 5Ў _ѕb¦ &gt;u^яџ—kЪыъVПє; U®sеPҐjЄя—Ѓ ;x 5Н ?ѓ |YЫJWmэiSdЃІКрPЮъ€*c™– =S5J n\яуtp« =јНr{ _hJ =ш YнpAЊ 4wХ CBЃЇ =j HАHDґ„є DЛJГ—SоIyQ&gt;ш W8GДLP l5q WD9л™GkcP–ЕY‚ 8Ќ ?L’хVѕOgй›3ј =ж‡Г»йљ LKSфЪO?b–ъdКJЕ 4Щ CЂfUjЇw g67ZH ?ыБљ»Х«sЪ `QlЪъс Rж]F3T;@Uo^BdxЪ Y·Џ€цо 9ObсE ;D; OBяуdpј q;хtЛ —6Z =№6бXHЖ‘ E@Й XЎЖC @wҐ c~ў 4жё sSђ VЩ e„6ећ&lt;jлЅ§ ]љЮё“rE 3‘ ~4ъ UЦ‘ JFжiѓR VзЋцM \фмЯЧ5у±О©eyHМЛ ^±Ќ3њ9ҐѓАenЄяsЂ… 5Sгa»4ю~w[ЅяzYі­Lшґ«dы?г»”z4VЅH&gt;Le Fяуtpі q3ЩtЛ= ;J rDjсt@Д‘ h=nЊж F€a*ѓSFr AмNЋ ;MB QГъЦЎ Qm’К}3 JµJ WЛЮШјeв®J¶хUeAБbД \ПмЧZx„®џЄqъдd=DЪ“‚– MЎТ_ ^J Y^SП=*gб 9*6PЦГЂҐЉЄїwЂђь t†CГд V:¶ч~oэы eoRЯШцјњ±ћ6jAтhтQ aуLП RрЎVbYP 8… Nx”яуdpЅ =ґхvЛ cГZ r\NнX cЖ‘ ;D WѓЊБQtДµ3` TlQj€ 9 PыЩF° Jж &lt;WgТЈ _I GєЂЦ :HђhЏт^ Whw’№ ILЈЫ¶№мhжџя|оЗО’Л Nб VSк HAR 7aЇШйV«Ь G 7‰ct UҐЋ9€жї „l^\вpтХ kKЩҐмdЭ_’єыЬЛЂ:}Х __Eяуtp± =|гtЛ cГJ &gt;сZйp cЖ‘F RJё*†¦ 9ШsоtЄХDД •TЯeЁТ 7Еh­челЧМ4Ґk›‘ _µН—ьН|­MЅ{оy\Щј¶ ySL»О48 „–Rb `~‡aеMTMI f8AсЎptи±; CVО‰J D”•UZїqЂЬ•L =f ]Є3с7оiхе7ЫµћUGЩр} P=РJ¬ЧHpѓ I5&lt;ђ»T­85†dµeЪN–^ `ґяуdpА t—4j{= _Z 8XRЩpa† [ЛJщL~Gе VЦЌXdЄ?еHdАЁ«[JЩruPAV \t d| bўЌыМјФЄ9’Ѕ”“CoЉHc»х?{Є§ҐЎ jЉjfQhlt z=U|*Є9 8Є@•UjїrЂP gOXЧЗ&lt;CxҐ» NЦ lJЏcП 5·»СA k\фO9чєю:Л№}н Ls}яуtpґ A!LjЛa &lt;Z…`RбtI† [Н@“3{!\ :¬ LbЃщрx№…ЫJ&lt;IЁ V‰dц@µ–ф _‚ cЙO‚ДKќл¦Ќо K?c®ќИ™ЌЇOщaІФ‚ЁBlWЛSJ 5ИЁ aђбx }aШaj№ Bш ?P’Uљя’ 3| gvFHtHwЦ —8Ж ‹d&lt;k^ЗHнЯP I¤®јiyИ9:СТT&gt;Ј†©9L‰NBЛM _Ќ Mj lMU CГЭ ]—яуdpА @ќ TjЛ=€Z 7Ё UЭXzD 4Hи`к: Vв kZсчўЁсЬ¦°T {dЪ Pm ?@†&lt;x c‚ PвьfvЊhыь SCрRы B&lt; 5Z¤”A EK hd@8q· N&gt;©ѓ EJЩиЦ:„ ^pҐЋ@АYи•ZЄЇqЃ s;МАЮI Jo^еь7– OЛ™єB AD ‹@Ѓ„ѓ№Д[Ј &gt;rX‡M 6fФМяуtp» @щCnЛ&lt;ЖZ‡ё’бtxЖMБ’ cзBьlvъжґDmФI=«» ђe–T› GQгО^ Xщ”VБНz“ Vю ^— BШўХy±”Щ eх kR»‡ EчMі:ѕуЏ›·«Ґ¬УЌ IЇаВ EБ* И VGЮђчZ€‹Ќ«єВЬтФѕ“юМ—ШКі\имZ Xr6пDї[Y†€ m&lt;В TA z;4 WXКм M±r TEJеJ Џ}pdћѓ 3ђ HљЇшяуd`ї @ЕgpЛ`f\ EСЋбґ@Д” Bpа V›jЇОuуmшщМтк¤ьјA YЬї arиђЋ ‘Dti T9Ф§вЈЫі?mЇw :N›ђ‘ТЎҐµa 9ЏП…–f6 RЋњцн ^¶¤№Z–m;Зчтй™ R¶роТ_jђ 7} =Ґ Z@Дaт^m3B&gt;х€ —Kqу ]H*яу :ҐХ±Ыќ; A JяуtpЂ &gt;ќ DrК= 9Z CЂRб\`F \{µГяЙИяІc6j &gt;VоZwс_гхё :sЯCН‹g?шйn«я’ 3ф:В e‡Г®лвкЫ—Фр™„шQљj‹q—В§БQa3 ?YЉTi·Kgt™ч JћЧљев dМ U6=jH8 ‹„NYб` nZQІGЂ ]VмH¤ЫЈИ’c†6Z§h n9и=^aжбЏRБъЧHE‰p 7T YФ@ЬЈЉ–яуd`t =D№vЛ&lt;hH AИ~кV@ЖH„ ^°КG c‰{зw_ц№w FмJ af&lt;B—UхЕ@HТz¦Ьr` †F7 Љ]3 9й‹ышј*jОГ‘…&gt;B ]E4 ‹_Ш M{gђё§¶ъН¶f&gt;?ЄЌt°iы®•9ЕљДQ[О”эящр c\бЧh M8b 8Ба cyEн}€нТNД W\ DХw ”5ЋЃЎяуt`a =дХw R&lt;fJ u3~о6HDHЉ `ьAP &gt;ЁS§е€Љ UХЁЭI KЃЙГ “Q`€ [8РµЦ •…Yђ _c `oBЧAыҐ P_ w^ЧЖЂ”nkя’Ђ „g6FЄNњы9g|k GёWѓyqВжР°oм¬ n4Э |Eyс &lt;Ь WЩ3‹ kIHД· 9_щ± Љ‘KNиїЮЌИ _·’ hXJXZч]ЧУµК WЎ OMХу`!S&lt;ќ @±щСШ VД4яуd*` &lt;Ў 4xЛ WcZ tK^тV K„HQ [6rpу¬ 5тУ &lt;U·3rђ­Ѓ°©zT|fэ xaчIµQ` &gt;g=Іќ S“ыfЇs 34 S6 s^yцЈ KЙBzBfлb Lcy‘љgМЧы– [Ў]{Jжкkјщ§џIЩ‹qА ?uQ 9eЇЉҐъ _™ЃIШ…ІЫw _Ї eЉrЛ Wn` ЃЂ_P…F {WяуtpU ;ј·zЛ WcH &lt;h6ю fCD W` ЂЊyax„і TbЁ©j•ЭK &gt;u§љPЎђБҐkЫ  g;H‚ &lt;Ј‡джцМуЈ 5\† lCg;«*­є‹MСBю&gt;DЄў5® T«ФджЩRFSНS `І¶·*М=ёщkКШzЧmE‹‚М F‚Ё@*‹СЮЦІє ”KЉпRґо h4Y` =I ~rmSd [y@ UH G{Алc–ЉгhQS TqЉю9f¬Юъяуd`| =\уt{ KFZ tnIй–aЂ 3чtg№ ]` TmПc EЫЩЎi‘YV«s 3є ?C HYW9Ѕэq»Pe€[ pX€ђ DoјЖпbгфЗu KкмЭC ]± ЊB–¬– VЩљ™ EgmкМ=L§ IpЛЕ @ј\©ыЙ X’Nl‚ JяZ®ЏD·Sq YД ;Ѓ…`М _ъй• @мЩ C±ЕjЪF \оd†Tяуtpl &lt;аЧtЛ&lt;eJ =с Yт 7XДђtЩЫhЫЎ\ґ9Шe ‡;¬юЄ»Эа \Ўґ ;w V8Z›Љ XЈTuRН HђЋИз¦lH ]‘ќ Sп™•*ўґ¤7…Т= 9€ b}аЌ EU» Љ]ў 8О4~ _›Ж 9NЫ± ЃAiф AU¦©ZN 4ў’f8чeiУ{З`BxjВ:NЬ;] ;НZмkЮоЦу UҐ{хЇўЬвUОqЉ :`ћ _EНC QгQ bMяуd`„ oSХv{ WcJ v\rс–`Д’z ^Уя|`Й–kЬаG &lt;jЊў •tFRцѕbY«9Ґ mђLќNЃ hPЬҐ‡_Z… V• }C›O Md«ЏѓЅеІ„g›h@Й«‹L [i–љж WяIЎЙpti &gt;ФрsФа°t’\ВО€©я\ІйHґ XXЉђqu `§cХsЇTG QџкNЋљНГ OЬf яуtpu qSуn{&lt;ЁZ :И~еиxЖIµ 5ЛЂQ›V«s 3њp ЌjIw· bоwaT eF CДg”&gt;ЫIЅт \ьt THЦ Jњ4Т‡ VGЇEЮ;dТC ВmXaв fLА^ I[‚ 5sЕфщM°_э‹I ‡\ѕЄr Ћ6Ћ 5‘ ?ПчсrBxіҐaД tO{\ДњЦ«J &lt;эME @&lt;haх›Ѓ 3ХE«яwЂ{‰Ђ dP du =oџIлFмD EЊ© †ZcяуdpЏ oGµtЛ ccH =h~нмPЖH \UD;Я¶7; &lt;Igї‡ТЧкљjЫ BпUu =ЏЙЄ|8ыxЊ8 9Д„ Bв P€y =Fv cъФДяQЛ ]Fz•Ё f“CжЫ mhgKЃ &lt;€ ђXЖ …^И}|WчoяЯ=€щхcPА€ €=— HЋА•Yjї“ 3МB­lH E© ^iw©®UОЮ FW«J Dяуtp— pSГtЛ&lt;¦H =РRеXHF \GhOЩ;\ еcт4Uч V’Б&gt;6MР¬UµV№SKxЁЉО3 ]a JBй Ydм LЭ· ЋYёх Ie aЮmІ°љ]©зјМ—Ьe~У¬ ~Glй’@т 6 WFgjо ]­p@ W€ 7‡ &gt;R4а\›AМаСи r}YЂaU¦ЇrЃ 7…“ sRnљOь3ќJiЦК9s \4іbґЈЌI© &lt;‹A kaВрI€Vяуdp­ @ђчjЛ`ЙZ kcBФшxД XXGnс 3 ОWсM &lt;† EХ Hѓ4†ъwЭ Iо PВ 9M N‚ m‚“6tщ’К®“” HcnзЅNщ_љU Rr© bЌQл*’ЈdJнчк¦«€„¤ ‰Ba„\ПrіYЉЏ KРk†w†qEАЎUЄп’ЂІ „7g 7К 8—OЫЭњ cнйЊnoнA|рҐо`[ђяуtp¦ @Ѓ 6fЛa \Z lCfЩXxДIf© ‡Uт@Џк7^л WЉ– \Y d€• ѓ@А&lt;{°R•¬szv±7є:№9yёЊ’‘ d9Тz¤gТ™Њ]ЮЎз ]Ћ]“К J›n!C M†ЪІlGъ \ї c Y 7° WL9 ‘XZVЂФ‚ 9І€•V«ї“ 3Y 3f\R BЬ Zm{M pHµ4з 4‡I© —XЗђ [¶Nљ• SЏч{ `Ў‡ЉИOЙшТ„ЌН¶яуdpґ @I 4jЛa \Z 7рFбt`F Xј Q™o„ ;ўЂ‚ц 9Х KS¬°Шёn«§¶f ^Еїg `і¶WчЌµЫ aЦ mЊnJ&gt; Ви† Wф\ ЏboъMҐ UA 4cШЪ _Вa’ЫЦдЩ Ѓ3H*f‘Нъ=!XЊ†7РВ 3ђKХ‚`S‚ nSRa FS Nй9yкUЄ Bіў dAЬv ЉV{| Ol F;яуtp± @= @nЛ= YZ ; ЄеtxFmЂ†8ЙbІи© e€ў·h¦ UqќЭў&gt;в:Њ·lТ \¤йPтК 5`ќ X®Д¶ y\‘*TХcJсQ”Џ Ђ^ђЉЁГv &lt;6k KЗягь 3FЦV©: 7‡aq KФя ]•\‚доЊm &lt;N7 Љ•^xe Bя\уШг&gt;Ёu^F&lt; ЏDАр ЏЂQ6 JHр­j F­мkщнW:Є [7оіpсPҐ–Єя’ЂЖ `ихяуd`· ?Б FnєDfZ‘Ў eЮ6@Жђ ‰6¦}Sл …IѕЇ €KЂИ¬ШQуr|3Пё7B&gt;q€° ‰7т 4СL TДИOЕЂР KҐVcЈ€ €xoa†kп±gaR4ъ …oz}c¦По ]sцхЦ¤ Kк¦№B@` ’K©шFџрmAЇ 9‘M d¬Ћж 3ЪdЯы~шГд3®Цф§ `тxqИJ Mvяуtp… =°чtЛ&lt;cZ ?PbеX@†IрГкТP 7‰= GЈ SуZlХ·‰q« ZЬДi—~§ KэЛѓ~ N•»¬XжµН|ЪНъЫ› ?}lъF „`ћО Lxfѕў&lt;гJЉ†јw” D‰wЏ 8ЎЖ I&lt; =€@ 7f :»еLяЬвБк^я«n` k&lt;‚ L{Кф&lt;Ж…А i&gt;ѓЖЊµўжџ•’ѕDWs­ aЎ…Ў§ 7Е†FXuLс± ‡:Q’;± Ђ_яуdp‘ qcзrk&lt;ЖK Ap6й\xД WJf 3–ZЄя“Ѓ&lt;8„кЄФ¤qЫµsь `Ьљ·«fCЙ‰ }Gr`ё№h35л Ќ}`ћt©vмHбНiжP TЖйk–Р ^Й6А№Еjг Aљ|i]ОCS©яЙщяП8‘T Ђ9B®ѓи xЏGЫъ‡ WdкdRўH 3 @@  D–3ъ&lt;hњ 7:љќ–Ыяуtpx ?HуlЛ`ЖZ 9а~Щ\yLI• cЧЂn8ҐZ«я“Ђo‹в  SцpGB“ RyГd|ZIі Q?Ѓ|w Iѓ[c9иПчє“ьd¦гsЖnэЁ7¦ЄЇO·lfK &gt;}{m‚ RчьЭМя&gt; IГењЈ¦И­нu 5®Њ _«PК=пєҐ IҐDI Њ7ЉH C*JДЇoы‡™PђП fѓ}4Ь A{є¤ ™U Hf+Єк@ yDО@ MРр6:`U&lt;яуdpЌ qcЧpЛ§ f:x:Э]O f4obC ‡Ђdu AwЊ &lt;л8ѕl 7i“LЄІД nMѓ @iЖ—\€БЧ^ц CЭqBg¦Yќљ¬°з _Ў 5ЄН”YЄНҐђл GЭm|џШ_Њ UЈЧ‚ЦГб ?щу?я~*rRС‹l MbЩ4’ fEЕ BГе PК„Л ;ќоER« NЁЖ«Єяы 3‰ oMC bf®яуt`ђ BХ RtКЗ¤ fHIЄсµ‰ ~fBџ›№ЏС 7h Sh 9„Ђгџрќ 6‹ 9Ѓ 5я!\З VSШЎ xHчяьуi•џВяюЁX!Yз© 7еЮ …j‚~4Ќ D9П|RщЧb|\dnљЇ‘!4¬ыB€ O8п DЪ§јmFЕэ T{bЪБ5 4R `aьZЖУцЯLхҐЙ;убeеJ M™AЅU \цъжчО*yXєсНЋo\ ]gnфКлBb &lt;jяуdpO =© `tЛзЊ 3… [R*нИ f4BYЯ¶жС XHB ‘Sђ ЉzgTЌ€ Cкољ ‘SеBҐZ®я‘ЂјP ЏCвdК™ЏЁSЛ @мYчqЦщЅҐЭбЇбґѕКЈ Toеяљ—rµ¬RЂмI DР’ УЁEДУcС€[•иJ;?DJ3» ^№*X®Л™ APьFb¤r Y®»ћъ:тUvэ±љяуtp` rgVrЛ= 8Z„шRбpI„ Џ{=`H ]Ёy6y KЂ j[г‡•UјwЉVЁКUsp 4… &gt;…PY NM^ТЦШ¤ cm Fa &lt;оev¤ЭмtеІ€ПX„|ЇуЕ† Uє WўфvDнЫХ&lt;ќ7Ѕ_EЗљj CФў™КTХ·P ‹\Іў6 XШ @E 4ХR e` ЃYE \ФМЖ~5o 3~ WылИjяХn ^ЁЂіэЕ K±до› KЫuЉ —^SiV«nяуd` ;µ DxЫ SBZ sK‚т^ KDHЂњG @ ;RЧоП5ИЂ ‰;ЖАQ 3МђLЂ&lt;•« CS BIЌA:іyЉ YгЈ»ЏQ±NІн±емй ‡cVpf [Ј Z‰‡Nї[њ 7е{УиK› OсД [њe TЋZ j~GГуё—Й·Ћ= V*S 9J @&lt;qц ?r›л{YD –BЌ\зэ ЊNEл¦н±wяуt`Ђ &lt;мЩxЛ ЉVJ s;rтV [ЖH~Э№PҐ–Єяs 4Ађ@ђ FYvъіЁХќcСBeсБ ]yШDс}ъ HќѕrYћµґІ›3 3р©Њ bO DЁ ta’вBЃе€B =H aЁzОаќWМРЈ8ѕ¬ VI 7µ \љ fЊ7† pN&lt;;JEі CD T6 Gг ;DpС„ЛN J{д_эРО7IНf MЉ pKBZ•jRЂ‘ S]ІЯ XкU8D_&gt;Ѓ 6C— яуdpЏ &lt;”™xЛ WfH =С ]нм@F‘© YuоFHЏП”№ Aw Vа [е8нЊEёb gvl6bЌ k&gt;Њ Qdт\р«fи I_UeШЫґфmKPIrhв‰№s 4щьeћЦ9ђLF wHT `aх 3TXv _BQдЦ…XнО« @йҐкV*±jџ 3№ =Eц ‰FиЎ ѓS©Ґ Mm№ Xа ‡@‹G 8Ч*‹яуtp’ &lt;&lt;©vЛ WcH tSbц jcFH»fhэйІ}r«ХУ ;m bэxЭТ6щ T¦ЖН›ёrb V` eг LV?®8zЖk… D№ Kш:¦ 6eДЕNР¤&gt;ѓЖFВ€ dљj PэhЌ­UёЎIё 8ј^ 5y ScЇM DЙРcg B·Z f•7–5?ЖХXїяYъБPё·ijЃч5О_Е _я e°яfЫ’Im  PД„№d 4Rg aаЕy WШоRёєҐ Iяуd`ў =XГzЯ cГH ?°Rх–HЖ ]µјб dЋ `VЈ;Љ NeЙg&gt;ѓђh«ЫЏіBИ€ cІѓV&lt;єK JiЈЏ _к Dь‡K PёЩЊЬ‰ }W¶ cQ‰q S®\CЅЄЅ­й w`ћ@ c| Dbѓ Yћ„ G—№NС aљdХЉ 7° 3бЊg ѓ_jкй TЦПЩ3 3К•j› @Kx oBhW¬чRХЧ euTяуtp— @Ѕ &gt;tЯ= ;Z k†eк 33М k&lt;эН‡k{¦§µ\‰ч ‘@bИp•BЃбЃv ;§Zl±ВРuA gdд Op 4`‹ @И rGЌC IЉЧ»ќNе XV«mUs`4H KЂ W y QH@ NF„Е …_сw9Љ{Ф _•m Ju] &gt;m=ќҐЗ†wfWJ;Њ= KL® OSЬџ@eљЄї’Ѓ VТФ’‹bЌ†[S dну=t‘…аY¬ЧЋUЅд;э»О]яуd`§ &lt;X‹t{ ceH @ш:н¶HД W­ґмЊЭ{Мu6&lt;З`? `ІdЁЛ ^m3еЌ [ЃN’® \{F a™VЛФob67ДћЛ‚дEЊЙ‚аБ¶ “obYжo в¬[!]Д ;‚ 5EШD™ ‡8OіЗx 35 8Vt‘‰ ]Y Fд»ґ–’Wы” ?™ gE§ ZйіµRїwьШзєЄђ—О ~TйИъЭяуtpџ ?4хnЛ&lt;ЖZ :P eЩ\{Ж 8e Vmн¤ =УGT dJЄђB X7ю &gt;RC Gм DЏr@Р [e] RгЫХЮG •QйЊЭиБНщЮ№[пПЄюпю [я4ґD =Ѓ@† 7KгЃL’ 8Х o•B&gt; J‚ \юг qIї PЧъ*ї “BhWXюк«Ь \n|Ы¦ЛQцэ “@ЗH XМќ 5›° 8c JFR 7AЈћ Q‹vnнКЩп¦?kЅN|;»lҐќяуdpі =д·rЫ`cH‰и aбX[ l8|д ?I:Ц}Ѓ9ЏЮ]vm Tспћ4]Л f[µяY_І[Ґ =ЮF’m·P ‚;7№7}lЅK§д Eп _rЅt~Hяї ;д3µ[S}р€MЋі &gt;IђXV XD’кXХ=·59Qњ•€Єµ 3янRp pfTB°iШ LЈ_m „DЊ @Y• Qкъd–‹ХяуtpЇ =lУt{ cfJ u—Yнt c†ђД_М¬нc8 P‹QЭ‡ “F’»r« ђEЁгV :ж 3 УВy«ЂТ sQеV MС нЗM VOWЎ :}Y®n 9Wb†|OњуРMАD*аВЗEDІЎХ N&lt;‚ЗљU­ _FхД¤j®х :Y•rЖ&lt; M: GО­ E« @fѕЗШ Uщ·5 SҐЄ© ЌW 8°A CИЂва±ауЋ^Ц LRU}Яє–Ќg _&gt;R SiЉ Lяуd`± &lt;µtk cHI Bиbб–xFH D’^„ cF PЏ®Ш [ов E HЧM4ґБ?ч°РЛс_bїеsqх‘? 6]gР dнЅqПXХ [Ф©Е Rьэk P; O—XY DѓKёy•ЎiE R™bР№ YЦҐ SA 5Йђ Њz_ВI ?С Oи LЃSґЙМ K¦Z№¶дЙ 8тBuPк¬»¦µЏ _шщJБ ^„яуtpџ @РуhПe ?Z l;nХp€ЖHтЬъѕЉ 5ЖѓЪ*эґ_Вw] 9&lt;»Ќ&lt;хнгѓ» Rу Z3 T™—3ЛчyэЭЩ4Щ BеЇUЫ&gt;67ЭЕыЭtґ©6jBљµўљZ 4А kA!IДа •EL i9… ]Qzџ g‡@зЁџQА~ }Y&gt;€Сд*яш‚ѕэB‡ L@ђ 3Z«r 3ьBIYАВyТЪЭі}K{?ВЅ bЫцВЗKe: DjЌЙѓNњkяуdp« =°хuГ&lt;ЖZ &gt;€–с\ KFN¬dhтјF:&lt;¬ Sц „: FфЬ7Mиі NЇжgfj W~°|sЙДЇ•;–н+Ќwскn ZЬtр?Иј9[ОБ LЊ3oэ ‘]НU Ќ3ўD cЋNЉlчщ™«g [с ЂYОз TмJR ЌbжSrБРФL KЧ4 rWKАбх dЌ:`лµ_H~ляпV aяуt`ў ?Ґ NrЛ&lt;ЖZЏ —Yщ– K†’¦–jпwЃ cЂ ’4Бsi Zг Bx¬€\eb9ЪF^Є KЪ R‘ …_ЇП =Њa¤ Sh 8•‹‡¶ =еь&gt;Ъ«ытг’HЊ =» @№ J^Й S› MэЇЭРКJђ ЋAFТIЬ 3p SY ?т‡ы« i?ёЩХЅо UуБ7 \RНs™ Mн№ UZјVjuOZ“ZФ _^цПPЦ&lt;KF dMjї—Ѓt MЊ =AЮЩ Ђ6Яяуdp“ &lt;dЧxЛ WcJ @Ш^т 78DH­ZРй·Фа­Ї{OЊпхRтН8кЇцъ _яь{ШП® X«RП JUxп°пч KьI Њg&lt; л [\© VЌXёHRєgе®wйGD’d D[ђ 6p HA} WТтyыђ­х †dGяЬ FgЛ H= &lt;±ѕGКуЬ @Яэgkяиe SҐZ©7 Wј =ЎFT ’IВnяуt`‹ pG№pЛ&lt;ЖH =рzн–hDJК UukT—L^©7Ќ[VґT 6сјпLй–§ …ЌUћЯ›Ч7І†§D^» IЇ eHи ЌoH‰h SѓП _dВЉ–:KsЕ ?cЛ&lt;µ \ЕСЮЛ Do„D¦UЄ‹X‡стІ¶ђIУ3ф®ЧфкY j‹|gkj6ўdС 5ъ{Я\ _lВ OS®янRp 7ђ {&lt;рwЕ V®с¶ 8ндzjЫ@PЃ ]Aс G\©ј&gt;яуdpЎ @U 4fПe [Z 8ђbТ 3xDIz‘&lt;[пqVђ zFґЉ ?j dБёГXИ ^:мЌ KPg ЌђGѓ„@ 4Ў!5 EЊaK 7—™че№ Qхъ xdЗ Nm† h3*8 v„E]х YиЏY iJЛ: ;ЁЏ”ЊичЯ YSКeO­QюК CAнSt 3тЊ„ГDК VЖцаВ{9‘€!K ‰x`рдн]9DYяуtp› =H№pk&lt;hI p‡Eж 7hЖp 6РДа•E›Я E”ФQз wU¶цѕЈй 8LM; R± @®nЮ·fюnЬъ*ыѕї ax Dh 6у!B rVЮ  Dъwзцш RґC DЖ•яw 43`eKЇ\ iaЛІt‡Ўц {};„ Ѓ&gt;ѕ KЖ &lt;ВA„Ѓc€&lt;iµѕ\ ѓqw\ыhpв|є&gt;§9яў\ЎpҐIZ«ь &lt;b cґ :ЃP€х |TС eі MZu 8= &lt;яуd`і &gt;ђнpk WfZЏ@jоVHFHXаІ —‚KЩzК cg v[`Э ;ВА`а›iЩu¦ё3› cЪЉ `Юmг~6јµят EIсэЅ EЭysc?МПж’Ї€XмН‹Hіn¤јLыЅѕ?ыр=gЙ@…8» ;YP‹бЂў‡№eKk =‹ &lt;P FюІЋM iIдјYП[u I№ ?м–­У»lmяуt`” ?\эtК cfZЌ †Qрц C„ fVХe STzЄї‘ЂIJщ [j J?СM”mуЎµ“‰a 4й‹—ЮgЊџm9nЩ’Юп …[OСuБ¤ GЄA†¦ ZЎГMФЫv]ЛS=ф ZуЦeћB …HЂ 7КБмй8¶@ы† Aµy_ OҐјЕг CIPљ f~YP ЊSр S… ;@аш@ ~GХ l[^ ]…К Rh°dUjЇь ‡UЫ ;ѓu№ѕ›Жэ ^x6e QяуdpЏ &gt;„хrЛ cГZ‡` YеиHЊ 3@У 7Б &lt;їb VS» Pv Nґ dЦ*юшШО]ЗГЦм^&gt; T°H» RЌAЇ `§Tv Bш“kTRёЈ¶hшЖZяь—я¶ючяїI W*HЄMђ dЂHґ _ґaW?ыҐ &gt;B§Ы mWіџЫҐДnУDвlS 7єйЄђFлRЊ AU`6hќТЕ ђc•М‰PЊ Mяуtpђ =€©tК&lt;FH‰Р~ймA„Hz»6 Uю¦jµѓ \§M Gю R™мDbМЖ ‰IИ‚Иљ©Ц48Тч ¤ШЂIbгRaЇ 6Ю„П=4 CY g7bG:ѕЎbIn HTЫ z?`XжЂЇ 7у eєС…|F}Вч ЏSх€•|»UZЄ†  ‰~gnDзHS~µ SҐ@Q•jя ?Щ¤~7ІI RЫy­e« Eо Sб™ЖЄZ VµG?„}ЕМ FУ” ^ћў°яуdp§ &lt;РЕtk WcJ &gt;шZсм@„ [Y ЌE6‹ SnPYµwg›єµ [E›XH|єeD Wj—&gt; ‘_–ѓбЃRbЊ I~гзmf–ўщй SUЄZDљ lK‘Х ы¦§·ФЉВ _bЂС6®€}^мщ L–нi …7КИъћДНM5XЪnЂPiЪїr 3† YЏВЁ RЖІємЯE \:Э·Я± ‡KУОTяуtpЈ =рЩrz&lt;hJ &gt;i =й\@Дq ’CF¦B¶8ЁЪ JFjaFЁ \cѓ cbЉ i|&lt;ѓ4uл 5¬ S}\K xЏhЖ DS5e:·Ћ 6Фі R&gt;Ы±o~b]‡Ц ]·\Хоа [ЎВ d¶fC —6yГ5ќљg‚;С4юъ IхС’Ќ@v VЩ b·О“ :V „q…JbЁz— @7rљЕ± LhЅ ѓUипe ]ЗхSt =‚¤ —W›MvmjОB~дЖ‹яуd`° &gt;lгtЛ ccJђ \bн– K„ђл |‚[[ 5O»і SЮДdЖ§хЇL ]дУМД U6хМi †fPћџљБ =’ :ћяБТЏЮQ· le{sЅ}џEятяЧъїьв4µSё pr3ИіО d=ь:\›ў HМкыNџDz 7Азe &gt;ћ:Q„ 8I ‡‰~6b_[Ўk5Bяј? l:Љ—­Ч|[яуt`Џ =TЎtk cfHЏ`Он– KДl‹Ђ•hЉI· YАD GR UМОЅ \хўtw°« 9E„\|‹GЬЄЗ Lд ЂO? Њ‰7МбЄ 7й‚±Щz Xw Uџі ѓaф&lt; ”Њ5џ B‡ Oы ZІ @JЈУ›e«цlU W• 4q W›H –SB &gt;: &gt;WЁ@ш7 Ip @ЂФO VЁ7e¶ I‹ cЎ±8 JY 7›№ 6‹ ?…e«ња8 UA¶Jџьk 4ўiф HxЋу іяуdp‘ &lt;¬ЙxЯ4CJ =иNт jKД![zќ mZЛт‚И– aмЁlЦ DQ SЩ Mah &gt;ЉG@ TGБO?s BxXhЁ6ЖЌKE№JЅєіЙm [” \к©»Ђ t8Ћ eNR}јС3vЈTњь IЛК&gt;цШт I*№g\ Ь ”WBЏЂў :y ^T4ё»R±™ЫY‡¶ aЂVY–ЇsЂЩЖ 8ћф DЮќі«яуtp“ o_Гt{ KcH AH’смXDLXЊмБ 4U¬ GXиpvјїфЛй`‹Jyf H{№Bа @бЪ GXdаfh ЋEhеИ 6jBЌ IS ;ФЩ L–С»ъу :ІїN g=8’РЉtЊ9 Iўw‘A†N ;„b |CЬ5н€Д ZФ„ЃG veдЊ&gt;ЧK ЃGЗ E[С±u Љ5А5¬xлБV dFb¶ЧвоHa 8–«wЃ 9CђvЁ C™µ¬nЪ¬¤lђIяуd`Ј &lt;L­vЛ cCH Cђfмо [ЖJ=¤U­Њэ…џy]m d’№“ґhЕІРМж†гн7F 9SЄО &gt;њ3 AЃ S– 9h 5– MQ aBЭЗЫЏўФ*ЮQI UтEђЖТoв jOв]№ U` –CqҐ 9x&lt;¶ &gt;ЋЯqG®y j;8\E`j¦ ;ћгДXБb XР xBµJP6 H`9Ґ \іiхџТ§Ляуtp‘ pCУtЛ&lt;cJ &gt;bт fCDHЙЪvЋF§вЇьV Wпѕ•жїНЬ†ф EХЕ є4k ‰CаAА E й C©“ў Hў† Z«КЁУ*W«`kB &lt;Рќ­6ЪP ;њ ZШ VDЁПРNЏ‰Щоu‰u[Арп›оґнLш^·k‘кsнъ™цх RћЂҐV© Yдё p;г {UІі|OџIFcсf QЅ :yфк…ЙAaФ^FАЇ§ cј b5ЋяуdpҐ oGќt» cfH &gt;иZц 78D \ёaDШЈB† dТ®мe—B; z”?Ђщ Tм8z 3I =ЏПЮ 4@ЧЦ‹ЕКЦп iEЃ Y‹K­8 eYZЏSµF©ґ|Я_КХ]5ъ VРё6@U FуБХ= Tq SЖ=ъ7UrйµRћхn№ПM SЙVI6п 4Ў †8—МK¶п~gб wtmHЂgѓ 9яуt`§ pOЧtП&lt;cJ Aб eе–@„ђѕЏtм\ЭЇ­wв ]? Q•№Ћч `~ ?nлпZЭ Fx Zщ _І_ҐNеъДњл–Б‰ cv?ю¤оНчR« &gt;ЄФҐ 6FН« LҐ’МсnэEXєІ‡e Uvщ_}5lъю®йXн3PmЩ‰ U*Љ”yXє KѓЗоИOЇЬЪP xJEjР™І ;e_Хоp4]R‚L”V c?Ю VS u^љН T±7Ц?;Г±[яуd`­ &lt;ј»qЇ cfHђIrн–H„’p]я? ^}tИ D‹кMмQЯ3ЊRй© Ћ‡46 Ќ8PY•А &lt;бА [R|L –SdPД@WымЃиюЙ5 z} ЋmiDwgЗ ‘RЖ6ЂУ3ФЊ¤oфУµU«y Bѕй5ь‹ F№ T…Щ zpGc K©нnQ— O›мџяшЄ¤ 3VYVЄN 47 ‰?ҐYьІ:шяуt`™ =8бr»&lt;ГJ @б&gt;дО c„’Њ« zscє‰ТОЏsЙ¦lU HМSdўФI@r vcjIЭК dЋЂЁ G©х lf5Ж`bЎЕЉ™p• ‘C_br s=lџЩі  L¦•i8 7? 7ЌВD ”‰ф&gt;Ќb DІBЄoъ5Ё©•ћхнuъ Y¬оB ]б@ XEћ c4ГeЎ µдЧЈЧ3§юЂ¤]ZїrЃЎР rN Qхmх™­ДХr°В–№в Jіяуd`ў &lt;©|Л WCI Aqnх– ;Д’ъ_њСr G¤qњєGдЅР ЉF^вhмjУFАЁRВ ^° TЏ ;•§ 6мИ”й“яг 6^YDПЕЉ™kЙaj»†?щ~“S G8пщx z‡zYZL —BЁGэ± eЈ =ЅН W‚5 Љ7— ЃA8y†­К9ґB‹NЊS NRиcџЮъQЄш}ФЫC:ЂeЭЄїяуt`– =ДПxЛ ccJЋИ~цV KDHrЃDД X@|Фн OчmнAЏ=©yWЮі 9cг—б¶зЕ}†·П№XЧµ_ГЗcўс ]ЅzП DАє‹ Ke§[ Oё4ўІЕg® 7MЇ =пяК‡к Mo“wсуwюч«e ITЌ¤Ђ TЂ9y]XЎЦ R»№Щѓ –^•NрQ rGЋЈ4 [юзxщ WЙ—~”юUj“ЂeМZ IТ _›¶јР*iC HЏ V‹ e9rяуdp— =М«tЛ cЖH‰иrк 7`†I Aч™Ы• NщЬЅђIoW‚ЁyacХµ7ЂЙіXfхT TЋ 8Ђ Zi« \Z RgЯЊоэYTKnXЪmК fKц 9ґ^G‘ WTh 7DXШi SГeЌѕ`і ^П9 JZ© ЊLRЦ _wR HЪ EbЗЂБ•ъt :ЎЉ T«…JЇ d5вVѕКрУШЩмїЂGТ CУяуtp” ;°Зx{&lt;ЈK rЋYт 7Y„ 3eФжy”’±9КiТ O§Ъ Sѓ‡h |6™aЃ9µЇчяs«­ХљgюёTґїсЖљS f9ПRO &lt;·Y¦ЂМ w]59bб­AЈ‹ѓб”К‹ ‚QЌ­ҐќИPЫџW Gq~єШЖљ{Э@А•UfЄnЂz 3=;bБЬ&lt;ыЧ KЮжОЕ Pњ3ђћУ°¦ I` 3z&lt;ё ЂQ@вњЭzCц‰ dхе;f5xУЄmяуdp° ;TЌtw&lt;ГI @8‚нtxFH‘f±ыњэlЄ€o IНбЩЫ ђF&gt;ІУ” D D8pщў AвЭ „Jy 3r] y`f’u g5СЦфЫ= ;V7П4 ks=Ћ: HLё ЊD{ =сз 4Ри…gЕй4ц&lt;аEдO№ 3c~ќ ?BџіCX 6§PйVЄЬЂ |mЂ?ДxВ9SЁ‘6† A`ћ”Fј U‰яуtpі &gt;эxЛ&lt;F[ Aёbе\XFHНN† K9ЇM ?^ HЌЗЫ| DЈ„§™=€ dОђЯв­\ЭЎѓ¦ lFj ЊDVgТ•”–sРv mW @љнxхѕсчсхWЙ@Є hGfv„yЗс [P™эnF Aјq”К†k |DU Vљ af ‹BOЏQГ–«w¦МОA ?[Йх \х Y iV­· Wђ =Gu‘о‰:[–ћg4ЯdЖ’юLГv¤ё7iсOMIЫяуd`® =|©v{ WcHЌЁ ]рц c„ j_€ &lt;hўm T†Ь’ @¤wК¦« Pі •=Цс S‹Rpe¦JЋ ETЛЕ MИеY‰м KKgvi W·КМDьФаЗJa \[;VУґ¤]ЯfЦCяЅЫєШК3н Y’ЄДR EK iKiЃ a{ TЛ 6Fv›Џўe]Єя‘ЂЮaЬю &gt;B™‚Џ• c§ЊН&lt;Zкояуtpћ AUgrП&lt;Ж\ 7ШRе\ d† \Ъяv§ d;Ucсe J•ЪwЭп8ЋгІ¤’Ns Y~Mфm &gt;†ЪШC·¦‹xCџЌЅЪs Q6fk Pµьк Ioќ™BfоeЋ8BОQL[Ў eЫXrtПУњЊ·Дд 8eY [ґ@ HР }8YХґєѕ 4*d ] › [†X ”3¦V«я‘Ђ6 lk7€Г•Џ Tѓ;ІT ZM EЪ} dЗ54 \R‚ЖAЛ¬ xKРQяуdp« sЏbpЛ&lt;ЖZ† ;RбtzD \W д T±Јщ aЊ dпo Q&gt;f=є Rо;CзBр ?y 89rv OмЉг’Э¶*KЂЙ­Ѕ C~sЫйP“дjuЂpёa‘I¦Ѕ… €fJя \ў;Сab AS Iїк‹ЛJЇ7Bп» FЋ“lЯOЁЊвСљ&gt;– bѕёЁA YZ«n fS…А‘uЕуµД DJC Mяуt`¤ &gt;@НvЛ WfJЌЁ~й–HFHП@QA4™Ъw…‡Ѓ†`•уhnЗ mjѓDhј wHM‰ґ… WiМџѕ9ё6W¶ѓлИ&gt;Щ EІО ЃOюВЕ° X™Џ TC№K ]bQP [УUЫё &lt;‘ ;yЅ 7O Pїf† &lt;ѓ Љ4’АІ 8D‰B@fЛ‹ґK[ ~†ЂkC„ 3°HQЙlџ IzзИСЄпdелVE Jяб°•–Єя–Ђ …3d DVp–¤е&lt;h¦Kяуd`¦ =I DvЛ ScZ!CNтVHД [U 5щУўлMCфЙѕ KЖZХеP K;k nMд8†r ?Ы FЕІ IДbЋЮЫш‘qpм ’s=Ћk G¶G :К{ќ« dhэ¤Ж “E\‘ґ›l p3’` YyIС =\ |—JxрЂiеЬаRЅmUO:*ђ”Q` ЉCвJTшІ_ЦХVjЫ `lШAl¤7p«ЄяуtpЋ &lt;шНxЛ WcJ &gt;И Uц jcD f~VЄѓЮеИC±у][ =‚4¤R~№eћ¦[§ X’™ ‡GkШцрW• cМ 8†Ћ h?B 3pЬ 9T VГ®4‘z 8IЦѕџqT IqўХ;Ђа ]хёќmЌў ?Јcђ Њx@…MЏ vI4†Ўґ©i =L‡ћ›М Qy 5­ 8Њгќ«Ъ~ [·z8є ZjS9 ?Yз’ҐfЄпvЂ Q!E› 7E \КсыЊ¤RвK [ЗЁяуd`ў &lt;pЕv{ WcJ Bbн¶HDH –d`›ъ ФпН» pLўмл U”ЉЩI™yжъу s;ѓ ‘@ЃВ ST:ф°‚м^=pх HНE z[goJ C‚gMTо!6‹r ѓ6!&lt;Ѕзи h7B‚b AIц«I¦ qW‰ў‡ bЉ &gt;ѓз‹ `Б¶“Юљ®nНLT€ Q­`ciхy4ЬA SWUЄЇw 3‘ЖF Wяуt`“ &lt;|±vЛ WcH u†Qй–@В 3…t{r{ @Ё¤; &lt;°Vd}s®eзЎ V› •o&gt;И№HЙю wR•№OЖ A‚ \Ig 3ГAГкX Ђ]Y–У Y¶ЩjrКLУЏ|{ЪЏК•©ё h:ЃАЁCў &gt;‰њЩBмkD‚ EN HъТџ”C‹ 3Т°TЁdЉX| S‘сХ?{БY kLY‡h7эя NjА•ZЄЇwЂё ђrLЧ ‹[№© r\љЎ‰јь ^\яуd`ќ &lt;P§xЛ WcH t–aшц LF 9Ч yc8М°ќbЂF‰ :‡ |KAD‚К n8О‘8бD Npз¬|]Љ _†hъР¦=Љa TоVэжЦ\іфа C&lt;µБЎe @в jЂ;гЕЎАиDЪOeJU €•`5KкZ©kqlЏЦ RС[ЌN„ ?йм YЂюYj“  ZZ&gt; ]€ Sб©ѕЃ KЋ z8Бб±‡яуt`” oO?xЛ Wc Љ?иNро KЖ ]^ &lt;¬PnмdT ‚~is|x’HP YцЊ [ѓ o=‰C© CGІ—3ђ›я¶НїID&lt;Ѓ \© `‰¶Эд ?c Hzj LЭЃf ^”AOєд u4“ 8ђ§?JнL[P|шЄ„©ч B±¤Wf» 8[wbq9 :Wй©љ®я’ 4Н 3¤Д ?…Е ;v!aт›=tE Aє ]3 O¶ TЁ­ dЊ¬ p_’SUw|Єu &gt;C” _9љЏяуdpЄ nzV~{ Wf y@Ш~ъ jK†H Z7мRЫг‘еaІй Rџ“IB :Y C… ]–ЮgF~ЭҐц­эН IхVэЎ Oqє©К j5¦®ЙЗщ LL8Ё ]Рxђ™іБ§±DO bВmaПhЏ:’ajљzЇЮ†№ѓ¶*єыH M± G= 3µfўI· XаPO 9 d ЋR:&lt;*X ?”{Y 4ІQ DЖT§яуt`­ =ДчxЛ WЈZЋ CVн¶@† Ћw@qо@ [d ѓ]”™ „ЊfaYbИ Jl  DЈљ |t&gt;\*a HГ»_x±иKфб‘jA‘ґХНЂчC=Ф ]µБВОpРЕq C8hёE 5мQd :{ЗRХ Ѓ]ЦN5b Df [uЙrРН kFvјыі‰kF‡HР}цТх 3DiUjN 4…`ҐSбе Yъшґ Z;”sCпlџћЩЄ­хFфµнТзR‘†3Јяуd`± o;AxЯ cc ЉBшnй |cДH ЋWH ]ц&lt;J ‚F©bGЉ5 Pъ;¬NзЕ®фя~ЄК@8|ђуi—нЗ° W{‚– @и tqtђ_з \~ќ—«µџдпeвKGХ]яUОжѓ DwЙ 3•YЄя›Ѓб CЧNPйmЪlщ cK EH `ҐV*dvfџ{уjM:Fљ‹IЎрМ;¤ gYC €[‹ Tяуt`Ј :д«xЛ&lt;BI ?Ђ^рцHДJКLFЁµ [СD­ =8єѓдЙ? 5ы wILu&gt;}_Х ]Іp A@ 6№:Bх XЗc ‘6Ф T= ncіH \тФРЦ ?ЩвЋ N•­=kP‘ :?x F·зТкСыґ 3эVљ“Ђ JЦ„§Њ ZO B°Ьй~ 3d3Ы 6зO8IдЫqИ Kђ }|;XzM 3†?д… &gt;©А°Р r3ЊU “l_HSE V€]є‡ –fq3О¬ &lt;яуd`Д &lt;LПvЛ&lt;CJ ?°~рцH„J \^tнO4Т†ЬfЉХ«и Џ5¤m¶Ь™ 4°`!a` AЛзЦ “BЎZќ= 9ї F—Йхs‡XљяЎ^hY¤«№Џ BO Xб eЁA’…EPАъZ F{ _z CЭч·r@ҐZкяrЂчE d©…| KъЬщН ‰=Bт@ђ¤Х 9ЮеЦ|’БpтЫџ»„‚7ґеяуtpБ =ЂПv{ ccK C‘6о 7@ЖђYеfi ?BCI @Q A»дQ Eёр l~Zbc[TQzЮ nt7?Bѓ 5}rбµЏя—ЃУ ?щ°ьЈ Jу7pF„ў„ gI¤{l 5Љq±КKИ&gt;@ Ieoсэ±З Q—тпD\™Л·щюА@• ‹EU[p oDaД \ў T¬j 9&gt; а &lt;в cuАЁФѕ \P„&lt; FpЖ 6Gњт bS” Pp–ж6•Bb UАС ‡F^ 4яуd`Ѕ &lt;¬ХxЛ&lt;cJ @Шrх¶HFH:•’x ]ЏЁ [эщ P_ћЁЂ OЪХ]№@Ѓ S&lt;ќ @Ґэ™ 7x*ќЧvф ]*SЧТ¶щvUѕќmVs GcЎ ЫuЮЋyХ QФШuД­рЯ Xѕ‚ †ї ђ4dH k`U{zDОѕбШаё№=Љ‹u{ ”CљЉ„WлюU GНЊ Gсй`ufН‹ lKу =Tzяуt`і ;ё JvЫ= ‰hA© eоV@Дђ 8Ѓ\ S b</t>
  </si>
  <si>
    <t>яуdP f8” J7 bЎЂ f=8 9r•A!3‘© ‹Sљд›Ђ+€UА j3П‚ 5@Ањ …Pе&lt;з [кѓ RК8‡ [sщGpC*яО G9S ^Ё&lt;UЎ®kР fjgm6аѓ ѓЃ 6ЂшX?Ф*оQЯК”w BяуеЯэoбЂґ 7± f9nD!3 QITє5 WKAѓ ;€Цј` =PзQ¬ p`_УЪ Ii¬Ряуtp Ѓ:T5ѓ bЗ gqc^щE‚ 5†|~ aNшѓЎ `ЭoЇ \v QЮ›t·иЯо‘ѕi {eПч~рШ HqаЯ¤›J  9ЇQt@6 W§мB 7ЯрA Q›‘v»µкШкП¬Я 36е K»SwфятаҐZ©6д” lcХќPЖ: OКцxzФ MIќЮ=ql_v¤ cЂРщHYJ‡u3 Џ@Jy d‰M k\ЇЬU 7єђ¦ YєR¤ &gt;¤Q¬jG i=@Ш SяуdpF &gt;ЂЧnПзЊ 3„p eбнЖ f4Ы kO7њoLВzњтxљ7пцєЇбПSЅ W’ Љg†g3р&lt;Њў“oе°я†„Ug*Єr 3|–fc VчшЗC ~CШ” ]ж 8BAb UФ M¦ m3MЎ»•єЦ ‹}\o6ЦQiџE!PWІЙfТe†  5BpA NЌЙ` Ch Tэ ?ed‚а° eн Љ8Ќt3–яуt`S mc3tЛ&lt; ‰‹?@Jт^ CD Y¤sЊ ]‡ъїR–{Ж b§й№*q [” VЋJЦ°R· Pi· W  “t=Г±•¦gпjZХM KИO]mйЄ EZG—э XNЛмэїіVџ[QБ o=ДіPS¤[ы±N _‹в6ъ§ ~xCХ»\Йкж Cy —VІ eЁWаs XKЇя*k*§ў3їяc h[·фЈQu3I§­ `Т»H°ЖЬ Rщ `m№ W яуd`{ :|ХjЯ cbJ @с–б¶PD– w9± [к}юЖХ VєвSЁщҐEGrЭQoйfЩ?ы9?х VR•цTr…;N9_џ_йоФиЁCFцш ZNnљРHsCЄ4–[Ё ~Sцж^qЙD@ LЃ©ўa7[ЧYяз T‰¦ќVпЈ ZиЪќ§; [S XЪњэV„k cч ?і„йх €wWЛdЪяуt`‚ ;=AjЯ _BZ u&lt;ЄЮ~8D”З W– 4bТГэяmlНIКЋHЏWSє–’u7 \w®їРµнѕЉЬКU]Як‡8”;”†~Џ_oЄЈЇСД:‹Фл hq[с O…ЋQќИ Cк±ЩmЂaРН P«аФ‘И_©eґ:3Y=}УэЅ­иЧЭYЫ}=™@u J°е{i9и OYҐ… 54Е OТк©—ЇrЂ 77 HµD›q 3Ґ lF_c Mwe 6яуd`— ;µ Jm •_BZ B©®Ю~ KЉ”iIУj­ч_м}Їoз T‰яB·zяьаРёд;юїэфN QД_С R@G Ѓ8пnЃ ‘R[]^ C„ЗиQ:ЯьВ EЎj‰9ї”шщїяT‘Уo­5TюЌШ¤­ GC_’z&gt;ЛHмњ‹туъђ S&gt;  WXМ TQґгЊ ;P™GчђЎ‡F 9•щі –YD§яуt`Ќ :q dk •GBZ t4ЄСґ ;Д”}] Kї§щоЯыs KйЫщG™JU &lt;*€ 4Ъ‹|UКЁF SЎа ZКaЂ«NіqЉЂ JС ?¬d_рb@єWшц›iЊ QF f5ЈBD ?ҐUЃkРяЩЬї Tші KЛ“O WXеq¦ђз `Ё¤ &gt;yв zTХс’@ Ќ—CъFд‘Ѓ o`іќ bШу 55юКЄaКЭЮя:ЮцнЈ Pwю IЪЎђПїтє =:А 7яуdp¬ ;HЧm? OEJ u&lt;љЦ K@D”Q:§u 4Ђн@ёeсNЅCP _Ѕ DBCp XЭc EHА 3 Zй _®Юг WЊј EJКщэљЖяк &lt;NяХБ Oќ{у№ HЦaЃ» OНќ =‰шAОj¦FWvЧю  ds \ЮЂа 7HИ HD›q 4… v4?л9 _=@3яу LфЈънк­ъ VяиVмFK FЯяуt`Ё :рНo •GеJ CК‚Ю~ [„ґи ‡O † 7NЏF?OpЁ 3М“:нЭ 5АсbГ hOq‚Ь HLтKnЂf BЊ†“ Vю@№ C“&lt;Џ¶оУ™ЮюїД€vяµu U:ифїgPЂ€ІЗІPеU‡Р aХј q[µlЌc Ki«ФD WHЉХ¶Ь‘ЃђYUюИУЅАN =ПB7С‡пCzІ~їе HЇшvоЯ_о :C©Q Lќo3 F›Г€!A€яуd`ё :х 4m •?вZ CI–к~ ;Љ” 4qФ =Э ZI e¤«O S°ь„ЈmЙ ~P¬ okUџмО eЙ f5wЯ’ 9}юЉ‰nЮйЦyыя© tCr І Q_ cAЄГMа c‡м°јэI Mшd 3H oD­W 9QGХяЄNЫ„й H 7ьм]ия \_lИVЫѕpЏR H*Чх&lt;HДX№‡YєЕКS Iяуt`І ;pяq •SўZ A‘Цв^ ;DґЏ‹‰ GПYЯOBтLS“Ёы”°Бu@ 8±Їш6 ?™еm—їяЧ: 6TjTїязGOoa‹И YднoS \… lUёhЂч;&gt;И aЯв aи c~иѓєШи‡ {@¶CzГ †YЮKЦWт c8 ЏZЉr Y]лђ•Ї IoѓJЈ“ZuҐ?я•Џ·lЃo°з TфEЯ©† GЉ„ Jbф^йeNвми SІ HBbЏJяуd`З ;µOk ђSҐ\ Cr aЪT KЉґлф O_=8§ЇrЙ IЂ6љХБ —8&gt; lY@яуФ EЄ J©ниНяъЅ~Ќю ‹&gt;zW}RЎSQР’k 7„ЯаЧђпOљ &lt;‘_илРUЏ H©л €aVK±m_ 7DиЉvS =› ”fJPнф  UюЌуйзя U~‹ёWк&gt;*їфОrЇM Kїк­§ e•ћфХяуt`є!&lt;3q ‘SEZ Bj†ЪT ;„ґ}ЅРгY SејЁћА g?Ѕы€ =ЬK \кМеящИ Sh EлК UїяE b} ND] 6„jZЫкоT dХY L—жZЧШ¶†6µS bзк®юq”хІИ° ]J•Х¶Ь‘ЃЊЎ Q©кn^н EА; XКUw=°NїOЗїЛь Њ…e~Ш…эXпУdЗ PЈLЃГ•н¶QзТd±ЩРbr ;°іhcЦXє QuО Cѕяуd`З :•Co ђGBZ v5‚вv CDґiR X€ИяHЫ’ –€SЙж3Эoч 9п DЭ™tj EъҐяю ?ИяVТјТЈ~ЙY€Љ KЈ eјw •c«УвЙ‚ Jz9СMйyз5рHrћЦEС°a] FhEЪД›ш6 LК iVM CП lNЕvЄќ DТ”ЧЩ WkкмЯ· 7ъ s^їыйіC c—SХёЯяуt`Е &lt;Ќ Jq •SEZ x]ѕв^ C„№Ѕ =пNG ‘RїйVрn Uй=J ?H7±ўЄЂ»‹o \Kїpz ] ЩЭ ?~јхЩ™яю‡ 8Х ]Ъ 56‚ ]3ЪќхsќЪA b’љ ѓ|НL [Ђ;PЬб WВГ faєЋХ*я‡U·№}Ц©аhЫ K‡m”ЁR9kюAќїъМeхъ Dф :Gs RmЉvЗ°‘№4sЫЈЧн› 7?сGК QkЦЕ CXЁВяуdpГ n4Cs ”?BZ B‘ЦЮ fC„ґСяІ6Ы€ Awчё’ Rђ¦T S¦–rЈ LЪЭ;Oµфю S„э*z Qs Tяо…Rю‹ф?п ~dї&gt;ЕW»УХC|Ј 8ЋДъЂWЃ w`_ TB4 Eѓ® _шѓ =ЩЖ­ѕЧX cЪmB VCH» [М†Уj wLѓк &gt;i QѓЗ BСжзИж©Їx~—д} TЉPєЪяуt`ї ;U Hu ђKEZ BЄ†к^ CЉґ‡ VAQЉ@ШR bf[в Bnўћж Q•ѓСbjpfТ bC Ph… W‹ f5°Ь’ –—6бF yBяюCИяЕяюпяЄ;`Hr„v«кK dђн \шa3‹ „e’ WRАХh ;ј9Ы¬T HЯ; ?Ђ*HWХuяЃP t8Ђ4^{нќчYЫ‰Оc KYЩ Pу›eїЭ~‹ЫС JЯЫ\®R VХ4*TRlЃ ‡dB№ QҐяуd`Р &gt;Ќ JnЪ&lt; [Z Aсєо^ ;D”T!^JAл¤X’N=зэ5±u=й€ nt3†Cъї &lt;XNМН= W¬“яW [¶±ЌІїЯнЫ«ю…RЦц• W}щyёЙСЖќbR ”=G“]ЛпИ±Ц] GdєPu YЬ‘Ђl 4  ;сh H]4СBѓ&lt;Ѕkя †3§@ 8ћ3AеЂЈЅЮГ Pцо?ояуt`І &lt;Hщu ђ_EZ AсЪжth„ґПtЧUОїџзwрЦ†gtxКd dў =¶nРЪх RчЛ»А SлOё Ct Tdіљ YEJbHA` h4R6дђ ;– 5GЄsXЛ Zс 8Ј*]uf^ќzДякЋЖїO§і…jЮЌ Rd 7пс‚­ aБ C«·ьИ¦зaА‘ЂўWы€ 9Љ–жЉЈ„ѕ dэПєЦсГSё†§ш¶ХUx†jщzЩ•iўХbx Wuяуd`ї qoFs bH YZ AСТл QPD”јTћі© [6ѕ?ЉЗ}ш Skц WэЂ‰a 8ќ XрЁ’t bв№ 56‚^U 9ћ–·ј9Т:fгЋщ F9сtV•r–¦ kU` bРд ei•Ё w]‚ 3’P =†ШFИЕCM?Њ6 O8 Ђ†z^VђDёS±Хяѓ [9 8ЃЎHЯ{Ъ}nљ€Щvщwю TЯЩNЊяуtp¦ @™;hЫa 9Z†° Eв Ox@ 3Из9?ѕдdoъс ^ЧkPє E»T”u ‘EиЄИА \Y…‰B§TYKs ђBЛѕй®kУ\z U`=тї‘Ђ ЁЂF Z·=[Яъi§8 Bџ ’„[’ZГ—µљ Bџх QЙ wc±‘С« ЊcQ№W8en5 CЌ iTo7‡· dt§Xэ*U–ЄєяцЂ7еtљ lW`Є…ќ IҐЊUђНЬ‹бVz•Л9mГ cѓяуd`± &lt;tЧo ]§€ fv3nвWM!3IЗксД5ѕ C”ШЉICVRsn &lt;ТнНМ©l V3S YF N`фm†Ў»ЪAWРўњP canяs TВ IK PAJ Fi €cъЭ¦ CxB sS‚ jDѓsКіM Zj» BB9Фt J:=б-яюћџSъ 3 иjiхFдM¶ЫnBH 3| 6Нo€Ѕw Q†яуtp  DY_pКМ Љf|UnйuЊ ~3yщ{8‘Ј6X ]hm …]чp5 cFk• jIрз eЇJУWbЊ® _Ю&lt;® \=d ‘AB epГѕtД ^µO=л}Шю SЈ5b exf‚ 3Lo _ЌUnP XН @ћ Tхјl±rN €_MхµйЧbчWgк¶·z–Ґ&gt;azф~пЗяWi 7_›VгmЙ Ћn‹7ў–вЌGиpзх·&gt;™¶Фmў¤RЯNэК»яуd`O 8° Zѓ ^д!3 &gt;ёbю_И!3g±љ\дjЩЮЏ‘яҐQаHJк‘Яу@ Љ„7EЬWтё“ †GSAХhuR«ZФыФТ« z5ђх W€tTјsX„ qdћч ^sТдД5Є§¤m AjэЉ ]K°[µiЙu hJ=e PЬ &lt;Дј H‚ЋbВаfќ Љm‹`K &gt;«‹ІG®лд[bеЭм dK LEkяуtpm :ј d ‘†€Љ@Ђ^ъ 78DH=ё¶ «й ]DОЎQ5rа4; …xaBКЛ…eXl A`”“ dCБfП P}v Xbиs DµЉAЊBєI—EћЇ» ]ъ›Ѕ bЕ_чЋEлh I¶дїЃ‹IбТ`@ …Ћu’j;|¬Є TгIK &gt;УРъ [•sF—• {J’ЎЫ5Z·kђ*¦ТХмСi\ЂW*ъїw 4Bґ”·ФlcvcM CH¦м ™ ;щз Xяуd`Њ :@ b{ ‘cb Љ@и Eъ^XЂ 3у«яГџ№д_gВ¬µ ndџ ;Ґ‰sw&gt;у¤АЏ tFVЧљbќ»ІЧ PКЭс•вй 3… FЌЛnа KI Ek7ЭцL†{Ў 8&lt; x„d§Ъ `‹ `Cќк[ G¦nzSµЗTЫ†C \ЫGЪжШ k`–SюЩj [SЙU«vЂpАX Bљ№v oCН{‘ S{“чТЫяуt`• ;ЂЛzЛ _CJ A@^оV cFHiЅ Iќып‡`ќэZ„F MlxNхpz‰ Uz CюNіf ]Ў^ю­яЫХ @Їю KeФЯзЗ*яЫЯА GaЁ FW6 hC‚‡і; c3іtV ~}adBоЅЁ*FТЌfт \Ы9aўf Pgхїхk Z°є­єАcЩjпs 3`ln “•SwЙКч°•„DВ}ђцк›SXIдv}JїмОpхUE ]шю EюЄ Kяуd`« ocAxЛ ЉЊWЊpbтV C†H5sLТ:9Y— cС°‘ MK sd5Ў BЁоУЌЭ»VҐє ЂWє vwW”—Ѓ‹ orMBm 98м UCи ЂcЈ\·fвДf†«cЮЈ DY§m u3пrЭќ GІЯШѕwцО ]iҐUЄї’Ђё PеиЈ bgо HІк»щ‰3e 9gбH~©ЁWM O† V–шс ‡Nяуt`Є &lt;ЂЗxЛ _hJ @А eт^ID j^Љc AщPт[j\о 9O dЏџ± Qь KE &lt;€ьяЏ~Џ7s Qq ;ряхn·Щ}= ]яч8 Zо±мЩї ]Ґ!` inW e°у Aч LM`ў M©¦ Gю Ufs^ћ e= Yзќв^]”[@RР•Єw 3ђЁk RКjЕIЇRZЌ [?Иґ3 ZЧ ZбљZ}ЪЌЪўЋоr [°»ў \K e\ЄМ—@в:]яуdpє &gt;ќ DrЛ&lt;ЖZ &lt;a =еXHЖq =Т7 e·xчp±Z IЧnA YмЕyzЮ •JV ]©jR 4и 6ЈЊSЪ Dр McG oBѓhП‡vBSЫџ*K &lt;аЁe‰ 5ФХ9 _z Q’WщQOь4}=ЛpјЪqpU™UZN 4bсh “R–Сiч­rf LNа NЅ‘ЦЌІ?CЅ·c 76\П&lt;зЙ `зVяуt`І &lt;АзtЛ ceJ tSvх– cFJИk wѓЏcЄkІБ d`¤MdЁ eUц bЯ“U AЕ:TP¶ cгM9z 6 ¤ 9† {4ЂЖ Gв cCЬ Qy kKzђkTs Eщ U¬±Y ZўhнеЉ ANј”®лєМCй|ПP–YЄїwЃTHъTЖЬ dZ^™µ LЯ 7A€ҐЙ O;‚ KРф[”bYІbZдсу3шўаЂCRЋШro 9бшW OЎ„mяЂЃwяуdpѕ ;ЬЧxЛ cCK @°Vт 7HF [S“ G\{хtP·оъk ‚kHJ¬ч 5„EЌ5еЅІ 3ЕЬФЃў ETx ;cЮ@O\ 9цўИб A:йµ ^&gt;Pэи 4гЛ®л ‚\C¬ў«xРѕ‡м¦хЂT™V®wЂа z[j€м P·пХЖ­ЮАц dцэоc6Ffгіgiі…VЁХa UЎњµ :8м{‘яуt`» &lt;њХvЛ&lt;cJ BPbе–HFHT„ 8§ IhЛ‹A T±зlQРИў @Ь5sHQ5№ЊWю¤Ќb8ЫnH n5Н ”YM„ёг=; €&lt;R yЋSVё_ `цUџveо\З?ЫЮмФG=ЬЫ KюжќИ–ЮЏпќъ*юЂия ђ4ІPZ3 Qіў ЃVсЄ‹Бя§ЖЈЁMPРЌ_«TьПИйх58¬HF BQј ]­‡C8 HC 3F 6AkЕњ‡яуdpГ &lt;°ЙvЛ SГJ A° eъ jcД 88ю*ѕ»ЇХ§СYб`B†Ыj§аN H ©‚И’M 7Ў oc8 Њ_` 54 ?4И 7А ~ьa—8€±c6‚Ё ђFYе‡j QXЏw]”gW–u @k ]ЫдV’ї ”fZЃац hѓJ]ЪE?Ъt S]F P№9;ч‘… _] AхSbћ€уPЖЉ \YМЁ Mgяуt`µ ;°§vg&lt;cI vKBо6 cД WGнп:ьkSvѕОљ–q ;IҐЙ»EkB [’kUь ;BuоіпфhBж C№cЎbў EEC cD^ ;Ы az*ф°ќ H­Zъ;&gt; X–Љ‚Ъz P№^ЭљЂйi®я— 3ЖBяE†X–п“as Tм»ЇХZmJUfB_х§ FНEц ^s JК ]¬_€ J5fР^з3Фn _T=Z&gt;b:ж‚K7ЉЭ4Ћ &gt;–є§Х @яуd`В ;`Чrg ceK @P^е¶`FHы \Эh7ЇњO‰џ±ШcћЕФк W• I? 6‰GЋ HI BГ 5@ЈГX nL` ~=гМ| ‘‹Q·чіь­Urїяю•]тПиTPҐZ­ Yд k‚6p SДѓ ‡ЂAјpЭ sЊIрЇ7щЙб№щРpwн ^8Я¬b|ЅO_OЅБЈ•aЙЛ?·ґ G¶·ВЫяуt`Д qoHnЛa :Z &gt; ^Э¶HFHЎђ„K“°јИ z†cЏT D›GH ЏN} ЉwZњС 7н B]є ‰ZA9эѓ J&lt;нк»yк —IE…Ь [gіЈ†©*B UЊ [ѓ fЉ:ГyT[X]NA CЂўъЂ C‡ ђ3a lD`… |k\х›пyњO”_ =К:jьgЛx8dыyег^ QЭ9є€ aЮѕm &lt;сPщ ZФ&gt;д9iDчБ!3p ruO|Њ 9@ C¤яуdpР A• 8hПa‰Z 8ђBЪ 7xD X¶ ?Эо*йd rP¤“ ]q W“r` 6‡Hен|m &lt;ИК cІ i_M ‚wHУT6І¤ ZL¶м6ЧРў oamJ|гиSЏя® ;@Lё`*ЈЯЫ*япЉ}_пэЂБej”а a° ’jHmЅ„ T“ґ UФ„у 6Ще MVї ”V&gt;Ув~ @6гЦU ;ўcДяуtpА &lt;ш·rg&lt;ЖI wK^о jcFI}@p ?Й Q8 j6\° e‚м ”]Б FИ\:“ОФМЕy7QЈмf…i•Udа Er@єxJЃ Џ7—e&lt;\aТ &lt;:—4’ EдK ;@Д HA DЂ bU 3дX&gt;y4 R@Ѓ uIyШuґЯйтv5~TҐZн6дј!=‰‹’®Ј MьгW•ovg C·‡п№ЏЫтЫ VfШ Ukq±ы&lt;Ыso \к“ШреsЯ M»PКОяуd`ѕ &lt;p·t{ ‹6H AРZс– cЖ ]Н¦ bя»aЮ|йG†CЗЙЁи\4 w4©ДН A¤ _‹Т­ =­4ЄЙА Oi7‰ d_ StЌ 7… q;г lnKD wC„Z§ XД dlщd z]Уh~¶ЫKM 6¦”h ђi?7•_еZС Jэ beЖ 3eЯЦяwЃ– [h UќГoаDПЦv WЄ Mа„wU¦wџ3яуt`І =МХxП cЖJ Bx aс– eD 9й Pg]Щ ’ЌMj”…R»ЋqҐ„ wPЗ‚F 6зH‰” B„Ь €C=гEВЁ WЃM6w©СЁяІkкWйА `T*BXЧ€ Y•W‚¦AK 8ЦЧ D¤]ИФ|YПDZ b[EVm:kѕ dR_ E4ЉпF‹КnSїжЦ” IbU{Њ 6  Kl|Љ c@ЋRюoїU &lt;*Юb« ]YщTыQ–їСЉЩ I› PVИГХЬяуd`° &lt;ЈxЛ&lt;eH @€^роH†J¤Є:»О LSљaT VР„ GuUД vz†fj6n· Y­“ @xЃРъNA 3Нљаш&gt; 5qJ©8А  c ѕ ЊHК yDћФ!_¦ \н nЦ ]ё¶ •_“Q  }|q_zJ hf5‹o b{ F·*‹ї8 n3†eZ® 5Ї Hи– nZjM M6йЉЗ”Б ‚ULщ w&gt;ћ*яуtpЁ =јЧvЫ WЕJ @P Uй\ Ђj3‘У3Р Uyь3Ґ»гМ­б S3®eпИЕ!HяҐHЮ Lз3§Ї™лЮюEс U9OўЁ 9ezI§ RоѕНг8QdядЂ KP… |cЏрГ_ґ RYід W^ FO KН^”Ґ= &lt;— {Nѕ„jM“ЗсsaLю¦Х8kЈ&lt;°eUjїь X‚ДВ 6Рх ]НК6 `=VЇІЅљД–”м X®»” QВaЛЩgВ YаMяуd`Ї =53vz WcZЊшNщ¶ ;D [N– Ђ&lt;nQмО§љK WХОФљF–qП 9Rtb OШ 4ЫЩMе;¶ \\іe~РД;ежAДЄоак*ЧµъЦ e›c~ж M‹Gя NЦЅґgщ•г]Пex ghOD“ YБQ 4U Hb Dљ‹ЂбYЄю &lt;b uE&lt;ђ¬¤ОЁ Ml«Ш D·Љ–ЄБ a5f¦nМ±вяуtp¤ AAenК&lt;Ж\ 7XZе@ cЖ [Д &lt;Цm№ Cmкhk¤Ич»QU:`ѕRЭ„3ulП @¶ЪЭ QBїМwЃWжМњЇ8ПяnfЅSыuW6№ЕвЉтFх{7­G ZwЫjп ^·спзйvрj|Ѓ hf5АSPЃk pG…DR±ЉA 5О 8‚€µZ©¶дЊ rU‘7РYnµkШ^Ѕ[мд&lt;Ъ WeнЩхЃ€тIЯ Џ]tюа­CЎ N*эiяуdpі @Ѓ_lz= 9\…р:бtK jX‡WЅ•н Tп QPХоЇѕ eуQЯ Y±\ЛБsvлy°t\д =lY­t= EaЩп NЙ\TХN Jяцю ђ?НD@ђ t@›hђЊG!e}Й E‰s ZФV 4c„­°A ]I Qt 3°¦Є©¶дЊ ;М к ”UV ?Ћй bЬ Oе Bћkg —TЉќ~|УCЛ K·Ь‡jяуtpЄ rWбrПa 9J€Rб\I† [}ДqeГ*н4t eтЄх»Aа:h„4х;mйB Vw¶ TU y`№ЌЯ \5пн№“э»ІіДЉlY“:ЅЫ4WЮі `*я№TRjђ 3X z&gt;…AІAҐЎLµЛzН TAмy«h†oђр@ lTа•ЪЄя’Ѓ@h LZОы7пЛЮґУ ?V‰є ”Y?OУ PЭ D^ _w*ЭzЋm*Эм NX4 SE 9t`ф 6:яуdp№ ?i 6pП&lt;ЖZ€ ;ЄЭ\H†mE 3щs Qе|OјЙ4xџЭїKйЭ~к;ю}?шя4Пл ^uU°K 4Е OA :‰›~—к |‰&lt;П&lt;© WЏ3ks»йW]|ђО \ещ“;В DiѕЬ C¬„чЂ©UЄї’Ђ ЉT K†EГ†љ­ \»ф±Љє I^A•S EъВђzNMз€rНч Qпэ ^яуtp° =T©vЛ cГHЊ d^н\@Ж‘TуyрЭН bX Aw; Wлњ}zМп LШ·zwп&gt;Ю‹э B7абҐ rЋxOУ CЫ BNЯО IRЯ•ЄvЂљ§Gо EF HХ`ј©… Ћvt7ЏЁ“Џ9 ”dy z4M@вИxmИ A[ 9X»›HЖOZИдЎ;ѕ9 ^F™ЗмґЪЂБVZњАQ =`?Ч 7:4 LлЏ[жв‡~ B›¬r cф~aIж¶8RЏЩ ”Gjяуd`ї q‡4vЛ cfZ BђZй–HЖ ЋYqk UШk O‚МіJwјkУQ¤Њ; ‘e¬ WдЬUеЦT3Ё‚E 6Г\HЭѕ‡uЎ7Ґ–µ EIф 4ћњЩ SБЄTђ CҐ dYBG|P CшrC‘Wїз›_ aђЅЬЈоУWП JЭџќ nЃSК 8Є›  aВ”Э Њ&gt;±¶№‘цэнј№ШЗ;„_ҐЗ*оkяуtpў =xЧp{= 8J &gt;иfйp`ЖI–и¦ I{W ?l ?±рXA\s“|ўњ„чу ?t b&lt; B*»NLОџHЗ±X 6Е EВ® ѓ^}їEКµи[M76а\цd j5}БХГ adcХ†Н alигqЬЋ [tЏъЏj =6‰л \№мг; PЈ RZШПF `]µЂАYЄ›  cќ Џ‡&lt;Р«V°п6® —aаj§ЂpЁ­u d&gt;Х =‹юJ B?f’Ќ‰Хбlяуd`± &lt;аЙn{&lt;ЁJ @€FйѕxЖ W§•B`пTX A~І BDy`ЈКB W‚7сAЯћьўCЇSЖеОµЯ &lt;у^Љ FBБхAw 6EМј fB‚”{ P‡†A Iшh:DИЌfЕP·ЏVig] T*яэlXч ЏMQЪГйѕW§ј 5 AiЄЬАuµЎьР—zЭ*xН7ZkVУГцНr¤dA :trяуt`¦ == 8j{= 8Z s[6Э–xВ W6 NюЏчҐЩ5 QћЭ 6ЊИB GL\и{B ЃEѓ ;Lп 4§ЭQМTі 4КмB [їn5Е idОЉ WfфЯm …:ПУњЄ­ Ќ3„AR`ЪWО‡МX &gt;џ m7ў DQЕЛ¤ъi ‹4”HЂЈ’ЫOєpФ™тmВтдцВ JЎћMмЅ;ХЭЎ &lt;·Pa SГнZ sIВМнcy«з&gt;›ҐРiIЯ‰•Нf djЗєхяуd`І =Ьуn{&lt;ЕZ B`&gt;дцxD YЌП†tк ?ЃаЙИЖЪЋЂ SUG UД :5 BЛВA’: ^ў [·dcfGL 8АЃ I‰Дn L\Г¬Л OSnO TЅХєљpЫЄХB gn{;™A±Є3юЉ[Н§ TмъДЊr•ЪЇ· PNЛgџN rI®Н=хЂfM¦Їs g6i hЏ&gt;ЖуЖћsЌ D•UЋЎяуtp =°Чrk&lt;ГJ =и eнXbF k@y Q?ҐЦПНЎ O:дlzC bпч ‰5€Mґw 8©ІyJПikЁe 8KµбAu MKг G} `K 38Пл” WЖ ZХIK f–‡7Њ T—… ;W—љsѕ8Ј nvp7ћeO =ЗтЊ„–ЎфRxйF97 Tґ·Bн^ќ 5Ёx‰КDu¤›n d” U]ЅІ{ [bА¶m›µЉТ AПЅMн9U Pq‹яшѕОЫнЈѕяуdp© &lt;@ЧvЛ _CJ @Аjнм c„H»6f4 ЂFSоyщ aЯO `гYлўс¬» b5Ќ 8пЧw?’йЬЫщLЯъЩ 3ёъкJP 4Г@В Nя €J4 —j_v i€j•Џaѓ Bh™Й© Xљ°uєђFЖ¬\‘ e“|GоB‹? [пs V: 3Ґ™jЄN g?: &gt;с ]љ …]?Оwв @XО m&gt;Янћ¤‡яуtpЈ &lt;ґХuЧ&lt;FJЌи^ймHFHLф=ФюX nbnЂС™ F™—ќ di64 9E Qn ;qµ’ Gљ Mы ldI GЧ dр U?у¬JС 95э{w@ ”ѓDC &gt;¦• A†–’Ў 9 hзџ IЪAєк ?ЮцV” ^y 9†ТZ‰™Wъ &lt;јХгUт cЯH©YjяwЃ 36 QDµ 5В°–Фяь¬ HQ¬к`¤^deҐN3бmDъЭ^нуJ †:®¶ЉбБиСФяуdp° o[·zЛ&lt;cI s~Mнм`А f9— Kl‘‰Ў \­„ c\РЁ v€ЃA„Bb@”pПкбЃzъ:TpbB 3љЄр‚ ўФ Sщ· CќК_Ёй K‘5 WГЮуЧ ЋeйnсФЃл™CJ €FcЦрАҐYЄї—Ѓ |B d*|:kaЮ¶aE Y¤цщ _] T’6™¶BЏЩОШФЗтєZ Kv@Cљяуtp­ =”·rЛ cЁH =А QйиbB fK–ujД XШб 7°Э”Жp°”Йч qMH Ћ&gt;Ў§„тf {Jh ]qлю’JЃс¬“P A\•eЕхьљL|іUЎлZя MF |C=к[ЩУ J5&lt;І 9Е!aЌ &gt;Я :®РЄZ­6д ?“ DМ\ KЄШ‡ж¶·пЇ¶zУ_ Rш8–}„пQ—“ l‡Lч RЮЕЯ{т‰IW aі @Dнпzуі &gt;–*vA BяуdpА pCЗvЛ ccJ &gt;jймHFH™ЪЅН v&gt;’ Qа©ж‰ 5е‚ mZSZШж&gt;Ы• REJ HТХЃ 8І±‚ CкУх:Нz«3 ]‚ Uѕ™:®vTРЛ?&lt;Мк ‚^Qіќ6e¶у*IdAиV”ҐљЄя—Ѓ 3э \•Зuв&lt;Д=|VГФд gEZФY”О€Їuўµ BE V&lt;т c€F B`РҐяуtpј &gt;ЊЫtП&lt;ЖJ ?ijеXHЖ‘’ gLS d™д7bFРЦ7и9°l ЌG&lt;‘ KС `А C»ќЕZUiw·­Bb_§ 3АQbтщG V“vћgwO°hІз4Хµfm‰Љ 9Ре=T—c]ЇnЌ!8ЈЪпE¦яхµ [янRp 9ўМ‹OЕB¬Ј¬і|W 9C L‡ ™U« a€ёДхPkзъwнт9°·hУ µ E}Р—†¦Љ¦tj¬кЙЬГ 6яуd`Б pKЧvЛ&lt;ЈJ sCzнЋ`DJЫ‹  [ЃcНё cEЧќЕ4” EґHA^·йH IеЧнЮЂ±dљй HЅ Z ђ ђ@=Ёh• h\ Т«ќ ЊMh G“ћ`іж‚l WЁd Uж UАэЪ [¦лџЎµ &gt;ЊAаТЅt 3UљUЄN 4±vAJю4кЏњж ah aиЗAqQкж| DХ Oу6‰ Kmый_яуtp· =@Йvk&lt;¦K B€BнмxF W~І G“k9Z B5ґ~OQ dЫ &gt;ћVЧ`Ы» AМ&gt;Їж[·ПмЗ`ж?Kхсэ7_эl«ХUNP dqЧЈ _gзйFґV| W@‚ћt±Yz]lКе”Ґ NnФ —;UIK Rёы7 eq©ҐГlчг§¬U•ЄЇvЃб  UN^¶ dюќnµ8xтЩ© 7’х :‹µ C•7 Z“=pPj bЊщZezcRТ aВXяуd`№ p_еtЛ&lt;¦K @ eс–[Д 9M XbъЯЭ’F Iу [‰S”~—vд qЂB†YiЬCл Ћ&lt; TХ e9›~ DeZҐjn 4ѓШД `д… PlУБЮюбоjЖY‹D W{Q Cтх;ф*·фҐЭ nѓMq 8Г†влBђ”°FЮ\шЂЁ ZF]7У” ZяТ ]D•:¤Ы’° MO 3CњIГІжSҐяуt`¬ =аХpЛ —;J C№ aн–xД’µ•w BЎЫў­йµЁhyЯ\іп ћ e§ыbхс VоfюзісїЌoЌ™уR Љ:‹Cі“ \ыt BЫјѕ›¶6їє6¦… VN’ ZCЫ;hCЏМУб \…ЌІїҐ w\I NЉЇqЂеА«jН Tf €3љQ5ґЫИ_79…a HЈod™ Ђ[ZM5 G  7&lt;zЮ “?®С cуnKVу ]wэ¦Ђ WёдmUо cяуd`Ґ ?U;y …_fZЋЁ†тV cFH ЊOBЌWІП| AJK 5« ]Бv Lњ VМЯд‰Ћbµјба Mn[ „Ћ‚X&lt;t` {5Е 7FЙ hqsdL;Џ F™kЛ `a‰ [*ЖЃќkдufIPKci7 X J 9ЗM lxV¤h Yh 9N…RЖ HR… ^­5vґbXVлІМ cDcц4уX7cbЦИЅZыяуt`‚ &lt;€_{ ‘Wc6 u†Eц^B@ 3j EҐ7е E` W‡ W…uтА S&gt;ђЎ6”f&gt; @] =mtО kTељµїCr!`XЎ ‹L°WЬйд=m o‹aЃ›]ЉeъkщпХІ’HіZлm DYА:Б YУp“г‹‡ЂГ@веV ]TРіЮаШїІє QЃФв§PO€КѕiЅ» _ XeпUШаD 8=ЄнЪ 4Ђ XCҐ OІeњјМ… I]*®YЗKшЩл @яуdpЊ mC9{ ‘WC Љ@Ђ6ц ;HD Љ?бRЖmлGwµkRз EИЉР UЗ dядыЁења ?Cvѕ™ \ыXK[т‰Э\уРH H§ FQ№v 5fТN…J” AFф _ёYF SpD‰ ЌXH6Lµ¶Bw Fz‘\у_ЛhOr]­ BEkl TщG oXЭкµfАєjЅ· W° ;ѓA €dФ AКМvXnu _*яуt` ;ЬЗs NDbJ AШNж^x† [о†Ґ sVc† :&lt;s\?ДQахЙо=ЬДH el`хy»ЎЌ JYАСOло‘ц·¦чт]4Пу 9|&lt;жлъjрS_€nШЉyXЪсэзaїЖплще ‚BtБ7уФЅ KТЖА nCk 6 TA †K¤’•ёъц‰ђ?б 3aNjїrЂШg &lt;шTЁКM3kwЕ d‘ІT€ Cт aёўZiЃљАEЁъЫяуdpЁ @e bjПa 9Z…А ]СtЖ h8[ H~Ї~ 8ґгь b7кpЃчєћемЇ№Ш Dи¦л ш t9В —KвэЋм«ШяУ±rй &lt;EСД UјЂrDz J9^гzЁW?јц l8€ 7кIG `ҐBОоZ5 `б CрЎЖ¤е[ =}™ъ MЌ6µ‹т 3•ЩjЇs 4ЕМ‚ ONај\ощОmЃЏD7яуtp  p_ЙpЛ&lt;fJ t3bк ;x„H*u›Шв—JnЧ°¦E‘іШ¤`Щрfх]еC SB pD [wc`д&lt;zф]Xщ }€hTVAHЭЦ Tr®ЪЏ‹ ]Ј jHыҐj“Ђ |tz5MNЩ‡ CNЄЎ IHD WЂЬQ®©МY\« 8\ЂЎ5 Иg G‡ hЌ5рa “|Hy &gt;‘ЖKъяЫ¤ялRp s„X3 =­ &gt;ќ‰ОщЖчB ?• CеC \jЋя &lt;яуd`© p[еtЛ&lt;cJ AаRх– cЖ ]Јѕ eПх…HєЅтЊ‘ЙЁ ]ГНБёf uOZ 9qџ ‰=&lt;aLh rvKrО µ[8± IX Ex™ aицЎ UаrX›np i4ф pG38 Ќ^PбВG„Ь j=Џ4у­] |T­® ?&lt;e ]sШIИYЯ?M•“пэ@©ођянRp 7Зб \Ъ±л k^»¦k 3‰яуtp— &lt;шПxk&lt;CK s–Iц 7HА 3H HТ Rэ—NџtК^ Eь8Я°SDґ Њ&gt;6AIжєѓc\Iђ4 |}Mh^·­ Љzb}нxUw© Qџщ9? ^m WЬ ЋhSTѕ±?шL “c~ _X± Gќ I4 cYM{ Jг M»*n8 @{W8шІVЯЦД  3e@Ґ^©¶дё ;ka aSџb“…Цх 6лИV_lФ¤}€©Ўы[эGУ ‚Rvf P5@љRhяуdpҐ ;Р№xk ccI ?8^нtHDHђk№4сR”—у 9—s ^§з&gt; e¤¦љ ]547&gt;мЕnЧґЃршx\hА лЎ— `ЧК3OЇ ;ЄЊХY ;` Љ7ЖҐO;Џя k?8GКrCФ4 bD»пўQ¦y ]§ _SжР Ђ©®Ѕ¶дј BD &lt;Д; 9z Yі?»№ ;Ш WUЕle q`ЌК[­ ;„WуяуtpЁ &gt;¤гpП&lt;ЖJ &lt;Щ Yб\ cD‘ЄDђW ‡Cл dGXѓЩTч wdHґwm‘ВbцЃEЮ“‚ ‹jCCЄ6§ЉY{ CїХ a¬S ]ґњ g3C:‰q c“~A„ hcHNу@B fk‰Ђ“aтсЊ­ :l®Рi‡ g6e ?ё tcQлЅ€Ў№Їд=Ѕь Te`• LЄїr 3*Ь 6ЫЛ8бІХ®5јoYЊ&lt;eЩULS6ё—9 zcћi]JХћ®ю dhйяуd`¶ &lt;јЙvП ceJ AаFн– L„ YVЫ 4; J8НuЏУmЅФ&lt; ЃDсгл Bз QmyЭmЗЯ}їпхЭ§^J QpFdFeЈX 6vfЉЕщ I§ ЋRB­„ –eґL 5с K\ epйZE„Ю—~!H A‰ MTй“м sa}п@qdЏcс}© ѓL©lі“ Rхі’ 3ЋUZRЃ 5w bCє‰o*цЖl 4яуt`§ &gt;‰ LtЛ&lt;¦Z tc6дц cЂ ЉDIr›­ LЧОТЙ&gt;юZЧҐ|Фц;vз u;4 5@:І‚Z XЋ &gt;Њ _Xz†M 8Ѕ— \Г…џу­U OТEС _kяџЃ &lt;ШЎ JќцвЌ›ъ¶ sKMЌ QЎ @eС ci¬ґР &lt;{Э‹ —3U TЄёюнYG±T;ТЦ y5¶® \О¬•–UЄN 4&lt; 7B_Kѕ &gt;дЈ `}®еЂтdЂіЎґ=®*мїфй RРџіяуd`Ґ ;ґ§rЛ ’VH A€bтV`FH 7S‚ q‰?®ЉФѓиО @Ў uLИ m{Ђc°с ]FК ђ—jaѓWЬPЫзm Z·›a¤LЌЖ’m№  G9 =TщИи O‰ЉўЙ€pЂ GсA9‘ cЌБЁ•жВJјUF r|&lt;љ [^&lt;MH…«№Nў«с j5Ч \5сзЪЊћхЂэ•Є” `ї HQ»ЩХряуtp  pC№vЛ`CI ChZк 7`Д [эўqмиХИъЋЫХчяьщћ ’=a¤э{k—ЁyЅgЖI›дkк Hюt‹H &lt;H BЏ`\ЂСљµиґ‘ЂєЕ[‰чМ›JV¤5Rґќ h=ГUиPцb~С† ‰’UЖ :њ ?ґ»« RJ•»Y‘Ц&gt;AўiCr UвЙ &lt;OµN J« b«¬ўящї [ю™j› YpAП DA 7ЈSюcҐ C¬ RtФSеі Yќяуd`  &lt;|·x{&lt;FI A@jн–X†JVµ PMCцdIЭHгЅЊ ;вй avt4кЂ JQ­ U°„њ®дцЃћEЙ 6яЩR4h 3брЁ» bП3З:Оt·u¤ _Ш\ ;€ХўЬЕМW IҐ—•[Ъсз‘?Q 76» Uк{wт— Cэ@якІt hi‹4жИU 9ЩЏр@VG U•jќv 9“гзaµИяуtp– nS©|{ WBI @nй`HЖHб ЃZr~9 ?й“¦wћ”rRћhЙф SК„ lCфпWe &lt;d¶›эзRҐ5 ]¬е 5dЂ 7P]\ь*N PОeВ= SБ*†‰Ґе·7C K¶§уuУы‘нлr­п¬у „[¬Зо¬V NZЇwЂX\ kXej WRу?\эЊџoУ†Жгc ЃZZ» `»S Cu‹§mwgQЛ :љgпѕо †A– ?” \X †CњQ‘ яуd`± nO{xk Wc9 ?ёnс–HЖJv­E6 &lt;О GdеµС Ђ7пт A\µ eХR” 7Aј&lt; FcK;Ь eB I5 3U O“w№«YЬЌ9‹ќЯ«– H‘ K°\&gt;`TШ ;а z\hцфьU:ѕ aXйЯИi№jЅ№ WРA 6Аt&gt; I• NџЯъ°ХЪ‹–щџ`3JЈвU5ЯЮk©УїXьuy AЧѓяуt`ё &lt;ґїtЛ WГH B™ Aщ–hDrЄіЃЉD¤  “ЏwT’ Xb 7vd OЊ4 ~9ЈО BлfЁ± XДї­XV H©К 8ВгЈы MЃж:sЗP‰mC 4qзzЪђХ [RЙJ 6@ ~ѓ=ќX npwUЃ@ Ч :\сel:ђРy„‹¦в ]’jNЈЧC6RяхRp :…Р‚–вШЪo•єЉ‚oЏu;† Tbю QЎгЫ:ЎЦs\”ѕg©—EТDѓAeяуd`ї &lt;ЕyГ _ГJ DHBс–a„ Y[ \Ќ‚kФXэВ 9уoc¤ТTЊв ?”lмСQcmЙV—є Nйч eЪ=A©бlіќ^ЦЅ—@ ^уn UdЌЙ i€{3A P©qJQ &gt;Ш±ч_*џљЫ;­яХpЗ€C VkZ I‹ Џ—OўT°©UкЄІIД f5ќ cЊЉR“: HДўPНd­^IOfWKњяуtpЁ &gt;Меpk§¬ g=€Цк &lt;O ~3и•€V9 rWE ‹=a Ќ\PмЈEr’ yvVґ† I:є°tTё”*¶ЋЄМК [HЖu aПэ_ГбрбG”\е=Ъянoе*‹Гп Bє U*япяв 5‚й№ Gi U›ЌЖЫi¶МђЃ †vfMЕЬ s}CR9M …—bЏ›Я UN„`йTе Oт D…Р€Ј 7ЄA7 C©D—kјъщ Lк‰gўgу_f_ят p:яуdpІ @iЃt»М z4– Ubо &lt;Џ Ћ3О€F*ятQ\ n[ЕГЯядЦPey TUяБ fUБр Ћ}_—J—еeЗЫЙтп lW¬w&gt;›”зљз=NrmЇз`і …v†i„[5ixё a!FЉAРDr€ЃЦШ ”:±ШВЌ F©СЃ:Vья¤Ш@ &gt;u±АЩl s5вЎoюa3 LPК©rfв†P D@яуtpi &lt;Ф—zЪд zfpSnъ 8З!3©†ЄјҐпяР›ЮЁ»”µЂi—­¶дЊ oM¶џ OпXџGЃ&lt;€r№љMТ«[zљ’јЁs­¶ ZXвљЗЄXЅТ9{hjР eЊўBде5 ;БЏgQ I\ Mњ8FQ GњЌ*U¶ z\j‘fл]йЖ UB ЗБЋ aп~GwЩCѕIйЭкмP UЃU C3 K3md ЉSжЗ™ †&lt;V«ш Wh€HD —RwQ§’ aяуdp„ ?y BvП&lt;ГZѓР eйX &lt;„ 7ЈRmP;шN9ХЕм„ X\ё }OrрЄD DЎTu S”Мй Qх]•гUХLЬІ HХђ”™Ґ IYКБ№ьRSґ ѓVВ`л P‘™ 6ф IГ= ^њ®”ЯµгI W« FMЂ zu8УR YL SЦ4 aЖ @H” Y5ь ЉMя V  6tA ;ЂeYjї‘Ѓ \Щ m4™е ?їяуtpЊ &gt;€яpК&lt;cZ€@zж f9IўЏ­HЅИ¤ћЉЩЗІV‰iЙ QЕ[ЃZ xX:щэбБ 6Aх SЁY„w© G¬бУЦ”шPўfz weRЏ{=J C; d еіЎB}ъ®4їеяe‰ ‹pGФ ђEбК4м [в y_?ЖiярHсsўлЅzr„RЦ \М YЫА ЏaeYЄї‘Ѓ U»†ѓ‚ш &gt;7ozќ :W›&gt; Nїд±й5™зч|Й“ E№wgяуdpЎ =Й JtЛ cCZ‰hЋйи cДL 8нK TkTцs&lt; 6Ѓ S †Ћ y=lB &lt;д^m“UW· ZОU§Нc TЦ V‰— ЊH—iя±У¤*Y·шЖъщ IJB’H 5h PѓЦ¶ Jx ђPY L€¬4ЗЮт Aк b~я›†ю§{Єк Zd :лЂVYљяrЃv™д\° FCdiVо &lt;– EуИ ?C ѓb5ћяуtp  &gt;qKtЛ cГZ &lt;иrк jdFI” CФ{„Ј x;@ЙЮ№^зс Wн»\ P» uH™’©•K*gњ«ЏЫЅОїЬь±и SHјЂfЖЙ q{]¬‚’ЖP@ЉЇТЪЇжаA Aб^C8 ?ЩЙ n`r3‡ k9VUе¤€±VO¤ЅЕD fX¤шђfФШ 6u LлС @Ъў _ЉО† O9§… bE &lt;uўпH ‹PZїr 4:аё WBaчAЄМ [=TLҐќЄйяуd`Ї =ґуvЛ KFZ C@Rс¶ CЖ [PЛП—РиY*cЋTЊѓЕЩ F4 JHм tЉVУ ?J UЄUwA EЄУ rXПЏ ”n3Ъњ Vs Mз¦ј©tr?[ :А uoW¤Ђ`lЫ ;@¬О ^µ©¦„Ш aЙЩ{ ‹bq aя›эХюµпeG]Ґ Lбю `¦АiUљїs 4r 6Ё 8¶t Yj Qїv 9њбt€ТЙяуtp“ &lt;дНvЛ _ЈJ =Иnйt K†IBЦ?O ]{ьhkНtЗ Uдб­® 4ЌљЊ Kd IЎPD 6@©РЄI€“ |:ЖЌС‘ ZNыщПЦЌ“D°}^а ЋA‚bи CІ€ “Nх« &lt;; жu PkйGЏанtwm H_ЮkњОЋS:UИк®·ЖґPнз†ЂнzЇЬА`€X “7Ё 8…C Z!&gt;M“s€ RјmЛm NI \oQ P3oШЮwя¶·рd R^Џяуdp« o_ЇvЛ cЈH ?щ’с\ [„•¤ю6 H… _Н D© ђL¶&gt;ІзµќО W Њ 3&lt;‚V¶¦u UгЫRЯ cЛ~ Wq† JVЃкї—Ѓ‘XЈИЅ•AUh bйЗ’ &gt;Ћќ;ЪыJы\ЩЅ A¶wR \[wtBwq 5i 7Џ[ btёЅХ ‚_Ц8ъ›CЯ~ќLwPь•~о 5Дf C9 kCljҐ KЉSCяуt`Ё = Уt{ ‹9J Bйvн–@„ђсeиv`Т e^ћGмЇЊч Fчїo{M IЌЬWЈ LЭЎ3°јbЂ°Юґµ”x€¬ c±Ґ JP ]‡&gt;ыџ¬КђЗ \µ7ХBY{»Їў 9dDҐTVT J^;® @ЯЌШ? bи«Эп DБЫжч¬Є Tc qBюѕ«eLАщZ«ЫА:Љ ;Л rAћз `©*f L© 3яЩMpC» 6„N” saЄ 6Pk•Uvxe«K Dяуdp¦ &lt;иБv‹ WfH =€nсX cДIІbћi g—&lt;@Б @ ¦ =Ј±AwПЂб v5Ъл ‡4v \JCїюШє¬Dµ[ј @‚EY :хІ” e‚ cs‘@ C€­з\ч4 j{:H z?¬Tаt&lt;A‚Џ Yз rc–= •A“€EП gXHгоG Vsюћ• BZ@юUZ“Ђk i_э: ]Ъ~W4¤Yаѓgs Q†яуt`§ &lt;ґЭt{ ScJ Ch&gt;й– ђlWљBВЅI &gt;Э H™^ґЄ QФRЖeN S‚‡ —;жEМFPиЈ† o†=јС*€Ѓ ЏD4Pх ]…lЪ± `Х T^ЬБE‡`I6Эа &lt;„ QеДЋ 8? 4› nF!;ё O\лГ©u aЁщДћS mF—xІДпS `k…8ЅФ “bbTЏh»TЌ‹@э–Є“Ђ |n~:E CM OЦ«Ж ЌLA‘ЕcF*&lt;Ђ“ €:–TчяуdpЄ &lt;Фµx{&lt;eI AА Yт j&lt;„ 3­eоT3о&gt; Gѓ›Ч ?ХЊНёЯбПrVфА hTм…ЕПљYj[ c4]«F[H‹я± RТ­R” 5“Ѓp}¶;`I xf@О D…ї“Ѕ·}wп«•™Н †‰Hљ &gt;ґЩЦ ;€Vlx*ЂцґRџU_„ПЮБоЋч \жгМЂюU \4дН 3rДџђNQЖcяуt`› &lt;Њ±z{ WfI B± Aфц cDr:&lt;ЧtЇйУVъч©~иќХVbҐ wb; ^Щу• [A±ОYа°@ 3«† 4ЦюДµян8Ѕ ]іT«IР Elц’ &gt;ZЙ©Ш \Xу dщ aє7 hMБ3д4 OMnњBZ^µ aP«N mt=8 wЉ…cЂ 4KШОх} w{\·т­ YqЕ@DvкЅЮ gG” hЏIУ Qх¶tЌ=ч CК? Cй7 &gt;ЙҐ bђгЫ‰:Rяуd`ў :Њ№wЇ WeH C8Љх–HЖNљЁ?:Ёe‘{9 QlЏ jL‹ I¦8Є cщc 7bд :Ќ¤ъУЎ Z™z±и`Ґ=yХ ?ЄЙР \І W‡IГБб‡uНЏqПЌЁрФ \…ЯU…П‹ҐцЅ ^ЪљґТ@ S5at№[Ћ5U}7УЭц‡–q` Qi YЬ† €†OTIsaАGЭЯ8ц¶y 6^oЮяуt`џ &lt;¤їw Ѓ_cH tCZрцHЖ ]¦оЯ &gt;fgҐ NЫxw ‰8й•b­Љ &lt;r­‚oDxSи±з 8Љ8‡Ѕ Lt7kфoЌзi~п·~Т Y9 Oi¶д 3M DS‚Д 7gадz™ :om Iв«й4Кp•пU?З Sя 3ж№Й a“µЋъ{^З ;}їщ—’Ч@VХZ«wЂU‚нЎ WЧiъk LІЏѓz«Д±•Юљ `€ЗЎэ Uу€LF4 CDfnяуdp¬ o[№wГ4ГHЋ 3Rт 7HЖ \I GізюЌaь 7aj@Ђ‚љЕ‡ GiU ]КЖ LJ KѕћY W‡ Mы©№ђ lDІ‚m vK: ~MХ 3Ш’Ѓ №Ж tкљЦZY lUлUШ° ;p±ЖњV¤°ѓ4ў OЈч‚t 3ђUZ»w 3R 4АDј^Kс[ Sэъ…†{– ?»љ {U^\€«“mЕнIмxяуtpҐ ;мЗvЛ KCJ @p Qсм &lt;‚ 3qDў LЂ fkGЉ 5ч 9Џ{E‹ЫP„ЙтѓРЃB 6‚§@ W•Ыb &lt;± HљvОКЄ 9Uщp 8ЉЋ8=MnIiп 8Eq QЦ ‰]]‘_\H”‹Fё rlhs3¬U  y5д’\ё KLlГА…вЛф­ФKИ H¤ =гЊт BPСejЬаXЂ K ”– c_›_ї T]Ф•Хt UGй „L[I6 Z|о 9*шп‰ Oяуd`є p3­tЛ ccH Chєио8ДnћdЬџNvВq Mb{н BSџќЏ’[ ѓQў:_ VjhЈ!5п B¤ѓ Cs7\SїлZЁ^ DU“ЂL Taђ·р:Џ 9уЊF7У ЏRыz UИs•ќ• &gt;ЋИXQмP cТиIЁі7џ F†EVqQ…ТдШi[Ъв _•GgZЁБeЄЫ J~ =rq C©В’›·яуt`Ј =`гr{ cfJ v3юмц@„rЇи …t\Ё{FGcHЕz @*Йs4l ЃrCР `pH‡Y =© l&gt;€c EЉRшіИю\TG®nжvjА j{M—± rЊ…v:Шб:ѓ Rф”ЅE {EqґШQ` b&gt;ѓЇѓ» D€лXs`яЗбјmџСAџ}wн IОВ E]WаЂНeЄЫ \Є _d”ОX†ЫЊПYі A53 ЋF€S7жwЭ WКдх» :AЕяуdpЈ =¬зr{&lt;cJ p3^т 7HДIN: LGf¤З G]u\ћ·Кv ^TљTпхЩЈ“o­ MК‘° ЂЉq9”&lt;@ъ 7` Iќr &gt;UvХЎn GЯ*•^ъёЃ 3Pё ySA·o P^з‡Ђі ?SШћпLЇRРЌо_Ў^wМщ ^‘љ Ku MЪ I*Uр TЂ… m6ЧЦќ¶њЭ¬Щ‰ЁхЊЌТ L§н*яуtp  qSЫp{&lt;fJ =Б6й\@Ж‘7Xтіки„®tЬуdM¤R UbЬцч @I¬!Uєќ9 Ty« bМz NK•YОѓe 3[РП 3Uл `MџMїOY WЩ MЇЬ`X¤ =йш¤…fМ &lt;Ј _± †~;TV Kfлt HЯQ 4Б I§ђ _§џ ms3ѓc J[ `Ых =ЉъВЇяй eЭљЇя 5|єЅлG¶ьc™eМыH 7¤vНGЭп 98› dќтяуd`Ї =• FtЉ ccZЋPVс¶HD [дг9эЇY OE&lt;ы QuЏcЉiі `Т WЅ€њ†Тnтщ “NIЎї ЃWщ‰r®яЪ‡щџпfы :™ёъkгыhЬ‘ &lt;?п^ЌэќџпЗџna UKF6ђQ 3Ш Kµе [Ф? \ЭЄ Zл°Ъl@э Mір=Б…@R*•Єn gwnk5d Gsј F»тџЃЗpЪяуtpњ ?сapz cЖ\‡pbж 7X†IуJoїћvУ}уПEКу T5Fm aTЇ–¦iў 5ъE &lt;I¶ eЭоыN`бТб DЄ T®iя°“®ЇpеК QЉ ]  &lt;XВD±ЦЭU “gtjt^т 4B¤ 8BНYД v{6ґ4К OЭ„п `Z [”­w X4 SњuПы*йZГєш№Эґ \tЗЂ•х EWьђ o7Њу“ї«•ї› H®YH…C:е LЯёnЪЩћdяуd`© =!DvЛ WcZ @иnтV [FH› ayaД¬ЄXZ¤ LIАIWL y9А ZLѓ€ =Ю= 6Т Hkчќ 9Ћ›kљy=РVЪ&gt;yDR eЩcm· b @`^™©х 7ЎЪ ulNp gA7 i9ф‰ IХl Vі±ЧйСU _sіЄ~JЊ\‹Ъ„Е a`¶Moн@ […TEWтР _Љ 5T 3V3Юс~к¦нxяуt`› &lt;Ё©xЫ&lt;CH tKRц^@Д [}•РI I^ _¬kЦ z8E\гЕфёi 3БЂ:Ъ sg3ѓўКZТF’µ CEпzЪгЦ«ЄыщЮЧ¤ђг’7WЅЂВ…ўЪЋVmt\ C‚В ‡c…hЋkШѕ±w:UgНl©ЖР*‚Џ}[ХWUїќ¤щЦD7 C­·КX Ґ*єї’ЃГбућ†•™Їљгy«Я SЪ Yє ЏN–эyјЉ}Л 7T»ІШS _яуd`Ё ;ёOw ‘cc ЊApVоVXF [Н=¦мк¤€FЇ dX6MA 6§€ MQ¶ЙURЯpЄЗ}Ёъ}e wAЫ ^Ќ· Yаbгq bRЮ „=ѓВ Љ„_hТ‚еЛ C{ТF›†Ф ]H ”LuнcОќ ^Aw4jlл±~в’ЪмµФъ6F WзнWБQЄ e‘RО d7‘ЭЊgќљ ]ф6iмћЉ bTЫ‘&lt;яуt`Ј o;№vЛ&lt;cH u†Eт^XЂ f`к B¦жG;^УYРwАјЇ c4Ђ±aжp–Ш; _Ј*Ш BйЙJё™’R\8D¤љ K\ГL CgCХш ‡‘Q&gt;ћг RµЬ ‡;” c|у VпЭы™є QXёQ“ЇИ l\®Щ FX Kь [‡цЖйл _¬ 3;ТЂ –GeVjЇrЂљЎ vBБ _Њ7o«j­ EЖШeIфЏ Oц4Љ€Љм =Шs`¦tШшУQ A—Qяуdp± @Й5*j`ИZ 8`bе\XЖIЧЩРоАD a}Ђ4Ѓ9 e®ШfМД’E Q’U KЅлbT ѓ‰GZXўC Qµ№Ќе•гє©ђА 6D CH :СиМІ• Bщ¶В±| ‹WЁњ W&gt;sИѕhE©Ыv ]m =щ·О GК 79“U OXVYЄїs 3ИXб @фк AzхъЮ T&lt; X” ЌRTў™uЙі@фх…яуtpЁ =ЁЫtЛ _cJ ?YVй\@Ж‘®Aљуљµу`и‚¬ cв „O‚ ?Bњ6*Э 6ќ †Z¤ …]h ?4» T°Тф f`J6©ї–’AћйЄw 4¶ў `~ђх‹W„Г±З•Щ :Б gBњCІ YТ– `‰ Љ Ђ] l ^ё“ 3Ќ AЏb\ф‰aж™€\®3Те9КмяB@” IЄ«wЃ‘† ”;Мk :ц=q_Ґ YЩ°ґћ‰`qџJ± N:ОыоSiяуd`ґ &lt;аїtЛ ccH BРrе–xДHТґК FВ:y©АвО: SBЬц’PQGФд 4L =Ю™®ќK UоОЮ”oя§ 3”ц LАъТёAЎ9а dє sXlMЃv I&lt; GBN R7zМu±Љ KpљГЏ eвћ„z’ OF›ЩµцКІї^…Ђэ•Єњ 6p KђN’љ JmЅ :ZSу4 –N–рзdзqяуt`  o7™rЛ&lt;cH A@ QдО{!5яІе ?Уіt UPЖЮдRЬi HK eєЎ‚3 [U ;sЉ ЄVAЏ 6;H„ lG|• L&gt;ІJЋHљI;А A? =A©дZГг OчЃ р Yx fЌ&gt;ћ ]Њй ‰KД?SФ…B U¤нFл5о E;a~;чи№ЧРэ•j“ЂPў;Ї &lt;¶йЉлVЯІsA°ь„] Nэ W™е!Uoюv&gt;gЙНы „dЬАґыCмx—яуdp± ocЗx{ ccK @Ш ]к 7k h7Ц*€с EС ?цљzµ _њ CSv oA}kЧю±и†ќ‘ W›q@ N\ •Yэvsіыw Q= I–ђnќ9^ U~„ЪџЈї[NфІВ 4ћ S{Ђ ZЂ U^;ПНяЗOяю ‰j~3Ґ*Єя“Ѓ€ vyRP?‘k»ж x?a ~hWm€ UЂ skDх K=ґбЄ!S3Ъ Oяуtp« ;мПx{&lt;fK A± Yо 7`Д‘ h&gt;TP YX &gt;lRЁ V[є wo^вA X= [A*ґ w9DЌ ;Ч „aXУ 7eџїшІe™ы*Є”ЂK‹…Џ Cг«tJж iT± 7ЊdаЩ ѓRя? e’ LЄ J7з ZTE 9‡„H№Џp|ш jЊ”ЊOщVZХ[ю*‚6=Йb JOкҐoЄїwЃ ?™љиyтѓЋёѕ}х© wPйГ„cЗ Kв©ГT–сЊО In5Nяуd`» p[ЕxЛ ’VJ C± Uэ–@F’G5[зD*™зI™ OC№ТЮQБ &lt;SВҐЬ kn&lt;АS @z P] &gt;гФyh Te› D^№ aю«mё i‡\XP¦—ЗB †{=Q‡“¤ЯМhгњпУяї{Liп 8s_”6€uYј JэЯЫп`юUj“ 5‰ 4N —Tџr OоЎЖМ …;]…ЁЙ xD±–Rp*3яуtpў pCїtЛ&lt;cH ?8 Mн\`А gG*¶ЖU· TЃ wCXБЦ: BI¬еі &gt;Ќ QV‰8 ђyzQіВлЅЧ eЭuIvЅa*Ї’ ]nД [МЄ« Џ3°Ђ x7W V–dЬД wop6ЈМ• 3†\ТP6…ЗSXѕJЃgнѕмx°нЗ™№ Q†s 54 [sВI ]В _ХXe*VЄrЃAfH 3єҐ w‹L=Э}ZВсЎћ Ћ\Ј `Cоgїъ y‘HИыў :яуd`і &lt;діt{&lt;eI Aа&gt;е–XF Yќ Rx\·ZRюфм=nмі№¤ &lt;{&gt;DЫэ ]™Э Hта8ћ6 ;ЩЊiх!=Y*ѓБў SbfY A‘оkГЧ=©=P MQ» 5ulХ gctчЌlфЯJъ P¬µY©¶дсДчЉ„щR —\чю—ёsV –&gt;yз AqЇт”з_7 W‰nZb¤LfдH Pтяуt`Ј :м·tЛ&lt;eI @Ш&gt;н–`F Y… jA–ҐИЭнђ’ zM‚bCЈ Џ •e:z Њ‡PHё~B dАЎ irGQЃтiА XVњ hv—ђ K‘Њ OХш`± &lt;sь‚v©И T¬?u’vёЎЖЯP@ C9ГэХю™ДH F\_©Ќ OЂАZ«д` …8фV hc~№hёZхЦЇGФУ XQФiцGЇv Ey C@QзTеоgе„ wJg Џ&gt;6љфЄ&gt; Sяуd`ї =ЂЧoГa 6J s†QЬц{В 5Љэ¤Ў• B{ѕKЁ®M€¬Й5ж a“б N—r ЊrWД J] MхHеЉf&gt; cЫХ duц ;Ы” Gp&gt; t7Aт h4Л qlNлЙІb \ЖЫ’QА ~4ЂЃµKЇqџ‚ V°ФЭcДЪ9У|п Zы‘щџ\ч·Й &lt;РІОУ’ц D9С*О ‡Iњ†}Йe _ятяуt`± AE Nl{&lt;ЙZ vLvк^@Жђy@зн{t 8АмKЄSrАKЫ R:ЖLс‘И ‚VҐ¶Kґ†о|8ьТ7Пъ«\Є± =XЩ cS¬й ”IЈЁ WЩРI› F„‚ UЄ _¤ ‘ EІЄLитnc KVТП§l\“lІ6Ыh° lGvм _¤ e\p*‘В ZL Oo’Л ‰?:±ОяыzяP§у• 3ҐhЉU{ј 7ђ~ ]N [Sґn Pю=NQj†LЩ Rяуdp‘ &lt;шЕtk&lt;cJ &lt;Nц j;„ \KП±Hb akIщHёПJu‹вBб™y™ИxЁ‡СWЈd 3° &lt;u– 9ЙЃ*VW K–йЅД‘GkzDўQўg[JЇ›ЂПD :Э~ xmx€Zhtr 7Џ5*K ?›Ќ @ЁgXГХЕЄYР ^Ь MЂ€№X¤ Y„ MЎk A€®*F’YА AЇ Yљ@P№eVNЃrяуt`• &lt;МГvЫ&lt;cH Bёjн¶ cFH4«aFj Wю} S •ШЎ·—В M уA|Т wJQe ?BFґЪ—k€ =ѕПlКЬhХNkїЕкяФAЉH Fќ ]Іђ t98~«‘L &lt;=„7‹t S• =Њ bi¬ЮБzђпАУ?f [ВM@ EFЛњёїЦ‘w ЂэJW c UjeЄRЂT my|?Бs8ЅъЛ U4 FUь?њ bE„e&lt;їZЄо¦ ‰Pд [NBяуd`љ :TAxЛ&lt;c ‹@ёrн– cДJЏ gSРќ eХ &gt;Ў¬ [ґ F|ъ·¶Д7С Љ‚†[д Yв j}`­ URs 38 HH IТњ c– :Ћѓ‚Ѓђp ђNAѓзg@Ъ P] Ђ‚aqЎqb‚ т9}lвЋё}З LЫТк«Ў SЗUZя &lt;EЕАу QrFUbФЂт asќєU DПЙ a^jEb ‡LКэРєяуtpЈ ;Њ‘zЛ WeI AЂ aк 7a„ 7їM K“E i8бБм w=;” aУ{QsЊЂЩ` 5х ђ:FWw‰9sЏџъ jM? OЧ4њ€Ћ*_}kоzD„‚ `‘єЅЖ 4BhХj8¤·Р €Ђv}rg9“ iFsЖ U 9¤©ѓЕКE QiҐж @ђY DжЏ…BJIВекІОЄЕ”Ћ –3~» A~dИжХZ›ЂJByА G} 3“Q KB wxQЦ M‚V Ghяуd`· q“Frz&lt;cZђРNоV cF [®µ NЅЌЛ|ЪћячQЊ№Kn{8©€ avХlж YoL WҐ›†иvбKьЭ 87*ч*яуo­ xFЈ qN’[@† 7ЭRЃu n–Lг™HЎr@g©чRУ ѓuSfЕVе® XеЁнVЌхҐдzjжйVХ ‹SeoЄя‘ЃРЄЁB73 yGы· S° ?C 5яуt`• &lt;d7x{ –‰WЌ v=ъ^ C!3 dЃ ;”™ЌЭБћяЊ—~ 5т X\ ѓSиЂdAћE`VЛBMеnkY ^§‚{ `uћо7М}~‹ LИОй–эНяць{эw¬I ]Ы VM¶ q6ёC ExДШ 9xЙ„Оў GBђw PЮ aй7‘ѕшбЦgЯ–ЬынЦЪ&lt;bЂЄX’_ь &lt;H Dѕ® ‡yTйЫГ®q 9ДsF6ш}qП8v EvЊНЗпX UоняуdpЁ =&lt;‰tЛ&lt; V8‹Pbо jcDI« BХl&lt;є Cш~ЛНіlяч|RF¬Qц‘ =_nТеgQк{Sh®µXJфfI ‹‘VI •v\qУЗ•Vґ€S­ВйUБS chpt WEoelK H:Ч‰ 6Њ± DН 3“z ‘?Э Vy ©W MWьђ lDф EҐЂ ZПхI¤Я_k:Чј§Џ D5bЗR `;яуtpЈ &lt;и·tЫ&lt;fH ?ђbк 3HЖH P¦ю?Нџ®Х;n D–hMє Zl4 @U S]МцжЭѕSщТ bт…яК№Ьї§ Yb6 dnjJо9 Jf™jѕ« Sљ 7rV WЊkVЊе—Њ9 OCz e¦R C±Zk]C enоы\† YЯйМ G^lй^©6дё 6ј8Ж U„џJёa®іy 9=s l_ЏЋбHЬУA dfҐ ;§fПн±nб Kє‡{цШЖ4яуdpґ =‘ FpЫ&lt;ГZ qC~б\x†Iц‹TЕ&lt;7vnуѕN rЋY}‡ ?њ{ЧZ j8Xш`©sЌЪљЉѕEЧe L«єЇжа it_И €’LБбВsC…ЃУk :BЄ rЃ„Heo• bњ‘PБPщ cшЁ Oа¬ъU&lt; NTҐZчo_[TерЛ JKѕє@‹нS 3&lt; ~GґЏTSЦ^щ wd„ U4Duяуt`® =иЕtП&lt;fJ vfUй– EF 3к“g KЇП 9»У V·юҐ XD47Цz5Эп :PC¤Аґ‘ =‹†ЦЧ» ]Ґ dhTV \ЊS{ GЄx†µ;Ќ§_НА*Р KІ: SAГfВA ST †ЉIzАdКL [8а Xнћ†ѓcAЗ Hќ Wt €P3sњхиZ{Ы»= dҐ5~ dЛX™^©6дЬ =ЋвЙЕГQЌ PgtЅ WyКs SRњО¬ЉМ™ћїХя‘яуd`© ;р­tk WcH B€&gt;с¶ KD W“_ •GЏ P5m~вtКZј?Ј‘: j‚=—pxzбаљ]bwXЪ LGaЅUЫrQ \©х[wР p8‡HмюУй№ ѓKЌPѓc±pиЂЫ MЈЁ;i— NR”х [Є—xXDа oW4иЃ!_яьZхк№­mЁµЛHюUj›ЂJ cФ [;ґ KkР&lt;lVрЊ Wяуtpћ &lt;h·vП&lt;ЈH BfнмHЖH AR qKЊ ‚Ђѓ^М ѓ[ЮЈьИкП \]МЊР G“ ЊQC :ЂЊ!:^ x9vђW4 _»^«УSzИWХЧРЄфКґд 5йb P›ҐzXґЩPF Y@ґщќ N6 J&gt; B=Oу«’Нэh 3‚ВR b©zJьpH LЎTл I6ж‘C ZЂLп±`ЛVЄЫ H M‰ФMhN”щ*­јаv Цљ‘“ Ќ@uOЌ|еоyяуd`§ ;ь‹v{&lt;cI B`‚н–`ЖJдuJ‘¬уj &lt;Ч¬{G b¶Т8pї= Iy ZA“ЗCQЪ l@Ђ 3ш°± TУO8ЂЄkU=«*Љ” GUИЈђ]А‹ґ lJEАОdB V‡G 4Jљ W*X au nH~ЩзФЙm @ћs C… ]Пьнъyы·йwLї\pХZэ· Wґ 8d dl iKЩ¤Pt4бJ©яуt`њ p7еp{&lt;cJ @аNк^`D [сЅћ H­a†yУз E№…Ќ]b{’SZг_¤Ъ NkЮсQ _ШСџµfi 9Љн ]fнфТg AМтT GS·=Y‘у™MЏ*Ћ¶ж?щ;“ЩдЦ Aж¶lэC® pJBW @ЗЯ}ikU“ r‹=Ѓ|w…к 3О RёifG CmI O]њщ’ќ”†Ьe 3®eVЄ®яэ Zz faёЊЃ DЗ W–М?Џ† @Ж ^IGfџяуdp§ @Q :hП¬ 3‡°~ХqQ ~4”Ќ3 „OXм«Я B№fЌ D”ЛЉWQDњ9 PкЅ \к \tЁ№ЈМqГ~‚Љј±еA¤q5»kОЛo°є‡«Ц }=mQr}tеХчX±{]vЙФjЏ ]¬°~ЭЈvчrwєfsжf™3У3у3їfБуа™ЈлТaї PфЛmуХV F„` f=ђ‰NРяуtp wѓ\pЛМ –fFaОе] ~f[N&lt; mJЖ¦Ґ•рКзцБ“Я€ _Д™‚A°µџьЭч Iб U]“т…№УИБ Uи–юМхЁЏяэПтэ\ Љ[у 5йяюQ 3mG XhУsp4ш ѓd^з _љЧk]НЙЛГ@йE LV[ѕ«5xпҐ~Я?c Vђ«Э»н&gt;Ї§ми SK WҐХsp Љ&gt;ѕгщvҐЁЅ ]• JX€ ‚8Ьa€wЈZфэ‹я·ъяуd`T l†bЃ ^ж!3 =иvцWИ v3®я‡Э’эmWXV»ж«{ЃК 5‰ 6нр PЬФг 6АAБ’ Y‹‚нy’ aj‹Ћ {?›@hTмИ@ ObЖЏz‹ \ПIЌ BMUЛk±? U—&lt; Y– PmZе”€ IЫcq9№ i=Ј ђ?ЇЂШ oK!5  VА †Cб €AЅХ T…Vµ €WSKеTp¶ OBMфYяуtpr ;\ RxЛ WВ xAЂ Mц 7`А 3Р [· qA*Y[oфVPoэ8 :W„л{Е­BІ 5– k‰9™ 8UЅ neшг 5ЃhАЛЙЉ `‡THт hVn wWYц­ф \63Х cЊ ZнчНЫ®­jЗeMJP4F aљ{™€ L|Ф €]x± ѓ“ЊeуcPв}z Gµ¤ИР ~GNv4щ¶dhV¶\Љ?&lt;‹ @ґ·wqд¬ҐJЄї{Ѓ‚о‡© ;Ц UґЦруќяуd`€ :Њ bv·&lt;c ‹AXnх–H†J_’QJк&gt;с IBЭLЗо3z:5п:ҐЄµ eО g?jСNш±„ QтC KВ«i‰ЗџCe;ўсvяжҐ bъЄЬ B TЉ©Oџм:ѓ 3щr `h @сq oX\ц XН@‘g PГ VЧkЙЎZО &lt;НџYu‚L\цф}дZСfнтЄякІp &lt;› 3Ъ!I iKhйяуt`Ќ ;€±vЛ&lt;BH A°Bэ–`D YѓB 7љ8f _г¦БШ lQZ KMrТ Eт•Тв?q†Е BEX }g]Ѕґт‰Є—l’Ф 4U bУЂ*T @±ьД3 LLГAГў 8№ўg&lt;‚ KX&gt;Г 6ZчЄlB|rЕ XYЌsШ}?ф*ЊЯб–HиФҐYЄї’ g9°Ѓ 3Ъ“]f±Ш? ^°ц8cvs™ Qд ]е‡ Lњ`д¤©Q &lt;€ 8Qч zsUБНУNЫХяуd`Ў 9ь Dzk ‹Њg@Ђ^нЋ KFJs PІL V„ю§ ]JІРўК Y©Вџ±ЇW ce} 6«kѓ¶3 MuЈ·}w·HЩЁ·eв=Jжы 7— b§ЄпоФ 9к°‚ ;љTBМiюэс Э™”· dф·7 E*vеK™©O EИ‡pdРµЄЫIёеа ђЊ4р ”hg7HOыiб·RМ \—лЅ°¦э™tяуtp® sЏNnЛ`fZ‰ =бXH†qо~e±ЯЁsЊPфюЎ–L ;8F gcт† FP@дK JIќn Rzjж =ияYќУJяэUNP Tc…ipђ„ tw–|x[ш&lt;а™жЃGЊ 4Ѕоimљi Wэ ^э ^gуmЅї¬«яЗб Z–kФҐn©6Ь» 4°vЋ‘ M eЗ©\ ^{в¬Dr 7‘Щ–‚Жwќ M—Я}~3 w…_ш ?ђ] dk¦aл 9c 6sRяуd`і o?ЇxЯ _cH s†Eэ– [@ 5уЋyЏ ;Ћ „a“i 8L• ;Ќs MЌ AЦ¶;sЅ =µцi8 jSшy EfrЭ±Uи e®\‡нд“єиc*M ^fbof V•A] bзБҐ Ѓo;љѓ &lt;ЏX©бg ?`ґkиwO·эКЛяN 3є SАT ’4ьMo FU‹њЯЇ; t ЌSЄпU BГ —TзМ—¶мDяуt`± &lt;МБqГ&lt;ЈH Bi Aеv`ДrI KЙЛh¤№^6ГЎdЭ c8 [сЪњѕxЁ Bnы XNZЉSsuAKq¤Ы—X •…^› 9КНЁНXўЎf‡„f ?P  MЬґ: 9HгвP¬а tU±ф =ПЉ ;‡ ?љ RЉfнпuтE~ ялS” q@тbx zpJОэ ^№3 SSу† Z·[ A№Иwчw7 ]суП­яж|ъЫ¦Г§€К d№ SEі &gt;‡Ц лЧяуd`ё ;¤Ўpg&lt;cI AXVзЋ`„ [‹яг?lлj©е5 JuЯ|юu Fйwю»я™Un–’p 3№Q N5• Kђ D–„ GБ ‡~CБPк*Г tTДЌLкbLДl FPКЬ°Щ m[UW7ў* ҐГµй{ЕОхЂйћ©G X° l{[GС [†hЉ•Юю`OѕҐ¦ 8‹M dИџ dћ®ОЌХ ?FEяуtpґ pKҐtk&lt;fIЋШnн\HFJнђ±АAєЉ fKZfЩђц D“›™’»¦Ћ8zвЬz 9т [є} AhF PП AоhИ®b 6° 3d¦„зѕN‚ [яњ 5Cь&lt;я&gt; 3HЖ[Ќ¶Ьґђ9уZ9cЎЇФKУў r:Юг 5№ 4Шќўм dC‹hђOЫ…њ SRв 6™67ДпЇв mC©V©7 WЊ qn6ђTВ—ДЄL]СМs„6Ѓг &lt;EzЂЇ\Pяуd`є ?б bvП&lt;гZЌ 3rу¶@FH!UTЕ O&lt;н†hmPr8љDiљm ~dг {dFPиЯи¦Ѕ­|ёl„а—•YсІШщЌuЇюKvx5 Ps3ПЩneёмщю;evlwяЉCOЪi SР6Ђ °!SЙ j^6 E¶… K!^ё d’‰ z\~ц b ЉПм–љЄї‘ЂH u;Ы PFЬTBНтяуtpљ ?ЭctП cf\€xfйtXFIеX‚»&lt;ЦWќҐі§ e?†ъ&gt;кєЭ‹UЛ™HЯM b§kQ[E} FЄ=¬«м O\і§d]jЙiЪ„Ё  W‘ёS V4p &gt;® ;@БЃ«ЏАd€ЗC &lt;‚M B¤¬НИKu§k5 aбk IG® \uoям C?sиcЩPeZ©6дЊ &lt;—D” TвRИu7»DД=оР=u N_5 ’cЕ ay ‚\¤ _юЧ[г ‡Zяуdp¤ ;y DxЛ SBZ @8Zо ;`F [X3Г;у°Ј­?6ЮЧтb–k &lt;’йоъл &gt;эфo “\b Љ]\?трНjBїC‚І 9ХMn –AAЂ 4 Б;љ b·ћЯя›bћёќ‡apY :њi‡ЌЦТ¬й*Qэ‡ :ТЫ­ґъЗ&lt; ЁЭфҐSеРА¤n™ 5  @ъa Sэe X–Є«ЇъЂHеЃOt Tяуt`¦ =Ќ bnП§Њ fC€^Щ—O!3 kS°Hwp7XЊ¶Sњ§uюMЄ \°Ц CЈN ^»ќ}ЄІHг VuЅ :yЌЖчю&gt;^*fФлзЯ”Эчc…‚ CCжЕ»*чџэ~] B Kм¶Яв7Зэїм„яеяю DТi]Dїs]ч XДIA5 Ѓ7g ‰WЊ ?ОLА 3y dоВњ‚їўFл9FхќмkяЮЪ x\R SЕ ED38ЏOъђQЌЈ W®*F{яуdpў @Y bnКМ ~fG*ZЮ &lt;™ v35fйЛъ{п·т·яљЇчџ ^џ}=GUЯмЎ?Й 3Vn*ЄrЂ cHD AFЊ–Ц M§•U &lt;µж?Щ WОый Џ6BЃљ i&gt;“z” 9°: ‚8B` I•Тљє YЪкx}†\‰ L°У[Й _сЈ U`j‘I8 h?Бґ zwbэO–&lt;Lсwњ 8Бц OU¬щ ?Ґляуt*` ;Po~Лв€ g&gt;ШRичК f5·яузТ ‘aъюЄ Rи Tчмњc”Be &lt;5Tь 5† 3µIJй VБіЈб 4ђm‹6R PР‹Г`й ihfK€\iс—‹ C¬€сqa¦ТЋ¤ ET=Ћr¶ `жWmЌQD5 &lt;NШтД8Д‘F“”° UЊҐСІ©P№Ј 7AіbБс rRz s[ј©tУЪШa 9Ќµю¤Ѕ \qFе6 Aц e°VfWйА&lt;TMJ уяуdpЃ ;Њ `zЫ KB z?HVъ jKД [Ъ Ђ ‘5a ЊWЈ…ЏЃН6¤&gt;ж© YСPЁ |ЅЌ EЅ4™bГ A№;?­ RNj”= |bъR HUJ¬¤ 6Р}ЬГаc ef ElЊ|C 7жAв SWў&lt;ґћЪ­B;:Уїјќ§\„SMџ¦нМ nXЏ cћђСЩjњАpёН9 Cwтм]zПI GЃ‹Ѕ J3™яуt`† m‚d|З –‰‹s[rх– cFJ~‰ &gt;ьОї•5ќМцµO№ 6PL‰d ;N™`UГЂ XЙ„г :ґhјkЙ±ѓ UуhЊ HЫяИ \JERЄЙА qjv=ґv Qo LDЖ‰ cВ 6Ї@‰ dС T­ ^ Ц”h PЅХЫAQс eAв 4¤Юoк±дзd?ч cPпкТp :‰FУpФBi 3ЯчPQ­a°ЂЊ¤:V~Q aPь« Џ•u`џ Zmц V‰ &lt;хяуd`« ;мЏt{ ccH @ШJс– c„ Ys =»µ\9ВF …‹Zt†_B &gt;†VU SEЫ OЙV8Щ5КяU W€Гj¤“s S9гҐ4·с ?Д‹ш ^ћ ;” kB“aВЌЎ¬ N“`QFќ ]” &gt;= 3R nDЪ HМ8 \vТйnЭ=ИNЪ@V™•jNЃНњF ’7йyг~Ј 3·3±\ }VjЫПыїЩйt“Іяуtp§ &lt;lбxk _cK Axvт jcДHQФ… ]ђ3O”Кдp@V ѓ„Ћ4Iщg‹ [ъUK;чќJ¬яAҐ•‘H lSЇeJh :Ђ ‘ђc¤‚Ивя PTС` 3„`ЈР‘w XМиЬБ=mЉҐ…ђщ7 Y§ъPРIк¶Љ…VГ” eѕђ©пн¶дњ ?мI „ђFЧ`·ъЖм Z8 CЩoЕXЛ ?тO YЛщџъ— tdU V†S3‚iщТШОч3ЙN Lяуdpґ ;”Ї|Л WBI A8ZнмHД ЋQрK &lt;Ж­Є&gt;ФgЕљЛ*5ѕЮЁх©UхK7 3c 9Ґ¤яв €icѓ†mc m5ґJХ– 8R ‡Vm@¤`фYіGeЪЭЫІx; 9љI™wЩкrWкЧ6©n­· W 9ў‘ tYЏMьЎнщЬ}jJЦ YвV ‘Pч­Іuн n\ыAµ4—Зt’=ћеґЈяуt`± oWЫzП&lt;cJ @рjх– cFJо ZпkџЁк LE NB9m}S w_Њіп [·К©ъЗМЦж^U«›HЗ™ґ d} 6їЇЦЃ AьЄк 5`Тv iUв~8`йCЏ3Ј 6їяR;Іџфпf &gt;Рјх&gt; 9IЕ Rд‹ TюVЄ“Ђ\gЌФ XИьКqізYМC©U¬ Fm V‰CS=ЬбСI H„° ?Adn‹ѓ ‰MЁ Eљ [ГђЄ Dйy:Bмw KШ EяуdpГ &gt;pыrП&lt;ЖZ =  QбX ]D 4SђIДЉ?ВX‹© [:Tk¬иьТ‹m ^Rp 8Ћ SHЌV!Mќiи† MЈQ”4 4Jb TУ ak Gѕ ѓbїш [ЗIбѓ ?r 6к” ‰9K ‰s4ѓ†Ў–^уҐ]УФќ N:ј8•_µIР RPіB™huдs±№ѕw Oчprа‹g@{ hIхWq [ЖVЕ YOяуt`ё &lt;ФБt{&lt;ЈI CСrе–hF’ •`ЊЃ CоN &lt;ешL w;j; y9JCo &lt;Љ8 riYpБ¦›®¤SЫЧэyA– mGZ•V“ЂQиoЁ [iё}nЗљ kD@С 69QўG `Нb«°еFж IБqd \•ЃН†В 6Ъ|Y 9EZшСx Q§3Ч­noюЂ‹кКђ q8A ?s @іF|Uё~ S&lt;Г MЈ™8ґ«ж =¶eФ› DйNџ ?тR=·?‡Тшяуd`№ &lt;ИЈr»`CI Bђbб–xЖJ‚Ш°К A‰*‡ @_фЪ·9§mи&lt;ІAЎзmcv MRфІґе 5ЮQС DоqФ 9Й@U€: q:‹ ETљ 9I ;‰ VvХиx¶‡›C ]zЏТ‘ў[’A ^B’тёЄ^цµЊPїРЂ›й WеРКDO |?‘в[X¦n9ЪqЃЈ;v†{ѕЏJ±Nю§ DaјRяуt`§ ;Ф±tk _cI AшbмцxFJ _З :љ—‘љ MЧЛіX_эs…D chрўѓhAьjњЕQ‡рвT«µ ]Фе 5А`ШЋ K–@е® ;ЊМU TйЧ =aQA„R“Ь» Rt eД• QУJRЄmw&gt;• `WoЭнг†ЅжUїЧXянR” l4q XucЊ°Ї»тђ‹џђ […j ~eн [\уҐ&lt;яґПх 8|‰± CП ;¬њiШаМ: gy4Pm ‹5ђяуd`· ;њЛs«&lt;cJ Apvс–HЖJє4 b§п‡ЕШHiвKЫ– ucЪ C›яN gcЯrџ6r9‡X =ё 4Аl ђY6З… @ѓAГ t[RаeKћ©Иќ w6dГТ =U‰”JУKq‚¶яЉ№=џ± &gt;юUVњ  cU 6BШ€Д dэf|5ГЋ{Ф ;dиЁо e±ОF­Ъой¶ @¬к© Qт*ЕЮђяуt`і o[­xk ccI AрJйnxЖ Њ7с* v4n† PrN5•] Wг &gt;s‡uк GR¤М« Wг 3ё GЉ FА©нЬu 8Ч8 SР wYљIнxцz•ZСl±g‡†•Q Yё»Н6 yc  e:7 \џKј MDNЃe4pO©„ =gPсzъJF ‡NДтраЮНE k\У±3SБ“ЫuР–’Fѓ@ –zЏ[u 4Ш v@µKъjz]Љ{:4} `ЧъІ­;яуdpБ ;”kv{ cb7 @ШVн\IЖ ]ЂЉQ ‰:Jо ]‘ха‚ VЌ ojS`тАЁ B‚‹ E»&lt;©¤LtЧ V« Љ[Ѕw№ ?Х[хчсл Mf 48є4Д WDO¤янRt mzWп ?e’ QЄ _O `¬bЄw ;±`Цц*’Я I‰‡ніvН·я*н?C \џщ 6єп5Ґ D°;&gt;L… LLQ ?ѓо N§·Ы =яуt`А nOЏng&lt;cI B8 aдц{Ж 93 5la e‹хµj Kп ›йяBЃ 7zІ­JP FвОb &lt;tЛ¤фX K› RжШПчшХчЗC*¦…ч°пi^oяь ]TУw BtBт v–yB¬?€ O]«~Џд? ЂJ»«о v[йTQUЄ«ѕцЂ [\ 9| C‚Р[p _М sMЃlDd JlMБЕSnэЈ BD§jrgSЩ›ќ a—Т„ЌЕ 5ГdҐEr^ ?у `яуd`Х =„Гpk§ gC©BачO ~5Т 5t ]Њa Ђ4х xX¤юЭ ‰dЩS’• &gt;‚ seър„gгЗЉ€®Ь ЂcС e¤ [a 5“П ;gЄњяM9Ї DеµeљIhbт„т– 9wшп+яЫ6їMВ+ятцшН¬©D LлкЄ ‰U3 Ep fA“јm•!4&gt;ўз w\лOу±§q7s™ДЉ Wqяуtp№ EЃ‰nКМ¤ fЃ5ТбaЏ Ћ3EC c‰N †UЋga &lt;„ Lђ&gt;Љґ V© _Vё‚Ј e9 D–s9nўн VЬзTбРЂ pWC =‰°ЎЩ®ЌoќиУ4Ј 3іL ^rћzj _ЯяиціЋM5d [”њ“ 4У±А —ob•r*€  [&lt;ђ fL¦О Mf”nЄыиVUхz} Gn§Wзєїг­BQ C\ Nm№ `  8Ќ MЁЅ TЃ ~:·»D­Ч¶џ~Ы‘Xяуd`L lnN… bг!3 =P i5_А!3Нэ”]ц;УY RтJоЄ°ҐXљWьЊ ?џЄдQHзtО7iҐ…PЗ5 Az [еbцђК SХ 5cy ?±NЫк dЎЗrH Vці¤ LN› 3о K¬nу•т“w3¶„T— Eх ж dFфэho?—Ю±ю[џR ЏZ¤Ѓ¦ ;„BипХ J7 j8C¬ D‰ ‰RWўяуtpm =”ќvЫ&lt;ЈH‰Р‚т 3HЖHМыљ Vт3D¬ґфкK }”]e^Єїr 4p“AУ •\VЛs‡ Lu R7¦†UЗњ NэлN– \мќy: dxФBі ‡tEдЁдµ7Ь ]Uоe№{љ}ѓE IЄ[RдUѕ aI WИвIR p‘ШD L«TaL*Нцg„G =ЋL@ ђ{]aЪЮ*ІЪZ’C Tv±OЁёT€С `Rp pK™rE ‚Ry‘Џ8П Kяуdp„ ;|§xЛ WbH qc~о fcЖH K@”iђІ€EТГЏyg z‹ H6 KЉ 3ЕЮ ]x ЂK5 3 “HJТУ DЙ \kђЇK¶&lt;WЎeЏ\Н‰D» a­¶Ы­ЃД `Щу5е‹·pXk8o Xz™|?Ѕk:пї4–¦ќџ QчЗД*j№6’Ѕ G4CСґxUЫi6г 9dfЪ 4?Еl@Н 8Н3 9яуtpЋ ;А ZvЫ ‹hz?й6ъ jcДђгhЪQьi›џяn†UбНL dъ°ЉDs|кe&gt;q:h ;KВ XVB @®е}ЁФµѕґТ‡=ПXiЏµЌ¦Ь»Ѓ &lt;TLч†‘љйzьВo Ђgw4З±жP YЩ­U?x”±Хџµ‚ъ— Skнq :сT =YZWфiЫ KђjZй· Wњ AЈЉ GC@n Џ[ЬІ†Гu© 7д _‰w&lt; VжUќ‰:‰ bА ‚a&lt; Wяуd`§ ;ёеzП KCJ tcjщѕ [†H S]Kі 4ж† OHWXъдХйRB=`‚ AБс K„ cф Ђ5№h_’NХм©аЙЂA l[I Џ[@ Oя l59xG 7 Оі;ЊJпI rRф^МяжЗ?YЯZ XpfЮьMа=MxЯ¶±ЖїЂjTbM· Xаy`Љh xhdX“n¤7№шрЪ3зu3яуtpЈ pcЭxП WCJ @8–к jc†MТ­:y:ЧlЊ±MУЛ VИ©Н» naЗ4зvжqCЃK Ѓ[Е U§“†ЩZ– EYУ‚яwЉ6„’S‚Ф“mДАp;З=чg Amѓ7щTaFj Eё8ґКЎ№УЦл Me eн± ZЅk‰_B–ЧІюЕ 3аfЄЬ `щ6 nR@ OЏ3a T&gt; B»~\…ѕt’“ѕ†ДК IђNУО¦n \]ИbA U©Є[уµ‰БяуdpЇ &lt;dНzЯ WcJ ?@‚ц jc†HВ ^kЃ Љ=&gt;3—ќD ZЯ§&gt;ЖaV;ж­§–w?Яп‘vk dµНАи m’E« M±­єBџГ\A X_†y dKлнrклDЫЩЅUаЇ WB SP‘ф­ WSЎь Csю†Ў‰ IІЯj ET~Ц«wЃAта› Џ‡=xеЈ 95Q” LsB \НYwk F°яуt`­ pCНt{ ScJЏ LJс¶ cДђВd zЉ†q|gdQ* HС TQP ’\xбѓAБpЦ–›бБ_@ё«Й{­н eЪ•kЄV”Ђ@И ЉcваУ 3б :‡Ш B†V|h±ЗB gGќpІи~S·Њ „–Aе =Ш bўЇУЧТЋґ</t>
  </si>
  <si>
    <t>Hardcore2.mp3</t>
  </si>
  <si>
    <t>—иКЄ ‹;П m`bЪВ[YчЊѓћ№ 5mR\Ѓщ*‘O Q9Љ‚„·УGк¦вLЦA S{• –8Щ wFЋ kUЉ?р\жq aR yIuЮJ] 3СH’яуtp} &gt;ECnz&lt;cZ‡АnбtI„IWыЊ @­ ’]=¤ yGwqм¤[ Qs:E· rIџ=™ф9•Љ›лџ R™т QоI &gt;… GЅ \M¬дj}HeКzBwЏ›Щ8кBљVЁ &lt;Ќ—Е‚l…єUйА87М„rеЁD¤хQl° ЊxGd dђ&lt; [R &lt;·4C [аD BcФY4 b±НъGЂХZ­· WЊ &gt;W y8L sG¤ Ј·К|›Эh WSCuS A“9яуdp– =ЙKpЫ ccZ€8rбм ;ДHЦi C€ЃЅ €=КцИЩК„] 9–jR Ђ^{®PКь`jИ^ґн YZ= UCб [ZL„ґ [r¤e¶Жs GKњ Up™;c‘dqY H‘ Џ]Cd @О 3ЂdвВ“Љ I„¤ Ђ]™€ЇR Rє Њ8CЈ{H VШпуY W“\M¶д‘Ѓк¬E ?;CrMYы’L y^± Hяуtp™ &gt;qOnП Wc\ &lt;`RЩt [Ж ЏPџє JХmWD&lt;љg¦чІзџз™кµvІкµ CЎ^ aИ‡Ґ ^&lt;љR8ЪУd·Йc brю=ІжMБДL_ЉВI a6»ца vq5Ћ« Љ[M MPH Q° jxm4Бcп |&gt;=м—oШЁђЪ L¦ ^В‰ўђ YЅѓ\ [dюПмСҐњXUeRM· W`pм^X‰ LD`г o]йЌЛIЮI rLsчЦwєЎЄSйяуd`« &lt;Е=s •WCZ tЋeвV &lt;† 7¬пе·Юk«Ыёы9uK;Ћ¦D5ЄЂЦl ^V H¤ ЋaORmю*ќз Ђ[З NnI V zЌ CЋ°sc jJЯдѓµUђ4`р€x¬±Ј †lGЌљЌPдK bфj™ЁVM|і7йРUnй6дђ B;\&lt;uVрТ5ЫЊ!DV ЃZEНвР‡{ ?Ўеяуtpџ &lt;HEpЯ _c YЌhrж 7I„Hэ™~тЎ bFТѕ{»H±н¶”ИЄЙA­щCзЗ ]R«±‰°Yґf UИ“ ‰=voWиІяЭWq¶Ь’Z :ќЕ :Y ]ЕҐс6yxЯ€‹;5*DBўжТyв3 Y¤ ]ѓн–Hц mC“ TУ€qа =Њ’3‹њ EЌЅЩс—·yКB &gt;pЁёЎ·ёОж¬эЖТnI †Qс eҐР @ъЗ&gt;3bЫ®јь’ІЯ L‰ Aяуd`І &lt;ђХnП WbJ’ђЋбѕYЉL8єЮMзKО№ьК§7хНП€rexs CxыЙ¤l x8ReкZR¦Ћ |[› 4¦ &gt;№х qjbi @–Р “]®4пщ ЋPи±б 3ЁЄnЈ±\ Iё8l†c№Ћ z`Ъ aL°Dъ =“qЁРФCЃ 8чЪ Q^»Њ*¦6¤Е vdґl =є=¦ъС±ЌЋ© U­mЙ Wяуt`– &lt;ј­nЏ WГH C€¦Э¶ cКl— 4Ъ ѓSp 3рёАµ &lt;нЗ IhдbrTґ dxSы Sи Ћ_ґ‰„h3 {6­Не\В g;™йmбМ XELЎ ^­S‰x‘~ЫњЬ¦‰Uu¦Ы’\ :u gr&lt;’Іt—ЩИГ @Hњ©мY [Vh Њa| ђTR gDu =нz~ч¬ `М ;wcЯ 4§•Ш bЬе{ R~Ґ¬эD’MЙ ЋRЪ‚ 3`@ \M Џzx_ФЁН Bяуd`™ ;°[s •Kc6 BPћбѕ L†LHЖюШ»|® \Уґш hQ hTyH4Ґ^`еs›Еґ wxTЈИАв JЃ TE¤PJФ _Km‘д¤¶QqзQ SО W«щp Qн U‚Мv&gt;¬ Sђ„МН M3_јГLn€ХИыv ]=Ъ‘ K—‡Mђ t“ycЛi@Џ«XA¶ {?МЮТ Fг¤V ]љјк€ЂUwяуt`‘ &lt;\WnЏ Wf6 CР®Э¶HLlRIЖеАr aТ &gt;EК№V±TИG &lt;‹ 8S†©tw„ &gt;џj ?t&gt;з `SZЩжй© Aф qX­]­]€S5;ъЪC­WњiUnP&gt;њ Cn „H•Ґx J*g‰“… e?‡ Ћ4•Uќt^їЫGЕРў ѓuI»ЫЪТ ^сq€и Sф• MDз¦Їд |ZоE VkИ caeJUЎЊЛ№ BК ?­nи [Г ЕP†B®яуd`• :XUpЯ Sb6 @А®с¶ KЖnёђ‰ ^l 7БAT d„Ш…№В jX™аҐ°ь ђ_Г {FHэ QфлТ‹€¦­К :© @€ 5ШHЁБ 7Ѓ&gt;ж шg HЌПB9мП  ?g xaSt PА– Hн 5Ц«~ M‹й8Ґ Tр5 :O=6 C_Ьћ&lt;TҐkZM№ `Аyd@ Џ]є@® ЉddдўxI Oь yk=яуt`ћ ;|[j{&lt;b6 Bx¶С IHКl ‹?ГeФ clt} UдPШф€J&gt;ѓну l@^@*Y…‘ЉXдЪЛ–?кЇљ•[ MWьё A”• =¦… &gt;ХЕ 6МР‘©ЪT“ A NЗo9мАИЗ U KNі 5з ;ґAB HµukЛ HЦч5 @Љ¦эЖQ}{ї rNUw Em№ XА{d ТВ‚cЊф… M5Z6|Xцry_ `“·3 Cm;ЗД†ІЖф­ЖК 8яуd`Ї ;`ClЯ Wc Љv3КХ¶HЖl ЂJT 6]ЄLPрІС^Эт4E“J:Xjе‚I•¶Ы’_АяАй ЌG_ aАdCcЊ WbBыOn O…K&lt;СГ‘4 O&lt;Ф\з№L[V3—Ч I{¤”€эJіП5 UзEы ;„РэкHХҐ VM· aАM ] Љ‘”]»—д6lБеЗ Z¤јЊ^} IОl Љa€ Yяуt`§ ;DwjЯ Wc8 C`ТЪ^ cFlо qDIУ]х Y‡f b]6џи{КЏо[ _m SґъЫU BcJТЯЭЯЙ@жЉ fЋ=BVґтЃґ ;Ы WЭ–Мх Wvont €YXpG Rјnз A№KV»gИ 3vnг ‚ЂBRЎ N—kХЈOц =Ь a†•љ“Ђs‰ШS ЃCђЦ^9 \±з\Sр°Ьsi[_SsЪЉ  ~TЌ _Ga‡о ]БВ sЏe« DЋdћ•Gяуd`¶ nWmjЯ ce6 BрЮе–@Оnч9oзw `НРҐ eVЂ &lt;ХЕJХIА:l®Ъ IѓОќ@ 3lж„ь„ Hк^к VЉHЅк§¬z :Ё ~J‘Ў° –fw:I’ €P^іHн°рЩ­ RЮХtС©мnіґ§Е!3 Zjї— 4ПL±Ђ FУA GЏcМ&gt;пйХ D 9I‰wћ =¶mг4ѓ¶ OЊ:NЅчяуt`° ;dsf{ Kh7 CИжМцHРn»4ъЪЩeыh¦Y ЋVй¬MnїЫµAІЄТp Aъ WУyЄ‰• 4XрB|‘‚ovфЅЪ±п=H¶9Х cхѕq ѓ&gt;О Yя HЩcњн^нК… _э‰PЖ‹Ђ Du©6дЬ A¬Ѓ@hжS= M  UPЃС Zл4є AI ЏPTі ^­х efъѓ kt3ЂbЮmD†©dЊ;oЎъЩv›•Va”ZЬЖ‡ ‡OЉ«~Єrяуd`ј :Њ{bЛ Kc8 @ртИц cЖr 4са †G6К ?‚Л AДJўЛЦзw gX_dн^[ ruMз vU‰Ѓ K&gt;w [Фћaц‡ЯH¦§фщkN4І; Eф P¬ІcЌпП KX CoХn@ XЋ Q„QeљvЩяЬ8З oXНМ 6Щ’тhяс~BT°К ЂQ= t8FЎ‚Ћўxґ?[зИ Kwл wq‘XCНяуt`В ;Tѓ^П Wc8 wgEЕvHКrU±ъ]кqзмЋNІС LҐЂpx I@|m·rи= LЎ JНЈЂ„yкj \ґGє?о’¦ ‘v3a† ‚M:ЊЉ 3ЕIУwщmFХ·’Їs E®тJzАэ¦ёд qўЎqB§ 9± I5qS3Й€|уm Kn \ђEµЫџ^Zту:Љ _ґP Q† fC‡ &lt;»Ћb &lt;ч O¬яэ ?VеЎяђклUz«б X eXv A‚яуdpО ;Ђ“`» cЁI B‘ EАРYNr \LОСµ Hd :уk _€Xуїэsњkл7П*с¶ Z[В¦ћ &gt;Ж pk&lt;¶&gt;ФL±мКВЯю‹ШBИ¶Эe©ЯvЪ6HЂ kC–RK Њ‹EЁЂ7bда EИ ^ЅgH® NЫXcќ }^блЛњJчy»• \­їqp®ч€xыҐ “HiF№М @гчЏ5¬уеяуtpЖ n3‰`{¤ґ gDI EЕ]Hx 5Њм° XяЯЗпнOчъй}Є 6Ејk_:ЯЮc‹‚ DЙВ wxdЮQЈ… rhcЕ°ѕї*яюњpЂЙФwј Gы;Х Lђ†Њ cr r4’Ъџ CВcє,яи{&gt;Ї№Sн?*яо Dз’ GО “W€МDЙђґsF†jv„ fA3 w]ЄМI4Ћ–Кч©кM QJ¦Цќ‡\Ніp› aЯ OS9AxщЉяуdpУ z`‰hПМ&lt; gP‹ EЦ &lt;†X 3ю Yyћ `яG ^c ^кП¦фїяф t59?Lћц¤*г№¤“dл*яьЬэ Y|!&lt;• ?8иоQєBR b[+яэ 6–К&gt;‚ЯяцчM ay` ‡Ci–UOй Ћ8‡б d®;I 3h ђ=њцЗШцuxjЪЭ[{э~xх Vx§иіЗпP Pb 3уtкНl’Xяуt`6 8¬ &gt;}‹еЂ f&lt;а Aы RВ!3 7аlВh 8ДўЉмз7мн»ю*ЯйaЇ«_Bgьjы _WТ ‡Gx€yVд’ –S¦ BD‘Sou:ФХЗѓ ]Є PXУџdnkя5нOcюgфй7щЇоRнф}ЇРИяZAЏK ^¤ M~ `ЯИ‘ C7hxuC W‘є l“Qќw Df4ў GЉT w&lt;‰ xKIOMЧ[ Zdµ&gt;т|µ•РojPыЁц Ћe@K~яуdpt ngFyЏ4BZ ?8fк¬XFHШЧя 5Ђ6… 5AЬЧdќТuЗИY©ж‰ “[щ ’^ю_юЙ;7жяХ bj}яDNО­WБ T±Di|z–ВБ­i5 dЮФ’ S_·Щ¦РМЬ hBdЉlЭ IATќpѕBТдґћiѕйьљіэ 4»и ZФЅxsrСпFЄШ @[фэ WЬ‘ЂЪ &gt;5Щяуtp~ nSбo ]HbJ &gt;б 9в ;hДpяъТ¶Ј{ 5Ь„ЋЄ§C3ҐIKO}ЫхяфuпяпР—JlҐ QN¶[я§ 84†лш“ѓ 7АDу• Xg ; ?рЊИ“ЋH 5Вxѓ I›u UЊЦљЦWa€± 8M€fєЯЙoЭХ FяzµХZїЧo]vС&gt;ќ ^лЄМ9n« ^7 ^«^Ј@ WЙ`ЩI7 W¬ 8‚rV^RWњє‘[ґзYГ —YbцFЄяуd`  ;… bo b&lt;EZ B’ YЮ~Ђ„ґъ ^эw«zXЯэ\їnй­Лўµ3ѕТ3Тєэ[mE\7Є~л _ќ¤щЫHяћЃ DvтШЬІШ 6‚љ8©ЎУй] [3\б\о @ЧоRэoы­Эiзяы Lэъыµ№o[o} Ry3С e®a WXЁ¬ЉC qKЇ·H S‰»µ Wг‘ 3d w4єSR5ъћљяуt` ;Щ Dm?4BZЏє UЮ^h„ґT8и O® ?“–О dя•? bЇ e6§›яЧ*э LќНлiЧc_яJэ‘H D№ RЙ[9]Йy Dэ‡н¤ДЎЪ SцJЄ« †9@” u@j7?QҐт Bd 7йэnµчЫФYіiеяNџНъѕјНиЮ•¦Ыях ?тѕцiдЂ WлдСЙ X¶ 4CЁ`јЧ}±њSЩ ;ќ\J6Њ¶дСыЅ W![ѕ Y}«TOьЧdяуdpҐ ;yMk b4eZ @в Uвh„ґfяµЩоЛS‹ ђXJI brСмщфx@ TIИ¬и5П¶ЈЭЇ QI IЙ OЌЙ ’4Bl 7ґd¦… bЂцz &lt;я†єNeщљ O¬ЛЎ¦BRж 6Р’џX•в=І|@ў ;ПҐЙ»9ѓн b°іЂ Yh [Ё ^Фф fWЊдµFд– g3К &lt;‘Нuщѓ eљSF ]жяуt`¤ oѓFk •_ҐZ CРЪТ^hОlМЫvkљйІq OЊL E“«~‰яЅnЖяMык·TЩџЫ­ Z*Ъon^ЁХR &lt;‚‘aђl·Ь’P¶Kњ’Лp =? 3€ъ*цІЉб Pб6нkЈ3?­ ѓVмҐ iSROЖц: ЋhcµҐ HФ­®4Z» MМfe‰« UцЎ¦ѕxЫР Iидq№ X D ~XЉDў«}з Tш’| \Г QiЁкЫ_J=E 9‰ 6А ?яуd`Є ;С7g b4вZ BШЦТ^PОlIѓ ^b 5_he;“BN OB^ аM df`5й EҐ Љb&gt; €[DV aйWЁRђ¤ІЛe’Ыx z[‘Н ?ЙM› &lt;St‰°ФНd­[ft5 aл zA‹ :ЂQ TcjРЉщДz ^Ри;[V¦E UуЮОЅћ bApGЄФrK `а LЂю ‰?Xы¦¶RЋ;ЦЌ¤Зяуt`џ ocobЯ4g6 BЂЪО^ KОlZ R•¶eG}О  cXЊkі‹H=Ѕ \Ыs aЎ›ЪZяSчО± anХ§Їйxi© W5 ^¶I5їЂ™&lt; 7Љ[яrП‡¶i“vAюЄ¤ C”ќ·u‹Џ„†•JlZі &lt;Шlr№’®ЕФR… 8I VИ •Kк5\нХHій  \Т\ cјНkG[r[;@ :ц Az•б‡z Gл{Ѕ @]Ц­g†©Лiьў‹9bЖдНяуd`Є :аsbЯ¦” fvcкК_K ЋfWµ YvN^hnЉFЗЙЊЩѕЗX Љ3м7b Sљ7ўt_}у| ]~йжpHE GGгЯ]WгЎPC&gt; QЗ ;Pи ЏGО€ v†?Ђ€ёEъяЄьt YL j5СШ j8ЎьA¦&gt;€дзЂш E‡ТIє† _}w+яџeі¶яй4 8±haВn 3Т„°P ђ;яуt`Ґ y`}m bМ¬ 3“ 4Кбї… vhfk€\Ґ?Њs? \И CЖ ?… ‘bш ‹]‚F: QЎHs dЄ_Х ;ОКЮїК¦ ?q &lt;ъУю ?БЃАЊDяьЙp;BАаr†ыGГА ‡JyЁ–K•L 6A z5V»юЩ‰lм€uNеC UвХµ G&lt;ЇфІ»УФюЕ&gt;»ЏS OёЇ UЇSФґпgEZJ€ 6»МJЎ ђmЏh:Ѓ U•яVЙk ”€…dЎEDEяуdpR m77y‹еЂ f&gt;иfо­Л!3 7kмTЇљ©Фч§ядЅ ^Ss&lt;ня;F8D©¬С№ Nr 3° ^E P‘4O&lt;ЎЉaM:†Ќнм8ЎТ€ИЅџ ^ћX ^tЌЇ VіEџ[vыrУ Q[Q S[nІI Wґ ;XksїI3В7p8 x”€SўЩ J± U€[;ч·]А \X—±Лќ U¦ЈS§» Db dяуt`e 9tA} bDc ‹@€bю^8FJtkф D¤ W§ VЌ_ЙА R…h™ ѓdµЊЧкШ^¦ @eC bњ_3±Ў Rр]¶Ф¤RЊBґ L6ВМRkOфлџЦЉ*хйэ7Џ W· WµоP S| O‹Z `Х APќ°s Ћcтп jB– ”GДm X}—YЙпУОYcЫvЙjЯ§ЯlYK caЭ|X S»uТ9 W—Ђd scG FI¦ъЦ©HЌ Џђ`»iQ &lt;ьрMяуd`Ћ mS]o ^&lt;c7 @°bжVhЖJD„бs dлg© &gt;К&lt;Кµ ”_^µ©“ц• 8a7 hBEЫikX·;сЉRT@ QЭЈnI7 4A8 Iв S}їС*иЇcГ№hC K—ef^ y@dСJвщѓ‰V… Xµ\ѕчiS ’aЛЗv rISђF¬ ^ФHV»*ЄN gGQ§ Eм–ХюьДH HSbaѓчј bяуt`™ ;\ag bLH6 B8ѕО^ђКljV}7ЎC :DО BѕfЄєo9Ѓќ·[ „bц&gt;Н}C s•GK:эС ™ V•ґЫ’p Ђsg;ъљЫчз[ GЏue S‡|б Gnуйо roZ} PЁЮЧ aE &gt;кyh g_rУ ]‰Х±I=ЏЄы Nх dўи vfWй MЌ№ W›Ѓ [lЂTЧ X}&lt;ёJ NVгP \Чл8д6’рЖЋTЊЉ bМ S‹ qЊ_tђДТ‘яуd`¬ :l]fЛ&lt;c7 BрєЖ^XЖlSL{Ќ DBеZ‘w5ЅЧZTQЄТ•j ЉMТЌ YЬ“Ђ€ C 7Е al{у {FЊ8j?5F;m ]cPбg_ШіЩ YЉ­йћъ D: _” BQHЂ ‚?=ИcХЯ ’„FI YhVЁкїr 3Ь 5бM id&gt;~=ЁЛ”9…э PJНж± aБЕ8HЯ·lТ u”:Pяуt`« ;Ђ*c b= 86 Bр®В^‰Dl}е”ѓ@ Sшт ifqe~Lud\¶ђJ…[ =іEўіO ‚pdЅcrI6 3Й fU„шы \OЩ»”г a\Чk ?^ґ‘Эз „Vt¦щ IіЪ ѓ]e[‰m*qщ E”№rл«ј KCY±4tTWjкЄnЃаe Jj 5«ћ Kw PЦЈ [ц vqQZдK»єЮEШ} 3ЊjX _ШМQ 5ЛоШ dъємL 6њ ЊђQЃ &gt;яуd`є ;|]fЛ&lt;B7 BЂѕЖ^i„l†„ВQзwЧmoьdXр K” W{Й W¶ъ h7а q@щO c{ H@Г Ђ5M ?ПJЭ‹aҐ ;ДXY PЦв™ GaДќ— [–™bЪ Јo †_d8№ :ЇЩ `aХ H¬ PҐj“Ђ m[h©Y \*чх¬VЧЭ Zµqй]Yў MUB` ^ІєЦі—ЉЬ ’WKЮuяуtpі ;ё]bЛ`§7 C@єЖ 7PКl†’Y Л tMR QI ]*Ј¬Y UҐ…ЪYниb·Ґn“‰uоP qAАr d№zЩќ;ХXv9Uл[ `™ Njѓ‡WЋJЅ:ТЌ Pl 4§ a‡µл8 _ТЄWp‘®ye85цЉФђD’aUИ”I¤Ы‘Й N` go3MCXЇЬqЭFдЦ­{ЯњЌyd TTещ•[ 9°~й :K­ Y·Ях @Юuіs3Rц3яуd`ї ;ёS^{§” gucЄН·H v57—Уњy O Э GШVK&gt; „&lt;”&lt; :ѓ‹™Ћв’Тв ъH6 Wj— :·Ъ Ѓ[*Рв 9„Вф AA Џ7Ь – z—‘NН q[ђo Z€I@ЉA Q48ађeяю№ж M¬N XязЛР? ЋIЩ W“PІyd™ YУmЖ’ f4Ё @ЊїkK«Xкэ €:Л›}YeИяуt`· EХ‰s bЖ ’fPBОж_†@ 3зB D¤»DИ–u K–s ZЫЯ·MЕG?Nц \IjЄVZpшЎЂЬы _^к‰ [:ўF }TЬ G*8§›{эЮиій\ЃPд }:М¦Љ RЩ —wѓrYfя©їяфN: ZК 7`рP “CVF 4ь`Ѓ«ѕрЗаUA`&lt;Уr &lt;о»gТ®чяЎ]OЇ¦Ї•oъФ T4ХV Q’џП·C¤‘OяХ№zйіVЧъСяуd`&gt; 7Ь P~Лг!3 :Ш 5рхА!3хjтЗє76єАyn­№ WЊ B»…ђhй©жbЧlлґњі_lЇщ PeГ9¶БоО D‡ SЄXaХI X¤еMВ¦I ;‹ Љ\Е‚ВЁ TТ­5`Ч= TЄ wYQDд_ OД¦A76ифЙ‡Lqі LЯ6 mawИZЕb&gt;b№»@ЈЂ 4dЂh KdgcВЕѓ­Зяуtpr ?M `rП`cZ„°&gt;бt D† X5ЃЛ 3eZкя‘Ѓй;hЬHЪсб3_N Lр a8HgЗ Uк…‘Цл I”›я™лУ&gt;зV© x7&lt;ћ Vg”\ЏЉuѕ; QH &gt;шµ|В­3ueutХ &lt;Й dҐh&gt;Ѓ† Nњ :B i7Йяm ]µ ЂWVY 3pЩа ;H ~8ѓЖТDљ`ЌП iXЗц O¶з@U«Їя‘Ѓ?ј4*“лqF– =нЫЦѕ RЂЦAJяуdpЏ qkRrЛ&lt;cZ‡HRбtA„ \ўAр–xQ ]C B8Бх*ЊпдoKjЮk}у?v|џкы¶ WЯљRідcrхY }XE”уoЇ«­‹FBП6ћн«3є EХжmЄv™Щ&lt;Ќ° XќN‰Сґ™mљ 7J!5 X‡ L•фђRr№ЌКy [ГєуџЌ E“ 3™Єїq 4’Ф m;ж qcНХ ‡Aќяуtp” ?uOnЛ cf\‡ aЭt ;† 8Љ DЕ¤E ncґ 9њsS GЏ CЉB·ЈҐеФ Qqі‘ДШл¬ ?”Л SSМe¶¬TКI ‹U5]ЌБЅњFЖЉ I€® Db3 gK’ lz3њC9 6ВЋё DЌ”=‘ [*¤Ќ¶HmЃюqD QЦ ?8“6 SО™ HЈк ]Q Jй° :kNцЂХ ^№· WЊ B»Ђ|‘ RЂЮЉkf ‹q8›6dСтЫ“†\sИc?ЊяуdpҐ &gt;бOjЛ Sc\ ;ђnв jcЖIРПћrц‘Ы™Ю3xҐ e8pђcOєІH‡ u•]`ЏЫ[з WbXрв JЦЌ |Lжn TQЏШmбДў ER’6Ь„є 9— gEЎРq±R Ѓ;U \УPіb€ёгНr®ш ‚HожыИPШ’ tB›¶уU„UcRM· WЂNЦF€ОЉ§ G{U=чК TzГ 7јбяуtpћ =™MnП WcZ &gt;Иrв jKЖI 7n Tч‡П5ПdLт U|§:_Л RчО|Шѕч ЊJfsn»dY —O№S¬кRҐЙ›Є†аѓ–  €E` Q5rL­UЉУM¶Ы 6…a ;6Zћ€АЋdGу Dв€4S} &gt;ї dЊLQ‰ JХ6 CzµёҐ¦Ї\О `Їr@ђ NЄЇ‘Ѓ«ђ 6Вf xSЊм­sP‘Pг“c €Ђv?љ T® GCу»яВ bжvњµяуdp­ =Y ZnЯ ccZ &gt;аІЭtAFl·u&lt;ёЪщtЪ …SРї [|њD GТЛr3\ yG™iv‘z ЊGSф±ћчяоU[‰ YЬ’ЃJ 4ґHaўжР„ &lt;m C7ПМQ „Nњ*? TjЅУяђ 3ЦСЁгN©m ]eэ[lНФтє? CzэєюgіуясЪйзяС^ћ® RЧsф•Xгm№ X z• |[яуt`Ґ &lt;щ BjЛ †VZ’€&gt;ЩѕRF ‹‡HБJ _јЎ :ФQзхIШ·Mi&gt;B•VЪђЊK=^ЁМлъС \ИСћkћќџ ?}Фv‹п IыПOоІкB5ї®„ћ^њняпѕ· fa¤«щ ЋO§`ДЧ e¦ “Cј‚ZIF; 3Е ?М :P‚н– Ouк{иИ 8нt _Х =EЮрw[^шrвL dCП‹Ђµ~ѕгWЦ•Y[m№ XАpаЂwlѓ° ЂWяуd`ћ &lt;њ­nЯ WbHЏАnЩ¶ cДH3СчИ€ў„oТѓ SБC U… z]ЧЦx [чЧ6ж Ћ•I{ K’ 9° VйY&lt;ВњµЕ¦Ь c± |FcЖёж§WI WИЫmЙ ”6‡ 3‰`FD nZ;­“і &lt;№ЮjЅ KpaѓП G]bеЕ‡BT &gt;Y— ѓMО `[*ђЉ SА¶ІЫ6 \М Hцєцр S¤’”i]тяуt`Ќ ;ь[nЯ Kc6 B°¦Ю^ KДlP&lt;dсXя 7ИE “€=ГћЙ›S :cЗЖB S€ ]р›Е &lt;‰YQЂT Puэп ЏJv`рЊU¶Ф ‡QAkyкђY8 JDН ?¦уЖ yo8« EЇд oNXlX vgN8 F‰DвQЃР©Рђ PбC ђozJ”TЌi‹ Xж Tѓк DМ–5Ъ WмЈQуT– I` AЮЭ3Hъ[@ЦК•~о 6†J 3и©Џ “D9яуd`™ oOCm ‘WГ Љvc&gt;ЪV@Ж WµQ c­«хЙ 6ЭШz„AЎ@=БMg4Pў dAЙXљ9чЅ¦жSЌ =Ј IўЮЪ CLЇуљр¤ 6= EЇЭаX’Ѓ° €;d TJ¤ЩР@6 nЋЉF8§Њ @›Eњљ QљRбЎx[rЦ5G°†о”эФ \WҐэ?{]ЉЂUљЇ’ЃоzАo h&lt;‰ ‹`N ]qяуt`Љ :ґGl‹ _Г ЊA`:Щ¶ CЖ WFР µ 4`†рИ ]шС:\ ЋW~Ф UШсw vPґ…AGhКБ[aЉЪ„¤Q¬ LьuUІ­–±¶Ы’l :e°:Ћ ~tSGґ?i;7Aђ ЃYАio cР UЉ 7ТсП|C GUЇ _Х©ХщлџQИфЬЭз¶°QWЬUпж]Ц„”¤M¶Ь— 4єШ i7GТ \aг” u7ѓ§э d? ]G8TЊ™cС]J U] Xяуd`Ґ :Р ZjЛ _В zvKnЩѕ d„Hk4“§Й YбЙФ· Vb ѓyg36фРЛlZnxџцУў@¤I_та=N †d` Xp  ”ZBa CљBБе‘rCВ€Y F°}о _µ&lt;рDѓ 3r…‡ЄХxеR‹ EщБ] n6сВМe“ &gt;ы kCДyjI· WАxГJ¦ &gt;Ќ ?3д GO^‘Jµ–И”ч5Х‘Wїяуt`Ў ;8ak •Sc6 v;RС¶H† [Щ»ЖgЮ @&gt;UЃ Њr‚^µmVYaўмъ¤Цлђяу IBP `cq· YЬ =4IеБѓQEZ c}E‚D TРЂ: fOа: Ts Љa7IG e• c• V5{Н 4FЩёґВ“юYЏ_lиз ]х ”є№ Yдґ BљC WjU3ч CAЖ HTў Q’ч JH w;ПЁ@— BI _ыђylZќ GeфЁЩaиy¦ [тњ ‚[‡яуd`І :МyhЯ Wb8 uKRХѕ CЖ Ћ_«v¬Њо•Ц 4u &lt;E¬ ^\«*USђ p3`^Ў]Д„3’ KѓНi† L‰@ 8L :Т _ўАTћX ~AрЃц Ѓ[ґы¬ cbяо Aћe«Чp S§AєYJњэЭ SХёЫnI aа{Ю 7¤M lxLd \ТЩ IлШNЃ n?¤Л 3j BҐY`ЁEJCЬ§ё@¤Ёяуt`І ;ґAdП&lt;c ЉBрNХ–8Ж ]ІzхйЫ„ЁkЌ§mэD›П{‘&lt;[ 3mV©8 :¶мБ eЃо ?ФП ?ЌШXpъњc’ ]§– Q‰ ^¦ЖѓЗЌ’ 3Ёі IЈ Xb ђ4ЎGЅ Љ[^Ю« DСФ» &lt;®ЦСNHђ©hЫrKnаNZзАК¦ qB_ђя K«€і•_ k?J€onЯЬf»}8 aЂFI WАЪ KКА¬Pё°Љ sLPtЦDy Sфк” 8яуd`ї :ШCfЯ WВ ЉC8†Й–HДJt“ћц9vQф^— VEњM· W›Ѓј !&gt; KV`УHЕ VL QЅU” \а ~ah°AЎ±л K’ VPvUИ 44к 3@ ‡yh:–дЎн3KT—kҐнM PM JЂЁІЩ‡tЂэЄ«ЬЂzЃС \Q”±…А TP eХt] 6®¤Cl» @*…М 6Є C№ 9х№­–|яуt`є &lt;8e`Я cf6 DШzЅѕA†HЌ“oЋV¬Р¶ ]Ђ =ћ· VхЂ\ 5PжЎ ѓI=zаVкЅ D[@&lt;і Ђ€Џ€jCI ѓbС”ЗW 8„ zEP*I‡bM X¶¬5Кё 5жиx‰ IЯзЌ @Lу§•НуЄЦU \Єї— 4н |Џ€\Я© HнJkж;еz e±©LѕЕs‡ОЃJз\Е =‚б—‘SE uM![¶FЗЎћ‘¤i·BY¦¶ «Y ^¬яуdp» n[A`{ Wm ‹Ah~µ` cОHi”тЯT© ]’^Єј„ V^ 3x]a8l ‚Z¤S–*P Nj;uwЅёј xЋSt Yвж mB[X|иЄ’М‹Ш [сY G{л NќjmЧЈ €:¤JQЁ“J XZ© 3?JaЦЌЂБИ:Й ZІµМMжєДMгПMSGь69mh9ѓ Qыщ`Вѕ5сЅ{nљ§нЪяуtp» ;иEPЛ§ј fAЁ~ҐeI` 3ѓ Jj &gt;cгя›шфЦвї|јжЁ{ЌлгVПЃ D’ OпгТи V¤`нt`ђjЎ*л_яюижАа ‹ Qe|xi sZ™Ч XН UАќ€е 6пьз+яшwЏЌ|M*яюЊG ^–Э ZI‘ґ¬Ч~вµЖлjf¦rf fGSП« &lt;g @“гХ¤ Iк8мҐ Nў}µ K№ќ k[БП ~eF€ “:37 ‹&gt;иЩмЛяуdpМ EЅ‰dЏЕј g‡ЃEЩy‰h 5tфQ e6YM{VхPMе¦ lWтP— WїЅfе3 9A &lt; А‰рM‡у d p¦@ЦЯчAfдєђ ‚ 7ЉK Y‰  ?ўкЗpх3*яB…лтщз5HАk P@€ [s«‹№f Z‚Ш\Ь ”Ѓvi=ѓ  i[S¤ xЂVвмUўО W†ЭлкЪхк©ЙФµdяуtp ’:85…ЏБЊ fs;jо™‚ ~3нйv€П©Мчы{Iъ?Ў” h‡]b± \p Y”EH PD fVДе e6 &lt;TЗІ!9f Z9OVжzЯbzЯкs?ЯЊb?·tз*яйР †Feђµ^…ЙP @§…fцµkZэУ IЦµMoжµNямОнoэьО[з}5kІXzlЫъSяIэT·є®тЯ—љ^gэ›hаЇ_c~SК°УйmЭЙ —UG OяуdpQ ?Y do ]з 3„€Zо•Г!3 FЋХЌѕїШељM \8Iж_юЬ\AX ]Y @ІAt @йюГ»џхRV |†dҐЩЏяqЂ€V &lt;В Џbќ| DфЌоФ\Ycб 5gўЭkj; P’А[јЋ ESЫ &gt;є Y}OєУo ^sp Eґ&gt;њЪDAўiв HQ4ЋЃў JkYш jY‚` wAНвAЦ ~9іК ZяуtpW m[9u;4C Љ?ђnо¬XDH]Ћ]С;“й Wѓhu¦ы_qB8k XѕЂ ‡Ghx7 O’А wrlHM KЩ W–й Wґ FKЄ 8c° e=YЩиЗї `ѕЅ­л?я« Zz*?С5ЪюЦтЧҐЅ Eр T…›r*б Kф ET¦ЫV€ЯФД `ІЫh wtLЦлаоG‚Ёђ4Во UX!3 ?:yэѓх [зґ‹[±Zк[ ‰\П `Нґ± X†Й¶Ѕ Bпхяуd`~ ;Ѕ DqЏ@BZ A`Fж~h„ Ws SDh Y]О9e° 6  ]JDІЅ WQdјА@ Cб…”«ЂЅя=mщSяЈ?ы V[eкЯж®ф|нэ5@ |BЯiС‹XЃр Aе _№ ;3ЕФ:Й _¶Ѓ C g }HпIMI KIОTИЌIN›ї·ы XїЎїюbэТћ–ндяџФ®ҐаMU» KЅ?&gt;є 3яуt`y :Х Dq?4 UZ Aj Uг Qh„ґ WЛЎХЌ· OЊ qhgE}йьЇ_©ХнiТ­ AЏЦМҐVХ­юХoУяУящ¬Я»Ч¬Џ·]їEб X–яіD5T‘? Rѕ±b vl=ыJвў VЂ Љ‰4; ЋL­_ TfД ^i»Яп|ь›Uях¦•Чmfv} _Фх bzщ4бC ^ыя@ XIдХЌЙ X° oAЎ\…yх_јЯЧW›„ T›e ‚Ef^Йяуdp“ :СMk? cEZ @Љ UЪh„ґnZяЭQ=Оџімw• H·ЅU~ъHR­Щњ¶Ѕћs5фҐN ”:e d;‘Ш®очVud} r`“Y z;љґК ^Ґ’[  v3k Bыf¶Ч …&lt;ts GЫ Аэ @w[ф¤ЮF7э•*ЅЙz§э7х `Эђ­I№ YСЄ™Ю€„ Cцuє `М¬ —W•†Сф JюЬяуt`™ p8Mg?&lt;EZ EЉbУ Q@„µЦА WY» M¶д’ gj@м©и Rп„ \Ж e™ \ѕTGhБu _со…є¤ 8јY”ќb•k­&lt; yMВе‘¦}йTЁmykЪpќЃU ^ѕД EFр`лd’\ hS} ;QдѓЫмa–†ЬО &gt;оHГК Rj”mпЎ5YbлgіIЧ›КфLycЪЧa†ђ№«aкЊ¦ђ IdЕQ· XЂ Љ3є y4ЋPJzњТrшЮKяуd`‘ n77e b&lt; ‰ЉAnО~h†H s?юиЋ­«WдХ N]иќчИЋЦZiнчЩ H™Ќ ђLЛ3 YОЋµgќ HРМ[Йй \JУ`К P­цЕл WЙ ‚QI X¶Ѓ 6HB™чвЎ DґзёАЮр KЖ GUё™Ѕь]зИµнZу7&lt; Wd&lt; 5lЄТ&lt;“ q\…V} BB zXQдE AФдг fHi RЦ9яуt`‘ &lt;a?^Я4ўZ!CnЖ^hЉH Wа@ g5аJnЭь”wЎ~v i@nP 3И K›‰ЯtDЫ:t Ѓ‹RY§°ЈЏ Kpў _IЗVюДюу·«Шъ W–щµ ZюЬ 6І GZп»хЁx^ъеУr3ІРЩ‡К &lt;я R‰і‹ЬэђҐ­ZBдЪхўжЯуґщgяп¬~®Є“ЂA ЉVYъ‰зЃє uM&gt;jГF [P 5ѓЬ» 8з Uу7®‚Юж_кцTгяуd` :€9`Я ’‘Љ?аnС¶HЦJО{№!`J;H brstЋZнЁЫ*fљ 4§аMCУ{ыД GLn&gt;Ёu4Ћ…ёК–MЎјfхЦ 9E Љ&lt;ЌEЫ PЉJ Њ]іЇpнJ Q· ?эюAJ Nщ]ІInа4` 8А“wлЛЁ¤ 5Џ«» vЏ@eBf6вГ¦ =ЄyAG9 5іW WўХ A|НУBМxяуtpЈ 9А9^{&lt;E ‹AЂrЙx`’J [зћU‹Pі–F—­ы :7 XіUzЃ‰5 R~д 4J‡ПМ±„zЮ§8‚Dh ЏEМЗо€љ™K’UЦµ `ґяj t€QIй ЊzC«љ p&gt;ј»Ъ±ОZгS;ўбЎCГН®¶8ѕ –`ЛnѕЫnЮЉЎЂ[gџ `њ”ATkГcАРАvm xYdF&gt; a¦КњhыjІф ;—‘{ CMDjY‚@ Dhlx°Ј ‚4яуd`Ж ;Ё7\Я cK ЉDa UБ¶:Д’fґyS§Ю MФ ђDuЛ _’Ks ijvj6C¬SІ°z E§П XАИШq Yhqђ @iAцёЌ &lt;№M HPц‹¦ѓљ X¦ {’c№;I eСi­UҐПz[ `з”ZїПяrЃІSї ?єЧ bп†I OE ]јr‡B Kh“}nA UцЂЯк U„ЂTВв6Щ±е; 8I eяуtp¶ ;|7_Ы&lt;i ЉCЂr¶ 7`ТHяnОЄ^b QnН Yй©dҐ NуьМТА cHЙ„ :є»g OA DЈµщє€ЈXІћ‡ygЅЏ s=жљИІ 3Ed‚м &gt;™иm ]Y [4K 5[§Фy M»–jч Nm· WАXf€ &lt;n‰¶­68‚Ќ =Уk pS] ?ц°ќ ocеҐЄ]ЗS U…†Ќ c“Ц—ФКPС‹&lt;Ud‰ []DЛЌ=[”тL U’ €]ћЏт*ўяуdpГ :Њ3`Л` “‹uSjБрx^JЎrЇгm¶дЊ AІ— Iхћ sEВr &lt;xіп ђvYFcPR” ‹dSoqЖ Qп ‹_Ёy EVTIХЁ«Б¤Њ Љk;Юh!W`ЄP —MЧИР M§ Nы” t^ВЎЖ AыlA HКG^ AЎГ Cть A¦8 Pi] X–¦Ш GJ ”Wф4°ўk{¤ЊЈ AъvZЪ4;яуtpЕ &lt;p5^Я&lt;o ‹CjЅtxћJР M*цru m`ѕ ~L*ќЬ\ 5JЖв“чe Ќ9Втџ V·n j4p9CЛd&gt;ўѕ¦8QЁ [] dQ¤EFїUa†I№И^@¬лf^S¤ ]dZ§ Nь” ?Q4Xє›ЯК \FК —cћz}К› KЙ ‰a5 @Ц 7®Y N«Aай‘ S­М4bз IS IµћRWpЄеT­ W  IЊtКаТ¬ Gйы _5\m¶МТяуdpК :¤9ZЫ&lt;o ‹Bhrє SaћH\ hFЈрбшщ @•7® r7ъJ’–А@xУM’VЮ[пхKкЕјПdЯжj]gю’љЛ±{мжfяЫй[хeЃЌ F‹ьё ]§ Nm· W ahu &gt;ЗeЮќhё w9›Kџ &lt;ЂDЕms¤¦@јэnђ DaЈ HщcСDѕбнnЪ QEЎ4 lOe ;d eе¦ LяуtpК oO7VЫ`Ш ‹w3r­x`рKКњэ Rm T9 Yцн±Њsј 3Л [s«7аA QзfЬЛРЭ{ћ Tpќk GхRЙН †7‹›z^ Zpў_ ]r№„g BI gaкІ‡в¦zЂщ W’I `АA cаЂиЅ 9о y;ИБ 5^] W– ;уpѕЕЪф·Ф»“n CЅf ku=јђІ K…L©Ь‘’ikjZ ^ї skn[ЪVu 54”Kљў_лИ‘Ym· W’яуdpР ;L7VЯ cy ‹B8nЄ ?yІ*H‹6а Pшz Cх Fн ZЬ KјЊ±јд] XГP“†СуДS€9S a—vфќ[&lt;хW4ЄжТЋчЎХчЙэљ_WjђЖ;– ]bM f@· W¶Ыm¶Ѓ‘ 8|p›Є `¤b _Б 7mпыЅ =O…э~ЫSї L»ЌB q?ГЈ ZХZб†SAе ?Б‚†ХГБЊ&lt;яуtpЛ &lt;t?XЯ= u‹CбєІ ;{D—s”к l_Y`ЩЖo F!`ІЊИIL P¶FгxЮU’ЬУюЯПы?ыУ X№ђЙ:ЗW• ‘~4Q {dLеaЩ9ЧDK 8ЖЊЌІ„™yвьФ QtНЉНNЇjЙт Lѕ=· Wp qCQb ѓ]‡8gѕг@ QђWЄмБ®ыА–O*ящъч*–fЯ­юGыюy OОяОФudЂДhUP NB•V ySZR &lt;¤ 5П @яуdPО &gt;°ЅU b&lt;ГIЉа‚љ&lt;zpH „7Е ^8З M·яc¬[5 ‡w=RЅнмЂ Њ…]а 3А aЯВ eђaZ MЖf_ MЫ9ѓвKа ?V_Ќ*xЌљсЄ 8¬ cџw{¬€} ЉЋ79‹@bFTК Ca :Ј‘Идє †7ѓy ЉC„xу :“s V}з‹Јах U€aAb |?Ё —Q€Xќ X«щІУЃ­яуtPА pGйHП§Њ gAБ =Ѓ©X ~3uЯ»яцчmыuЧф”‰AдЅЏ Oмk… ЂZяыэ3 Qч&lt;?d }AH@ DЂ †kgSа }nSЧѕїЇячіТЄляьБвЗЋ AD †Wђ lCb }D‘ J€G CЉ CЂ 3їх&lt;Ґф§ w9?|pщ—6 k=­ќйНМК n~S›ћAF€i FeбА_[УEђ[Цљg€Ў© uV?¦њЬБ 8 _ Z€ВL‘ IџяуdPЗ A±‡hпБ †gЋqEЙ•Њђ 5щH‚ &lt;РЁn _‚‰ yЌ5РЃ3 Cx €4Q K@с TВ”яфMИЃL®S Oуг6W@‹‡вW KСr‹ SF8PDX| 9ю3 Rяжуu SЙ Qя †6Щx’ a‘в C8Ґ WљєM Rq*‚J GФ  &gt;‡¤ГэЃЭr*С aБ T“ ID [БК ріe ЋOх5h©ЁАяуt` ’;Ti… bДЊ f@Ы A‚ ~f`Хz©oЈЯvџ F}ЙeЦћУу~&gt;дz [H!3 ? z`§} ЉHЛ`“ 3?яh€G?ЬќЩ‘‰ярш4 cJЃ aФgЮцС­я«Э*Wu¶Пц IяМ|ЯйehТUьl @Ёґ f‰\dЧ ZЬы‡Mє Tз cЄAS і–&lt;ИR @№b W6Е ‡&lt;¤V‚ †ђ^}Ђ ђCTЃєBП ђHIC ђ4ЖЁЭ ^кЯђ[яуdpF ;р7vЫеЂ f:° ]о 4В!3 Qђ &lt;Nh NaE BБЃ‹ lB† f8НЉ j4рЙC­тйBnUDЈЂu[»я‘Ѓь IАзOEѓбFНчO^:IuEыqк eЄеNЫюЩ yN‘ыx Cm o_rhЪ Rs VOј¤]эK‡ Nщ Tю H:€hxП 46ђe ѓ7©U=©жwздҐwчй” AЖS¬І 3яуtpZ =a FrЛ&lt;cZ‡ЂnбtH†Hю8б OP¤ВИix‰t® &gt;q JЉ°s^НsК¤ў­mWЯ†РЂ I4д3 O№ў cЙ™ U€ :эЗЙЫОЇM‘zмэъЪЌNЋпя~€Пvощж‡“Zг– bI5№oэ G¦нвИжІР7 cfђ CDЪЕЗ `Eш?U3 b@xп…&gt;Т `”sщtZм±ЇІ ‘`кR KЈ{jж@¤”dЌёд‘ЃЩш Ђ5зяуd`| :Ќ Fu ђzUZ ?x Qо^ ;‚ 3[Эі*є›JЋ¦’EiџwK=Ќi©ќ“•4 eбяЛbьХЮzeйча8я ZЖcљу Wх aNV&lt; F@ &gt;C‚GO¦° ‹8w^ѕQNZЬmИи ѓ’^І«рЉ ~ZjєD=Jж=5iоЄщ;Qї­ЧъnЯЄяэ?ХЉїU·т X`еЂ;[Uябћ CR‰яуtp€ &lt;q Dq •KCZ ?ў Uв jK„µ czЊE @H ‡{XQЊУО 8H€”eb— rђ_ЗР5 =s &gt;5зmZ &lt;С[ x7} ?6БFй J: ЌIfўМ †4Hђ¶GєЂ &gt;–ЕЯ№@рВЄ€4ЏЄЎ‰ Ќ5‰ |’q:љжЌЅµ B7вe ‹MЕ _»µђ Yљ‡Ym^§Ј=ЯOFЦґ€  5”‰ YЬ‘Ѓо |&gt;і„и ѓ[= AB¬„–ґ*і„ЕЬ·хоЅ¶nwяуd`ќ ;ђ9nЪ Gc Љ@HRЭ¶ CЖ [Х7 aФ¶ЕeЇ U“Ґs&gt;€… dL€Ж» Qc•њЊДG ^Е‹њО K¤u Џ?­ KЂ &lt;XРQjSм GЅT’–±· W–Р; OжЊвV„ ‚—`Щ J\ИБ† CT›Й \Є g?¶Л ЏIdтѓ¬ЁsНгЩWnбRЇ© 4ЖoЫ^— \ъЖ&gt;uЛHд’мЌЖд“ 4ЙЂяуt`ћ =Ќ Zk •WeZ BРnЮ^ cЖH 8`ђW gLAn€k q7pШ\5‘ {Qq 8Rи™]фЦ9¦К MbН bвЁѓH=€NЅЄC ]¦J CП ZмiDbI’Ж”mЛЂы° KЄl 4Ѓ‰ 9ІЅЭZ•ШQ@ Cй 6Kkх]Eгж” _€ЌЙv«кЙtю–І6ЪЙ“YЗµ—Фл &gt;Ђ„’d‰¶д’ЃыxљгЕ ‡7‘ dwBx«¬Ysc eb=љj aTяуd`ќ :д5o •?c Љu3rЪ^@†Hf~UtCќСюяDОрf@™ FВеC‚ VИE— Pµ‡лSЛ EAнЌL5є·Єi8’\±Жд–а6Љ v;“КNпщDT l:Xl] z„GI VхЌy ;№™ ?O Ђbћ&gt;Ѕy”_Ь ‚UсW lYЭ }Hё `~В aоTdЁХW[m№ WАm †Kр•T ]ЈL ‚L¦яуt`њ o_Їk •WbH BРNЪ^ D† [О –5Ч„NВC @јP aЦє]л :“FШn8FtPк”З &gt;eOжДT TДф Vвж 8Ф*GJ HЂ 3ИУЇеА{P Cфљ †XB v;…©ХK©7V “FЋ PK vp`‚ђ»ZЪЩS• TE &gt;чЕtІАГпћЈ¬ОeљЫjЭ”•e MI· W f Ћf;7¤ Xґњpи „DF TAq¦ Ђ]ЖѓDE xd±О _єЅ &gt;Пяуd`¦ n‚\jЯ ;Г zu;єТV KДl &gt;іћ@ж _ьxњU7Ч 5Р‚ _ЕQOKiДФґJЉЖЫrKЂцB 6Y ?F rjk=ђzѕ¤Bљ hO“ 7Л s4­H M5Н‡ •ZfщH±`іdЪљ’КuLШY `NЧЫЎhюК 3•eЈm№ XА| cЬ5 Y”ЙК ixI ОЬlБ D=UД ‚Ћr8CGђ PC Uяуt`¤ njNhЯ {€xB€nЦ^@ЖHC Hi J©Ђcў¬ {=Е“ A9qт ‹MЖОР« ‹Rm 5џў Sй„”ЮЌ№ W›Ѓщ^† sda NfО¤ eЧd№д`‹дЂ… ?Zbсp83 ;_Ht4¶СA– ]і “HFзЅюъмj \ѕї¦љФђ„’›Ќ¶д— 4ьб A FС–: Eх•¦їR &lt;xdС7 w|gmA• Kа ‡=жV5П LH ЋѓEµЋR VЂ¤Кяуd`ё ;ЂIhЯ _C ЊB`†Ц^ cЖH KЬtљ LЬ– TЙ[G SЧн _›Q\ 68ЪїЭАP ‘f4°Ў`EI«я _vm[ 5dР= ’cТг 6Ѓ69 Yћ [L4 [™д 9ЛT \bјнјюНыЋѕж†ЉW• PбђеiљI7 `А|в*„бlћQ SБ \ФJкkI„F€C„ YЉ!&gt; &lt;7п_‡‘ED MНяуt`± ;ф9g •WВ ЉBёnЙ¶ D„HмIЪеrDП¬uqСхНмC”П­ Jh„’ќi4д»Ѓй5†UЃЁЃЂK ^;^ЌС€ВЉ4VPBЕ ЏBSпW ‡G°ґyWЄґ5в­ [Љ”з eЈH |\б G¦Й¶ФН…HЂ•icmЙ Xа\jЁ cp–k€o 7j4 Z&lt;з `і^E‹ю¤sґюд –A‚AЦ¤ ]&lt;`h nAјюZRШtріШµlІЧ[Lяуd`Ѕ :А7dЯ&lt;c ЉCHrК^I„H7СР*Ж X&lt;­¤qЙ aЬ Bh jwO`o ?‰ OL 5@7 ‡LІ=ћН Zј Fќоі:5±м ~4p€H”= qVЕљ 6XЩ XЄг¦Ф•±;ШВМ«ШхEЬкЂА[ъя’Ѓ9f kD€§^ ;&lt; =Ћ= TvpвБш \фkњQѕмЮf &lt;nU P›sОЛD Oьјм]яуt`ё ;lwbЯ Wc8 D9 EЙѕ KDpgЇЮфm–c 7ЦЭЩq”»ясяЯя?oѕёоТJЋЙ W–Ч@чњ kЏXпвРl”Ж?­іГ \W GщХ €_™ tKхi DuЬВпыУјяЪ• I7_ Rт Rgk™pjЧяЧ@ХfгmЙ aаNV 3&lt;]Q!8‚ 5YfR IZЬ[ A!e ‚}]tгTFЃ®№6›sШ:ђУe–ҐФ ]†X “Uч NјZ 9z aяуdpВ o79\Л cc WЏ ;ОЖ 7HЖm™ GнћЇ±: &gt;я_ WМ AV 5а Gљ&lt;;…&lt; D»‚цО 5ПФ•ЌGЂЌF™[ Fљ ’A©` Cѓц–pе „E ІSѕд»йSЩUЗXЖ XicXў „”­Ќ· WїЃлб [q X‘ 8WЃEнrў XB O&gt; E4L° &lt;…З 7њ[ ZBР„ВTЅ 6› JjзZ­zЃяуtpё ;l7\Я —hЉv3ўµ\@ЖL¶&lt;их‘l‹сSДЮЙm‹—›]4ў–ІI W»Р ]d 3XL |QUЬ‰э 7A‚FФ ‡D*ЂГ‚ AxА e‰4 =5d† Q•pЗЕ Oя¦Н ЌVнZ Fe€qХЪЋ• PGP–µ VmЙ `а{И 4ў ‡CЂСA VQЂМ :«МфЪGdФ·»dГiЏ;ZM V]®лз?г RTљ IA…©Юьф›6 A6зЃG™iж±яуdpЗ ;¬5Y •‹‰ЉBРN¶ j]D [ЃЎ¦ SZ©эПJвм¤Ј¶I ]«^ЂP\ –dжЪ W—… ђv3X Gh rЃЊjA‡‰†N Kp†T L7c!VА ђ‰WUК‡l[ЌЉ± QU¦ NB WmHQxгmЙ Yаyb*HM¦YZMд”ёҐE wUЋћ‹ :Pї®©—Ж§tf dИЧ’ AБІ TF+ћ4Ц›яуtpЅ &lt;ЊҐPЯ XcH BPJЄ nER Љ|Oѓ` Wcџ WI —EЫ Yѓ¬3G Ђ4FдХSЧ[eTA ]G O’ D©m@ A–v z€P6 UвX8‚ [I &gt;Е _lZ_ч‚ V…’ЦґЁ [9Ђ HЗ;А {U}gю{­ =у~_ S–№ W–ЫoаvЫ±¶ ‚_gТ G‹@­ dmЁk3Щ^лz­=мЭҐ @ДВ V4 JWLЖ^dМMЄрЧ]єaB 8• sWе cС FNj„яуdpЖ &lt;јiJЯ=г6 @р¶љ ?KЖmН&lt; =AcЁіSсD¬ыECZ_¤] ?„\’KhТ№ґ 3ўт¶ L3 N[ UM‘ї Q*еХШ RлВї‹VYФуђП •_ЩЪЏЩ DEmл UП 9Љ ;¤њb›Ъ@µ^ V6› ?fµ MНxЂ K^µ° ]N \­» ODuyщg~їLФ’ Ђ\¦} jE8¤Tђа „i9яуtp» =L•FЯ§Њ fA€жЋ @O –4Љ aq ‘:“7 [‰шБЦ‡k eд =М 7°` Pu©inьn ; N 6|9 5iэ·vwа® &lt;@M 5@ –fKbVЂ JцФЋµяmё^Ж ?ZЃ m6&lt;`@6Б ‰=HЗ“ЈыянярNД¬9†‘„ KBВ@ ‡V`”Z ЉroD‘ }uf;›гE YbЈ 7† єvgD &gt;м OAМГЁ cЯПІ&gt;Дп-я;яуdpБ Dс‰^ЯМ4 gt4Кє &lt;‚ v5‹yчэ`p–ы EW{€ &lt;H ~•;t [Щ‹jжє…п_]ZЯ Iµѕц­fэ«|ъљтХіы5 xXґ”ҐD‰WЄzяУяЫчКу FћИЕц“qзБГЬШЙ X^ћ*kе~ьЧнфJҐЭакУЄм‘Дж!KТфѓ DwЫiDђ Xа sЌjI@  6pа€’яуtpt ?Е3pЫз 3…X Aк 8В!3Nя UСЦ5ЎP w6h™w^юD 7ѓ‘ЩЇъчЭFь’ ‹;Y¶z;» ѓBkЬПц±?µє=ыЇIKЅІ¶^Иыц·Yt ^UЭ @» hID`tК•V SЈlИQ5 BЫ [± Ci‰ёfDK X D 5ґ;ИљAdъ™ЛМ8vA!9 `G\szх YНХ FkQ±=бЄ \щ bXdE;Z]НЗ W° 7B ;ЊЃ„ФХ :¤яуdp‹ odAs‹ KBZ &gt;Рnк¬8ЖH’ [ н¬Ж† d–Yэ]SAїў U• &gt;ж c°ЇюХко†W¦т ^Ф¬†Ґ’З ?jОЌ €L‹™ DЦа»’љ_ S° MЫЇНЌю¦RtЃ ayv YЬn –TР8ђEO» af­џ…]Є–y3ўі[їэnїe E{¦@OCµ_ ’bSжvZw„ vGЏBсrЎDяуt`Ќ =Y dm?LEZЏ№ 9Ц~hДp =nТр SЛЮ]Ќ· WЊ lf[&gt; CН}Э a›¶Ћ ?ЊG ‹[бvІ ЋaҐ _Џх bя•Х·ц»ы •=…VvГFSБ KЌТ­8 ”Z:Щx O«Y =ЭTZѓ Cy›Щ†¶лµ 4A  Hkъ9оў}m 7y” •€7ЈfЫ ;;µn¬µ QA*7*S‘Ћ&lt;WѓЧrжЁ GeZ¤Єъщ° 35ҐЩI«ш zlCт ‹Gяуd`Ћ ;ргk? SBJ A@†з QhЖHюіЛM G«vRFХ _j ЌXy b*фoЖ7яw FныwGк8ЗІ± ZEи©E}иХFRЃЌBZ©ўDѓЃ±s 3¶w¦Ѓ CWЊ©dЌЗ Љ4A 7*nЏ»єF Aљ ПQ qejUЄ=ю®ЯПїи·ямЏяі}Ї Zэ®ХL PР 8^ъЭ EєДђЯG6 SKяуt`€ ;с be:4EZ Bљ YУ Qh„ґ^]Jї‘Ђ€m‹bД N ¤ЦЃЗ^в T 9 xЃ@Wђgшb“~йЇ}к9«эфлЧ~ПjYХТ¬o5Кхp Gм4н~—C» L‹ F•·‹зT±¦ YСUvлe·j 6@њeЧQЮНЄѕ S6 Mи·ЊЫ®ъҐЁэц_дйкЪ9©яЪпРїvРЅ ]Ёя ]І JЂД OqЛ ©“Їaкќ ’WЦ UЎО9 X¬ 8яуd`• o`Me;4 XZ Cў YЫ QXЉґѓИг XWЄ•мs‚ TД €xT‘†ВЬтО7юЕoю_oэн}r VYМ€јЫ«UЯZХD@GҐµWw Џ7Q =†r GѕQm‰BD 8” ]еСQ wHЬ 4`б &gt;‘љэv¤ѕр¤j…zњ¤G ђD¦нg^ЭїwOэ \;фoеєЅьЬґDwі W”ў lAЂ Wяуtp„!&lt;Mg?4 XZ AЉ YО°h„ґФ Yб’I W° iSN 4ўnЮµ \Оq€‰ђDґ —@QuЈmХ}[ХMэІ CUФ\§ыяџґ•d‹тЛэцѕ»Эв;¦ю q”?бйЈGuќьу]ўPѓ Pl’Ы*@’ @ГЗнхд 9ОМz¦¬™ W~zлщ aя•яз­WльХ® Wх°¶p†ќО _YЁ ’i_ЕЬд=¦ъдT 8D ]]ЦI `ґ j@Аияуd`” ocџc?4 UHЏ™¶К~P„”‚ dзТЪp ‡DB CK –Dmј™ 8y”»v«iO —HЧЅэdfЩҐTЮD dўhч« V\ґ3шe }^ьо e5•ІЩП_ьдJрHбCrҐоЫяАD8ЖJЗр}‘A”ЋeСatК№IяMzs:WЪПkХїE»ЇЙЛ&lt;« RB‡џpц¶ E}ЮuL ]‡Lmяуt`‡ &lt;9 Da? ЋUZЏ±КУ „C„”Y  \x ‘ЊMЫ­Ф m5Ђ­иnJa _ѓ ‘AѓC k4RMH»АОmh*uќі[ BPЉП TвхЄЌиn­СвПQзv YTЋЮІ U` uNu ?М®Мт gp7GМ»¬4 Ў 4PЃ ;€±‘Q Ya‹Ґт [MиMА J=¦”љlН5н№MiЦЙ‹=K‡’W_^  WІbZ M”F WТi4ў@ 8µj~ K©Ы_…€яуdp‘ :Њ @c?¦!3 unIК±I!3vMsрж{9 &gt;±§Щ _{н ]“п ”NGq:в®caЖ d¶} Fі3 ChrЩGГР BM 3| 9J®9ъ{нпиAќ ‹N›Џд bМTюы8›щм|7 4ир ;‚°v; 43гзяЩTГ• ?|Qуиќ }@ Љ &lt;ЖD‚уCЭ+яь3+яИйБЈ EZ€ vfQяуt`“ Dй‰i bМ ’gsCrТ_Љ C!5ЃAЂ°X _!; feeUBOы Qр_Њ ;ќеѓ`џ OбМO ;Єgч gi4“їа &gt;жЋ*яЈяюђ S…6­UЃc` LBµ “N© Wґ’I6Щtх: AЮ©·»~ядОнWЄЇћ©·Мќ¶ЮЅ Vч»WщлmSы|ы3 &gt;gН5б3‡Х `Й ~VµљS Xг· UQ —X]4 Zrжх [Ъ†ЪЬч?яd SМяуdpb &gt;н :i ]и 3„шRЮ‘Н!3ф x_ЂX VXYљ? ќIі®h’ fwEX©—[ VЋр Y‘5 8ж±‡иa q?kQ…Gњ PX F`–Тk©‡Ѕої•В} 3­З_ Wт eE… SЧ·Э]Юј H[pи f_EФ; M¬°Ђ –`H @&gt; ix:ћh`xTVHЄXз°r7 =ЫO&lt;›Д&gt;U[ЯQ“ҐWяуtpi :”AoЏ&lt;C Љ?ђ AЪ¬`!3jЪь«•ЦE Џ5Ґ–Y XЬ =† ?ЌЭ·¦ҐЦ_ ;J“яЎ­T† KЗ=¤ M6¶ўЇC =№L 5ќ[rйз[q f;Аmki‚Еи M§‘:µсTiЌ ]Ank NЄ›ЂdJ6 pc†ax ~]XJxЁ`ЩкШ gb!CХчЮн»Ч 3Ѕ–iIPиаH SД  ;‹ы QО­TZD ‹m€TNG Xј njE•В GZfяуd`Ќ ;|Ae?d ‰ЉA8 eОVАF 9ЪњdЁє xp8ВGд @Ћ{gЩcк±пЩ&lt;э ZоkVЃ H5ёЉ 3K ’Qњ W’EpўtVп [LКА@ h]] D№ Wј 8„иi 4zп =ЕѓВб*Р\ 6IQ‹b±^•ЅF Q”еЕ KiЖ‡JінC ;Л[zc HН &lt;С¦Ґъk¬!8ja’I `ё &lt;@ A— Hяуt`‹!; B_?`Б fB` Iї Q‰Ђ 3u ‰dщ [Х ?ж gCРH°ђЩ:и 45…Rы¶«4B&lt;”НЌ OЖ&lt; 9ѓЎ d®A¦ E`h`”`чЃ¦• &lt;м;»єґL 3ђ 3eГ!U”Ґ4@ &gt;‰кI¦ OO]Эќ k5ЊYУ TF M“ QЈЄЙJЯ ‹eЧёUBRЉ Gґµ@sЛ› z`J uЂ_}G h[H…еЈ B› 5у 3jЦЭTњ 4ёl tC­ V°ЭNЁ M: mAяуdp  ;Д \]?&lt; €zDPbѕґx 9HZ Qxќ Н iDц \Т5mb WђЌЊsZdЋ[ ]п§&lt; FHЖ ђU7й]S@ hpLRК*€ЉІ 3d l3x&lt;Мя 9ЗнL:KGЂЁYвЙ †^ZфнEkjo4М«кьі4ґв &gt;— qIDа­фg\ХЂ 9‹«u{ђ nfSѓsэ `Ощ»ю^Ўћ€e Xg}mняуtpЏ mrB\‹=Ѓ gA°rє°h†HM”µЫWюЅ5эЄХ Q°tяiЈ [H ]Г AјH†рU :Uзщ•е dоэя©мбoЪЖeЛ¬–нш p7° EС \v«ПмgKPВГоИ NАИLЭµШМљb`t« 5ЉУ4 sE@LґЉG =› ]а MЏ NТqруNҐ ^b F®°kЃ¬m· W d ‚U’`3БфЦеЬєЗуО O· dР”VҐjФ·NяuJ~яуd`® ;Ф§\Ы WbIђxn№ЮhFH]»;:}m¶[–ЋжQ‚H8 3`«’±c 9‡ :ЛOWe?°[ ¤ЬюИЫ*Dp &gt;4 4AнЅЇV 9мl _]” †Zq\ S=FЉ­™*]–5т­ IR TEG– &gt;¬ 78щ I…Т n7Гadn•Ь° &lt;ё 5ў N[¶й€`ќ rd@в \5f€ІїЭ \ЃЏ Mh @Сяуtp  ;Щ`Я&lt;BK BpnЖ ;H„J№Зzь®Я7ЯяфюuB &gt;®IAП J9…3ZЌ}ыGЩdїюwяoЂ :Юn«А’wл OmЙ n…sQqљЩюNЦпќB Cг« Y=I]Q…B ЏYН [&lt;ґ›?OЛGZ ЌЋo8Л &gt;€E 7Ўµ 9F~цЪх&gt;Ђ g&lt;rU MМ ЊEТiT@ jN‡ u‰cноCv“PСЅfйЬв–iRnЖи—ђ c6d ?НУQ aяуdp° ;ђ9[Я¦„ 3Џ 3ZВ 8F f5·¤pН ђAjєzkt B¤‘Yy ‘\wM:iФй™ UЈqъЪlкљ Y&lt; ?НЖ C ™ ћЌЂй ‹:AМ @’LZ=Vю`hK» Asxз XЭCФw tTА5 wmD‘Q _DХяцL”Zfж 8џеТЃ‰tШ  d€Д”kЗгНFўQёУH fQз;вМз –CяуtpЄ EЌ‰bЯЖ4 gRѓ EЦ 8‰h 5ґ6 C6КШёУE ’ &lt;ФО\ a¬Н k\EМУdVhљ–П© p;UE y8Хw«© qY‚МЊП F_Ўжсж`h_7›ЏГpE† O¦=DИђ TЇoфУA lO€¦*ЃЈ UлLљ&gt;’¶6 a§*яdъЯэ WЩ ]DSаf ЋV‚ \e– lDЕdЈQ=h 4PюC 9@ёЦw ce NIpим­ЁФ •ы•JGmЭяуd` ђ:њ?‡ЏД rf@X“ uR‚ 3VC Iч·Nу_;ф} [_пїТm?Фr nЋfxuAh 9Д@ LU®Р 3V ;~Ь?оВїx Nf‘ C]¦оЧUиЧOхn¶®Д»пnЕ TвЛэє 3ҐY EM· W`O4| 6ц &gt;Е±Wў®f;*[х‹дЅ ЋLЋO[™3 QКg¶ KИї9lП O4§шohеяуtp &lt;аutЯж r3†Р 9т 8Б!3·wnyWcЦ»щКѕ6о=DеЙ N·юхяЩ№ј?Уs{D©А8I 8Ѓ ^bEД© B‡R =†”*А§э [Рxj 3”xгWьЊ AСА…\Ф=™риАљ— Sзц &lt;F иЎn»€Ѕu=Й9yЗТкдµ5шЈh{ qJS ЂP&lt;UаE Ee ^E l=цУ gY]«’VЙ 5Уe SЄ…њ vDАRЧ 5ЗY&gt; g=5§яуdpZ :ЬErЫ Sc Њ;ё6ж j&lt;‚ W]ґоЭъа K„еW EьЊ ? ~3p reU _†:й ‰9ј [Нв‰ќШПь d‘ECjDєШщд{|¬s¦ЄQ ‰J=јфw7VfcyСоf LІў \bІ™ЃNcЄUђц EGRњеЁѓє«ДТхІnPєЪM cЫ 5Uв Ћs3И sgUґu †pVz@† :«яуtps qLOhЫ Se\ o[NНt8F [Yъ’y’ЌsXО“@U–гm· W`c&lt; O=ѓ• KЦsАЙМWїЈ …GХфпЯ°•ІЎzQ€ GИшЯЬїz•і‡yзыn·ЂД &lt;№щл’ XЄ¤aг \FбI dу6N‘kж„ћмdь ‡–bВјэђRsfЫ¬·@«БHВCкЂЫSG UkXN ‹{[Ыc’bЄ Aѕ¶Џ–Y[m№ W`yU€ЦTЕЌ® U›зяуdp€ =…IfЯ ScZ€xrТ jCЖH’™ЃBЩ 9Аaf*„Bg HЂЎv6Р qwѓ7ф™у \кЊ¤ ЉLдB›Н§Я J±—·lЬй \њk‘ Cfє… dхBтЙPУЇчИн°nІґ’T‘¶г `° ]ђ°TAШЊ№ ^’•‡АДј»уk †MҐх[ L{їvk Fo?@UgcmЙ ` pР iKhІ LhlяуtpЌ =­OdЯ ЉV\ &lt;ёrО j[ЖI[Л ’ЩЌе›Р§зчІ} ^V’ywЫ} G§ —PЄнUZUќ–rїIuљз!]Ы«*ў”м –T@й›†ИJн QЃ4з K‡ы3ч ]·FЬ’K@п¬ 7&gt; `†`bжаЧ„FўШйЖ KёYа» CQоµМТV жУ \Р§А› cЪЅ•® bBІХТCСЄLDѓ X‰ Yд’ЃЫ8Y VHњ _У€f ЊbЕО–яуd`Ј == LfЯ SeZЋxrНѕ c†H3[вжwяwп|gЛїч&gt;5¬Ёs R3хщ“|З»Є Ѓ&gt;ьm_j‡lUпlYG9Ь»їнnоцґ‘ GдІ7 W’°9m 9fЛР KpОnл©ЩпЊ shnE‚†L jxS7|т\h“VМк KфЪK¶в9н `ЎЈд;ЈЎ†ъЂ™i VmЙ X nёЙ 4@яуtp’ orbe •~€WЏ8nО 7XДHp¤`д’ 8ґUКґ GРh _бC bbCp L·EН”A› C’W©Ѓd “[e*F QtЛ ae®NЉБ dў°«@ `:G LЌµЁХ*kmЙ XАT‘ UВіђўfй8E }3‚FG™7AЄф”6В t€Q”mA—ja e–Ї}Hо}Ч3гЄ `;cРь^8иЕЁЪ«¤’Knаr›Р _„d w3r TYHPќЉЕ»9Ьяуd`џ ;а7dЯ Sc ЉBpNЙѕ CЖ [эЋаЩ G!8 s7’Pl _¶¦EіKyCРт†ґШ FK I¤ EЎ V€mK s{_Х‚­Y _§ _9p’T‘№ W¶р ]И ik9ІC‹p°|NLш ?ба Dг :Ћ8 ]Р oeаЄAT g@Еќ JC Eчє«© SС@Іђа&lt;ъ5Ђhj“Ѕ‚Ю \ыМV„”]m¶Ь“ 4яуt`• o?YfЯ Sb6 wS&gt;К^ [Д WҐ †cд h8VµWN I‹ Aё ђ@Ё\Щ° –ЊSphи d!]А4 ‘&lt;«Ф­„џН qdtF“^F¶™nUЄљЙИюсd C„”ћЌ Yд— 4жщcР*RдL Hu]кќМ Ђ…88А\&gt;ђЈПWy YЁY rZ&gt; ]ч¬ј _Б¬“ @±кK ]К№шЄ V®b WфO§йb@Х·kmЙ Yаo Ћoqan pOPj Z|Ёяуd`› ;` Zc •s€zCђ~Ж^ d†H a Y‚Ѓйб cіО qMнЬх R¦ H{†­T P6ѕТ€{ `JWd»№–ќъ™^ ]€ ]o NnIq 6:”PсВ6чM6Cљ‡sе 7а¦Р\ЅЎ:н¶ҐVС DХ O®ГI IbЌE~iЖ«ёВиaZ\н`Ue Vm№ XАzЪ 5уSіЗ” @†Њ=Љ 8¤ 4`яуtpђ :Ь TdЯ SГ xtSnК jCЖHдF aTй ЉD“ARU `w ]±PQm~Уo &lt;=N PќҐЄкUИKG5 bэЋСTѓI EїеаlxЬ [м8 VPV u&lt;\D ;Hш№¤ —iЏ_…Ґi €]РКФ SАа•Lь±Qї Њ]A \lzТґЁUМцz\Э 3€’дm· W› 4экQ J¬Эґ`ўРЈёзgЮaK‰y4‡ „i{T‰LЌЯґLeж‡ ЉRAЙяуd`« :Ф P`Я SВ xBp:Ѕ¶8Ж ЉmW;Ьi6=ў› ZnЮ†±„ЮѓЏїЅ} eЇcI6дё BAЎ ‰H‚ Eв[ Ax`hАё O*H°eе 8ђсsvU8КЕ^ DХ 5i·ЕЩ ?ІУ ;чZќ &gt;] &gt;н·[‚ЂХwbIЙ X z]Г4 „^DЇ: Mб™© MKЈqHмЦµЌчжщFdт 6¦К‚л g9яуt`© ;l?_ b&lt;b ЉAА6№ѕBL WЖ• zOЁB§І sЃHpЪ|} A§XЦи{9›RЙ XhЫn C…3А =&lt; ]‡‰W 5cх EК }C…Ю ‰7‡… &lt;¶ JzK fOґп 6N‰Џ 7Џ MsnY–нZ CХ&lt;r C[cWз‘ 9‘ъЂоѕїд V· Aвx p:и TxaБ =•эNC€№У eЏљ¬фOxЃ@єJ F·}њ…l®9y№ ЃZ©o;цЧњЪ&lt;ЋЕяуdpЅ ;&lt;wXЯ Wb8 BШN¶ rC† [ЗдгЋчmяйїяцяЭ H”дтKj« &gt;Ђf« =в{ѕЃєЉ 7хDћJ I=т=њЎљ©~iN cT?ЎsЉћ}Ц &lt;з `w}Т} OЩ°wЮsЯцЪЌ NѕZЯыСg VmЙ XАrХ@ W? KУ’ c5·ЬўЛК wl5b4• QT«Н 7ґќ MЗ cVЗaўЂяуtp¶ orPN{5‚ Eђ [Т® ;hЖmQf­ЈљОZ–П 7Э»©WyЇ Gyе ]™д UIR6Ы€Љж 4п _А GШ ]хЧ cҐFЄ ЃaZ»нBµ S”ЄП VсT DЋ ђoEY‡№­Ђ^ЕDK o:[ 9д‡ЈS =Ту­КЂ• ^э· W @NЩHB 9tT ‹kW’АcmYlИи–ЉПўвxЮ“ HХТ O­©ґЇњм®N JHЬLQMЛЋ&lt; 8‡DUXЉ‘xяуdpА ;d7LЯ _В ЉBЂТљ ;HДlљ’ UЕqv QЮїщяї*ящ|gїш 5Wйj^ –6ЛЮ &gt;r Q©xµ D*‘ЫЌ†ЙkmяъIп Ѓ&gt;М¬ЦЭidT±DЖЫХV g^І’­ Nиѓ ?ж¶ЬЋHЫЂm`X»” K–XъHЫ; HVж I»b’¦AcHЩW&lt;‘ TИБxщKV _ЊД [љ*DC 4Ґяуtp№ pO[&gt;П cc6Ќ9 Uydy†‘¦ж H‡CыdІ[UZR€С«‚Л? UОФМ¤ 8‚ЂШIуВV 5®  5QCБf‹6 UiР ;… a[Ч XєЌеU 5Х» ]ѕ… dZ@ oQEгђвґЙ•Њ:S‡Л6TГ oЉ?ђ“‘«9 JPЎ ?FZ`*ВGК&lt;АЦ OжГL¤ 3[ Lo3T Ќ7Iуb« \і‚Ї PКjd¤H_Р w€ђXz LЙd [ЉT§Q‡ EяуdpЖ sOҐ aЯa \H :xNY”cМ Џ&lt;ЎЖЉҐ \zfR™ &gt;[ію—j‘РD MhЁ¦ =№§ =7 RсЅ`пяэkТP 7M}G JНа k–VDz Cе IБЇK•SCУ‡ }n…YўbQ Hґd wЉX­x “^®¶ЫҐўЎ T›б ]Єз Uav hGcІRљ nl7Iц3nШд§fі VЕdJ jnSJ‡ Aз]яуtpє ?DС KДm XJЉ SZ5¬ЖТ [О S‰P 7Tч a№J4 ‰GчЭ|Bл;·шяEїџ·]юЇСoюячџR†Ґ}I{p rET †cjўbЄђ± …]7±Д{ВРхxІ­Ђ W™ Wm№ Fn&lt;њЕІ `Іa3¦tАЂЁ OМ*PB E  ]k _vњЁvД©юҐЧc bи y[!; ~n7 aMЁQ ўІ &lt;` [аP¬AX &lt;6 CЬBє =и UІ =иSяуdPВ pKY XЫaг6‡Ш&gt; dђО ~Xв›€® 8&gt; DЭ HаїЗ Vя©ОђЂ\C 3dэ 6TбsµN skX¦Іђ r3ѓ@2я2я2я2я2я2я2я2я-яуtPМ &gt;ђ[ PЫc 66†ё!e4~ x72ядН@)3)3)3)3)3)3)3)3)3)3)3)3)3#3яуdPз &gt;° ga#3 4P 5\ф)3)3)3)3)3)3)3)3)3)3)3)3%3</t>
  </si>
  <si>
    <t>n 3К vFъQ Uоь­ `?• ”=P§ЙЮ MsUц™ DЩmМ*Швж™‘ЬЉ R”eWhД =Ы @7©ы c4Џ:_aрј№—з ]EьK l=љј‰a–S Ue4яуdpО ;ЊХ{ ђScJ Arц 3X†HҐ UФ A4“mД i9EФ €Ђ[с CР[:pЂ€ђH©FФ6љэeОёEr\Јп :O †ЊUЦ ?k—T Vг UО®’ЬxрSs DUб gcё^KЖВЄµзx abЎ bVњ”ф `Џ=»\Уп TњM BТхwкФЗЩ‰уCSњ Uйњ †Jљ^Ъ@†`&lt;X W†яуtpК &lt;щ HxЛ ccZ A° Mц 7@А 3ХЈkф }W8·f­Ж 9ђЖЙ©ћє^И Jb [W kЋnv[B…јўцhQ‚ 9} [DЪЗ—Uм a| ’cJ 9z«Tv]зЙЬ–‹~ H&lt;ґ·X–ЄQU{Њ @‹ eq Vh cq›к Q}‘гќ c|ОS FИYШ†g Rх\Ёs; e3І dКмy™®еdёТ’ IИZsІ» UХJ5ГX„8‡‘ a…7 DЊ‚—d ‹@Ц›яуd`Т ;ЂЧvЪ SCJ BЁ^о6`ЖHСQ XUЭ5mА8 ђЊCа~ЭВ [И TкК A^ fDљ 5‰P}¬ cЦj bP ;Т ЂwoPZФ ]‡ sd@сw‰жb 3К—ґpЌЁ{ИмЗыцўі@DbIWо –x8Гг ghj`Бѕ;o4Ѓ L±№ `Ё№— b| 7N‰ OуЭпј eТn :‰Ђ‘± LЄћЈGВяуt`К pGЩvЫ&lt;eJ Cр^о6HFHЧ№Я9їя›јЯвЦ_я RяыµыЛ_ь Wё[…µ_ѓ kC9cYрО„ ?гµчЋ…М‚ Хє 6‹ѓ\ё†]ЕЦ‚Ћi J8&gt;њd™т¤ Q‘eд4 XlФ¤±ил?ґ†оD”«Z«ш x3±рUЁl¬И;§¤ wM8й ?ОШЂ „8ЊВ5кУ…‘ I‡u:ь €•]­ Wi?¤Ъeўa jhe@UЂ\PШХ Kяуd`И &lt;@ Jy ‘cC 5Џ°‚оT@ЖHRш&lt;9N5«—7ъ ph7ґ Oя­¶Ш rVo• FEшЦ}а6 €b[‚ JrЬ Џp\ЅJ SцҐEЪ J&lt;h eТаТ‚Є[\РяµХІ›ҐЭOЙЂКµjї rMI KSOxэј ‚qg‘ XsJ§ч 9cїЭхZЫ9&gt;qФ€pыzWw8Zц‚№ж«ъ7н V7»dяуtpє &lt;lЛvК –VJ @р†см c†Hw QфиБ DС&gt; :_ї †`юрWyьbъцI ђ3гuЫђ &lt;А ‡&gt;ІSb 7юI‰3F \E5Ђѓ­Ґб*цhЬжK =ъ 9nЏ pN›z™мґ„О”ћоЗQ WeUjяqЂђVB cBp‘ ZЏVx3 —Z”МФ“ W«Ј G8­ЦЗТ‰ YС8ђѓ¤Ш– yeE 7’6N@[Ћ 3A„Бѕf_Т YRJ _улў]’§k|яуd`Й &lt;h‡xz cb8Ќh‚цV [„HМЉе] •FЦ:хЏYeK¤щ 9ќчЕ Iz9љah®­И O’lJ™П OЅЬмС›“tg…eK”–Ud g’5Ў eв RLН ѓ6fRшб_ 6Љ 3ҐV«я‘Ђє ~BW jLџ e[ CkiсЁyр ?BЁЄ• Sа 9®єз5l U•e TEсC cё ^A •zDfp“AяуtpГ AщOnЛ&lt;Ж\… K^еpHДHf т _О FђљЮtyvѕ}п ?™Ѓp¦:q­D ;Дrkы ЉOсN}Љ&gt;ЯЮ U’Ѓ¶Ыђ‚ 3ІўЯ:о? :«&lt;\ Y^Ђ €ebJЋ7ТҐЩЇfЫ–ед[ Џ_uЄі:&gt;Ў ‘]4Ў™jЇn 3Ф Cѓd· M NGЬ KЫО dk»Ю›Lk7 rE&lt;U;ѓZ¤Ш OcН 4Рєд L7цФМШ &lt;xhкЄИД SГKr EяуdpЙ &gt;… 6tЛ&lt;cZ‹йfт 7HDђѓАd :Цг ”cЈЋ ‰3 &gt;ґХ©G~–a dpЉDЄЬ ЏXИ 9…дRYбхљш~ЯЦ TЃ@ДС‹ D™ JУ dU‘й~Ы: ehJШЦОц{ќОp‘:Ђъu[mЙ `А ’k3 ш] `C eУПЅЏќS:]ВІь lFЁ«юшЖ _сЭт^tµМ ‚7› EИЇ bАяуtpё =”µrЛ= 6H r\^к 3`DђI CgI Sh†QГ Q]П6_т e© @џ ‰N7 oHИPу 7E bk—Ёђ rIН [а 5AqЂ}y VюSa?;вCбТчP€«Ш±ЁЬЕЃ `JИ }—HH Ojѓ¬MLKP8€ъйїb InХъђT¦ZЇnЂБhД DЪдР‡чU HЉA ]f B3B UpB|цi}х— AЫџYуZk LЪгїЯg§]±Хіс ђMЃяуdpЕ =y :zЯ ‹6Z A€nймXDHўqа C  vc8суi[Y6 Xas• ebк]¶ќCВл•чSU|ґ lHFЖad ?ДСP8d€ђ P6pРIBзOЦкЩce ^kт‹ zDЂВЊ f6EAзЪЃ}ИЃ IсЭ[|e&gt;u№;ХPU¦jїrЃ c JymN Yfы”ИЄ—8‰‘I ђIЎ cZ=T{dяуt`І =@·tЛ _fH Bи aн¶hЖ jbбV7дJG™j|Y Kz LYwF Zp 9†L GНЪ V—р {gm9Џo–Хђ ]щ^ЧцЁІ :ё‰Zќ PJ ?и°щMЦ CU@€6В‚F‡R ^5ЁrRЪ Ћ†GK ?“ JЂ gWѕЖПЅґmzсq BvЪУЂvувУ`эZїЭАaвhЃЕўв± Aъm CТфu¦ЉМ Jd9жWM &lt;Mў F5 C8ђС№Љd ;Yяуd`і &lt;”ЫxЛ WЈJ A°Nн¶ cD Ћ&lt;ј@N`’ e‡©Up•ЭёШз 7B WЌ WT8‡ЩЪЛ 3EuUч Tj dRµH 8“џC g7’яЇ Gі‰QЕ ?t†` O¦•~ЇJїt ^Ј HJцмYЮпWl \ЛШЩ• OЌ›@Qe•ЇNЂ±‘ ;=К№nќеCІєБЉФМПjЃEиЯ§ѕnЫЌї TуYj_яуtp¦ &lt;ЊСx{ KгJ ?‘bнXHDђgпЌ9qm°ьЪhЭ‘eтж­п €Ђ3ф {c8»B¶ eMЄы :6‹ ZюОХ ]яtЧ;АР s3‘E EґWU Њ|cИ‡ ~3ЊР 9s»І UчиЧ¶‹©oZфCє ]КD ?&gt;p 7ф5хnQФШI \С•rнюУЛЄ  J§YЇrЃт &lt;† ;3!Hґkм ]’К¤yИ}lїф¦ЮгыъЋо Z№µЩ¶еJё‰в‘яуd`є &lt;¤ПvЛ WfJ vLfс– KDђН&lt;Р— K­ ;eџ 9‡ Џ&lt;; bs RSдШ_ ROЇ^wЎTїҐ’u 3В :€p xgS­`*‹ …Ћ;Њ F‚aQ¬Bќ MЇF№ 7\MЇ`t]®JЈхйР®¦ЯЅ ^­Ћк•зЄїs 4‡ђ†гd Fb @iл­Мm^Ж·&lt;u©Ўѕm{ЏяЛЯ…&gt;Вч±­*·еяуtp§ ;ШБxЛ KhH @P Mс\ cА 3ѕ» XЮЫIъ• bШч™w]ЃAА &gt;Р ЏGЅЁHыќЖ SЅиcЄ_Яµ`•t­Rа TBмJ: Gdш€Ѓ@Иђx &lt;лiRЗгI &gt;О Yбg™BMј dГ VAy 5w6СTљBI \DЖґ_}Йy P–мй Q©[©6д” q8EЃ¤ T•B­ЉЭ‘ю HЉ OSBdЁжЗ‰ bФ~ћ oXkLё \Х¬™}Е LEяуd`ѕ p?БxЛ _ЖH B  Uн– [D 3V ‚Zjµ€ ?3Д ‚V?Х№ Pцп\Эѓ}ж*г3oПЌЅ—© MNХчкыЩ‹ GKsъш =@h WP @¤№Џ CU†ШРКI™ x?F8§Ы&lt;к JМ­_К FжЛOџ 5њ eЇkЁFSxa c DЫЄэо 8MF &lt;щЋM‘o·ц9 BЋcФ…B–U q`€иЁяуtpЄ =е 8vП WfZ ?Щ~см CЖ‘ч‘K UZEџБЯыдTЪ SІеФЈИI» QжMђД~ &gt;њ&lt; D&gt;Ёuф*s oB­oђAt \yе_ЭЂi ~CkБ’ i8›*XБж Dй NUєњфб 3Ђ€ђH&gt;^°t“дО‹9 TупФТҐtдЭ]OО =uлf°e•ZЇrЃ`xЁ k@‰hЋНT&gt;zЅ 8G =JЙDf8EН\c¦ PAe»кnЯМiF J?яуd`І &lt;„П{ ЃcЈJ AX Aх– c!3 eћ?ЉєЇРtY}Ё q=©Э= JwNЃЬ Ѓ6„ @µaУWЄҐ UфOµҐ KЫ= {UЫR W’n 7ЂP ]NнН» n9N Vz 9a @sк\ЅКrЦУщЖ°*яЦ:ЈV~¤џъ MGКЂ•ZЄя’Ђ† ;•„ ;YУXКЅznЗј5Ђњ ѓ?&gt; TТ\µЅ‹*™ ЃBяуtp§ =„ПtЛ W¦J &gt;Ђbт 7XFIф“w 8ЮpЖ” –=h S† tЉd`б€ ‹7TA Gњm­WЛЂЋ }S4rфt&lt;‹? YQkaА; uPХNОІХ ]Vћ«В CАИO5з9Ї OН CMk G¦љ“€ЉёгѕUЬнюЊэ 8вЛj‡ i“S”µ–«rЂњ ЉAhбЭJСA=Э b!Pєґкдda B…й?уB© VЏТЃF VHО» D° e‘kЇїLN] Uяуdp· &gt;9 6rЛ —6Z &lt;ш‚йXxDIX ?KЯ7¬9рљЕ I{O lCЃ…&gt;‚·9*ќm EҐq¶д—р zP‰dЛи?©ТSTmL bu€DУ;ГјКНыХ‰Їivќ ‡WЃ EEД 5ЖД§XБRЋ OДеЙvЇZ5НЦДх}ИQ`f§Єїs 3b‘&lt; ;И UЕS‡Я»R J!&lt;43T7а T5Т Kяуt`° &lt;¬ЩtЛ ccJ woUц^hЖђ— aЭ‰ѕЅФ­ U=‰ YіёЈspG L¬ ZG =ЏMч WЎ€ё O‰ 5‚Ж =o B*ФМ CIю„ЪМ­® ;ЄуђЄєl :HlQ” Ќ]д­ uw3†ћ E‹ R8ґ ‡H9і¦њ ^{Л =ШРь4a 4Р ]НЄве“йE…W±=v~ OHЈ[¤ЫЋP 6б –4С–A“Лќ»ђЁЊОnF6о …U’ЄґUБKЧЎ 7єяуd`± p7ЧxЛ _cJ AxNс¶ cД Ћ:pH Lrj@Ьё d”s”r ‹E№еJ eё w?бA’@Р xCvТMчйФ~y6Ј¦ЈЁ ‹KќЌ Gь S„Б PЦv8Ђd† YЫURGЉ XбЫ·ПњWяыЫ™П`I czc:мн^GВСя“ІYЭоА©фкM№ Xа `…H J4Ѓ UG JВЩ Zv| Oч” aФяуtpў =`йy …WЈJ sC‚т f[FIG[ ^ЭЄ[ DtО HOЫ Y¤w VЕ SЛ TБ ?Ѕ§µҐ `t NҐж\ =ГЩ:¤ PіmМ‘gуЮHCеEUSр8 ”Pvо*V Jg‘Б!d c№P€Ч gG]6ЅT Xm ЋaЪЂJ Ђ}S8з}l›G… [ЁЏ¤·MA‚kUuS HH‘µкїw 3А dДањjієжI3Э¶ R“ `ф™ mJжDТХ™pЌWМЏY YJсяуd`­ ;шй|Я SCJ B8bс¶ K„HWРPкq K©¦aљR Y6¶ IЖw§u„An™ 8rUFЯУЇ &lt;тА’Rэ8 l?ЉCТaњЕ¶ѕR 7rВ V  [{ dcЦ _”ЅU&gt;fQЇZR¦@кUЪ4Ы©¶ф \Ћk{цГ¤ћ \@BWэ8 4VЋ 8 ‹ Vѕ’ @AцuЈФЛ YIҐyH№•ќ ZшG E‹яуt`Ј o?йvЛ4cJ tCfнЋ [ДJ‡ wG‹Ћ‚ ЉX‘»Бef‚ Kjh¤r @мSЂд‰Viл n&gt;XгnToY№е EќЏҐ¤ў@r3Ј€Cо•БЖGЩ &lt;…› pyrPbC H^†EЖ= 6¦ќ 4Љ Xo¤…ЫчЅ 5• ЁґZ[ ¤Vй7 W 6ў Tа –k[MЯяЯSЌїV [ч}Љњ® \±Ѕі¶g{MџЗ{ї GV _ћНiтUімцю\ytjяуdpµ oWіx·4cI s[fсмXЖH [ECфМzйОXцЌзnф U°Ґф 7ZФ otM§RцoG‰о¤ UHЊ8Т«жа 6ЃШ9Ќ 9EБйSЎrbR 4” nsOrЕ ‚Fkml 7|­ЉqчBс`Й FСи Sч Mw iTtі’Eг C­ =Z№J OЪЂf_ЄїqЃвГ`ь4—«j°Ш¦ `ј№© p]„яуt`І =ьлxП WЖZ CX IтV LА fCН U„ќ~ \5Єс±;¤йЙПT5kOІ9 9гЕ· 7aMб–цMz]N]fn}і‡ќ„SлЎЈђў QxaV&gt; cb}СcZXў:д  L‰DњїЁJ cyRDћ ‹SЄ j]щ›фЅiSlХf}В§ VqґЎ®q `ЊUcvyР5J ^ТµZ­· WЊ 8В„ї L@I›птеW RYҐ Sе‡_ nX~&gt;k°К®мяуd`« =Ќ RzЛ _cZ ?а Iх |;А 3ѕqGё ‹[Цџ•вРЗЪTЌIKГvK B¶k*М·}Д 3ґЙAБфи Xv JfqT&lt;” \«Tє Wr]Fyµн brґфй FРѓ»х? Cyєm©J·Д JOXУ BYVd W!3ЎДўR 3L@`ГЃ ¤ AF KH•?¤›’@ EX@6 |XJ~¶вЖФ ‰SЩҐ cяуtpћ A9OpП= [\… ;&gt;бp cЖ XL™f ѓYу№к]С&gt;”u[ЮОt9`жљ„ Tc H„ TЈЁl€d@PЈD©HIdќЮ¶µd]ЅЇтYJЙ WЗSI bT …E:М ArPr†hLХбPа°ћ S† 7ы R­ [aЩaвКq 8ЪД 4ГЗE Ou &gt;=b^XҐu EM№ W  AІ; EФЗУЦѕн;¶В ?Н^§јќ@dйї~ЩU]кj :Ж¬Ф8iG bяуdp« &lt;hі{ …WeH ? fт fcЖHw VfЮ O€iЉTЃhW &lt;њ™Іб KtTe VJ 9”@X4:P =} `I ZҐ ArdиЧfv№ґ 9©VL6 j~7КZ CFM ?m D†U K“*њcа Nщ aЇыЬWю}j=&gt;С­‹ DTпЕ 3D— NЄэК 5Б 3mІ WуkєrЋ&gt;[PяeдЦгјщ Aу?я»ІяуtpЁ qcПxЯ cИJ &gt;HNй\@F \пЇЭб BяВМy¦ЛШЦЁ 4»г·¬•O vQ~^TГжqaР TаЁ @М M¶Ѕч eў:шy a~WCће VvвI¶ѓ S8Sy FЛ› T BЌЦ`» p|FGцЫЯ&gt;Ѕ|¬4z 7G4n R•нЫ Mш№ЂҐ¶Єя’Ѓѓђ3 R‘­ЉоoV _ќЬцS»ЫЕоУГ AyНЛѕрн JOСк–’вКґ_4М“ Q &gt;яуdpґ =„Нw ЃWЖJ &gt;@fсt8FIі …`пы¦Nн aЯ7 Zј[l¶g*я6UaU† KХ= Z\oф±Фо№HПх5N` ~=9КТ 5ТєmlgL Ђi’†f–C8 ^{ 8ЭBG&lt;Pa Ug…‰Ќ= y6h –„OдX8Ј?b GЋФl SЌ_Жk™BЂ 3т•ZNЃЖЕ ЏUM…] •=Щ ]~6К ЏEяуt`­ =МнvЛ cЖZ BшVй–Y† [ЅrpBдє WYТ 6Соw} HµrЎg{›U°cеБЊyHЭqj ^™†њYD Fф TmRЖ MИjфЮКЃ _ИЈU\Ь l^°кTх ;ю;ў­ґМjEЕЊ‚г KЃXЉ ~UиЧ :¦ЮhеG¦LЗд `ВОNґ “;mO[кr e‹э IЎ ;D“&gt;«эЮ 4qђ№єЃ™*ц§‘uR‡rk Jk zD№ Dжj•pЊяeяуd`© o;ЭtЛ WeJ BpjтV cЖHm t]±{ h‰—^‚ S»ВшfК =5чPQ ‹=qo4† UqO3¶—R FџBsЌэу W­DЙ \©H Nњ Iz HЄ&lt;G Lж9• YkLЋ Eц DЪЛїнo5џjЦiМCњ®!; rЉYµrZмЦЬЉ es; Q°UjVjN 3Ubбz [JјoУчcm :pтЪOyяуtpћ &lt;ЊН{ ЃWcJ AIbсt KДђ‚пф Dsчz _fpЄж]щћDЖЉa@Nв W­јѓ Gd |OЂBdЎAѓc¦\ґџ­?»NпЦI YёУM· ni&gt;J^ sAрdZС CW—‡AqЈ KЦЁЏtсЪЮ J‚Ґ‚ДРlХLA·tЕТ ]ДР?РЛкКP 9ХЩ7ЏФПq7› ^Ё¶аЎџkЖвOЩОІЮ¤њ ^b·`^М CТfЦ :V „a&gt;G®Гяуdp« ;ЬБ|Л WcI ?Аbц jKДHn EU \R 4т AZ“ X‘”µ nBёў 8­ЕА SаMdO‘jXЩKkяђ8ъTљъ« {&lt;‚gbw{ CсъnJ_и[_ ”DXкз `МёsG&gt;4JjР‹ U7nђFдФ f‡“3@ UZЇwЂYбAЅS©¦ЈГ*Я =ћмyц Q§ t@мЄЭ hEc*4~©єъяуtp¬ =ИЕvk&lt;ИK &gt;№NнX [Ж‘ ;¦k‘± AQ ?Сь ЋK_†f† ?s hIz s_Ў F‡3vќыV·цфb„†`pў’P° KСК¦ ^7 AаЁtW 9‹*„Вгд–ЦЊ S• cJв 8Iч¬№ ЌNГЌ Sз¤ WE¶zЧ 8g¶Р W“YjЅј 9[DєV ieљ Jх¦u“ 8T ]hЕмgI v6п‰ &lt;ѓ«­WП±ЯоҐw&lt;¤¶їц ѓJtKЩ6у\яуdp№ &lt;LНxЛ KcJ @  eт jcД 7E¶мМMgн ?Э Rсµ |GpD N5¬л K9ЌЏћҐЌsл4Љ€ “Lќd­Nа L…»‡7 ‚C*hЎr UЛ Y“ДZ H– ’\Z 7ЄKА=7 J{ИњJи}j M7WJ”€Ѕљmfљ4tY¬”bвUыё ic»„8ЪЕту3џЅЪMЗ e4§эЅчљ :xќјэяуt`і qKзu N&lt;fJ A@ Yй¶ K† 3ЪкZ5Ї}жoЙЯЌЭЯ &gt;GЫЧ^k”Z NЭ €6н• YћУD A¬tXTњВРЗ;ѕЦ 4}]UФ 5•«Pђ dЖBАтS’ФH7 UУ‚?‘A cѕлu[ць PрВNьО FъДw§ 5­ ;б}`PoЄЙ@ ct &lt;e™ў*ЖьюЧЪЁwPў t7Й‘‹Z ЉЃw`fЫДcпs&gt;›м 9ЯU Q7ЦFuЛА ‡dяуdpґ pOїtЫ4ЖH &gt;8†еX cЖIRAтм Oђ 4аy§Иј Ѓ7Н = Ёhid®=?oтHS EЄЕJґњ if7*JP `ћЯ N»ьи XЊK7ЄќОuҐ_Ы}о“ ]ц« —_ЙхЩPuD APА PЏXtач8 cц T{«d@› F·х¶ Ѓя ђ3ё pwUћрs }…OкэЎзIЩ `rp [»Bхљяуt`± =\Ґt»&lt;fI Ci~н– c„’~{‡}ёЪЦЈЪCО4H ‰Ђo;Ђ¤ЌЋ ђ[вўЖ…DЗл_JСюдОЦY…ЄB “PU[Aў 6jЭѕuс№?3 O‘{ AрИы® RGяЙЮfC B5W|ѓ Bщ&gt;›M—Јztq ]аЕ•V’Ђ Љ6р Ky‰ X?Ц›ћЏшѓPHg AnтБF5‘К®бэюУxЫі€=мЪЄЅцwщх`At {ЉHН aЯљяуdpЇ ;ґtg&lt;F9 &gt;А¶нX c†m‹dя UlПҐP Y• 5вВ‚ D© }Kвл ZкіуA¤H a9 Em№Ё E&lt; \З7 \\m Ѓ6хВMA EР 5ѓ ZйqEЉ Ce †—Cд8ТФ·ґёV :*aвОzvЭгpў _XюUЄ“ЂqHRZеV­u±в ?щ„nyMчh IћDG4 _‰бІa©¦P:A 7ляуtpµ =pЭv{ _fK AHvт jc†H¬WA V†•LГАИ§SыQМн ^gz &gt;•@фQ SЅЛј«ЧюН ]nфґ“И nCџ JZ’°‚bђ»­`DсD±‚e F`™ &lt;і ]\ђбt^P‰ Jј h@ЎЛ±yи GUi ]Ж9 aэчГ…@U Ue W*“ 8Ёx]sh›у»ЙБ{Ю·¦њЇ? `T Tб \oг Rіf&gt;e&lt;Мv`m ~_¦`’; 7jtN CћКaяуdp» o?б|{ WcK Aёfн\HFHW»Lірмяґ?ъ aЄЁ‰ 9x“5L· wWЕ ~ЏYж@ ‡~:ъ8P ;ђ ’G: ‚ЋA‚ T@dа XЛ“иZfШ„ Kc Gз sC…ЕЪ ]жДѓФ„‡Qоz]у“ “Fµі• Џ3V¦UЄNЃPйЕJ—зЗ±L NЋ b |YR TQ Yќ 8Hњ–3­ A»ДфC SяуtpІ &lt;€нuГ WГZЏИ Qо 7a‚ 3@Bд V3•ЙЌМF u:|ЉD V3ђr @wF[ѕ cпJ @–Aдzед=џФ=Т [¤ЈЃ¤›s †c¬3&lt; [Ёи4`аёгѓВ BТ![ЦЏhF­‘увX ?ыT E@j nzD8xтk|@Ќ [B’џЕЦйХЂU–VЄN 3*P€њ:\j›М«єДg 3€zжimП°КB…±”Ш*ЁmОV ‚6їҐlЏl“Wяуdp№ &lt;¬ЯzЛ cҐK A° eт 7aD 78й7љ|Г[wі¶xП &lt;Сў ЋIu7IҐ bы3ЇЛ}ќ@ _Кэ8 7h e°Г¤Ћўd=„“С g5ѓ‹ FY G*Ў’Jt„X&gt;|pёҐ 8®ykЉV®·OтK V_Ў GR^®ћЄ 3©«©· Wђ 4ўЖV }‰~eЧКу‹† \N Pw8з*gvЕ‘‰eu]5–яуt`« &lt;ЊСzЛ WfK AxfнЋ [FJљЮЄ@ ?ѓ H:еFБе T@оcд DВЄW &gt;Д OЕ‘±Вѓ!S‚б aJ„ 83ьНBѕ S3S&lt;В¬яUыґ 9`§j :є=Ш‘ FЖAж h†;L 3Ґ’ ЋDґ]4s°| fcСг `:Щ„ SU Yђs W°6NЖю Su {hQ* ”JьФ•юг 4Џ x7q¤5 `Ё€З&lt; IўџйvҐC¶иR~bОд\„faяуd`· =ґЯzП WЈJ BXZс– dD [Љqўвзu;• OЁµ4Н ‘Kз QКЗ `lЪ U¦†Gw®И§dХ^э @A§WvU: PA‰±Y„Ь•ц’Ph {SF PЌХЃ ;Џ|g5 Bщ —eѓ ^i 9t™ Am _н 6ѕHП ]Ђг aµO{ GЂ ]М 3[№ _ўьАЧ6хЭяТXН XVЄ 9КаtNA ET•fяуt`џ &gt;ACz‹ KeZ @°~цT ;ЖH MB goUкє}­кЖыъ‹d;Tm PП‡вЭН–Д WO Ђ9џ9I X» EУ [ЪбO5kµ» TЧ ?оЉљ‚ A}шЏqпЯ№OяЯпџеыІI eFТL goKxшч~EБЉМ 8Yў Z°?YеХ»Эячц5d &lt;teVЄЇ‘Ѓ l5МA5j‘¶ aҐО YИМ^жUЌ¬F‰ TІџ|w Yb =6К\X] XйяуdpЎ =Pmrz cЖ6‰ ~Iт f;Ђ 4ЈЗИ­ Un ¦ B­’™б Pe¦!Qr‰= TА ;Б \з“ D@й =Ei tHТwB MЉ gS№ТФ nѓTбі 8ЕD Uba•СФcґИ NЃ N™ЧонЄ?чwыж»X NµЇ—@ ObЯiАҐc EUьђ &lt;J4 =Ў&lt;ЈДyЇ Z“= 7н ’ dGm”ЋnYкЫ] яуtpҐ =hБtЛ&lt;cH &gt;АfеиHЖI4џжќћУеEgд TЦЄЈ `ѕьkх{Q:ЕXЗ 3ЂHX LK@Ђ Y&lt;сPЩаdњ=ќvu ]Ў ayыW¦Vе x\bЎ…Qs w?лh €[µ VЊџK„Рдfб*»ыЮлгЦe FчЫмЮw’Gг XМ”ejїr 3C :Л tS!^&lt;ьМюЗіХzyg• UEPкc :Ё„Оw„}И €\PрнPд Ќ;F Ќ6ЪAяуdpµ =ёїvЫ&lt; YH qfQнpa‚ 4n„ UЬ^Б TЦXи X­Г‡Ђз 9^jS FєuЏ“ K°ЃиЏњeМУ Vy‰ WхP’ c• KN_7vт®О¦]?XLй AЌ[­ QОWчйk¤кКЄpsй KшxЉ§T c@D—ZЄюL 4L OBѓџB\ЏbйЪRb X&gt;•}” WЋгЛ oPІhH¤_ yVц ^?яуtp® =њЧtЛ ccJ &gt;щ YнpHД‘ nDКYMDё ЋmAЂДб fc” =ч4‹g @П NC C–6 UwA7u ZЅ–­ Љ}Nv© ZX rnFЮPЬSЉ @UЙj©SЖ SzE†Т dzРUлKнx 7*ЁphЦ8ЫbF= U5 BТљФдєоб H• MЄюJ 5д F ]ЬWШ&lt;ъҐџA®wgЃ8эHуu­W‘к QФ Xхёe&lt;уџ VПtе ;d @T&lt; JGяуdpј &lt;МЎy ЃccH t3nнм cЖH 6™Њ_фкN±©Щь»эќмъо±¶ „3µЖBQ`у @µоз\еxvµ_qҐWЛЂг€ Ђ•[є `єО[ D•5“Х Ђ_ъ¦E*fю†Ў=џЄ:џ™ЧEQ taц FЁ |&lt;I™yЖf EБ5Ѕ[ѓ O›’‹І« [• QЇю\ lG8 kwbLд3]о Wехяуt`° qCлw N&lt;fZ CбZн¶ cДђbњ [¦ Aвi G№ HЇ¤Z‚^µ S‹TРБІ 5U GhMJ„‰H`kГ…m aдЂn­C 6Ґнp s9тПҐСЯЭtК±W “SK 4БG…] ]Hў»°І™Ґ~i}ЌВ c± \}¬№Ан 3ъВ7 4H _шmпS xHђbe«s 4± †’rd_µк°7‰іЅв eМќЕЄUб ]Є=|qu N7щяrЮ ‘CНѕeЖяуdp§ &lt;t§y ЃWcH &gt;X–н\ c†L9\ A^л_ d§kiы?µ6«r Zѕ?§8Є ZЮ UcZЛЁ ZµзrЪ€оV©Ю 7‹OB»nіп‰vP•vqьЉ bgLЏ™Ёµ}ћХў¤’Ј IЫќ—ўБ }Oж CXЖ qL*bнҐ O^Е TЩkgї‹ dИeuкїsЃUh*‚EЙЄщЁл5Ј`Ґ Ep Rrяуt`© pcЯtЛ= 9J BбNицXДђ‡ш cQ Qftв ^W~ђН•t4э ЉfЉ‚`Ћ8њ:U z9€n rHѓ [Haвd GT›ВќЋгt HzЅћсi[®«` –l5©µwЕ^‚ИmўЛ EtЪҐЅ­Sэь:ю bMЯнМ‡ dl _*Ќ©бй@P?µIа W\!M _К _«р­VҐЁ ]¦юЩд¦Б &lt;_’‘еы7х®бй¶ЁТ•™ m{@™9Sняуdp« &lt;ђЕtЛ ccJ qcjн\`ЖI¦n:єІ R•ЋЫ D;yШ±Г†‰ЕЧZ–y •ѓGCщЇФхПJэ8 8ЋрWЫ Cіµ G…§kҐQW Tр \ЖАЙ [БfЋ –Љclђ›Ж wK¦°Р ]&gt;U t4µv5хг“jє©Q„±­цф¤ъАUfZїwЂЪАpЅsл †]µ»¶СйfНO [cлм}кяуt`¬ &lt;дЫr» WfJ v;zмоXЖJY~ћ YЪ·Lx›‚ЁЦyыё™К• ЊROI KВхп;–uIќp@ѓР …8Ѓ•ј6•џ GґC 3ґа Ћ]Лы _ЦyJ ‡hSПKR€ : 4Gw ~H„Gµі‡ 5ТpЅД _Ц]л»ЈP f“Tе&lt;бGЎH[ї&gt;G CуF 3н•Z’Ђ ђEH ~ЊUDtЧї“‚·С™ GІУіЭ Rjћdh_гОџЈЎхњЭ^ЕяуdpЇ =дГtЛ cfH &gt;@ aй\ c„ kP›F ]5 EY:‰w@ЂШ‘ЕEИ!H¤ TЊ!&gt;‹±?·ф±љaY~њ h9ЂЏ Mfґ‘«*Јhz3Ш d¶ j5la ‘I©сіk †9&gt; †Ke©@‰G• aЦMwµуU№ъ Iз `ф bb» aP¦Єя—Ѓ &lt;\ veFNiщЙ· —]U} 5ЅxКеє3 Qе~Ъяуt`Ґ o[Бx{ WcI uK‚моHDJYпП}мЩ·’Ю«У \тҐ ;~ UknЌ „ki&lt;Гд A±И¤Yn&gt;Б Lф ‡[ebКЉXґ]ф› W¶Ј‰ W› 8Ѓ„вdТPг ЙZ @МнЗdsЊHщfЂП• cQ­ke _?R EL iЋa8 „Y=Rl„j]б°*VUЄN 4*‚@kі J•7Ґmhuђx \–Я3 Џr}ЌW—ЉяL PD n€o;АК H:ЈАяуdpІ &lt;А©xЛ cfH @`ўт 7@ЖL ‘ sEb f`”јYГH 3V y&lt;ѓOp @Ц XYHіжМяЌ 8{•j ]‰Ђ„d s^€ ?BVЁOЈWУ8Ъя‚›\o«Kјпњ7ОaK DCЕnјґп I•юlэ•j“ЂAa Iц lpЃHTзвb“ ёLћfЫў“ВC№ wN~Шују aфu{7r_яуtp© &lt;А№|Л KcI &gt;р ]нX KD 8пrµј S”Оu&gt;lч†}fп—”a`эЄHўБ9ЯЎэяч _‚‹їU· h4Ѓ”Ші ]ђµfѓ CЁ xSГa V€‰ ’Lв‰ Zў ]| ]`ЁX UўТ•D ?Р T®±Ц‹Ѓ‘@э–Є“Ђ@tLЄk¬ WnЄтhЈОh5 PДЌIТ‚Ё*T­ќ ‡C›» м¶LIJ Iўн N6Р©ћZp ?їn `§q“¦ Tg@HАяуdpѕ &lt;8Х|{ SfK ?шNхм CД [Б LaT NLРЦК¶}Y;L€КєyВ Py X[ыЇЪ 4”PЌuЧy«m‚ IWЬ Dз RЙo FZ№ѕј‡тC aЕ K‘RUж ’”ЏK‡№еR Љ\@ҐVjїsЂX os5б5Ћ?3[:Ќк U· ’7bє[‘TШ” ЏW№:“фAФкS=Y@ 3EЊ Њ^о¦ Xяуtp» =°Ѕx{ W¦I rd&gt;нX cЖ‘‚ЗdP†`bT:ѓ`рЌgH‹њ!C ‰Juг ‚c®Z?b&gt;њb jeї ”gngIuDОј»ь8‚љ O¤ќ»–Ґdјх7 \ФЗі U vp_»Й• F‚J 3­Г O]†hrFJU{ї :‘qаEН_ ^ЪE@э–j“ЂP]ўЈДЛЋѕ5џey|t© AЯГFжгc@\ `Т|CcчЇцG—~ p\mp‡єЗяуd`З =tЗvЛ WcJ CЁонЋ8ЖrП cNV’д§Їчb[ЭјзЦФ_ Oµ |FЌ CЉ­ &gt;`Ы CёQх GІЧЉbџТ«Rp t„XЖ—@–[ј&lt;ў WFАCrFВA VUЛ _џРЎљ Rкґ§ш;‘pcq@ ‘‹9n _– lHXD\Р| 7p ;9 “rJM6лB`U JяСФ†Uщp k3Dећ= Yяуt`« =МЭz{ WЖK EarрцHF’х­іЎгСn Pе5Н J’д xTУ™W]C3Г~э U‰ 99к›Ю LV •7М m4БХ cf‡ЅЋяnГ jmeПо¬’c‚D›Ћр 8њu D№Ў† AЁ ђ–ЉVpДNА =xІЯФG –9Ac 3Ђђ Yp eсх«Sџ^9з MyПЁ bіM Sэ•Є“Ђ O[ wR{‡јІ bѕDТR 3В7 M™љ —LЎsZh 3‚ 5… 8яуdpћ ;8±xw _cI tЋUъ j;„ 3ЎИм‰&lt;ќћв gqPьqа 3БДЏ B­ kC‰¦ ЉFxyК*rѓ~ WъWф h•LD¤Ґ SLЂ iEА 3Ш° ”}t‚|:M‚Р5cГ®S MYмU @ґ8Т 7ФтП {=” B§kТ–§ќЇ tOҐО eЏB@ WЩVїрIQВ 3д &lt;ШЊЎ№ OЬ§‹ r€yM3Ґяуtpћ o7Ј|{ ЉVI AИ Uнt ;D f^ДТЙ®jEЮХRЬ G„nу@г ‡CK KсГ5D ;ИEC C†Щ ‚h?±А”© OrbЛ ^›њРьџв¶Kџо=‹5књО@AІ =’H•~д 5ё 6y™ V® JSЈћ †‚Ђ€Љ6p… _’ …K‘ьЁў­ †::Е pr&lt;j&gt;&lt;{^=JSй5ЭЏb :Ьњcїх‡ n3UЁСUбz j]Т eu`њи cЖ;hЃяуd`­ qd3w ЂWcZ BЁNцV KЖ [Шв UВЯ€_ь UNdКжSBт aћж‰юEOъЃ yЌ9lq5:¬ЖLD W‚K ?Т] Љcш}  S9vґО :*wм!&gt;’P·Hлщ †{kc¬N Њ@JСМ*P CXр*\:4»Ю \°ў№џ№Лbc KµЬyжRтЭЦ§АЎ‰}Ќ KцoФлЏ№ SҐUjяqяуt`Џ &lt;ДЧzЪ WcJ AРVъV [D Ћ3»f |FШj IиМ _ншј n?OЈA Wpдh™—™M‚SЏxІ\т€ІҐЪ‡ЩЄT M” &gt;6qaрЧћc B„в?ДО —MІ Mn aзLЊl]f\нVF Wєm©рe7ґк7{ЛіdбҐ› d3љР¤u d9BЪ Yэ—зхY CED C… OВZ r&gt;4K6ђҐWЄї‘ЂЦЋ R‰ІДЗ 5Mш? MФt Y&gt;C ?шњяуdp @Щ dpЛ= 9Zѓ°:йX \F WШІ XЉtсыVFу `ћhZҐц• ]Cґ NћQФЃУ r9–аX…e7‹ 4Љ {F `А± D:ѓ Ag};oЖўµТФ ht[udP 4a ?HО ЉE5liI Jшl»ѕҐµ·ёјії~ ;b»Џ :ЪyЫпxА•ZЇ &lt;T ‰ABP¬\G¶7Ѕп] UФ H¦ ;НE№яуtp• &lt;діvЛ&lt;cH =р6йX cВ ‹\H VеNntЮ&gt;h\Дґф5ШvИнМ IЋa©n_р evq±МeObх eЗ P± gVК]Cbж]л© 3… WН4џЉ G™ 6{3 c‚; ?[љ©† dR‡ ?јѓT’M@зjђ”Uq \хџёрщЎ¤юХЂ©Z©· W” :Ш 64N4 …ЌyJЖ ?єH Wљ9 eI NU„—¦ Vгф„с Cе|xѕdфк‘‡xРЧяуdp­ &lt;¬Чrz&lt;cJ &gt;pnт f[ЖHCв pfђ?[&lt; uCX§H°рlL &gt;Љ4] 3TjSGny V–9Т©ВЧ ЃW”йхжd ”grMѓ‘zиrР@ AяOОнЭю±цЦЁ·і ?D‘ 3п eBыі=Ѓ‚џ `­?г}NЭ–«ЫЂC KRњR± aЛ{­&gt;Э `БЕ9= eWб iVэNІБ V«€}P’Пяуtp¬ = СvП _cJ ?8 Iнр CА 4‘Y`…B\•H• HЊ  Љ;Ъ :Ґ C8Z u?DaІfбЫ3G &lt;Ў CсК e™ dGqчЉлҐ® \Ё’T=Єчp zSµ CаЬXI „Dџя^‘ ^…‰ВИёmяµ&gt; H”¤уО™ Vkе E‘щ9¬ ^™‘ JA 3ny MAZ ^эвчm b} bg :ЮЈ &lt;*P b­IР —5dВЪп_с[яъ e\ќ =LР Iхїн‰рщяуd`№ =щt{ ccZ D9†о6 KЖђcpyе EЪс[­і‰wЙЁ&lt;8Јh P‰ q&lt;\І TqлV e†l¤’Ељ•© aэhBЃ 8FЩЄw 4\pИйk°мmаP»I™ C™ „Fxr¬UгLљb„ a8Q 3бЎbeЖ¬ђPE IЛ_Фз H‘ЛWІЙ &gt;›`¦®U:@D7cIWуp [Y gIЈ NуЖ PPяуt`љ o;·t» ccH vfaо6 L„ 7ЌСЯ\ ј eTY 5Ц EHќ\Ф ZA T@ C\ ’vpXM h8К 7NЃ uOdфЊQV aци±э*Kы O– e°J‘8›I»Ш yd‚ Ћ–iЉpcШ°D lOЂV Њ^&gt;„ҐЄ±n H‘ё i_o z}sTЁ c| 6!=gё©ґ __W ]‹›ЋOHUfUЄN 4р =GS ЌIЅj· kZ‰N K5 Se eо~rg3Cuґµlяуdp¤ ;ђ9{ ‘cc ЉBH eц j;Ж 7я [Ћ‚dPbй UhвВ„NФЕА‚Џј ђE: Ќx:ЂЩ·Ў V^ЂІ &lt;tШл6юЅ VMSј &lt;GЇТЊ [ЗWе;‚ 7@ 3бу‚кЌ p‹&lt;s ”ЂЊ[deз 8bгѓCo°ЛЄпCҐоХЩRK OФ4 ЉwL*RNeщ YOC†т t^›зв’д ;к•v^яуt`ќ &lt;l­zЛ ccI tKZмц KД [ш?еµ‹&gt;т IЛзNЯж WъїLЗC­ЎвL G{ AМё5н&gt;;ш‹Еэci­жБ’ X;ыюЃ SЙмТN v]°Р‡Ћ U¦ІҐiA _AВр6џ&gt; AЅќ EЧуР YДW eо FОЊп bK»_ѕ[Z»їцыю?§лфT9V«s 4‡ WП\Оv VдnЧџ L7ґк;¦ђш XRТЋзФ _у°Д Q’ВCj5яуdp¬ o;·uЧ&lt;cHЋhVнмHЖ \et`акЈ’ naW{±“v›…p@ Љђl:Гп8ЎCЋ x3ТаЅ4§щC AEґ”Q5Ф“| 3s 6’ Cuf*nj Xu 9МA =дpіЫР» _ПьзЮ XzE\‘mхЗЎ9эС _iі 3Ґ^кЇs 4s ќsGР Л6­¶®єхJ JL Iqiґ U[‘ YrяуtpҐ =dЗrЛ&lt;cJ ?ABо fcЖ‘е™зЦ„Qы&lt;д _ҐЛЂ cЪщS D” y–MCФ {6=Љ?mВнЪ €oQЊ] _ф¶·=D“ XU»ю^ jU €М†ф YE– ~e&lt; ’f4Ќ{JЦ5Tj A“iцј –]”Zв® 5ЊyК [e &lt;uа6ЃTЧЊІЄ?;ЅЏjАЧя ”3Ць RЗљВµЂ K9cБ S@ y€YЋ? fѓQ`¬ ;PшќБa9 CdІDяуd`і &lt;Њ»xЛ ccH Bё^цV KЖH SU DQЂXС 9” HA@ LЙHDЭ€кm_Ґ€¤Vє M§Ј4‰BI NI·x 5Љ DHA¶ [ёGQv  ЋiUг€ {]—џЪ…iµag &lt;N –r\ZВ &gt;uщ }`&gt;тv·Q @ЧЎ·з4Ђ•Y•jNЂ:E h;Сp} J!@Xт№™Bќ q\C Yt3„~є¤ПЯVяуtpў ;њ Pvg&lt;B yAPfц jKFH©ЏGк‹‡… x=°P NYB мD –_–5aўЗ–ҐЂq{z«¦ПбA GT CдЋ4“nr 7Х 6•Љ Ѓct!E—p GтИc O¤§ d№KБС:”Г ehRА ;@еў;v– BwЙЦР PЊС;– j:~µ \*А±SВ c*@Wiv&gt; oO‡ЙB „[ЖИ» eBў€Яї‡¦ TЈЮ VљS U*„рк9™ 7T Iп OЁяуdp¶ oK‹zЛDbI @Р Mт j;А 3S 5Ґљ ]ф 4¤ UўЄ JС»ФсJ DO–a›ЊЄі e« Z@ aАAА OTёСП {}eQ Dw4\°±Зjмr Cц QЁ Ta¦Щ¬њzЛ’`dж»YЈ ‹Fйю•Ђк s3P ]•ЄSЃ·е&gt;OЧP¤У~ ^яXФљ8h†‚Џc e78Ђл eТКЇн ]њЖ &gt;]ќяуt`± &lt;¤·s qScH A@ Iс–8А h?Б –DUэв`ТаўЬу cDґ xWFъYs= DW_Їцµ¦ 6e Q” gph&lt;»Кќ Hкґ }FЈУ›gѕе BяП*з¦Ґ `пJ9і _Xь?:А f;4 DѕEо8 `­ўT ЏaRpк?ъDUШ°*Ґ EM№ WЂ\T9 U&lt; _]L№тЮ| Aґ¬NЖ5± bЙyтw№ЇS HMNЩ]ыTµFј PuMё Dh¦яуd`Ѕ o[­tЛ&lt;cH vD^ио [Ж’b7°НчYЮ \ЎШЯ6™Л¤ЧпhМk8 \; UЗКg P„Џ&lt;EkzOяк Y5XЉї’Ѓ ui~`^4 \pіЪ Ѓp]Э i=‚ZXЈІ M§€ kI†R‡ Rq C‹MU F№Іх”aK\~кЯ VzпPЯ?Йђ W“zV©К 9‚…QРY ;}t№ ‰pU‡ u=¤ыAяуt`® =фЫxЯ cfJЏX ]тVY„ 7]KцыХя“X‘­6«Bп FMD*•пуб—юяю:ўokx›oгџ«л N*ял•Хщ’ V–hящx |pc6µ †[Їiq hC5ЃЖ : fЗ3l =… TSyўk 4¦iД KeL GurЭlj FЮМнйSя Y FhP W‡ N©_тр8 H8b [Z 4щ MЖ ZhXL[„ {UсdETъН48 p5m CА Џpdяуd`¬ ;д Hw Ѓ—‡5ЋаfцV CЖHFDжК n8\сFµл6µmsЕмЭІў dЯф› W§;Є©И :8 ?ОЁ Fl„ёф ~}Ћq‚FЉZвЋUЙ!P4ZXЕ€ [аК­UчЃГSї–© zL® \њxхR XFҐ5¤@V­љ®wЃБra№Ф oe5 Њ7nVg¦E I‚сEљ 3™ wCR°‘`Ђ‘ A&gt;яуt`¤ nS;{ ‘Sb ЉuCFю6H† YВвЈZlсіЎ°а –B†бГhц _Є¤©U«BсВо©?K 8ФjЄZњ  Sђ PйВ EP vBC Vћђz @”Z G‡n·m ^&gt;Бd Wђ|:д …_uЎБгР¶ ‰]ґЫ aД =k[ j9W GЮ¬hЁn VH [ёiЄэо :xЁ€ J|“ЁTб ;ё:’о EН M¬¤№Д MџfФТ’9’ Bјо{™¬ ;‘к ^5‹тІSяуd`№ ;Ё=xЛ Wb ЉvKvэ– [FJB„ d„ –Uћ8ЉЯAЖъ X‰ёU?й­8І¬ИЄіp mg5`НLЃH„уTр Uу™XЫЏRЅ­Чы MЦv “=и8Л_ a4ШЬљЮ’њ‡ь‡ЁP \U«ь af GЄDу”’nщѕow¦©S ?ЩGй9юm Xл T;™µМЊ O­r _w6 TЈЫ 8к¦µXЎфяуt`® oGЗ{ ЃWCJ ?HZщ– CД ]йсВ† ‰p[ЊЯ7p­9qю ~€=*D CЋб mbц 3aц F=я_ъР ЂeJ IЉХ^д 5ЂQ9ѓЗ] y5обђР4ж SЉнIUЁЇi[j[њ@DТCЪ vIпP[¶ЃT|г‘гЯяВБаП•jї 9G S]З 7«ЈКже П±В• AЎM VЉg _јЃн• ]{e ;цR… =¤ Џ;ы”cЄЮДITяD Uяуd`З qCгvК&lt;cJЋ fAцV [!3ЫЛ:gэC kvg‰3–cEЂµ?•ОМ&gt;д’ €IЗ NnY@8„ Cтё —e¶‹ y[p e&lt;ш aM 5” L»trЯ] 6ЫНињГ· Mr [Ж5‰¦]Mчыљ¦ YъАedўWьЊ s•ЊEЃДцXq[ўоЇ«й`юз pXwТ7хњхЏ‘e|ќЊ« MЋ &lt;яуt`± &lt;Дчvz ccZ @И6ц^ ;‚ W4Ь D›ЊLV‰ =К°Q­4Ѓ‹+п?Ы; aЖУ«’рЁc E–:“ 7п‡Л|fоэ*Ъ W™?Є`І 8XH»БЈИ cµwДy GТx ^rЭOєtгЯjСt№ Q€љ d«Sж­еFk W^QњА¤e EU{” @њas*rёnh¦mЊы F&gt;ПO ЋY±ъпv :µ bs*з ?гMШяBgъ№ „EC`й ?”яуdpѕ =х DtЫ&lt;cZЊЃfймxД‘ЋVьі =Ў C`ШЌ \Q s[сF Џ]Т¬v„W GB 4t­P SСL XД ”8ЊэЌ± –?Ґ aQ Q»СцџьЗ~нs I@kЅмЊ =б 9ќґ ^”эаoэ@йU Fm№ W 6† [W?gzщC &gt;[ДЯxЏdЊ ^3Ф’ѓ HыО BЦб ?HG›” UV ^Y5№©шWяуtpЇ &lt;”УtЫ&lt;cJ r–UеXY† 4У ?=z`њK?M8гINc¦KD`MLЦ`‹:oКч eцh•Џпщ &gt;*`h¦&gt;¤~цтНя ‰`G ;ИPйзэЊWbЇ AЯ…ќдбГюД `NyeЬГqДV”g…М?Њ `РҐ~­¶дё 7Ѓ‚ {ЏBw—†Vё:Л JІ€Ы” QOы c¤ Rd :мТ&lt; ^CЪjжi wCeVS*–Ф“Њds ?\`†Гh†PяуdpД &lt;агvЯ&lt;cJ @Ўzн\@Ж‘ —ЉpWИҐВ®BоЎhµ]Цџ®VыєЫ…Ѓ‡Ђћі `—KX &lt;H~ @n B¤ 6|8‘W?Іґ q†Y°H 3t Љx?ґЫ 3ИU Xї J!Iy‰ :©@D“ ]«ю\ hCDpэЯ^Є[ью…«З®ЙЁЌ_Э _«uуџ|ф Uй –[FљМ LAКE“ cNSЕ OCяуtp№ &lt;ШСxП WcJ @Ёbс\@ДH 8њ“ XсБ 3 yм©GЖ pXЉaЗ ydў‰µђФы G„}UVп iЋ“Aр`ШЧ :D ?P 5зR \z ?ІЉ\BУo HiD 3ЌќBZдЩX©А6Е^ K¶Яц dO›’`ц¶°UiљЇwЃўґA“є™‹†л§ |9иfўжЁbЗuBйеѕзB*НТ“э7„~@Ёџ4&lt;іsV @GМ K` ~GcЬ ]Ф† Fяуd`Ж &lt;јПy ЃccJ Ah Uн–@† 3yCf XНЙф©оT§ aЭ ]BЄХjw gSx 8ѓ\a№ўF y_п [` 6@Ґћ a±ЌU494 ;З OQF¤ xz„Z` ?сBОP WЎ yIЭЁ Qћe‚­ЦЕЙы=Тz@TvZЇwЂ™:Ђ cўв FКџjЧ †w4Њ IAh 9¦сЙp @] LЛ¬ЕW cK}X©Ќяуt`№ &lt; µvЛ WcH CPbй–@DH …W[џ  SмБ Gs 4±FБ H„Т AV ‚ђYJЅi Q GћdхќQ\ VхК­ Ќ3› {Ћ_qK“ ECpЄkЁќ GAќj gd:Т№u X·пiG±Х &lt;Џ‘ JIQaў €lk|:МєЖt~ХNiяPeWљЇ{Ѓ…b€ {Q9 @нМ­ҐCYGњч8БК AкtД7‡ W{зЩf@«шпp\w|И™ёc©» 55@яуd`Ѕ &lt;њіvЛ ЉVH A°zфц@†J xFЋ pt&lt;В@GCнA AyЖ“O [ьс6 UюКA MҐZІ o6@¬мaц[pmD\у‘P Ѓ5УъҐкэ[ыo^•хjnўk¦м 9ТM Z7жоЏъ^Ґ¤г]хАUfUЄN 44¤ c‰Ѓ’H|›uН ђH\c IHw*Яhцn—цF@j wB‡ o3AЈ ’Fяуtp° &lt;ЁµtЛ cЈH @АVеX KЖ Џ&lt;PhT ;= 5В\Ё Q&lt;9 [qNчЧa¶ҐЦYхпT«JP6 ;Р ?oУ›HйX T7mФКюу=?·MйЅ FоЧЯк¬c [с &lt;Д 9бC‰bЮ*kYєЮD*X \zVо±PЕўЂT;YЇs 3©’Pш|Б aB NMіНV® ”Ф€Ьўґ›ф SІE `9ю]шОтИy HЖrт!_7 WИН€ZlJѕqд:яуd`ѕ ;d|Л Wb9 BСfфц@Д’о9S‚Qчo6P‘”ў†К RaП H“РЄХ ]ґ¤ 6d:µ iCДо EC uq–NQ x‡Pv± WN 8HЦ LnU:*@ИtЫЪ e*XеM GЎНGХаU8Љpџ_µ ^”–ўUь ;Y 7[ Љ9p&gt;iЁОот &gt;мр ѓaїyэ·чnfh»gоv`а`ЉЙ cxяуt`¶ &lt;ЬбvЛ WcJ AИNх– cF ђb—i*uAc§ЌV­Ej?уыXБ\юsџо*яйїцхФrИ•_7 h€mw&gt;dБ d—ђXґ ~7P&lt; B± V\Жќ©™ ‘ѓgZsЏ \L i„}CЎµ4·¬Tќ bI P}§GkWЕэ@Te DUыЬ 8Е l@Ўd |RЁKо¦T™ pPcm^ L‚? e¶:жU¶r ]•эV ‹ЌSp‚ГЧ ?&lt;N5B4 5AB TRЇяуd`ї o[3xЫ cB WЋИbс¶ [FH FА UЋ Wѕ =дЋґн s\„ 8IЯ•№ Pj¤ХUJP [l‚ mH&lt; ]ro­Z¬ a‹±yx›оіvгыњl] Wd9 ‘Cє‹”gRо’gя aхґ?\,яаL•nќоюw¤ы_ґЂUj™ZRЃ ?„сЅP=ЭЉй Hqt Ѓ8БaBдА 9KЖЉ­v’&lt;яуt`µ &lt;МќtЫ WcH w–Mх–HА i_РuOk =\±д B¬&gt; &gt;ЯuJЊ SМѕ•ю MJ„в&gt;д3CЗЎVяє©М 78 &gt;„v® K!=™ fAh rCq ecќ YAG Kж»[ж GсwчiЬ&gt;ЯДЊу …]ШcюphЄ’ОUщp nC‡J EЗјЫ cхуHh°–нO FЕ\‘€Љ=Ѕ5ј‡xЙПвЯwШъыђР°с 5ЕИ™AЃB`4јк–кф 6o&gt;яуd`ґ n~^|Л [г {snЃ4– CА 5‘ N\Лэдх X}rІs  cЁF¶P ЏЌ]9FГйК l4” UШЧјяыїь `Яно ZN&gt;ѓ°чY¬їFХЯњ Nояs O¶ыфэћ ‰ND~skOЗ_ „{•Єr 3єOђщс8 KЖY H‘ЭДаYў ЏYЛЊКыyЯчЙ BС }SS D®:ФWЬ¶ bl &lt;Ш Yяуtpє ;Дџvw&lt;cI CRн\HЖ \\ {Bпя}‡®ЅїuЯяoШяф{яхь 6ьИ &lt;gRr° rwЃCЗЬЎжA‰R LSь GшYѓЯy 4[Шr}R[3Їk6 Sdх*FиС}цС”\v§€ 3aDJЧш]П 7CL 6‘Гy¤рuх\ S­•МRЉЬИЋЇУ^щWж· `тоћE ?ПЅ ;~G‘±ШГ”3±хѓЏ`ђИч U_ ?pГ dd–яуdpД oЋ\vЛ&lt;b GЌ@vсм [ЖH&lt;а xKTHED[CєJЂЏjH• WЌUоP _Ђhe ?B3¤\ ;‚Ї 8*@ †TQSd pЏAд±tєЧ«*cV &gt;‚Т›s»mЙFчс№л €Z·Зµ 3A ]ХjsЂЪ’ K°bн‹ JЅі¬Ъ DЉ`8њ WОИ8ќ Gэ&lt;·Ъєю}B _іIzОgcЫґШх IUяуt`А =ЂчtЉ&lt;cZ AX QтVI‚ 3ДЦҐџ [‡µЗW WxЇsesk±‹фiRw NE]Ь ;А i8:бD ЄEO† 6Ђ©ђ«нzЕ? DQЬ ^є“ G¶L®© C&gt;З©¤ЇC aR uRµ Uгu№ґ\” 3¦eRUыј pR ТK \џ^kАНхЉљѕ bЙr†”Иµ:Жк Wе:ЧМОІ Yќ«J№ Lп 4ТЃHСп Q–ц MсhвЗПшґY [ХЪ±sяуd`Е ;А№tЛ&lt; VH AH Iн¶ KЂ f@фюХP¬*ХTе 4a Z© „K›c MЄ{Ы[ rЊ;ћsГ UВвEakU&lt; J¶ u&gt;¬щ‰[ ]_ЄNБrhkЌ WU: p[І W_й AЦPЏьё f‚†~|[^? ^J ]f4ЋЗї9«Tж*J†Ћeя¦tЖHЈ&lt; rO6 K@ &lt;Ѓс K&gt; ]°Pn KptЛ Cяуt`А &lt;&lt;НvЫ&lt;cJ BЂvщ– [FJнЉE5ь“XЧho№ PjЅЖЪM9Ђ =ЂkBЦ= _Xёаp 5L _ашБЙ OѓЖ &gt;Ѕ iA¤ :ЖЎ 5 ЃW 7‚ QЎ—kuMўEѓЭхOЦ“Iъ@VeљїwЂ QЂ †VY–ФЊй Yf†!3 Ќ‡X@9µd FRC &gt;ђ `“UQ ђGл“ВhAЗ Aг ‘6Qн u]• [ЮДBVР S6*А| 3AЎ[ 6Й †¬шяуdpЛ ;ЊЃv· WC9 Ax Uсt:D 3DшѓЎ?H°ч ^Sј n[€a Oу ”iNlFм ?В LгЕPСBнjP†–9SF \« &gt;q Tм:НК ЂI?Ґљ &gt;Фу P=†Ч 4йы B» [ю¦«Ы  WЫkXHЛRVI Veh —TўКdоЉЕdѕ”ќФXqNQи“nј§Jт—]м}aЪАЕє YАЩ Xiяуt`З =4ЕvЛ ЉVJ Bђbй–HFHІ nЉ&gt;Oю Mґс…=poы«И4oL `эя5Ц?lы o“WIk’Ѓ…C UbЃwђ =€ =‚Лyђъ*CИ _йЧґ[чjИ 4ЃT»їxД:ц Bж•rШдШґ‰СZ¬Єc L~ЂҐ^jїr 4f E‘pO—¬ЕZSш–[ ^SGFї¬ UAg ЊXҐ aЊg№; M]zRG ezЏ IВ 8ЧЪCЗ© a~ ;‡W}“Іяуd`К =Lµx{ WcHЋ€ Aс¶H!3; T·Рі±нЪЎ 7®ьm•» bч RЩ aэ †3DтZґ @€ј¶:ЃЫЋжсX ‡G”t6 FAюf› Tg’ Iwiж¶ ЋIYЎб—ЧI6ъ 8\аBUе ЋUЁ IЄї‘Ђ“9 6 ь ~`‰tbjMпSrY‡ _4hRшjх=c„¤ Њ\E»И HІ cFjЎЃр«яуtpё =L№vЛ&lt;cHЌ`jйиHЖH9Fc :\f Zбљ =D&lt; N†К CWњXюљ y9ыЪ Fп¦…’с•eЏр^Ѕты­Й[ћЇЂ 3IЈ›Ѓ—Э XбњcG¶шзХ¬^wшRCИЛлOЋj’р†PYћ– IЂеЄ©· Wђ :… eѓ®Ш›зт `ЁEmтG7 Nпд @H JД ЉdbД :3Gv 8¶у A3 —6‹h«]ЬlЖD Gaў њ wehЛ cвяуdpГ qcБrЛ&lt;cHЉ —AйX cЖqЖ Qy°ќ™ [– Sж &lt;D†ФЯЛzЦнх8ЫЬ _d}uvщэЉЌ™ A• Z}«ќЇяс;Ц 4QC ‹L¶ЄZfёњЈ  ;кзA Qе эц^ `¤о D@•VЄЇwЂё n9‚„&lt;\z3Э”ЎўҐ Zм[H‰ZЖІіђtiTd‡н OЋ Q[‚ѕdD B6\е Dяуtp» @LыnП`fZ‡ЂўШИxМL™ —8v&lt;Д¬‚…Ѓ F† u@*ICйNк CйКEЭЗRa 7• O©¤џА wq3У№cXpчG ЊUНрЋqЯфZоvуRЗЩЛ Zа‘xa Sрж BН№mлъя«9ъifЄЇnЂ»I=7‡що†Є–ак @wV [о B э”[alґК“Nљ®жNУb ЌCz ^ќюќR ZЋ† RU Ia сМгшw ‚IВ Sи SяуdpЕ &lt;мЗvЛ WcJ ?Ё ]т 39D k}R¤Н†д« [qЦуы4“—Љ x?oЄїD ~scI[}ѓAFgLќъ AkZgф NцwTа^ЪЯB‹чгBЙ‰F brс d Ђ Kfѕ7&gt;m¶de o`[t jcаb 4ЉеQхr«WћхL wOзІКИх[87 ZфЎџэ:ѓ–kBvх®E EX F`e®[ѓяуtpѕ =dПtЛ&lt;cJ @p–ни cЖMПҐuc =jЃЧ]H·° 4C±DQЇ„sс FЫ«п:эя`ояЁ‰EЯъЫ” 4Бр»Рьћ nAвC 8Y cg@ “HbН­ &gt;p}ч? _э‘оc “MэЇ8Ф9 B–}:¬b PZ™bE a[5ЂђO­NP YI 7ЃЊJф 6zџ&lt;уЛїГsJћй CъtJкgFг RГџдЅ‡ GН› _€FђЄ@ |eДfеЈv \яуdpИ =њПtЫ cCJЋђbсмHFHЯW\Ї® 3urў°v“ @яјЯх*Ю ^®э’ ??5Vо i=ЎБY6­Ю›уiS A§ rb“ЙШДGыэTя‘ф{a k[CD…ЂБ UN Iё«MXl:Ж©ПlJЄ :ЗОЈJ O•Иќ@їпr ]Y·ЄЇwЂ™ –RЈЄ…‰ЙН [мњ3©ТZоe sVђИяуt`і p7Џp»`cH‘№ =ж6`ЖpрЂ e: JQr T ыД VЊЃ I ЎД…љ Њ; ђlMV| O4› @КVL§ЫPЗQgпkdUg¦U“Ђi †&lt;†” BPЖс Q± 3АP wx&lt;И4bеП {QmHк Q±К Qв® HЕ ?т FЎТB­Ч |eѕпёQ Rmюћ Y›ЄяwЂљw¬ ђЊ9Ещ‹–ъЁU cD¦{WM IТ? UAч ZЄМпН „&gt;Є &gt;z \kяуd`Ї o;MvЛ Wc ЊAРNс– cД ]›ђЭЧ M€A¦ќ p\з _qG&lt;N„&lt;Юбtмj KВЧРҐUb•Nq5_НАXi GГпРњ4|чFҐ_юER=№кы^цҐкZС ;ЛGPВ!4 ‹8OЗ—A UВЛ6›Ґ Ќ[пнqHЪv~ђUfUjNЃЩ; dИС‰kҐlЮн EШѓ N[Jэ—:ҐЦяуt`¦ &lt;ђ«xЛ WcH BA6с¶ [ДђІз·r `ПбIґ 7Z hPЈ yxk9  c\© 3‘RЙ 7K:bЈJn‘*jcЧk aъGЌ &gt;¶ i&lt;Ґъp t&lt;}yЇЅГUЁ м°9 VТ d8Х _j‡= md… lWИХ Cq SHЁф @b 9ЉН ^o_Q Zиj WP Qў•ЮКеАU ’WЗ&gt;Єэє kIIЃЮ h|XJdтф KU8иAeVхfSѓїY i&gt;УҐу:&lt;eяуd`Ї &lt;@§|Л WcI BpЉро c†N5Њ 9Fк„ –P‡YЊвЏ 6X9Eџіъе‹UfЇЯ™юНїюм U4Ќ WµM@Вa4›sзШЙ RТV &gt;@ 4Е Sа”XVт BmL}ЌХ `ґє ucфИ k]“wА 45 Zo‡ QоЃ aNл=@H“:лэМ 8ЉЈКPЪњЋ [№Є„МC Uh«‰ј 7fбяуt`ў &lt;h ^{ ЃWc GЋHbс IHFHs”5Џ B :г U„Љ’ BёЁр ‡7€¬аJІо&lt;”=О…Qќ~к [S·ъЬ’Jљл Vi№P CЂ ;[ћF e8„ i{\ЏEО &gt;‰O KЂВСo„ђуЭ68єEЮ Qf \m*Ж7оЩФц:зTWЄ°@iUZNЂфOЙІ­5 ’Ii«»ЪыЂЬт M† LИЛ Zf3|ћI©ґП©8d\8{У–ъ MsМБ9~яуdp° ;ђ3{ ЃcC Љt3bц jKFHsc–_ T]Б LBikЫC Oч :wЎ™]тѕпBD№f‘¶еЬ sMG5•С¦| C\6 ]&lt; 9ђА6 „]РГ IЃqF„ OxЃ FИHі kQU§©Ѕє 8Ќ|ГН TК§S L9{Ч R’}@‘dб `T =…¤±ЁЩ Z‰ЅEѓXур»Б akiБ cше°Ы dО‡яуt`® &lt;TХrЛ&lt;cJ vcBц^HD WА‚fЁ ”xPa UcЛJ© 8Л A©=®‰ N}•QЯ{тЉЯйC· VuTј 8!6DЩъ E‹уb” Lе\ CsA Tqd `i[*в«{w*_ &gt;7s€[@Фy‡Ьµ\€µ [ХЯ TUOВЂ–iJU[ leв [ќјnVEЬ †KРТT VhpЫЮ [м _: I?CиѓмIP… ђЂe§Р 6¤цлw6 7Ґ  ЏL™mkяуd`µ nSEvЫ&lt;c ЊAXrн¶8ЖH QuяЛ;mSчЛ_яьячьЦwй CМq·WЛ@p zR”eїі LЫ 9хтЈЃПЉ‹4@ґТ `Єс4 \Yo‚ HN o5Л} o&gt;°њYш xRЦп HјЭЅ ѓ?k”Ґ]Єїr 3A6 =ЙЕ 7Р; QvЮfѕ WЛиЧЫ оРлзй—ўHY FдG№К9 Oяуt`µ &lt;KtЫ&lt; ‰YЏ€fоVXFHС OРЙЬPд do 4yѕ¦ y9ўАЂ±З cbЪэЋ¦ QmПRk]U?’e ZZЌ· WH 3РИ~ъ? _Чк C 7Е3y wVyMЩгРЩ haЇ|жу} ђd; 6:|хD UdџxмT Ghџc cR—Ujј CЛлЊ† b&gt;нЇожRГnє ‘=ЋјҐњJДИЩяЫупћ\&lt;™L; MЯ UC ZDbіЎt ec5WMЁяуdpЅ &lt; НvЛ ccJ t4–ц 7XF•&lt;ў®ШЎgЇsY}µі=_ W‰n8УЇЬ PШ ЃOr WЌ€А \“sF€Ф „~Y—’ dXд*ў &gt;„ЌЊ }fF`‰В w\§BЎBbГ R8Љ–­5jЖЁ–П·Bѓ@ ЉK©U©H 5v ‘_;9іь eЎІЕ‰IFыb–x bчЯt^ЉЅ[э ^eЈ Lљtg3яуt`і ;ЬЩvК ccJ C` IцVHЂ fd…9†XЈCЏ 7Х{ Gџv9Џi TNМ ?єvЕR5·kќьґ A„}w¤ШЫVК A†– o{&lt;К™ҐйQЗL &gt;U°Y Aµ ]Hљ… PvбgyJO ^џСК{4±Lµ v3HЁk«ярTV ‘j=•ѓЅA `Њ щђ|х UHLј– D©s8Iт§[ WШ°Л 8‘єnF ;Єt‚¦ DЪ5¦E:`ЁЌҐе nPIнJsяуd`Ѕ ;Hµy ЃWbH tKFъVHЖ Љ\J?йoк YПЭ^д 6°Ш „Nf Kk± J`«вх•R^СЌ B­ЇSTж9›aз QЂШ±@м°} Џ4Ё@уlUЖ RDTУЫ5інКЇУ 7@ 39Ujё zDЩi‡И T›е&lt;Уib;R» Q^ Aж¬I”ь*Њї«р• 7}:О W€`‚X‚ T•K CЭљOяуt`Ѕ oOЛy ЂWcJ BЉс–@ЖLТ‘№@L6 p‹@vU B}ѓ§ aРјуиG @«_хWёАш8ФЬЁOi±є \= ]”–„›_йк~yЙїчkЛiџnџg—Ц9{« ^S Urк‘жаСmђ ]є©Hp Gsv; _­F5Ђ§•j® 4Ѓ°h‹AСЧћ[hЛ€Љ‚3 e€X ‰?f3zW &gt;RA¤FtИії 4ч®Џ Bћm XІзГ†\§ЗЪГуяуd`И &lt;dЧtК WcJ w4Іс– cЖ”њУЛтфу°т„і eђЁѕP“ 8нрЙ’J IY Rюг 5ѓ ‰K‡Rї±Д 9ШUfB G—fJќoй*ЇDЄї X«F XЩkLн№ DЄМmЦ§jь_±ИzЅЭЪП¶О¶ Ug DM[p B@КXH  _§†ЎTР {ZZ SF cиЖ¤pєѓЃ I–ќaуASВяуt`і &lt;‘3xz †VZ BСЦъV K„ґзM IB RpФ 4’G g3PTaµJЁДн‹ J‡^:*эЄ¦ч SЙNП}ІЙmШ ?НD PЄЏK c…L 4DЗP mX6ЖX°*кмЯмc†Ш:ьµй±ЅКкjФ”Ъ¶южл©[©· WЊ 9ЖrДфrЦ EГ `iй a=l ’vwBHЁ [‚HШВ•и Z‰fp ‰eCЃ… MЄ№ ChЗ”ґдq C™ ±BL[Ґ Vяуd`є ;ф3|Ы Kc ЉsKK 9^ ;Ж WЄjёЅўn›[L Dђў5F8 }^`рЊH‘o4z ѓS_ @¦WaTѓkNэ^ђ‡Hфсb J‰ GF¶д rAE3 wKРИdA9ЊшZљ TBИЙЛtб†Ё _Ѕ|µ ЂC•Z«я‘ЂЬІ [ґ®Ф K“VЯ B«Ј NШаЪdLfРU:Є•Ў]ЈU_Q l‘9Ў iXяуtp№ rsDtП&lt;cZ &gt;i:йXHF‘ EЄ LПw L† Uwu YЄpa¶aыuцЕ JлЊ GР’J {Pуј 8ЛµжйЮж|o9’ W“ VI Y‚…‰ hw_6ЛЕe}=sX©Њ cЎ„aБ €&gt;‡ cљТxЙсшJ_?7ілиВMХ  S`oUjn goSu OѓЕLЗю YфЭ€ ]К &lt;Ў AjекvЧ_SОњЛ†­ю_‘еЪЇNњPиh€ sp~{[q¦E Mяуdpѕ =”·tЛ&lt;cH‹щFк 3xFђбгЬЗз 98Ъ’ _ВвWЮ—nч =о […qFЄчh K5 M± mA8 ;ЉГв‡‹†’ j:J MrН An°І ElrЕ :4QИJѓ!7‚g Sx•ЎҐ“WґДћљ `@ШЕ \гHuЯ†@UЧХЄrЂЎ QEfFЌч …&gt;К\«¤ —ЉVТМтfqs’щУъ°аяуt`ґ &lt;њ«tЛ&lt;cH CШ Eн¶`@ fB‘ Ozж№QН§@ 7Н” DбфKµKy :±иy[ ’Bч U§WҐob nfo8ЦЈU|ё ;f9¶Ьb@ †MШ bu j‚ђ?¬Иќ @PР 5ен­з DЈ8qҐњнR =G YС ЊL№QIхъёЭэIт­kЫЂ G‰ѓHћ \:ИЗЁ Tґ±ћ”§Ўе OІtЇе–ћЫ QєСlЊЪsІёLЋ dПj:€tQ Њ6Ѓdяуd`¶ o;ЎvЛ WCH tc~цV CDHаhЦеFО 6nq\э LьA†чт?я; `яцю TU}5z jSB’°і 54СзBҐ µOKЋЕ 3T dг‚х‹ЬЦ l&gt;5Зд¬ ZVЊ]•Е rcя7 JУџ©Фt 3Uћ©«n gLp6R‘–_9C­лLбHСФЌDПUІ PSО]јтҐ tJжчЫ¦¶ыь Vяуtp° &lt;¤Лx{ KbJЌЂJсX KD W№Ім«ћLМэ D кАЕ 55I8ЛЎ•Шэ UД&lt; H‹~хштkяытJїИТЄЬЂ WЊ Ѓ;† `A v3h Ђ=ѓb 9ЂC 7^ EK‡ЬтVћ¬ЉZC6zwHа wWZTL Pz &gt;h¦§­iµHњmz ^aй \Z@”ч Eu{ё pvgF|ч 33yXF5 :R rw@ђ 9ЬIа  GbЕЂ 7Љ hA&lt;ѓ€ 4s­яуd`ї =4ЩtЛ&lt;cJђ ЋUн¶HF 36 Љ]Р}bTП lxg{ЋPYЯ“W S•ыЙ ]R9в” ]ф­*ѕl j|WДѓU L; KL \hуШМЧЃд &gt;pЄ &lt;O®M Nѕ XRХјІv­·Щ LД ѓ=Ь aЛ b\UЧ7R@ЂµZU[ґ @&gt;ВО 7Эq y?*Дcд &lt;NэЕрb‰o; D‰–Ј€ 9СCёBяуt`§ oj\vЫ&lt;Ј zt;†н¶ KFHЎV4ЙDлtZЌrіКKнiЛ7~Ы*яоjЯячяэwю4ЯяІJЏя«жАX&gt;‹ SћIВc TВ7Г“ FEФ kЂaшBНЪЇzD¶Yxѕоz?W|R­~вj Rі&lt;Ол s3PЇ•«rЃxC©8е@_§f St№ —n‚„u&gt;ёB :&gt;e =y ^@j fW‘@ 4ѓ uq3…Т {mAёЁМИвЂ° ’€Mяуd`№ ;р FtЫ`Г 3Ќhjо6HFH E’¶}й_Ф¬Є DIґ R­ Eµ;*ЂҐT–ЦЉ ~r\Њ’О \xхBЎ G&lt;кИ MЭ…юUЌBЪ°aб |dm’EK bд EЈ Pz”qЦ \я«ѓаЪеjњ  ђ~CЛ :O _zќї›О T’ „=•°ТЄVjц™ Gµ ai™jDИOЉ7J‡‚Iаd fw&gt;&gt;hяуt`¶ ovVtЛ&lt;Г xAxrй¶XFH UІ UfЁD‚ум{ a[«ЦY€sw»±lJҐЖЉЄќ uA•Lф ZЬ§‰Иf8:ы 7© F^’o­q‹ RKЕЦ ‰5‡†–ѕDВ›ъЮєkЕя§[KЅќ5 3e{•Їw 3ёxњH sЃ{Yъ?&lt;·№Ўє ‡†`јшg”6§_№~]щK4S•‘ G§ W^XbІqjKњБ‘ I _Ш E… 7„оzѓОяуd`Ж &lt;4•t{ _cH tS^н¶H†He€c CkFЪSЎ €Ou6Ыnд 8ЊћZбћY &lt;° dNљФ6іБгJ&lt;N †7¦ 7K&gt;ґEЗ K‹ 3^йД WгљyJ№п ]ъЫ 3ШЋф_^6YСT fW“}jЅЮ 8€ \†¦FњЁ¶W ’Jj DЊМ bє&lt;v ѓ“WjС €zJ№°™гм ’}~m’DDЁ‘Ђuяуtpѕ &lt;xПvЛ WcJ B†ц 7HFHЌ|ВRkк*ъЫaп I¬В WЅ VJя›ЂСд ?E dЇчtш jSіk\ЄэгDюќ bм» V; `Ъкґ[…љJЮу‚ “Џc&gt;н94•oтГМRТчСЭ@‘·Єїw 4Ѓ IR ‡&lt;} Eч¶·Ў‰ 3c‚ vA6€і wWdGOіС \­ \z‰d3}‘…CT 9°†`\ Is 4° c@к\ rcЉ*O &gt;ъ D»XЈFяуd`Ж nGGy ЃWb ЊBЃ eцVXДђќкФЌЃ• :љZ№p Dф x&lt;«љ XРЖА HІv| Oњ q=fHыКЁЂз AX°Трeе\Iг D{ ‚]”ѕСP 6v XЏУ bМZµ} D@ҐёўWыј ;dА† _ґ¶ѕҐ~сїёа™H DиВ]3±Z J№йрИуZх№N; NQ‰чС*Фчі €W3ќ@¦Lяуt`В &lt;ђ«tЛ&lt; VH B@Љй–hFL6P fЋcы 6Љѕq‡іэж bw§ЇШ° Y™~њ 4a† \@6x }wЂcLЩ W…а 4cI± de TЦRoД8«n«Vљ9Ж›±ёµ¬ Wzчzх B¬± C¦nЄЇs g7Ё ^P†– IэnчщЏE€Z SЩєГћФф=Ю c6vcM AfFj¦µј‹PзmрјH*гк pyЊf5@e b4¤@d;v I*Gе ^zРяуd`Л &lt;pїxЫ&lt;cH @@ AсЋ Ћf5‰ tЌMїжА[ 3ZYs·ю Џ_еҐ [[ DQЙdФтхM5м G6Б¤л vLa FЌ ЊXgд CµdЦЉvї©е}›”х_‰ 3*e &lt;U_б uyz:аХK^Чv®†j§B ЃLкШy¦GљРlOє LжLжW’зl§“C \яћЫ•у \С‹ W¤E –f?‚”яуt`Е &lt;&lt;іvЛ&lt;cH uKЉтVHЖL 3кb –M‚ EZr kO†С‰Й XDвUT° m[eUгТАЁє Fє’ €ђmkQz 5Є: Zs Rpd SХoH} &lt;j LєSХпҐ R]oJЬ H=SFхтѓ 3e*Z«ь ]pЂ¤D G• `р:ЛWvj†56¤ҐaHµ‰:‚њЄ&gt;Ъ Pбеjxub‡KbLФK c7qRЇ “KГ 4Ўс L’ТC‰=о3I Vл–*Ђ™jяуd`С &lt;€ЕxЪ ccJ AЂbтV cДHы ‘W—dЌUтP8€FМ _8 yi}–y{JYЂрД4 \sNєг€S U¦|X›K D:i ;`Лs v“?8лљїЊЎvА _нИТUч MUьЊ @¦Т JЈ­c—»m№• g‰_EкгКОњ •‹U†wі†dS№њУ®Н~іfшЭ V_ ar `уж Bl TзГ3яуt`Е &lt;ЂЎxК ccH B8 YцV cF 3r&lt;дzЫьЉFJ~eеоҐo¦sП Fс« W–еm¤“’Ѓ i4Ё t_љ €]“ 7M&gt;°PЄ &gt;†љу­zSHУЏU®є« AЌcY§ Z°э •4PН­ Pс I–йRj–«n 4h =• OЦоп[Jк cЯ‚Zj dЮµЇ›‡FиЅГФэSоyФ‚Рiј&gt;ЦКЈk ЃBЫ@ЖcХиѕлгBх€=—лЬуяуdpП pTOxЫ _c\ AЂjт jKЖH&gt;«ч_Е o[Л Ni ЌXЂD 5ЊQDѓc EГ n…r4В`№EИ ЃKфШvЙЊЅнц @— _Q HЅEЬ¬kRҐЅ ”Kж ]ж­и\ \Ј 3{IЂU—–«n 3ё”ШћPЅїћ[Њt»6о¶ —J|Ћ\я№Фv [T z9: &lt;wE6vE§ u_б Rзы Rд»B Lxяуt`ї oЋZxЛ WГ GЏx:ц^ KД WaШќђчПђяПУПИ StZJ‹zlєД iЏ4µ EJІp ;P8у›D 7`lю&gt;§ 4† t9FФ xBў dbъЌ €[—Ъђ›­Ж6‘e›@b Nя~^є[©&gt;Фф„” S€»VЇр‰ K…э _¬† XSЬ© Cџсђе°¤Сiю‡ e&gt;nFMЉО PU3E^’5AU9мI €@’}4 O€YV®µUОГYq©r dяуd`К &lt;Б DxЛ WcZ Axrн¶ [FH§]Ѓn O6СAv«›JS X:‚ EЋ6‹4¤ 3±cіgc U®w kLЕ ]Ъ=XѓФђаЁ¶|QґіS­f©дТ›ЬZ SxДЉ CЇ~Kо©NgяI°”љjЇш!WdQ· _6 Hкг KНн‚8 36R SЊ›”њМjbBd‰!7 ЋVGzH G§ _^A a‘^ 3яуt`Ѕ p—Dy ЂWcZ t3†тV cДH V95ЙЎ: M› 8R3 jrKѓyH¦r†BЛПЙх _‚—ЯRўhт MIж X›ЛR kzW’‘6Ѓ ;ЇЏ® yUAґхВ 4Ђ&gt; A¦щҐнНЦц\O©Цй3г¦ ]Џu w=ЧM OҐ§ MUыђ ;gHлa`]шхОЇXёкЪ &lt;^JХA• \~ RDЭЧZhйЅЇВ•A¦ 6вRи ‚’yB¬и€Ё€ъ¦Ц \b KняуdpЖ &gt;]3tК&lt; VZ &gt;@&gt;еt cD XЅr a’9ЉvlRH \9ZE Wќ […F XаarЈa TўвЎ Љw=‹ДФ^Ч ^‘z 5AХ№ VTЈf bN\ЗNы®ђc¬ІђТXфЮЌ`Dєя«эЪ jcШ \ Gln›У*&gt; ]СіЩs¶ж3РVщцo9э^‘jSЭ ?—Ъ¬дМ»У7їK8 sj;pяуtp№ o;ЌxЫ&lt;bH A€Fо 7@F WЕ `ЂїЏкЅѓИ‹D4&gt;л~Х¤’ЈІ5_НЂp TЊз Щ ql_Dl WD±р c? JSД…NPёЙЄ XT ЉuiUwЎЧ9H4я RVг€°фҐТЇ•wГ QЖ [РЌҐZ›ЂJ VДСЉнЦ’Lкё®u\‚K 6UWг ZП?&gt;;Sоy™Йуc№w cnл’ё Vй™›I№9»СD„`шp DюsюлҐрщ”яуd`Й ;ШБw N&lt;cH BxBоV cD ЉCн;nQъя]RѕгJяvЃ†БГ A±a5p†Мh‚ ?’ЗVj8­в’а}‚ ^W o7GЏaЂ &lt;`Ё€І¬h &lt;P EE LЧиgЛИ¶М8DхЌЎ¶XHҐ© NI· W 6©Г@є ‡&gt;й:ТЫъЕњЩ =Pe‘ I№•vЙ¬ aэ‘OE±sР ћн ][c™цяуt`ї &lt;Ќ Fn{&lt;cZ CX‚е¶xDH9YщЙ» LШ– KYЌ hxFЁцт¶DыtИ›©ъ6 \eХћY NmЙh Oс•Ieв[GК MЭдЊбP cuу †m‡Џ„cuYжuЬ© L„Ф? Y·VГ­оїF ^]¦™Ян] 3•wb_ь” ;EB;Ї PQщЪ d”ў K\СPю]VХіт V™ЪzK•S‘Tб¶Пb‘FцҐ \ђRS UW­“›qЉТ• =@ Zяуd`Д &lt;ЁСrЯ&lt;bJ t;jйѕ cДH…ЭҐнТKeХ=@О«EknЃ Њi8ЌїґрРѓ 3±іЈ 6вЈАCљё _Љ &gt;ў»цЌЉ•’ s&gt;ёDulДл eВ ЉM·5ъ bЁqі©ч;»oЗЂH• GЌ6д–Ѓ@О [Д Oєќp›5 MxЦµs}й —xL”МНњеТDLS’G‘њХ Xєыє Vщ =Хпяуt`№ ;м±pЫ ccH BpbЩ¶`FHv• JќхХ*µХm[µx SK MШ№у 93 F« Dн ]E fCmСґ›ЋP cyЩЦ¬H&lt; Oч™’ 6ЭШpАlaР N„ 6ЮДґЦBя©¤ acч &gt;еW uEШЮЇ‹¦з3~ћЋў@•kн· W” lfEИ OноPзХ¦ј]pv©d¶mHЋМъожы·®н­МГЗМмј Wьц Xн oXґ[µ [[ GтЄМ¦ Zcяуd`Ж &lt;Н Do b&lt; UZ AЂjЪ^XЖHZiњIР» _µ Qѕ„ yI9Ч»Ђе E© 3ВбўЃuІЈ Ќ@“ CЊ\› |c‰з_zТпu—…м_зОQZ=чИъ^ЫeЩF¤®ђ”§ EI· X  {4К L…‰Љ e’ M—XО ^P’ ;B€М€LBb CVчеWЦ¦ЭЮ­*ЄыhЃ… 9qІНK rcКР Yяуt`ё ;ріlП&lt;cH @Ђ QХ¶xВ fYVHe¦пm®Ъ„…W KJЏ J• 4№jA· XАJ 7ш jЌp;Pf ѓ4ЎB лDЃЖ±Ї±З|s [ATд© |Nо°V FТ5шїЎ8ІУСЫы ]–M›i· W  YТd 5€эDaЪhb¬ ]ч 8?ќ OCУ‘ WЪ ]9”c A`Є_qЈ c3^ы zaвЈХmТEО &gt;‰ xЋP©µР ЏA± bbлЯя 6’Sяуd`Н &lt;ЂЈjЯ&lt; UH @А aХѕ8Д 7џG W–ЭАдрS¬Ж”бИыHFZ&gt;: Jz{ U&gt; eД ndbд Kќз bYХ±л 8–Ѓf&gt;Щ 8‹Ў№т R_r HЧfнНl«РAw Xi· X  PЕ SиU^ =жшCT GЖцЅјЗщoєcщП·—Ы Lщ LЖ 8oІ_нmU4э _‹юпЩ3 ‡=5©Ф ^лгµ№яуt`Е o7chЯ`E6 B°ЖЪ^ cКlО:Эт Zиў¤Љw W–Ыш E8ЂДЊ?—3ЇzC©z P№ xFeKїкM 5Є Aґ•ц EP &lt;МVі‚иь „ЋNl[яDкТ8AE;оcЛЂ W“ OM¶Ь’Ђџ W… dp ”bЮ±U©Мр®}X Eю¶ h;eд}“6 }“Q‘у]чmђж6©л™yіswхњй hNj UЛтВЋiT \^”Уwa•Ц’ e_яуd`С ;°ЧfЯ&lt;ВJ BЁЖЪ^`Жld–Ыv 5€ jUP­ 6aoђ“аР\ ђ”y]_8уP5 \Л¬ rAЗ =®Y‹ =ЃB •Gћ=aT“IЋ®ЭЙU5п“¦ЦhyjЂD• _n9 W¶ЂU‰ ca `ј‘qќп ?шЮ NvсгЙZїжіЗo= EiХjrлхKїGе{PїъuФЄ H: CS`Ц­Tяуt`З oOУe b&lt;bJ vKNЦ^H„ ЋcВфb Wц5љф’Iџ9 W’]@БTЖб EMЖџечэ®оЇ™њЖчЅЊ_€М†ХWцыk¦‰­L ѓAћ;w E¬Ъ|»фUC FС[‡HЩbrФ 3Z‰[mЙ WЂ \FёbAR±ЖR9W YкµGOщ·t–ФУ …OцЮDT f?mіПя5¶щ‘–”юы n~Oы} ^zаћняхjЪ”к‚rя TOvчPяуd`Р ;ДУi b&lt;ВJ v4VТ^xДђJiZЫ EI Џ6‰f aЁЖ­ Q\ {y6ЈјW”‘ €GчDы ‹zPeя:\±µY 9S ;” ?иРіЖг;цЭdы7Y@іЅ`VеkmЙ XЂ {&lt;Mї E¤¬ЈZо J@’ЉЮB •‰98bШљѓ¤[!cѓХ®TйжШЇЭ ^лРшЈ«SuЦTї XхэъкюЮ ;яуtpД oѓJdЯ= 5Z AаІО 7aJl Ќ\]}ЋЯЋu 5Э aЌЗ W” oFW b} P™ЋІсL @8№ 5¦uЙI’¦“¦|e :^‰ытнOЧИЭђ hQЧ –ђNІC3ъЄRчхІ«{ O° IҐ4m№ WЂ :љ W\† C™­Ш• ‹€lblЧ G§V&lt;«uC eРu™•Яяу TFек 9д{·їє ‘_:3 Uµ ^э&gt; ;[Tоeґ[mWЅ `\ aТImґяуd`Т ;н FfЯ cBZ B‰^Нѕ`Дђ tHЦЙDКмзс3 CїBС LЊ†5QЧg 93ыЄчўmіj­Ь CQ‚5як•ѓҐ ;[•ЬлЦСФЩP¶§х\&lt; 8kояqЂш5 hЌ&gt;rЖ«мwтй№ UЩЎ¬кН UЈќҐЦт‰ѓ«PjYїEц K‰ыvкКЋ–Їчќv3Ыяl QЛпспxЖШъяуt`З ;­ JdЯ WBZ vL¦СѕH„”х ?{И SU”‘6Ь’ 4*ЊF¬E‰ :yчїђ _BҐж‰П¤Ћ¬Ч `їЇZb•·нЁНтё T®°ІЏ _d ?5€¦Ы8 ]вѕ]РЪЄЊЙЂZ»ьG Xђ 9срAљV ZzяrEѕvЬМ€X ]rdгФкшсф 8ѓ¤¦кїяЎМПхс&gt; —”DЁ”ngф c@чпJЅЦ GЙ €aљ 8љс ZVї] nM· cяуd`Ф ;№ H`Л&lt;ўZ CYbЕѕyDђrI ` h Cд KУuґРА c@qЭ e№]YO Jю}ЮљmїсМЙмѕ_ \AѓQњь¬•Ф @ЎЪEX°ФJ ЉFФЅcрИўмўLk¶лrI `  Tѓм s`]Љэьуw V\pS a¤ШЫћm:пL VZЫшпяЇрЎY \эIж“jцичјиыиЏ e[Їlяуt`З oSщbП&lt;вZ CqbЙѕADђMЁЇм@»”‚Ї3ѓ9 W–Р= ‡Ѓ]Ћг·Њ}Ґ’ fPіт»mМХ;ыСЪЧЭ?ю^ЭѕЮ°l @Г»Цnд Rч_®ЈГ &lt;\Лљ›ћЬ§¤ H¦Јm№ W D† GєћлШѕУk|Ќ B†  QЋпgМµ CеD ]bАb K«ПЯЈ?з; RУзђСNtr  4‡ ѓeyе 3ѓиVлБ­Й ~NЯЊN» `ЮXяуd`П ;‘ JfЯ —5Z BС^НЮI„ђµ WіY `Ыl 9ЕЪzyв MчAу Ђ{3ьЅз›О®”=є {n?яїъсн=ју RW8uКѕ [µ° [ф {8П DыпYВЈ Ѓ]хЬY‘SЌЅ:ЄU]лpёЯUя WM!3LD€Г 5n E3 JHоіzЯ^з lGk§±­лAЌћм® @uYч ;sј—Жїяуt`Ж &lt;XЇbЯ¦ ‚fDС^Ц_K8 3П^ RaћpПєТ® UeUЭ4mЕѕF ^Щ!T _m’¦ Dџ Ay AЂL№› S`Ђ“ iDF WLЮ …[єЕИNjC f4ІFJ Fђ…‚вк‚АёеA№п†*я™Bў ‚ЊЂA+яЦХх kGўqЭw»MZm№ WЌ° 9a ‰oda‘ХЬO A‹Хђzыёе ] ф‡ YС Eе‡№°з VѕђћЅьЬ*ыч wOЄЊяуd`З DЕ…rЫГ Љ3њZТо_ѓ@ 3RZ _{ҐBpќ q6В ;zВЗ Sб KГDpн‡Z»рЂј^т ?ёґZЮYЏ[ QLESЬЊїэ;*яё¶сЈѕL№ CD“ Wi `mА;f‹ X3ЭXIж7OЂ cHa Zџ yU4° Gѕт_XНС‡­Шян§Л P©№ Oґ® *g¦¤Ё :H‰ EАяд 3A Y 8яуtpB 9ё \Ѓ ^г!3 pf5дНА!3В@™ TT¬їbvЫэi_ sXЮЗ ^СћРы–КJќЦHeZ­¶дЊ B‹\ †EИДоX;Ѓ :q© l`§ UЅ^ e!aјГ `©TµaM 8а W­В TG’fs9 DЙ°Є@… DЙМ H’‡uf `\Ч`к—Ё¬kАШВt BY ]Z¦фc„J CPЌфХЊК;…Я `=т 7’b jeЩ 7Ѓ7Ё@ KLlЩ 3а H“ЈAVяуdpw rTMrП&lt;cZ… feв j5R 8jю BЁMГјмЏhцf…G&lt;f6]&lt;‹QEє UТНХ rX»_{—КGщj @PоbФђс T5б¬жіЩ</t>
  </si>
  <si>
    <t>Ё kB‚Љ —‘_мЦ‹юm _E‡ ZBій YљtЇtХ CЛу3u ]\¬У Ouq VqЙSјЫ7tp¦ [R QщYjј9Р¬и¦=лЭ_ѕЫЕМ…]ыFҐd ‰[eЖ ^‘ }’`KІяуtpџ ;T dy Ђcb ЉA9љъ j[D”УОП–№RИМЎ _П^{– ^ЃТ S:Т AeТC Gўи GКЄЯe 5§ЧпH}F;юэИ m_jЏ™D ќ•‹ 6ЎaѓЊ ra–V [‰xєЗ BxЦ‘ 7д CРx Џ5 sR4m 5u UЩЖ :™№uЕЫ·ч JнИЂА WљлЄїрУЂq „PhнN9sLќ†4’{є™ќ Y&gt;ґ;uжЩЎќ UП [kЬЏ VlІхяуd`¶ oKПvК ccJ B :х– cF WЮњљ‹ CЕ 3”„Ь ;їјYг™Їъ©c4t‰Uu58Аl Ђ;6тцqЄ \чAlОоъ‘uЄ¤ЛjП ‹PwЈ|€фЈR¬~eYР©UlєЎ·dІщfY aШ9·Л cjѕЪФЖ T€№ 3QҐХЄш ’ѓ–Sh‘Ёmл¶ ~x&lt;Н3 ‰ySLҐЏ™\О™эяуt`© ;¤»y ЂWcH CСюн– c„ґНЛ©NCќ e|Л [Rd Vi…‹— |9IЮ b•Ўкs[Ђ TuJy @¶СдUЇюЄЭ`3… ZЏгBb SД`u¦ PЉH… ’WглџK 8P WQrСQЊ8Upt?«¤FЎ€~\[оП№яF9ЗфjH­ejЇ 9З Cg R”©хj—Жь}В LUмПF;–Deу“хп ЏNћИ’ IY ‹‰=‡ 4вѓњ S’ 8Аяуd`і ;€«xК ЉVH AШ^х– cFH‚ѓЋ­ 4gЁєXRA«©Г _mЮЦњe•© `_em6г° 9М E‰*HbkT ‘gsrf4ѓА HAЪZMњ LbТ }F‹а f^Ћџ SЛл„ jVД5АПСM &gt;о Gsh=‹ЏЖQ =ЂҐшвuыђ ;Jѓ PlО—ќЮЯЦ YЂ™Њќ¤dРФІЩ®Ыu·Jяуt`® o_џvz ccH CpRщѕ cF [JЦ¬¤Sўґ‚`RFВ B:Ч ЏmnIK*¦—хЛО©ЏnћЛ FUDђ Vqѕ­И fSbГ№¤ Vш 3pі‚бpЩ± Tрn”ЬC c¶йlЉЪЭ 9‘WiY cтuЏzЭјn­Nю{Eu LD“nЄэЖ jG‘ wXЫjуUсэп AХCтBкrН \т™ wZА©н‹EkЬ†™_I!?®W AцT; U: TЪo¬яуd`µ ;lџ|Ы cbH @иfцV KFH»ЇYяF^«ЪЛжй·щ„хЅT¤K’„ыщ!Kv 5‡€чл JКЕњП U…d \їWw&gt;І L—µI[лfЪ™ЛІ UШЖШюм–CngяЏҐкLKbЧ«c3JЯl8•{ MW{¬ p|;н¶k±M ‘\ћДD “DЭ Aќ§µ _Ќ{9П|і ]G @њ8yЌmяуt`µ &lt;eCy N&lt;bZ vdЪцV@„ґ `&gt;— 7Љ›I‡E ?„ MюЉ dX»s»µ CД AёЎ ’?ЬjЇ’ 4Д¦ &lt;ЛsпсЂ`жdјcd„`ґDp…Ї^µiµд Fµ “5„ {IµJnзЇР=л9Ўї dё{kJЮ“ †Љ6nV«рЗ 6е‹Њ dњ­Щћ® BsЉ*¦roM Mg u^ЇK Z№ HЉчt”КшҐ…Ќ C8d ~OЙрКMёђ…i YђРђUi=яуd`ј ;4ѓzЫ _c8 A°nцV cDH IЁCїJ®Y A~–™ HЇйZё abеKЗњ‚†УTё{…ўG Љ]mFo¦oР F–т 5ъпvТNCХ_ QљяoўЖфе@ҐojїqЃc 5` O;ъБ*kTЇ cќ CДЉ &lt;”*€¦щy Dя=OҐi¶zКzµ YQРТШ Pдyъl· qWЪДоµцgпjяуt`є &lt;@•w ЂcbH ?P^н”HFHю АЇЗЫз E~ eЯ^яЯнEч¦ЄАµ 7@Ш ;ІЊђA —[№ |’{;†Ц ’G¤Т6 ZtСЫ &lt;P aPH  VНєµЪЧЎ `їtХ MЕТџub SҐµ UUыђ 9в G wAсu \їiІ“D¬ oTЦ PЮ4цFшу €WIяЛГфiйP P¤ hWЏЖ`YРћЏеiлЎЋN –ѓ`y– =R”ИЁt ЏGZ [C =яуdpС &lt;ЎxЛ –VHЌр MнXHЂ 3ЬМ№E© _jЇr 4E^B Ц b†a M›’мHНH DК SС e—ІuЙ¬zи F5 4qw TУ ‡5ncҐ c’6ЌШ H© P№dЫЎ —S\м 6U`”OYЇr 3R ’3Тё‹ltЕзсa@†pЛ›j™ SЬзZiыШ N‚3Ru ^Qс Lѓ U3G‰ =ђ x6Пc 6Тiяуt`З &lt;ФЩxЫ ccJ vc~тVHЖH&lt;хDЛ |KМ&gt;zЯE Z59Ё­fє•©ё!:Д WЁ¶з5ђ€@№ HJ§шЦ‹ qfЏFҐnU ?ЗГ FЏ xMєжј PR” ]щ DЉ¶To@UvЏ»µЪYЏ… WАЭ•Z® ?? gTІdV eјэti 4їMvRfWц§ FХU bм*­Э wLyоз­L @ҐѓsК3 _H ‹c!W k”B¶аЭSМЉ=O{Ь:вйяуd`К ;ШЃxЛ _b8 B`‚н–HDHР‹СDЄ§ †wni&lt;њ 7GЃ@ђx zaг ZИЏT 5RЖ D|8чЅўащqГ‡љ 5“ ~‰v}Ѓ;© lDL :JХ ZЪZ‚« Xя iQХ” AЂ­aZ® 8Ѓ O4A3wZОЫн8µ t5f V…ќdѕeXЌWы RеЬЧgзo ?VA ‘ahсЭ aДSТЩЭO ”pPяуt`А ;ј·tz _bH Cђ Yн¶8F 3EЫ BЅМB JKRз 9ќe MOмг€DЖщЄь _БҐоЭЉГЬ N† aП DСќ9ЖzS ‡A“›юъ‡Ю‘tIёA&lt; Vѕ e‡}{Осе|Ц›ьО~јгcyЯъл­я Bяыя­у`H— NєЅЖ lnMEфђ “B® [ЌКІѕ z&lt;CAрМљO =ЄUнI D`э*ЌВљ 5ЁBЕL„I7 ‘=•ѕ3gq¶ЮN±яуd`К o;Щtz _cJ D€Fо4 c„ X3PЂgф™ ;ҐЪњD”“`r ‡Lj—OA MлQ bpeNjb„¤ C|4 NВ†љф¬µE’¦С8 g”gAџcac‚Ў–=К[ ;фtЅH]ёdҐhЪU{p 8Е!Wb dЎ ‡SЉГ‰ugQE &lt;«ћ 4± ]оgЅўШtў– _KЁЌЮь¶µ 4jУ‚[Ћпr|яуtp¶ ;D b{ N&lt;b ЉBЁ~нtHЖH@hХswШНjПэµиЄх}ії*яЭп eЯє 3¶Ид¶Ъ 7Аc CЌЩ° Y‰„ Y… @Ysћ Jв­ wZc9 Ѓ^фЮP• aNЕ¦к HKлqћЗSC‡ЂҐY©¶дЊ 9і cG …6хЌ©‰eЋ=ф Чх G8 vH@pѓ &lt;ў°ЎEё@*LM’ЁA jca@ Љ†=`Щ AџZi’C§м‰ ‰@v“ ўE©v&gt; Tяуd`И &lt;ђ ^|Ы WC GЊЁ_ 4ѕ Ћ9HЫJМF @d€”Й±‡ I‘Ж EДЩ &lt;M JДЛl MVћ—NЕ=М :НќoЅ 7іЗы :зНG 5x GcbА‘ onIB k‰WИ@† UУТк [@хZ­· WЊ ;с ’EaИAжAЙ» Kk–9эЛsЄ a№·=оu YK~пXЉ YН 6жрЊ\=хщJ«ЫEuяуtpГ BIKnП&lt;fZ… KRЬдI„ \»hМ“нЦ =Й”ЖђЬЄ!`{В~Дщ™пLзД {`ШЭiЁњ»yу RЧmъщќлЛ_Яt§ dYЇ6мR 7@H o;Зpй38 ‹= T‹С\^†к KЉ 3М•Z›Ђ`Њ CXt EЩЛШк‹¦Щ] R5ѕ?§m C“цv·МПHНж;мD№ф6lc 5kЈ”:{nЙ Dз!SlФОЌЪdДѕоv¤НEDяуdpЗ sXApП`ЖZ† 3bЬМJFI  XL …=ђ QlrХxµGњ eХ ea 9®f’lЃ 4:™µ=B|e9 XµEaw 3‰џhIфіlzЗ s&lt;€ ЂHЎЖ sЂt3M ]@ eј°kTКQJџШ aT¦–«rЃ‘–ЊRОЫйZэк”C8КОМ‡BP„ &lt;3 ]Х =eп =шGШљЦ Zб;ДG§Yцfa LяуtpА =Шчr{ _ГZ @Иfй\@ЖH™pз„}‹Ўї ‹L‚f W&lt;ydO‹†4 =fзDщЃBиLъ– _’њЋ E’Ѕ‚CjЭ—Мг c€ dЕQТ aB rt”ZrҐі:F LЩ7bм‹5њ›Н aгdСE’mЊҐT 3•ХЄїnЂёИ cJ y–wщ ?¦ЅK Xл{no@аУҐ{vрУСщспое{ @·№]Nbљ i“ЉVN \љD EjШЌwЁnяуdpЕ =XЩtЛ&lt;ЈJ ?rо 3HFHК*‚ cГAГЋ S‡Ћ HUта J‡ \f dЯВ Uў @z­J@9 k&gt;b Ђ‰geq —Vuv­7¦ By ‡KЧ R4хi IhЩ 3=aсЇ{ФlФТ Q\Jх№ћжЅ &gt;iЎыпХРЧйPf№Єїs gWB°А”lФ¶нЋФЩU€ I¤­™И ?Lџ’здoa |el &gt;яуt`є =МСvЛ WЖJ BђЋй– cFLzъ YLЦ† dF ;ЊЁгіT 5|Bd ZXWS _¬‰pMm¬RўЃ UkpvЧШЌшЛц© &lt;Ъ•©К k6АЗyhO ]« ЌЊTyж’БDҐф NУzУRЛc “wPэiV5 N`rЄЏ‚ ogrdѓ№]Чы FIУй} pNUѕшNЄ fDb«IР FњA`P”…xCЄ­m… Aв±}¦” OзУYRИ§Єќ®G¬яуd`ё pKзvЛ _cJ CaNй–HДђ”J Mу TцFI OЉG npHЭDЋWvhДјы HФyюҐL— paд«я [H YТУS 98 3R &lt;дуH o`°Ы» Xшм… @XЁ*ЄIj§ L‚C ?— Wі@кЪ° TчюKR®кц y@ЇфiєІ 3PrUnrЃ i4… w{L®щmёt \q Fх eb4 R¤є»;яуt`  oOНt» WҐJ A`‚о6 cДHК”mЄц“Є*І©YЙ U™ r]¬± CђбиB°В†H•{€=ЄR „FUaµ±rK5Т…[И;R kGУTё n4‰ CJµНpШ»yHY =щк{ Duod© MЧхm aЦ­Оу¦TВ‡ av bоB wR&gt;УitzЏ\ЦZнgbэN ]TіЦ«w fQиђ’¦Pbїћм O…ЗПrРЊ| Sd®µЪЇјж5 ZunДяуd`° &lt;”БvЛ KeH B‘^н–@„ђ ^Uђ9ц&lt;4х‰OЋdмв u{QnсЊKЌом` PєиuyfЛР‘r9 MM№ 4… UMКz4@ K§pщрh«tъхЛҐ¶4x G°бзџ eMД U§Цqў© }4Ѕ 9‡“B Љ~_ъЯЮдУ bв•^Ќ@Y–кїs 3T jN› aЗ|ВсьKЗ†|ЩЗ bряуt`  ;ј—xЛ WўH C`Rъ^ cD ЋX\‘ЧО Qе u”Gн}om Vш„ OQ† M3 &lt;g» iUаР&gt; 6‹є {~;ёСk™­®ЙS Q»mэU“ZїџUьЬ tSx…MШ c€шџ:Ц \` \Sо— Z}№7e”зњ{TA –`ип{х Tй XчjzЪ‚ aEчЦфZ° 4?­JP †cВµ ЊQch‰R @Љ?ыLФ†шr‘УjоSу”§sx\{R [“яуd`« &lt;TіzЛ KГH @ш eщ– cЖ 7¬Йtцp @ы 6ЕЏ ;ВeђдЂбёФпСZџ®ѓ =Щzх’]Іg FnoАѓEwЬ ^© EE _о &lt;К |OTQsТз…ґУоВзћ=З™ N]KЬяb CлЕ»Ќ W«Жўнњe wЋЉJ]Y©К k@ў ]LН \б‘ИIXфё“f§иX5ґэ B‡йb3 ^\эяуt`Ј ;Д±x» ScH tSbю^ CДHю A–€Р&lt;И Gи©3Б•sЛsc‚† k&lt;ыий7чъ: x36· 6–ҐАT8Кщ plhKVDhP|”п†АЫОЎЉЛщ”Ч =Џ»„ѓTlТЈзптВПOrя» J•ХZяw g]tЏ¬vЅГ¬фЭ±fїЉѓ¶pн K” \юO”k›еI Aс… xg\G SКВG`Ч v_ЕЗTR ACхѓ7U O”IМы Iяуd`· ;&lt;‹y ЃWcH s;rтV8FH HЂ‰ jQe cѓтH&gt;7mяU ?€ЉJИдL8жа7Б JЏn ЊGa Gd SК A 3ҐO M= &lt;?m… aЗ s|G@l z9Е*…8ў &gt;]ц \J©нцЅuлйQХо`4 W6 eaн‡]ЩћОљG ‹bИЯ Fр°·&gt;Э• `‰ѕКM?KJ™kц GЏ =6 [яуt`ј =HйvЛ&lt;cJ Aрbц^ cFHVЙ7ИъLЭ•l‰фlb 6В’м®elEtкйФJnїЄ›™ 4pи*БVдB€Ф—ґJ zp3GЁВП5{Ї– ?°X B\ &gt;~M V‚­ B¶ aЪ_­Z·м¤мЙYm 3Ґ•© ЌN 9сLcCШ r;ЌSЫУъN•­3ЫръфS¶4kѕЦНYЧЄВЊ NТЙж R3 CYmCєWQ„–@hk€DШt “”—k4яуdpБ ;Ьлv» ccZ @аfсм [FHЛў Kё G&lt;Ц№ќ_¤zїтdЖ¶ _КibЉ O—L a;[¬¶IP•Є+Ђ|`»ўКЯ aањіґД‚gя®P dоЭb JA¤C›юfБКЖ 7!=ЫLщ6ЂT–жїnЂ*X 3Ѓ4€ EКеыkГEdО `FЊpGXУҐз ^жO›ЁliIwЙњќйRQЙЩяуtpЅ rKйrП= [J qSоеXHЖqJІ„џ MФ± MдYґЮСo°П “:№В 9Њ Kxѕ]­m¦B:яЦЭ`5\­ 3† FЌ ЊjRЪ ЃM† C™ 3B€b 7dz4 DTо«U}?к­І VќnФQJ·а•\фDЖZЅМ jVЂRLГ› HcѕдТ“ђгЬиEcјЛ &gt;eХийHµHu9€”О:І–ј•k MЪ¤hЃ s‘–aP¤ЉsPІ©¬‡ЊШФяуdpВ p_ЫvЛ KfJ &gt;abйX@D‘°P:СЄ: 8’xЌ b›rnнX»› {I–щbU|ё ;ѓ 9ТЊ Ka dDI s H: &gt;: †sIr nЃ[ў 5п…J h`и G4HТ^Ў*XJгґ^іЁ VEµVЖЫ*Яс CDЄЯjэЮ 8@9 [№ќtџN®^ъ5VuБSфц &gt;ТшЕЄ {M¶Ёєц dЪkJдяуt`ѕ =алw ЃcЈZ BhRс¶HF [»† OМ cд }ђK•3Х DOцvF©к‰ LЌHVїъљ¦ Zм U­х =¬њ 5Аp eL Gы†Ц°j¤®·‚ :’ ;ЈП*ZзєЄЧ}Hq‡ъ6nblCє«ш©ќЭк VлЄї“ 4’ 6§LЌ•gџV®7¦e t[l ;І9 Lш @€c cHy 9р5ПsЭ› Mэ¶щЮ}І]Љ&gt;R~¶fЫ­ VMo№ЄШjгЏ8яуd`ј ;ьйy ЃceJ ?xfх–@ДJt€B [вF ok‡[А°D7J [iл= 6•`І‰5§ DUыј q:‰РЁ­cг \Г dҐ6n„ ”Qi¦џ_— Y*3Ю …YЊpї8яАCAae 5i grcI`ёв 8Б edQ~a­q”ЊщZ A§WоRЂ E«UЄwЃЊ5B— 7ЯIRж’A Tѓ3 Q  wQcљЩяуt`Ѕ q[ПtЛ&lt;fJ xgYкVHЖђ5 aЏKђ N“z F«» V­№љw ]­VиН KjПСkШЩ&gt;µE 3lСЇуhV YҐVr 4БARpsчC b”ЌЦМВUџ@Ђs CБ—«}GйекЅЮЙG°ЖQК°№Ц DIУ eаu©ЌЬ›_XНҐ«ї 9CiЌќ b­мзE n~7хадЉЛWЩЌїbМфљьЈ Zv Q¶6ц&lt;cєyйп&gt;C§…жQм XИяуd`® n3НxЛ †UJ t[jщ–H†J5awQ‹м{„ \µ 7љ Zќ F‚йC 7aq8&gt;P? aъЄwс 3Ѓ [RZњЂ ЉUhbЂ®Кѓ†О ;ДH6DxM 5ДЈ—{7ДIH`Q‡“ 4—г]Њ OЅoЮФ _wµЕЪaHYюRq cАҐIЄя‘Ѓ T3 }{Dl?­§щтЅљЕoFkuСњ6Y aXFKяуt`° =tНvz WfJ ufMн¶ \Ђ 3ј·жО MЃe }?Ч @»8 vUX8f eЖs XЌЙ¶„ ?r [Эб\ EY MR Z† [`LА!6ТOњsѕЂЬ YrB6U@ :ЯщкwL EQЋ6’aHqaЫ TОS 9№T CАі S‡ѓaQу[mчЬЯ;®~р c—цЂeWjЇь W‚ќ] pЊMv*j Nи4ЕwXS§‹Votc®8 …Y›i —uHlђ†Ќ &lt;¬ Zяуdpі &gt;деtЛ&lt;ГJ‰Rо fcЖ \3rР G§Ў ‚U¬г›еAo№ Cѕ BдyҐ7 ];ВGЃt QA \U t–Y‰kйR™µ ]ЗFТL z@Ѓ»‰€ NЁС‰єИFйЈ§*ҐEО YЦ7ћуhп­о €Zјоm€@ KҐV©¦дЊ ?ИJЗ[ЈЙ S¦Ґ–}LтЯэ6K W©v&lt;¤ОVy 5ыgiwA QяуtpЁ =МнrК= 6Z = ~йpZFIYђБЉУTtДђХ 6Hѕќ‘¦ 3ТН±ЕЦн |T…†ЁО¦ XY @aгlwe4Q _¤DМЬ43LB @®ЇhcT Iyeј3 9ЛЏЃџ =_M _IF p4C ’6&lt;Ь P№x€рP Vћ =€µ cHЋ zcщљЄЫЂX pA† &lt;L =Р’Уј§»ЌАГ–ХіMѕ®ЂЙ¶ Oи&lt;6bRкo PIЕEШaЩD©Ќ s?Xяуdpє @u NnПa ;Z 9ёnбpxЖIьЁ:Г \p`EЈ–Ызж*¤C F\Щ `яiлШHY—х aы ^Sє e’X [=Ѓr 4­g ‰y‘\h°Zdи?]яНлф ZК:я \т– Xњ b&gt;°r 8:NЙrЊ—fЄЇnЃa\C^є`cѕ `mo:ЇG!=ДВґ9•QЩв¬=VљЦЎp™ЅљwPonСїяуtp® =@Эr{ WГJ &gt;xvйpXFIѕ cХцЏЧ=с…¤Ћџр©‹h‘}яќ_ E=Гb®q zpLFiћЌ PцЊZ [ЦН4™ 5@ae WС Uyh©Щ TВ d‹Ф©fЌџ&gt;њйЙПo V8зњ aщJOЫM` DЛ O‡@Љ ]PoµnP3 \5VХX›О±?Л= MЈ Sns J4Э°Ё…п|wx{цO U…G’ё SB aх‡D] 5† CQЁд®µВ™‚ &lt;§яуdpБ =tЭtЛ&lt;fJ ?Yjй\@Ж‘ etpЃ‰ wy9‚yтдX@ =¶¤&gt; ‰d” Ћ:_іЩLT’њ_Uт T‚ Iк p’gEk HЪ {Q@…» KЏTl·? Bщыр?јЭQGЊУ‡ЋJџ§Ч ЉCe¦fїw 4rДu rt@­|џпv [E‹*Ј CY MИЎ 3k ‰bGё§Ї|Ъ¬Йj‡|ЗНЇЬдjяуtp· =шЯr»&lt;ГJ &gt;pfни KЖIo UЙ TxS8МЫмR«fєXt 7@bЊ› „VY &lt;7ЅэRЬ ]ЮЉЬ @qR¬“¤ =:РЋ C}fUMаЈ _r@Ф± vЋvK` 7X’xi№bМ– ?Ѕ‡ B•:d°=s Ctт 4GыђAZљќБt XГђ°P ‰HЄNЃ 4Xd †w8aЯ’“7 IќтёN Q«ъ ?: _TЊ[о WGЊєчzJHaV“9БР@a‘яуdpД =pПvЛ c¦J BАfймHЖH g|dQ 7Шџт rZ¦о }5&gt; ЉBШm‡u© HXжTн;ёҐЙ ]Љф­Tж 5ЃЧ§б9e&gt;o№CE 7d`ёзтBЛжлћoҐ[vI™fg c4I;”Ќd V№¦јг &lt;ih 5є b’єЪ_Ж SтдB`©«©7 OЬ i4 ?–Ћ @VbщНуГ¤¬ LTЛmяуt`¬ =&lt;ПrЛ ‹6J vT‚й–HДђE 5H c€Ч HІХ^йҐ}l SОЯ NънНЖ ^µ &gt;»І¦ _Т{Nb Pяуѕ=*г6µ JЮa 4E• C– ”bxўTу№·Сs‘Ї¦…jN 3О RFсМь«счA€” |Hк bK:\ѕСbBpАt W= БS mxcа C4 cWHУA› Ќaъ»яТUЏЄїwЂQhў dжuіvѕ7ії” 9тu icB 75uoМ Jяуd`¬ =ШлxП _¦Z @€fфц cFJK97xrњ’Х ?} E`Щ DЁ— 98ј ~‚…~„y{4¬ ?°AК wd”: `оp­¶PюҐР VЭ ]Фч 6sX*4xtn Nг Xў kUеP@¦LkSB©EЕЊ 8‰ R6h UZЂ N*EМ :YFЊїW;„Т FЯ [ЋЩЖ8`ҐєЄяw 4bьV¬ҐT‰MSsБяуt`љ &lt;|ЇxЛ KcH ucFн–@Ж WХґоФА? y=јPb`© &gt;—Mаћ eв;э@¬Ђ [= lQi®{ЎЉ­ cЮvлlј eу^ \­л L±~є Oйё6¤‰|ЭCZдІк QВ”j№Є X*я°’ЂN Љ—Mы 9G Xъ QK MbуC¬зQ©A LB­?­ NhбX Vb†@e*jЄN g&lt;zЛ† WѓК;у;ovЪ№4ЏЮdXљTyµ6ыrэ„Jд’ Qяуdp¤ =аЫvЛ&lt;fJ &lt;ђ aс\ &lt;† 8Зз‹УU\Йу©д ЃЉ–UpРЈ &lt;ќPЄ PxЮПjњ¤lEЗс·й [§ҐЌ¶Ьё 4и Di]…€ n9`„hЁp&gt;E cw=І ;~ beпpкЄ Bў„8Ъв§Vytms IЫ‘Ј]єЖ§P Љ;љZ©О 7…†4= c– ^”пИШ”рzлu9:ЂEgЭ JоЛOяуtpЎ o3·~Л ccI @иЉъ jKFLЋыґH ’VrBВ†БD j6 »”ИшЊбgLђ™vh‰q«ѕ\Yїь’ CfъY7Ђ ЂTД ”IиЙіIК&gt;О eDВ E‡К= sO„чїr WQIТп ?ќ›@ UAн\ќ 7kJV bьЙ eЙS©CеЂЌ•j”а@ 8Т~лXЏ 5шЦ·‹ДDGx ?Щ”тS dDa™я­§ BЋЭљОIЃ6 ‰RчЅ‰н @ёяуdpґ ;ИЌw ЃccH AЂfн\XFHЫj~nBЊЎl ED‚Цж Kсtz I”ёDOлѕ„JNКљm»Р G6 \–с ;ЗіZKђ VaаЁlYБт U4&lt; ]u ‹\Ќ{Н‹ ?A8ў :ЂХ ~aГu \ЪУ} @°QЗэoSI_ э•j“Ђ@ g=K“D7цќ{х Aе@V–[ь»Y=у ЉbУ‡Jт 68яуtp® &lt;ђ·r{&lt;fH BђVт 7H† [q Ѓ‰_EwQqAЏЉ ”Wiз  ]І р|т\ђYм9ёїS DиюЪХґ*Єњ BБ*]“Q«‹…ы ^ћыFIЎG¦Ґ‹ќrв k4H– –E@ a?uБv :s—~БjT eхѕ±Q—УтE f7Я ”4Рѓ¬ =”_v©9FЉжD eћиОКДD pdРj3ишжЧzЩрvДњы LЏ{і®Ъщ›[ J]ъ \няуd`¶ ;Ё­z{ WCI AЂ†щ– [ДJ~ПqW OЭ!G [ы€љЄЫґњ Mј‚К° _5LІ8ВХЌ¤“s †OРAЮј J: s6@ЂГ*Б@іЧ SXYlПіzЛµ J!_@ј™ 4C ?sJ? ѓI©ЏIZЬ«u 3U»РUfUЄN 4b 6°¦;Oцњjс Gаpda!TДuѓЇЫч»юсї=6цAяуtp± p[Уtg W¦K AЁ ]сt cВ 7у 6lЇ c№й NOС¶хfМ5 DаР| yi‚E… 3`„ Q`ґРА6Щзaя»щ c*фа K8Љy ”5s _hЃ E@ _cL \‰FЌ I°iеЪ&gt;ж q5eКП ’a86ю« KыЫ№Пµоj\¤ ;4ШЪћќ`UoµIА ЉvWг hS—| bТВ T­ ;ј’‚XШЧ©&gt;н pUмЩ R|\IR 7k]Е·“»mКAяуd`ё &lt;°і|Л WfI A8NмО@D ђaс™‰ Tq:Э·w V_ UП €H&gt;eM V4U9Ґ S|qEі·fҐFiU¤и :Ѓ _єy`Э€ ldЪ~…иUs Z€ЈBXTЄє O¦ aчAђ ~Cб 3xFL [у 3БЎxЭЎТЭ”|џЭвоXЁUєUЄR 4Ђ \u® 8ї*јн ‚Vўуќ Љ`iB§р·_kяуt`¬ pCЭz» KfK Bђ†х– cFJILЋд ;Љ ‡HYР{ЊґЕC: e=gr№и YЂ€ЖЋ{W WжE»јPЄтR—¬’ M·Н Ќ5M R;c SЭ EС 5A9!4рд Hbђi¤цPТ @¶Т WXщWs MГ @WСkЄѕP&lt;к 3эVZ“Ђ zKQ `@!&lt;ктУХґ F Кз aҐЏCКVћґ Z{щИ FҐo KЬ… 8|]Qj Taї TѓDtf7k Yяуdp° ;ёБ~Л WeI ? Fхм c† Wу WGИЃ cЁp a…zмЏ8‡ЎЎh jZJЙј@ЭД• M9d”иШ fЂi7L†GЉ :ЬeИ4Ј±Фє}ґЏT 5AНЖ‹ВДл_ IЉ &lt;Tс–}C mXN·ЦTkjїqЂА O”° `_яЏ5¬ђ nFў¬УщNn© ;«љ’Е STЮ‘Ъ WЃ¦ІГ UҐ I©яуtpІ &lt;@л|{ KC[ AёJсм KЖ W Љe›±eN dRE nQ{GsCю R9и\ж™FI‚ўy‡Kїы ‡Q\ыщ–‚ђ’њ&gt;кч ~SJMUЃл \dјPџщ &lt;©G VB… QЫЈlћЙy»І±= EНv ‘XЭ· E‚ ЌS zшЃФUп†Ь—j IpЄ“ЭдЛЂm–Єя B”ИЎ ;6f« xTDМЄJБHЈВrУЇГМх &lt;є V†­ЛHЧ3 SЄяуd`А =™ NxЛ KcZђЩ~т6@Дђ9 —q[kK™R ZklYћі†L±rdмXjК|9№tќ&gt;юI› a^Z•ўHb®ў­ ;–h EFдђ° Џ]”њ8‚?YІБS‡ I4У Rњkґ Sй»\ \C… UЄ&lt;y JІўН§V ^”zА©Z©¶дЊ o]ЂСд ЃcG b3?eпю·¬Г “cКО¤в DњVmяуtpў p“dxz WcZ &gt;ё 9ю j;!3 QA :MD ocл ”j^Ј WЙЃ‚6ў ?Цд ;©ќKх†ХЎ ЃCМL6L†•]ѓТу cЦ Mk ђDўќі Ђ^_ Hg»а=©–фoчЊYn4’ †nd—Й¦ 5@ 3ja eDҐ }SfJaЊ`ў 8CъМИ8 LR@ҐfЄїqЂЦ Uж“h\џЄh‘ Kd‡zкЄп]:Иdґ©Єv &gt;Мb‹ю5Ы OqwС‰МyЬюяуdpґ r‡NtП ccZ€ђfйp cЖH~ЫЅ\Ыѕ?ЦxФу№v x]&gt;’Н YmаОYѓ=сОЏЛ№»tВўѕЎ‡=ржzвў ^rІ =„ 54 7@A6Ў4hM {6gXL E¤ Sѕ7л ”BЙm3bс 4€Ђ” Xf«n g[ћЄФtr`Ь `НњЧ» [дҐќЋкх9гA Cbe·ыѓ} =ЁН{5яуtp« &gt;Њ·rЛ&lt;ЖH‰ –eбX ML kVѕzn&gt;ж _н jH9 [±bky°9 ЉBKO€@ XvR§ DsФ¶kжl R“ W‚дe WЫ XЃў &gt;ѓШ_згt GQXkмK G~ч¶5 &gt;ыяг}И|H4±¤ћ 5Zе„ `љeЎэЬ ¤вЄUыё 6бЂH&gt;“O E6k|Д Q¶ 3K 7q Uжљ ;Z JҐ Wд StјшЮfыжЉб Qг~ W‘Ј V¦№ТёВМё aEяуdpј &lt;а§tЛ&lt;ЈH ?X Iо 7I@ 4љО‘ @№pи‘{*Єж O‹№ t`ЧRs™«Ф8€&lt;© eS№6lЁџў ~THj]Ъ¦rW Fь*ы UрF¶ѓЧЦ &gt;ЅЌн Q’{н›Аб Zkyщ BЯ*ящ SЂ?ХнР ‹Cўoxћ 9ЇЊЦљц YL ђhWЩ A’V ‰^юpў S·7®Ю Cќ ѓk–d\ЎMяуtp¶ &lt;АЕvЫ _cJ A`nйXHDI L\шl9†7plkQ 8‡њ‚бSЎБ Xл`Х9‰ 6µM FЋjКSwьH¬=5vо h–{3Чwa_A DшКТ OЯr=п‘dM&lt;іъL_ОТъ ?Ш‰ ;ў cђмRЖ?&gt;dГсc =Zmk“7ЄЯЫ±T fЉiLV©ј iT•…„Ч ¦Г5zЅKр©HҐ KвРjЗЫз e™ Q[=Є¶ AО‹…v=д YJ°яуd`Б =&lt;Яt»&lt;cJ B‘Bн– [ЖђIМ q:умЮRceУ—6‡ eњ†Л—qЏП ?pй Љ&lt;’п ^й 7•жтЄќА Њ‰„6ФЎЃаyЃg†@« €’ЋYg AтЏЎ aa kA­Ћ3ґJ“B \wDW U–Ік _Vє‹ HУ dшєf GЂBu•ЄS 3Ё  eHэC &lt;Ь—ЩGJ@… Uгq pF d=нпЙяуt`« poFu ЃccZ AР Uн–I„ 3–|©— 4VТп GК9 eо`љDБаЫО Аі ‚S8bф=ЏєЉ}Kпхф©VЄ•iH 8F‘™u\N“P v8и—@opN ;D 3W ZR]Ѕ [&gt;A‰n KM 5Ђ 3^у©yЖ vTЮк7z V¬… q9ЫЬЪґ 3U¦UjwЃqМl Љb\Iy]kџ6fB‚rДg—Ш G€зNъћЩГ™ Mfxо§LЗcь 7гяуd`І ;џtЛ WcH Bvх–`FJiЉ@QЖCB€ Sс 57»B„ [K d¶©Ќz­^зwК‹ўJѓю¶о@Xґr @Иf QD&lt; |3bв fCзЁ fC@UОѕ§ Aѕ•8ўЬ eA¬ IXЃ lmN©qFв©rжЁ[іѓш 5°ялRp 9т¦ q6ћ:ЮіуlL T“*6f‘ВF§gэ*Л&lt;зйe~Kяуtp© &lt;DҐtЛ ccH AШ UсмXД 3– D¤3 CЃ „ѓ8v*ѓ“­XЗ QlPUВ c©»^ТS]”Ь‹Ы~ю…j¦Ufа AD 84`ЗІR 7F DбVL N­†vВрo SQ‡ґУ­®ЇЎП VПо xw‚“Xj[P¤Y™ЅљЁzЅ SVvVЄsЂTђшQ¶С UЊк[љR c3‡l[ RДd€чдмфb HЪѓђkZщ _› ”D3ѓ SЪљ ljBЁ6‚Бяуd`¶ ;°Гzk&lt; VI @ш–х– cЖNђd“„Gв‰ 5&lt;FeіЋtbn±»јaСк*¬« \А ЉCz ©57ЄDЬC d*Ho V‘° 3Д­ќіЧ eIjQ Yr»ЦН_И TB ђmvdB JlэБ 7Э_HІ…d OпЋUҐ•ZN 3в SЃ¤Т ;ї’ћ] w]јФнTtxѕџњШ¦—‹ЯтљЫф€Іяуt`і &lt;¬ќtЛ WcH B©Rс– cD’ю:цвvІX… ?в`Ь ;јЎру J›ЪG¶н @їТїY Wєъ–Jb luq]зНЮд Xб©{« 6B Z’ Tђ@а5©k: Gµ p8D§H ‹|TВЙ YВ YHxэЏuьл? Q‘µJp NCЅ|Тc†Щ I{ЪѕЪ ђ3H€ hЉYі Fn 6Ћ•єиvщBЌE© “EТ!`hђСKТ ;Uб &lt;U 4ДН _DЄ›s\яуdpє ;TП|Л KcK t;nсм@ЖH„ Fk 8ЁРKG7фH№jЧХTЬ ЉrЊAxh^с¦ ef c±»\ИI =ѓДе^ЯHїЯ±~FэWїУнЛЄљYТД –M«…чдпПъ«—MПыиa•ZЭа Zї“ L°PЄы™|пЗW X‡ `¤IJў!L Џ:ю yD—sЩ BеЧГЄ• c¦ ц‡ PKТ‡яуtpє &lt;l№r»&lt; VH uKnн\ cFIй Kµ4C!AЉљ`гВП: HdUУ –[|а®‡‹»ўЏ SЂ_ъp ;h’ї d&gt;й7i zDБ6їм}ѓ€Е B‡ E|АХ \•‰Бw&lt;D C`ё@Љi „6*@©Цez „[&gt;·‘bXAе›6л\ы} 9@D·*”“„ x;воА G5мїnA Eћ¦ ”XJTа‡x®Ї?vїШ_Ю™ Jя dЫQлЁёQY mLЁяуd`Е &lt;ЬПr{ ccJ CШЉйnx†NБrбЈл z€_ж Dё± 8RюJДoлR•…YNЂbЁ\бkш­fNvІ …HЊ6oюЅhLµtYъ Yњ‰ы9О¤3‚ SD 5Ѓ IыѕўљДї©пwя`ч _*VUjN gnHЃ}ZЕ IКVэ W¦{РКd rL\ш Y=п|і~9o‘Иї XНХ &lt;t6 n9іяуt`­ ; ·uГ ccH Aqfс–XD’ 6XЖ _ЩX SђиD PZ oЏWГnQ MSн«YфlлҐЉW=Ц’MОЂиg 9SN’ Nж9Cј G“а’Џ‹ „R±f Cз 8Р9Ћ± ;AшY ’AD· v:ЛFu…ћэtщ G=j3 [Uf•ЄNЃ eP SєЄ @»sЭEљЎк‘µ dS†ЏћзMZюЯцъе°r c·‘ L}ЗWЙC564b¤©ЛV¤UъЈ 7LUяуdpБ &lt;@№zЛ ccI AxfсtXFH„PФTпF¬_т®ІµVЄUdа AHsћКСБ E› c›’dK![ ]¶&lt;‘ :dN O:iЋ\r &gt;Ѓе 5E—Ў»‡јЪ®qљ [ZUюх3э 3UџХIА S¶‘К{®”тOгzо`s: KОЉшґйdВИкчя Q™±№ IbEГмSц [T OїVомyУ KЩ @яуt`ё oCЧ|Л WcK @шvх– cFJ4… Qp„HE 4ay@B&lt;©kѓ Pъ™UJ{\ЩV­P‰С 7ПҐ 8_тЅз NBЎRmжєtHRG3№yкK™ідкk;тЙзp}?е €T•€ы ?eщBянRp ;BR `лЕґQЛЫ{} ^hщ FR eDіPН @ЬЛXO ]3џо U\yF CFДh« IбAЊ”ВЁaЄё§‰T =Ъ\zВ dF›Lв CЛяуdpК &lt;Ф»x»&lt;fI sL†дИH†‘ OP‰ЩХмыtЄµRµ \@Ј¤ЊЏЦ«µ•л 5зѓH \†g…»9f—ЊЏъЪћЬЏG»&lt;ЕE [  [P _Ѓ Kђѓ MХ ѓUЌ~jїР LёP»ШU _NЕ dЕАT \f»w*ЃбTмСвQ»у› GЦ RИ bжегк§я cI 4Чп Ѓ^oС•Уп©KЎґмJџяуt`В &lt;дПzk ccK w&lt;:х–HД’t•Иw eе6 8V_рТЩxvd*»е&gt;bќћ XцжїяPgЉRaZoC_s~F• MeZЁ 4ЂhXBr©i Hґ” ]VвЊc:NДьж|]©kз¦ь›Cs9n6LB dq NшаІkЪ°¤љЄяr 3 PR6 C‰С:ю:ёШЦ*Yj” Yя93 [‡bљdiњnЁб TДO:i DКќQ ?r]·ZDЃ ?Љ‡яуdpБ =РчtЛ cЖZ ?A aйX@Ж‘ WNhЎХTШb\] HУІ [r^ Ќ:Б D5 `[ґ &lt;µP XC‚Ѓђё6 9…љ &lt;†М„Ж _YjИз СҐ 3ѓ© Oйч &lt;Q:ђ 6\аАќeРP rCe VпcиP\Os bs D?юP C™џЄїqЂа 3І№ hЉCЧѓ nS¬дpЬК&gt; ]IўYГчѕZrpюяуt`ґ &lt;ЁПxЛ _cJ w–aоV ;Ж 7хт Uf‘д €C›№ЊИ e9 wQм”j wbWэќWЦя7C№ЦЏ:D[Yф_¶б„† 8І6Щљ VЂC†х :иrn¦е‚tє ;™ KЌ†Р«ШСЫU ’ЏzK± ѓGYB6Ѕ dj [—j©a CeVЄЇь —HL« tVE:ЯЪЬvхнqЁG4eyЖ Ke NE R·;…EgYЭнѕVЎEЧљЦ™ЅЬщЇуm™яуdpµ &lt;m3|Л KbZ ?Иzъ!;FH·d4Кj4ЧЁoуЬнжцП›Ѕ·&gt;Ъ S©Ђб Kб 6L’ &gt;€  CЧ&gt;к O„ЦI [LSIё@ 3*ЂљГ¬6Ш GH` 5w@•вЏ •aкжы XкR’z [‘d e«\—¬4ВUkѕ n9›3 cе‰4&lt;ёKн JUЃЭEыF \ШЂГЖ—Ts „JсЊєђ&gt;ь8яуtp± &gt;јхtК&lt;ЖZ =А ]т j;D 7й B¤І \›VЬH`€8в’¤jCuбњѕYZ}ч=? lЊn&gt;ћ t?&gt;– DmцКЬм®ҐWя«ШA…EmР MBE `С© KA°ЌФ Zfеe 7Х J±ІЩ7»я ^н 8Њ KogEkж¤ Xљ«n 3 E4 Sй aeЌI]OјЫsemмп?іёцЗ? Hці€ AуT Va7JMрЙС Oт:f[¦шюґNTРЈ;яуdp» =pыrz&lt;cZ qKfнX cДI AАщцDтМ:е ^7 b­xъё aјЭ?’ЩЪЮЯe=S RЭя ЋE@ YаYЈZE™ѕI P}чбвыт LГЛyзщ^’ QѕY LrёyJ‡ь€С4Ў‘ &gt;Ѓ 3УнSp &lt;†Ђ°x r7Л ^йѕ ЊFT`U 8dЎ O _ШRщћЩы w`й „ 7ЉP¦@‡f Tяуtp¶ =д­rЛ&lt;ГHЊ &lt;fнX@Жђ gSCЛ QЕДЧШЧWC8щѓ aє 8…Ь– w{\4Х Agb;фk’Ў 5L‘4’хBAаK[ _t? GђЙ –Ђ3H Mж± gQФйfмu«дµ‘ _Bых •^9 Gdv UнS c•FZЇr 3“ PЛglћw ^Ж¶gЕ·х Uz \пУ ‚\\зФ 8Cьтј‚шЕ AѓHЏHtХюч`”K CЈ 7Є@\ SP–№»4 MяуdpБ &lt;шСrk WcJ ?yzо 3@D‘C•4»аMv¬эМF^ LЏ|•Є F¦?я Pп„“ XU_ЛЂ ln`h &lt;PdG‡{ ]^ jЋMўqKИђЩµ№ЙґGьБP EЭb  ‹Gx“„РБХТА =пЧЬі·ж?7ZЯцоЭяYЯъюk]H [«¤Ы’Р Di@ lPk}· a¶3FD dg €ђ–mXяуt`є =МЫtЛ&lt;cJ’ [fо6 K†IRЩ \яџ™S BЦ;&lt;ќl&lt;c’WЭ B–І“Жw Eр –’Pґ –&lt;ј €[Ц 3…иr IЉЏоAеьБ W§ OI YЬ j=Џ 4°є OHђX –‹7CД q&lt;ЅШџ}Ёєxѓna –DaA­‡XЎ SЩvв Eє =ЙШ„ 3Y–ЄЇsЂ” ;Длґ &lt;›Cе±„eU _хс¤8pI a|:gN dV®K&gt; Ecѓ7 \Т5 ”eяуdp® &lt;TС{ …’VJ s†Yц jCF f8T 6e Y¶ѓ:™“4О® N3 VS Ui; 6¤ ‡mSuэZЫP @4­R B`Л¶ dМ ‚Uu[Y 5Ѓ^ч4ъEГ c„’› UУaа 6ЖЌLАс9Жј €zwK&gt;Јнq wIwм»@є4”_чҐoH•{ЄЇ{ЃіЁ {¦цщфЩьOCЧ5‹Y _3 a*5яуt`© &lt;ґЯvЛ WcJ v3Zй– cД [\рpЇџд\ѕ™ E·LОtЎCћ{Xђ8UЈош V6AIШЎ¦ЯkюЕТчЂ G—Ў7х&gt;ў‰V8Эя7 5± Fb Jц:¶Фф PЦ4 dу :Ф…ГCЮ ^BЄqwЎ 6ѓг L­Ќ4Э YSГ6Ы SahgGxЫU¶Юr„ 3UfUЄN 3TL HA:k ;г6a „aQН LC O°ИoбТ9 bзяП7{ IF;юaЌяуd`® oCЕxЛ&lt;cJ AЁjцVHЖH 4¦†Њ›ЙС ?;NЊP ж 9ВБ°d Wч‹ТЬЖ`µяъч№ oyXq YЫђ vWВ{ pMNЂ 4E 4Bo ?’ Ћi3= ;I^‘@ 9ИрйРuЊ­Ў;T bј\” tk=¤YҐа Lџ¤ 3l|Ё 8И WCа QaД–“«hъ v—N­ aиs _ЎфМї‡ YN№5LьяуtpҐ o_»zЛ WcI @Ш Qц 7:B 3§ &gt;ш CЩ Qѕ– TY—Њ§†¬&lt;†5ч~Ќ[iK?Ґz’ 4КвI¶п 3hЊ |DЋwт PЊ =g’ Lж^ Ќ_«™ \Ь‚ €OШxj 6Г Ofб ‚YТO­ ?¬БЉдЩ JґодZ5ЋІђҐyЄяs 4Aђ –&lt;6 Ѓ8ЈMCЮВЕёCЎяЭПqLI :DLіј5·‰¶ Ng¦яЬe “Z­”ЙЗ=xц*ъ’¶ ebkяуdp· :и»t· WcI AРbц 7X„HZТ &gt;Џ mE\ё CQm:~aБ Oш g5Ь d­7Ц° †6ч `S AЎ ”` &lt;K YtB €7D WPхѓ WГ B¦ DLѓ V„ ZL…љ ‹44 –}]‚виbў‚Й]=ГҐПФeю·щЙMЫVUџ•Єs 3Ю’ QзLс Gи8М ciLJ®цT UT ЏO«|¦ЖQ ^щzяуt`· =ґПvЛ WfJ Bђ Uй– c„ 3Ќ© :†ё †8i° ‘Qdb‡ =ёй¤ґ› :тnT &lt;U† ?•‘‰nJWьb”I MїзаXАіЪwЃґ`цT‚ E DіnM‰[» @‡Дqbs 4р nJ€ћ sDІ \PN»аВ 85я 5¤­H¶yў] 7PюUj“  ‹•9bQвўы’ЖdжПWќБ6‹Zі5_­ 8uунS“g ;АФм€Нt QH €‡D„Ѓжяуd`¶ ;ФmtЛ&lt;c6 BPbс¶@DH Xл 6ћ DіWуz”ТWою [д‡’¤ {eґњ 5F„ a`¬{ VэqЄ™Ц*Ќђ§ҐYQ _wчZ¶юMцкчsќmG :J‚FK &gt;‡К L6эґwХ¬в&gt;ЏXПлSј AШ Bгэь«ЅfФ§¦]O8 &lt;\*Ру cc T“Д a‘эt ^–Iu9sЬЋPк …Tn Lяуt`­ ;|Ўz{ cBI Aqrс–@D’BсФ V™ Mеc Uxц‹Ґџcp·E^?Ѕ•©пxJj? JњwяофЂі ^фа CbЂе CРp xg5e@‚ —4ВЃzP|эЖњ „_? WXTQN€ђ aц ]оНїсЫ‘Ч»k~QtЁҐFЄя“ g;Н ‰=“эZШЃпgшсрEЉ_µЇд I… Q–C[ \M Aќп UOsFбЁEІ L{M IiА Rq· “]яуd`В pWЛrk&lt;cJЌh AнЋ vf54џdµw?aџ~ohУћh ;9Ї&gt;г _ҐЎ¶ћя] ?·µvЙ –s]Ь s~dоW \џj8—¬h bs Q[јОНёІ›JѕЛ ?ИЌ Bю‚Axl Mћ±T‰Рчp†LАd— ^i Yг“Ђ&lt; 4аНJчй]ЅЧ№BYAo№иw«зm…rыю]UxeчуrжE;яуtp¶ =¬лrЛ&lt;fZ @Qnе\`†‘ Q‹‚3 _бо`ће sJЅuФQodѓҐГс RЇфЦ”ЎC›ЌХуp _&gt;S EuGц ‹F« ;ѓ ET¶™] [XQTЬќhП CB GАЃph 9xЋ I8Ф ]z±Bз _YK· XdР b§ФіхЁ• E•kь …&lt;сt†v?S­S4ѓLcrДC Cub Ja–Й BФЅ«а‘[{оУњ¬«OpH@ЗAяi’є v`y €[яуd`ѕ ;ШГ{ •_cH BЂfс¶HFH z&gt;Ы‹Р§ `‘ MєЄм EяO 8ЩLЩЪЖ^ G­wо@ UH@ђ`Ђђ`°Ћіаш:X 3в Tт€ WZыuП ZTгGҐ UЂ ‰5±r 9E x]џк:„R5– r`Ьіц XјрАV«U®s 3™ c@T MD RjYФќO W† XJG›” ]щBк№ Jюwу®YдfEяуt`ґ &lt;ё­tК&lt;bHЏ° Yс¶PЖ 3&gt;DmЇ I&gt; Љf~dJНHq 3и OО—&gt;љ I·&gt;Её 4­ =z”›&gt;Ф IibBѕY MiЛё K‚¬Н 8иhОФПhU 4b« Yэc‘ SЗЁye KX«Уе=Bед •|H‡ ]¤ ЋHJ NNлХh*«лЪфЂ Љ—RV­О 8J FMv“¶5јW RvpҐrBwjйЉЈ I†{}ю©Я&gt; PІAd†Пћ_њЪ j”Bяуd`є &lt;pЅvЛ WcH u[vц^8ЖH 5«@јdJЃ D·6:3™\ывљРеяJХ©Vє™©ё 9d RµЅРiцlшў€ `xXр¶c ‰ЃRqN„ NAc 4г U†Н m7Or }qpTЧBТЁMi \u Nйчгъ@Tj•jN 4еraQДi 8™і?± AД RЦ &lt;: ‘&gt;5­с‹ MџnЁ”Т¦э’gbяуt`¬ oK§u N&lt;cH A Zх–x„ ]‘ћD3F8 ЋG64@Y `6вbr*nYКъП pЋ4ў_§ 3а© B­T’ј BSЉ‹©JѕҐѕт 8чZJPС4йЅЊ¤µґkS \ък“8_c®nIв C©j©6дђ ?ЊҐCb‘Н±n WљЯщБд›АС &gt;CЅ aYLбBiџИ¤¦E„ LБ¦sє№tI ; ­є4 NЦ® OЮ yU ЃovmCФ t&lt;Ѕ—Ѓяуd`» nK±zЛ cbI ?pZнЋ KD ђ7жЬдчц}Ї Fѓк—cjї–Ѓ@B •Pы FЎ hZ¦‚ОЕ™&gt;t™=«ИG‘ѕыWКG; GѓЃ 9­ОёsЃйБ‘Ц§ Oµm6 KSЧ Cщ*@Хi NI· WЂ c“ Tщ«OI}©ё™¶Ѕ 9ДЖ` ‡M© 3Й]ЎµК9”щ3ЙЗЉzжДЕfъCФКЇяуt`Г =LЧxП&lt;cJ B™6с¶ CДђІщЖjНb© MТЁY^ґПМСeљ· ’adSe RsZUуцТбdрО¤ХG 3¤Б’&lt; €[wЂ 7ЂР•БrБСU€«j_юдС{iїgў‘ЙЬгљвІЗ Kю„u \кБ ]R©н¶дђ 8E 4Ц &lt;P•Iщю ClЊ46Jg Dдј7Ѕ L‰Maj ;Иt dJ™— Pw€mШ N_н–HХo HАй­FbF &lt;яуd`Е =Q3|Я&lt; VZ s~Eс¶H@ 3ЗA PНѕяoїяЯчЯПрпP\µ¤’n c9Ђ9¬}Л]IЊ HрЗ DЁщ”©л`Ґ»ЈJМџ{ p_kќЄч5ҐщFХёЈ …TХ Gы6Ў`eVjїr 4ЏЊ BБ’д†—лJеХ St RБдxk¶*Fў…№ YЊ~wј©МТ ЃK&lt;М UHв cзЕ¶ш“ј…яуtp№ &lt;ЁuzП ЉV8ЌHbнt cДHOhњsП 9&lt;›m H; Fњ eєГ¤ 3О cи§ЬE®г• Qеe Y@ KАкЉхѕ yGpЄЋ± @БnzG:Jfџ EJSўяЇЎ’м’nЇяьрҐYZaѕ}_ЇЧў@V =•Єn 3ЦFС bM I·К‹_UЭґ yL*„dЊЂ‡I xe€Йоэ5ПcФ¤qх¤e g[v v3’њ 9К3§hwиJХы”gЛґчХ8ЇяуdpЙ p;ЧtЛ ccJ s[rе\xДIx‹»Э Jяю? RпюЯїт †Eљ YЄщp 6жѓ»k EЁB =l Sb pQp°mATГk¤»¦‰Ўэ FKbDЋ?eк &lt;ЅЏ;{фM _ZV=и?vПыrа¦jєї’ЃѓP_§—NаНё*¶сјEкwЬ”Ўi`С” ЋZМЋ Jv†µ =7юйк &lt;рФЖF ­яуt`ї =DЏtЛ&lt; VHЋРbтV8FH‡IA RM¶ `ґ Z›э ^nk uEO‚ФҐОВJдљk b§xК‘Q W“rР KPљћ MsP dA eЋAЉeў Q3Ц‘¦ИЧ |4№§@7¶хМ8И«Ё ’aхНнx ;}· XШЁЎkлї— 3€ ’z:AишфІ :ћъ LСЙП6K`ЈкЭ4”€ЯБ±Ѕ°ґыqц Wш †]`ё€ =5„A·¬ lZ…вбdЯeЙяуdpД &lt;ихvЛ&lt;cZ @fнt8FH[ж I›ўTrwЫ«ZЇФіSp n}9З It№малћ CЙHУq€ґг CДoъvХSJецE}ШЕs AўrН]sъґЕ wdXЄО’u X–Љoхъ_f _¦µ–Їw 3ѕi’ Fy^г‰хЄ@­3IS8ђ~Т¦s™ :оeЎъ z]R¬ы eYaщ±K aRЦ`яуt`№ oG‰xЛ Wc8 vweх–XД’мlNЪ `&lt;ьQђ SЃа iSxrлъlbЫ­”{и AЄ°К­ Ќ3а»*N \ћыџe Sўшj4±џ †_хТяхчFХ ^G· PђбфЏhЄФЖ‹‘єф=?иїяM¤ЂR X•ЄSЂ_ CA TЬ{ЦЋцoџ d¤ ‚y] BкLбє —8К“Ьјѕ4”КШхJ Kj YTђY8‡tqX  q=ґcU ;IљY хМ*яуd`Г &lt;DНvЛ&lt;cJ @‰Jх–HD’SРжЛЇmRЙDА›­4“Ѓ`Ё 8ґ F¦=Жк№OЂ‡ :А f4t &lt;• nQХ t]Ф‡ЇЅ…h Jк} ‡}Xи3Ц c‚ФюЄњзЁЪ :ЂYWЄЇwЃXЏ\ NnЖC·_mъPF =тМЪ dќr‡„Яљ IоsSЛCзѓ­я ^Кp”Ѕ Oъ ;~Б fc™‡яуtpЅ &lt;`­rЛ ccH A€bо 7H†H€Е oQ8—Ґ p[э&gt; “VУщ;ЇY ‹—OI¦ЬИ 7@hJ‡Ќ»8ю =wcІ: P¬T—ТмЌ*їm–ЁЭТ e„Ґ@Є Qp yqzHClЕњя aЄ dЪЌ” QэeZ“Ђz ЊШЂЁW·ґв=№ dГJjPБ Zљ®g¬ `ЅbПV№hкНІw vM=О…C oLЁ Kд:І AHуиІU†ђр”» ms]xI™Х|яуdpК oG»vЛ&lt;cH A‘ Yт j[„ђГ 5Я c9КЙТєw®Є· ЋtjEL¤юу Q‹6‚€И;jЊyэ e§Aњ]КcP `ё KЃGЮ«­Ы CT’ eм&lt;@k« D»н’ЮЏх 3©Z®ї—ЂЮҐ? {Wi`і…h N‡zДРБЄѕ o\–¤рPдOиPd ?ПЇ^ЫOъѓЬ–&lt;кЎБHAe cpX:Іяуt`В &lt;рЧx{ ceK t[Ї 4– cFnЗD SЩА ЏgSbЎaЕжи@fыE‰:БM®лпB ‹{WI¶а fkЂlBЄП–g MV… qLiХ;Zч¤џдDftEv‚©Эж A8вMQууIpfaBЖц` TєХ 3ҐeЄїr 3‘ t3&gt;Џ SХ“S*р­ЄЫёQн 6Ньщ—}ЗЛН№xbSтІ] Uh9Л¦s YЮsZr &lt;° EюЮ«VmBЇ s\•яуdpМ =TЇtЛ&lt;cH t—Eо 7@Дq d”`M»э_Ѕ QВЖЃёAВДd 8‰PЗ T¦PщC6 YЋ¦ҐJ^«ђ h4GJШ= &gt;ЬП 5У*rЕљ &gt;·OEc· yYд^·гЬ№ZQAА“ЂU*¦ЄR 4А SnВ° :… ћуR S] WрІ№Ф [*и cQ6–ь _ф‚ьџRЎіЕ{Зѓ \Ў†AOЊ cцяуtp» &gt;шЫnЛ&lt;ЖJ &lt;™ 5б\HЖqЌ DО®RCБMяџjюџя”є?¦·НяjЭґЊ}ЦЫqК fOёN—чйУ :FZ• ^љn~ ‚’dt¦КЋ@JzZ“sа€ U–HШЉ Gв… AЕЪ€Xл\~оTХf©6дј 7@~ AЊ·;ГыRЫОwgT«гЄ GwX™№ђц§Гfl»zмaќш DTмфZ MР­Єчq§ Fѕ·oчЪћоЮR”„ЃяуdpЗ &lt;ђzЛ Wc9Ћ C‚ц 7HЖH eЗП 4Зґ„VНfH¤Њj ]s5Fg [UoЄЙА85 ct¦¶aч¦^ъF3hЊ† EЅ ?4Ъ!ejЩ7dY KОЦOЩЪЯVg{ N¶z3» Hr SQЉ yPxњЈв†—Н3Gz›±g–°Uo«IА C‡аЂЄwйQмtЯљС—LFќ `M JBOЙ5†\ \&gt;яуt`Ѕ =АУvП&lt;fJ DaІнv`D– HHДУОRЧE9}µ YDќл [џ rhn6L v9љ P tjЦ— Cл HoM?к 3»—йА c•Ц›ї–D 9]I Ks =Dh Љ:NЖ dIТ}„њMЃ„c`KowоE­o ]¬—эйЁзхSј jd4њ A:швHЄЩнь€w ?Чпј]3VОR]г9џ»’»Ў«lEњ xvMЅr Tu„Њф CdиГк „8ЕЛяуd`ґ ;аБx» ccI rcjнЋ@†JИќґ„КТ pK’ ђaФ’ ‘O№ :YлOA Sё&gt;Єё 5BУ7 FSm6м†ЪGoѓt§ ]\щeGde `¦dmюn O¶б —FµУB3nкkзНж°ИP€ДoсHАYjЄЇqЃ© r:Ф ZKЎл©І­*юR‘3… Cµк© D§ ;ЬЅшO @KзT‹­™РДYяуtp· pGЈpk cГH Aiўеи`†•џ› HF=џ¬з ’VpВ Pж3•*VфвиA 7ЧPуOВО M@z |7nh™Д„ EEН _ЌЙ XАA ]Ў†X_Шqa 9U°йЄoa|ІРі§Y aКы NКiI =· pсА!5…BЌp*h¬Xsџњ~SЈГ HF 3И}Ќђнf«ЫЂ`° ’R• IE @ТР}¦ХRТC 7p‰¶Ф®pМк6DИdE™xbюCќяуd`ї =hсvЛ ccZ C± Uъ^ KДђх \OЅn€XЄ^ GЌћЃPРЪ 6lP KV PC— {KЙ Ћ&lt;‘џрй †]«nЇ— 4Dѓ BgЯџ o7]wХЊX: XH LЈdM¤Нт‹ Gc 6MЁ\ѕ €=‰AD c\icBЃ ^Ф‡n[ M—[‰e«я U©дЂҐj*ЄN 3Ўt ЊVOК•¦ЙlфѓЊЫљG”яуt`¤ &lt;4Зt{ ccJ C`nоV c†HЏu‡A» QйЎr OЇлMЭ dnз&lt;зrnО ]Б‚ўQ &gt;ЃT NE ЂKя GяGVП6 U_КХ •4  ;вNвJ iEЊ m9” Qђйwљ h\–џk Fч9nЏ |`cтиbV8нџ ?W{ zIZЇsт RЪ§ T`‚•щP kv†Wг 6Ж6о«tЉ @НpЏzCYђж®~т D3F‡“љ«Ш€`ЬЌ\ K&lt; a8|ъжГяуd`« nO­~Л4cI t†Uн– \† 3Ђ`D :–uO¬ТїИ_wъEZ \r‰ 8» Ni Yж 3B f~7–®ф LОXp \€ i4sцџ­Ъ NA™з‘SЗ¦њ&lt; V8xа8г‚ьў8T ]~§ c‡IеџBцфЂ‡я ђ3гЊ &lt;dўVbмлМ [МА@ Џeт Ub \7B Rcѓ gZ€Г UжJ 7Е &gt;„ Iз \яуtp¬ ;€“xw [cI Aшbц jCЖHA ‡K№ґќ &gt;¬У |vG  laёЖ}Э Xґ Zщ HПК«UJ­7 3ВА8 †[ў‚ K@ h]‘ †KB &lt;Ѓ g6Ж… ZТeњѕ [юч Sба;@Б CУJё“ЖЊ —Oґ TCRђзр6ЪЅгйпҐЄэ 3DЪ yi:Ч‡] NzѓBuqy ‰GЮ Og§Й‡ AхВ Cѓa UЛgdµиў U|Р uй™к&lt;7 U–=mяуd`ѕ ;¤Wvg4 V7 Bё ]х–H„ lD\ QЮ›|ь­ ‹JЧу Mј† ?Ђ e_яЧв€–cЌ ]­К 5Г †FUЃБЌГЋг*B†H k7dНћ i?ЏrZэЋqГЛ c‚ф‡Х“ G8~&lt;љJ ]ЙFiv–щMЛ{№ =Ўх9@¤Ujї‘ЂА Zѓ] Љ8A e&gt;ОkбКUl46 N§БI _Цл·Тж&gt;„Бяуt`µ p?Хu® WcJђ 3:оVHД WуFС° WЦ &lt;:rИжш8ґ*Ј™K ^ЄQшlЎ¶Жa@З Z‰ \7ЕК I–ПћuA~nVzСfoзQ 58г­;Ј—»°р› RfSd&gt;T S‚9’ОР…cїfпџ|WЈлА nђ[d@Ћ}A`ђ Vѓ FQXҐx’W|ђ 5бP M§ 7Л [ян’e ofW6b ;ЗМ‚qѓBЪRSК‘9®КбшНБЯїЅ·ДLяуdp· AЩgnЛ&lt;Ж\ 6ш6аИXВ WиЪ ;g®ьЯѓ‰“}tvЮ\J F‚юKнoю?эп|ћйљяX DшЪI WЫ gr`В rjWR 3Е S›‘о [*В vKЈЉђ K=·YЧ± _±Ћ№LB7лд]BVќIњX” Zљїш M‹ ©S·&gt;ЋС JкџSоBџBЊЦ D›&lt;ИтвЖМІtжОЦ d» ѓZяуtp« &lt;шwxЫ –V8Њxjнt KFH\ Ѓ8°Ж &lt;ђ° h‘QXЎБp] WП€ Qр 4Ц€њц–bпYбpйбЫ„Z_·±И ЉyNЌ WЫnЂАdO9ы° hG4ѓ Mју HD4ЃРА\7 SѕЅM8pЙ• 9Аў F­Єыг 7†^ `kVҐk©7 O” 8БA ~ma‹tчfт _Vи\ EФ dМљ ЃILГlDYэ‡цl¬ HZDN† b5‰ a‰ AкК ЋVІяуdpј =@ЈtК&lt;cH ?ёzо jcDHЙ±4› @€ Eє ]ёi [Х“ C8jsИ dтМ­ґ [ђФR W’M¶ myA\ &gt;ИЌЬкГ Q¬ j~Q*8 RSў©°ћ­Ё QЃwХk KЦ9FR {I±ИvЃкш н•Є› RДR MМ|g|Ѕ ^µ pKҐ 6f@ YЊb»Э `яr8› za• hevW6a™Б ~:…яуtpІ &lt;шСxП WcJ ?ёRо jcЖ [A@ \РрpЁ P¬ D&gt;] D`е Sd UІ¬§s‚»ґ YyМ› [“?«эЮ mFўB¤vgY 7ђ rc аз &lt;§B 9RJД¤ТЫK 8МЎ ]xњ  ђN¤@рђ HUФ‹=&gt;Їs^ШпC&lt;ЁЄj№· W” 8“ r‡4VгЖдьKй9Ц’БЫ¤UРЏVЬ“ќтDwu myCЧч \l p_О№ЏбЩВ f5xж Kяуd`В &lt;Аќt{ –VH u[Jт6 c† W¬To ]btц[F AХѓ 7Yy5З‹a 8Ъь Wэї›у RЯх‰ —[›U{” nS3‡sF MJ NЌФаж ]&gt;t*° cu‰ GrФ5 pzJSЈhJЉѓ`B WЎ Tf cбfРГи№лъфv№ЄщЋРАU XљїrЃ№ mpdл‹c›нл5ъJI 4DЕS :=@ &gt;дяуt`І =Ё»zП WcHЏШjтV KFHУsC№ L™јoре&lt;ЭСЭГТ8 ls7ЇUЁ`AХ WЙљd`Ф ~mOІgX‘m uC¬ЉЭ e–uZдђSЪ”gћj© h=ЃыoUлі„Kе ќ …=сґ8ZўVNЎ± x7‚о ip‚{MD =µ8L—№{uЅ@•UZЇs g7»ѓ¦ V] M›вnkЫо5Б :K :§ћµъ~g}·„є J–‰Ы™М€џ–¬bяуdp° =PНtЛ&lt;cJ &gt;шrйX`„H&lt;Ь{ 7Ђ† EHlN&lt;JчЙ‹ 3\цЕkчЋ CэїµЙ”D• VqWуp WB gA§ OUхђщ„їў C!Vы©R”УІ ‹…^уvVzуєNgђB A° UТИ}в 4л·Ф© JћЦЭo’ cЏсF¬UzeЄ“ЃRМу`ћ Vж;зY¦шйd©ёЄЃ …`|•»еяуt`Ё oS­tЛ&lt;cH vd6оVHДђOптY3–‘ќ„±{ЛЈB ЊrM4 ‡chЎрК¦ ?ѕfY•­Йo Qу Ќ\GшЄ E«RІґњ 4Ёh L? UЗ° c@и nly~7ОѕuЄ |x4Й»bШН •I{ПT| nA’ QmНH\«:h§ъя«йSШ UjЄЇwЃ Ui [дъ JПНцЧrЬkzр‰§йоZЙj4Б3r—I \V ZKЇ±Г№LѕT ЋЂAяуd`± ;Ь§vЛ&lt;cH Ah ]х– d‚ 9A ?™ W~ VbЈM 8Z9АЋк•· MГнj DюЫjокІp 7ЃВA·Т„бo—VrЁгv {J№¤Й w&lt;р aД K[ Oљ bЩЮЦџ 8ДU APU 6ыІ7GмяЪФ NҐЄ©6дј 7Д ‘&lt;Dг6zµё3 &lt;ђфj4 PEfзi Nѕ Tе—У €Nљ„y ;ah wяуt`« oSПvЛ ccJ @ЂVрЦJ lђ;°Eѓ E«Р‹ІП jTЃ Jј‰±AвАЪ‚I4сШ}G 8Вуе VДыМ^яKX©Їj«И 6eQКЯЅ9 aбo^Ыўђ°yСфР?ІФ¤ЯX\:fo”ыњ‘jЁц 7† €@cDfV6АPoіI@ X3З e} aц VШ»Ю \ј KЖЅHГ“SЌ–Qoы}тЙgЙCђ &lt;: ?Т|Z­‘уB d{Є NУE=Ќяуdpї =°№tП WcH ?q YйXx†‘Џ— ЉOТБ§К— QМРj Ђ_y @ЯA bП?X 4ё”n[w g?8 eіѓcмv« nLЂи U4ш aeтC 5ъ n`*Њ© MXЪ lYIpСQ JkйjљДьЈ‹_Ф„ ^uУt†ЂбV«я 7Иc­”рћ™ 8о*љСхЄ}A:rс UЅk¶Яkyэ OC YҐ­±Qяуt`І &lt;ґЫt»&lt;cJ u[RоV C† [4xP =ѓH O\ 8Ё ‘4Р*€ InВc ЋЌTрб [AЮ‰u cа’ 4Ј© &gt;†h…ѓ STгЎ cI n4Іш•iЬіїbеZЄ„‘ o6АЗ XЙbt|IX*S[м cљ \U Џy4?pK3x`©ZЄЇw 3™ 4ґQЎk ]cЎ ѓЂ^Ќ~ ]g™Vы =„ @Ў”t@и dкемk}© ‘L’ ]M™Ї— =‡гnд MaAQrяуdpє &gt;иуnz&lt;ГZ!;nеXHЖI SPл 4¦њhёL: TPЈ KQЊ{™… :Тzя©ЈMК*UНА№ 3dҐ •FЯяlnrЮњђЃw6Ч ]іu9дз—я WТ3ѓ [•©^‰ V¤НЃА Tх \qФ@Т®]n†[wKШnЅХф’@Ui•ZN 3†ђ :ќЁic Bвц{nЎ Uі jYй eђ€=уїяуt`µ =„·rЛ&lt;ЈH CЎ:й–xЖђл AзrКs [ИDZ dЛrФэ AK*vYl€t Dfe€6РЙu‘ _l iHb&lt;8kя¬ D™W§ 3ат |Oњuј UP Ќ\Ё`9Ц9Њ SЧ4Puю&lt;Єљу &lt;A~IN¶ CK7hАoDЈыiXVПJ&lt;е 3To­IА ђ}N€l WBw¶9оёWђ L3FКNќцзsо‘rћkџШ™`„Љ BђЖY mU–*Ј‚яуd`± ;шУxЛ ccK @Ё^йЋHFJМ IБL UI 9З 53€ ‘~_Д Zm© a{JѕдЂ± [ґ  x”^AйХФ ei–° MУЦµS b§4ІнЩV·ыО¬rEіЯ_фФЁ–zEџ a„ ^r M…ЎdZҐUn‡янФ… 3Ug•jN 3 &lt; 7ЕНўМW V№‡ ‰S§І° VR4 =Ф¤ОіТЏ~ИЯЅ Dяуt`­ oWГx» ccI BЃ~еЋXД’[W ‰&gt;PtЂњ© EП s3Ѓ dB†Pз…Нє° ЂQЏпfЧяЎ W†cЌґ’O †&lt;p€Lc x8H :А m&lt;Љ 5cI Pm‡ѓ @I№ 8І}H[ZuH @Ўф“•Тч[іYцЫьҐй 56є@Ґjй6Ь©ѓ hEqИ•†ЫЈ·ЮзC [lW PХ?“ќ V… ^щоy eY8к B’ I©`FZ K:d9 BZ‚i wWшq Yяуdpё ;Њ•|Л SbI A8 Qт 7@D 3Д{А ’‡]‰ :У zSФVµfZV¤а Lh MXф OЌ:sеcbFqЛ KZ¶E TZ¤W}ЅgZєю \@а ‡L‚ WI Ђ„“Љaц¬ Y‡ЅМ{р‹ё«» Xяк TfVЄsЂ† ЊFЧ :ЋҐ‰яїEТ PЎ@p&gt;рЙ __‡дь™w ‘GИОш ^†± v^Ќ ЏwFяуt`µ ;рЇwГ WcH BС Mс–XD’‰ SxQЂ‹„ 7 GP№ eаmТFXA‚ ђ†VH°JWяС©YкЄ©J jf|CrG6…ЕАзЃЈЖЕR Aќ 6Ћ –Xё:H¬N!E 8@ `l j8eК*8 UВn s‡8љ†m~ \Wе uv6№хХвИd ю•j“  eV3 “@Ёвџ‡ Yфи№‚fM©еze©gутзчЉJёЂ…Y @Сe U: ѓQЋ¦ Љ\Ряуd`Б &lt;xџtЛ ccH Cё:щ– KD YH}GO sx‹&lt;A3NЂЦ`е_чШR i8™ZИ KS g\ar Vt wsaВ@й eви b6u “IѕД‹ &gt;9 Nи }4™ 8Ъ€е]GЄіl [Йн_бґ EИгc€ Pќ®=? @p› _е¤с}Р®pј‰жT—™диЗ 8ЈЛї№CI =ЦҐ Vж№B5 AHяуtp­ ;аЇz{ ccI ?xVйX cF [*Dу aA mE 5б SИaк :а mSвлаяЕЮ Ќ:ДХҐjЭЂzђb eњж4gВ j5t Њ54hЪFYьҐхыН;»_ ]Kъ \BhД ЂUM€FцZ  7ЇЌ I·ж{Mchјчў C}Oя3шпгї*яр 3d H¦«ь T}p~ Љ4Fџ Uї№7ћ NY7 =Ы Ѓ\Љ —GоВ:@{±aF tI©T VСз“яуd`З &lt;Игtj ccJ E±Fй– cF‘е№Ў F¶MУX[№B[rЛ5Й xDеУ¦[‘єъV VqЌҐ§ FsiIУ jIe±8ѕH jt;ПeT 9o8§b”LГ‚вjVhVѓoТkе*ђ•™S§ :¬Лљµп Pщёv¦Ts©OнЯз’ XEљЇш Mй KRВшd [ђ” HҐ• &lt;€ыТ IщmТPАҐяуt`© =m3xК –VZ tSnцV KЖHК6 YyчЌM4Йa ZxMЌ№Е A@” Gs\ pFL™… QLО jHН \\њЭ L_U IAГ =RQ ;Z dщАPР…@ђ E&lt; 8h aЏҐІm{µп_фг ”TEкDЉ &lt;ЃI” Ln·¶ѓ PЄв*‡‘9№єюї eZЄя‘Ѓµ ZЏ` =`ЅOХмuЧ dРхN qU§YEСЪгЦЄS®f”‘к NВ`‹ёН ;U I‰ Oяуdp° ?№ 6nК&lt;ГZ† [Rб\HЖ \Ј…v YS &lt;M ?рFЧ =ЉЋ W” v]¤Љ– q\‚ xSр^ ЃcIвхoЄыґ 3=ю g@Ј HT4E 8Х§RщЃ D±A Wds LОLЫШЛ•md—9ж\xЬтіќb Z§ s’:Ы ђUљЇь TЃёТ&gt;PGу~µР dљAђЙ“ j_Ь; 4А­‘¬3j4 HHVяуtp¬ =ДБtЛ ccH &gt;щnб@XF‘`§†УЯr•Фн •Rм4=Т=j 5И–Ґц ]U L8fnъ¶hdм j&lt;YUl }I[ J“ЇзStGiЭљЯПµЇъ•®kД‹`iс4ѓќ9xѕjЈИ WЁ6±‹_?м§ќя3 [‰ ‚}s|^s =jЂ•zЄЇrЂ” „u=нґs RЦЮ9 A!d[8ЩУ? =ї UХ4™Кy®]YпЉEґё ЋЃЌD*Tp C\яуdp№ &gt;абpК&lt;fJ‰Й =й\xЖqЫ C46 :@t Lџ aВ hqH `ЮGїRцЊ  5љ¦’nЃрMЎD¤ґe‡¶\їnK”_љ·Ы_ф[ЗhЦ fJйў4 PЊ Dbќoѕїмп“јц[гячу Ёк®я“ gHИ•6@ ЉF±о©рЌс UЗR qDXћМ¶F`…‘–e‘y±ЅґИ e” ]ляуtp­ oKЃvЛ cc8 @Ё:й\ cF ‹KlцЏ GЏ x—iFО{ѓi aЛГ ”&gt;&lt; P*Њ№»ZЅ•УLщ¤KЉ¤ќюч 3h &lt;…ПєUўЈ•љ9Ж ^ѓj–џЩВ9у&lt;Ля _Лщ L8jЁ«d5 8V cъ† rKIе‡‹­t ^:i7ък Sz·›K R№ћe 3ix’Wьђ BY K–ґа C~oЯЦеT `Му«e”ь DщДXPф№юOrЎ‹л9xsЪ –яуd`А &lt;ђ№xЛ WcH Dy:тV@Жђ¦Ў–Е @«оyЭUЃм K¬ЄЃ’ДO Sx«‚зW• =§a®† ID§ЇWmКАУ 4u GюхmуzrЖ [§…&lt;©| Vй}кпRюФ YTOwє9\&lt; [bh&gt;`у’”TыЩHєm­Нє UЌ e¦¤И W“ ]–№О!5ВЁ6I XЋУx– UQХґFB =В PГяуtpЁ &lt;АПxЫ ccJ B©6см`ДђёD5§л &gt;џ­ ]џ 8‚K|бљ6ТJфa`Ч CL ЌnXѓcO­І @гЖ¤ќЛ Z­Д‡л}? WЈ’д’зхWНАЂБa PA‘ ”€–K‰В 4іў@E 5ў[dГ &gt;`ЌM© G=ВђЊСC*В Y‹ P ™еЃMЎp ]oх OІЪl aя©K¶ •¦f«wЂФє ;л _gЋq=7 [® @ч|OФОjn †EBW”яуd`® &lt;¬Ѕw Ѓ_cH CH Qт6@Д 3г 5MЪмh^ ‘JHҐР…K ]о ‡[­‰ЄbЖ b`›G_яЮї*яѕтЫыЧsїПwщ kN№j·x O° YГ XсGa NДc`p`аЁ№pІ\‹^хр ]aЪ MС‡ATNF Bq 6фё6Pи}М \h ^иў»RЫ R_ЦФ f@•щP s\†ЎwW”йeБ*°Єяуt`љ &lt;PItЛ&lt;c YЏhRй–HЖ [” UH cр ol&lt;Я ”qJ`ЊИY±e† n9I ёх™ W@ &lt;z M…УZ‘И­ P:?к {bX wR] ^R” ?pE&lt;€C 5Ѓ :њ LЪ Ќ:Dи wskGН _BЪЌёP№аР Ll WмђЌ€ [Х p‚SЌ6 Vь ]I¬Ѓ :Єo®»¦@Gя ђ4є vFN BС^ЫN›t·§D Gh“Є^uС¤l H€e’Ї±ъџ Yµ {Oяуd`¤ :м ^xw ?Ј {B8Vшц cD ]їчjy &lt;bIФ Eџ‰Fu U„Ъ `чUC5zЬўK Љ}U‰ G›ЂФ\ Њ“BЕ nЃ=7TД KIa ‰C„ ;оY†NЗ4Hd ?† MhЁ°ђ\ QўЈ sKШК C&gt;зВ‰оЮb U«фЂҐя© Yгё =hTЎ \XСµ Iћ·ѓТ4Xы QfnљТаvП U–Я `яуtpў n3«vg ccI B€^т jcFHчюј&gt;fА»r 8GЎ MЈ D~¬Y N„pЂ n@‚ S6 Vx« Q]ь&gt;ьЭ GЩт &gt;±Z’EЛZi¶а@=ѓ ;іf XЗ Dґ x’AЊ4 GK@Њ WБ3Viµ =PNѓ— —3Eљ AҐк d© &lt;Хbш¬QЏ4щiЄЫ @°7 KщІ»ZПA_hЖЩH€ \s™ѓ Љ`VЭшџжjIБН‰ЯЙѕ Wљqц&gt; s5eяуdp¶ &lt;ИПxП&lt;cJ @Ё aц jd„ 7b… OTРр‘ †CAь;T:ш 8Р7_ю UI Xвoї›Ѓ 8х ku7Ћѓн 8ЭZр‚ПЛ =eVў:Ў †n4ЄC‚х&gt;[?Ц®Ќ|Ёѕ влS[ы EВ eY© YЫ° ‹bЋЎг Z№jЯ&gt;y HJ®С¦‘ OЁ Iъ HР№ Yфµ U}Ўlдq‚Xl®Љ¦nМяуt`¬ ;Ф±v{ ccH @p UцV ;D 3hcўКxґ xGXЎлk‡ IIІ ?rґ¶ч wc—= b{F 3н4ІNЂ9Ге J]Т5ўЭ­gmѕ^ tERЗЂ‚ U®] @sФЗ qЋ7Ў L`9W&gt; lM=IdІkdнmХfЃCFPОћ°PµNр Wq &lt;–¶FH GЬ?[}С AРє№жДuЙ W;&gt;™K™f|3 K™ 9TRrмGУВзњ ЂwE!K Aґ6 DcЙяуdpВ &lt;d·wГ cЈH uK‚й\ c†H Ke±; KЕХдФњЛXпBЁRЂЁҐUњЂn« Qш” CL IПK&lt; DЛ4¤‚‡|rZ9—рЧ| 8Э QЃх ‚aБA 6X`FРє LI¶ѓЕ ‚yaуЕч TЉ¤UjUjN g3P Q= r;чљМнЕt ‰[hDу« B¬[ПЏПЅќтютП b¤¬?Lе VsAъяуt`µ &lt;Hџt»&lt;cH Aаvс– CДJъDџf X@ ;IЖј cзЊъЮД ]•ъФ¤я bУ Qa c•KЯ DНD =‹| @‚П 6ЅJCК№i¶ —&gt;6Y}‰]ЉjєmЅmЬ†| ђ`млзЉІђ”fЄпqЃ =°MшС L· OЕЉaЏ b… QАИO &gt;­ѓpѓ Ss QPҐ‰уЁ ]‡W`EђФН 8—кl°Цђ e¤&lt; EВЁsF @Ь®j|ИЏ WЯџ”я№яуd`В ;\П|Л ScK @hjхЋHFJf~љuычЇ wCв f;@ЗїQyu№Zl: 8К 6Нћ ’[щЩ ?b W‘3 XPR ~‘{?Т PmДIj­~О·°Sѕo• ?:ҐclrHs bG 3тщЂ Љg]UЇрТё]rсfЫЯ№µ­ Yьli¬Iіu ?јп &lt;dcУ_зГ|з›3®wf Uђ dі¬№3nяуtpД qd?tЛ ccZ @рvй\xFIzB}™ `й 7FeяРп MдyC Vх±ёMз \рърr„М} \Шh ЋW„¤‘µW7 3±ўИ 4‡Ѓ Ш ЊH4@J Ћx7–j G8EkЩµ ?С U· cZ Ћhk6ўК{QyKЁРE WдiЛzХЬмgH 7ШRh’MWб‘ў‹afЅ«­ъUYи €W„ІL RЯ^Фут b_»N\йAv’ IO®гЈ ;• F›B \яуd`Е =™aw Ђcc\Џx AтVH!3ј}ъЄ}Йц [—hЈ­C: ZоэДКїВоьїняJ ђ{GIЄnЃTаЦѓ JZ­M…7c[ґ EФГBCѓ ns`c\f§NҐЪ°Св d¶“®Еюy€з &gt;_ GшqхтЈ `S…ЂdИњm YЬ’ 3O 7ёR§s HЅТdУЏ{L¤V¶ќЩTќ­Sє*щ*яуt`­ &lt;ґҐtЪ&lt;cHЋиbоVxDHьы3=Kb§ЛRУ¦\“Ґ &lt;d XJy mWХ ya\? IhВеФКЕП–вНЏ9ЗVIђG MI¦е hlXйГ6 IO‚® ;¤‚€ aiЖ…€оЎ &lt;ґL&lt;в KУ ЏJнЄmкpЗ Y… ‹IY­µ\є¬P Sі~–ЇаDV^« _ефШoN»ЂйqHЮШЫ‘ X?уMcр‰ИцW&gt; eeјEN F‡ ;V i&lt;—Р…‘яуdp¶ &lt;|Я{ b4CJ @°fт jKDHяћГҐЈ&lt; GAЉћ_ &gt;†з•MPІ ;ЂyДП АГ =©фlљ XёфЌчт@ cЇ7§ Bsv3к:bРі \±R93™й—эзЈ}_ўЪдЄ4ОПоЖ±nхфє6[z®Vй= Q°ц aВъ[^ПH 4яХ«ш =ж &lt;{®йdµЗ»9 KОFщ gЏbЩ€®єяуt`® =A Dy Ђ_cZ Bк UъV KДґIрЬTИВ‘~pХxј†V Jc« Dн› =ЬµVe 4Xy¦дв =у‚ЪХ4Јt™ :ЏЕ–*Ы\ X€Ь‰UmА ‰8Љ…kЋ‹c Av F!R cц WХЧЅSОВЅ[ІЩчЖу W­цu› ^=хDЎп G¦ GІV Tо‰ _[ EИ†Ѓ Bъ• 8ЂT ^Uљј t;Ћ“ ‰Ќ;¦L @&lt;Ѓж ЂK4 …3—at™ Y5gяуd`Ї &lt;Ѓ 6xК KCZ!DѕцV@Д”П 3eВN zxMW ueMбqa’Н\4…ЉєХ [Ѓ bRд•X‰ JВ¦:aўd{[ VmЙh ?P \ї5Ь&lt;єX®«»aВ‡ДО•RC~ЈNfч•WV€m D‚bвn”xиҐ=Ї±о:ЭЏe NЦЎ`d IZ«ь ‡U—qF irK8ДЪ Txz H*ЏУ3 `fяуt`™ ;p \zК Љ€zAАnю^ cЖHЗ =х GЌ &lt;LВ†{7F¬»…ьЂE Hґµ}ъsзYРбiлу¦ L— 8&gt;h eЄ›®п kNуvMZЊ·Олџя DQшС XDЎ`иMйЁ!? AqЉ¬ p?xА g3°QgР 9rЄ№ПҐ `ёЈНЄuуv Ly 3‘ 8Z«ь ЋNB†9юъ 8эс5нhBб™ U\ўA‹ 8« El C€ TъgDљ Z‘ыЧОМ DЋ~яуdp­ pKЃtК&lt;c8‹ cNйpHЖ [CSЗє IZyt “ЄаР\ТT8Yв‚ I™X{ 9‰љBZЉSy…і‰K EJ3ъї Љo6К XЉЄ [† Iu§` I` nhe58¤єХ’­Х—мИVХКrёўе q=“KT 6® †lO•ф fW— OIUо` Љ…Kмж† xL»«аВ :ЃWјЂTТ kYЁH­ T»яуtpЄ =dХrК&lt;cJ @A ]йи@Dђ o_№w8“ЂM †[Dj KЂ KУС C„ ‰Ioж7 OEЌuНѕэw=Џ WKs Yўjќ H Iu G[Jn UЂк Љ9x ‰tѓO± LAТ Wzn&lt;µСZD 8и ‰LBм’ K]опµЂ= Q”·6¬›«R°PоU«N 4`€рҐvK*Я \Л 9МvxЛ6‡Х~ЛVщSШш‹…‰Tр]?иеr©Jд] NU •p3В6яуd`ґ ;| Z{ ‘Sc zAрJтV@Д WВ&lt; CдБС@Р«АЙй ]‡ ^ЭLЖ C@L} ]Уђ rBQh‡ґ9‚ {XC LЗЈФ‘F KDUG—[uвФ VYЎ@ІАв­[M ;Џј§r­]c”Е\Ј§~•ф[ ^HҐџкїr 4ЌЂШ †Ѓ[ЛС}CX TfvbњХ• RЅ=‘Ґ¤п^юJ±ОеБјҐ…Pяуt`Ї oGЩvЛ WCJ u3fн–@FH eГдПО qXп&lt;’ UbGЕOљ cл ]bFќn§Ј“{hЇbJ dјЪwьґ 9dАа“—ЫkГЭBЅ [w\оЮ_KЅ X»5 aхWџd7СЏE G‚B3 ‡c“Ґ &gt;8у‰§ЅкKiC¤Еm¬сcЬVЉйQ• 3T“Є«ь KB 3DL 9†oЯ Ki?Ы XRёнcхµґ¬°п‘5« HZEBьЦјлv¤х·ХЩ”яуd`Ѕ o;џzЛ _BH D9:ъV cДђe ’VЄ„ @н:Е9mL® ^Е—дЙ Њ=ЫU[” A±‘№ж»nз№ RСґ AWJVOUO—ум·TыжEoB3С FкЧKЧЮUVAТ &gt;ЈЮеєМЌD Z·ъ6K=@ FXЎ `Uб =Ў`РВb‹DҐЃe€ ZРъ Wў‚nћFSФу bRЏеol=Ї·ZљЬ Lяуt`Є!;СzК KbJ B‰ЄцVHД”Љ№E 3жI EqЎd ?jЗ¬ ^‘№ D»®яAЭхјРЛЦљZњ`s iph„P: D&gt;D° „‰6 :Pe arNADkFМ | †–Lzh cрй}ХЯmўХ &lt;СЦЛєв™RmЎµ BP©eZЁ †x&gt;ЃЪ S]jэlДИFfЄГлhпFzќ bї Yзг‹Кк Nsй 7а •O‚8®°b X‰„ &gt;xяO NYMцюїOяуd`ѕ ;”џxЪ ScH u~Iс¶ cЂ 3­v+яня5їяъюИ€3I MЇдЂKF=Ў FЖх¶ ;Ъ‘Ы ExЪ‡ѕ UЌD… „Ѓ5„ @MЎm q:XГ„Ф ђYЅ oa}МZ t‡&lt;ScТэе”ЭМЃЂnejњ`rЉ 8Р ;R &gt;с:¦ ЂTЙ WMY…ј¦ `ф}ужfїкіSmgВ–“ L™ —Yљм^яуt`ё &lt;&lt; btК cc WЏШ‚цVXЖHr™ж Hnub†µ 9SЁѓФЪ]\«љЦўм8ЉbйcяЭЂ`} MY3 F4щВ¶ЋH€СЗБ«њ]„вЪєУ —]h T“s 6Џe ^kРКQ JNЇЭ{»® ^ФжTPf•jё NP HЇHRW•Ѕo}Д Iq {Uљ 4]КЛT§ъEМз9УR№ IХV S&lt;йzвТґ I°"J WЂ 6­›xҐBпїИмњ±:ђяуd`Б ;њУx{ ~VJ t3ZъVHF [‹Ч ]ґў 4ЂhxЁm¦ФµRJz [°§з ?џ•9Oдфљu]—ҐЩ{ЦюЩLvTҐ¬а…P†h Wыk?fc e|е \© &gt;vьPҐоєЇn 3ѕ’ P‹ёjЉГ¬ЦХх: Pгђ ‹`Ю LK› Dю§O b&lt;ИЦм~Ґeю[элzЄ A‚·Б8Nрx EiГ¤ћяуt`ї ;|џvК –VH Bщ’н–@Д”–3¬хЋi Љ&lt;uфҐWЩ UІzЗ ]ч †E… EБЉ •@=fM ‚w6ЂКЪ ‹OҐ Q}ZћШгДR›µ O@tp D…‡ 3Џ±}љђK G»e ?Ї‰•pК UЂ•Z–Єш wWИ’®Ъnб E&gt;у{R”ь‚РК8Й ;№ J‘МЩF@ЎXоGQ_­„;b CиеЁ e=д ‘=Иіm} bЯTЛя–ьЦИ G4ў^яуd`О &lt;&lt;№zЛ&lt;cH uSrх¶ KFHЪ jAхT od6•«ѓ¤ ]™тфвГ T]W ’c6ђt°\ _Ђ4sШ{AV©з‹оИD Њ]¶ _•8`ъу5ч«е’МfQЪч [ЯfZї 7ЖЃ eв GJoќF E8FЉ I¦ GAd wHь© ]Z‹Ўv}R[Ћ i†BЃБДґ mDЁУZYсA!Lґ QZИ A: ]яуt`В &lt;} FtК&lt; VZ A8^йґ cЖH HE A±йы Dњх 3џУ `\ vЋdc g6g_ E…В SшТ WЌµ¬ IQ— SнЇд AІЅ„ TРp№¦R ;Л S{№jіµ{=lE‡ЫЧPD—Єкїь X3 j&lt;MЋЗїЌW MЩ y~9б xD™ђШ№ eы V:зFќЉJЭнѓ3 †[И ;c rnhU3’м ?!= o&gt;”ќ` ‡TKS‡ J9ыќ K3 ^­tў[’Hпяуd`Р ;ДЌtz ЉUH Ah Iй” KЂ 3щ ~vBЭsE*S*€hOo s—@‘ D­jPб”ІҐяьњОxLБ Sш DДY–kReoћ ]Њ‘љ &lt;ЛИ9OJНіtU _µl©9pDЄТ‰UяЂС8 ђxWRлµ&lt;V v?о JЇ ‰Gzз{ЮдWыЬіџiПor?юи№ ^nSb;g^ F‡ SeoН _›©яуt`Л &lt;dЈvК&lt; UH w9тV@Жpм mOюѕў=оm [… O•4—ъ rJҐLGO :f MИu4sЇѓ TБмR d©ѕ…¦°РMЙњ} Ah DаР ?X№‚дZУ‚Џlэ HюЪzќ¤•«ЄЇ</t>
  </si>
  <si>
    <t>C=№ EeОBеТЇѕз —LЛ zFХЇ]N‰ћw—GZRщ&gt;ф}{ ]Ѓл XMюцШюІPЮЩchЊХА9 }6Т¶џЌ VљЈЖ 7ВPXђ&gt;ГNё; 5_™јВРYCKTћA Go|ъ?л¬еЛUЛa›Y J–пЄл‘Ђ\ CѓТ»ёюЫ¦ґЇьЪ—AlЌKјB^ D*oл±™ьЩяуdpЎ ;± F{ ђ_bZ tSfъ ncFH¤7 KI5Ш¶џ …VџЙ3ќяИп:“Jіч4&gt; ;ЫЙ 7Ю Yb 6ek h4µ [цъ¤ 3IN№Vј Sh F· IIТd”b=Г°± Ct IY’у¦ЪјУE [e хi{ЋЎ©` BвҐ :јІ™Я‰»Тх•В Z—ЧЫ eђD [Ъ€ХmА ?ЊВ@Qc aОкc\PU ^яуt`ћ &lt;‰ 6xЛ ccZ uC^к4@FH±І№gDr?G^Ф{ЅљОG­тZЅЭjЭJпwVvЭ HM dTkАЃaў` Xo€с qEs 4№Мж№DђS®Dє§ †G6 €Ѓ[p8№AQ \АTUО ul5Ї[љb«i \Y 7›Ї UЖк‘ЉЪо‡нesєч T…’ FFЌ: eЂ Љ[дM5_ѓ‹ 6‚ a­\‘Ђ Tf Gў—ъй AРb¤ 8ЛђТА AґР Ћ3яуd`Ё oWЧ{ ^4BJ Aђ UтVHD fm&lt;Ђ dБшm T:љёд Ѓ3Ц]¦ x@5НMЏOИ {?d•V™ѓ ]^д \«r 4P EЈ‡„ё*ђ&lt;8`„ ~5€ѓ U­ I¬ ^&lt;Н &gt;Nµ•{B}G:іЌjПlѕ‘€ЈB a_ Q{ Tнќ*H [dmUоА e&gt;Ю ЋEН»Чх®ksz &lt;Јi GшK—S V™›зfеяуt`џ ;ЊAy ђ’‰ЉtvYс¶ cД 3Х OЏ3 VЯѕµgJРч:]ч{n ;s G{t­Ћх &lt;Ўўчm­NGЦH4FТљќ p°t@ЮO|Ќ 3] Xџђ°©А\6л MЫjHхЅh–&gt; ZqЦҐПcфbЇт4э Mќaµ ‰Uц’·n&lt;DЈi_т` ђ_Ё•6u»*ы_yxфЌЋ&gt;ѕD BЇF&lt;т4У&gt;‘”П’{Tg?Mѕ yG• zTЉ3 ”B=`cяуd`µ ;|Йy ^&lt;bJ AxnоVHFHЗШ LЬѓU… ?уjvQЫрГсD6’KЋUT“  oz;sf¤йЩhlpт­¦ц‘BбY¦g bЯО~њ›фy4ZUћХµпzт [цї_“NMd [C™7E oЉЌOdХNP WpV Id Џq;Д›† GЃђ &lt;гЪ`HLБ XјYµСKКЊ ђЃUўеVm 8яуtpІ &lt;P±y ^&lt;cH AбћнмXД”Ь ]¤V W№CTЋ;cMЪЖђjиГxіќC€VЉrЙ Fпж  †ЋA¬† ЉQhuЫ‡Y T–\ u‰eВЌ[ eur 7† ;ЦДЉ’*Qq{eЋ ЋbZ©n¤Ъ•=рq§ҐJЫµЛe8ЫUьђ &lt;га tn&lt;EЉ8чЪ•ВH:&gt;ЕКEВН ‡W†і? Y№}п•Л3 Jь€ў MЖfp4 `џу3R¤b™¬K…Ияуd`ї ;| ^y ‘Љ‰zBИfъV8ДH &lt;… rC: aФ…„NS [—п іЦЉ@ Uѕ™ZQЂЛD u‚Vч8 nM: vto:ЁTiTЌJШ UA B¬;j ^bU =‰ ЃMxdш ђN@ѕЯЬ—µґ=hEОHоК aXT¶©«ь4RFJjћ«лЫ 8ы] W]њIЛУ¶ L•n= _иЏпЩдUШЩэWЃ©C 7яуt`· &lt;ИХzЫ OcJ BXBо6 cF WЋP­ю· AЭm„bЌД7 @€I 9‹ R6ЧЄЎS `№x«тцtkBъє¤ 3@€mя3RбxГ @Z 5Bd‚ ^СѕЫз“Дx ^ё GщkњЭЉм ~=Ћk” SохцЮЂQoЄ«ш8„аҐ5УЏћm‹ 3„4 xT4ЬN@НёFЕщК} K‘°vиі ?ќ vAP I–У„ =ё6h eЦ­МWXУДj =њўќхяуdpѕ &lt;ЂХvК ccJ ?P =н\8 f4– Hф E]nЖЄїБ‹ q3­фюЫ6V¬ХaЕk» WD 8ыџЅ№VРЮЭ7“4тпVCПFЩ{”zEД S[ &lt;·­цLЩя vbmН q3Ўkкїь =ЕЂ– QOўп§уГХҐњ&lt;Яg E„­Г _њ‹ a3еЩЪsж]:O :3 Ћ]¦Аџ dУщz„Єd Ѓ;…яуt`» ;dixК ЉV6 BБљтT cД” 4рЩЃDёЪФ–7 cu&gt;® _Ц6ЛњiXЈiХяѓ G9 7ЎЈФGэ€’:‘ВEђWµ3 V=?ҐlC~йФ€ЫU­T dЭЋVFUWі}Б’ &lt;А 6лL¶|UM Zu^ЋХиТ Ob]ЦЇш A¬F i&lt;€Ґ[ФЩBb‘ГЖdtlDУ5 NЈЊрP©&gt;@Мµ BOО wLжOЕ9T ;FSЙИ€®„K 7±н =Ђ Oяуd`Л &lt;xПxК _cJ C‘–сґ cД”Ў€ 6• ’]И ~5џЄі ?Чд•г®љФ`bБ 3*µ e^жЬJ 5D:D[ afцк^yeХv]ъПт_gЮт¦ЙТ®tbYЉКV¶ ќзSлСХ TІЦ @© 3Uћ¦«q 3b*ђvY&gt;RЁЯ±в™¦;‹Q¤yМ…І|П Uмл zbџ—bр‚4•Ј—Т~яуt`ё &lt;€УxК ЉVJ B‰Ос–@Д”*њђ=qґ–…@Ќ:‰C6Ѕ h?Ѕ H68bчї {Sє PЁХJ †Љ–…HqoI5Є~¤Ы qe‘П§g™пщ]ї« KП™мЉНк A¤›om WQ NйцWыёѕ&gt;Э7© 3ЎЄкїь ?W f–_` QmZN=ЗTт Q8 adтІy DRьПЫNїk‘ [ЊЁg№ =тЃ8В`Ud IY‡ iU@ C}Д ShMГ 6•јЁяуd`А ;АНxЛ ’VJ tL&gt;тV@Дђ HZоћtт D\X”†‘ЗU№ 3aC ђ&gt;с†щЗ}њБљ 3њ [ЂКЉ’Ьлљк]H•Є;­I {d» xѓGA‡РЇ 5Ж™Я_ф &gt;:ќк@¦х FuыЊ sQЗЕ*бZ№KЭЅщfИ¤4` MGЋ PЎџJзМІРЈя &gt;D ]®\A 7ВbАЂЎBр UЗ яуt`ј &lt;X«xК _bH Ax^тV c†HёЕ“cђчд«b”z 6gJіЪлЁЂ ^© G«\ Ih X»· Ly‘«¶ UёDLє 4АЙњеUX[±SЧ5 `“ЯвлSMє¤Ўx­lЄµј®еg™Vт† 3DЁС‰U…Ррёm{ IШфµ \}zVµ? DЕ–№В &lt;щ9eЈнУЋЮ~—8‚±еRч YM ucЃЖP Ts 7Ћ :љ‡ґЎг„Ќ© 6Fmю MыXХяуd`К oKџxЫ –VH tSVкT`F [’•r8єч ~GВ 4X4 hTT 9pyіЂcгRђйс‹4ЈT­Џ¬К ‹dЄ±Б°№Ч‘ D›zМ Tп &gt;WжHWҐ W6ЦЊ«џ]YЂHКR©Uя…c‹ &lt;кЖХЁ{ xKH =kУ Oa‘abdОX9ВЕ‡b HЁЄ\Л 8Њ 8ВБх {z9Л Nr„ 4QP 4ХЖ Hяуt`Г o7Ќw ]&lt;cH BШ&gt;тV KF WЦВхе kKїvrщ` NЌ [’Хр;‡– ]&gt;D_5О¤G^HЧ‹DєіиЧ·«ыУ­ЬкzT©7 PJ 7‹П^D VтҐХI ]шCщ;}· JBi–їь hm6Qй F»ћ_ xBЮI•LбЛ{сЎ‚Й—Щs€ €V§ Џ[h z~CґH SХ‰БpЩПЉ XГў¶ф ‘aеSЬ»рѕь b343ящПяю CЭЦяуd`О ;° by ]&lt; ‰ЉAЎ^оT c„ђR 6Т„’jЂ„ 7ЕійqИм AК† qK|@E c№”ЂQ `&lt;ч &gt;µЈH_s AЁ W@€\ш}„аYхђN JЅ—№· “ЅLЁBЕeZ« i5 H {ЃG±›7 eЎ°ЯXМЗA[¬”к a] _йkПншфт6ЪЎъС© 5[ 3пbе“YXБІ–рь·’hЅяуtpЙ &lt;ЭAvК ?cZ B@bйp@FHb9хУo&lt;xuҐкR ?ЧКХМЇжгm bф8ЈµПr» \FWд|›AD8Fе 8[ †lЂ\m¦П FZ T9*• Ih Љ_Q°бі @&gt;uL4нФ Wц—ZпєЎDЂ™¶вUяа „qkKbэEЎ±Ђ }O• RѓА©С`VpГ“ }sEfдЅgД r7гзИЉ h4± CЈ‚ЖЂ 3ШQ‰[ђ[ _b Cґ›†Q±:;ЫяуdpР &lt;Ґ Jvz _cZ B@rхp c†H–P ЌMMWбp 5‰ tCI&lt; 7нИ„F¬Н ~3dЁalDехr —EФVLйђ 5B`лІ„Э UэЉSК„Ш·Pж©ЋE4]WUn ]H™\‰_оP SxZќjn†kФк`LD 5ЌЊ ЋJa ~•J&lt;џу •ЉUkX«іW Bi–lW]ЊЯiЬзГҐк A&lt;к`эяуt`А ;А9xЪ Љ‰ЉBёnнґH„Hѕ¤ЦБ 8ѕх DЬ’ЧН 5HїУTњ i4B€ O` Af°И„Hpш ‚_xbЛ8z*и †€Kс 6ђ cPК x[6§PлS AJЌ©чйЭAoщ Dlo a•ъля‘Ѓ 3hҐ*b6q=їОйKп}ФЌ aiє‡:OД •Vб ЌCЮСHylKаФЪЁЂ€©M N§± du¶ Wїн–хя3мIњ 8Г®q SґќфеH5яуd`О ;дЧ{ ‘–VJ A° Mо6 \Ђ 3W; {8єжЄё5 z_Ѓ— \‘рзhVЉ4вЪ¤дef&gt;ЭчѕґVРAs 5Ж Ђ‡W yУѓ :©ГЙ 7Юe4±_ХB»¬ =д]PD›Ujё ’cWl¬Щс bљТµЕЙR aE 8Wm }eбтыy DOУќФ“fґи;Ў‡Ab*@lh¤›ДбтF CAп WяуtpЗ &lt;б 4xЛ&lt;cZ uЏ=йX KДpЪ ka† 6vЉ ]KJніч W”њr W’N 6PQњ*xeЎАYЗАђВ 5Heз `cРЕ \ґ‘•]лB &gt;Vхф p‚4Ъж \иRіlv­њЏPQo™Єш KR 9КЉ—ЮТГ A8±Њ¶ 7¬n‰ 7] &gt;Wy·vL“|Ў™9е &gt;¦„ †UOЪ w[HIпщеЙy Y^џ•ыЖоPНк JЅ~ыµN X;Пњ Ev¤ MОяуdpО oKЎtК&lt;cH @ё Yт 7@„ 3l‹–I y`‰Чт –“v]RKУ|7Г ;ЃЈ €ci =eЄ GЎЙo bkћ N{ “QЖЁ ЋX&lt;ѓ C3soЉ WJa!DСJ]\;ґ»эл ҐF«ї‘ЂДe ‚Yр&gt;RGRх6вХUj¶ R— DyEї‚ QгЃњќzEЉЈ› @† OIf… XЊ 3ПьзхЋ¤Nfdяуt`Й pT3vК ccZ B°NцVHD [Щm§i GVs —V¶ FwГKЭsмхґ‰ЌЄ¦GбЖйе€ XЅФi¬•Q… Tљ™riЇIV¤‘ WµЮ] ФaюЈПnµ G‚ ETC F4€Ў±є c“ ;K€ ҐZЄяqЃTв C‰ P‰|¶z№я Iуg [ICХ‰UЩШN e°ЌФж \P D»vО 7В :q@L— ЊGЎ©&gt; a‡&lt; 8i dБђЌЖf’тяtm§KяуdpМ Aq3pЛ&lt;ЖZ„ђRбXHД [¤rXyНZsжЈ8 I:С{Ю Eћ=6Jбу5}_ђ„ 4 Й `v zLШ°г„[ҐEЃ T@ My5ќ3ѓ|янј A№’Э 8№ї chѓUЦж©`е–©¶дђ lC;…c UК Nk=…еЕs]d Mш Љkq^*­ cкu `ЁOVі”Ћщ’ L‹4ж €&lt;VНu KтwяуtpБ &gt;m NtЛ&lt;cZ &gt;И&gt;нXA„ ‹YГСМъ© _Q WПNТ3 Vb ЊeьбCИч Tиъ `ј4ё eж8S^Ѓ HѕjФ 6ЃСЁ ZІЧ•± eҐrЂ¶6 XЁзLт:«zу›СУYdk¶‹E _й Cджшb cИелSp 9°|ИэдFu “^}ЫЮІ 6Іќ‘ eQ‹ўэU&lt;Щ ?ўo№^ Dx_ _Цќr†X SP„•AЗу@’щмд Bq X8H‚ S*bаяуdpЙ qwFtП&lt;cZ &gt;‘NеX cД‘5K№ _с‘о‘пиUj·]VЫ  ?Р№ G„I EipЉ 4ЂЪA§Cљнu `Eп DOќ6|&gt;‘ЎтaуiЎC x]’c Eє `k [ЙуF QЫє@анҐ«ЬЂ]Рш`IЧЯыхг¶Њ!Fa*°Й 7vЩѕА‘о†l KiҐ6±ЅNЦ6eТ‚ †V@ў KќяуtpЅ &lt;¬Пrk&lt;cJ AАNн\@F ЋWr ?ъ Dk EЋб SЁ… gC‹MЪ ^yqфєіЋB I¬пbСn ЌNM№ Xа@АЋ7Wб LvНБ ‹WИcцw YШ™Џї5’љЄќј V›yЯжOъ5ТPh Jњ8ўДќqЖ‡^gGх @K­мвПЋ zX•«nЃzdhр P6 Mї^6Ыe cт4{]MО™Yќ:jяO VЋK¬ Rўd„G vЊЩ ^‡ aZCяуd`З p[Эt{ –VJ C±fц^@Жђ{еIЗ s3ѓЃ3CNЂX‡ d­ UaБ7№уЈ HО \[«Є­Ъ 9ЉH¦‡V€ШДlДdО:З vЊlvcт K§™ t&gt;Ќ&gt;6 c°тм ]` Yuі¬r x]У5Рх6 Uѕ’cYu H?a aЧLЎ` Dd•jWЃc8 BЎ {cХ `њШ M¤tґ Rк\†р]|ј Qpяуt`® &lt;ёНtЛ WcJ Ch^н– cFH8чѓoqBgЖА wSтвЗЃ c@ hЂAЛ 9\ Y¶Рд¦^5 F^¤њ Da 9=KМЃ|zµm ]Уp miMјЅЊR eњ ‰7”љ k6ДћЦ¶q;‘ HмЕ8©А KСИS 6Є&gt;Т•iq` 8ІЌ ICЮ bн‹ыСЁfѕкїs 4ўџ W–ЉјЗ~ dХЪy«р}ЌЎ ^и;&gt;V3Г]Ћџ‘_¤WC†E›ђћЊkяуd`± &lt;4WvЛ Wc6 A€^щ– cFJі©М [ў ”vFњ †GZЂMJ— z9ЅьХ &lt;РЯў ^Т ^s eФо 5‰ cЎ 4Kjhж5zћ} ЂX[ST”ЭIо‹SiwыљQ‡ OsCЛ ЉxZBШeъ–Юр…= Eї± 5іуќRЂ™}VЇs 3Ё }Rђ bЫ=онЙ &lt;EZ =G&lt;БyNмYџ‘з‘ aџяуt`Ё oO·xЛ ccH Ba Yн– K„ђ MІфі{ѓ5[ aуC Ei= [Ж… C&lt;иг‡Љ oQаd·‹dоЖ `r RҐ5X Ї”V§h |f?B`ђ o4А 4G†Еѓ 3c =® ‰SI[9 NТ daв [P8 }f&gt;†Ж‡ ~[“г_ EЎ›IўЪ‘©г•^кф№ъ 3D•є«эм 4XRx±kйл=ОT®NFѕ V°tTИЃ=O UПMu ^еP ЂANю’&lt;4яуd`ґ ;р·xЛ _cH B° Uн– KF 34Љ IЕ e‚ \6ИHИYќ8 u9§љ]Иq aОµ3Гд &lt;№nц _”•ЮZ©x ~_4“ 6Лпґw L«BЫч €8XД*њџ¶ d=Lc `ёБУd‡ @ЉЩuњ*Sц BЈЭэlЂ7®@H“ MQWоа 6з…e 7ЙF[ []NFКЊ Xй 9ГЮ4¦LЫУЋ}5 aGяуt`Ё &lt;Ы{ Ѓ_cJ @А~т6 cЖHЫС©т L¬ @еY®f KђФsЮђЎ vЏ &lt;¤U \Y‚ Dб9 @†; @ЙяR—YF ^ЭWrр XФ –‰=:ЫЅvЇ… 8~ТQ Aв T№ FлSћ¬юЫR p;Ш cС›µ«…фG5·;¶ћа;эЯЏr@EmUjrЂ† LCхµv›zЧ D‰ ?€ WCЖ*›A6 GBљ­П ”RPЌ&lt;ЛрОljЃ¬ ‡VQCЖАяуd`· &lt;t·{ ‘WcH @иrц6@ЖHмsћ R: qO„ш eђBxЛЄMЗ=ЅU ?є–kК«щ° ѓM4 [ю_LКj jGЌю T†@йBIќФ „EШҐЉH¬ _† ЃЋw[ЫЗќ=3ІўЊ bњХ;PIGсrі aP№UЄw 3tЙrи„љґ Z•ІIЊxј e—6 eзH WUsЬ^Y} _ьЌ =Ц eЏяуt`® oc©vЛ –VH uK~х– cD*H N*є= ЃKр°L b8 4j 5а `Ж 6«&lt;¶ pUєP \M€ ZН¶ћ _*‘ZљmЗx 4ЂР 7J7ш°ОЌ©“№CВріђR™xц±‚¬x™Ћs 8Я@Ђ ”{ucХЗ LZ—b [№ЉoЧr ‰8Qµ`UжjU|ј q~VDъ«„=ьZЖ”М aЧsAцЕV 7«¤=ќ} JЙs‹і Rнrџ©ќфвђc6PЃ Tяуdp» &lt;\ЈxЛ WCH uSrю jcЖH‚Ѓ¦›ZeЄDYмў‰ ?4Нх V¶У USLэ8 :O!&gt; `RРђN‚Ыл NW {FX rt@ПћtжЪR*¶Ўu &gt;Ё ”E*Uњsсј¶aн«ЄбW dЫРо@ћ ‚MUgХjwЂ Љj;BТ7І pO¬X№QP`H „n7Ж _у‚ \cљ–XХ 7— Ox ЂcАqіяуt`® ;М±zЫ WcH AаnхЋHFJА C: GФX« ]5 3O ѓuXTS Ze \k FРQDЃ WЊҐЄ\ 5ў3 SФ :@° vym6‚p EH„ѓй©љ¦8«\‘ S8ђ xs&gt;ќІUЊІyЭЇЊj aCџжўЭїХљLZ‰· W—Ђѕх°Ђ ѓDэуї­RгсПpfy ?ґп•Ц Eќ @WTґюЄLкпCЌ 9s \g; WЊ ]a Ћђ45@ xL ђ‰sTёlяуd`ї ;l bxЛ Kc ЉAh QтVHА 3ъ :”ЈЫПјџйFµ _ЌЄ©° ‚H4И fl–‡9[ YSњ i=ЏB№qW ‚QЧ° Y=nљst„¬i•&lt;… ZШѕ `Х: YMіҐ@« HЫЭo aҐ™Єїs 4Q _B 6¤B ѓ\•џйУґЈаЌ e¦ы‘pБ u[ЉXҐЫ=¶:ћ ^ћ]gИЈќЯ X= a~AЭ:яуt`Ѕ &lt;ђ«{ b&lt;eH AШ Mн–HА 3I DпЩ·мєMU6щ¶¬Ч…ЮёпqE6­ЌUЌyЩTЇЅЫгЫя~Р \•ZT 7‰ѓ9П c§ёsоjfrГњх Yъї WЏбCпеяіЯЈ ѓt‘\:©c 8љ ;¤ 7H·южЬ“p cO: `:YчYж№и [ЉdDФЙ¤d@ 3;™~ЋDя¬ПЭ~‘OЙбд°ЦЁф EБ SА: El aу‡ CYкYІАяуdpИ q[ЫtЛ cfJ‹й†е*X†ђб Dн Iн ‡P@¦{ UЇ wE‘ъщЄw 4rD mљ @}Ћ’HЪ MG† UvQjxйІЊЋtэ H° S† :© ~R{В©hэ{дiРЉ K®њ UEЧ5ЯҐЪЂV_э8 8GЙжzіА«Нвс&lt;Ьk¦Зj IGќпѓeV§Ds№imRо–ЩЄЧЋHqQ Vљв­4яуt`є &lt; Ї{ …’VH AР†н–xFH†ЯrшҐ =q Kю»ФзпЌЯE [—|µSp _Ђv;e D*и¤Ћ d• E‹ 8љв 7HЎ«¦І– vYµОёB•Ѓb dзЬ– D}ЬnІЩ6 |‰`ј ?ъ}кцФdUjпw 3бq lz4°&gt;h] Z9ЪЩm|–C»WуіB FЪTВ–ЭMЅыз4жЖ VXЬP ~O; ‘ZЫЭЩЦЁw HЪa [є G– ]9г H‚Ђр&gt;яуd`Д n_ќx·&lt;BI AаVн–H† Ћ_T Ah*qw›nIѓ•s©Y :э|&gt;rҐVг ЏZ …њ tI„_ bѕu”qAЪM†3РХЮэщ‚!U4 Uщ Mцµ7ћx ]b FB„І86ЂБ W… ЊЂъµjќаX¬&gt; YY¤ИsмеіH VBb d’ sCX“ЗEgѕ®ЧйД 4Љs V9 ag: PL \ас 3яуtpВ &gt;pїrЛ _ЙH sd^йpHЖ‘ CЃк&gt;°C&lt;t*к s9СCЗъV VЬЗДкФfъ 4QЙ Wi¶п SeD SЂа I Иp c=`PDB›…ДоPwЅІ Srbй F†И igTЌ OС ЏJЭЪЉPыг¶ЄЬ®‡ЅM‡ 3–~кяqЃІМџВfµч6·ќг:® 9CX‡ @Л4xАЎ HпuђsцЙђЂD… ’Fc@°ЃСfВ¤Ј EK ]©Ж ZT5яуdpД &lt;HЈx{ ЉUH u36ъ j;D Љ‹„E‡РмЇ ?ґѕЙyv KТ“–су?5 J‚ ”YлГ6р ~?–ЦюЄч †v`a‘ВЅ \Ф H]™mCЦ‰њыЪ\йхM:¬Ох–SПъ LV¤і•ъ B&lt;h 7uСвЎZ|тSsЮ?‹ T»лъЮ t3HЙ6ЄЅД l;Ђ hs;ЙпЅХЅ e”лЁ ”&gt;ѓVҐ Sяуt`ё &gt;y bxЛ&lt;cZ vL~т6 KДђЁиЩЦTкД:&lt;мWsнЄJRЖW{ CЄ W¤b D]њЂЫ \ЊИц XКc ^jТ«7Іt PтчхДЬр‰ JYШL  aW¶] 58Ѓ fSЏхc] G« 8h5Я«jю®ЏoЬНT±Щ^яVPLPЭ ZЙ [І^Ф G№`QЭU«ь&lt;– R’ ?”ЪЅ{ПnѓјљGMLтвґШЧу=:…с7k3·uО Ylю Cяуdp® =93w ЃcBZ r\Bсм8„ђ kLхҐќ№І EnKС =Ђ Ћ€ЌB†њikШ‚вЏ Hw 3·_mu‡R‰ІЖЪЇе C T] mCѕђ N¤R ђ?ђњЃУ ctzM• GІJщГF 6ВҐ 5b¤M­ Hќ№®Љ‘ћн‘ QСЧB9 }XкPпц SU S’я–ЇrЂ6 gw„Yf Jз• ]Ъ›*ЧMHшяуt`¦ &lt;њУtК ccJ C`rтVPЖH B©УШљьбoТ^ ѓY|ҐYI Qj«оQЏ ^wцЂ‚GЮ „ЉX!I aXгРЌ5]kл©g«ъл XI GMХS` dQ`A 7Т ‰OЂ±б ЋђlA‹­O i&gt;ЬXѓ Vuи9jђUН J&lt;›6€6ѕ¶hїъЏhqt EЊцЄщ°@ыUЇrЂБрФРЪX¶ћІ]йЦ¦ ?©О C=н;П8K b»ћ©»UНnq ?яуd`Є ;аїxЛ WcH A  IтVXЂ 3зьЄt ѓ&lt;†^L6 }Gi cФЛM TГ E†PЦ 8ЪЗ§Zzцv Џ7… NЕ’‘ L«ЂHЁРa”бЦ 5bд &lt;€JЋ Ќ€CG wMBiҐ‰тн cҐћС*  SxЅа ‘`*ы `ЈRђ WЄV©М k=€ ?–ЎeШ CJ DF6Ёv mup_*\ ЋYBJ nOPј cР KяуtpЈ o?ЇvЛ4cH s†Qо ;Z@ 3¬ Ѓ4“ ђ6Y‡ Wа 7BЃ KҐ T­Нт &gt;}ЊL[ 6Ј«ы¬©`}т«N`:Б’Љ« =Г v@°Ќ№ PkСzЗBсЄjЮ OBл b?YPa“Ё 5љQs–џK„ 6ъ®Z? bS&gt;ґz}кѕ HZ“ xф ‚ѓWЧлk[ҐJ– [‰у V…3”QXнSІН LЋ|fЛґч S¦”ђ« d‹Y Xl Tђ“ ?‘6Аq© Bяуd`№ ;Њ dw ЃЉ€ЉAЁzй–HFH‚ V­xх“ &lt;Сч°eЗ4}нM SC gWZW 4ЂЎЗФ 8A 8ЙЋБ SD IТy “MАЬwZп sM}¦€ ЏW›…ЂFђH\&lt;Д¶ &lt;‘ PЙYoFµ Tlwзve@VZ–ЄN gD„ 3ў @ЩnB7№ X„9 h:МњОenяЗ;рM G°њўШU @ќm—T dEhTяуt`µ &lt;L№t{ ccH AшBй¶ cЖ WM`k `TБТ &gt;3 v}IєЖ 3—ЏСsh№wЎяЩA Љ8\m WњА 5•`Ц`а‹ьЫ cQPQЂ –CD`ВM9yСH Eьй Y‹ &lt;AЄ†PЦїЏ KGBSоEzђџ} 8Ф*¦Єї{ЃЂИr oGg· P9Л^`ёQыЎ d— Cђм ‰el‹ [Tя ]у»Yэ†ЊNКМТ h9їСа wUи hC¤ _х&gt;•лЦН _яуdpБ ;фї|Л WcI APZт jc„ [KJ E®ЏE 9@leVќаpe¤™‹9=и—eзІЄ –\т p UDauЂAИ|@Ц oI“Т‡&lt; C8l  †N° 3aИе XlЭй– \э `­` PҐj•а cґ`ЛcКlЭTVfЌwЊ3 Fзajх =yВPD @аGИ7±9ЃґєG 4§E KGjгщК|`fяуt`» ;иµvЛ ccH B€vе– cДHЕKБй [БbЇЈЏ Xчg &lt;¦YѕђИяъp ;PГЋѓв«”bZk 9e– KД АеҐў7 4Ю 6© :ЂF ME«c @Т †ja&lt;еч 8є”]пd­\Ђњ6х\5ч “JљHЧ ”3°Y CЩЂ `ЙFYЫК«Г|*юd*„Ѓ\5P€¬v VТ\Дњ Eыiћ~ж© 4aВ fweР°Xй 6AV4ИтмvzџР\яуd`И ;фПv{ KcJ BАZрО CЖ ]c’• Iњ |N©tЕбХ~њ 3¬Ў:мЩєд 9Шљ° З t&gt;¬?xЧXYп&gt;Ґ hD‘tАУ‰°Љ@ИaвКWsCћдЅєKуЮю­ЙegjїrЃ¤ T° := bў©®_fШµb’ЈW&lt;ХЊfЎ™€ dЁ@ОTЩ`gEЕџxЈ‘¶B ЋoaL &lt;ѓ‰ xWq`яуt`ј &lt;hЎxg WcI @рZро cF ]Њ^§ L™ \иЩ45 J­Цяѕ 6~ ]zJVxL7МTБ:WсчпяшЕь ЏWс`‹ –GЎ7 O¤KЬJІ“ [·ЫC!^и9¶3Нsmу; YТг&gt;ЋҐ TФД Gf :–о`QҐf«nЃ‹ i†B]S [E®Љ¦іЙФ€ВрЋІU `М [cKЯ·`ЉхRг IXў®њ§b Y·g№єЖ anIћ&lt;ші°ЁДџ WяуdpМ &gt;\ЫtЛ ccJ‹бZнp@„‘ҐCўПєњ 9V 3yѓe &gt;5 @VY Yc•є№M sGгЌґЯ ђM?З[\XяЯ MКЛ_ЄЃ_p}¤ :йqЁ9{Q}xж OЌ TоtХ &lt;vQ dc[–fVљN gf;Рћ e№щ AYЫЭќk}jЛ{„Њќа WыТ9џжq„© [Б\и 35РІ“3з|ю LњЏ Iяуtpј q?лrЛ _fZ &gt;Ёbт 3xЖI ђN€a¶ KSTiОДГтЫ •JR‡ґГQл a•ъp B: 4п†С 7Д8&gt;и ђCўё TзG \ЧTДVд &gt;К ‹6gRhт*Љ 4ЬіэЙЈМSCМыМШ•µЇэhD€е¤›rИ &gt;Ђ ^€c–ngъТИNZx `м?‚| K… J¦lG ;© I†ѓ*Ф№«є№€ krM„ЎG B7hЈJДҐђf 8kfDѓoћІ ;Шяуd`И &lt;`ГxЛ`cI t3zио cFJэ»щ=·»~я¤ EЊеY Z@ K&gt;^ЌНў TУР ‹y}4‡ ?5„’^ќ _ ”q 9’aR@V 6…H –‘E!9њi6‘v·¶JК]ц9­є°Amd¤“І EЏ8o &gt;РяейЬє Eѕ`Ё9}”‘Ь@ѓ ]ЕOПLє™ U9 5HQ G™ИtMLъИ Ё}‡ЈЋ SяуtpА &lt;¬ЕuЧ _cJЋИFемXЖ W`гнб‚Э •Kґn zvAѕ]Uh 3§TІ© ђ3ЃҐB¬аhс EЂшаD ncP@ ^XPЛЖµCШ v;Pµ±тЉЅ dpтЖ5Ў‰уdКVќЦ:Џ©Еъ ^ҐZ©¶Ь°ЗБ†№ `fMЯxЧѕ cў W„ J™E ^B” ЊD»e oHц nX@б® WF8€ CФЈQC S KН 6‹ dy‡4 ?мI ?ZЕO‰ 8aБЕЗ FяуdpК o3­uГ ccH AЂ Eйм8Ђ 3z«Pъ©SШF‰¤MUZ€ o4ЂJFbВrчy›:ИGђ“mЎW3f _П8L†щВ—т VОХї6Xv Eм ?Т›ђСqAhГ vY}5z T°Ue–ЄN gCP„ ?„¦ F_ХэЬ«њ ^ВэР©Т ;™Ўп FвЋNр ~XY :bW dВ afв K\`€ |Sd›ВяуtpГ =DБuГ&lt;cH A™zаИHЖ‘ЌKЁ&gt;]ж ЏWVM @вљ‚t eНїBЈ4КТ” A€I 6М№?Ъа™J INTp;АLK MД Tъ’„§Ѕ5б Iљ 4° Ѓ]•cTГЉxэЩ± BЈPХЉ &gt;И]Бe9 Њ3Uџ­IА [h| 3Џ Pi6 Ќ_МЦЏ Lql SґПYм]k Љa¶е~н J·этpі“· Ќ[jаЁkOPBxй [ЙxЦVџ fЋЊE№Dяуd`Й oGЎzЛ WcI Bhnх–H†JA°ёH U‡Cй&gt;\&gt;ВЊЬџЙ©YjUY: k;›Љщ }Cj dц Zj€&gt;u C&lt;XА№л ZљчєБtgЬ ]ў Iѕсч Wl cЦЂ49uЩst Cl­‰щhўЮт Sѓя ђ4±\U5ш8хуfґЦ№ W!UЄ» ‡d№ yQT№eф&lt;– MќѓГ {&lt;°T ?яуt`Ѕ =XЙx» WfK BЁ†с–HFJриL tlop6‚¤ќ ‰†]бkBеяwgяIqr5Ѓ Jюњ hGIEGБ›Фr‹°Lб4 9Eн dQ 9ЂB Љ;ќSБЂ9…&gt;гd–Ѓр›ДЌcZ®­ 5еЏеbоBPXп§л Nr@i¦Єя‘ЃєаZЙADy7Ѕл VД N6 NЉ@ЪВб° \M OЋi CІ ]VжмEW ‰PжЎV•bBtБh¤] @Т;pтяуd`ѕ ;¤Ќvg&lt;cI BHJнn C„ YQћзїQx†:ОeuЛхыщ `Яє7+яАS· EU{ґ rXD @Ќ«·€©Н‘”A4ВA9Жа&gt; :ґЄюЄ—яeYеtјЋGDCєЎ HЪw JЎSLb¶z „S·S 8Хя°©¶мm№ W` ЊT8ћ c;ЫПж*ЮY PЈRҐ^Ьт^l„DјЙ TR ‹Uяуt`¶ =@іvЛ ccHЏйћн¶@D” W3ћI J?Сi `ЫlчBzиpы EиЭб= U№‘ЮУґЇяЪ_x“я JxC9а Tй ЂXµЦЩў VЂq ђ[9jRЄ i4ЌѓeЕ hVК‹r… ?йmо‘Ф4Д їSЦ… ;Z—±·ҐUV®Јmщ@©љ­· WЊ 9ј’¤‰@JOҐCgh‚Xj¦…xдФA Ђ6ЋEM “lЌ=ЄнIљZТ ?ДЊґ 4CqGSяуdp· &lt;Н3~Я WcZ @H Mю ndЂ fd¤’d’IФХ®фЛ [–й‹ ‡ZBtП—§r• aЉ ђCRЛU NЃ уf&lt;й—7w’s^г Kґ;ХV6УRхX?ѓPЉN^внd ]­`J 3P =`p@v ;hd A@хБ l3` J­_ jFНМу 4m ;d“ BгвІS8©ь VҐnW3l aҐQФ*щ“3OKбяуtp® Am drП&lt;ЖZ„° eеpI† 8T“· HЙы¬ „LЗЁtЋЌ®qеЇОрї†RќXp oL¶ ELѓY SзЖ XбЧ e[a K‰®xt’‹ћХ¤ TТ PШњLЃ‘ ЂYSxDр“ 9onйП Xэц¬W— VґЧpЏу=Zл A¤ CҐVЇя‘Ѓ 7љѓXЗ eЌ4Ґ UЗЌ»Н¬G­ JЩx=°Чgs‘–™NЌY†µ BІyiНµ@ЂШ@ SМ &lt;в lfdяуdpє =№ Npє&lt;cZ =АтйиHЖq… @Ѓ‰ j:nL @М|G HУќЌ©—Ф*3 WЂЊу [С«Ўщ©ѓ^Р»TMI?oэа_± E‘ ‹;B 8ЃО`x CG° JA s8Х _ўвzРъѓv \їЊ aЈ¤¦Zй6дђ ;DЙ qbК{]І ’P[&gt;s„n€ъ6ю»ЦN‚¤эZ @њґGоЊcГў ЋWM Hяуtpґ ?‘ JpЛ&lt;ГZ€ †aЭpJL k@Ѓ Ѓ GD _\87Ш T‚ :‡ 4C Tе„@ЏS‹ѓи rvJ@qЇўҐtlnЬ‘ SiЄD– 9!_MД FЎ­|VЦgsKёc [§‘Щ—љъ”т XG†_ DРЯЅПьЊ•‰7°y©А SҐк’_ь 9ЛL‰… Jї*?­Фe„ВaљД&gt;• GgJјK [х Je `”;№ђг V‰VgH T&lt;F C…© QcE jd8чяуdpВ =ґїvП&lt;cH ?y^ймXЖђЊЬх™ tpdCі 4v Y§o?ЈмК ђѓ]ЄIђ `ўH ‚ke®ужs Џ?¶™ er3М9 LоgС*х|ћ–}S§*E 7Є ?ёҐЙ[®iaS &lt;JR»:ЂҐ{й· W 6¦ѓ`  J=пћФЎбєQ€U8E \o©ЄИY™ЎНF YeсІвqНЇнЪЛЭ«яуtpµ &lt;¤­xЫ ccH @ЙRй\HДђЖМ dО’`OZuґчж‰Љ “TУM 7О‹ =ќBЯ¤ЃінќцЯк[ ^Qж U’_ [XЙ aЎ `µьm}і &lt;L W…l• CЁ WoДщYoэҐ©[sЋcwHу›Ті&lt;нp4JП&gt;Н»@ Ћ4&gt;Х9ЂКе E† uW}сlьo{M Xб„X 9ej6СM UdЏУV e„Ю Ѓr@™фb4ТоF I” VЎ ^У8 Ђy’KqяуdpГ =`ЗxП WfJ sIнpHF‘у q@†ћЂРAД 6‚ђѓ IaRЁK Eн=[д 3ЊЧ_VЫ ’9ѓA4PvИњlжЊМ `™ ?ЌМfGCН\Лt?лїЅJµБnm &gt;9­ ]њ K”F FTУіvиыюэЋЂэҐZ“Ђ ”@љxћ}ymъњйАZи \c ’7fUЄдЌЎьo—9a“–·ь`щ‚яуtp¶ =l»u &gt;&lt;cH t—aс\ cD‘l–MЭ 5ХI3ЉC™ MаЩ7 &lt;РH4H WГ UмжZ ]U† ;» RоіЧ _фm W›„ 3 ° Ќ;ў \ШгUиНЙ№…ч &lt;ЉКqњ;хѕ?Хµg |]йћпх RЬНbo·ыBћїЫбµ‘ь;џ°йљЄЬАh]T WЌnuRзвщpМj]b®еюIўYb}лЕ 7¤жќ Љ[д ?д @D ѓAё:Ѕ LЪ›м™ Iяуdpј &lt;|їz{ WcI AЁFсtXЖ XiI e…­SШyBКhL –’”L›ђzРMTъ=HҐIќU’u 4К¤ NиЉvR 9© [°8 C@Ѓ ~_Z Q&gt;e 5† M&gt;‘pІ „Љ–„”ЋBЕ‚ 3№@л„йi ^bdаѓRrЦЩЦЕ96VUeYЄN g;Ёa aо{„Цл DчJЪё8 xFTтЯb’f°„qяуtp° &lt;ШЩp{&lt;cJ CH&gt;б\xД WbЈ–jњЧлЉ fOѓQ _”tPИ U°X ‚V*‹86 nt6° ѓ}[~тG‚d ^Zсd8уп}TЕэR·uWЁ 8И 3т¶ }d&gt;7¬ЧT Ofavc ~V? Ћ@КжgщЪ^s Yъ] YeЉqBЬ­цж p‹UҐUZЇs*Ѓ ~Yb Q•ЯqћЖmN KЂ ‰sЉ&lt;Њ 5… ;И ``фНзRД FЧМхfђЬСѕ© [яуdpі p_«vЛ&lt;cI ?a&gt;йXxF‘ –yY;µ p—DЎ eЎ THл @‰ДIs K‡ @[ EЂВ?дТљ Xf*Є” hо TРgЛ†tn E CСБ UУIя =†ЈЂЪ8‰ґ4iт` X‹“c“ y9њ ‚q‘Ћ4&gt;&lt;О› 6пR FGу@Щi; aK dЎ eЕ E¦ZfЄN g[BЗй ЌwJpн Qµу~№ Aяуt`« p;ЕtЛ –VJ Dhћщ–xFN S¤ Џ=]s TF 5‘ @зґSDt _иT{в KЕ ЃC§пb8± Y§IРЃ’ѓ ]Њm C`ЉҐ MxйC =s [ZшЇ~Eћ¦х UЛ MI aP TћсЃYсчYж CЎ GD UD Nі8ВVЦw ^Qw­]хkLнTнf IЋ JxБ› ?ЂU*•jN 4F4[Т–&lt;ыs®Ѕ5G7µrU [К ?№ _XoўGоэґїЊьК SяуdpЁ p7ПxЛ&lt;ЈK &gt;ЙVйp@D‘ь”pн Љc7вQO g•?”C‚Ѓђ|В xMЦЕФЏ ]а•¦й»kС™D№ OI W›№ 4h fNрвіІjє? ‚Jj HxS7е …zM° @БsЄЉњ tbAВ —LP” Ba‘Bбр‘ЇkѓYҐ№V “†k{dµ ^UoµIА xB‹ ЋD`т«gЧЛ°ІсМЇ_яуtpЈ &lt;`НxЛ&lt;cK CЂљо 7HЖL‹j&lt;*3XЕOЮж_w„6 ;‡ CК &gt;7iвЮЅМ 7!aЋz&lt;KQМc4xЂЖћ8D 6i™ш§tHW»nЏH J&lt;« Ќ—6” Rm…У®Рі P4 IP=C EБЎЃS VћЧСЎмЎІаѓ” ’T  GzФ K&lt;к Xљu uOCLЈ YmCЫµ fЉ~QJID ‹S€шMXд6ћЫWqїz=7 e¶ ЂЋWgѕ ?›:яуdp© &lt;tЛz» WcK AрVн\ cЖ [зс»В5;WЬЙ© CылТsе 9аУ…G _x eчH8™G­М¦®8џQ €gcТґ“Ё 8У Q;єыjегж IЊ†c`іх’ўЈf VхFuѕЗ `U 4­B†Z JH ;кI‚Ртh a¶s_м ЉY[¶лTµnр ‡sY†з­Њ°fъО«¶й 9?‡њk^яуtpњ ;°µuУ ccH Ba YнмHDђfЬђІья cЬ XTPвСљ M4… KНЮ A† ”^!E5нc Љ9ЂA 3Q ўАд uJ’c3И _HQhъzIТaV–Ri: 7TleiџЅ·u¬­dцЯГНly›FJэ =†r G*H WъћЙ‡8^ ЏE‹ sJB ЊJёЭt;Ґ;щYPUoµIА ’O‰ДОgu dбьC“ Ђ6Њ D” cгDPтј=ят IPяуd`¬ &lt;шНt»&lt;cJ A± 9х–HДrЗt ee UчKA‡С^ S•Ј6~ Se‡ЊЂЁ DН‡А… KРтY·zУ cЛWщ XZҐV¤а oY|o Uыcє ЃЊTРєіє[fY|юS§Й &lt;{g§Uуќ„]Љ c–rеfFљ иV dИAPы…X ]–ZїэиіьАO•j•а @¤“ASл7 wjЂwYc’Yяуt`њ ;рї|» ЉVI v&lt;љх–HД–ЪpE9 ЕМу] `я’ФZ;G&lt;¦pлJфЩNвД fD‚Лx№f hYЪН”IwnС‰ДЈ CҐRкV©: jabµХы9‡ ]¬њЖ¬пёвИqЭ®ўкњD ]\4 [РЄЛ*ЂўВ H©AF RzчѕRBЌ ѓCЮџцЉU QUiUЄN 4PаЌc RzСоdэP±Щ F© @^тN CO •”HsЙ K’Ѕ nD¬Fяуd`§ ;xЇv{ ScH u;‚э–8†J xzcЁ™R wLБ@”XщB DR§Зo 9r9ЏЭ BЯ rJ{йЯпЈ„ ЏV… W—ф G3 b‰Е {|UК®n ZЁ v`· dЛ» A”эWoэуxJW VcЮщuжx*?›§щGЯюыгjАэ•Є“Ђ Љ†Jq…Нvѕ|т{кOT@Ї U УБ ]JLї§dЦ©Йяуtpў o?ЇzЛ ccIЌёZт 3HЖ \Дz]Yfўt Sћ’v L¤ц^k¬ЪВљr~УGУtљФбFЦµ “ao±7 uUп_g¤ gMъ•§x sdѓ R=С s?М«Ґ ]Ёв vWСж”t° PгKXЉП6~¶9pг ~PrЦqWBU¤’ RDc9Ёі^е·ъ @Р•ТUыЊ rt7ґ7jн;9‹Ы{кЩ4[ P† ‰9uЛ [s«мЪе“еџOg mnEяуd`µ &lt;Й|{ WfK BHvо6 cFHЖ rUЩ|™O zNЬwvЩ€Z b†WЭ‰Ы €atјЬйyFNhR” a»Ѓп©R&lt;њящн T`K‘ўµ| 3  oXgн Ec dЖDj Dђ ;DҐЃ•µЯvС|Ыіjы©G B—&lt;ЊЂ ‡[HЁ°Ґ uђmIx¤Ебb@бфй`ѓя¬ ;ҐмТ•ь€ A6 =яуt`¦ qD3xЫ ccZ‘ eнґ KDђ‰Е &lt;? V8Фгєµ€iЂ‰ґ­ДB3“›ЈfС]Я \цmкЕх WґµЇiЅЛУ?&lt;xЮhGІ QСHдRъґG CEBћyтУ tLжWѓ”FОqИ 79 Wmў€•\ i†k;Оd–ЦS =s†Џ 8ЙE J`ЊИ© |?Ц;~ТT ~Mu…’5®¦€нЇљE ^mr7 W•ЃPqf ;Ќ ЊTА SQa DqБР± 8Џяуdpњ =ACzЫ ЉVZ r3zт nKЖH b:БЪЁ HBЂBМP:}бс [mDП‡ GЁJ”єp ?eѓћTfY C]Ил E†5ЭfКIj]dЌ V4W 3И =г G† PЂeѓбсCdZ „?„ЎЖ `ЅF PТ§vТ–ЩЎZ…tУNџIf _э7 ==У• 3™z›Uыђ r^Зь Zz¦·їbБ {ЌTnI«‰яуtp• ;Ё PЃ •Oc x@ё aъ ;@Ж 7bП{ґµK6jҐL\хСЃ ]FЊ v4EБ z„Y!]ШpNГуНhёЫi:?DЌ} Fl«фЎ ]я Vi WЈґ ;P hd`щЙАTр Kр vhЃ@Ў„ ђI‡ Cе d3є[“bD 4Gm“ТъоP±jn?U [ф `[ \wЬсЂ„·UЄn 3§ ђ7К `s¬x MОq\вы!QTws—?bјЋЫ Jь VшмYЕ6d&lt;Цяуd`« ;М…zЫ&lt;b8 AЂ Iсѕ \Ђ 3ГeQ _T8d ;| ^џ KЎћ|L­џо[eяVЬїШGgЌ5PОъК e™K­Ґ_»@…@ЃZ§ы OfjaњГ’“‡3№”Ъсoџцih‹ѕж»Ф K№¶ †]а3R‘ ‘GЬsvы{ bїJЛ b_uZ*ђЉU{ђ 6 ” —^…е›эоdL Dёd€Ґ› c№яуt`Ґ &lt;± FtЛ&lt;cZ BY Yс¶PДђ RЎ QЭXPїТ7©е?Ты _r±єЃ7P¤ XY  4w Sђ€ \k VфeЧч° 5Ґ·FЛ† ;e FI WЭ Rp Oкo ђ:б7rФЂЏ6 ‹Qйц I`RЧ—ё9 GBјнFцo·№_ХD§¦хп¤VzVЇn 3ёlАђвЕ Hх*? P:Л  [®э&lt;› eУ‡Я©»f{ L¶ЏUЌм‹L IyjЬ u]Ё…e? °Ияуdp­ ;ДЅxЫ ’VH r[rсt [„H  SІЋ:С 7У 6цђH&gt;ёЧи_ dИt­jW €9Єs 4§c mBQпJ ‚€RXЗHЙ`U:]ѕВ§›9ј]HЂ kovSбsJц €IЖэ?°XтuРлRэҐщe 3ЌYZЇ 9ц 4Ш‘–wР­Ќoqv*bNЖИ ‰&lt;О¤D‰\Э=Q~х;Ъ¤ ASµAДІяуt`± &lt;lЕvЛ WcJ Aprн¶`ЖHљ K6ђАuECFDACj!AC r6G›Ъ dќЋwх&gt; ‹W7 RхFh® gf:pЩ№§ d— lz’;Н ѓIhІћ ‹Wлыж— c Kye‹ Љ::Y3Оb:ђoч¬] ;&lt;ЌЇ‘•ajпw 4Ј° Nп™X №ж R*ѕЁo„j T3H‡}{TЏНW; aЖ PЌк –LћGъ Zчї§ Tјйa  CL &lt;nfq‚–W\яуdpѕ ;аџtz&lt; UH t3Nср KD [Л‘C•pµЩи± XЁcjЇwЂ Љ:  L=Kfz›ґ‘ VЪз =И~wз5иТ[§йІ IЁО¶ XХџМеwD LГАБf ЊbJ–›љПєЯиї[• c°Ќeщp ;x BДєcН =їжљМ 9й\[;л&gt;Ёl›© Ь®pЪ Jж*™NЪЗ›рПZ¦Ж«‰ –Sяуt`є ;фЅtЛ&lt;CH C9nкV@„ђ SВ 6PЃP 5ЛпЅ =ЭЦQн’rтh;c Tд rЉ{G‘ W“ЃЛ SXgЫ ‚xNF`ѓзЁм cQе@ч5Ф \ДVыБ‘: {E!&gt;Sb F©‡љLЫ®ґ\T› OЇe 5ЭГf@UЄҐЄR 4Ё 3u•Мъ ]±ЫZYHРљќ w†ZКґ ]p‹із?№щЎVa 8фCSжуZdї} pIэ 7І †LEЉ!Q±KЯяуdpД oS­tw&lt;cI uCnо 7HFHЮщ`Ф =тЫ QЉXЭU u]э8 i~I ѕ ON &lt;«N:† –;\ SР“‘S 9Щ @q5§ GУ H ѓ kMБЩ= ]Oнm =]z zExQ z\^Чі W•UZЇrЂрк GЈщb Ma •PGЅЗ¶[7ґы NЌ ?н§яћ M&gt;ц &gt;ґђР ?U U@H|г 3 VЕиґ CАяуt`№ &lt;DЕ|Л ccK tcRмо cЖ ]ЩGrZ `c9КIAібК‹:Пђ\‘А lCцЪv^Ч 7mъпбяю 4њ :aЮU a SHТ €]–HСХVЯс­‰ЁP M€ 9м xvK‘¦ ;Јsпщ P‚ P_&lt;КKЊ T@›HЕf«ЫЂIа° Lr WЪсKш= =ЊXv;qха©gyШФYТд @vЌvhД;Вг­S€ДЎФTЃ®MёЩ vF’ y4BЂЛ tEяуdpЙ &gt;|ХpЛ&lt;ГJ‹Ѓ aаМxF‘`ч ;eѓJ• =€A {MС©ўUq” GP° Џ]· –HЈй 8M8€ \‚ ‰h@К®uд±Б вSiцWrћ NK^IТQUпrнJ—E FчкЫмЬє\¦ёХ`Ў9ЄЇwЂьМ i\`pCiфЭ }Rс;_7¦Ы 9ЙЋпN»жn]П\бГ U›‘с adнрьаяуt`є pWПv{ WCJ AP YтVK j3ёДuZ j€X4x&gt; FX‘ b^Ъn± &gt;ЖќПJяBО¤EлЄ©Ю 9ИYЎaљ\FБ Њk&lt;іqЁP Zx+ЁЦ9ФҐ :V aвЋP­ 3Ўd‘ Љ`џIзnQIA CAm Q–эЊ cSяЁ ]•VUjNЃ ѓ‹3qiоe dџНЩГYf zS„4 fKЊж h7В ?епЯО D¬щsћZсYљѓ 9Ѓ U J iKЗ \Й Jяуd`В &lt;8№tЛ&lt;cH BИrе– cFH _ђ“тВЙY›y]RmяЎЏ WЗ oIi№V”Ђ9б= M§ ‘dЈZЇ ]ш TюНY FоіV­хЇы Jїkvj t8:XС¶` ~=¶Ѕ9„mыДвЊВґиZфЂUj•ZR 4А н 6–ЄЅSb± dК:4q— 7@ Os 6Љ!NЂЏФ„KЈЋ ѓfj6Аа€ияуt`ґ &lt;h«xЛ` VI A№Zс– cД’ ;щ•Ђ rW_єЅЯѓ 5©aыЫ–K‘KmДо§ –Oњ Lј\лЋK6 SK‡DаАТП9@ ЂaI kC¤9гљ6Ъ ^‘Ґ LюѕЯЎ bыИ T’?е 8TЪЂP6ZЇwЃa‘ LQSZҐ©L­¤ |::Gfdо &lt;љR EЧuS ]ЃІРИЊЖ ^жДмH‡ MАд YjB”™ ?њT:’Ўq =…O ЂJЗЉ 3ѓ aG H~ќяуd`А :ь;zЛ cb ‹@O 4¶`F ]&gt;ѓJ­Т«IР4 uA°± Xп ^Ъ T‚°Jфц©‡ 3‡ QxЉЦЭ Ћ__Y“к KuГ€љ BЋ cА„ SлМ —T=v| ]› KЏРЧ Gj 3•^ЄЇ‘Ѓ †OK{Лem „XмЬуе cNц P74A u?›™юKЫlХЯЅkЗjЖЭы—аЈ ‚o7Yі T»9yяуt`Д &lt;lГtЛ ’VH Bшvс–H†Jл ZaЮ»ї KЧі IЮб @Џа„Э;B 8§ PЏ bѓ dЩ ’Tс3ск· 5Ejј8&gt;=ѓcЄ VЋкLв©НBзД \ІЎC JСs3ba &gt;JЏ] YЉ R8А;ФђыЩУнЮ¬ю§ 4К9@ѓ©џбЂҐкї’Ѓsњ¤K¦ LлЁs ?ШЛµXМ L€°ђ w8@K dќBҐX•–YвMЃA‚ &gt;hp Mn¶ОЩ&lt;яуd`Л q“VvЛ _fZЏHRйґHЖ [a UРhD Eh ]в `RVд:H [z U¦сј’Ѕйb«д  dh Њ:Ћ†VUdas&lt; ђMњ&gt;•ќґТ«фmPЮэiыZ‰3 @¤є… @UIд5m ‘D| 5—пСЭo wAеw©6дё 7HT’жC &lt;ф Z;ПЇмьШк~иХЃћQЭП^ы‘g•љїЄeИяуt`Ї &lt;4=xЛ&lt;c ЉBYVс¶ cДђ¬ю FМЊэ&gt;йјnixзfµз§џlЯoДµъу uLР§ќ@»­ЇЅЕ[‘цДX¤™nН\Ў 3п G¦Ґ WmЕХoџг”€КН :IUЊчкОЄїDЭitщ b;ЎТDfІ7GІP«°чr;эіђUЄ™ WЫ¤ 5‘† \VOPы8sЬ‚ \нДвfg— mYмШ©ДМ©Ъ ?¬Юу5Р‰ ;&lt;T`~Pо Mкяуdp» =4йtП&lt;fJ @‰ЉеXx„•ZM dx Zh^4«J™ [І{en Sнф GCћ•dќ@8“Љ Њ8^€Њ †~3­ {K]В‚Вt qЋѓCUlВH eыOB@шф Ba3­ &lt;[ }Bmв¦‘ MуќиMs4e 3Q–UZN 3Tђ DЏ ZЭу DІY©ѓу SV bД© @уЅIwMOЬм U7тћ¦џы_Пяуtp® ;аУwГ ScJ uCbй\hDHz _Ў@КL ‚v&lt;@З‚ Z†јkЯHџEњќ7” J@› JІЛЗОТЭ8 4` xLYЧЕµжЈ `ЭЪШWЄaпћ W‘eIc &lt;№ lKЭюПЉgЩZЁq­ :P· ]ВщЬЃg UЂD“ MZїр©ОLЇ— _RєраУCa qcЖ€P§ 6|–4Rгekrб&gt;Ц…гъЊЯыnT&gt;їЩgђ bЋП·Ё{ d­ 5Ў!Qяуd`Ѕ oW©zЛ _cI @XЉро c†N WжИщушOбhж &lt;ЭЇ~ Vs­ Z»¶яґ…‰ `E NUSЊ @CJ :Х7eЛ “5–*Ћ ?“j QUbй:·n†ЇЪЂ eV™ =РЙ h7љ@[‹оp‘ЅЦ9Њ¶Ряђэ`@`EZ«ш6љ VДuУЭ d®ДnцC3 8K¦lоат4vНБ3ZtЭ ;ЄЖфj€яуt`№ =ЁПw M&lt; YJЋРЉоV@ДLPc &lt;`Ь diIчGХЈѕ’4Ь7 LбЊ WоЗ»Flї”L„‘€» aО¦І [ШЇ‚©ѓДZ’ЁBЖйЯb’се Im^vH’_f{хjзy¦ 3™Љ S n[Ў IЊ &lt;іF ^[ :а CЂҐYЄї‘Ѓ‚жOKШЋ Sн LЫчы¤хЖsоcй\Ъ† FЁ§Ћу±®Хя|ЦОёt©кF§мB!4ѓAЋ8яуdp» AuGlК`ЖZ„ 3:бX d„ W` †DфE‘у &gt;·mМ”Iл V”s*HХRBѕ? gXz Of ]тПsP†Љ `;@ Tu ^HЎЖ ЌUnЂВлм Uи z_FMђLi·Aё YvУЭ [ќ `VMЭ•…ќ g=ҐW­ Yд” qHf“S e’&lt;mвШсЇG3ZШ• }_БЦУ \«EІ|юяЯџ KЬљ ?яуtpІ &gt;Х NrЛ&lt;ГZ =Y&gt;бXHD‘b–ШЬ \„ &gt;ґLђсc ЂLY¬SH X¤ WRe [• z]Z9M~C‰yd ]зХW€ ‚AAЉ›ВEЄ­H RдDL¦„go!L]ъ eйSНіlµ S”њ BІЁУ•А g–[­њvHtZЎ^nЂ s EUь” ;DЂя9 EI\УяЌnt¶7‚„– ?E S® M=‹ “&lt;ЯѕЪk7oэЏ @8ШХ JzкґUЌh†DщяуdpЅ &lt;Д­vП&lt;CH @Й =йXHДq 3ШuBvџ y‡y@aE w_щ 7±ПOXФ&lt;ы F±Єm xЉ3вҐi SШ ~}A{OЗ}™Ѕ¶ЉV«ї @— WМЗд†wUцфз‘§iФ†є« Q»® XЛ° N{вб 4“@PoµMР x4kЋ \М^ЇН \ЅрV DxИ°µ ejжDЬ \i ‚^· ;‘ёDКHЫб·яуtpІ =l«tЫ&lt;fH s4Rем`Дђ ;Ўтнbz| _’№’ 6йз S]\ЦшЖШk}nЖ© X¤яµы·w?э=ЮЈ*Ґ FU|ј!9 h?Ў Rеяgmn WCСДЖ§”Ы»µ«‘ o]УuUдW] QOфU ~lj:Y‡ —AЉјДXTуБПq @[qgjоќcЦ•х EUыё qm&gt;›UІэПї§*® y—kvn?† }8ЎBЅjQjя KјПяуd`Ѕ pSЕr» ccJ‘yJн¶`Дђ:Ћљb 37Ъ EЬ ‡Pq U7‹ =‡„Ђ 3EЃ‚ ]9 C58µ NШх8bЋZ¶Xі MЯ K«Т WЇщё l&gt;hQ Џ&lt;‰BЭ•ї^ј NJ 5ўЇc{КgDk A† h&gt;5R MlZ AЬG&gt;џ· M‰Ы Љ[ ъх} ^ЕeЂ [“ QM_уp ”Gl BЛu ?з a¬Ќ ~[Г§Ояуt`Ў &lt;ьїvЫ&lt; VH AXzс¶ [†H 9V9mвЗ&gt;jfg ѓIРњ| ЌChРйj—“kx €=‰7ЫП cЪїЭЩuкy5 Wяwл*яы‘ ‹[еЄj l6ИщML‡*&gt;: Uж€@­&lt;rђЌ{C;љХIЌ &gt;—qБ TF6ДЏ z6џ y]‡ЇчњB™фЂҐ{jяwЂШP [Р–Ч:ЧЗј=Ц” G„tКгk ZXљl¦№3м§ьњ*G n&lt;тB:о€ЁяуdpЄ ;Ф H{ ‘{€5Ќ Szсм cЖHЖм Џ4°М †9‹†Д@ S‚Сд«IВO{эЩKЕH UН®Ъu W“ ^ъ­№Ђ C‡P¬ L П CjpіAdз{3pBUЃРиЕ=шЦЉ _‹ЕН Љђ7@’  –wb:іъ \Kљзµ MЅiX\ѓ^°Ч™jќа wxI‡¤ &gt;ЁЮ L·–Ј*иыbxУФъ› Lяуtp© &lt;М­xЛ&lt;cH BИЉхм CЖLюяТ •OЯ±k \©G\ТЕb cbҐD¦Њ S*4^С eОН CЕЁуDRЉ@HЇўYZЄY©H 6ѓ CЛЧ_}К°СЁ—Tц gVґяхйЈ«·dЯGС¦H`“ћ|&gt;е—x°•Л: \ёR·jкш whYЊ‡ D~ФTUЄYjNЂљ4…TК!L]№яҐ·pOЇ :„o№г JїKтО№ъяВ ЏCУ Vfяуd`® ;ШЇv{ _cH BЙ Uщ– cД’jЊ ”dЧm SДP8 D[ЗЏ &gt;E LB’Ц[б ^ :ЖяЦЗ‡Юi[ок’q 4АJвЌЖF† UpГУ]„ Xl @4І•&lt;‘ v{^zЫµЋ z]†^ dДЯ7aО7ЌїgИ ASРUљ•jN g6АЎ Cб &lt;лSrsgS dYў™§=ЌџєуНПќј™ТпУПяуtpЈ oK­zЛ ccI s;nэ\@FJхv°†B ]aV DјSБаPкP ‹DѓCRч™ Spеґ;jС ?l{?о &gt;ЁХJ« Ќ3нЂ Ћ5О­“ 8Ђи ’zQlШ Ћ|^s 37= \QW9Ї KЧ` H&gt;­ ?cRЗ*№Г W­’йW{=ЄэЋ¬ҐzЄїsЃЈ ;ЄYf»ЫF¶ю­ 5оeiЖКњј@|XoД‘ Ќa} UѕДђъКB 6ФЊнхLR QКїAEяуd`№ &lt;D»zЛ WcI t[&gt;с–HF Y9‘&gt;ЂЬH” KDО `У HµнјwЮ» MЉЊ 3·lХl @Ђx=Щшl ?чbРz :@ S\p…в‰ D™еЮ _‚ VИўL V4 JQ©3‡ЮQ 3V№TФєW[х f[“=ZэЮ 8НV s3XbЛW¦MkQЛ‡ ]є™СљЇm _Н§z”Џs5 Z=MЌЋ K’ Yѓ Mяуtp± &lt;„ЩvЛ&lt;cJ @ЂZйX cЖ [ЦU OД‚Т C”}‘\ЊкЄ±‚ Љ`ў‰ G© J’SЅ№?nbҐZҐU¤а MВvУ©Тк‡= ‰GґнН Vy•V4бz?ыОЯЛҐї¬Є dDЁАР {Dд†УyЬU JјЦнbдыя s3UzUЄN 4S|‰P \Ъ6б¬zcШДtd ;Ми4? SЧ«SЖПї Pµю3ч zcz PСЧ~шэж“™Кј¬w ddВяуd`Б &lt;ђЫw ЃcCJ A©fх–XД’зЗ 8@ _4]fP°9С \ы” b&gt;фЁ8хЋяйТ­WЄґҐ 6Є &lt;A;O4 CЁЪЮЕ pZо [з RЊ9k NјГ Xкџ^&lt;4 „nXo hlB™ cЅйnЯї =I}Ћn _ДЎ†‹ 3GП ”4У­ XМ]`Т bП¶~\ЄЎ MG7°ж ;вУЛ ‹]ЮT5•ЭКяуt`ґ =&lt;іxЛ&lt;FI BP†с–HДJmЕTЉb ‘aЇhЈ¤ЬФ SRµиЧуА I±XЁц}й­jЄVYК 8D7 7ґДќpd Љnj„Ќ6ј =лNЇ; TѕIЖ &gt;ґRхХє›сZoќtёM] &gt;bIHjЖ B·_Ѕ`U Y•®rЂђxpЙsmЏФ6¶ШЂ™PµЭѓП`—™Ер™у [esB Jm XW4 Yr ‰aЈµ3‘ OВ \6 &lt;З*ЂJcи Gяуd`· nKіvg&lt;bI @и6щ–HВ Њ3‰ВЃЂ SbХвЦіяpyJЄUi8 5*@m– Tу“ ;L6Ў x[ь­™°U”pK GґЦ‘G `чKЉ O`@њ» f6ађ°\іh Xs B?gЦґР¦H}ЏHЃ¤ 3e{љїь WrРЗyg’VЪЭmњ¤RйХ @‚© Lй‹ X^іeьюw–З Ћ8 м x=яуt`№ &lt;xЅvЛ WcH C`†х–HFJРђ&lt;Ѓ¤іЋ’ SIYOябХх pXЬчпЏЧоь*сЯя±¦Р­dQЄ­К iM‹q D€ўUСб] ’EЃњС ЃMщж”к ’”LS Љ[І ‡^JђТ uXcCќ…x QiфJ M±дЏ;З§ K°©¶кUыЬ p[Жт G¤іyгЄ}ДЖa’&gt;hC–жсСЋKрЇyьэa| eЙ‹&gt;Гґ±ФPкЦnхЊ«яуd`ѕ &lt;„™xК&lt;cHЏ Kfс¶ KFH @Л `µ yM•Р„и ^kв ЊBh‘–дI Dй VU}ь AёЙьёы ;D`RqцЃ 3§ГЛKЕћч  =»љК©j †WЁЫФ&gt;ЈМJmндZ†њМ MM :’†®†Т»е§”Uє•jN gYЂ XB8 5o Pa™  ЃO&gt; ЋЃEњ |ЃHд‹МП S¬ќўЗР!6 &lt;яуt`° o[ГxЫ&lt;cH BЁbтVHFHШp Q4d6 j}‰[HЄР a|ЃD f5якЕ Uф©^пк­К 6ШіЇгь‘Њћ†wВ FyЧ }CO :‚&gt;E€ bEZіЛSџлHГGмbЮл MєѕЦ·oхW W”»кЇwЃ ?Ь C:ґ6 eFПя JТ“t P|и~ eCT ]qWуcu·ђу‹a©ЕЛ8i uZКёј fB‡А‚ 3M„Ў›ЬZ\ДЭМoРiыPяуd`» ;8 X|Л cЈ ys;_ 4– cДJцъ Q…k©–¤и &lt;°4ѓ €_аЩВ dH „@€ C]еВаtє‚ SХџjcЦ K&gt;]  x4A KЗґшс§ E¶ ^;QЮ†ьы?тПyЫЦ*V•ZNЂ  k4–FІХn¶ G•ЎФ{љ`Є9‘“ IyеПјr _й OЙyћЦ GћЩ~yљ 9u :» „OДЎ·№›сяуt`А oC©vЛ&lt;cH BNх–HЖ ]w SX«Я RT UњSwў ]&gt;eHMU}8 hVXo»ќU€I‘Њ [FH TA‰ ]iиEѓ­‹e iLўvyЧ‹ KzА™GЏюљЮЉ­іњ5VЏРђҐhЪM№ WЂBzG ]њжЇ¶пH7Ц’‘”†li• b;A№•;В VЕ­cЋH”NяТ ‡?RdҐ ^Љ f~Ќ8ЋАў ;@t8±М 5›»A lEXH nfA—яуd`М o?їxЛ WcI @€ћнЋhFNXуРБ 8љX_л4•; nlCYDЉФе 6K‚Рz¦jМ6AC 5O t}8C†ЙЬ 7О« c&gt;lQ ’SP` ?Щі SђY†EFћ:њRд[ [ЙНE ‰4рыоэЪ&gt; Z*P«•jё6ЎRti jdЈ dЦ JM m4ЂuЎCH {; jeEL^ґ W6№ ’UP]Е‹яуt`И &gt;hгxЯ&lt;cJ CX^й¶HDH w„_с &gt;ТљО 4… AUЅ \eслG°гі•їР` 5«– WЉIє 6`gЦLБ3јX WБ…G‡Ђ Рp yCЕJ5†ТЭ MђPС‘¤P 8јЇC·ќ3й“Ў¬эOп6RFХjш {?ОЉo5 `—6YмЭј€BUЉЌѕ &lt;њ”І \vзrµУҐ™i:љ¬Є GcСP®eZЈ Uiz? ^Ґ NяўIn`D: ]иЅ 4яуdpѕ ;x VxК cc x@ИNт jcЖ [бG =3wIe ERr4RDfЋ 3Ж u’cЂ»Ж† 3ѓ :‡AЎA:E¦ 6¦‚Jqe D’ ucЕЇBДлq MЏn ђK&lt;·ЏјSјUЙ`јІ ]B’ЧµzЂRZ™їш5 zEЊ ap UъcТф»`Ј­ m&gt;НЯїОЇД7M &gt;яѕ:ь·ґ«&gt;•V„P€хуb‡ўяуtpѕ &lt;E DtК _BZ C€ Mо ndЂ 3ш°ЙUЊ e‚` ђ?›J Oе`Z Pfe{&gt;К osqWI V4W 3в‘4 dKшalKxТD WPj ЋL €RJ»Яwљ WЉљIЋ‘Jч?i»s®¦»PЛлsvVОeЄЫЂpЊ E™ЌЦVo›l¦eуЪ† TЬнZfчќуђ€ы &lt;ОХ™no‰Т»;¤B eЬ‹ XЪїKшЫPwд e€ p7Ґхї7юџЮайuяуdpД ;иБtК&lt;cH @Ёvо nc†H YЖoс‰DИЬm_та [T 9дzЯг=џЁ €DнT T5]‰ЉW§їчS}9 =ц eJUСЏ*UZb€xУЯ© ”dЇ[¬z Rњn­oРэК]ЈН 3”hљWыђ 4°4 ?XъЋЖїщy leЬ­ Qќ dFl”€бмgЮlncv=ЎўцRаO–Шю·fк eяуt`Б &lt;a Fr{ ccZ C‰^оVHДђ_Оє7y NЫdюvЏy ‹–AЎО›{ ‹GM @Iы MUµc6­b€ўФq W“mР a@€¦и»§¦7 CвВ5 ’dIoX afxу 6€ K„ Ћ–MmЛ`€К _8=b 6 a†DOiu—K=5j—•cкЇr fS„аЁ TS Fdцч Cюи; b`N¦UoуЛFя9a~Ћт·4й{ O8 =„q;ђ D`™5 \°ќ}йяуdpЖ =lСvЫ WfJ AиЉо 7xЖL VҐІ–ф¶я”U¤:Su3в?ЏC `яш‰’Ы VЌ№ “h‰7З F€Щ U©Ц› &lt;‰A 5§Дµ :ФХ’A Z_™нк Wiв cЛYE kMВ]}ы•bcЛRЉf{–о HSҐ w`S ;bћ“FAqЭўR±ј @№i§ ;W _9с8¦G®ї›№Њ©ЄпlнObяуt`І &lt;|«zЛ SCHЋИNъ^HЖ [Б K Ѕ 9Zj \9aлbм 3&lt;…н ’85wъЉгЕQ &lt;© ^I Yе S9ђ zdЅћЗЪthҐT aЄ ?@Аиа8 ;’ЯЗ=Ф­K WЗ&lt;Л”ґЌМ¬3YdЯКїnЇ 4iЃX•Z«я›Ђ?ЂN &gt;@шоl`»­JtS&gt;a E] GЕО NЈ[ TiцЂ TёR¤AДВGЈи f?XґgP·T =sv eЈ™ ; aAтяуdpѕ ;€ЇtЫ&lt;bH Anо 7hЖH a[® tЂg`C 4Ќѓ ^џBоц^хFSз Ei·!3eаиБй OћД Xь OуЉсcШ]Цuw[оЊзц»Є«‹·ЏX eг¦ iVЃџ qь№|ёW OґяUZ“Ђ ЊЋ€eс‘к7›P 5рL­jУ€щыдНэџ•й› Jсёюe Lу»ОІЭpfДF ]яуtpє =DБrЛ4cH @с =йtXДqдR DђњЙ” C8‘ 3Њ•NC=im7i»ЫҐK [гI7 6ў t9ХЌ ~N= zc8 l_` vqS‹€ u“cГДЌzu^ шtщp™‡X‘dVђэk PЮмё™ z3янRp n5Bѓ ‘;С aХэ†Д T®дt ЏDGзkэµѕЯ[µGjl°Мmц·«tQЦviЧ[S_ж\ВeДg‰N‡\&lt;Ы OЉяуdpГ ;ШНz{ WcK A Eсt cЂ 34ЌЪцлwsхiRў•Zw*Ѓр Tq*;xLaбВѕЄ Њ@†‡µF M— ‹&gt;ЋS[jАG”ЁS n=мМҐх ¦ 3vД ~L¦Ѓж:ћЯҐo¤ђ JZ»r g7YЛъбiwJг!d5ьT”Ѓ U’]MєУn“дhy‡E4 ‹e®‚б€± PFP cКHД „ьЋяуt`ј &lt;@їzk WFI Aрjй–HДHkW`9Md h„vdй= „DП?г† VП€Т SцGяZс RЗsз· x“&lt;э[ f–eH CЏ XМ_§ћ|wъ“м uZ»E8P¤иЧ“[›BLєч¤Ѓ Gд­Ч»Иљк ;P dY«ш TЎ‚Д VЛ№]K F4Ѓ R{Ц XZ~ ?Xaвm ЉaЕЃJ [О Q‰ _‚ЮІ 8ґБ8… 5dТ 9A¶ …7X‚qчЙЅ ‹@[DяуdpЙ q;ҐrЛ&lt;cHЊ T†нмXДђ |LЛ 46 O&lt;PFкC= ^Мh K3ѕ UтЁrЕ*{b [чтЯяыU~ЄґЃЂE 5` Y°tТџ ЏOZM q:тЬіФУ­»Щ6CѕЁДоч&lt;к54Ч™`ҐfЪїsЂИ4 =Й 8ўZќSяЦиИ¬ :и |NкFE;з“ѕзТYГ:MЫ =љ &lt;МK Kaр·Ћaяуtp» r3уnК&lt;cZЉa Qе\@Д‘И4u ?ФэЩјЯ =JQъ xDШ— UѕEµ 85э @ѕX 9–_§ 3и 3RҐ{5eЊ H–о AL‡‚ c’mѓ EЬeњѓ ~cЫ B¦† 7„Џ[bпТ«e€5‚бЅzЏ X‘d —:QMuЅрђМяJ 4lv &lt;\У `?Ц cЗщј;› ЏE‘tбё…6 \j9б ]lюр*€T EjbДГРФ D:›€ ‹Qqѕє•Ґ cBЂяуd`Д &lt;xПvЛ ccJ Bx†нЋ KДJ»„вbЈF7 ’n&lt;ЗЁE sA&lt;¤ї Xя D¤і^ ЋMЛфа Mб‘‡ЊГD \ЌD 6™ C№“ cЗ Mqbхµv E­ 5н„Ѓ cрq A9hM Ac WO6ы ѓAџ ZУКЅ„ E« \f¤П BRЂPo­Jp NAфАИ›f€я5Нr†WF&lt; Nvє4ЉцфЌ &gt;LЯ eяуt`µ =\Ѕpg`cI BШ~до cFJ;|ИШгВ dB O!L HҐHs|Фб 5ПЉ’ {f&gt;9 hY‹ 7ЃУВЕпuѕ COя· KЈ _ЇУЂ cД URX­|`4 Vы*Pr 7М¬’ s8аF Xђ Ћ5Ьj‡G‹ ”Yaт{ЪТ;Q¶„Yj”Ыљe BGя¦ђTЇХnр P3 i7Бя ;тЇ;ї&gt;;ј …So ‹_Уыwьѕћnef\Ь© 8МхђН B`цzSяуd`µ &lt;|»r»&lt;CH AhnнЋXFJЌй{L8¬Г@¦CЌ©®}ќNњHҐ4~WР€UИУI74 iDБ•О^ЌЉ CR‚ z~&lt;† Mµ&lt;h ­b¬Еt WY±Г[]A —TD–] 5иіVҐўџаJџҐ` 3g• 3ў m†Rlzчяw оtK ^К­tмJ*ьЏчя aq “HЦcQ OB‹zуr ?Ў TяуtpЄ ;јЕt» ccJ @аRт 7XF [ИЊXьX\ QP|Љќ _яЧLЄoю–= 8‰ \К*ЄrЃИ Sѓўc— [f¦”„ J•С QИ &gt;џн&gt;—_gЎSEдsС‘ТЩќЉа’°}K [RкС JRЖ–лЩQdoЋ_ОEЦVYUjNЃЂ° cJщЛRжЦ№=z 9&gt;ГФ Ѓ‰ZћGПЬЯ bІ FФбйзфиаg 6­ GЦђE:HJЁL dѓB† r9HѓHcяуd`ї n[­t§ WCI BйZю6@„’M ‡@EґaНM RGб h\`тKqц¬“И :а‚ GH@„… 6Љn ;сЂ S:p° ;\qЩ Dg;XУЄ¶X SХљ7 |Uv¤ eЧhЯMxЇЄі™hHUi–ЄN 4ўЄ bЅЭЈѕчфИ6НYc Aд± ;ПуКњЫ a: `SKҐЎE DFpЉqв xKФ8 nauЂяуtp№ &lt;ђГzЛ cCI tCRнм cF [Ш: –€aNИС!Y6Цм¶љџ] _юЋ…k™~ќ 3± g€yhi8lAB CўE N`&gt; ”„E°© eAат &lt;9‘e €AR‚О}[3 PЇ¤В¬©&gt;n‹•эnjџ _UџµIА G@ 3– ^µЗRѓл|ў ?Ly9В*чbЈњК}П eъЖ‚ PВ ;R r@E Ђ&lt;i nw@InrіП 7O]НЉDu6L ` V¶•яуd`З oCҐzЛ ccI A6сЋ cД Њ`ЌЅ aюЕф 43 ^фа u3¬ „IЬТ‰ ZіКpM Bhў ltc’Ґ €=Cђ‰3*ђ` aВгЙ” _Р”І 4РxбОS©e† 8бє \…Ъ87яwkE fCy•Єш W@ hFЉ :ЬьЩжl&gt; &gt;«¬3 XНл ’QfCІRХHНЎы VЄ4uQAЎ„D@FHлдяуt`ї &lt;dЭz» WcK CHnнЋ cДJ¤шд‡hrsЕ› ::мn{ [г~=„–Щ_&lt;хСМИу WСчqyІЌ IZ Av vmoaW MU{ђ 9IZ P­imЭ =h ђ{ZpЄI pH¤Tіш°О¶Щ:­ LwЩ€eEїR9ж«»і ‰MG wkWTТ KґЎїЋ!Iс‡ ^я“ 4ЂҐyZWыt pS:!M GљћгAХњђSM –Sl IH\ьЙ±PЩ}h aяуd`Е &gt;i3tК WcZ Dy¦тV cД” QHd ђEiз uE&lt;‰ GЁ =i axґмU†Lх ?; ]уК Uћ 8ЯЩЙ&lt;т v=ck¬r;n 5‰Њё ѓIh ’Aњ GiS =‡NєfЭ ]{t HaѕG ^UНєR*ЪJоv YjЄGStўЦј°Ґe©6дЊ 6ШA HжђqЎ XнK‹¶Зі†_ѕЇnaNкяуt`ћ ;ь7~Ы Wb Љ@° m5^"3ђ =С ’Cи®г†aFў ЂD№ҐсО™ W–wВ:WKвsЋ SТ WJNћ Q€^Э Oa &lt;N tT9 GVў“5&lt;У\ Y„’кfУ9ФЖ|mf] ?ѓ;ЋиЕв ]®Q ьj•Ђ„¤BГh†ХFЊ }9Амбе•№ C©e Em· W`P Џt~]„ЉЄс —NлZъ±RЙ\USЪk 84 @Z93FWRЃ\Ц…ЁИМ d‡яуdpІ @С TnП&lt;fZ… feбXJL 8†Ё eЄUаwЎљ\йщCIQ‡•NetСјЦн8d­}I„lSШ]НПMи•ЦЄЭХlђАpy5ђ PШ ’mdRљ—l`gM ^Kк’9ЁЇчґю¬у Tм E кб 3ҐZ­¶д j8AмД=”­ќЛћѓ&lt;о ЏdJLxєР8 LТn‹*4zP© Kдbд \яуtpЄ =Э FtЯ&lt;cZ pCvй\ c†I t^Д =t EІDl ^ТB =Bh8aБІеИ \dЊЉ’ЁЃ 7Ќz lЂqUєХ©HШЇZ 6К­@ЃQ4 MC Hrґк^ќО Y“•jfщй7И— V‡ч bызJхц•„ DсМЎ 5:ЏО Xё¦ PUѕЪЇrЃў Dб Dk&lt;‘ѕјvЎY Gо¶Ъ№В—ыЦ@щчї©o©–ъД±ћїJ Tй cEI 9UЗbpпt UЛяуdpЅ =tіtП _cH ?Y&gt;бX`Ж‘њ7Е¬ЫЕmµьLЅ; DVћз GH§]‰ WЫ…ЂШr]`рвуС &lt;ХAћ•‹4 SH IA JЂ†ћ ]·4¤z Kю D„Рр SІ\ви©cђЅLb _]мkлҐzЄї’ 3ђ@ o6µ &lt;&gt;ТfsЩBGL€ \­д Vkb iSgЪи°ЩьЇ^=ѕWх I…e zbяуtpі oSеvЛ WcJ AЂrт 7`ЖH SЉ @aT ”&lt;5r ]”YLСad„yклiЎсуs ZХЬ[…ГРЖ BІѓ Љ3oГ 4M NEЄrЃ`ф*L 7dЖ`в 7Ї&gt;Ў Kdи¦LіbйJ’к„`T8И«‰Ґ ]9 x=gr}ґ°]6 –Sq aZ AzЄ n`дП¬Ьэ` ЉnYZ­ё 8”„ЃЙHі I\nЩЖkmф :э Kц `!\фжЗyмmN ‚GegHђяуd`Г qsNxЛ WcZ C@Fн¶ KF WvЌcG eЂу ђMvОдХGMhX ]Ф&lt;Л‡rKљЁPЪЕ C9ХҐ…Fё4жѕдЫ e©e AщZ¦а t?5d A·Я­ Ag U¦T MY A[ьЦЮ¬п{]ъЦ]YA«Ћј a’¤В 9Ln Ѓ=№Є:–­Дў TЖЫ VФ‰ѕЙФ{‚ Ѓ ]©ЄwЃsp@ ^;UЇяуt`¤ =°ыu N&lt;cZ C9 Iй– cДђў &gt;b¶Оµ FЉ 4O”s Qlкџљµ TЂT ;X FК qЋ=сп &gt;Љ &gt;¦ts‡МЎ·” l]Ўxе¬р@№‰НeљѕъYo‘ґ“s vWh&lt;О–ѓМY K‚Uђ— q;„Ќ –Q@ GUgL:Бd¬sІЕљ ]№ TTH‹ I;ЋТ‹ MgіZTРщЄ CЏ¤•i•ЄN 3b &lt;@ IџDИтУS±Ѕ«PЌљMX TЕbDтяуdp  ;Ё dvЛ&lt; ‰ЉB`jсt@FH _Ыz N»4 Ca`Ж39V¤ U©Hu_v‚: [а –jf}OБ \@‘ж9ЙyУgvчФ…­ ЃaМµJ­UKIА9Ў †Fc zyhWLtPD s8O i3КЕZd{t ЃINЦ JТ«nЖ VЬ¬ _К LmXCыЪ6ѕоє‰ 3Е•U“Ђ ’@Њ El°Б№¤€BИяуt` &lt;¬­xЛ@bI t–Yс– cF hU@ [@ђйYєG­ 7‰¤иX’В chDy Gґ nFґ? |7M‰BP VМ MEИЃТПd _тJ”;ч­ =фа DX 7Шћ e›`Ѓж¬ SQ’ :ЉІ RixAҐС4]SФRшqј{ EЋ‡} Z­№oSw™И c\жZ«ЭаdА UVџ@Y‡ Jя¬нЌИЈ “B™ Q@К V4wЁшmї6 ЌVF a3Ў ^7PIТ†Ґяуd`¤ ;X Bv{5 €g?Ђ6нnPD YТB vx;‰ 4Ґ„ 4АРx Wч­¬Ќ MqЙz¬Р [Ю›љG ]^єїЄUҐ †Hm TЧGVцґ RнчnТ MV:®”ЧtMуяЪцС DY [–С NѕBYPkH№ Yњ 7n‘ —\|АЄ= YN™©‘м PFф™!Qя ”4џ nRўs MґµҐ Y3a &lt;Fх3eZу\яуt`Є &lt;и«r{&lt;cH C©fмцxД’›OS&gt;Я ± Sж¤ъБр 3Ј 5жЏ¬ t;¦\У!&gt; BCЌfќ»ќФ 7iЃiщOч IQљ™Vr*Ђ nOhxќ 8ЂИ _ЪrљфЊашњH4ёlђњэ `меЫJzн ] Ш№ “Tт„ЧQ8„Б‰’Ґ’Е–` 6ф± _HRbбU[ј 7лF 9q aь®юцNoБpВіќLЄ `Ґи–Б&gt;¶B QфЉЯ ]™ЫЅяуd`« ;@utg ’V9 Bиvс– [DJ W¦Щeу bЛ ^њґ IH6 E&lt;H cЦ e¤·u ЋCЪ Jgф;J­ OЄТ” ?lf–щM€”’ CЏьЁєХS =|j”ы–ЯУXґ 3Њ °к „x6Гa :…™Lj”їэcЗ–ґНЧзЦЎАU*ҐZRЃRXШэЗ DЫoэ JЮ M” {tѓ^› EНO6f{Y“jяуt`¤ ;фЗvЫ ccJ A°‚х–`FJпэ}ИџEкC9Ѓ \€®q TSБ*@ ?`Сзl­ftp 3Q S€І Gђќ\L‰р!TЛ?Єnш i4йg6 dќ ^8s ’ЉiW›H &lt;Е 6DHйЦ”IQq°ЇЕXЎ xmJbф MўҐYr[З {fbU STцU«wЃ‘MoU¦ў­н¦їг dВЙ 45Б Rr§¬w»ІУ…ТЬю GМ¦¶ —NЎжlDМ6 oЂ6яуdpґ &lt;4ї|Л cbI @рFхм c† W  TC @SCІ‡– NxmgZa­»–—Эwщ 4EkэЄn nmkr:ђЭ @ЧgЪD= WT NлТs eњчSw bС e?фЮrЄЈ^¤­ H] i[@БCbD¤пЗЮiХЁUџ«IР ‡@MЙвИѓЪp+е ЉSU k?•µ UьqMвЃИPFI Wб¦6б@ cMяуtp­ oc­tЛ&lt;cH AQrн\ cДђ§‚M Љ‚rPK 3E E¦№‰ЭU |bџOс‹aе‚ТЛфа ѓTk dЋbvU4Qћ„±‚A Vd‹ RBШЄ; ЏYt atЛЖ[S „”^6вз Ng UЗї_ЎИ}ъ&gt;Є 3БнWаЦ™ eХcрй… E–‹ 9h[ь¦CЫањ‡¦ ‹dм[ЖR&lt;®fr™fКW 9L@ФЌҐЕЛ° l[к KЗZhЮ}л‡я§9цDkЭяуd`Ѕ ;D ^z» cГ {@ИFнЋHЖ Yш Cї©}џи ;Џ¶їЭэ?Ђ’ WM M®J :HъвЛИ `ъ‰q« ’hz{oMyV 4qЛ wCbМ‹ЊвзKDўЊsЃiУ§RҐ=еЪ€“kЛ `Ы™цтjKіфЎ*`oVЇь `K Њ7DrїЫ¶±мe ;YбYРфi_Ѕуї_ҐsЙ D&lt;еЁсяпоЈТЙяуt`ѕ p_џrj&lt;cHђ@JкVHД ЉUс c© 3DЩ€№ Y TQнњ 5nЛгjЎ Mzэ ЉfXn X­И kjЃ&lt;ДbgDh s6q UБв pfg:\уљ}Ф Qф Zјjм°оКuл[цKzКf 6ЫєL 3•Ujїq gЏ†AWЃЭvXЊр RR WОћ| \Ґдъ‰J~шЗ GYjВЈlkBuKGЮЦ»6UC Rq«„ d«ws AФ 4Ў 7Хu 9јҐћ~[5яуd`ѕ ;lЎzК WCH ?р IтV ;Ђ 3vjОc3ft¤ЗmkП›уЗЇјУku Eпь› &lt;lnи;^эІ^~Щ¦U©¬ 7Ъ 8t c^ґцчЋ‰ [; Nс¬@ЫdfCHЬщЅЛ’p”ъЎЩeЦ ?Аa¦ўWыЊ &gt;Y CР 4^ Rm M‡Щ EmЅ 7M ?Ю” Y…Zo ЂD¦зOЕia O{бK ]`’fяуtpБ sdOpЛ&lt;Ж\ &lt;щ Eе\`ЖpQфQ MіУЬфXgюь·фЪ~?Аjx}У† T{Ю{южы\Dїж¤Э X№Њ’G WИaYЋЪљ K3a‚е  Nр aЊ…Й m€mWѓ*„T 3®Ж ’Q:l d@–jЄяш †Ѓ6G =yҐP„ ^йИ№ў 6=8Щ K¤ 7Ќ @Џ Ћ`мґ €;`†Хг„ ui’IoDЙ 6¦ 5б ^з‘ 5Qу Za PўОu ‚”KяуdpВ &lt;аwxЫ Wc8Њ [bн\ cЖH€`D \ГОJ D:Ґ‘юWнb UєZ«А ~;БП4­™ L9н cУІ±™д–ПuDcЯщ{І nE–°ђ”F {7Ц]м Eљ =Љ№ oJsM _cv e“щ Z®Pъ{Ґ¶sҐЂж©[M№ WЂ z;гcCSєь —9rf9 @TQ€Y ’Qяy¬&gt;B aEOњН•_ 7ояуt`Ѕ p[бxК WcJ CЃ 5мф K„pЕџ Efм\f„Я[ 7љBЏ €•4`Иh SвF n~:Е &lt;Е I^о UРпй:‘lr4Ч№ 3ђБЁC†О3 H№BX I• ui8љЂ•FСЅ ђD“`†&lt;Ё¦ Џt8C§… TE [3X jUXу `‘Ў OхОЉ “^фkЛ 3ҐљЄя‘ЂјшЂЏHА H~ P· LJВгчi№‰ ‹L… i8]ЖЅ~‡Х…ѓI‚ 4E ~OЕяуd`ј &lt;РЩ|Я _cJ Bиfс¶ K†Hµ ?H`ВЂўєфњeЩ‚Уs8 ?ЌЁpjЦtў dфС xѓU¦Ё= FjЅ¦JфОВ XѕЄ*¤} bаКнЧЭ™o]Tож {CЂBД t[ћ 93 N…v&lt; G6p=їЬWјміЯoј|†ж” &lt;VЇь DA€ BФ S•шL &gt;[џ{§Ќ«&lt;Б ђc¤C „eрIRяуtpЁ ?№CtЛ&lt;cZ*€ZйX KД \: [PlьЩБ»lМg WrZЊk«8ў m?ПZHи AeТmNХ Sд ZјU|ФQ°зH ]Ъ†¦dд ;z 9¦XХк `C EґЄФЉµХ n†M‚Ђ †Љ†?8 3Z9єVc c›Єj¦–“[y| zJ› M4ЂҐЯЄї’ 4ЎРBO …JJiкVШр¶:и–к]€‡ M M’ LъЎ J© —U}і&gt; AZ PS V3FБ mvUяуdpі &gt;Ґ FpК&lt;cZ ;ђ¶еX KЖmx„і hSашаДќ fEЖ EлЛ°Ќ aэјeJРТPЙ[nH fgd8њѓ oSМ X‚µlk iJVЦ 8Ќ5јЁС—ѕk\w9 FN &lt;lSЁQА‹ U­ :–С@Пе­ыҐ_єїr 3”WbъуЉ JnЬЮ AжYK ]ДЙ64 8®s”Л‰џ TУІ Uќ&gt;’ыуU]Няуtp® &lt;\«vЛ ccH @И aц 7HД k?¦P ”WiЙ•џ …‚]°l¶iZЄЋJЗ 9Б№„ҐЉ{И}и ЉJ&lt;V­И k6ЎС A]НЊ”t—ez Og:яљЁ›YЩ?Зї eЯєgNvј*†ЖH§ &gt;эr~KЅ VўН =µО J ‚ЌOеVqZG&gt;Дї­ cш”к•їn 3Ш H:&lt; eШЛ–¬ы3‘ФЭPт® I°о…щ‘У§—з?у V±°ЪMѓ &gt;ўhVяуd`ї &lt;`ЇxЛ ccH D©Єо6@†”mS 9ЙLИ ’SKAB V·й eT E€ QdЂ№† oOт¤ @ZўЉЬрKДzЕА ”UЌVд h;Й WCьнtr€S9ИоќЁфохѕћHхzю~юњM6*9 Yеќ—чҐ =ђ Q| Ђaй3 BifЩ;9ЅцдirSu SU¦ҐЄь FL 84єL DшeЛgиэ cяуt`Ё =hеvЛ ccJ CIљн¶ K†”§e†зИ|¤YB\у9*ъЭ `V;ЊGЂl Њ&gt;=dЖ w„Ђz{A€Вн¶Д C}Б 4еЕЏ›CЧ _B bЙчKл X8Ј‘uоА UF ~kz?C g[ъРRL€‚UЈ ?]cЁФд€eЧФс¦ RR 9ЌiR=FQGM7 _тџ_ЕЂ [• Iкяр… ђSйФСЁА¤ ;Ю Џ[WВf–бEµeТY :…ЙШДBвяуd`¦ &lt;@ЌxК WcH @РfъV ;FHИЃZP ЊBѓP“Џ­ВpШ 7и» @‹Ї GЈ№‡XwЈ~ _їJEё 7‘· W</t>
  </si>
  <si>
    <t>яуd` f=ќG b: cCZ 8а 5JB"3 [•`ИЙkш a‘H …F€‡Kе7йЧ’ dЮЊ PОќСЏОЊ{i&lt;џ„щъV W–Stе4й&lt; bxHNiКbСXћ }&lt;ч ;¦D “_¦њ Z…ц MSфЇM aO jTћµ s‚f5р 3Gф &lt;Гм0ятd pJРM 3ґ 7± f:©Ю!3 9•i ^Kяуtp jp3ЯFЪ&lt;bJ„€j’!3FI_аЪ `а§r|гMУгYЯDР·sК3щ 7…” UяЙ D»уЅ _міфd»Uн=Фз €CзQgB C„A©¶Ы:АХГМ9 l5n{Wьр»ъ?nwясЫ 3Pпр fj3C }SPќЯ ;_SЂ jfWё·IЦ’nЂЖ Kг= 9ПRBЂ‰ЩЌиВЖ iSm bъM—ПQЫоЁoЯ H\яЄ [7і7µґ8Ueiяуd`4 9L ZW b&lt;c z?P:є~ KЖ WtSЄ[nЧ 4‡ 6€@ЬҐaйcбг‚ 5б[ЌійWиbЛтЋЗ CьOwҐхмЄПэkBЊ &gt;ЏH j‘hL’9 W°!6 t•YЮ¤ЭКЁo№ =Ъ ‰OжvйэПяЧB ZOзуkяд I4о DИїВЭAtфKгH N›cєЉ FY—g¶Ыv hrS¤NaА 4‹яуt`K :HХa? OBJ t;jК~ CDHЁ7‡aw— [A¶¬‘РїсЋU EшXEщp\&gt;тwЮэVл mKлЄМF¬v­` 79b TV8дђ i3AА T=Ф„ќКМbЖB {Nb ‰bпЪи*яіфtЫWяј…:ѕB Zлэ;—~мsWЫцµЁ cь ZЬ‘ 3HЉЁhіKu 5Ј~c O† ^‹Pl¤ЉчO ew‰яџ3†ЇяхRuСєнk7_ч‚ Aзяуd`k :СAg? GBZ AЩ®Ы „CД”A IkO‘5 UяК Ss» ђW; hP–¦дЊ k&gt;€¦Ї©м’jяpSЎ°ч UмНџE3w±?іWю“u?ЙэJp e5Д 6fЧїэd ]ЇU tPсE YЈЇp… XзХ‹ђ Ga aН GmЖ 7h 6шd4Зщѓ 6Бhё ЋTИЅEъєЬЫqdЁjЄЈ hftHGяуt`l ;e Hk? OBZ @°bЦ~ [DHїЮс{РЭRшч O±•¶ ”;]¦aТ· Jб &lt;…®@ ~;l’3ОЋц• Q5Ґ[¬ Rю&lt; Tу6 &gt;;Ї`Ф3­юѕ±ў}ЊђЈ@№ўM5 cТXЬ`AМ NГ wKиrnF DІ 7‚ hoNkѕЫюїЭiІьЪQ HWыyР Ћ?ҐЪНю№U9 ;“z”Њж¶±л W[aЭЦ WџАЃ 4b|№Ћ®и;Ю &gt;и &lt;JЉjяуd`… 943q&gt; j‰ЉAЩ–в~ CD”VНЮWяы IїфQфTящ KЖ V e9}їЇЎ—^ LOІФ F–tX Ѓ|Ej Yљ gTY¦]љ6Яб¦Ј”4T U= @9 F5 Fб \пх_япoэ NI {FцеИГ” Oeъ aГ¤ I} ‰HSќ·aхІ”&lt;ЫR V]b T– WЯАЃ UtBЊЖH fUЇ SБт 3Шяуt`“ noDq&gt; GBZ Aйћз ‚K„”„ 7ж•лsкх_жeИібЂ»Т geЦaЁ”@Z§с a“З*­аRЕљ XблmёА‚ G;zNF’иД‘™ FФ¤њ¦щ Z*—фEякЬдъvщЋиУЈoофюоґд~ЩяЫ~`ЊWЪц\=© Vќ_БЃЕ DcЄ ^О№8€‘ GЪ&gt;ДиД~зHяПычхSСJџф 7?Шџя 99„ \Е‡ІoKяЁяуd`Є m–bu&gt; z‰ЉuE‚о~ CDµa¬iС =® B™ЄяMЩ :&lt; M4ЗєЁјҐ·KXrF 8‰ЂШС ‰TY ?’A IжюЋ†F[ещМІїУџ€ ]§ясtїm RЈ GDГ‘ГQ«Йuю YеE3СXО6ХOиљ¶6Y{rЋ ZШэ™f© ?Ь C`љ= B; ѓ€wEL} Qйўио…эѕrУуяуt`Ї ;щErЪ ?bZ’:†о^ ;КµШЎ Ѓ„vgeb|&gt;а MЋ9I Qр}Ѓ ChОhHpГ d` xЏUzю]ч©Uћv 9JЅДљ«ю @П 7 ¬9G¤оЋѕn&gt;It aжє I…Ыдпtкок_©фj6sЅIіпу hc‚пkр PUќDйgЋ¦ЇJо± iR6Wк¦«ь _РЊ_ YЧ’ €L… f7Ј 5І KmЄ [ЋWуР«ќ QЛ TФ‹­oЈЦпBкяуd`± ;Ф…tz Kc8 vDћсґ KД”»·e =h\ ђJCJЉ‹ї rUp№Ђяї”k RC;Ф 5JNҐЄА€ C„Ц t8Бр 3|р G»Гe\HF X–:Зїє‡µнCнё …W}Ж‹K—m¤®ЯЖ WъnЁеmP WЁф‰­_‡: nN‚› by±№:&lt;a UHеd [M DZCЛ?Лџ?–еТП X†mУяуtpҐ ;|Л|К †UJ @р =хи C!3ИчњЭ eуk N»ynУlОЅlЛ°­Є LЗ®lµж« 8D§lUшт GvUTгm» 3ѓ |cp eА:Д*АЁ ~Gf¶&lt;књЁЩХЩ Xн IЕ=М‰Д‹ 8RкќиrЫ[•«8КZщЭК&lt; H·іiчо –y4Ф MdЦo…Хн^c·4 ‰[Э WМ›ЎоЧ†ыъхj ђMд™ _r•‹я6НЄ‘є=kOЧнЩyяуd`ј &lt;Q J{ ђЉVZ A@ 9ю~ ;!3 `щ‹kмqI WеXЃP &gt;VёќWрA i8iрЂУ !C n„Љ9xЊУђЩлZз_e‡Ч †Lsф]VЎ p5nФђЫ…{–зїU•rцыЉ 3–цЄjш MБтѓ6*Apш eђЎ hrKT aАЎ– pu_‚O8Є—­›Ь“ЃуВ I™ KУ b`лЃWХi NҐ Vяуt`і ;qA} ‘ЉUZ tЋIцT CЂ 3EЪ ‰8цvj J}mФђRПкэAc :е L@6 ‰;ђ‹ hYH t‚DЃ vGHСЏШЕЖBмk©`ЙўЛНHYZ FK¶&gt;¶ZЏУЭ©‹Ё€Un¦Їш Y  ЊCP±Т‰{HY q=dM Љk_Wђ `я¦tvЛ¦кО Xу BЈ OdWСѓЗР ?R 4·БЖП TєЈшів} DЯeяяяwэЗн 9вeKW l&gt;яуd`Й n–@vК&lt;А ft;Nк _HD ЋEБ FрT°Њ 7в TF hSёa W–JСЙyЧsBиp§ ”Xx zQR… OЧ C@t ‚B­кpэtЦv¦ТоТУѓ RJtТ [·cIWнА GB°~ iNkІЈOЄК 7йF’OCёјл_ ^Пф bщЮѕE:eБґ}qu«±д^е \љ AЄ8кo]°уRіюы dяуt`К ;ш DvК WГ 3ђH AйґX!3q» C7 = ”к‰—U^ r}SK›u[ж YҐЌayk IЁЌЄ `rњ‡я;џчй›I bЯ… `bДAo™ L–џVфjХJZдхџД=©ЕЂ tDZ© AF |T’И Vu*оІ*PЇ? Qе ^”Ъh¤= @dm™yЬЌћЙ Cу ђWбЅУ«j›Cяw… DЗЎМ–™њдвЯ&lt;ф •AО«MEk 3U{ђ‘qч WmЙяуd`Ф ;ШЧ{ ‘ScJ uTRтTX†ђ Љh&gt;P Rb 7^–µt 5H@•„ CђЮњ’ 4PЧяOј‰©ѕ™ъOЫ e‘ M5јЧМ–М Dе«дiЇ gЂQЧRlBё“w SИР 3¶нoXH› UMо c7 : rCўш·чpдЧ‘Ўx U7 OШЙ `этчѕi{Вb¦l~_ Q“ [P Л 5¤ћ?pх8°њ&gt;яуt`Л &lt;= Dtz WCZ xdТъ^@F” aЭЁµѓ QzГ }Yv UЁР Uµ VCh XЙ ]uяо –SsQМЉњFА x5…Kи Gx€ё aу Fрг C*Ё GШУ…›ЎЂЃГАђ Cc Dqбr 6N ?xхgіПлЎMNЬH _—шёHКвi Yд‘Ѓл :Aў3џ¦fСЉг ‰HќЃРНu H{§ &gt;ѕл?*яЫОMd„uЏ!V5P F ХvSҐ ]‡4r @R 9№dяуd`Л &lt;`ќ{ ‘_cH CЁnцV KDH LЋy”¤ђ cИК YшAЭиЁђмЋ4’ї 5d ГGнїXй„;§MёН 8©Я9§еу bҐЄяҐ]ъ—щ“ѕэ’†Wѓ {cкЂkб“ J”P·ъ Ќ8Ђ 6™”V¤ 3З YIB ]хЇ{іў№ PDгф LЮ›BяЅ b?ъuС &lt;Y ѓMыЄ EЭЮWСnЄ¬ђ d6яуtpё &lt;xХ} •cCJ AЎ¦ц 3@Д” dgьЈЖ= k9Улб6XЭD f9¶г eХБмЂ¬~ |=ALбжџ 9Ћ uKсqc ]UЙ XMШ°ЧўЦ ЏVЬ¶J LzВтU§gIѕOz:ц—l­@Yйеjґ 3РqEДВќ&lt;хw Vx]О 9*¤V Oб®°њ§ e—&lt;чщ8кќ:Hё— Jдч Uo®Зµs XPП|Ў¤ЊЕљ¬ Sн‰С©mСЎ &gt;эыХяуd`Д!;УvК KbJ A`BтT cF W kz4`ШHAD Њ5€ўєЌXe 6Ќ–rTЉ_ @o ]І© 34“Э P&gt;µ 3J‘ |&lt;‡@Ќ i4j &gt;нZ8Да~ѕ”чb 3ZXЩ `WАКpЂєжs OH vFf® @Т a3 CXіфй~‘: p@!I›{ 7Ѓрm bµ bФЂМ cҐИґ•…B •GQ± =vNЃ№Іяуt`Е ;МЧvК ScJ B€zс”@DH KS ”Ь•§ EMЖ 9в8 Q­O’ЧЪ\б Yd’=”‹?_–^”NkwWnчцR9 ^dOйОw[ L•Хќ4ЏfА•—Ґ }b·VҐR’Ђ–ъЪUьђ 7EЎsWЩзoкў N± U;п 8ГЧ6ЏуХїcу b…|ЩїІ~№В‰ПEVnИэєФ46¦– Dg BЪ NRп \— FВ¬ J‡DнfB‘ wVПm{’ 5фяуd`У ;X9xЪ –‰ЉBйЪц^@„ґТ­PX„ђ 7X e…”H Ѓ~OA‘ SA lE8ГФ ]¶5D® R•ЅHw qAC 5б qnNЙ8 =ґ€ПD |X­”g© @ҐцJ fWјпЩЇаБ­qЊ :µѕТќ GУ `М ѓA9 ^QіњXZьтэ‹дгУNЫ wKЩ5 ]уMck« aІ VЩК€§–¬ҐХ{ЈQяуt`Л &lt;Ѕ JzЫ _cZ Bђ Mй”HЂ fKЭdJ}?Qю№t EЫ±¶ЪЇ‚ ;v9PЁP‚Д \СпpfЕ €=нbЖ b“ Џp6— @Qу o[• O[\љЬђЈl—· [сiueћПЉЅ•u† 3DЁяЄэё 6Qо “C±*цуъfФ OІБ Jє ?К±Y Ђ^©b{“ }`ѕЕgх d€к;±‚ PЮtXb F{ ђ[VЄ zf’nyeM‰A YЁц=ЧЇc UйФЪяуd`С o8Cy ЂcbZ u;nтT KDHcЦA dИТ«ю l74 Цбяte®¤s”YH\“Нgz_«7мЮЕYи©ъVжQ’”—єИ ?4зћ \–b ]KФwBnFнЋm N–ЂHлIWнА eЪINy Lm YеяжоvЈ‹dР]xІ Lf¤yЖsпяж^–6y LФ UцJѓЭ TГ V— [n_sНряуt`З &lt;јЕy N&lt;bJ Bй–тT KД”y H¤@µl–r 7ВНїфЋt¶І•‚U‘ДЄїЃO ?Б W„&gt;“ MҐ™ 5Xђ L6 ”KґYL•—иIдќ VQ cD =сQ§C\Ъ ^rШe nR©U&gt;“ґ·Я &gt;Эф MQoХЄш 8`h° {Ms acK¶И ;ДbvBЦљ; d4§dmфv ]™ИwUg ‡W¦–;ќЫsќ =ЦbЭ `gъЅоЪ wNЅsbРВAцяуd`М &lt;dз{ ^&lt;cJ B8^тT CЖHЇЁ=­–B W№ _НЄэЖ 7–@МоQ ~j†9‚lЋ ЋaubГZэEђЖ{ OEВЄ fdБc 7Б 5¤’&lt;©B _tРФЯХэк^іЩ ‡87д@•j–Єь w?CNL|=‡ў« C„V ”gsLHLЌцѕ ^Э Y±TI W“ &lt;– F‰F ~;ТљЃ Ў A€єФ 4ЁKяуt`ї &lt;M HxК OBZ BxjъV CDH O°лВМў·з–а &gt;µ T\Ќє«рІ 3еКd”? PaбЃђщРЩ ©€­Љqt7ЎГ]¶ ~&gt;‰QZСЦrїF] y^roBтє s“‘QцТlµ\m· W’ 4Bю= 5м–aЦ3Me T€Sp ‡?c› {eUwG dц}ж·РA 3¦…A±… 8@‰QcВв¬r 3Ѓ 8Ћ 9† aeEX ‡aФ“Й pЂ`пЯХЕ 3яуd`Й ;D JxК _Г hApJсґ cЖ WЇйZЄ ?XDЬ‹ђЌ TQ*Tс SЂ 3lЁЌ`CЎ eC IЗ Iй FјI r;ўб¤ ?: ;ќ4 ђaаЁцЉ x4І4ЉЅЕO Xтiч?n ЂЩХЄё G‚ОNi =љЖіхњШ™ 4џnJ C‘Ч¦эҐ Tи[љ GоdЖeЙй~:“¬‡Э 4” fy}Y с ;Јяуt`И &lt;€Ѓ{ b&lt; U8 CР&gt;е”HF WњLъiтъЭ Sg–Щm \К T|‰ HЄа y6„C bИАД† _n8• :ВбtФА»Ьх8КђЪV?yМШ” A‡бP;ФOxћґъ MФ U•QС  SПЁD‰ F‰Uо –B„ &lt;|–:oS¶лeЅwYЎ’®_Џ {V‚9иЄ©ь…ц Gd®…њјМґ IеT ?ў©™Ш°ФµаГe In+4«‡P DCR}5ћЪяуd`Л ;ДЇvК&lt;cH AЁfнґ [FH 3t•D—\Ќ W—ъ 3Б 7bvC OH YL Gўl ‘=…ч 3Шfе™ќZ 9Џ&lt; 8­ DКHЄRБSk 7ѓЈ 8Љ X‰BЫr L8ф}ќG: fj;ћUЄђі ]6dKзrыRГ‡З[: ‡HћФ­м…ЭЧХљ*йЭЬ: QC­ IкЁGqЗ w8ВgИ“ ;‰Авr BbяуtpЕ &lt;¬Чy ^4cJ B8jт fKFHпZТCSХҐ™Н S=њ№D’ 7‘Ж¦«В ‘l;zЫ _э LЃЅ [Ії— 5*Б {YuнЕ‰Ґ \mЕґ” J¤\]ртЉЃ QрOuhХЅ[•K3 W:ЭJхИ 3н™Єя &lt;ЉѓBЛ rK^ўЮ DУ;“ 4ґ; gM!X gMdИт d‘ђЖ3rЧd ”^љЧ ZцЮ ѓW=L·”¶еќC U6ХЉ·OПѓ~єSN:…Й @яуd`Н o7Їw ЂWBH B@~тTHЖH JСы dMҐ7 ЊDZђFl X­чтP |CІЈ Nf BдY T„« uS€»Ф LzЄj¬щm AВlfЁAЯЎ a]IZґ–j P№Ь[©Cп ceV­6дЊ &gt;®Њ O™dҐ•ТGoМOZ§їZWv®КrtbЊ™‹Љn“Т^вМRA&lt;6 HBMаэkГ¤Т’ O¦*яуt`В =Y dxz ЉVZ @Hnщ¶8FHC[йтr‘ґТЦ`©DФZ©п«ї5 J‚МН 7• •9QўФc» Z­ ‹=І§Q4ў”©ЪхUИ]N±«©\WZ L·х T8„ ?| eњ FљКШ [H vhfdl8бП Њ6е ;§‰ ~MЂ‘Y EWьђ pE6[ bKџс Jк ”7Tv †yCМA ;J \уJШ»ЇJ¦DФі:ћМh]ХtrЩ VИT№]ж XК§]ОѓяуdpН B•=nПa \Z… [Nбt D„ [©ьM cжЎ—gі”яж?юєыщџml’LUН4Ш geб ‹@Н*Pb¬jм`Н [` ЋLFpNТ Zџ®„ [М\Й–јLb Ќ=µб Ќ6is_uљ oQ];Re•jЇь aF\К VQ= 4ЇXОk J™”c:†ЉЖcgїo‘ ^чк9 eќuфЂЁЋ‚ v&gt;9ёяуtp¶ &lt;ШНxЫ&lt; VJЋ ;NнмHЖ [jGГ 3ъ E“ m4Ђсc TУЗР G*P4РЃд¬±t GџЅqFz‘vЪU¶ѕ©¶H P‘гфж®IЮЇфщ „[3ж Aє±Nћ}_ Yы”‡I№hџЧz eL®жAил NГ WЛлЖMрЂ¦кjЇn 4c CcЎИД?5µчH›рЩйjE PщO¦aЋ WT= e© ?з‚ \ВKTФЅ·Ќ!4 7а° †niTQV ‚YяуdpВ =HµtК&lt;cH @Abн\HД‘р`“А Up E7ДEц¤йЭЫ F’Т{Т‰Н ]©8@ё Њ &gt;О`AЃе k:‡Z @‰Н Q9ёNРUr4–Ѕu‘L’лA XЏ „’l\©]ЇKG IФэ &gt;НУлXЎ¦jїrЃ ;h CаП_mѕ&lt;MЛMР­qђЋж &gt;РjО®Аз `їk&gt;oП6ъфН№? d§њяуtpµ &lt;јќtЛ&lt;cH t–Uе\a† fL©Ю ?N J9«ze KА 5ўЖK PZ 3Њur [Ч jЌpZrа5Vщ]z‘ ]: \6дґ =‚Лчa SdЖfqРDxс 3c„Љa¤Фђ»ћz a&lt;P QAЎk‡…О gtЉ„4¬ tr‚t†ЌYд ѓU•GNuЭ»пУqpҐ*ЄїrЃ 3t x=KBu· VпЋф€БКТveҐ eлЭ=C!LЬ*Лќщлр­и ]яуd`Б =H»tЛ&lt;fH wCVо&gt;`Д [€ _џ `G =Йe3 jl=† B№E K8с ыEђкиv _= ”Hх{…oQD© Ojя— 3яhr dЏђiP ЋЉEX Cё!DC 8АnM*VтdФT 7DrPJУe«vЃЛ`Ю¦mµYЅEйWфЮЧТҐѕъї— 3ВР S!GR…х8q\z m3‹ &lt;R rfA‰Ъ}яуt`Ґ &lt;”№xЛ ccH AР:цV c„ Wм _н  j—”–R4ч‡ОК 7МД‡ tM[V J™ c•We5јAlжЯsЛҐ omVrKю^ 6€ ЊUЙJ@ ЂE8 ST»‚BҐ„ѓF gE¦ОЮ fKPX sG8HЩqЁ RUЇњS ѓX± ЉF§rzjчНєcSf 3ҐъЄїwЂБ _q oyZЛU©ПҐі‘ &lt;йЎ›Ћэ ЌVщ‘птЪG&gt; F—дWИџT Xяуd`° ;l ^zЛ Kc zC8NцV cD [¤ ]} G„Р CШh SН4±Е›іыў›Ыg Ѓ@ЕЙ 8ШЬM Wж 3@&lt;°@Њ ‰_XВБ` KРАђjО I`tBAiR ?№b G” ђe9ГбVҐjR’ўlAѓ–;ѕЅНчЏD \· G[’ [“9Єэо h;р” TD›_еђMe„ЯЏl]­Љ аRѓEЗFk rAяуtp¦ ;h­zЛ ccH Bи Mт 7XА f_]` Da Cєл ]¤— hMBйyY BпOJ¶IУЧA kLRifw g5вaкvЗ ]–ЧЉ^ Kw JI ЉBkЏјk kCэKЉ^ y‚oѓ{7k E3угиGj CЌ•ІЯq*md]zкҐ*jї{ g—&gt;c`IМ^ d| TTЯD9WuйѓэЪнџe U®g @Ґ¶њ«ТП ]жВ Wwў­ 7X©€Р VH ro3LKјHяуd`¶ :ґ7{ Ѓ[c ЉuK^оVX†HОє CяSЇ{T„] YћЕ©яМХKЂІ UP&gt;Оф¶rЈ ~3„ fyn9И FP —K€{­{мЭ[g»њ w9eo‹ _С№ 3гJћ Nc\® DBYҐьUc?№©ю QµJа Tl‚ ^5U H? QъЦё ‹^V GeҐ[ћgж’{ћ~R FfЎ«7No @н Z6яуt`· oW§xЛ WcH CY Eн–HDpn Q6xђу€“8 Ћ7~Г 9ao‹KO —HYх Tьi H©м 3Рљ•SѓЭdґ•њЬ‹ CSг‰ѓ‚чЕ5ї NґN ;Њ ’Y¬JВЅU \Л»‚MфщJћ SЃM–Ѕ»iHЄЭI¶д› 3™sbІГ=oг°WмБ @4w­ cЧ F}S’рЦТКE‹Lљ &lt;8Этњ„r† 9ЧЖњ CН Uђўe« TГ`Ўp ;Жяуd`ї ;¤Їx» ccH A8rс¶ [ЖHТз›*џ8р°ОЕI­ф7 fWT…ТmЙё ?T Ђ[sш ?Ћ@ b· }M*&lt; w_¤ ‹Gшр Cа Sјj zI:pN`уЯѓa‘†Мќ ?‡ _©йЧЎђЃ7R Dn»чELЂ Sв [µRа ymDЩшнд;·Wk™І›»®p|©¦~MћgУћMЩ ѓJ4µ =}Мяуt`ј p7Я{ •WcJ C@rц&gt;8DHтq€y khVЧ XЬЃґҐ IPвjK ‰&gt;±йrї¦µ [”Ґ­§UMАbЦ \§УYU`њб±3Ѕ oxSЦП±вл Mіф© ZЅЈ ]¬e EрЦп [· ? dИ Z©MнЙк `хZЇwЃ =ІPЎ8•‘[fХҐыJЉ_ _Иц UCќ [bnbјДХd8Ґ*Z№ Kо —QvКAМ¬‘ Sњ 9рTиXO s„W3 &gt;яуd`Ѕ ;Јy ‘WcH t3nцV cЖH dчoФ’Tlj„jУC 5  C· _µ;ЂвТ=LаЛЬИ­A8аРіћ`Ш ЉbZ®yEїЅ [H†H°*±DЁ …GC®R 85Є ai [їЇ&gt;љмФi Mш fъЦЇw 4–хБP°Е IЮшЕ†@ €D8*Њ 7Ќ FдеіЦЧd*t±{ I· V¶тЎ•лb9жяуt`» &lt;¬·xЛ ceH BPRо6 c† [ј‡Ґ•о Aа‹ :У*кzКєы NфTC•ЖТЄжаPЄЕ U›№JЫЉ‡6 XЕ N‚ 3њљ€W|}l§]©UЇUгјzЏ± bм@чrON Hя_}‘@¦яЄїs 3И }EКг xѓ\Я[E= {U‘Сй Dт ]C F№v±яVЪ|шDQЋGЙЬЊ bШј GвIЏpЬ Vg 9ЫA mPE [JЩLвТЗК Zўї°Ѓяуd`Г ;\ЧzЛ&lt; UJ @hzцV K†H U5 rXj› 4eЃ± luhgDВг„а«‰ qX¤lћъх¶Л o;аUЬд9jкsЭ Zґы7wB nMе°…lд:ђeYjїrЃ†х C“Ґ vcа&lt;ЃjП»–ф YiM e&gt;Тх”Ў QрfбѓЃ3чѕ 5ФЪёС fNM D^Џ4 D}U C87Ќў yIЊХUCкяуt`Е &lt;4ЙxЛ ccJ AP IоVJ@ 3ђS“хгЛ `ЧХ№ЇяµэЖзЯэЛ_u[lђ cЂ EM§№:­њЪ€Џ d… 4Ж oCд S‹кmL]®Чы “Cёіµ aD9 ђ?C MєNЎЛЇ duЂ—ЁСM[ qyDц©ґ­бb–§ua bOTЪўІLyТО LEaEеs™©“hUМЛ¬dlPЛйC­I `Џ F*‡ gOБ _5ћ8ец¤9Rп_N5oяуdpХ =„їtЛ&lt;cHЌIRн\HD‘Ы„µNр [ёF _h Љxv8*a ^¦B ЌKе dc Dcхйq“ V‹ 5­p»њ§‹ d=:c”xfUџ[‘IЖфФщФH 3V–UЄN gSцUFЃ ЂWџБЖЅgОт‡ PPЊsЮЌХЏ©&lt;*я€†щВ&lt;Бr ‚A” €7sД«“эc\Љў :z :8Tґun Bcяуt`Ж &lt;8НvЫ&lt;cJ AШ Uн¶I† 3©”z5дђ©HK4п i…IW Mнщ€ v?` 9SNA u8EЃРсд6z№·К 4„Ў[ ЌQйHёљ¦ЙЮV:vћqM§iM‚йыэ«r@DЈ 8ЄэЮ 7ѓй S§*‰јФЕµу‹ aџЧ&lt; D\Ў W!UЏЋЇ•_&gt;яw®п“ѕ3gr @Ц†Н*k°ЖНLN `ЃугЊџёр KШ 3і a] P¦к bЈ bч WV•яуd`У ;ИНzЛ&lt;CK B@nй¶`FHj–ZҐ †GUі F=~SЦ TН¶Р‘ “7љ¶П·¶Љ• YЊDaсЭ _V VfЉ ?њ fl&lt;‰ 8^¬ѓ7љOЦ Њ&lt;– I®‡:­uЂQЯµ_‚BPrІ Q‡уж•е ‰F‘ U‘ШЅ|–† _ІЭИьМШЋЖd ‘HБ nMцыІјDљ« ?NpІ†fИ d“зяуt`К &lt;Р»w N&lt;fH v\Vх–HD’ saIfN &lt;=gв 8ља‡Gэaхo‰ЈW»Ђ°ќ OНz3=њѓlp°LЃ Sh ;„¤Х® XreD ?љ A¬B¶ XbВЋ&gt; ‹@’4Гk ЋђAЇЭ Iфв}›хЁ CQ®Є«ш †FАрДХ `jцяЧ eЭ§lMҐ‹ ctзЎМю’х LHЌIЋBгО”kЫ ;ТB Vm @›Є*”Z› U‰Г« ]Ч T“i ЃVцяуd`Н &lt;pЛvє ccJ B fс¶@„HЏc N†;† cа HJ o8бS­юu@4дЌ«­И j€&gt;‘ ђѓelF‚ 3І ~Xh\E s{Z›°cXў¶ ]3 VЗЉАЙy Qґ5V·Х©«}µ­S¶3МП BR©UЄш4 6¶’ 5єћжKыШ[D5 7GCЯw; Kћяе ;&gt;Ы§^р UU ?BЪя &lt;jq Tь¦яуt`ѕ =Ќ NvК ccZ Ah 9тV ;!3ТЖ“ \рт a‘~eГ¬в_&gt;wє ;?я?цp@tЭЯUЎдMPD’mИи vmhF±ю­ b`? CС DіRGoO?Ч§ќЪpиЧ^ ^а W’ RјАµ¬Xј cЭ ;Чњ &lt;m `лЕюфц@–ыєї’Ѓ“¤ynKш5µ ^ї€Jh”гJлћ&gt;†ДNg XО Y]5&lt;ОяKzП9YW p—R• ]м sIЊJ XЎ 9ўyяуdpГ &lt;± btК WcZ A± Aт 7@Dq«j–З™]Ж eЛwъbЁWъЫ]{Ь rS@Nг№P™ SРАCI e±tЬ¬мT‡џШѕ Mјtљ–в@р6ҐЉ :FЋ &gt;ъQ™;ІЏЋ~°®ІNьMHP»V«rЃ€ВђоIC \енЩLЁ WUЁцѕфњЇ’•| J|€еЭ­О9± LпиР– —T™ D™µяуt`µ ;а·xЛ&lt;cH u[¶с¶ KDlІ `‘У ;hЕдЁVтзљИeяЧ Jє@Ю®ег ^@ј‚ SFЁoя›Ђѓ`РъЧДЈ \Ѕ eґVwU 5xё aЕ@T @О4ґ 9Ы 6D\ ‰eЧў W™KмАлюR¦Ъ§ Rж»Z{ ”W§ \jэМ k9В 5Џ v6[Є `vРЭ 8·њаЌfЂчnЩы§Ў“Ы]¤Нєж HЧrЃр*Ѓ±Jё ;» Ћi@Ў VN±ќяуd`Д &lt;µ FvЛ _cZ AђjцVP†HLи \E `b”[ющўKЌФUW7 4ѓ”zЛFG ~&lt;[u „&lt;N 7V\ 3§ &gt;—X‹Ѕµ¬…m|: c*Q 3ёдрє6K®RЪ“Dљ N{ IAЁWдо¤•u–ЄsЂ\R M™ cxМа CR4oЩTzp aЂ‹ CMЁ S@6\Y 8ѓбхё&gt;уЂpђ” 9ЃЉ xЃKяуt`· ;Р№y Ѓ†VH BPZтV cF [T¬Г*‹UВ =z Pъ™ЩE_–Ц 5ЉF‘Є¦аp; `т]И n7*c „eі8x ЃWU Zкhо9J9J 7i? w3Й oaґ\cЃ iWє aBуfЁ¦ёl S—мgЭEkQе™Єw 3t@ –64¦V{° W‚dBМjр‰ JІN‘ vSЁ¶QУҐ 4aАSоhЌ­:y 6A ‹4…лrЛў¦О№ ^ък o\o‘ЫТ’яуd`Ж ;|5xЛ Љ‰ЉBИnтV cFH \Ч:НOp8Аn9s» ‰Xf dґv@SЈЊ wUЩ JЎ‚Е s;Ы Tk _ёNI‹µ =\° BK›Ры~e’кЄљ=Xґё WЈ?UЅА€Y vXE N–FU =сI Y’·ѓs [YiЅуЮщМ’ўжsl®ZЈѕЋоЊµ»3П PеVlHP8 6KcG Оъ y@9яуt`ѕ ;lYvЛ ЉV6 Aђfн–HDHм J=‹{wR«U ]ґњ 5ё •^ў†&lt;Ўњ Aq Hцл„xT lcи»НЃgVНgWЫ :¤J5@ gK6 ЋiPЦз R± 9?УляУ JH• \ЄэО 5@д ЃFКЊ Nе6уZ^v 7Щ CП°9 DГ 9¤&gt;ъt¶lЙTл— Љ@ТBЏґ XW vo4Vў ”5ђE \±† _Ђ48 MPА°_OХ‚^хэlZѓўVІ«Iяуd`У ;Ьїw qWbH AHbх–`ЖJА ZБhq :{ VЈ– ЏK‰ T4ЖМ 57єЩч«м’fEфХЛt–љ Yў–pаЗ• KсpMf KaлR KкEноќws&gt;яXЭejќа 6БB…РД~Ў;–щ ‰„;ЊЃ 8ќЦЎBҐ\€РК™Ычу45 9bV 8N¶еZгZђТmb№ ChЦ 63аИ Dп DТяуt`О &lt;МЗw ЃccJ vDjс–8D’qй {„]PU}з…Ш;юф¤Loоцв@i 4ђ мЄ¶ЈrЁ’Е¬ p5ю {^fњc I—}Яv• HСҐ«ф Y…v 9пр ^Ш…7IzсeмFµЂTµeЇnЂ{ ЏP § JS¶eоє9мkЙ eЦ 9@” 7H3 …cќљэfП&gt;&lt;µьё ‡9AlBл aПhrlУAПM¬‘EuДy&gt;Лs¶з&gt; gЉ&lt;ВпяуdpТ &lt;¤Лt{ WcJ AAFхмHДђC™`@№ cыe Dяѕ‚J dХUµ 986H¦ъХйyЅэЪ eј D; ^џћd ;О‚о“лC‰ DH­ZIЅБ}‡ Mмz@GЖ Љco\ҐЄ№7 Wђ AeЂЄ] T°СЄ|ЦL^с`БЁd“¤f¦› PЄXР¶oNПЯХ RЧљ’t8йМ“P9ЋfLЁҐ 4љзяуtpЖ =РгrЛ cfJ sDvйи`Ж‘ґЃ scp e@i–»M4e [\CЗI W¶ ;}BћeСeЖцЈe LљS X› JqнЖЉ ;5кїмпЧ 3e W’Л &lt;ђ aЂ”j!J™Є MЅsЌёаЮ FјuбCР &lt;ђ¤Хjїw 3Аё y6™ =a™©ЯюЪЬRб9‚­s{wv4wҐXЉЅµОє Kжg ;Л ’Sµ o~^ ‘B 7„CH ‚^‚ HС‚a— 6AЎ¦ЃяуdpО @i &gt;pП&lt;ЖZ‡PљЩtHЖMі VЙ E›‘&lt;S© =hђЫїЂoЦI –aj“J 4Ґ 8ЛЋ ]ФеeF Rж;Tг№ЏLс&gt;¬K[щЕSец YЪОюд Rщб NЭ§ы„TЊ»ъЇ@•UYЄNЂT 4&lt; DБњ TЖеGzU­ &lt;ЕЖцИЊвўїg Vo U™ждD~L [Muђ X3; 7Е T@сВLѓяуtpА =јБtЛ&lt;cH sKљймH„M [‡NH}ђ QС‚ ‹P›`вd QЉЄ¤иµ¬№Oт© uTЗI Tg ]µ»АЕc: [f GЊ ‡&lt;po ;ѓвдА*ў¶ѕ‘3Цж NJЬУДШ E;x fx3¬иґАЁ‰Ї spA”yнGЁ›fъfт_Д U¦VjN 4ІҐ KђFChЭ±= b} j\И S6ћpўцЪrтИ’dc diґЯR &gt;T 38` Sp v&lt;†AАяуd`И =dЛvЛDcK!CNб–`D [pё&gt;*8Г¬†NЊ 7„MЬЧWЭa JклЬґ Ii~њ i_dЪ 6¬лМЖ}: Yђ Q`Ї zF: Iµ°€э­a°fсRI&lt;ЃaДпЁ‘ 9›[lNЅй QЃ U‚ RjЪъ[ъЁ•–© YдЬ 5вБI e°в~Ўюf“ 9Ph…АOєі 4•XQ FBћs Y„lЯ Q_яуt`Ї &lt;P—xЛ&lt;bI uSnйЋxДJ 73ъГ€ЃB pk&lt;Њр•Ў3 Da Ћђ_p ’Y` apИтЈЉv dгП SКяУбikє«l n8ѓ‚q‹U„іКЯфЄ PJ¤c YЬпІs e–Ѕючнэ§юь3 ?R `4VQмниЈ4м UјщФяА©§єя›Ѓ @А 7\ux{ UљЫХ CнZлѓmК” e¦К†–кЦfRWЈj ’NЅ36MЈСf TAВ p5яуdp» &lt;рЛvП WcJ @БZн\H†‘ ~“Ђma=B SP zMuиQA¶4­‚ N…– 4^ЊлЁАj;RХop †KpU &gt;OЮmцЁЊ 7*А ЃK„Ђ&lt;™ SM Xь™ъњ!Vb [GЉ6 cв ;=…о© ЏFЃF `Aш CUМїGЅE©vїЅ 3Pk•jwЂЊXm E3sЩ]ъ”LЉE `ЙVЅrЦИэяуt`Ї p?±xЛ ccH CЃ Qн– cFђS UФжзПц b„љ\¬ ?гBн¬™‘s VZрЃ6Щzdђ bҐ–ЫЭ Nъ\йµљйUҐ Ћz[kДR Lt}X«Рф Ќc‚[Ж A°»jю•їZ…ђі…F `лЊ Lщ‡б*Р@єo3йt 3PfUЄWЃSЃ nIT [ЩZ– XчџЊсж Z¤ aх4аaЃќp„x4wК {_ЉA nRE |q;€ Vxpф K8Мяуd`Ї ;P›vЛ WCH @Zщ–HЖ ]бфФXБ d„JёЃX HсЉ Qг GЧцmПЕ= 7ЦjVы«э Sxт IS›п©ёјhTРЃyЎ§5&lt;^qтК•ьОOClК ]] aJnЭCгФb lDx ;БzF©z 3gЄ• W›°ЧKгdв;g‹ EцЏ«гГ’ј 7§f‰wЧэъyX¬ WfІ OQfmEяуtp± pK·pЛ&lt;cH @abн*XЖђг ЋWA7 C©м cФ ~9…cBгГ6 \и=_Рѓз IЄБ e9 EI6о 3h –O±@‰ ‡3ђ4 &lt;€D@ЬЈП jCЗ¶ —_µ¤Вв y8К vgs6‰кZ :VС Nn FN^ KETjК _зX`џµn –}[Ф± d?ЊЫzкmщ3 YіУ \Є” _d}b€4у…Т6№жўц[ж6Б[=— aЇ*х› ZjЎlоќяуdpЅ ;Ё•wГ&lt;cH BX Mт j;Ђ 3ДнD ^^ @і 9_ыyцпцШю?мO_ VS tWDцЈ¬ ‚4= `xс 4€Й a&gt;й6дђ AMPЮ|CШлeЈдo&gt; ѓRѕ†ЭОџiO b§9№щ E&gt;R M~І NЄ Dl» ‡wE^ ‰4°ЂзГ†XMЃ3Џc эd i4bхЖЃ PSїЦ 7Uc GI· O`KоР Kяуt`µ &gt;Й Ft»&lt;fZ’сћт&gt;@Ж”шМ¶R{ Q•”‚z [њNjHe 7МJQjщЕФдa=л `ШН•l¶bЩЌЏ™•МG M… TM —A¦ґКЅe§ч XоКЉU ?wЎg3ЮвД†ЎэWЗ 3Ќ8€ eс„ 3і JаЪ al4M W’Є6UЎ A&lt;Ѕ†ўК°ќоab«Tћ‘bО4ЖtЇV8Чэч¬eWЄЇш Mоe Ѓ4јМЦт‘± =xёщ8g L¤яуd`ћ &lt;Н3|Я ~XZ @fъ6 [DH x}pnЋ&lt;Љ ?ўw5 —VјБ `\Є dГjэeї¬»Мќ¤кfъ“RЁZњу\ЉН[§“ 9Н aTЌжBdHFІ †Nу7:QЩђ F™V 4† 6љp•Мw;щЉ„CqVњ*53юцMЁtG^ZуҐюЪ ]раe]Єї‘ЃWx Ђ6©^f·Q&gt;єу]Й’jяуtp” =с FtК&lt;cZ &lt;y:е\ cДђSЮ±Ї4E ђ3Љ}ї_ QFИЪ @X Qf6HЛ‚z G‡Ю zK‰†:І@e tHLіЛ”Р O7ѓ dм`SA[G¬»ЗЇц?VТ у ^J T‡ѓў ^З GAXоЄЖjХF ЉtJ;…рv­хџњЯќЇr ?&lt; @¦vҐ§Єя’ЃaЙs’HЦѓх4№ЕЮ[ЉхzY „CћВбо·GҐWХ A€нµщЮМhK Iяуdp© =”сtЛ ccZЉ CVеXy† ЏЂ5B@Ы n\Р”€ЦT au¤БЁІЋ e¤ 8лїгµІI E¤±¶Уn6 5D C[‡†ъШУ 8Ї L\HА© veП© :Ю¦©Щ l?†цё |rJ¤XP{ weвЈлУѕД5хEЛЂ¤XЪWьґ &lt;FQаn5Брqх _яТЁ‡xtы¤ X@CH«ы^›ZY ILtяуtp§ ;шЈxЛ&lt;bH tKZт 7Y† [ VN]LИ‘ЏДИ Hp@CГ 4ам‰ aЃОСD ђNџIyF¬‚ X]{ЦЋТH DуT›l n–@^r€Э‚ €DuЮњ JE–8;UсЃтЋ p}`¬шPi 6‚ ЉA&gt;BQB— [Р 7zАwl M¦эHTnЄЇrЃђдЂ Џ:mbИСw3џ ]6¤т u_ЭІsЊЖЕѕN PчН¬DA©[e†ћюКм· ;Є•ђ[яуdp№ &lt;¬ЇvЫ&lt;cH @иjй\XFHЂB 5ѓD`ј©а• ZН K{к aВbЃшД‘›y dф VШТЁ@}™Їw 4`8BtуЮ N°ЪЖi] CЊ H@™X~S?z]ьпҐ‰5—њЏ™ћй ‡t_д V¤viBL€Њј€ YіиkM®Њd wL|\РЛ¬NФ ‹SPzљ®o 4Нѓ‚вґќт^ЧН AZ¶яуt`Ї =@µtЛ _ГH EYzй–HДђ’ GjЅз… \цdЭ[36? eEЌ¬6щ‘yтQ5В …IYа 4ц E›Pї IПЈ SJ QхЭмРЫX” E[ѕХ_7 4Б7 RsQ S  ?Pgў ?єсО &lt;‹ yAЎ‚pТo­¬ Bµ &lt;н ~&lt;њ ‘4ЕЗЏЉ ;F q€]і ]zUф AЊ±ЇSъ~lVџХIА ‚k4I gVћNєКЋ¤єQђлІmiл `я:–к¶ђ яуd`¦ ;„«xЛ WcH v[†ц6 cDH­Щ™џњB№”XЖ Ta94N 6&gt; 7ј ѓw_ШLЩz GщY ѓ`vн«эЪUiъ©8@ vM¶дб±“ЇI†БЦ 8” n9H E[XU a©‘qВаЙБ 9}ц \сF?IѓБ¬ WXК 9РУnҐ 3Ґ¦jЄNЂA‚Јё Pb¦EkuУІ Iy eЈ_Рџ jUњ„nяуtpњ ;ЁБ|» KCI @ИVс\HД [ПіЬтћvns 7сђ wTН Wјu3?¤zXрЃ T·Z” @«}kчЅMwю \zH ќТµMАЎ†Ў`X „BК† 3ЈЕD ngqN:XЩ—№ОSъ a¬‹ 7БІEД =J &lt;ShЅ:k &gt;‹ CpіюUЙЎC mWw‹­ SUf•jN 3† uypZз”ЃК­Ыз ]‚» IЁ ~PЃКељ Wwх*тК ‚`Џ»ZfоIDяуd`І ;дЛ~Л _cK Bђ Eн–H@ fVЈ pE‚mwБT Iфё&gt;ЅP… 7 PЙ 6Ѓ VN[ :JпВф?ЎHъ E·яНIК 3H@GmВµг –7™ ?Љ d8RЋ M… i`ЇRk@ч Xf EЖ [@ѓm{ C§ MФЛцнIѕZ”]cl¬Uf•jNЂИLЎ Mё Q‚№љьс¶кў8HД cђB 5V|»~Ляуtp§ &lt;ЬНzЛ ccK @шvс\HFHмоµR &lt;M•о‘М @LМK‡ђДpЄР rM9{ JIfµ»¶ T…Ёѕо\БЂті e«Rp!9 Li Pќn…dt PZ\ MSУ«©t« b_§_k T‘V’ €eћМхћДP©8dТеХHqW:ЯdnџьЁР¤wЪїsЂ6 ^8 ‘7И :ыyУ© 4Џ]ХЯ7бяТ •Qd{ї=ЅЄ E¤щџ\ Ћ_ГцаЬ QИ aяуd`і ;ФЗzЛ –UK A№zх– c„’a‹ h;Ь&gt;¦ Z ]f b±Їб·Fяе Hi©V“Ђj M@ЊcЙЖ d;XхrCV WR° Fљ ЊAП” XM„m `YuF GC v@• E‘ 9љ Aґ QRD \SRnфи»Љ?§юL ЉiXV©Ю 3| cd UGЌwь„уUг№НER?« Q‡:…ТsюЖП:ФzS®n¬яуt`¬ ;€§xЛ WcH B †х–@ЖJPйµWl|яЉ® Y87€ЕRБ‘sЛ4щPв[нIUљfЅяIИ HVЄ•©: 7АВ qV¦ѕ OЩі D7 LPА AM T”яO]мzфЇ dXк‰°ДK s&lt;@Ћz’ S[FШ dЁ IW OН3ы¶ю™AcҐ k3Ў[№6ЬЄЃЎ‚eD?щJќк ]RиgR OІ= ЫЖоз‘еЎљ6єvwҐћ OЩ”ВuGЮок Cяуd`ј &lt;XЅw ЃWcH BбFщ– KD’9цВпЯЙgг—t§ЯэяoЎZ MҐ©J mCђ Mлzћ» dќ”d7 Lв SђБ \ЭKєхцk{Н№ЭLhБЦ°bЬ&lt;№ц –=ДґXSћѕЯЛ H; ~b=•К№Шё ?ПN 3еЂ y’s:CлfВ‰П&lt;§’‚‡Ѕ `kGйэkR№‘ћз dBєЙDЈ‚8Х 8яуt`¬ nK—{Г WCHЏщ6щ– cD’ѓ SvЗ &gt;ЕE“cўЗЦрЈ CЖ]ј ‘Ж Hь `‘RҐ­ ^S” pC@й«oіО…њ5 8ЭОa]q¬y NэЏ Y›Ш a; JXЈ ‰e7О­Пъ‘ zWэ ѓ6^±‹іэ ]ђпХор :т So±u™t MиЉйl O‘sм `ЪИY Dз—њ 8с8MМ:’§ ’VFf?Ёт«8¤ P`у!5Pђ: W9JDѓГ ”QAяуd`ѕ ;”Јvg KbI @vщ–H†JOҐХЪiчюҐBJґІ«JP4–„Еµ SF S‘ S] ^ЏЊЈЃ [PуЬЖ PҐ Iќ­ _¬Xи”р 7: †8‚ 7’Pxђ ^ЄЭЁvЋ&lt;‘рщ 5x¬л ‘”:љVo«IА EЖ DЁCP§•е bУx¶“yЋЕ {nK¦G EРбSe&gt;щћ‡3!VчV _г§ћц \яуt`ѕ &lt;Њ№v»4cH CЁvх– cDJ [¶a MЪ U‘”ЊFeф aа@рРr•Д\dTс }TIяФ…kюлn j6р9њF!Hђa­t @mХь6ѓжљpч@a B®В‚ 4AF‘ HZJ W|HтЃх‹rзК \OЧ IянRp 9У„k LI IЄ§l[рю Mщ; OЛ|ES™R…}ф·ХXSef zZJrЁь Aеє W9Q”D*3b 8… A„CвЕЮeеяуdpВ &lt;ђЫz» ccK @`†х\ cFHa—ј]—х d{яЧ© G\•_З!4Џ PФГJПЇ QНђЎ E6 f ipbк™ы‘:3…V8щл™RнW ^3 `Ж o;‚HiБг« EЄ›њ• [Vє*ЄRЂ[ mLZыЩЌG`]Wu« q[і Z5q WtвґNЗу3„{9њM @= GЏНВ=›„ :…Ѓ9чяуtp» &lt;XНzk ccK u4Zхм cFђ ;B‰YuЄei Mїл BJЎж ЉNЭR Cў‹PVљm»ђ QzГ ;WТЊдЪюЂОЁЃЇljђ¦и]O IsL&lt;k vZSCОлTџ C§ ЭВQЛ T`ян{ 5ў —3|є dхЊtу T;‚ Uц‚ GЯ &gt;fдtOKы’зЇ­Я—§fGо7 ѓeФ\јъg cу4иj~у8Lєf¤ЯѕtЂЗЌ4LЖњЉ \‹ GяуdpЗ oC­ЂЛ KcI ?шzъ jc„HY4 r:}W}HUљUЄN gSсо U”шще XUv W¶™ =vПщ Љ`› RgГ=Э‰Nк­ tNL©g sL„ &gt;Ё‘bмy3yµ\Бu= Bk I¬VЮЏсЂU»VЄqЂ\ {^4U 6NЭЬ†„s ЊT°ћ FЉfd\Ленѕ TA Nl G¦… EBъЏќ:Ж ^яуt`Е =@Чtk WfJ C™Zх–@Ж’KZ‰іЃ@ИiaД \Ћ Z]Њ 4ЭMNk† o`ЛµjvЂYґqз ?µЌ4 v7ЊІ*Э Wб ia5 gTЖпЮv¦5‰JX XK GО|Вн BT–l O’ъ”њ gJјТЮќ RеАVх EI· W` ID« ?yљуm HzЮ ЉZ5T Њms_ујЭОящґг d—»зqц?џ7чзэ—ОнOЉB PO№Gn[яуd`Г ;иЇvЛ ЉVH BЂ‚о6 cFHSKcЯыsп}нпя &gt;‡сыfХшЖ ;b ocеЭ±ҐЂ¤ l^Х• Wи DН x[SЎШј°l”вJgЬ46Hв6¶Г 6и cbґ’cзX T“… Aђ AЉ Ѓ@Rd4ы¶ЩШ ”WG:љЇаА`dXЎ5п–TjO…DUQ]џBЖ?N wRsю©e§ ^СљИф Uяуtpё q`3zЯ KfZ @ †нм C†H;• [›№’ПкЛќЉГ ]м &lt;и N7 ^Uµsхc K]T PЉљf UУЦUD™ X’8ЫnА n5‰ЃЙ CЂ“ёМ±G xzF†L ЂXB Cй—WR9бtі‡YJџzЁ®э_ ]RЌц“kb]zTҐЂҐHТM№ W` ~N…АЋ E9‹©z :_ї ^Zж™ч N?†wЦхг NвЯ NrҐЃіk e…3jжL `М™¬‘Бяуd`» &lt;m Dy ЂWbZ tcbъ^ ;DHД C8иг pdNАёRЧCЁ¬ “HZ”w5Ишy¦¤p eчШы5lї9џчяџ Sь«5ЭT*bа &gt;&lt; OqmёXµЙЋ dВО]Є ]± G;mRюФ J‹Dм a†4“ѓ¦»Rт  ^З•z 3Ѓ Bejn 3Ь7 ?ЎБ=М :ѓФ‰Г Ё ;J]A ‡VRФ TQLZяуtp± &gt;нcvЯ4Г\‹шЋй`HДMЕЇ vЉrk{7‚ЈФЃ3 ;4 [Ъ ЊB“ }H] E–‘tSчЖwvЅ ЏZ“ \jr 4ќ K№ЊОм№ю YЙU gѓЊ”Pw=С·Tмхюt Xkі¬«‘WЋ [Ф C™ \fjл Qќr B3їЫ*Ъ} ;QъZ«r 3ђ[ЎѓvъU©W ?ХЫР Dne qI&lt;e eЈ C\P@ iE&lt; UPњL m‹WТBu `dЂa DVњjяуd`ґ ;L JvЛ&lt;c hAйZн¶XДђ u8RфRЬ‚Йч eЦЎхkЫRI `Й €Џ€VW 3ИB†Јu &gt;Sq®°хЃ‚Ў 3yDХ[м 4hsџPЗЃ cU DНpТа –DЧоJ FЯяCUХ UљzЂQ±YЇn g6¬h ЋzT5цьЫ°№ Qx; uR*{:ґС’ьЦ‘gћйB F4B€ИMЦ9 zC€ aяуtp± ;ИExЛ Wb ЊA@Zт ;`Ж [ ИЫ zFPN‚К|co[ѓвУ‹ ]сЭ _ҐКNќ• ЏC¤:лч –C7†4I| bЋh ‰–&gt;ьxv 3ZЦ–JёYмK I‡ ~ЂU*Ђ :ѓ`g SЁEДЙ ѓd|±бн№ѕ¦–8] BяС{г@`UZїш XЎЦ MіЉ _\щ dGф« ]8k\ЋЏiP„[ \T*”МТЩQЯъНЯ “A№ Dxйr9MK‡bЁкёМяуd`Д &lt;xНvЛ _cJ Bаrт6XDHЩEЎ G‘№iЯЩPhф =|8 8&lt;…Љ– YДP‚Ї3jNлe Y’ cQRm№ &lt;`Aи: ђЉE—љjх \|ЂЁм7rЎ«uх}њЋoK] ;mЩ AО€Кщњ dМ W¦Пэю vVdчк c•¦™«w 4‚p ’&gt;ҐЮ 5ГUµ iEј Gќ SђLX ?ѓУ TV _г«Ц Wяуtpі =иЫtК&lt;¦J tL^т 78„‘XЂ ѓzAё ]HT«Dв„Ќ:eЃіхB V–ґ IK…54Яm€ЦsШф xP±Дкщё CP; m=k“ LTP‡NОLсdФВh•lыkЦ—№r 8РHk „=Џ ZA ^·†ёФVУ mxЈUcLцкЖe@Uu•jN 3Та P¦p®О5 PЮд kTGБ‘›ѕЗ_B§їm bцtиЇkќ OYЊg l&lt;Љг’c^ TАяуd`¶ ;Д NvЛ&lt;В xBHvтV@ЖHi EЂБ—ЃYk :лtЗFMIйЌv·©YЄҐi8 :`U Mѓ[ p^r ^Ч5Х 4`ђlэ«  bJз]X«ЈV Iє f&lt;ЁX4А*рmO?[пТ®sТ«·яж@U¦UЄN 3‘ KАгвґzћЯпtС K@ug­^jяYнoVpE[ }\ЮAWCЭXс 9F Aяуt`­ ;Ш·zЛ _bI tSvх– cЖJќv =d!F i7С FE­xхСѕ„Яvфzµ WF©_§ 3mR 3·ЧФґpъLШM Tb Tцћ JlH§С}RvЅnЁvБљЗЮЪќZ9Д№ `z_¦=ѓ Kф®юн 3”6ZЇsЃ¶`­G aб&gt;Kb Rяхѓ9Е ZґН4 `5 ^н№Gд…ѕg» •sX]ПKќУй»врФ–€Ѓ5їѓЦ4 |JkIЁhБ wkYєяуd`А ;xЛ|Л WBK @иfсЋ cЖJZbЬQ? ]µfҐV¤а GШ X6d…Э _ПЊ Ѓcn{?« QФыТы]юґ®_ьч \T’7 v‰ISШ ‰i|g‹;=ё»ЪПу[V[яXekЄяrЃ®W8ЅЊэЛ –dэуMh Nой№oЛ 9?€fIч VInq TґRVhjиtђё DP KqТ»G_sBуЂяуt`ї &lt;PПtЛ&lt;cJ AЙRс–HД’ 6Qд}РєS*П Uчжд~E“Naю\  @щ€ЃZУ‰UN`5 h‹?µ^в}J _yЭ±:lЦ Rиjњ”ЄzOЅЩ‘uћ Fv Xw‹…–ҐЋhІ¤ EхRеЮЎ iKm P;}f–ю ZҐ^ЄїrЃ L¬ —HF 5U· Q{ЧyГ a¦g„†U&lt;ЈJTП YnpПыиЮyлЅо°і[ @k L\d IДЩ DщС r[яуd`М =y VxЛ&lt;cZ BС^н¶@Дђ 8zѓЄX ‘EЗIh Eќ\4Эz&gt; XT5 Mu[ё 9 цb Bїт8 Zка| REikGТ©РпШh©ЩЌkU \cљ [Wb*Ъv&gt;фЉ*`ЁL ‹^– _Uй•jN 4E И8aјћ–ЇчЅ]З ;† ЉOН¦ 7э}јц5·~П~ 5о… [6 UH&gt;8ёИяуt`ґ &lt;`НvЛ&lt;cJ A8jн¶ cDH} 5‚М c” rX_ ‰Pmлдяці9ЪЧнЯoэ;«4т«IР3 hЋ9к5aЄ®Ц &lt;QІ8¶ =Ў‹`OКџDеяѕќнСпиЏS^µ v W]ЉZ `С’O¦Є ?Uя W@\U`ViUjN g;ц 4Ґp­ѓjж™Ќ«о ?Tиz GК¬з ЌU;MяЛ~жf_]*xRPиҐ] uj?[AbЫ‚|§•RшBяуd`Г &lt;L™xЛ&lt;BIЏ 4‚с–@„’Rqg =Z†ё 3† LЄ– T=я±і 7—kїЅ»ђ KPи XЬШ NТwF Y® YHќO AЉ dF _ ’Fё*@ [43 @№dоѓKфvЫѕ»•ЙШeXVo«IА S°=Q|Рта Eв 6B †4A@  4Ў HЖ¬† a*рBв“§ќЌqТ@ё CђвбTЌTъ@«яуtp· &lt;¬ХvЛ&lt;cK @ђfнм KЖH †Dј‚ CхGъы?л@•Х?R 4b‰ ;:ј VТ TУ›‹ 9Л¬ t:bT NjQEЏV 5ѕ bkЫ}b•гиюљ}Ђ:BВ &lt;D 7M ^±ми•YЄї“ g3м I€¬«rѕ»¬жµ‹Zr±я—хEє EЩНЭ Nк¶ …ЃZ5юdэљ©iV H±З DС§ gVХЭЉOYЪєSv„=I‘ђЩPЩ­ЊєЪeб cи †Opяуd`Ж :Ф Dz» Pf g@ZсЋ C† ]Ф S@lеМяЎф”¤ЇЄїH ‘OgGRAјOяЭ UЖО eфпОЏТ a¶G]ҐJцЯUs eі ‰J”c¶ЌC 8c eЩФ&gt;UМs­№ЂҐ№ EM· WЂ`ц B® RЫнјГj№{uxЛ x:­g Yf¤^Zџоuѕmeоу‹іJ@ЅіVS\Лvх†ґ eШяуtpМ &gt;`сrЛ&lt;ЖZ @Щ‚йXxД‘w \n*d]Ю5ъФ F:H ]в¦—H3iфќ‹ 5R‘ІZЇГy» &gt;gVЖc D€М5С Ћ€ђX49зЋРчњgp9UЄk qXп mBЏF8ЩQ Dџёъ \FІ }OF¦Ф _Экn S©UЄrЃrG— yd]љЧVЖ©” E{№»•&lt;IRЕщЪyN?е?ъ”гt;у¬Q9Ф ЂCП™: …4ЂPТ¬ DI Y€ DАяуd`М pk&gt;zЯ ccZ BfоTHFHѕґ XЁ`Qэф«zVAЉXТI Yк 5Ъ 8л –a™ 9й6к8 ?kO d  zd„k¶{№oZJ‹W–Ћz¤гЮ\ЄЛЁY [cф ZјГЇ HЅ`—–ЄїsЃѓи CBъ bюЯКmЄи9nLR;–ws~kю|}ИУ·ЙЉs DAПлDF|lвё5 d§ 3Ј^x`яуtpё ;ь§tЛ&lt;cH tSZо 7HF [  ;ZЎЄҐtrОUНя]‹ ‡KЅeiЬ 8ЫЙ zKUЭІFMЌ x‰QtЃ№U _‘Дґ jdn9y W№ 5rz &lt;¬\&lt;Ў 6\ RYС NN &gt;µр»иIўIў5ґи_ц•Ё–љZЇwЂР8M a*ҐTk P»эО 6 s&gt;Т[Pо…ќSoB BkWХ vYRhDgK 9gпA‘ CvD Q© ѓeќ GстA †c«ZTИБяуd`К ; µvЛ cCH C°nж6xFHЁ—TЫеCk _”;RtЧA Wё–кIФ 6’ @\ &gt;¬ы RY =Ф Oш Yв‚ 6Н NICnIЫ ;џz• [uЊ cгѓЬаі­sШiН°Ъ O•n4®zзMwЪ°Pф™®r g‰cCPkY†_ыlд7чњКљ^S3 Xп5fчХO CЊМОИSўЛ TXЎ yDяуtpЅ &lt;фЧvЛ ccJ B8vнм@„HD] CMЗ GUIЎ­yТ“ XI y}E9юЄы &lt;џю ВCH*ыn l7“ otbќd Kµ :Ж› YьШЎ7єЈТўAЃЯэлЌfґwыЫ Zаp BЧЯгЇьяїњЧьКяЗэD•^г 5Ѓsг№нsvЭЁЖїЌj URІфИP&lt;И®“3&lt;\ \^ EЉG Ѓ]D*вПЧ›™‘r] &gt;Є8…zGС Pж OЛf Vf WяуdpГ &lt;TГvЛ _eH t~Eхм dЂ 4ш…}Мыаїґ‹B ^Ґ HK :ёKмgчыјCУк HЄ jG‚о Uf C‡аеЃЧќ A– _yѓNµЫСEгЖ…k U±:IРЄ vjGЁ Bњ €X[©s—Ч&lt;юГ\№Oж 3eUYЇш6а¤Њ\ a–bюґк \CЯ^[I ]юЫ 5c E5 F\ NС UР &gt;I® ‚K Cяуt`» =Й3x‹ _cZЋЂRй”8D [„ Oјm©•СG ]m€ЛФ*Ґ ‰Y3 ^Ќ Qx 6b CЄP OOќ ]]’З«Д JtОпљ*жeєћ €PZх–jC VЕ? Fbє“ц_ZвD™ g7–‚…њ utkI‰‚¬Xk SшЂГхБЕ|cє Ќ:S tUЖ‰›fОћіёSe †G’ 6Ц’ d53« ’ ?@ІтvoЙи­’fњГj U™Ў uicE aяуdpЅ @Х PlК`fZ„а ]ж 3b j8ґ” |M} TеЛNх ъйV4TUfaT§Бб4 D‚&gt;gкNЯифМ;ОґЁ i]МС ЉtO…©{Зи­U•–єaЯxQM— UуЁ~Ї5ф Џ{T?ЎФД эZЇд`i S[ 7DҐЕ•tЎMЈФ B€Ѕ{е;Fќ‰ 8Хz &gt;«‰§€s aЭ H4ҐX 3ЭЙяуtpµ &gt;мэnj&lt;fZ‰Щ 9Э\`Жp„ jxC„‹ ng3БоВ @XЂA [‚±М]h›“9ѓc Pк‰ЃIsj sЏЃ[i­ Iзя[ф^япяьд’b–° vK!O@д aёФYоИrґиi M&lt;ѕч \жuу&lt;Ѕжo {wRH Е 3H“ N«юJ 8EBA© [‹ 5ћЛ[я7lЇт ‹MИѕЯG3ЛOњet UЎ}… nVp&lt;И„ qX`x3¦АП|™г3 CяуdpБ!?зp{ WГJ‰± EемH†p8kЁХж Fеjу‡–Сvїя JDЦwґ·ЙюзeЌюъ S5 ]ZЅМ!7Бн @[ufKE©Сх [Y ©ыw†yATуЛSф7Ь’~GCД W™ QЖL ђ;pLN |z&lt;ЃГЉLJ FMО &lt;Љ SћЧ NҐг ^ъ{ &gt;m ] vjїs 3H NFЂJ 5¦ ]uэLШТяуt`ґ =АЕw ЃcГJ’№^к6@Жђ MB¦ _ѕе bЕй wPLхЄЩлЄ|D 9q „&gt;JБњEuz d] e€¬&lt;{B‚рТ‰а±7© :[OчЪ—RЛ RQ T«}unр EЃj pЌGC EЌ4­XРB l7Ђra {:TE `s]I —cлV me}Б3N‹ЎЊB xCЬўмве Oы9Biµ¬э A¶бPHҐЄ¤Ы’р y5Є„ H“l–­—ю§ ‰’cEњ 9яуd`¦ &lt;TЕvЛ _cJ Cxjо6@FHщ Jеќя ”I_?u­дhBЩєС Hйў \ЄR„FO• GГ‹ P&gt; 6[ђ aФЉ Dёт HlO Iл­Эж G‹–ўхХVч 5†9АИж` ^мcхИќ=XЊS™ B TќsО [З mxDЦd Ђ}ЂЊdoa QфёЧ­ G_ Jр†лnъм№ SUjVЄN 3бqђр Rяуt`” &lt;њГy …ccH Aа†н– c†HЫ B†эУ —ZP†H‚ Z6уї·–}Ъ Dbљ3•8 LAкМk€П„DКRЬ IРh c&lt;I 8Т ‚&lt;¬cќ{ћђ \q Wхt{TA =;Є“ l4\ =‰ђА?ю@† vЂЏGZс7я” c7їивM_Q‡}6 ЋSП~єПщд¬hГОю fЉiYV©Ю 9® ?У©~ФџЭ i3‚ ES`DЈFdҐ qUэ AIя @еяуdpћ ;ь»zЛ _cI ?ђ Yнм`J gЉ&gt;µ i? ?…Ќј ]x®Г„bЇ PQц WЙYw&gt;ч `I Dм:Г®ѕ‚ h—_ґ”D mЋ^KнЊ YN WР ЈC UБi yЏaF8Qф€ 4а@ •MWP&gt;LZУ tp5€J “M|пq YЫ¬m@UzUjN 3Ђ €;… 6©*:ъt|B 3ІВ LТњ№ DГћпяуtpћ ;Рw Ѓ–V8 A8zнм@FHdiюМЧk»њ TЏ dnaњX ђ_TЃс@xA }&lt;‡^ 8ІаыК6о¦ґl’M~° I•~њ fЂF…vh TБѓ†E 6Eђ fZRгCпJҐАЙ {cЈ 4}Ї&gt;:Вк cТeЪnюЕмоҐNеФш•ъЅ `\ U bµIА x•4І Kў Og ]CїБq9ВQ:ZPёеэ·¶ч|*ю_Є”`ЫЖEЭv7aе BПZяуd`± ;РҐ|Л SbI A€ ]сЋ K„ 9Эй¦°©ЕsL –JkЌ qt[Ђ«Аи3С‘ Qы e4~†¬yэ8 5ЖA ~X€Б SР O8 ?­®e`*cИ&lt;DeЉ K‡‘ ;з 3RН s9Н 5ЂrЛC›i &gt;z¤дК=khѕЃVЁ« bsњ‡м¤ =ҐZљїs 3Ц› DД 4Э mCЅхLo]=ХPТРKIБN_вяуt`« &lt;Ѕz» _fI vnUмО CF 5”‡ ^„sВљ H9WHн RЖ ‚b‚ 5@ўѓ8Шo PЋ oln4Р Љ&gt;ёЃ@xЛЊ= bN@ѕ DZМщ8нw; [­лS]Pe HpФЌ€эЂВ h;v»іЩ 3jЄU BПAZыяш3j PС= Fхяфі`7Г OЂ•UZЇs 3ЦbЋgkК ^s a­›U Gи U~’ГO7 R‰ ЊRyНЫkT­–Jм[ XB8ѓхќCяуdp± =\»tЛ&lt;cH &gt;XvйX`DI™X­РЛ°О 9Ь }&gt;ѓБw*ёє 4d’QАЛiЄ LµЌ§ц™YD*ЄїЙѓІ’Ў¦{цуФ cѓќw ”}we… IНу:Y:›e8‘ RђТ•П VWK6 Jѓ{ Cмє WҐ®Єя—ЂTexЏЫS‹эГI3 CK ?ЉB= dN9ћuюѕvpD Ѓdl¬ eЉяуtp« &lt;фЅrЛ&lt;cH ?‘VниHЖ‘P 5йЉ cc” N&lt; gr_ђСНt QROФ*А: VR @;[ЬБЙю­JґТ­IА —nEўV `WcС VУ4c dЁIОO WSЭ _пУЭ›[°V ?Ч —Q® ‹LЄRTґ‡w JcРёЄ _!eQ{7З{™С¬ЖUщP r&lt;йИc eF¬ШlщыЊ†ыб’M R9 CeСЦѓз5{rcѓґ5 9Љ^DoщT `TN§яуd`ј &lt;l§xЛ ЉVH vLЋх–@D–\`Є &gt;KT s~]Q ?SV‡§]Ф·JRcgТ ]Л &gt;nІэ8 jz6іЖ®эЮжЮ eгВљ \В ’5—¤x &lt;зџHqезњќD 6ЈБw: ?¦¤кў­h YЮ9«| cтыИ ЏS•WкїwЃaЁ }WеЦ;пдЧ·ѓфЦ 6F» G†л QґЅ Uтбw±‘O Hяуt`« &lt;D·tw&lt;cI AђvмоXДJc3@о*Ѓ c°@ €&lt;Љ†ЛЂN &gt;N p:Z‘H°Ј AЂ®іu€6qЗJСц UYєЄ©J 6… 3э6»} „Eћ3©:@ђ&gt; VpќЃ —fPE NЊ¬ 9ЈЖ@E j•”gЉB¬*р T¶хЁў L Є[я b!A eUнР›¤…@Ґnкя’ 4‚Q ty|FX^дm•ЮЖ LYь L–ВіьdП UmXЙ?№ Df KЩўчqяуd`№ &lt;x—vЛ ccH C fщ–XЖJ r@OL ^Х“ teЩ§ђw[ж^–S9MЋQa† Ac 4z‚6Dп bФqщC‘9”H–ИЭя ”4APµ \VЯзB ;њcёe F”†’ 9ёQo4¤c 3Н c » ^rљp 9UЌ IbJЎ”]RЦч YЏ›  S‹KџьЂT YХjr 4—г}‘™R¦‰= `koQ–Bяуt`Ґ pcыxЛ _cZ B€fцVHFH =¶щ\™ЦХяHюwтј bьЅ `ЊЉ\У@€Оi}Lе ~|4ћQ DrТMIT 8N‘ ]VРiЎвП ‡E¶Я¤ MФ Ћ;jE FЄЭ 5°@¤\М}П5 s5H J‚„ nK4ы 6©S:Eъ¶ҐCі Ak[]О5оЇіZт _Е v_ЂЧ•;•UЄҐjn 4§ Sб‰VЭ Pаіc ‰Y™†‘r dќb 5­ьlо~Ѕщяуd`Ё &lt;ј»tЛ&lt;cH t;JоV cЖ W&gt;M’Ф XП™„ [sКђj]Јn;© …cќIцµйѓnoхяч+яЭD—c±D›“ fKъ sEиvА lTЎЄDBw :Д U¦зH›ѓЬ&lt;q‰•&lt; wQСм: qc ёЎе cёZЦСtпc Ye‡щ  F‡ ђg‹3Ф uQљ b™ї№ЧFА9 LdїМэЄ‹]яуtpќ ;М d|Л cc XЏ ;rц jcFHЙYЭ­_E&lt;© eЫ‡ V†…D 6Ћђ Jq¦ЅUтµ±ицЩЎ•9 35RЄЙА ‹Aѓ †UдGg ]И ?Й*±pи`Гв«9DHДџFc ^РtИ PhЉ” OЗ\PЌcЊ}­ўБЯ№&lt;p RЏ ђ3­„К“L¶Ъй_ЄxnЈ ;4«LкwєЇґ«vйЩf‘–ИМм9EБ SLёЄZAа WH° @б gDaGґDяуd`­ :l§vg SbI @Рrх– KFJц?vЖєХъTЧ№sґїN 4Еa` C PВU m4B Sбѓ@рЄW4Y¬J’Ђ E— {O‰QkЩ wZ[ V3{­ьМ`еоCѕ…eй[‡ЁзКЂS ‹g3м BО dЇ› vLВC5 3ђFa 4Ol^_›‚ LЪ“сs ^ћh D«8СLҐРNH SАjs o4Юяуt`µ ;¬Џtg _bI t~Qмо`Д 5dT№дoj ]»¤eя \ґёD?BE8мi6Эм ?  t]VЗп c*4 eђ 3…¤D ` TJ‚Хwn Ќ@Ў§…^ „V` DВ &lt;®a6 =эX{С JauХR CщjЇд`BЎ GФ6_©9єЬО_jN{Њ” DRXйщ±… ?ҐЬ¤x§«iхѓЈ® ;dVd f9`с 5сc A†H zTбД P8 X‚&gt;‚ъФA: 6a _яуdpК ;ф·r }ЉVI AP aт 7C!7•бдЕ sHоб Yдьr№и cї vRяґp EЇ­jї =6 :IE»{ъ§Фj\ Lvњ _‹ ]Ґ!eП Sr—?f _о_ •]@¦Ж„‚  ‡\“aе‡D¦З &gt;^M‚ jgFY 5L&lt;Ш rUЃэf±»Пъ„аD“&gt;j«а‘ xZМУ [cRЪЦk\Тъ ^°€м—Ґтяуt`Д &gt;Й Rv{ _cZ’‰ Yй”XЖђ Q№BыўC­ЪND [:›TV; wK” `С\тєиж®Хt&gt;Cм‹І aLЮCЊЫzфt Qm [=[ ^¤С gXbH”DЄа zioz†NЪ Cgб8іе N3I6яыЏ @?иэ9Ъ·¶њр›oп XKлхґш=пн·°DЖїЄюD 8М EЄ ^Ќ„\ FСњ»і=Бэ™BLуOТЖq WU7Ю\ЯOѓ ‘4]‹яуdp® &lt;Х dw M&lt;bZ ?ш Qк nc‚ 4нs ‚EЇЄЅ tЋRьt©6звтfс­wт;ї*яяз ;69 MI €WG 3y 7Њ E6 fDЂЪLИђ€:–‚«TЫ3 WіЖ ‘IVўB8 ke&lt;^?чдЕОїв ЉE®‚®eъЂ—wкЇv 4”H „Uaц±5Ї­|№•О ujPTmS4ЦиЬЅ№TуT eяуtp¦ onPy N&lt;b EЋ fIо ncЂ f_Џ¤ыSЦж{•nГ Cр\ ђkvS6СB UЊJ[в RMп‰K@hСІH 7Мq¦µ9 3Ђ’АҐ‘ 8aтs Xw 7A‡„Д@€@F VёўQ[l KуoСЬСZеПеЮ§ ‹UоЊІп dSIцtэґЂW»Єї’Ђ =€ daѓ„н• =¬Ћ Y№ Yб =ЦЎеґУ§•± \ФЏ}ьйЯх t\Ѓ8zИ ЂЃ|?ЙJљяуd`ё &lt;8µvЛ&lt;cH AbкV KЖH» \Ѕ€Tюэ _ВШFќ~ ‡Y“ї j~–[Ы ]O^о· 9Хяцjќ !? =z pU™ ;Ј3Јiѓ T;ќ4b ЉMD eЭРбГ =YAP° LБЃоJЛU Pђ± Zкып FЮ‹Н “ PIКweЂ [Кя«эК k]ёШtЃЄЩнN CFЄ AdГg ‡GЇbCекЬяуt`® &lt;й FxЛ ?cZ BАљн–@FLї&gt;“”xWНhn· N®\¦d ?&gt;t W`cНЬђ 6€ ЏPK}‹| њ ]Ч—Нх9э“ †Xеlє­Ъ l;Ў wdФ f‚W‰V‚\Б Dф’ Sљ LFЮ¤¬Dyµ eR ^kw WaѓЛй6ѕЮИїQНџ« &gt;ЂҐљляrЃѓа r;б Tфњ{;ЛoЉҐN&gt;Qўж; R“ Q~ҐIUs Y*¦BVЭЙћ`Э© dбФ·аяуd`І o_«} ЃWcH @pvцV KFHм vAЁр&gt;ЂT xH­Ї&lt;]й IґлП PНµ Yс ^`Уш‰ M&gt;YЄ 3ЃP xdм¤н»[ьґG4 F‚*w« V}™ IЅ{¶НэU*©€=Рhs ђ&gt;ЩVэU·Ь [ Dё~ЄЅЬ m]Гyћ5 `»гз8¶vљі [3\і _ЯUНбEo·ПШјЛ¬Щwю—зHяуtp­ &lt;ШЇvЛ _cH ?qBе*X„ђУyZ G¦‹GЈbЙ MГо Jd{7лЦ IУfЌ­{ўдҐ Nйi \ LP6Tф €[LC 8Ѓ &lt;y KHЊ4 &gt;Ё­Ґ VЪZУROY7 U±}Ћ`AХ TЌjђ› Xk~j§]Q‚Н eЌ] 7@V©UЄN 4Ж‰DtѓlьgQу9іЎђ}{ш UМдї”е&lt;Њ§ €Xў‚‡btЙ ;иЂ°© v5Ъ aH CyЧ‰’8bЂяуdpї ;МЙw N&lt;cJ B8bймXFHўЌ:@k?¤®Ф \&gt;­JХT­NP cXЛГ 6VЅ=µ№жфаz·бж‰—Ґ ]Ъя^џп9 SШ r4}ЃAоbг…4§hаdk:hcJ=§з–Ќ*Ь¬ЂялRp o=„егдЅйoє·‚Lhж6Wl™ ’XРйЅ^щЧoж4йc HКЉЪЈ GrЃДЎr яуt`¶ ;м›zЛ WcI B‘ aх– cД’‘дјбs cZ:¶9Ѕ”ЌvЫяCR­U ]¬д 5Еd¶ Kb _К Љr@Љ –„Yt¤@ ЊrC±Ќ }VђЯ­I] ?Ыoґ ;сЊґХ f6„Э№ dтaР€ nЂ 4f _йє­· WЬ ;A S¬yТ›Ьi3фћ 7nU Gѓ†fК±–Оd GЬ M@бМ 5j~ЦЃЖ±єЗЯЮрG№e|„uћЙ•фµDфM5p 85с_яуd`Г ;&lt;µzk ’UI Aш aх–Y† 9уґ&lt; ЌvzaђXWmЕЪЕ›Ѕs 5Л&gt;A QеJлUV ††Vс–?џ JЦ±MTDdf Esp wKБLДW ;Ґ ѓA*ФџNyЬГ^яwMЉ О†№“д _°•ељїr gђ†&lt;5У4±`Wг?v·мд«j5† `ш`дЁп U© cєПйњc_pv EяуtpА &gt;„ЧvП cfJ @a~йXxF‘ AНA “M!N`Ж 9@*ЬЗD… [‚ =ПMN FZХюњ Yu‡ ]ГT QЁq `&lt;=…Й_{о¤»–b ji3ю fY†oЅ~qІЌЅ^сїКњБњшШiњо№}Є\ЉМ*АUfЄяrЃ`°р —6¤Љ7–їћ9eVќlВ’zѓes5И¦© :э W±Г FђAФЪ &lt;sў RRiHл kl3±s x’&gt;њ ~[ѓў„яуdpБ &gt;i TrЛ&lt;cZ‰A Eе*XЖpО &lt;хќxІ‚Ѓjmb 9Љ®ОЯ°± XЗ €]»w 4ўГђ …ZX…хХ•Њ:Д aЉЮ»њ C¦Ъ Ђ`sP r8Д n}kLBбљ± Lw dґ[жќв VkcўхjЕ\ 8tL 3®ьЁ jd•У›Ќ67joyЁBЂ [ђРЎ™ 8q` W3кВїЎ bз*’ MЧmЉ=іЙяуt`» =4»vЛ WcH BђRоV cЖ [—ЇИv’ 6P 3јЌ GHм±J}Ґ ;d’Ђ M•ъp &gt;±КkrуЏG:оР Nё\Bгбж e;ZЪ`’ @TbФ cґтОЕI«EнісЙиVЊЏЇMґІЂ•jUЄN 3В RБ№Єф]ПчјгhJбтQ YЋly BOS\‹ЉІdF]ИВ9 L:ФЉЛ QI OЕ‰ ‘°Р°pX RhA… @57 Ѓ4І¶ c‹Пяуd`ѕ n[їt·&lt; VI @PbнЋH†JPЩ 4Lзg}hE9 F‰ WЫЃЈ€` LР W° \акЧ]віM=із›ЋЮцЁ~іюЧ D—А«h*Шыjcv­Яп·ЪюыяЫ*я*юыз}ЂЈо¦їwЃ‚Nx FЩЌИюЩ*ґҐЌќ”щVб4t JER„Ьт eЬЌ^Шл Rj’ h€;†™ NБ 4kяуtpВ &lt;аЎxЛ&lt;cI BИ Aо 7` fgHЋ —9Ѓ4 AѓЕЦ ]@Ё Pцп®©NRз=·Їѕ ђBЮњ 5E*Ґ [ї‹тИc&gt;¦ѕV \ўH‹ rRµьК T6 q…6ґHх &lt;F”“ s7Љ RbKc D¬] l}Kб eа E—I Vх®Р ? UЇ­IА [„ viWЃг{TД Sќ€ Ѓѓ~ЉT‘ђ¤h“b“КрЋВціяjІ» “wШa¬PlЌМC ‰h–[Њ Fяуd`Ж &lt;њЕtЛ&lt;cJ BрЋдОXDNi¦ 4@Ґ\|ЦA \Ўж„ц X?н¤“ _}U Xr!5G‘@» :xLdИC± :јёс ;*`ц ]7 cwqъЈЁ ^kм uOn¶µЯ¤&lt;|љ…ЈоЁN”4]iМЂPz•ЄwЃqфј± 4у»ЧyЕ«C¬&gt;ю ?‰HцC3ї Bн XЫr3ю±GI y[BҐЩ¤ 8Гяуtpґ &lt;XЕz» ЉVK ARсм cЖ [ZИdG cf hiWш]Ћ@ L8 UЧ J8№[М c*XЛђ§dyGWJ*ІЄІp 9ѓD 8zsЫd Dx„ъEг F†zП е‹ &lt;Рч6 aх &lt;Е Gf 4!_ЃFѕ‡Љ C i@y c’O§ OЕq}—ўЂюUZ“  eр –ѓsF«Ь…оьЄµ: asљ HМЎXѕ\яОZ*s·H\9Њ &lt;j [@Кb” €KнpЛG Aяуd`Б &lt;Ф»tЛ&lt;cH B8nс–`ЖJ ^ШЏ :@ YA —3Ј ~dзЮш±[Т„±И:cъИщ WI…8ТIё fw_9GУbу8сa| w_jpќ dЯ =ЩDГMНзµ~uО3¶sФЦЗ№гѓ=оГМ dяп9џУЅ ZЯЪэҐkќаIтВ`x†№— LXД{кaЯh`Й¬§HЎ aMwгч{ЦЛяжяуtp° &lt;рЛx{ ccK AаЉт 7HЖMO€Вн·жл]eп‰ YЌ“Њ EПmХ Z З’ N&gt; Jh„ ]‹ћТ YJ9ЖЮ‘ =С Rj?¤‚¬ЧMjБЛйБtЗ SП”Є:J —VD‡ Yѓ ‰†L”Љ±ВџящЦћрЇТ¤NЙсќJ@X€ЂHЁп«эк 7™ Bѓ kAE5ї}:ис¬X BЌ ]ШGкY№3зљџ RчЋw 9х€ }AѕZШґ ?@’`°P Iяуdpё =4Бt{ cfH r4VнXHFђ 6†‰ cyS…ВОјеBЌХµa‰fе?аЃ X8ўI WУ zAЎб 3ђ5V‚›Щ WHђNHщ ZbЯ `Q b»|сП~‹Sб`Z  R6Я6ЭЇ§Ьgк^юїё`ew EI· W`= 9@ fTOєз“Эew =Щўb UУЛR _·&gt;C7Пб L GЊ ?Yжbяуtp± &lt;tҐ{ ЃccH Ap Mт jcА g5ц SКжуъtЋK‘ Kнdwhф‚…fм Ct©EТўй Aг nM„ l7еОSkђlсZSЦ¶аrH i=ђ4 iW[‰K€…Б 3h ѓt6ДП ‚Љwt`ЁI‹ ;°YН Y­ЏhQа J† 7ИjЯd_У»Ћofпj@`UjЇш MУg \4 3°ovЙ°п b`ІБљБџ `њйђTё ?ў 6ЁlЂUF @QД•Ияуd`ѕ =С FzЯ KcZ Aр Iщѕ dЂ fC6ЭV°¤ЄU g&lt;„nS SАќњA ina­„c \ЬК “=хsЩ Xi k—KzАќі“\гiО „e‰Х YЖА_З‰•t‰ auЄA4 =јK; Ѓ—QЪ @–і Y5h= aТKi Qu ђhNjЂD“\‰_т@ [h Gђ Jxѕ \x™Н7a=±LТ6 d©|gmLяуtp¦ ?±3pК&lt;cZ‡рЄйм`ЖmЋ•лкrЅrM EЅ*b 8Фsp„X4&lt; f_бМ8to EЄ _@ :b \ѓ»“?­=KFКI 49Rµ‚ „Ub35Іp‚@ ?ВQJГзу [ћ PШїyяоoыюфrШJ5[n NЯ}^·ЕњоЂ•VЄя‘ЂЖA*… eщ№7 h@k 4ь[R `сOPX ;Aґ3‚З SГ№і‹—Eг±ЊlM!YЉ n–YЙXяуdpі &lt;hЎy ^&lt;cH ?ёfниHFIНџ OВЅ =H K@фРaЊў8ДАIЄ®™єњдµМтЪЄюLaЮµ^ц«ЮOь–—зeNЄт krz]y`CЕ UcUZ jЊLР‚ Fў ?МймhtьъМ™ dо„q icцj«Ы Y9…ИDл7кOщ Aљ ѓSe =f±©БчS=чsйg7¶KМ[X &gt;яуtpЇ roFpЛ&lt;cZ‰™ AеXxFp ;G№Љ V ocАт •|]„ЏA I‹ґ MX cД†РI  T{X›Rэпѕ•lЛ CQЌu^о i8J*і CТjјAoVБЊ‚±`ТЌ^§ОЉ „dH aщ7‚ uSmiI!c”Аі KH ~D N5g±G;ФєЬ¶7»;·ZРe¶©6гј =Ш„a–µ¬Х XSNI `R ‚_E!M€ TИљgT‘вд‰ …=ј 9ѕяуd`» &lt;Д­t{ WcH Cрjк6XДHбL„XaЉІ™АБC‡cЏ~‡Н oQЭmX LЉ P4¦Яs„5Ч` R^wj V”№`BP»5H :RЬ S·k\*&gt; S¬‰7¤оFUДtОзкpћrт•ЮzцVХт“ 7`ujHЫ‡ tEЁҐљ­¶дђ 9‰Гб cbU cЩКН b™№ ^3щA X7 V®R¤z cяуtp¤ pcЭvП WcJ ?I&gt;йи cЖ‘b6FhЉdмЉіМ&lt;u€ЋwХеX•й ef“Є ђcЄ &lt;O­ •ZPо ?‹• Oiмy™V Sф[ХQЧ Sў¬r6Ыl¶ 5F fgR”Ў›€ |=q WИaЗЉ EnЯјІт_E»јo7ЧюЗО—Soя`¤Vjї“ 4B~NQЎђЇ@шXїµ«нЋЏ N8‘ WЕ9 8б iEђ K–[ў’©И§ъЎ L‰h±3w©qяуdpґ =xхxП ccZ qЋIц jCЂ 4bAёhҐ ђCbP•В&lt;sЎjсЦћO‚ЕѓЕ S± fcђФЉЋЬ–«Нj‹У{Ќ ^ю^ lV‚`&lt;ЎKъ DТ VЦќFPt\ъ ;ґ‰4 PиЂ NN ‰5—4DФ jn5„ hfxS‘зG№±vm aб ‡FкўЮЖч7шtК XjЬА\х DЛ NQ FWН·ќяуt`® qWсrЛ&lt;cZ w[fй¶XЖHПсб CЇ 8ѕlK MЁR U¤Ѕ VЛ&gt; Lч \њ4ЃкjsLБ ЋOb®B C!alрxhР c&gt;tBm@ FIЊx †eY ^©зм­6э 3bA‡uZќаH |j5auEX7НS 7Њ Љ3™ 3вKИ 8zOлЮЉ›« bєђЉф \аГb†• CЗ Q† ѓ=ћSµЦ›±‰ґsЄA @ьх l3d^кїwЃ \љ¬ tr;V ?·яуd`Ј &lt;рЇr{&lt;cH C±Bж6@Dђ„lКшf T¶Ї VдЖ[Щ]4их†EіZСц 7Еt: c’Ок WДПЃ VЉB@шaЕ¬jр =—c« Ћ`uИэCtЄНRµ \@s*В–’h 9A 3T&lt;LH_Ђ’D 9хИYgФ Ћ’Z@tk†ј\ Dy e•¦дЯVэ[№снP&gt;z` ^Ю &lt;Ё3ВАU™*ЄRяуt`‹ o7±xЛ _bH BP Iщ– dЂ hgxSм8J `Qэз» \Ђs–‰dP ;ЬУнІ \dFМщё«нVR3х–аЋ ‹T… Lu§GЋ U© ;Я»ѕ GhУь“ЧфЏHэ8 7;QН :И hі 7ЁH D€ DYkI —ocВР y9ЉЋЎ {c†Rф’N»ъWBэ• tLwЫР“ ;z 3eEjЇs 4аЎИQ5 YPШѕcЩфKBX OA –WЙ Jђ‰ C3aSяуd` nW±~Л ’VI @H Iро CА 5~X Uх …8±SэuY H!`Џм;J NtхуК ?Юhп c‡Г PоgjП ‚†vi‘jQR|gЯqDХыT\љUYъlD  E4 …Eћ†ЛvДlh ;•ю ‹y=Щ ‹?ч 9„ШРяїпу RtБі‡†ўs@ЗЩk› ]иЂЎM ?ОYъҐµкJ© 4зuZq~ьяуtpњ =ИЩrЛ&lt;fJ =И¶й\@Жm§3жnЯыџЇIW Vй ЏHђФљ IЄЊC@Ь¬86 JP™GEІ qI6 8Ьм aеќЈG­}• 3эу5;ЂЁ K^GV9E Lе V@¤ Jy;TЉ bI4}¤ R:y u3€ klIP KwHИгkјъkJ&gt;HЉU*¦ H:фЉЂeЄUЄN g8ђж lChўkјг_ZИВчEґ FЮћ@­я™ L·µпaя PEmяуd`­ oWїt{&lt;cH u3jй– [FH VНQ°љ IIkXЉnf KД Py Tб‚й Cђ vSµ ?M &gt;UЩS \Rћп­“Ф ]U ]« Ќ3№ UY¤ :АЮГ G–W =G’ I‚о83 UЕ `Ф[|Рa :ЪТ‚b ?MkґйчјЉM K©STъЧ ђ@{ю ]Vц*ЄRЃљ &gt;*Q EыНўkS \©ОBЎФ YJРМ dяуt`ў &lt;¤»xЛ&lt;cI Aprн– c„J« ‡D“ЗЙЄљЬР {@™ W\pD&gt; 7‚бЧ&lt;Nх!O¶„† @Т dTWc=O 8‡є= ЋHXU’ IРѓRК¬ќ 5ђЏЯБНV” SD f~=’uн W\ ]}м° 5]\•ЄAґ± |8… L№ВДF y4v›Aг]Я№ЯтжеђUҐfЄN gS? ‹5„еyє?ћg№ёЩ_¶ЩO‘=Є ?&lt; @§юМЫ Q\ы†Ў\яуd`® &lt;њyzЛ&lt;c9 A@Fн–H† YЋ¤oє=У¬VfгIІ‘ТЎ MЙjz3†‚ iA€ O°Ў‡bЇ[”ПZ­Cї” DхVЁ 74к &gt;7G GД CВИa P› PўdLC d‡Ј_cщМ°¦y C5Ё—F v&gt;Ў©Hь8­ d P‰Zjn 4PФЊH 9Uzя¶ЭЬОљЄАFТ ‰9a WL¬З HBjыяуtpЈ pSГxЛ _ЖI &gt;а–еX cDM Kd¤°Џ Љeфг wUЙP ^Ш™]Ћтѓ 7ЃЈЕ‰ PЋ?ЦJEл&gt; V*Yчrѓ`‚Я dе OµnҐЄh¶ 8ў nC›ћ [ычћj?“«ШmџВbїТрGW‡s WLџc9eRf ‰U^Зё UtAъјjЂHЈ GiUо –[ь ^ЧЋ YЪЛЌc LµѕnOЗ k@ЧЅF Z8pѕRЧ·ШЁСы Kа aSяж AУ hHђяуdpµ &lt;р»rЛ ccH ?±bй\HЖ‘ I«\ЊІїі­ЧЫdX| •‘AП‹Їil¦:ШF™GЄ°Хhѓў ^¦~љ™b‹‘W X~д 6цFЮ…Эв*r8пGБТY€ ђRJ ka:Ш« &gt;7Z^Y«dT Oт EХ ?Ѕ Iu4г a^хv _ev Mэs SH ;б \Wо@ O; 6aЬ 7ЖМљэ•=Ъ•ђ ZNяуt`­ qDCw ^&lt;cZЋшfтVHДH™ JMьМПу&gt;[й ;ЉroxF‚У \Ў :ЉKШZBTCkмY©ўт©Ў N№ LзуйУО7Ф9џ—И:Bл TгrшЁpЂ Oч*¦а L@FЉQЂХ :Г¤„A•€LЁ4ж± 5в©§B _Тц±Ђg=Л‰ Gm @8б®ЁC8nrс6КЅi ;озЄ°X YEG _ЌЯт@ cT C­Z Hс­HjФЭ‰ЗdMЖяуd`« =™Ow ‘_c\ B€ Qк6@Д 3Ё–¶dЪ—№цъcї„ТV©й© LИ3ъїЊKaПiДUюsъaщa ZpВЯO WКoцWю RящJLM[i34G 3› ~=Э^dА AD „–‹A‰ѓн ?AWfk9pЅoXpHЪ HR &gt;пEkRЮ«PХl ^лХЌІэ` S;dm `_ j&gt;‹ QНy™†яуtp“ &lt;h b{ ^&lt;c WЋH^ц ;@FH9{t±fИ ;Чч€–</t>
  </si>
  <si>
    <t>Hardcore1.mp3</t>
  </si>
  <si>
    <t>BЬSЎDj7СвU O[Q ‚3В AS :н•^ЯL ^ц RP@еќ VD8S’9 `¶ЂА WO‰4XЭ5”Щ ]„e Y‚»xявCd ;ҐТ &gt;ђгfЯ&lt;ГH IъzЙѕ cЕ„› Hy4kUВgоњд„Єja Yp№ 6`JYv©K’^ЊЕMХ*c™w°жo©G 4ДЩЖ« :ЕЋ…f Vїю¬вД4L ‡Z€T5 3“ЦЖк6p 5ЂпЙ ‰FrYn»` FtыґН ’]ях dнЋп aі JSЉЯoгюН9c{rЭ9?{В5=¶Yљ6мЛd›¶vЅЊєэѕЊ \7 – FlЗ‘ JяоЁ O•ЛG} BcрнtxaУ*d7ц SW[ЏwiLz Lm»m·АeЪИbµіµ ^5” VRявCdЅ©У ?e 8c b&lt;e† }M¶Йѕ cЕДйЖ Њ_†iD¤Вhљ @© Ka°ЏЬvПы•мГ E“fQПДL™љО?№:ЂІ BSЭyNЖюЂ UH®Вўкf= _Ню• IґЈвЌщЮ4jґS A?ФтDi­@є gYд’Kl 3‡ &lt;ml­Ѕп HpmN Cж SZW ]р8 C‰&lt;аu&lt; BbAFюф« CЬcЁS G‰із?х qЌGqўB 5oжsэm eђЕёз J? SЏOґІЬYґw  4fюI Wђ ;ce\ \ђ &gt;Г`яЈ!dФ LТж[› KявCd°?Н ?5 XfЯ&lt;Е^ GJ MБѕ cКёgKґn&gt; LgЌу Yљ’бЯђД As &lt;Ѓ;”L©=|Є Wkeбfj \ґ—Ќ PОьўiэД ;…М`f Db4lЏюЋЖ `GFodЌ°щШ„ ISЅy^±Ајм·mvШ &gt;jЦyМ’&lt;К 4дм;К ‹?¦лЏ­ІD Rю&lt;оМ yCDҐ*ѓ Rd3 &gt;АR“Ш7і ’8: \’ codюT I®tC\Рo 8R*Щ Oб’ ЋRРXє[ЅЪ5±“Ткr x9Zю7 OЊ ? ЊK_В ZiхKч dfrlrявCd WИФ ?Ќ Z\П&lt;Е^ I: =Йѕ dEЂV ЌUCg&lt;ЪIђєe‚КS= `Єќя E›й™`ТЦom H™жhr ?`Єew :е :Јз q\ЌќG ]7ЇЅјШ—CўTOвa LYi H;©zВЖIn»m° &lt;Ѕ ~4mЂС“Ай“U &lt;mYfwcGц ^_тS @NГ‚Я8hВЌћk¶о MzЬБaГ U„ 9юСф† dдh№ La8n¶ ї e‚Н eS Aј§’[ъДџp‰!^щm¶ляА`ьO EFsє…В=ВРЊH`ї‹‘ ЌJd Uи 8ЧявCdkяР &gt;i V\П&lt;ВZ {&lt;ћЙѕ ;Р 7щ…ТњUнчіґЁU J @љQOЏ8ф› t@B 7ЂQ… fCBз[ b_ Hш8АL?Tаќьђ Aџч ^LЧ‚Ж9d&lt;мЛ ?? hRH»¶є‘ ^’Ы¶Яь 7w6ілPR Fvљ z`Ґґоk*iz{ЩЊэ QоЪмUР `B4і¦ eЋoу Ќ?JЛъG ‹NЈчXЛЉцќ’ TBq rKъ&gt;~n† bBѕО ]ў :;’sт 5бР† DСЃ Z¬ён»oюАl]•¤ Lкe C°ЙѓAЙDaI eЪt4пявCd„јЪ ?q DdЯ&lt;ГH Ir UЙѕ cЕ¤‡»BQd e` ЏaЮзЌѓЬZ‘ЭтщКiнйн—’А»µ Rs _Зb FЋМП‘њЖґrц=б›уяХЛ_‚][i Swо O’Ы­ЫЬЮдіЕњ@ YУ’Ы¶ы 4jvйi Uиpb б jЌNYџs BЙш=Ё  R…Ъ LгК SxўЙіЋ;YФLb ђ7·к±€ A‘ЩЇЩ :&lt; ѓSZ ^Д`*О z&lt;PйЃИH°›©ѓ …UЅ_ VьЋкџІм7Ф Fy}hg _’лv L« Џ6e„мb Q @жявCdWTЦ ?y DdЯ=!Y J*ІЕѕ cЛ KЧ™•пВ®;ыЙФmZ 4D@Б{5gяф*іЯOglїб‹mн®ьљe WЛ ѓuFж L’gщАNы zSБJµ}яr№ tG„|Q 4qПQмЁЧ©мG [qєh [@ =њ¶[®ы 4хЙИЄя \Љэ Fы”®е;а®&lt;д Ke«4 [^Ґи•ёP Fу…к’d† _а‘ПmћЛVУaFz PОpБ‘БrюPУђ4;NYЉЗ Џ]їЭ ЃcЛхЏwu…z­ч’Kc iS‡v&gt; …aТwЃ–bќЬ¶явCdй cН ?9 &lt;`Я&lt;Вl HbnЕѕ`Е C3» :ХЃ ?: sЋb6нЊ Wх®їъAЬ E‡ IмEЭУњIљ5СNэ•‘iя^§яjzEJњЙЊmD dтє Zй? Wcйyі 8G Qd‘й L`з¬gхЌ e–Э¶ЯР N}ЏН €fG}Pќ \џщ3\‡±LWҐмcяzО“ўКІКГТl­Дз4MdЌQЏDѕ d?М S© kT^ HђБ›ЯУ Sr„б r’NW—GрmF Eп­Оц Џ7d¤–Щm J ЉZ9 bТкQ›l› ”\—=Ћ a4 C€явCdЗФП &gt;е &gt;Z=€4 {]nЕѕA„ФЇ @:Х¶QР¦fqтC‰oЙ’GЎФM Њ@Id `°ј ]p|s’~‘Љ… |HN± 4ЬнћS 6ЩD 6†€jіg3ур¬љІі ^WDЎ _„QЃ»Ф}&gt; \ap 9ЇяшШ FнQ]ДЏl= = чЉrQҐ™ЕEаG‚Dґz Vм vk7бЧCѓ„s&lt;iоµйё UCH¦ &gt;Ћ}[™†9c4U3ЈЧ«q‹@“€ѓБР €&gt; E*ЕM•ЁuЯGФв“ @· VvЫh ЃIА® U_°и•[‰мћ‹ЖявCd‡~Х sD9ZЯ= UN Hє 5Б–@Л EѓHґ}Z‘xя›€ЯU]bz GОЯй=ШL&lt; CAйN—еI©їи ЋOѓ«Љ 7ьrЎ &gt;хmFg 8„ЃЖX§џ—?Ґ–РI~ _ъMш&lt;БРЫ•‡ 6юЂіЅ 8L™ &gt;hм»mюА~6Є BrAqУBzѓ 7bЛ SХjМSiОh[eє§љ \вђрЃ Bqd8Й™ Oў„{± =u KT• =ЖБя±qй ђ4*Ђ=… GЙяMўјF &lt;…¶ DFLЬЄќнoдWN§ a»яАX ‚:yҐ Hд UBПіявCdMKП ?Ѓ VXЏ=ѓ „I*:Ѕѕ@Еh7fc dB«ыp®¦s&gt;®¤сS D{ЙІ@€њо^}¦?е› HНЖ}М©­з_єeњ:] :9ЎҐoч·¦NvVЉ ЋђSК\X Sк`*Щ5 “I“e Nґю |LnэЙ W“ @ю GxЁ‰ =p~c :­@ІЁ 6МПЬ©µ E]­©T c…mDЫЯдІЏ CЎк € I‚ g[њ cґ =®·їВ…~ |yEQўL\] NйШг]ЌиДGђГўЧЄЅдЩXЯФgш¤ iTйiЙ W»Z 7аъ =Аpе–¤явCdЕйМ &gt;аЩ`Я&lt;Г€ JВ&gt;ЙћHЛ |]ш?gSh»vayЂЦЌ;9 == Hы k^»Ї3`йjі SюIж[k3 e§ Yh›ьzзэXъ’ oS‚« S7ЄN_ї[я ”U3њ dNАJFr§ьъQщ“кЇэ·‚Чь R ‹ M`ъШ &lt;П¤C9¤B:ЃHЧ &lt;НB}~ыуж5» H†И|{Н¦ЭQU ;«@nЁnDЗKE aмPЅМЭr~s…яет itW\Т 6H ]Мюоnеіу_ИTе;ъћ 8Ёд·mэЂTї— CД„сЅA xUYm­явCd=BИ qwHZ?&lt;ГH IqъјцI†оД¶јЧ8¤Ф ^LQЄ d—ЁUжDЦЗSєQ n9З aш „Ћc¶Qrы AC± _ОТЯ7яVЙ P“ KцЩ =ёG•чЇчпШ†·{m*шЎgev|­яЁ H«їюF mBћ tF5 k:3 SД QТіI &lt;“4з [Ы ‰’bьуЭЮУк dk GЋС IAюИU €G¬М 3п ACЋҐчeъў‰;Ос“ ^M _їTП l`€ ;PЂl† dќХЛ;Г RОЏф LеЂc}О^VЄ¤”ЦI =« &gt;з AB ЊJm‹явCdшЅП &gt;щ J\Я&lt;fj JєЋЅ–ZD~ a…ёювВ PaF DѓµNЦKBУx©Qђ ckњЫђц F«Ёщ‰ NЛІ_j¶ @Мg9›фйу Hнf[ hzIoзЌ NВ z‚YХ·ШПFяУЄ·яцmД ;Ц›’I `¶Ћ Vж Bр |‡SG6†µ ^@zђр bЮrт aесХAHLO Fbп89ub6цњ­џнч QYX¤ =NГ P™СХ¬ ?ЎКтЁ&lt;Ѓ7а ЂZ ]|ж [FеїЩ9O Qj»Ыrс {@рЭW XWG Gx 5ac 8Vp \њЫявCdµ ?К &gt;lХV ^a 5O HRJСѕ@ДтN `кy^З ?…„В{G®ыХ QЧ€µsuує Gu^ъ4 CУXФadk eэШз:GЊsх EжWNҐкK¤Ё’у•є„ ЂWYSg 7ґe IаЪЩ EC X¤Љц*я€ђЄя’I WѓУшli†c¦x ~o“P„— Qz Dw4є LМНъgYтШЦfьPµBH\јnD@°`Њg}ЭТЃМ¤ЕІьќ¬R» 7Ѕ ;яКЖZуђПќ 6Р CЇыўm [Ћ [ЪeТ°йP 6R DyҐ ZSєN;*JявCdБ•У @i NV{&lt;Вk 5’БћZD~rвrRДш?o ЂJЫ E„bЂа 8Р uCХ@†ЛJҐљФ;іФ} :sчb R€ц…т± 9•№­ ZHI \Д A‚GU HDЊ«9 Cr 4s«f]бU*&lt; ѓC|мо”УU±~н•*&lt; VY UЯк OOтПьgШ§ыmЦк=;f]Ђf s3· MљyЙм®љЌ &gt;JWЄня~®бµ™ BіLФЧ¶ E†Е6ўЊь `XЄ o QЛр¬ bь¦NОЂ IЈж ? » j6Я”Бг‚ЏґХ;–[ IД Tё‚явCdS•Ѕ ?рҐL Na† ‘JIє¬юHНh :УQЕл TWJ«Ь’K cѕHdк GKҐRJБ3V ‰w9©8f°‹ґPKЋ° DZ}f}{ ]…jЎBY€J `&lt; c~ aЇрњHw 5DzCLі PО№« „:| ‚_гвВ3g&gt;¦”XЗи fSд_QђЙ[жКmЬџЉ»ђ 8Щ `»oяьxіЕ4 YFjжY8…Џ mBЪђ]e H·fК4Ип Paэ r~eѓ™э¤Т €ЂRУЅ F™фН Nє9fБ—~ &lt;ќ5r{фпяп—BљI CњџвЂ3N EиҐявCd&lt;ъІ r3џR baѓ ’IТ E№ѕ Ѓ9pД­ЙФ{ х}є~ѕ«яЫwl‘ 4ў Ѓr8оG MЬ Y©€“jk †TBM’ &lt;ЙАbРЌNµ8 S¤Yс des«у DХ“ WЙk; ЦоІЌg G}TЅHеЙ;c ^лЭяй:pЈ FoэN `л 8j»яqЛНЊCy_ b‘ UnЛ vqЌ;_И PюЪMfф:hМЖ €X‘mC:3Лw*3B CМЯЫ©ШжЎ] WЧ™Sэ IЪ&gt;ЋЗь IFб§C°g‹ NA aҐ`g Eў•ыџ Ќ\ия S·­ 4jявCde©° =`Ў^{= X7 IІћЅ–9„ZЄїmЛ 7OДP 3zґ—[U€` HЌИ GR A©” j8RгoЈЎ‹° I­ CЯ 3g«Кђю‘rXФїзюD Pb°*оyц `5ІµЎ*ЭаїОeВй &gt;dЁyВOF\urћКе^ ^ЇхW P‹ЉНюд’I7Й GѓsSШПJagыV»“ PХж·QlлMЮ№яєUЉ} [[п‘G jeЋMvџ s&lt;_ТTdЈ†bBєМ {IМпZgЊ Fц A{…ПЫ¶жєХ WЁЖъ6 ^яЧ©З‰Ј DjЄявCd№¶ј &gt;дЭZЛ&lt;b{ IiІЕћHЕ EюmЛ±Б Њ6 [я 3н*Ю I3 GЯY Sga YR°®Ќўe “[щґ= L– &gt;Ь 8Л C¦eм[ R:M 3в D­‰H N¶‘ ;Ў dUiµфЈх Fџ„ PяjъѓВBh&gt;YСuЧGЉ T[лz©яm„У{Uя•G^КQ V† 4ы L‚¦&gt;J Kщ™’ p4„pЁ!4“3F|Эш 5pЃ |F–lАp 6ићіоЉ DЏGNoBiэ GоЊBAx X„ Q•Ч”:_8Јх Rт aS”вx 4љЇяm‹§бJявCd c®Ѕ rO•ZЛaг ЃGў eёфHDц‚Ё–Нg&lt;aъRAїлБµГqkуp\ YЗИёa TёущtМбі_^Ъх€VйщюИк©”јмЯ–y T{MївkщJљРЖCн8Є‹¬Т¤ `¦Т’ы] D¤Ґя `*яюgi 4№їЬ’I SИ IЦЛ Krj R­?U·И “eh‰ЏЈ A±џпS¤¬Р°oЮщТ‚К Wе &lt;U=Ф wA­U ^зяЛц T®И€ямдOС ?Жіњ›Иф»j‡g±кИцў ^МФВpЕЙБхmQsџ— 9Z«явCdPЕГ rCЩZЛ`Гy JвТЕћ ‘7:яmКp ‰;ь THAі CA‡ SpМР¶|W4‘” ”uZи AЬв 8TїК LL Pґы &gt;3*USw8­ШO eca aqd\ЅцЁ yК AПµЦTЁ SQaq;¬м •[QF Bм]\Р»яPg®ћЏ jPМ 6smЙ W’Yk]5 [ЈВ v;…бќ”TC pC4†ZJ›G­VеЯBкd§¶Н«m‘Эе&lt;цЈ=пляђ¬кE ES3?ѕхj7йі6_Т»jи~‹TПЖ8fK±‰y KY B¶йТЇvЖявCdLRЅ ?D•ZЛAѓ ѓJІоЙѕR 7љ»Oъ C{T’rАI 4А°ќISСBу EB _Ў ^B Y`Ѓ*х ђMэS*9–уД b{Ж»Ovю©ѕЛ}А}O 7kDВ› ”JzЯd¤№P 6„ОqнХ8ЛVЎ vNjќKV”i Ueбd =a” l]w&gt;·мА ezx &gt;№CuyЙ W’ЭсіЩБnH GQт P5c~M lAsO[SялЈРЖЂчё›­ AЌЄ n]ЬИЊ{Ід7ХєҐЛ[ ;‘«jє;Шн[iІ YжNЪыw¦мЄњЫі ;–Ј =B `явCd ґ¶ ?lЃR N=†E LrцЙћ eКЄ Џ[¤еТй Fќ F8€ VГeф?ИС Aґ 8”УЋI X·К aк 4*ЬІ’ J; aЫ@ ~†6’Д«–U±oH› TzS™!Oб ]GCWй Gъ°Q8Ъ ЌM=t‹ ;EЯ—ґщ cCЏё*Эu=Хє] Eн &gt;њ [ІaQd `e uI3 E*љеҐ QЕ9¤Џ T’ЬЅ {SZЇч V’I~Тnто AёЧ YҐєnҐг I9ЕЙћъИЗ3*в—™ђ“†­&lt;—eаБ©?я{є D¬ЗkР—мUNmVЇ bЙ?явCdq6¦ ?шVЯ= ‰ђI:vЙћXE AЪЄ±­ n…C“= ђ:Z 7i 3ґ­п \ѕЫ GДw|яSb›э¶г’YGєд•§ bЪѕ =Икu—”Ч®©Ы’ґ§ќvзxшф OЩkЛlm 4™ґWv aЉЌ›ъІълUt9XB]QќЈ*ящґD V·k Uе¶ LXЃ kcК’ JњТ№ QТ ;:”эVr NµU_яы @№љwPjhўёпЭV”Xv9 elЅя —‡LбметьЛхт&gt;Люэ ;v8‚’ЁХ Yн!LУйх azзo@F‚лявCdФуџ &gt;нcbП&lt;bѓ HrfёфHE I@Ё© †5„Л [жє8ЙyДHЇҐ]ҐяSµfGkэЙ O·{ќ WШ ёЭ–ў Љh;Ж~‰[¦;j MgеЅЖ 5± 5Вф\ЈЩbё‹ЕYяќ _ЇgO]G?”bJ 6П9–xеOД5nУgњђg»К*рЏЗ `љЭ·ятPЌэЁK‡ 4Ј lCYҐ dµR [Ї›&lt;Њњѓ?цS ]` F}яЄ?яDpвЋ‹ъ‚f¶њ№ ;Л Њ&gt;ъB… xdДрM 4Г…3ЎcъiXт ElШД&gt;џBйq| &lt;ч O’ЙявCdu ^Ј &lt;4;ZП=‰ jGщОБѕ@Dшm»йC \Э ‘cЄеBЅш Mд ZЖ &lt;‘ _ЧНR:ўpвPОЌB4У;:ч •[bо‚A ;ш№ BG U =цєCыП«е’еЮq FО¬s9 I{VзhТЫлйЫ} fUгЋ[ `ЫямюL[q OcdБґJK| |eчМ—СіQЗdb OBп*ИыйZ?©OGn ѓRяE ЏARЮY;ЅҐГь‹џ&gt;»­б[ y•aДr Wшл q[Њc :8ЎXвТ§bњ G]в6­Ђв VALйщкФк EH 7§ WявCdЌhї =l\Яa €[!Mюѕ^H†ь–Ы®ЫqЃ”Њ _l’•No ndѓтй‚тУ@ ;В’Р^ч [ТфyХ L—S‹ ЋV‰Б 4ауІяЃ@ 8ЮAкymЯ“Dчйµo~з [гzQк^еч 8© 9їэИд’M‚Dol }ЏE…N‚‘mM Pi: =пG±ЯESъч¤зWЎ lDПџ H: ‰bЯэьзPqзtЩЪќЙ} =ЮШ»;\¦УХхҐлT Rќ’…Юѓ KAЙ°аeБ Z¤ Gvћ iLцФ R^°чD ЌW¶Ы®»qS _V 9eЭ TявCd¶bЅ &lt;АYa b= iЊJкЖНћ &lt;Љ6ЏNј’ _X Љ_ЦEЦЫхО†“B• 7wLXdNвЊ¶k b‹Й‡‚Пы dДВeОИюѕнMт „XB Iї TязЪЖ “^Ь’I X¶Ы\WP Mr…ўђч7 ^gJ5kXxдюСlг Xіc№F ‡fZЂч ‚†{?Љшю 5Љ LФмк 6пВЪ ]z9t yђTC&lt;ѕ &lt;о_д [‹^єXж•кЎр:&lt;Чз hd}љъЃ¤лъяш№€?шgсЭилK Ђ9kэЙ X’ш T®Ё Yл ;З¤ ‹MN HѕявCd°¦Й oKWa b=ѓ ~Ѓ5тЩѕXG JЯ ;оп Uмbз•vd[3N4^ X[и8ЅТ=«ё?Gчњ Qmюћ b= ?—»ь*ѕцYо}ЪВЛ5тґ­fШђgrKvїяьЬ RЏ ~b°cMА‡5 ы F]Щћ·”€МG–6ЫЯ8МЩ· dѕ!5`ь RэЖЄQЊйvg ѓX9жлХ]cШНFию§93 n&lt;Вg H8‚ PПs€”c A;:іСЮК\Ћtg•fr9ЭSіѕ8Ы3ѕР &gt;dQ ]жд’_­»Ьэg tIЈ­с=–utлявCd±‰О &lt;pM\П=‚ ЋN[rЕѕ@K Gга eРзW A7µQ;`©V Ѓ&lt;љ[йrНЩшїќgаА 3\ ;rXзт DрqpЙwђ9z’ЗъYнd5” T™Ь± qPЄѕяюоsЖ3{љ¬ 6ЗМе“ЕДrZEЬйµsЯCбR @®ке =џ« QIXЌ FящЉg 9Я&gt;R’kяЈ§&lt;‰ќЙo¬ЋsИ ?ҐAj SдЗ5мy ]DiЩ AоtЎkзЛУA™Юв± †V»яш|Bстм»‰ `ЧoчяЩ S® [¶u«е9йd€&gt;‡ЩявCdЃbП pS=`Я&lt;жB LіrАф cДч‘U 5ЏшЃf &lt;Џ5·ЙАZ~ KюМф&lt;AЮkЪ–КhMтЎЈ 4y EВ 6ҐНp± BP[« V…·ы58` e7 W–ЛvЧ„7EX GD3 9^ЙQА TЬ€ьЇ’њЅ ЌJУBд¦ѓЈ“ Oэяю‡цXnЛяЃ3 eF –4— H3хтрђЪэјт3”Q Cі Cj&lt;± jS’њ­ SЗЎ ;lxfЅ€ b­мюt&lt;ГБi NкЅЯчќЬб;ы XІQuЧBО~иЉЙ; M&lt;ҐЄ :‰™ЈѓRЃІ¤ГдVявCd 9aС &lt;TKfЯ&lt;ў@ Ђ5цБѕ KK©ёP Њ@BTЧ‡~Oяь J9Ч“й©Ф}™9Y –FЬ “KOюпuoУGє‡ѕ° U»њЋKkNещГЏtЉ 7х UDМqХЯ •Mi‹ьЖИЋоmт•RЖеS»О Pщић ]@neVЎЯяОЌDs¦«”‘ AщЕэ u‡7ІHO:Ч XРQ {PJ*В†aQ Kz ђ”Zoі® Q«УЦщЫg‰*w&gt; Zѕш Q\ЩD lCШзс aєЙ LЦҐ‘±u¶Й†PМ M€3Z od‘ ?№РСC4зpаС•ђ LявCd¤ EШ ;ђ `dЯ P† nOуN№ћXЌ&lt;&gt;aС Y‹ї•ящ@Ш N­Цv `ѓ~ RQЭe 4`ВЧ qTЖRЃЯzќU?QћП `:lфдrЗnЪАC NVNЩЃ—н Dї„ЬfЄsЧ cЕ&lt;Ё™­BЧЈў ‰\L MТЋУ7МДy‰Уяюљ›iњП Zи’ O9 Qz M;ьЋ№&gt;в `Е …;‰±вВЖЛ™6 eХ wM‹№!JJ™wzH R–]Ће`ЛОйэц &lt;О av &gt;‰шЄR‘е ‚TЕ WѕЫѕЫнҐVі G@XЈ TРВҐsЈq©oщЧ­явAd B|Щ oK=bЯ ѓ‰lѓVvБ „c‘ O¬ш•УТиЮ EЫЌ{u·”ш·я e4jџ7­в8aтвЃ7‹­Н EЃ XА ›Aщ [і­‰Чвлqъ‚о[mЦняЪ?b™ї5rЦvoCqЈ 5vИ `фcйC~µSЁтЏ4зчЩoЎяЧЄi¬®fХї e3МЗnEїA6Ц aс… C8 VќО 7R Oг €?® c‡ WPk DБ 9иK wѓ9№ NAI _­ Ћ;Ћ [Nр«5 G9 „^—“QЗ U‘DЉЦ 6· &lt;ц–‡ ^s9UЊE·mщыявCdeшФ &lt;и{i •cb: Mл~Сѕ cJИзtq Oемy{ VшџылµятуEѓ[уюб9 \ЌЙэf PзёQ U6•ЏыўЮХ m@d [ySЧ= rXюЂ LMёд–Э©nФс*™ VОР@¶фЫѕUZШяv}‹M ]НфЬ–ЉСjя‰Ф§} bнц¶ЋF \uЭ ;F —Mю§ ^ҐЩЗK9sЦw—џфпс“On’ Bu{sj dэ BмЋ”‹Ys GојхLtfґO dЪ¶{уЙДV Nb @їш’N|ЪXTЬ†K X¶zђЄ IД 7¤ЗсявCdѓЅУ &lt;сu^ •’Vћ OгvЕѕ cЌ P” &gt;онГеОTЦЎ–Ї©и^ЧхюЊ„яэmBхя®µфGs^џпFEЭ[~WqСХВ»LT •‹Lф —&lt;tFA a3bНШ AEPTE KYТП Bќю“—H V:–Ke·m K&gt; FZEњ¬hЌo 3№icЊU @\ _Lf‚*3у bЬАж dнГюMюьїY –N’PжYf Q№ю~іеТш—€Nе aPeP‹ЧC :3–Ac¬lћb–ҐЬKћп •g\Ь JњЁ©Й @Ф JTЈ 5рв{єҐ GѓявCdF^К &gt;Е§bЯ cВ6 OЫzЙѕ@Pь 7AwЃ 4]^·•®‰ЦЬЌЁІ{kчїіґ @7Щ 8ik G:ZWЄюjъфъoў:oъ=[m DlЯъ·э H¦Oэz bИхХТҐЁЃ; XЄЋBg&lt;ЖфcҐ @Р DГ ЂpOЛ’о N’B Mю5 W¶±XЉO–]Sаћ{црrл№їЂщNЁ» Vьµ’юО*ясLЗ_ј]?Џя*зD6nVзFш™ aСџЁ QC Gу 6ќвф~S± 8GФ swYVй`UF]Ў6 Џaк·И[Щ ]bCшявCdr№І =a©`&lt;e6 L»¦ЕћXPьqс|T¤џй Yь ‹Nn7 XЏ my6g7; XnЮІтП gEМиІ7тЧOZяС~ї®џНяЯщ LїяoEк*ЮЅ&gt;Ќ~Ё[}ґ{\љ XZПй @Лdґо RHЈ6•м BCЄU©ZЬrIґo Us}ъЗш‡r OVP YЯ’&gt;h€ѓUчл« VkGюWЫеыQ bћыuЯ«Kэtdu*йІЧd}± 7°О¦ J; skwuxY’і›;Lx‹ ]З TЮжR ‡H±G GяЮG~ a€юєhи¦њ’явCd Z§І &lt;µ±bЏ&lt; UJ JыvЙ QxJ}K `ЪК… =±_©CЖЂ7 AC… ~bRо¶’UfРї’д Yґ UкХoМъ d[ц:7цэ&gt;ќпM~vйХЭЮЖQ­™ыиҐJЎ7«\€ў®оVё‘Р„i PЏµУДЊ 5©ЉМе MФ« MaµVOЌ DЕFrKa”IHд–[urBдu„xt7 xaSЅt»пРЇХ\‡ЪЮЇЫЭ«” NїОЊЇфїч bUэґл·j GХТ­AЦ‰эїЎ W—S &lt;rСљеБўµ H®N¤= ”?Ў’g dњПявCd\ Uѕ @]ПbЯa ‹K F~ЕѕАД CR DhЖ†їSjiTЎБ¤ю HdЈn9 `Ъrca]‡«—Ю‘ны ЋEцjчЯµџхt7®кIЪ©фmѓ‘Ѕ7§ы~џ·QЊщ?nПЛСэЪфzф dr=љИЩ Pд[¬ЄЋ KБЁ§fGdі Igђ ЖrтіJZБ 3L \иu№®Jn WєЭvЫ|Д9M ЬЅ§ ‚P doќhд;VS7лyЊ_¦џі‚H SbЯЅQ Nян_№њеaEeџкэЫщI}5яҐФЯgй7 _­®У®ЇявCdYi¬ ?yї^Я cbF HЫvЙѕy„ ;у ^­_6їѓa Elѕ„ TХИТ‡цд–Ч®Ы v8…qГYy‹: 9• :n ?Tyw –—–MБ ѓ“;®леј®нJь№• O„ YТ 5F*яхЈTМYЧ^n©WЪїEы ‰`фPc{9кўо8н»~YрСW|ОЕѕWєюH X¶Р\T† Ud T‹лjq`ЮҐ ‘Ѓ]N a©щ ”6&gt; O=ЉЭXЏэ©S­O†[Ч |R·э ‰AЕ Z:ыфяCЄ&lt;Яі[mhХAК;ъџх _’zt \@›юXявCd‚нЄ =щC^Я cb@ FY&gt;ґюJF r`ІV ‡p:ЬUГВ`с„ИЩл OcЦ zT‘z VёЋЮКІђМю; VU 8|V3&gt;№†ДnвД Pі™Gњб 5*яэНj• ;н§VЬѕҐeўoъ?OvияЧяЭя3г DЯячЎАR =qЛmШi¶Й‰Y HE–…8ЂT„RрЩх Dmн¶” Pљх&lt;aэOZ­їbхй|ЋяџФе MЏћ HMЧuvЙN]яsъСЪyїэ+яҐѕ¬џяdюэїЇ 9ІЯяЦM d”џq№ amp… JявCd €&gt;ѕ &gt;С•VП&lt;ЕN H{ ]є^H 8 аЬW UUГќЎ 3pЄ S?8 Gєђg `рЃ„ •MіюЗЬб™к eЈ Bt N?Я zAs› Ќ6ђ‘ LІ\ ЊGk [GДСГ K‹лy*m H?~ѕДj[ Nлџ‘’Ш~DЗяэWkP Wд·QfЦ¦жКІі 5yСЕбЉ›;Ґ—IVЈ~зїПI§¬ ‹Sќc&gt;§oYЪБHТЛ {g7d &gt;яіЅеўaїр™W‰t{±Jїдџюф CS¬ю L@*яЧJy y9[ъ[ `ЭЪ xpOКД \•±« qEявCdcЛГ &gt;Ђ›R&lt;Е\ GЎ:±ѕI’| gcщNёт @ґЏkaХ SCr&gt;№V\чт &lt;ЉіУрl c8Е fЏYЅЎ@ ЄвмшdА8 luLоQ BШЅЪЭЦя®6¶qpЌgїян‹k&gt;Є*ячє QD©ђ&gt;aH =™іUЈй;\†ґ dЧ†oдJKНvщзMђћюнХ _D{ JК”я|тФIKы[џЎWБ VІГ HQ5v bъюќ[дякяЯя*яk YИ G°цhяц :T ]щ aЫk®чmхt„ 6•К KQ ?лІDЂ;• bk VявCdњђО qS›TП&lt;ГR IS ]°фI„Ъ!T*ЙUтЁъі€Aуњ eў 57: =‘нU· RЏhЪ 7T &gt;™ ‚]т` I™ЧФ z{}?Х­ЛюџТк7чК}ьґЇяэ eЈП«яцг‘ЊЎПљ Eм qBа‹jЮєЫjлЧЌ|Шђ’BUъ\‘FbT 5ЉмЋй {AЋњF N¶ОЈ K¤kоЪ EoI `[Г GK c•аdхXЏаы*»«wYЖЄQй =Смяйv­Х· `¶Ыuц9 6њ AЊр_ ЌT®Х…e eu GдНўdыx:?*явCdшzХ q;‹XЯaи!I‘¶°цIGNIШћd«BhQЄҐ°oѕqЩ”I PЌf KiY^IОл{зчяDGЈU«ъХ›юЯъ;~ dїFЏUЯ 6«ь®ђknKvЪнЅ¤:eҐ z&gt;Ћќ Ћ\Ґ &lt;R6Ћ ^эwtЇї bЋяQёE ‹KYV¬юѕРжЫП} XэЦЏ ‹Џ3@‹JГ…\~ Њ:Й &gt;‘MoД UН?ѕK_Xцч|Јї4х&lt; D3*¦;я*ЪУ M§ Xіk¶ЫаІ? :­fSЃ~j¤КD‹·ЕIгdc W­6XЦ}ПETљ‘явCd§ [Ь qd7RЏ= U&gt; Iс&gt;©ѕ 5L ?™–• AсvйПX 9ЄT 8Њј‰QDaФјљ? ‰GЏ rQБ Ћ`WПв Jl9я F“д IяBчѕ±Яы &gt;«— P¦ѕ*я–иOџ QwмC•? PЕК rY· Џ]z i`ІХ®ЯзєFNф‹«µWvЕ?Б cq X±МP›m”т ЃQ?{їтѕЄ‡B 8iНо ^; uyIl? tOyYКЏTcGњv·ЧзТј°±ъЮ¦О]Ёe aTљѕI Wѕ^ aЖр LUЖ‰ОЈu UнД¶‹ф4n &lt;ЎTЪ€ VЛЧявCdХ Lа &gt;@ќRЯ&lt;ГJ!LЦ фy„ѕђоПЭЃ c›fЄу V“ќcЕФѕ EГyє ЊA  GbЅRеА &gt;{xхяњП&lt;?B:}тОД XњM• ‡RъАгхтG W–^Rѓ:ќ Cљ»bIщXt&lt;ЃвA‰ @BЗ BљЩ ^iы HдRі UФ¶SЅ ]гA€ [KЃђў— ChN Q]§чr‚ EЖЊ \]џ[ Y[љ»zкswЧЦцъ ЭЕЮ„x uOюA 3ўЬrGmЦФџЋ‘ InBХJй aг Gи YЪ K_ъu Az O–ЄQ wHYE†]|NявCd n_Ы q?ќJП= VF IY Y”юa†ђЊҐ°¦б‚vG~мїl =аЮz;чЈ?њжzшцо?—lяТцъv\ЕµЙґьПхцѕ~ђ“rI W¶[m“:^ZђEЉL |DЉ ‰HG €4“ј|I ZќVZ¶џ ?HГ J…ЪйюьЩљђVpVM vWM H”З‡Б ‰;і_5ow;}APЦIідC”Т·йЇh ^э&gt; &lt;OЁ d;в 8ї»в mu|[tІsд&lt;ц’н Mч X¶Ыvчd;Лp7Ч `‡л `У¬сЉ [Ка]cЉ Oљр 9аОМявCd \jг =РќLЯ= VD Mzfѕ^b 7Ъо§сР c”y“Ц tdы \ЇzUA‘Ґ9 5х t=БЅЉ{юЭ BwяjН eA\S IЇх CЈюu[?юА JZ¬Х*яэыXХlR dv ;Y№єЌyЊ WТ‘О†ўЏ—*tВ [­4 @мQ rD¶Q 5y RbЉ 7ЎОb &gt;~ОЈ 5”®”bI§nЌd4­о†= PїHdў{V‘Џ№УЭ¤EкЭїГ ;Z =ўµ bЭУF№ X·[mыX‚ѓ ?tі­® Uсб `ф WXeР rc&gt;Y ktMїчЦ^о:bkявCdAPЬ =ґќNЯ= VF JТ IЎ”y„–їQWо‚ѕO@ЎЩн &lt;qў 6« ^@е‚oц UbяЫыЌd8э4ьсtтTҐрА—ФKїS PЎ 8Є»*яу v;fBfz Rd Y® C«Гн‡ »сёЅT3¤&lt;©h e°аЃ DЯ bя6` 3ѓ€ ;э7S5V4ЛўїюўЬQ ?Јїљцµф7Р„9• ѓ;Н&gt;С PкЁb» LяЩ“m:«y~ PЇ“ b^Џ»’— @jЄ«ЄГ jbpИ ‰•CЁЮQ ;M j8— Gњ 9X eud –9іN F•dq CявCdлФб =ШЌLЯ=ѓ „LS Y™”HДцЂ`А”ш 4cЮ …CЃA±зeI dЊeп FВ^„¬ ZTҐ?®ъ»фe·[3џУ±~Чю›Ё @Zѕюяш™·єrlbfЙQ YL… JaЂ cЗ9 @њЙ ‡o5CЉ UцoЇ dY ;• TЂ`c™е€Н№њBФэ~UW d‹е] DfQяЭ€&lt;§еk ;ё8rґј G6 f5=єFясsзaТk Bд‰ыz AЇ 9йmЫk¶ыР6ЊР °ЕГM yn6¤m u&gt;ѕL¶€ТЗо KАG„9nУ«™f AIMявCd EјЯ =`SFza ‰ѓ~e&gt;ђфHКОvІ‘ a¬… ]ѓъЈО„wєЙяы DЉ OЁyЙ9°·]Хю ЭgoфО _ЕЧыUяa POСЉ:H M›’I W’Kм ђ8vTЃЖFYuі 7UK aЖ? Џ3Тн»Жіђ f]LМД YН 5Б IЁ: Cp G&gt; [И х9т4 qWчS 5д‘Sђ ‡H‘° =q« :ќ= f=aыC;Т IГ–uэпXй G—O 5¤д’YmЫЕBВ@ …?н Jљђ 9у”[6:ZГ NJЇ‡Л¬ U№›Я9tdQlЃоs:явCdD4е &gt;XУJЯ= €ЂJxВҐѕ MLVЈГM 8В TШіхмjR E9Ecж RЫCфN vSю Њ\·Z 7€ВЯипэK©µЂУюЬrI ZНБTЋц Ћ=T —’\W ?Hp©lВUЈ–п@йc D~][— eюҐ¬ѓ ;V MЁ®НяmЊ&lt; Pц D~Aч E*GѓЈhґa†RќШ±Sм{rћ†шЄЏУW? 8&gt; JпЪДoАє*‡њ …@VЙIВ›х–|вP 5¦Ь‘З W›д*Nт=Ў…Єl¦rН 4ШLa Eаl GMuЂM}*ъ¦ dЂявCdlЂж =„QDЯ= ЊN3 =™ћAG Qc 3‚W°№ X|Д jGЎяб6“« [q&gt;¬—©n3ЄЭT­|шяњЕGy9oК W| }WІнvЯяю5 ?8 &gt;ЇnЃў CЛщЦ]n¶ЮМФPз UЎЏ Z3ћґеn„ЫЄя PШНЈPю›ѕИБF} &lt;УЈђжQНиE ‰\њањ EY Pђ Vg­ g63АЄVhЈ‡=o †c»щd‡DпЁ4шy =;g daZї­їѕЫ–NJ*H^МC ?ђХ¶ЉґРe M? Ќ;j¬ J6F4ё ”c’аJ KявCdмЊЯ &lt;ш[@Я=ѓ |Mb~’^ ‘7Tт LРjD5Фс H_SРу‡{ X‘зт&lt;щсqџVzДІ‰TГuњня LРOrЙe–Ыmф Х\ђgЦ¬wFиќFЋ“шЕ’± ђwTд‘KђД™Щ lAа`RCьУкс’њ ?юWяН…ЮГ¤Ррc”8ГщДвЇэ VI¶dТw« ZрИФщћ _Рl{УBІHѓзХЮ ]§cГQх&gt;ЎE }nPІЗ XІн„Б” aЙж J—k :Z9 o‰E*}сжЕXMJE VЃE„`ґ:явCd “LЯ &lt;|]8{=ѓ |MКЉ}ѕzFl ~5д·SЇSйw» C‘ SФфћqл ЂaшCµ &gt;·юЏ† =йЭ&gt;• iEїю™j°[rЫ W®Лmіk­Г DЌ  `–GS· tK}і 7шU№ WЉГЦeПж[3–^ў•ЌкЌЎ WGюџяМуЄR¦tъЄa№зхҐ _¤ 9PсQ \ШЁH“Т JSФх Wё’Da… xЃBH Љ_БE§Пko‡‰[E DЙ `–;DЋM W DGF@W ]“ЄФB &lt;R{¦Ћ‘ЗLљAЎTЃ–¤iUsrоХD¶явCdЌ bв pC?; b=† |LЉ Yv^`‡ K­ aі` VЪ№Zш…я yHgљO­Сc[ _яц~ PSУЅgх 8dЈЙ w;EmІFд’HЌ ‡a«=грТ‘ HЯN dLpЅi© WИ•Q@ \зk6 MРI 5ѓЩ Uх Hgев ЉQє·У GiUгћ I@TK&lt;™b«rЋ•‹бI3«C q|y\оЦzuҐџ° ‘F4ч@”–T 6@h›a JP Љ†7z _МРг‘ЖХ*@Pt€Ўў U7\ lQKяЦwяц bу :mC PћфеQяэo«©ь—явCd_ Lе =@Y —•dй lJёљb^ qrG2я2я2я2я2я2я2яя‚ MІHАя d` FwU XI¤Б y7QЉ RУЉt _иf 4w*яюKП QяюTоп‘*яуЯчХ2я2я2я2я2я2я2явCd ло Bd •UЪ Ka ~&gt;pjNT 3Т 72я2я2я2я2я2я2я2я2я2я2я2я2я2я2я2я2я2я/явCd‹ Aя J@ ga%3 5\#32я2я2я2я2я2я2я2я2я2я2я2я2я2я2я2я2я2я/явCD &lt;‚я J@ ga%3 5\#32я2я2я2я2я2я2я2я2я2я2я/я)3)3)3)3)3)3(3явCD &lt;‚я J@ ga%3 5\)3)3)3)3)3)3)3)3)3)3)3)3)3)3)3)3)3)3)3</t>
  </si>
  <si>
    <t>явCd “pfq`S KЛ rU¦ &gt;ђ 9=– nf5Ѓ Nк«nJFџЦ ‡u&lt;в°В 3В \ШGсLЌ3OtV v3Ї™ TРБЩ5° 8¤УT9°l 9Ж 6ю¶tўЊ 9ЌюЊpE PИtT ^і ѓ=мяэ K… |CўИв„мят :ЯюэfВ _э Eўа v3IP&gt; †FђP Y@ n}hXЯяц».яэEЛЈячSaуће 3Аѓ\ЛђOЂ®ЇЫrшю nv‡J{я{ё€ѓ gfgK@† QOH fh&lt;ЂАiнґ9 hj;CћO{F{»*їД v;явCd Cь B­YL{Ј ~f4ђ 9 ЎA!3Q„ nSцL 9O aм™ edи™ evчwоЙ…“·&lt;A jQпшЯяЏатdц r‡76?эоИ CC;Юы»їячэ*ЭЪ 4Ѓ9ю @Ј‰дю SwхџеГбД 3‡ѓаяP †8iзЯi6“ЕqµE96H 4DОҐО SЉђYВ LACќО› ЂЉ;б Ћcбф ]Г”‚4 }B5‡8ґ P„Б…µ dњИA*РhLЖ n•‰5&lt;У KP¶…pп6 XРZ*Љ B@й ”WВN cfѓPsDђ PВђ• KuявCd Wgh }`пrЛЕґ!3 –5А 4Ђ fg_тv ”`Це… 5шч&lt;Zl`ж“в«ФЛo¦ c„уU ЃW„ФИ”@ND­ &lt;4єЊб@њwюЄъФк@тй© 9жNо O¤‰©‘фЊЏяCи a§юцэoэh U‘љ8ЯK”‹ЋG WђaЫґ—РВ [Ъ 6«ЪвT?NФжY3–HЂпФЉШOeуВћ ЏSф€FЉС W’[ BдСў dЌ :ґњ€ F®е xWіz ^Rcи›&lt;lўс tQRZI S•у„ЮЇэ FEћLЙ–Љ ‘aћEдСІTYявCdqіg CYWvЯжD fj3zмIБ ~3Iі `є—лСРЪюµо‹О J’R–ўz QяГXH€ёв¦ю[Лыr4 AЗ&lt;ЃПњяЇiIoкmЇ†» TLЄ kђ4~Ж*›^K®&lt;”­N ;›хыa dPьТBQ›Ќ“Аsл ЃeлMЧ :Й© 5e 3»€Ф? :ZІ TОmя DѓЇђЈ O®aиН” 9©–э8ћїS 9:•яq_йB:Щ }‚@іGяюяхg xVХbѓ™ Hфњ?] \ЎЬ KЈю 3ф3nїGс aПХяЁя IяbNOРkявCd 9OЋ sѓ@rЛ=BВ &gt;Ѓ eмЦ v7‚яЫх*яЯяЦ p8Їыq*ї ?э‚ЈАЊ°ўL U№еОjыoW– W}зЭ!S!ZЦmк:вШЎ L¦ &lt;_рRQ“xіh5 RmР;H‡° H¬ЪС eKgэK =g \ Wt 8TЏ  YНщїPЮЄ q}\·ч Jq 3к` DgѕЯяЕ Nэ}_ €Ћ`ф CшХ ?^ѓ rЂP_ XЪь ЯюНPнэј 8п”БСz SНРY¬ C{‘µаЕ{Љt; [Я RяюЯX 6“м*я·+яюйmbявCd IК± @јуpЛ=ўА CaвЬоA„иЄmЖгN{a€оSћР’ЧX yjFќОVK?¶ aН‹бэъиґ&lt;uуџЃбM&lt; €3и®щ bO3jm –D3·» [Aаб’ Z«:} jBч &lt;‡ [Q DQt± n]НA SЛ Hm 8љ €Pк‡ DкяЫ,яE Rяэ ѓBю JкЂ= †&lt;Оџ HВК yGђ“ Z‚ ?њомЭ GФbяуѕn yPЇ9 :ЎЄ?Иdex Z№s‹{ TяюI …L[бg]—тяОя S°Р9Ц.яV^Y IпявCdЙЏ» @ЎWpП&gt; X° E±вШОJДЪя*ЌПF LШKЙЮ B:ґ OОЮЪЊэЇxІ h_LП‹Ђь Њ=ё’Qц¬3 C Ћ=QФЃј eSчMФшRЖ]ЖN 7N VПюX Iю·;р|`ШЁQhpСќ\ьV bIпъЅ;ќзArХ\Јyл*яЭяэ tRc,я±љrUєЃ IДF@VѓU©Vdy&gt;]П ECВѕа¶ш{™ IАщ bCЩbЦeҐ Q¤ЭРС•[gњя” AµП _ч+яЧщ§ђ4Як9*яSї+яЛЦ dV™“явCdЯ MЅ @йUnЛ=gА Ej IаоKП UsтUf†М \с Њ‰cЏЎ•Ё— Wх dІбЉ–8х¶хP¤Њ NяЪч†Iqcy Љ_»±ЩkъAL :ёwJ ^ђыWЯфГєсk ~WEЈor@»PщФTДб UпиЭ RUы I:¬ЉюЗ?ю‡yфoюёк c‚]рчю™@·»j5d ђ\¶*з ’5ЧL I§ aј4ыҐ i_VFW©О·х l?Гy¬’v 5’В OЌ№ЫЭ‹Ј &lt;‡ЉоШЏшPcG;яфк [пGэ bъ† 9¦Є _’љA;¤UявCdќNѕ A©Uh{aз^ v46е¶JЛ 7А”H DДъ K`A3г®Ц Џ5[5 …{enђ4„ж NСъ’Жhт ђOc UVY€пd•Q`4г Hљ =5nщ`ЩOR”™€Бce­ 9ЗcЉ® ?¬fэ?ќэH _j hZ«7ъІ RВРQэЙ*zЋЈЭС« Sм©ZMEћ KYЊ SмkRГЛ:‰ЕСХ—РAжу…C `лBЖП LГPљ­ЄgZu zJ“H @GќЦ _ЊР№єvЎьН aЇ_bяYsџP8+яИt CїVоъ; MиzМ VявCdЪ№В @|хf N&gt; 5l E‘zЭћxЪhщt\„ g3€Њ•Џ© PЭИ€uсн cB„њ¶Wп Gзn» Ke k5™г¦5=ґФ VY¤dY]¬јЧБн Q&lt;япU Њ?µЇЗ…|ѓМLKxВщxы·Ў5_Д• ]ЗoЌъiWсSЯя€ Q§яЩпФ†”ЕБ~X EHН‘\ DwhXЦ±Jf ‹WК6 GzПiЎ”СіпC &gt;a  G@;Лэ &gt;XД ;Mћ_ =оbь ‘7yPЎ 5Э @ж«t— ZяХФяґЎЯ+яеЮюЃяHЫ’K aёPn VЪявCdд MЕ @] &gt;*f= 5С F©&gt;М az {lNЙSђ‰±— ‡FdnТ:™рЄ&gt; 5W 4ўСйsбT&lt;fДґпЉ @LYж N«`т*ћљі–х LrK4СYQiї­ Cь|Ы¬ХЎJўnрAЄOэ NїаФьЕшя_Cѕ}nяэMЯХйщ []5E I=mЃa YАzМV UџjђXЏ PЗN 9•ьДхF H^BTЦЛE =„БГВш’]Ћш® &lt;ЅђЄІ№«у :ЮЅTфэWяQ,ял Њ;&gt; X9 C\МСЇГ¶ S8Ы d]oХWaЬявCdмъЕ ?Б &gt;pЯ=ўІ Ey~М Az G~ ^5&gt;WobОЫ”Дљч*}®чї—zѕка: IИ [8UKЌrГ cRmѓ O» 8MZ–ЭВ EуМ &gt;„зџk]}\З&gt;ђы‹я \ЖMфыWЙџњяCях RиюЪvъФ› Ђ4BШ?]¶Hд‘X J8иќ `[~ Ox¬‹ъНЇ ѓYм†Епsў 8СѓNWпЌПJ „”T8ДкяГ C¦Y L¦Љо®ЇиD[Р R—Јњ†ч–яПюEЄпЧ*яъЮъ«ћjЄ‹nаЛdVВqКi&gt;жM €[явCduҐП ?Иїdga ^Ў H±~ФЦy• 9њE NtыЉЭV gWТ}пэQ= 7З­‡Жh6^Kr¤•LБ 3¤TV–^щ‡ cЎbєЖеbУ ;ґ u@dш b‚Ј‘ C”щ•FmN G*И}їч|’гКK:іяgOфя _[Ц GФ­М Ќ3HњЎАUІ ‚ajЁ cGЛ =zУbS· Nѕ cЅ •]b Yкр„?ћОґПЇ cL QЗ Ќ]]_еq &lt;ґ»QЮ“lGк=[їQб `ъbы ]ЪпхCЪ›Ёзлz KЅVj’Nј `M™µм Sz &lt;…ўфявCdє RМ ?ьЅl{? =[ G™ aД AzN– ‘?mTк®Зv¤МЖ bs Z†»НбњЅvµ _ч^µMЄz]; TИ b“ЛЮ¦е6хЏНI d¦ВТљЯОЫњ †eлгy ЂZњ{aО“в 4’¤ДrЎ»кїЙИФкGC¶Дм Mn›ЄyПЦ Qшм‡Ця‰ягM&gt;[µI№a‘дМz\”ЩK· „W±О=Ќжxmq T§ ;¦ CтiЕЦ 8ц­5*ЕЬ†К”ЪdЂВјЮ¦H T’kФbR@эћ±€A ‚Ь№– eџУ X¦¶ \ІьџЈэ SзявCd‰ _Л AшПh{aиҐ TzФЦ{ MОв‡DLПтЂ›эY|O TюMozдyEGЃR=‚ҐЅ8Ъ Y|ё EtЪЃTYµмЊ5A \J ?]µJ U‡“›мX AG WА} R_ Z¬эз 8­Т Ќ=У4ћЂщµVЌ XеҐi«№ѕ‹®і*„Х 8јэB ‹L{j|Ж Kт RДЯяЫЭSЯю†n V [©@цА” 8С=‘9 V¶_AеЛ@н ?И :Оkѕћ;ч‚x \»¤ ?Я 4бъ PК„KSёҐSба›ўЈP№GVпрo Uygїю5ЯQ Y3*явCdт’Ё ?8Ѕd :=ЌI FIVМ Ia”ОчоТџы«С =Tњў6«РМt\Ў°И ‹9Jё›ќОCк”µлQб _jіУЙQ©Єо5¬–§ ‰;Ц Ќ_^ aopP O©SDА†:щЖ ZVaC&gt;cњbOCЉќ‰Љµ”цќф|у?3B?к;явЈ?я mQ’ :фњ°‹~С eFNЏБђщ R`kТћМ5 P†wўxн WОH GЃh =–К &lt;Ыёѕ§ 5ЈCkМ }VьЎЇ G­нэ_~‡ Vню‹;npdцьоЮYЏюБ­… 8ZЇR`¶явCdb 5і &gt;°щd Naз ”Fy eРОyЋvL ЂhKUtн:W 43 5Р :Ѓ[™OЧШЂЋє OП™ V@ѕЪЖЃ*yѕю OrJк ;K Aі ђ`ЪЛхUЩ 5cы {ЋI‰вn°“¦щ€ 5ЌJк~n иїaorиъи CDО©·яЄЏъg N“ыюеy ‡:ЄVY§vс [‘ S€Ф =µ ]W 8y 9ѓ ?СЙ [ІЃув‚д CS x&lt;™сќfЉЈ IЌ€3¤b `дТ¦ &gt;ГSњЏЈя“јDД3шЌт HїM BюЯgО II4ячж’eEiЄIЛ ‹8явCdмPБ @8ЗdЛaи ”FЙ eМцzTx QГОЊ Lђµ‘Д‰n’„ G{Ќ†XQ Sф¶Ц oDх DЃор‹ bАЇ¶§l«8uLЖ o†VќпчЎ HЕ~з‘ :{бЁ “;Џ8` [ПИ°пС^‘aФч®DЪЃТx&lt; Q«S `[яъ LнМЩ Tл;ыdИVCЩЦCs„њvq ;l—°]ЕC¬эvW‡ 5QеаъЬѓa\зdч]8Йlзя c{8щ±ќ? DЕчКАWSф¬ Њ` Х \¬oЊ Hеќм“*яЧј Sм@¶LЈQU ^КявCd PMВ @шїhЛeи? Fщ~ИЮ{ =xn= ]ўђ UОZЌV =hOґ№ =*¦дПL« b¦ОVЧq©•¬к±·dYУxo PiЕЅЧШ™sU `ФUlє—c [кВ} eоR;в J@§ 4и]€vЋЪыKТяК=bЦ 4їєкџяIВ^їхMЧ Jўњo Fe KЬУ…Jі€б@3Ђ 5^‡” 8FSОK– R4Яяш“F— rhVс€fюЭBs•ё єџСЗLO ;АNЛїU©ШЉљҐe WЯю;Jµ ]© Zv ^пмTКќэ›«Аџ \8явCdќЁј ?&lt;—b JagЈ H‰ aИ azNz‹ў8cНЂ &lt;Ъz 3њСЗ±О YМгЯPњqЉушµw Wуb† nrЌW]Ф; :Ms 9DҐ» PЅфеFЄm HЊЭ№oablяДUїњьhџ=ѕкЯm P‹S?иBљaщ „&lt;ю¶ `6Щфх‹ўB]№rd xS– Dґb]б| _Н €9•eАNЇQь bzЖ–ц\kTТдш«Ёа cойm 8в LХУ DќLъ Fш—¬ж¦ 4W¤} b·D‘ЉѕіСЌ ^Г QЉ»ХФ№Є?« ‹L–ЄNK 8явCd Kхѕ ?8«bgiл ѓHA6Д¶{ GpµХю Iб C„…”їЏ*[HGКK?†7кQД† 4@e[ KTЧg‡ќ UGмC·R WПЬ @Oу•&gt;цЮПЫч 7У ^Лj?“ \о—І 3ѕЁ® Ibм¤hШњљЊцwI ZЈ”[Ш«™YеVIoЉ…щ b‹ Zо [sьѓУ 4Ud’Џ K„ѓПPYT &lt;Z«aЖ bИT±€[ыRкґRl aJuћ“цRзпmЄ¤џ*Ё F–LЏнШПdш¬ o[ђм ^fсЃ»§W?сVш›ћS§ ќZlъ§ъ=явCdн9Б @ьїhЛe‚‡ L‚ЄДЦВЛ =їюџп?•гњf ЏaпчйЯъ¶И lH‚ї \9NeT OТu»‰џ“]К 9TІ ;¬ЉҐ[snеДм_vЇпzЙаBЗцЦjУN HK A€ 3ЂћZXХ¬мME4G9чО|ІјхpViPвBЉфшю _ЃҐ©Жьћ V_ NУ±RФ=ш Cзяке YЈџл­тџ}ЄIЛАќ 34|dhЊ …]8e„ѓy№єY P6НK@с ђ;П6›­УLv¦©ЇпМC VR=Q d•ЦЯE} eы­5 \кявCdЮSҐ s?Гdgec‡ Hщ~ШЦВZ Q?Ц§›wЕ‘fsюп9њ Tэd&gt;№цEЉVюД”‡эѓд• „—R@бPљэАV3z] 9ќ _c GЧHм W“q ?A aЃ{ч &gt;†ЃНГх Wџ5eЂ¤MzГ&lt;ҐCљ GќлЙЁїв Lя”IІйЌq№WX‚;pMЕ*яoЦб_*яl[ю[F ^L &lt;8Ь’[8”o Ђ_µnЫ› Ђj&gt;}&gt;щ^ u_MЏКG 4И§ўq¤ ]й 6еѕН­Ѕмaб &gt;N bC‹’O‹љ €’TI BS—с TЎ UІЗявCd Ћ6ћ qO­fWehK {geбѕzФ\ђяM 7? ‚Iwхя©Ф OZPЎ DZЇuРаѓG3 rK’&gt;ЮФ…Z}U^C IќУLВ“=J UЎ bоїИ jDыy™К‘ bD*Ѓ‘Ґµ} AZ&gt;sн TЉП ЋCv¶j— {S‡ JЇV®ЩПяЯ _=Эйwляк`ЁђЉН5 W| ZЃБў…: Y„Xvсg T± }FL W·ь [K \‘8u;P|e°д~Ђзg vHп«A\cЗ VъЏЎЮgчђOфeЁњGят H№zТё@їI; ?€› =–iЗявAd¤@« =ФwhЛe‹f E9 eЩћb =x PҐЋґ© 7д ITнTЇу Ѓe; ZwrЬ ;±TЕэ KЫ ‹YGft‘J Z5ХU=ЅЄ “{UВ JзвШ‹­5їкЇЮќ–ѓ°н’љ[Юё·ы{Н~ЫuвџSКяь‘‰’ў OЋZ Ѓ€A!Z XЄ= 3ъЊґ*ЛџwнќЊЪЧы W@ L?MЧшЗю“ 8cроъЋё a·qV@ГF O9 ?Ґ€ Y°aYПюЏь¬ [л &lt;9•zїл”µOЎ LZЄMЙ 7ЌXiиz 3”JЉmёМV“EФявCd 6eД &gt;ш±fgeл •y[кЩћbE Sс‘ J`_™°X@¬Ы A6ЇKЄЉЭ_Uf€Icам •UЪmЕ€\б9^—]=Ц Q™Ѓ;Х¬ ‘_ЊФ dT·=]жљjЧ ]dуКФ‡Лv {B*э 9хќj”Gљ `ЩСх4Cт§яэU4 Wёд“—В`&lt;Z=uђf A6HЖ\ =Zя GFС &lt;rГ &gt;Б@T =}ыэoн“ПьгЫЁ© {Rъфи9— €_@І;!eј¦S*СкЯГэg’uИ^Ґ‹¤ҐJCК ]ђ¶џхЈ›wпЩЈ°Z© XявCdХuС @м»jЛeз? JYвМюbD” N’€ n3р ]уvҐ SPM @ЪЬгv„ЗQВ•µ [ЪHЃў_Y ‚Gр [»O eв·¶ cI§ўц 6вЩ»†о±зє 5Ђ™Ю†Н®9ъgGЋ FSР O]\ѕ@кУя«Qчс fAGЧыЛ3йrц WкJKmЭ¬j &lt;ЩЯ NgёўlТM H° 9…юмXЃ cQ KеВ 79ѕщо¬u7ЃЩьйє“@G{№чJЋчKE„мsАя ?д B¦^sдNP=N~LьI*яSН bы†:хlЈдҐ RГU SявCdxdѕ r[ЇhПeз ”H8кЩћzD\’I L–ґш 7ј &lt;Н T¤|а bЇ_&lt;&gt;лq_нЃ9Y cT „&lt;ВЈ {’LNS M=UЅќсьЇK :~„s? €b‡ &lt;QћPiВпIJшй^К*к rd¶Пъ€ю»?”t Ћd’T¦ЫЋMЄ&gt;МАьcQ› `•µ]Тжк Qs“4шощс_О WЃЧr 7mЩХЈДќ KЭЗБЌь LъXћW c\F PyЙГЌСХя‰Ам ђUtВќ[Ж}їфyх 9?кBtЪnы l4ЊЂНeюиP WГЎявCdЎгБ &gt;™dWe ]i GС aХћy„” H_ H« H`Ъќ‚;г 3pD™эmТg &lt;·яЉз 4§Xc°mЧЪ I«н¦µU®т C5 MaV_d Qъ[&gt;®Ю– ]± LВаjЛѕ \·m_й EП [t:Uм·яЙЭR4љдcqњ· W–Ы¶рF SiемfулK YФнAХ“Л= eЈІЫЯ¬fо Wє8 ЌiSп„ДTnЂ№„ RC UЌj| _љўЄ d?ћ®ЧSњrЅ:эњп·ФD{‚„ EгB¶ ;љ &lt;щ Vѕx™Oцз|q p&gt;¤nпяЉoявCd&gt;6Л ?ИЕbkaз&gt; JЃўЭѕzJ\ xL9qCЁДFў C•V•сЪ™Sмq S;№w ;l XK„7nl Tў†K¦±7№d‚’° ђZm€«»ЄE~ NdpY 9АЊ¤dе°Aх MVQНЛуJУэv~ЗК?©Ыюr@Ј GпЈ©н X µьІ;mр‰Hh ѓ–Yk —[°eM щp K‘IЌпј™‹х‰хПfq Jф^|г :G :‚tЙRў ‚KшaК}C R™ [з :О{3Нъ &gt;џ ЏXЧ¬N Ќ•@ј} &gt;9©Књоў„РПф AurPявCd bЗА ?\whЛaл t}‡IЩћyђ\”E™ ‹‚Eшђ x=d‰°cКхKЯ– kVё ‘WспПЬ WНМъ‰ X›ЉPњҐіњњ6аЊFҐљ©су Vэ I·µл Wh\Фхaљ=S aIoёЌІџят &gt;—шsяuЧnъ3КС ?ЉУaG W­@о ;”EcКI[Uлr°Amv”ЕD MQ €Љd‡ы мd —|ѓN· YmДp‚P*іW ^Пъялч S3 ѓaК*ПќцЗ—fЋ§V „p_ѓA 8Ѕ ‰Lпџг­ђQИЩ?¦‹ =IxбVявCd@ Dє qOhПaж ”J‘ћХћz 7њZ’n@C cЊђ \¬:уЙжыEсЎ­ Dтaъ 7аѓ¦С=Ѕ 34 dычeО©Ѓ«В cЩщ ^лtjІЌ3и[КлiвZЃ ?К?В hQs_лnIm_ @хї@ОюHвџфлZҐкD_mЙ X¶ Sџ’A†Ў\ ~7± @м aK Ћ&lt;КOx•Y;BNдcІ nXр4^’ИZ§H RѕYЉЕ¶Жэ W«эїэ Dl V‰нѕ‰Ых*кЗџУюТћУђ«R±ИB `ЉД5нБQ|” Wвwы FтєЌыИявCdФyј q;wl{a‚ •KzцЩћz 7| |\9 Fv‘В AЎњоkiBчЖЈQС ^‘щ ’\gЪѓZ‰Ќя &lt;б JЊЯ[ЫЬн­щgZк ZТM ђXйSµ— Auњћџp:ц ;Y—шҐѕ·яЮџ \я§bџіЮ_йз*9В ^ЬnKmёћЈЬЅGc q9ќ KвА O¦ёј EЖэ ]кЅГбPМ°:цI ]щ 9‚ E: ‘_Н ]чд3еА·у UОфЪJtw” 4–q 3и ”}[}ВЋ A‰ Q аг OхuS&gt;rФmиK’ўЄОJ`ЪќЈВявCdЁй» =°whaв ”IШоЭћyЉ\ёР;кѓN AГсVЮМ№NV§[тЖmк YЈУ¤ GbЕ aSb¬ЉZ©±УuІЅюKtЎЕўѓќ ’‡^ЫА‚QcДЗ@џZ€rш§яь O«Йю &gt;¦ъњ·нюфєХя±ч _–н­ &gt;© Z4_® @‚™Уу©жыhw `\Xqг \F &gt;€”јxјиђ&gt;:ш¬kmб« ѓQП*kъ™Ѕ @›пфSХ·}ъСыя[”џ&lt;ПюuA Ћ@Vp 3кжjЋrH o:“ aуOК YЫ–А Sш@ =ЉѕUпявCdоЎД &gt;dmdjeй ђM*Ібћz 7*њ S4UZЇiЛ ЏЉ’WЛ ‹[oiЩќь!M8`r Bх†Є‰ D’Њ™ј 8sNћ]Mg6 ’{z@Х ;­Ођ?‰¬Р¶WUIjOьUпм­Я«тvх;»еІtІФnщvБэi S­6ЬrF шHлjЉ fOYQ“Ђ„zJ hs&lt;‘Б pa–l ZРГ^eu®Т l€ZM?™ ]КЛЧЫлє™§ьїнхщЧяJѕ¶4оFqV] €DЕФБ*XіQ`…Еў¬Јzg6ш… \DgђY­ ЏMnM J”явCdџгё =LWlЛa‹ ђ}E®ЭћHКx™d 6 j\ neгкОќ FL ‹cЪг±dйэЙъќ r\g€ЁЯ”9V Ќ}Zr 5ЇИx F©m¬ч©Їы DяwЇZФbЖn…»ї‚‰“ъќoм bµ ]{ЉY `ђ f\Б® Ћ`; oUЈ­ dэ¬ЂЉ eЪ†}¬sOs DђфЫ9 =ѓ cЅ &lt;ЈюBCя§Ю®r;Ч›u?У«єыЭэuуVqП V;ќ AfS `Щ BW eµУћ] _«= d»Ъ‚ @|П«µP‘8“r ‡X¶Э ЂwTW… 7уѕъkveявCd XLГ &lt;Ь[nПa† ‚Jгvећa„ C«љDЬб sdс‘‹ e&lt;LЧИs«Mцђ WRNб@їaџЋрyСoKнs;‰ Rь—Y Ub®!J –HB† Vh{Ч«enяєЛ\­ 7µЯПИ dрF Uћ¬ДАz”X`Є ZuЂu‹ [`©І uYy€T«‰ЄwЪT!VhЙУшЇЈґ¶·Ъі­ =ъ=*[ CнЯы‘ OЉзщ&gt;оЊ«J —nTr KЋt SЩ9ЙHвr pOЛMТ‡T UЭтРq9Б… 8H R­юQл© H©пm№БX ^p«IявCd ѓ_О =°au ba [F ЃV~*Ф{ p_‚щ°L ByGeZиЋVП “S°IыФ€ Љg^§*ЮёН&gt;†їяЯр JJ{аm} ^Э­xі¤Сл?=ІP{ЇЧ ‡Њ]5 pQiтпSЬ“ЙЩУ? CоПяГuёIj TWя XІ \|N€ыУ±}дЋ EAцІЖ SьkУьJыл s7Z°ПїС‘ ZSЩд ‰^}NѕюФoТ¤§Eэ bшџи*м¦ ‹?IЏЌЎЭ RHЪ: a™ [љ P›ШI4ТC ]п ]_ ;°—&lt; @‹ЄщrО‹Є¤E Bx4явCd™†Ж &gt;\‡nЛaи nOѓ~б–x‘ OЭVj rm^5 WUh7 Nr8 AhHT›п[ Gр6б6§4Aµs U¤УJ=© dхѕЯ zKнRїрЭЮiя§J·_иЇзцїюЪт§кчйЧNы Iи¶zІ›FмЖ ]€ HЪY[C e~ cиџQЦ&gt;‡щ dJЬ@ўdЯ’D№ Vd”* Tн8Ab 7&gt;Ў{5P_џµџ№C ЋNХ 5?ятJЩФяЫ*яРоґ `ћљj‹^ЇлкcЁ…й:ќ~ґt¤xС iKЎЉ G„ LШ‡К BLп Or{ћЯЪявCdц’і &gt;№§pП= 8J L“ўацH‡ OзНW lUМу ‰5 щхmp&gt;¦йжЉh Ќ_–Г|·А Ch;—8p :ЉЌѓMB9 :GrиГoVtСЙяш*ыFяOц*эQякЯяЎХяъ6”o№ч} cКЏЭЏО€uћr;hu Њ&gt;њРэ‡ья’•Шды’ e@uђТ‚ [ZНќr Kґ UсЩг±xL9Ў bяф RЯъїяюяїЇТЇ‘?V«Ў…Ww; D¬ъRd Wк \ЎNR _«ІгL:‹r’· C:‹фC”кЦ SdЋKXE 3вўявCdО[© =A«vП= €zJ;rдЦHJњq YЗЋt ^‰–“n –_–ЪВE :e bчK eз\ѓ: A8 Uп Zjз¶[ZЉqV38€]µoъї+я§нgХ;яйяЪї«эµ}jЙtVS _Л[4Г KљзnЦі b± Y›¬z dRЃн&lt;а°Чк…lУr3 ;€ Gc:КpDт|¦_Єµ ;О› AЙyћҐ Foя© QNKїтяыuзйЫЇuWхZ№† Vb=|ЛfFвЛVrМ§™F &lt;№® y~;F {5і dJЋz‹QЃ‹Ім WRявCdЉъґ &gt;a•y ba ЌЋLу‚аЦzJ CЎ•ћPхД DЏp‡ OAОx“ъЄ=›d–И4pк ~oHJ‡°] Pоб&lt;яод¤mмП»ч uGЩF Hџ‘нБїьЈёrA?X VwЮЗX^cн `ћ}jPDБ c‹ 5„J 8Tч ViЪ xD=PКTв \dІѕF« DI `°{ g;Ґ a“ѕЏ 9W C€o X|AЧFIwµ^ТїямYSr Nып*яL•Ґ H6э=ЇюО‡Ў5G·илwѓU: VС Plb s5њ c• :Ta Y’ nSєу­5явCdГ _« =ИuvПa‚ ~IЉЮнћxДH©фЎ Am 3‘Ж NRI `»k x=BlXПгє° ‡•EХ‰®¦·hД a=e Y^дУЁХИ= qn&lt;lfzьЇyџђюПђh‹м ]Л5утіҐГ  XP s:жT ЂaкBE‰Гёђ ђh\‰T Pџ [Ћю”n dГ _уmЙm­ЊЁ·x PGУ*P ЉdЪљ[‡ _Йў&gt;„Љ TЏ ~E6ъo]”ЏЦЏъ `*ял« ^=ЭµьЅ~µкИfэ MЁ*ЯRРкSyZg ў P\CSo UqbyвЭџwR_AявCd Xmґ &gt;њwy ba‡ |HкЦйћВ jzLЉD Xc’Dш· FPЋ±;E 7x‚© :НЊ NalЯ°ЁYъэ:Ёh ЋIЅ ЉR°Ўќ I—UЬzѕед 9ёаTвк’«wчs‡ c‘ЪЏh w`С LзѕO EќY] ^qg pM±O… OЈ Mе 8љqИе•H H7C¦ЃЛX a§JЧ›Н ]¤воѓГvG”оЊиФ’­ф OЧ„‚GЩR 8uyѕ •sRo=юџ п:&lt;т\S‰Ty‚BГ]bџ4Їъu»Яґ‰@Є3ЌЗх `Я T€¦ w„ѓ‡YявCd№“№ &gt;H[nП=‚ ђFобћaЉ Kћ eЧ_8ех¦ |c\ЮЊЃ¤Qr ~N€ЎІ5Ф9«?*…­аопѕЩnDЛK ;•ц»¬v~^±r§4Ї¶ѕKЯ _чВa Z k]†~±&lt;ЋЇїцЅќ:Т3 [Ы¶м_Ђ@ @P N] VA¤ 4@U єгF ]іziБрЫXћ Rќ6Т•_¤yВяс&gt; c© KBяЫ dж·}Л3oкР™M&gt;ЛЫ&lt;»\Я VЙi¦‡ [чЧя 4№ SCЅoRн p9™жќ ђM_зЭ€ ^№¶ёЯFb ]P8¶SЅ AявCd¦ UК &gt;Lyfke ^D FсBЭћzF ‚m;ОЯ{h I™ :мY8с €ZВ tG¶bџЏч№»б`ВlО№D DHѕ4 E»HQі:K Ep MsЙлю‡ТЭ aСФШ:Ј ?щFян_D eЊ9k°AQO8 5X Dq` HB V“ …;[кНv Ћ8HФС\4 e© 7] sV‹•b” bТ‚М:!Y&lt;LsUZ ‚u:?рсxпУКKЭъ€·eФхШ¶э?юБBъ= WEљъR§љD @Ho ;n—І g}[Ј‹ UlїОOФNMo ]ОВА‡®«бявC*d‘Щ rG‰d»e‰F G© eРюГ p~GgщЌ·”ФIk}@њЁо?T­рЧNqP‰ XwНЁ»Mj ZqЧZ 7… AД eїќ Oх‡:ЯюзйU›Щй’ш J*яJЮ‰Т· WrЧ T3x &lt;а”щ k;ІV D‚М ‚DK ЌX“ [џКЋ &lt;Ј R«eѕz@|з5qЊй‹–я &gt;G NЛ&lt;€‰яьЮКeC„ФгџШ Fю*c aKяXПµ &gt;9T‡o VKїякёЯт YmЗ W№G 3ВаzsN WБgT¬ Pі ZІ*U5ѕ Q8Б­ |R°7=…явCd•чЯ ?P›dЛaл&lt; |&lt;6РюГ x;cb{ XЌЯ–Yы?cтQ dплкЩ 9Ў©SЗV„bцMYиtЧ=ЇSюіПюІ GF}ЯъuЋфuWяѕK*яpЙХЇюH™p ‚lS@мZW^Щ`МХЄ• CЧІ}u¶µU RлS y•NXф 3Ј ?Y eе PiГ73[Ж~ЉDFiP ?±ВЉE`‡ B©МЕ–C©вХnРgо_Oэ Ks*я &lt;ФuR­¶г–Uр TH_ 3¬xШґJ`°Ъ 7J=lВК4Я‚Ш—іч J©h‘bВRЄ =ЯHявCdуµЮ &gt;ђХhПeЉ&lt; HXюМцbМаT‹ yDo 99†Хє_ўєUф*аP№Xьъ cQ CeЖя arPИ cQ` HИняС¬ Eя^”ім¶ &gt;*яЬрvж€rIeЧп Tєђ sWj nX8 Tќ &lt;оћјC:8Ыд qIсѕ B„Qў@ћБскPќD¦ Ie IЗќqZрe w‚_• Ћ†‹mBЅиЕъѓущ~IW OЫ &gt;к~·uюIЧ aќв”њ*яФс _yImёг–Ш oYЖєrрCђv O‘¦u ?f aЬ°x l@¬D©’=g Z? k&lt;еѕявCdќjж ?8‰fПiи ”IшцЩѕ{ v–q:S»Ја ^zY‰Ф Pл=А&lt; Zйщq eд TRЏ ;п”Q IT Ѓcp|м†ПюМAд HўВ§ЛwRЏяT5 JhJїдsBV± 8ҐЙ EWЁђљ:СQA3—Q 8Ў±ДС}кеПЕV[ _Ж\кf F{ 7ЖЮэ3йQqМЗJГваHLNф“O 5“ rN±| ”83 uaЕ§PW·®ЯWїц†» a­ю·ыхgЌђТqЙe¶мШAІБФ ?xfpК–и¦Щ &lt;5Ћоf5ќ!_є­TN †PявCdX Eв &gt;аЎfПa VL IЙ IИцzF\’ 8Ѓ•уњ…Qу±к*ўлkї \wУ\ l:ВO_прЭZЌ …5– WхТ ^RВЋuю№DЈ ]Щ9 BЩяЁS»gя ”BфF­ ЌO•K 5A!DkЗ vw‚Bј Ћ\&lt;F Vў U]D°hТЧ AuЊC€ 9JcЪ5b ]*ыk }AzЈ‹Н€ 4тHf J‹ …BЩућчЕПФз©ЇtжЯ bянмля°@ануr:‚ @ЂЖ IМ&lt;жї Џ=к©“ YйfО` TРdXх@ЮЊµцO [[­Y‚h DявCdp Qб ?dЎk bi€ ”G± aМюzF cЭѓЄяблвтѓ| ?Wйї– `U¤ы kE щЪ ђ—Sы WzП: 8oFіє OхnъїшYЭ HяїџЈО”–Ы®Ым„ XЃђ€’: GгBZ A– k6ќ :Y«Њ— &gt;€ &lt;™Ms :џђFL&lt;Д 6В &gt;Ї RяЊ‹© Hi BЛ„ pM„dQ kaй&lt;5Џк hcяeЊ 7Д}U WкЭXot]юпМuф~OR©@хruё oђPa Q–’¶ї •Vя AЈЭFHеш—]n HЏ­»хЎ‚qµeКсэІ7явCd† 6е &gt;џbkaи ђJ‘&gt;ЭѕbFt`~»[— aяё |7К…o‡ню¦Н&lt;рЈК 49qзЕЦSъГыt8Э№]wz~кѕП· ^ИЁѕ^Q H”Ь’Hе q=ёH‹R8Не r[а•  ‚L‰U|4ЫЃЩО8q SУ€ I‹‚]¤бьб w6ШKќ*Oн ‚L@‹€ MmN„Њ p;O U^\Щ5цe 8_Я…кзі…”кюЭGя–ъЯ ·ҐE¬· Oљй Tѓ cA@ EЭ…FпQ;8 d9x ЏHЗж™Ґ‹ r X5ЋX°—мrЦ’явCdhфд &gt;x™bka€: J96НћВFPВўјlйюx5•7 ]X­ U3Т 4а›« Nґуц{:єtі·ЈоGK ]кeOял}КhУUQ =Ю¤–Ы[p№ђcс¬„ ZZ MЏТdТч bФ™Ъ K‹hГџ PЦ·‚ґџ†у 5ЭоhЮќ LќP DLetТБ LЁfgwSvъ= PИUџ·OЧф”Љм¬…щ JиVрҐ ”8?ую `УjМЙФ§NэъК[@uRmМ”ЁЬsаљуAЏ48¬8„ bјє Cи ZГ‰З W”ќ ^ЕTЋб Sр_р°явCd_­е qW…fПe Z: K‚†Сћy„°ґпу‘“ѓ‚?!`JlMыѓ&gt;х ‘B§хvїесTѓОЧa CEо [Пщ}ш KЦs DД?іЁј‡ЂЅэЩМ¦иЮЄh§Д±Эu‘8c 8Щ9w HC ;¤E JЕ 7ЗA·тмH= ESlxъgKд [љ°ѕ\зюЭч3 &gt;ЅI ;E \ѓЯЧ@ cxmїr_ўq €9J K}o— ;‰BЇк Fы}єОR€Џbъє„“Њ‚ aщ V’л”ДбДШИЫY&lt; P“ jS3Ф?Щ &gt;‚твE… [Ќ [Ђ«№ґЪрyявCd{Сг rcҐ^ka€V I96Сћy„”… N©О°9оZ QUЪcrNЦX Ћ:&gt;ІҐЉ Љ?:е Fч ‹OпЭЎVt? F&gt;voо ?u©ю]„kч d?хaJiБd·k 6VJ•xDQ® 4У L@§іRЁЪЌPX ЏWw B›Њ W7 Vg n6g}Wю€u­\C …3’{i NЯ8A 9ЛхњK Bks J¶e: j=8Ђ NKЙCБїн ErT ]‡ыzцdеБZ®ГІ· DНМњБ Rі Vн&lt; FPВБЅп ?u[ЃgJдVЋ±ХЉ›~ kt[›CявCd ?Хв &gt;„yi Re Ћ„IЙ EХѕy„” 5CҐ @жxзЦcg6МF &lt;Ћєµg^ўf ^Hсц [6ѕ~°шЇяюЙВю…{&gt;іфє‹ NҐЫ `эЇ HлuКјHнЦЭЖ cH d&gt; ?Tд°ЫХЏ…”± ѓFokWґЎL ;Ищ bm«o JA IЎjп[я™Х› \Ш·уЌmt=›яЎ t`]љКs aх5—т: aDcљЊ SVsХдSчv83 &gt;ђB‹Ndв BвЯК;ьГздь”™­ёЬvЧэ [L&lt; Drm fG•г Gm E™†F 6’UD&lt;љxявCdЩОд &gt;А•b{e…J L’ўСћyЉМґ‡ћП Hђ BsцуmuHўјЁw›ЄгЅRК JzщM `pУъ5 XиіS’эrџ¶Гкo HдwЩB~«кюЭq~‰‘ ^ЬnKd±@[ђКйЊЙ„іР±| PЮЫЦЇкш JнР [E|Ћ _оB c]ѕoЗ ]щИїЩ_·Fялi `ьµnЧ:яkдPэ Iъ©6ѕЋЁДhиS Gюх =№Миwл;юUќ±EiпnG y_L XLКфј c„i XwеnT…з{ p6VљLZcУўDю pMявCdiаЩ qcyhПa‹F HъћХћ{ jK&gt;хКЉy@Ю &lt;VпЇ_а‚ЄPюCд 8ќ‚ @’”qы dКф‡ avFсgxs§ Mю–}7ШюКэ •`_ь’L–г W¤_CKJE Vиh —ePFYг D=&gt;ЈїnY­с‡HТM b3 bЮ J‡6 HЫЗTйП¶ a·ы`р _щ zEyPЌH HY ‰4gЪІћ¦Tв aзшq•”л=юђD 9©›qЭ 9 dЃЌo– MЬ~O&gt;Км§ьµ\8— ‘M*€ИI…sq¦6«Ц KЯ Hд &gt;;mfТ‡Э ?явCd&gt;€б q?yfЛhЗJ HHоРц{ 98qѕ‹щ R*яюґщЫя\Џэ 8е 4эloдэЇхґвъ &gt;WosҐїЫФЂБQЮдЋ rdld€ЅLІЛ 8XBuC~hkp \§vj‚ 6lљU?[ V:8 ]яФ…9 Jў?чяoШя: JW·ЛcЦ*[С• FЩпSїuЄЫg SґDeF«сѓЉz 4‡€Йш°Х 9YSеэЮ“ќ @є I}Йd’WД• ’Oe’ўвО “:ЋЄЉИЌ:Aю Oe zw9К L|P§ІёЄMт P›ozPЫh5 BЕ FЩявCdС»н =Э @d{a UX ~UВН–z 7¬J„Щ|љTС6wгиЄЭFхЅ”xfНЋф d»ЄяиюйWРIЩ· WljBn ЌB6щЌ 7I€ґN h–\љтФ ЏeэЏ Pќk KйdEDЈKю‚lћщяRl™ h^V’wиUk=э CРhжvZ H‚3T L™d _аЕ dњ®ЖЎ Hт±‰†ФК€ ^zxFe Ќ‡pm75| 3ц^}C‘ 8i· FьШВ‰ YC V– TtЛҐf Џ5ЇрQ dыЧЄ·‡}b ]ЭПM« \Ќ’–»@ sDй ^—ЯявCdx Jп =|…jПa 5&lt; MЈ aИЦzD Oж [a6“ґзУ« ^‡±пЎџЯяў«~± J§aI 5‰Цяъ›яиҐ ]Ѕ9 X¶Ж E4 _…В Vb« Il^k‹Ѓг C8Ч zJх‚WY’сdШ±hе NУиНяьїяиr–чvZ›щ}КЗC&gt;zj SЉе ekuХ«9У TИYв N“ bќz? 7Ћ‡¬L·шГЛЧѕ Tя O_Нщя›}шЫщ¬dЫЌЙ `¶жЭ•ТиѕвДЕK4и4A yGЈ a@’Р ye… Ђ`gТZ5т @W­C‚ Y»јявCdj Oк pSyfОa€8 MєћХћy„um dюvн_§їgЄZщ=ЯФЪ№КмЛ:= LеaзV dЁЩ ST®№wяЯИГ =NF4–ЫSЂp c[и]rИЂSqbУ &lt;kх N¬4ї7PЁеlЈ ]ЉсµkІї™sF:щяЙяхн`у CПтЯ€ ^Лр MdЧ 3№HЈэт@щ BC; ?ЊФ FИџ UуМR‹ \Lа bv±j GF© Sх{’;ЉB WЉЂKК GRТВІ or–I‡· ‡]ГяхeЇіЭ*uЪМ bfm¬tзоп;шQкџявCd X^и =¤}jЯa† ЊKZжХѕ`GXЮїлъђЅ Hэп–яхVf«т ^·©Ы ‰E Sг»Пt;ЪF»O W„ЪЧsю _и —:ПЇgКU†x&gt;І &gt;[ eI _ЌeЕ„ЫЎT KlЗ;k‹ T~Д UcOк WЉQvНtЌЗП `ынјС 7· LЈ{з3*яєkэ Ѓ_м V[ЪїЫOчС“KIЫэЫя]i _АЯэеQФc‹uъ?лv°Улвў“’I­Ъв UЃ ЉJМъЎґ°ђD©ЎИ &gt;єХДHI‰°‘yЈ N9Х±=tк ]љъ»явCdф Eл ?ќ•bk=… ”IJоНћzD”ё¬МУ Y`ЖCюP5UзїпїцъY[Є RЩяОІ X[ZяЫюћю•Юи‡^‡У dZo‘v‹v wWІ§®БЁЏщ®6Ё›rC aІл =А¬wh„ 7ћ Qd Ђ”EщJvОПЦ &lt;e•КMРгШ @Н§ \н 7\ЬX —;ЁнпG Vяэ {NяфwA CЁ• &gt;щнїЭяц Ycлnџ ]YщШ®ОU HЅ6Pu[­єЋ±ЂX6 XЄ5[ДРџEАт ^зqШ xSGґ TЉГ5 BъЄ `j JФфИйявCdчМз sL}hЯa ZJ Gй~Хѕa… 7”’й 3і–K OТS &lt;†с YUт XА·iS”Ћ{ЄѕEЩu§ьіФеRЉ XыIЈхпB=lMA ‘WОы @Йн·? 5B®orFCcN nCKV‘Вх a’Щ‹‰АђьJ¶HыQЦ9XМ–bъ :¦ Mr™€Яш[яq 7^Ячц—яцlA 4;§Ч№ MµкSќкcк XЯЅ` DЧ Uњ’ЫwєЖ 7q gSВt™ C”яЂRе[Vь?N…j]9 S®µfЖ t_r paCЉ N:_ЄфW vNявCd4Ђд &gt;|y^ke€F GиІНћ{ E€Жл GИ•Q„ ЂAсRHџDz› EіЬћн dY IўЁг†«ю¬§яф Gj±•q =З&gt;Јь‚[H·“кxдҐђ[ XЮ}Зd cЌЦiЛ© 8бM SR¦–ЕR D\!MmенdС‹”I®Ч ‚MHл™ ^N cмЁ{—ро 5ђ eГчяъoякбИx9MІУЯvУD GмX h4a DWWҐ†ЅЙ aцИР [PUcpЎ C™rЗ ‡?ЫtгmТµc™† KђЧ KІе…m ]хvс’ BgЯџK–iявCdFЃо ?аНfЯa…X HhоСѕГ 7ђ _Н |gep› EТ dџсФ TB=ЭНШЃ 5E±j7З9заYрЧря _яЉявЊяQюAn­_&gt;_Т*оIД E– YнЧi^¦ SБ· ЊFzЅ ?ҐiГ¤ЛЂfWЂж¬Aю aжFdun ¬ {7љnгcPщ?яR7яцфья VtюwцяµяЫ+яъµџ aќU Fяйю¦ &lt;rDхћdљoЦI|kNI `’P–Љ cjм• bk3Lеў­AВІбѓ– cЎсJe± FГыЛ‰љ :ЏN„ Vу ZявCdВ `л ?ё•bПeгJ |6FНѕВDx _ц¬ЫЦbРLіР TЦ ’d|7—ФPьJhыk†=~ч cШtёхТ U¬ ?еeќ bЈWк·_№H uVйяЧыђо Ќh]я Hak W9ЅУ–ФPі […НЅЁЯ[Tџg &gt;Y58·•N z]v5 m[б –JxVЈ;9 crџ&lt;vъі+яНэ KП bЫюuwл¶Я+яb™яы H*яoлFC \lЪ VЁ‚M XcХyЂ ?WЇж“= ;„б H3CЄ N7 OЫ ]K\ВҐ5 y7Дє‡S№„ dСљявCdЬгз @@Ў^e€X IcўАюy„М JDУ•=r9В ^эrf P&lt;Р ]QЂрыП‘ЏёuМxе eѓ ‹‚AТ6L C„дЌSC;РмЇя @_fyЯїяK? Y°Эd KH’У©KҐNFЪ“Ћ WЭ t;е ZoO 9aЊхАТ?„?\dЌЋ±MСPРЌLй 68PЅє? bЙgюз ;ХOдыUіх;п `o @~ЫїЇ­7®D«ЛЙ WAЩ· WЮШiПoMEЕ¦6 4м EPћ‘@Афў cй eYТтЄ3ЉЪ®Шк¦b drМ± NN°„rявCd€?Э ?x^{eѓX D®ДЦ{ 9jхµ*ЂE ‹IчBзФўr UC &gt;Wh¶юY‡K ?a9 6Р ]Э YB Rxe?ц O»иЈ&lt;ЭA fbПт ”IхGЦfТORњЋ&gt; aСђ•ЎЛeёqЛ F;[сљ¤‹‡iМ—6 r[Л &gt;LfmjC_ bбє|†b JU­_ф `ю i]’а|ЫЅ IИ :ф±иЈCЦе@ЗюФякФюч Y§ЎЋ eQхRv\‰ &lt;p BуPЃhѕ ;Џ [W TjЩёнzy bFS6б CЦџ†й Eъ ;п8§‰„ \ш’b 4PявCd pGм @L“\ПiиF zSєј6zLЉСч Mц X©ds :&gt;Ј±—w aД‡ђ\Tу” 6zLgRr NzЩЗ€r [РЌТЧРЏe€&gt;ІyџХэыШЌЁ4a&gt;Х}ы—f qђmYА MЌFШ† bЉKh—Ў‡ьЊґйЩс… _r›{fQ&lt; †f”xv:Гдў=њ№яЫ \„}ъЩТднфэZ47oд Qкбalі¦m ]пЕ 8yAяNK WЂЛѕp U‘ y6@†ч 3FЕ CЏ BS Е„ЯpI ‡u&lt;IB Fћ ‚uIЎdШ U¤ [TЈ “Uo] OявCdўmл s?‘^keи9 Fx®Рц`M 5М?ІщvћО®f ЏQ…¶p aд YЉМТЮ6Ўo†н“KвПZYД :~юsЩїЕh—ъГ 4џЎ XZЄюKј 7= ‘m]ЦЖГ 8lЪ Uћt ?Cм¬©4н‹сЊXU}RПЌ€ОH jD{вЁ§х „BжјЅA ]d N¬ц‡TЛ3фЇїЎф‹&gt; `лgюЦѓыШд: MМ›•Ґ 8Џ ;… ;м VА@X‹rkРQ fE…мЎъI T© LаbБСXь–ГD¦®Ц*yГI­ @[ :Zє I4K ?жHявAdэFо ?xw\giм5 F®С–{ 9r°В Cў M§vёwB° ‹S·ќґ dЯ—ю3ЁђUсОIЕє¬ґџ ъЬ°яPZї{bз?GZБµ№ Wјќ\ ЌWЃ…h©№ hDLXpщ ]n•k tTQ4w©aО@—G W? 3SСЁ=ЩЧ¶ Zhg 4с ’a&gt; 5зАЧю§ :S E9§иЦy H—HЇЩт RЈ Y]э €`їwн~ЭЙEgАхSЋW@ВК cВНnђЃ ?c 7}ўСш€’іN Y© |nOѕЏћ aФ ^° “YћVuiyєYіЧ m7явCd D;ф APСZ Ni‚K FxЖАцf CF NYlх H»НYя ‘&lt;в—XЉЇЂ gyc6€Їа•ТПє [&lt;є 3dPr Xµr• =џРйы ey ѓ@ьл bЧИhЭeL!Xж¶д &gt;Б &gt;`µ–`ї_ dЃ MKЙФ™л•VW &gt;¬eжЗ ~eq¦b7ZM^±~S»“@eяъwЇ eRЯщПvФ KS ± HЪQфWеєў= ЉDjїяҐ}=@I; A‘ i8\;BМйЃm uhoYЬ C` 7тyЩ U± LјVRT&gt; `7 =c MРп UµљZ…KС @FявCd ZЮн @јЇ^kiѓM yTѕДЦy„О 8Ц~ц€ `;чЃ 3М Px¤”јй·® s[U’Є •]Уїы­Oнхлюптэoя­СPUЄ©№4 8сЧ XT:кґЛЯB @H ~V– 3Q€ 4И CNМ‡ PUњµЖ CТ Spдт AґЧОB 3дэ!X BЅчуЙ‚†‘·­цдПюм«ѓџґі*яU…цPyБхRnWdЕЯ_жW 3€С“ &gt;|€ O¦±|`х“ _] WЗ*ВS pЂ’a4 6К &gt;Ѓ Uѓ ]і P—–3 TЃЎо HP·7|{_{Ч OявCdф `м &gt;°yZgiѓK FРоДцbF– F—zG UЫыу=ВлмИЗgХNЎ—нЯ =|А° 3‘7]эї«ЎЄ~]ю_язоZ?к @T·­I9l &lt;‘™mзjBЂтиЁ9 `–у^`©З\Ѕ :ЕяђPд’ќ G¦ч«“{ V~Џя Xs Pе“„tљК‹” MБ®ъkзмЫekGС[?яB P»jїc– M¬“– o3NЊ љW €ZAi› XiOІџЏУ©s— U[ o4K ;† qaЭ;Њ Vv’щ Sс‘k”Ц4io Lz;BЎьѓ;м t;явCdeЉщ @°П^kiѓO FYrА6`Е 9[ ]№7° eпum:to¶¤9 CC– 5ќw~— DOьЅVи e·¶Їoш‹ѓ:&gt;Љ9„ ‚^Um№laЙ [Ѓ Sёа =P Њ„nZZуc Cvсc 5§L\ Dх cбКЪЏ9 z;ДОЁROяУvт Y‰яl¬S’GHхwД PЎЏв:Vв| CwGяТ¤ид RR BЪщpXГ¤Cp XФ†tежv TAPІIx}Ё·СW &lt;^РО:М  aUEњdA QДS= ^сX j@эм Zт№У &gt;Хю:ЮЋ›ЉявCdБ 6ш s7Щ\ Ne‚i zTВИцb =– PJH 3Пјм &lt;†¦Rl‘5Ѓ›ш¦дя†k7Ў Rп_щіэЪю‡НI ZxґnCh± &gt;Й AБ™Ґ PЋmck _JхfLґY \8ј =ЊUi™&gt; &lt;И ‹KZ€· PЩ~їЈфz ^:Qі ;‘И W…Аў3¦ BҐ~‚ч‘GъPє8фэ”яцнФwтu \e IЄяmЛP«‘|OXђ MjЃ x–@“ЙЯyЙ rђ@Y’Ок фu9?Z KЄVf ’aе XВpэ–— 6Њ€ u@ТLшJ _F‚Ш dsявCd Wlщ &gt;р‡Z Ie Yg H©ўА6`Е =q ETъKEU `УzјЪ|SЬYoXЧ gj„&gt;z YuЛ№плЭьџ •`sїійR3 ђ`Uщw7€ХЎл†е 3П 9MI O9зи Ђ=ќKSC 7dѓе &lt;!X ЂOLҐ^¤ ZГЋ3Е U5 =иE UЁДэнч V9оКеfЎ ѓKр Ch PIс 9*Ў±QY–ЭФз° UЕXDж SыяћсЧк±нRNHpЗѓд gRЂШ«Z 3бЮI4 bЉ YU4hCjЛЈ ?ёъҐ§ JѕxЭт‘Љ [д \вaЋявCd Kэь @ЊЩdЛe€U JйћДфzDzG ”ЊLў c€› b3©т ‰=QR dљ«54n‰м&gt; u_“зzды ZК‰Ѕy ?ї TщТ±3ю† Hх VYP ЏW•н¶г¶ВCЎ•Hyз oЂD“нЉЄ=@Ъ dЅо L¬_› eэЄ Hi•aJb: |c•ЇрBэMХЌ EГҐчїц ‘`і D·vг AsІ A@ ©’т—@„X hA9NЦ ’]±GSu^Ѕ PO;EiпD©J«яn\рЂYѓ TjN _aTGќ •ацЬФ„уљ clIH„jLявCd&lt;=к ?TУ`ka…G KБ¶НѕxЕ ?aХh ЋBэ M3ЁЪФ &gt;€е7№® ;¶ d§ ’S {x&gt;Ц}ТnҐA” C8ПКtтяляGл DйІ “BV{пXAФ &lt;z™ Wж 6W `‡ ]uЕИђ BЕ M~ \‘­rZхумШпђ9 Zњ–Чlі&lt;fcRE№ c| Op C6А ^к7Ёжлix SLPђ†`џ m—Qjљц —LС3к 5_rѕЇ¦ь“е·ю ЃSHЁф€—ђ 93®T 8n• 6ќ oS иЖ r5Щљ\Q 8Z 8·†¬Њ–ЎsOТ]=явCdр»Ю &gt;¤wjЛi€9 HёТДЦ;М IQшЪ;“Юѕ XИ Wё‡LгYчfSx P^`Dбqu [c ::л{_q*§S•Ьэ°«hvЯыЫХТЌЪюVgЪ·љЄЅ· YcИf7 J©N q‰9івCbyя ’X=!:ђ cЄAЫпМB:X \Jоу \ж5СЩ EчТ„ю~кZ· Z‹ ‡4ѓ: dЪэ…6ґЃ‘¦6T c~ Zc D†…‚’Алћ·gУЖъV’оYПюAбл eIИxЕ 56 V@д &lt;…ЎўЉ [Oњ4ПgЦНҐЕ;LФ \a­явCdЌЗд ?P…\gi€W JСКРцzDri« r[ІпjMД™‰ЖХ B5tиФ§ѕдm RХт№¦9… 8K Oњѕ©эјJ Dbs AцдО ^ЭкfsO:fЉ¶яZhК nLпVКЁ JхRIМ¶Б?о§„џ] ‡Uf— BhІ 3D`ђ«`ЎЌ9±]т­K Џ\qjРP –hAuhіШќСиє Fљ„Ј»tnЄ‡W KлH·К OSїзЫ ^rШФf«ўО’ЅHеe [ию“ 7E \4;вф QРИ 7“@ Mµ8]’Й ‚€aА Tёb8 7¬явCd •9Ь ?`л`ki XK IЎ¶ИЦzDrІ±и­ 5B†л7‹–aOV MШ·µK›вF5 bє·Gщ=\“Iпь”ј e5лд8Hщ?ЩҐKюб}ФьїюѓЯџ—?oRI Xї*ЎЖАL …&gt;З S`Ћcs7вB \[X GhAТА3 …^RГ[i @u_ :Спqщ`|6YЃЪL†± MБнёђ`HъД 4` ^ЫЎ›ћ§}nЃњщнD6аҐЦ b·µ aEк HWи [dVЅЗ O—ЉЄљPbєІ `щ‘БФ¤ЏЯ—S [ёт ~\љЊК &gt;5 ЏsCявC*dIШ q3Э^ga 5[ IшѕИюcМ ўЋіVчO acg§Ѕ T6 DхџЭ…џX \UДoѓDЃ EЉ}6ИўЯ Gр Bк fUX‡Хx_ШЮЌT ‚dдWVЄєю‘ XK© Lwх ?G NО‡«Mљ`zЪ‡©б —KКґѕw cј Wa•‡ЂФ RL \МИyмі3њц XrW№ [мХd bЎN4В{ ns=ёЄ dF[XмрІ]fµаб*]ЕоµgупяKк«эtЁ IЄЫ“в ^” sWs&gt;ћЙ sGЄєuNґёydC Kn[IqбЂxFмљявCduжЮ q[‰dПa VJ ~&lt;ЦМфyЉТc br;лЩ H‘ UБl‰ UҐХ ;Bє‹kvFЫы Fut]фюз&lt;9 &gt;Q®[ЦзъџяU¬шѕзhkХ D7ю ЕVЅmЙ W’еО‰§Жаву„†в Vн\й¦ aµ3ЄЉFE¦ЦЖебЋ A™НоЏ™&lt;&gt;·=Cмќhilв!EрУН;›КОИ_у YЧ Qж MыЅФЫжЫґ¬m Ђ?я ‹aі„ W&lt;ъЁм›я bящ· b¤ZЅ· U’шщ 6З„akъ `w©Ђ@ &gt;N€©GрњН‰QTҐЪ [явCd«yЮ &gt;ЊЭ`{`Еf ~ЂeИю`ЕP}ЌvҐЄ~^ gZ­6Ј :ыњ?@ : УБЛL{д vj_ў Me ”cnхцю M[ТЇі\зOнЫ?ЙюЯ€ HIЇ’[mљп­ Lќ CЎ YнUCЫ=  cѕbоъ xCл;ТУ“ LWнцwр S†„М`ЦпнІ dIДЁ ds“пюFµ§ &gt;ЛН¦Бљ©‰e=D Uџяz UJ· Iлz 6йsН—EсpfКYdШЕя dл?ь LА•fЪЉ»Е¤ |KЪVљЏS d: AҐKV ~Ќ{3FZ —I’PNявCd AўЫ =ИefПa† ђdъСћy†мTLЄ G¤Џn w3&gt;Єн– UC Uя‘• &gt;ф 9оѓЬPэЫ HPDЎґ Cр›цтг­ыѕ¬Чюџю¦х ‹€Nщ OІЧ =з ’b®ЃІбкsG… mBБEДиzН ]v AЌy»!_ЉЙ QкОХР;‹ЁП^ОЧЕ T!E7ЙЇШмO eЋsфв iIэ ‡[Gі HязjЫЙф®ЪЄ: €Dd[lЉ eёљіхЈе?•ђ GjЇnO s;ў ?Ћ cd ML }V‹о QS· d±{ы N*§_›Ољ]ЛсявCdзуЪ =X‡b{a V8 KТ–Сћ`Е4dю±¬TcWk9 hVST bщСOЭЅНпхvGв]И¤\ѓAдuђ~ЋKшўЩы©;Ь^Ќ&gt; `сoе ?щe’пд–ЫdХ¤GАl €C—цC TЮ”ctдЧ {On ‚gd&gt;q Yч dg6ЮirЁE8hґњЅ*о5ґC bЩ¶Mx7іcЎ3№€qЭ nK9Б8 Cў–}ўгk SЬЂ• “YБ Aу \ВН­»ђЯэNы‡ФЎ Dj·iЛ  &gt;Ж’e€Ь cв a?—aµ7S‚¤@ W–ў&lt;8a—µявCd‘3Ю qc»dЛhВf K±ІХћy„Р Nю*–ЃdmеЛ SЉ8І9хHыХлйEлoюЯиМЉX6…›Ъљ „Zъv~Нцня–Э”їсjІhІU· W’Ъ 3‚A 7ќЮ 3¦ M‘Z eщ Txt¬‡ GИ 4‚ 8eЈи»ЊNj„ [4 ѓ8Qа™ў•НІЄФ©gкWЦ I• ‡LMбж¦¬X :K Rу “4™›Z?f\й Z—э &lt;ЮtшдLџ?џжц±хїі \иЏµ &lt; PK±\s«т;в©Ѕёг’цВ`¶q S8Е§цg“ ^E&lt;ЕcqявCdЭ?Ы =ЊЭfЛdВ&lt; Nѓ =Сћb 9Њ acY© cr ]ьѓ cќчТЈѓ&lt; N`:48 ЋЃ6ЕЯZ ђjЂRњЭЁs±v‚ ђCў~ПM RЌАО b*їe RчъН{яњл[ў F’KmЫ ЊWРb†dZFЙШ Ynqg V® BЖКЖ«љЊ“*; KЋB qU© 9‚–Х№Э™[^Љ{ aюЄ Wє @–~ VІ BO ;c‘±¦љ[ „Hяы ZўВНяkџк©а‹Ё_СУ GbtбБ ]–D M?€ѓa–Г 87 CKяT…U­6г’H‰ YarР uSјЦявCd Ђ&gt;Т =ЂKjПeж zЃ]¶ЩѕaFјМ~вFз D§u 43сшT^Q¦С*ЉTH ZЄEЙ[{K:ЇуЪEBzЎ Bъ ^Mэ­z‹t jW8LрЂ 3H F·ѕяа’gјЎe 9= ;нЛїЬЄфя5бVЫrI [|: a=€Rd° c5ё”О DгЊµГЋ GЬMЮ u?¤MЊГД E3 Ga dѓ‘” &gt;“ cи]У4явr&gt;С =vz Nўєа ;ыєгДЏ†в U‹”eХ a·4PѓTІBwЭ :ЋSт F~k aQЯЁE љн¶г’йб Cн‰ Њ`явCd KжЛ &gt;\ЩhПe 5J KБТРюcЖ ЉZУэ‘DG hk6ЊЙ Aa zbpDњЉЙЦі YНC‰uz:&gt;fЬфSќM3uµ?v T|цэґ cPA 5As S6Mэ—x Sв› LҐdI} NI|ЇSХЈђщїmЙ Xё e± 3M`С8;9 6ЃШRсѓ dЉXЉ ^^ aЦ!\н GОЪ ?Г”u65rю dЇ TSу§ Jяї‘џ^ ѓVR ?вZV±ЂзTЈ PиІhTй EҐ\•МЮЅKЅUE PЇ°“ gXЄ adzБ§єД=Фьзд XЫФаVЄУqявCd GуЗ q3ЩjП`В ђMz®ФюHЛ GК“p:AqLJж]‰Л {[В tj9‰б® 3Њ4gC·}\­;IЏ€SWЖ„ aЉі[SY_«я•›м•v Sµј&gt;у€Хл§Хќ—PAк &lt;° L?ЈZЧмqЖnUХhі[‚ЪnI Wo_ГЗLl e:ВТ­ cЕґЧП@бiC K‡кѓ ;gdey^Rln®{Є± H­о_Э R¤Y PС¬жЎ\AҐUкe ^С^µЯu•чwnОЮµS wJЪЂ‡ cѓ„ C¶™hE ]^m; [бЌџg’ѓл[mЩявCd”&lt;ї =фЧf{`b&gt; KљЄФюaЉl@И–ЉІб~«9їM CО’ћЇwЄыКUЅРЮЅC€ fLѓ[f VЙQЩµҐ”ЌL3kµЙЇ™|‹ [О OЗµ Yд Mх—‘ W¤@· •Љ~PґР ~:† L«~Cµ”z&lt;ЦдfiUхы’3p LФz9 cu Ћ…BЫЂХК^б EД Jі‰ПB„ѕv VҐ3…ћ ‹ЏTS3п\И¤ S\ Zщ \э `Ј‘јЋИ‰ЩЇЬЅ Lкµы UX¶NЏpЁ`5 ]раѓ©Ц•xшfVЖ &lt;њІ UtRаЃНэ&gt;sявCdВ _ї &gt;`Ыfk` V| L:ЄРЦ`ДјС Zн№ W’я 5АЂ 7GјFЇШ CФз6­ ЋDХЉ•srфшпќжC»О `mZЩ ”_dе«µ PЅ 6АMЙ ;µ }‡ђ7дщ5јA Haќysуи­џЧД Aя `„ Iк— 6кЇэ€ ]ѓ u;†д©гI _йС R§ўa*WZу7Ђ WOЂщОb KњЙ‰ €Ћ^вY 7Яян`ї LяЗшЇоИы FЦOЩnGNCг};Ь*У i‡UЙJHЛ‡Њју5 Cк&lt;]CЙy{u’э¶д‘н JrЪ [”явCdx :№ =&lt;ipП cГ ~I*Є*ФHG ~\‹ ]р°nд 9L6ј\бJН&lt;УІ– CҐЩ: obЪЕ {aGЬjI EЁ lUpЅ·Tg M9тзЛіТ@» 3ДeЖѕ ]MuЮ ]ќ :шЋЈџ_*я Tе 9j’jI Ve8 @ґЃ^ hIU 9g=¦ @@дп¶mЫ7Я&gt;ѕтЫ; =OV§љї¬Ѓ SЋїпа DюgюA}t SДС› B‘ L°: A@Uc SfШrЂ 7OћЂCйK’нg„kйzЧ9ЈЙэ•A«я‘НТAёЙЈO SѕП X—ЭО iFzгявCdsrЖ =ЁЃpП&lt;Г ђI:ЄЬю cMXс qOМСЪ« KBm~Э”иB Yc«”ЁtљяЅ K”S:›D«з^‡k}[OтuF« ]ъ•™І  U]Є Gеђ x?Е°вѓ&gt;aNъ€}їЛК=ЦhD &lt;Ёд–ЫnЯа –3б&lt;† cМ ‹5” QN A O‹ N†\ F&gt;ґГџА€Ў“Мль«Ц_ю Lя BьЛ —q3оLњkwU®Ъ —VNоSQ†ѓ CPЋФy; GЈЪ GHxҐbr*К JeW G’УO©T ^я’IYµXд =ЋC’Tчњ4уявCdЧџС &gt;хEnЛ`b&gt; Jљкт^ KKT@ь€l Oа™ Ѓ&gt;‹ 8ЖЌ&lt;dа –NXў 8‡9Е O“IK AЏi ^mЁaя_—a CКтeG TzБбЋ K·¬P ;§=B ;Тоm m\eофР =ФљrI Sв?Ё =[ ^ЕЫЗхЌ™ХЉ„8ћ®Ђ™ Ѓ]dфл»V@н ]ЮvяФэ‰яЭЧяm Rh4EvСVgі3]™ L4jЄњЧEґ Ѓx8В…Л5B°А Dd{[ bц§W«ЁoM ЋNNI W¶№ ;] Aа &lt;Ъ DмiЁхHМ &gt;ЕЭИ¤явCdѕ ;Н qj\pЛa l€Ib¦бћ`Дl =л kZы\Ћ9 J« IЅy·›„ ^Ј w`Фф©7ў·їРпЛ Zюќ N&lt;€Л…ue :Љ 7› ]LB\ YС DЭв KMц 8¦lGCк*яbъў›яqХm° J”pіXB[Ћ=ІzҐ Gи] e4ъ “DТЬчП Tѕ НќJт @щ NьэSяхџ Q3®Mъ F±| cЩћС &gt;љЙ’ WНј†–љJЗщЖјW|ѕ_ф~ Nщq 6· ;uzъFч‘ 9[rI W¶Ьр dЌР KPі &gt;‡Ї«&gt;5&gt;@ &lt;љявCdn eХ &gt;Й Du b&lt;bL J;VйћAFь¤ґ —Jhѓ 9O _Xё~9ЉpXLВ«µO cЁlоЧI©РЧцA7Ђ–• 3S3}b 4ДH¤ RдН€ 3ХCh~юЕ 9[–GOwRШНlKIёд‘ ;S– |D“ЛI ђR¤ Wчжѕ±вmЭе X’„~  _r dтXVµb{эЅkцнэ [Z†tТ®p’–J Jfњ®G ]–w EЋ]± K7K AТ]Lr Sнh}pzъЙ =ҐМ&gt;ЩвЌлO_¤ZЇя’J‰ abШ 8fD Y®n· NвfР|mявCd y6У &gt;lCw b=ѓ z~EцаюHД\EjбнлС 8њо€R¬†кjO‚Њ Oа›еz \~‰ИМ^ХVNuzъ»Ч“9–r ђM§ХТ—:=9МтЮалцIџu}”мЁЃ KЗхъ3®Ї“ =;»ЦхЅWйђ 4jлmД U‚сЋТ ZTСoбB4ЋKІ TђюZ _ЎqMёZцt™ DШЖ ^Ѕд4ЌN}?яОяэиB–йҐ C¶ N?ЇrЭЅUµi°k4rЄ ?n Ee^‰rЋ Ae JЄGЇ Бq |N’Km¶М№ Oнbо•CЪњsњкявCdЁiС ?б«pЛ&lt;bL HjЄЭ–xD| Q7Lxрs€Нф‘­­ї;&lt;|¶†ykрОжUК @Њgs WЖ&lt;yRЩ7 N‘‚ &gt;ЫџЭЅTНВaтr V&gt;уC» PWSќrI®ТкpG J»7gяо–В*&gt;`© 6рAЮ«їя&lt;єХВ’ґкЂ”5@&gt;\ IUX z^«“A’ Xesэ‰Uп[ЙV ]їзtUІьфm[ИЌ,яGЭ8К D€9mк‰ќQjэ”Ё †Oехъ–юпс Fх Ѓ†IZ»· 3Ў J‡ &lt;LўВ ~bЌ N„qќявCd =~О @Эkw b&lt;Гn ER MЬфxДPCяу`Ѓ™dЮfЮQT `J° ~AgК…RПDb  pT\@ѓ aлд”ЏФfЊFDєїІ [Н]Аgґ JKРKG§{ &gt; ‘aQеS; EҐ;Л ‰OTX·]ўэ =яЇМeц¤п¤·‡µ \Јx‰ѓ] NЩЪUюрE®љ DAю„ј ^Яc·дs eФЎЩшX¶ў^B¶©фвq YЇ¬’њuЅ~з’чi«‰{зёЉ• Iќ7 O‘гР PЕИМЈФ Em•a Aы ‹AЭъRч53XЖJђ€єявCd”бП s&lt;wjz WeЉ w‡Iе–xDђЛ Hh NY°Ta¤ cІ 3©‘ ‘jEw ?е° —LЪг †Cc G[ @°q eQЊя“b FяI‰ Eh ZоАJtћ*°aЙHЅѕ &lt;u 9ЋZ’О }pS`HЏх»яьЁ®У –:Л ~4*ҐhE UQHb eX&lt; OЃЉCъ F=_?сэTWP€„№6&gt;nmщgk dТ„¤ЬWy©ЧяGэaНЯк|B eЧjё3tк—яМ” c+ящЋЁСj«Ыc± hKС Nм† EЅљ eт KЁ ^] 6^q =НіМ [ІCявCd PЬ t@=lП&lt;Г ђy&lt;^РМГ v9Ў‰M^ёВU aючи DЉљОГDagF¬Y &gt;Ћ B= ZЊc &lt;MВ„ kSОс ?Ђс ;‰‡ 7&gt; VяО‚Х‚ qBо{ AН¶ў ђ g9^ u[и:8Јчkю Oѕ± &gt;Рх R+яBГTЅX ЏAdV9 YБQ€ –_ТЂL‰Є ZUrGr=[~pПFїLV p =X€PYмl ?м OВ w^юs¶ј6 TЃµ OъЯњ±Ц*яЛt J‰ HЄї‘ 3z =X\ |†Y‹@ ‰ЏЊ–q=F¬¦џ BРъ 7— =явCd]9Щ AЌgh{&lt;Г&gt; DhВРЦa†HE¦ЏЦ=х‘mvт©3П}oЅуЯ7 bhКDсМЧЅЬЊ–}гџА±®Дањfг 4~Z RЖ~[ Nf EЄ =ч GЋEТ?јl &lt;VNо7Т©ТvЋeDУжк[уо &gt;ґ‰ \I i9—^ G…w [Ѕо 5±ЃQґ d§vCЄ 8€at K­• ;] t`„Є7b GкяСџ¬ГU+яҐНюэd ^8ўЅD `с &gt;ќ¬ 4Эф;яm Qчu Fє‹­№ `ґ &lt;Cн„№ ”&gt;T’5Ж N3Є@ъ·:лЎPqявCdэ®Щ tLmlЛ=† hEЪBФЦ`Dx[± :yfыюіЎ‘ЮАШяьfuwTcJ \ЉQb me=ьAё dec”пЂѓvЬ«­Њ ‡ZВ 9ВЂ cВК Cc cFЈ ЋcoiЩ‰ A9е№]U|_Ш¬¶ [Ћr ?µS aR4њ‰NЙ&gt;зНВ cҐ GїzGNVP® 3’ AJYх®|­ XV F„ CФаj ]с8@чФ8 б9ЫРпаи8ЅAe±я‡?`I JХя?яю› Bй±J© ЌOђzҐх~Е EэЇдЃµ 8Лl =Y­tжV P‹є°xTявCdTjЦ s`qrП&lt;В&gt;’й EШц{ l;мuгO«б 9^4eЇsяЫЦуRвa]6 ЊVб @Єѓ 9§ W—§ —@э7т3TќSeв ARИЗ¬Г a“ cн]ЙЭжФ_§чJџоЗR® [+яэњќТЧЬГђаЪ FщbЖ …I5{:кУtg Љeшg&gt; 8=Вdf¬АеЕ’ZhU”p±¤‹Љhщ¤џoэ_є4¤Ё&lt; bйћ@ЁЗWc‘ъ?_ҐЯхіўпNОІbбЄ­З W° mdt ? ’GTCЌЉ№ёK’еЁ›…Њг|*™›явCd KҐЫ @µelПa Ћ~FqЋШцHОСЊЬO^в WуЄ­ъs Quј —ѓ_Ѓ AІ•€нЯКШ·щДYk a—јВр4ОЕ—‘Кй`Ў†?nд `Љ:ЄЙiАљг‹e L: &gt;и^ &lt;ЩvбvkБ‹P —DDя§ W’~Њ ?О? YдH dПмщьqЩ€ ~LЄ’ыЋы Mї™lV~€М­хиg:Ћ6Ёtњj›зфIќ Rl Oќ—°[at“йі XъЌ{їяЭџ»9Р dИe«ю8 €_иXС¤ѕ ]r4 Xvі CјИяЩ‹фЖАђ“З f5явCd ЂGЩ @munП&lt;Вn FYюбћHДxhУ C{я —:Яц\BwLъ»Ѕ 9—БеAлґ J‚qа SГаА\C9‹ BL ‡\&lt; Y»Џ wOШј 4и| C№tA TIЕыЅ 4u 8hDюPаяРНш ;9+яЁЪ­¶дsМ dсД |vMе‘ Kф4 CД BҐg @бЎдRu:„H \о X[тїмжM‰ ^ђjт5є Pфз}GЕњ :@GЉ:NЩЭџы¶ зяэ 63oйф ]i№ ‰IЈтАb] Z8 Q¤…Љ}‡wњ‚{ ѓAcBѓГCЧњ›ПявCdеtЪ @™9hz&lt;ГL EСОЬю LE@ї— ?8Щъ™_уUfn;х’‰Пы]§TwкѕЇЩкmґc„Бпgw c‰4ЄѕEЦCyKйЬ¶­xь°Жў}ТЉ…~®UJ_*яся3 cЧ 9?*яыъ”† bїдr Ћ…IWt tN¦ ;Fр€хю;4Љ› ЏdКцu [іэ L‰sйъњ MГє =™‘[ЦGТдІџdяQMW `•иРМ†К T7®г…OфпкGяхїпйШ I«›BA xez TНЈЕ ‡MЌ•T Yt CG ]ж LDX†e–™љявCd :DЬ @ЙYl c¦X Fr QЭ– CД\›Ћт E¦\·ђ8z Nф=§‚a =X·№*‡„A· IЛP P8ВЉ tђ`Л H}V№K*ёЧшЏО\·Л\d MягkҐa°m›уюїЗ®ЖЩЏтч*яІзtЪµ·СЅхMй  Fµ®9 ‹\EБ^оyrШ XЙ€‹| D3 ^ъ \ї 8GўюrІ™йFРHOENЖT{хoт=[Uњмбо¦‚IЋU SЏц;ящ \†м№ hZu–¤Eм¤дЊz† [В ITYе O‡ЗЈlV –@q€« —&lt;ФявCduќЪ @ҐUh{=€!G 5:ШцHДxЉ [„ EЪ bU^іCҐПљД DтХҐЋs CvFєmVМДCхХ =¬кОD•Г P”Ґ}\tп©HЈ Dj 9к CWД Ik5S‰ЙьУ &lt;C›яvёї*яуХ?’®Є«Ыr¬э*RЉ Q–dём ”^3·@ё©gдf™YМFG† O¦ “^ U§ъ KU3Њ„er±Њ‚—›т DЬЃO Љrj@Рь mS°ЧтўїяvяЁZiЮf¤Љн· WЊ ;D v?bHOАш” VЎаЯєо TН tЊQK l`явCd &lt;ЄЦ s4ujП= 5&gt; Fт 9дц L„Ћi 8Ћсв Z–—џO‰щУf·Ќ‚Ђ ?|ЙhУ LPШјmЭ™лнџ’Йн›ЭE LњЫ­?9C AЩ Mц kcїfиXM TBОГ ]~4Е©€И‚ 9B U=яСяэq i5яў GЦУ eЄ Њ&lt;k—dпXN|Vt§ GіAaБ:|~: JыR eS K–g ]оХё m\¦ IOы]єЎмї© R¶ѕmХС Gз \&lt;бЏЙыiї*яюн d_D 9я 4_ҐKѕI X¤ ogЉZЊиiЈcWV JzґВysЊ9 &gt;явCd¶ІШ @ЕuhП&lt;ЕЉ FВ aМОHДєn BWRЁCоІ Rж¬мЦrТзҐиЛ№s 6ЖVfЦ!JDwr H;FЪv&gt;й6ВКKюЖE9ЪgщяoяШ„XЁ·¤ ”PЭЦ ;вT ;EV –‚TYПщ nRхlWx 6іЌ® ?ИpS nJlОjR ^ў X— e№ _еХ\d ?R‰Н }Ђ€Cѓ›ФУТ A@ CyЈ ‹64 Њ@bwюіл4мjЄ’ы Fя¬AячeҐ?ЅчS‘ZMёд HЂ 9:5b hSџ ”FKW« ^в»”Мпљх™цѕbж{явCdу 5Ф ?С TjП= ЊЋyL:ИМ cЕ =={ЫIВ UЕцV Vzд¬ДМЗЉ–МT Xќз ”43 Vчdm _&lt;н’й шд &lt;MЛ SЭян;ьтМ{ЅјGН&gt;ЮЈДВj Њ_FЎ ;gFцтюsџ ЊvrIw+яЦ E•ХшЪ»н•Xv 7V adpTvo§Г Tс WfбG Љ7рл JuЩR–N‹Wу @§ 8В GXћ~ UЇ‘ C“Ј›?У cЯя¬ –vIЯТs D·Bъ?фЯ|ЄЋ NлЙj*я :ЁІ‘Б n9Ґ O№кЇYс¤µZ–ќявCdїУЫ A]uf cЕЋ z&lt;ЉС–a†p‘cЏ7cd=оc› |„]„bгLu5 ?8ZоG‘s E‘C :Ћ X[бЩiј“ТаRJu AўNcчF K:R EЅSя8ЖAѓ’^љкRP{©Ь\шЙ+яеїя¦Ж Pґ9тМФ €X”Ћ ’€E…М [l@Њ!][ЋV•ћ nd іђѕrЋ@БУя•LЈяBlS;LНE–*БяэGЖћ ”Aє ZџЧ+яь–Д PюHвЮHОЃЛm¶Э·ыЂИ: TNїжлЈAtpPY X5g V¬ RiявCd&gt;9Т @}khz=€ lEq†ЬцHДv»ЙJК¤ @gЮыя Џ]»њ&lt;г}&lt;=М Cc^4д „BК5 6ТeoЙ ^9sхяш\Уe AOv ‰BЮЕозаЖж IЂ gk‚4д&gt; 5вЉtR:Ѕ:їя± Hх &lt;i &lt;‘ ђ5єћѕ WЖhcI[uеLу‹АЎЭ =иУ3Ж¬€i‰оwFqA 8цч_фd |cA YщOлlЖw®§OяЈъ9Jј LQNх 5rў; MА@№Єї*яЦw€їµ}4‚ыW@O= W“ЏX l6*ЈК Lм­Fхз”Щr bявCdБ EЦ @•au •cВ~ Fт:ИМ`Д’ SҐ\хT:§ь„xqҐ 7ўЗ 6bKZ·•’ Ui MЉѓ aAJЬOЬ…lc bQ Љj&lt;Щ leе ЋDГСюYОBѓ IЋexeyвГЕСя·яОКЭј cО‚я¤DzШ&gt;v‚ 9ќ Ќ4еВ &lt;оvоа“ЌЂ VаЕІsQХ] ycNЊ®DэХИСb~—ћ…nчЮ AяцNЮv ?;Ѓ 5¬Aв“c Sz IT YGя D;*яьў—Ф@R®љcРм ZГЏBЌ@кРk&gt;gp§ЗьУk &gt;еµzЪПясявCd‡ 9У ?ekdj —5l“т 9РОI„R m7г3{k Џ;Ќрт‚ EЫЕUњМДж§–ЫMФ &gt;и 7Z dИҐ 7ъ:ЭКSFAYМк ‚ ‘L‘їBяюЛSщ _l J*яэ AіjДYЄяд{± G‰€ @›©@Љ† &lt;¦Ю=J mЋ”ЊXЃАШ5 VйBвєщК ’7K \Аn©я§L D’–·бнFЧ \эЖ LХћGж JНБС OYG _с \ФВ@w O– 4`опf?я*РВяс;ІпЂ Y®›CА –8Фt Z°РG 7eCҐ‹ЊКМ®XИявAd VЦЪ ?iuf{&lt;В^ JJ AХ–HДјbчЈ*E€упў UM¬qMxБ Q[e5xSТЖ]c C&lt; J&lt; bcRЕЦ8«зУйбя‚ќGј nBяыЯЅЌ—ec©_дbO6]ЗхД Pег Oч‡ Gм+ящєхЏ Tn™№ VrыY8ЙpK7О`Ё™Ц‘°йд^Х pvWѓЈ» `Я¤рЩ HЖ 7jЋ&gt;ТЉ?ѓ O5ѓWб 8Lњ 3W—‚ `Ыд ?… ndќБn dD O“ arеr Rї &gt;їе™япoR›ш `ГюСYѕ›wUvЪаAџXіявCd±Т @a7d{=€ lIYІХћ`†Фі?џГS }_КўvЄ uЂWљП XЩ† I| Tb N№к]Ц&gt;~ 9ѕќФ BD–cжТ x\ЩГAАhлUС&gt;ЅlљНwt 9мџ;|Ё GR RA —&gt;y K`NАьл I~№ C»ш Aїд;їPcеЕXM ^IЙ W–Э• \›_Аk–XzЙуTШПTеX M‰ЎЪйЬ…gоиykяў Ey•N†e {^шЉЋЅUXPc M„G«• OЄєC pWУ IмЩќ} &gt;и¬Ћ [Q Aъ‹ L‘ДзЙ­8ГЉ9iявCdљyЗ @M Bf{a 5^ MZBЩћaЉ| аЃЯwЖS=uѕСЁЇh ]®Ы7iJo„6RhЦO UЃ±`Њ gP‰*ЗэЫДнђEЁj bаОжЋ©ШP©4ъHЇ™ћ*bбЖ¬pє‘ёФ¶–Рc…ђ”B O[*дјх O®из EЯю Y}±Нт_мюпЏЧSѕбМ‹Эт[нй@ V¬ ЃVІыЛЏZ :Ё№жh: L‚[Ж&gt;kгz †cг?W 9†nKh T¶ ^УытhнтOя}ЃХ‹fќїфЅ _ы]TґXj€ v]4‘cїэпrявCdТВ­ &gt;Ќ \j{&lt;Е ’HRєЭ–`DМу?і¬И ;jйёЬ“|‹ЂF:B 8T^ \}ю‹ѓ®щ ^XйЃ 4—іyфЎ КGj @еЬ]э LќПМtбё®ъoОМюЛgДНF VШc„ E5ЉTУц7ћF4Яќl­э;‚oЪп[ …I»ИNTЈ ^хЮдЪ\6 &gt;L :Њ H‚№ҐШ Жs„Т Виj™¶e Z§ЩЧР9¤ц74­иOТўяШЭjЋ‰ы?я…еТь P?Й…\d@ _с HФ­9 `€Цп°ЊHЩ?ЬґдЧ 8™®ЬявCdЂсµ &gt;}unП cb^ {Ђ5Э–xДњnXцr PкИЉеыAj “8CБhЃѓ‹ўL [] dФ­&gt;ъИ°лФБНт dЭ4Щ nEЌ U†*{СЌд«ЪЃ tKЋEя©кґ™цzЈ R} 8й«С BU{hЖS·дЧё5 Zх~Юсми¶Ю ‰?mSmТ ~„5О‚A№ _B ЋdCе sHgR±4Йу®Ф№љїЭa щя 6L» ©эG•яМ›¶ d| 4ќ E¤јV‡щџяЈЧЙ?ю¬ Oє &gt;цз ZрМєq CЫ †OІх© ‚G±¬сmAї{явCd‘°ѕ rTuh{&lt;b&gt; ]ТМЦBF ?№ўмЯФ 55@Ъ«nG W•ЎўAЕ‘А™р]ѓ :М \Њтgїu Y6B;_?щКG»Л8љtљ=qфхЩ€3; Љ8J ipM‹РщфМ QЕюc zJьЈК— xOPњ ЊO‰›PтVЅ’‹fО a=*ЧЦU:rt»[3 FН№ X·5Ш HBTAђ kNqkЭC}Yи§кp§ъТљH…Sєў eЯ@_ЪЙю€ЋЬЏПBLйЄ™^‰э K;®Ъ6Б:іўЁz9њФ@a Xй Wж{ ]ЖЌ9 bђявCdмыІ &gt;фУl WГ&gt; IВцЭћa„ _ЙҐњhЄvtЭ[F”њqЙ X—аЏ 7TфРRЕЩ \7оFфrфж‡EЅsЮиr3\ taF[ &gt;Вg ‚8{ B‚ Zљ Ћ=9аГ” wЋU&gt;•„ :&gt;¦ЮЈ« 6Ђнmk n9ўy wEИ R\ _C9ФгќКu“ Rсmз ЋL„вrIm¶ 8•B{нn„f_ѓ8¤иВ6O©№U =¦4yK&lt;ъ3и±зп bІЎмМ QФ“ФџvbђДoC c‡«TнbяёАЩ 9iРЦ–eO cЗ m8љ‡±yявCd—ы± &gt;АwnЯ WeF IкЋбѕ 3Д ‚Dd· u^‘кOV Djє7 Wђ^ VT FЊШ e‚B }_¦¤ѓѕ5яЊ]С©ЩMп‘фх TЄ€ S‚6…yњќC~ Dњ&lt;€Ґяx} XГљѓЄ|rд;ЖlУ&gt;КLЕ|¶ЯC ^ys{ 9fўйЅфWO+яЦ @^ЬrIk9ќТя§ђ~І™– AнЗ† &lt;Цтќ7cэ\ Hi—рУуn D°ќФK» Jатk› zZёpM~WвкчQГЌ 3“ IwµК PSJєэ \8[U† b•[ЃWcА &gt;ь]Ь‘ DявCd}б± qPAlП Wb~ HІ UШю KE¤Єќ№ W’i d6 I«Џ 7Щ­: ElHЁU Џbо &lt;џ«—їє¶ bЃ‡® tGrSsџ•~hЉq i?Нъ ;џ’V3 9л–@ё …CО XЈP uЃ;ЂЇ &gt;QSМњЅ lmЋ3ЋЧ±oХOДd}џЦO {Iўњ’[5џ ^UС :Ь —&lt;yЉv¦Фњ„ :Ё =У ЉF„ D5љsэ Bњбгh9ЬвT®bќз;w8Ц‚ЩџkЈ7уР ‘V№ќи vKд TLdjя l8P] Љ&gt;… = [Я*ъЭfKn[Ъ·iЙявCdH &lt;» &gt;АЛjП cГ z|efЭѕ KD¬ WєAђ‡‹ґG 9гъ°R“ }^»и RSїЦ Њ&lt;K ”ѓ\ИЄ IБИT ‰Cй ^Q =Ѕn·WЗ~]·ЪЋВ 8Р‚’т‰‡3ЯгЋ sJQў ”3‹ =єЧЙВZД S°И N±cЙ ZЛ} &lt;у_uIЛ :ъ© ЉV…Q¶¬Д…љ ?QЌИ]?W4a_ \tѕOs ]®ЉнЛЈ R• S„бМ[—Ох· _[ LС*™nў Vј“ GУ ‰~V:‘y aў _=А­oPЧЋ+яЁ• :л eIЛ 9СИ cЬ[`ћнЄявCdІЏѕ rWпh&lt;В8 FaєФЦ KДћ Ha\fj 3 О ]іУВЌEшќѕUџэЮэµХ Hv OM™Ц†} ={ c™ ‚lXМИv VНщљЋ’‹ІќИA¬;х ^5 ;t°ў cБ LМЪ‹ю¬^sw«»МЯю3явЖіЯЛd^Х W… F› Gp 6‰»f[ •X:L¤ N•ЫїД G№”ќH TД4^ф{9A•ћњ FЩWЈҐ`Л j5`Ї cэLZ7WdђhQэРZv¬’|ЉЙ+яЪ XўфеІЫv Q aBJUSF {Jкё± QВXявCdЧ PЙ ?йsdk= ‹•Eт UМ6 KE Yqk Z»±P•Lгйђ…ђЋЮОЫ\шwB¦PЙЯц¤ъ‚9 QШ HлФ Cd3 HВ™ъµ 89QРз CR Lяхє€ЄLa9ИRб•КЮt}@VО E;9ДuЈф–НvЪР5UчєpTкЁЭQu ^Љщ¤Ёљ8yЦ‰?џія›I`уBІR OОеs9Ю¦ xXHжAXV« o;\ &gt;©@ H …Ps:іъњ E› :XMлx· ‹Uk·[ю©T”›’I `Ђ= 7° 7™Ѓн DСs Ei Sі `‰®явCdgґР rX7hЯ&lt;В^ HZ AХѕA„|Zѕ S”6‹ Xd ”[ёь JЙ LґHP:C cўПA YТЊ •;АViГE j5C 5фЊР eщ TвІ&gt;чoj PТ IҐЭ+я UjU7цЌB–:њ‚ш Dж CК {JЙФяT] H«ч W’@ AgJГyEЂ•}й GяIьD–ђ·“кН †CП›Я b{oл cЧщ?уA“t ѓ\~Qѓ oNWзgd aCА|rЯF ZхяЫ 3“‚щ :ч{ 8‘л~*ѕВч O’Ыn = o[г _вn ^ќb©]AЄviXЇявCdЌїУ @9 VbЯ&lt;ИN Fт QЕћ c‡€mE„ _I› [Nfж 7Kџ{ётc№°D–™©C K@д9r‚erОbhЃДЭ“[|j G®яЎ€Яl YfsѓХяюНг C3 RеWОѕ Lg›ФGпябЃ]7 X–Ыh F¬L9ВО &gt;WСЂBоOv[ O[*ж¬¶ў ^т*ы· cД €„—Uvm¤ЈЉy CXH&gt;8‰ PЌ …]с CЊч™ДgФ{ SЇдy eСEв &lt;tc“ЇWяuYю{qЇ»“сце–лnАB; OЕВ eЬ»ЕЩм€ВґBG dявCdm§У ?isdЯ&lt;Вn HтІЙѕAЉбУч¤ Џ:?л A*Id EџЗЉ •9В ”«¦aЯjў\{вЂД cѓЈб“ўпшёiГИ vBЦ ”Kя4iҐЙј 8Ёі…*Й«— ЏM=хѕє XNGm·Z 5ИA°јl`U¶цG7 R¶вMe {I„© XOЌэЇ} S› JшчЩ UЋ PЅ zP†Я ~X•q·qш•8J AL</t>
  </si>
  <si>
    <t>RI*F|5!3WAVEJUNK O)3)3)3 3fmt †C"3 gfg3@ R!3Ђ&gt;!3 hfv3data †b!3љяъьЙъtь·эЛюGьDш9шсыk f`юqшqц PщиэфюзъќчYъZэныяъwъ®шѓщ?ьщэ‘ьРш 6ч Jъs 4ъ 3къµы… 5{ 8№ 3|э—яt j‹9Ѓ iIя igѓ7U 6€ 4L 7Ѓ 6; gЊlЋ&lt;f 8_ iw8“ 8‘ :x = ;Ю fЃ3Ў 8f =Ф 8^ю 8юЭ 3c 9Э 6rэАюяэШюая †7ъ 4Єшqы© 7ѓ :ј 3¶ъ MэЫяњ 8Щ lg3®ы &lt;ыд 3И 8H 5оы=щ r7~ n’5єюХ 3^ 5Є j“?a =®яDюd 8‡ ph9aюїь 5я ‹6В jv4Шш^щ z4З 9B 7Ыщ Jы 4я ~4[ 5ђя eщ…ф®ы Pэ ч ^щьщ«цaт9хщюЫщWсѕс„эґ 4aщЗцшчґцЗц®я ‚6°щ OцЎъ= 3„ъ»цаьb 4щ 8M kw6Qя†юqюL 65 C— Ba 3hщ§ь~ 7j ?Щ ?х 3пъ‘я€ 6^ h[э &lt;ыsф›хЭ 4Жш 3кQи UуќчжтјтЖп—л `й@нжы8ьqчШфоЭпРъ4 shBr hAъQ gyqh~‚’xJ^ъТ l|Xа Zл LC G[ ;w 8Џ =} U@ Vѕ 6№р €;8 T8 kOф SщХ BDълуБя :уjпyжы 3ЃяЃнЉдmе ]т Vч aь eхЩквсгд ik—@ЈшйъTцф :® &lt;x Iў neюЪ €“D 8• ;’ ~’Љ93 Hґ CU OD Im C¬ Iѓ Cљ Yd;Я „w@f ipTw6З6; ]Ѕ LГ Z? ѓђ€aV ЌxU‰ eЌ5g ~hvgTё3п ”yJВ In Zа Yщ CC ?Z @† Pm }h7їъf 4В oЂjf6вх§о•о™чЦ =Дщ]а Gа…пҐъэпЊгpг Qс–ф ^о№п Yисж4рьяNъ `оEрЏоїр‰ыГш™щёфЯяИцsс eп\ь‡ 7ш 8^ц 4с Gо @цршЪщПуNъЩх{суп*м _м»чА ;„ы &lt;п CйgпaуТсC 7aьеп 7зБйiшёшiьЭс‹ч €7уф eхeфMэC 3l 6чщйр &gt;рЌт Lь &gt;ыНх `р\пнъ^эВяwф 7с¦ш| 8П :4юИпЈуOщЩюшьн*юш¦ф7у5 5S 9Ищ Nы6 @F @v g[уш 7ъ A’ Pш @©с Eхц n}CЂ &lt;Џ =Ээ&gt;с‹ &gt;У E¶ 4Гн m8Њ O— 9t 9ф¦х v5” Kя Gщ 7” 7•рѓчЄ M4 W‹ Gющ±шѕю› QM Z‹ }Ѓ;€ =Й Bг @I O€ woiBФ NВ P‹ p‚3Д &lt;ю SЧ Y· Kй &lt;^ :х Hб xѓD[ ux&gt;w Iv 5ѓыѕ 4Тэ&gt;щМ ;4 @nрѓб ;х &gt;яОьЗ 6_нЇпj 9{ Jй E@у«щ…юЄ DЄ BНмв 5ґ 3h =¦я bч Hк Rо– zj;рц SгGр‘т№ює &lt;АъRм YШ Hг ‘mЂBу 8BЪ†У _Ьjхµ 8vюкЮ­К OаKфІч Mъ DлyЬ]зEяих€н¶ч |8АошањЯЃьd 6z 4Oк 8к 9гfн`ьr Rј &gt;©иЂді 4R 9е &lt;= 86 D“ы ;у6и {sx|wC¤юX kp3d Bl h‘=h m{w[щ&lt;х§э ‘6U 5A j`тЛл„лфюJ 5S =nьстИрNшcь ‡:j 5ря“э …5зх7пцт ]ь; &gt;є AЬцГк:о 5э© 8Y Fw Aщфэф­ъЂ =а H» {†EЦ m8щWча &lt;Ы Xт PЋ ?ѓх :о‹ 3Љ G§ RЫ IП 5ЌьФсНьЭ j‡Kм CJьђо®эГ 8А ig9x RЕ I[ :hы f9X 8M &lt; AЕ MЩ 3Щд¶л9 m|A:эхшИ 8№ 4Въ i7ч zlrAь‹ 7Ќ p}Ky ln‰8Є &lt;Ю &gt;xцгсҐ Dv cT ^Qр[Ш«шИ @ѕ I= s€R9 iOиЩв Lьї fl?™ Cy Lb gHс±ц| wЌJ| Aя E5 GНщЁсЛоўш Tэj ?шы RйPп i8kоКТ Aе ‹FQ Nv 4Bе 6йҐкТд Ћ6T ЋpBнЪ*Т XдКуЇхЖц eяјщЉаоЛКм¤ =; DO 64 :щм•кJъ‚ Ox MҐ G!5ћоHь‡ ;ф g…=6 ЋЉRсолX Dд “uZы 8ћы r=R mOщ6 8У L_ &gt;До•цґхЬ 4„ ?r Ga ?’ 98тAЧїнg RЏ J¬и–НРЫ^и Aх_ф Zмлж 9иmйџпЪумріъy iLюЧпПпJч „;€ ?`э;п s4ь &gt;Ј &lt;Q 4`ядщнщK 44 ?n Aї 6Kь r4«э eэы ?p ‚„{~&gt;йэLфђ kwPF I• ;‚ 4Kюkщ l6ї &gt;“ 6\ц Pъ „4іюьоЫпўшX :¤ 3яшДцЈ 6ѓэЬ 8р :_ ;ЦъИы |4G!;я¬шЕр‰ш Xоґоb 9Ф JґщьЬ—й Ђ?| qlAХ 4ќ l–;Vэ‹пє &gt;Т M« JT 78 4sуqяе ?  QЮ E¦ ;cпЯс‹ъм jq:m 7gоKЬ6и[яК ig&gt;U 4„пњз Oъ –9T I­ CЖ 6?бЄХOбЕ r’Ђ~JeоыСRЛ–уM Qч [Ј G}н7УIт €[· YБщЃ 7Р Bщ ;д 37 Dq Hy NЙ jaъ} |`:Ю PHь {9m t‘8ф Cф Uґ =3иИп †qi&gt;Ы l&gt;Ю Ck D«ы&lt;к ѓDб Qв 6Ат ;ыцоYх{ msKюы~с Џ8й Nъ g=Э _г ‹R‚ WФшже6ю&gt;секM @­4 wT«г©ХФ 5€4Y \i 4pм’я‹ uѓCЖ KW 8~пэд jrЉ„rMwнѓЫцж {CN [» K»ъЈеhвтпџ &lt;9 p–mMф BжПЪґЯхщ cюп 3sг CбЙжстКочпжсИшtн 8ыl*рмЖсj @r &gt;›ф—гЮгЎфF 3SяU CХыљЭqР3ьi Ѓ”w6ш‡оѓоифbщВ 7Ѕ 5Ќ 5zуНнЙхҐъ„юцю:юмщ_тєщћ 7ѕ 6d 4Њы dыїя§ 5…!: oz4утђфЋ 3Ы 5| :~ AЩ 6±н[кџ m{Vv {;ы [оEъ· ;Џ Ao &lt;= 5Ґяgы·щhы~ lz=С 6¤щfыAэЃъ Rъn 5г &lt;p CёяЂй“тъ &gt;Ў sy8љ EЋ p\пnид 4‡ Q!UЂ &lt;_цяхXю3ыB =й P¤ :ґф \мэсбю’ usNЭ A§ 7—у™ 5a IХ J; :М 83 7›л™фЌ 4‚ьhъ s5Їц JзEиQь ‘yЉ{Vя _жЉкДцІф\ C6 EЋ :sо 9ЯҐмЏтsцЬ ;N BД*сжnз 3хѕс^ Sш Zr :ЏЦ7Щ —4Н D` Bќ Cv &gt;‚зaЮІсл zrђ~CKе CЯЙт ^кзчЋ „ЏN8л MЛлЗOш‹ ^Ь yHжTм»фQгrю ђYф :xкNэу 8фщ†шм =IьєуlтiцСтжсЙш zNm …[у§У®х Ќ†‰BІ =ґ Di CSдеШµ 4Е Zz PtцХи eщ¬хЈщo x}R™ =ры·ю`ьБъЂ A¶ „ѓKіюPаАШ_ч ‘Pс †:ьюШcо” y–RЗ =yшGчй Cу t9@ =уKпгрцшl 7њ Hc ?— gr&lt;b 9¦эз lЃ3PшЋя] 8№я&lt; n‡qDьѕь ‰mFяЕ sЌKЮя Pйръ¦ @m 6Х hf8ђчѓпbы‹ @B Bx 9ЙьѓхEнpть g–Pћ tEт‡люшЏэИ gy?® BQюИф Iщвчr 3х niG4ыjл JчБ ;– 8яь€ BО Hgю¦к ?ы` Fґ N° ?” 6QшршaчB h|MВ ‚–p@щ±т \мЮ o‚aж SљхЙдRсЊь§ Bd Gu 5йэцфбетп •&gt;P CGщ сђы Xр Jфб f‰Jo 8Кьчц @т№р5ю q?o =Ешaм \щ\ 6} 6Iьh 8Ъ sЏl;щЃу {pЉ=ђш ;ю_ @H 5щоґуЧ Cй zЌ=^фiч‚ :в 4T 9БяfзQтy GЈ k^УиШЃ kpwf8ѓы }3° 5вш¦оФ 8} B_ sYпАлзхф 8Ш o~7 лЕиA 6} uЊA‰рU 3;ю‹ nVцњы[ 5J GA ? п OЭефR KH „~Q4яdи \вў Df&lt;н4съ€ВьТ¤ 77 X’ XЛ GкжиЙ Eвr }f‰Ќ\Х GгФЭЪMшы …ЌUd S€эPдПи®эb F4 JЃ 6@нnцЭю~сцх “E¶ bv FyвМвKц‰ Rr „‚q‘6j 5тсмь tTО&lt;Є =ЂгУуЙ Iu O№ 3Ђ*сш7шmтt :k ?X @ЗфCр =ц 4щCьщ &gt;Ћ &gt;ћйчЭ§пM sqCј Bјэ€рHмzъј Ba NJя»й &gt;м 8эе 8&gt; 6З C{ 8•у Yуr 5A GP FЕ HТ v]щ eп ]юt Dє GV jAшnф€рыжящ ЌI5 GvцЙж QуЂ ;@ Ec 8qщ Aшrр=пвяѕ ;x ?у 6Ъу\дМф] @‚ Mo FSя”лЌк}ъy &lt;П JИ =?щ™п=чся° &lt;њ ?Z @‘ 5Пыќц\ 3!Eз oЏ4‚ 5e 3qц§ь ‘4Хътч“ hj6qъМчЈтЁящ ;?ыZъ· 3Ъы &gt;рЊч®ъ9ц‡ьі &lt;E 3lш6щdэ Њ&gt;{ =Ъ l“&lt;ў 4Фи 6г^ 9a V¤ BC fYщ5*ш 9= @Щ N&lt; ZЕ CыъМдЅрw :ж LЉ `A F§и^е­ 3… Hќ w{D† 9ЙфSхПгZм ‹6э 8p 4ЏхДс TдWшz Br ov8Г l_щ cхQэ’ч&lt;щЄ &gt;ј 3ыдvу№с Pщn Ek IЫ Gm Vo ;8цЈ GM cЌ …Zш`пn &gt;‡ 5ЅйЇуВь kGа =ћт›п©о w8Ї yh7@хжаЯзtъNрЎ 3§ &lt;Oу¬цЊчэиБц— Њ@\бъЫЮзµы~яЊзґп” IЏщAвУ x{Oярyз ЋUE=J &lt;рЮzЦ3 7Њ KW &gt;› F¬ RXщ dЩ &gt;я ”bЌ €’f’Bр RущIЮ·кЋ qЉQЎ 7Iь} r^э§гљщю DЊ Lg D• t9р ?аПйЄш_ CМ APк¶т5 mђ9·йГч3 Hv O” T` fAнЧьd pPтжЅ ?І DжэЙ 9Mпмс„ ;„ |}X“ N7 l&lt;злс^ 6=юи 7—шмь =эфй Dяw Bk sf8L 4qчРнҐяАыЕ g5х·нОуVю~ 98цБсІ iw&lt;©щBэ¶ iq4mшёр 6що 7Ј 4_ф9ъЄ Am hdеЉр“ =л Bш A4 ;oъMр@тoч3 xjLsяcт ;узч IьY =: }ѓDа =°у NмшьЏ 4Л &lt;‰ K!;МзUиўы  g‰AГ oy3” 9HцaиЖч¶ @ rMюCщЯр3рЗхp 3k 5О 7|юВыГ 8I rѓ3•щЕюQ 6€яц 9№ gAъ5щ ^фЇя ~&lt;т pv9m yЊBUтpу‘юx 6ц 9ф 5•шPэkю„шыэ r|“Db 9Z kNщѕм°л: lЉD— 4ин§р] 5] 6S 3Ш 45 =™ @sю =чШю3шлэч &gt;ѕ DЬ =ђыµщFьY 5… 8Л 6Х E: Ddш]э 9c Ml Rё &lt;пу:шF ;9 8Ѕ 7Ґ r‚3рс &gt;с•я` &lt;Ц Go RР @4ю \ш Zи8кп 6O 7Юцр 4R ;ЩмўШћлК &gt;И63 TDлшЪUб: 8T EЊ EaцОкE 9P 7CхћсРч ђ@b @‡ n&gt;чкм—тАцТя±я!8 Iс‹пШхМмюблм® Hщ BЋ &gt;л 6“сGхnыGш &lt;ьЇ KЈ Fhо9убу№у q9y Jѕ Pы EыуЏнп CG xVдТдz 6э Jn 6hшМы!:• 3zхћ 8pь n7ђ p’5лщТдд \щ8 Bв yn?d FyщгЯz &lt;Л XХ FА 8ТэИэ sk{8LцҐьS :_ ?џ rђk5чБ :u }„&lt;л 3^ p—7л 3§ =Ш ;¬ы [оeх[ A6 Ar &lt;cя DяЋъSл ?ял …†HfчНк[цщм;оW Et PЖ 6¤с_у›ъLя: &gt;Э H{ j\с—хm ;n ;Iщ YчH 4v 6Ы 3тьЧ 5ґ 3Іф?ь8 4¬ыPюіящю· jg:¶чЇп Fш —7A @U &lt;ЏыcщТт aпЖюv B† 6Нх 4щ cт3рjь ”76 :Р &lt;фэъх9эt fTщМ 6± &gt;ґэјшЇюRь±ыЏ =Ђ mAу …3б &gt;Њ :O 8g 6Mц°ф[ 5C 7ї 7P &lt;§ыsч Nя? 4М 9Ѓ Eэ ?®щЕф@юП 4Јь 3ьц =R BКьеч Tэп 8N @Ѓ F“ Dдюмь Yэ Oьu ;? 94э5 6j 9BфiшЋ &gt;m :\ fn&lt;ч hHнґы° &lt;| &lt;u A‡ 7Iъ№щЭюfхњ 7K KО 7П f—:_ъ ;у· &gt;» Vw =uч Eч;эuхfищы4 J’ L®эёцYсвтµ 7м &gt;Ч Cх q8уeпhфtк \уЭ Cж Esфpф· 8Нд TЪлюн &gt;Y FЙ 9•кЉлГ i~gMы= P» qQЦPеЋ &gt;? 3ЯнМф»ьJ ?j 8шкW 4» …|f&lt;зvфsсJмК 6ш Eю ?Дъ°м Bы &lt;юaэ ЊKl NІ &lt;­ч Lэ 4ц°зн 3» Fл NЦ ;Кз›Э Mе MьҐ Iљ&lt;Ћ [швјЮ;п Vэб …`4в 7 зѓьЛЮ‡УFыњ LЇ R6 Mц =&gt;Э]Э5ьc DШ5а \ЬмfЦAзфъM 8щ FЉ DO =е =9шЗсO lЉ74 3© k„49щЏч=шЄфw &lt;„ k^ф ‹mЉDЂ &gt;Оэ :у FпGл&lt;ф Gъ zu|FWм™Й 3кЇ E° 5ћьY A&gt; 8§р cпчнFтъ rЉ…Aтэ„рBбGж cяЅ q‡Jў ?ћьљчpрrиътг Bl D_ j[яЎф `п ^уІ 4{ E— QЛ z„jTюЫфBн6шЄ :Ц ?… ;¶э Sч ;ш…ш ѓ3с &gt;и C­ tp8‘щ”х ;чйяX &lt;к ?† &gt;Љ j†4†эє 3l 9† :Э nj9e feяЗ 3хяјюЁ 4– n†&lt;i 9t iЋ8Ц h7ъN fЃ?ю 6EяХ jz9C 3эщ @щEъ3 5d rђGj K™ 9kмiнk ftEY |y?ЦэЛщющ\мПмЭ :} I? {pAАщ[гЮеЬэ† E· KЯ DмрСеGт Vх¤х –fh&gt;ќ Am ;c 7сф@пeп `хК IЖ ‚6я ;лДЬ@д&lt;ь{ 9» @Л AУ mcч Eт9ыапqм€ :Љ B] lU*яиxдaц aяЩ 5Й &gt;§ Aљя’у Fсїн =ыL As ?n Hp AЈи dе {8х Bf 6ш 7я oSэЁч bхјяъ ?Ё m4ьm ?Ё Hк 4ьц— oЉ@а!5щІш Њ5S 5ьч» 7е Cь hbу CюR ~ѓAЩюж 7ў &gt;Dяр’тx &lt;P &lt;D ?v Ij iEь5 7ря? 5j JZ \z :кЪ bо” 5U Cь!B 4Ю :о j5с‘ 4m Td IрпЄю vNсйз eщџцк hЏuMщZтЧ 6йх _ы ЊPС D‚т‹щяpфпсK =Z &gt;g 5ЮчФн Aк_х VъЦ &lt;» 9бтвс&gt;э Cь Xч Bюэ &lt;є 9Wэвь Oъош™шГюй hFяљьЖэ YчЕшT 3Л 3‚ь‚ fr6я 3… 8Х 6Јьї 4‰ 8Vч¤ф{ 6] o8эћшўя  4: 5х lЂ8К 5я 8П 8\юЇщ…ьI 3Ќ 3Я 3° 8O ;М 9“ 5Ь 3ш 9ќ =ЧяDу Dъ^ 7Й 4Eы7эиэ5ъ Pяf quC€ ?эыjођуLы PэZ 5ґ or5Pы|ъїъ^ 5љ 8є 5О ;ж ?Є 5Їхѓьm hTшE 3\ ?M 7гыѓъХф@хЬшhчWьT lwsn9† 4’э ]уqф*ъєя€ 9~ p’3Gпцн’ц°яЂ 6° :І rmkZу&lt;кpуXчѕу NюР u‘E6юес 6ы№ 5љ 5м iЉ&gt;Д :жэkумц} 9Љ =ќэҐъ mq„@;ь;эт 6ишщу ?юч 7j 8гюэў g_ъTшл 5С ?&gt; 5Uуј 4љ @: h`ьrю@ 8¶юУс¤эL DУ 6}з~чe F] ;B 7Ј CW ?МюЬы!5ь 5П 3ґщdхи ;; pCш¦ 5д j]у ?ч‡ 4Xэ FхNюЧ 7єыЬщяйВйя ?¶ FJ @с 9ъц dвBХйлRяі @K FЬхШк  4ЙтИо ‡pЊMK D›п MеСр Xс 6ужяр EМ ubъ¶э› 9пыЗщчь­ 7¬ mPш_н Rц Hэ:уръп BА 9ну}эф :CюjьbяФ 4О l&gt;ю›рхяВ v]э…ъЎ Ge DiчТч h:¦ Av @S ;Ч 79я SрCк h6= K|юhчL GЋ B‘пКоd Bi E¦ъЦ 4ы @w 9wп±йкяѓ 9`цінм 5м Ce 4вывы¦фўхѓъВ qЌx‚kFыRфьлЎкЏш= AM H‹ &lt;НъЭоЗрhш~я €AҐ ?¦ 3Эц QлуС ;` Bb 5гш8эњц‡р n4д :b h€5ѕ 9бэєсFчҐь_эм 7с f?щ 8я7ыюсOьц =ч 8Гю ѓ:ц 9±я QэёыL 59 ;J 3&gt;ь• 7 4„ц›эU oЃ8ґ iђ?ы =°юyь§ 7r 8&gt; 5z 5x h‘4Бъ»фэч[ ;Ь Cу 5Eяk 9©эTшЫю t8Љ 3iэр 47ю‹ъ9 6F g6ъRяВ 7Tю­ь h:Фю GчЪ!5эьуѕэЯю –3б 6”ш—тD 9` s‘3P ?; Gйц Dзzяа ?D 7›цJтЉеpжДш bщ f:Ё HПь‘тЫ 6–ш FЪ \о {Ѓ;=рПшвт Vгzс ’8B n}6Йь…ш GцЃфИх©ь— 9; 7Гчяъ ‹5уъ eф ZыЯ ;Ю @Ѕя¬чм 7ё 8”ф&gt;р z9Ц Dиэ·нwы!Aa 9oь^ hђr’&lt;Љш VуЈ 3b 7ЅщЁ 7’ {‡3Чй —jp&lt;?ь~ AС LЏ @ЁщыуZшT 5O CQ E9 Ba &gt;ђчуиЋч; ?Г N? NШ =юцєуµ ghBЦ |}Etы =ујь} 3ря VюЉч Vчї =Ґ |‰4«ъРю{цбцЖяo &gt;о qPш dн¤ю\ &lt;¬ f&lt;хЉщ4 p—9€чЯшAэRр KнП nw~ђ9fьsя&gt;ъ`хХъµ f‘4ѕь{цґчШюфшхтО 3› ?™я~ц q6» j]цKт SюВ ;· 3IуТшq 6Єъ€уд 6  &lt;¬ыЧъѕ iЌ3Dч@щH 7E mSя~ч eщ«ь“чsъљ &lt;= Ax ; f^ыњювы8чЧю{ :› 4юч6я‡ gAуњхs 7ь &lt;m Bџ AЊю :щZюsь Ђhpq~iFэ kmOя ]х aя€ 3“щ ‹5q Ip Im 7:эhъgщ[яј 8¬ s”yh9ярмр khЋ5№ fzF` EЋюЌцAъ Pъуэ4 A{ ?vэ^ 8_ 4­оN 3‚ @GэЏя7 rk9… ho6–цЌыл CЈ j8сQ 5Щ 9Ст Qъ {?р 4юфћ 65 &lt;Сс6л9 hx=a 5Ы 4СюОыаштх»э3 Dd EG g5у ^л8б^тщ t{vglЃ4іхжр’сМш!4ѓ ;Ы Gu ;рчыхНжож!8№ IЮ qv&lt;І m3щVи7пXык ;ы Dѕ 3iыMяGу [ијъЗ BХ CУ CQ BЯ &gt;аь 5м Sуо 6ж &lt;в p€Bб ALщ Gи‡ц †9Њ q–EJ x}lBцЋт@я 4c 9‡ F N„ &gt;Yмhрќ 3iяа ;ї Cю C&lt; ;’утЅ =О Bgш= 6K w9ь?й Nщ… =ж lSюљ 7• v|DG iXщЦ j}oNъQюX oЌ35цhыc 5… fHю ’4« 6Ћ 7тяЧэ l3Шэgъџь§ь;ъЃэg 5Н 3ђщпь Љ5ьэ Lшґюн kЌ3§ш &gt;эХ 4ґщPхяъФ iЌ:z 5€чЭч” 5; 6р 5Й ;й 4–х™ыЧяјшљяш 8«ш 9ц‡ 7Ђ ;3 6М 9? :Љ 3№ 3ђ 4Zэrь}эїчЄшг 7H i^щЃ i}&gt;КюMю? o6йъ@яWя‹ 3’ kw5lь= k†;ёэд 4­ 6Ѓэ x3i 4bы\ 7¶ ?ляЩюt =м ?Y 8:ыJч l4Ф ?5 5SшB mfq4ыш GЋ4К Nат·х fj6щc 6­ oUшt 7Ж ;±нфр }v„GSяВ ;T JйьҐпAш…ых ;m 9ЗиMт ”EЏ &lt;Ар¬ы ЂAXцdШЈнH L№ Gйл„ЭКс &gt;я Mщ Љ6Ы =\щ Bр†н 5ц f&gt;r i^н _м Њ8к ;Уо‡щЂ ;цхЬъ‰ьpсv 6©ьАжQыf Ѓij&gt;Ч:тf Q{яzеќь— ;L 3Ту Tэz VҐ FйЮ№вЬ 3Б g`ч~ 7– Iў lcи¬ЮDшЌ P  DО ?ц B‘щ =к cу”щs jѓ?6 ;&gt; ;H 7nъ®юO 7µ ;y :8 7¶ 6¤юK 6В k&gt;чСь ‘9µч§э k?х 9ю 3„ыЖш»ч Mю© ?щ Aѓ &gt;B 49чЖэ±юОч —5Б mwlAь LуіьS 5бюG 8™ =Ё 8ъяНяоя]ъ]ы©яfэIяюъэ} 6д 4чэ ~3Д 4P 5} 5В 3›ю`ыSь6э Gъню y5љ fm6  5њ 4[ю‘эџяјэгюt 3°ьЉэь 3b 3µюKюжю Jь—ьИ 6i 6Бя6ю›ь aюЃюҐюf iЂ;ю 6ьшJч ;ыsш»я· n“:J 4jэH 4S 7{эiэ ’5› 8&lt; 8® gHю 5э©яІ 4A hqng@–яNукц3ьёщ®ъЋ :¦ C4 :€э t6Ў 8KьАщS 4d 6ця Gы…ъkя` 6ю&lt;юШ =Ј ?и 6дьЈц`х Fчашј 6” &lt;АьЖш4 4® fLэ 6ъУш†ьг 3– 7~ j”lЋf5хЩ 3Я =N 7eяAшѕщ eщ _ушэU &lt;к ;g ;q ;љюxъ sgo5y 4{я @ъqя o8Lьгъ pio:Y 6i lЌE¦ =сюЬ h‚l7хэc 5J B^ 8Дщh k€Cб p5ю6ь‚ n‰&lt;~ 6r ;o =L 6aхУф8 7Џ &lt;д hg5] :и gFы ‡3€ h’4ј 9Ґ =aя9ъ: iFя–о 6сh 3B 8ґ m5fю± 5цш`сЛюs CЏ ;hыµюNэ Tуос OьЗ 6П 5qь«!3 9”я­шЪш¬юЁэoэЩ k€7VькыDьШьы 6Д 9¤ 3KяЁ 5мэячBь s5V 6к hKэДъ· 48 4yч¤щБ 7в i4ъфщ@ 5T 5їьмэ§ 5„ 4]э [эЬыЌъЬя• k:ш 7Є 3жэ;шЛх&gt;юБ 8Ы kЃ6пя aю[ьХъ¦эъ lv?_ lZяzю \ю„ъ ;щг 5µ ;® ;L =G 9выPфЪхdыm 3f &gt;t v‰8XшCп Hр Dяц 7{ 7^ ;о 69цМуря ђ8XэHя· :„ jMы›цєцЯшјч†щ{ 7н &lt;ц 5Гю v3tш†хе 6Ї ;џюЧьЎ 4ЫэGцящ« 8` =ч h”3’ :¬ 9xьГю&gt; o’;№ 4ђ h—4µыЧым g’5ЧьP 7t s‹5;ъq 9ш &gt;¬ :U :t &lt;‚ 5ющЪь _ю&gt;ъb 3ѓ 7„ nm6жшѕ h“&gt;ђ 6Н 55 ;A &lt;&lt; 5Ц j‹7YтЪоЎьѕ :В &gt;Т 8Т 9O 4ътУс[щ €qEЙ 7‰ kЉ4@нймП 5Ч AШюышK 7Rэ‚чn g–4Ч 3¦ ;І nѓ6Ж f@эщчFшXх_у eя© :¬ 5ћы VэбюЧщВъЏ 4А 5Ѕ gЊ4‘ыJц 6ь GюИы8 5^ 5еш9щхыHч|шЖ gSя±яK &gt;_ h7чм 5щ 8Єы 9юs kNя ;хµыЊ 5:яb h–8Л 5» 4¬э”ъеют 95 8Iь: 6J ;h 4Ъя6ю«щЁщ‡ 3j 6ЊяХяХ 3—ю MюЙя‹ 8} qx;4 4}ю Qы™у“уD 33!= 9ј 5Б 7q fPю z7Ї 5ы 3и m‚5ћфыщ ‚5Ґы 4ьg 9` &lt;К 5ё 4^ 3“ъЎяњ hKю –6г!8ьUщy 3тюГцБэX 9Iю«ы ‚4Ўя Rю· f9я dэјяьэч*ц§ъOьуьЙя …:{ ;В 3;ю †3ВьЖьД 3Цяњъ 3чEы” 5в 4ня Ќ:з @S 9;ы =ьEяDь &lt;ыЛ 4Р 7v 5І 8iюaу[ьп f@ь¬яъ 6n 4Nяe 49 4Ѕя ~8џ ;Ѓ 7мыЧш_ 3µ hSуЇрZ 7Г s‰@Т AЦ Dъ :¤у[цL ln7Lэ Bю h‡:J 7лю‰ 4± DД GB &gt;Ј AS :VшТщ= fglѓ;ў 9љ n€9?э _ъb 5Ч &lt;– 4ьфтъ ngPщ‘ь’ =° ;•ю®ю h4ШыYь^ hЋ3cыЙъЎщTыЧ 4kяOш‡ю¦ j&lt;ыЋщ¤ jg5мч] fh:vьRщѕ 4B 3]ъЕюС 3dэ? 4ц 7y 44 iq:U g&lt;юЁя юGэ*ыЕю¦ 7 5yьХьЄ 5Ж 9y ;­ ;х 4ьюЛ 4yь \ш o4Т mpl…lnj]эЋяЫ 5Їь^ 3ќ ;т 36ыО 9… pFыЄшё 9э 9ую r3P 9э nw5жъ3эЌя j3A 7є :T 9яNьКя •4Вю”эыэ cяf 4є 5« 5„ gѓ3і 3АяыьЮя Џ7Й 4”ю€яЫю*ъHь… gs5†яря&gt;я°ькэ@ 34юИь*ю Ђ3ЩюМяL fbяю§ь 6ь “fЂ4юьѓю vi3ЃьtяЃ 3ўэ‡э©ю›э :юєя™яW fu5З 3ќяV 3љяЏэ Wэ±юЊ 3и 4U 4Н 3&lt; 4О 3™яёэ Eю  gu6ў 4сэ Uъ‡эѕ 6ч 9я 9о 6Ыяњэ y3ПяWыМюr 3wьу 4‡ j”3~ i|;§ jeяL gЃ5Ты bюэюaцБшk fq6€ 7Д 8[ 8µя `ыaьнэg 8¤ r‚i`фБх Bю 3ш 5Р 9’ fIы?э‹*ыъЩ 4~ 6Ѕ 4У 7§ 5Wы~ьѓ fNэъЮю q5‘юTъїьxюjь @эТ 3х fЉ47 3ЅыУщ‡ы®щbъbяјюrъEэ|яgьyэ lf_юzэья3эЅъ ;яЬяЈь Њ3Ъяsъ “3Й 6іыHщъэ“ь ^яе :с 7жюE 5“э’чsя –iUяЕяBюЌъ Љf~:О 9w lvkHюЧэг i€4jьЌ 3L g3э‡ю’ 4“ 8‡ ;: 8{ 55 3йя» 3`ьчьO 7a 9? 8х 3ґ 3З 6у!3яG jr7aэ eьo 4Ѕя»ьa 3J 6P 7Ь 7k haязэsь &gt;эW 3ыя dэ[ 3ђ 5€яЂяќ 4уя}юPю юЋ 4€ 6Љ 3Яю “3Мя·яЙ 5• hzfUя Qя¦юкя ]яhю‡ 5§ 7Шю ;ю l7ј hTэУяЙ hUя 3эўяV 3zю OюНюd f‘g\ю Bюр 4Ю 3Oю— 4· 4©ь Jю± 5uяVэ¤ 3ЖяZьDюЌ 3в 3H 5 3iю‰ 4Э 5ВяІяГэBьТяs 4xя:яDялюъэQю¶ 3п 4А 4T 4№ 5Ѕ 3mщ…ыё 4 ьПь ѓkt6gюнэ Sэ Bюй 4= 4}я ‰h‡3Їщ¶ьJя|ъ ”f”;: 5Љэ– 5Ќ g[ыqь@ 4Н 3ия l3S f”4ЩюХэЮ 5Ф 8W 4‘яk 4a 6М 3«эў 3Ї 5O 4Ч 4Щ 4u 3L 4D 7v 8Р 3Ѓ 3j 6@ 3Тя …6^ 5ё 3Ђя q3… 5љя•ь› 3U 7Юя_эщ 6э 8уя[яа ht6Ь 3ньчъtь&lt; fj3Яю z4ї 5І 48 4wяsя “6] h=ь«ым 5дя®шсюв 7ЁяZыеюЙ 6У 4Uюію 4юCю7ю Kяч 3ќю‰ьф+э Cэўэ o3q 4_ 3ї 6i 5АщЬъK 3Юэыћю3юаъ„ьм 4s hs3 э cы Aэ pfJяуя o5­ю 9ы}ь› fЃ7Є 7t f&gt;эTь 8э =э©эe 5` 7d fЌ3р 4n 4Ъ f4Y 5G 4Ёяf f]юOэ; 4g 5{ 4Ц h{5Љя 3Е ht5x f”4Ь 3уяО 4ќ 4ТюХяа 4X fg3Ф 4Є 3уя„ 5г 5¤ 3E 4N h3яЭь wfqh„3jя– 3С 3Ц 3b 5п fWюц 3н 4‚юБя ‰5Їя]ю 3з 3ЇюЅядя§юЃ 4В 3:ьИюњ g[яeю8 gs5R 3T f=я &gt;ы”ыrя­ 4ґ h}53я cь Fьиэoю!4э 6– 3‚ь bюря TюЫэ‹ 3ЦяЩэ |3D 3gэ bю Gя 8яј 4г 5љяaю g5с 4—э’эµюпьsюЖ 4‚ 4? 3† f\яћэЄ 3д 4Пя• 4« 4aэЗэЎ 3_ 3^яо 3ў gp3ия t3шю t4Ђ 5^ fh3° 4X 4nя …3H 4`я Uя– 4Њ 3Сю r3р 3Љ 3® 3ж 3A 3a 34 4х f…fr3xя&lt;ючюО 3l 4ШюmюН 3&gt; 5Є 4© 4q 5· 3ЉюИюnя j4: 5s f”33 4хя‘юL 4з h&gt;юyэє 5л 3Aюн 4Т 5s 34 4L 5цяsяЯ 3Јюћя ђ4Ђэ“ю ~5Дя Љ4© 8ў 7*юѕьыюля¶яn 3џ 44 5Bя}эј 3ЎяFьъ!3 9Щ gVюкяЯя}юЖя ‹4H 3}ячюйю№ю‹ьЃъ8 3‹ 7Ёю &lt;ыY 4J icэПьп 4ќ 3Xь¦э_ 3зяКэаьщюI f&lt;юXэ&lt; fs4ЈяЕюWяT 3Z 4H 4Сядю ‘3\ fЃ3Qяою_ 3b 3Чюeя[ 3№я &gt;я8 fo4Yюўю7 5U 4rюA fsi“4„я‹ 3S 4Ѕ 4: 4­ 3Х 45 3ћэЬэ —3М 4“ 3»яС 3ѕя9яk 4Ё 6K 6Nя Jя‡ 5д 4; 3‚ f‡4т 3pя™я8 4[ 4ф 4: 4gя Ќ3М 3ѕюoя Љ7] iPяЦ 3= fBь§юh 4йю\яЬ 5О 4Їю zf}3§юg 4Ў 4щэ@эШю@яЕюГюEяЛя †4ХяРэ RяT 4Џ 4B 3E 3Ё 3”юЬэ}я°янюpяа 3•я]эВюНяуюфяэ 3I 3«яҐя Oя’юхя­ 3мяҐя `я bюnя j4z 3‚яїя™ящю 3† 4ФяГюРя Џ3я’я ‡3: 3A 3бя¶яV f‚3L 3С fy3ояM 47 4Зяvя7 4Ї 4R 3z 3Љ 3F 3K 3Йя Љ3„ 4€ 3PяЁ 3P 4чяі 3Э 5» gaя ^я Ђ3]я y3‰ hhu3ѕя ?яZю Ќf{5: 4М 37 4UюFьгю 3Р 3Ъ 7Ђ jbюcьСю~юіюќ 4Ћ 5d 4Н 3¦яOюЬюvя x3E 5а!4я cюДэЋю o3EяQяљ 4Ц 4Фя@яЂя VэgьНя† g•5Ѓ 4[юЂэ“яpя Zя 4… 4oюПэqя ]я \юdя •5y 6Њ 4”юеэ™я j3=ябяњ 3–яКюnя† 3§ 3h 3хя† f†5п 4Бя9я^ 3к fDяэюk g{4уюЇя» 4з 3ыэпю •iѓ6Ж 3t 4Ћ 5’юящсь~ 5¶ 4ж g7‚ 5пяљя«ю Mя= 6c k}4mэ IэdьѕяЌ 6П 5= 6_ hIюoюЕ gv3Ќэќ 3U 6Yяµэ }3ШяшяБ 3pюБюL 4ђю Nюк 56 6•юЅэЧядя_юµ 3– 5ѕ 3ю‚ьmьюрюЪ 3в 4Аяfя k3џяwюњюч fh4жю}ю ђ3© 3{юRю¶ 3КяЙюфяkя~эяэ Џ3V 3Ћ 3Ы 34 f†3•яYя Ќ4J 3Wю Tя ѓg{3иэїяэ gt3^я± 3Т f‚fAя l3у 3сяЭяT 3ТяІяБяr 38 4~ 3дяQ 4t 5y 35я „49 g3яZя\ 3VяЎю\ ft5J 4y 3њ 3У"3Жя= 4р 3ЗюЬяh 3 юfя¶ 3= 3· 3ї 4Є 3sя s3 я Vяy 3[ fi3Я 3Мя &gt;ю8ю{я ‘3µ 3• gЃ4QяvюNя“ fђ3¬я Ћ3a 3шя 9я Aя 3&lt;яию ‹4&lt; 4§ю—ю© 3џя Lю‚я ‘3[яO 3® f_ясю я&lt;я\я ‡3Щя·яЂяую“ю R+яЯя3яќяЪяРяёя NяФюВя« 3вяНю]яG 3¤яCя “3Ь 3­яDяЦ 3n gxf}fig~fBяeя i3жяЬя&gt; fЉ4n 4х 3¦яЦ 3О 5j gy3е 3Шяkю XяЮя“яB 3` h†hl3¦яжя ‡3&lt; hfiЂ4gя{ю ;юjютяW 4I 4Ё 3ц 3? fq3§я ”3N 5  hvf?я]я§яЧяЩяfя aяэ fЂfJяt h•5@юЛяТ 3™ю l3Ч 6Ж gdьыь§юUь eюР g‘4н 3{ f4яюжяѕяҐя hf4»+ы3яwю CюZ 3ф gЌ3bюsю@я JяА*ю 3Ј 5G 3kэнэџя jf8яЯя| 3_ 3™я«юjя z3љя 3Љя Bя«яая” 3¤ 3= 3R 3шя ”3]яuю§ 3Г 4ґ 3&lt; 3rя Pя Ћ3  3Уя§ fs5кяAюЉ 4 4eэ‹юљ hЉh–3H 3ЩяmяЊяbя Љ4Г 5? 4зязя–яJя®я· 3€ 4u 4Јя `яе 3мя&gt;яб 4!5 •3i 3C fRя|я[ 3¬яјя7 4R 3–ю яѕ 3’ 3b 4j gh33я Dя ;ячян"3џюљя’ 3‡яdяюяІяГя; f‡3‰яМя t3:ялювя7 3мя№якяТяSяtя l3E f~3уяМяЁя„яuяјяЌ 3’ 3wяgяГ 3в 3Lя 5я6 3Ї f{3Юяl 3” 3Їяtя •3z 3Ўя\яЕ 3И 3;яЃяЌ flfwft4Ѕ 3‹я y3Ѓ 38я Fяa 3Ґ 3f 3q 3a 3q 3‘ fЏfЊ3т 3G 3ѕюWя„ 3фя›я? 3Ѓ 3W ft4g 4ѕ 3х 3Щ 3Rю 8э я ’gvfpfug}3pю]юћя7 fr3А 3Ћ 4ќ f=юфэЋ 3&lt; 3аюѓ fl4рягюeэ~эћюyю Lяl 4  5X 43 3~яXэёэe fЏ3йяh 4c 3]ю 3ю€ю TяH 3 4: 5С 4sяKэЄэъю &gt;я ^*я 3Њ 5B 4„юЃю Ќ3iXML r9!3&lt;?xml Sversion= €—”–€Sencoding= UUTF `8 U?&gt; s=&lt;BWFXML&gt; sp&lt;&lt;BEXT&gt; s=!&lt;&lt;BWF_ORIGINATION_DATE&gt; –d8 `!d “d9&lt; bBWF_ORIGINATION_DATE&gt; s=!&lt;&lt;BWF_ORIGINATION_TIME&gt;!c:54: –e&lt; bBWF_ORIGINATION_TIME&gt; s=!&lt;&lt;BWF_TIME_REFERENCE_HIGH&gt; c&lt; bBWF_TIME_REFERENCE_HIGH&gt; s=!&lt;&lt;BWF_TIME_REFERENCE_LOW&gt; d835 d9&lt; bBWF_TIME_REFERENCE_LOW&gt; s=!&lt;&lt;BWF_UMID&gt;7A8EC*49 —e5 c4D73B7 c5CDC63FDEF4E8&lt; bBWF_UMID&gt; sp&lt;&lt; bBEXT&gt; sp&lt;&lt;PROJECT&gt;Р‘РµР·С‹РјСЏРЅРЅС‹Р№ d&lt; bPROJECT&gt; sp&lt;&lt;SP*ED&gt; s=!&lt;&lt;MASTER_SP*ED&gt;3 –•d&lt; bMASTER_SP*ED&gt; sp&lt;&lt; bSP*ED&gt; sp&lt;&lt;STEINBERG&gt; s=!&lt;&lt;A*TR_LIST&gt; s="&lt;&lt;A*TR&gt; s=#&lt;&lt;NAME&gt;AudioSyncpoint&lt; bNAME&gt; s=#&lt;&lt;TYPE&gt;int&lt; bTYPE&gt; s=#&lt;&lt;VALUE&gt;83&lt; bVALUE&gt; s="&lt;&lt; bA*TR&gt; s="&lt;&lt;A*TR&gt; s=#&lt;&lt;FLAGS&gt; e&lt; bFLAGS&gt; s=#&lt;&lt;NAME&gt;MediaDropFrames&lt; bNAME&gt; s=#&lt;&lt;TYPE&gt;int&lt; bTYPE&gt; s=#&lt;&lt;VALUE&gt; c&lt; bVALUE&gt; s="&lt;&lt; bA*TR&gt; s="&lt;&lt;A*TR&gt; s=#&lt;&lt;FLAGS&gt; e&lt; bFLAGS&gt; s=#&lt;&lt;NAME&gt;MediaDuration&lt; bNAME&gt; s=#&lt;&lt;TYPE&gt;float&lt; bTYPE&gt; s=#&lt;&lt;VALUE&gt;3!c ”c&lt; bVALUE&gt; s="&lt;&lt; bA*TR&gt; s="&lt;&lt;A*TR&gt; s=#&lt;&lt;FLAGS&gt; e&lt; bFLAGS&gt; s=#&lt;&lt;NAME&gt;MediaPu*lFactor&lt; bNAME&gt; s=#&lt;&lt;TYPE&gt;float&lt; bTYPE&gt; s=#&lt;&lt;VALUE&gt; —”c&lt; bVALUE&gt; s="&lt;&lt; bA*TR&gt; s="&lt;&lt;A*TR&gt; s=#&lt;&lt;FLAGS&gt; e&lt; bFLAGS&gt; s=#&lt;&lt;NAME&gt;MediaStartTime&lt; bNAME&gt; s=#&lt;&lt;TYPE&gt;float&lt; bTYPE&gt; s=#&lt;&lt;VALUE&gt; –”c&lt; bVALUE&gt; s="&lt;&lt; bA*TR&gt; s="&lt;&lt;A*TR&gt; s=#&lt;&lt;FLAGS&gt; e&lt; bFLAGS&gt; s=#&lt;&lt;NAME&gt;MediaTrackTitle&lt; bNAME&gt; s=#&lt;&lt;TYPE&gt;string&lt; bTYPE&gt; s=#&lt;&lt;VALUE&gt;Stereo SOut&lt; bVALUE&gt; s="&lt;&lt; bA*TR&gt; s="&lt;&lt;A*TR&gt; s=#&lt;&lt;FLAGS&gt; e&lt; bFLAGS&gt; s=#&lt;&lt;NAME&gt;ProgramName&lt; bNAME&gt; s=#&lt;&lt;TYPE&gt;string&lt; bTYPE&gt; s=#&lt;&lt;VALUE&gt;Cubase SLE SAI SElements&lt; bVALUE&gt; s="&lt;&lt; bA*TR&gt; s="&lt;&lt;A*TR&gt; s=#&lt;&lt;FLAGS&gt; e&lt; bFLAGS&gt; s=#&lt;&lt;NAME&gt;ProgramVersion&lt; bNAME&gt; s=#&lt;&lt;TYPE&gt;string&lt; bTYPE&gt; s=#&lt;&lt;VALUE&gt;Version S8 ”–a4 c&lt; bVALUE&gt; s="&lt;&lt; bA*TR&gt; s=!&lt;&lt; bA*TR_LIST&gt; sp&lt;&lt; bSTEINBERG&gt; s=&lt; bBWFXML&gt; @ =</t>
  </si>
  <si>
    <t>Devil_Shot.wav</t>
  </si>
  <si>
    <t>RI*Fv;!3WAVEJUNK O)3)3)3 3fmt †C"3 gfg3@ R!3Ђ&gt;!3 hfv3data K5!3 ufp3М 3чя  5« 4З 4v 6xя3я w3Ґ 6и 9о 7– 8R 7« 7П 8Я 5’ 8j ;Ѕ :М n‚nЂ7q 6К 75 ;µ l“pЌr„;¦ :X 8ф 9­ 8© 8k &lt;Л &lt;S ;™ :Н 8ч 5р 3с 7Э :ц mЌ&lt;Њ 9° 7Љ 7‘ 7T 96 7я 7P o„9ѓ 5Я 3p 4Є 6g 6Џ 6Y l}7с 3ѓ 6L 8• 5Я 5Ь 5ь 5; hЉ4аю —5Ь 3ч 5ь 6О 4Г hgh’3¶ 4^ 3Й 3ћ 7м 5[ 3Л 3^яёэд 3№ 3m 4ЬяЫэ&gt;я{яDюкяC 4:юxю&lt;эЯю y34ю•юtэ—ъщыпыWыКыЅэхь Jы Nэrыѓъљщuъ Mы€шщъcы±шуцЮцРчiщМэхъjчРц Bцўц Oчћч &lt;чҐф‡уҐх–*чфAх¦фѓс тRх?у ^сИтQсћпЈо]пАпvпжн aрЃн 8м‹мфйwкюлЉпЦнЏйЮмҐл&gt;нУндлЛмътҐцIфCссКчYы±ьЖ 4ЎэR 4Ц kЃo”:: &lt;¦ @S uЂH… }ЃJz Dк Kщ P‹ Nс Q… V‰ UV LL MO TА Uг ‚hV• T  ЃpO› ‚{NҐ LК Oµ O— NЂ J• DC FҐ CH Aљ |zAк ? BЁ Aн @с ;’ &lt;І CЦ ?Ч &gt;S Al Aн @@ ;г &lt;љ =p &lt;я An xhIЕ CХ w•JB GЦ toD› }rO8 HЋ Gо DI D† I} KX Hф DЦ Gъ Jw Eф HЊ LC Et D&lt; Cs B“ @› ri&gt;­ :Х 7р 7E :К &lt;xяaюTь &lt;ь LюfэЊыОч=ъUчeсGп Iоkт :у Dч¶хkсп‚пхр JсЌсpс[с Eт¶о»рTрапmфaужкњмSтѓц ^*цфєт:фћтZх Fш™хЖц &gt;фkр фМу щ EцRт 6сJуYхЋъoю7п Tо?цbр‚ф bф Iушу”цGфMу 3о°р4ц Gцђфђш‡рГн 7цОуЗсВфCс{рЯр TцЇъ·ч®оьнЯс Wц Iяџщ„ф OтВр 9шBъ 5цЃыущН*ыэМшох Rюbэn 4 7Pь Tэ 3їя |78 7О 5m 8’ 9I 9¶ 8¬ 8ї 9« 7¶ =д Aќ ?« &gt;Х &lt;– :H &gt;~ Ay AY Dk C~ ?ч A= @ґ ?¦ urHё =о CЌ B¶ =• FГ qЊ=ј DЬ &lt;ќ @‘ Jѕ &lt;я 7¬ &gt;Ї 9Р 9S Aж ;Ґ mo9] :— 9N 4wяH B„ 5Ж =ў ;Йыc =¦ h?ъ‰ &gt;_ ;jу ’DЈ Cве =L xBу] W±ънъ” PъцR fH€тс B· 93ь5я –h‡:Х f“n9ю7 8… 7Wъw ldыющ DюсV 7в 9гмl =І 3Хке mPшвъ» nRю6фе &lt;© 8®ЯD 8t 4:л myђhMуY Kъл‹ 8а ;‰яј 5‘ 83 :}п™ Cќьнлd FЅмEю: :–шд 5ОхR 6ЎяYьАъЗфwэкы aщ Cшру TшфъЪэfчЖу QыbтSшУцQсеэЧрS*съыоЖрлс 7ш3ф¶хХу­рzфeуТтЉпvх =ъ«о EоSу6мiй°т Uс„пHп„жkж{мйл 3л[жЁзбм€нbж·жХж€н»пше Bй¦н6лЧтњфсгpм&lt;щЄп Bч”ыћно 3xьQщО = щ[э †Es 5Ё &lt;„ ;&gt; l•B› @Ш Cd A” wqC@ GП H| EС Je Hы DД Jл HО M’ Kw &gt;!MЫ RҐ Fі ‚pH° E@ Ђi|ЂBj LG Q‰ ;‘ {ЌJг :™ H« D№ n’UП @ч =x BЈ :Ц ?B @Ё xn9A J§ =SуK F… :® ?¬ Fѓ 8E ?c :х &gt;т ;h ;М AЇ B¶ ?Ъ &lt;&lt; kwq|nЃ9ъ :Ш 8’ ;ђ ?; q}5йыy 9’ 4э ov&lt;Яэ orHъяхМьjюsяЉ 9l 9b 3WюMьDь Ћ8е 6ЇьПъsы ?ыѓц Cмђриу Cх­ч«салъз–и`э Mя6ш 3хжу Qу \чoш”н Tш‚ 5Їы cз :ветuъ SжaжЌз ^лyбГзшЫ VЯ‘гбЯёдьз9жyщHакеCщ]м {6Ьс5кHмMх&lt;ы¶м JиТм|ъAь cн¬ч{цdуЊуsчi 9A 6П 3} 4Ѓ 4іьµ iz8јы|хЧ 9‹ &gt;ЈюрњуИ k|9ифEкюфЭ k€4ЮуVр`тітомСь‡э}ъ RсМнLс*учщ‹ыOфБкdмЫоaлnз &gt;к cмГоPд _ж ^и«о EкXи Mф_чЏхEмiпoш6эРртр¶ш p:M 3Љщнщ‡юё 8Ё 6Њ p‰9© ;f rѓBK &gt;‚ qmGЯ ‚kII yvHZ Pi }~H­ K… Rч Ma Iљ J… }qKГ K° ‚}PҐ Mў }lN4 In EЈ LЃ UЏ ‚…zgAY B: K? IA Hж Eї B­ ;D 9y B° {i{ЋCБ &lt;¶ 6µ n‰Dq uЌB@ E{ &lt;a h‹3ў 4K &lt;u Dз =T 7тю i3™ j;г nЋ:¦я m7Cэx 6з 6Ё ;Ї 9О 6ч 7† :љ 9xьв h†8Иь @х Eш VыЄя LтBн &gt;ыЅьWрmр№ь•щ Sт @рІц¦ыћш 9рkз 9з†йgмћоQрЂнйз 7ЮhбWл}ь¦ш _р‰жeг–иўж Fчt :к 8Xо›Яіж ;рЉфї 9Ѕ ?ЧъЩг•Яњйќпlю KхAъ5щЫнЕЦВЮDчK ?ф 3ґнѓс 3ь VсXжщчЉ 6вь5тfу:щў 4PхwцґсНх Pш± 4Йх JхW f}58ьят &lt;хRяO 6O 3ьV :Z 4ню }4і 3Юэ |=t Cj &lt;*ы OшY 3Уя§ь Gя ‡j9еы @с =ю ЉCг jDс†цrч‰цKскх…ю’*ьсзлБр Cм =ф°щ_ш \уСт ]к bзXмxх BщLфІнkпPрiз HеЦш q:g 58сГнАр FьІ m—@4 Aр :Кыёщl nzK’ RE F4 ow&lt;Г Bб r‚CЦ SL ZJ ЂЃ=\ 7h B= †’ЉkYА UT M’ @_ AЃ Pд Xu V€ VЮ IФ &lt;A 8‚ Cі Ђ‡Iъ J¬ IС D€ 6о 6џ Gя ѓ”KП Aґ AЄ =­ :3 &lt;® Aр AЭ!? 9¶ 6Є gn4&gt; 38 3m g‰3?яѕ 3й ;g @B 7Йш­ь XэЯ 7Ќ @4 &lt;ЭхгмKс^эї gmAШ B¬ 6Эн”л `ъЋ 6m 3Хюф 7ѓт7б 3ЭVч| B„ CЗяЛе 6ЫќвџлС k‘nh7‹фAЭЉЛ”РFнЃ =п :ЯпёХаШiФМО®е }v”AЫйВСЄЪFз Xиkг Xч^ 5ЕйЬХкЧјвщс3 hEш eжDчец ]ж @Ьэы™ Hж 7ый—Ъ 6ЫDй¶ъq 6„ы ’5Мыєж3Юѓо@ю&gt; :m ?ёьхдІФ 3ольЌщ =ы  @ў =Ђи [дPьЌ @K 9Є o‘DqяШп `ф TцAфIя— GЄ =wу _ш ”‚ЏUQ mGрИ FE Q… =к fm@Ќ ?zь¶фцл№ш] &gt;R Pћ l:ц 9рЬэ?у Eзаш ‹;ымй ZхBп8и 4е &gt;оwь o3¦ъ‰уBн?Я†ЮЁц? iSщ Fрвсјц‚зZЧMиья= jbф5нщтЂуЃнџмTэ„ q|4Вц AуЪсЇм»сЋкЌзщн=шzх¬н€уђ fOщэи SтG =• Dу 5mцћю TщЎкЖгTхQ ;щ t&lt;э“рзшn 3Ич _ц‚ 3Ё &lt;B :zяiъ§т4х›ыч 5з 4bюc gђ7єщ ;оќт5щ&gt;ыqшM 4Й Hл HфюMщV 7р :‹ gЋ6У ryEч &lt;9ь»т{чD 8ь &gt;Д z“Gэ wo?‡ 7ZшGщю 4Т :ч 5ш nfnMъ 3у±э[юRчЪщ¤я AэшсEр?мДЭVХ|Ю aуiюRэЊчАс 6ташм 3E 3Лщ— 5мющыЩьA 8i 3` :х ?m CЊ :® &gt;H Eф _Р \E L7 Jc Kр A¤ M±5 ?8 –Y№ X¶ [h Tз N D† †Ћ\џ PР urMk QZ Uк Q­ IБ umQ‡ {Ѓ‚ђZУ ]к M— QМ 7ћоД &gt;9 ‘—XD B~ KY PЊ 8дрОцб }ЂHн 5t &lt;s x=шxчЧ 5щэЧцv ?к JЄ &lt;пўт{шЗсCйiщq &lt;6 6»юОчAсOмт \оВдЄжe 5Xэpд Vг ;ыЮсZцx 8O EЦ =ЊъмкДе·б|к Aш “3|ш GхQпЉйФа Kмјщ? ;`щ«х q3\ 5ќвЅз KхГцdмдюэ ;Ѓ :&gt;кВиЋсSтSд&gt;цk 3S 3ђо{жќбWа}ж^у€х« =· ѓr@­рЮо Lыї 4«шЃьб F· V; 57нQм Wюв i‚CО Cп CL DЩ 9“м?рNтJ @_ F; &lt;4 5ї Bk &lt;bъасRы {Ad L’ 8№ьo =Ў 5ЅрЅп o3Њ ;ґ rk;ZъЮэ _юєчaрДэЏ uwFЄ mNюU 4@ 8« 5Ч ;Q D’ NЄ Mc lJчd 4Y Cт 3ћщУ :П ;Юь EуRщНюНэ: 3ъ 7‰ 7K 4Єч 7у Kх \ъRпткfцEы Bп Lи ?о BпЎкIм =тѓн¬з Pб€жЪзЎл…рбъ Eъ5 49 :l 3•чdыь lЏ9– 5‡юБ nlF‰ su5Ѓ ?‡ EЌ GL Nм ЊxVа K| GН I&gt; NA Kч OЧ ‰nQі Lg J” Lо IЋ Lz KС Fл Jю Sы GН ;щ nЊ@; 5Ѕф8мн kfJ nAчћьhэПь 5х{ь‘ ?] OХ 7јъ“эЗ &lt;џиPзЅчF 5“ьъо JЧlм 6їюнз№м’ ;€ |‚6»яІ wЌ&lt;VнИкsч{ 7‡ kmvN!?х ^ЮдзCцЏу Qыц Fк AВн†кMе±ЧдЮЫ 4бя_фpгRр Dн Tч6 4дыЙю w?ц ?Йф GлљтЭр aоиу¬й¬и 7оЫ qЂ&lt;Ґ g—3ЖэЁ 9й :« 6юы; =Бьмх•х›ы„ыG 7Щ 7Е D~ :°ь n5P &lt;[ 6ё fqAаю Pс]п pj’?ТыѓсМэ os=чЪоAяm CR p7яЯц„хP :‘ E” sЃuios6Х 8эюСфѓыЧ x|Kc oFюA IV L]яA 4і F€ ѓf&lt;W 8® :А =… 3п 3† qpIш Ai 4‰ 7l ?V &lt;g 3В 3· 4M 3W fp4Яя6 k•3очlсЖмйфЂъ6нQн @ш†р [а]зИлtоDи F*ос CфХл ?вgЯsк»пKл§ихп«ъЄфЄоtм·шЩс`ч*ь| jt7ћщБсЇщJъjэ{ ?С p†FA Fi &gt;цэЋя— nЃJ„ Fw AБ DД Iб &lt;‹я» :Х JН FІ ?и E‚ AН ok5«юы 5Ю Al DР qwr‘sЂD¤ 8ћщ°ыР &gt;N sbь Pь&lt; Gю BжьFшf &gt;3 u”5p &lt;g G¬ kaпЦь7 ;МфУц[ 9њ @I ;бэ®ы’ &gt;r iSпГъЊ GУ 74 3ы h€&lt;Qщ BеQю] @k ;N 7© &lt;zяПт \фБ nw&gt;q 8ъ Jъ :Xу Oл WнzцpыWыk =™ CёэJэ ‡@I 4Ќъ‡ 8Д Py JТяРхXы”у DдЁрі @!Bо =u 9W qVч}нTы§ &lt;c j&gt;W =Я 4·и MфYшSп Qэ i&lt;J =ю 4? :ц 3eщ dщAоѕ k|J¬ BIы €5 ;S jcчEк9ы€ Is 8Е &lt;k ;ћ :’щYф_яЬ &lt;ґ &lt;] GЈ †iNіэcь\ 8Ј lAщ: nЃHj D: feг IлЫ 8™ &lt;р 4С CЂ &gt;Љ AAяіщ Wэ’ =й vk&lt;ЇйoхМ 6§рж*Сй~ n`ълкwшZ 49шд 6b ?їс‚ргьA Eию›ОїЩаЮ &gt;Я CХинИя4 4c j`чѕзgгxк=у WнJп@оГФЧѕчАJВЉЛvЩЄжщт иЎб [дyЭ 4Щ@лДкYйпс”рDЮ =Я’ЮpЯРмnш&gt; Cд I@ ;Qьц p‡=J 9± E’ P¤ G| uЃrgl•&lt;В Bh A› H… Kй HQ ЂrSЁ Rz ‡ЊRЏ Gd Nь ‰iKC Dч r‹r…6ѓ ?  DE rl=‡ Bћ th=@ ?° A» whi9ыҐ 4Ф :*цџт \э‹яDъО 4] &gt;ж ?| os:§ 9О &lt;иэўчЙ 7Ђ ;:юKчЖшї 4O =g kЌ9| Iѓ Jэ o“;Ш ?Ќ 9‚яE 4я± 5_ 5_ 4Г ks5њю ‘&lt;Д @У :L :^ AЇ =fч;у ^ъЃ ?ї =вчет _ц·т®н Nь… :h =8 8e 3а 6ъшТхі :В &lt;Вщ`рдьТ 3Пк@к Ђ:f k3о 8рЛ 8o r’6Ґь№ 8“ w}8Dъ ђ3› &lt;єюТш MщМ 4Dъ=пDцђ 9{ &gt;Э ;Q o–&gt;Е lXшµэa ? @ншMу†ъДш•й—м­чЄ :ъ Cr 4Sх Aуѕю bц Aы–цн :Х 6ЖхFг 8ш 6югцVфФ :№ tЋ:*ьIщD 6Пык 8ё 7Ы 4Є 9D I obцгч –:Ъщксsчі 5qщЫу”с GйВнШс &gt;щKэyфЕнMвGЦчЧqбaмУЫ«Ц7йeй4ЫуПyЯвъір¤КNЙlЪюС5ЙЪЦакуб :УFЫ YмШЮEдік8гЪзцвШоTьgсМл Mфk =Ж :€ oЉ8±юйщ ;ц| &lt;Я z~E^ GЙ ]a6т VІ Jь b» –ЉV; ‡]ь W® €‹N_ B‹ G; P¬ Tд S— aь ‹‡Yц PВ Kт spFЫ V= aв R@ B? Bќ G8 n‰5я Dп zqH‹ @e :tя €5E F= SК HЦ 6dэоэ VцѕцкюёъУуҐхэь6 4Y 3д 99 JY QA J] k’=b =ЬяeяK 7A 7г 4zьZч }8Ћ D’ kIьc &gt;ј K9 vh6&gt; 3Б 8а @… 5Иурэj 9рэTш @ыэ \эҐцtцKэn 8G 7Ѕ 7ЫщнсЌц¦чНшйсВъ« 5ыпЉеcцН 4dх¶пЬъЩъЦп”тЅяWяaщ‡ьYъУчVэАя~ъ ;фMх 6чћч TфчщЮ 6Б i4эrюm 6` 8J h^юiяЌ 5ќыZх=яґ 5¤ьѕюБ @Q &gt;=ю_фВчVь ѓ7‰ьEщоыжч Q*пмlсЊюГ :†щ4зЌфV 3@ъ @с 9ув 7љ =nъЗтЪ 7Ѕ ?¤ :&lt;юjт·х—ь“ l‘9¦ ;U iZпОяb Dњ 9yыд &lt;’ &gt;nъ @уХ 3ЕъIшGю ‘n‰7&lt;н Jк‹ n†?№цМцбцcЮтХФк _хЯи©ЬЪЮгнЙЪ‚Ф–ж `пјЯ‘ТЖЮУаGЧ[бbхxк VУgд Mх`кЃо ^э  8Іц№иёжyс fj@я †9— Z¬ Sk jm8c Su MЯ |nЉЋ`N d“ T? SЧ †–€z„\; &lt;@я&lt;С3А Љ‡HQ PD Vю TІ VБ “ѓ[ё AV ;э TХ Xє ?t Wх7 Ћ@8пР RR cы ?Н ’zD°*Щп ЉLµ K©чj tf‚|4»ЩДч ЃKз ukIЗ Qz ~o4eя®эЭ AF E? r|;` E® 9бсШ 9ѓ ѓ^!9фh 3ь Mn AX 3Ѓ jnuЉ=”иЫрKц 3юДынш “84 6”ципОф\шїэн B” 6ђкйм YъњюЛеїе@ш‘ o:яRлcиУмОйЕл™ъ Uт›п*цґшдеWг3ш¤ 5N 4&lt;фmц NъТинеuш —=m 4’щ‡п Rи4уtщ aы 4цZ 7Щ kGр\Ш¤лш nl&gt;Г g‘6єъШмуф4 =© iRш Cьэь‘т|б&gt;ф¶ &gt;ў @жщyцj hNь; 5q og8я 7c 8љы Kх &lt;чл 6E q’4Јч‹ 7‰ px8N 3• s„&gt;tъЌщћюф :M 6№ 4nшахбы Aч dэm 9v E® E‹ 9ЌюWь› =‰ Dh FЉ :|ю viHяѓоИх9 mѓER iPчЉш] 3D 4† 4Л 9T 8fюґціф^н~кЊмФхDтћпхй©л ?зxи…пмщкмQсЭс&lt;б:ЮHиЉжгЦSЧВа XиRнилWх 3юVэҐ Bл LR &lt;ј F№ QЦ Vр &gt;“я° =ґ XS [c F= Lњ ]Ћ TЭ Q9 ]^&lt;sGy9 wZЩ Vd dз7Д ’X5 T7Ё YШ PА K» GШ ~kPф _Л M­ 4ц EГ QТ F9ю t6€ @F A] jJь Ќ8M &lt;®л\л9ц†юиэИ =п @Жяzр†з|н EсWэ? HГ :mу*тXюUцЦуЬ 9!FГ Ѓ~†‘Dќч;рч 9A F6 5s EЦ \§ G8з;з‘э§ &lt;© &lt;› =ч 5Жя9ю Cй™вФкm ;• w_фаОэз 8дмIуf :Jч‘в†нСжЂЫЏд7ъ&lt;и?ПфЫvь Zэ¤гpзѓьоыљфсйЌн«сІпэнNшЖ ;Ћэ¶кF*п 4Џ 4№щf :В F‹ 6¦нпцП 8K qpDФ Ap &gt;а k&lt;яјцQъ№ =С Mё K4ьњущы~ g=° A&lt; IП v\ьЗпРм3т!6 zJl n6м Uрия[ 6aя ЃtuUЗ x[ы“ьЂ oђhl7ц Dу qc*чхC :cюSъЯ ?x Jg o&gt;шn 3§ ?Б Aл 9тэt 7K =· 9XъGщU &gt;в n“;а ;:яMч‚юX &lt;s n?шйцђыН 3йоqс AщFшqтЭлkс \хќкьжџчuш‚н 8ЮpЯзущ@к Fб&gt;з UеuЬниюувчVжкбlЦcФ`Я Tцi 5хяUтЬЯјЪ’о Io UN Ѓv;OхИж Oк „6ф NT ^Ј IM 3Фы¶ю vGх _Ю bю Ћo]· KX LЌ [Р!] “nR!D† [Ђ5 ЏDПя· \ю X{ 8\ nw€uD¶ @Ш a? ЊZъcрN Eо ~4? m’DучJЩ{ыв ML hGр; 5« :Їм°оЦ 5ЊъђпjчQдnдЫъС C‹ 7Пп=у“ 4† 9г 9m jЋ8@ iЉ6M ;… j—8D 6њ :ґ ?‹ l‰5h ?{ yNэйл·х 8эПюЂ 6К NЏ Eж 89зтеЧч8 F8 &gt;А ;ЭьPл RЮ€ШBкяыЏ q‹8…зGФўУ`цѕ AЎ 6zч o4*сцЪхк= 4Џ :Ь 7Дъђн Aл;жеуЄ :v Lж =Щх ;цачЈ m–u—D’ 3•ы: 7d Bў A^ыq 5¶ ryxdюя 7і Cњ 8o 5ф ;g 9њюЩ 9• =E 4Ыыь 7Ћ =ф j\рЧщ« =© mЊ3г 3Ќ :”эx 54 Bі ?ќ 4Іь ”;п @‹ &lt;п :E 9ZюЄю– &lt;Р &lt;Ь jЃ;&lt; C› 9‚ы«ы _!8 =Ф tЂEЁ @З iKщ &gt;ьЉя] :U q“oeэ HсЙв–пД ?Ґ 8сщ№эЩ 3ЮгДЮ@ ;ч E›фСйiшEнѕЬ YнxяNь Bп CкЖв‘УdШЮы :ЬпЯЫяЧюУМбфжѓцСр~ЦЬН =Р„ейгyдАоЁрvкиЬ OЭ{пxхКм Wс¦цлйOе‰ы° 7ґцСф ‹h—vRј Oi &gt;Н 7¤ =V S5 dС ‘\!V Sj Kz 6М E‚ ^p6 l]p E8 8y EP P^ Mч ceGж6 o@Ў 3‘ wfM† RО `Ъ Џl?цщ 9юШ ;Fы§ Bщ a§ Ќ:ю UзЬхя tvЋЉNЦ 9  fGъ †&lt;Ђ Qо A7 h9я iGT vXъ ‡urBo ?; AX Aм @¦ i‹&lt;] _Л ”’&gt;љэс =† Cз i‡C… JЄ Dє =Р lCэЖ ;Љ L№ FR K; Lэ 6sч¬ьA &lt;є @ чђхщ ;Є g8м4оЈ 6p 9ы 3C 4Ћ 7ьчLхyрHпъц‚ gj&gt;vяЎд LбЃц ђ6z q‹6\хДя9я XйѕеТя ”Bt ;М 3К 6|ф @р Ѓirz‰&gt;Йюј 4љь 4тvс Gыќэ¬ьк 6c 5}цnп&lt;ъ— &lt;= :Ыя Bя AюЋъыъЛюaэ 5ь 6\э ^щ ^ыѓ 4i &lt;џ gbшЮфЎь° 6Ь q€5њх]фАъцэнь 8эNэќцКм•зђмpщ †i_юdч3рЅе­д„ъ f9вя_тGв dЩъеьq oЌ6?шЭйУЬFзDяЬ Aв @wъЇиѓрещі :Ъ EЩ L’ JЦ :u 3Х 6‰ ?Ђ Jљ Wj ]Е SG JP CF I— bд cя US NЊ M Iћ Dд †•]к Sh ‚oBW L7 Џa3ц ЏsHw O‡ X: Ђz{yRр Y± M€ ;j ptm€@« Lц OЕ &lt;6уЇшТ 7k Cє OC †Њx–4ч 3z =R Lї Fо rv4ью io3х 8t &lt;™ w’GҐщБтЃь| MВ Vё wbь»о9 3N :п D» KЯ BХ ?И 3Пх :шЮ sЏЃ~z5Aо;кЪтwы Ќ9] o‚6кнЇЬSд°рНщ¦ф ]нЈп Mж~Х±Хѕфд :Эш Fс?и&gt;Ы Sг Tш RъФк—д»Ю 7РЁЩeз Fуhч6п Nр Mс°пYф&lt; mw7Nы? 5бцlй Jц¦ &lt;м :ЋюKэс 3&lt;ыЪу Ќ&gt;‘ HS =­хјф¬ь Њ6Є 7щ ;з ?n 3dцѕ 6Ґ AГ &lt;р 3cш Xху MцУ 4d 6Љщwр Tцxцvцt =m Mх =њъµщ Sъѓ 5u s•{€&lt;–чрьС hЂ3Мэѓ A­ HUюму „34 AR &lt;л 76 Aі ?г 7…ю YьXщW h‹t|;‹ 3[цrу|хЋяч @Ж =Џ 5uудч r6XъЈъ ]юХщ 8т cф[ 6\эћч eш Rюѓ 4cьA s|xNчµм N*цю_ш &lt;юЗ 6ЮьЉе 3Хtр§ъпфбъзчџй7Ь=а Nь® &gt;9ш[ь =]уКУxЯM 6В 6ІхЊ 4– g[у `к›ъќ L{ QК Qm ѓђ&lt;моC AS aС Y№ Uл ‚•|pAь ;X Qњ5t [х LX WЧ Iх 9d IФ [э Xє ѓoFЫ IВ }’Qљ NЛ E­ noA_ B; LЫ Ђ7ЃцѓиHк \о &gt;ь: DС @»лоЯащ ‘7Ѓ EB |Ѓ=І Ga*хЯJцє E© Qг Dэо `лТу :„ EЕ BЬ ysw6шВ 3№ zjMю II &gt;^ kw?Z 5ђяъ E№ ?&lt; 4?ч Oм9ш‹ 9= &lt;° hPхяцУъ Lэ \п Gс· ;D j9с SдDивйлсS j^хBжЖн Qсmиѕфє 3Њя5ъ¬рак¶у№сqц4 5w 3Љю†ч ]м dъ|ьqюа AA 8¬щ§ьSяWьщша 8­ OС ?§ fLчМр ‘kt&lt;Ґ =Ь F· k@тЎнЅхП ;и Sі @Чъе 4zуkщ] =Ќ AМ xЌlNыQшjш8 5с ;щ Hш C*щOкўьу Gл &lt;ў 5· iy4ныъэz 5Ю 99 :щ 8Љьi 3© =&lt; 4K 6ю fOыъ 5Ј :з jh6‹ 3У fSяія Eъ €zq|KюOщЭл– 35 A‰ @{ wЋfAэ ;чюфҐ hzAР :yь Oь›х &gt;к№лЇьЉ F3 ?еш}йaрљр dхT ?ZыЉэЖм„дедЫб9ю¬ч Aь aиСЬ ?д TжгоrгДп›шZн ?ХуЭ«ч­щ aм ]иЁрќЭдЭЫу Aйзо ]и®с?лжп SьЋчі i€3Cт\ &lt;: &gt;9 &lt;СриыЋ N¬ Oх @ЯкЭюЁ Dо =ї H› NK 6kхњ Gх jrF¦ mFэЃ z–5&gt;цкэ&lt; g7щ@ 7C Aђюђнђо’ &gt;љ @§ :пыжьД 7Юы x:е &lt;s 3¶ 7Л &lt;М 5Х i“BК 8’ &gt;С EX BМ †€Dэ 6N A6 D‘ M4 EВ mh:’ ulJ‰ 8ЃшRю` D“ B; 5†хаоќщL &gt;Ґ &gt;оы XрОыc 6Ч 8ћ iWыЖу eпј 3м &lt;ќъЉтюса 3ђя^шOыhрар •8ёэ?оKЯcнZ 9дхЁн &lt;*хшeтЊкkцнхYнAц Gщ9мKЯ Qи [ы–щ€лЖбљйт&gt;уџсЄмСп &lt;оDу‘оHу*щ 6юНю»оьшђячэа 4^ 4] 5DэRыbю›ьћ j‡?ѓ ?Ч 6Yя› 7З AФ Af CЕ Fk ?  5л jCг Gx vy?• &gt;¤ ;{ 7F wђGы 6Е 5» 6X 9± 4э 7Е ;r fЉfЃ&gt;m :bьAьn &lt;— q†4…щpшџшё 7њ 9ВяЕэѕ 6ј jЋ5Ґ 5H &lt;f vys=яО 8Ъ GT AХяь g„Eя J&gt; Kb &lt;u 9^ GК KI wx=Й ?• GЉ O^ CїюL 8И M? T» xЂ7к &lt; &gt;y 9A EW Edю Cоїы ~8”щЄыA lEяЉйдлЈ 3ЛыіоЎсEхДифйЗ iЊ3•йЛдbх vg]уяо Pх Hш 5хяцш gLсЫюП =® 9y k6; B‹ Ec 7€ю ђ&gt;… Iґ O‰ &lt;Ч 3ї m‰;ѓ 7† yiSс A9м Bю} Hђ ={ ;R :­ &lt;oо¦шй HЛ DЫт?уя 8Хщ 9пeя&gt; q_ь ^аЃичъЬя RъАьХщ Fгщосы° DЮ ?ЯуЊпzуЅ h†lЋ?Ј &gt;\тЭоЮчщь№ 7Б 5жэЦц &gt;цHл‘шж 9X =r fTтёнlф k54 6` 43 4‰цЌтЧсЉяўъМтья@ьВйdЭEо¤яuшэт{лИутIеhе ]уЭэЗф CсЇпымзмUпЦшяц 9ьIшЯияв3кМщ—х‡сl*ър Zи Kм`хОьjфЪсMс cнлтЇх5щЋоЅпJп6хшэ\ь—чъссIш Ќ4F ;“ 5RяйьзцЂъЯ &gt;W O® s4юифДюI Dr NЙ PХ @Vэ|я CТ S7 LШ H\ CЈ &lt;Ј =” C4 IП N› QJ GF =&gt; fp€Xd _g y[ыиы&lt; DD ND †—NB @ЃьгчT ?• SЏ LМ E„ =Jфцоw &lt;Й ‡‰Pa @Є f}3[ю‡ :т OЛ QЖ tq:Г 7љ 9Y AЩ Oc QЖ HS 6ф 6› H‘ DА &lt;Я sЊGл &gt;{ь –?¤ G9 D; &gt;C =л Aj CC H] vxg^ц 5H uj:Зэ‰фMоЂу q4|с Mи9р Tш{ч6йОЮ Wи 9уLч·д?внфОр]ж3Ъ QЯ€й«сWчhтfШ [Т \кdэ \ы @щ GшрзЌЭ=н g&gt;z HгчЮк Hф Vх†щ  6C Cyя :м:сзх© 6· ?t ?Вя WкМмЄ 4U DЊ @’ 3Фуdлґп[чЭ hr4Еу9йxк ]оQу‡фoцnчло•еХт FтАы SьЋф;цyвхсR 6FтЋйВмўцfю&gt;к`в =п SюK 6¬ fOч№чҐт Iс9щ Kэi &lt;¬ 7OтЉкбф †5@ 5йъЦ px5ео Kф :х;щ@ 5ј 9I 6ёх ;ољыµ 4Џ 3д 4Х =„ь‘п«тЛъЇч =ъa &lt;зъМиyнMхZ hbх•ыy mcсДиФт Nюѕ 9kыјф ^ф6с ^фэ 4ыю MфАр ;цты ZужчCъщцБьЎпБсЏщжэѕ 6ђшFцћрЉф „48 &lt;m &gt;Нюћчyх©ю tBЂ ET Dz 3Cш© 7ё G– ЂђGW EЬ @› ;§ @ъ NЙ †pxqEЛ CЗ Di DЋ C= J} K; }†G_ &lt;u @} Cз Jй HH AЧ @ћ &gt;  p}@’ A&gt; ?Z ?м =T 9Ў j–;ѕ lЊ9K 5H 6­ h‰7i 6O 8¤ 9a 4щю v9[ =о 9!7X 3ыюп 5u tuCЫ =±ыгюh ;В BХ BХ 8m 6И isf€:« &lt;y =ў 3® 3Y 9НыЙюа 8н 9Jь~пGъ€юбщўх ;ъѕюАт\кфсRьсчулЕиVз Fлџр ^фєж•Уgи Rц—зПХqе;т«ЯоШ8зМо¤к &lt;жЊз—к Sйўм€ю}ь ]р Xо}й Vф Tя‹ 5= 9KхКгНн Љ&lt;3 JMю6п :тљщЯ 6Ъ ;&gt; &lt;Ћ 3Ґм\у ђ;R &gt;хяГы 8° :ўс‹ле 6ё &gt;· 8ђ f=п—вОоЙ Cl 4щ QЯБеі 4Ї A[яШъrуврC 6љ =[ h\юm 4щ &gt;С 9dщН 3О &gt;3 sЏ7† 5k =‹ sw&lt;л @µ rn@л 5ђ siIЏ wx;С 7Уя— 8я Dњ Hў &lt;Щ 4Б ft&lt;@ uAF 6?я@ 9Ч &gt;S &gt;©ьДшy 3&gt; q…9Мю dэЃыИэH 3я 4ыvцK h†5ЫъЭсѕтЭя u73 64эtц¦о 5сЁ j„8Lя cтасїх 7цOяушwсРт &lt;ф—щ dуIфVхвш€щ…мИс Wъ &gt;ьПшЌц 3х~т€яв 4Гы bт@тУ 5№ 7ї 7[ьу cьV 3З ;p &lt;O 7Ы 3©ю “:d =х &gt;x &lt;С 8S t…=€ ?{ @C &gt;µ &lt;ф &lt;a DN sp6ю 88 ?P B4 :Г h–5Џ 6f nq‹=9яѕя ѓ9Я m‰9мю­ 5Ц 6N :щ 7§шЪэЄэB 6Е 7Yщ¬ьuь qf]яmь „fXю Њ43 6K 4E 3бьc 5Я mђ8^ 7Ю i35 6‹ 9E ln8Ъ iBя `ыUы‹ 7n 9®я _э9эrъ&lt;яЯ 7D 9EюZш ]ьЋэBыЧыЙ fufCц±няхІя¶цtтTх™тїоµл =ышэcлЋлгщЁэ»т M*тыAц­ш&gt;ъSюФыlчньb 8я jNъзэ† 7b 3• 4k &lt;h nNя’ 5Ѓ oЉpw8А 5{ &lt;Q ;t pq=O 9Х 7П 3| ;э B± :З 6{ 9§ lg5[ 8| &gt;њ nt7с 5і ;m o‹7e 4d &lt;— &gt;I 6ию— 6| v–oWцёю” tn@ж 7] 4Л 5“ 7y 8Q &lt;¤ =„ 7Ф 4я ;г &lt;э 4f 8V =ю 9Щ 7— msnђ&lt;С :«яN f—&gt;V &gt;Йяpщi 4‡ ;Њ 9?шіпMъ_ 6!4Ущ eу Nпцр Fюаяцљзdл ”5Пь•у?тшц ^ч…ч u36ш“пвцUя] 7&lt;щОн ;х fu6J kAышт?ьG 8М 9[ь EяЬ :Сю Hяљ 7“ &lt;Ъ 9эю v3м 7• 6Џьп 5U :Н 3іч‡у Fэј 75 :nщ“о•ф 4ъ m8O 7§ц aсЊх&lt;яТ gLьЂч«ыя Xэ&lt;ъ“ч­ъХы j3э &gt;чЦш 8ъПъйчDъ@юны? 3‘ч^щ=ь Pшr 8Лю 6ыть ^ыi 3тюъю”ы§ъV 3’ 3°ъжъХэЎьЎщуьFю KъйчЃъЄюEь GыcъЕщnэнэ­ьГш &gt;ъ Pюvэ‚ьцъ6ыHъ Mъєюћя:чфeяB gUьxъ Yц Uц^ 3ї 6џъ`цшхPшѕь 7ю„ыЦщfцљу=щџю¬шHшJш Vч‡щHшgъkчяфv*цы&lt;ю?чтх^ш&gt;ы LюWяiяyшъш &lt;яЪ 4P 6щ 4И ij6с 7S :е : ;6 ?Ґ wЌ@^ ?ї @З ?» DЯ Hf Hh y‚yЋGџ Fг Dэ GБ K^ M– Kw GЏ uoEв LB Q{ Mв B? @J }h~yJ† D№ A9 zmJГ D7 7X 9Џ Fћ JИ B9 3д 6P ?  &lt;Н tsuЏ=f 5B n|Au =d :О :Ў &gt;^ &gt;€ ;¤ :&lt; l~pslЋ&lt;¦ ;« j”=– 8¤ 6я 6; 9— 8 5Б kf4фыЙ 3w :й 6Hь UъЖшF 3Pщ‰я‚ъЉм Dч &lt;оаы 4ыИвqф_*лкBтsсХу PеPд[зЮтcьБс VЭ_ЮЕтZэџц|к;йОо¤тGшCъ NшЎрЅс Tь‰ь Qц Aщ XюЛю dэ Bц 9ф°э ѓ:U idхBуЖя 6Qы*х=ью hЃ4Ль‘ы [щкъ —6d 7зъжшWю cэХэs 4ыю&lt;ыњэiю7ъТъ_ю ѓ3оэ]юзь aъ Wъ e*ю 4u 8nя eшSых 5Њ 7Ф 4і h\ясяА 4o 4] 9А 9¶юз 36 7я i~8q 3Зюъ 6a 6и 9DяQэ— 3Й lђ6У 3р 4ьХ 4h 58 7Я 5kыг 3ф 7… 9Оя:ъж 4g 6ю 6ЃюКяЕ g‚4“я _ыL 3g 7t 5nяцъыьќ 3Y 6v 5Юэ§эвя ”5л 4ђ 3¬ю` 3  kgh6юхя Ђ4ц 6‘ 7| hBэ?ьг 4; 5йя¬яYя Nя 7э KюRю ^я ~f;яАьCь&gt;я§э‹ы 4юЪюOяЖь;ы¬ы 5э eя h3С feъ:ый 3А 4O f4яM 3ЦюЏ 3U 7Iяї 3O 6Е 7Ѕ 6D 5п 4й 4® :н ;h 8{ gh8C =} 9ж 9Ъ ;” pop…:T =6 &lt;Б ;и 9р ;П rx;± 7№ 4ў j~;Й 9X lu3ЂяB 4к 6i 8у 4яVэ Њ6г 8Ѕ 4gяпюЂ g6P 6‡я bъEяH 6ф 3ЖюЎыКэ h3eя `эEэљяќ 3t 4¦э6щеэі 7k 5„эvьeюJя‘ 3А 3Жя GэюэB 5эю•эЩюUюСяЪяN 3ўэЏы OэWэЛ 3я¦ыhь8ыЧы &lt;эјыЄъPь\ fQъ 4чЎьКэ Kя&lt;ьэш Uщ DэсюҐы 3ыУшМц©ь^ю6ыNшЃы°щюъМ hEюpщ’ыЬю  6R fKэ AюN 5h 4зэµ 6Q 7ј 3Юэ‚ f‹6S 4г f—fPяp 4’ 3Q 5_ h\я]ю x4| 7v 6ґ 5s 5ыюН 35 6Н 6г 5„ 5і 4… 3я 4; 6Ѓ 7Tюі 3“ 9K fЌg|hFяа 5B 5o 4Юя t3h 6љ hi38юн 4є 7{ 4чя aю x3° 5 6і 4—ьNэ h3E 5ф ik4±яћюµяc 4— fv4зэзяx 4’эFю 7яЁ f4ся €faюkяz 3J 4¤ g–3†ю@я‰ 5няОюг 3Шя Ђf7я @ю 8ю] 3г 5зя·эуь™юё 5G fTюґ+э&gt; fЊ3Д 3Хьёьµ 4g 3тэnь?э †3« 3Gя5ь›ьОэиэА 3оэФъjясэ bыйэwъ;ь Dю&lt;ы Tь 3ыЮшGщ~ъјэeь =щЋы|ы&lt;ъxъVэdэћъvэfюиыPыzюШ 3§ю GябюvюЃ 4Є 4‘я5 4 54 6_ 7k 6јя¶ h‹:е mo7ў 4Ъ 6® 8Я 8Л 8~ 9s 8‹ 5r 6Б j‡9С ;Ц 8y 4с 5~ 8У 9б 7ё 6 :т 4~ fЊ;И 8А g†3© g{lЌ:Ќ 5Џю—я№ jx:&gt; 8b iu3o 5и 7: lѓ9k 7B 6т 6v :a 8о 3Љ l{;F h„4V 6S 7d 6З iv4R 3P i‰7ѕ g&gt;яWя 5f iv5^ f4яAэSюо fѓ5ию‰ы’ыЎюZ gsfFыжыщюqю GяSюзчVэ 5Qя¶э&lt;ьЄыРэ@ 4у 4хю&lt;э :ю Aяї 5r 4бю§ю{ gђ6D 3Чязяlя» 5{ 6Ќ fWю‹я6 5O 4ґюpэ“ют 3…я›ю|эTэ 9юQююbю@яЦю‚эIюхэ Mю Dя{я Yя ?яХэ WэpяРюаэзюЎя Jя `юзь Uю4 3M 4¦юЬэ*юґяY 3:я Oя ‘gЃfGюЏя@я†я 3ћя Vя dя…ю bю№я№ 3Хюpю @я»я4я†юЭюёяЯя»яEюєэ¬я• fPялюўюЯя h4юя9яЃяt 3њяҐя €34 3\ g…4D 3єя™юhял g‹5ќэйьЛя ’5f 5pю4ьЫэ n5ч 4Ня§юЩэ …4‚ gv3;яKэ 3a hЉ4…э@ыДюtя ”5йя­ыPэгэЋэ¦э cяSюёэsяЄьды DыЩяТ 6PюФъёщ GюЩ 3РярьxъC 3ияУь &lt;ю Hэ¬ fђ5[ g`яBэпю k6¦ 7Q 5№яW 5} 6• i‘5Г 4Г 7ќ lp8Ј 5џ 6ћ 7ї 8z 9X kt8— 8¦ jq9: 8— 7B 8b 9H 9¬ j‚8Л 8№ 7Ш 7 6E jv8• 7† 7і h‡hr6~ 5U i‚6b 5y 4ч 4ѕ 6Э 4Ђ 3T 4° 5й 5” 4ыя i3” 5Ж iw3»юx 3Г 6џ 6› 3–э~я Ќish5kяЁюд 3Q 3№я»эпюB 4Е 4ДяРы™ьчя ~5g g\юьСэу 3† 4”ялэDэн 3] 4¶юDюTюlя Њ3@ f^юъы…юЇ 3i 3zю®ьPэ 4я•яqячюLюгю bяѕюсюrюъя¬ 37яљюaюR 3– 3ѓя jf9я{ f‹4Июqя n4н 4Q 3юяx f‹4ї g~4i 4€ 3l 3| 4S h…5o 3М 3ё gk5я 4P 4v 4a 4б 4Ш gr4н 3Д 3‘ 4И 4‹ 4ј 3]яv f’5з gx3Лю= 3у 4Ф 4ЙяЈюЌяу 3^ 4сяЋюDя~ 3k 3уя^я›ю&gt;я j4t 3Рю|юъюL fn3AяфюмюЗя7 3dяжюЉю Rяўяљя¬юoэ}юряЖя@ю¦эЗя k4ҐяCюњю№я] 3P 3њюДэWяМ fЊ3УюБэ &lt;яy 3їяяn 3°япюWя Ѓ4D gOязя3 4› gЏ3HюР 3Ћ hu4g 3Ѕ 3D 3Nя 3^ 4а faяЂю Mя v4!5 r3ЁюЄ 3ж 5т gѓ3» 4b iw4‘я ѓ5ѕ 5дяђя? 5Ќ 4&lt;яW 3э 3ё 3&gt; fn3Ц 3I 3Чяz f~3Ѕя l4ў 4вяkя¶ 4[ 6ѓ 36яу 3Ј 4t 3Ею aяH 4®я’э¬ю‰ f—3qяJяНюOя° 3ц 4Z 3ДюЂя Ћ3э 3х 3 я­ютю? 4Е 3аэсэв 3Ѓ 4Њя @ю•я ѓ44 3ЫяЯяCя Ќ4V 4CяSяЛяf gi4WяЛюДю­ 3` 4…яЖю ^юҐюM 3Tяuю•яЫя Uя~юрю ‚3Ё 3я3ячюзю ?я‹+ябю :юю;я3ябю`юню†я§я\яУю3я= 3™ямюія’ 3юяјюГюh 33 f8я‡ю 7яѕяБяГю Rю°юјя3 3FяРюGяЈя …3кяq 3&gt; 3­юiя ‡4„ 33я Kя•я –f†3жяьяъяМяП 3ѕ 4&gt; 4ўяэ 3Ґ 5і gpgwg•h‘h–g‹4µ 4щ 4” 4M 4E 4Ю 4ь gv4g 4D 5ь gwg‹4E 5B 5? 4Ч 3° 4j hѓ4b fЂ4Ш 45 4ыя y3© 3Р 3€ 3Џ f„3kяЃ fЉ4Ця:яt 3g 4· 3yя]яЂ f‰4‡ 3iя{ямя …fv3\я LяђяЫя7я Qя„я@яёяЩя JяХюiяТявяиюtюXя\ 3ІяХю¶юСюєяp 3^я8юwю“я­ 3ея @юѓю= fl3Fяџяоя№яuя°я |3ряая LяDяq f†faяўю Vяљ 3¤ 3JяГюnяСяТя ’3hяҐюЁяТ 3«яgю5я] 3: faярюАяiXML t9!3&lt;?xml Sversion= €—”–€Sencoding= UUTF `8 U?&gt; s=&lt;BWFXML&gt; sp&lt;&lt;BEXT&gt; s=!&lt;&lt;BWF_ORIGINATION_DATE&gt; –d8 `!d “d9&lt; bBWF_ORIGINATION_DATE&gt; s=!&lt;&lt;BWF_ORIGINATION_TIME&gt;!c:36: d5&lt; bBWF_ORIGINATION_TIME&gt; s=!&lt;&lt;BWF_TIME_REFERENCE_HIGH&gt; c&lt; bBWF_TIME_REFERENCE_HIGH&gt; s=!&lt;&lt;BWF_TIME_REFERENCE_LOW&gt; d387 d8&lt; bBWF_TIME_REFERENCE_LOW&gt; s=!&lt;&lt;BWF_UMID&gt;3*C6 e*FD e3D c4*A eAD9C354C8759*386&lt; bBWF_UMID&gt; sp&lt;&lt; bBEXT&gt; sp&lt;&lt;PROJECT&gt;Р‘РµР·С‹РјСЏРЅРЅС‹Р№ d&lt; bPROJECT&gt; sp&lt;&lt;SP*ED&gt; s=!&lt;&lt;MASTER_SP*ED&gt;3 –•d&lt; bMASTER_SP*ED&gt; sp&lt;&lt; bSP*ED&gt; sp&lt;&lt;STEINBERG&gt; s=!&lt;&lt;A*TR_LIST&gt; s="&lt;&lt;A*TR&gt; s=#&lt;&lt;NAME&gt;AudioSyncpoint&lt; bNAME&gt; s=#&lt;&lt;TYPE&gt;int&lt; bTYPE&gt; s=#&lt;&lt;VALUE&gt; d48&lt; bVALUE&gt; s="&lt;&lt; bA*TR&gt; s="&lt;&lt;A*TR&gt; s=#&lt;&lt;FLAGS&gt; e&lt; bFLAGS&gt; s=#&lt;&lt;NAME&gt;MediaDropFrames&lt; bNAME&gt; s=#&lt;&lt;TYPE&gt;int&lt; bTYPE&gt; s=#&lt;&lt;VALUE&gt; c&lt; bVALUE&gt; s="&lt;&lt; bA*TR&gt; s="&lt;&lt;A*TR&gt; s=#&lt;&lt;FLAGS&gt; e&lt; bFLAGS&gt; s=#&lt;&lt;NAME&gt;MediaDuration&lt; bNAME&gt; s=#&lt;&lt;TYPE&gt;float&lt; bTYPE&gt; s=#&lt;&lt;VALUE&gt;3!c ”c&lt; bVALUE&gt; s="&lt;&lt; bA*TR&gt; s="&lt;&lt;A*TR&gt; s=#&lt;&lt;FLAGS&gt; e&lt; bFLAGS&gt; s=#&lt;&lt;NAME&gt;MediaPu*lFactor&lt; bNAME&gt; s=#&lt;&lt;TYPE&gt;float&lt; bTYPE&gt; s=#&lt;&lt;VALUE&gt; —”c&lt; bVALUE&gt; s="&lt;&lt; bA*TR&gt; s="&lt;&lt;A*TR&gt; s=#&lt;&lt;FLAGS&gt; e&lt; bFLAGS&gt; s=#&lt;&lt;NAME&gt;MediaStartTime&lt; bNAME&gt; s=#&lt;&lt;TYPE&gt;float&lt; bTYPE&gt; s=#&lt;&lt;VALUE&gt; –”c&lt; bVALUE&gt; s="&lt;&lt; bA*TR&gt; s="&lt;&lt;A*TR&gt; s=#&lt;&lt;FLAGS&gt; e&lt; bFLAGS&gt; s=#&lt;&lt;NAME&gt;MediaTrackTitle&lt; bNAME&gt; s=#&lt;&lt;TYPE&gt;string&lt; bTYPE&gt; s=#&lt;&lt;VALUE&gt;Stereo SOut&lt; bVALUE&gt; s="&lt;&lt; bA*TR&gt; s="&lt;&lt;A*TR&gt; s=#&lt;&lt;FLAGS&gt; e&lt; bFLAGS&gt; s=#&lt;&lt;NAME&gt;ProgramName&lt; bNAME&gt; s=#&lt;&lt;TYPE&gt;string&lt; bTYPE&gt; s=#&lt;&lt;VALUE&gt;Cubase SLE SAI SElements&lt; bVALUE&gt; s="&lt;&lt; bA*TR&gt; s="&lt;&lt;A*TR&gt; s=#&lt;&lt;FLAGS&gt; e&lt; bFLAGS&gt; s=#&lt;&lt;NAME&gt;ProgramVersion&lt; bNAME&gt; s=#&lt;&lt;TYPE&gt;string&lt; bTYPE&gt; s=#&lt;&lt;VALUE&gt;Version S8 ”–a4 c&lt; bVALUE&gt; s="&lt;&lt; bA*TR&gt; s=!&lt;&lt; bA*TR_LIST&gt; sp&lt;&lt; bSTEINBERG&gt; s=&lt; bBWFXML&gt; s= S</t>
  </si>
  <si>
    <t>Devil_Roar.wav</t>
  </si>
  <si>
    <t>RI*FВS!3WAVEfmt †C"3 gfgfw^!3 UV!3 hfv3dataћS%3,яыяъяшяхяуятяуятяцящяыяэя!3*яьящяъяшячяшяъяыяьяюяыяюяюя!3 jfnfmfpfpfofjfifk3эяъяуяряняряхяшя kfsfxf{fЂf}fpfh3ыяхяцяхяэя vfђ3C 3U 3g 3s 3Ђ 3| 3| 3s 3` 3M 39 f†ft3ьяцядяЦяБя¶яЇя­я¬я«я¬я¬я¦яЈя›я“я—я›яІяЗяря z3: 3Q 3W 3T 3@ fX"3вяАя¶я·яЗяИяЩяЧяФяЕяҐя‡яmя`яgя}я‹я яАяЧяйяэяфяияшя x33 3\ 3„ 3Ѕ 3Х 3ь fk4х 3Т 3Ґ 3w 3U 34 33 3X 3| 3§ 3Г 3к 3ч 3ш 3е 3ј 3… 3I 3щя®яhя UязюѕюЊюZю&gt;юhю–юаюhякяX 3— 3В 3К 3‘ 3H 3*яЛяўя”я€я‡я’я‘яЗяаязягязябяЪяЮяжяЭяЯяМяєяЁя’я„яlяrяnя}яОя †3‡ 3ь 3H 4 4­ 4µ 4Ј 4Ќ 4n 4B 4п 3А 3r 3J 39 3; 3` 3 3¦ 3Ў 3ћ 3’ 3d 3? f|fvfzfxfp3ия¶я‚яMя [я Mя _яVяўяля@ 3r 3w 3R"3љя `яйю±ю®ю·юРюлю 7я Tя&lt;яXяЌя¤я»яПяЙя№я«я–я—яђя…я‚я…яwяiяhяXяuя°я z3{ 3ъ 3Z 4— 4ќ 4Ќ 4~ 4@ go4р 3» 3Ё 3¬ 3Ј 3› 3ќ 3Ќ 3e 3O fq3Эя¶яЌя[яFя@я `я Wя 4яОю®юќюБ+юxягя Ќ3U 3P 33 3ояўяZя Gя VяLяЈяИя yf…f†fx3эяся qfs3*я!3сяИя»я–я†яЂяtяљяµяЗяйя ђ3h 3‹ 3Э fЃ4l 4Ґ 4“ 4J g4Е 3f 3S 3[ 3y 3¬ 3ь fЋ4c 4™ 4Г 4Р 4а 4Ц 4© 4o gz4ѕ fѓ3›я PяФюВюбю Hяmя№яая v3F 3k 3ў 3д fЂgq4Ъ 3~ f|3­я_я Aякю :я UяXяKя&lt;я \я5я ^я Uя8я^я|я“я°яќяwя?яхюєюџюљюќюПюсю NяMя‘я o34 3њ 3Ь f|g†45 4K 4y 4… 4V gj4№ 3y 3B 3S 3f 3• 3» 3Щ 3Л 3Э 3ј 3x 3S fi3Тя®яЁяyяDя FябюХюШюсю HяQя€яОягяГяcяХю?юµэNэ&lt;э3эMэЄэЯэ Cю dюeюґю 8яHя…я¦яњяjяIя `я Xя \я8яhяЁяЮяъя ~f‹f“3b 3к 3ќ 4Q 5Ц h—64 6ж 5— 5e hЉhq5ъ 4я g‚5D 5U 5W 5j 5c 55 5У 4R 4н 3Ќ fЌ3®я `яиюєюБюзю7яґя —3Ґ f4n 4• 4ћ 4› 4™ 4“ 4u 4C 4д 3h 3щяѕя яІяпя Њ3Ћ 3± 3Р 3ё 3¦ 3` fw3ЗяГяЩяюя ifw3аяія‚яWя:я@я?яDяQяvяЄя i3T 3“ 3Б 3Ш 3н 3ы 3г 3є 3› 3` fw3ея—я[я [ячюПюХюжюъю [яVяљя®я’яaя =яДюЁюѕюЩю 6я:яMяYяFя LяОюyю ]юСэvэ ?э­ьqь _ь=ьcьЈь ;эqэМэ4юЊю“юўю~юPюIюjюґюыю;яaяaя Zя*южюПюеюJяЧяё 3€ 4b h’6– 6Ь ih7Н 6™ 6Ѓ 6Ў 6± 6љ 6o 6C 6я 5ѓ 59 5Л 4x 4Y 4T 4H g†4Р 3Y f€fz3J 3[ 3‰ 3Ф 3&lt; 4Ї g~5P 5k 5_ 5J hs5Э 4‚ 4; 4Ы 3a 3ѕя Aяxю Iюсэ Zю¦ю4яёяья i3ЭяЈяZя GязюАюТюою Gя5яPяЈяюяk 3Ф 37 4@ 4у 3§ 3A flf3f 3х 3— g‚5_ 5E 5х 4Њ 4T 4m 4[ 4r 4q 4G 4М fЂf[я7юђэ4эBэ’э &gt;юsюАюЖю·ю€юnюmюKю„юПю Bяпю№юpю ?юАэjэnэЎэХэтэМэ‘э [э &gt;э 5эSэшэ¦юjяся …3Ыяgяою”юfюhюzю юкю [яdяњяйя= 3o 3ў 3х 3M 4‡ 4В 4Ф 4ѕ 4б 4Ц 4К 4Ч 4ђ 4E 4S 4“ gn5Е hЉi–6B iv6‘ 5ш g–4f 3йяЪя h3Ђ 3Ѕ 3Ѕ 3Г 3ќ 3‡ 3Љ 3Ј 3щ 3y gz5± 5э 5ъ 5Ќ 5ш g‚4T 3Ся…я‰я·яэя@ 3… 3‚ 3\ f~3·яN*яюЖюВюсю PяAя&lt;я IяЫю©юњюСю aяќяФя Ђ3; 3P 3a 3U fђ38 3f 3¤!3 4I 4Њ 4ж gohk5Н 4‹ 4N gy4» 3I 3Ая AяNю¦э WэаьэьKэЪэ€ю Nя”яЗяєя№я я_я AяЩю¦юҐюqю Cюэ JэgьАыRытъїъ»ълъ eы¦ы Nь—ь Gэqэіэыэ [юMюmю«юмю WяKяCя ^я Tя Kя 9*яю ^яџяC f‚g’5B 67 7я 7’ 8н k‚lx9¤ 8Y 8ю 7Е 7o 7х 6U 6К 5W 5с 4± 4© 4Ў 4‡ 4Y 4J 4[ 4Ґ 4ъ 4T 5™ 5Г 5ж hsiђ6&gt; ik6» 5G 5N 4K 3ЂяЩюPю Rю 7юьэяэвэ™э†эРэNюшюҐя Њ3Ђ 3њ f–3wя…ю¤эbэqэХэ9ююГю Gяiя¦яъяs fЌ4У 4g 5° hri{6Т 5i 5у 4™ 4… 4¤ 4Ґ 4“ 4Њ 4r 4W 4ю 3w 3бяOяШюѓю ]юРэiэ `э &gt;эLэ©э 4юZюАю Nя\яjяњяэяj 3Х 3A 4p 4B 4ж 3Q 3¬яlяWяwяЭя ”35 f|3ЙяPя Aяью Wяoяјя i3A 3Q fr3®яCяНю°юШю9яЊяСяШяџя GяђюcюЌюяюПяљ 3Y gohЊ5ь 4¦ 4ш 3p f‚3ХяЯя4 3z 3Ґ 3™ fђ3~я HяЯюзюtя ^!3 4Г 4T 5‘ 5~ h5o 4Ц 3C 3ХяФяХяДяњяшюыэШьyыCъ†щbщµщhъ:ы HьИьUэtэЦэъэ Mю XюжэТэсэьэжэ 5юіэќэ·эИэ 6ю’юXя —3o 4Ђ 5~ 6v 7V 8ф kx9Н k†8’ 7з 6Ћ 6T 6W i—i”iЌ6Э 5– 5q 5Ё 5а 5е 5Ѓ 5Ш g—49 3«яBя|яЅяd 3№ f‹4q 4T go4q 3шяЮя •3™ f4Ґ 4Є 4; 4e 3yяЮю[ю›юmя3 3[ 4h 5Њ hs5Ґ 4&lt; 3|яCятяђ 3Ђ gw5© 5Ї 5Т 5і 5М hЏ5I 9„ 8Ию t:ш 8x fs7н 6MюЩ 5џ 5З g‡8і kЊ7 7р 7› 6ј 5Ѕ 6х 5’ 3В 4`я [юHюаызъцы¤ъuыcь’ыЩыЂэхь Zю k3P f–3є 3„я« 4Шя‘ь|юЬюЉэ Wюђю:ь[эZьбщ Gыаъ KьВь­я}яЉ 3Н 4I fXяКяBэть dюАь Pэіэ№ь Fь Sь Oъ©щPъMъШы Dюќя Ђ4С 6k j—7s 6€ 5s 4_ 3яюtюцэ Uюzэїыyьaьхъды¬ь8э{я ђ3E gq6©!6 j‹jl6&gt; 5H 5o hЃ4Ы 4ц 5Q 3– 3[ 3шэ KэPьПъ¦ъЁыШы_ь 4эчь aэ7ь 9ь _ь `ы†ъ*ьyь®ш®ь9ьњшЇъ `ыТш?ьЗэ&gt;ю l4ф 5t 5Y 6ь jѓ8† 8Д :х :» mu&lt;Ќ :р 9U 9G 7„ ix6И 45 hl5Џ gn5g 5„ 4R 5є 5а 4u 4= 4W fl5i gMя p3Uя &gt;ю Kю›эВыЎыхъ‡щ&gt;ъZъюъ Qыpыюъaы«ыяъ¬ъ =ь ;ьКькэчэМэrэЙьkь Jьbь _эЇю ”4j 6w jv8I 8К k‚9њ 9™ 9€ my;” :~ 9u 8И 6© 5— 4А 3X 4H 5d 5э hy7т 6Х 7д 7Е 7‹ 7Е 6ч 5щ 4р 3t 3– 3ж 35 3p 3Ю 3Sя я­яєяG 4| 6м 7¬ 9µ ;¬ nl;¤ mo9у j’jq7ц 6Б 6{ 6C i“5Я 3J 3@яЙю‹я“ fk5і 6° j•8P k”8} 7ў 6Ї i…6И 5« 5Ў 4Я 3ьяCю Eэ*ыИъyъїъ PыЃьньHэlэцьпывыњыШъНъГъpщ bъЄъкъ 6ыЧъЫъжъьщcщ 7ъ6ъ;ыПьБэ ?юuэ†ь 9ыіщІш ]ш’шBщшщxъ Kъёщ Cщ DшючvшНшЂъЏыYь эMюРэщэТэЅэ8юхюgяЫяіяџя{яKярю5яўяФ 4@ 5¤ 6Ђ 7l 8Ї 8J 9Џ kЂ9N 9Ю 9w 9щ 9B 9Ђ ;л 7[ k|7џ 7· 6[ 9’ 9\ ;Й o~=И ;ћ :А 9Џ 8a 7&gt; 6¬ 5— 5і 4Ќ fQяЕэ™ьЖы MыУъ5ыеъТъ :ъЌщ»шСш7шІч Jш–ш ?шyщ Pщ”щ¬щrъ[ы§э¬эyю 7яћяюя —4 4O 5й 6џ 7ў 8» 8є 9л 9„ 9&lt; 9ш jt7Х 6‡ 7J 8о lЋ:ф :ю :· 9х 8: kЋ8› kv8 7— 5G 3‰ю Zь·ъьщ LъWъ&gt;ыFы…ыюы5ызъfыђы Gьoэ [юWяДя Rя¶я Rю &gt;ю„юKяS 37 46 5Г 4S 4… 3iя‡яЭяЪ fp5Ѕ 6z j’kf8Ы 6џ 5A 5» 4p 5е h—i„6 5д 3™я &gt;юЄэЙэLюЩю ‘3’ fЃ4C 4Ћ 4‰ 4&lt; 4ў 3c 3ђяZюxэкы…ъuъыъ 8ь 9э€юtязя‰ясюКю:я JяОябяѕ 3чя ?яsэєьbьsьEь Wьйьsэ¦эЬэцэ Cю ]яЖ f|5Н 6i 7P 7Ќ 6O 5Щ 3ЬяФя 3‰ 3Ќ 3Ќ f|3Љя 5яfюUю?юЂю‚яH 4­ 5A 7n 8к 8і 8ю 7е iu6» hЊ5­ 4K 4Л 3C 3кя of†3!4v gu4] 4Я gkix8б ni?&lt; tn@C =b 8Џ 8ј 7вшЎ 4u 6ћыдюR 4јшµы‚ыцsщ @ъэцЃц dшКчbцҐшgъ &gt;щqь 8ыцш &lt;ъ :ш“ц;щЬщгыzю ^ю Vэ‡юhэ©юф 4p j‹9м ;а ;€ &gt;х =В k•m—n9џ :Я &lt;о :‘ ovp“9Я 9е 7± i’6љ 8i 8П 9p &lt;™ ;W mЊ;? 6э 3© 4ПюLю eяЛэ`эЎэеъgщ HщзчНчAш;шXшџщ«щЏщ &lt;щйш”щfъЇъ AыРыАь›э JыZы±ы‹ъyы Dэ 3ю‡ gn6’ 6Ъ 7¦ 7„ 7ф 7f 7Е 7ј 8т lѓ8 7 8Ф 4п f{4йюgю—юЏэІэбющю Gя€яmяRя _ювэ№эёыъмъЊъКыjь ь cэ?эGэъьљ+ь Bю„ю¬яmя?яB 3пя |3T 4н 3Љ 4ґ 5Z 5ы 5R 6i 6„ i•ix6т 6з 7ж 9M ;V ;— :Ь 9и 8Б jh8Z 8ѕ 7&lt; 8ч 7њ 6љ 5L 4B 3ЦяsяJю¤эNэ|эМэ8ю«юuюwэ `э ;э¬ьґьнь Wэ\эЋьpы _ыРъМъaы Eь Oьyь­ыyъIъ&gt;ъ†щющAъjътъZыёъеъ eъ шочЩшgфЪфbчнуTфРцGх cц&lt;щ bшЂщЭъМъМъЯы 5ь Dы Xыhь IьДэцю—ю„яЫюАэGю¬юIяД 4І 6э 7± := n~; &lt;µ &lt;з ;n &lt;ў &lt;­ &lt;: =9 nh;ш ;Ў :Б :j ;ј :  ;є ={ =» &gt;k ?· &gt;I &gt;€ &gt;® =ч &lt;E q‚&gt;&lt; =” =¤ ;› 8я 6Y f4эwыЬщвш‰щ Wщgщ;щ Fшbчљч–ч{ш NънъRы Mьыъ 7ыRы ?ыqъ{ъы=эKэeю— 3v fh4&gt; 6и iѓkf:] ;џ &lt;A =™ =г &lt;Э ;· :ж 9f :и :Ђ nfp‰&lt;v :д lg8с 6‹ 6; i‘6Ѓ i†6® 5Т 5µ h~hj4“ fk3eюРэ6эЃыYъќш№ц[цРхEхpх 7хЭфcхєх:цЋчїш№ъ№ьVюьяe fm3_я›юСюуяр 3O 5&lt; 6Щ 6Ќ 7у 6N 6Я 55 hr5ј h“6r i‹j‚7x i€6K ht4Ж 3µ f•gf5– 5у 5њ hv5ш f|3 ясюУю‰ющэzэМьЬы Rы_ыaыGыЯыfьЬьwэБэНю ’ft4S 4b 4Й 4ж 4У 4г gr5› 5p 6а 6f 7Щ 7б jkjЊ6• 5† h—6Ћ 7М 8Ђ 9} 9N 9H 8л 7Q 7Љ 6¦ 5б 4Ш 3±я Gя”ю«юяюКюЪю SяБю 9яҐяся9 3м 3‚ 4ж 4D 5ц 4† 4ш 3Ья8яaю @эIьжыјыЕы 8ьКыВы ы 7ьньЏэїюzяљяHяќюЬэ~эЊэ»э­эмэoэвы¤щХцsфўт Hс‹р©р:сТсbтїт `уЖу}фюф«х6цVцЧц DчOч 3шДшищiы`ь‘ьaьфьрэ Sяґ 3k i‚9к ;¦ &gt;p sђtђBv B‹ u‹B\ tm@Щ &gt;c =m ofozoЏ&lt;Є &lt;Э &lt;Р &lt;Я &lt;Ї &lt;X &lt;’ &lt;№ &lt;i =A &gt;Ц qir’?R &gt;† =m &lt;k n{:k 8H 64 4rюкы8щЙцБфЫу:у `у Vтyсqс„тШфёфшч*шЁы~ымэ 6эXюмю Ѓ3¤яL 4J 5г 6a 7: 83 k“8ч 6r 7Т 7] lf;ц &lt;е &lt;4 &gt;| =G &lt;Ж :d m‹:ф :d n‹;!: …:Њ 8Z 7г 6Џ 5b 4§яLю4эEьqы^ы bы=ыЭъBы dы ^ы `ьЯьіь Sь `ьШыIыАъЂщ—шршїш¶шґщxщMыІыБь‘я® 3Ђ 5… 5q &lt;М 5ёэн ;¶ 6ю 3¶ n–:4 hoЌ7= ip8г 6xя[ 3p fCяСэй 3·эХэWяtэ©я tg”fB!5 6і gy6_ 6ъ 3ї 4њ 4љяРя6 3»юшю’яьюv 5JяҐь*юЂэ‰ыбэdюSэ‡ hz5Б 5a kf8 8Я 8ђ 9ь 7° mp;8 :ж ;™ nЉjr8Е 5@ 3Ы 3« 4Ё 4] 6џ hv4J 3еюБэ‹э Lювэѓю Fя 5юџь{ъЧщ8шEш„чсшdщЋьюьЈэГя Zяќэ ZюпьbьЧэЁь?эsюqюря@ 3Z 3Л 3— g…4DюеюЏюOь ^я­я 4я i3Ўя Zю»ю‚яню Џ3І gs54 5ё 43 4‡я cэ“ь?ы JъЏщ‘ч ]цzфЌт·ртоWнІнѕнЩоqп 4пXп eф“пpпfшъуWф6щхц­ц Oь=ыRю ’h—6ч 6J 8_ 9§ 9Є 9л =!?« siC„ BЯ B» BЊ Aќ t—Aп ?µ ?ш &gt;N =± &lt;U nf9Q 8Т 7© iЉ7Щ 7© 86 nЉ:Ы 9™ oђ&lt;е mq&lt;Q ;° 9© nѓm‡9Є 8` 6x fXэ Rъ«хЮу bт@пноАо YнЏпвпЧп EтBф Aц“шxъ„ь‹ю– f}5e 6и 7† 9z : ;« ;Ћ m‡:Q :x :o :ы :у ;’ &lt;Џ q‹&gt;  =Я q–=­ ;ћ nЂ:c mh;Њ 9x 9© 9M j–ix5dяНю~яЦюкэ ~fr3&gt;юA 3¬я•яѕ 3ц 3M 4Ў 4 4® 3Q 3ЈяҐюvэ6ь”ыЮъ Eщ7щНш Jшњш›ш 4щёщґъ•ыпыОьMэьэѕюBя Kя Њ3y 3A 3л fw4щ 3  4† 3ЫяЅяxю3я±я‰я[я@яmя |3MяЖюшю­э=эјьi*ыщОщcъ Tъ eыHь Vь 7э 5э¤ьјьИьiэ©ю 5яйя5 3тяУяI 3l 3` 3є 3Е 3Љ 4R 5« h67 7Е j|8и k:T :Ь :„ :§ 9’ 9Y l“8В 7h 7B 6U 5¤ 4л 3· 3а 3? fk3іяцю 7юхь Pь|ы±ы;ьWэрюB fz4R 5њ 5У gѓ5} gqgЃ4I 4B gi5A 5L hѓhvg—3oя—ю‚юRяLяT 3h 4Ё 4П h~i’6ю 5У 5P h‹hЂ5т 4© 5№ 5џ 5Н h”4Уяэю @эвы^ы bъ щ RщцчЦх 5фНсNпzн Aмsк DкЫй°й Kкрк^лЗмєнIоЎоЫо [пжпьрaтЩућхsч’щZы~ь [юьяZ h‘j•lЉ&lt;: &gt;4 ?д @у Aq tѓBЈ u–Bб tuptu@K rs&gt;Й &lt;І &lt;9 &lt;‘ ou=• =Г =м =ў =М =j pmqj?Ґ @Й Aю C6 Eг G¶ xuFѕ Cф Ay &gt;O p{my8\ 67 4АэБъчц¬у BсоЦн¶о LпµрЎт 5ф :хTц\цЯч‹щВыШэ ]!3 i†8g :n &lt;7 =j q|?Q &gt;{ &gt;_ =D =Њ &lt;Ђ oЃ= =Ь &lt;r &lt;I ;Ё 9к 7Е 6© 5A 5З 5W 6ж 6Щ 6&gt; 7ј 7@ 7@ 7? i5Џ 5M 6t 6s 8P 9‚ nђ=A ?_ @ю @Љ A“ @њ ?ж &gt;† =l &lt;Щ ;щ :ь l…93 7n hy3Iэ \ъ Pшoх cф*уCу¶т&gt;т=сћрЎп7пйп 7рмс ^уф 3ц ZчЬч 9щUщ¦щЫщ_ъ±ъУыЉь€э=э [эцы Iъ Jш EфpрнСо _ф Fщ ZюЈ 3Л 7”у{ш5 3·х Wщ` i8э ”4: =ф o’D3 y—CҐ AX B‹ ?Л ;j ;Ї &lt;“ jn:“ mf9s :К 6ЎюSяЕэ7ю€ 4m g‚6Ы :ћ :М mѓ&lt;J =ћ &lt;W &gt;L q‡?Щ &gt;Ѓ 6в 4v 4Єь Zь ]ю Qы \ыкэ•ш =шмх DуAсRт}сbуХшeъыъЮэhъ{шРщќцтцёъЯь YяФ 4ы 4ђ 5Ж 5d 5Є gЋ4v 4E 4щ 5д 6њ j”7d k“9± 9є 8ѓ i}5^ 3Ћ fKюбя Ћ6Џ 5^ 5ь 5јя SяGь Wч 7цUф &gt;тЇсс»сІтюухсЊпщсщо–оmтЕр 9сTт*сqсЌуЄтhс ]т|сJр“рХпUр Qс“тЅфьфiц‰ц `ц LцшфбфзфЇхчмщ”ьd 3µ hѓ8И ;С &lt;К =я rysN!A CZ vsEЌ F{ FЪ Fj FЙ DF Dn BЏ @Ђ AЩ t€BU Dй Ed Eђ Eя Dъ BЏ BД Ad ?Н &gt;Ќ &gt;Щ =† &gt;@ &gt;л &lt;г ;є :„ l‰ln98 9Щ 9о 8l 8l 8щ 6Ћ 5ц 4r gѓ3тэ dыTщ?шQч QчЗч _ш~шPщЩшњшмш:ч 3ш~щЪу9щЬы Eч?шBъҐч &lt;ь ‡4† fl6й 5ЩяИэ?юхяћ 3° 6« 9ё 9H =¬ ?‚ syB­ Ab A4 BЮ s†@Ґ ?° =ћ ;a ;З 9ц 9б m”:Я 8П 9ж 9~ ;® =‘ ow@| CЯ BЖ BІ C¶ B5 vgD„ Ba vhBР =‰ mЃ79яєьЌъ RчКх“фАр†оVм¦зњдїв @б’а \б«бgвьгЇеCж9зdиЧи]лЖн Eр»с Rу WфјхPчнщ”ьЖю {47 5E 6й 6i 6? 6л 6Њ 6K 8л 8m k‹:С nr&lt;W =G ?ю ?f @П AR Aх @€ vpwhEX HЧ I_ }wKЗ J&lt; Im Hц FИ Da Dх BЩ @с &gt;ќ &lt;s :Ў 7љ 5b f4юь…*ыъ¦ыnы dъVшюц~хhуyсвп|офнан Gоdо @пђо7олмћлcл \м¬нCр®твфeчИшЎщнъqъ ?ъFыЊыQы &gt;э±эЖэђя­ 3m 3® 4и 4s gr5A 5© 47 5Щ 5« 6’ 7@ 8o 9n :k :¶ :ё 9’ 8_ 7‡ i„6k hЃ4фя№юgэшы~ыиъ]ъaщлщMъ¦ыЅьGэlь&gt;эєэ ;юСьТэцыOюќыЙю?эоэпьТэѕыЦъ¬щ­шџш 9щDщ·щ_ъpъ Wъ’ъАщ Pщ YъVыђьђя@ 4о 5Ъ 7© 8  8E k€l‡8Њ lw:і 9Л 9  ;г ;9 &gt;M &gt;x @l ?s ?В &gt;¬ =® &lt;Й &lt;S &lt;о ;F &lt;µ &lt;• ;A ;к ntnu;› :Г :“ ;Б &lt;† &gt;— &gt;у &gt;Ѓ ?В &gt;d =Ќ &lt;г 8° jЏ6A 5› 44 g•4– 3©яфюфь;ъЮш&gt;цFу :т Aр \оЛмям aл­л Bл;лбк€к EлhлЌлхл ;нРоѕр @т ]фPхmц6чЧч UщЌъ ]ьщюg 3K 5Х 6ї 7„ 7Ш kgk‘8_ 9Ў 9с :X &lt;a =€ =Ќ =a q&gt;Q qi&gt;и p”=Q q…?R @щ @§ B8 C» vhD7 DМ D= ER FТ GЈ HЧ I JЬ |Ђ|—G[ w~BШ ?Р o‹; 8а haяН fSыАсeш Eтым тOфўрvх Vс\н¤оmн‡м&lt;пдтІуу bч Gчшч?ъФш·ъ9эЭьTяє 38 3э 3э fy38 4ґ 5й 46 68 8{ 9r &lt;= ?G @8 DP Cп ?m sЉ&gt;Ћ :Г :a :б k};L : 9Ћ :P k’ki9ч :m on@І uЊDW z}HТ Fя GЁ Eѓ AY ?Н o~:ѕ 9ь 8Ј 7Z iy4Вь Zш dфІп¬лLйњзЇжшжzиЧй Oмoм :мЉк AкЋиЉжДзdз}жmи;кcмцп=сVф SчИщ dэKяS 4ћ 6[ 8Ш 8c 8З 9Z :№ 8Ј 9ъ k‘8— 8Ё 7ч h…i–5т 4д i–8Ь 8 ;ѕ =Я :G =A pЊ5©юs 3x 6` =U DT Cм C{ A¬ ;l kЋjЉ6й 4ќ 5‡ 7П 8р &lt;› &gt;‹ &gt;l =„ ;8 :О 9Ь 8­ 7w hs3ѓюІюLюыьґъlчУфЄт€рђпиоЬн dсжс:рНпЇрoс 8ф ]цяц‘ш¬шћш©щвъјьXю® 37 6г k–;~ ;T mw98 6_ 4W 5O 7ь 8R n„=\ =Щ oq;5 8я h’5к 3• fu4&gt; f[яцю aэ…ы Yы7ыЙы7ю „fy4Y 7й 9І mЋ&lt;G =ћ &lt;9 &lt;f ;• 9† 8n 7E 6¬ 5Ч 4ю 3TяQэ 8ъdчЏцЛф‰уЖу†т LсcпЭмјкмиѕжщ*ежGзхзИиXиЫизйfкЄлUн±п `тQ*хш“ырьжэќяПя ”3K 3¤ f’4° 5Ц iѓj–8C 98 ml&lt;Т =~ &gt;“ ?4 @№ ?я ?Х r}?j ?М ?П &gt;ђ &gt;&lt; &gt;в =з =Л =Ѕ =S &gt;!@ {A] Bю Ci Dщ Eм F{ FХ FR F… EА D— Cч B‚ AЃ &gt;J &lt;ь lv6] 3Pюяъ IшҐхGу ?сшпіпЩпЈп~о _нзл?кyй»йЖй XлoмѓнЩпасЎу~х aчxш•ъ =э \я |4« 56 7х 8” :± o‡? Au w‚G“ I: K“ Kї KЇ KЦ J3 Jї |zI&lt; HЩ GЪ zxHЧ G… Gф FЊ yfGw z{GЛ F9 FG EФ wЂEh Eу wЋDR Bё rg=? :^ 7Н 4WяАь_ъсчQхфсЬоОлЯи Qз =жlее :ж 7ж‡е dе“дьггtг3г ;гФг¬д Fжи ]лон \сxу—хћч dщцъЕь|ю Ѓ3!5Д 6J 8P :Ц nmp”&gt;Ц &gt;° qv&gt;г =• =¤ &lt;o &lt;ј &lt;С ;o :ї 9\ 8” jЋ8T 8I 8џ 8з 8џ 9б mv&lt;q of=W &lt;Н ;Р ;І ;и ;3 &lt;й ;L ;L n„;о :] m9њ 7u 6З 58"5њ 46 4Ё f„3ќя6я±юҐю¤ю Uю›ьBъвчахpф‚у &lt;у Sу©ушфgцшч _щ eъ Rы 4ьЈь¶эюQяжяХ 3ь 3ў 3h 3_я’ю~ю“ю ;яІяC 3і 3‰ gj5Р 5ѕ 6к 6‹ 6Р 6у 6€ j–k‡k‹7‰ 6‡ 5f 4Ж 3ж 3† 4K 6I 8Л :T =ш ?є Aќ BЏ Bэ BЙ u}C‡ B­ @¬ =­ :Ч 6© fWюТыhфЇрyмHпґу4 h_юhр Mю AуГиІнЄйЇа7кЮгBб‹иШкОед \ж Nв­а OзБд€енкюйgпЈфiу;хЁх Oфlц ]ъ 4ъ5эг 3С 5” k”lЃ7р 5u 9а :Ё BA ?: myAj @g pЉ?l ?l &lt;~ A AИ @k E¤ DН u‹Aу ?Њ &lt;Ќ &gt;ќ s„AG DS ygDД EЂ vЌ&gt;Џ =z &gt;P &gt;№ @п utvzEш FД xsD¦ C№ B– tsB‰ ?; ;Ѓ 8z 4ѓэњъmцбфђс*рHо\к =нЈнцлbп4рШсnхнт{уСфAх Iцџц[цQш’ыWюеь m3О 5зя }7К 9V :4 &gt;ю ?° @&lt; DQ xЊwkDм!B @[ @m &gt;R =З &lt;… :– :Њ :T :9 nЋ:W ;« =Ј ?= Ar tguvBa Bj v…CИ AF BТ @р =№ &lt;є 9ї j|8Ѕ 6я 4б hђ4jяTюЊъЂчЗх^сЫоълшзЂж FжQдѕв bв Qа…ЯдаюЯ @айб `вИдµи 3м :п с©т &gt;ф BхЎхSчлшlъjэ·яy 3Я 4° 6… 8П :O &lt;ќ = ?v @є @s Aw @| &gt;ѓ p}&lt;У l‡:в ki7h 6ј 5Х h~7Ы 7F 8@ n@… &gt;м Cp IA CЖ &gt;с =И =• Eл Pш Py „ЉNM Dћ &gt;Р =T qѓ=б =X &gt;д &lt;ѕ ?ё A&lt; Af ?‡ ;Ш kj6жя&gt;ю cь7щ `цЛхMхЂхЧцЩу ;т@уlу&lt;цФшњч…ъВьgъпц =хҐт?у Lф¦тCуёсІпУн LнrнОоЭс¤ф4шmьiэЁьры GшSфћт*с cтKф®ф NхФхoхgф@ф `цПшMэЎ 3d i‰8g kxlkmn:O nЌ&lt;Ф ;x :Ј 6Џ 7z 7ь 3к 3ё hЉ5e 7Ґ 7!5О g‘49 fЊ3_ f‹3л fwh•3Rю pfCя–юія|ь Vъ3ш‹хлу Hт=пЩмКк•з:ж•дЉг HдqеЃжщз§иwкомЇп~ф IшнъЈэ aяЊ 3J 5« 5Ћ 6х 6х 8Ї ;p pmrђsftsCб DМ F· Iх K: Ne Q3 Rл PЊ OЎ —IJ G6 Dm uѓAє qЌ&lt;џ :Y 9ѕ 9T ;х &lt;Т &gt;і BO Fа Iж L… Mќ Mf Mљ Lg L€ Lє Kp Iѓ GУ w€Bѓ @Ж pѓ9C 5=я Aьnщ‘чТфОсШоілaи*еbдэг‹гЭвvб =а _аmбgг _жCйzмlп•т^цOъyюъ 5c 9д ;X po&gt;Ж &gt;э ?c A5 C` D„ E„ FЃ yЊywEш CГ BШ t–@Ы &gt;і =O oy;д 9Э 7— 5u 4Б 3љ 3^ 5Щ 7Ц 9Ћ oq?c @ш Af C{ Dю E“ yzFU E  CО Aь ?D =Ё :µ 7ь guf7ю JыЮчpфЋрLн¬к 3*ие№д eгYб•ЯЮЭЬyЫLЫ 5Ь IЭWЯІв 8ж HйOм Rп§т¶х|ш~ы€ю‘ 4ћ 6I k‚:“ :щ :л :л 9К 9Ѓ 96 :Ќ &lt;a =Ґ =ґ &gt;Ћ &gt;ґ p–=л ;¬ :п l—9Ђ 8| k’8: 8ћ 8C 9a :± ;? =р =Ї &gt;© &gt;Г &gt;ј ?6 AЙ u}DЭ DЏ DQ vЏuѓAy rt&gt;O pvofnђmf9G 7} 5¬ f;я eю Cюшэ†эMь aъДчrхMу‰с@р«о«нUн 6нҐмЁмім cн«о cр;с{т LуГу 9х Nц©цJчRч¦ч Nш Nш›шЋщДъ :эqя‡ 4~ 6П 7z 8Г 8Е kmlg:Б :У :K ;О ;Ђ ;Ќ n†&lt;ы nj&lt;6 &lt;№ ns;_ :Г lplp9о 8– 8х 8@ ll‡9l 8e 7© 6S i‡6: 6x 6b 64 6Й 5x 4a 3Qя Jюбь§ыiъxщdшмц ;хДт€рЗн&lt;лИи Hз6жье„еHеµе{еmж 9иJй¦к»мЏоЉрДт®фIцDш¶ъ cэAяђ g‚7ъ l}=Я @ў EЏ FO Dњ w‹EР ЂrUА aЅ Z‚ fYј O; wЉKЃ H– &lt;Љ t}:к 7 ?Ч ?ґ :T ;Ѕ oq7Ф hf;G 8M 7я ki7з ;6 ?‚ =Y &lt;  n—m†=s @k sfCL GM F] DЁ Bn &lt;L 9і 9° 8Й ;r 4§шюш Zтжк Pйнж N*взви Yи Tм bлхйлиЗи ]ж:кuпюс6ц9ыvъ…эkю€ывэx 5М iz;„ &gt;У =[ @o C§ CD E&lt; H IФ IЌ LЯ JЮ HC Gа u‰@T =¤ 9Б j–4Ґ fAю ^ъ _экэ”ьБю~я· 5† km6ф j€nЋ=» &gt;А ? &gt;&gt; =g &lt;р :Ќ iЃ:™ &gt;Ф :P &lt;© :d 4}юшщЗхэфµр™лоиjзЮеЅзёе;дЦгжбkбiбКа _бSарбйе aйкмЌоцп»сяфlшяъюь Ќ59 9У ;R &gt;ђ ?© A§ EЯ G] I: LP KН Jл Jє Hч zpGЈ B№ @к &gt;с ;Ц :C :a 7G 5  4Ђя —3Ц 6d 8? :w og&lt;Љ &lt;&lt; =S &lt;а :¦ 9Ў 7Ћ 6У 5’ 4’ 4l 5а hj8 :m mw:® :Э :9 ;Ё :Ы 8p 8_ jp6† fDь HцІр—к Yе ?г YбвЮ `ЮiЮ FЯµа]вјглжIкРм†п‡тШфџцTчїчbч’чe+чUщМшбш¤щoщЫшУщ»ъсыіэђяљ g‹i~7R 8L k‡8Њ kѓ8Й 7K 8Њ 9ќ 9: 9f 97 8§ 7Ф 7з iЋ7K 8V 9Щ 9’ ;x &lt;~ px&gt;ь =ґ &gt;O =8 ;t 9\ k“7n 6&lt; 6_ 6!7d 7^ 6„ 5­ 5у 4в 3уяfюSээMюПю”яЊя wfq4І 5· 7ў 9џ : :ё m‚9ю jk7B hy4ряTьfщоцНф‹сyпіпйо Vоер Gф„х:щwь’э~яЃ 4э hq7u j|8d l†;8 ;} ;{ o‚&lt;¬ &lt;@"&gt;у &gt;љ ?d ?њ ?і ?« ?¤ ?[ rЂ&gt;№ &lt;ј :Ы kg6Ё 36яБэць¦э HюџюІяј f…5S 7ў 8V 9Љ :й :л :U ;в ;f ng;` :… :У :Ж ;¤ ;„ ;6 n:Д 8ђ 7D 5ЎязэСыLщкцFуNпл IиТеHд’гчгКдЙеPзZйУл ;пFт‹хСщќэЇ 3Ґ iw9ц :Г nv&gt;д ?ж @± B DЊ DC wЌw•C{ BУ Bm B: Bќ u‹BQ @‘ q&lt;ќ 9Њ 7х 5Ї g•gt45 3‡яя‚яРя Љf’4ё 5o 7ђ 9з n&gt;m @X uiw”xЊEЁ CB Bќ sk?  =6 &lt;‚ ;Ќ :¶ 8p 6С 3IэљъГшqц›ф_уШс—п @оълХй eи@звеъдхд:жIи¤кSн Xр‰угц4ъ MэЖя t5w 6a 7т 76 8• 8М 8d 8Н jgj{6ћ 5С 5Б 5П 5H!6 7‰ 7µ 7› 6n 5М 4Е 4¬ 4&lt; 4• 3ДяГюЬэйь‚ь…ьОь eэ\ю =яPяa 3Ќ gk5C 5у 5И iђ7€ 7К 6в 5[ 5‚ 4ў fѓ3}ядю CяНямяlяСэФыЪщ«ч Kц№фмуOу =уqуЃф€хьхЉцЅчшщrьНюя 3M 6y 7Ъ 77 8w 7_ 6ґ 5Ы 3HяBюђэ 9э ?эпьYэъюя 3п 5є 8– :¬ &lt;Ш q„@X sz@d ?Z q~=Y ;э 8\ iђ4_яњэ PэзьdэLюIяT f„h”6@ 7ђ 8ђ l|:j :“ 9” 8  6&lt; 5ц 4W 5ў 5`!6 7Л 7ђ 8= l‚9j l{9g 9¬ l|:Ч 8ж 8« 8x 7&lt; 4&gt;юNъЬч bьГ B‡ :6 5Ћ wЏ6хщЎь Aрµк Mт®еІгњйайkж KйЖкЉиќй Gоѕн„тMц ZцЧщZюыюB 3oяhэjэ Dю Qьшэ Cяфющ 5и 59 3пяFюФ 3] &lt;; 6| 4] nv8Я f3Ьъфц\ы 8шушЁы|ы›ъмы 5ыјшЮъHэЕюі 7Ч ;D ;^ @т rЏ&lt;џ =h oЏ:ё &lt;‰ &lt;8 &lt;9 ?€ @« @ђ A€ B± Aњ AІ u—t~?П ;V 9? 6oюЂы6шaфnх\рЭмyрЙп Yп 9уЎт YхщшЭшеъOэ YяA 4й 5e 5Ю 6Ы 9И lЊ6w ;k &lt;C :X rz?3 &gt;4 sqk=Ќ &gt;Ъ =N &lt;k ;y 8Y 7Б j—5ъ hЋj–7ъ 8S :x ;® &lt;љ ;&gt; =Я =h ?‘ @ў @С sgA· AМ tsA‚ A‚ C’ Dљ FЕ Gи FН yЋG± D= C– tѓ=u ;Ы j;яґы NшъућуvсXп;пjпынЧоYрЇпjрйпaм6лXй bи JкЪлшм_п7тИфѓшЪъБыХэFяґяD 5Њ 6&gt; 5р 43 g3a 3bяїюФюEю Oю Wю”ю§юYяЧю :юьюzюПьOь Pы№ъzьнь©ьqэ Kюлю4 3» 3А 3Е 4Н 5z iЋ6ф 6У 5Щ 5Э hm4L 3[ 3хязяW 3bяпэNэ 3э¤ьаьUьeы‡ъVщѕч’х Mфэуиу&gt;уІу®у;тHу­ф’хMчbщДы]э Vяфя† 4и 4г 5х 6с 5њ 4eя ;юxьАщ8ч®цюцмчЄш`щ AыТьҐю Ћ3„ 3Н ft5e 6f 7© 7У i~i•5Ь feяуэMь¤ьБэ‡ю© 3X h~6І 8v :ь 9D n”pm&gt;I =Х =q &gt;Ё oЉ;!&lt;l ;С m&lt;o &lt;4 &lt;і &lt;Ф &lt;T &lt;б n†;ў :в :‹ ;Ў ;џ &lt;Њ =Д &lt;? &lt;‚ ;ы lЊ:з 9u 9ы 9p :Я :t m9ю 6e 4ќюоыгш Dч Cх NуПс=с &lt;рdп OпШоzпHс?т@ф Eч_шЂшѕш Gш3ч ^цќфxу¬тЪтЉтЬтЗуЮуџфXц PчГч _щыщ Qы;ьEьныdыфъFы¬ыЭыІьvэ–ю*я[ 4K 6= 8o l|;„ =m ?Э @Ъ A« Bт Aк @v @„ ?¦ q?й r‹@Џ AВ Bё BC CЁ D” Eѕ Fш G±"GЖ FИ DЋ AE &gt;¦ :6 6yя“ьњщѓч?цхУхЊхRхДх Sц­цВч LщащВщащ _ъ 6ъЗщ _щЗш†щащ]ъ QьРэЌяі gЉ6ж h…6S ipin6¦ 6љ 7S 8ё 8“ 8n 8‡ k‰8Щ ku:R n|=› qh@^ sv@Д qЌp…&lt;Y nv;¤ ;k =Њ ?@ Aъ BН DI yѓHХ I¦ ~‰MP ЃoNJ L8 J— G¤ C; ?¶ mo6»ю 6ыЮчuхяуЗтdтасурЋпqоҐнЎм¤лцкй:иcзЛж•еlдQд_д«е :и 8к &gt;м|оњрUт EфхлцQш 8щВщ WъQъ bы ]ь HэЯэBюШю5я’я r3Ф 3э 4n 5Q 5Я 4с 3j 3d 3п 3x 4\ 4ю 4Д 6н j•9O := ;i &lt;X &gt;‹ @ё Aї Bw C— C¤ Cё BЫ Ak Az AЗ A‹ A› @R ?» pj=К n|mp8а 5С 3Iя ]эuъњшыцeхtфEу8т 7тlт&lt;уБф \цШч _щ\ъ 5ьgэQюою :ячюЎю№эщы{ъошЩч YчYц =цjц8ч^ш¬щ NыЄыLьКьэь¶ьЕы Yъ¤ш :чѓхRфЫт€т Cт3т‹уюфЯчzыЂяH 6Y m|=» ?~ Bc Dё Dг ?А ;L 5p 8ъ Mм C7 C} QЄ E&gt; s|D’ 5в i•CЅ 3] g‡=‡ ?х &lt;Ы Aш q‡oЏoЃnЉ75 9Ќ 8– 5й iЃ9S 8‚ 9© 8Ј 4t 3‚ 3Ъь…э RьIы@юФш›с :п?йвкAтши_йјтјт 7оЩо”йБи ;п HлКнЗрxс|рОрЪн @мЫм{мcлҐр NфLфтьFэьЈяМюкэ z4‡юwюЛяYя\ю{яg 4к 5ю 8n p’@Ж BЦ C© G™ HЪ GГ H¶ Gы EЂ!H AГ &gt;Х @ј pon—&gt;6 ox?‡ Aђ trBв vmDК y}zЌE] wuF] @– 8э 9Њ gTъвыKх`у?уШп`нUоїмUмък7иІи 9мҐк 4мiн Vп№т=рф 5ф¶х cч‘э ъЏю§яr hr6в 8” j‰8ў 7… :ѕ ;з q|=п &gt;] @µ D‡ EN I‰ FU H@ J{ }{FГ GЃ A4 &lt;Ђ &lt;ь ;ѓ @‘ ~Qђ Nљ NG IР FЫ EG Eљ GD K– JЊ ~€Q; Љ|Xf T” Ѓo|ЏxvBP &lt;} 6yюHшҐхAхУсЊп :о XкzйіиЦзій:и cйелШзgдНгљв‰в Kе ?дIгщдІдЮе HзҐи Mлzо‚т cц Fшcщ¶ъ€ыBьещ Aч~щ Qъ Dя№ 5є 4_ 5&lt; g&gt;я®эФьРь Dь YьXь„щэшjъНъШьѓю Eяжяі 4ш hЌ9я 9ч lmo—&gt;b A“ Aм ?‘ =Ф &lt;5 mx:&gt; : l‘:Ќ 9H ;‰ ;“ :« :K :ы :H :Ѕ 7оя Mя Oэ№ы =ъЧчsх Lфt+у•тaтїуЅуЌу Fт~рНр™тWхOцёш¶чЉш RшЬч3шЧчгчЉъіыoь 9юЪю9юіьђькэ 6э†ь^ь \ь MьАьbыlыњьІь^эИьђь&gt;ь8ьэьaь‘э~я t4о 4\ h”5М 7\ 9\ :К :ѓ ;» ;О &lt;м &gt;й @Њ BЧ Cќ D« xЏHе {fGъ w‘vЉ@x =• ;e 9я 83 9I 7‹ 6ё 6д h”6ѓ 7&lt; 8b lv:s mw;Й ;б &lt;Б ;Ч mЂ:‘ j|6і 5т 3Љяcю ?э \ьћы 4ъ dщ ]шOчјцшфЫу:уµс Tс ^р `п¶оИоіоХофоЬпспЁпмп{п TпЎр‰сHуbц§шKъ‘эB 3о 4Ћ 7 :L &lt;? &gt;– ?ў ?В ?P @І ?з &gt;и &gt;J =&gt; &lt;Z ;„ nsnЏ;ў nf=` ?з @У AЂ BЂ B\ Bµ BЅ uBр AU Aк @&gt; AZ tђ@{ r~rf=; ;є l‡8А 7W 8Т jf7Ј hЌ4дюоь cъМч‘хѓу3схоVмµкJи3жlдіг5гдгЉе EзФиSлЫм cпЂтІх8шµъ:ьђэgя h4Й 5Ф 6© 7¤ 9Ъ ;‘ pg?Э ?” @I A~ tЂt‘@ф &gt;г =Ж =: &gt;І pv=љ =‘ =± =у pЂ&gt;К &gt;® ?^ @P t‘Bц u“CJ Dё FЭ {“Kо …OИ Pс ѓqP® NC Lы I} Gќ wЌtw=d 8b 4©эaщрх Mу WскпЮп:п Rонyм»лБк‰йиЉз eжБд PдАг 3дЛгoе›и†лqоlсkф @чvщxь Gя_ 4A iz7ё j‚8л 7A 8я kz9‚ krj†5ґ fЌf@яcюEюhю ^я 3°яЗюkю AюHюЄюЮю eяЕ 3e 5щ 6ц 8н :‘ =z sfCД Dі E_ F‰ FЋ Fw Fг Eт w€CЕ @U =Ш 9K 6— 3јюМь Cыњщ^ш&lt;ч Rцъхшх\ц™цpцHцсхdхФфрфхфьф5х:хyхЉхѕх8ц _ч FшYшЮшЇщ `ыь±эµэбэйэtэpэ¶ьGы{ъ 8ъ 8щСчµц‰хМфMфmуTт OтKтXу _хЦшъч 8ф±пВфжю7ы }AG Fю s}D= Cm 39 h•:Ї gy4« 8щ :Т ?Њ Fю D’ DT zЊFx tyDR ti?j @ж &lt;н 9з 9~ j‰4ћюПыэщУыNы&gt;юл 64 &lt;– 9› mђ9Ф &lt;9 &gt;п 87 :4 &lt;@ &gt;з pv:hяp 4Ё 5›ял f|6: 7Д 7j 6дю Xэ»ы KхЗпFрkнuолрTнFл Jлри WйІкПивй[м Fм :нjп 8тУудш ?ьiэЕю’я Ђ4е 6Х 7ь 7К 9” ?р Aг =€ =l qЂ&lt;Ф ;ђ ;ј ;я =a &lt;H &lt;‘ o–;‹ 9ѓ mi;d ;Ї &lt;4 ?` =А p•@i &gt;` s…B« @7 BR Co Bм uЌCH v†Cg @a &lt;ч 9д 6ўяия n3?я®юпэвэЂь\ы`ъ…щ [ъnшЋц‚ф_уљпEнон Lдuа &lt;ЬѕЯ†йшоЇтрт 9сGоЛр ?т Qх™чюъqь Uэѓ 4 =Ѓ &gt;п ;P npm†&lt;д ?B q‡&gt;ё ?Ц &lt;О :y qx=¶ &lt;К ;­ :d 9r oЋof&lt;ш 8б ;ш &lt;т 5УяГю¬ 6U :d &gt;Ъ r|@X Cz Cs Bг B5 Ep FL F· Fe E{ EV Cґ &gt;i :A iBэљщgшЫц QчgшTч _х Cф Tу Jф&gt;хАфпуѓф`у?сDсJс 6р Hржп MсЂу@фЪтДф Cчeц Jчєш 6ьўэ=эСэ ѓ3к 4Ђ 6™ 78 8^ 7j 7Ў 7Ф 5Ї 5f 5u 4и 3` fZэъЗщ=шjч Nщјъ@ь|ь Ћf‚gr5n 5k 6q 5· 4ЇяTю Zюљ 3Љ 5j 9Ч mk&lt;Y =н ?ѓ urwjE&gt; ywFр F№ Fw E™ AA ?L nz;— 6H 4¦юЛя Wя·я Xяґ 3е 6Х 6&gt; 7K jy7Х 6Н h€g|f5ьёш9шђхюф®х©хЌц Yщ Eщ}шыцhцЕцШчќхСтVрясвпъоyнRйМзµж 6жiбивKг IдЮд PжтждзµзMй _мЕно{сћу VцµщЙыeьня Ђ4C 5м h…j†7п 7™ 6!5  ft4Уюcяeя„ 4§ 6µ k‡;m &gt;] @™ B¶ Di GФ Hѕ HТ GH Gм E` DB Bф ?« &gt;Н =8 &lt;ј &lt;Y &gt;Б q‘A¶ vsE‹ EA xЌFV FІ Dџ v€BH @a =р :Ћ 6ЙяИь 8ьѕыEъ Hы[ъ =щGч&gt;хЯт†у aуpтoуНу Zх¤ц QчщчУщфщVь№эЌяе g‘7я 9E ;э ;Ы = =э &gt;Y @§ CЂ Fз HЫ J@ LЛ LЫ ~Mњ Lі KX JК {jG‚ DG A: &gt;C &lt;є 9¤ 9ё 9Њ :: =  rtv•FD J LЏ Ns OҐ Ѓ•MД Jи G– C!?Ы lѓ5pю‡ъЩцлу _т3снр?рЄрЎр WрbрIп Wо6мЎкДиѕж№д :вlа ;аЋа«а eгеЌиЕлKп ?тЛфљч ?щощ±ъ8ъNъащфщBъІъЧътычьгэ­яЏ gЌ6B 7w 8Є kЌ8Y 7D 6§ 5t 4v 3Ўяёяjю Kю 5ю–эRэоэЈюoяѓ 4: i—8? :z &lt;‚ &gt;V @а Av Ct Eщ FC H&lt; HA z—Fй DS Cё A^ @M &gt;Ё nf9Я 6B 5Ѕ 3C 3Ряv 36 g“5f 5Љ 5• hk5« 4· fAяЪьBъ8шOц•ф Cу@тЋс bс±с 6т ^уЗф KцЈц‡ц 4ц х4ф_тlр aоsмтк dйЖзHж &lt;ж 4жэе{е„ж =з :иXйЩл`н 4с Jо JмjйћфншТчШ ;й :8 9q &gt;± 5ых y5`эМцaьх 4f 5ј 9И ;&gt; ;[ qlAQ &lt;h =6 t—?Ѓ A¦ BY s~rЌsh&gt;p &lt;Y &lt;ћ lq9љ mЉ;@ ?Ж CЂ BЏ BN Da Bў zѓF’ tђFs ID GЏ D„ &gt;Ў 8в m{8&lt; 5M 6I 6Й 5№ 3юь7ш @чCф‚оЩолрҐпМуэфртKфіфDтСу¦ут9хццќш€ь‘юЏ g}:B &lt;j q”Aћ C№ FЎ IA JR Jq }qMb K&lt; {–JЧ Gx C: B &gt;Д &lt;п &lt;А ;є ;‡ ;Ђ ;Г =Q @В AP DЌ Hж J— {“KЪ gK№ MЬ L] ~•LЉ |ЉyЋEл A7 ?µ ;A iFяbэeшKцРцЏф*т7тФс•с‚п±нЌм Mм¶л7кoй7иШз ?жЉеQгСв GдKд Zж _и~йэн Aт‚ф Tш ?ъµэL 4O 5л 6џ 7в 5r 6– 5Љ f€3З 3љ f„g…5я 4ч hr6‹ 4д 3U 3щя№ 4&lt; 5x 4Q 4H 4Я 3а 3ъя 3яSя°яLяЎ 5p lw&lt;Џ ?G Bє DЩ FЏ G— GЬ zѓHЁ GБ F4 Eю AE ?ґ ;ћ 7n hDяЗъєш“ц 8хqхъх‹х;цћц–чYш :шQч YчhчКхбуuу 5т‰сrтѓс Eт;уdу†уЬфWфАу№уту Jф @ф ^уfтЇс°рсп _п|нЃм­мzмЙм 3н bм5л¤кбишзЋзЅзwзЦиfйZк‹лИн=рЃсБуѓц¤шxъЖыяы 5эгэцюйятя 5я@ю &gt;ю eюBюОю­ 3} hij–9ј mЊ&lt;ј =« &gt;Ї ?ш @Ы Aг ukCk u”B  AФ ?Ђ ?љ ?Ш =O =D qj?Ц &gt;А &gt;џ @Њ AO AP Bщ BW Cщ D Eы DЮ Do C¤ AЃ ?V =4 :ў 7ё 5w faяМю•эdь|ыјщСшWшЋч IчqцљцЕцхцЪц¤чОшмщнъћьАэЛюе f“7Л 9Є &lt;” @J C] F{ IЬ KX Nµ PA Ql „•QШ OA Ѓ’L¬ |”GH Eѕ C6 Bѓ A™ tzB¦ v“Fv Hh JЕ LИ MK OT P| ѓ‘PE Ob!M Kq HС x‚CО @Ў &gt;W =њ n|:M kЉ7q iji~h‡3вэры ;щ Dц©уnрFнЈл aйkжЬд|г?в Zб…аЫЯlЯУЯ 3аЙа \вUгЖдxжTи†кЎмVпжс¦фxч‰щЉызэ ‘3я gr74 9N m‡;^ ;Ќ ;T ;С ;Ћ ;O nz;z m’:Ђ 9K 7· h”4Eяgюµэ Nэgэ7ю‰я s5Љ 7и 9Х &lt;ш @B D• G° }kMv N  MЗ LK J4 Ga Cѓ ?Т :« 5џэ›ш GхEтgрѕп KпlпОо§пспІп3пЉо GнИл 8кыж IеВгKвЂб @бzб _гчдqж Pк5о Oр§ф dч¶шfыLы—ьxь KьДъФщ GшBцдх’ф CфҐф@у ?фTуDфVф ]х dхPц»ч шыщйъёъVэGэ·э‹юБ 3Ш 6ё 7¦ lѓ&lt;M &gt;X rЋA… A„ B] Dc D[ Fp FІ FЮ Eи E’ w‡Dќ Ar @¤ &gt;т @Ё &lt;є &lt;7 ;S 9I 7j 6џ fOю®ю{ю SяРяf 5e 5“ 6” 7Ь 6_ lЂ9™ 9Ћ 9† 8‚ 8m 7† hЊ3ю BэщыРщашfчвч ]ш Qч Wх Aх DуЎт eр¤ртRжAмЃс VиGк Mо WзXкѓоuк…оТу :х 9ч Tь Sэy 4Й 8€ &lt;Ћ &lt;v @u A; Bq DЮ vfB6 Cµ uiBТ @U ?q ;• &lt;Т ;™ :e ;x ;ж ;Т &gt;&gt; ?~ CЁ w‰@s Cй x’Dч EZ EЄ BЫ DК Eѕ AЏ vkvxvЌCљ B= B« A‡ B @Ѓ &gt;v ?3 &lt;ј!; &lt;п 6ќ 4Ј f7юѕыєы¶ш™чЌчШхБфЋц &lt;ч’цішNш Bчґчўц Gч KшEщ LщЁъ»э eя JюЪ 3Щ 6х 6Б kv;Ь ox@ј AD DЂ Fщ G‰ HЄ |{Iд {Ћ{uH!EL DП Eў u…B] BЪ ?б &gt;h =г ;W ;н ;s ;м ;У ow=Ѓ &gt;о ?p spCZ D^ EЁ F¤ Fс xrEУ t{@§ ;p 8мяFынч‰цЅх–х_у 4с•пХмПиЯиыеPжЧг MгЄвтб…Я`ЯKЭсЪЯЫЪЫ?ЬfЮ ?Яrа„дuзѓкНнbп Nс3ф*х®чaъFъ’ыhэЋэeэЊь•ьЂэ Њ3} 3і 4† 4І 3&gt; 3A h‰4\ 5Ё 6ў 7F 9µ 9¶ 7Ѕ 7µ 6Н 5{ 4¤ 3ЌяФя; 4і 4ъ 5‚ 6– hr6Ђ 6к 7Є 8I lw:ѓ ;? oh=з &lt;s &lt;ќ ;и 9‡ 8Я 6T 4Jя 8ю^ьЌы =ъщyщЪшЩшйш–ш Aш_ш SшЫшхчЖчRшычпч^ш„швшЦштщУъdыЯьҐэ9юmяШю Mю‚эєь№ь Yь­ы Bыeъ _шђч*х9ф¤у ZуЇтЦтщссЮсѓт\тстљт†т Vт ?уВу RфlхЯц Pшvщ aыЏь_юьяR 4Љ 6S 7к 7V lf:М 9З lЂlt8v 7б 5’ 4a g†4e 3«яN 3Л 4L 5m 6у j~9T n‡oѓpg?х ?Ъ @« sos‰?Л =Б &lt;А :5 9ѕ 8U 9Y :@ &lt;A p…?d AБ B7 DО Cµ Cb B» Bу sg?R &gt;ъ!; :¦ 7b i‘ht4} 3› fm4Ю 4\ gЌ5› 6z 7Y 8Р 84 9: 8h 8| 86 8K kjk„8о 8l :о :J &lt;ж =б q‹@` AІ A† uyBЙ BЩ B– Cр Bы AN AХ @… @j r•?} &gt;Т =ґ &lt;@ &lt;о lo98 7Ж 6џ 5D 5M 4џ 36 4· 4K ir7¶ 87 9Ђ l~l„9&lt; ktj}6T 4FяKь щЮцЛфєт°с¶р 9с Bр™с3т 5уРтQуqуШт :тxс ^рЌпtо Qопнен bп Qр;сју[фЮцяшИъLь;ю9яX 3ъяѕ f‘3ыя Њ3­ 3F 3к 3Ё 3Ж 3Џ 4y g5° 4b 5W 5п 4B 4 3g fЌ3¶ fz4: 4ы!3 gl4M 4G 4e 4‰ gЊ4Э 3I 4і 35 4x 4A gq55 5” 5i 6Щ 6Ч 7Ы 7€ 8С 7ц 7Г 6г 6B 5Н 4Ыяiя«эOэvьєыµыzыЉыЛыJьqьць Lэ6эmэђэRэ@э BэPэNэ[эТьщьиь†ьИьЮь Yэ9эAэCэйь 4э‘ьuьZь @ьТы‰ыЫъtъcщ3щ^ш ;ш ]ч BчСц™цЂцуц _чљч 3шAш‹ш6щzщ KъљъЃыеы PэЛэ™ю‹я h3: 3џ 3: 4&gt; 4: h‘5Ћ 5• 5Ж 5S 6t iЉi„6Л 5  5‹ 5d 5O 5B 5· 5O 6Ј iЂ7‹ 7D 8М 8€ 9Ь 9S m~:° 9Ґ 9Л 8а 8W 8} 8h 8¤ kѓlЉ9I 9Ќ 9¦ 9· 9™ 9s 9Ч 8А 8? 8‡ 7Ъ 6й 5E 5• g‹4¦ 3Џ 3Ѕ 3’ 3Д 3њ 3  3Л 3¦ 3„ 3r 3ћ 3› 3И fѓ4Z 4ѕ 4ё 4I 5ћ 5э 5† i…7Ї 7: 8± kw96 9€ 9h 9` 9Z 9&lt; lѓ9н 8§ 8l kЋkv8м 7ї 7\ 7Ъ 6d 6Ф 5v 5И 4\ gr4В 3p 3Z 3H 3T 3s 3l 3X 3Ў 3Ц fpg‹g‡4е 3џ f‘3‰яУю IюYэБь@ьцыЩышы7ь…ь–ь¬ь¶ьёь®ь~ьoьQьMь ]ь Yь ?ь Oь=ь‚ьЬьKэМэrю eямя’ 37 4¬ 4я g…5C 5B 5@ h‹h€hlhxhi5а 4» 4њ 4‚ 4… 4Њ 4џ 4А 4в 4о 4м 4У 4І 4† g‘4ї 3T 3йяxя Cя№юdю SюиэСэіэўэџэЄэдэ Xюyю»юшю \я aя MяЪюќю]ю NюЗэ†эKэ dэ Fэ Hэ TэAэYэљэгэBюљюую RяFя^яcяSя ZятюЖю¤юЊю|ю€ююВютю5яѓяЭя4 3Љ 3Р fogђ48 g–gЌ4э 3Щ 3— 3a fЉ3шяЛя§яЊяvяiя_яYяSяCя3я Tя H*яюнюЫюРюјюЇю™ю†юxюlюcюdюdюnюyюЋю«юФю 5я eя`я‹я°яСямя lfxffxfo3хягяНяЅя«яЎяњя я я®яїяФяля pfЊ3? 3R 3b 3i 3l 3d 3] 3V 3N 3G 3B 3A 3F 3N 3Y 3g 3w 3† 3• 3ў 3± 3» 3Г 3В 3Е 3В 3Ж 3Д 3И 3Й 3Р 3Ь 3й 3ч fqg€4&lt; 4R 4q 4Ќ 4¦ 4· 4Г 4Д 4№ 4ћ 4} 4T gЉ4ф 3ї 3‡ 3Q f3еяґя“яqяZяJя@я;я eя Wя Fя 5ямюМюЇюЋюnюKю aю Iю 4юуэмэзэзэлэуэюэ Bю Mю ^ю&lt;юWюkю‡юћюёюСюню ;я Uя;яWяpя†я•яЎя°яВяЦяуя tf–3X 3~ 3§ 3Т 3!4 4f 4– 4Д 4р g}h—5A 5M 5N 5S 5V 5W 5W 5Z 5_ 5i 5q 5y 5| 5 5~ 5s 5e 5Q 53 hs5Ы 4ћ 4Z g{4И 3ѓ 3A fj3Ляћяzя[яBя4я aя ^я bя5я:я@яAяBяCяBя?я&gt;я:я7я6я9я9я&lt;я?яHяUяfяsя„я›я·яНябячя sf„fђ36 3: 3A 3D 3J 3U 3] 3k 3t 3€ 3њ 3± 3Й 3в 3я f…48 4N 4^ 4f 4f 4^ 4N 45 g4ъ 3Х 3Є 3~ 3S fЋ3ыяСя§яЂяXя eя DялюЕю¤ю{юTю [юяэЪэ·э™эЃэuэmэrэ„э”э­эМэсэ OюGюyю©юаю FяCяjя‰яўяґяЕяФяЫяйясяюя jfrfxf}f‰f3@ 3Q 3e 3v 3Ђ 3Ќ 3“ 3љ 3ў 3¬ 3µ 3В 3Л 3Ч 3г 3м 3х 3ю fpg‡44 4N 4g 4~ 4Ћ 4 4ќ 4™ 4ђ 4z 4b 4@ g}4к 3ё 3„ 3Q fЃ3ляЖя«я“я„я|яxяxя|яЂяѓяЌяђя–я–я’яЉяЂя{яqяhя_яWя[яbяhяqяyя‚я‹я”я—я—я”яђя†я|яnя_яQя&gt;я `я Kя 5янюЬюПюКюНюСюЭюпю 7я Qя&gt;яcяЊя°яЪя lf3] 3‚ 3  3µ 3Г 3К 3П 3О 3Р 3Т 3Р 3К 3А 3± 3¤ 3• 3‹ 3Ѓ 3z 3p 3e 3Z 3X 3P 3F 3= 37 37 3&lt; 3A 3N 3\ 3n 3Ѓ 3‘ 3ќ 3° 3Г 3Р 3Ъ 3е 3и 3ж 3а 3Ц 3З 3± 3 3… 3j 3P f•fv3ряТяµяљя‚яjяQя9я Yя Hя Bя ;я 8я 9я 6я 5я :я &gt;я Hя Rя ]я=яLя`яvяЌя¤яѕяЮяыя ‚3B 3e 3‡ 3  3µ 3И 3У 3Ф 3П 3Д 3ј 3Ї 3Ґ 3њ 3• 3Џ 3‰ 3€ 3‰ 3Џ 3 3Ґ 3ё 3Е 3Х 3б 3о 3ч 3ь 3ы 3ы 3ч 3р 3к 3д 3Ю 3Х 3С 3О 3М 3М 3Л 3К 3З 3» 3® 3— 3| 3X ffq3ЮяµяЉя`я6я DятюЩюЖюѕюЅюДюПюЬюрю 8я Lя eяLяcя}я“яЄяјяОяЭязяояъя lfvf…f‘33 3C 3O 3_ 3i 3o 3w 3x 3x 3p 3h 3Z 3Q 3B 33 fЉf|fqfjfifjfkfrfЂf’3: 3I 3T 3Y 3^ 3_ 3V 3N 3: fЉfj3йяЙяЄя‘я{яjя_яVяRяOяMяLяJяGяEяAяBя&gt;я&gt;я7я _я Nя &gt;яыюмюЮюТюИюЕюДюМюЩюню 6я Qя=яaя‚я§яЙяеяэя zf†f‰f†fF"3мяЪяМяјя±яҐяџяћя яЁяґяЖяШяжяняцяюя jfofqfyf‚f‹f3A 3U 3j 3| 3’ 3Ј 3Ї 3ј 3Ж 3Й 3К 3Е 3ѕ 3І 3¦ 3• 3€ 3} 3v 3w 3Ђ 3‡ 3” 3Ј 3® 3№ 3Б 3М 3Р 3Х 3Ы 3Ь 3а 3в 3Э 3Х 3Й 3ј 3ґ 3­ 3« 3§ 3ў 3њ 3• 3Љ 3Ђ 3r 3d 3R 3? fЏfxfg3няЭяМя№яЁя–я‚яsя_яLя9я _я Pя Cя &gt;я 9я &lt;я Cя Kя [я;яRяkя„яЎя¶яЛяЬяняшяюя#3 ifmfofvf|f‡f“39 3E 3P 3W 3_ 3g 3q 3y 3} 3Ђ 3‚ 3‡ 3Њ 3ђ 3 3Ў 3Є 3± 3ј 3Г 3Н 3С 3Ч 3Ч 3Ш 3У 3Л 3Б 3¶ 3« 3— 3€ 3m 3T 33 fz3сяЛяЄя‡яcяFя ]я CяыюмюдюЯюЫюЬюбюеюкюрюшю 5я Cя Qя [я4яCяNя_яpяЃя–я¬яДяЪятя lf…33 3? 3K 3R 3W 3Y 3[ 3V 3R 3K 3G 3D 3&gt; 3= 3? 3E 3Q 3] 3j 3x 3‰ 3ћ 3± 3Д 3Т 3в 3м 3т 3х 3у 3м 3Я 3П 3є 3  3„ 3g 3J f–fz3щягяРяЅя¬яљя‰я~яpяeяSяDя3я Rя &gt;яцюеюХюИюДюЖюЛюФюдюшю Cя ^яGяbя~я•я©яЅяЙяХяЭягякянятяч+я jfqfxf}fѓf‰fђf36 38 39 39 3&lt; 3= 3&gt; 3F 3L 3\ 3p 3ѓ 3љ 3І 3Л 3в 3ч fmgzg„g‰g‹g€gЂgxgm4ч 3й 3Х 3Б 3« 3 3ѓ 3o 3\ 3K 39 f“f‚f@"3хямязявяаяЭяЭяЭяЪяЧяФяСяМяЕяАя¶я°я§я¤я я›я™яљяњяќя›я›я—я‘я‰я~яnяaяNяAя dя Uя Jя Fя Aя Bя Fя Oя Vя dя&gt;яJяWяcяoяyя…я”яЎя±яВяХяля if~f–3G 3] 3s 3„ 3” 3џ 3© 3¬ 3« 3Ё 3Ј 3› 3™ 3– 3” 3— 3” 3 3љ 3  3Ј 3« 3° 3¶ 3№ 3є 3» 3» 3µ 3± 3Є 3Ј 3— 3Ќ 3… 3z 3n 3e 3\ 3S 3L 3E 3; f“f‡fC"3ояЪяДя®яљя†яrя_яRяGя?я8я6я5я8я:я?яIяQя]яhяwя‡я”я§яёяКяЫяпя gfyfЏ3= 3N 3Z 3g 3o 3r 3v 3w 3w 3v 3s 3o 3f 3` 3Y 3T 3R 3R 3T 3W 3\ 3a 3e 3h 3f 3` 3Y 3P 3E 3? 37 f•fЋfѓf|fsfn3юяшятямяжяЬяТяДяіяўяЏяzяfяYяHя&lt;я4я _я \я [я [я [я \я _я ^я ^я _я aя bя eя5я=яDяQяbяqя‰яўяєяЧяря qf‡37 3H 3X 3c 3m 3s 3s 3r 3p 3o 3m 3n 3m 3p 3m 3r 3s 3u 3u 3y 3w 3y 3} 3Ђ 3… 3Ќ 3” 3џ 3§ 3® 3¶ 3Ѕ 3ї 3ѕ 3А 3є 3µ 3« 3  3Ќ 3| 3f 3T 3B f—f€f{f?"3чяпяжяЮяШяТяЙяВя№я±я§яћя—яЊя‡я‚яЂя‚я‡яЊя”я я«я¶яБяИяПяТяХяХяЦяУяТяРяЛяИяВяБяїяїяБяЕяЙяОяХяЬягяйяояуячяы+я kfmfrfwf|fѓf€f‘33 3; 3C 3J 3S 3Z 3] 3` 3a 3b 3\ 3Y 3T 3N 3F 3@ 39 33 f“fЋf‰f…f‚ff{fxfufrfqflf6"3юяыяыящяшящяшяшяхяфяпяляжяЮяЧяОяЖяјя¶я®я§яўяќяќяќяћяЎяҐя«я°яµяёяјяВяДяИяНяСяУяЫяаякяпяыя kfvfЃf‹f–36 3&lt; 3@ 3C 3C 3C 3&gt; 3: 39 ff’fЏfЉf‡f„f‚f‚fѓf…f†f€fЉfЉfЉf‹f‹fЉf‰f‡f…f…f‚f‚fЃf~f~fzfxfvfrfof7"3ыяхяпяйявяЫяЦяСяМяКяЖяГяЕяВяВяДяДяЖяЙяНяСяХяЪяЮяеямяряшяья hfmfqfwfyf~fЂfЃf‚f„f‡f€fЉfЊfЋfђf”f–f34 34 33 33 33 f–f”f‘fЋfЉf‡f„fЃfЃff~ffЂfЃfѓf„f…f†f†f…f‚f~f}fvfpfk3эяшяуямязявяЮяЭяЩяЧяЦяЦяЦяХяФяХяЦяХяФяЦяЦяХяЩяЩяЫяЭяЮябяеяйяляпясяфяшяшяыяэ/я%3*я gfhf4"3 gfgfhfjfjfkflfkfnfmfnfnfnfofnfqfofofpfnfpfofofpfofnfofofnfmfmfmfkfjfkfifif5&amp;3юя!3юяю+яю+яюя!3.я!3</t>
  </si>
  <si>
    <t>RI*Fь D!3WAVEfmt †C"3 gfgfw^!3 UV!3 hfv3dataШ D#3 g3фяХяКя q3Ќ 3С 3E f5я Kюkю Ђfg5Ѓ 5м fBю9ьєьћяА 5¶ 6} 4Hэ‰ъщъЙюX 6¶ jЌhVэ aщCщХэЇ 6Ш 9Ф jHяNъчщЮюS 8п ;й lt3џщТч Zь Ќ6Ї 9Г 7®эец _х 5ъ§ 5є :k 9тюЃч‹*цы: 8р =н ;њ fbшzх Gыx 8s ?Љ =в 3vцѓт Xш fi{=ш ;ЗюCуовфН 4a &gt;W q{5jцОсёч‡ 8| D» E« m?щЧр•хД hЌAU uЃ7hу 6й=м BыЭ &lt;p A4 8ифLк Iн4ьФ ?5 G~ ?ђьџп Cпњьµ ?У F^ rMыЇн™лYчG :L Bu &lt;ащ”мQлШцк 8&gt; A!=«ы :пaн–шф ;4 Ea A4 3{тњпiщ° ;А DЉ ?юьgо 4кТуи h|?J ;&gt;ъ Mн—к‚цЌ ;[ Gk DФ 4нсймўч zp€I„ Fе g=ође—оk 5µ Dџ D« g:нЇв =йНэt vnzm9Мр Yд ?йїьЄ ugIk =8цбй Nн cэd AF F« ;йх&lt;й Tл 3ыЇ rfEН :ухпиcл &gt;эё Bл IV AlыZп Iт €5й x€JX @лыpпЭпҐы; &lt;ў AК l6чxлМл9щї ;b Cu &lt;Ќщбм»н @эK trGp &lt;;члкSнЕы^ &gt;ї u‘m`цки :йШхR ;Э FN Eя 6лс€ишмжь lBз KЂ {‹l?ф Nк cо JэМ @З HС uo3пнµдоиMч };ѕ Bз =7ь&lt;мЙд‡к aы€ sIT E!7{фdн‰т» g‹DS Jm vЏ3фо `ж§к9щG ;Џ Aу ;8ъзліж*нAюМ s|z|AsяКс‘оТцЕ 9® zs~€B§юМпЬк’тz gjAХ C— :7ч~йтеqо \юф &gt;n BU :жщЋоум Wц® 8е FС I– AlяРсЗоMчv 9ѕ DЗ E] &lt;@ш«йЛе©п&gt; 4щ Aq Ep p`ы ^нЦйОуB 8ы EЭ Gй &gt;†ьDоюкгф’ 7І BЬ B• 9Ъч‹мЅлђхр 7w C6 Cp 8ЛцpмЬмhч ”9Y vЉCё 8цЧм Gн Iшз 9¬ Cј BX 7ЪфqкЦкЫхЗ 7„ t’@А 4Ыт¤йДл 4ш« mwxuDS 9нчюо bрЩъ ;ж CO A‹ 5ЬуWкил®ц Ѓ8· @• ?Т 4MфOмµоЂъЁ ;л Cь AЊ 6~хпнјр7ь Њ=№ Di ty6цфpнърЧь ”quEP AZ 4Ітйк‡оИъщ ;Ѕ Bv &gt;Нюар 7лфпЎэ!?Э EЖ AЦ gHф­нИсMюd =S Bq &lt;“ь &lt;пЊй Xп :ьЉ oЏBУ =јюbт Yнќтћя© &gt;X CЪ &lt;ыь¬пnлљсьюO rЏD‚ &gt;iюХсҐнlфx 4ў @X v&lt;‚ъ±нХйMсµя± ?Q C_ &lt;7ьрWоух] 7W B3 Dл ;yъСоVм FфC 4Н &gt;P @x 8ТчґнІмbхo 6e A{ C€ ;:ыҐрЭоFц u6© ?‘ @n kGш WоVн Bц‘ 6Я @ф A° 9vщ&gt;пzо Dч ‹7О sѓtg8Ёч Dо dо¤чЅ 8Њ Bщ Bю 9qщ Dржп 8щЮ 8Ш @« rЊ5іуfкJлyхQ 6’ ?л &gt;n hcх PнdпDъ« ;P DJ Cс k;ш]п NрьщЇ lnt•?џ 4Eф eмµнJшЕ 8Э @p r‚5Cх•нпµщd lЃAR r“haх 3оDр‘ы ~&lt;Ц C‹ A‘ ieцќоЖр Dым 9Ў ?џ ;Кь›п YйWнЗщc :z AЙ &gt;У 3Ыф®пЭуcя° &gt;” CO &gt;Sюжржкчо©ък 9‘ &gt;Ю lWыRп Iлzрчьч ;H @¦ :¬ы Jр KмДс Hюэ &lt;¤ AО o`ю&gt;уUрИц&gt; 6¬ Aњ w—qRюїс 6нOт ]ю\ ;» =А iaчтм EлWуh 4‚ @я vxqBя{ф Nт \щ? k~BО B] :Њщ cоєл 8уЬя j=И q—j^ч &gt;нэлSф Џ4Э p“&gt;r 5@хЎлЦл›хы iђBО Cћ ;eы†сКрPщ ulЊA— ?… 4Љт‡зНж*пЛэХ :‘ ;Кяzу]лћмЎч  9з vqD¤ m?ъпрцс IьЩ ;J Cn @‘ 4Ът’йЖк 9х …5ё &lt;Ќ :}эн*рйwмКч 8{ @ї &gt;° 4§х‡п=у Xящ ?я G† x—;йъ Hу=хБюh pxBг &lt;Zэwп 8иђкcх s5E &lt;С 9›ьЬс‡нxуґ fwtGх Bћ 6№хпо 3тvьф :Ј ?I :‹ъЩм Xз°мЫщЗ 93 &gt;л 7чXкUж BнЛък :ц ?ґ :Mытп3н™фт 5і BЙ EТ &gt;yэ·пmк@п€ъl 74 9gюЅр[еЪвФкZщ 9K =м 7xщQ*рпъчS kЊC’ D© oXьцр eоЭфж 3† =Ў &gt;‡ 6іц«мZлюуЭ fm&gt;ц &gt;q 5ју _и¬жТрМ 3!@= Bc m8ы=тKуOю ‚rlH&gt; FЧ 9ћх ;й‚ж}п cэ {:Ґ l`эЏп7зјйҐцв :6 Ga HЩ &gt;^эNуЩт Nь y&lt;м Cњ @д 3~рЇе‹з Jф ѓ7« Aђ tu8Рч Rо;лXрущт 3·яrуmвzЩЫЮѓсG :&lt; {pJЋ @EяътымўпvцКэ¦ 4Ы 7Х 5A 36ъЪш Gьґщ&gt;чOъ— 6o ?• to&gt;к 74ю«чcуГтгхДыЮ hЊok@] s‘p‘j&gt;эЊцџтUтМхфы s6b &lt;4 @^ sw=ю 6тьЄцРтcтЄхрыT 6м &lt;и s”Aq =Ц 6†ь=ц–тЊт*хпыд 5I &lt;M @Ц @ї =њ jVэrцjт Bт‹хбы; 6” &lt;^ @Ђ sg=й 6хьЩц 5у‡т‘хQыW 5Й ;Н ?3 snp€74э TчRуктЯхЊыT 5~ ;3 ?t ?j &lt;О ibэcчыупу KчьО 5Q ;• &gt;Ѕ &gt;І ;Y i7э=чґуdуАцЇьa 6е ;Х &gt;Z &gt;¦ :р 4АыmцћуХу ^чґь? 6Р ;Ю &gt;І &gt;&gt; ;a 5ћы*хытgуHчeэ Џ7Ъ &lt;» r‰?\ ;g 5№ы ?ц Dу‡уPчhэ= jm=9 @у ?` &lt;„ 6ўь°ц;уXусцэь kjipЏ@Д ?э ;Ц hPьpц&gt;уcуФцqьк 5І nf?ш &gt;’ ;§ 5Ъы MцЯт9уъц &lt;эК 6F &lt;4 ?Ж q”;M 5®ы `ц Jу9уљцCьЇ h{n{&gt;Т =Y :ё 4kы5ц‰у=ф AшЬэt 7!=в ?N ?q ;h 5ШыёцQф _х DщХюи 7И o–?t &gt;“ : gBыѕх:уHф‹шмюћ 8З =ь ?Є &gt;] mt4іъГхyуќф›ш ю 83 =– ?d &gt;» 9эя 8щУу’с*т†ч @юП 7г &lt;7 rw&gt;Ј 9!3 VщТуѓсСтqч Tю m8s pi@Ц &gt;H :Д 3Цщ6фсXтЅц_эІ 7j px@у &gt;e :в feъ Yхст \ф`шµюЊ kt&gt;л @E @х ;H h[ы{хХтА*уч8ю© 7љ &lt;о q‚&gt;^ :€ 4@ы4цТуйф eщaя „9C &gt;o sm?z :u 4KыyцYф VхјшЎюб 7Э oЊ?И p~9|яЭш `ф»т…ф Zщoя­ 8H =p ?s &gt;Q m•4ЊъAх QуўфXщ g3– 9з =4 ?э &lt;м 7eюпч FуыртFч Pю ‘8k =Љ ? =6 k_ю•ч &gt;уЦс Yф]щ „fnmvrqAO ?ф 9|яЅчИс®пДсjчЬю vlv&gt;Ѕ ?· =“ 8еюGшdу—с°уCщ Ђ4р ;} Av CУ @є :·яMшVуАс¶уЖш°яІ l~?O A¤ ?o!: 3TшФтярqуKщ!4D nv@Ѓ AB ?Т 9ья &gt;щ &lt;ф:т ]фeщ` 3H mw?ш ?ј &lt;U 6•ызфнрxрВуЭщ 4J ;? @s A[ &gt;г 7Зь|хьрЎр¤фiыD ilpЉAљ Aю == 7VьЦфвп NпКт™ъК 6з &gt;У CQ Dй rvkVьFфҐпцоётёщb 5X =f BY CЄ ?§ 7…ъ‚с Nмdлnп Xчџ f•o‡Bі Cђ @ќ 9›эщфцоhн QсЧш †5E =Y Bл BЮ &gt;¦ 7AьґфQп‰н 8рҐцAяЩ m‹AП B” ?m 8ъьДх„с„сLхмы• 6g =щ AЅ BЎ ?“ 9гюцчµуrуIчжэW 8в =„ @Ј r“;¬ 47ыkцoфiхищ™ 3µ m@7 Bе ?Т 9¶юПц±сЇрдуЃъR 5Џ &lt;џ!A C» ?Y 8Юыѕт…мЅкЙо|ч q5? qЋwsEц @Д 8Цыhт 7м &lt;к{н¦хћ 3є &gt;б FH Iа D_ ;гы :рЯз=е”и 3с™ь …nmwu{ЃywrngSхІложљи«п›ъ ’9“ uHі zpu8=ъЅр ZкYи*л¬у cэ± 8D ?!Cш uЌ?} 8џэяхПпумRо _фЙьЛ 8  @W x…FЇ BП ;X 35ш’с~н4нОр ч {3И ;ќ uЉF? xtsr8ЌьLхїр—пќт Hщж 3С ;J uЊFW F† uk;эюuцґпTм 8нњс _щ° 4‰ o‰Bя vgu&lt;Z 4Џщ Dу?пЛоыс Jш ‡f…;° tђE!Dв qѓ7HыхтѓнHлЅм7тпщЖ 4‰ ;› ?а sЌ&gt;э j9эmхЊп [мЈм…сhщv 5A =Z uЊDf Bх &lt;к 4·щ–тВнdмeоnфUьg 7± p‚tfAљ =Н 6ZьЛхPсщпбсыц eюЂ 8I &gt;~ u‹Dё AY &lt;` 4нш^тХоіоnт [щO 3с 9І &gt;Ґ @J rЌ;о 4`ыeхЄсЙр&gt;у°ш Ќ3з :‡ tzEh EЇ Ab :шю SчbсПо\п§у _ъ h4L mj?Ж @E ?x : 3сщ\фур№р PфAъИ 4Ќ ;A sЊBЙ @Й oijYэ Dч‚т Fр Xсjх :ь? ip&lt;D ?e ?Ь &lt;I 7кэ Rш–уmсgт}цbьP 6§ oAр B| AС &lt;e 6@ьUх‹р 6п Bсфх cьђ 5‡ :… == pѓ:? 5gьЩц”тЫрас Qцѓьo 6Љ &lt;I @6 Aе qЂ:Њ 3ДщЌфZс№рСт Qчfь¶ 4O 9К ;Д ;ф 8л 3;ы Uц ]у}тpф Pщэю ~8m =r @ј s‰&gt;= 9} 3¬ъ eцµу;у хЃъU 3в 8z &lt;№ p‡&lt;6 km3лъњц bфгу Bцmъ m3ё 8E =Ў ?K ?F o|7IюqщВхєу]фIч*ы o4 8V ;э ;G :Э 6nяаъ 6чyфЃфИц VыЛ 3‰ k…&lt;ќ =в &lt;Ш l~5Зь8ш7х4фoх•ш QэТ 4ъ 8а ;{ &lt;у mw7§юSщ HхRу›фЯч~ь Ќg”k‘;‹ &lt;Л nf9л gAэ”шЊх 7хЅц Hъњю4 6З 9v n‡;У k‡5·эҐщвцохЖцVщ Yэ‘ 4н 8— ;7 &lt;б :— jz3ЋыИчХх}х{чNыая r7R :Л ;7 ;© k‡53ю§ъ9шЮц±чoъXю 5¬ 8G :[ :К kЊ6ВяmьЎщтчгч№щ5эU gx8» :љ ;t :ѕ 7Ч 3¶ь :щЂцѕх \чРщ cэ¦ 3® 6F 8Ћ k—7] g^юоъ–шЁч¤ш PыЌюR 5` 8L :Ґ :? 9: 6Єяхыюш7ч \ч¬ш :ы Nю\ g7Й 8№ 8A 7– gdюoы‰щ;щ`ъть; 3I 6Й k‰:н 9g 8ђ 5:ящыfщ cш Fшzщ XьOяP 5Z j’8з j”6Ы 3‚юЎьrы AыОы®эb 34 6 8¤ 9A 9p 7” 4kюВыЄщ¤шбшmъЄь &gt;я@ 4ш 5i 6У 5C 4пю¤ьШъ SъЋъ Mь}юP 4Р 6€ k‹9« 8ь 6U 4vюјыМщашѓщ eы ZэCя ~4@ 5ё h5р 3Lяeэ cьЯы“ь&gt;юЂ 3  hW!7 8н 7ж 6K hr3©э—ы3ъбщ…ъцырэкя} 4e 5­ 5Z hm4rя HюAэ8эТэцюo 3м g‘6ъ 6!7 …6„ 4…яЈэLьЂыmы Kь‚э@яП 3с 4w 57 5J gl3јю§э ?э ?э™эЇю –3І 4µ 5] 68 6~ 5G 4гяhю =э eь Zьюь eюtяs fig~4ё fh38я}юЯэ„эќэEюDяn 3v gЊ5G 5ы 4f 4ќ 3”яљюЦэЂэ¤э&lt;ю FяфяЎ 3Щ 3Д 3z f„3Љя GяВюЄюзюzя }3» 3D 4€ 4‹ 4C 4• 3Бя Aя€юOюbю­ю 5яqямяW 3® 3С 3® 3M 3Юя—я~яљяАямя Ћ3_ 3‹ 3ў 3ў 3~ 3&lt; 3уя¬яqяPяUя{я¬яая lf‚f‹f‰fw3*яуязявяеяояъя 4 3</t>
  </si>
  <si>
    <t>RI*Fr `!3WAVEfmt †C"3 gfg3@ R!3Ђ&gt;!3 hfv3dataN `!3 }5R i”8u :g &lt;&lt; p’&lt;H :; 8Ў 6Н 54 gu4m 4… 4м 4@ 5± 4Є 5џ gqgЏ4] 4ц 4ј 4ё f|fNя 8яГюХэЖю¬яЈ 3ћ f~gnhЃ6Ы 5б 4„ 3ё 3Ю 3¤яЯюДюуэlя h3Ѕ fxgz4Э 4: 5М gЋfUюГэSюзэЯьЙь·ы ;ысщ{ш eчсхsхЈф KхЖх«хчoы Dя® 6љ ng?i A» Bг B5 Bџ sv&gt;7 ;` 9® 8И 7ѕ 5a 5МяCэ;э»ыdы eь VюЪ 3C 7g :° ;Ђ =8 ?ъ =!&lt; „lvi4\ f;ю Yэщыѓъ7щQшЉч®хoхuц№ц ]ш™ыјэ =я№ 4э 6F 8’ m•=i @B Bд tr@d @а ?l =‚ oj=Ћ ;U :В :з :v 9T 8„ 5Њя«эаь3ьOььРы_ыяъЋъxъ~ъБъ 8ъ FщWч…х _х=фtт у HцVшЙы Љ3p 6к 9ђ &lt;e &lt; ;л 9Г 5pэ¦шну„о‚мцк 4и YзLкЏн Lсъу‰ч»ы‡ 3Ћ 6¶ 8Р 9| :Ѕ :С ;я :w 9H 7у 48 3_эЛы эG 3d 6• jw9S :Т ;k ;] ;ь n|=9 rѓAБ Aљ unA… p~:› 7Ћ 4oюpыbъэшючкч`чЁчч6шћъ IыBычьwю@я Uя Ђ3q h6s 6и 5п 4eяўэпъЙч хRф3фРф№ц ^шNщҐыньхэDюЉяН 4и 4I 4‘ 3^ 3ТюЛэcюњя{ю‡эУэ Sя 3€ 3о 3У 4d 4: 3:яЛю Oю¬эЖэ‰я&lt; 4њ 4I 5л 5Ш 6© 7Љ 7E 7Й 6[ 5… 4Џ 3QюcьtыуъMъwщoщ VщЂшНч9шiщыаьЮэиюВ 3U 5э 6w 7J 8д 8Љ 8б 9D :x :Л 9в m–;Т ;q mymp:  :p 8± 6Ѓ 4хя‹яЏю°эОэ„э Eя\ 3t f~g…5’ 4и 3·ю Hэ™ь Cэ @*юэ 8юшюj f{5Ґ 6— 8t ;Д op&gt;Р &gt;&gt; st?Ї =’ &lt;ю ;¤ ;К ;› ;Й ;ф ;? ;Ы :I :„ 9Ќ 8№ 68 h‹4Гяsя Kя[яѕя Hя bю `ю7эaьEьбы aыЌъZъtъXъІщПшOшЗшbщпшZъEыPыьщэ¬югюYяояЮя€ 3@ g}im7ё 6 7Е 8¤ 9Y 9д lx;z nq;к mj;L &lt;o =ґ &lt;Z :| 6Ея ?ь¶ш 4ц WуКс 3уюу[фЕу5удтuуЯф ?хWф MфнуЯу EхЮхdч°щЄь z3„ 6Н ltq‘Aъ Df GI I• J¶ |wykB№ =ч 9Д 7; 5У 3AяKяб fy4: g–4г 4E 5ў gЊ3Ыь Yъ™чѕуЅрnп‘п \рс*у Sчyш[ъFы Jэ ?я‡ 3› 4° 6« j‹9T nm&gt;P ?– ?Z @J ?o =п p€&lt;z 9є 8Ѓ 6S 6п 4ћяFэџъ»ч‹хLф aфYу Mф?у Sт Jф*ц5щюь 3Б 4О i…jw6c 4uяbяЋяїяg 4S 6™ l|&gt;№ &gt;л =Ѕ &lt;€ &lt;ј &lt;p &lt;Й &lt;b opn€mi8 6M 5™ 3мяЄя–ь eщЩхFуЬодйћж 5д‘гbжoи±н Lу—ч eыdя™ 4R 6• 5Ю 4П gu3ЬюOюrэ 4яЧюЮ f€7… :– &gt;[ B№ Dч DІ D„ v†Aщ &gt;µ ;a 8I 5Ѕьvчктmр5рXсрсSт”ф 9ш DьОэ ]ю\я f4} 5з 6A 6B 5Ѕ g‹5љ 5µ hid!7 8Э 7~ 7” 7&lt; 9[ : ;E &lt;T ;B 9Б 5ияты±шoч@ч QчzчЂшzы·э}ю Tюgьы dщЩчbч Gчrч·чJъZюз 5п :№ AЫ F¬ J? Oм QВ SК SY Pж Kг z’Bж ;‰ 5…э &lt;ъйц{х–фжтВсћпІнћм–к eйИи*к–нМп~тЁф·чвы z3B 6&gt; l’;У =ц ?e ?9 ?Ћ ?b @ћ @‚ @Е ?Ђ &gt;ч =H =· :g 8з 78 jt7Ґ 6o 5d 5„ 4Мюђь @щµф \р9н Y*лк­лyн”о*р Uф [ч 7ъNэ9 3B ji:Z &lt;F ?° uiy‡{‹Iв GЩ FЛ FЙ yЌEJ C™ @U qlp†:= 8Ч 5d 3Їюiыgщ©чЧх ^хTф›тОрщпюомоsрrу€цнъgэ•юЭ 3E 6z 6w 64 5Іящэ¶ьгъ XыЬы XэAя Џ5ђ 7G lЋn–=М ?† BЛ CЅ Cн B‘ Aю &gt;f oim‹7¶ 4*ю 8ьАщbш^ц &gt;уМс BсурBубф6чїщ Yьjя; 5м if7¦ i~jЊ8‡ jy7Г 6’ i‰8– 9» mr;З ;Л &lt;p &lt;v =x n•:г 9­ 9Џ 9м 8П iђ45 3и gr6Є 7¶ 6i 59 gIютщ6х[рwмъйДй&lt;к Eм Iп IфLщѓяФ jg=Ё B^ F± Gм Fl DА s‘&lt;ы 6[юЭшју’оЙлRкфк&gt;оPт¤ц ^ъRюы 5ћ 9— =™ &gt;« &gt;8 ?ч &gt;В =… ;3 9п 6ј gx3aя„ f‚5Ќ 5&gt; jЊ9Џ :Ю :Й mЂ;П lf8ш 6ј 5Ѕ 4ш 3s 3»яУюИь 7ы bшGцђфьтчрЯоMпrр =тyу¶уЂф Dх]цОцКчzщ Gы \ю] 4о 6– 9Z ;Ћ ;[ nf;џ :А 9„ :м ;u =g ?і &gt;_ &lt;C mr8Z 5qя ьmъйщЇщbщ7ш‚щбъ=ьfюG 3X g‡5X gЉfIю LэTыЭщ щ Sщ Wш€ц 5ц UчPщГь `ю§я№ 5i 7ы 6У iЏ5h g‡3*ьбщ LчьхuфVфњу•тZфLхIцcч=щcьKя} h‡8” l”&lt;ы =Ь &gt;й &gt;P =’ ;| mЊ9B k}7‚ ih6 iw6— g—34ю @э“ьAь…ыеъ ^ыЄъ„щ»ъ eыJыёыёъcщ‹шXчмхdхфч `ыo*ю gpkz:‰ &lt;† &gt;‹ A° x|JN Ђ”‚zP] N» JD GY B„ =ж 7ЃюСчцсЂн DйPеUвґвЊдИеcиМлЮо Oт–у _ф 8фбфQчќщ¤ъ’ьуюО 4С i“8а 9Я ;щ q…C| F= IN K? Mш NL Nм Kс Hю FА E CТ @М =~ :Ы 7А 34ьНчѕуuт bтЇсАтЁуЂфkхYхЖф eфtфkхНфЃуЬт Hтdт FхкшІэЭ 6Т :ђ &lt;  ?j uswђFЙ Gї Hй I“ J« IH GЃ C¤ @С &gt;« nЏjJя^ыtщ5чЁфГс6рчп®п—оQм;к aйfкfлюк5кЁй…л&gt;оњс YфKчФыжю ’5в 6г ky&lt;о ?З C· F^ {„Hµ Gї G4 Gx GЮ yЏF€ FЃ F5 E  Cф @P &gt;j n•:Z 9К i‘hђh‰gGяьыЬщЫчЄхIу5рHн’кли9иљй ?мµо±сPф GчDъ MэO 3ц 6м :[ &gt;џ AЙ v„y}H¬ Iр I z•E_ wvkAМ =‚ ;Ґ m„:‡ 9k 9ф 7Г 7: 8e j’ihi‹i‡5z 4ия ]эЧъ™шPцУфРф­фЖу Kх 8чђщчь3я§ 5Ж 8Т :в ;o pq?Х =д &lt;  ;О 9Є kЋ7f 5ся AяGя LяпюњяДяWяsюъьц}фзсЇпЗмгл Pп¬хnы ѓ4А 9“ &gt;Б t‹Bѓ @Ї =m ;} 9… 6ы 4Ц 4d gn5¤ 5« 5b 6м 7Ч 8b :9 &lt;б &lt;Ё ;† 9ђ 6Б 3жюfыНц’тоTм VнzпДсжф}шйыЫяw 6В k„:€ : l‚9ц 7л 5o 4є 3њ 3Џ 4Ь 5ћ 6B 79 kskv6цяСыgч€фусурэпRо \о JрёуДц°щcю y6Ґ :Ћ q‹Af Cл D№ Dµ Cа BК ?H p–=™ =A q=в n‰;¦ m€n‰;џ :t 9я 8Щ 8п kѓ9S 9Y :ё :і ly7A 4„ю9ы Mчу Cс8ргр8т 3уўуђу ?фvфFфRф5хДцtщшыѕэзяЅ 44 6Ѕ 7Ё 88 8й iu6ы 4Ѕ f6яoэvь dэ?юЁюея t5‹ 6Ѕ 7&lt; jy6¬ 5S 4|ю•ыъщющЮы *я hv:n =и ?„ BЇ Cа B7 s–&lt;N 7яэњш aф VрТоДо Oргт™ц 4ьЬ gѓ9г ;№ oЃ=c &lt;м 9ћ 6ч 3gюPь—ъHъ{ъ 6ьЃэЖюня› 4¶ h6Я 5і 4V 3YюXы•ч&lt;ф–с MпЪнцл =кџйcк¤мdп@т bх|ш aь Gя 4b 6Р 6v 7Є 6‘ 4Ј 3] 4‘ 5я jЉn‡&gt;S @® BЄ E™ Gг z}Ff DH Cј Aв ?q == &lt;± :Љ 9I lЂ9d kЂ9¦ ky9h 8C 7Э 5о fOюЫы &gt;ъ‰шАх„у Hтесъс XтПуљчДъпьРэЂя vho7‹ 8Ё kЋk…9… 9b 9У 8ћ ki8&lt; 7Ф 5Y 4°ябю&lt;э”ьЩь}эYюЧю Kяџя s3H 3pя r33 4Ј ho5cя‚эЏъMч &gt;ф Sтfт KтGтґуСх `щ Sьцю ’4р 6Ї 95 ;7 ol=є =P ?х ?` @ч @Ђ Aw Aј ?Y =¤ 9Ю 5\я|щюфісGпzмJй№иЁй Bмdо [пбсФх[щСы Wючя&lt; g–5™ 4№ 3Ы 3\ 3eя ;*юэЈюlяG 3Ь g‡6W kn:љ ;С &lt;~ ?­ A` Cл CЩ ulCй Aй &gt;Д ;H 7V 4’эДщ4ч™фNфЫу &lt;уoуJууцф Fц [ш Mъ7ь€э&gt;яЭ 5ч 8U &lt;U &gt;Ф rђB° voEB Eй Cц B‚ ?^ ;\ 6Шэ KъоцауOсщп’рTт¤х Tш _ъшь Nя’ 3Я gk5M 4[яЙь„ъ–щ 8ъyщ9щгъ Uь§ю x4ю 5a 8Є :ё &lt;Ё &gt;А t…D^ D] D? Du CА B© @x =ъ :ш 8Ж 6ы 3›эPы¤щлшщцОфЬуЛтІсРрЄптп Wс8у‡фэф 5хhхїц&gt;чЋч bшЫш \ъ 5ьць‚эІюџя’ fy3»яN 4џ 4` 5Э 5„ h}5ш 3Љю°ъgчtфЕсlршпOс 3ф°чСъ cю• g•jg:› &lt;д oi&lt;™ ; ;] &lt;L =с qnt‹CЩ D“ EE F= Fµ wЊCЌ ty@W &gt;z mwjyg:юRь®чЙхЫфiу dч]ш›ымя ‚5Ф 8Ў 9Ь :Ь :¬ k–7ҐячюЋь 3ь cыЯщeы’ы `ю l4D 7ѕ :I qЏ?р &gt;w =t :Ё 7ЌяУъ:шгц [цсх Rшњы:яЕ 69 :G =› p‡pЏ9Ф 5ЕюёъОц SуИс Tт Yу©фљчrыЪ 3Ц 8Ъ =­ Bп Eт Gж G&lt; FH D« ?Г :« 4Ѓь¦шxхЮу’т¬т•фФцещ &lt;ь =ю\+я\ f]я•эxы 3щЄх6тЂр&lt;пвоАпFр 4с^тјуЗчУъМэJ 3^ im7ј im7с 7Ґ 7Љ 6У 5Ј hl7{ lq:Й nx=« =Ь &lt;z nЌ9х 6П 4ЫюсыБщ Eш 5шЦш€ъ Qь‹ю™ gЂ8¬ ;Ю &gt;• @} Bѓ wЋF8 GЌ FZ EЈ vjBэ @Ў &gt;ї &lt;v ;] :д k“6В 3€ю№ьЙъ‘чBхoу Bт Gтбт `фЁхгчУщтъPь‰ь}ь5энэхяґ 5“ 8R ;z =` s‹Aћ @J sv?Э qtrp?Д &gt;p =і n{:[ 8J 6Ря Sэ@ы Oщ Bш[чWч±цSцбх|х MфЫсSртрµт«фµч Iь» f–8Ђ &lt;U ?A A] Bб As AХ q‡;p 7ј 4bяќьЋъЋчйхёцqшaъЉыоьЈюwя j4О 3A 36 3їюSьфш CцЬуzт Sс•пХо^оwо†пgсЃуGх LчЁшlыeя3 6¦ 8џ :Ґ ;’ ;~ :І 9” 7Ї ip5І 3њя {3¦ 4С 6В 8Ь lЏ9п 8@ 8M 8‡ 9Ќ lЊ9 ly:№ 9А 8ј 8Э 7њ 6Є 5Ы 3ѓ 3x 3А 3‹ 3oя‚эoыєъ 8ыДъБы cэµяД hp8Н :ш =в s€CД Aы q€;m 7А fHьыцMс„мѓйEйейZлAоaт·чjэn 6P ;ѓ ?V Bю DЧ xwEs C‡ tЊ?Ј ;] 8R 6н hђjѓ8X 8Э k–:~ &lt;@ &gt;Ь p&lt;ђ :П 8Т 5‘я—ьOщoхЮрzнAлўиЋж±дпг;г 5дwе зЯй ;нъс›ч eэ x6Z ;J t•zoL&lt; QL ‡zV= Vu ‡{RO Mх FL ?^ 7=юkщ*цАх 5цYц&gt;цpхѕх¬чошHщ‹ш“чЕчУшЯш]ц’у QтшрЇпЕоЦо|сСфђшЎэb 5ч 9@ =Ї ?Ѓ @[ sЉsz@Ч ?т &gt;¶ &gt;_ rn?7 &gt;T &lt;} mђ:a 9t 8q 7z 5е 3ЩюъэЛь;ъЄцbу5с&lt;рЗп 4р 7с[у Tцaщ‚эЪ 4К 7ћ :м &lt;В &gt;U @A Bп D„ z”I^ |tIЈ {†G“ Db @‘ :н 3Oъ¦фоп™м &lt;кЭзмз ?кЖнПтЁчµы Mю; 4~ 6и 7г 8I 8a 6“ 3хэ ^ь–ы|ьИ*эяl 5x 8® &lt;Ѓ @5 C‰ CE B¦ AЭ @U @¦ qk&lt;” 8и 4¤юoыХш 9ц Sуор¶п±о¬нЭнзп°тfцюш7ъ}ь Iя uhm8G :: &lt;Ѓ pt&gt;` =» &lt;° ;М 9Ь iRя 4ы‚шЖцcфHт SтчтќфЕцўщsэ u4Ѕ 7ѓ : &lt;х p‹=о mЏ7пяNэЯыЗщ ?ч &gt;цVц Iч Pш&gt;щнъы*ьюй 4‡ 8й ;® &gt;z @Й @y sq@&lt; @U ?« &lt;‹ :C 8Ѕ 6Ќ 5Л 3lяюьШъ &gt;ъљщ &gt;ъ¶шCчЁхЅуьсЭр Eпpн Oмёлµм NпщсJхEщЂэз 4¤ 8  ;c ?™ Bщ vxrFе Eє D° vЃCќ B„ AF AІ ?э pЂ=ш &lt;~ &lt;U mЂ7СячыЯш GхцрЎмnйѓз™ж 6иСиВк NнНо bс†фЁшгьEяМ f5в 7i :Ў ;ђ =№ ?· @ю smB† B† t‘@] &gt;| &lt;S :„ 6Гя Uь?щ &gt;шАч Iч|хеф _х Cц”шщъ•ьJюгяШ 4ќ 6K k…8і 5P 3ђюBюKю3юЏюЦя Љ5Щ!6 9[ &lt;Я &gt;№ ?Є ?я q…&gt;y &lt;  9!5UэПшНф€сФм \й eз DзЃищй Vм Nобп™т QхїшCэ 5Х 7] :є =П t…xnyqFҐ D» vw’CЖ @і =ѓ :l j4пэ bы Bщ§чgц 3чЯцxцШцTч :ч7ч 7шvшрш aщ?ш‹чuш«щы Kэдэ±яч 4ш 7Щ :p p„@ћ CЪ F­ I_ }kKу IП H6 G8 DХ @“ &lt;• 7тя Dьш9хєтВр XпoофпhуЌч 4ышэЬ 4є 88 ;&lt; =в o‡&lt;d ;d mf:s mj;Ё nЋ&lt;О &lt;[ =h &gt;Ж ?н ?z &gt;“ :¬ 5ю[ъЊцГтБпЊн^нфнБн SоDр 9у ?цїщЂэs 4Ф 8Ђ ;6 ;3 :D kj5 яЛы¬чћф3уIу}хвъ =я€ 6З n…?Ј AF Cв B6 AЂ q{;Ь 7: 5mяMь Zщ”цЏхдцXщ†ъqъНш‡ч—ш `ъЂы 9ь:ьяь :яҐ 4Ё 7р :н &gt;ў AЙ CЛ FТ I7 KN Jd G¶ u|&gt;c n}9Б 6? 4яэ NыБщ&gt;щ Mщhщ Iыqь=ю ‘fpgn5В 5P 6g 5м 3сэяшЬфЉтНрHрЋсMт OуvхЛш[ьQ fpjvl“;С &gt;Ё Bљ DG EZ C› @џ =Ѓ ;&gt; l€i}3Iэ«ь|ычыэЌяЪ 3f 4X 4П 34яxэ”ыwъ{ъЊыЦь Aь¦ъ;щушvш Zщ[ъГъsщДщЩьsяf hЉ8ї :F p–?n Bi C‰ w‰w}Bu @ ow:ц 6¬!3ы 8чјтЕрсн@мзй„йUкҐл“нaр Mф &gt;шды Qюx f–5Х 7к 8\ :Ќ ;Љ =ч &gt;| ?‘ &gt;W =Х &lt;Ј ;а :Б :K ;Й :E &lt;¤ ;w :y 8R 7Ч i“5o 3ѕэKъ TчfфTтEр7о Hн Fнўнoпtс‘у]цещжэ h4± 6p jv8w 7n 8С 8ќ 9¤ :· :н mt&lt;У =G qЊ?ц &gt;— &gt;4 &gt;I =t :W 7‚ 3дьZщґчмц…цvцcхVфGфмф @ч©ш“щ ;ыйьБюkя”яЫяжя ”4Љ 5O 6№ 6Е 6z 6љ 6Ѕ 7y 9э 8¤ 7Ї 5? 4&lt; 4ь 4ъ 5У 6Љ khmpn‘&lt;c =6 =ѕ :м 6‚яnьEъЮчgхcу„тжубц @ъ :э |3Ј 5l 8“ :€ &lt;ѓ =Њ &gt;l &gt;ч =й =є &lt;` :Щ 7„ gDя~э dьќъ &gt;шмцАцУц Zш ;щ[*ыь¬э ^яА 4s 7Ґ 8Ё 8‹ 8y 7ђ 6G 5ёю›ъЬцытЮр aр Kс AуOх QчbщАьЭя Ѓ5!7 q95 ;ф =4 @Ћ @Q @ћ Aс upEѓ x‘DГ t“r—&lt;E k‚5Џя cэTы¬ш Gц @фђулуНфЬхLцџц©чlш~чВхъф¶фєфКуЋу eфђхTш¶ы™я ’7D n–?к Aj DД FГ y~x|CW AR ?Ё ;Х 7o 4Iяію bюИю l3ё 4є 6= 9ш :” ;Ґ :K 9А 6Ш 3SюЬъHчзтtрЁп Hрoсљу &gt;цlш·ъэє!3 6Ф 7¶ 8x 93 :ы :¦ ;й ;g &lt;‡ =Y &gt;™ &gt;v ?В ?ъ &gt;| p|:’ 7С 5о 3Nюsъ ^цДу 3уNтмряоIо \п©пЇпџпЫр{тIфDцучёъРьаэ„юТя p5… iq7• 7Ь 9w ;: &lt;&lt; &lt;f ;А lj9Я ko8y 6v huh|5Р 4џ 4y 4p 4J 4A 4Ђ 53 6W 6&lt; 74 7э iwjz7Н 5  3:юОыЌъсъ ?ы Rы Yъушцш \ыgюЕ 4!8‚ ;“ ?9 D GQ {fHн Fж D&gt; t†&lt;· 5oь­чёу 3р 7нЧлSнBсєх WъTю W!4 i8є 9© l{9E 7\ fKьмш PчХц Yчuч¤ш DьI f‰8= &lt;Ї &gt;ж @• BJ Cђ Bа ?ѕ ;? 7хюљъ 5ч Dх &lt;фoу _у 6фъц«ъYю{ f†5Ч 6“ 7Ё 7› 6f 5І gn5Y 5л 5° 6± 7Ч 8њ :№ &lt;® qy?х &gt;Д =џ o‡&lt;л n~;? mЂ9© 7ё 6L 6} 6й h‰4”ютыящгшючЎхРс:пЈо AплпУпqоrољп 4с¦т Lу `уЙуVх[чЯш…щъ_ы»эp 4C 8Д ;Y rЊBЫ C EЅ FA GA G¦ EJ Cu A[ @7 ?^ =т :s 8_ 6Т 4О 38яbэ Bы]щ3шdчлц UхЪтQсЛс‘уЇфМх‹цПц}ш Xы¶э4яй 3А 4ѕ ir9ќ :ч ;а &lt;Ѕ &lt;Ќ &lt;^ =“ &gt;р ?Ћ @є rzrЉ?Е =Р ;є 8E f?ыЅцВтФп :о &lt;мRм[оГс|фјц cшїшMщ Tщ?щ=ъќъђъ?щaщ Iъ cы№ьмьКьЇэбяЁ g~6… jf8‹ lЂ&lt;` &gt;n s‚B\ Dl Ft GА E§ C= @Ы :ъ g:эјчЈтфоLн &gt;н¶оУтЂш;ют 6Ў nЃ@№ DУ H… K€ MК MЗ KД Iч Gу xЉCs &gt;У kЊ3Tы¤цНтLр·пзрQтЙуUц^щ &gt;ь UюPю•ь`ъ Oш NцҐф Rт©пNо:оќп@тУфґч{ъ FэЊяQ 5C 7s k|9v 9x :Т ;Й &lt;N &gt;Ъ ?^ @n Aг BЧ C¬ DC wђCы @ђ &gt;№ ;I 8Д 5Џ 3ЖюдэАэЄэзэъэrэѓы AщOц 4ф `тНсИт ;х@чЇщ\ь –3e isl•mqmrlj8Ѓ jЂ7є 6с 6^ 7« 7щ 7W 9П m&lt;¬ =› &gt;B r’@­ sot`!@ q†nѓ89 gQэЙщXц^у aсћрПрБрГркрдр 6тЯуfхjч ;ъФыЧэЁя Ћ4ф 4X 4c 3ШяНяТ 3Е 4A 5Д 4W 5Z 7ђ 8Э k‹8Ђ 6н 4Р 3ѕяЁюqю FюґэLю“яh 3B 4П 4В 4_ 5Б 6· 8е l;© ;З ;Ф ns;{ lq8a 5vяТьLыyъ EъЫшcчацУч ^шzш–ш‚щ @ыІь Bюp 3х h‡7З 83 ox?† A8 B@ Aл ?X @| A[ Aі Ax AЃ ?J &lt;S 9Љ 6; 3ќь Qъ WшQц ;фДсђр&gt;п?оњпHуlч cы ?юю &gt;я s3L 4p 4”!3я @э»ыёэ j3 4д gЋ6E 7Ж 7о 7ї 78 6X 4¬ f’4— 5Ѓ 7D 8n 7І 5С 4Ґ 3фяФя 6я :эiъыцiф–уRтйп BоrнJнНн®н;н Nо&lt;р _уќчоыVяЙ 5У 9f &gt;9 vЂGL |”IЏ {ЏHп yqE‡ B‘ r&lt;6 9_ jqir3YьЩъRъyы;ю№ 3U 5§ 6? ku:К mtljhMэ`ш Nц=хшуEтWрХп 7тїх 8ъ 9ь cы NъdъВыhюI 3C f†3ёя| f‡4ь 4h fKэ;ъ dшLч°цѓхДу :т WсмсЁу­фґуsуЧфзчіьи 4ш 8K o…@ч vw{”L© NА N: NЉ M: LH ~kJШ yhv~?т ;Я lmk†5оя _юСыOъ\щDчZхТу—уЬумфмхЃцэшАыJю u3Э gЏ5№ 4\ 4p 3&lt; f€3эя  3N 5d k&lt; &gt;л @} Bі Cx E“ Fy GМ zwFШ C  AЮ &gt;’ &lt;ѕ mt7?яеъLшGчEцЃфTуcс @ряпJс Eт PуЦф QшЯы z3В ip:і &lt;Ь &gt;к &gt;­ &lt;] :6 kЋ6 4mяGьЖъЌщ PшЩчҐчUш Cщqъ—ы|эм f†8c =й t†Cъ BГ A¶ ?V &lt;| 9` 5&lt;юTъ :шЪцJчіч Sшѓш :шгчЌщОщћ+щШш Dц V*фуБуVт?сКр‡с4ф Kч Qщ 3ьНэwяц 5k k€:э ;В &lt;i =Ц =џ =T pЂ=U &lt;М :4 8µ 6= 5Z 4&gt; 4ћ 3Мя x3сяnя ‰3§ 3q fo3”я 6яёю bюєэ7э5ь9ы~ыиыdь LьЬыNъsшAшЎщKыzюv 4j 7 :‚ =Ќ ?~ @а ?] &gt;Э nu9® 6ђ 4’юџыФчВфcу­тЉт Cт RтxтМтџф[чAъ±эЏ 3§ 5T 7Ы 9Ј ;ѓ &lt;¬ &lt;f ;№ 9Ш 7“ ho4ЉяVэАы‹ъiъ§ыtэ‘яЪ 3: 4© 4Г 5К 6Y 6м gy3°юТэ[ю _яZ 3џ 4К 4‚ 4ї 3C 3aя UюzьЯъ ]щучГцzцcхxф¶уЯт7тfс|п•оГнAмmлЩл 5ншо‰с@ф bч 4ъЇьШюC 4j 6Й 7¬ 8К 8l 8т 8Р 9м ;X &gt;f sjB‘ Bљ B¦ Bc AI ?з &lt;&gt; 8ы 3cэКъ3ъlъ¦ыfьЮьЎэ [ю‰юуюVяH 3° 3T 3ЙяЫюXэ 6ь DъКш—чOцРхЖх ч5ъ Dь¬ю ѓ3` g„6r 6Ш 5э 4]я”ь™ъtщпщжъqыKь Tэ–ю©яї 3q 4Е 3рясюpю4юlю ^ю‡ю Љ3Ѕ 4‚ 6ц 7м k‹:› ;a &lt;¶ &lt;Ш &lt;л ;І :l 9’ 8° 7U 7&gt; 7о 6Ґ 6Ц 5ы 3ЂяpюАь dы°ыэыNэєяђ 5« 8v ;Џ pw?р ?­ @  ?н &gt;’ &gt;&gt; = &lt;а n‚;&gt; 9Ъ 7M 7; 6Ф 5V h‰hui~jѓ7– 7C 8S 7ю 5@ 4‚ю¤ы 4щехСтЕр*оfнYоЊрФуpч Jъ­ы&lt;эhюзю‡я ѓfѓ3D 3Ц 3~ 4&lt; 5F 7ъ 9\ o‚&gt;V ?9 r‡?5 r‡?б &gt;R ql&gt;r &gt;и ?А @k s’@? @° @r @Р rs&gt;п np:Ї 8Ш 7й 7§ 6Ћ 4ґяъьЉщMчвфvу \фшх|шkыOэ3яъ 3с 4z 5Y 5; 4Йюйь”ь~ьLэЎээµь :ь `ьЄьрюD 4њ 6d 9Й ;ш =— @@ AХ @¤ &gt;ќ ;b 8d gZю Hъ Rф6рЕнcмMл@кNкџлmн aп_ртсYтѓу VхЋцґшФъ‰ь­э Nяl 3Ля ?яUювэ 8юdюѕюCяj 3h 4Њ 58 8ґ :Ґ =ї @Џ B7 Dэ xhFГ Dz uy?D n|8Ў g&gt;юѕъwч‡у PсЈр™пaпtпљоvоyр 8у@цgъШэС 3Ђ 5D 5э 3Кя&gt;юоьпь\эґь ;ь6эMя •3н h‹8!9 r:Ч :ђ ;« o—=“ &lt;з ;а :f :Ѕ :Ё ;o &lt;M &lt;‘ ns:V 8U 7Е iђi‡5ћ 4Ф 3Ґ 3Z 3…юЯьдъLшљхЫтyпЯлZкФйпйАл Nоїсrцkы? 3Ѕ 7† mi;Т lЉ8ў hђ3[эґъgъаъ DыЛыцыpь¤ьRэЄю 3„ gsil6№ 6u 7© 6c hi4_язэбь®ь Rь 3ьЇыЎы 3ьУь XюаюОя® 3F 4ў hg7Ќ jxkЂk{8Ѓ kЌ99 :ђ nЏ=§ =f q‹?} &gt; p•&lt;‘ lЃ68 gu3вэAэ›э bюj 3| 6e 8N :‘ :Ц"9 Ќ7¶ g&gt;яХь MъАч ]цЂф­тОр Iпbнэм :о‹оіпПсйуЈцBщЎы‡ю’ 4J 7В 9^ &lt;o = &gt;’ ?c s‹AL Bї BЇ AБ @C ?i =m &lt;— ;7 :` m‰;a ;ў no;Ѓ mh9ф 7› 7^ 68 5| fMю IьУщ4шVчвчмшЈщRыЦьШэТя­ 4• 4О 3Н 3”я ZюjюЖю z3s 6€ 9З :Е ;і mЉ8&gt; 6» gm3Ѕюыю=яs 3T 7Ђ :C =± ?e s€@ф &gt;V &lt;м 8!64 4ЗюЅьЫъpш±ц MцћхЎх AццЌчрчµш SъэъYьеьПэcюѓю€я Bябэ;эyьЉьЁэ Ћ3^ 6ї 9q q“BХ D¤ F8 F9 Eэ uy@C &gt;] =щ &lt;z &lt;L &lt;и nЋ:е 7ї 4ўэSъђш Jч6цRц–ц}чiщ«ъ\ыЋьЙэiэ№эЅэUэwэ·эУь‰ыPыlылъРы’эРюuяЙя€ю `э”ьЁьЗэ:ял fj59 iz7ц 6є 7Л 74 6ш h‹6¬ 5њ 5M 6i 6z 6i 6Я 4ЉюoыuшВхoх ;чЬшуъСьqюl 3’ 6„ 8i 95 :z :&lt; m‘:ї 9I 8&lt; 6S 3выЖч Rхст 7с6пAн©мІм¦м Zн†олряфѕщxю­ 5з 9!&gt;І @Њ B} Cl DШ D~ CB A– &gt;w ;Ж 7e gGю’ы‚щ eш9чВчbыAяw 6Z :J =‚ &gt;l &gt;a =х :d 8q 5њюfыМш*х &lt;у—сJсгт dцчщ—э Ѓ4А 6с 8С 9Е :3 nl;Ј :Р 9Т 89 8 7] 6М 5с gX!3яВэ–ъѕцQф FтЈр¤рјс Sуqх`шyыВяD 7К :Г &lt;и =: =h ;Ф 9Ь 7в 5џ 3©ьњшЛцmцПцpщ:э3 4К 8в oЋ?; @  @v ri=Ї 9Y 5sюeыЮщЧъџы &lt;ыHъ &gt;ы Tыhы‘ыщъ;ъьщNъыъћъ°ъ &lt;ъДщ ?ыЕы6эЩюC 3† 4Э 4M 5ќ hj6Ћ hDяdы‘шiчншYьcя— 5ф lhqЉAY vpDГ BЊ @\ &gt;Ѕ nv:l 9Ю 7ѓ h†3JэeъачQф Rс‘р8с cу EхУх Iцщхdцћц}ч Mщ Yы»эЌ g‹8Љ :8 &lt;Щ ;Ѕ 9j jk4аь@ъАшґш:ыЃюp 5б 9l pѓr€@К Aј BH Cс Cм CС BЄ Ah @з =ѕ :п 6‡я¦ь`ыkъ _ыТьЉюљ 4† 8ъ mrn’lsicя:ы Eш¶фJс ?памkл л8мђн рxу&gt;цjщЩьњяѕ 4” 5т 5| 5Ї!5 6є 6x 8И 9[ ;Ы or=џ ;j 9б 5tя?эPьЫыЏьjю^ 3ы 6u :q &lt;и =Є =m &lt;^ :Ю jg5dяnэхъ¬шTч Zц:хEф‹у”т &lt;у &lt;хНцUшШщіъ­ы _юўяB 3д 4? 6† 8Ш ;c q€@љ AЛ tЉAf @L ?з pl=J &lt;¦ ;А ;С &lt;ш =® &gt;› ?С @c Aб A twAі ?µ psn~9] 7› gAя5э›ы»ъЅщcшћц\фМтЛрмр«сWтcф7чЁъЙэ… 4Z ir7^ 7† 6Ё 5M 4ЫяТю eя [яXютэ \ю Eяая —4H h‘6і 6r iѓ6v 5ќ 4O 5ґ 5n 5µ gl5\ 5Ќ 5q hk4зэаъhшяхћфgфMф 6ц6щЗьЪ 3І 7\ :3 ;` ;ё ;Ц 9› 7¦ 5Mя 7ьЁщЪх 7т*пэоИоџобп :с Dуќх4*шъ Tю i4v 7’ :Д &lt;л pЂ&gt;З &lt;i ;± 9т 7Е ht4жя4я Tяшю –3ѓ g‹hl5Z 5к 5 7Ќ 9— ;Э &lt;њ pђ=Њ &lt;~ oЏ;^ 9M 6®яiь^щІц :х”уМт aу…уAфCхкфHх¦ц8ч|ч bшхшЬщьъiьJюz 4Э 5К 5« i”7Х 7n 8п k•8&gt; 63 4ию WюUюgюёэЫэЛэљюія¬яјя Lя8яґяЯя €4Н 5Ї 79 := &lt;4 o–&lt;I n~9_ 7ф 4Pю{ыtщ™чtчJщ`ьz 3 7f 9m mk;U m„m–:Ь k‹7¦ 5z 3Зю KьЗщЯц &lt;ф eтoсoс XсµсчтЛф—ц^щЌь bю\ 3[ 6ѕ 8µ :О ;Ґ ns;‰ 9Ѕ 7– ho4ня—э Tыxщ ^шeшдщ^ыцьБя ‚6І lo=» ?k sm? &lt;Ч 9• 7H 4’эќщЂчХцuцOц·х4чnщ=ьHюR 3‰ f}3oяфя• 3л gs5у 4к 5м im8ц :D =… ?ѕ ?} &gt;Д &gt;» &gt;ґ &gt;я pЌ=К ;R ;З ;z n”;Y ;Ь 9a 9~ 9В 9Л :Ю 9› 8Ѓ 8љ 7Д 6ф 5Ј 3VюјьОъќъґъ :ы—ъ?ыЮыЁэрю\яБэ4ьыъЬъtъІъ”щDчvхуїсАс¤с€сНс=у№фЎцВщЅь Kяu 5M 9Z =ц @R CЯ Ds FЙ Gz Hш {~GЗ wЌBК &gt;в ;Џ 8и h…4° 3K g‡h€4nяЬь‰ы7ы“ысыйыцыvьиэ ЂfЂ5й 6~ 7@ 6ч 5Ы 5• gw3FюgьTьТьБьь|э‡юёя­ gђ7Y 9К ;а &lt;Ћ =Y =ё &lt;щ ;Ш :` 8ї 4pю•ыXщЭцQхкт \сXс 6убх^шкъ[э Џ3: 7Ъ :q =Р p€=\ &lt;щ ;d my8‹ 6Ы 46я•*эъвшчх 4фШу&lt;ф Yц 3щuы}ює gЃ7Ё 9u ;¶ &lt;Н &lt;– ;Љ 9в 7ќ 6м 4±я 8юАьдыНъҐщ щКщtъRьіюЊ 4Х 5Ц 5‰ 5п 3dя aэ•щHцотър†ржрйр&gt;рып ;тNфыхХцјцВчњшщч•шОшdш©чНчќш•щSысэ” 3С 4н h‰6Q 6` 59 g3хю EяP 3¬ 4з 5U 6џ 6“ 7М kv9„ 8k k’7ю 5b 6} j•8Z k•9e mt&lt;f =ї &gt;Ф ?j @Ќ @ў r‰=¶ 9° 4ZэQш©у Bр^оґмЊм AоБрRф™шѓь Wят 4r 7› 9Ї l”8ѕ 6x h‘fPю¬ьы ZщPц фKуIуФу5у &lt;т6т}т–ф Vц 8ш7щ ?ъ?ыЗьюэ„ю &lt;юЛэнэ¬эІэ 5ю‰юW gv7з m’?’ Bµ E? GC HЧ IJ J± KР Kж Io zЂDQ @F &lt;О 8ш 5pя Hьќшvх’ф@х ]шJы5ю f5л 6» 8Ў kv6g 3еь–щыцLхшу&gt;у¦ф‚ц—шЎъ—ь№юЏ fs5Z 5m 5@ 6в jz:З ;5 =ђ &gt;р ?в s€A s‡@g ?b qg&gt;љ o~mf8Ј 6¦ 5G 4Ъ 5Z 7\ 6О 5н 3ЕяХю HэљъXшxцдуърlпео„пУросbуhхOщпэI!4 7K np?P Aы BГ AД sЉs|rЋ&gt;© =r &lt;ю m…9a 8З kЉ:± 9Є 7э 6© 7Ћ 8V 9с l„:Є 9I kЃ6Ы fWяcю Sэ©ьЙымыѓь]ьчыHь9ьwыЫщ№шAш_щ¤ъ@ыЉыЃьюэEя§я Pямю№яТя•я‰яJя ’f’4ђ 4Л 4д 5ц 7С 9л &lt;c ?ѕ AD w”DS uzrЏ;Б 6*южы Wш 7ц:ц bц Pч‰ш@щРщBъхш‘цшф*уДу bхЪчvщEы·ьэџюXяQя Fя6эdышъ 3ъРщЕщуъGьсь‹эЩь _эEю•ю\я5 3@ fa 3</t>
  </si>
  <si>
    <t>RI*F tL!3WAVEfmt †C"3 gfgfw^!3 UV!3 hfv3dataк K!3цяляшятяцяйяияжяуяжяфяеясяхяряъяшя kfgfkfrfxfxf‰f„f‡37 f‚fЉfЉfЌff‰fЃf€fnfЉfxf‰fzfqf{fvf„fufp3оя n3шя l3ляжя t3мящяляъя |fgfrfyf{38 fЏ3: f–f“38 3: 3G 3C f‹fЌf~f’f}3эяфя g3ФяуяЯяфяЙяЩяЛяБяЧяТяГя яЅяґя¬я©яџя¦яЄя–я·я§яјяАяµяцяЮя!3Фя qfѓfkf…3оя €3чя w3ЬяояСя¬я°яЂяјяЋяҐяxя я§я№яњя g3 яря®язя …3—яэяЇяЙяня t3Пя ~3шя fЌ3= 3Ѓ 3o 3w 3y 3‘ 3љ 3Ї 3 3ў 3Ї 3‰ 3— 3m 3Г 3N 3‡ 3= fЉ3h f…3_ f”fs3L 3Q f‡3@ fѓ3Ђ fx3y 3} 3Ъя Њfѓ3E fif‘3­яg 3ияЂ f…3щяU f{3r 3= 3I 3ня` 3Ля |36 f„3ўяая o3гяјяЕяnя}я‡яWя;я ZяVя RяЬюяЙюyяаю^яTя6я9я GяOя8я|я·юeяуюEя?яRяѓя Vяґя•я y3јяАяҐяпяьяняљя j3ЕяуяряяНялящяђяшя›яия „3©яI f…ff”3№ 3` 3› f“3C 3± 3h 3} fi3б 3ЭяН 3u 3Ї 3Џ 34 4У 3Я 3w gz4Ќ 4э f~gЏ4? 4ч 3O 4љ 3т 3т 3l 3W 4k fh4† 3п 3’ 3„ 3Z fЋ3С ft3’ 3ЩяЫя† ff3ЭяB"3 |3­яЧяЊ 3ћяkяЂяsя ~fPя¶я Xя«юљяѕю=яЅюЌюLюыюљюІюСю :ю &gt;я”юfя@юUя^югю”юaю~юЁюvю Zю]юHюЉюёюЯю†ю 7яFю]я·юзяф+юЇя 8я7 3Gяая›+яВя ѓ3u 3V 3ђ f…3§ fЋ4Н 3З 3Ї 3А gt4ћ gr4_ g€4Л 4H 4ћ 4Ъ 3Н 4Т 3н 4Д 4Д 4џ 4z gf5 5В 5Ќ 4щ gh‚5И gV!4 5І 3а 4¬ 3Q 4Ц 3ь 3D 3ѕ f„3; 3Ћ 3@я^ fr3LяСя*юЧяея 4я5яwюия_юpюFяНэ†ю¤э8юЈьLюKэIэrэaэ‹э cэјэ–ь_э¶ьOь[эqы ^эsьfы dэCюPыАю :э\яPю»эщяЫюРя @яЬя¬ю• 4?я· 3Эял f~4К fЉ4… 4Д 4| 4» 4Г gjhqh”5н 5Y 5p 6» 5Х ipi7Џ 6s i–7ў 7і ipj†6І 6  iw6О 5Ы 5o 5R 7В 4Є 5Ц 5© h‚4а 5B 4= i`яj 5&lt; 3s 4Ђ 3aяёюyя Yя Wю®э ь°яещ8эьюызыгыпыkь ыГы Mы7ыґь Aъ¦ы~ъюъЕъCыјъ Lыжы·ь Iь•э 8ю 4эХэNяэ 4я 4яUю &gt;я 5яYя¦я ;э¬яЭюSяЁ fYюW g]яєя№ 4ј 3w 4э gp5¬ 6Ч 5e 5м 5б 6р 7c i~7M i‚7O 8ћ 7o 7Ф 6E 9[ 87 mv9з 8х l”9A ;с 6е 89 8S 6Ц 6e 5н 3М 5pя8 4ў 3wю l3›ю^яЂюFю“э PэWюіыKьЉь–ь„ш Dь»ш?ы?щЎщ­ш=цљъ Rш6щОцМыБхІэ =ц[э KыОъхыЎь =ьбюнъ[юҐы ?юxэ `ь =яјэзюzюъюкяiяф g4Н 3¦ 4p 5h f}6Ь 4I 5Д 5ш h|5« 8ћ 3z 8й 4z lm6Б 6П 7ћ 9b 8D 9V 9› 8= :Р 9ђ ;‰ 8F mhn…7‹ 8т 8[ 8­ 6ш 7g 4¦ 6; 4? 5ѓ 5Z ffKякя8я Џ3§ыvь‘ыQэбш HьЂшmщЫчwщ¤шPщЂцлъ Eц|ъЏшјы?ш Qъ8щ \эaъ Mьeьйш CэHыльЭъҐъ =ьZь™эьъµю§ь*эz 5пэH 5уяi 6г gs6о 4p i†6М 5— 6№ 73 6Ђ k‡7Ђ 85 9у 8ю 8Y m~:и 9} 8ь :Ж :р 9  9ь :‰ kh;л 8ы 8f l7  8E 4О!9 iЋ5п 43 37 5Ию ‰4dюЁяҐы ю‡ьЙы@ы YчДщмш@цЦц AхДф =у Jч¤утфяфїуьц Dфущ 3сђщВш @чЉшУыPэСщ Xя—э h45я |5V 3й 4o 6b 5Ў 7ь 5к 4о l”if;x 4s ;h jЊ:і 7х :Щ 9ќ 8« 6X p}7E ;&gt; 7” :‹ 5^ mj8L 9t 7q 6v 69 7Р h–4Ш 4[ 3©эґ 5ЮяЛя°э№яЖ 3yэШюзю|юїэ&gt;эfъ”ъOэDц =ъќчшрх«чЄхAх aх®х„у Xчоф™цкфTшкх Jэщш _ыЂю5эaяуяТ gRя Џ8X 3ч 7s 7€ lq6ѕ l†nЌ:И &lt;[ &lt;¤ ?С ;Y q~AЮ =п &lt;“ ;– =E &lt;ў =q :— 6o l—7‡ ;Х 3П 6I 6 5§ 5*яГ 3}эжьКыЋы“щЈщІц ^ш aу 4ц `цJф@уЯфgфBц›х›цZщ Dц YьAцOъTэсчЏь ?ь Qц7ъ Lь}чgы Eчqщ HыЭъФыуюxь_ 3· 5— 7u 78 :Р klt‡n—@U &gt;¤ Bк &gt;А u‚?V ?б C« &gt;6 m†uЊ;B &lt;Ќ Cџ 3 j•?NюФ k…8Д 3&gt;ыя 8ј 3єя =ьўьхъґь [ыаъ CхCъОцџфНч¶уѕхїснс ^хGр eрIтeрХо Pхzфiр€фPф Nц¤щ3ъCь{эIюV 7Ж 4а mw8A &lt;N onC_ ;Г sЌ=o Bh ?њ &lt;{ o–:q ;[ m|7F 7I :Є 3д 8D 4Б 5« oЋ7і ;K 8Є &lt;Ш 8Ф &lt;— 8Є 7o iЃ:ЪяtыV 3ЬъЉщHчhфµу&gt;т5т›оГпМн :п§оqу8оnпЬх DфШчЦхЋцбщwшb 3­ь 3ыЦ 4Gыq 7z 4xяШ hv7p 7mэ j:^ 7С 6М 7° ;’ :џ &gt;7 9  A¦ BЦ @n Fу G“ Dd DC IТ = }y@ґ 8§ &lt;ю*я 8ПяVц `ш:чљт&gt;ц~пЦсУсљу?уисйчХтoш ;ч}ч@э `ь bщ ]ыхЕш8чѓт¶чеуWр·тПш€ф§шЫчЏ 3c gq9c ;Q =q t•E6 H&lt; r—E™ Kм EN DШ B™ &lt;&gt; Cм ;б isk=я] lFюD 3ґя°чЛэR 4ЇыHьќыГыeхkяъчљмїн¦уЖпIк Xкiе_д¤кЄб Lй OмќкЫцмфћыrъЄ l†6a ;й &lt;є :n GЙ p–Br Cd ?L CL GИ = ?y Ih :Щ y†Cv &lt;O Eо E@ ?х |‚@ў E¬ E™ A« B; @п 7« 7· hUяnщјт NрOн [л‡ЮgоЕЮЏжЄдоЭ Kкiп `бdч Bл™фщхщц 4щќ 6ДлҐ 5щr 5J &lt;&gt;ъ }iЋ5І srnЌDЫ @Ѓ M? A!PЪ RW UN PЕ PB Ky W— Ha HХ t^юЫ 3”ч Љ4Вн =нuикдсй«е LвЮйlнSдѓжФоПн·н_ирзћн†г9н SЯЭй­ажк¶п·оџшhц` mjtЌ@a J‚ U7 V… ^Г V` {_} bM ЏђЊ‚ЉЂ…mLI &gt;в @d 7s 9uы KшФтютЅчvиИиКоvЭЗн]Я…Юаб4аЩЭ RЭЃЭПаЕв бэиhк UоQц @щР 3і g†?Љ B¤ HХ IЅ P° €kXц [я Uu b¬ Us ]В [Ю L~ W• I¦ IR Hж 8a owiOыЩьZфФмGлЈжwд@дSг dацвVЭ 5гёЮ&lt;еЕиЏи°лдо Jш Gф¬ 7mюз 8я noEЏ E” ЂЋ~ЏL` [• ‡fSM Y¦ P] VD Mћ N; t…sqmEя Kьєш`жЙс’а_д4аlЬћХvЩ4ЫмЧ aЬИХKбUЮJаOзЛвўсвмҐтYь‘ы&lt; gp?Ь 9р K&gt; Dб ЃfLЫ Uз Q† U† Pм ‚’Pg M€ xjsЃ&gt;Х g&lt;юBяпцlо 6пЋм @л aм &gt;е ?з«й OеЧпdиyп‡риф;шняIяЊ Bm A” DK Nµ G\ ЌoPO ЊqOQ [з ‡~R† Hс XТ J FL AD Cc =К ;ТчЈэџт 8рYоiкЪйLд‹к Cењд Aс4оBуВпSщaэ– 7…ь r7Є &gt;й :g BД Dл ;ф Sш woLЕ G4 DC J&lt; Aъ &lt;м ;љ i7щРфџо›уgг RиЙдгЮ Oж•аIдйбти Gз ?зУж aтВпkщ|фI 4‡ lЊ&gt;г 9: Iџ @7 MЋ Eе GP Hp &gt;W @o 7™ ;…э Џ;атЎфLщYсБпћмѓм ]л ?кMгGрРжоЂм­х 3ъд 3к :Ж 8з B» x•JМ R– PР Tў Zф Iп X7 Tk KБ wkCx DЇ 8‹ 6E 4жхSцxщжпкЇц IуJмlъЛыХъQы= 6¦ 7= =8 FG rЃIw K7 ~ЋD° EH F‚ Gщ ufqђ:a 6¬ 3Tьжп Fц &lt;ф Fеэй*вaзнЫ @е \Я UвРжПйCйCпРхgщЕ 3G 7Б 8Ґ =… zl=в &gt;с FЗ &gt;J Bк k—5хяЁыо‘чѓу PжЅз dЯ­н MЯCт XжBщ‹пРяђ 3Ґ 5У Fв zђNе U8 `m ‰hЋhZП br ZВ XА Ol BЇ ?­ 3М*фх @к Nн}а„д `ЪOбђйWм bт№ш ”3&gt; 3d &lt;v &gt;Ђ LВ Oа E… VU NB Hч E¤ @} DW &gt;k gIщЈшЙо FсшжҐлpо ^иGрУи¬уўъI :Ћ Bч E| Iѓ Tі KZ ZP Uu Љ—SQ PҐ N| Dl &lt;п :в 7ѕщ Ђ4Ти¶шҐЯTсnиждюк &gt;нЂх RйМуз 5uюxэј ;щ :[ :5ф Ђ8nкь’и ;йsв ^Ш[ЮUиNУдЮџеТцEк—ыAяv 7™ Js GЦ ZU PБ YЎ Wѕ hT¬ L© Rf H‚ 3к 6gэЩоHсЅмЩгСзdуUй‹пWэ^ъ§ Lfяч S– Mс XЕ [z QA \П A“ \Q 5j ibыDојф8Тxдигйе HлцгTцXиЄ Cр =z By †J? V7 Cп VН =8 Qє :ѓэ~шUЯ 5ю dЪ 4н Kг|жДнол ?ыiьЖ ?‘ ;W Mi @Ф Gд RЌ ?Џ WИ =к 5зюfчЄх @сJз*нИл€пsю Jэ­ 9њ PЯ k‡O8 MJ Rс I° &gt;э Jй 6Хя [фОыbе3ъsх}с[щляu 6с 6i Q¦ L} B Oе Mв B7 Q§ =Юф= nXуNт 8ж‘л KмИй{ы”з&gt; jЉmsj‹;p ѓЌPщ AS :Ђ FБ wGф&lt;эЇмИр RкaЫќЮЩх Zй~н«эЬ &lt;a B· &gt;Г N› Dп Kђ t’C„ы KхєтJи 6дЋп Yзму†лLш\ G5 G_ AЦ Qэ ID tr@е B lKщoжѕоeсьмNнЄс?щv 8П Am zLщ NQ OП W• P6 FF 8P 7шъ™шDъaи ^шят \ъ —Eц ;b LB KЊ Fј T† QC!O 7и 5« &lt;™ю3ч&lt;ъёщн ihpmAэ OA &gt;¤ Uе ѓ…€pCл rЏ7EшCя 4щ ?ы“жO =щ 6М Dг }•;H ѓ’K— Cа ?s 4єьPюµь _фUы &lt;у—юb 9§ ; ю ђ=ў ;ч mu&lt;тфжуИж_п VиKз…въж—кJсdэЋы&lt;уШц`ф OошмMв GЮ cЪ©ЭофHзRнз 4xъ UяT pCь‚ц LэВн:н]ф &gt;дЈпќй`хЋьAчA @›ъИ u—;В FАэ6 A: :њ 5T HЫ i‡JU 99 JЦ &lt;^ FЌ 7Р CA CR hw~dя!Rд EЄ …h@Э HK Hй HF wk6ќ &gt;Єщх 6Ш 6Е 6¶ 5– r{pmKw Bє KІ }„=Н Oq F‡ K» =w T† 9g ѓ€8У „”JU Kй Kб O“ Mz JЯ F€ GЭ UЖ Fa W{ F› ѓiMw CT Fь 9}э 3ыR 7&lt;сї &gt;Lы:ю LьOш©ьСеикБгМе€Ъqд[нЁпOа eоmк‘ЭZуgЪвацЯ‚у :рgдGлЦЯ&gt;иLЛuбШНИУіЬ›Э=бOзцЭЋл 6лЁеЦв5к·аzж?о Dв~с¤фrЭнс„а cш”чБа pE–ъ ‰Eп HЭ SO =E ЂwQh I– KЅ @с Wo B^ K¦ Fс Eх 7V :E u{yqЃ‰q~^к Kњ IF LЃ K„ HR 9“ †a!Q ^б &lt;Ш ;р Vxп[ 8µюd {Ђ&lt;O ЃlVp Rџ HЎтЊ X4 l|:| Xg ‡sKГ F® Py to8Яфg RZ •vDї Xj aю SI Dr Jд ET Fп Oо T: c ыd A„ъ’ 8ЂЮф Eл |[ъ mG¶ =Б =ЎжuЩ Pк u&lt;–н^Ь¦ 67Щ¶НоНЮФ4сЩТµм—эгтќѕ†и dбїжНе\нyщХлиЫПХЧбЊК `фПоЌйuт VжcТЎбqЯцу©мЂз QзћЮЋМ–бхЭ–еµч HхMыкукЦ Jнй 9Ъ D!P Ћ{^ю’ыHчю 7‘ TЦ Lљ XL _» 9Ъ jpKP Uы eЙ3 l]f €k3’э® \є _&gt; NЫ X· Mrюйю® EМ ZЅ S¦ Qа sЉfYь– ? du Q7 GM AЪу Kья L· TЭ eё PЅ 5зя« Jт {V5 kTџ yZщпсЏ =| Њ‹MФ jRэZэѕоА O” {‡CІлNдM :uлФ 4†ч№ъҐЬ6ЛЃпри¦ 6hн»вuЪpБ l:w 8}к 3ајЦ»ж@вА &gt;Њз…ЭrО]фtкUэнљКKлOеpнН 9щЩфХ 9РC =н [таЪ7НIщsы EуOиЗ*ажWцЭ BFЮMЭфй7 6К 7№ч8иЃосы† FE 3‡ =о 8} FЌ J^ By :Ы ;‚&gt; €HІы3 8^ @и Wє Ћ{5XхК &gt;7&lt;Щ ЂЏPZо ‘5ПBѕ [э ЋnrN“ HL _W j3„ „&gt;OmуічX aЈ ‰…vђeдў Dч4µ5ЫшA 7џ : Gш;w CЬ‘ |}ЃЉ€•4GпД LM D‘лСвJе y†&gt;мЉФ|Ю8лѕ [PЬшДХлйчo 5ЎвИДW 3·п›цчСљс©ы YоЎЖ GьWыЖо ]б¬ j€6LЦKЯй= @ёЭ QЬБЬа EсЖ¬кЋТ~ E`ЮћЧnж H=ф‘Б _н „8Wсt±у 6mцTй¤ЙгнЈ IоЬjЮ Cэ  ;…пЌ 9  Lе &lt;YЬ ЌVб N¦нр @s [‡ &lt;ўн Њ‰EP 6Ц Jл ‘[а R5у DЮ Nзш k‘Њ]Ны KАз6№ b щo t’zЌ@¬ю:?~с™ IЙ dђ „_¶` ?7B] 3БжЮ e|ф „&gt;Ф —EшЩ K= _Е 5в 9щB… MТг_7t •cхЙ €•X® 6; Њ”Kџ 9Ѓ GЈ Sѓ 3Щя_ XyшКуF WЋфЃн k;ўь Fьkй Tъ№я 9У; 4¤эХЗѕю¤црОшЪЇ 3хкCСњцЯШѕ Cћ Vьјже• 6dЫ]Ф` ЂTЪ®ШG CjеќУi g&lt;щµЯћ 3яь ;Цt Vzю dЩ{ 5m X—ЛКс ~6”*цсл4р Zл*Яч :мIЭa {ЃcЏВЁш‡ЬPрЌ RОЭђкђыј n^ы Oшъ? aШV RС o[оu gCЙѕ CWEc ItЬЛч Eэѓ EЗ W&gt;хЈ ^ъЗь” }ЂI] ow:‡ ?і Ch E| B9йQяH QЕы«EяС”аИ `p jq7• ‚svGхQ WґнЏ RИ BЅ :` H@ь Oу° Vэл¦ ?3 =л 6Ж 7Ќ 7]н lIЛ 4џ {Pф–жн F– 3ч &gt;k 5ЛмзЪ Љdv …SВ©хљ ‡7к Pс‹ A“:^шЊсБэdОг ‚sЏZвeТcщИу 3Ц…ж ЏMњжђ 9чэm WmР 4Э m^7п‡ЮЩ `·чКО DзС E¶ ;ї XѕЗ… IО &lt;ФЗm9Љ I|ф †4Т W&lt;д‡аR &lt;u WP V[· cэпE 8мPпј7&gt; pKУ  &gt;ЌчDщd &gt;R ?: ;j IЕчцУ [z mcЯ —Aг ђBжИ DҐ WFьOл№шј Wј &gt;K vt4J Ipл€узтЧ e 6pяэ @Ў ?3 ;‡ 8І s{?@ D’ ngrw&lt;} E” †GйeьЩ fFЯ} K€ 8И 6I 3EуD D9 MЬфµк’ rnSч AgЧа ~_с Eх¦ы7 3} Aэ IПъYЖ ibz GtШц 5¬ ‡VшмгF €‹]Гэ bтўфЎ h}oFчW&gt;‹ь~ши 5[ц 3иD ??щ Hеoс—юЧщ}о Lз Fи _жi ‹:шуеКьtуЧЯ† &lt;о ?ћс Gхlкc =sб cм¬ 4~ N§ртк»юїХхФт cі ?lТнйпом WXпcы h\^К¶еЭ e„жїа gTЮ •:иУЬ6ю™н ЂNы_ю p@Ъ =Цыэз Oц HкПдів;юd &gt;ZХ ?л•е®шгЭЁщµж^р…ищрітКт Rх @уЖоQи&lt; 3i &gt;ИсB |Џ&gt;“жђЬ ;эL RG Vж rh8J ^o tbпS ^n ѓv3k 9д ‡wBс :Ѓ KC Cу 8аэC 9Е Hr Kt 65 &lt;юяL 6W HX :S EЙ :µ Jп p?Њэ° Rћ iЃxCН G: Mэ |iIа ‰ЂL† Sj s|9: =r =Ќ 3K Dх H3ьБоlшj IҐшlф€ы [юtеlк¤ЯАЬ eю&lt;н6ПЂж°тYЩKйм ow3Џо 7ияагоПи*Ц;уЊуьИtП|ъ» 7оЭднў ;м Bцт Aэг Zw RИ krZХ bТ 5Џ ikaФ ‹swC!B 9L f[э _ьNя cэ¬цЙх PшtфQчKч:чЩчБщKш°щзъzэOы</t>
  </si>
  <si>
    <t>RI*Fш:!3WAVEfmt †C"3 gfg3Ђ&gt;"3}!3 hfv3dataФ:#3 hfsfgfn3ЮяЫятяЫягяРяжяКяеявямя Ћfr3хя ђ3БяH 3ня ђ3¶яья 4я› 5Чя!9 Sю°яЖ 6[щў 6K 4гэ\яг iLьH 5»ь Ђ4ЌэЬюЯюцы f4Lы8 7”ь i4І 4сю Ђ6 яd 3Q 4u fmflhq5щюC 4с 3яэf 44 4B 5M 8кэVъ8э HэІю: gЃ3A gkl;юьэШ 4WэЅ 7© 4IюЌэж hx8ЭэТяDэ Kяњ hAыќ 3о lg€f:э Yэ \щ` 3Чяeц 5ыq fbы3 7‚шK 8‹ю3 @G 3c jk;ћ 3Џ l†5К 5Э jm5Гяvя EэҐяКьРщ WяaчK*эщ9э =ъuэ€ fx6*ь9 9­ъ x8Јю ‚6sэ~я” 7иыёьE :’щЄъј 4Ію[ 5ѓюй 5Иъо 8ј gIяч f‰5Й fIяР 3†яС iJя&lt; 7§я ‹9” 5§ fђ77ю› jxgk5€ь ‘3Ь 53 4мюq fHю wj“4Ь 6^ыс 9{ь •=ѓьЭь @ш6 =Ыы^ю~ 7Ґы ”@ючЎыт 4ЅъИ jGы« 8±яЁ fZэG 5„фњяютr 5[чу 77шV sOу –ubл AоЋ HЖпж KTс q@jтm 6Э jv&gt;K 4Д &gt;S 35 h~4^ hЉ3шэњщэ 5H 4Ш hUъ Gя ~4ЅьЁьWэkьХц 7щ|ъ¤о] 5iь p5C 3Jяzя&gt; 4‘ъ CE mЂ9К 9‚ :w 4j Aљ 4’ :4щсь*щКщB 3‹ьпу r3rыѕъџшСщ‡ 8Rэк lЊ;ДшУшOэ€ 8^ 3тызрЎьы™эG 6їчД 8pьaшO fXюfъ KыI 4¤цЉъУьМ 8ЮшЦ giЌBК 5Ъ @» kyLу 9ѓнm @з Gѓш †@Oпд ;T AП 6€ jws‰:ёч „7—ю DT 3Eй3з KлЛ raф m6Њ N€ 5]ц u?}ыy P“ o–4Oю’йR RирЌ ?К @Э m‹Hщ I~ 5Ї s”i‰@¤ Fѕ z—x„L{ 7о NЯ OМ ђC° 3 эБюњш ;ыlфФтго WпБчљб eг ж XШЈЩњЧ LП=ЖLЛµБJДxВAЗЈЦЊЧ Х &gt;еµрйхF &gt;— :э 9Є By Ol AE J† Ur ЊxMО MЗ €ЉVЈ Qь Lс Wљ ЉP™ Pк aю Wь CЏ D° FБ o’?G xhЌpvAў 9I 7LюЙют*ъ*эь @щ яХш&gt;ыЯьN 3† 4Ж f;Y 7ўн€и‚иИтЏъ•щухµщ=цBт7рСюэтaр ;ь Qт­тЄучAш Gю IэЛчJ 6Ђ 5ы 4TюЦюK 6W 7H 6  5  Aњ E… @\ &gt;S ?К AЉ &lt;Џ 5б 6&lt; 6® 6н jr5чшмюв fRяµ 3@э шИуRф Aоўо `тЈуЮш &lt;ф aфарЖрѓс~о ]у Uр Uо6ш–чмуъпyт™с*щPуЬшr 8о 3v gj6‚ 5Ґ 7!8 –;f A vЂ?&lt; =\ &gt;n AИ @3 BИ ?k {jBэ Bі F‰ E¶ =‰ ?Ї AЋ AШ Aз B№ svr€BЎ Aл =б &lt;H :„ f–5[эZъ ?црхGф ?у 7хСмNн WоuрВх bхХтmхUъdъvю· 6Б 6s &lt;Y pЃC¬ CЬ Aќ CU B&gt; ?q B™ ? 8Ј 8В :и 8Ъ 4Їя• 4Ѕ 4С 6Ч 4Г 3Z 3Ѓ 8Б 4І nЌ:9 8k 6Љ :К &lt;с &lt;л mk&lt;e 8µ 8Н 3Щ 4Ѕэ Pя›эГэ€ъ‰эОщЎт :шbъ 4э­рџф KфeыЁэFцЋщўчЗчeюµш Vчру{щJш&gt;цNчwц—чcщ Hэ7япъМъ¦хшъ&gt; 3k 5–э 3Ч 9A 7Mю_э; 4u 4ё 9: 5‘ 3В 5Ј 3Р 8dьEъђъєшБ 5iюёъfэQъWчyчлу®хЖш dучц”щ›ыяцрц TфYш?щ§хЉц&lt;щ KьючbьщчЉчTъeы“ы‹шёь ]э9ю Bыwь;ю Dю†эNэ· 4ъ 5¤ 5г 6 :s :J 8B 9l 8К ;‡ ;j 7ї 6и 5Ъ 3e 5¶ 3– 5Р 4Ѕ 5‚ 66 7Б 8м 7џ 8± 8с 9w 9А :а :… &lt;М &lt;4 :ќ 8h 7Ђ 9ѓ 7Ж i’jw5h 4\ 3јя 6яйьЎыґы Lюєы€юёячю ѓ3t j—7Щ j…;… ;х &lt;” =’ pv?Ф =p =Д =· =H &lt;n &lt;§ po;° mg9s 8z 9ґ 8u 6ъ 6‘ 6µ 6m 7‡ k}9“ :x 8Ц 6у l†9O :І 8° 8е 4ь 4Л h‹5– 3х fgfJяОю:юdэПэ|ь Qь [ь^яьяKю KяИябюFяея ;я Ѓ39 4n 3щяМ gg6эЬя eя{ьр 3IяУю }3ЮяКя JяBя l3Їэ Cя ‹fcяць:я BюЦьіьqь Jэ:ю°ьЙьћычъЈыЮъ*щШщ Bъш CъЕщ Yщ GщИщGъ|ъ \щЩщDы—ыqъџшiь—ы•ыhь 6ьШьQы Gы»юYэ YьaьЇэlь Oэ ^ю MьгьШюжюбэvэЬьЄяу 4§ 4Їъ!3іщ–у ‹oЃGd 4йh ;{ B`рmхЩф €ix9O ?Тъ‘ 3№юMрђш®ь Hъяэ® 5k 5¤ю &lt;х Gхeэxь 9!3 5ґ i”8йъ=ц®ъ }4» jn7“ 7@ 9Ѕ 3uяSь•юO 6ъ iTя ~3а 5W 6r 3О 5— 5б 5Р 3_ 3І 3g 6s 6У 7 7‰ 7| i7Ґ 7N 7; 7Ђ 7ю 5_ ix6Н 3X gshm6® 3‰ h9я„ 45 hcя„ 4` 6† 3 hђ3Ў 33 3h hy6мяМ 3й g–iЊ4q fHя9я_ю Џ3ляЏяV 4Аяh 3Y 4љ fj4¬ 5S 5&gt; h†4R 6Ћ 5Ъ 4Y 7я 6М hw5а 3r 3~я8 3[я4 3ІяTю•я 8яЄ 3Сю w4џ 3_ 5• 3Вя• 4Kя“ 5G 44 6Ў 3*яљя–ьОэОю~эpэ‰эЗьхэRь cь 7ьBю ]эZя»яoюйюјя№юи 3k 3ЩюЋя&lt; g}4т fk3р 3Њ 3Ћ fu3¶ 3Ы 3‰ 6“яfя _эwэгы Kэ‚ 5Ўэ 4л 4Ї g–8’ 5о 5y 4N 5н g}5‘ g{4ђ 3uяЏ 3М 3° 4ѕ 4уя “3ёяЁюЇэf 3  3Є gs6Ј h…6C 4X 6Љ 5а 4Ћ hn6y 6њ 4  hЏgr4а fkfXя@яќ 3Uя Hюљ gk6ў 4&lt;ю |3д 3•эТя Љ56 3» 38 3хящ 3Уь|ю;юyэ‰ 5П 5Pя{эPюAэую° gЃ4n feэ¦эрюР 3дя^эѓэ QэЧэзюQ 3жяЩ 9¬яВыfщAц6ьsэј 3€ 4Ъ 5• :а :[ 9M :| 4… 3Ѕ gs3® 3Y 5Џ 4&lt;ь‡ьПэ9ыiщ±ьяэ j4] 3h 5Щ 4¦ 6&lt; i“4и 3й 3®я­ 3ц 4o hx5Бя AюµюШю Nю`э `юљэ@ыхы 7ъ IьБэЮэ Bюёю Bяыю‹эВя “3ёю EяЇюЧ 3ф 3§юђь@эzъCъжъёь‹ыDы=эgэ;ьtэ Bюоя &lt;ю Ћ4rю› 5’ 4Б 4… 5у 3@ 6XьЙ 3` 3ъьЭъsя7 jVъјя› 46ьлю8 3Rює 3e 5ЦяК g–7ї gѓ7чю6 8Дю« 56 5О 3™ 3? 7ѕ 3™ю o5q 3ѓюEю©яцяЛю ѓ3Г 5­ 7ѕ :` lp7Й 5е 5‘яMюл 3ьъБч Bю|ыXыя{я·ю ‚3ѕ 4юwяp h7D 9в lf8м 6F 8Ф 5Ђ f}5dю `эсщDь™ыЁыSыть‰эа 4’ 4¦ 7Ш k…&lt;Ї :B m}&lt;ђ :a k“9§ 56 5ЭюeэЈыюъжъЙъТшцыxшC 4нъgыС 6MцI 7Ць l5Ё 7? ju7 7я 8• 8` 7Ш 5‹я6ю`ы©ьаы [ыящ*ъЫь ъXь =юЃыuэ Eэjэ ?эД 6P 5№ 3P 3z 5г 3К gq4~ 4‡ g|5~ 3вю HюШюbы¬ъРы{ьэчИьШьCяј 4п fЉ4µ 4pюj 4H 3ія” 5Ц 3z+я«ю6 4UюI fq4&gt; 4? h–5H 4™ 4— f5ЕяG 3УюЅ 7f lm4Њ 5@яЮэоя’ 3М 3T 5j hxjs7W 6Г 6« 5і 6Њ 5K hLяъэH 5Я 3YяOяџ 4ся» 3ж 3™ю ’h…f3D gЉ5щ 3Я 3] 3° 5ЌяКю™ fЃ4с 4N 4к 5ћ 4р!4 5Y 4’ f…3¬ 3Ч 3j 3U 3І f}3g g‚3к 3s 3Г 3Мя^ 4Л 3Y 3† 4[ 4ж 3K 5B 3ЅяВяѕ 3Њя „3Џ 5Ќяшю†ы Yэ}юЎ 7t 6єьъю` i•9j :@ 3ЈфЇ 3оыЦщ№ 3­ g}6r 6Oы w6¦ьшчЊэ{ 5ЎяGь№ы’ 8Ў 6МшЌуYя« 4уч‡шыяE 8µ 6мыwяХэAьУэd 6= f:юЌяЩъZюШя`ь­ыющ Kш dьiюЮ 3m gj36яi 5БъЮщKъ PщЯы \ь Oю 3яё 3м 3J 4xя :яИяЌьб 3” 4ј 4в 6‚ 7Ъ 7Јэ3эЈ f:эОьі 3Йяr 6¦ 7тщ|юж 7ќэўьЁ fxlЊ4G 3Б 6Л 6гщэ g†3ьяМюФы7юЅ 8` kVшEья k‹6¦я| 3Oю‰юеябэОюfю| 4w 6zюVю Ќ5З 7« 7Ы 4‚ kЉk—7» g}5Љ 4Ы 4Gяю 5» 3U 33я{ю Rя J!5 4\ 5ю 4` 5— 6i ;В 6Й lv8¦ kЌ5є 7ЕэА 7Nяљшh 8A 3kю–ы3 :@ъh 5Y 7І 6E 4г 6юэ© 3Q 7k fZю| 7Я 4Bщg 46 iAыlь©ямэЎю‚яNэз 3B 4Ю 4— 39 5Г 3| f–fu5зэ MюP 3‹я3я •3= 3ЇюЃя– g\я Ђ3У fFя }35юfяKявютэ ?яІю 8я ofSю &gt;юмэќэ ]ю&lt;юЗэVю»эsэ4э”этюpэфыќэvюvюЋь€эчэПыAя PюЮы5яGюЧэXэНь•эўя EяAюsяОьцэЇяУюIь SяН 3† 3Ќыzэ«эQ 4Й 33ъnю° 7“ 4yюй 3Ј 4Ђэgэ]яУ 37 5J 3№ 5iэ ]ю gf•gYяc 4J 6… 5иь¦э hj†7‰ 4”э QяП 4Ч 3” f&lt;ятяVяo 3Я 3­ 3t 3r hЋh†5A 5Z 4E g’hѓ7і 6с 5Ш g}6^ gjgx33 38 3B 4K hv6T 6М 6© 6ъ 4Ц 6• 6H 5H 6ј 6d 5Ь 3&gt; 4 4І 3гяыяhяl 4D 3&gt;эЊя¤ 4: 9B i~fv4{ 5Љ gAя h4† 4k 4Љя„яњя„яBьVыЇя DяҐ 3Въ Dюо 44 8} 7T 9P h{6’ :`юЯьTяZ 4фъЎ g‰hOщФя 7}э‚щаьDщґ 7У :tю|ы7 9A 5Хыhя o5ыэ 8ю» g’3€ю 4юVь 3эїы dэУюРэђяџя‰э aюҐыЬэУяP f7я ђ4”яeю«яoюnы Iы [я[ю FэУюСю»юМэkярю[ю _яyя—я 3Шя MяUяЃ 3ряДяВ 3Ґя] g‚3иэ¤яP fLя„я^ f“3›я^яK 3±юю aю•яу 3‡юDя ‡3»яc 4= 4oяє 3‘ 3Z 4Щ 3f 3Ля x3uэФ 4Џ 3V :9 6В 3а 7ЪюПшeц Eф Eхrыј 4l 9_ 9Ё :К l„8ў 4ћ 3g gsjn5И 4АэjюЄя Sюа+ьцъ ь ^юЇяў 3~ 4d 7Ѓ 7q 9њ 9е 9Й :Я 8@ iu4цякюэНю‚яFяпя aя~я q3–я …3  4u 4к 4Z 4р 3| fJя©эТэ Dэ Bэоь;э Vю 7яdяЊ 3g 3Ъ 4и hЋ5љ 5  6Ґ hs5° 4В 4Щя› 3e 3±яІ 3“ 3зя© g3N 3њ f‡g‰fm4ф fЊ4c 4N 4*ющэ`юзюЄя q3j 5{ 39 5B 3b 5] g`юZ fWю Kю8я Yяъю Yэ©юЊюH 3c 3Kэ”я• f{4± 3ќ 4R 3эю™ 3ъяњю¤ь 4э·э &gt;ю¤яgюuэюя 8*яэбэУю¶юNяgяюДяM 4Юю {f•4Б 4«юЃ f^я KюУюГяКю Fючэ `ю=яјяфьБьtя_ 3ж fg7Ћ 7р 4Ш 3«яUэ„ю‰ь‚ьIъ YъЌя ѓ5[яИ 3К 5L 3Ъ 5J 3‚ 5| iЏfKщ|ы«ь —3аяЂ 5Л 6Ц 3тю&lt;яЙэсьКюC 5µ 5э hr6; j•6‚ gk3щ 3пяґя Ђ3Уя Uю`яРю WяМюЊяGю |3… 3± 4A fu4`я n4j 3у 4” f‹4ј 3H 3ZюОя u3kяћяf 7ьэИ 5¶ 4~я x3­ 5шя¶яs 4G 5‰я kh‘g]ъDэ{ 5‰ h‡3ж 6qяЉ 3є &lt;4 6±ш GяЗ 84 4@ьэюл 43 7m iWю;эЖ hЉ7Aяb 4tэxюIэlяля Ѓ6uяЁ 5– 5Ґ 5= 6йя:юC gXяљэњющэfяйя zf‘3Шю ‚4{яP 4yя k5@я^ 3Бю ѓ3™ fuf&lt;яЄ 5їяЂэњюФ gEюtядэ9 4yя6 4± 3Я 6‰яpы Њj~4Ў 3Бютщ@ 7µ 98ыqъ„я9 8Cю­эГэѓэЖ 3вяёы• 6ьЋ 3® j?ь6 5°ю ;ю5эLя WяR i4ц4ьA j3яR 5пхВ 6в 3ЋяЛ 4щьPя‡ 3‰юW 4RьъьSэ l4оьџывюв 6ю kѓ4Эюс 3\ 4eчНяK t6хnч —&lt; 3† 9жм Ћ;pыC 6© 6*у g@А ;Zуg 4| 9Ъьр n3*о ?№ъѕ i–3Jяs 5ю 4JыJя€ 3Д 3Ў 4єы gk–8гя Wяu 5Б gЋ7KьЂэ ‡3¶ 5mы l3T 3П kHьN 9ъ 7jхс 38 5• =®ю RыHъ XщЕхиэ gf–&lt;Њ =њ ;ы 6њ hђ5X 6ѕ 3сэsю№ 6Ъ 3LяU 3— 3R 4P 4C 5fя­ g†3}юнюTя Tя§э @ю…э\ьO 4Љ 6U 5ъ 8X 68 3ЗяЪы« 3УяПяаюЯ 3aяЁь5ы6э;юҐьаю“ю @ъvь№ю m8ќ 8Њ jt7« gh3B 3M 45 4a f@яЈэ Aю‚ь№ы :ы?эсыфьzя–югя&lt; 6Ќ 5ч 3° 5_ 4B 3Ёю Ќgq4p 3ЃюЈюўюHэHэQюџяhэ Jючю] 5? 6® 3Ъ 5mюrяLэуяч 3*ьсэФ h{:» 6¦яА fЏ3Љ 4ЙютьlюгэчьЉэКэсюЇэzюояє gJя«я€ 3Z 3с 3~ 4ѓяњ 4_ 6х 3љ 5H lWю CяI ?я 7© 3Tяpы6ъїщаэљ 5b 4шъxя ’&lt;b 7x 5b 6’ hЉ4тщ”ч &gt;ч Lщ9хVцЩщ7юѕяЌ j‚7я 8l :D &gt;Я :ф 7‡ :— 9‰ lh7М 4ёь†юзцkчўьtьҐюpьї 4} 8В 98 8¤ 7в 8с 3ЂяUыВщ5ъJ =іяП 5pюоэ &lt;щК 3Љщfю{ 4ы 9Ія “;м ?D fXъuю„ф7щ§ъш :Й 8Ё 9|ьСяШ 3i 3М :К &gt;c fЉ3VэѕшЛх =щhяЬ k”7З 6H kl4Ж 9ѓ 3fю^ы:ъУ 6Љ peя©янъiю€щїяgъqш°щw 6l &lt;І 3E 7ч ;Г 4’ 9ы gKярцrь 4сѓч 4яю›ъЦцряxяV 4х &lt;љ 7O 5¶я ^ыЂц DфЇфЁшmьжэ •4™ 3— ;Ћя8 f“7ЊэМх LщЊыаэ” 5ы 3§ 3» 4«ыWь TяFя?эF gx8o ;? 3Ѓ 5[эҐ 4ичП 5Ээ© mђ4Х hЊ5L jr&lt;QцТ*щяy 8` 6Р 5^ 5L 5фя Ќh•5t 5fц QюЧ &lt;± &lt;¤эxюn lo;o 3XяXя5 6Ія |4єяз 7: 3ф f’;} 7њя= 6И 4¶ f8юkяЛэЕ 4m 4Ж 3Ї 4Л f‚4П 3КюPя ЃfbяЉя `яKя }ftfѓ4ђ 3Г 3ЩяX 5Н 5]*ьэP j|4ёщйю: 3ПъGю«юљ 6iэЈ hw5^ 6чы­ю?южяІюZ f[яT 3›я BэЩяo 3@ю• 5ќ 4№ 3ЅыХю ^юЏю Њ3У h4H 4—ьTь¤эWэ^юм 4Ш 44 5¶ 3Ґя°эщэќэW 3t 3X 3ҐяRяћ 3t 3Гщ s4р 96 3° 3сюQь Vю kgЉ4– 3ђя©юUя ѓg3юИьцюЃя Ќ4љя­ 3Ќя }3wяD 3™я Xяюф f–3Л fWяЧ 4Eю• 3Б 4Ђ 4r 4Юэ|эxюЂ hZя…ях 3x g}3С 3N 3_ялюѕэѕюkючю v6У 5i 4Ґя^эБь®яНю·яё 4i 4яЏюkю– 3p fr3ћ 3Ђя6 4Ѓю‚юS 3“ 4“эPюЈ 3aяCю{ 4У 3эяэоя k4Я 3ею™э €5ёяХяЁяэяaя Љ3‘ fk3ыя if—4† 5Ґяnя Љ5сюь 3Чя x4њ gwh•5юьpясъ` :Єю —iЌ37 f…4HьX kFюwя q7t 34я q4» 3†яGяъ 3ія ЏjrhDя8 fi7ћ 3TэАы ^юyяЂя  5Чю bякя o5дю‘ 4n g~5 4ЬяЛяјю– 3? f~3вяV fohЋh‘gZюхює 3gю _я= fGюrяОюхя‹ 3Бяоя 9ю• gyg_яhюВя„ gѓgJя9яЮюдюТя… 3љяЫэюэЩюі 3Ђ 3…янюІяW 4H 4дэ 6ю n59яIюv 4µю¶ 3шэn 4і 4… 3| 4u f`эQ 5lьК hxi‘iAю™ъѕ gr6јюEь± 6ћщ ‡7ц 6 g6юбюҐ 3Ѓ 9‘ heю \ъE :AэcьЩэХ 4в 3_ iЃ4€юђ gZыш jv96ш Bь ukv&lt;пъГтќ 6« rSь¤т po’?ЖшЏы j4ф 4a f5ь? h4‘юjяЋ 6bюOю dяk 3С 7]э xg:ю –gYюэ 3ф 3Ђ 4ля’я 3яТяyя Ќ4? 4@я­яЯ 3Щюћя‡я r4хя5яуюЖяnяШ*яюt 3A 3µя[ 6o 3\эXюВ 3fювю t4Јюй 3e 39яЇя JяЬяєя |3yяйэр 3яю— gJюn 4щ 3b*юэfя— hj3S 3ІюЕяЂя ~4±юgюШя ђ3д 3S 3Зя…ю[яv 3Z 3Жюћяgя‘яяпяхявя Gяч 3рюC 3пяВя‚я3я‰яyя‚я Jяaя— 3ЯяI 3мяЭяD 3€яч 3NяYяД fy3^яйяЯя w3Ья p3ёя z3©я ”f€3Хя…яґ 3yя GяZяZ 3ря„ 4еюфювяZ 4дюЧяЛ 4Ѓ f?яќ 3ё 3MяЦяЪя t4  5Yюоьъ 4l 7єяЫь x3X 5Э!3яхяЙюKяj 4ј 4х 3hя &gt;я»яR 3= 3Мя 3yя^ 3Џ 3­ fi4a f4† 3€ 3Вю 9яO 3T 3u 3а fx3Ћ 5Ђя€яс 3{явяЧ 3K 46я †3&gt; 3э 3­ 3э 3аяб fm4&gt;яѕ 3Ц 3ъюkя og4аю| 3–я‚яJ 4 як fЊ3і 4^яДя• 3|яюя”яєэk 3іяБ 3v 3¶ 3Ёя i4Ююњь9 4o 43 h”3РюРю „g—4Bямяmюшяч 3‘ f„3ЌяK 3j 4Т 3§ fOюйяE gXяR 5\яэЩ 3’ 4щю “3пэҐ 4с 4k 3ляnяљя‡ 3а f’3Вюбя k4йяxя €3ьяh 3|яЕяЁяЄялю w3*яшяояђя Lя‘яуяЬяжя ‚3е 3e 3: 3­яdя ’3мяќяD 3Nяћ 3aяrяую `ю‰ 4НяОюmя?я‡яFяGяѓ 3€ 3июZ 3У 5в 4Oэ _ы Ћ6E 5iьgэf 4В 4С 3~юЕя |3; 3’я ‘3ў 3Ў 3c 43 3@я† 4эюЈю–яП 3Ы 3¶ 4Gю \яP 3Pяхяфя QяЫяЂя4 3тя 4яЊ 4Ђ 3qю ‘hp3ЁяБ 3С 3· 3xю~юҐ g=я4 3Ћ gh3V 4“э aя›яaюгюuяЅ 5Ў 3©я 3явя MяУя wfHяйюѓя Џ4ЂяБяt gђ4фюЏюДюэяЂ 3¶я pf„4[ю Nя ”3_ 4_ 3LюBяШяфю r3Ъя Ђ4 3О 3бю5юUю x4Ў 4=ю? fz5cяМя ‚gѓ46я—ю €fy4NюQ f7яS 5¬ 3июSю hr4J 3•ю 4Йяб 3c feяе 3]ю „g~5вь Wяt i=я 4ю fr3ЈэH 5{ 35юВэGю:ю g7™ 4мэ№ьs 6q jЋ3Г 3Я 3bя‘ 3Џ hЋ5Тяxэ5я &lt;яяЁ 3wяЎ 3ђ g8я €3!6еюBяСюЂ hTь›яS hzgL"53 3M 3· 4]э LэБ 3&lt; 3июЄ 7ѓ is4\юп g^эхю FьнюЦэ`э7 8T 4s 5н fz5нэ^ gЊ3µъmяї 3dю LяС j4џ 3ЮяІюHя{ 3Њ 3ѓюO 4Ы 4^ 5Xя®ьѓ 3¦я Qя l3K 3Vюй 4йя‰я †3в f„4ЃюШ f`ю’юшюPя;я  gu3O fnfNя±яn 3бя JяҐя ‹3Ѕя*ю™яэя± 3ЄяЃяНяі 3’я; 3еюГяъяЗя g3Xя‹я›я k3Ѓ 3Г 3—я 8яжюl 3yятяSяВяH 3Ѓяня hf‹3s fz3®я “34я¦явя pfѓ3пя4я–яѕя gfBя ^яЃ 3\ 4¬ 3Гю“яx 4[ 3цэ` 3Ї 3ью k4¦яЄэ4 4{я­ 3ж 3зюWяџ 3ея—я |gjgXяRяѓ 3&gt; 4©ю ‰3КюН 3л 3µяp 4w 3– 4Sю Џ3Ѓ 3&gt; 3k fm3чя cяА 4ЋяЏя} 4чюФ f4В 3хю l3Ж 3Хяs ft3ѕяХя „3Ря z3ф 3[яЎя` 3w 3{я ”3t 3Y 3Ѓяяѓ 3§ 3¤яa 3©я o3&gt; 3}яµях 3jяL 3b f…3ая z3Ј 3Ю 3Ъяnяця 3йяВяoяв 3К 3M f^яiя¬ 4„я {ft3Кяv 3Ня‚яЬя` 3©яh 3цяЧякя©я qft3Пяa fi3X 3&gt;яжя u3 яT 3бядяКяџ 3НяфяЦя yfr3&gt; 3s 3Ья fЃ3Хя\ 3кяёяЭяЩ 3&gt; 3lязяё 38 3ЬяE f‹3u 3Йячя Ѓ3Чякя© 3ќя] 3±я Ќ3юязяyя nf5E 5‘ь @ыJю‚ ;*э LъТ 3 5ф mKъD 3ЩюЯ 5џяRэV g`ю 8ы»яЬ ;Мь Fш z4] 8Ь 46 7a 4‡ьcьзю ‹3ею JюBюх 3x 4| 46 f}4р 3„ 4Тя†ь~юлюЏя8яoя GяЎ 4љ 5B 6= 3Љянь©юъюѓяЫя‹я 4яПяg 4– 4ћ 3X 3фяКюKял 6¶чк 5c 5Dъ’ 9Lь =я5я8 5Вяґяв 5Wюєюг 5ль{ 3Я 4џя Zя; 3ћяzя5 4Ґ 3¦ял 3`яb 3s 3r f„fwfѓ3= 3„яХя}я “4”як 3; 3Ёю 4жяPя6 3g fЋ3ћяТя Џ3оюq 3X 4¬яґя— 3Фюѕ 3я 3Ея Bяd 3p 4nяъюЅ 3бяѕ f~3C 3ояХяЛяЛя „3– 35 3хяТяsяC 3У 3мяЬя] 3c 3iяЅ 3NюE 44 4Tю™ fQяц 38яФ 3u 3… fWяиэХ 3Йяшя” 4® 5? 3pя Bэ s3Ѓ 4Њю Fяѓяg 6‘юJяЂ haя 4я} 3f 5ђэN 4Д 4бь’яЫя{ 4|э·я_ 4Ря {5uяшю¶ 3ся] 3»яВяєя f4Qяшю”я g3’ 3N 3в 3A 3ЗяEя®яl f†3xяs 3Ј 3}юфя ^яЂ h`яР 3[ 3«эЗ 4;юС 3Оэ ‡4s 4™юєя]яµ 6UэfяҐ f”3a fPяІэН!3 5Ёю]ю ”6fя5эв 5?юЂэµ lMьпщc nIьJ 3К 4¶юФюГ 4R 3µэЅ 4ля•юЮ 3bяcяж 4ея5юЁ 3&lt; 4июЉя Њg€4·ю’я`яи 3Ь 3RюБя¤ 3Ія  3тяРэю 4Щ 3Ээ&gt; 3¬ 3Љя§я¬яђ f‰f‘3Ўяё 3ё fЂ3Тю*яr 3Юя›яe 3ћяє 3§ fCя s3Ј 3Бя°я q3h 3вяј 3ояXя •3КящяoяЦя‰ 3‚яe 3M fbяj 4r 3Ія ‹3шяЂ 3` 3Z 3„яБ f}3Ияhя 3№яh 4Оэџ fP"3їяЗя’яЭя† 3_ 3љ 35я“яµ gѓgCя’ 3C f9эҐ 4Шю yiЉ3‚эП 7„юk 3| 3VъЖ 5С 3Qяєяаэ ~5€ 4ТяК 4w 4яю FяYюВ 43юdюѓ 3Y 3ЫяЃ 3· 5Ў 5КящяС 3ДюJю—юЃя›яz 3hя• 4 4е 3ВяГ gvfMя ^яТяЭюВюўяЏя&lt; g•3А 3rяZяЕ jYю€э hiEэ ?ю IяЏяэ g‚5­ f&lt;юGяа f]ю_ fcя3юР 6ё 3ђэЛюфюџ 3^ 3­ 4§яk 3; 3sю»ю}яИюЭ 3Џ 4чяЖ 3fя bя EяОяья; 3фяѓя‘ 3ґя”яp 3Т 3ђяe 3я®яЃяяыя ”3Ї 3РяКя6 3; 3fяЧя x3юя&gt;яL 3uяҐ 3c 3Зяэя {3` 4Uю •3о 3Qяа 3®я f`я&gt; 4”я[я? 4вя¦юХяБ 3бя Љ39 3¦я` 3ґяО 3’яця” 3wя“яДя€ 3п 3чя¦я8яd 3ќю¦яряС 4х 3› 3Л 3?я Ќ3ЊяMяьювяz f”3Ыя№ fЏ4w 4Nяjюiяf 3“э Џ5ЄюЋю¦ 5і 3о 3&lt; 3Ѓя¬я WяOя¬я3 3R 3  3Ў 3№яЎ 3Чя@ 3№яй 3*я’ 3”ялю!3W 3№я7яxя4 3¦яэя h3ояЖ 3? 3мяU 3® 3tя» g]яB 3Ияzя vf†3ю fj3]ящя{ 3l fLяжя5 3М 3Tяия r4zяO 3f 3БяBя }4F 3Ђю… 3: 3Јю№ 3R 3Ѕяі 3¬юА fЂ3]я› fbюX 4гя\ f–3люГя  3®яk 3Фя Љfh3ёя €3”яL 3у 3r 3ђюШ 3гяyяз+яq 3ҐящяM 3s 3Яяlю s4тяЉя y3H 3дяD f”3™яйя Љ3јяj fi3g 3|я i3ђ fm3дюР 3­яжя№ 3Ѓ 3Пю¶ 3o fZя ђ3? f”3– 3]я s3АяЊя |fЏ3Ая {3ґ 3њяОяјяНя Њ4;я«яГ 3ў 3&lt;юљ 3z 3Ж fcюf 3ф 3Єяg 36я~ 3w fZяЅяќ 3k faяЌ 3Б 3ІяFя¦яW 4!3Iя l3эя u3тя ѓ34 3 3GяAяг 3‰яџ 35яфя lgЌ4G 3eюѓяg 3ВясюяV f3} 3M 3и 37 3s g‚3=эу 4а 3ДяЊ 3® 4vэЇыТыYщђя† f†5? 9‘ 7Ь iѓ6l 4Кю»элэ 7ю 4яu 4ѕ 4P j{6H h9я…юFь›ъЎыЛы¬э o3е 4J 5k hђ6Ня™ 4МяPя Sя ^я ”3‹ 3A 3o 3ў 4Щ 3бя—я{яЎюЙюхюдя@ 3и 3Ёяv 4y 4ея Kя o3тю Mю” 3T f]яу 3~ 4” 3Ќя h34юџэз 3Фя Њhђ4™ 4ё 3\юEь &gt;я§ 3Ж 4Ш 3Оя\юMя•э  4В 5[ 4=я¦ 3ъ 4ЂюБюЯюЯяz 3sюь 3} 4¦ 5ты {3Zю’ 3ѓяRяn gЌi•5ЗюVююхяњ 3»юјя€ 3ы 4Aь w9ЃъЙяS 6tяjяё f:яk 3х 3B 4дэ» 3№ 3ѕюНюр 4±я ’fCяся &gt;я@ 4b 3x 3зяД 3ЁэБ 4*юt 4ъ 6» 8€фѓюј 6См ”nq8] ?сэiшћшN ;g 5~ 7e :ZяHтёъA 4`яЃ*я 3ъ 7d 6jю8я{яv 3І 4м 4ќ 3Ж 5цэ`ъїщ q4ц 3X 4u 5t 5ю 3У 3Цэля Ѓ4эюҐя `юляwяАэІ 3Ц 3э 4&lt; 7Э 3пь№ 3YяBюъ Љ6} 7—яfю@ 3!4„ю &gt;яЈюХ 4u 5T 3Bю —3њя [ь †4ч 4TяЏ hZюG 7^э¶яь 3lэ 3ж 4mь Ђg?ы3 6њ 3Е 6“ 3єя•эoю¶ю… f€&lt;єщ« 3? h“4р 3Вэ©юмыІыlэJьА :Лэp 5е 9 3эюn 3В 6H i&lt;яќъЊьСь_эJя ѓ5Щ 5Кяj 3  4щ 6“ f5яп h`ь;ю7 4чъ’юќ 6Хю8яЃ 3в 5Y 4ќяЃ gf—5&gt;ьFя¤я Њ4fьb gif…3{яT 4&gt; 8Зэ `ъ ‚4о 7Ю 4Юювь±юb!3 4Ъ 4Mяcя cякю·я9я „4¶ 3Ая ѓgЊfo3Вюµ 3g 3~яFяJяҐяШ 3ЉяeяВ 4Ж 4µыtэp 8Њ 3eю\ g:ю•я6 5[я ”3Ш fUы»я w7Ф 3¶ш“!5 n•43ъ!4gю”ю Љ4Rю ЋgIяH 3оэ8 j}4јь‡ 5л fCя«юЈящя f‰3±ю&lt; 5‹яъю ‰5™ f`яDячю„ 4‹ 3Jяљяk 4[яхя †3±яџяJяс 3юя€яИ 3b 3ЄяКяµяHяN 3† 3†я mft3аяПяояb 3v 3Ія&lt; 3пяя dю x7зь· 3N 3гя®ям 3хяѕя  4Ћя]юЊ 39 3:я¶я‘я x3т 3Wяl fs4b fЉ4yяUядю ђ3“яd 3|яЅяця —f8я§ 3vя q4—я^ 3и 3F 3Ђю©я x4? gp3уэ ‘3v 3яючяM 3Ё 3• 3g 3^ 4Ѓэбяg 4a fo3d 3?юРяЊ 3mяs 3Ј 3ИягяЕ 3y 3‰яСяFюo 3з 4Wя’яЋ 4кю±я| 3ЮяНюV 4nя»яQ fЉ3їя s4nяСя ~4p f&lt;яХяX 3Їя6яЃ fl3Є 3P 3—яЬяh 3Пя Ќ3Ля JяЙяЊю †g“3„ 3= 3C 3j 3ЦяП 3± 3Іяьює 3;я­яй 3±яyю8 3Y 4Аю— 3шя±ю i4E 3oяшяѕ 3Е 3•я ‹3Е 3mяs 4zяФюТяz f_яM 3Q 3Kя Ќ3ћяєя3 3—я€я q3Хя r3– 33 f7яДял 3*якя3 3fя… 3Uяіяx f†fs3¬ 3‘яИя¦я 3K fvf{3ЫяЭя z3IяУяI 3ЯяДяфяЌ 3‘я!3Q ft3pяЇ 3З f~fq3yя k3Јя ~3РяЯ fn3Xя ~3— ft3;яц fDяКяјяQ 3њя„ 3R f„fzf~4ТяЗя ;яА 3љя …3Eя~я¶ f‹fofy33 3pяc gЃ4кя:я Rя –3я” 3&gt; 3®я_я n4?яЉ 3A fx3P 3P 3kяояzюѓяч 4Й 5ѕюфьГюb 6п 4Н 3CяXь Mэе fh5qь*я v6a 4Џю~эЯюs 8x 3O*ыю­ 3ўэ‘ 5t 4Шю}эч fx6]яЮ 3№ 3Щю«ю ѓ3ПяaяZ 4“ 3сяIяdя —3S g&lt;я¶я y4jя “3њя3юЭ 3Я 3дя k3ђяс 3¤яс 4Кьўю: 4Д 3ѕэA 5‹ gbяХя® 4y g„fYяeю•юtяџюМ 3У 3K fr5а gXяFяияfя [яaюЈю ng—3: 4j 3] 37 3o 3ћ 3[ 3\яYя t3Rя hf}3Wя †4_ 3ляН 3Мя¶яКяхяћя` 3ґ 3ЦяфюШяХ 3g 3§юR 4шя© 3F 3Uю v4µя‘япяЅя™ 3Д fl3жя Ѓ3июx 3уя l3ия„ 3HяїюЫяV 6пэµ 4дя­ 3wюn 3ј 3µэB 5§ыџз¦ {Cuтu BfэaцГ 4“ 8¤ьЃъ ~8µэ^ь&lt; 7жэ Gяѕ 4§юШюЗяC 4~ f&lt;яh 4…я` 3J 3ЌяЙ 4w 4оя Yю±я aя l3°яЖюg 5Дя7я‹я‘ 6–я 8ю †h\юMюєяNяI f|3ґяh 3д 3ь 3Gю@ 3С 3Ўэ^я ~4Бя|яуяЌ 4Чя« fђ3ъю fmfGя©я m4щяgяњ 3}я!3L 3w 3·я —3¤яоя“ 3уяКяxэ± fe"4 …3ѓя—яiя¦ 3€юY 4ЙюЂ g•5Zяњя„я –3¶ fRя 7ю; 4ля Bюо 4_ 5нэыя!5Ью Iэъяџ 5O 3gэZ 3чяб 4ї 3yюпя 4Hю Љf|4„ 3ЉяІяU 34 3ёяЦя§я QюS 3\!3 gs4вяa 4° g8я 9яW 3R 3[ю aяЋя Љgl3»я{ 3Е 4ЊяБю ѓ4M 3Dяєя ofu3vящюЅ 3б 4Rя_ 3kяS 3”яB 3Tя яшю €5yя™ю™ 5Ь 3ЯюПя€ fTя„я&gt; f;ю s4ґ 3кюV g•fЋ3Ґя• 3jятю ‘4ґяYя {3» fXя– 3ШяћюK h}3hю l4ј 3¶ю§яЙ 3nяБя Ќ3Xяг fl3Зэa 3µ h:юўяп 4яю ?ят fz3B fRям 3xя —3Х 3Uя ‘3U 3} 3¶я eяЁя †g{3єя €3З 3‚я Љ3Ћя– 3°яџя“яz 3щ 3{я EяЏ f?я lg3ТэX 5 g:я ^яИ 3Мя°ю Љ4Въ5 5т 6Вюe 3Л 6pы s4й gPя6ю\ f{3вю{ 3Цячю Џfm4uяЃ 3p 3&lt;яЂ f]я„ю €3Н hcю u3јя k3G 4± 4ьэo 5Dю‘ 4ЃюEя{ gEяM 3Ря Љ3Q 3ыљ 7`яaю 7ЦэKя3 g_я ‡3Ц 44яъякюїя°яZ 5qяiюA 3н 3‰ 3Rюкя„ 3р 3=яЄ gЏ3f 3Дю ђ3›я№яy 3F 3Ая§я‰яд 3F fZяйя• 4ђяЫ 4•ъД 3_ jEшD 5o ;;э”э &gt;ь‰ g”5Д 3Ч 3–юNяzэ …4№ 5Фь—ю •5Й 4gяLясяё 3r 3Ія–ю·я ~4¶ 3–ю“юF 4bя€ю‰ 3Q 4п 3U f6я‰яR 3јяf 3Nя†ю •4ґ 3чю 9яg 3• 3– 3КяsяD 3G 3гя} 3‹яюяoя‚ fMярятяЈ 3»яJ f„3h 3TяЦяc 3№яшя{ 3іямялякя Њ3T 3бя p3k 3ЎяґяT fu3“я zf‘fx3мяw 3Ця “3бяуяЏяЃ 3ц fDяЉ 3V fPяA 3€ f&gt;я@ 3° 3«яЕ fЊ3Кю Ѓ4Ря „3я† 3V 3nяЈя —4Tя@ 3аяҐяD 3x 3Ія 3дяЁ 3A 3іяыюE gЌfQяая№ 3кя v3ёя ѓ3q 3Г fѓf{3Гя·яля •3|я y39 3P fu33 34 3КяЦя[ 3цяЩяияO 3уяґя6 3њя ѓ3^ 3бяtяќ$3 ђ3Ея ~fz3ќя9 3вяЦя ’3йя4 3«яy fJя» 3Њ 3Ыюж fNяSя‰ 6Пыз 6PцГ &gt;Nыѕэg hMяјя }3б 5«ю 3юЭ 4Fьє i4яйь  6~ 6—ъСэі 4 я€ 5_ 5Шэ©ьЄ fr4мя° 3*юtяХяХ 3Ё f‡fVя j3!4ыяЦя‘эi 4ия’ g‚fQю ”4Мяw 3еяW 3люX f‘3·я „3ъ fGяь 3J 3R 3cя tgeяґя Ђf4ЋюБ f‡3Їяq 3©яT gVюЭ 4Ея ]я¤я 3· 3›я eяМ 3о 3Ъюtюi 4I 3Й 3ЇюD 3zяЖ 3хю¦ 3Аюшя&lt; gAячяN f{3Ляня †fq3Эя NяхяX 3xяЁя o4ую€ f„3@ fofGя; 3Cя •4Џя ^я“я‚ 3F 3Gяыя €3Пя Ђg;яРяc 3‡я«яX 3^ f=я|я« 3‚яњ f:я± fz3йяJ 3eяряN 3µяияn 3вяЏяy 3чяҐяP fq3ЬяА 3іяъяQ 3»я ѓfm3C 3Лю} 3Џ 4uю” 4чюЉ 3Q f‘3RяA fof3Іяљ 3Ря —f3дя |f€3¤яH 3&lt; 3I 3ия —fЏf‰3Ѓ 3ьяt 3зя? 3e f“3ЌяіяA 4ўя i3µ 3v 3o 3їямяЂ fsf‘3XяМ 3Љя Љ35 3X 3Й 3Ѓя j3бя €f‹fЃ3Жянякяияхябя j3ляДягя o3Чя¬яC 3вяЈя] 3±яЭяv 3Єяoя| 3јяея †3Ґя g3‚ fWя “3дяѕя}яv 3Bяфяюяуя rf’3Kяt 37 f&lt;яАяИ fђ3bяwя: 3РяЕя ”3I f—3ияҐяH fn3Йя jfg3‘я —f–fh3–яE 3ЫяA 3µя €f’3Ья{я m3ЎяЯя±яR 3‘яJ 3ґя_ 3°я\ 3Їяъяс 3Ў 34я&gt; 4ЂьФэ 9vыPюq 7€ыНяB 4} 6¦ 6А f7яћ 3¦ 3ьD 58ю @юVюг 3zюы 3Fюи 5} 5ыю: 8T!3юРыР 3СьЫ g9ьOяt 5Tя ‘4| 4Ь 5[ 3µя3 gaяЅъИ 6hьС 8Ђы UьH 5U 8Еь[ 4А 5°эIюіьm 7a 5? 3цъP 5e 9Дъ eщ? hf9о 4mъ·эН 5” 3В fbяCя¶ 3d 3x 3в 3ыяAягякя‰ 3&lt;яЎю Tяs hw4рэчя n3ў 3ря— f_яc fr4цюРяФ 3­я4яЭ 3‰яµ 3d 4©эШя …hZяјяй gdю 5яH 4p 3МяК 3Юю u4щяАяФяY fr3D f^я’ 3Dя‚ 3u 3P 3ояпя y3чяj 39яп 3›яJя Џ4H 3ъя s34яЂ 3ая·яqяQ 3Яяaя vfЌ3бя r4^яYя v3ЈяK 3шя y3Гя t3X 3ая Nя‹ядяg fo3ОяX 3Џ 3Џя h3бя x34"3hя x3K 3Хяїя ђfq3ьяJ 3няЯя ѓ3»яыяВяЧяфяЇя k3&gt; 3Яя ~3ЄяF 3эя‚яY 3Пя&lt; 3эяѕя m3w 3°я] fifq3Ёяєяфя{ 3­яЃ 3VяV f’3ЎяЖ 3Њю ~4Хя&lt; 3ряУя …3k fh3 яs 3АяT 3‚я[ 3›яX 3сюѓ 34 3–я3 3Оя§ 3;яo 3“я fЂ3_я&lt; fg3№я …3шя5 3јяояЫя –f3єяўяхяY 3цяПя7 fr3= 3ня t3B 3&lt; 3Уя †3юя Ѓ3гяћ 3мяуяляq 3ія[ 3шясягя ~3r fw3¤я –f…f”3мя Љ3Z fj3йя s3дя[ 3Ёя; 3сячя x3S 3фяxя• fyf—3Ѕя: 3Оя vfѓfyf€fm3гя j3эя „f”3Гяня pf‹3жя n3цянябя g3оя q3ґя vf|fЋ3хяЕядякя·яU 3щя©яЪяЅяЕя qfЉ3ЯяЯяШяэяЖя» 3{я x3мя Ќ3±я!3Ъя zfy3гяЩяюя q3Эя o3КяO 3јябяH 3•я3 3ПяЮяыяK 3«яая‚ 3§яря ‹3эя |3Јяd 3јяa 3тяЖя9 fg3*я €fЃf—f{3йяфяшяE f|3пяS fs3K 3ФяЪяДя sf€f‰fs3фя Ћ3T 3H fnf“fzfzfЃ3зя l3щя ‚3жя@ fi3чя v3эяояся ‹3А+яйяОя jfѓ3Дя of}3ья kfp3бяъяъяЭяШя n3сяъя h3Яя qfr3ця ‚fЃ3ф+яъя k3сяняоя m3оя mf…flfrft3ч+яъяпя i3фяпяия p3ня ‚3ъяЮя u3ся nfrfp3ья u3пя g3зящяЯяэя jfk3щяыяля }3ня l3щя kfm3ряоя }3оя ifkfr3Ся h3ХяХяея w3ыя o3тячяряыяжя q3еяюяжясяЮяхяОяюяЦя u3оя i3эяфядя w3и+яея s3Ця Њ3зя …3ря ~3Яя r3дя “3Яя Љ3эя ’3ъяN 3Гяa 3†яc 3ќюН 4я{ 3Х 4Ѕь f5щю‘ g3яџ 3‹яЗяp 3НяH ftfz3*яТяO 3ся ”fkfs3юя9 fЉ3H f‘fЉ3еяF f–f†3ця †fyf~fo3: f}3= 3ыяI 3ья9 3эя ‚3фя †3пя }fx3Ля6 3мя ‰3ля {fgfkf{3зя u3ьяья u3щяыяыя sfh3щяцяоя i3ья h3зяпяжяняря m3нящярямяияПяТяляХядяРявяСяояЩяйяЧяояияояЯяЫяТяЩяИяфясяияжя h3уяся h3щязяжяуя v3тя s3юяцяня i3р+ядя j3тя jfjfi3ыя y3ня r3щя g3чя r3хя ofgfv3эя €3ся nfl3ся!3*япя m3зя |3шя zfhfxfjfo3ряря h38 fk3B fxfЋ3мяэябя w3еяъяья Ћfv3V f‹3I fr3? 3ыя ’3бя Ћ3Уя z3Ря ’3Сюc 3цюс 4ѓяЭ 4ія }3ЄяAяся h3дя j4°ьl 3џ 5є 3Ї 5Qяхяµю›юѓюЊ ft4t gЌ3зя ]яkя|я^ f‰3ђ fv3йяЫя› 3pя ’fsfЊ3Ря j3Ия hfpf‰3ляH 3НяF 3Ѕя 3Ъя pfm3хя {3ья ‚3ия tflfpfg3ия i3уя l3ыя#3эя!3ыя!3 6$3*я!3 gf4"3 g3*я%3*я 4"3юяфящяэя g3юя g3щяыяю+яэ+я!3*яюяюяюя!3*я#3</t>
  </si>
  <si>
    <t>RI*F ”Q!3WAVEfmt †C"3 gfgfw^!3 UV!3 hfv3data pQ!3*ячячяыя lfrfuf}f‚fЌ33 3; f–fЃfi3ляОя¦я“я’яўяЄя©я‘яЃя‰я©яЯя }3P 3l 3x 3v 3‹ 3К 3ж f|g4= 4R 47 4д 3® 3 3h 3b 3e 39 3Цяpя&lt;я?я}яМя ‡3ћ 34 4© 4Ю 4с 47 5є 5L 6№ 6П 6_ 6Б 5E 5ч 4і 4&gt; 4В 3X 3кя?я‹юКэUэGэoэґэЪэфэ [юkюНюIя v3і 3Ѓ 4Y 5Ы 5е 5Л 5™ 5Ђ 5b 5w 5W 5µ 4є 3ЙяєюКэcэYэ \эбь“ьvьѓьрьјь LэСэГюія—я•яFя¬яA 3~ 3е 3M 4І 3bяКэ3ьTщWчѕцюфЬуЮуYт‚р_сетtфѓцЎщ;эJяu 4ѓ 7? 9  := =н @Ё B‚ CІ A‡ Bт @; &gt;» ;Э :| ;C 9Ъ 7з 6¶ ht3Еь :ьзэфю­ь¦ъ Xь№ю©я3яМ 4ъ :Ѓ ?€ ?™ &lt;P &lt;й =q &gt;¶ ;Й 9n &lt;Њ n…7¬ 6B 7Т 49ьёцўфLцїхHтWуrчшaх”пИоJуЌц RуГп~т”уUр 3т‰ш Rы¦ч 9тЅр4у Zт{пjрясЂуXтНо @с\шхшGухтQш7э m3| gI!8 ;у :§ :е :л ;И nJ!: 8Y iЃfKчCпюпTт =пSй]и§з:гТбQзWн Vт =ц®шlьY 4» ktk~9} @d DШ @§ 8o &gt;@ Dџ &gt;Y ku&lt;b &gt;п 5zьюьэущ \ч™цIхoщ •4б 5H fx4s 78 9y mv?д H5 M… G† H{ ѓ–ѓ–Lж LФ PМ PH KD Jv M… NЃ ~‘Iµ KЮ M‡ MD }ЊCч :• p‡G› HЊ ynC¤ :№ 8В 9о 9ј 9r 5¦ hѓ8с ;й mЉ&lt;µ Aд @Д &gt;° Dµ ѓ“Ox E¤ DQ LЫ „”N_ HА E Bз rЋ&lt;Dяћс©еkа \апЭ[ЬцШђТ¬МЦИ5ИїЖ HБ &gt;јЇѕїД›ИКНџТ CШ’ЮCй”уЩц®цRцfъ r5&gt; 9Ў :Е n:ј 4ыяdэLх~нйеЂгҐзІкtн[о6нMс JшXцЩхЪъ† 4J :ї 9ю &lt;Ф &lt;P n‘=G Bю xЉviptm‹qiv•FB Cб p”A` Hр ws&gt;х =K &lt;“ :x!@ JФ KІ E‘ CS EN {~GC qk9x &gt;j G‰ J? Jё L‡ Mg vxMЕ P5 OУ Ђ|Oё L‘ Jd NЂ Q: ‚zMЗ Ђ‚Ks F” B BЉ ti&gt;k @Q BР @Т @‚ @„ =Ю 6EюШь`чиф _эI 3kч Tс LхxчЦъФы eтyкБом—лмк•иpзsЮ&gt;ЯЫж…в aХTМ_П±ЪХЮ:Ш aЦ±Ь ;е 5нѕм _к FоEс =щ }8B 9&gt; ix7­ jЏ:В =з &lt;· 9§ 6у 6Ќ 6Ня¬ыnъЊчГчНщяуbнjм 6п XмiзЯи¦с Wш5ъВьDэМэ Џ4њюTъжы} 4V n…=М =m Ad &lt;A 4уя4ьЂшЊщUэ—ь¬эµ :д DҐ Gi @  Bј Dе @© &lt;В A‹ &gt;Ђ =§ =v =S @Ш GЈ!H C&gt; &lt;f BQ BY &gt;Б 6ѓ 3я joqЌDЖ HТ Kд zs=[ =W Cљ Aґ 8qэT 3i @ы Eµ @E &lt;3 6UяЙ 6· =f ?¤ &gt;Ђ ;к 7§ ;Ч BC EJ t•rB&gt; ?w 8ч 9у :м :Л =_ =с q’DK B— 8З 5ѕ fWэ eш Zэ№ j~6эъоь: 3•фIе UдЄи@иВгЙаЦЫ _Ьћд’й иRеОвЇбHиЯс 6ь‰щмт ?цЊюКюыщsчєт]к•иZр GрqоЂлLмагМа*ен\кСд‰в Iк3зѕа ^гщжщд`вNзYоRуNрbужэ |g‹4џ mo;‚ 5Ч m’GЬ |nqr5ћ 6n 9f kHю Nу•тCыЩ*ытЋрZщЇ 5о k‚h[эчя¤ :v 4Yр7хV kxlOшОф5 3Р 9{ =¶ tѓDk Cя G&gt; hGЭ &gt;t w’R9 Y· Uѕ †uQѓ I› DШ st&lt;Ш :Х 7ѓ 4ѕ 6M i€6в 8Љ ?‚ @ф 9‘ 7s 8F 8’ 4Rщь 4Е 4i 5­ю”э— 4Е 3h :ђэS 4¶ &lt;P &lt;aюA :M FЛ w|7о 8 m’9ј 8тэ{шЊь~ 6њяЛщЅы 5a :E =V A  ?Т ;E 7Н 3ю 9‚ D` G‡ EТ IF MЮ I¦ Em GЛ Fк &lt;µюb ijz„OT PЂ ѓoSs V8 SЃ FЉ :Х 8~ 8Жю8 4i ;ј s€BБ CT Db &gt;] gDэшчйс \цGь Њ5Ы 8k :D 7Цыду &lt;уwшЄщ·пьйmсїцЪш¤ыїю Hя HьЉьLяl fs3ф itp@ћ Ev GЪ Iь M” LД Iа BЂ 6lьчъBяt 5X 9; :Ч fFя{эcфEжћдцкqндпотац 8щЖшBпєб dЬ &lt;Ы`Ъ°Щ ZеКшй 4‰ 3€я~ьНчGы™яПяҐ 6ґ &gt;Ч wpCl :Оы­фIзыЧvЧ JХ @Ч©Ь&gt;и—н Uльн Jфдх]ч=ъtьИ 4№ 7k 6и 7N &gt;!C“ ?• =› 8Ы 5¦ 7Ќ 8{ 9b ;ы Eи O’ Iв Cи FЋ zA!C pђ4чbхzц aуТф¤*хс6тчшєюЗяГьЃя| 5Љю‹ю €7] Ag C? Bр B9 yoA№ 57ъђюp &gt;B q†rnHN Iх GD BY wr&gt;Ё :; 9I jqfj3j 5ЕэxюTы ^ш8тЈо Oо UыЖ ki;ъ ;· Dь L3 O¤ Iґ CU &lt;¬ 6ф 5ф &gt;Q Fћ Eх y‹Eз &gt;: i„4¤ :Y &lt;м 9› =? G› Eм &gt;ц o~s•&lt;sюьщ IщTщ 4ъuы¬ыоыщ 3– jp6Zяўяг 7Џ &lt;B :Й 3ъ i‹A~ ?¤ 8L ln:t 4@ьфцЧсRн;п Tп eпqц |7— &gt;д q—mx3Kы®хZрШрVт ^с aсвт ;шЙщ ?уЄо4оGлМб¬Ю ?аЅЯйз°ы‡ ;Ј ?A &lt;п 4Ушврwиязґе Qшм =5 mj5дыHэ h43 6n 93 og9ђ 7µ 9¦ rf@m :Х 4F 3Єю Dяг 7– &gt;а &gt;м kЉ4” 4¤э ‰3l 6Л h‹kЊ?5 meэ]ы»ю 4· 4® 7Z :Ў j@я :ыyэµ 4Ч 8г :o p‘;!=O s“=\ 5ПыЋчаыЮ :@ ?Н po73щpуху3хkщ 9эkщъу &lt;у YфБшЋы¬ч :х;ъ¬эЭшюхДш®ь z8й @‹ =вяhы‹эЏ iЉ&lt;!9 |46я=ьюш Sъ Iэtч6уДщЩ 5А 3уъЦт‘оҐмњцs hђ:Д 9E 7щ 3oы”юЬ :^ rlBm &gt;ђ qЊ&gt;M =з 8s &gt;&lt; GЂ D!ED z~Ae h4ш®фЕчжяI 9Э 5иэУч WрАн=с†рxр TъкэЫя€ 3®юmэJ 3Ђ n&gt;њ pj=h AЊ v„B” o—6† 7€ m‡:ОюQч°шфщъь „5ћэвпPл&gt;р¶р€р Aц Qціс°мcм aпПпУо€рЂыv 5Вя[эЗ 3± 7Н m‘&lt;й ;» ?T E? Fя ?5 ;џ 7§ 3щюея5 8… :я jt7д 3rюJэ dш Uф]ц4ь¤ю Oь{щъ &gt;ы\щёцйштэk gЉf{i}@C {ЏIX Fш CУ CЭ vlCа EO D!?@ m~l‰o{?к :НюЧщ±ъТщЁч :щХъPъ фeцJх8уАц 8ъѕя« l–&lt;Э 6ЖяY 5з 9Й 7~ :Ф C® €†Lp =: k@эhхЙоpочоЃнµк Vи~дЕаЉЭ NЯШжЗйnкЊр [ч… 4: =N :Й 4ђ 4{ :ф ?9 EХ •~ЏD^ B EЉ ?чэґц€ыЭ ;› ?i jaщ№х 3хпу 8у¶э– i’7­юЩэp 4®ю SыЛщS 68 svs&gt;ю 6Н 4и 4Ё 6‰ 7Ђ mѓBљ D{ pmh`яґэ…юКьҐэM hk6XюЈьр 3ћ 7„ 6; 6h 9р 5iы ч QьК 9b &lt;Їя·ъZэ~ь aы Jф 3ф \чЩсХй§с©т ]р¬ц 8ы¤ъ Ѓ5й 5„шљъ {3і ih8j 7› ;x 7• 9’ 7l 4Гыеы;тёкtфHц ]рRх Eъ aсёо Eсьф aпµоЪтжцЈш6э6ьKь№яU 9О 8J ?4 uЏ@ї &lt;5 tЋAЇ &gt;ђ ;F nw;S :L l“f^эАъ 9ьРю±ыНю‰ 5µ &lt;З &lt;д nyp„?У ;g 9r 8Г l‡hCяє 35 4f j|;µ 8|ю Bюџ 7Б :¤ 7z 6ч i€6H 4I 7Ч 8¦ 5G 3м 5Ј ;‡ =  &gt;&gt; ?И l€7Р 7ч ;L 9” 3F f|6^ ;E 9] &lt;э 9Rяєчмщ Jюf 5j jЋj5ся†ь]яQ 9л &lt;” nЂos&gt;Ь oj:e oj=@ &lt;Q ;ћ &lt;„ p~&lt;R :џ iFю FъћэГъяьk hy8M 7Ё 58 5Ґ 5у 3Ля ]эСы*ъ‡я!4Е h‹8gя© 35 3рюH 6ё 4; ixhЉiЏ4TяD 53 mЂ&lt;Р ;7 9e i‘5Є 5„ 73 ;&gt; s„AX &gt;Т 7© 3mыnщ¶ъP 4E 8` &lt;7 9ўя [ю„ 4c nЏr€?с l…6Ћ 7љ 7й 6Г 9!&lt;d 89 4] 7• 7Ђяэя ~9ђ ?• DF Iп Eћ &lt;т h„g{5Ј 4l 6Э 7~ idюGыЭыщю Ќ5“яPьYшњфrфMуЪх@шZэЩ 4џ fxfn48юЂш‰шХэ bюҐш•чcчЫх Dт]т :с eмиjеЯаяЮУа ^гКв JдМдaгМгазђи XиѕиWйКй5йрлFп 4сДсДсVтЇо±зxеїи GеUаXб Xе ]еd*дипмжо„у DыдщjхЏх·шЌэQ kl&gt;› ?ё &gt;Ю mЏmѓ;Њ &lt;M oЃ?t B™ Bµ @Ф thC9 rЉ:Д n‰&gt;— op;y &lt;s n‡9_ nЃB‹ xvFн GЄ He Gё G H} JB {‚IР Hu F; E· C&gt; vl&gt;z &lt;!&gt;Ќ @&gt; AЗ n’p~;к 6Ў m—o„lniѓ8м ;А 9V 9№ 9У 9y 9Ь 9a :Q 9Ё i‡:Ч 6Г 3х 4 7З 53ю Iюќ 5Щ 3 3„ 5« k’=‡ &lt;Ґ lk;m ?З @д ;љ mj&lt;µ &gt;w &gt;Y &lt;J 9Ґ 8t p“&lt;О 8F ;Ї ?І 3¤ 6дэ i:P 7е =Ъ 4ф &lt;ў &lt;Y ;?";A &lt;C &lt;Ж AЉ BП ;” ;к =џ =Б &lt;м &gt;e r„6u 6z 4rэ~я6ш”ы GщГш„щ `щЙу VнKону JтyренДуЅтГм|й Qм \насґр=пJрIнЈо^лyпvм€тУф aлЇж й&lt;м’лЉк PмТкЄйџжЖйЦн &gt;о Nо­сµр@рГр UуЄуЄуёч—ъыьЯъWъХь Qю ђ3[ 6Ќ 6Т 3TяoюОюR 5кяуяОюръOэЕ 3hя&lt;я ‹6П 5Ј 7d 7N jv7Љ 9¶ = ?Э &gt;? C‘ tЂBВ Bh EИ FO IF IЏ zЉGC HF I± JЊ JЫ Gє EП EZ FЋ Cј rѓ&gt;§ &gt;H pg?&gt; @n =Ґ =И A~ &gt;— AT!A &gt;л qЂDґ GO Iґ }jO­ NN IН |…ЂsMД Iс Bф &gt;„ 8™ 3µюuъTъЃч @сЬм8рmйшд?гnд Mн _м 5н Fрнм BмjрЪт YцЖчИц“ч4ч…ч Fъ3ь bэ…ъ &gt;ц :уЕо KмПиЋз UдZа WЮjЭ^ЬоЬЙЬИЮФЯяаhгєеҐй9м bп–тмщNэЊэќьЏэКю  5Y 8г 9э jq5з 4Ь 5I j…j‡4tю¤э LщВх 7хїцбф Eч¦ъ’ы ?ърьЃэUяѓ 3¶ 6&gt; :X :ш os?8 spE3 E Cg C— Cц Bр uzsG• FV HI Iш Hў Ju IЇ G» y—FG DЇ wsEн xsFl EГ E_ EЎ F™ Dћ C| DБ EЮ Dш uzo~nFS BР GМ Mе Iп EH zrCё BY Bc Af DЛ D¤ @ї 9y iNэЛы CыOы–цьсс‹сѕтЈо Rп@уXшЩу›о·л­лвкLпыхЉш7с 9оµк«кzн &lt;р YсMпЈн eмeн &gt;л^о’нСкuкож›дХе ;зпжЃж]й‹о„оSлyнSтMфµф 6ч XщХх dщNшЙю§ыШюЂ 5к 3– 5цэV 6к 59 7Л 7д 9© =7 py?s p“&gt;[ ;Ѓ ;і &lt;G &gt;q @… &gt;j ;l lz5Ѓ 4®я† 3=яiюsы 9юлцпKхsя“ icы _юж 5ґ 6_я­ 3в &gt;Х &lt;Ш 6л &lt;Џ Cy ?г A\ F~ Hr GМ C{ EQ w“?3 @F CЌ CЯ 8Ў 4љ mk?ј 5Іч`э“ 4Яыfы •6i ;б 4¦ 3R l€AQ DH @р ?r Gp {hHµ KЫ Mм QW RВ WЉ ‰}X· Mџ @Њ :г 6Н h—n|;ьщЦлTл{ф…тънЙлЯмyн—кЙпєтJх Cц `юN k’9Ш f@ю `яШ 6Щ &lt;Љ AЃы PэКьёь9 k^чPл XиђлїЭрСжУЩЮFвЭЬуЩ GЮIЯВЮvв 3жяк TтІуЭш 4ю¤ 3А 5© 9? n‰;^ 6= 7Ъ 4с 4Б 6В 7“ 7E 65ъ Gх·х AсРт­т¦сQмGо ^ц¶юР 5` m—;Y ;љ ;№ ;з ;G ?V 9€ &gt;с @« @· l•3] 9Ѓ 4…ь`уґь±шQнE*птNъ =щ¦ц cш 7ш”ыщ 4‰ &lt;П Aй ~•TN \З Z¦ e65–: V7 V5™ cЙ “‚Ze \ Lf vqAd 4ФчщмЏтMныиNеwе &lt;мДмЛлу[щ &lt;юq 5X :H &lt;P AИ Eb MG Qд Mѕ K„ IД F7 y}CІ 9у 5Тыpр &lt;м [жИЮТЭ GЪ™гPдuеВйек…рпу 9ьH 4x lt9“ 9ў lЉ&lt;ћ qwEґ EЏ Ah =К 9ѕ 5ҐыјхuхNцDсґрим Mл _зпв@а‘вЫйYм JмЋоЈт SфPх Lцџх \шFь dюжя ”6З 8Н 6¶ 5n 4Ё iq5Ч gTь @ы aщcфанMи…ж ^и QкЉзпк cжCежмUуyыDяd 5Й ?о EЩ {rJј N= QШ Vg ЌђXЊ Rђ ѓ“RЂ Ne H™ Eo CЗ BU 84ьсь Pю Iюђ 8Х m;ю 7  hw:л us|zJњ QЩ ^ў3ђ —–`О cў e‚3p e”6n4 cw [® KG @h 9T 9…ыЂх &lt;о=йЈбКЪ NЦ &gt;Ц Sг\и 8и Gв^л `нЪи cнаш ~gxhi4ѕ 5k 3АэLчGтNх±шѓф aкjдDд”Я°Ф NЧб &lt;жYгЎеџзcрбчЈщЋь Њ9м @{ AЗ Cе FF GM Eп y“L&gt; yEG @ ;k 5zюVыыъь‡ч PођлдлКиадЈжімRрWтSчџэ‚ 4« 8й =s =э ;K @‹ B&lt; @l @Т Br xwA± &lt;Г kЊ4&lt;ъёу 8сfп™н}м ZлэйЬйЪйqй QйhмMсIчSю |7\ &gt;Њ w…{nL\ N\ RN RV!O KЉ IО E• ?Е &lt;I 8о 4Юъ|ш _щвт @пђрRуЅч…щЊыHыJя k73 n–&lt;ѕ &gt;4 Dж JM N» Oђ PN Rу Rk ‚ђJt Iа!F Aо :ф 6c f6ъnцxф Hф€т dр3р Aнэпgх @хихъш‹эђя v5№ 4И l†;Й 9ђ :K :j &lt;г &lt;… n•9З 5«ьэчUсфс @лЩе :йЩдЕбћа UЯґЬtЮ BбVеиз3н Tуoчђщ 8юґ 4б :Я &gt;Ч vfE– Eа CВ @i q—o;G jf5°эЇщHціу–тЋтеф 4ч 5ъЇы 3я |5x!5 7Р lrxC&gt; Gѕ |‘KГ Iт {yI_ }ЃHh F­ A=э 6юЙюкэХь;ь Џ3ў 4Љяµ 3EяO 7Ё i€7µ 4U 4± fKюЉьDь Sьљы Fъ{ь¤ъ–ыПыЗэ PюеэXя` 4l 8; :щ ;ф :Y o…=p pЋ&lt;Ч :T l‹8o 7„ 6¤ h‘34э UьЛы :ыщшuщЙъJьЬэdя\ 3ч 4G 6ћ iq6т 4± 3†я dяyю eэYыРщчш6чAч¬чtшфщqы XяУ 4й 5’ 5Ђ 4E 4t 35юЄю YяјюЂюуэwэцэPэ‹ы—ы 7ьzьFь Jь8эЌюуяё 4… i„8ь kj9В 8н 8Ь 9 :Э :я :щ 9Ъ ip3КээЋь Oы№ъюь “3л 4Г 4v gЃ5Г 6~ 8r :ш o‡&lt;P &lt;6 &lt;« nroЉ9u 6Кяsю Bэ:щ»ц 4цzц XцЃц8чЃчћч—чwшыWяM 5в 6© 7K 9h 8Ў 7? 6’ 6Ќюъя4яУьХьѕщIьRъtэяьБю”яля z6Ч jp9” kvmђ:¬ 9й 7^ 6_ 5ђ 3…ю{ьЉьЏэ Eэ=ы@ъ–щFъaы~ыЅыЋэNяФ 3Є 6u lz;f ns;щ :В :t 9Ѓ kЃ84 7— 4:юЛьтыящoчйхsхcцhш»ъєы’ьУэ”я™ gђ7  7у it6H 6“ 7Џ 7д 4{я IяЋюСьњыПы«ыqыгь WяЛ 3ч 3Х 4П 6; :б &lt;ж &gt;е qrw?¶ &gt;Ж ol;j 9л 6“ 3”ю aэ°ъИч SцОхМх Rц цѕцЭч ZщмыIя… 5т 7§ l’:ы :G oz&lt;« :Z 8a 6Л 4і 37 3жя aю Nь„ы Vы ъ @ъ…щљъФь^яX 4Ь gv6Ї 6Р 7: 7© 7D 7’ 6] 6ў 5Щ 3ъ*юьpыўъ[щИшРш&gt;ъQыDэНяЬ 4Й i—8v 9c 9ж 8| 8ѕ 77 7A 6ї 5ъ 38!3яRюуэсьЈьКьJю«юkяVяФяОя; f‹f—3Ш 3у 4§ 5N 6л 5K 5ї 4L 4n 4Ё 3O 3ЉюЩэ­э cэцьЌь YьAь ZэЯэЁю:я y3H 4o 5З hЋil6p h†5d 4® f|3—яТяжяЧя»я\яёю¦юлюиюVюоэlэ 4ю\эСьБь~ьYэ¦э TяGяШяў 3ф 4• hf5п 4¶ 4О gv4Д 3Љ 3; fg3yядяЅяПя ‚3Ґ 3Ѓ 4ё 4ъ 4¦ 4У 4&gt; 5¬ 59 g3Aяeюыю­я3я cяСю [я YяЫю 3яьюІюЛю·ю”юZю[ю§юОю Vя!3‹ f…4з 4Љ 55 5¶ 4ї 4‰ 45 4° fg3я?я ;я @я 7я•ю &gt;юїэgэ 9эТьДьйьyэИэ•э‹эМэбэvэcэ&lt;ю 3яаюЫю”я’я Dя}ю Wю№э \эУь&gt;ь eь Bэeю ;я Lя±я‰ 3Щ 3№ 3Я f„4Z 4w 4r 49 4e fu3R 3Ё!3 4‰ gkhn58 5и 5s i†6G 5ѓ 4® 3›яою_яБяpяQяЇяe 3м fЊ4W 4ґ gѓhѓ5Я 4І 4 4C 4¦ 3ня•яљя—ябяЂ f‹4A g‘4г 4ё 5С 5w 5Z 5r 5† 5© 5© 5± 5д 5И 5A 5х 4&gt; 5Щ 5Я 5: 5н 4‹ 4¶ f‰3Щяѓя &lt;яnюжэ°эёэ·эњэїэ\юФювюЭюIя Њ3µ 3Я 3!4&lt; 4l gЉ4v 3БяTя:яZяќя€яСю5ю bюhюАюжюЦюЧюЭюТюNю«эzэsэ7э 9э QэуьЅь OэНэ 8юаэJюъюЌя9 3и 3` 4Љ 4† 4И 4‚ 5П 5h 5С g•4z 3*яоя m3€ 3• 3язю ]я°яЦяГя q3l 3мя@яЌя@ 3„ 3ыя–яия gfl3F f…3§я*юъэRэ bэjэ†эуь·ьыь 9эыь&lt;эОэ4юWюјю?я€яТя z3J 3… 3€ 3· 3ч 3» 3‰ 3в f’4: g‰4Д 3E 3ия u3€ 3¶ 3i 34 3Ќ f‰4А gx5ј 43 gzg‹g‚gr4S 4Й 4З 4| 45 4е 3— 3[ f~3Йя«я’яmяVящю4юќэіэ dюНюbяфя‚ 3к 3— 4 5‚ iv7м i„6t 5щ 4y g’gЏ4  gu5Ы gjg|3йяU 3Ы 36 4Q 4Њ 4№ 4k gwgЂg”gk4н 3X 4Ч 4р 4Й 4¦ 4П 4й 4ѓ 4е 38 3‘я :яKю”эrэ•эВэ 7ю Sю ;юцэ PюЊю \яКяA 3‚ 3У f}g…g‰4X 4Ј 4х gѓ5и 4Є 4  4Ѓ g~4‘ fЉ3Юя№яЁяЂя8я4яqя§явя lfnflf†3| 3ъ fЏ4о 3§ 3y 3V f”fk3ШяЈяђяњяЎя‰яSя&lt;яXяhяpя‹яЅяеяняШя•яSяXяrяXяLяЃяѕяБяњяяgяKяIяGя Hязюцю Oя Zя Yя&lt;яaя•яХяэя of•3v 3Є 3Ґ 3Ѓ 3b 39"3Дя яќя¦я·яМяРяКяХягяпя hfo3цяЦяГяБяШя o39 3&lt; 3ьяГяБядя tf–3N 3i 3t 3T f‰fkfmf€3H 3V 3K 3; fЊfЃf…f€fh3Сяєя·яія°яЄяЇяХятялягяЭяКяЖяУявямяшя qf~fn3ояЫяЩякя kfѓf‡f~f…f“34 3= 3@ 34 fЉfffzfsfvfxfp3шяляжяйяхя lfl3сяжябяЫяЫяйяояйяеяфя!3 hfqfl3оявявяаяЩяХяФяЪямя ifyf~fЃfѓfЉf”f—f’fЋf€fЃf|f{f{fwftfrfmfifkflfifhfg3*яюяэяъяшяъяьяю-я!3*я</t>
  </si>
  <si>
    <t>RI*F48!3WAVEfmt †C"3 gfgfw^!3 UV!3 hfv3data C8!3 gftf}f„f—fђf‘f~fmfl3ляйямяХяЪяЩяЗяїя±яЗяЮяФяСяїяќяaяQя Xя ;яЩюєю…юOю^ю|ю†ювюCяdяЄяМя m3W 3‰ 36 4€ 4т guh–58 h–hi5ф 4ґ 4Q 4g gy4q 3} 3*яіяGя°ю6ю‡эНь°ь‡ь‚ьньµэяэЪю—ячяб 3h g“5S 5y 5Ґ 5“ 5н gp5j 4ъ 3[ 3‚я dя¦ю“э ]юґэAю 7яWяJя FяЯюЖюuюдю•юыюхюIя’я RяЈяb 3¦ 3¤ 4› 4ю h‹7р 7± 9ґ 9У 8€ 8‚ 7Ї h—3ћю‹э›ыbыЙъNъїщ¬ъAыEы Cэ Eя” g‹7E 8ї :я!: ;  mЏmx8љ 5™ 3¶эЙъјш:шфчQчЏчЭш±шяшНъ \ь ?юж 3g 7х 8„ ;€ &lt;Е &lt;• &lt;Г :± ;r 9р 6є 4“юЃэAыsщ±щ3ч¬хZхЫу IуштуЪх›чџъвэтяВ 7Ы 9і ;ї &lt;А &lt;&gt; =[ &gt;Ж &gt;Љ =№ p€p–;; :g 84 4fюcюлыЛш\шЫш”ш Wшџч=ц 8хэфnх dчnчъшјыVэ ?я —6љ 8с ;¦ @] DЇ Eщ EM E!D7 DВ tђrЃ&gt;џ 9њ 6m fBэЪш†х 3хќсkп№оЎоТпWтЌф@х 8цяцFч Hщ HъҐь“юея …6ѓ 7њ 6&gt; 9к :~ ;Ћ = &lt;8 &lt;S &gt;Ы &gt;l @ф =† &lt;І oЋ:И 8› 8‰ 6— 4ѕюЧэОы Eщоъбь§ыкцЗф JуГпZоSмnлмл `номbм¶оkсјуџчiч Aшsъ‹ь± 4ў 6У =’ Dъ v|LЄ Nъ Qш †ЊRї O¬ sIG LP ЂvLЪ L; z?± 5сщ &lt;ф3с‘пйр†у8ф 9ф№у 7фљсШт Bу6фыц 8ыЭэ·эЊюцэбы @э’ъIъышµщ ^ъЕьдэ=ь cь \э 6э…юN 3Ю 4ф jp9ї ;Є ;® 8T 7q 6± 6Ъ 3љ 66 5Љ 4Ш 43эбщ€ч _ц 7шnьB 3Z :n =… BЋ Gz HЙ Gw CЗ ri=3 :Ѓ 9t 4Yщ‘чЬпRкBй6дфгэе Pиuм 5т`щh fЌ;‰ rЃAћ qx&gt;С &gt;Љ ;C 7шырчэу–рљлЯи ;гЁеLз Nл‚фоы¬ =Х EО LҐ XU `F6 cA _C=;ђ3у ]е RE z–&gt;Gы =м›ЮоФсНjК dОЖСґЩIбґз Wр­шS iђDІ G± zoJт Fр AU &lt;K 5Tъ Wц Jп ?йmзЂжUжькDпох|ы o8м ?ѓ yЃPЛ WЕ [€ aЪ _K!\ UЧ Ѓ„J&gt; BQ :Gя’у7мУеµЯJЫ–ЩЪШbЪХЮgв№аCе]оEц¤я Ѓ&lt;Ь &gt;Ю @O D‚ &lt;« :w &lt;™ oѓ=Щ Aћ &lt;] 7= hЃjuk{6у 7Л 5±яЖяЂяTы Aь[ъDцфт&gt;оЏнЂмЖпeфµщ• 3E &gt;W Cn KP R9 Mс †ЂX‘ Ќ‘Y4 ‹RН }iGљ C† 4кч &lt;т­ж¦ЯjЭEЬ4ЯBгwйЕк—к®м‹с _ф :ъЭьj 3ю :V &gt;ъ A“ vxB« Aм @х @р @и nu&lt;i &gt;й &gt;ђ @d E‰ CЫ @– sjn:ю№ыjч»фFр оюм€м BнЮоюпХоЇр¦оQсeсыт:шkъ‘ш 7яp 5‹ 7{ 9ј 9љ 9ћюk 3К ;ў 8H B† E· Aс &gt;Э &gt;њ ;ђ i7югь¤шЗшЏъxь ‚3з 8Э ;н &gt;O ?т 9№ &gt;э &gt;= :п ;H 7M 4ьютыач BоІмёнУмLпРф6ъ:яi rђF_ ND €hUЄ Y5 VO ‚”KЏ w€=·я Dц¦л©ЯьЬ«ЭxЬэЭнг®и EмНфѓъО 4я oЋFQ NҐ ѓ‹Od Ђ‚Lј GЮ sq?Э &lt;Ґ 8і 5і 3аэ 4ьУь ‘6Р 4M 5ћ 7к iv8± 6c 7u 7U 3Рь :ю…чІсRу_с 8сео Vрtр =сЪоЖс RпFлsо ZнСк 7з™е‡вҐаfд Oй5йВу&gt; 5н 6K CJ N? Vц ]g cs7э7ц7Ѕ:­:± e_ ^8 WИ O&lt; &gt;{ 5гьєфћнОпNлEж \иЌк ;порњц¬яr 9a o•Bж ymGк xЂGБ Dд ;T 8JяЮчср @пЬкѕиЦиаж4й Xзeй Uл NтохЕшЏ 3° 3Єя№ 4љ 4ф fѓ5У j“5їэ 5эящLшющ eюiьЮ 3ц 8© 7і :z sѓFР LЇ Oм S† [± XЭ ZW ZЉ „lN‘ D® 8¦ы9м 9бЊЭЬУ 8Р}О4РЁСМХ’ЬSи Kс¤ьЇ Aє F3 Ѓ‚X™ ‰v€ЏSU I№ BЈ 9Jэіц‚п`й‡дNЯ‰б•Я°г 6лЕнЭц¤ьж 9c A5 Nв Wv ЏY3ф eЕ cе `Б Ќ“NU Cn!:эїотж±б@Ц±Ф С 3ФТЪ­бКп aъ oi†CR O4 XY ^Г ^L ^‚ Vo Mw Dъ 6&gt;ы =пLм¬ж`в ;г 4гSзьзaи Rнќт‰щ† 5ю prAЂ CЧ EЏ Fш ypw‘DТ @Ъ ;ў 7; 3µяEыхчЧх¤рdзTкЬмLз°кВнАмЉс_у 8ьbя }3щ :М ?б r’Dџ D  FХ x‚Ay Bё =С &lt;љ 9Х ;X kMьpы¬чДшвхtтFч [рҐс =шРыXу*щН 4‚ь qh{9ІюЩысъцщ@щ RшВ 3Ж 3‡ьО 4Ц 3¬эв g“6!5U k€&lt;‰ DЕ Qя Qx X± Rk yѓ;v 8sюpш :цIрБз Pбµб Fа@Яцд LиҐж OкптБьд!9 Ec Pф T{ †ЏZ¦ SB KМ DГ =» 5сщвч Uш RрХр3тЃлЗм«оелЁнBсоц wis=С Bё Kќ H` xg@Ј :М g?х BхЫт\еав]зzЮЦЭДа“б dб Rапмфъс8 kЏz„Fs Rq Wn UK Pх NE Rп |hGж KЧ Bт &lt;G =ќ 5‹ю ‹7TэНь Pь 4ф R*ус eп ;уІољо€к 4жkз°жsкSф«цуэґ ;j &lt;Т @‘ JR L™ P` TL €…„”IH Ib Aю lf9S iPь;цFуЅсьовсАч I+щЉь{э?ыGыРяЌ 3рэЄюВяNыьъ `ыЗчѕцcт 8хGцюсІхшщJым 3† 7} 9м 8Т 6Е &lt;Ѓ ;Х :B @? @6 =† 9ш iSя†ьЊъБъ…ы Yф6ф Yтiм RнЩлsлкж;и¶мн3пшт”уФх*ш›ш Mь~я r7І =ѕ Hm Q^ ‰–^µ `Z ]a ЋrЊw€sQN „~P« LЕ H&gt; @z 8~ 5цщDфwоNквзмзкёйНк{пвп3с \р©пОр Rх:ъ @юo 6¦ ;® =d s‡t€=Ь 6HяФь ^ыPщѓы &gt;эТэЧ 4’ 7t 6ЧюОяпюќю —hv4Ј 6` lk;’ &lt;© 9ь 5“яћш ZцБт@ряп UсКц Vъ‘юп g•9С 9I =X C­ B‹ tkEэ E} tnCR qЃ8Ц 4бъ LхQп[оnмtо CтkуIш’ 3Е 6Й 8v ;Ђ =  r‚@S &gt;¦ :u 9Є 4Ь 3ёы &gt;ч PтгоEсЫй‰з«кЪиЈмSуzхPч•э q:¤ CҐ H” M‹ Uб ‰–Yx [[ W^ P¬ KТ K№ x‘&lt;Ђ 4Кщ QусоDмщиZдZзHолтhф–чIэ r46 7 9Є 7k 4Ќ 4§ 5q 4^эЈъ Oщ Bщ Xычыwь JяV 5Z :!?Ч @А B™ EK GЉ GД D` ?H ;@ 6§ 4тяРцЖф»с6о™нҐк№и ?иhе•йUкTи3н &lt;п Jс Hч_ъ¶э mh…8S &gt;ђ tkw•Jэ Lf ѓ‘Uw XB W™ VЁ Sa OU ~|CD &lt;¶ 4ьщч=п MлЖиџдpг bбЬачгШз Aн 8фмъС 3ы kf@п B’ tђv“@Т =ў ;Є 7Дю‚ыжщФщРч _уЭсЂсBпµуMэIыУюе 9П =ў @w As vAЗ ?z Fо Eћ qu&gt;4 ;ъю„я EьJхMхwхgцдшўч XхaщЦъW 5e :™ 9ы ;§ &lt;i oЊrpq&lt;ђ 9о iђkp65ь©эфышъ [ыхщgч†х cчВъ Kъaюіяk 3юяЄэҐъеш RчµчЮчкц CчЏфФтZх bуKсњуuхохЃцLяцю– 6„ &gt;‚ vЃsz&gt;‘ ?z 7&gt; 3ђ =Ш =Т 9Р :ѕ l•i;ы{ь‰ъcнкпMфеъXюҐяY fOьЇщЋэ †3С 4u 7 =г u’CЗ F¬ Iи G{"GI yЂCЯ ?R @} ?› &lt;Х 9A hMэcч Kхрш Kш FшпчмчМцсч|ъХыCыЎюF 3{эOь 9ц \рqр¦нЎсКц¦уUфшуљуtфhу}хоцОщїю&lt; kr9€ &lt;Д =Я &lt;µ &gt;B 9Фя_юU 3тыАьЩэљщљчhщРыѓьiыЏ 8  &gt;J u…FY FЉ D: CJ D; CР &gt;є 6Хэыьoщ =т{р JоиFмZнАнЎнEпNхkъaэЙ 5Q h€9ѕ ; 8? &lt;Ш 9Ґ i€;‘ BG BН C5 EЕ Aљ qfqo@Q q”=в r‰@€ &gt;S :ц 4hэvщрфЪц EфmпdпдоґмэнlрiућцЗшТьщюр 5\ j—83 ;к :‰ 9T 8¬ 9ч iz4ч 3¤ 4KыншњщьщAъ Xю Ќj‹7¤ 9Ј &lt;? =Ц &lt;¬ ;w ;э &lt;Y ;k 6q 4ашuуxсВоВо 8оъл 4н¤оМн RсLфјц^ш^щФщ“ьхь `ьa i–3q 3„э¦чЇцdхЙпЛщ;ыУш6 =· pzAЫ Dд E° KГ M‹ Sg Yб Uи S; P№ L¶ EY rs;§юJцuоХй 9зЗвљз*мНсnш\юц 5— 8— &gt;‚ E[ Kњ LЖ Nщ MF KQ Eп Ce sx6АюИш~п¤йDд~в|б@аЕжґеЋдТзЃл Vо¤т ;ъШщ¬ю ’4Б 8Ж 9ќ 7P 9® 9с 6C 6_!6 5Rюжь@я[э &gt;ьжэИяEыСюo 9— ;п @й |“Mг }•P` Pх ~xJ§ G= ?J 5Yэ 7уђм Yк^жнбВЯЮЯ{бgихр&lt;ц 3э Ѓ:H ?c F‚ }pJf Hі y{DІ pЌ9мюHщЭхµу№р3р†оЙоЄс GфwхЊчҐщ @ю= 5µ 6‰ &lt;с :{ ;I Cy &gt;q &gt;Б A№ 9Ґ 9° &lt;[ jЂ7Kя [ю :ьюхГх9ф{оGучх XуФщDэJ f„:ы :б oЃ&gt;м ;я &lt;5 &lt;p :ј 7ќ 6° 7N 5!4н 3µьјэ Ѓ4a hx:‡ =Г =… BО t•A« &gt;С l‡iUэзщ©шр±мОл¦жхе9йЇзLйОл ?н«п cх 4ъЬэ« 3Y :a &lt;V &gt;Ѓ DN x~Ck EM F[ B| vfCќ ?P &lt;« mЏ9¤юµь \ы‚шйцНцИцец IчwъщыуыYэПэ: 3ЎяgяY 4• 3июЖяс gv4T ht9­ llЏ=О ;и &lt;Г &lt;¶ 7y 5†ю=ыEщoхrуoуoу„сТф aу6тЅц &lt;щ•ы LэO 5¤ nЉ@§ Es KЗ H_ |lEќ Bѓ!A =ї 9‰ jk6*ыXь~э@ъЩц­ш 4х€р—уM*цъжю f7\ 9Ч 9Э 8Y 9О 4sя \я VэXю§эHэЎь`яЄяZ 4г 4Ђ fWюЖю8эќэІ 4` 3ђ 4Ц gXю8ь©шЄхpцтсXф `ц 5т Uу Dт Gфзц 6цюъ№щ†щC 7в 7– &gt;р C{ |ѓFв KE O± Jй EУ DR AЕ 9Ю :ы 5УэЖхФунр°й±и•ичдvл Zп 5р`ф 5сCш©ы Iьчюџя4 5S 7ь =¦ Aю DМ JИ OЬ €’V® TО SP Pи OC O¬ I_ {lBш :г :вю·щсфХржм Yкgй 8лTз|м RпРоSс dс [сьрuтГушхИфhш Xщ Gч Vъ‡ы;эЃю‡ 4Ф g–h—53 6S 7s :n :z 9о ;’ n‹;&lt; ;Ј ;h :п 7m ju93 6 4°яљъ &gt;ы VшѕцЋф 5у•оўнюпгтpсяф•х ]ц Cч OцfшЁчOэИ 3¤ ;p @д @® FJ {‹~‘R‡ QД R@ V!Uя U7 UЦ Sj J› wpAZ 9‡ь [ч‘тЌм=к Vлdи ?жГдiищмnпЛсыцПщюъ †5§ 8­ 6» 7џ 9¦ ;Г :Я lЋ8G 5… 3ќ 5x 6I 7ї 5љ 8r j}7с 4Пяояџы eыbь YшPц®цЦтљрБоуиCл eлЩи Hо‘тЊпЖцЫэђ 5Ъ :9 BP D E^ Gќ MS QD Pа Rш …‚M¤ GF AЂ 8Mю©цЇр LоњгoвJзЯгжд6нђсZц§ьј 4Е ly&gt;R @… D‘ GЈ CЄ @g ?· 8R 3·ш Hс bмPзgвЃжAдиеро°ф Zы r;і AZ C¶ {TХ Њ†–A3x ‘Ђ]m ‡~‚kF3 og5ъх~рўл|и\ж GлчлцрЌфцфёъgэЗ 5¬ 9о =L :в kЉ7нь VчЈп Lй SвыЮеЯзб @бЗж Sлvр­щ 4яЏ &lt;H DD JЋ Pк QU Qњ …m‡vSV L’ DЊ ;ДяҐшRу VоЬзгд*еcз UиЂиaп}сSш: 4у 3• :E @k FB Lа Le Jї Ei B!@r 9ўэ9ъ7уЪрЁхnтао†хцф\ш 4"3ґ 7џ n”Aз Cм Cg Bр @Ё =Й 9Г 6Жь№ч›п€р*у€с Qрґт ^тwтЮсnф [уРу6юў ;B :С =3 uvEb FБ E  GT Bж o“@I Bџ 9G 8› 6µэпыЄч‘т»оћлњм¦о =у ?чJх¤ъ”юДщCэyя ‹3d 5a 8№ 7‘ 6д 5ј 8¶ 7s 5Кя GэdьЊъ ъEя Џf†5Ё 9т &lt;j oЏ&gt;п @з @у AM urDИ Bс s‰A° :¤ 5±щ 8у DуЧнiйЫж ;вювОгЏг 9гёд\и”рКфїц dы¦эђ 8– ?Р ?і @= ?ђ ?А DO @Є :d ;? 8Т 9• 8eю Zэ ъДы Ђ3їэбыbэ YыB 5” =” o…&gt;н BИ CY G^ Aё &gt;И :І 8t 9ё :а 5ћ 4° 3Uя m4ШяTш eцЎуОхошИч:ъ Rяњ 4A 6^ fCь :щЗщыъЇэІэиэ‚ 4К 4&gt; 5®я HэpыWшЮъ[ыdъ¶ы Jю 4ъюZы‘ьньЪш‰ъьыЧьЖэrюЎюнэ MьҐьMэtщUщ¤чdц6щNъ Uь 8ь eш­шФщ Uяэя €9ы @_ yѓNе SA T~ €…S‡ RI ‚‹FП &lt;EяtхЕпAжГЭыЪРЦЂХхЩ­ЩIЯFк GчФ h’B5 Ko S‘ X© Z’ \i Xј Rw LZ C5 :ЪяУхХп§йLз Rб±Ь¬Ы№Ъ[Ю]аXл Zх ]ы Џ&lt;g C­ Fј MУ QЛ O] Pё ‚lM± Hы Eo BK 9` 5§яSшOтuпслщнAт;фUъDэд 4` 6Е 9  9C 8Q 8Ґ 6ояаэ…эїъ dщuчAчiхJу&lt;сдсЈхcц¤ы„ы©эњ j:Ч =t pѓ&lt;r :5 =¦ =ж l—8R 8c 9Г lngbюЙц4с bцpхZщwщПы; gzgh8’ @» y…GТ }–‚†IИ FЏ Dѓ @4 :Жюё 3~ъ =р…лэгзд}бтЯЦз bз‚дюпзхЭш Mэ“ fЃ:є 9э ;Е tg&gt;” =Z E] CТ @У @ч =‚ &gt;{ Aµ &gt;о ;и 8Ѓ f–f’4l hf6p :h ;є Bu rm&lt;№ &gt;А 5Ъ m’pt8©я9ю bщ Gф6уYпkиьиђзДк@й [кyуЕщ ;ю |9к ;в &lt;q ?я B[ Dv x‡@N BЇ &gt;¦ 6ћ 8l g}3аяѓэ 9ьvьЦш 7ц±щўъ KюҐ 4ё 6ў 5y 8д 8] l€;ј nЌ;] &lt;„ 7У 6Няпщ?ч =тaн BиГг VжZихоьщd gy6Й &lt;µ DT Eс Fв N] P&gt; Ml LС JЬ BО l‰4ђю _ч¦у?сwн dл dмљцP 3і 5n 9k ?!A ЋCн AЇ @С np6ня¶ъeр›з§гвб Xб XЮdЩ8Ч `ЫгвlсмщС 5‘ C€ Ks ^Ю=‡AЗ@ЮD‰Aл:¦7e •hS… @І 9Мы Jй UЮRЧ ^С›ОЉКјНFРЎОЃЪ Gм•ц;ъ ~6@ 9ѕ 9® &lt;° AЈ sn:… 8Є 9\ 7• 4ыэn 3в 4Г 4p 8Х ;¶ ;О :Ї C: JХ LC ‚ѓOО L· Jl EЊ B? opf[ъ Pъ eъtхAоЂиµж Qж Xдўе Wв&gt;ЮUбµиPс9уhфСфЌц3фзтЌшAшЇхQы {:o lЃmgB« t?ж Eф GН viD[ LЅ Tш VЄ ]S U™ L‰ yjB_ q{9U fEю| faэЅь]эёц¤цъВъ &lt;шУхXу&gt;ш aэш 5Џ lj9ЄюIюЃэ VыЬчх Hъвъ 8ю!5ґ fYюЊ g—83 5 4ВыЫчdы BюХюу 4о 4Ю 6{ю€ы&gt;щ &lt;у :смх¶чЁц_шЮщ6ьвъ Xы°ю©ьѕъЧъєы·я Љ4б l}&lt;Z 9Є 7Ї iz7П 9с juj•8ћ ?G @О Cl Iя Eж v}Dц @Е 6cю^эGь7ьcх 3тслҐй@м—мmлбк eл­х Eъ Gъ§эЯ 3Oяw 7O 8хяЛы®ыб 4™ 6Г :Ф ;Ж :{ ?D DГ }€Mm Kэ Qz W4 ЊuZ] U€ M« GМ B &lt;Тя Wф•лMз OбЃбЮЫ{Щyа_ЯШгЬлCл 6сDъ&gt;юї 76 :ћ 8C 7I jЋl—kЃgPю°х{рfу 3фЄхGшЅъ dя j4ь 6Е &lt;¦ @‹ G¤ Lъ OV Q… M} O\ OС IЁ w‹u:Lэ Sч‹рЏк Eйgй BкPйткбпНс›чўыOюџ 5  7· 9Џ ;З 9Д 9_ 6€ 4Тьeшгштч3ц8щ5юія« h‘6p 6B 5E 77 =N ?ь lg:!;щяБюВщ’рjлЎж Hиwжuж»нЄцняВ mЂpqtyE!O –X9 _… eЎ5 B: @89 cд Y‡ M8 sw8NьЊм eд¶Ю*ЩѓЭуЭ[Э№ЭвЬ б6з¤и;сІъ ‚5 :Х =ч l„k„4‘эМю Sъ ?х—ш=ш UчdюВ 4Д 5ю m‰;° ;Z &gt;– &lt;ђ ?В G” Gќ |uJу A^ =8 kGюoыrфпнMлЙеpб WЮ eЯ«жКкRх Ѓ4f 8&gt; @Ц JМ QУ ZO ^‚ bm ^Њ W@ PE Fz q…3Ех&gt;сpл 7бна:бpа‹й Vфyъх 8X A8 zwOу Pв R™ Qђ Lй xl&gt;и g7ч Fрый Xе &gt;дЌг 6аэб Jб«вPмџфIш Wъ№ ;Ь s}t–~„Mu K„ IХ Gњ JG @b 9w &lt;K 7t 6nьZчЄчщо _лРојсчиqн3х IсдтНшeэ¬яШьА 4k :l 5c 3Е nw9Ю 57 8ь 8¤ &lt;д 7ґ 8| A&gt; ?я ?™ Gѓ |ЋIк H» FA Fщ wnCЩ @R BS :М 3ъяxш‡хоф_ч@щнцRшQьЎъёч ?ы ]ы RшoъHш _шйунс HцTч^хqы¦шdшЩъ›щьэЋюЉяo 8¶ 7y gЌ8‰ 5нэуь Nя±ю Uь‘ыюь OщqъrьJьqяmщДъ4ьЊъg 4„ 5я 7д ?Э &lt;д :‡ Aј ?O Aњ Fc E¦ Iµ B¤ &lt;ѕ Dю &gt;Ю 4¤ lxqЊ;6 87 5Ї hdц‹уa 3ЈьAшющmчvх ^пXсиц«ч]ы =эмюB 5‰юH 58 @V t{Dи Kс IЌ GЁ G9 EЂ vhB“ o};Ф 77 3?ь AщшЌф®р dоIл Mж Kв¤е Hд ^кдпEтўц©ф WфҐцЖчvцќшлэoюґ 8т @P ?ћ ?] &gt;N ?‘ wjЂЉ{]• ЏЊbш ЋЉUм K_ BЇ &gt;Mю­у~ж»ЯцШ AЦСЪ aЬВЬeаnкOуNчg 3­ @Ќ K’ Pо Xџ ’kY; Nр LB Eж 4uцгрЏкЁЮЩЪmШцХ‚С ;ЧўвUе…вщкpрмьм 7© }‡Z&gt; Ќs\\7…5\ cз —o`Г \V ‡|TЬ ~mA^ 9Ьэљы Wр 5й Zг ;гEвйвБм—о мЯрЄхtуxф¤фЅтЉспр GрPнойїй Vр®цїчБыwю “9[ @B G9 O› Tb TL Џ`t [f RЈ KР GС rj8D 7бщyсЈоAлNк^и Eж¬з `к 5лЇоCс ?утфҐы¶ 6€ it6я 7и 9Д mЉprBл ?У &gt;ъ == &lt;A :Y l•:ѓ k’6Њ hЌfs5Ь 6д 3вю Њ4М 5w g|7і 7ј 7– 6 &lt;д ;й 7Щ keя°я7 3Eъњы Gш :ф WчIью `чSу [цЯтжщ k3Xьлы Dш ?щ 8ьШч Xя[ 3Ў fih…3¤ы 5ы h3у 3b 8t :к 5д 8в 8Е 7E &lt;Ё kun‘;ш 5Ћ 7ЇыЬьТ 9ж 3т 8ф 5e 3cыXшZэ ф =щ›ю­ gv8¦ 6J 8s 7Є 6Я ;8 kЉl‰7_ 4У lknЃn“=‚ &gt;® @6 ;Ѕ 9J 7Яю^ 4D h‘;Б 5© f–6|ь GяIчіп4пVнэпЙпEо WнЅи Xо `с©лgм‘мИм ]тЄхlь r6 8V &gt;e F&lt; C? Eу LВ Kї †~XЪ XQ ЊyQи ~z{}@К ;­ gGы Xу PлkиѕеHгWаnгэдгбукIо й·фУщ Sя™ 6п 76 kЌ3i 4Ш 7­ 6ї 4Ћь@ 3™яЋъ ‘fAюЊыШэа 4щ &gt;Ћ 9L 8h {€HN Gk Nq K` FЈ BЅ @? CЬ ;д 4ы 6  3йш°щУщХтuумфЅц ^ьтьg 7Э r}pЃ@ќ &lt;Ь 8• gZъ 9шОхлрмн JсАлѓи Eо‹нxр_фЩч4юы 8: @Ь G3 Kњ MП Mм KЄ |iDѓ rmlkr8gэ‹ьЋшCнјо»оРз 3лgлзлыу ZуMщпюЧ hgnuC¦ Aы qoA¦ wqK» ~{KI Mь Ai ;Ю &lt;L 5’ъwырфUтжтТл¶кLкІиRл‘рЃсжоHсlуnцпчШьбь 3цјх–уsцсчЗч Lы…ю@ 6Г qf&lt;Ѓ =ќ HЅ EV NЇ RЊ Ly VO \H U] ^s [И KA |BУ 3{ъ5т¤у™р­г ^лvнZа Cдюм»йФнwтРт¤*шхтъ v6Л 5у 7Њ 9Ф 9ыяMъIъ AъIъЖь яQ 4њяѕяg iђ7џ 6р :X ?f =м ;[ ;C &lt;· o„=Й ?ґ &gt;E 9— 6Ж 3« 5X h‹k–=b oy:z m•h`эҐщPщ•ы Jщ Jч Jч Zтfф©щуBхУхос х€ъІшУэа 5Ь 8А m|7y 3X 3Ј 5г 7S ;› 7; 4‚ hѓg‡l{?^ &gt;[ 9є :ґ 6 4  kЂ9и 8у nЌ:ґ 6Э 3уцЫу CшҐуёфLр Aлкмћи Aк{п№т Yчжэ 5ь:ы @ч :щ ‚3q 5и 9Љ @3 ET G© xCU &gt;v ;J =ў ?¬ qsAг ?х ;† Bґ AЫ @V ql:іюkяmъзу¶хъц4ыiэ Eя Wычы =шњшЬщ™х?щ l4P 4н iђ?x &lt;ѕ ku&gt;` &lt;Џ &gt;Ї =к j—5ЬюЛ 4v 5ў 8й :r ;E :  7{я_щЗц›чKфwр UпџмКмємfт”т&gt;р©о•кPм\о FтCщ^ь4 4 ;Ѓ q†@k AО Dm D C‡ FЪ ES zuLг Lf NЦ PВ QА Ђ‰Dy n€6&gt;щІц _ьт 4сSъ ;тGо±хҐрнй­т 9ујп¦шВъќъРяЎ 5w 5ш 7Ѕ 5IяFэЗъїьЖыҐщ @юњыRщ Oь5щ =ц Wъ FъFъ? 3Ы 6: 8Њ 7F :m :у 9z &lt;@ &gt;e =4 6kяFяюэ Dь Kшвф\ф 8хЄч3щбц Lь8 6C 8э mgn~&lt;§ =® AL CЁ Fц EЬ Aн nЉh†3I 3PыUъЊьэшёъ lg6э¦ fЂ&lt;t!: &lt;!&gt;Ћ p?п Ac C› D‰ vfBС &lt;ъ 7О 3‡юQьЋщ•чМхhр&lt;о aнВкcзиvкњм dс;сѓт©цюш 7ьu 5v 9Ч 9ж 7І 7Џ lx&lt;е ?љ A™ tЂr‚&gt;} ;C 7… 7c 7: 8ќ o}mq5R 9~ 7ї 4Й 6Ќ 5Дю 3яБьЗчафьузфКхќтiтL*ту OцTшgыХ 4Ш &lt;5 ?И D\ DF @± uЉAЗ :л :N 9› 3=эЇьЂщыъ 6шWт»зДдeз8йkиzнНфЎшГч &lt;щ 4 6г 9ќ @Ѕ &gt;ф =б =° ;ё ?џ Bб Dж EЎ E„ A¦ ;6 8Б 3фы \я l6ї 7Є :~ 9Л kj&gt;Ѕ &gt;o 8— i}3нф 7тМц•ь ‹35ыAшљщbш=хјф=чЛыбюF :я &gt;Q ;o =G A{ &gt;Z pt@» 8Ћю aь cя¬яy 5є 5? 3gъФхну]тчоiтйш`щ щњь_э‡ыnщ±юз 5cьЉщћъm 3ы :ъ &gt;С BV E¬ BЅ =V 8Ґ 5єэnэ GяШю\ 5c 5­ 6ы 5Qю 9ьbф8т 3рЯрћшЃывя –5GэВыЗы6ъЎц cщв 3ќ 5U 8Е :I nЃ&gt;• q…?y @р :¬ 5Cюс 3lэ Uъйьтэъыєщfч—фYт 5фcцњфІц ]ц &lt;ч&gt;шЉыІ 3iя[юуюсэ·э JэKш Aы›я Љj‡=љ &lt;» 5Жы dя ЉgMю  3W 6c iw63 &lt;C @Н ?Ъ @8 r…AA &gt;‹ ;_ k’5Л g}7h nђ;А 8ЂюґшЬу·х &gt;ф Xх Sы q3y ;ч ; ?p @” &gt;3 ?К u”Dr =ю ;z oЋ:Л 6ё i„7рьц6хBхЈрнм `нyрЮт&lt;тнцЋчЭфyшщь„ьWы bьяь‰ъ 6ыРьйяc 4…ю ’7!8_ю EэњьЮя| 4ђ 6Ґ jig5« hk;Q &lt;Ћ 9Т 8® iq4u hWяЯщћъиюs 5] 7И jz4цы dэ„э‰юoяf 6!:ъ 8ш ;Г @C C“ ?Ж kx3VщЉшEч EцДуIпNсЎк9йўо [л л 9н–кIпнфїыз 5Ќ 6„ 8ь 4Я 4= 4 k•?d @ш BЊ Aў ?p ?@ &gt;с =Ў =M 8њ 9і 9“ m–9э h{:› 6щ 5і 6: 6Г 3Vя ‰6т hЋgGя Sюj 3Є 3ТяKы 7ыгь°ь GыSюЯ 3Ѕ 6Ѓ jf9О 9† 6  mnmr9г ;§ :ж 8н 7s 5Pя@я 5яЕыqэёь…щLщ ?ш :ъ &lt;чэцЗхфуЯщЭьня] 4Э 5r 6!7ћ 6‚ jЋi}4и 9e ;г 7Ю 48 3¶щ 7чЧц Tхых„т…с«у®цJшu 4Э 9N 8с 7f 6ѓ 8Ф 9F 8B ?[ C6 ?Ї &gt;Ж ps&lt;` 9” 6D 4Ѓ 3ЋюЎщјъ©ьf f|7V 5ѕ 8с 5ѓьэыVы &lt;щЧшAы­ъаыZщEш ]ь™ы ъ~ы aъЧчBц’х eъяMюњюя‡ьђщ PшХч*ш Oь…эрю zfeю Eяц 6l 6т j–i:эµыЄэШ 5~ 7л l“&gt;у q“;— 9ж 9H 6Е 3Z 45 6!9v &gt;Ђ &gt;‘ &lt;‹ ?G Bk u‚?5 &lt;Љ 9ф 7у 5ц 4K iѓgtijЋg~5Щ 4Ыъ Pч \т‘с Pъ™я ‚h–3б ipjt4Q 6“ю bю n3– 3ШюШызюi 3Хя g3— 5– gx3Џю9эlюSяY 4† 4™ 6д g8ю·ь†шЬцхч @ъ©чkтжф QхЃу Xц bыpю=эQ gђ6ЃяЦ 4° 6и 4• 8Ы &lt;Џ o‘;ч 8э kЊ;Є 8v 7Ѓ 6¦ 6Њ 4Ц gr4џюQ 3У 6° 6¦ 7Ю 6? 3° 4ляЪыDя€ 4ѕ 3и 6 4ню¦юЦю–э cьrы Dь Kэґъ—чiцSш^ь»эцы &gt;ы LышцЃчюч Iщiэ SэЁэ Љ3Ѓ 3Њяеэcя– 3кэшэЌяH 3К g“ho9; ;ґ 8K :к 6г 3Зэ ]э Tя Ќfw7ђ jufRюћыnщты 4*ьюµ 6к 5М 5Z 7t 9m ;‹ @ч CX ?Њ px&gt;Э &lt;і o•8y 8к :\ 6^ 6Ю 4[ю–ю TюЁэj f4ћьтъМъищоъ„юѓ 3™ 3¬ hђ5кюCэ4ы bъ{ьнщ dш3ы cщ4щ RюK 3s 7Т ni:Ё 9l mЉ9„ 8‘ kri–3гя JьЬшDшAш bч Sц ]ф7уэу 5х*цоъ &lt;эЖюҐ fNяэияHюшэJ 4P 5Р i8щ 8В 6ъ 5a 7ґ 9‹ l‚8k 8ђ 9i jf9У 9Ъ 5| h‰5М 7Ы 7&lt;яhыµшmцСщ“щуы7юKщЧщ 4ъашЙшйшЮыBь aьЏьоы 8э¤ 3– 7А 9w 9Z 7k 7[ 6] jikf9h mkm†:С 8О j‚5Фь 9ы dы`щАщ ?ь \юuяq 4Ќ 6O 3&lt;ю Tэrщ©шsыВь= 3љ g‚7µ 9« 3хэМюJэфэx 3E fr5с 3ф 3щ kv8ї 3сягяЂэ Uэ?ьпш OьОы q3• 7а gn4ґ*яэV 4&lt; 4m ik:– 7‹ :И :M kw9j 7L 7­ 4—эюэ _ь\ыњь aэ Iя» 4С 4щяҐябяйэfэФыЁь o3ГэZ 3Й 4· 4Ў 4«яѕ 3г 4ъя4 5Џ i—i‰mj;н :l :с 8w 9ў ju3Jэ 9ьГъ·швч~ш XчYу ]с¦рlоќоЮрирtт©ф YхEщњэг 3‰ 5Q 4Ѓ 4‰ 4© 3“ 6љ 9µ 9І =Ѓ pЉ&lt;­ &lt;U nznu9О 3лярю KяU it84 j‰6¶ 6Ґ 3Кэ DяbыЇы‰юїэ&lt; 4В 4D 5q 5оь®ьБьJъ Pы”ыXюјяЄэЮь 3я q4БяcяиэощѕшЎщЉэy 3s 4ў 8П 8в 5ђ 6: 7ю 6ё 7П 7| 7љ hЋ3cяч fi4Хя‘ 4&lt; 3^эЯьЋыЧьЖэ7юё 3гюhэбьµъЂш YчСш‚ьЙю[ 3е 6Ы 7ў i‹8  8А 7є 8њ 7] 6] 5Ъ 6д 6{ g—iѓ7ц 6Л 4\ю?эњьєьEяm 5д 3a fOяВьzю±ьЪэСя Hы·ьlю OэАь =эГ 3l 4Є 4M g‹5Ђ 5єя€ 6л 7в j:Ґ k}8» 6® 5с 39я8 3†юлю’яZы•ы@эЂъсъЉыnы WыФшѕш Tщaы _юзя] 4› 3x 3єю Kы Sыgы°ьйэ ^ю ^я9яuюеынь Aя Cя —4d g&gt;ю BюЧя“ 3j i8{ i–h\ю`ъЎыЋъяш5ьўэ Mэ&gt;юЦыиъTьУю{ 3•эGъrчOчPъЭэc 3V 3Жю‰э =э¦ы eы LюҐ 3­ 3}яЫэ‰э m6э 6• 9w p–o–;A 8» 8ш :е mo&gt;З &gt;B =г &lt;¬ 9§ j€9ї 7г 8І 5­юФьsъ XыоьXэ Њ3ю 5F 5T 4Ё 4Ў 5e 5Э 7ш :: ;¦ ;Z 8Ћ 8Ч 7: 6№ 5fяfю Lь]ъУы ^э«э— 3Н 3­ю JяВюЧю]э•юЙя UьJыФъ Hъюъ§ш‘ч№чѓцКх»чґш8шµы Bэ Eю=я ‚3о 4Ґ 5[ 5b 5n 5‘я&lt;юОяЛяняAяDяyяNят 3Ш 4q 6С 6] jЂ9B 7e 6… 7D 8№ 8T 6¤ 5 3Кэ [э7ыdьЃьGыь Sэ»я gfgѓ8q 7™ 7… 9v 7В 6э 4®я Bя­эOэТьEю эkьjэcь Sю©ю9я° 4T gwgw5pюкыHэC*ыщИщѓчaхЖшSшdщИыPы =ю©юыют 3_ f’7э 8@ &lt;w &gt;y &lt;р :ћ 6К 3«эЂш 3ъгыЂыУэ‚э‚я ‘5‘ 4R 6{ 5g 4_ю cэжя h3ѕ 4х 4‘ 4; 6Ґ f—3 юМъ Eьbэxь^юЫя™ 6; :‚ :ѓ :7 9‡ 7a 4§ 3‘я `эКэEюђюС 4° i„6Ъ 5C 3‚э’эOюЅ 3Љ 7b ly;Т &lt;о ;Ї lp8R 5@ 3RэЏъ 7ъљъђы \эбю q3¶я­я’э \ыЅыОьЈя™ 4д hq8С 7g 8К 6~ 4e 3ЄюВы \ыиъвщВыЛэЯюы 3г 4ѕ fv4Ѓяль‘юѕю 9юeя&gt; 3љя cяТэїъїъQы =ъОъќыБь«эньЅюЪя° 3| 4qялэFьhщ»ш Hъ~ъЂь­э Rю:юСэЇяиюпю q4T 3м 3Pя›ьµя{яГяЂ 4х 3Y 3бюїюФюьэfя t3фяф 4в 4ё hk6г 5х 5” 4¦ 6н 4В 3Ц 5бя¤ 3ХяЩя\ 3вюР 3љячюЂя dяf gn3ѕ 3~ iu6х 8“ 9V 9М :і 8џ 6V g“36я UэюяэжэW 3ґюWяsюЊэ•ю«ю&lt; 3И 3f 5Д 5У 5} 6т 6z 7• io6Њ 5б 3Мю™ю±эЊю: 3rяЉ 3дяВяh 3ў 3г 4Щ 3z 3oяЩя r4…яB 3»юѓь aьlы 4ыЛы§ьјьaэEюdя Ќ3Џ 5X 7Ф 5s h“4ЇяКю=ю‰юzэ}эсьгь–экь JьЎь^э Wю =ю_я pghg‘5Я i‚6 6щ hy4™я8яDяMю§э HэҐьБэrю aяCюдэ OюЙэ8юyэЉыJьыьЊыныџьMыЖы€э»э Oэ eюрюмя t4¦ gЏh{3&gt; 5ё i{4Ьяль:щ@щЃъьъ bьhэъь±ьїы eы®ю ‚4ш 6Г 8Т 7j j{7Ѕ ihk€8ы 5К 4‡яµьщыFэ—я ‡4Й 5? 6ы ink…8№ 8љ 7Л 7Ў 6¬ 5Ї 5J 5Ѓ 4љ gjg`я =юrэ Dэю@ f~3*я°яf 3› 5© k„:џ lЃ8ь 6  5Ґ 4о 4О 3ўяiюю VюЛэюя s4» gy5ф 3И fig4b 6Т 6ъ 4= 4Ая“я sf‰3W 3ЗяRю bэiюћю Dяь 44 6_ 6ф 5Ё 4 fЊ3¤ 3± 4A g‰3¦я©юїюђюGюЋю­ю_яцяН 3  fu4M 5Й 5Q 6І 5Р hjhf4*яrю aэ Cь­ьЮыоыlьЂьњь@эъьPь Cэѕь CюSю&gt;экэwэ§ьАыдъ«щAш Hш?ч Uч&lt;шQщiы’ыйы¶юx f€gm54 5Ц 4Є 4л 3и 3Ђ 3ЋяИэ Gэ &lt;э QьNэ aэєьЦюn 3I 3qя „5џ 7з 7ш 7е 6^ i’6ц 5• 4ђ 3љяџю‹юQэ®эЖюДюјяЖ 3Y 4¤ 63 jo7У 8‰ 9о 8V 8ђ 7D 6г 4І 4у fg3ъяLяЁяҐ 3Ч 3| fi3c 4‹ 5Ґ 6» 7К 7Д jЊ7М 6ж 5; 5o 4іяµюѓэ @эФьЇьcэпэ7яЃ 3Ъ 3± 4¦ hЌi‰i6m i–i“5H 4¤ fs3cя‚юуюЖю 4яЌ f~3УяY 3d 4Q 6ж 6П 6Љ 6M ijhђ4v 3*яєяАюOюЬэ‚эЮэЛюxя |fk4  4ѓ 5ц 5з h}i’6‚ 6Ы isjfjuiuh†4ЁяЈяџяLяC fq3ў 3R gtgђ4К gr5є 4= gn3пюТэсь Sэёь &lt;ьВьЕь°ьЂэґэ9юёюЁюOяD 3v fi3Кя‰яИю TюЏэVьwыєъЁщdщvщІщ Uышы¬ьlю 5я©ю 3юДэ _юљэйь}ьЮыpыкъrъ’ъ№ъYы§ывычьфэWяQ 3V 4С 5‡ 5т 4ы g|5S h}4Яяµю¦ю \ю„эJюsю 8я IяСюjя^ 3Q 4Т 4л 4Ћ 5г 5Н 5p h–5Я 5[ 5ї 3ћ 3ІявюGяEяЋ 3µ fw4g 5Е 5¬ 6ј 7О 7: jЉ7e 6© h—6ђ 5J g|4† fj3щ 3d 4Ц 4р 4e hx6г 5A 6L 6^ 6? 7ў 7e jx7Г 6Ь 5B 4[ f‚3hяйюяюшюfя&lt; f‡4М 4џ 5н 5Щ h‚6Л 5f 5‘ 5[ 5P 5_ 5p 5e ht5У 4В 4ѓ 4” 4x 4ш 4b 5b 5Щ hЉigi6ш hЃ5м 4ш 3jя4яУюuюIяfя dя¶яјяВяC 3f 3п 3y 4я 3R 4µ 4i 4&gt; 4C 4ж f”3Dя GюЉэ WэЙьчь°ьЛьдь Dэ5эOэЧэCю*эЭэKю 5ю«эяэђэ [эь Xьщы„ы EыьъяъlыбыВыџьsэTэ 8ю¦э \эѓэKэsэEэ @эыьiьХы«ы™ы{ы‘ыCыџъµъ®ъ5ы QьЄь ;эOэјэ FюЃэ Fэ9э OэXэ§эОэмэцэею aя6я‰яЖяќяrяЁяУяцяE 3С 3b 4x 4И 4Е 4] 4J gp4§ 3Ј 3г 3± 3ы 3Ъ 4® 5ђ 5« 5њ 5U 5Ќ 5y 5‚ 5H 5ы 4Р 4‘ 4л gp5Ч 4¦ 45 g“4с 3Ё 3Џ 3± 3E 4„ 4b 4‡ go5a 5… 5® 5x h“5± 44 gt4? 4„ 4t 4t 4§ 4ь 4з!4 h•h5м 4Т 4ь gЊ5Z 5D 5р 4© 4ѓ 4I 4щ 3Й 3• 3“ 3~ 3Y 3Ј 3L 4Ц 44 h“hk5н 4µ 4“ 4u g}4ђ fЉ3шязяНяeя WязюБюЏюwюќюГю 7я cяUя^яSяNя Gя‘ю cюЧэЬэФэЛэ3ю _ю dю7юDю·ючюдюМю№юфю 7я Zя TяЬюєю3юуэ¬эйьАь ь‡ьѕьЄь®ьгь Cэfэ‡э§эЉэcэuэaэnэeэ_эЉэ·э 7ю Wюbю~ю”юАюОюй+юлю Cя Mяхю ;яцюкюУюµюiю Wю LючэБэ­эЗэтэ:юgюKюQю?ю RюFюLю[юmюgюћюЧюФюкю 7ятю Vя]яxяџяжя z3L 3Ў 3® 3¬ 3В 3ћ 3b 3аяoя8яую¶ю“ю{ю–юЖюшю Mяmя¶яЈя®яфя ђ3t 3± 3в ft4ъ f~4\ 48"4 {4э 3б 3Я 3Т 3а 3с fy4Y 4o 4_ 4P 4c 4^ 4U gЏ4ы 3ч 3Щ 3Б 3› 3ђ 3С 3Ы 3г fh4ъ figs4ь fj47 g€gr4д 3Ѕ 3ї 3¦ 3“ 3i 3K 3Y 3H f‰f‡f†f•3: 3n 3Є 3† 3‹ 3h 36 3Q fp3сяшяЧяСя—яyя}я›я»яМяЪяЭяъяхяыя zfzfl3ЪяІяuя;я Hя 9яХюІюЛюПюлю Rяcя‹яЄяИя»яЬя h3уя j3пяія~яMя IяхюМю•юsю^юeю’ю­юНювюмюяю \яFяPяGя:я bя =яъю ?я \я?я MяйюЄю–юЛю ;я@я~я‘я¬ядяЪяая m3щяйяМяћяoяVяHя?яJяIя^яЃя‚яzяpя~я‘яџяєяєяЦяЦяЁяџяњя™я“яpяkяdяhяЂяЏяїя nf†37 3d 3„ 3љ 3 3‹ 3† 3y 3^ 3L 3Q 3T 3B 3F 3F 3; 38 f–3H 3l 3” 3У 3Я 3е fh4п 3Ю 3О 3і 3“ 3f 39 36 3&gt; f”f’f–3M 3f 3t 3ќ 3¤ 3Ґ 3Є 3ќ 3Ё 3і 3­ 3› 3Њ 3g 3W 3= fzfl3тяця!3*я hfmf‡3C 3\ 3j 3\ 3= f•fz3бяВяЅя я”я}яnя|я‡я™я©яїяБяБяНявяъя qfpf5"3ляЧяЗя№яЇяЋяvяrяzя‘я¦я®яґяёяєя№яҐяљя‡яpяyяjяbя_яSяOяCя?яFяPя^яvяЃя яІя¶яДяЛяОя·я«яўя–яћяя¦я­я¬я©я¦я¬яљяљяџя•я“я›яћя яҐя§я¦яўя›я‚я‰я™я™я®яєяКядяняхяъя hfnftfЌf’f”f”33 ff’35 38 35 fЌfsfh3тяпяъяьящяхяфячящя gfnfuf|fЃf~fxfgfqfufrfsfi3чянядябяЯяЩякядяЦязяиякящящя kf€f„f{f„f}fvfxfsf="3шясязяЩяЪяЮяХяМяТяПяБяјяАяЅяѕяµя«я¦яЁя«яЇяІяµяЇяія©я±я§яФя</t>
  </si>
  <si>
    <t>RI*FК ]!3WAVEfmt †C"3 gfgfw^!3 UV!3 hfv3data¦ ]!3*я!3*я gfhf5"3 i3ыя!3 g3*я lfn3ья l3*ящяэя g3щя v3оя {3фяШяУя |3гяэя …f†fw3E 3ЖябяВя ђf‰f‡3юя z3хяшя6 3вящя ‡fjfq3гяКяняZ 3u f4"3 k3Ѓя­я9 f†3ЯяФясяЂяKяСя™ f—3ЛякябяАяКя!3 tf„f‘3E fЉfx3@ 3U 3пяИяыяJяLя Tя^ябя Љ3wя r3г 3O 3Ля yft3ЌяКяЋяТяМя IяТя“ 3ќя4 3ѕяk 3n fcя&lt; 3yя3 gЃ3T fx3КяРюѓя\я p4єя ]я” 4О 3&gt;яОяяќяЛяO 3ЛятяЛяЧяЯ fhfHя 3Ья p3цяЂ 33 3ряуюЅя uf{fђ3@ f8я “3РяЏяЮя” 4Щяr 3ея qg]яsыaяё fx4Tя9 fYя| fzgЌ6O 4Gъ= 4љ 56 4Тыўя№ hk3А 3@ 4; 6±*эы&lt;юЙ 6с 6I 3у 4· 5’ fYя @я€яџяA 6•яѕюy 3дю XэЇ fy6б 5ј 3ь 3l gIя€ь¦ыХьфю5 4‡ 3О fthu4є 4ќэљьZьтэs 3U 5Ћ 6‡яpяaя• 4l"3їэЎэ€э\я…яЅю_яЬ 4¤ 5н 4џя3 f7юІэAяЁюXю:ю¤ 3© 4” g;яGяLя5!3 4] 4г 3; 3= 3“ 3cя;я6яA fl3ЪяюяyяџяЖяря y3Ф 3› 3l 3у 3¤ f…3mю 8ю Uюћю ЏfЏ3gяж 3и gq3°юДюІяаю[ю BюЧ 3&lt; fKяЈя] 3Рю—яј 3в f†fWяДя ‹fCя“яжю„ 4ж 4EяaяЎяЗяyя¤ 3@ 3щяЌя YяІячяї 3б 3Ґ 3s 3E 3\яІюBяЪ 3¤ 37 fFя™яvя¦я5 3Ў f†3U 3M f}3К 3ё 3“я Ћ35 3Њя eя`яџя&gt;яК 3­ 3Ёяq 3e 3ѕ 3{ 3« 3ѓя6ямя6 3­яЂящя^ 3T 3kя yf‡3Y 3џ f‡3е 3l f6яlяАяряЯ 3± 3z 3Х 3Z f9яF 3чя Kя­яч 3Ѓ 3И 3­ 3u 3ЯяJ 3B 3P fh3Ћ fq3fя9яWяјяћ!3 4х 3Л 3ѓ 3‚яE 3Ўя я ]я —65 3эъ_ m^!3ш Ђ5l ;ќх| 5 Gfоєф …FЖяЦй hDљ 6jцJю †CWц4рТ AЖ 98 6Р 4Ру eыђъ n5— 7R &lt;Ояџ k‰jSцЦчZ 6ѓы p3В ?П 9Ўуъю=э·щИ*ы 88 5В hђ6S h4ьњьvщW 3П 8§ 7Ъ 3ѓ 3; h^ы; 3T 8oьпя };rяяF 9ъ 3ХщОю5 4іь Pюx 3Ґ hlih3ґщеюy 4Љ k–5l 7¬юъьмыnю Mю9 fђjYэ Ђ5›я ’:?ь OшДь Sю whx3Jя¤эя 7Ґ nTюSэШщж 3Э 3ё 4€ 4гы›эЎ 8­ fRэН 9Bыcь&gt; 6J 8Rъ ‚3Ґы: ;Mьє 5°яi 68ш 5&lt; 5д 5жъ}я» 4їяd 6оь Pы |4Q 7ґыл gz5Wю ђ3э 3Dь –9Цы} f”4°ьь^ю m4Тэ p4=*ящІю° gЊ5‹ 3p 3„ h[юЩ h]ы~эeщ”яьэся h4ЅяУяB 94эї 5lъ&gt; 5№ 3ѕы^ьцэ 3щ·ъЋ AЁ 8qэ —4Ч 3ЛчRьc 6}яLьј 3y 3†ьf 9І &lt;лэџ f†7Ёцґю{ f•f|4d fu6K g=э Yь “kq3ѕ 3C ;Иь khCщў fLщ h9µя Jю” :р 3Ую p4у 4&lt;э W*ы 5Wюг 4~я zjSь5 8ВяХяґ 5ч 3Џя’ 4‘эыэ юІ j&lt;юНяSяБ 5Я 3‰ 7ґ 3=ю Nя ‚97юЪюТъ‚ 3МяИ 3k 3ґюm fif†fђ6‡ь Ђ8±юo kBъ }4уьыяЩяРю 5Њэ™ 6–яЖэ ‚5Aыo :яъ o3¤ц`я 5e k—8Ђэ¤ 3†щ3 fw:эчйш €4Ю 7©см 3ђ 7nъд &gt;Р lAя©ч‹ 6‘ @mре reшs 4x 4¬ъV 6Дхї =J 7Eя;ы3эA hq5› o6щAыСщыщэю± 8!: 5щ‹ 5°чФ 6ѓъS 46чўэ ton8Ь 6™эhщ dэч 5LяЖюњю ”4N 6™э }4©э [я= 64 7Yы Lх° 7бьJ f‹9ќяOьWь¬ o„fGч …@iсО 9ўц —D;уЃ =@щС C€фе ;Ю 7BяTц }6яэ AшЬ A¶я~ 7и 8 7bфtы: :’я`э Pяp f’h}8Ф 7Н 4фэRщТъr ;вы •=L 8a 5Іюґ 7УыръfъAэЮ ;M 5Ѕы ‰8ѕ 99э Nя_ 7Ћ 38юr 7ўюmяВю [эjэ Aы Lя ‰5µ koh–;m :•э ?э _ь9ь8я ‘4Г 3€ 7† j;яѓ 4ё 3b 3nь‡эюcь— 79*я 3¦ 5W 7‡ jygZэ Њ4Ь 4cэЈьќю•ъчяn gЂi‡3l 6К g`юґя @яjюЫяЙэq 5B 4аюr 7З 8“яnэ \э`ъ siy7­ fQю©я»ы№яр 6·ь|э i;Ыы¶ы 8ю Ќ5Ц pPъ:ьд &lt;Л iYмеоС 9…о &gt;ы№Ц …5s =u 5ЊмMуЏ M‡эецЇ DЕщ =ч UЪ =хJьы“б&lt;и© ;=зЭ 9Y iWЪ„щЏуяЮа»ч^ 5DРZф :у s;ћсµнaу „3sп PаВшҐъВжРо_ 3”юЧмМдґыw =dг@цуп}е ]цLиън­фнфMш z8Л 6UлAЩGлdЭ~б 6ц [ж ес BЁк Uб [у Yп&gt; ?dф 6шTц ]мѓр^лrяVтМ ;nь\ь№ 7Лпў 5Жй 6ЫZп :эfЮfъ«жlеЂч Iч TбLхСа 9у Wмгшийсд?дКс Sэv 58н Nт“пфаNв eЮдш PрґЩМйАх &lt;Ьzб BюT 7Qшюеќж Tн ?з?г Pп Rы[сДш Hу«й cфЉжОт 4к 6ьCю 8пќй€к 8мXюїц ЯНх•в›м\йЇо^к KнЉо \кCаVй»утЬ]еЊгИрєр Nж]Ьмрдм LчэжГЭ[Щ®Ы№нњтjф“с›П·зIл«л AзOт AпЇРќЬђф«т 5уђа \р Fь“йpдЄефЧ9вXяАбTаЙж 7лvоO 37о [шар RЯАЪЃзCйбцИхZй]ц‘е ^сЉйзЭ6ж 9еdш Jг :й dцэщёрlфQЪ Mйв}нMнЌмЂоЉр Kиґм AрЙюКж 4йесфг‹л`фџбщнтб†с‚цќвDпјкВъЃЭqш[н8л©Я 6о ^х &lt;к sg^н Fи ?у¤ЬBч XуTоЩпОЭ‘ыбфЄщ‚и†иЄоИчЋлUе Kе SиQэЯъЪэDщ жЕсЩд `э &gt;о·зњцq*увUжNыця Iл_уBи¶ч§мQнрхr g\ъDлzз•с [тФп№й &gt;шhйгц 3щ[фNэwмеъ SщіуLр PЮ”щSк}ок fRаПщЄсuн k=Gсљо Hуjу:ш{чNжшржхґ 3» 3хи 4IиsмFюэлOщ‘уJв \ъџцёщoяУи9мИ 4пкЎм?уlыЃу 9д @ф x3°тАш ?ы: mUт aлзжEрЫш Sы w3Єч~хmтхтSоxьkдМыФн JшUчґиYщ›кb 6к ?^е:пЪпрі ;Цъ¬ш Rщ Lл FйP 4VтэчZыzгCюЩэ ѓ5\цфр`уPу }gCм9ыЦр° 4© 3Гр шЎоmщВуyуS 3vшџхХш`эIя dы·цЊь‘рЪпбциь[ 4ЌэТь№ювч Kфoугту 5AтТыoы Xсѕ h_эНц &gt;ш 5яіщтуя gXфjый 6Хсщ± 3ЫыЅ 6Mф Pф¬ 5RцРцУюDч¶юb 9¦хkь…сл 5x 5ЙыP h_сњх™ 6PщО 4јэ 3ш™ is5KуПщ« 6иэ5ш Dьp fx4¬ n=уўфР 6Ћъ:ъ• h[ъ v5T =5я„ы»я|ш }6hчны “o`ъc 69эъ gWэd 8ѕщіъ»я ?эeщм f—6Ъ 9r 3Г fz5^ 3Эхм 5ћ g_юз :fюђ gf]яЅюП 3’ 4ПэС 6&gt;я ”39 :xя ‡5ОцІ :ќ 69яёь PюХ 6V gђjmjt8ю 4kяЩясьуэ mnЏ3т 7Ц 8… ;љ 5ю 59я ^э j=ЕыV 4Ѓ 3»ш v&lt;Ў 8Тюq :л 8ж 7љ fMюQэ¤ m‚k‘9і 5\ 5s 6С fr7: g}ltkSщч 5r :е 6§ 6D 5ѕ ?Ж 3иэќ gr4M kѓj‹jЋ:ъэ~ю •7¶ =ѕ 6¦ 7А 3Њ :? jvi?яJюf ;U 9E l„3®яu 9щ ;И 4м 7У 4у i}4є 9Є ;Ю 9Ѕ j‚5Ю 6F 3t 8T 6я 4a 6P :} 6‘ =Р 8а iu9; 7Q 9Їяэ 8K 7N 6ќ 6J 8с 7ы 6с 8ш 4Ь hs8Љ 8f i‹9s 88 6№ 9| 5љ :ќ ;s 4x 6Е 6Ъ &lt;м kt9~ю” 5ѓ o€:¬ 5Щ 7џ ;d 8z 6‚ 6а 5e 9‚ 5Я 9я 4u 6° &lt;ы 7E i•&lt;k 4w jhjk9† 8э 7Ї 7R :s 9› &lt;\ 9µ!8 7Q 6f ;Ж jk7л 7Ђя u8Н :n n‚kv6» :` ;Њ 5ч 7н 7&lt; 7й 8F 8‹ :Ѕ 66 6ь :Ы ;u &lt;љ i‡4™ 7§ m}8Ћ!9 ;T 8E lk;J 7® 7f ;x 5L :­ 9ђ 4І 7Л 8‚ l‡&lt;Њ 9€ 7p 6Э gslp:Ё 86 8ш ;Є 7¦ 8Ч 7Я :а 8n ;ё 9Л f’;ш g—9» ;r 7Ѓ 8o l€:o m“8Ў 9d ;i 5м 9O 9t 7‹ 7Ё 8y pz:Т ks;: :н 3і 4‰ ;H ;S iu7Т 7ј k‚;A =; 8L l‡9J 7– 6U i?в 8з 9µ kЃ&lt;` 9` kq;l 6ц 4ј 7Ґ ; lvk{6Х oЌ;њ mЃ9­ 7X 7к 8E 7T :Џ 9® js9В 8ъ :s ;і 9Ь iЊ7„ 9z 7о :ј 9Ђ 9щ n•9њ 8т 9± 9« 8С :С 7o 4М kg94 :e k…8Ћ :І 7^ 9&lt; :P :ц 9Ш 7ъ kЊ9З jz8‘ 8x 9Ћ &gt;† :F ly8… 8B 8а 4} 9G &lt;» 9“ 6N j~;Ф &gt;Љ nw8— kg9Ї 8Х g}6С 8Ѓ :q :O :? 9l &lt;c 5У j†9\ :D 9C 7~ m„9| :W 8ў :ґ &lt;А 8D :џ 7^ 9Z j~8~ 9ґ 9… mzlg7ї 8z ;І ;d ;ж jЉhѓ:D 9Љ j&lt;f 7Ђ :х ls8№ :в 8ё 9и 97 9&lt; 9Ґ 7j jj{l~:u =m &lt;z 7ј 7ј 9† :P 9я 9Ч 7е 6§ 8Ж 6ю ;л ;ў ;k ;є i”j‰7b 9‚ mђ;Ђ jѓ7» mЏ&lt;e 8Ц 9ё &lt;H 9Ч 6d 7D 7І 9Y 93 :C 9Ђ l‚9¬ :ш 9О 9  ;э l…8O 7} 8К 7Ш 9‘ :q :i k‡:щ 6б 8_ l•9Ч :u 8© 7њ mЃ:Y 95 9Ы 9¤ 8“ :А l„8Л 7¦ 7T 9\ ;¬ 9W 8: ;Ѓ lЃ:ь 8± 8њ 6У 9Ѓ 86 9» 7Њ 9М ;R mv:e jn9ќ 8Ј 9^ :Р 9љ 7; 7J 7U mh9† :U 9Z 9: lЌ8Р ls93 9Љ 9n 93 9\ kly8§ lm;ь 8Р 8B 8Љ 8т 8ј 86 lp9z 9 8I 9± kn9q :L 9у ji7ѓ lh9Q 9~ 8 7ф 8С 9q m“:~ kv:r 9g kЏ8Н j—9f 8° 8” m“:K 7u 8· 8Ђ ky:S l{8? kn7с 9ж m“9c 9W 8k 8р 8• kЂk…8Ё 8f 9† :Ч k‡8C 8© 9Ж 8ы k—:I 8¶ 9Ы 8Е 7Ї 9м 8± :і 9Y 8Ќ 7Ц 9\ 9љ 8– kp8­ 8  7Ь 8k 9и l|9Ѓ 9o 8b 8† 8№ 9P 9P lh8Љ 8» 8N 9X :C :о 9ћ k9Ф 6т 7| 8u :е 8O 9й 8a :T 93 8O 9b 8s 8• 8о 7б 8† ljl†8ѓ 8h 9K m†:ћ 8з 8] 8н 8Ѕ k{9m 8ќ 8O 9• 9Щ 9ѕ 9й 8› 9Щ 7Ъ 9ш 8ч 7о 7К 7I 9Ё 9¦ 8‰ 9г 9P 8Н 8щ 8g 8q 8в kq8p 9L 9© 96 9™ 9&lt; 8o 8Џ 9@ 8s 8­ 9Н lm8&lt; 8І 98 9Х 8Y 8П 8ї 8€ 9ў 9є 8ч 7c jt:ё 9= 8g k–kЋl‡9Џ 9ё 8Ж kЌ8ц 7ш 8b 8F 9Й 9У 8{ 9  8© 8‹ kЋ9• k{8Љ 8П 8г kf9С j”:Ч 9Б 8s 8{ 8y 8L 8F 8“ 8!:9 9ќ 9ґ 8г 7В 8в 8q 8‘ 8‘ 8Ы 8Ј jz9­ 8_ 9I 8b 9H 9[ k”9К 8Щ khlv8Я 7 8ґ 8д 8“ 9J 9ё 8Z l|8г kn9Ш 7К 8М 8~ 8h km9­ 8О 8r 9ь 8К 8h k•8– 8y k‹8V 8Б 8’ 8Ћ lu9] 8€ 8H 9y 8S 8Д 7і 7ы jfkflx9j 8Ґ kj9м 8A 8з 8Ђ 7џ 7p 7ў 8Ю 8| 8{ 8P!8 9ъ 8G 8? 8й 7Ў jђko83 k‡9ь 7‰ 8Щ 8V 9Ы 8Б 7ј jt8Э 8№ kЉ83"8я 7C 8з k—lv9b 8V 8Л 8› 8® 7ё 7&lt; 8З 8H 9п k‡8d k‰9т 7э kr8› 7F 8Ў klq9e 8o 8v 8Х 8J 8p kqkz8A 9Ё 88 k‰8} 8† 9ъ 8‡ 8b 8u 7Y 8Y 9€ 8И kp8X 8· 8B 88 8Р 8ј kЊ9} k8М 7Ы 7¦ 8E 9њ 8Ф 8| 8; 8l 8э 7Б k~8› k„99 ku8к 7@ 94 9c 8о jokЃ8] 8X 8J 8t 8M 8y 8S 8^ 8у 8e 8Щ 7s kh8d 8N 8‚ 8M 8Ј 8  8м j‡8ц 7Љ 8Y 8ч j8Џ 8ђ 8У 7? 8В 8] 8р 7a 8® 8T 8ч 73 8њ kf8п 7Г 7т jЋ8° 8и k‰8д 7w 8} 8л 7[ 8‰ 8э 7T 8† 7k 8з 7\ 8ј 8Ф 7и 7N 8@ 8N 8Ґ 7ї 7^ 8џ 8Я jЌji9Ы jl8u 8s 8Ј 7и 7Ч 8ѓ 8: 7ї 7a 8в 7а 7h k„9j 8„ 7н 7\ 8Щ 7О 7&gt; 89 k‰8ђ k“8Г 7Ы 7€ kr8P k•kf8‡ 7&lt; 75 8у kw9Џ 8ю 7ќ 7Ј 7п 7? 8џ 8Ґ 7ј j†8K 8Б 8g k‹kz8г 7Ч 7К 7Ё 7` 8Ј k}8В 7я 7v 8= 8Я j–8R 8ч jo8й jѓ8Ы 7Ш 7: kЂ8‚ 8· 7Ц 7f 8э 7љ 8Ф 7I 7Љ j“kukskh8ќ 8H k|k‰8З 7д 7с 7© 7; k{86 kЋ8И 7G 8Ѕ kt8О 7„ 7‹ jq86 8К 7е 7I 8Э jm8Ѓ 8] kЃ8ч 7‡ 7ў 7р ju8h 8E 8h 8§ 7b 7« 7  j–k}k8U 8г 7ј 7T 7? 7Т 7Ъ 7K 8‡ 85 kf8ј 7Ъ 7в 7в 7– 7Ј 7u j}7€ 7Й 7О 7е 7Ј 7о 7› 7љ jK"7ґ 6И ip7в 6p 7ѓ jq7&lt; jЋ7а 7з 7О 7ѓ 7{ 7r 7м 6± irjЃjѓ7в 6j 7x 7s 7й 6Z 7ј 7Ј 7• 7K j‘7Щ 6ё 6о 6н ipj‚j”jђ7к 6у 6_ 7х 6О 6ь i—76 j‚jq7C 7о i‚7ъ 6і 6ж 6э 6ґ 6ъ 6ю iЃjz7с i|7E 7и 6ш 6Ш 6д 6!7 qjq7E 7Є 6С 6Њ 6З 6з 6з 6У 6| imj‰7М 6Е 6ж ik7Ю 6Ь 6У 6Т 6Ћ 6Д 6с 6Э 6» ix7= j…7S jv7° ip7ъ 7f 8П 4i ho7d 7® 6о 5э 7Е 7^ 6Є 8‡ 7” gЂ6k hxgl7J 8н 4ћ 5Ў 7м 5Ї 7h 9і 7Б 6л 7f iv5 6‰ i‘6Z 7n ip5Q 7s 8µ 6Ц 6u 7› 6ъ 5ѕ ijz7• 7В 6У 6— 7ц 5Ў 5„ 6  7и 5m iЂ8| 65 63 9њ 6Z hѓk–jЏ5O jxk‡i‚iz6} 5т 6„ 7G 6&lt; 7Ш jo6e 6&lt; 8Щ 6m 6в 7Z io5ќ 6з 6ш 5Џ 6‰ jsjЂ7т 6ґ 6§ 6Џ 6` iѓ75 7™ 6› 6Щ 7Q 7ѕ 6з 6Т 6Љ 5ч 6§"7K 7!8К iЃ7ь 6t 6&lt; iz7M 6З 6‹ 6П ih7Е 7C j~8!7 Љ7п 5› iЏ6т 6J 6r 7ќ 6г 6є 5U jt6M j…6х 6Х 5} 7Ф 5g jЊ65 8  5= :›юп 7D 7и 7щяі kcцК AТу› NIшГф‘ 9г DЗъµ Hw ;Зч–н›р —‰r@ѓ 7m Fьбч =g M—б k=Џ Spолчµ uo4‰ &gt;i 3CсWьў E©л4 :Й 7ъзќя uQ•Ъ —Baф9 6ыф ѓ8€х 9св 3Жнѕэ Bхcзџ &lt;вяох:с¬ N–Щµ 7Fиz 5—оОвrЮJ 8ћт¶ &gt;‰ &lt;еоSзЯьнфџ ?fф @ХЋх ’MIеhсІсjц8Юњ Hѕз 9шs Xsаѕъ ZыЕЪЅ tTр 8Хy :°цxйз &lt;ъг UэWю v@Gй 7мЇрcе Yп‘ЮЉкїяЭып Ћ9dшx gPц«вЯюЧђС™чBе 9ш° EѕкЃсђП vj[н5ЩшиХч Uй§оѓалос 4фУ QЦ @шrпЁ 3ЛъxМ|ЬпгЦцњЯСбЁьBюмуыТ§г ъ~ЮЎлWвїЯ =гѕ f&gt;фје HЫэШјъ \Рэд Gфшжvп’и3фђ sBЬКН CиўЧюЦ4ЫЊйIлЄеQэ Љ5цеGпСфЈв =ш @П®хЩунЪ5ч Zц8уPх…х:рґеюхЯЇвљеме} ?Jш Aсшь’ъlл·кча&gt;б–юЪ Jдо NуЖЮy BњфдЧ‡ †z3еШКй „GPд &gt;кu B[ 8ЊаG 6іп8нЉ ?єнкшљ =MМіфЬ F›э»ЯБ BMд6э VчЎщУ 3П kfvdеЎсG |?ю ~DЙци G5еъ 7›п aЯЇ tEо” Lѓ =„ъПк™п” ?Nсwъе PP J@ЫWъ† ЉNИЖ @Л zhlBж Iл eрѕдъ R‡б” FВ ?чођяз 4^ fFЮ| EЃ 9Cжf 9AбV Aыч_лZ PА 75яЅйх CШиљжrпF q6шЗ &gt;с OА 8¦о‡ъ®ш–и Oе’э= 6ЖъШ 4Ѓ 4Ъю‘юр &lt;B Aюя? 3ќж _о;с Cрeэ gwЏ@з 6Њ ?•ф{пsтєхUюџц j&gt;яь«ю x@ЗфF 5H 8е 9« 3Rьµщыу†ы IфtшЏ Hг Cgфlь q6—э 4ьtч?ц u9y Aы f‡gcъЅцк 6’эA 6… 5t 5ъ hVф g7 я SяЙ 4Ж 9Х ku6DяЕцgХf cю[ 5щяЭ 3*ц ѓFФоЌз› OПЬЈбцоr Oбэ›ыl 5· @љч CЛб 99фІу lih3Т &lt;mтІ E_ 4Zзи I„ек 7nф SПqм —6_*Я {Rя€ 7ф 67бадњЩ &gt;Л™ 9z –?у‘ Vи9JхыЮыбЈг°ЦPюK JVЦШ DЁ HФ _ћ 6&gt;нJ NНщЉЦ§йфэыл 9Ыі 3T 7Ібі G}мW F™ _фъ hQ»юЯи¤двЬVШ 8Ю]бзш l&lt;C J™ Bћ &lt;q KJ KЕ iDЯйЩ [ХUЯЏу†бОл‹ p|6Ь Kќ Ttя ^ш·Ю MЦИШOв{ы© ‡‚X\ Oь 5ЌЭ \в?и Nт­тDц {@г 7•ыЈ @К &lt;БеEеZх QгOэАъ bтr =V 8‡ &lt;vш Kнmоwм`и§ vnEiцOщ Oо’ :№м Jшгп \эаъэ qu7BяAч JфлчнНгн© 7Љ l4тNфЇ 6’хWяQ 36ъЙюёжЎЧ…ж 4рижґюІеeн7ъp ;8 A“ BЯюШсЏэiпµг7й*гШдИбФфЃ :– :С =jщS FjнQгЁтѕЯ ]ь§фtкL 4Zфзмpч ‰j“g?црпжы^ 4=р _сЫ 5ИеҐЮ8с &gt;нєэиэ™эAшuдm 3Ъ 5Ґ lHэ±ш _ц Dн3м PгHйv AOпч :yф]ч Pч?ъ Dъмъ bы†щњнкп Lх Dж_уЩ mTэ5юR =\рAъzс :рВх:удп~ 5mыБэҐю[цУч*ъљъ 5ы cн |3ємЫшЪъzы Hшцчь oaт ]шJщ¶нИпє 8ќ 7;шWч VьиьЊэЭшmыї f?явчГъ] 7jчAэЊнЧхшхo 3® 3® =Ш 9з iLъЫшЂпТх·чuлќч ]ю4 Dm 9SцДщґыnьОчМщЂсаяЎэЮ 99 5d 7€ч Oо Dщµ*кыефь 6a 5Ѓ 6p 7У 3°у Qоґщ –5Фщ±ц ~3њ :7ьёэМ =fч `щсъ« 4ПфЛсёяа 9Fш§юQ 6tс \еbьф 3?ч=щ ‡&gt;: 7kэ Gя–ьAэ 4т•ь±я“ы `ця =9цьыъь э ?ш·ъOхЊцHця 5Ч 9k =] ;Љ 4ъ 5ОйЛу 3лфрЋь№ьГ &lt;Е 9‘ @N 6№ц `ф HуЂнsтПэШ ml4© 77 3Cэwэм 5н 5щъщыkярјчр 6E 3GяY 3z 4Йъsхgэ6 gSь¬я r3чюОш Wь aъjюЅ 4Џ 9мюп 3@ 7PчМюшь aь‹ыѕэ| 8ф 7Љы ѓ33эмш• 3Xщ9ью ‹4Ю :ў 5? p?х”ь!7”щцьт fѓ7ь 3хы© 3Ъя Љ7Еэu kYч Cэ§ hiQя¤юоэ Rяnхр g8яT 5r 7Ў &gt;V &lt;TъЌ :ЅюСю eь?щhя7 4№ 6Я k‹4dьыяAьkчъь†ю o7п 3Я 8д =Ш ij6Льhя 3яйч Tы &gt;я¶ i“i„&lt;† 7ў mv6ґ 5сю€эџш€ьXюj 3@ ?Э k‡6C jЋ53ъOюію 5© 5я g}5R j‡6€эЄюњ 3o 4Ї iЉ7­ 8S iWю8 ;¤ gЃ6ѓ 4Йю« 5=ыY 5м iђ6z 6П 3} 9cэA h“8z 8ѓюс 4_ lh9p 7ш 9Q 8µюЁэDя p4Y 6; 89 9 lqm5я ‚3Ґюї 3P 7Э!= 7Ћ kdю}яС 6“юц lf8‡ :ь 5Ё 8Ж 9Yя&gt; 6¶ 4F m’i—8} 6Q 59 5^ 5: ls:l kg7Ё 6Ў 8K 4м 5Ў 7ї 3p 7Y 9Ј 6у 7І 5Љ 8ф 95 h€l3Л 9± 7x 8Y :J : 9= 4ь 6с 5Ќ 7R 8X lo:е 6‘ 6П 9“ g‡5Џ 8o 7а 6A 7ћ &gt;= lЋit&lt;я im3о 6Я 8Ђ 9г 7ќ i8а 7ѓ lg;6 6э 8я :~ 8_ 6? 8Ы 8љ 4  4Љ 7a mior9W 7L 9Ы kfmf;ъ 8х 5Ф nЊ9вюГ 5Y mq=ё 7ж l—6w nx6} :ґ 9Ю 5s :ќ :ђ ku9» j“:R :х 7„ ks9!5К 7O l7 &lt;^ 6n =¦ &lt;b p”6в 8w 8G 9s 8  f…8® 6? &lt;м 8  8U 8г :З m€:Ќ 7Ѕ 8{ 7J 7D 8= 85 &lt;¶ j{j}8ћ n•:G 9s ;А ;L :† 9_ 9¬ 65 9Ћ 9й oѓ6ў 7ю 6А ;Q 8Ж ky9¬ 7Н 8у mw;&gt; ;д 9® 83 6N 9П h•&lt;л 9ѕ 9ф l–;У 8; 8S 93 8“ 9b &lt;Џ 5z 7{ 6D m‡mh9M &lt;U n–;Ё 9f!: 8Ј 6~ 8¦ ;і 7ж 8B os&lt;_ :л 7S :з :E 7Ђ 78 &lt;І 8‡ 9D 9ф 9@ lu95 :E l’7Х 7ъ 9» m†:y :П 8ц ;‚ 9Ф 9v 9~ :Ц 9N 7L :“ &lt;u 9А ;j 7y 9Ж 7‚ 8В :Ћ ngpg=‰ ms8Ы 4&gt; jt9G ;… &lt;P =] ;А 9j ;И 7¦ 7&lt; :р j’:G ;9 ;љ ;7 &lt;Щ 9b 9~ nv:ж l~;њ 7Т 9a :Л 9= &lt;Ў ;ь ;5 :Є :T 7ъ 8т :ќ 7у m†&lt;… ;P :Ё :• lz:ж :S ;4 9F ;і mЊ;е 9&lt; 8‘ &lt;ў &lt;6 ;| nt9Я :K 9Е :5 &lt;З &lt;Љ ;ћ lf9З i•8т 9н km&lt;Т =} =® ;Ь 9G :э 8Џ 7J 9Ђ lj:Л &lt;ј =C =R &lt;f &lt;? nЂ8L 7Ы 8З kumi; n&lt;; oq=м ;О &lt;d 7M lw7p 8ѓ mw;E =№ &lt;І ;І &lt;§ ;c 9A 9Р ko9U :ґ 9Т 9T ;• 8‚ :X ;а ;с ;o :I ;Э 9  9? 9g 9; l:ђ ;‡ =Р n;ё &lt;e :ґ k…9ѓ 9W :™ m“9† 8D :§ mz;„ =© =m o‹mt9s 8G 7_ lu:y nЉ&lt;a &lt;9 &lt;k :ѕ 9Њ k|:¤ li:k :s my;й :B ;© :± :5 :s ;ї :Г 9В :Ь :Э 8м 9k 9а";; :D &lt;„ :г lЊ:y mo9\ 9с :Ћ 9C :g 9Ђ ;: ;T m‚:К l‹:y : :І 9` :ђ ;Є ;Х 9й :н 9Б 9€ :щ 8t 9` 9М 9v 8Ћ mp;v ;ћ &lt;й :x :R 9&gt; l‹8m 8є 8‹ :ж :Ф :™ :— :J :¤ 9| 9ґ :€ :В mr9Ј 8· 8Э k:У ;Щ :Ј :г :N 8^ lЏ9ј 9ж 9о 8« 9Р 9в 9» :П 9d m‡:~ :[ 9А ltlv8A 8ж 8o mhmg;Э l}:х 9} 9° kg8» 8o 9у 9  8d lu:Й 9Ё 9€ :З 9A 9x l8c 7І 7є 8Б 9 9_ :7 :Џ lt9&gt; 9  j—kl†9E 9е 8Ј lЋ9ъ j•9Ђ 9Ѕ 9† 8x 8K 8&lt; 9­ jplђ9Ќ 8· 9к 8µ 8Ѕ 8ж 7Џ 9H 8M 8F kl8С 8Щ 8V 9X 8… 9H 9c 8q 8G kvjЋ8Ђ j9ф k•93 lЊ9e 9t 8d 7e 7Ё 7ќ 7F 8Џ 8!9 ilt9: 9› 8Ю 6· 7± 7® 7у 7З knkj8u 8€ k—kj8Ї 8ы 8ї 7G 8v 8= 7Х 7њ 7Г 7й jx8« 8K 8І kl8Ѓ 7В 7ј 7§ 7ё 7¦ 7ґ 7Щ jh8~ 8– 8M kn9Ь 7ї 76 7№ 6м 6q 7щ 7a 8^ 8T 8s kh8Ц 7w 74 7? jr7l jzkj8P 8‘ 8\ 8ї 7у 6ь i‘7n 7ѓ 7l 8д 7— j“jk7{ jt77 7є 7Ю 7ч j{8Й 7Л 6П 6Щ iЊ7{ 7щ 7ч 7ђ kђ8Я j†7Љ 6Х 6? j’7h 7` 7№ 7™ 7Щ 7± 7Е 7З 6R ji7L 6і 6; jo7c jy86 8k 7Є jm7| 6J 6\ iojђ7D 7І 7} 7Ї 7Х 6N 7о 6џ iЊ7с 6§ 6а i‰jnj—7ќ 7t 7h 7Ъ 6Й 6є 6~ 6— 6№ 6й 6ѕ 68 7ч in7€ 6Ж 6Я 6Њ 6Х 6ц 6‚ 6Ђ 6ч 6u 6_ 6У 6Ф 6Ј iwjЃj…7€ 6v i€iq6ш 5u 6О 6л 6д 6и 6О 6j 6? 6J 6J iЌi€6… 6Ї 6… 6л is7“ 6I 6b 6й 5J i”6P 6; i“6Ђ 6Џ 6љ 6q 6ј iђi“ij6ф 5т 5ц 5c 6O 6} 6i 6r ij65 6&lt; 6а hЃ6Х 5й 5ь 5Ц 5Х hЌi‹ipi‡6j 6] 6л hw6Ґ 5Ј 5µ 5® hЃ6&gt; 68 6f 6ь 5х 5­ 5Э 5ї 5О 5р 5Љ hn6И 5П hg6в 5Ь 5р 5Р 5Ы 5 5q 5м 5Л 5і 5ї hf6љ 5§ 5Н 5  5№ 5ї h…6‘ 5I 5V 5Ґ 5Љ 5Є 5ш hЉ6В 5¦ 5s h’5Y 5† 5л 5ќ 5~ 5Ј 5¬ 5– 5v 5­ 5u 5x 5t 5« 5v 5A 5q 5№ 5‡ 5~ 5љ 5ў 5љ 5S 5V 5B 5U 5w 5t 5Ї 5_ 5© 5c 5_ 5{ 5V 5V h•5i 5M 5e 5‚ hЌ5~ 5‚ 5„ 5_ h“5S hѓ5O 5g 5A 5x 5Y 54 5{ h’58 h•5; h—hfh‘5C 5K 5] 5E hѓh‹h†59 5= hЊh{5D 5&gt; 5у gyhrh”5L h’hrhyhf5ф 4ш 4р g”5: h“5Ц 4о 4Р 4А gihh—5= hђ5м 4Ы 4с 4С 4э 4у gph”5к 4м 4С 4з 4А 4С 4Р 4Б 4л 4ъ 4к 4ш 4е 4ј 4Г 4А 4¬ 4С 4µ 4¬ 4К 4Є 4г 4Ю 4Б 4ѕ 4— 4Д 4ў 4› 4§ 4® 4® 4ё 4Е 4  4‹ 4” 4ї 4¦ 4і 4І 4љ 4Ћ 4j 4• 4ћ 4t 4¦ 4і 4Ѓ 4s 4… 4‡ 4‰ 4” 4¤ 4t 4n 4Љ 4n 4i 4e 4‰ 4ѓ 4v 4e 4~ 4[ 4O 4 4~ 4X 4g 4s 4h 4W 4[ 4] 4^ 4W 4R 4a 4G 4e 4t 4d 4] 4u 4Y 4h 4U 49 4&gt; 4; 4C 4D 4V 4J 4b 4[ 4L 4W g—gЉgЃ4J 4&lt; 46 4@ 4O 4M 4F 4N 4[ 47 g45 g“gЉg—g–gђgЉ46 4? g‘4&lt; gѓg–gygЃg†gvg”gђg‘gЌ43 44 gЊg|ggw4ю fmgЊg‰g‰ggzgzgugjgu4ъ fxg|g}gvgmgЋg}gzgjgmgl4щ 3ч 3с 3ю 3ц 3!4ч 3ъ 3ф 3э 3ш!3 4ы 3ш 3о 3л 3ф 3р 3ь 3ы 3о 3в 3ж 3т 3е 3р 3р 3ж 3Э 3Э 3Ц 3Т 3Л 3е 3г 3Я 3ж 3о 3в 3Ц 3Ы 3К 3Д 3В 3А 3П 3С 3Л 3Ц 3Ф 3Т 3Р 3И 3Д 3А 3ѕ 3ј 3И 3И 3П 3Ч 3И 3Е 3· 3· 3А 3Б 3» 3ѕ 3µ 3І 3® 3Є 3© 3­ 3© 3· 3¶ 3¦ 3¤ 3њ 3  3њ 3  3ў 3Ў 3Ў 3« 3© 3Ј 3› 3љ 3™ 3– 3’ 3Ћ 3Џ 3” 3Ў 3љ 3› 3• 3• 3Ќ 3‹ 3Ѓ 3… 3ѓ 3‡ 3Њ 3ђ 3† 3Љ 3~ 3‘ 3~ 3q 3ѓ 3t 3z 3Ђ 3z 3~ 3Њ 3‰ 3Ѓ 3z 3w 3q 3w 3v 3w 3y 3w 3w 3~ 3t 3q 3z 3k 3j 3k 3o 3p 3m 3t 3t 3s 3l 3q 3g 3g 3l 3l 3k 3i 3l 3e 3f 3c 3g 3n 3g 3b 3i 3c 3^ 3X 3\ 3a 3d 3a 3a 3] 3X 3W 3[ 3Z 3X 3[ 3W 3T 3V 3X 3Y 3W 3Z 3[ 3U 3R 3P 3M 3O 3N 3Q 3O 3P 3R 3P 3P 3M 3O 3L 3H 3I 3G 3F 3G 3J 3J 3G 3H 3G 3C 3E 3C 3F 3A 3A 3F 3D 3C 3&lt; 3&gt; 3; 3= 3: 39 39 3: 3; 39 37 3: 39 37 37 35 33 35 34 33 33 33 36 35 f–fff•f‘f‘f“f’f“f‘fђfЋfЌfЊfЌfЊfЋfЊf€f‡f‰f‰f‰f‡f†f†f†f†f„f„f„f‚f‚ffЂfЂfЂfЂf~f~f}f~f}f|f{f{fzfxfyfxfxfwfxfwfvfufufuftfufsfqfrfrfrfqfqfqfpfnfmfmfmfmflflflfkflfjfkfjfhfifhfhfgf4"3</t>
  </si>
  <si>
    <t>RI*F°U!3WAVEfmt †C"3 gfg3Ђ&gt;"3}!3 hfv3dataЊU!3 x3ья Ђ3йя j3ЬяэяАя {f‹3f fgfЂfifx3¶ядя pf•3шя q36 3\ 3вяЩяїяВя›я®я°яЌя7яЩяЪ 3Н f‚3‹ fz4њ 38 3Щ 3№ 4„ 4ђ 37 4‡ 3Юяµяb gђ5Ћ h–5° 4i 4є f3® f”gz5ч hf6Њ 6« j•5з 3УяД 3dя a*яю ^юѓь Xюµ 3б fZяhя fЋ3MюеюА 3б 3Ќя –4H 6O 7[ 6w 6з 7Ќ 8е j–5¤ 5{ 5C 7· 5Ђ 7… :Б ;O 8Ф 6р 7Ј 8Р 5ж g~6ј iЊgs4ѕ 3• 4eяЙ 4ѓ 4\ 7н 7} 9z 5ђ 7q 5U 4ГяЊ 3Д 3ЈэЯь7яMяцш­цtчgф`р@рШрCлэзяй ^л†еўзРн ?рћпПнwй‰жWн:р &gt;у§ю· ;&gt; 5Aю» ;З &gt;» = =C AC &gt;= ?М ?ф Do F5 GU &gt;Z 4› i|h]ш„сиш NъЮр@п«чю*хрис?ц `ф фМыЦю Њ:G ?У m…&lt;б E± Hx Eр K° Oм M_ HТ |‚Iw Im u–=z n“ps9zьаычэЃт 5п Jш•ы Jу­р›шDщ \пvхPъјчґч Vюё : wmFи uђ=· :&gt; 9E 6{ =B GX CW =Ц ?Ў &gt;Ъ 4Ќюь  3чютюЊщ 3ъхч|тШсКъ­ьТш Wш6 4© 84я ђ5!&lt;° &gt;я 8R j’?И Av 7« 4ж 9Ё :b mm{9л 5JюPчѓ*хь’ 7D 5ЋюQ 9x 7Ть Oы[ ;d 9ИчaтДчФш =у eс cфШпjпдм Jс ]хОчpнeлсрБпВи}й `хуtпытnщЁцjр~о”ъ YюЇшючx 5 59 44ю km9у 4=ъD 4№ 9¤ 9Kш{ч TьEю4х»ые &lt;О l]ь u5e ?Ц 8^ю s3п =o q€=M rsEj Dq &gt;| n€vЋG{ &lt;° 3Щ 7e j:яѕ 3T 9° 5}ч 4нЏуђчЅпЕо ]ъ aы‚фЃс:т @шbшёъЇы† 7ц ;Ё 5UыF ;E &gt;] 8Ы 6¶ A~ &gt;В 53ял 5  9ы 6УыЈы’ 3ьЩт HхtъVц :т 9шю g}4Ђъ Fяч 5pяҐь§ gl&gt;q jcя3 7г =У nl€8а 78 &lt;j ;иэћ 83 AК l3яЏ 8^ :D 8{ 5J 8› kxgYэ4я ‡3§ 5М gЊ6Д &lt;c ;хьЌю` :: 5Лэ 4© iЏ5Ґ 6® 6Ћ 7ы 5п 8W 8  &gt;` Cp DХ 9В 9G 7± i9 C@ pЊ8ў 8® : 8G 6И 3хь|ьаыьюоэЏ 5­ 3Ыщєш·ьєрkпZх™т 5йУлЯм•й}пжхьхсфКу7уќфeь№ 7ґ 9‚ :D qЏC• C9 sw@¶ &gt;Ф A: @{ k{:9 =я i8я‰ъ aэ*ънщтчtх‹ф DтPм dм Gс ;хњц@ъМщ9чЛы Ђ4Љ gCюџэ `юею k3р 7i ;J 5gьвы RшЄыЧю‡юјяEюS 4Nэѕ 4€ 4Ѓ 3з 3d &lt;¶ @a 7Qя 4ю~ь§ц•ы} 5F 7uэъюҐыkшJъ?ы Uэш kzl]юћ 3 ;B t}@« DU IZ GX w„FB HR HЛ •DR gw7№ A™ ?; 3ЎьЗчnр VрьфЖчотBъCэ ч_ый 8h mЂ7 &gt;и ?c &gt;» Bz DЈ uЌFР {ЂFц 5h 4а AГ =tь bэ Pы тpо aфEт UобфДщТлєиRр Yц 5щ«юђ 7b 9Е 7D &lt;b =р =H @j ykGУ 9ы 9I ?е 9N fbэnчxт8очк\рCцяъ©ъ 8ф«з‹рђя 5ьОш: =@ ET A] A| ?С 5wэf lo@Ё 7¦ 3O ;М 5rцыьE gbч8чФыГу¦рZьО 4Ьыaя }5‹ 8T B« BЂ A} Ff uЏ7э 3ј 6Ђ gKя9 4щшлрЊэ h;Д 3Ешuщіу Fн ]ъЩю\уµсЄщ 9ыRоNоЪу 4оAм»рљдNкДсАнuнТт@сОнЖц Hь^уµъ•я \цaюe 3ИчОо@цHь  gЋno4DмHйЫу{ш!8I oeшxхяРщ 9ъЪ &lt;р lEю› 5у qЃ;} lЋni=e DР EЙ =’ :h 8Єыѕ 4? @p iUюйя? 3!5і &lt;O =Щ @¤ Cґ 8ї 7Й Fs Mј CЁ &gt;ё &gt;Юю‹э3 6«х™фHшTц4фьхЃиУзХцvэqхщье g5ю Ѓ;L ?¶ nhDС =Э 3? &gt;Љ Gў DВ t„BЂ ;щ B? u…wr…H… wѓ&lt;М @Є Gљ Aќ &gt;э &gt;e ?д 4эщyъXу `у›ч Rъ s6Oэ @цqр @ф‡ч‹ iuj[я¤ъaэП 3@ Be oeэµ :Њ 9Тя|ьWъОш· f…:¤ 7DюИъЫщ 7юЩэчэ bяьэ Oц ]пyмFйZб bж bЬ MФ CЭые eи ^иьгFм =ф[с«цЏыЗфUц o= CЄ 8» 9~ 8иы [ь‚ 5п mCюr h]ь Sч ^ям hOюАу Qс‰ыoю =с…юЖ 6Џэ AьE &lt;с DП CЅ Ik Nj Kз O‘ HN Nњ S{ @k 7› 9ж 4­ iXю{рБй6нРуЈг›е€й6пйы Iь ^ьЕ 7нх¦ьB u’@л =ч 8z n}E5 &gt;Щ qwC” &gt;“ uhsѓ:X =‹ &lt;8 v‡oѓG® z—5@ h“&lt;z 9љ 7x 3З B› CИ 9H 3 ы OяЈ 9G 3Мъ Zюµю Ђ7© fGчFч&gt;ъ 4щЇч ^ь4ь@щ Fтотbц±щ “4ђ =_ ?— sw?N =r pr;ё &lt;a 5X 4В ;© &lt;к 5Zш ;ю—щјъjяЌрмй{рТшфэ5щий Rн &gt;р« 3N my;х s“5ФрАх± 3« :  o|mIщ†щЌ 7е &lt;x ?’ 8Гш Vю Њlr~vOr Dџя„хЂ 7а ;‘ BИ GЄ C  9д ; uf&gt;Ўш¤йМй·чс 7Б =ѕ p{9Qь3сЮщ r7Ћ 4Ў 7Ўш:т±ьню;я&lt; jl=ия QыCяї 4оя DщYпUсщъБ ;&gt; :gэЎъ@ы¤ьхЖц 6цЈујрВъѕя¶ч’тIкФмОш6 4§удрюп Nщ…э HяБ 4pцTп aо DэV o†5YхeцѓшєьT 7] nQэ„цЗш9р Pуі 6:яBщіш Wыbя» 8ц ;э 7eю AщYщчюZ 6йъYэ “7&gt; 3М =^ ;Ѕэxц{ъ® 9ђ 9r 8л qokYюS 5!74 &lt;Д ;• 6ЫцАш‚ 4ХяB 3Y 6„ 6¤ &gt;¬ 9ч jЋju5EыЄч s=^ Dq CF 5тю f8x 7А k€=5 Gё n‡5ЊяЬ 8ч qЃy”Fь 7] 6µ 9} ;i h7ьj 3я 8€ kj6С 4јщ†ц3 g‰8Ѓ 3„ 6С gЋkn@n EЏ &gt;З &lt;ѓ =ґ &gt;!?› p–?ѓ xEЅ mЌ7@ ;A F‡ FV @у lXя ђ4™ mu=б ;h 8’яТч’фхЛп6уфтtчѕухоБсLы±яВфлпГфaыЏь¬щnы 9э4 9O =ђ 9€ 5VяЫ 4&lt; jaэ Eь ZэЮщ Sш&lt; 5y :“ 5iщwцDцhп8хk 3›ьЩчЕц|ч FтБчхш [ъЖх Mф IэЇ 7Р :Х 8f lЃh\я n:Э 8r 8Њ ;§ oq@ц or=и p’5ЄшmчAщ JюU 8П &lt;Л @X 7ТтvмЦо„хШы q&lt;c :УыњуOчDх ZчІэ €8&gt;эeс]ыС r&lt;щ &lt;_ xqBB uxsF‘ AН Cх t|D 8B 7\ &lt;а &lt;vю?ю h6µэH 3Aю ‘6§ь¤хАпјф‘чзщ ‚;У 6gш\кКмьхПь 6єяn 4Сьђц¶ыW 6z ki4¶ъВхsы –3Ћ 3dыrу\п7шN 4CьЎюМ 6µюPуцхУ 4a &lt;‚ 6‡ш“ьS 5Ћ ;Т ?ї oTэр Pу6ч Mъйсяё 4¬хЋрўмqт«пЄщB 4AъEшбцж 37я—ьVп Gиjс Mх&lt;щTщаъ Rюь 8э 6ЗшСшлъ aщчъь 7w 9X 8т 3W 3І 5ц 3Х :` kyoru‚?Т h†6Ў 7ќюb 7ѕ BЫ &gt;ы ?џ @І ?» BЁ pЊ:Ќ 8† =Ђ =Р :Џ 9LюjюЫ 7ї :? 8н 8” 6Ќ lz?= 8ґ 7®яГ 4|эё 8Y DҐ ;¬ &gt;» 7ћ 9Н n”?Ц F  q‹=… Bв ; xЂK“ EЬ B®!6ыфч t5х :Э ;є =¤языУэЩ h‰lw5жюІэ `щ8х =х¤тѓпЙфKыСыoчЂциъaяuя 7ыN 3¦эЈьиы „4Gъ_ц Bю=ю“эYъђяТьSщгэРф NрАцВу _ркт*цЇфЏчxш”с№рХт ?ш Cыкщїэ‡ш[цУх Lы  6µ lv9л 4‘ 4W 5b 4@ 6_ &gt;Х qx7d 3’ 3P 5„ 8| 9 6ючdч 7ы ]ю kp9y 4иы 3щфцMщюыюкхЎу JюHэ…фQхCщїыk 5&lt;юYэчяQэ­ 5n 6я =я :d k6ю=яV 4л jx:• 4BьДэц h•56 8B 6t 6Ќ fft4д ;с Ea zn=j 9Њ 7Й :« nЉoђ=о lzly;i 9n 5Ћ ieэ№ъ 4чЇюЃ =Љ ?9 h_ь TыMс `сIш“э ‹6л 37эгш “3‹юд*ьу5л и·пyы‚ъљы6юАьТшСъК 5ф t—?и 5RъЛюK nЂ;Ѕ 7Фяґяw 5з 4» &lt;К p†6I l…g{inmЃ:С f9щЌоRф Vэџ :D 6шчаь Oэ Fы¤э dяФ 9UыDоЊл NпOцkщn 3њьYпХнЋр€ k}9\ь kfBы|сЩш• 8ґ A† 3ЮщYш Ѓjs&gt;” 8С =ю Brэ‚ъ ]х ђ3N 8x 9"6э Aщеш3 9Т DЉ m=ьBьЏьYэЊ 8U ryu}5K 3c =° Aў Bѕ hx;№ 5Уь| 5? AГ B‘яУъЫь}щЌ hv7К 7^щ€эfщ &lt;ъ4 3T 7№ 4‹ъыхъЁъЏ 5Ш n’;В hZяP 6X ?8 GЋ &gt;  5э nyk‘5Ж &lt;ѕ u†;­ 8ЋэlчІъl m†?± fDх Vц PюЮ ;J kЊ&lt;з ?± BЗ f=ъищI t&gt;s j5ъ|щхэ aэН l|nMъ dц@хѕчfъfяВ 8сэ ?цSт[ф` 4»яНъХчXчтцTщ ng[я RъѓщЄэ¤я„ jp:ґ 5эiц7яќ :‹ CF &gt;¬ :І 6w 8F 76 ;Т wsHв ;…щЪоPю… ;^ &lt;г 8j 6ЬыЂцъ 3п k…9Р geюWэkхRт·ш^юM 4I 3Oц› 4© 3„ 7Ш 9R &gt;l 8Цыєю6 nЃ&gt;H @е ;iяkъoщЂър 4‚ =p &lt;a qЊ6Ая ]ьљ &lt;г ?г 9љ 5k &lt;ц :¤ &lt;H ;t mЋ;й 8` 4й j9ьfш•щ§юQъД 4Ф 3g 3\ф8хdт \ъ Aю Qщ&gt;сcр3чyч ?юђ 5o 6июбщёыcы =яВяsяМю8чqсWспщС 4ЂыSшoчѓуIлпр:т &lt;цE 3—ъ¬хmфЅфЛуєхТщBъ9ъє 3DяЬу 4п`уПшль Ѓ5» 7b :E &lt;_ nzio;ґ Ag &lt;ќ 8К &gt;ў ?  =Ы 9z &lt;Ћ &lt;&gt; ;™ qђ=ч &gt;Њ 7Ля p6Е 7Ф jTяћьxюѕыДь~эQ 3ђ 6гэ Mъ q8’эOс 3тOъ® 9¶ 35ъвщH 5@ 5¶ 7n =† Aб 7Ъь5ыW 5…ю¦ьХы ‚fIю eю@эЄ 4G ;И 7!3ж 3T 47 7з 3ЈяS 9q lo8XщAх‹ 4с = &gt;R mђ&lt;’ fu6ґ ?® Pы ~‹&gt;о =; &gt;q 6цяo =ї GБ Cw 8sэщыя 73 &gt;5 CD &gt;E nGщAщsэ Fыєщєъ›ъ SчОхчы g3¶ю Qя Jю• 6дч‰х6ы i:Гц aнЩр[ъжьqы‘ 4V 64шЃцбяђ i=стЭь|ы:чАч}э 6ы=шптешC 5у 7Iшщр Qхђ 3у 9Ѓя LчgцзыZь 4ъ o4cяҐяшэ± 9~ьѓ 9_ =њ 9й :Ню¬э •8· LЪ =Кцэоaр UюТ 4lы TюЈцмтЅцщ 8ХьFм*кїеМмгн 5уXр™з EЮ Cж’ъP 7n :«ь 3ц—ъ¬ьў 5Џ &lt;„ D„ B® jdц Yьъ 5| f:ыц 6Љ &gt;Q =ныу 5У @Э m•fQяt &lt;э :ЯяШю ^ь§юҐфQшФшънhсйш^ 4c @I &lt;с 5{ &gt;c Hk I¦ 5gюА 6г =; lxholz;= 6р ;Ґ Al @q v€D‚ 5!:Х G: EК @Ѕыўюжщ™ 8Я I« Jу =А 3к ;ѕ B &gt;р ?ћ tu4lуЂрмтAюgч№к6х ‚7}э 7х \цsуMхIы¶ю n8Шь{ш[цЂыS ?K ;І 9z 3] 8Ў i\ъч 5ь 6r =† q‰&lt;ћ s“;© =л &lt;I :В &gt;6 9Ћ 4x 7Г 5Ч h8ягя ѓ:љ 3© 8џ jЉh7чіхwщ 4эlыќхШс6клхс @уЉпЅмьзхн TщЂхнсФлnсNфЂх 6шэч 3э li–4eю« 4b 4\ gIы;эю 84 @‹ &gt;­ 39ю‰ 5D &lt;i 6й 5­ 9Цяg 3ё 4– ih:гыКц6ъ 7; kDьUцХ 3і :ѓ 4&gt;ч’эKъ®чgь– n|;~щ \оNщж &gt;^ EЌ CN @Ї mЂ=x :ь 5и BЅ Gх 9’эr 4c @e &gt;cъFшc 4w 96яЛы‘ :\ 7V 4яєьќя v7’ 6ьх CыS 6[эЅтxэе j”8’ gv9t 9ЗяїыЯц UъP 7° jCъх 3S 7K ;у lq?ђ ;¤ ;џ 8Д fi&lt;с 4Фъyц·х‹ф 8щ«ркмnц †6џ 3„юШ 6F &gt;Y =z 7ёь© hVю‘ф&gt;пrхгшzфер Xс3 3Ьэ№ 3ѓьї 3Xх DрEцм 4© 6Xх&gt;ц †9s ?3 =ѓ l•=  l‰;w ujEД &lt;бяЩ 6™яХьUу FъBъ UяYъ `ьR 6±чеэx 64 qlAN 73 kAя t:вцSшLьЧ 3Gф°юN!3 8x 8F AC Cс 8Ў 3lы`ъ Pп dцCф ;фZо рoр‡фЯ 5о 6N lx8¬ ;° o;з pxDb FH @’ 8ЂэЯ 3H &lt;Ћ ;Y =ш 7Њюры…ю ‹8џ 8‡фЄз Tо VыѕтНлЯоЂя{ &lt;  &lt;® =Џ :® &gt;_ El Ld Fѓ 8µ jh&lt;° &lt;D 6Ь 4гэ Mщ”ы[юГ 5‚ &gt;чю‘ъЌ 3y =ћ 5хтђылю“ 4s 6јыy 4Ќю®щЖь ‹9› 8E 3GуИч®ч `ч‹и &gt;ь\я&lt;х ?йbмЌшAя GыдхПоYхџрdъГщB 6° 9Џ 4B :G ;m =с 6ћ 9S 9љ :7 :O Fж &gt;K j_ъT 7« &lt;Чю^щU 5в 8g :ћя Eчд 6QюџоХмђщеыВе ]ЫЩт dэdыyт cтЕъэьS 4пцЧф &lt;цЄн Dт6щњ 3ЉфTтђнЧфѓю®э^ 6°щДчЪ 9О 5N @™ 9оэњ 4Ш 9у &gt;Vь‚юљ fwkztz7t 8Л 4t 9Оь 9щ‹ 5ы 5f 3Иш4ъ Uю m9 :чц 4щї 9Д Eђ =А 3Љэ ЊpѓxgE› ohC= |jHй BЊ uЂpD6 Mђ GP Fч nw:р 9‰ Eу rm9ж o{@G CФ FП =n G© NE Cб &lt;І Dф |oFы A\ &gt;M Lq =o 7c i};Ю :§ч‘щ*ъѕцКф}пЮы @ъьжНн NнfьЎ 3RяљчhхrмTмIуЛп¤йГж _иџгМз№л dхEтЋп [чАоCпFл @й ?т±иРа‰мЂь IшbмFр &lt;пњ 3ЧэёоЧх bуnш*фGс‰чЊ i&gt;ю¤юO inh€6: 5Ж 64ю ?ъ!;Д Kе Mv p…5цэ }mЂl&lt;zъ OшВс†ш¤цvхЮфёыЭы Xьз i‚4Ф 8Z ?Q 6J*я 5® =О uЌ;J 3Лц¬о =щў 9k 6&lt;ьЈьCфч :о Eж &gt;M C@ 9ЦяќъF &lt;Uьєы‹цгр›с} ieы3ь]р‹я …9Ю rhx–}nG5 &lt;и ?Ў 9– ?P &gt;j 4я 6—щ 7сЏюї 9®ыlяdъpц –4Qя qpqZъtь v@y u|8п h7щVоЖш‰хЈщ n4ж 3Є 3qч PьЖ 4• ;уъUш›ш¦щшюl @I ;ъ 6{фшмpфpщJ 3¶ ;† &lt;Ѓъ }9u 8g &lt;J Aц 7™ 9ышгцTцoхPнҐлNс?уDь Љi5ъKш† 3БяTяyэІ 8MчHялфєт Hн Dс Nы®цYхчш Hч 9ы Zс^ф]у€щ ЊgBц`яЩхAю“эSяр jЉn–Fhэn @*уІхУ ?З :G 83ъ^щґэo 5°цзс ]и Qп4ыѓ nUь QщГ!5р} 3¦ &lt;О u…=о ?M 5Џю Љ9Ёь&lt; qLьбплыlя|ъШ 3U 7|ьЃ Df nЉ:S MГ K6 Hv EѓьГч ?™ ?В o@я¬ 7… 9ќ kPэLьЭ @а 9N Gз &gt;џ 7~ &gt;› PM y…p|AЁщ{ vђRЫ 4И hWя’х tEr &gt;хщЇь¤у LфПьІ 6Рпj 9«яин” fJюкы: r”:6ш” &lt;т F7 J€ K· A— 7ю ЂЌ@Ї @~юе 9Xя© &lt;Fцўфь oЋ6ZюBш dщыф Oс eеащљъЃв—Ь±тЄр9 :Б ;\рЊр¬йХж—цУю„л&gt;гбеWе Qъи g\чѓзGн HмPюW &lt;r &gt;С HЪ w;ює 4’ fwBГ Mс DЇъПр eщЁ 8P ;; @ёюЃс|п”ю› 6ю Dґ 3ЫсЕнmт [эn &gt;!5Mл|кЄтbу@ l„5sш?с Eш© fЋ9? fcэЪ =Н CM 8ф 4­ь 9ф‡ =X &lt;Бэ¦юісТлbъ QфЎчЖ 3л 3Лп?эkя=п JЮЫг‚щ …Dс &gt;Гц?м¦ 4ы h{3пщ 4щІрПф €4Ё n~mЊIP Pя 6Уьа ?Y KХ Eў 6eошзT mfEЮ AҐ @sтЄцгх‡ 9‡ 5Й &lt;Ѓ 6ї 8Ъ qm{ЉyЃ@S 5јъэы: &gt;е =° p‡;щ 6д pђ4Єщp 4Ў 6Иц€ m”3юзSо ^ч:иёнaсдхJшwрLз Iи5пnфТуIр =чp nЂF\!: ?Ьчђ 7b wѓHВ KЛ YЊ PВ ?О C!9щ kЃ&lt;N pRшWюйчюс—э TюЗж;пщь 7эІ 5ртВЭ№о™ 3Юъ ‰4Pя|ьX sg?љ &lt;X AЖ 7·ы’ E  sЉ&lt;™ AF ?Тчx 9к x•IҐ Ye R9 @¬ :е st;¦ GМ |ђ&lt;h A\ AD FQ Ѓ„FЯ 4Д*ь 7€сЯя‹ 3 8e 9· &lt;RьGъп ?ќюг m”8фэ„ъ ?э¬ hlk|?‚ :f 5Э 9ѓшA 5Р 7i 6мя –fBыёч‹ :8 7Ф &lt;– mDзЂлрт’мCы•щЯр¤сырfо ;у k=ЂьИщh nx7їяГ 4&lt;яd ;Њ &lt;А :цчНчVяЪ ;йьјсїдfл Cюa 5±эLф&lt;йЅюN qv6·ф `т7чж khCЫ &gt;е yЊFы iv6@ ? HЮ IB ‡yQі AҐ gxIк Rъ L­ CЉ 4wч p8H =z :аэ Vрштчя5 7}рTоoнµрaвЂй ;т’тOц ?тTт™ођк»сэцR 4YьмпмъM hqD¦ NҐ 37п aлpшх 3ЄяMщ ;тTмЇо™ :Ѓ Kb lGэ &lt;ю = GБ JЛ M” Di IЊ UL MP :‚ :… Ad Eл Cщ &lt;oю°рµюI ;oю ”jIы` 7g 8Vп‰р WхZ 5n 6n 8ѓ ;Въ`ф:ф ‡8ЈыГэ\ 8ГюЄ 8к 8° w„L: &gt;ґ :њ 4” &gt;4 =№ ;б &lt;Й @„ =m 8Т r‘Bk 4b 6јщШвЎк› 4БыЖсЛцЅ ;Б lmAB @] :Щ 6ю DE K€ HА 9т 3r ;№ r9› :г &lt;x :џ : DL 5Я pЃG» J= Wш M^ @ D– Eg 9С 7П r”7П 3Є 5Я qЌm6ю ?пpоHъa :—я Ћ5Јхйъp mЉi–4Рь DщbъФ 7Вэk hЂ9й 7ц 5xхMш5фчтHк &lt;ц‰м Kб¬ржм†шыъ VцџкBкєвТжЭшg 5—хДя@ямчжтJеЏЮчашзњнjэ·ф Vуђу 4яGя Њ4Тс’сС 9NьSъmцµя Rю‚э ^ъью ЌgЊ:= B™ ?\ ;z 5| 6¦ PE ^: UЕ JT Aћ Jf xs=Ћы €@Ж Iу ЃkZ– O™ uЏon4X :с mh;НъZ j}&gt;Z =9фmнAйаэ Џl…m4Рс RоЫ*с 5Lя EъKхUй@мВяn ?§ B• 7oщ6пyиЅг Aх› 9к 3шоqрЎрбъ Xс±т `жҐйcк LнїЭGЫЄМЧЯ&lt;з 6ф—чwъ eю? 6ЗыҐшФц«ыvяљх6ь Kыѕэе 3у &lt;Ґ haч{р‹ъm 9М &gt;њыМрЄи·бўфЈь&gt; 6§чґэ4 7к 6ч A‡ 6Еэё : &gt;€ Cћ BГ hTуь 3_яЪ 4р 7A 7xыишШ 7{ ?” l{zgFш 3Щ 3з 9Ж Dю [a ‹’Oа Aп BЛ &lt;“ ~f”xFп {ЊF¤ BЈ ~R± ?¶ 3hщMшz 5Z &gt;d D‡ ?Ы G‘ H!4C ;р J¬ Uћ „sEEщ_ы• &gt;H wЏAшъEй Eм@оIз aщ¬онж|сbуѕх^т Vт]яN 4R 8­ k=эџ &lt;‡ &lt;Ьщ°о HзѓйОчР 68ч Zу •rwhЂ4жэыЅт†шю :љ ozFY ;ј 4C 4± @ю 4®лГрЇщf 3K xA3 3JйЬуoеТйїк‚ф cщҐы­н\ц ‰4n C¤ ?‹ Rwц `ш j&lt;&lt; G« Pа sDъз 6;ъЦ 9® n_ь]эHы°ю j59 5„ 9U 84 8VяPч Њ&lt;Г CК VЙ rPшNчй 6ч ?Ъ M6 =j 9ЦъK g3с ;оQч Yх 8чќу5у Tщ&lt;р­пКл Zх ’:3 4ђхйтlщCъ4 5zчХрlш LъЊй№а§ећо :щЗъ Wй–тЇт­жМЭZаЪС 5бSеЧс &gt;шќлюнuы°уBъTш”фX 3^ьvч w6Јьжт†яЂ C\ч `рIдЩсF 8Ђ &lt;vфјргтZыµ kЏ4њ hQьзы 7фЦп®йљш y8ђ 6н :jы ^л&gt;х@ 3“я№ AW 8Ѓ ;w 5»ьРэв 3Рш „f]шќщЛьЂчеюm 3®ыџ fЉ4r lf8J :z 8ї 9S 8v Aш AГ 7мэ Љ6·ы Ђ6h 6KцћхѕхIхГюoяM 7=э–шїш cюн h|7х 7Ю 5ґ 5® :у uiMN B&lt; &gt;е :d :b &gt;в EO }|N¶ Љx&gt;Y 7Э qЃG’ y„F™ Dж Oњ N= Pп Ke V8 ?Љ FЧ H¶ Lg @y P7 ~uHИ Fґ myok6µ &gt;Ъ JZ ~K№ Dі HХ C© &lt;K :6 Eў @Ф GT B¬ 3@хw 7!: “;v fr3Iс4ьѕш’ ;V 74 o”5UыBлмсюсщ 4hэГцgоЅнyзЎрф 4e gs3[ю Aр6л ZмГтєчIм«с ;чќтэцеуеуІх „3“ьЇу Qц IчЋц“юЋ 5№лЗчІк Xи cф€ы‚ь¬т–хХшс 4г BЅ &lt;чу PэIэd 6Э lђhKшnпршµэB 4Л 5!4ўрїф aуY 3Ф @О &gt;i {n:Ѕ 5Хы UюФыV 9Ћ 5ЛцЄъЄл 6рoц ’5O 3ЉшSиУпъ 4Ћ DЮ &lt;«ъgч p5‚щ­ @А l‚3ЮцkшЬ 9ѕ 4ЪыюнQн &lt;рJпЄш®еЌнМщy 7Я 7Эъ Lю ‚&lt;О @Ѕ ?&lt; 7ЈьрпруuуУ 5¶ьg AЋ 7Ь =еьнэШтЃъХы ‰iLы„эЇт WьецЛ q“7™ m3ш щNщ— 7Џу· 5цьP =йэ eэФ 5к 6Дц rl’6У B¬ Jh ЃYюDхpр x6Ў trn7яј 36 3х yЌh8яз ;‰ 6љ Ao KЋ =© ;® Dі ?Ў MЯ ~ЏCК E‹ 6с 4Ћ U‚ V’ R!Z Hъеуф 9¦ 5ќщЌюњ 8Г 5† At ;b ;іэ w&gt;M 5сэXъш 5ўчGйi 3кч 6чзаёнѓ 5i 4± ;A ?фЯXаОрoс7чu &gt;‰йФЫкЦ 5хєр =щѓш_уЇи 4я ‡36шЄс Tпiх`у: fjkNыVуч сH 4РэєдЛзsу~ 9€ 6¤ъ Vъ Џ7кфђчMюW C‚ 4_ &lt;„эZ 5Б 9ж Gk 7©нpы– 5„йЋз±нЈрМрЊ 39ыГю¦ыeъЇшI Gё P­ J§ч z9g IЭ Aґэ ’pujbэV 6вэћэ €7y 9»ф—у aл ’n^яPнЩс \т¬пзюФьАышз SьYп= fi:с]в7цЂъЮ Cзяв gBпЎЯ&gt;б›ъП 8У ImшҐтЭрЊп„л|йaжkю Uшац}ьХ gl7ЙшОфноЌщҐ 8I &lt;…чoщЈс TтГс Hу4ъ Jт…тiцxсК 36яЈцП 64 3{ 8¬фРч® MД Iћ qpjUыЮ Aв &gt;Џ FС qUші kOяї = Lћ zsjuitn}CЋ fw6Зэљыкл r;A @Q 4ЁщRюкшЌь° 5Ч SЪ GЁ @Йщ°щkюШ 9ч j8§яфщ p9&lt; 6L Dґ mKьk @и @Тфгчэ &lt;Х K№ :¬ъОу™н IщAъ‹ 6;сcн¬нжх Tцѕш Aэюб ?хiю© 3ИьEьфп HеДрюыdх {4фсЙо Kа‰ьЫ 3„ьКйPк”т Gш^ K9 ?ЯхhЬKчn BFыг |“~{6ё 5¶ rpLњ UЯ y”Aя ?‹ :н It 8e Iс 3ІюQ :ЪыЋчzоbм Lз \э NуџшГъ ?ы wE· JчAй —8\ „‘WЂ WГ |x@а ?ўс kC„ьeр 8фѕф@щЭ A¤ 9дь Pз 6уљ ЂiNёю° l„JG @› D[ VЯ Ќ@R 7Ё Gь K[ AЅ Gk Dz 3Ж ;E QЇ Ig &lt;Ц gk4&gt; BЉ 7џ ?– M Zш E7хышло 9Ш D… 7ашФщ!CP &lt;DцaьИ ;ќиt @W 3¦еsЩuШ©п LчjЭ Oж cр°ЗЛФrзЭЮ Oб YХІЪЏвЄк RЪЭЙJФгЖэМ =оhЯўУ eЦ&gt;Ь‹Цеш€к3Тпиџфкошь№фѓф“гЊа :е5юАю q@K &lt;Mй*м6 G— {:с WыЗф=чѕ 8ЩоHчwэ DоЛй‹ъl :| 3в G  kSр` 6H qv8џ 5Ѓыlпзш^пJя GщFщ FзпщUю…чпЯтШошл 7L ‡cБ 9Цж Sгzч{ 5Ј 5aю— 5fр Lз?цFфЇй“эю K4 CkыЙ 7M 5Ћ N· W€ n”w“I§ [· Lэо” 3H Ra3С b’ ‡g7` v”EІ ?k Uz OH Sн RЖ My Џ}Q· RЅ L‰ M¶4:&gt; †Xц Mf DX EЊ €Џ_Т ’N• =Y CJ ?~ Bе j5э· E4 l‹}ЋFЫ Qkх Ѓ=Ё O8 Uf DЊ Lш 9Ѓ F[ Gj Pб*ыэs 8P QІ D?щЎ &lt;q :” &gt;E E‰ |eуCп~ vwE@ ;8 &gt;‡ 7в 5С nfHI =э 3Fш5 C… ~Ќ?Ш 3©фьнТц–юЊ 5T mbцFь‹чkцихпх NЭ7д IуqыіцTцўцчтЅэ ‰kFнАЧ”цu o‚L{ 64о` 9еэbеPтНмйи9цШьuщњк3щV 8Ґ =Ыъљшј 8B &lt;N 4t =« 5‹ ;g ;ю fЊ9Ом@йКг bы y9Ыю aт§штнйЯ|лЂщ Rщ± 54ъ eпqн]ш tlh&gt;jы¦н Oд°д Oхo 4ьуНы bыxзЌ 6Лы©тЊ 9ѓэбь ‚GЧ ?ћ mqAЇя k5Pхґу ~: :d ?? Dо 7Щ &lt;и Q8 JД 6чъ™ 7Т u;3цЇяь &lt;5 6}дкЦ„ 7Ё DI foF… 7bж¦ъќэ[ы ?эAм jqnHй V­я4з 9д\ 6^ю ‘g`ъBщy =С QУ 9ІрCнкт« EШ Eь |3сlы wЏsL`ц@ Ml 7q :u Aj RЩь–ш— 5Zлk Eф Xі Bч =¤ P‘ 9H †ЃЏЌU¦ Xc Z; GR D† kwBРхOем Wє ?хщ 8вфуb @№фялQх‚ы^щ MЮюф eд«ь… ‡’IгжКашЮТРЎЪЊуьбfАйНг 6И 6йз6Ц WА UМJг9уa*лиW =iъцХрМEО &gt;С UЧ&gt;ШНи•тьа­кЁ ;kпЫдГхѕО \ГZсЦ Oа ?Иб eиzРYЧhжґ 5E 7пйќш@ iЃ;;тnЬбЩ 3БЪQ &lt;Nу[вgп™ Dшыw &lt;С &gt;Eы¤Ъ eб eсSНMяo ЉNю [Щ [НхЩ[кЕо© 9– UЈ JЈтГэ QрJкЇО _м y&gt;Т 5©н8 E‹ьRъ^ 9°шGшХэ s7Rж— 3срЏб‰я„ =~Ч¬ЯBш¤ьEщ 8ьCсшт w4Љш:ф9 &gt;› SVэ rBН KZ ~aнQыw PЛ Ou o}nbхcУЖЬУ :в ;Е Ys ^ wEк dнAу xDы Њѓ‹F•шка‚м8 BЁ pq5‚ 7Ъх‰ 7®щ Ћ†kKbэ™ [x ‹“w…9Ћю r@г 64 AЃ N3х{ц ‚@… tk6=ся 4¦ыCъ v?f _й ?t 8A ;у C‡ 8[ 4С A¬ bN6ъ 4Њмўш}рыш^ V« Bvх\ 4¶ 9њрFт‰ 6§ P‚ьЩ Cn F*н ;тЛ }Њ5љ 4гъ ]к°язъШмЩюп Pж HKз JгОВяТI 56 cш dє JЫчхЯcЬфо9 Fћ qv&lt;м 9k „ЉDvрЏеѕЯУщ tIь Њ”L† m@эУяЬв4зйр6х w3‘ъ 5рЗю Љ8ЌыЌеаъЪрyнфъ‰ыПРQШ9сIпБйєиv 4­ы§ч 5єИяС 3ШXшЫ 3Cю Wк Щ\ТиЩЭе}ъzкВб ]Уябњъџп€Оше…е‰Яmт‡ 3ф zЋ4ОоЕпKаVн=и 9ЫѕКжВлТ 4п^в3с aц Nзlьќт}чръІ o3ъ‘ 9з Cћ y‰BЖ QХ P 9У isAD K~ BЋ @ф LU ЃUсЖа8д«зИ ;о Fs C!K‚ Kд ?ќ 9‰ DїъВхЇоUье ;9 XV BRцЮьцп RмНмсэ3ь¦ :3 9‚э Љ4a 5КшФс†е3е—СZФът Џ6сю Rг КSСxзгиVйpх€лТг@Ъ Tе •;N 4ЯхAщЮь PлЋг‘э Ќ7п 5: :ж :ўы YнЖс5фEт‡э© 3M &lt;y h_л№я „HУ Bn ;€ F‚ R¦ KT JЏ EЊ :‹э  I« €sVЯ QБ G§ xfm€F GЃ DЈ 6Д m…KU W5 RД Db JЙ Wq Vн8А ~Љ;Џ =y ~—]^ FВ Kі [g ]ћ Xй xЌAr IC!O sEЙ „sY!LDя5 @z QT FЁ rmA^ 5ЎщЇь q8с Eg KV &gt;Ќ DЈ DФ ?” 5бяч 4Ъюф 3© Dў Aљ BЮ G| v‰4| 8Е 4єчБуeю Ќ7в D© H  F&gt; Mэ sDщdх _с Iщ &lt;яќ ‰Ѓ„Ћ]†3Ћ Z® @Ж =Є JH F FH :f =· FЭ QT ‚{Qр Tp EN :ю kѓ&gt;ж 8Њ &gt;® {zCЊ @g IЙ NГ Eq QТ Bј I™ю 6рх pЌ;&lt; &lt;Ї H^ G^ K‰ 5Iэy 5@ъH 6J 6Г 8B =о B¬ ?ё nЃ8a &lt;9ы„ыё 8у 8З H¶ Qe &gt;Й 6µ :OчZз†н›цияЂ qЋv‹&lt;Є 66я GъЎоѓк wfUя_ 8іэ” FО Dў m}9l Iї B щ }7b ;е =\ gSыи :Ф Cа B_ @] =О 8y D† &gt;© :Ґ O^ NШ ]t Oh EC ?Ф &lt;O D!5 K9?… _Tъ †7L Kё RY O!H: 68й”рѕ AЈ zЂNЬ ~zkGшК gDыЗохн BрnфђюQпеуN 6Е 4Ыэъл=счрен bнoы v8Жйтб Jи OЯ KЫ†и‡мче›нчр} kQсrжлк–ЩґГ AЛ FЯ ;пRх ZчbэwуХнВЬШЯiм Oр &gt;ы ѓi7лДи :мUнZТ OгrЯ IтИлSъП : ;3иpг &gt;л“ШКЦцо— 9hыЃц~э« :a m9ъЊвXЯxЩџм­ы q5sы3ь‹шВцХы‡й cз„эЯ 5Жзkсhы§р·брЮ UиІк@х Rе„СґнЪсЄд°жтк ж Jмuнxп{п @к®Я`жоы®о?и ^уЏуёп xj„4вн•и¶дЦцѕя _ц CюЇэ &lt;ъ:э }7ѓочрас”ы ZъЃп®ъq 6g @¦ 6Єэ ‰9Гъ 3хzьцьl &lt;`шцщ&lt;э\ю •?g GA =… 5А 5R 76юхцј 7ш :Ъ 7щэщ :ђьѓй¦бќхто Eс —5w :Ґ lEы Dх eш :ф :рОкMпбъвяa i•3Вр :тУыњчжс“щќ i3фРе XтTу t6¦э AюЉуЙзУс®ь­ъ5в 9ун 4ѕф*р hj•68у*лЦр GфЮънэ] g&lt;эG 4тшb 4м 5Ґу пўчTпРег 4» 9µф 7цPсXшҐщe fEюWшыkн”тkтnвей– :r &lt;ф 9О lq=•ш‘рЗфґщSчТ 5{ 87 =З =ЌхЄэR =ўэђлЙц† HЗюР fil—9Љы7щЎ rђLф qЃEW J¶ :lфвь ѓ?Й CЖ ?о AЯ ?ь 9ж H“ BC j9яъы dшк iЏE@ Mа 9м lj&gt;Ѓ 9Ш :p 4&lt;ягхъ &lt;Я Hp EЕ &gt;ь s’kSыШ 9b 9Њ =Ъ Fљ MЌ :ГяЕ AТ 7б 8ґ ЃЉ&lt;Е ox&gt;“ :ј 5В :м z8™ 6Я lu;ф ?Ў 4Ъ 7Б nLю€ 8e &gt;э r‘&lt;†ы Uю bы®щO 6g &lt;3 &gt;ЫюЅ t|?жщ&gt; 6TъСк Dс Uр{зC 4Ю ѓ†Gѓ pgf&lt;м¤д 3рQ : :” 5R ?= :iопмRьOшjь¤ 5Ў j”Aю D™ 3@ьс UоkюС 7к 3Ѓь®э Oи&lt;иАы\ъ \кh ogxHт­ ;ч I&lt;ш4ы\ &lt;µ 5Lю yI!G ’5ФцЄ =&lt; @W Eр Eя &gt;Ю 4»шп o”JЇ V= ]Г B® 5ф G№ @Џ 6– wЊ@Ћ @¤ :L FЦ 3 =Ѕ E‰ @oя€ |ЊMk ‚‰zЏDЃ : нV ?Ѕ G… 8O yszs5tх jѓAGы¤ :Ѕ UЪ =ЃпП BГю° ;u @пьЄ Bс =Ц fFяБуї oiKМ 5с 4¤ nq8ЈчИю® :• mѓAй UH CУя {&gt;b Bc Eѓя on–RЅ FA ;ц r&gt;Dц ZыWы:ш €7ѕ AП hA*я ?Сч‘ 8RэZя ѓiЉ7J wEшњо €8в @B tЂ4ю &gt;ъ TЙц 3т¶ 9вы] 7| FМ l–;М wnNq Qф @жу v8? MA &lt;5 r€EЅ =; :V Aє 5] E„ KЏ 4сщ ~&gt;5 t”&gt;Ч &gt;Y Dчя| 4ы uz8Б nf8м :v zo5PщA Jw kHф  7ця ‰;I 7«шЊ 9€ GУ w“&lt;Ќ BFыФфQ ?~ 3лй§ЮЏч Oщ­ 7‡ьќ &lt;э A?ьѓ :ь ;LъЫхР 3ќ :П*щуоц &lt;хЊы‡нсъqю®дІо3 :Ї k^ш:хiсLоЈфеыСп&lt;эІцс 3џ Brянујъгы 7я†у Hяб l—:Џ 3Yю= k‚lu&gt;Ь 8g 3… t–&lt;[ь• 4w 5іуЧяi :: 8[с¬ч&lt; 5¤ &lt;!9–щ Gяђя•ц aьg 4Ё :ы 4|сЧ 7® k@хO B¦ ~’x;ы Iщ— 6· DРщI =i O± O[ ?Ћ 9Ф 4Ќ HЊ Uт }mxtMi †xN— QЁ Ђszm;АрЧу ;л [z VХ O? A= m}F” HЈ E© TУ &gt;&gt; gxh{iEъ} l•F€ Sм N7чњ 9‚ E4 @Д B› &lt;є 7†ы@ю AяF iЊJП Aт 6э Dщ hѓ=w D© ?v Bю 5›шфш Uшухhфc &gt;yю?ы jm}8›ьп 7Gъlьн rs:СтЕх lqЉk‹;м 8Ёыqэ |3M A® BА 9X us‰y?[й ]ы™ M» Mc ;Д 4~ч cяnьXл6ъB &gt;~ 9с xЃCФ k98 69ю~ :О Cш ?м ;Дя–ы; ;‚ ;Cцnс: CН :6 9Q l=х¶ыЅщ†ь 7Ъ :4 3lтSф‰ф] =f Ed tFу=к Bн WлШфґ 3і mqJm O“ Jг 6Е 4ЕцlщЌьЕъ 9юoъ ]яђ 4тчІ 4Г 4L A^ =н &gt;ч 9Vъ :и®дядTчҐ 4зц DяґцvуауУс™й dи»лХщпяЧк’непЦфхиHк Oчзь±л [ЩћдебiШ\е]хUхDуџт…ЬжХЉЮДЪnнDиGЯ‰аЂоДу·еєг CщQс8б©бес XфЌо‚г|ЧздKЬ NиCкПб TлВш&gt;ч ]м·з~сtзЕбЉлИф‡м&lt;и5цGш—ъ aкAм &lt;ь Zч‚эЌоoцxъYтLиVщтц Iзђи^рsю„ъ¦хдйшз vfЊ&lt;EчЅэvсmшbч8ы;я‰шџцAу Iьзу IяXшUь•йКр |9н &lt;&gt; :Ь &gt;л 8©ужи 3уЬ 4Aхсн aя¦ @!&lt;Eш™х‘чкуTс«н ;ы :ь *ся› Av :`о»лЌы u4· B  rm6Јъ Eцbы ч Љ;g :hю QоDп MсЩ 4„ l`чnцЖъёцап№юй 4ЗэЇц 8р &gt;эФ ?c 36эОшжкќЫ`ыh 6і &lt;р ?”яyы iЌH8 Nx i&lt;х DуQц \ъХ 8› @k 3Їт*уЅш3 9Ў F¬ p~4gыьфђъй ?@ AЉ 9ќ 3T 8^ю WяД ;mю TрЛч €:П 4H ?д &lt;Ґъ Tч ~4^ь Ћ:} @Vы‚ъ –&gt;ч ;ст\лщлсуuф AуёкЦгМо :чЖшпdщдъvф°пєфЪхRьµ 6ЫрpаекWчЅц t8† :Тч‘т~нМю \ь —:^ 8ѕэЙшhхB @‡ ?H =»эDхъ iYя _щўъ JяйяїщПэЪ ;ПфGч aшЋ 3Q 7z 7цыТ 5ят7ыY :ЬяG &lt;–яЮюt 8щ 4[ 7щыўщ“ьцщMъ @ь CяЏ 6А 8m 6]э Vщ«ц –7ч AХ &gt;“ y3ъ eфЇфoэшяnуE hn7UьЌчеэRфѕвoм™ъ —59 :Ш 4Ч 3¦у¬щ Gыё 7ъ &lt;–ш~ю–ц4з&lt;ю^яЩ 3[ 5Е 5fяЦьaц&gt;ыЋ 45ч7цpъџф\ф cц‘фVщ nkђ6©ь 4сЩсfя ~jTчwщ7ы\ 5Э 3F 4џч‚р@ъ‡ъ}хій5э —f^уян Uх@ 6„ф€чK 5Ахѓх№тD 6ґ 9ь 7;ъKдґзбпcтџхТц eъ®х&gt;с|мjоцтЄт ђ:F 5о 6ЮшНп:рDсѕщё 7Z oHю `х MъVй9ф Qю€ 5офЯлyт ;кµэ°рЉзWюѕы [сВуВ 3z 5oя 8ы‰юЫщ[ши 3? 4зь 8о‰ы‰ф7эДэOъЅэЋ nGш  n†Oъя ^эА =Р :‰ 6&lt; 7Ш AДюБф Ћ9™ :Ё AЩ &gt;ѓ &lt;” 3bчьщ–р}ъищ№ш9яв =v GВ &lt;ы BP AЕ @т pf6W pZьqь*я= 5Оя·ъ№ъяь l8ҐяЎ 6ћ 7…я­ю„ 9Жуpп@фБ &lt;Ы 83 :tя 4F j‚4“ю} g‹&lt;‘ 5aцРю }s–;¦ FN fHы Rырю‰ 64 9¶я&lt;щ8пзЮ cнз 3‰ qg;› 8ц ;G j}5ґъ x4x :‘ o‚=a 8ЎявшҐ 5¬ =Ц &gt;B kWяСцgс[ 8m &gt;S 9dюJщЫшЙхҐч?*юц“ 6€ 5s fv?ќ mIьш 5в v{?› luhCч WыUю@ 3_ 5щэ Wь4хцуЂо _пћ 4Юъй 4pсgхЫы‰ :B qЉ&lt;Пя{ :П &lt;µ 6ш &gt;” &gt;€ GЂ CQ g9ю… FX :M ?w &gt;} AІ =z 9e ;є 8в 8@ &gt;@ iGо G° ~}K€ Ac GҐ @&lt; uvAW 9К @] M§ LI ?!=ї 8в ny9ч GЮ Cз rG_ t”;4 GE CЁ nЋw};ќ Bч FЬ Gд ?R @ђ ?w {hJµ &gt;д 6Г 4Z 3rяО 3„ ?Щ 5с 4= =Л &gt;… fVщ•х —7ў q&gt;nюЄэC 9§ 9n :к ri&gt;vщAщи ju;!8? =ы Dх @с 6• 3¬ DЃ s]я Pщ Љ5Oяmчф ;ч EЖ Jу ?‰яЦ 8Ж 8 3Ц 8й @g ou&gt;9 AЋ Dд =u 7х ;њ m{7Ё 6± :[ I± Ђ…D` Gй tu8йъ ѓ9ў Hо ?ъ gr7Џ t‚6Цю8 &lt;ѕ Cп @§ 7wюЬ &lt;Тюџч{ 6| ?o lMьќ 5б ni&gt;Б 9EюЉч Dтгт‘чj 4” ;q q}ms93ыlфTь ~Bw &lt;ћюІ 7d :8ъ`п `эЋ py4[ыкэl 8i ismgG_ @х 6эюЉю&lt; 6° 5ќэѓ 4фыtю3 9м :б &gt;€ 7№юcэсш¤ю› :W 8H 5sяІш Vэ!8 }7У 3‹ 3r =­ 5Ич¤ю‰ 7Zъ3шўь &lt;ъ Vы OцкьЭ kx=ћ :Х 6шя—эѕъЯщ§ 5Vя 4ю^ 9њ j„l—oz9П 8“ ow=б l`я „iJэпяиэ }8n =Q 9a 9*эНфA gЋ8v ;ѓя phj8я ?: iw6’ Fk FS :C Dє ;h 5&lt; =ђ lc*ю kЋ6L :9 : ?Z 3™ 5t 9п 8[эмъџ 9т @w ;љ &gt;R ;[ &gt;Ѓ B4 9в gLю ‹6” 4!;Q @е &gt;&lt; A[ &gt;F gSщЇ nwq„?т!8 :­ DY Fј Eс A‘ qh&lt;]э 4э Ћ9н 9® 6” 7кяћьmьsя&lt; :m 3±у‰ъcцїу9ъёч† 4Л fw5ъ Bќ 9ню DфэшЎч~ kTщkфZуkс Pшmэ y6Р j—4щяОт Iэ_ю&lt;ъ•ц*ыAш 8хfч­ 7[щ PкЛъ YьЕш aх @тВъЎьџя &gt;щ Њ3кю ЂA&lt; ?yющь =у±р7шT 7Ч 44 4Dц8 7Њ 3±р _фКыЇцФ*лш Lя»ъT gMч 5ъџо Nе®йїоBи\йТпVз BжPз dк’п`пvи &lt;г„вhр Gф¶лаиlрќо¶т:ф4жюш— hGыКъцф®мцзxлдсмхБяnу—ф№ ndъZы4ьЮ ;ћ 5kцCч s=„ &gt;±ьну·х? 3ё &lt;§ &gt;: &gt;; &gt;ИтЄъ» 6” fUяД 9 m7эМ &lt;А 7а 5™ 6Ѓ k[ч5н Bц Kш}эC jDя›щяыЫчшъѓъ`пkъд 4ЌьЄ 3щ ;іюJу &gt;мшкЦьNшKхШ 5@чOшkю@э Aч…ю Oц9х FчPцтэ {hIяЎчішаъФы bх„шЇфSсЙьФчCр6юцьfм~кцнмц•ъ§хKоҐтВшcпТш YъІн \ц 5ш_ь=чyщшь·тІуещ†т‹счт 4шiщ™яEю—ъ •h7яЏэj 9ї 8щ 4– :іэ :цo i…=е 4UыжщсъЯ 5Ь 4µ 3° 7И m‹4€ 3C 4v ;щ h\я q;сьШ iЋBА hSш¬ 4їщyцu 4f fFэ^ lЂ4ЩщЬ 4Ы 7ы 8±ъФр7цды•эЋь Zх»щжыЯо cхЌъњщ–ъІъюшµ 3ђя Tя Jы ^т IфбуНэMщЁц 5ъщ&gt;ь ~49шzщть aъ ркфЉх 9цO j9хsшkщгьБ 3шъюэЬь bх¤оµпiхСы¬ 5Рэ с‰учхIъhуѓоЪхњн»ріс†фxъЭя ]ш AсикяыX 8›ыdх:йkлqюAяiс cрGш{ч™х›фЮо8я9 8Ь 7‡юхЏх ’fѓ4Хфе 4иъє 5Сэdы ‡3З @юя SфDыOь 3ь{ьU 4™эUя yIт ncю¦ъвт№кцш›нИшНч 5ъ§м6к«р‡цжуЖч;уBр DэІфgд’тмхlяе 6лщxрtсНбічжч 6ЫmрA :Љъ№ц ѓ4¬ъ Aц Pф§у‹ч Љm—C: 4Ќйзш{ 5б h‡59я :ъ ‰3б &gt;Ц 8м 6E sx&gt;Е Iц m”&lt;С ov&gt;{ 5нцюпЛю? r‹ѓ’EС ?х Gо lXэЙыв 5V ?^ @пцЌч™щ°эQ AD FX 7“ 8K MЛ ЃЌPb :нщя p|&gt;М ?T &lt;Ѕ =ќ ?© B  7Пь „;v 5е Bц &lt;6 :K 5Ђ :з ?Y Cѓ ;Ќ 8„ ?љ E€ lTэћ 6хэD &lt;7 7Ещx =‹ ;„ 3л 4ощ_ 5[ :®щ 7ъЉьU 5{ 4Џю Ђ7j ;Z!6 8e 8T 3э 77 3w ;М 6“шyюY :  3„чsу •7Oьнъбю “8Ћ &gt;s 6V 5} hQьXш: j•?Љ 6ВшDш ‡9р 6С 3Еы 4џяa gIьт 6d 7s gw4ґыаыЮя|ю BьLъ EъЬ hS!;я†хМь‚ 8g 5Т 86 7пю cх AхжфpюКыџяыц·чkчес‡уmтNл7сhш±ф·тОн№тЌъ KхЏтКт Eт Nл Cс Cь Sу†ъЊю‹т \сєэa fXр aлmц 4тaъcэ‹хэь; 5Шэ± 6Ы 4ъ 55 8џ 3цэ·яoя} 8’ =ФюЁ 6m xpux&lt;к 8_ &lt;“ CJ :‚ 9® ;Ђ l{9фю™ 5ж 8й lЊ4Щ 8Ц 3ЪщAь]я&lt; 4&gt;эин8шаяющ¤ 7Х 4еэm 5sщРщY 7­ 7Ющ6ю t=Чя‚хЫщ AьКф HьЪюЊ 8Џ 5о 7У &gt;м kPюў 35 @` m“4ыэђ gD® 7Є 8Б sv=С ;Є @? :J ;З 3ѕш z8В &gt;? 7Ч 8А j‰9Rь ”3уэчъJ 4Рэ &lt;эЏюђьu &lt;° ;YюXъџы®ыџэa ;Љ utiOыЭряыР fЌ9i 4V 4Xш™щ ZэЅ ;х @ђ 6…э Mя _ъ Gф=эЄ 7}юDц Џ6ЭюЉя Vяћш]яUыЈыь 5“ 4Тщ IэЬ 5cщxьг 5Х 3дщЎт =сRз7т cяЖяt 3€ 8Џ 9Ќ 6±яi 37ъРэ§яйы5ьУю6 6Ѓэх„хДх?чХ 4I 8„ 4Ьц7ъ} 7З 5ЁюљяGэpъ aфњц: 4ё :Й 3И 45 @‚ 8=ыК 7Л 4| 4Aю BыW ;С 7i 8Еьx 3^ :И 63ьk j‰6Ґ :P w}r‡ry;Э =W Dџ =c &gt;З uw?Ц &lt;яъ’ 89яOю hthrЂ4g @` Aј o†6ѕщ Iч­ :К &lt;з 5Iю ‹4xяЮ 7у 4Jщoэ7 5ач®рµп¤ь` 4®ыD 3… hygr7sяЖф8ыљ 6[ 8Ш 3Vян f‰g7ь ;с 7яКь Hя‚ 9» &lt;O 3]ы ъ 6ъ :ь¬ьIфЩт№х6 9Ж 8Iю}юwэ ‹4Ґ 8иьWхKш– :еясы? 6ВьДщыцqц@ 8К 87 g3э4ш‘с№х eъDь\эьщyъQ Cе qЃ4: uЌ7я †9Йяg 6; ;Й :HшHщ” 3Б 6~ьhх4ъВ 4 7ў :ћ =§ rЏmx7З @– sw:¶ 88!9 D; BМ q‘@‚ rt=J 8µ khux:d =Л AЪ @ў C„ CГ 9у i–=С p„7Ѕ l‚=Ы =] @Ч &lt;O :q 5± 7p Cм E5 8ќ 8љ 7э 7i ;? 9} 8ш 6l 5Ш ieяп =Ж 6ищж 7= 6] fw6Р 4bю 3яЎ 9C 6‡я[ 3Kяѓя4 :” ?¦ 9њюAщЪэeюЙэҐ 4Ѕюыщ ^ъИщ”ьчюЂюJ =Ж :юэAь CэM 3‡ 7Іэґ 3­ fFюJ 9Ќ g„3Хя g7Цэ[ 3{ю`ціхэGюАю~ьЏ h•6ТьЧы^ь \ю :ч‰пэч™ь€ъѓщєшІш }5ёя …3Ньдтуъ^ч¶ч UэҐю®у`фЉцџэ GяП 3­ь Pъе 5™ g`шТю© 6yьдь 6ьЪ jЂ9ч gђ5Э 7jю§яQ hdьЌь 3ЅяЏ!4 iz&lt;R n:И &lt;° n;u &lt;В ;З 6xы“ 5Ћ 8B 7ѕ jЂ?D x|=Ъ 3I ji?N CІ Fы GR &gt;X &gt;Г 7G E® Fэ &gt;~ =е ;Ш mЂ;b 4ы lupЂ@Ю 9¦ CП m…iu5l go@е ?Е &gt;О =ф qЌ6З 6Й 6ї 7О s•@kяЬ 5’ :T :{ 7j 7• 7v &gt;л :” &lt;&lt; 4Уцg 5k =ћ AC EО ;Oьгю? krkr;щ 8в 8ћ pi?O 8т of&gt;с BЯ @o @!?Ђ qf&lt;_ =е F• Cш BЬ s‹9Ѕ ?; A!= |=Н A` FШ GЈ Hf B: ?F qЃAС F” IG :д 7Ц A&lt; @Ш ;Ѕ 6S 5e 6ж ;© &lt;ї 6S &lt;я :Њ 7¦!6 q‰;ы 8¦ 5№юУя 5юO 8ш 5дь± fwhAт·рfф @ъfчІц‚щДшђцvфПфџъ±цХюЈ nvf=х4нhр HфYфат рўш `ш|ыЈч 4цUъЛъчьІэушpу°щdявя 3чtц ‘fZю®ъ†ц ^ф z3L 7я 5€э±ы5ыэщz 6Ъ fYы{ц*ъИь 7ы KыWъаыc 8Lю ?ю© 3·эDщ4 5} m€3Ґэ „5є 6vя —3ќюD 4Ґю=ь’этьТюbюIэ_ iЌ7Q 5D 3ТюќяЎъ g3¦ 6fъиюЗ 7&gt; &lt;ё 8I g•3къ`ю Ѓg†3}я Ђ4T 8Ј 3ѕ 7Й &lt;а &gt;“ 6Јэ• 5¶ rЏ=~ h‹:њ @к p{;7 6m 9и &gt;T 8U 4Ю 4у :п 9Q &gt;Ю ;9 5ш 7„ь &gt;яA 7c 6MяіыЂючьэюDэ KюРяЧ 9Ш &lt;™ 8Е 9 5Ў 6А fRэ» gЌ74юЄь z8° =Ь &gt;j 7Є &lt;Ў =— &lt;!:Д if9W :ляGюЛ jЉ&gt;† :Ы 8Ґ :д :X 8ч 4{э_я“щ»эўюХяRяг 3x jЏjPяѕ 4гы№ы—яU 7й i†fu8dю&lt;ы bь&gt; 3Ыъ“цЙы3 ;7янюг 4О 3aщ JчљсЁч&gt;ш ?хох†у хtч `цњцѓц Jу}рІсжо GпTпезvлЙуЬонмFт»к9ніт«счрмт 7т5с eу`нbн ]уUфЬхочPфбсЖс :тwрCо YоKу ц 4ц8цхцoщQю\эeщtь• 3zшпт &gt;щ Zш ;шйу ZрзъЋъyуXфіц Eъ7 3ль@ы4ц›у°чЇъЙыЅьђы RхuуcрщтірєтPу†у &gt;чКчзщ9ьчцёф Jц•ч›щWъншКхJц…юBюѕцПшџц Yъ]ьGщѕ 3jь=ъКъныА 6x 4† haя}яЕ 4„ 5‡ьл*ы 3iъЈ 3©ю bэe 3џю ?ь™ы Mы§эKэц 3а 5‚ 63юЫяmяпъ›хЖщrэ y39ъGэ ‰8б 4CфПщkяT 7^ 7“ 6± 4_яђь=ъ f4Vю XэT 3_ 8–ьMьїэpыiыЮьnъiъДъKшVэkяЖ fw5Д 4Ќчицюу°щF 3ю 4‘эРх ;увф5ьџъ _э¬ш»фЋхлыyщ[у®тґш Yщ ;чrщlхфу‹м©цҐь‰ьтцњц Wы JшкшРщэыЂыёц=ш BьµцєхЙь№х“фНэ“эіуxщ …6о f}8ф 5gя&gt; ls9эyяы 3«юЃя&lt; 3Хюp 8l :Ш 7Ж 8Ю 3ЭяQяLюhюПю l3ш 3љя&gt; 5Q h‚6Ѓ 8J 3ъщVы6я: 8 ьgш ;я† iЂ3ШъСэњ fMьє 4­ 6W 7Hюдшsюья— 6Ть^шљы IьЉ f„5уыjю |3µюСя® 4ҐъЪъЩы NюЧ 5в 4Yя¬ 5 :w 9Ћы ]э&gt; 4Ч 4б 6н 4Ћ 4a 3Њ f_юЏь‹ 3µ 3© jђ9ћ kz57яџ 4‚ьЅъ;ъ]чПэк 7т 4;эџьія§ 5ѕ 8к 8 9p 8к 9Ќ =; ;љ =o 8Ж l}k–5« 5k 3Г 5^ hЋ:Ё 6ґяць°ыoяyяАьO+ыi h3dюЈю`ь 8ыѕц­щKюx 5c f;э—ьМэtъЦщЖцШшщђы5ч cыё 4EьdцPщ Eч”ю Ћ5; 3QьTэ MэVщњь_эУэпэ ?э &gt;яfьҐьRьЁю| 3lы¶ц§яь 4\ 6Ґ 8В 8~ 7К 8Ђ 9ё 4!7у jЋ5Ю 4ІюЈ 3Р 4D i”7i 6aяЦьt 3ј 5¤ hTяRяб 35 4Џ h„li:§ 5}э }f‰49эbю®ьKюeэ›щµш [щ~ч±щЂь ’7f 5“ъ Jяџ 4л iЌ5№ g…h—5i 3@ 3»яј fЊ3”э™я¤ 4д 5„ j‰8h 8› 8ѕ 8д 6m 4ЛяЋ 6Х :Э 9А 6с h~9У jЊ7  kЂ9z ;в 6Ф j{8G 4¦ h5Т 6Ц 4x 5Z 4щ fn7” ih6‘ 6Z i’7^ 9э iЌ8ж f]э† 5к gЊ6^ in9S jѓhЌ6a 5_ 3T 3Ж 4ж jm7= 7Ќ 4§юъю©яMяҐ*эы _ю—я cяБю cэ©эШюё 4т 3@ 4ьяf 3Y g’6х 3кэ 4j 3oя¬юЦ 3v 5б 3Ћю cя }fWэЛю6 5g 4|яи 3э 7u lЋlѓ6Ф 4О 6Е 6| 7Я 7&lt; 7Жял 3ю 3W h‰6‘ 6З 5… 5T 4Н 3m 3A 4T 4` 4Q 3ш 3V 6Ѕ h€hf5Ля­я›яdяп 3K 4G 4‡ 7И 7u 6{ j‡7K 7… 5‚ 39 5T 56 4‹ g{4љ 5Ј 7І 6Ї 3V 3ш 4њ 3ГяB 4E 68 4ЪяU 3t 4‹ 5З 3› 3¶ 4€ 7Ф 7e 6О 5ф 39 3ў 4› 4Ѓ 5A 5l 7а 6h 5ќ 53 4pя s4W 49 gЂ4D 3w 3:эIюZяЛю’э Uю FяЁя€юeюэюљя9эVэЂяЌя •3цюЅюПю }3кяјякю›юЊэKэсьBюБюЅюEь &gt;эЪы‹ь§э›ю›ю†эКыМьћэєэбэ ;я°я&lt;эAю™юoя‹яJюЋьwэбю“ь Zъ©ы ZьщыYщ Yъ Gыы \ьЗюUяG 3ЉюОьШэьы 5ъРъ™ы]ыfъ Eъ SьаыльЋэЦэMэ 9юjызы ^ю CэєыRьuэ 5э‡ы’ьеэ†ьXы ]ь±я „4Гюfэ•эЭь XыљылыOыџъЪшрыЖю YэщЦш Uъ}ъ eщПыЖэЪьлы‡ъ™ы~ыГы*ь 3G hm3{ьxь©эMю [эНьЧюJэ Kъ=ь4 fGяЂь @эѕь{я x3Аюїьzюfю†ъ 6э 3я‚юwю5эЫьAюгю§э`ю­юбэxэpэчэ ^ьЪъ Hюaя9ю‚эшыь™ыЋщЫь GяОюръ¶ы 8юЕьjь?ь aьQь›ь·ырь°ю 8я bэ Dь©эЕэgь¶ыnэЧюфь–ь _ю—ь|ы¦ъcщ Iшbч bшЫшлъиъЙъNэЖю®ю JэЙьЫэJэ6э›э;юGяюь Cы XьЛяґюєыpъёыLьMэдьaю‚я„яцюvяi faяэя€ 3— 4Эюiь6ьvьbэ 5юqэЮю9ю—ьiьгыжьѕя…я&lt;юјэ \юґэжэnюћяz fЃ3:яхя™я·э ;я© 3­*юь I+эзюАэЂъhъhъяшющ›ъqъ UыАъяы\ь Cю6эіэРяOяQэ*ьъюa fBю6эГэоь‘эдэQюbэдь~ъ aъРъ¦ыДыЋы 3ь Uэ=ыћъйыяьЫы WьЏэdяKя Dяlя dяnюСэ Cя M*яюIя ZяСя ’4У 4н 3“ 4Ѓ g[яlя &lt;я}ю•ю _я_ 3Ш fЏ3nя· 3Г 3° 3G 3W 3= fЊ3Yю `э=эeюџю‹эBэ FюБюEяwяПяz 3B 4u gtg…5­ g‹4g 4E 4u 4= 4ъ 5t 6Ґ 5я 3m 4Р 6п 6¬ 6C 5© 5Ћ 5™ 5— 6™ 76 7П jЃ8Р jfi~5O 6N if6C 5» f~4№ 5љ 5S i…5F 5I hЊg–3n 3Ё 3эю bю~ 3н 3тяуюqю!3 •4y 4ё fbя YюlюЄэ OюSю bяEю€ю Wя7ю KяїяЦяюЎяlю7ю™я 3ђюПэyюйюђюцюЌяЂю &lt;эqэ”э@э›эDюњю ю ZюБь°ь‘э–эvьoыpы AыЋьГэаэ `эGэxю :э 8ээQя:яьюфэKэEыIъ Gьќьhы 5ыдъюш [ъ@ы :ыЖы WьuьYь Vыzы 3эќэ‚эGэ¬эЖь9*ьыєьдь:ь¶ь‰эІь =ыщы WэґьѓьйэйэТэфэ=юХю„эЪьUэcюЙюСэзэAюћьЯь ZэСьїэ‘ь±ыZэ9юеэлэтьёю_яIяю &lt;япя r3WяжяыяD 3І fk3f 3€ 3в 3 4Q 3“я‡яB 34 3z 3: 3‹ 3w 4{ 4њ 4Ы 4  5„ 5щ 4® 7v 9д 7‹ iЏ6w 5ю hЉ4­ f’5э 5Ъ 5&lt; 5Џ 5I 5ў 4Ѕ 5] 7Т 6М 6¬ if8ё 7o 7– iO!7 8F 8‚ 6п i‹j†7e 7^ 7® 7ю 6P 7Ђ 6« h„5€ 55 6C 7© 6Л 5І i‚6є 6¶ 6N 6• 5Б 5Y 7¤ h{6µ 5Х 5Г 6‚ 6q 65 6; 5h 6« 6b 5Ж hwifh–3» 3F 4Й fЋ3k 4Ъ 4r 45 4z 4h 4¦ 3ў 4q 6V 5p 4© hЂis5Ј 4й g€6&lt; 6S hv6\ 6б 5г ho6; 6И 6Л 6? 6ј 4ё 3&gt; 5ё hЃ5u gЊ4„ 4  4п 3ь f‡5N 5ў 5· 4И 4џ 4о 3ќягю6ююњю›ю@юNю TяУяйю…яµяOяжюмяW fwf„3” 3їяФэIюЎюЧюПюqяШя3яХюtяёюrюKяҐю]э6юРюЫюЉяґ 3o 3\я3 3р 34 3i 3M 4Ц 4Д 3Н g~h–3C 3њ 3с f’f~3jяЯя± 3» 3d 3Ђ 3Д 3л 3І 3ЖяЄ 3g gpgђ3’ 3Н 3Щ fm4ю 3Щ 3Ъ fr4щяЛ 3d 4L 4А 3ЖяЋ fЌ3 яия‘я\явяия®яэя~ 3Ш 3x 3г fn4э 3ж 3П 3‘ 3a 3й 3x 3iяПя­ 3шя€яw fhgЊ3Ч 3} 4р 3^ 4d 4Р 3П 3… 4н 3© 3Ч 3ќ 3Ъ fЋ4? 4ќ 3б fЃgn4І 3x 3Љ fђ3™яЅя¬я–яqяjятяЙязя z3ў 3о 3В 3І 3~ 3o f“36 fђ3b 3a 3_ 3ЊяЉямя› 3Г 3z 39 fqfsf€fg3™яvя PяЪяХя„яЖяV fs3Тя ‘3J f|3j 38 3ІяВя®яIя v3q 3љ 3° 3И 3я fЃ4A gx4‚ 4L 4B 4 4l 4© 4м 4  4I 4Y 4ї 4П 4ј 4т gf5М 4р 4ы 4Ь 4К 4  4ѓ 4Ў 4„ 4™ 4л 3ї 3и 3¶ 3‹ 3ж 3f 4‡ 4i 4c g’44 g{gЂ4я 3У 3Х 3· 3ј 3&gt; 4н 3‘ 3р 3d 4= 4R 4M g…4ъ fr4ч f{4Q g}4» 3¦!3 4е 3Ь fr4: 4Ч 3ў 3ґ 3В 3Б 3Л 3w 3A 3I f‘fo3СяШя­яђяљяЭяјя‰яnяГя D"3Ъя­яmяUяџя›я4яЛюЋюxю‡юwюSюѓюГюЛюїю™ю·юўю№юЙюлю7яAялю Iяnя Sяхю Mяеюжю ;яшю [яTяKяЋяєяІя№яЫя¶яя‰яЈя™я«я­яpяЂяњяfяgя@яKяgяTя‚я я±яЗяПяЦятяфяДя·яЙя®яєя·я§яєяЄяћяЎяМяКяёяЧяля№яБяИяЎяkя–яДяЭя Ѓfѓf‰fv3&gt; 3&gt; fufw35 3эятя …3гяФя ѓf}3гяаядябяоярямяыя j3ояШя rf‡f†f{fЋfz3ляг+я ~3уя ~f‹3*яря ’f”f—36 3: 3@ 34 3&gt; f‹3ЦяПя zfѓf{f’fђfђf‰f‰3; 3I 3N 3T 3b 3M 34 f–3Q 3` f—fЌfЋfwfhfkfp3зяДяжяуяаяЭяхяъяря gfi3ъя z3&lt; 33 f‚f„f}ff~f„ftfifkfp3цяря g3шяья fo3ияхя j3няЪяИяёя·яия p3еяЕяИяаяжяпя j3юяхяыяиядяжядяфяхяЪяЗяФяНяВяЖяТяйяШяСяШяЭяЬявяЧяЗяХяФяляжяЙяЁя«яГяЭяояьяцягяОяРяЮяаяиякячямязяХяОябябяжяйяйяЮяКяБяЮябяЯязяхячякязякяйятяъяэя mfwf…fЉf‚f{fofoff38 36 f—f„fЂfЌf’f–f’f„f{f…fxf7"3 xfЂf~fЂfzfqfpfrfyf‚f‰f€ffvf{fs3ъясяьяюяья mfqfp3щяфяыяэяюяыяуяйязяпячя ifofsfofqfpfl3*яэяюяшяъя jflfj3фядяиячя 5"3ьяшяфярятяъя kfk3ыятятяыя h3ыящя!3юяшящяшяфяшяыяъящячяуятятяуяфящ+я gf4"3эя!3 ifh3эяъяьяьяыяюяьяьяьяыяыяюяюя!3юяэ+я gfifjfnfofofmfnflfjfifkflflfkfjfifhfifkflfnfmfkf5&amp;3 hfjfifhfgfgfgfgfhfhfgf4(3 gf4$3</t>
  </si>
  <si>
    <t>RI*F€ L!3WAVEfmt †C"3 gfgfw^!3 UV!3 hfv3datad L!3*я: :E E@ Jь Sy W” bЩЮћИµС &gt;НsТўО&gt;ФOОЉбA Z· UЊ TK7…щ` t\3ю V= `б Xt ]Ў [X @лИьтД :Ё Dл u_Рла=Ф­аШУя QБ ?5Ф_ЯKЩБЭИЪjЭЈЫgЭ;Ю aЭHЭЬыд LбуЫCЯвЬ cЯ]ЭKЯЅЭjЯ TЮ¬ЯЊ 4Ћ I¦Я®кЕ HyмІ P| Q&gt;еCб ‘L7 T? …‡Sb RШ RI R© …ЌRЂ …lRZ Rд Q8 RВ „|RЈ Qц Q… QЧ Qh Qј QK Qџ „—Q„ „~Qj Qю PR Qж P; QП ѓЊQµ ѓvQў Pы PЋ Pж P{ PС Pq Pш OR ѓЏPG I† Oo Py ѓЋP‡ ѓkP‰ PЮ Oњ Pњ OА Pё CЛ g“6г 4ню{юєьИ*эяе 6` kWы‡ч Eэ– :Ь 8E ;Ф 7щ 7З =| iѓh~&gt;… 3¬яЇщOф`х:фcф `ф [ф°уГуяу 6фжу &lt;у XфaфштPу…т ^тIубф TтFу ;тVх 5щ^ъђэґх`с«тkсТт ?у8фЈф{хOцpъфы?юµю bюСъёъшъЏъiы VыІьЛэkщҐы”ы„ь dьZюїю 8ь‡ъуы ^ы?ьсъЮы Sы9эUюню›юх 3ZяЎэЏьKяп 3ю f–fx4… 4ѕ 5‡ hs3‰ю MюЮэѕя~ю«ю `юhю›э :юЋюjя Lю w4f g‚i6ж imj|ku8b iw8я 8й ;Ћ 4иц`ь 5  Bu &gt;Ь t…5rхрт Mт MтЬпЮй €9А I: GFьгнAяо Dx GJ xѓECс DиRе}вРу” Iю Iы }Ћ~ЋOµ ‚fMy Nґ MЛ Iу O; O® O‡ Op OМ ‚‹O5 Pѓ N› Qш Cгц @у„оЉйGдЇв¶дЌа–п o=бм?а}чы N« IЂ Tkп¬ж VжDвхг cгcф‡ JV OV PЩ Ѓ‡Qк H5ы „@‚мьб»нъ JЙ OБ C| L« Kн ‚gOС!P N4 P‹ HR L¦с Dа &gt;евб4йЧб¬н &gt;з Nб¤с ‰Dц Ad Rќ Bвтф Cl P Oѕ O» Lµ ѓfOЋ Pн N&lt; „‹?Wнvг&gt;гЪвЉгв Iд™бj 4Ћ Qф HbыQиYгqвНф· Cещ@ыyзoм Pь}эжтсЋу} w‹6w KJ HO JП P@ Cл 8б Dx N} Dfт Fаќи7ь Xц“ B™ R± Aдч dклйэчпвПз~бIйIбU 4”с ]чђ Va @6 5Ин«а CрШзЕ H= Fэ ;М Sn KЫсI =zпOмЧ Pi sjFє BP K® 9оэД ~W!E Cљ NF ‚“MТ 87 Hя QЅ MQ RЦ ECр ?пАаЏе·й aз Oе}жSаюпщ 6“ =EжаюVыцмлрЭцы lѓhЋ6ч p–;– &lt;Нъѓцўя¶шфъQыљч ‘6Фы· 3¬яђь 4l 8b 6` 6} 7® 8т :ё l\ы ;х –gЋ;З 7кыЩтѓ &lt;T @’ 8к hLхнућ ;з zts€ЌBї 5Ьоbг;д ?дТоЏи @дљз¦ 4o &gt;Sч 4чPрР 4г Lb On F¤ Eв Rи rcяWлгб OкЎ*ш 4Лч dэBюjп 8ф’н—иСщIэ† @e Ib 7№ 4цыХн‰р&gt;юн 3A 6… Gj ‚fOі LЊщЅщ*шЁо 4т:шжъЭ 7э KЫ gFъ ЏxЃ„~Md Ll 4ЄюLс Jуx 6и :Z Lл :Oы VюњуlыЄпЭм g6Ћ 4ш y‡NЁ {qP’ ЃR·сgаdж^в№е‹вле…б‘рQ Jt @№ B· XEю: ;є TЇ ~lQЊ M‘ OС OК @зЫРфЈ A\ EL AзгНзнб9зДЯј Fo A_ЮUзdб HжШбjм QрNоПт7р =лєкcш№шaп6кШгfз eд 8ж‡ж Cл„н Vс‹яЂ nWфhфЂ ;Јхл &gt;ќ IМч Rр w@µ Fv E6 N? Lx I3 IS {jFe v•A¦ ?… =\ Dх AН vsBt @x AХ CQ F» wkCї CK Fb G G— HЙ G^ KW K] Kд }‘Jl DЦ C• Dr Hq zuEЯ DЙ CL vђ&gt;љ AБ B: ?I CQ CA EA zfGl KО Mф Oќ Qљ OМ A« j:я°яЁ 5¶ 48я…э№ы \юWш=щ=т{н BфПюЊ 6Ў 7С 7¶ 4н 86 8D :ь &gt;J 9щ hEъ &gt;ъ yf5я `щЮы ZяPъЬш†щKы •fHяWытц Mщnщ \щФъHыцщ ;ъ–шПш Tщ YяЇ 3 5d 3oъ€эчэ€цфу ^шкърх _с IуРь‘юЉэµ fs4О 3E 3µ g‰8•я Yю{ыЫцЮфъ ‹4KэНяU 6с 6М 6Г 6Ґ ;э 7С 4»ьrьИщ‰ьйэЅю 6яµъЖьhя§ j‡8и 7ш 4]юYю =ыфшошЁщЂъ‰ь j6И 3Фю j3Љъ|ъfы3ы }3_ 4‚я&lt; 5кэАэ‡ь5ъ{ъQы©юѓ 4ѓ 5ё hv8Ч 4c 7« fu5p 4N 4Љ f_я}я \я ]ю»ю§юЩя w3&gt; 8х 5„ 5Ѕьь Zюpэ;ш Lь Xьљ 4A 4~ 3ќяj 3ўэ8ьcю ~3” 5: 9M =¬ 7Пя Bя8 4у 5Ќ 9Њ 3їюхь _эnэ\яt 5ть@юDэ Lэ `ъЯшзъ =ьй 3t 8^ hXюdьbь dян io6Ю 7у 6Yю–ъ~ч»эбюWю± 4¤ g|4ш 3хяoэ Vюжю }5… 3x 5” 6¤ю“ыЧ 3a fЉ:А :Э 4ќэ ’5б jAяbюUыdэћ lЃ9к 4»юая‰ю MыЕчЎх7чDъ_э™ы Yъ Iэ VяЃюѕюцьyэќюЈ 4Ъ!4 3С f:ю?ю 4‘ 3ш 4f 4P 7Ќ 4µ 3Щяfьфэыэ­ iv5c 3|ыдш&lt;шљц 9ш»ъ Pю k4† 5е 6^ 6| ht5дя‘ 4Ѕ 78 7в 6О 7} 5k gbю &gt;юё 3эыnъ«ьйьбэМэ Uя 3я*шмь Љ5y 8ѕ 7є!6 g^*эюB 5U :Ь jTю|ь» 4У 6мэ @ъ3эл 4X 4з 4Х 3гяњюBщ8щЕш«щlю№ 4э Oь ]ш UцЌт Yцrюб 5€ 7ў m“jЃ9м 7J 5Зю]яF hЏg5ян 4ї 3jьєъ QшЂъПяЯэDъ Hэ„ыСя± :С 5¶ 9Z oz:V 9Эъ‹ъ @ь7юЬ g:ї 5q 4Й 4є 3ЪьЬюt 7ѕ 9µ mj9’ jqh@яgэ =ыlэ: 3Гы7шнщGчуш&gt;ы _ь€ы \ы°ьpыFэЕ 3K il7}!7 :| 7­ 8 7Юязэнъ eь4юxю›я| 6h 3Лэ 7эць№ fЌ5€ 3Уы¶шoь †f6G 5л 9[ 93 3уэ Eф Hу—хn 9l CB 7зьйы:ь@э] j‡my8u j„4Фя Sщ9ъВ 4„ 5ўяuэ®ыqы\ы Lы Nь‰я· g’4Z g„5^ 4яюъюГюЌяv 6Ч 6„ 5· jЌf\ю —3Июпю[ 3Ќ 3lь &lt;эцядщ ]ыцэX 5Д 7Ћ 6ч 5?юЙя]я Ѓ5Јя Xэ»яMя&gt;юU k…9ђ 8щ 3Q f8я :ьищqш Cф Cц‘юп j|4Щя? 3Э 4„ ;в 5= g–6Б i{7j hv4?э 7ь юЄ hy6Д 9Vя’ъ9 3ъщHы &lt;ъ`эњь g3— 3ёюAэ… 7• 8МяляЂэЈь }5\ 7Hэ ‰4{ 9дяvьјьчэ“ 6f 7y 4J ixmЌ7Џя 5ю 3ы©юeь ]ыRш Hч¶э“ю±э &gt;ы}ю° 3Юя NяA 6n :у ; 9ґ 34 4“ю;яOыЧьuя ‰6Љю q3Н 5™ 5Y 4єъ ^яњ 4• g=яЎ 3ны&lt;яШ 9з idя–чфъ m5ў 3r 7љяМэн*юэЖяy 3ж fЋ3З f„3: 3{ 38 5J hj5Н 4Ћ h–fPяе 4Њ 4З 3Aя Mюy 3™ 3b 3Aю Bэ:ю· 3Д 3› 3ј 3s iЋh&lt;ю¬ыПэkэ] f“3ЃюO 7ѓ 6љ 5ј 6Ць\эB ;µ 4Dяiь VщI 5a 4МыҐщ :шѓэ§ьWш¶ъЎъп 6f 8’ i_э ѓ6­ 9Э 7с 6— gWюx 7ж :Ћ 8H g?ьdъШьІьЬь |h^яб 3\яwь ]ючэ9ь ~fЉ7T 8O 6fя[ 3Rя IящэЧюUюЕю¦я ’5Ь 7J j—3П 3… 5c 3Аэ @ьVэ ‘g3}яряsя x43язэД 4ђ 6Ѓ 5ИяхюҐ 3™я„ю Zюhь 5э‰э :э Qя‰яЅ 3њ 4п 3у 4М 4Оя y35 fDя э6ы &lt;эію~яЕяЕ 4p hqh‘6ґ 6™ hl5ж gq4м 3д g…39э Sэ°яJ 5 fЉ5­эняhя]юXюОя” 5Ы 3†юu 3M 5}яВяљю Mьмь‡ь ”3ь 3юй fk4=ю i3њ 6Й 6ш 6ѕ 8Е g‡3e 3О 3“я{э„ьCя |3lы7ш№шяшOъЊэh hz7S 7Д 5А 8_ l‘jEя JюМ 4j 5&gt; 6A gr3„ю aэNэИю Eюѓю Lя¤я± 3ј 3Мяzя„ 3щ g‰5№ 4Пя‚яNя QяЂэщэФюXя x3о 5S 5ї 4ЏяЯ 3p 4Z 5Q 3ѕюrю~ 3_ fCя\э YэоэPьGьСьы 3Z 7© 5a 4„ 5Н hЉ5є 5B 5F 5С 3® 3LяЛяћя Yю Nэ &lt;ьНьќьЯь u4 gig}3ыяA 3m 3гяИяћяDюS 3«я {3йяdю 4я*ю Zяxяј 3С hy5Z 4г 66 4мюBю¶ыkъ aэ aю€эґюЬ 3O 5_ 6i 6V 6Є 5b 5Щ 3щ 4… 3AяъэИю†я \яЪьAэДя dюЗю u3И fo3A 5: im9ї h‘3Няєэ—ьвэъю© fx3F 3ї 3S 4Э f4P 5РяnюҐэЩяxю Wя] 3ї f†3В 3«эJяй 3; 4б 3© 5П 4Q 4чяСэDю«юСяЯ 3U 4Юя7ю·я| f[я5я x3f 3ј 3L 5й g–4i 4Щ 4[ 3m 3ь 3ђяЦ 38 g‰4Тя Pя’юѓютэюZ 4p g•hpgЌ3Zю —3FяDюTяФэ3юdы}э=я5 3р h„4X 3е 4Е 3’яXя№я юЬяЁ 3= 3„я XяsяVяняx 3N 3i 3\яНя l3e 4Y 4WящяҐ 4Њ gt3V 3Цяg 4T 4g 3† 3Єяцят 4O fЂ3OяїюKюЋя 3яЗю6я…я} 3ђя Xю„юЕю&gt;юMя№я… 4k g’4† 4&gt; 5е 4s 4ь 3U 5Џ 5і fsf^яPюИю_яQяШяЫяT 3s 3} fЋ4ф 3Л 3’ 4P 4ѕ 3мю€ятюлюVю5я@яkя 9яУяН 3T 34 3hяќюья: fm3б fu3ЗяKяNя¤юмэGь‡эњяЊях 3м 4О f–4Њ g‘5щ 4~ 4шя 7яЁя 3Тя &lt;яЮяn 3щяия ‹3и 3p 4!3KюнюЪяая }fђ3Їя SяVя p3Ця 7яХямяpяcяS 3Чя „3Љ fo3ё 3Ь 3дя©ябюпя‚ 3Пяѓ 3I gq4@ 4ч 3X 3‹я¶яЊ f‚3июАя„ 3·яOя =я _яЉяСяЧ 3њ 4f 4Є 5« gl3йю[я|яqя mfQящюнэ ^яIяµю :яV 3џ 4Х 4x 3±яЗяQ 3Р 3‘ 4’ 3b 4Ѓ gj5^ 4t fs3oя Hяfю bээЉю^ю HяNяЖяО 3ы 3Џ 3т 3r 4Щ 4№ 38 4юя‡ю Cя@юґэ Oя aяФя9 4љ 5§ 4u f|fr3¤ 3{ 3њ 4Xюwю·я g3: 4b 3чя”юНя“ g‰36 g…3¦ 3Є 3€ 4І 3~я!3чю;яvяъя\ 3{ 3Б 3&lt; f4Џ 4Зя Jювя°я”юMю :юgэ XюўяЄяЉ fzg‹3Чя¦ 3Д 3Bя‰ fhoiv6!5w 4‰ 5^ 6Џ 5€яЦэ &gt;э ;эЇэ‡э–эҐюh 3Р 4Й 4А 3j 4O 3±яµяђю¤эКэҐя№ 3јяЩю‰ю‰ю\юЄяP 3Ля` 3Ы f”36 3ня 3я;я5яаюуяч 3H 4м 3юяЩят 3ё 4^ 4‚ 4™ 4ЧяъюЊэEюОю&gt; 3ч 4j 4= 4ця YюJюЉящ 3&lt; 3еяQ 3• 3ы 3f 5Э 4т fhg‚4Ю 3Ѓяµяк 3ш 38 3{я}я›я Xя SяgяGю 5я s3o 3r 3эяp 3Щ gq5Х 3њяmя [ятязяHюТюjя¶яl 3Vяyюйяћ f{3¦э 5э~ю™яwяєю„ю­я 4Є 36 3„ 3H 3ДяJ 3§ g“4щя ‰3\ 47 5ч gr3сюжюQяtя‡я•юЧэ¶ю :яjюNюіюwюжю bяЃю&lt;яВ fo4… 4ї 5Й 5Ш 4Y 4&lt; 3уяK 3няря ‚f3гя‘я 4З 3Љ 3Jя &lt;яыя}яРюXюNяR 3Х f|4™ gЉ4о 4ј 4Ж g”4ќ 3№ 3ЈяN 3§ 3«я&lt; 3Ея ^ю 5я v3ёя Aяхю &lt;яґяЧя Oя9яq 3q 3Eя№яO 4« 4з 4і 3їямяйяћя v3жяЉяZ 3Їя \я l3кяКя:я:я dя†яU fr3б 3t 3™ 3X 3Яю TяДя© 3Ь g“4пя@ 3;яязя“яЅ 3з 3Ё 3НяђюGюбэ’эФю{я¶я Vя 4L 5М 3ѕяY fr4у 3c 3‚яcяњяQя\я ngl5« 4: g•4‚ 3i 3 3ХяЮю^яИяyядю Lю^яR 4&lt; 5г 3*я” 3· f{3jяmюРю Hяцю”юHю]ядя– 3• 3Л 3l 4“ 4‚ 48 fpfl3†я“ 3^ gs4Ыя Tя„яЂяЛю 7я3яНюYяoяИяѕ 3њ 4J 4hяТюHяЪя z3ШясяјяІяb 3f 3\ 4Б 4Ё 3іяЂя7я GяЁю{яСя±я†язя €3ѕ 3З 3Ѓ 3‡яНяw 3Д 3Ш 3я 3А 3Љ 3Ґ 3еябю¤юРю OяRю 9ялюфю¦я Џ3ф 3_ 4и 4і 3М 3¦ 4ј 4Ц 3J 3„ 3L 3Ѕя&lt; 3€ fђf&lt;яЏю Qя‚я^ fs3џяЩя ~3яъяK 3Јяйюъю Mя &lt;я‚яSяvюЮэаюДящяF 3q gk5є 4Y 4h 3ЁяґюЮю:яЪюIя…я ѓ3ш 3s g“5n h‘5ё 4 3эя †3ЈяАю*эбю~ю EюЦюKяШю =ячяд fq4Н 3‡ 3єяЂяря] fq3•яФя u3п fl4V 3ея·яля‘яvя‚я ‚3} 3L 3Y 3ю 3ї 3ея |3йяpяпяРяLяqяЄ fЃ3Ћ 3ф 3X fЃ3Ся[ 33 4С 3h f}3пюўюйюуэЂэ CюOя{ 37 4е 3„ 3c 3ЫяK 37 gЉg’4› 4ќ 4~ 3uяГю ]юВюЭя 3ы f”4Х 3ҐяЭю {3Z 3€яєюµю‡я i3RяUюШю h3Дя g3&gt; 34 3U 3Е 3? 4{ 4 4Ї 3›я v3– 3  3Є 3ј 3T 3F 3ъ 3!4Ѕ 3В 3ї 3ПяГяЏяню°югю SяДю\юёюFяЊяияY 3] 3} 3ђ 3J 3МяЇя4 f‘3{я¶юЉю Dя6я aя JяёяЭ 3“ 4F 4љ 4о 48 4Ќ 3Щ 3Џ 4E 4Ц 3љ 3@ 3d 3Ґ 3О 3¶ 3? 3ЪяЂясю™юЂюhюmюҐюЊю№юПюЪюHяcяАя5 f†3Ляся Њ3L 3G 3r 3Щ 3: 4\ 4г 3k 3c f}3ЖяФявязя s3Ня Oя GяxяшяE 3аяY 3‘ 3p 3T fЉ35 3g fg3±я­яГяW 3f f€3Їяюя4 fu3N 3† 3l f…3\ fw3Яяая§яMяjяzя¬я3 3u fr3U f…fo3^ f“4c 4и 3ь 3— 4I g‚fJя{ю XюsюыюиюнюѕяПя™яЁяИя ‹3y f‹ft3Фяєяфя l33 3 fx4m 4` 4ц 3| f“fq3ия }3A"3 v3µяЉяМязяеяЂ*яюјюmю•юLя·яГяЕяМяїя Ќ3C fw3Ъя o3W 3q 3Ћ 3B fi3—яБя †3&lt; 33 3a 3] f|3§яТяЦя •3™ 3њ 3џ fЊ3ця9 3S 3эяжяІяѕяКяlяfяћя wf‚3щя Ђ3h 3x f„3ёяЉя¶яэя i3ЇяtяЩяT 3a 3G 3ЯяЉяИя jfЋ3НяЄяия mf‰fЉ3V 3• 3{ 3Ґ 3§ 3Ќ 3Ѕ 3Ћ 3| f‡3*яЯя‚яaяhяZяjяя‹яЅяґяПяхяря7 3ў 3g f|3; 3H f…f‡f‘fЊf‹3Ья­яЧя o3ся ‡3G 3k f‘3дяМядяЯяЮяпя }33 f–3ыяМяўя„ятя ѓ3*я&lt; 3L 3E 3шяєяЩяся vfЏfЋ3Q fk3ОяІяґяґяЮя±я›яЦя Ѓ3Ия 3^ fЊ3Дя{яЏя•яЦяИяЖя Ќ3§ 3 fЃf‰3? f3&gt; fifs3= 3: fЏ3Уяля!3 uf~38 3J 3&gt; 3A 3Y 3эяЇя‹яУячяЫяЈя·яняряся g3ЭяяђяБяМяия u3юявяЕяЩядя i3M 3g 3Џ 3k 38 3A 3@ 3; fx3оятядяЪяЭявяаяЮяЫяКяЫя!3 †f‘f‘f‡fЉfmf–3Q f’fl3шя u3щяуяДяћяіяДя¶яПяця yf—f‰fЋfЏf{3ыяфяняЭяпя!3 tfs3хяиямядяияЮяеятя gfЉ3&lt; 3= f‹fђf“fЂf}fjfnfѓfv3зяЩяХябяеяШяШяаяля zfЊfЌf~fzfvf}fvfi3рянямятяья gfrf{f=$3ы+я nfj3*яхяэя nfp3фящя lfrf="3щяюя if:"3эя hfnfnfmflfg3ыямяряфяояпяфяья ifhfgfjfgflfkfh3*я!3 if5"3*я gfifg3эящяыящящяыяэ+я!3 4"3*я#3</t>
  </si>
  <si>
    <t>RI*Fф I!3WAVEfmt †C"3 gfgfw^!3 UV!3 hfv3dataР I!3*яЧя¶яўя‹яjя bясюАюЌюKю cю 7юрэ»эCэСь•ь[ь ;ь«ы HыІъ}ъзщBщµш;шCшoш†шvшЅш©шZшGшhшaш Sшћчњчѕчхчyч 5чо+цTч ^чDчkчЛчnшаш‰шMшсчµч&gt;чyц±хnх 7хoф7ф4ф¤т Pт™тјсърСр PрбпЋп7п§пепmркпPпGп Rп…оЪоjп„п™рWсутAуку eф 4фху€ф 5хйу 9уюсЛсsтTсгрAсВтХт–уяф6цSцbч TшлшжщщxщЈыЙыЄщlц6хФфыу‹фсцщчЃш’шЌщYыПыщьяж fy5  6C 8» 9А &lt;М @‹ A^ AІ Bp xЌHН {„Iґ Iя J} }‚IЬ {~J~ H“ Gэ y‘yЌFы F… zѓz€G™ H“ I\ Kі ~uKu Jё K Kє L^ MЏ Na QБ TE Oт ‹ЂQѓ Ќv]х ‹f\h QЯ [№ O4 ]X WL Mп RТ ~Њ‚…Tа JI GJ ѓ‰P] RO u@~ B  :] Dк ?Ь 5Їюaю» 9§ Aє yhIZ Kт GХ …fdc4M?ь=8@Ы?=3^ Zn G‰ Hљ NЧ F† =§ 8vшЛъыщ‚чўэ Ѓ3— q…C“ y„K4 Qќ Uф ]&lt; _г ]Б Yй T” €lSS Tф Wє LЙ Cд :Юяфю 3юѕщ TчЉчЖчХчoчНшQш Dхпх№т}фsх 9ц=ы Uш JщШъиюњ 5P 5ю ]ьєъКющ 6г :Ш &lt;О pxp†rЂ=U 9_ 6° 4t 9_ ;‹ :&gt; 7µ 5z 6f 7X :Ё &lt;х =± =№ =v =з ;5 =Ы AЅ L4 Ui XЫ XА Wj ‹Zд [w Y‹ T’ QЯ Nў M· HH Cќ 9jэ—хАр ]н@и YдЩбЊиwућюp :v ?› CK }~QГ Vк ^C eO7І9€8 A5 ‚c‰ ^± ЊsUЩ O IЋ E¬ @Я @е Aє zhKч MX QЊ ‚ЂRЌ Tђ €|Vг Wy W] Y: Xг Yќ Z№ Xґ VL S| S€ †‰Rz RЊ Tл RЩ …‡QЌ Pµ OT ~pIЇ yuE‰ DА D” u‘AW @R ;­ 7џ 3ЈыЉхат;оIнҐл _к Eо Hт‹хЅщ ]ыщ Zй Sфџь©хВшќнзсО 99шFр t9gм [рjуp :s &gt;Йм©ъИ DЂ 9Б i–?—ьµяCщМьЛ A­ 8— ;Г &gt;C 4Ўяjы Kп Kуљ 6Љэ j&lt;&gt;ю“ f\хый ZъЎъ VцJэ Ѓ?Ѕ CА &gt;Х 5ъ 9х oЌri&gt;P BО BЏ A} :g 7”яPэq 5бч :у[чёиQб JЯ EЯ¬и Pк Gд @е \Я«е QаИЧmд—лwзcйЌн?рйсЈи \нЁуbрlф BщТу &lt;т `ф `ьУюВэ [ъCю€чґь6 8Uэzэ“ 3“ьЂ 7ю =iэ JьQ 7Ю 5k ;„ ?фя эцюcыЧцмчвцйоштIшeф Bо =з[зуи‡м]к ?дfйбйrЭ eШюЧSТЗТ^Щ7б–Ь¦Ы dаБжЭи OмЌрNмlк™к 5т9уЄт¬рхоXо Tобл­й ;ж»ЯoЪ¶Ш RЭЌихнгп Pпае 5ЬЁЪ@ЫШЯДЬјЭ°ЭуЯеЫіЮэа±Ы¦Ю YиYд„б OЩCХ™Ш [Э :и 8жНе =йожцЯЄа“тg 4џ 8] 7с 6Ѕ gp6т 4? 6В q}AЮ B± qu7“я _яX 7Р By z–y”py4Rь»ю g:] GЗ Qг SQ Tы Q‡ ѓgKЬ }‘|ЌI!O ѓSа T„ Rђ Qь O6 Oу Hb Fy Gw N` Qи K‚ HK Jь R» ЏmaV b° `Џ ЋqWH OE O— NZ M3 ЃK: Hд s‹;k 9я 7’ 8d 6Щю &lt;щ Aу 9нЎл Oп ^п{рGс Yф©хЙш ZяN 6’ 6l 3Kявы &lt;ъЎъ XьnюФ 4l :g &lt;r ;г 7m 6• f‹3Z 5х 8w &lt;Ї q„&gt;ё ;› 6¤ 3WэОыБчбу 3п‡к GзъвЃаиб‚д:е KзњйQкЋйИеOб\Э CЪ &lt;Ъ‡ЪаЫХЯбглеЦжъи Gлбоkф EшiшSшгц eх†тХтMцКшnчЫтQпZоҐс Nч 5ь QэОыdы LэCюР 3ћ 6v o—Bа EВ Hs |ЌIс }ЊN— QF ‡qV® Uо T: T‹ RШ ѓЊP} PЛ O&gt; Oд Mя }–|pJЎ M; O§ N‰ Mt I` GЯ F„ Ed E6 C  Au sk@у ?Я ?‘ @С AЂ vxFѕ Fг HH Jµ IК Hч E¦ E’ E[ Eј Eа Eђ DЫ Dv Dі EЖ w„xly}Dp Ap Aд =Ћ nymo9Х 5Љ fVяњю“ь…ь=ш Uцsч&gt;ъџч Oх Fу &gt;рoм‰йЭнOлкиµиJй°ж•зКйн®мgй TкМкаи=мом|й§з&gt;гxдXдХб®гўг‚г 3аhбНд Nб}ЯAЯї*ЮаVЮџаPг @в IЯПЪ KаєЯабКгРзЩдЕж§и9нЭоVрUуєф·ф OчmщЯш bц­ф`цЗшnх =ъЉъ ]шбрЛхцш:х ?уєш Sэ=ъ»цщъЙьГщgщЁюэ fRъ ьжы*ь‡ыкю “3Л*ьшSъшудпсн“п¤о Hи®зЏн«о Rмcп =сџмДнЯн OоАл›кyм Lнmн 6м9пAр 9тјцюц TчЙъуьАюнъ8ыёэk 3aяв fm5G 4Љ 3R 5Ћ 5§ 8g k“8Р 8ґ :ь ;} p‹?a tjDr v•urDK Dк v“Ct @7 rЌ?° ?д =U &lt;p ;ј ;° nq&lt;Щ &lt;H &lt;• og=“ =V ?ё Aъ CT Ek Fх Fѕ y{IЂ L± ЃiQэ …l†„TЁ Tз SО ‡ЃT: †€…ЏQ– RW R“ PX Mw Lч }…Iq GЙ D” Au &gt;‰ &lt;Ґ l&lt;!6 gWяя UьTъ`щЏш UчзчаъхъЭшбщbыyъ·ц}фпо`мwн Gо 8отм \й°ељвhб—б `глжuй GиСжnж®ейдЦгрвЧгѕв :жNйCкpлNкXл®оаоэрЧрЭо‘м[п _х5ыTэ :яХ fn3~ h‚:s =є q;і 9ќ 6ж 3±яO 3мюря ;ю &lt;ю VюIя’я ‡5У 6ѕ 9з qvzk=ѓ 4єюQшя 3YшVрСцШсbШ :ш\нEрбш 6э; |r=¬ =Ю v{SН ‡K5 €Rд R¦ ?]ъJф &gt;ерй Wц9щ} :ТэВыЃлcшxи5т Cтх…эlијр»лmуЯн Rн‡и©елФГЭЈШТв aв ;йюЮIајЭбељп SоKъ:ч 9тAь°ь Ђ=° l„=р 8б :Dэr =“ @Я L9 Xџ R| PR WЉ ]ћ bp dЩ [U Zl ‡fYФ `j8 •e©6r [Х Q= J€ Iю Jм GН ;п i{:d &lt;А E‚ LE KФ Lg Gг Kx Q^ Њ’\Н e‘3U7K:ќ=¦EЄE¶E›@Ш? P&lt;J9‚ eх ]d †pN` so8Кщшц ;ъЉу Fо_к KлВнXтПщ9 gЋ68 &lt;&gt; ?H nfu~@У BН @К @• @y rkmx;ч 8я 4k 8{ 9т &lt;Й &gt;И o‹8чя _ь№флмфеґбцдeиўм 8о cп{пыкґнXпYфAпиоґоSнЉпzр =х7уЗх¬ч 4хЉхХшЁъ Rы 9ы _ь№ 4џ 8Љ 5к 7А 7р 7† 9™ pђD\ Is P_ Oц Qa ЃlQ• UР Ћ•^ц ax _| ЋzYG PД NП NЗ LЧ {M&gt; qID Fќ Eь D[ Cн y‹Dђ vg&gt;A 8¦ it5ћяхэѕя^ыIыЁы€ьvщ›ъђьdь¤щ€шўы6э ђf…4}яҐьМщЉужп Hп ?нOнЁоно 7рЗсЫп‰мЉлГзbжњжEд \вTа ]ЯЊЬ `ЮTЮ{ЭёЭ;аЪа›гвжVм„сuф@ф¶ф TчўшtъtщЮщцъУщљч ;ч ?ъЈь NяhяNюэяД 3[ 4х ix&gt;ё Dт Hі H— JК ~ЊJФ G¦ wyDµ Ev Eк Aд =Е mЊ7] 5я 4К 4b 4O 4¤ 3U 4Ж 5k 8· mђ;L &lt;с &gt;Є t‘D© FQ Hґ |xMB Pа †ЊT® †iT; †hRЯ P¤ OЩ ЂU!K J6 ~ЃLh K` Jґ IП Gж DЅ Aµ &gt;Ш ot&lt;  =8 =U ;¶ mѓ;&lt; :љ :3 &lt;‡ =ќ &gt;D @р t‡Ev!G K] ‘NЈ P= †{Tс €{Wж ‡€Qи Mc K¬ Hµ F» Dл BО @М @Ъ q&lt;Д :• :“ ;‹ :С 9H :С 9ѕ 6­ gѓ5J is6т 4H 4АяJюSэЧь“ъШшЮщ¤ъzъTш·чmч Sх{сФожмплЂмFмйл Eм MмPлTйїз§еvгЉб OаШЭUЫТШЧХtУjС ]РjО€МЂЛ{ЙQИПЖУЕ¬Д YДЊГўГRГЮВbБ±БСБрБћБ•БтВHДќД4Е7ЖнИnЛ}Н 6ПµТЯХiШЗЩsЬшЮ•вгеЗз–кїм—нHнјп ^сИт :ф bц VшЇщкщyыПэђэ YюЗюґяpяІюsюіэсы `ъ–щСш MщПч`щ}щdщОщ aъ Uы*ъ›ь•э FяРю “3– 3Ф g€5Т 5Л 5б g‘6щ 6¤ 6F jЌ7L 7» 6n 8µ 9О :О 9µ :Њ &lt;T &gt;ј ?r ?н ?k @с sЊAo Aй u•CГ wЊDц Bр @ц ?ќ ?р &gt;3 p“=ќ p‚=ъ ;к n€&lt;m ;B m‘:о 9Ш 9л 9F :Н :q :я 97 :‡ 9¬ 9‡ 8; 8¬ 7~ 7Ш 6k 7ѓ 7x 8— 9ю 9 9h 8J 8д 8U 9… lz9Я 8T 9ѓ 9Ш 7§ 6_ 6&gt; jЏ6v 5Х 5_ 6o 6Л 7Љ 87 9Н lѓ;  ;€ &lt;ю ;? &lt;\ o•pЋ=ґ pЋ=c &lt;¬ ;t ;? :_ 9Џ 8§ 8Џ 9d 9ъ 8§ 9и 8H :y ;c ;4 nin‰;± n‡nЃ:С 8з 7¦ 7щ 6 6X 55я”ю7ьёы 4ъГш JчjцDф Wуврkспр=с 3р окоPп :р8с Vсtр°рWс6тчт Iхwх ]ц—х§цчпшHъ Zы Mыiь Bэ Nэия® 3щ 4J 4 4Т 3Ія^ gm64 75 5z 4\ 4– hs5I 55 hi4l 4с 4О 5Ћ hЉ6Ц 7ћ 9 9F 9i :† ;W ;г &lt;х =Ы &lt;l &lt;‰ ?є ?’ @u ?К ?C ?] =– ppq?Ш ?} &gt;Y ;n :Я ;ё ot?Л @G @’ =n =д &gt;9 twuoB8 BЛ Aѕ @F @Я AQ BF C§ Bа Bљ Ak A8 Bo Cx A‹ Aн sfAn &gt;{ ?‹ ?Й &gt;г ;Q ;i ;S 9? 8= kg8Ї 6} 4Љ 4н 3ЫядюSю ьEы–ъѕщјш¦цТф·ф ;фЄтdуђу6уўт 3тSс PсTс dт?у„уСујф]фвхўц‘цjч aшµшЙш•ш~ш [щ[щяш \шTчОцЖц eц MцUхЦфјфYхѓхlх aхгхuцЁцwц ^чeш}щЁщ aъфъбыЉьвьzь YьКь Sэlь&lt;ьIьwьQь®ьXь‘ь…ьъь ;э»ьҐэ·эшэ¦ю Nя~я p3Љ 3_ 3Ґ 3 3Y 3Q 3` 3« 3Ї 3: 3§яjя”я Џ3b 3Мя±я 7яuюбэQэ Xэуьuьсымыtьс+ь]эЁэ VюпюцяЁ 3‡ 34 4њ 4¶ 4i 4o 4y 4Љ 4µ gth‰5z 5± 5L 6T 6ў 6ч 6Я 6ў 6І 6й 6‰ jikђkЃ8љ 8Њ 8v 8r 8Ш 8џ k}kfkЃ8И 7µ 7Ї j|7Ј i}7j 7Њ 7п 6L 6z 6u 6I 6 i–j’7њ 6  i‰7s 7Ґ 7М 7в j~k…k8E kѓ8ж 7ч 7l 8Ђ 8Д 8у k~94 9™ 9Ѕ 9В 9± 9З l†mg:± l‰9ц 8Ю 8† 8в 7† 7‰ jy7т 5O 5Щ 4Н 4µ 4k 4ґ 3њ 3™ 3є 3; 3­яўяЁя‡яfя @язювюґюFюДэЂэWэмьВьnь`ь@ьUь aь =ь3ьsьОькь`эСэ \юШюµяэяЬя x3g 3– 3r 3Њ 3Ћ 3… 3X fu3еяфя n3ФяЪяця }3  3Д 3н 3є 3h f|f‘3h 3N 3ЗяbяBяЃяzяЁя v3b 3ў 3џ 3й 3q 4= 5Ь 5g 6‰ 6н 6t 7к 7S 8R 8‰ 8Л 8Я 8Е 8› 8џ 8° 8_ 8‘ 7@ 7L jx7Џ iЌ6Д h“5Ж 4T gѓ4в 3Џ 3щяqяиюГюю}юsю:ютэ 6юКэYэщьбьЅьtьLьфыЅыњы±ыДыіыHышъщъоъПъРъ¶ъзъвъ¬ъІъпъ bы‘ыЬы YьSьaьЂ+ьfэ†э±эвэPюqюВю&gt;я©яфя† 3м fr4f 4й 4| 5Я 5л h~6t 6Ё 6б 6с 6F 7џ 7f 7i 7¦ 7К 7н 7я 7Х 7· 7¦ 7¶ 7‚ 7Ђ 7B j„7н 6ы 6У 6© 6p 6n i}6­ 5X hy5њ 4п f•3­я9яЬюєю‡ю TюіэўэЖэ 4ю@ю•юШю `яoяЋя±я gf}fo3W 3… 3Ґ 3© 3’ 3Ц f4y 4Я 4ь 4W 5l 5s 5™ 5Ѕ 5ѕ 5S 5N hk5э 4б 4¬ 4J g†gv4 3БяxяdяШюuюKюRю NютэДэeэ XэНьџьuь*ы¶ызы©ы…ыrыKы 8ы?ыаыQьђь‡ь»ьВьПьгь YэЂэ‘э«эЙэюэ Sю?юlюGюvюpюgю3ю \ю?ю5ю;юйэЕэёэЗээ Lэ &gt;эѓьYь Fь®ыюъ°ъ•ъ Fъ~щ Cщ°ш Zш¦ч Zч©ц”ц Yц PцЩх№хqхiхzх;х 4хщфПф°ф\фGф;ф Gф Xф [фAф~ф¬фЧфрф 7х;хёх Cц&lt;цMцЯц}чЙч¤чрч[ш шяшeщещTъgъЉъОъ 6ыфъиъЙъѓъ?ъ :ъ°щQщъш»шaш LшУч‰чfчkч€ч§чЇчвчXшЮш`щ =ъҐъDыжыrь \э”э4югюTяє+яO 3Џ 3х!3 45 4h 4“ 4¬ 4Ї 4ф g’hЋh–5… 5ј 5№ 5¶ 5Ѕ 5€ 5= hn5В 48 4п 3џ 3R 3Еяћя7яєю•юмэСэ©э¬эrэЁэКэ…эhэЧэ6ю eюlю¬юќюєюжю aяqяeяЬя z3№ 3Ч 3’ 4г 46 5d 5¤ 5Р 5я 5’ 6у 64 7\ 7С 7Ь 7э 7„ 8~ 8Ѕ 8З kilulvl{ltl9П 8ў 8њ 8Ж 8| kp8W 8X 8: k{8л 7ж 7д 7Я 7 7g 7a j…jujsj‰j‡7\ 7Ъ 7ш jЋ8• 8Х khlЊ9E 9H 9&gt; 9D 9H 9? l†9ф 8Я 8Ї 8– 8] 8a 8; kЂ8¤ 7Ё 7™ 7| 7‰ 7… 7љ 7д 7у 76 kf8о jn8ћ 8Е 8Ы 8Г kg9ц 8’ 8™ 8Ё 8• 8H kjkx8Ю 7… 7J 74 j†jЋj†7F 7X 7‰ 7Ж 7л jlkv8щ 7ю 7е 7м 7Я 7я 7у jЃkh8ъ 7¦ 7‡ 7} 7o 7D jЊ7ь 6щ 6р 6К 6т 6Ь 6Ь 6ф 6&lt; 79 7r 7њ 7с j‚8H 8Њ 8э 8W 9ў 9е ly:&gt; :Ђ :К :о :ц :к mЏ;` ;’ ;­ ;Ў ;і ;— ;і ;Й ;В ;Ы ;д nkoЉ&lt;W &lt;M &lt;\ &lt;s &lt;€ &lt;Ђ &lt;‘ &lt;— &lt;‡ &lt;Њ &lt;w &lt;^ o“o—&lt;э ;М ;s ;@ ;р :† :H mp:з 9Ў 9W l9¶ 8V 84 8У 7… 7h 79 7в 6№ 6Ќ 6{ 6W 6R i‰ii{itis64 6D 6Q 6R 6W 6X 6— 6Ъ 6и 6Ф 6ж igj~7ь 6м 6Э 6· 6Ё 6` 6@ 6м 5і 5 5&gt;"5© 4† 4U 47 gl4Ы 3Б 3Ж 3Ё 3” 3 3s 3x 3r 3J 3= 3M 3O 3&gt; f‰fЌfѓf|3; 3J 3i 3o 3 3€ 3Ї 3З 3б 3у 3щ fЃgi4ш 3с fz4в 3д 3Б 3­ 3ђ 3P f–fj3Чя–я@я &lt;ябю¶юђюgюXю&gt;ю3ю Rюъэ ;ю Dю 3юшэ ;юсэнэиэцэ 4юыэ Iю Rю Zю Pю \ю6юQюnю}юЊююВюбю 4я `яKяeяzяЋяџя¶яДяТяаядяняцящяюяъяьяэяыяыяэяэяэяэяюя!3</t>
  </si>
  <si>
    <t>RI*Fж I!3WAVEfmt †C"3 gfgfw^!3 UV!3 hfv3dataВ I#3эяъяь+я mftfrfof6"3ьяряФя«яњя§я±яЖяКяИяНявяРяЈяЏяђяЇяфя4 3[ 3Ѓ 3p 3R 3Y 3| 3› 3ё 3Ґ 3Y 3; f–fѓ3M 3ґ 3ч fyg”4й 3j fufn36 3¬ 3х 3у 3ь 3· 3L f…33 3O 3± f‚4@ 4A 4T 4v 4{ gw4T 3уя —3й 3ќ 4т 4L 5n 5К 5ш 5Ђ 5г 4њ 4’ 4М 4d hЂ6ч 6Ё 7а 7Ё 7{ 7љ 7Ш 7l 8ї 8і 8L k‘kg8д j{8o 8· kn9t 9± lx:T :h mqmx9N 7§ 5н 4ё 4L 5c 6° 7X 8№ 77 63 4хяS 3W ghj5н 3¶яІюЇэ:эDэ Kэ bэ Rэ Jьdъ KщЌшOщтъdыМъящMщgшnчКц \чNш Iщпш°чІц UчРш]ъKщlч Bц =хшуЈуяуtхgч–чҐцbх 4ф&lt;фјфsфЇфgх3цќц&gt;ч Dш aъ3ьRьcьlыТъ¶ьќю№я s4л 5Т 6· 7н 8S mj=µ ?З @7 so?^ q“?н ?  @z AЈ BJ CҐ Cl vЃC† vrEц EЋ D4 ti?© =м &lt;с ;j ;л &lt;с &gt;D ?Й px&lt;Л :ч :Щ &lt;; =К ngni:V k–7U 5e 4i 4Я 3Q 3Пя§юУьaы@ъ bщбшаш`шацёхіуXтАс Eу‘х=ш”щжщћщJшљц–ф Nт DсљсBуЌхMчючtш ;щ CщYш _ч =чyчЩч _чсхох CшУъLэРя ЋgЊh‹5№ gl4К 49 6W 6ь 5h 5Щ 4џ 4P 5¬ 6І 8— :` oЋ=3 =– n‡lѓ8щ i€7U 9‚ :v :ы 9\ l‡7а 6: 6о i—8Ґ 7i 7њ 6= h~4ьяѓя “3„ 4Я 4В 5К 4k 3уюАьЈьrь;ьіъЕщ¤ъЊыЩъ =ъ[щ–ч Zч“чЭчuшVц Cхфт MтSу eх Pч‰щaь8э·ыZъ Qъыш Fч‘ц &gt;хЊфВхдцѓч XщЮъ Sы§щVч¤цAчЊчш7щкъЇьЧэ&gt;ю HяХю¤эЧьры®ьiю Ђfђ4r gЉ4_ 3 hy8g ;5 ;с k‚k‚9В ;D qoAЪ BP D’ B† &gt;5 ;h 9ь : ;Џ nЌ&lt;W =c ?А &gt;© p};й 7‡ 3\ьюъќэe 5Њ 8щ ;Ј &gt;ы &gt;‹ oЋ9Ъ 6І h€6!5 m5Q 7© lf;а":ч 78 5јюЯы®ъEы ?ьPыЭшЅцшф EуксЪпRо WнЙл‘кгирйdл YлФи Lз•зµжЖжsз^и Sйjйіл¬н Yпoп&gt;пЗоlоан dмЎм­нмпpтйуkхЊхxцДцюц­ч 9ъНыЉэЋя± 5Џ :м!&lt; =і &lt;є ;° :A 9№ 9O &lt;4 @ё Bъ D} Fz FО Et D­ DP D° Cv Dm Fё |ѓLФ KU Jw I… I› Iж Hо HЦ HБ HМ Ix IL H{ {…I« Hf Hd |yJ‚ I F· Cz Aі @€ tЂCЂ CИ A‹ q„;_ 8] 8O"8m 5@яaющэяы]ъ 6ъ Gщ†ч Xчэщђя± ioj}4@эъ ]ъћыАы 4ыђшъцFчещMы 5щьф Wс 9оhмЩнYс·у™ф3т eс Gу»цочUцqфЃу 5цхъсяе hm6W 4Ґ 33 5С j—9ї 8› j–7У 8° nЋ&gt;Л ?П @F t“u‚B5 Bf tЋ?ч &lt;‰ ;з ;r pf?Y ?Х =з ;p :џ :O ;: ;Э :Ј lx:Ґ 9а 8© 8І 7t 57я BыUщGшzц LхXхбфqтЏрQс ]сЭпeнњкЇкFмxньм«нѕп =р ;п Kн bм&gt;о{р Oтфт Vф’хMчуш MъЗщzщтыдь™юҐ 3ж f”hЃ6w 6љ hi4jюЎы‘щцш ]ъҐы{я f6› i”inh–5» 4” 4g 6њ mp&gt;и rЂ?{ qѓ&gt;Ґ ?° BY EЬ Fщ GС Gw G5 HЌ II Kђ K Kx L‰ NЇ Ѓ—L® J{ GS C[ t“BV B· utB¬ s…?¶ &gt;Э =– ;Q ;х ;ќ :ю kt9№ 8b 7z 5’ 3ћя7я WяЃю 9э aыCъ :ы `ыpъєч 4хѕрылѓз Wг _гЯг JеШехдG*гЯµЬ bЫ ^Ь Я Qд@зјй›мднсп“с cтат VфHхdцAщръ·эе 3ђ 5ч j—;Ї ?Ј B™ BВ @Ѕ ry@ю @љ Cl xsG› HJ Jв Jґ K„ L¬ }xIз Fљ EP Fy H« }ЉmLЇ J\ |jHR FЙ DO Cў uЌB‘ tЏ@Њ qЊn~8f 4:ю5эЁь›ьЙымъFъ 7щўшгч‰ч =чIчЌшЪъ Cь Mыущpщ•щZщ¶шмч?ч XшGщ 5ыtь Lэ5ьxъrч™фдт Bр¤о =нMнсо Lсyу 9ф}ф QфUуІтЦс 3сЛр Cу„цwыјюжяа 3|я°эюъучЃцЈцкщЪю 6є :І &lt;a =m &lt;ј 9Ш 8Щ 8B mw=· r’uђDЯ C} BА Aў @` Ax vђFJ HЮ F” D^ CD Cб Dњ D; Da D4 wqwgBШ &gt;ю &lt;: &lt;В :ѕ 9щ j‚7q 8Э 7ф 5б fZяµьWъ»ш^ч Iш}шПшlш6чљц cхцуEтЖр›о‹о ?р›сЌубуХфЎхfх Pхfфду \фзф—хшх8ч‡+ш ?щ BъAь aюoэBэuюЉ 3p 5у 5Ы i–8ы 9o ;‰ &lt;k ;Њ 8Р 6S 6S 7o 8{ 8ѕ 6^ hЉ5b 5у 5С 4і 3ёяЄюAя q3L 4k hђ5– 3Ґяyя Qя­яЭяl 3ѓ 4: 3‹яоэ Tэ 8юkя r3и fi5ф 4X 4dяiэ ZьЂыНы;юr friЂ8й 6§ 5с 4L gj4ЭяCюйьХыТъИъ TъвшnщКщWъ KыІъdъКъЈъЭщ[щqш [щ¤щ™чЊц Vц4чўъжэСя• 4х 4п 3жя 4юiэ Dя 4f 7ш ng?’ ?щ &gt;® =‘ ;&lt; lt7ж 6… 7• 6ц 5q 6Ы 6h 6й 5“ 4o 3HяЫэlь3ы ;ъущgь @яЬяЖ f4Б 5П 5є 4ляќюfю Oю”ю Lяхяљ 3Ќ fЋ4z 4й 3Tю:ы7шїч KщљъЗьBяЁя­яЧэещSх 3ушс:тЛуµфлхЉх‰урп `к \е Sвувїе¦йMнWсёуTтvр:о Lнdн8оФпњтМхDщЃэhя 5яЫьгъЖшOц \фTцЛъ~яХ 5х 8i ;L &lt;Ѕ ;д 6™э›шгц 6шeъСэ m4ґ 5и 4й 3Oюѕщ aц DфGуТуВц­щgыФы Lщрх]у Pт Cр°о BпЫр 4*хщGю’яжэ 4ъйц9цќч 4ыъь NюMя „5« 6Л 4·ю€ьpэ Aяq g‘7§ m”&gt;r @¶ AІ ?А &gt;D ?Д toD· woyЊ{”KJ LГ Lт Kя |†H— y–FQ F” ztIE KЦ K JЂ |’GЏ EO Aи &lt;Ю 8С 7я 7— 7­ 7й 4Ъя‰эщЇуCсхрЏр®с cт 4фыцИщѓъКъеъYш LчmхҐущтЫт·ф–ц 7щ 6щмшНцГф MфЉтJт§тОфґщРэA g„5L 4ПюќэЇьЂь‡ь7ьћэJ 3Я 3уя bэџъХщмщВшЭч9ч 9чпч \ъРъЏъfъ EщмщЇъrъЗъFыyьЬя  5b 7; 9Ж 9Ъ m„&lt;л :v :j n“&lt;R =t rwr‚&gt;s =– &lt;&lt; &gt;њ ?S Ax D· GЉ |vJЛ Jу H} y—DO Ab @† ?Ў Ab BH Dш DЗ Dф C4 BV @B =Я nj;} ;!&lt;З ;ґ :M 9\ 7я 3жэ WыМщ™щѕщcы 9э RяФ 4[ 6ч 4ря FюфэЦ 3] 6H 8^ 9џ 9ѓ 8n 7Ъ 4ъю ?ю…ььфюД 4ы 5Э i…6… 4йяИэ aь Kь~ь«ь dь &gt;эTю· 3p 5[ 6µ hp5X 4= 3Щя ‘3м 4Џ 7Щ 9D ;– =† ?І &gt;К ;B 8„ 5m gЃ4џ 5 7Ц 8t 8Ф io5ДяSэUыwъОщ§ш9шєчКчЄч 7чOчЩч7ш}шчш \щ–ъZьЩэїэ Wэцьь JьЋьUэ[юaэGь3ьГэ–я Ѓ3^яfюWэ Qьiь ^ы©ъWъ Fы[эEяа 3µ 5о 5Џ 5| 56 4ўяЋяA fw5¶ 6\ 6К 6± j‘9и 7i i„43ядюЂю« 3ж jy9k 9Я 9r :р l…j„4[ 4!6к 7’ ;Ћ &gt;z Aт A® @ј =д 8{ 64 7m ls;J :’ lzm‘9В 7E 5q 3т 4` 6b 7Ж 94 lg9¶ ;w &lt;х :F 9I 74 :Ј :P 7јячэ^я‹ 6‚ 9З :ъ ;P pj=b :¬ 6… 5в 5G 8· n—qf&gt;¶ &lt;8 &lt;­ 9R 7!5Ыяј 3~ 4Њ 5B 5?яРыХъЯыўъћъtшрч Eш¬ц}ц]х3цћч^ъ‡ъуыэь Qь}ьўэ•эЮыiщЮчечcш Pщ IъЏъЧы»эйэПълчлх eцpцвцџщЕэя 3V 4рю«ы ZшЅхяуtх Mчdщьыъьyь 7щ ]ц©фщуRт9тбуШч•э |3› 3l 3ЅюЙяЩяlяAязюg 3I 5‚ i~i”6ґ 5Y 5А 3ияk 3х 4† 7O :Б &lt;N =B &lt;Т ;я &lt;8 qj?Ш &gt;Ъ rѓAє AХ ?f &lt;x 9№ 7C if6е 5k 5· 4В 4Ћ 4q 45юiь]ыnэ &lt;яx 3 4Е 4ц g‰5Є 3Kюђь…ы:эZюЋюСюёю¶ьЌш \хdх UчNъдьTядя]яЈю Iэnъ SчUх eч ZщЩыѓьBэaя ‚43 3AэйщGч aц‚хЇцЇш :ьїяF 3Ыя &gt;юиъДшљцґцДшRэђ 5G :З :‹ 8Ь 3;ь Pъ&lt;шъцЖч cыЅюЏ 3“ 3“я;я§ю™эьиъцщ Uывь9*эыњыpэ„ю Iюќьnэ ѓ3с 4K 5L 4v 3р 3Џ 3Чя™юiю”я o4„ 4­ 4k 3ђя †4: 6; 6— 3xяe fug„4К 3њя Dяj 3 6п 6Ю 7ё 8» l‰8„ 4uя sfq7Т :® ;ђ :ы 8W 9i 8љ 6Щ 3x fЃ5Љ 7ы 7u 6i 5Ћ i†ir4¶э|ыЯъ5ы cызъ Wы°ьТюV 3ѕ 3Дяшэ¶ыїщ·ш SщФъaю“ 4D 6Ы 4ПюЧы4ъбщ 7ъ ?э™ 3w 9џ &lt;х &lt;д 9Ы 7ж 5т f4яаяh 4v 5б ht6e 6~ 4`ю LэfьОэp fЋ5® hu6 6ќ 5ш 3№ю]ю _ю Kя ‚g„il7Ь jf8} i‰hs4кя „4г 64 9н 8л 6њ 5А 4&lt;я‘ыMы°э« 5ґ 9u n}&lt;Д ;ќ ;П 9Ж 7Ы 6Ѕ 7м :Є &lt;k =ћ ;w :t 8W 7ц 4ДюГэЛю• gmi}5уя4яЎяmюCюdя– 37 6· 7S 6ь 4w 4Юяtя BэШъВъјъqъишAх[ртоEоzо·оОор PуЗфИхЌц 9щOъ6ъ Gщцщфычэ“эhь Rь Oэ9юњь6ъыщМъЯщйцЫт{с_т AхтчЁщь{юuьчшѓх NуWф Hшдъ‹ь{эРю _яѓь 9щТцvш…щ ZъПшЗшЏщsы—ъЬцЧу•ф 3чќшщ Qьwя\ 7e 7› 4Џя¬эе fpjw:Ц ;w &gt;М By yЏEа C} @H @Ч AC BЭ B  u†Fл {Iб zkFO DТ vn@P &gt;ё pg&gt;ю =f =к 9з is6® 7Д 9Њ 9D :u 8: 7X hk3nэ @яp 4j 7Ж 8Ж 7л 6e 6^ 5Ря ?юGьхъ =ы*ь¶яy gk3џь=щ±хРтSуду MцјщЫъйь©юtьђыЉъ Gыoьsэ JээђюCю®эйэ®эjэqэvы 6ы†ь 8я 3ёю &gt;э|ы 6ы &gt;ыeыlэ­юZ 3WюЬьGыУш€шЅъfюF 4Ј 6— 7‘ 6ч 5ё 5; 6; 6ћ k…:§ 8Ё 8№ 7з 6Ђ hqfUяЌ 5ё 7ѓ 6a 5Ф fЃ3Ѓ 3d 3E fu3€ 4!5N gn4Оя”ю Cь CыЇы SэЏя[ 4К 3Ѓ 3гю«эЏь‰ыaы?э«яG 4ѓ 4дя†яeяVю„ыHщ ;щ PъIыИъЄы`ьРь3ы6щNщ Hъйъ¬ыҐьСьЈьЇы Tъ Iщ@чРч LщѕъYьщыЄъpъ =ъSъ 4ыvъўы ]эаъ Kш a*чц Uч‹цUч·ъ7ь&gt;ы:ыръRъкъЁы Dыфь&gt;яЯ 3J 4µя [яJ 3hя~ 3R 5¬ 5@ 7и 9я 9l 9Ќ 8– 8_ :4 =A &gt;й =е oh;R :E 9ќ :Ь &lt;F ?A @Ы &gt;y &lt;џ m|8Ц 6M 7Ї 9ў =Ќ @О AT ?^ :‘ g8юLэ…э q4| 8ю 8¬ 8д 4Чъіцох:ц°шiь [я Џ5¦ 7&lt; 6!4Хэ @эЖяџ 3Б 3у 5И 5Э 3xюТэLюK 4Ќ 6b 9™ ;t!; :µ 7Ф 3Аю Ђ3оямя 6x lЉ:¬ 9Ю 8Y 5*я¦ь 4ы 8ыVьPя¶ 4ц 7ъ k‘7» 4бэIьµы ^юЇюЕя\ 5&lt; 7й 7L 6bяёыWыsю Љg{7Ё 8Ё 6¶ 35эащзш’щАь €h„:№ ;„ :І 7t 5Z 4Q g}jfnq?­ @є &lt;u 5ЮыхчУчпщtю!7 }:} koh:я IэчъхыЃюm 5ю 9Ћ ;З &lt;Д pl=ш kl4µя&lt; 3H 5e 9м ;5 ;л 8J 9X 6П 3Ь 3= 5c 7H 8В ifh–gЊf7яOю OьДыЫь Uю6я•яTю`эђьЗэ…ь”ыIьsэ Tяz 3Ћ 3©юСю[ 4o h…4љя·ю;э4ы 8шацwш cшКцљчіщ‰ыПыДш{ц Wчљъ =ю 4q 6ћ 8_ k}7c hu4а 4M 7Д 7• 8ђ 7П 5Т 5Ѕ 6у j†:о k„5‡ 3юbщбц QцѕцЬщ‹э QяїюKьЯч Kч Hц LчьM h‰9o 94 7Dя eьbыyъЬъаьэюG 3sя]ю©ю5юRьSьYь Hюt ffdю Pэ\ьЦэї 4u 9° ;P ploi9M ig5d g‘5Ж i9й 9m mѓ8Є 5№ящызъ©ъ \ю&gt; hw8M ipgf4P 3ЛящюЂю¬э ^ьОы}ьjя№ gѓ6ш 4ћюzэwю Ђ4Ф 5» 8— m€:ж 6Јя•ыЄш‘щ Gэќ 5К 84 8Р jv3…ьҐьUэ¦яE 6ж 9в :і 8n 38эzыaъУь¤я ‹4­ 5ѓ gh3щэTыhщРшеъПяu 75 lЌj‚3’ьzыпщ ^ъТьВю ‡3вяѕюmьєъхщ‰ъ 8эЩэ’ю;ю‘ы &lt;ъчъ dэ“я g5х g4Q 3Oэїэ Tюљя f4щ 6_ 6є 4G 3ъэ¤югя&lt; 5u 7@ l€:ч 8Ѕ 7ь 53 jђkЃ;[ p†qЋ&gt;Ќ &lt;i &lt;Ћ n“;? ;џ &lt;F ?Ч rЌ@d &gt;Ѕ =Y &gt;{ =р &lt;т ;h &lt;Е &gt;™ ssh?Ћ ?| =п n€m•:_ &lt;~ ;А 8І 6Л 6‘ is5­ 4x 47 4Чя}юЯыЮыХьЕэкяћ 3д 3П 3tя FюПюђя4я `яћэђэ Iю YьјъJщ [ъ~щтчохЉх PшTщыш‰щчы Iэ‘ы¤ъ`шПш &gt;щtц•хOч [ъСыуыгы Fэ’эљщsщJьЭэ HюZяЎ ghs6њ 4Ґ 4e 6: 7б 8| 8Н 8i 9R :Д 76 4^ 4D 3– 3 я|юяэuю&gt;юЧь7ю Iю¦э LюВэъюИ 3М 3еяµ 4Д 4њ 5c 4­ 4а 5Ф 4v 3Ґэоэvэ 6юMюаэЈ fu6ћ 8В j…6• 4ЗюИь…ьЕя] 7я ;A &lt;› 9Y k{5ЭюGь№ы ^э’ 3В 5? 5U 8Л 94 9’ 7н 3юм*я 4с 5a j‰8B 8Ч 6Ї 3эябя EяЛэZь OыcыоычьFюія~ 3&lt; 3ћяLя юТьљь 8эПюe 4C 4Ј g‰5  4‹ fЂfЊ3{ 3x 4Р 3г fo5N 5У g{4фяряі 3{ 4&gt; 4м 3ю 3« 3= fЌfk3ияpяЃя]якюбюСяJ 3чя† 3‚ 3C ft3Хя[ясю8яЙя? 3G 3шя h3мяШяня zf–f–fЊfB 3</t>
  </si>
  <si>
    <t>RI*Fё A!3WAVEfmt †C"3 gfgfw^!3 UV!3 hfv3data” A#3ъя w3кяСя»яqяЏяЄяgяuяBя BяУя v3юя6 3щяЕяL f€3Lяя‰яЫэ^я®юЇэЉю :ю`юS 3nяК 3ђяЅ ghi„5Б 5Ш gz7ј 5| 4ј 5| 6л 4@ 6цяІ 3d 4u 5м f‰3“ 6b 4Љ 5с 5г 7ё jЂil:Р 5Ќ i’7C 5Б 6WяД 3ФяЏя €3]я[янюwя }go5Ї 4Б 5Д 4П 66 5ж 4њ 4Лэ CяСю CьОы6ъОщ:ыЦшћъKщNщдьuэ HъeяНьOэ?ю№э Lю :яґюћя8ъшяО 6Ўь o36 5Д 4Ѓ h”8Х 4Ъ 8ГыЖ :е 9Ў 3чя l:W 3кяЄ 6ђыpюn j_яХыйяєя·эaя!4щ 4є 3‚ 5ў 6М 4с 5w 5єяйюЪь| 3\ 3їэ©я jg7эtюйь g3Ќэaэ 6ясэ Pяфю8яfэzяlюцэq 4ґю DяҐю`южюKэ7яля~ 3I 4Ь g6яТяќ 4‰ 4чя] 3пяш 3=яtю @я@ 3¶ 3° 4§ gЌ3P 3a 6о 3„ 4й 4!6v 4§ 4e 3@ hz33 3Щ 4Ояљ frhЌ4C 4S 43 3® 4t 3w f{4| 4° 3Ћ 3‘я •3ЙяEэќ 3ЅюґюЇяO 4jяnю® 3љ 3iюњ 4©э¶яфьзэ’э‚ю Lю*э‹юoюЬ gTяШ 3‰я 6c 3Ў 6c gЃfkheяj fwg‰4ј 38 3H 3Ѕю&gt; gMю ]ю yf?ядь 6я Gя 8яХ fYюе 5љ 3p f“5i 44 gh4ъяY 4М 6Вэё 3z 4qэ3юlяoь 7юуэeяjэ ‡5хэЏ f;яD 3` 5аюEюpы 4] 7VцГ 3— 7Ющ –3О 85юБъE o5юЏчЌ 8№ gAэbюNяђя PыГяЙяжюЕю ^э Zяэ fw8“ю‰яE 7І 6Ф 3цяo il4Ыю’ 4^ 3Гю‰ 6µ 4є 3о 3Љ hЊ3Йэg 4оя MюД 3Wюu 44 3d ggm6Ь 7° 5о 5Њ 5cяКя¤ f4я dэмэLюI 3южяV 3ЙяФ 3®юЙ 4Cя Lя eя |5Јя 4я4яЮ 4№юhю s5rя\ 3№ядэс 3сэ Zя Ћ3‡ 3‰ 3Ђ fCюьяr 4‹я¶э; 3jяsяЄ 3Мя f4вэkяZ 5NяjюЌю &lt;яMяU 3®яГ 4Kя kh~4ш 3u 4u hv4ўя­юѕюdю VюЛ 3зяd 37ь _я&lt; 4Ш 4д 3µьvя r6ќю g3sяў 3w 4b 4fю KюЪ 3дь €3ю @юГю°яg 5Q 6• 3‘я“ 7с 5S 5F 3ЗыМяЮя ‰5Ќьm 3вюЪ 3cюл fs3ћ 5є 3=яО 3Ѓэ —5Сэ Tя eэщ 4Ѕ 5Ўэ› 3ш 4~ 3Ё 3Е 3Hя*юwя FяLяХяJэвяvю»я 8ю©юDюґэoя ]ю‰я k4аэ ?яйюўя”ьT 3кяыйя« fRэPякяw 37 58яНяa 7µ 3· 6¬ h{3д 3^ iy3E gЉ6: 59 3Ф 4s 6М 3I 4B hu5аю ‹5ы 3Vя p3ж 53 55 7јяЕ 6€ 3I 4F 5jяОя &lt;эыэњ 5ґыПье 3‘ь Mя Aэ {3}яхэ Џ4УячэЃя Љ3мяTю ‚56 3A 3P fBяMя\ю» g^ьtъa 3Вьѓя ‘4Mю …4ў fTя ѓ6d hЊim6Ч 4ш 4Є 8Uэ° 4з f‡3° gђ3Ґя WэB 3Кя }h8ь6юF 7ѓэлюf 4hя RяЌяъ 3Vя‹ь ‘5&lt; 4oь eялы}я Bэ~яфьҐьеьёюхяГя–ю Wэ GюТяГьЉ*яюҐюSюоьҐю®юфю bэљ 34 3ЬюэяEяh 4ь 3и g4  f‘6ф 5Г iђgq5o g€6p 3џ 6х 3Ш jЌ5{ 5P i€6‡ 3: i‡4Bяр 6K g‡5я g•6°юS i~g”5j 4јя &gt;!4 5·ьJ 5їю©ю8 g[ь¬юvя &lt;юЦяKюGя eю &gt;я&lt;юk 3±ыm 4ПюQюЉ 3:ю g3®*юя[ь±яsяKящэ †3У 3Ѓяо g„4Г 3Ияс f|4O 4дюЈ 3® 5гь mhЌ3°э— 3ж 44эk 4ЬяъяYюsю5эЎюіюQ 3‚ьЖюKюҐювэ!3‡ю›ю \яЃ 4GюЎ 3” gaэЎ 3ЃюXяИэ°яЃя6э“ 4ўэвяhя‚ 6Fэм i„3С 4а 3І 3Оя z3• 5Ш 3¤ 3»ю ЃiЊ6ВяL 7к 6&lt; jn7 4J :ѕя z8ч 5Й 6О 5М 4O 6Aюiя· 4Чю©юzь Dэ*юҐь° 3юэХэ 8юwя яRэ—ю›ю Pю3 3оь ?ю^ 3Пю¶ь8 6–эшяЃэ8яШ f5э }3Wьaьuюцьhь ‚fQъл fcя 7яря ig†5ЊяЖ 4м 5Mя p3| 5[ь †6и 3єэa 5@яЅ 4V 5Чю€ 3© 4»ю •69 4Ќя: 3ь 7‚ 3к 4ћ 3Й 3з 6AяЛ 4їяЁягюК 3·юЕ 3= 3­ 5бьд 4E 5ёюaю• 4;эЇя№ 4Ъь Њ5юvя&lt; 4T 4РяТэ?я 5я‰эR fx4”ящьlюo 4сю v6v 3Uю¦ь­ g9юм 3Бюy 6¬я sfz8њ 3е h‹6г j—7М 7Љ 8э fm6Я 5Љю 9я[ gUюЦю 7эUюй 3Yэ l4X 3Дя3яFэ¶юR 4кы„эїь‚ьфяuы Eэ EюK 4к 4j fj4iюaь –g~3D*эь Yязя qf4‡ 3ЂяЮю …5жэј 3dэУячыgя–ю q3г 4Чяљ 7І 5f 4® 8Ую` 5ѓ hLюбюpяњ 4N 7Ёэ Љ7{ 4¤яm 4ђ 4©эјю ’34 f†6? 3и 39 3Ў 5ѓ 5ў 75 4Хю!5 l4EэВ 4o 3 ь№юH f9яHэ €3…яЊ 5Ню :яЬ f]юYя KэЮ 4‰ьeюб 33э dя»э€ j\ыо 5Rя AюЊ 4™ 3РюQ 5ЊэЎ 3:ю&gt; 4Л 5&gt;я№ъйю uhUэmя~яЇ 3Іяџ 3Pя— 3r 6|я RюLюђ hѓ3^ъ  4Q 5ђьZ 6IяҐ 5| 3ыьљ 4— 3›я q3: 3Єю l4З f€4jюќ 4xяђ 5­ 6Tь~ 3K 3ыm 8nь „5Ф 5Q 3ђ 3С 5„ 3е g{6цюая’яЪь|ьXэJэшь \яґьMяG 7k 5° 5o 6vю i€37 3ль ‘3жыэбэць… 4Aы r4КяEяSя lgx3¬!5 4мю° 3Ћя w3s 3Ёя¶ю t4N 3фяЌ 4&lt; 6Йюн 7­ 5d 3q 3їюдь№ 3‘ы¶ 5РэКь oh„37 5Пя „4Ш 8{ 3ь 6ТюГ 9бяoяj 7Љя‡эм 3Люжюaэѕэ p3ґ 3јя p4Y 3Ќ 4юЅ iNьЄяK 3jэ&gt;ь Kяуыuэаю’яҐэlя©э‹яЭя: 4Р 4†э EюШ 4b 3LэЙ 3Є 3Яяb 4i 4bыл 5µ 4х gn5S 7F g„7?юµ 7ы 3Сэ¬я Iюkю Ћf“3V 4µя ‡8±ьј 6П 5“я« 3Щ 5a 3’я –3ѓэх iTя°эс h_ю·ю| 3 ь5я¬ы @ь» 4»шPъ‹ъdьvэкъ]юня›юa 5Н 3Г 5З g‰hk4тюbятя €7~ 4ЋэA 7с 3¶ 8^ 6и iHэЪ kTь» iQюоюћю э †4m 3y 4Ф 4‰ mVю€ ;Ъэћ 6q 6Ъюhюйюбь aьBьb 4Aъщь v6Єэ ~ip4Ѕ 7| fЃ:јы=я €4еэ™ысю Њ3З 3&lt;яою® 3ъ 5ря4 hy8¶ьЈ h6ъjюH 4ЃьЙъ Gяыъ Qыїю4эҐюмцЎьСюЛэSэ† gWюµ 5|ь 3ь¶я? h~gi4– 5Vяe hi7г 7ю 7– ;j 6T 8R 9; 5¬ 6? 6‹ 6эя± 8Я 4 43 66я z5 ы Eьv g9юЎшc 6кэљ 3іяыьпыЏ 8ї 3w 4еэъ 6®эK 5Ѕыаю LюxыЧъ \юђщы„ь@ьDюJя\ъ® g”5Ны gkn3ЕяЗ 3уыIэ‹ 6ыk fkg5h 8‘юb 4З 7q 6s 4Т f—4Tяo g8ю s4м gr5е 7xэW 6x 5Фя |k„4U h{5RыC 4tыЬэ_ы«ъrэХябэ f5“э g5н 5\ lqk`юН gt8Х 3ью ‘6ЏювюnяЊэu 3иье 3mяiэЩюХ hBя¤ьL 3«ыsэ±яТяP 4° hSьЬ :ґя¬ 7uь t7` fqfNьmячюЃъUяz 3Eьё 5± 3Ыю Eю8 :…эh 4ц jvfPюЖы‘ 3®ы TяЌ 5“ъ^э¶э° 3ЛыP 3ћ 4qьќ g‡3њ 45 5Ш 5UьN 75 f9эд 4ыяD 7Л 3&lt; 7k 3ч 37 59 3  6џ 5ья”ю n3n 6вьЪ 4бэUю8 6с fHюЏю¶ьj 3¤яЙы 8яЎыQэ Jэ_ 4T 5Ія{ 6чъљ 6­юА 3м 3[ jЏ6Аън 5’ы&gt; 5ШюуьЕ fk3­э8 3o 3ёю –6Ляb 3¬ 7«я_ 8Љюq 5юэг 5LюvьЉюЪ fQяКюшю JьД iЏ6Ё 6Ёы– 6Q m9щ kh}39эо 5dь TьБэ OьhяЧю€ьля­ gCя‹ 7„ ldыE 6u 3ї 4Й 3чя©ярьщ 5Iя ”4жэ t5s is4ЧяЋ 5кюnю Ђ4sьХыq g^ю =я ‡3R 6вя€ьZ jЋ3з 5ѕюfьZ 3ѕыяэ¶юіщ‘ gm4А 5dэ –;_ь° 3a 8чяОя v4›ьЋ 3 4Vю „7dщ‘ 5Ж 4^ gi57 4є 5q 4Љ 4љ 5w 3є 4nы« 4йщИ fIэsь‘ъjюЇ 3›ъЃяВ 4ЎядыY 6Э 5™ 4гя9яЦ 4r 45 4”эЙ 7Yюаэ| 5щь;я^ fQъо f9э “6цю№ 6Ґ 5њюo 6ПюD 8І 4љ 3] 8i 5Xя j„jEэx g~i;ю_ыРюлъ;юмыВ 3гэ‰чШюЋ i=ъl 5Є!7ыkя Љ7_э« 7Ь i`э@ 7} 6B 3Њ 3kэпя Ђ3–щЉ 6к 6Uьчя bъг j=ю\ь ‰kЂgЉivj6эз 5Њ 7—эъьт fAя€ьo 3_юќ 6…ь: 3; 7§ы v3л 7Pя ?эмяBъщющыь 4вь €4bэS 4Э 3лэ u6b 3f 3a 3Ґ f_я`я Rя!4†юё 39яАя? 3дяS 3ля</t>
  </si>
  <si>
    <t>RI*FЂ c!3WAVEfmt †C"3 gfgfw^!3 UV!3 hfv3data\ c!3 {3Ья Џ38 3^ 3юя° 3_ 3ъ 3Y 3Ч 3хяі 33 4г 4V 4Ї 3f gw34 4а 4ќяЈюњяшю 3дя ‰3оэIэ_юія •3Жя… 5p 5Х 5У 4F 5ая }g~4ґ 4Й 4&lt; 3M j}6G 8С 7Оэ ‘5Ѓю IьLьЁь;эДю f5Ць Rю°я_шЯяxъѕы5ьЈьМ f&gt;эsэГыСчзъЂыўяхюЋя№яЖ 4„ hЉ4; gr3сьДхЬ 4™ь Sюґ kKюС 4ЅъПцжяьRьЁ 5Ј 6э =·ы@ 8Э jdяpюН nyp&lt;яд 5— 3 Cw pЌ8_ 4: h^ь Ѓkeя3я Ѓ&lt;Зэ° @я ?R 4Мэђ 3¶ю6я¤й‰т “ryxlTи§а Ќ&gt;О YД Mћь§р= nЃHҐ Pl ?Ля &gt;зЃсC n–7§ыфтФр„ 5¦чbкЌгЊл [икш &gt;ъамVж =мE 9Rэ `щvяv 5‹ :Љ &gt;± 7БшышКъзюW 8QяБщ«р‰зќйtу n:юы·ы UнGчS krE7 Cњ HК @О yЂ?f ;Џ hs;Ё Bа ibэЛьљы{эя =Є @ф ;^ 6 kf;Z 6тч ‰ij=З C5 nk;ЉшYя s?› s~G ?b 9nюГ :C @9 7ё 3Ѕ 4} 6Ш ?i 4mяЌ g”6} guj†7C 3†ь`я¤ь›туфќы 7эз 5zэЗфсэ GьDь©ш™эљъ :пnы Gш XцрщлъиэИэў 3Щ 6ь ;з ;р k…4хЎуTчcя&lt; 5“ыЈхіфучЂрШчUэ ѓ8Ъ 6c 5і 6fш :ъ¤эющ† &gt;к :mыьы9 8® EЫ E  7F 5сэ ’5є &lt;z kMяЫр§х…ы _юw 4Фю} 3Э &gt;И &lt;І =• jђ6Няс 6} 9Є f|9D 9Яэ­шЪч™э• 5Y l‚7S ;p qf&lt;K 6E ;Л 7Ґя!6}ю Jя k6т 4ќ 3X 7L 6Eэjы„ъiьҐяҐ 3ЁчEчсчрымш\фCх dьйъЬ 7чъ‹э• 4ь ;ш &gt;Ї 9¶ы—с^уBуZх&lt; 4j 3cя ‚kPьЅь°эL 6L 8` n“5Є 3Л 5“ m{:ѓю SъЊю Dьќ 4З 5гыд 5— &gt;х p”;Ю iNюЧыtшbш ;чшщf 7E 9I 4SхFяcя y@ґ 5Wфрьe 9е 5Ххr 5k &lt;Зт¤ pr7Эчѕо…сЇуЈт YъяъQ @јчяц€ф°ь x8ѓэl 5дывь` 9и &lt;О g‚4џт±фо gi4K &lt;w 9ќш ;ьh &lt;а TЁ }‰Bќ GЛ wtJ— q;т qj€@ќц^либ LшbтЎжђчx 6K E« 8y =Ш 9Ош “7К p”8Њъgцqь— 5N 4ЬъФя ‘It ;X 3Щ 4Ёыу m†49ъ]ф…пМк…п]кВпW 3м =„ 4{ч¬ @b @ъ Mё WB Rг Eв Cr qy9ОщYю№ iXуа©лШк 3ъкэXоЩхЊяш 4‹ж[с’ AЏ ;зэmъ &lt;ш° ;p ;ЏяqъЎ &lt;Y =н ;7ю dьd 7ћ @І ;Ц k3сФш 8эВцЅщ5э hnkfi3ѕчтч …5ЦшЗ 3&gt;хЌш 9ъ f5: :Ћ 4€ 6Y =ш Dl &gt;ќэX 8сь›ъK 8—ъ7хnс= 7–ц &gt;щхчg ;‚ 8cыЮъН!= q[юКчЋшCт ZцhьI 9@ 8фщИъKюkф^ф° EЎ ~|H| r}v`ф™уX :Шя€чoцЯьЎ 8ф DZ 4н 3г Dh BЈ 4m ?q &gt;\ 3ыяБ 3&gt;ожсkхАгqыi ML 5i EЈ 7±хZбпц§э|яQ 4K 3bя ‹fXяd 6L A‰ BЫ 6чшw 5џ &lt;• p•8… =¤ 6љюzпсyчћжЌш6 6qз MуЪ 6=ф j;Ѓ Ib N| 9г o…oq;џшащ| 3Ї uoGй ?V Aз RП Bьы €8ў ;; ;Rю7 4Лх¶ъ]ше 6_ ;ЂиZш \ъ k9Љ &gt;т @м ;’ @? Fъ 4г 8Є ;{ 6‘ 6]к 8щeч dкб 9ґ 9±ш l53 7{янъ€щdэжшчнKеwрҐ 3Ѕ &gt;™ &gt;Ы AC v‹=б 54х“сЖщЕьmх Wч&lt;эСъ Ђ3Dф•уКчAщялБъЩтМ 8ў &lt;єн ЊrjhLжz 6sуЛчш &gt;Хъѓ 3H =… 7н h†Bф I8 8m iaыЕэЖп 9рюшEп Љ6фч° 3JъЌу№ 9T ?У mIфчуЏю_ъYф \жЪыъ =}ш v56 ?ѓ =W Dі H9 rEя9ы‚хщыБщCъQ 8іяю° 9Ђ 5ЫлСэ] ;mя» ;K 8‘ 8Ќ =Ѓ :‚э ?эщ @† 7G 7“ gЊ48 6иэ7э u5g 8] &gt;б 5њ 4К :{ ibчно‰чх 4Ь 8\ 8Ж s‹kWъЪыцф ?сгь r8mяВ mupDмHв•ц№ f„6U!&lt; ?Щ Eя f_я© 4Шы 7Зс нmю =щ4фХяF hPъ« ir&lt;Я :Щ 8З ;Д Aџ 6ЯуHшхь v5±ьж 4Џ =Ф ;¶ 3Ўъ {m†Ckч• 8X DVьІ 6љ :ґю;ыЂ oђh]чє 9° 9т 3О t‰?Ќ gjmu;ј 4AяЂ 4eэсцlь Zюwыґш ^яи &gt;j rЋ?К iw&gt;K 9Є 97 7й iXшPшk p?юячлэ Xх;щ 4яыИ 5‹ gbъkь 3мПфo*трlшес»мEуќэЇэ•ьQ 9zютцUчхуА &gt;n 9sюу 3mш†фPы AэP fѓ3б 4А 6t ?I E9 ?° 8mя l8NъКуицГ*хсћыґ fVтъk lv7Л 6С i}&gt;A =њ 8© :П Bё 9&lt; :® Bй FG GF GК xyx—Fх ;Гца 3UчfюL 7Б 5~ 6A :L 4ѕшI 5руZщjу [тSчX 7ѕэ• pi@&gt; 4V 4яэ›ыънх°ыEю°ю; 83 ?‰ 6?ь Gъ Qх :нњг~ж:л dуpмЋшTыЕщ¤щuрътКъ]шЈы™ы Gя8 38 7¤ю‘хЊчљ 4cьoтйф @яI &gt;я ?† u‡l‚7ВьєщЪшdч^ъ |=d D\ rЉBD Fп F€ Gя &gt;ў ?У lPьоя ^юпюPчµъ“щ dьEыtщИяЛ gЌn–&lt;X &gt;Ъ f8я… faюцяІяwъ ]шcэ Wъ·ьY ;Ё 9‚ &lt;н 7НэGшъчЬ 5д 6] 4hъ Bэ4 3¦эi 3J 6V 6RэЙэ— 4д 5· lk&gt;“ =_ 9Њ =D @й 8р nz7t :R 9З 5№эДыf @’ yЂ9п =•юЪц 9эЄоЂь 7уAф t5Vюb rjhBя| :И 8HэЦшmцй 8ЁьЅ 5Яя Qя^юТк4 f7пIрч 6…ъ ‡=щ iPя›ъЉт 4рИо щ9 8p i•:L u~AL GЊ D| B™ Bіыўюќ or;¦ &lt;э ymF° ?t ug6УфЪ 3kщА i‹&gt;Ю 5Ї 6 =Ьч‰юи!3тйчСч Oп{ч Fщќц\ф{фPу;к9м3у Lц^ы Mсг 4RыЪц IуЈтQр Hпoъ Eч± mJэH fx8ю 7— A9юЙюXьФь Uэы jЂ:® kp@В k;э ?ьgю6 ?Ђ s‰kЃjЃ6} jЌf€rЌ?Ў @U =q mЏ9c 4a 9¤щ}ыеш·фњэ]ш 8ч `я Tь 4ы„ 3—ц YхЮш MыЖыf g‘:; iFъ‡ьыэHыuя‚э_ 7Е 3еы j5Ѕя hj‚;D 9Ы &lt;Ї uz&gt;} &lt;В ?‰ 7_ kђ5L 7•ъҐш \эХыч 5• 9Ћ 5ы 3s 7МчЏш6 :y 7Ц 9~ 3о hs3mчaщґъ eъ cяоыpщ Cш&lt;фАрGсLтс FсЦрэтлтWч‡ 56 6ю 4э h‘h=эbьєю ZэмюЈ ;Р 7[ jt4Ѓ 5c 3О j‡4} 4ь 3з 5К ;; &gt;Ч =™ i:Ээ№ 3™яx 6j @® &gt;K ?ф ;¶ =4 iaя dыПэ Uюў 5йюхэЄэrш^ц‰ъ 7ъTщ§ 3Г 5ўяSэмчбьGя­щјъH 5&gt; 8dяЩ 3{ ;!5¤элэ‡ 8lю –9{ ;В =&lt; ;‘ &lt;ц 8” 6ў 8r 9о CG r†C‹ 8ф h|7Ѕ h@ьeьђ i^юж 4_ 3¤ 7У g‰6« 5¤ 7· lt@¬ 4аяGя Yъ 5ы6ц”щb 3v 3юя’юFш=юВщ;эЈ l‹?Ѕ ;Є mu4Уфі 4Ёр WпвэTэ Xч …&lt;± 6ЁьС Bo 7” 7U Dн 9q ?џ z‹FВ :э BvуP i8ы Wц[ 6| Cичъьhчkо:ъ YщТс i3Єх„ &lt;a 3‰щїяпржхpнГвnС‰й=щЭ 4}юУчzрксЌпЇяН hz?©ю UщЗъ Rя _хAцдф“о VкЗц?шЃшR 6Ъ ;Ь ;WюІцт 3Љ q“I~ RУ &gt;r 8Ы 5С &gt;з ET :LяFу6э@ 5г =њ qђ:‘ D? Aу wm&lt;Ѓ 9™ 9Њ ;&lt; pHыҐыѕу :щBю OчP 4W ;Б 6Аэ&lt;эхчy k—5Ух bуҐпПьG lЃ4¦щоь dэ 5швцBр’цгхЩ h‹5O 5A jm9Д &gt;Х ;¦ 6“яй 3M 6q ;[я f6eяАюЏэЎ 7Ј 6™эќ &lt;’ H‡ yZ!E 8F :P 4@ 4fы‡ 3х 6± 6РщT 8q 6Юэ Eшќ 3’яp h‘4єц*х7ф9тЪф ьTчuъ @ъ Tш„эыьwцҐчEшУфњщћье 3q!A =• 9&lt;яY 5ЖыѕьЫэ X!5 lђ7„ :k ;С :Е 9Ћ oTяняс 7о An &gt;Ќ ;c 6Шыћф Cь9щy 4[ 8є 8љ mJя{ьКх aф;щЇч7эІъU f†8R 3Ж 5п lu:Ї ;Ґ 5SэTэEябэ°щКя 5Д :{ 7sэ|я IяРч dх?юф f}lv&gt;5 7њ 8П 4Wюяы„ъtч&lt;ъџ 5j 89 8л i{5’ 5Ўэћщ{ю– f7— &lt;6 3ХэeэО!4э Vь Hю±ш­ы Lь—!3 &lt;“ &lt;э 7jь†чњщі 7ќ @ GЛ LЗ JD @п hђ6!&lt;§ nhunt‡:6 6*эЄч Jю°ю6с=ы¦ 3–юЅэmш±ш?ф eюYэ&lt;ыhчHхuэmщTх8цBы_уъцЮоБфµф4эЋ ri3†оЧ :риЧ E_ 3тцШ 4]ю±жK 44с¬ьI &gt;Bыѓ 4љй}ьcх DягцЗь„я4 7‰ьQчМщй kѓ4Х 4gц Oя« &lt;° ?µ 6ё 5Бюн 3{фЄэо 5ґ 6е 5b 59 g•7J k‡&gt;Ц u“Ew xЏC~ &lt;Bя6ь ЌgЋn“3ляНъ Yю rjn9љ 3Ъ s”8І 5‹ 4[ 4Kцњ 4tь·ь g6®цўфјплтћфb 3в 6*яЛ ;L 4xышыЃшгшj fs6’ fYю 4щHш_ыQ 9Ђ 7Џ 5Б yq@L ;М &lt;} 3‚ ou6е 8x rЌrЌH| CL 9о 5Тч„ц5ыо 6H Cв ?е o”9ѓъ¬юпщьщћъЁщАш}сrн 6учъ; 6ю ;Xьpяњ i3ьkщ 6ы [ъюя§ f&gt;ъMя`ш u4“ 5ц 4l 9› Cи &lt;с 7У 9ны7щ{хІщ:эњ 9Ж 5ю 5“ 9k &gt;Б :“ 4ёщ§ъ ^шfх°фЄы3ьЮ 3®ъ 6яму® 5Іы©ц Wюю  ?6 ;Г 7{ф т| 3ЉрЦ =ЭщЦ 8© @ын xAЋя khl5‘ oj&lt;М &gt;_ Gp 7Aю ”p‘@Г!; 6ђэ YуHю Љ3Ј 6В 6Г 6м &lt;Шя•тцз &lt;нЎтgыЃя Zьх 5чъIмет4ъЯшЫшЙь [эq i&gt;ъЋщy 9жщL 64 7a i&gt;!6 &lt;Ї n9~ ;C xoEJ GЧ 7Љ jg7Сэr &gt;† &gt;ш EЛ J` @^ iu34шZмщх 9ю“ 5‹ 4«яA 5eыdш ;срнbоpюг 3f 4*э~ 4­ъЎейфНцЏтLуxъHфжэy 8— 6ZэќчO =ё 4]ъюv &lt;f ;j o—&gt;9 7eю MшюфЏч ;ш8 7n Eц DP @Z &gt;j 7Чыdъхщ_ц Џhp;‹ i•3їэпю”ы _у bсВф Wо5сq 4L 5¶ 4ѕ 7ш 3 ыЕы юјэАфЉчЌ 8I :М 6ћ &gt;^ 9Ъ j{po6w &lt;ђ ?ї &gt;© ?9 :l :n 94 ;e 44 4K ;ґ 9Ю 8ѕ 7о 4ђ 6ѓ 6Bы^щЦчЈс4йЏиТпИш‡ 8Њ 7A 5c 3\фсм†и9п}ф–яS 6Д fp9g 3ю 3—я9ъЄ &lt;Р ?ф :и :Z ?к ?џ :№ @&gt; ufE\ F„ In E  6S &lt;ъ &lt;Д ?i t—@; &lt;Ї 5и 3џэ_ 4эшЁ 6• AД :“ ;њьњфгмЇпiр ?ф]щ»ьI faя—хRо°р SхЭф°ч–ш Nущц LщЫэб 7E p—4A 3‡ 3Цьесєсk 3з &gt;“ &gt;і ;у =У 3ђяьэЦяЉь­ hЋ:Ё mЌ6=ющюOыYюЃэSършџюЙ h;ъ^шЗ 4} 6† 3ЛщНш„ьюъЭъ Pэ—ьДь ‘8ј nЉ3@шбчzц}фmф CщЌ 84 ;x C] G| &gt;F 6y 9у 6Qшђчњ ;Њ 9Р fЊ?· Cѓ ;Џ &lt;ъ fTш„ 3h &lt;[шЃчК 4ѕ :!9°ьИф€ф¬цG*уиyйоу ъЮч\ъ= 8§ 9ўь­ц…ыФыU 4В 7s &gt;D ?ц :[ 3Йщ DыMюР 6@ tЌDЧ Ky P§ Iі &lt;7 8Ј 3Фщ·ъГ 7r muA§ C‡ BW ?O =Н ;wя QьЫъ~цзт EшЕьіщ ?ьkюѕъч ^т‘пнт›щёчЎшЂьMы€у Jр7н Tт8щёяГ 9ш E3 Jќ Bд 7С kKэЄшЫ 5@ =Z 8t :ѓ Aj t{Ag =a 8ф gaя ђfw3­ьНэ` 69!7 4§ю &gt;ю 6ущй &gt;чб 3ёщkцb 3¦ю aцПцpуAпцр•ь g6ія †3 fbы·ч€хќчЅэР 89 ;c l„6о 8‹ 6Ьэ^я{ю7яаыj ip@ч vrBІ Dт wЌ9сыUюmяКщЉ 8Л jKяXяo 4Cю¦ч 7эРюЖчртвф‰чRтф‹ыuуXс…о aтgсќуaь’ 6y 9Ќ ;б 7Кчёц] 5b &gt;v &gt;d w“M– DЕ &lt;3 &lt;Џ 8ч 4– 9О ?Ґ Gё yЂwmDћ ynEe Ay AБ r5Ич·ч6ц ]ъш 7Ѓ &gt;х t;° 7Ѕщ Bм№з DнkтNцЅчSч°о*ж Kж `кsп¦ыИ 3ћ &gt;9 &gt;­ nHьПчDшЈш 8хая¤ 6O CЗ HD LJ Nу Iо @» =у 8¦ 6C 6» r=Ф &lt;I &lt;T &lt;Й 6Є 4–ш DяЙшКчїуґяjцтф Gс :рде MвљзХнопsуЗъSэ№чRцkл{кЯлМк :ыA nip{;Ю ?i ;ѕ 7љьvшящ “;&gt; &gt;µ E: N\ }•IS J¦ C Aq v‘DЪ qѓ@Ђ &gt;H &gt;p 6s &gt;М 8е j…6’ mTя¶пtн bфEс†зЮнЅхUйrн 8уви Eй|рбн¦п@оbъ –i@щ Nьk 33чrщzьЌ 4~ o‚x€FT HД GЯ @U 9р C† B8 Aѕ Cѓ J® ~v|xGя C¶ 3Є g€;– 7L 4T 7Я :3 ;‘ 7в hAэ Qыcн NоQтдхцъ LэхыCя 5ь–чeц*ч _щЖю ’4Н :U 9f jѓ:? 9К 4t hu3z ;­ 7ѕ 9y &lt;џ 9и jq;[ 5 ю &gt;ю…э 5ыU :П sgDY FЇ 9э hCэЬп Aсжт¦с©х 4щ—цwр»уёойжoл YфітЎуЃщЃъћъ JцPхQуVуўт‰у¬щ‘щ zgqkj5| 6ї 4– 5П 6« 9ђ 9l rЂD_ tђs–:м 7_ 4чэ 3В lZыЙш7 5Ещ 3ыgрАсФчПсџпђчQ 9щь 6пKьЇ 7Aя Eм5с™ 7Ўь ^т lЃJѓ p}joF¦ AfьАяЅ =6 r†@Њ &gt;о ?” Bщ Cм k„hЃ@н ;± 5B 6Ґ ?ш n]фЙы ‚&gt;Q gЃ3m 8Ы :Ќ 4&gt;хPъЗьИэЬэUьrэWш±ъЩыSщюъ¦яч 9v &gt;Є =Е 6T 9W C¬ JA tCЁ LP JҐ 8Qю gi…:Њ 9V =8 @ж :rъ3ч f{h—&lt;7э ;ф8х| 43 5Лу LенжВв Xм @п|п MиHйЗлtрлт 3ы ^фмй“и3щЗъауzьл &lt;­эШ 78 DЋ :ф ijL® UЬ „ЌKУ Ew GВ QV LД Bg A¦ ?Ц mjlЊ=¤!?яKъ”япэ§тир Dщглэг Jу¤ш bиЌг FнҐс Rт&gt;р3т€уащ j4« mgu~=s fg5E B9 B] :„ 6ы lfuЂuCт EV G® ‘IЩ @S Hj II ?в ?Ы =х 9Z 7ѕ :й 9ў 3­ъМч‹ц Vп =е¦иЪгпЭ FаDгVи:уlу9н=иCл SзCиЩуMьgф @угу5сaквх ‰68 9® Fh OП G4 GТ Cи ?б EЃ CЏ ~ME EB IЩ E; ;Ы &gt;ё 7нь… 8I 4Ж 3X &lt;“ :P &lt;• @¦ 3ДьOпцй GнlиHе Aиўф5ъяф dэош Sкvщ Wэ aэ ЋAх rtCD zЏis5Ѕ 3фщфщJэР jtxnC• ms&gt;¦ 4нытц©щЇ lr9Г 8Н A: &lt;ѕ 5~э [ьЧуGрЂфDч Iф&gt;ш®ьЇчZцBубшЧьн 4® 3v 5Щ 5ж hђ6‘ьрчsрэлУйЩс}чвы• 8} &lt; DB =p 9Ф js;н 9› mj&lt;b &lt;‡ 97ю»эў 3nю9ъ cьТы: 3  ;‡ 4| 5Тю®юRш‘хзфbцЋщДьc i7Ж &lt;9 i…5v 6Н 7— 6Ю g…&lt;j Cu A} &gt;r &lt;ј &lt;Ќ mv&lt;љ :Я pfHI El &lt;g @Т 8Њыa f]ь\ 4T g‰8№ 7“ 7µ 3… 8С :А 6чы Vюm 3P*ътФп™фЬсзтu ;пь—ьль–ьҐ p9“ v|=‰ p~D« ?– &lt;h :З ;ц so8ы 8± l8э6 5~ьЖъBю7 6ъь`шСяищ &gt;чзхQхsхzсжц :чшуЈлчфfшчс5тgц¶ф`мяо Kу·фёц«чЉю8 7« 9т 5µ gѓ9 &lt;4 DЃ uq? =F iWюе 6= 4Fщ g7= =К 3Э Bк vz7с ?Ч BБ 6¦ъ{хМлдзrз dгhйќуUшќщ \юж 4Fь­чЬс_чНфmь ы|э&lt;яЂ :Ч 6Э 4ф 7’ &gt;і Gј z‡RЅ ‚ЏN± LЖ =Г 4“ l—5nю‰яѓ :б k—4щх€у &gt;мЭб&gt;ељвmе§цщч Rчкэ·ьйэ †5§ьNьL 6I BW ;ћ ;G Eo A† ?Ч ; 8Бю·ьВ 7Г 6; AШ FЋ EФ I^ BУ n‹6`ьAч¦хЬыА 9j 6М 3”ч*йяаsеpпҐоЮцCыQы Yы‡чqкШиук ;фс 5 ?я ?® CЎ AЎ ?М 9В 7В 5І 8 oЉCЦ In Qы ‡•Vс UC Nњ Gх Bї =^ oЃCa Fя J’ Iw = ш ;гЬЫGР aФuдRсэяёш 6н®еъФЬМDУ UЮЬе Hшхъg 3›фMп‹тuл Gш ‘3\ &gt;g NЇ Wж bИ Yџ V LЮ zpF™ F8 to~wO{ V‹ MЇ @°ъ†хЋц€х JщЈю ?*э 4N :°яoк :бYЮ7аFг =йыи \тќтѓрДхам aжл•щ« oj{‹WЁ W„ Zѕ ‹nRf KЯ C3 Ce A? DA Gў H4 M‹ LО Bь 4э Ђ3• :‰ Aя AP @а 8|ь‹мќи [а DХHЫєЮ MЮШг LаЫдєм™нfмпкЛф 6щ ‘4D n‡A› rw&lt;F C] =Л 9} ?п 9Н ?Е AB JТ I¬ |€I&lt; Fз HЎ ?: fWш Dщ ‚4Q 3  4Дх·т«нєв WЫЖТ{Ы Bвfмсц€ш [рoм8з 5н aъП j—9Д q‰C§ CЖ 9Чяѓ iw9ђ Cу y‡Mz Rс †pW@ ЉgOЙ z†@Ц 5Ц 4­ъ aуTш Fю …8S :T 6ЏцЊкТЬOЬ =вСл]о¶ц 6ьHсZмnд¦ЮбШ¦аlмвуїщ„ 3| 8u k;A 7э 6u kj&gt;r }ѓMу Lf K— JZ MH NЋ KY KЛ HЦ FЂ Jш IҐ D‚ 8сю¬ы]чсч±ф Dо…л?лЉкvйYй г cЮ^вњзxнЯнФукы7 7њ 9Iяyъ u4ј mrw„iOЎ ѓ€VШ [М XR N– My N_ PA QК!Q Mю {u@э Aq =ї 8Sя&lt;ьЧц^юЊэЩс6н8д YзцуYуЧрљф YуZу~тГс›рAрVъґ 8j 8h!7 &gt;‚ @!&lt;k qЊk4ь „7dю5 hf7Lяzэµь›щ&gt; :D 4ПюJыЕфZф&gt;тRс :ц cнnмґйюп Aд™в–вФи &gt;мтр¬сЛьЎ 6° 6ё &lt;7 ?p nЌm_ю q;Б :® ;Ђ HЃ Dё Iv BQ v†t6юћ 3k uЏr•xfriBІ Aћ =Cя…эг 3hэoшыъ—ьґэgшю 4џ 8яю шЧт RыOыHьЧя u?d AЎ mЂn}:­ 8ђ &gt;Ж!&gt; 9Ш &gt;ё IG Hz @~ @Т :¦ 45 6ИьK 7† 74э„щМюCьИт YсnшLхЯиnнsк 5гИйўнTо“нTз¶вФмМп Lй~х[э oh€3¶щLтЬхСщЦь­ 8ї Eі IБ Bђ D… yz~tGт =К r{A“ BЉ sqh|6mю{ 3eь 5щ… 7f 8пъ±ы•ыВцїчюэaы|ч‘ 3H 3pфoт 3ц| 3з 9–я^э k&lt;b 7Єюd Gp Q№ =ѕ 3џ ;s xt=¦ 8щ yЋѓЊQЅ OГ G4 Jт D_яЙчлщZщ”фЎцыюx 4Жч Rзmб bд FЮзЬGкОујфЖт9ы±тbеЋе MиЦо&gt;щ?ю6 gq3© 4;ч­нµрІп 5тBю —?H @я @д 7Y fGэ¤я‰ьУ 6Љ A№ Bи ?Ї 6Ђ 3нщQь 4яЎьѕяN &lt;m @D @т"GY BҐ o{=ш 6[ 3є 6¤ 9y @м A» Bє DP AЋ 3zъ¦яћ 9ы =У :€ rqEх =З 7T :f 6ёюњыМ 3г 8И u“Bt =s D; EA 8kыvяз 5н &lt;ў ?И D8 yj&lt;p 5 ь±х Xзхз°с Wю[э6э f6Ўэ¬хЖл AлОиvп Vчoя z9С 5ґу·йЏе5глиZп;ыЈьҐъњя MыoфmрхфXш4 fv9_ :¦ i—5t 4Ёх3ш~у‚щўы 4` 8Ш 4ё 6ц 8ь Fъ Kя  7v 6: 8› ;н :я 6y f{4!6Њ 6Й 67 7а k‰=С 9Ю :® 8Ц 6Њ 8В 9€ h_эјя u9· &lt;‚ =P &gt;H ;= 3gыЮфФхaъ Hяђ 8В Aк D6 ?&lt; 8няQъnчшэј 7ґ 5ґя 4щ`у&lt;мЪлuлЇмaх;ф AчефЄуЙуЊфTуfшёы YъЃшWьњ hxlu;Ь Aј v”=о 4Ш 3© 7Ю &lt;ґ BJ J[ Mќ Jф ?к 3¶х 4уМцбяDюЧ!&lt; 7Оэ Mц Fлlд 4зdрMу}ьІ 9Д 8· 9vяz f—8я :M 8_ @g xjD• Dо Fµ t&gt;ь ;I 3Rэћ 9Z @Ї Do IМ w‚Cµ A‡ 9Ё g„3uя&gt; 5м mѓ7Ё gf8єыRы’эвэ™хќшPю 5шИъ bь Xц`ы¶ц ]хBхjфХрїп¤оЄтaч™э•ьЩч _щ NщЙш NшючёыП 8я u’I» V‹ OОя MнЦфВ 4T &gt;И 7ѓяK 3V @у Eл uѓ;їю9ц…и Lаwе*к&gt;окр 9фwшя f]юП j‡A= &lt;—э‚чбрјц5 :ъ 9ф 5ъ ;µ @K Fд J‹ EФ BD Bj 4оэ }sy:Џ =h ?™уC &lt; Cў gBТю§*й h3ф `ЭYсЭлрг VмRкѕжU 3жю ‘=V GЦ nZсLъЎ 5~чPюVэвэ A” AЖ 9\ 3‡чЪ i@ы Oш“ =© w&lt;сЈ 3&lt;яTч JпfсO @ь HF Fж HёяЏжЧж§ц XрЉщ Ќg”?у Nu Lй K} {;тRбkо¶ю цqш s8Q Bў Bџ Q» G{ф°г‚ъ BщGьµ ‡Q!3щ Fяк No 6Рйіл zAEшьй rSр \!3` KЕ J9 3vлc 3&gt; pUьЋ 9k ;l 7µф©щЧе•х x=x m`у ;ыаы\уkх™х:у6 9И Fe 5s :Сяc &gt;g 3¬жСы4ь^фCзт 4єюAш4янх°э Zьzяeь‡щ‡д NчїыВщzшжю‚ 3ъчьъS 7g :© &gt;Ї &lt;8 8Ђ =Zя¬ Eh Vщ Eк ;Њ Bя MТ KЩ oeыg @j Cѕ 9OщЃм Sоѓт sjђ3Zьzх €kђ7™цГюиь\ш€т®щgшЗщчхtх Lя |=љэ Yсў 3­ Pd @С 9Ђ ?† CЭ &lt;u q€p…m„pOяsыю 5Х 68уOнzхqцnх ^ыx gCф]нoрXь»чЗлЦф Nшм8кпзнп№ъ–юхяж 6„ :и =¦ EЎ Dт pbяШ 3x 8љэ¶ь f4ОюЌсQшj iЂ?m E; ‚€KO =&gt;чUлxнбц  3Эяz 4‚ 6Хэшы„э Qх5 5N @Н 9с @К 6!5g p‹:r @ћ C» pЃ:= 5дэЉэ Џ@Ї G] BИ &lt;Ю f…iaюЦх Vцъц3яЇ ;‚ Eg JG vr4тЋпkн Bд†н«ъtэ°щёэЈэ›уOпyфЁ 7П jCьЈх„шщ 5±у¤ sЌLК :Ь &gt;ѓ Q= ;ьюТ =u 5= 6’ 9d == sg;ї nz6Хщ IэKцHпTх•р§дГн]уЈн Sм 8у@ф bх`ч°чічђы t3Ь 9a &lt;Ў 5Й 8s zuJќ Fg E7 I‹ Iч AF &gt;V nq4ѓяnэ ‹7 A= ;М 6Э :4 3Мх{ю·щ Nц†цЫл Zн 4т хђч cч ]ю†я—*ья v6ёчeь —6А 3Wъйю Љ4B g•7™ &gt;T @я &lt;ї njl}l‰f4ъ?ф|с Rфџш— i9ю–ъ Gэ“чпdф^ыЛыП 3t mi;У :¤ 5Ш ju4TэM 3AьЌх ‚hl;УыtыBэиъ_хїхцьTьwюJ jy4§щЫр’ц @ыИьђ 4\ o—;Х vxA‰ &lt;z 9Zюр 9ЇюЉьЇяг @l 9• &lt;J =ѓ ?љ AOяШ 8– 8©чqчшхћхву Lхґщ Ћ9· 8eюЃ 5° ;© 4dьъ 5Ѓ wkqj&gt;m q†?ј ;J 6n &lt;· CГ A’ ;ѓ ;ц 6‰ 5Д 9h 6Ы 4пч &gt;шђчqсCн 8ућоЩрўчVщрхщпjм aхuц Xч»шЃю bъмш„ 3v 8f 9ю 79 BГ &gt;o ?я CX DЈ &lt;М swGJ A_ =Э ?; :И g=ъ3ф HхIш 8эmяцъ 9ьwъсFоглVм”сБчищxъ_э{я—ьіь‹эI f‡89 AВ FS A| &gt;я ;e 4TъЏч‘ 3щ lkDИ IД yx;љ 5Bэ ?ч‘фxш¬ыK 7‹ 5‡ячщ«у«хгчўъ}ъЊ fn9V 5dюЁъ Yф*тYцНьЂ 5° 8І 8j 4КюЩьЉщїшЈэл 5 9Ѕ &lt;q =p 9Ц 3Щ 3¤ h&lt;ю\ъ  3уяѓь Tю ‘7ЯяЦю± jr7‹яиыzь3шЌу®ы; 8ё 8M 7‡ lh8• 3&lt;ь FъAьО 3о 7о jq4O 79 7”эfчГъDыUэ… 9L =x =­ pl; :x 7H 3X 3Л :H qg=© oЊ9; 4?ыДхЇщ§юбъищ°ьGщ ?ъKхшт]тЪтЌт MтЙхNцcщПюн 5П 3А jЂ&lt;Г ;Ц 7И 6q 9[ &gt;Н r|AL B™ @ы &lt;ъ =e ;€ 6V 9t q‰?№ 8Зя7ыЦхSу~цефпфЮш…ы_ь3чfрЇрѓслтaчЅь•юt 3o 4¬яи 5ѓ jp9ї &lt;ё lЃ9j 8Ц mЉ=ѓ ;Р =j &gt;@ qt9г 8Д 8а h†4© 4zяіьКъЉшPчгчyх”цµшfъеьЄьЅъэщёъcщyэђ fo6L ;ё 9ч 5W 8‹ ;D 8Ъ 5и i&lt;q =~ 8є f“5f 3N 3Е gTяµыШъ‰ыҐьЄъЯхOхдх­уЛуМш–ьMэдэКэZэ Ћ3мяџэY fk5њ 4Б 6_ :Y &lt;Ѓ &lt;Б ;&gt; 7ю 6п hm9л 8¦ 8Y 5Ґяw 3ёяЧя“ыqъЦъ_яI 7&lt; 8Ћ fDэMэnэV 3–я»эЮюЉ h•8Њ 8Ј f[юґю„ы@юM 6Hя‚э•ю VьЎэMюЊь ]ь `ьfшшСы4ы|юьяk 4c 3FюеюXя&gt; it7Y 8N 8¬ k‘5э j…4Ђ 4… &lt;н kwi‰8ё 7ы gl3юъ7ы @ь Vэ fNяmщРчjщHш»щђы…ыцэh 3^ 5{ 4gяCэЖэИьYэR 4… 8x ;Ё ojl€9w ;м AM Eё @O l‹4Їы RфЖсLтґъЇ l„;Р ;У &lt;р 3v iѓ8}ы ]оўж®й4схчdь— 6~ rЂy„LЫ Kт DЖ 96 h:юrы ычщё 4 &gt;v su&gt;ј 8[эUцБхит`у*цбыа 6Ф ;3 o~3Тшзп‡й \й›нюу…ч Vя ‡8¤ ;є :hюачЈхвщk j‰:ц ;э &gt;f =в 8њ 8¬ :Ѓ 8 9L iЌlѓ9аэ ‰iNэ 4†эYшYъ@ы‘ 9X 9Іч6 :F 3€ 9йые 4— 8vя ^ш eтPшгтуч‰ 4ґ 8э 7Z =« A} :@э эХьqэ‹яі 4Є 6R 6ОьЧьвы~ь¤шиць 3с &gt;л mЃ;я @l sl6Яь`ц Eт 3р Wщcяью ngЊl{:… &lt;  o3СчµцьшЭх ;щ« 5` 7‰ы›ы_яхэbь Bъ7э ‹3xэxяi 4¤ 3*ьcыWяк 7® 8© 3§э s4У 4тьр 4ї 3Ќ 4¶ hw3Г 4ќ 3!5&gt; 7Юю 4ю`э° 3Ъ 9ю :&gt; 7‹ 5ъ 6ся Rы 7юuящюџ f•5з 5} gЃjMюТю w4Їю Nя —4Й 7« 6н 6 3B 3Y g•4]э­ч;ц 3ы–щ _я\ 5C 7• ig3_юЙэДэ^юфю8 j•7A g…6i 9Ђ 6¦ясяК fy8ц :Ь :А 9j 6юя€ f`яҐэFэИю9 3ъя}э Vя –3ГюTьTщ~щ Fч aц§ц Yч 6шдъvю yhu5Б 3a hm4¦я “4UяaюIяj!3 6м 7Ј 8c 7‚ 7э 7О 8X kh7c 6ф g…3Р 3ё gq5Х 3С 3x 3Ыя№ 4ђяЭюНя§ 4fюAъМьЙяsэ Wы _ь¬яE 3µяЪюІяд 3т g”5w h’4Ј 3U 3q 3эю’ю°яiя Uя u4_ 4и hv5ёяL 4“ 4› 4_ 3T 3n h4њяѕю– 4; 4РяРэЭэwэ DьЩэ9юµьWюСюBя|ю Ћ4жяD g8ю4эMю‹э—юНыН 3ыC fIэuя•ю«э]эКяв fwfЌ4Х 4Аю;ю w7i 7; 6— f’55 5Тъ–ьДъ…ц*ы Gэо 3J"6W 9О 6{ 8e fTэ8юЉя]я ЉfMьiя p4J gЉ74э —3?я dяфя Dэ!4 Љh“4эяеяyю ‡3@юію· 5а 4”яж fWюРэJээ Cяшю `эD 4ґ 5† 3A ft3м 6и mђ7Л 4© 9Т hЌ7Г 7§ 5~ 5ђ 7Ы g7яІя‹яЋ 3[ 5ЖяД 4x ig5{ 3ѕэШюХя8эeю»ю—э Qюты Dъ4эь 3d 6u 4iюзя&lt;я…ю Bю {3ія±южяE 3&lt; h’i–3~я› 4К 6: 6Т 5a hѓ5гя ;ю UяБюаэ l3г 4u 3їюк f”5Н 3ЉюаюDяJя Yю FюЏюXю&gt;ю¦ю9яEю OьэюэяЈюКю y3E 4ъяџ 3: 3cяµяЕ fђ5Ч iЂ9Ј 8[ 8Ћ 7‚ 5П 4ф f@я‹эыювю*юэЄю k3бя_я WяЌюMю†э“эoьць}эћэ:ь cэ·ю 4я 9я ‘3У 5R 5­ 4· 5Њ 4Е f‚4‡ 3т g„hli‹6t 5Ч fRя [я^ 3&gt;яхя Ћf’3ея ?ю*яxэ;э®эШэІюкя 4] 3‹юВь•ыЁы :ыOьбьхь {3Ќ 3ы fg3я3яЫюb 3Й 4кяУ 3Y 5µ 3дяMя Fюtюѓяh 3ПяН 3› 5H 6› 5¦ ih6р 4X f]юкэ„яѓ 33 4і 4о 3a 3Ия \эќэ©эOюeюѕюzя4я ]ю“эbю 6яШяќ 3d 4Ш 3&gt; 3° 3“ f‡4O gѓ57 5т 4Ѕ 4T 5W 6Ш 6ѓ 6и 5Ъ 4­ 4Џ 3M 3OяјяO 3yяOяfя Yя ZюГюЛяE fw3чяM 3љя”я j3’ 3г 3Ц 4T hЌ4W 3пя 7яо*юяj gn5Г 5| 5К ft4iя VюkэЦь«э“юqя Lяyю‚юsюpю€юjю[я: 3Ћ 3a 4` g“4© 3} 3] 3A fЉ4· 3ј 3Ћ 48 4Q g‡4x f|3ряия_ 39 3Ц 3¤ fЏfЂf=я{юцэКэ 8ю _яЎ 3Ґ 3‹ 3ияќя5яCя €fЌf{4† 4Ы 4А go5† g–4П 3k f‰3Цяуя ѓ3¬яu ftgx4h 3c 3лячяПяCяЩю Fячю&gt;я Xяrя{я Wя 9я =ялю WяВяyяHяЋя Ќ3фяияья „3‰ 3НяUяЗю»ю&lt;я`я–яq 3п 3Ш 3] 3вяѕя SяэюNя7я¦яЉяYя &gt;яґю№юkюЉюдюDяTяыю|ю‚юlюхюjяC 3Ц 3&gt; ff~3Фязя ~3Ґ f’4w 4H 4@ 4E g’gw4r 4м 3P 4Р 3p 3· 3Йя ѓ3ЙяШя ‚3•я‰я5я 3яdяzяҐя |3ѕяv 3ЪяАяУ fGяAяИям 3Л 3уяq 4уяїяS 3M 4C 4мя s4w 3“я_ g{4ж 3С fj4G 3Еяз f3 яПяg 3@ 3F 3U 4уя aяXя¬яґя` f’f„3Ґя…яѓ 3¶ябя™яоямяћяЛяпя|я NяЂяFяЦяlяb 3­яря±я|яі 3єяаяhяT 3I 3ъя og—4щ ft3{ 3Ћ 3jя lf|3L 3ояНя7 3†яИяЪядя –3єяn 3ряҐя«яћя›ядяуяРяСя‡я!3a 3‘ 3E 3{ 3љ 3X 3F fl3r fЉ3e 3s 3O 3„ 37 f‰fsfvfЃ3Ыя nf~3*яЭяуяАя…я·я xfЂ3Хяъя k3µяБятяЙяџя±ябядякятя hfrf—f—f”f3няляЩяЩя zfhfh3ЭяжяШяИяЧякяМяПяфяеяеяляйяжяїяРяаяёямяШяояшячя 4"3 qfxf„fxfyf}f~fjfufЃftfv3чянягягяряпящяцяцятяюяюяряцяъяъяъ+я!3хяъяы+я!3 lfnflfofpfnfnfnflfififif4"3</t>
  </si>
  <si>
    <t>RI*FЖ ?!3WAVEfmt †E"3 gfgfw^!3 UV!3 hfC"3data  ?!3 †4ќ 7gщ ѓ7o 4»щ k:’эЯыХ :tъgя ‹9Юш€ 6‡ hJщ‘ 9§ю Pы‚ :kыjю“ lPщE hn7—шk 8G 33ъ „:Џь Nэ „:¶щ© 3O 8‚ш —7ж geщѕ l5юuыЅ :§ъТю§ 9™шЇ 5ї 6Oш!9Йяещи :гы Lэ€ :&lt;щ kgЊ85шл 7o g]щM :ђэїыі :‚ъяш 8дш] 6н 5ыш —9QяЪъS :ъы Kюџ 9ђщг 4R 7µш ђ8х 3Ущ Љ::э§ь: :5ъX 3Њ 8Ґши 6z h&gt;щ… 9ёю8ы| mSы­юЎ 9Аш• 5р 6lш¬ 8T 3ещz :nь 8эc :uщШ 3c 85ш} 7р 4хшэ 9ъэЊыњ :Ўъ WяT 9‘ш g6e 6•шр 8Іяlъ] m?ьўэн 9mщq 4І 7ЂшФ 7O 4Ѓщэ 9€э dь] :jъЩяЫ 8«шЊ 6в 5ШшV lLяЪъђ :Њы3юО lRщ f5V 7xш[ 8ё 3»щU :сь‹ьq :рщN 3ў 8tш f7j 5ашј 9…ю Uыі mHыЎюЎ 9щшn 5о 6«ш’ 8? f^ъ: :џь Nэ s:лщЖ f‚8ѕш= 7Э 4iщ™ l^ю¶ыU :эъ [я ‰l:щР 5e 6ШшБ 8Ля~ъI :=ьЋэщ 9љщH 4Р 7“ш¶ 7{ 4oщч 9ґэюыu :zъЊя n9§шM i~6јш5 9[яҐъЋ :Еыбэх 9Jщ® 4• 7“шы ju4ёщя 9[эfь&gt; :jъшяЇ 8Ъш„ 6« hWщ ‰l6я Yы&gt; :ыfю‰ 9[щ rh…7Вш ”8§ f7ъ om8эРь ЊmOъt 3g 8і*ш 6A hNщ“ 9…юPыz mNыѕю 9дш… 5С 6„ш» k“f?ъЂ :fь [эW :щя 3B 8SшҐ 7ї 4&lt;щу 9ЫэЩыz :—ъ{я }9Ош4 iЊ6Ъш!9uяјъG :рыцэІ 9yщµ 4t 7ішс jo4Зщл 9]эzь Ћ:dъ z3– 8Ош¦ 6‘ hPщ= 9Цю cыW :mыvюѓ l[щ —5ю 6ҐшS 8~ f;ъ –:Оьыь ђ:тщЎ 3Q 8«ш zj5Yщ} 9bю¦ы Ћm]ы Jяш 8:щѕ 5O i8щћ 8бя‡ъэ 9‘ьyэ lIъ Ћ4j jHщ‡ 7F 4Нщ‘ 9Яэ \ьп l6ы†яђ 8Rщч 5в 5kщi 8яkыN lEьВюБ 8qщ; 5ц 6ЖшЃ 7 43ъ6 8fюцэ“ 7иъ5 5ѕ 5дъy 67 3‹ьJ j5ю Xю5 7Oьч fvhRьЉ iBяњэи 6°э&lt;я¶ 5Њэ¶ 34 4·э‘ 5dюcяј 5„э ‰fr5шэt fi4­юH 4дю^ 3х 3lюґ 3Ю 3Ґю• 3T 3{яx f[я¶ 35 3ыю— 3x f:яn 3гя …fv3SяМ 3ъящюз 3ияђяn 3 яT fr3}яЌ 3юяђяv 3ЯягяC 3Чя xft3бя z3кяця5 3Бя ~fЃ3Яяюя rfl3иямя T"3Ся •fl3ияоя Ќ3цяЭя ‡fh3фя hfn3ъяря n3Яя n3ъякя j3мя 9"3Йя …f‡3–я ‘3I 3„я ‡f‹3Ея ‹3Ія —f‘3aяZ 3? 3[яP f‡3Бя ‹3Яя x33 3я= 3C 3‚яA 33 3Ія ‹ft3ця x3ряюя —3Гя ‡fЌ3Ея •fx3Ыя …f•3Бя9 3юя hfv3ъя xfz3Ся Ќf‡3Ея Ѓf~3ияюя lfj3цягя ‹3шяЭя ‡fz3Чя zfn3ия j3юяъямяья t3кяря “3еяия “3ояфя ~3ця x3ряця7 3Щятя? 3Хяшя Ќ3ия Ѓ3фяфя7 3ЧямяX 3ЛятяK 3Ня rfЏ3Зя —3цяХяN 3Ляеяh 3љя x3P 3ЋяP fn3·яd 3Нягяf 3љя t3\ 3€я; f‰3 яb 3НяЯя\ 3”я5 3; 3”яR fp3 яf 3Лябя\ 3 я ~3C 3–яA fp3°я\ 3НякяR 3·я h39 3°я ѓfѓ3»я —3юяЛя; 3ияфя •3Хя!3 “3Гя ѓ37 3®я Џf‘3µя9 fr3еяC 3Эя z3A 3¤я9 f“3Љя` fx3љяn 3ЭяНяX 3°я Ќf—3ІяX fn3µяn 3УяЭяf 3Ія n3E 3¤я ЏfЃ3¤я` 3Няїяj 3ЄяияC 3Ѕя z3ъяїяN 3Няїяz 3Іябя` 3ўя |f‡3Йя3 3шябя7 3ХяеяP 3¬я z3E 3Ёя “f~3Ня ‡3шяця ‘3Уя tf‡3Ѕя tf‘3Ляюя3 3Ля jfЃ3Ыя ‡3ия jf‰3Ся ѓf‰3ХяюяI 3”я9 fp3®яR 3Щя!3 r3Йя —3юя¦яX 3ъя–я• 3ияoян 3ћяІяЈ 3№я nfx3НяЈ 3Њяїя ogaяряО 3Qяцяџ 3}я pfЏfp3ряЁя? 3K 3:я5 35 3ўя3 3°я vf“3ЗяБя ѓfѓ3тяћя |3ояД 3Юю!3@ 4КюфяШ 3cяця ЏfpfЏfSя „gl3Ґюa 4ћя–яы 3Ўю †gЌ3xю3 5—ю WяЂ 6ЯыQ gЂ6иъе hm4;ь7 7sэ Uя` 7™ъ z5  6пшч 7М 3Xъо 8ЫэJэі 8Мъх 3— 7›шз jq4\ъЩ 8оэпьЌ lTъ €4є 7№ш… 7k 4йщѓ 9yэФьД 97ъ¶ 3е j4щ ‘7ђ 4ћщЬ 9wэKь@ :Xъ ‹3F 8эши 6ф 4uщr 9Kюґы8 :яъ]яЕ kNщ4 6а 5жшL lSяИъ :љыIю® l&gt;щd 5о 6hш» 8p 3¶щu :РьТь: :Эщ© 3S 8jшJ j…5щшє 9Tюmыm :жъэюj 9µшВ 5µ 6„шБ krf^ъU :Mь@э ђ:щы fЂ8|шt 7° 4JщЮ 9УэНы€ :‘ъYя? 9іш †6F 6‘ш7 9wя^ъ» :їыГэ †:@щ 4Ф 7KшB k€4yщa :DэCь– mCъ ѓ3Ч 8†шП 6ј 5ФшЌ 9аю 6ыљ :Yы|ю¶ l@щ= h‹7zшw 8‡ 3зщU :єьльD :ЗщЈ 3q 8hшL jЏ5ышТ 9Cю]ыњ :Фъую‡ 9ЈшТ 5µ 6dш h9ея Eъ¦ mZьHэU :Uщ ”g|87шО 7њ gHщ :№эГы­ :rъ†я ‹9©ш[ i€6Ош= 9Yяµъw :ХыьэФ 9qщ° 4v 7±шч ji4Йщ g:Uэvь&gt; :Tъ!3  8іш” 6ќ 5щшR 9Ъю 4ыm :eыTюҐ lBщ xhЌ7lш] 8‘ 3ЅщO :Мь©ьi :Чщr 3љ 8^ш •7N 5ЦшО 9`ю [ы± :къОю“ 9Фш— 5З 6‰шЁ kzf^ъD :pь:э q:Бщс fm8№шd 7Б 4sщ¶ l=юЫыO :ТъJя r9мшп 56 6ШшХ 8њя•ъ&gt; mKьІэШ 9ѓщo 4° 7‹шИ 7H 4ѓщх 9†э Oьa :Zъ№як 8—шk 6й 5ДшJ lcяµъ– :ўы Aюч lUщг 4 7Ђш: 8Ш 3Йщ ђmFэ—ьG mOъ7 3| 8ЇшН 6G hUщf 9‡ю[ы_ meы¶юb lRщj 5З 6Иш† k•3Oъ@ :‡ьHэ q:Ещч fs8§шb 7№ 4mщВ 9тэйы[ :©ъiя ѓ9Рш si6К*ш 8yяџъS :быЙэЦ 9_щЉ 4Џ 7џшО ju4ЭщД 9iэЏь z:hъ z3Њ 8сш~ 6ґ 5Bщф kOяNыч 9№ыѓю; 9щт gx7жшЬ 7Ю 3?ъr 9oэяьn 9Јъz 3л 7@щћ 6E 5¶щ† kQяAьg 8RьгяЙ 6›ъ 6¤ 4СщE 9‰юЩы± 8‘ьюяЈ hCьЬ 5v 3ХыО 7`ювьi kXьПяЙ 6SыЦ hr3рэ` h[яџюШ 5Jэ q4M 4:эC 5Бя‰ю¬ 4wя&gt;яЂ 4|юя 3тя _я q4Ѕя Qяy 4ШюX 3E 3¬я z3f f&gt;я6 4@яЫ*я 3ЪюЬ 3ЁяХяЈ 3ЋяБя y4щю` 3T 3яp 3Яяїя© 3}я ‡3Ѓ 3€яV f|3бяN 3шяХя` 3Хяея? 3їя ‘3ея lfhfѓ3Бя9 3юяЩя9 3Хя ‡fp3Уя9 3кяфя pft3Ыя —3Яя lf—3Ея Џfn3шя lfhfz3оя jfj3оя t3Щя ~fr3Пя ѓf~3Бя ‘fh3гя …3ея rfr3Щя xfz3Хя hfЏ3Уя tfn3шя%3 jfl3Эя ‘3фяЧя? 3Чя hfv3оя ?"3оя ~3юяЭя ‘3фяея ‰3ряъя r3ця hfr3мя lf|3Ыя vfv3гя tfh3ьяюя l3ця z3мя!3 ~3бя nfp3цяшя |3ия pfp3бя ‡3цямя Ѓ3ъякя Ѓ3шятя x3тя jfn3оя C"3ря</t>
  </si>
  <si>
    <t>RI*FО I!3WAVEfmt †C"3 gfgfw^!3 UV!3 hfv3dataЄ I!3*яияґяmя &gt;я№юЏюtюNюIюtю 8я of€4п 4‘ 5D ir7ћ 7g kq9Ш k”8V 7X 6? hm4¶яtюоь—ыrъЅщ®щищ{ъ cыwьНэ 6я Џ3Ј gjik7К 7ў k‹9п 9Q m~:О 9— 9^ 9i k}7§ 5э 3Ѓя‚ю~эbь Qы `ълщЧщ5ъВъ†ыjьNэ5ю{я± 3і 4Ћ 5e 6y jЂk‡8т 7D 7щ 5y g3ьюTэїы _ъош Gш4ш­шOщ[ъ‡ы Gэню€ fw5Ь 6Ч 8ђ :F ;i ;ћ ;х ;ц no;| 9Ђ 7 5Э 3µю‰ь Iыащ EщqшCшЩшищrы Lэ{ю ЌfЌ5ч 6p 8§ 9| mk;h ;} ;к :Ї lfkЌ6Ѓ gp3eюёь @ыќщјш–ш VщящЦъ 5ьҐэVящ 3ћ 5} j‹96 :я :n ;o nrnЌm9Щ!7 6» 3Tю Jьњъ aщфчьцЖц MчПчљшYщ‘ъSьSю? 3§ 4э 5™ 7« 8” 9b :Ў :» : :| 9O 8° ig5У 3iяљэPыeщ‡ш·шЖш№ш Gщ•щїъҐьЃюхя …4• 5ћ j€9б lѓm‰mp:o l€8 iw5h 3Тю :эѓы 8ъ BщЫш Pщ bщjщющ ?ыдь Xя hgЃ5Т 5ж 6Z 8e lk:; :щ 9Y 9· 8З 7¶ 6b 5м 3fяыэ ьWыgъ Iъdъ‹ъхъЮыВьЇэ ;яa 3p g}5ѕ 5ѕ 6Д 7q 8y 8э 7О jq8О 7• 6к 4Z f8яЦэіь€ы[ъВщМщЎщoщ§щ‘ъ¬ы©ь„э|юјя Ђ4O 5r 6ј 7Ґ 8в 8а 8ї 8к 7o 6й 4і fRяbэqы[щфч±ч»ч}чЙчАш&gt;ъ 9ь|эШюW 3ф 4у 6 8‚ l•:› :х :и mЉ:{ 8№ iwhЏ3еэ [ьХъ¶щошjшjшQщ›ъ &gt;ь±э‰яa g–6° js9S :S ;Ъ ;4 &lt;Й ;Д :q 9С 77 6Ђ 4OяIэЎыдщЉшџчuчьч»шщ—ъпыЪэзяъ 4П 65 8] 9~ mЏ;f ;H ;‹ :Њ 9\ 8» 6ё 4xя~эЬыkъmщЁш [шрчtшЋщСъ 3ьQэрюХ 3€ 5E 7Ћ 8F 9ј 9@ :  mr;џ mђ9„ jf6­ 4V 3`юbь~ъбш @шбч†ч°ч]ш3щЌъОыdэnяu 4O 6Ч 7И 8м 9ц :S ;&gt; ;Q :S 9N 8§ 6  4hя–э‡ь|ыqъИщGщ TщхщмъЪы =эёю‚ 3В 4› 5Џ 6y j‡8и 8? lt9R 8C 7w 6Х 5ы 4Ґ fUяђэ KьЕъ 6ъ Uъ”ъиъЇы¬ьdэaю№я; 4ђ 5n iЂ7З 7&gt; 8Ю 8&lt; l„9ж 8Ђ 8¬ 7j ik5a 3–ю aэ5ьNы L*ъш\ш&lt;шашnщмщsъ~ы ;эю›яњ 3Ъ 4f ij8ж 8е 8љ kik‰jЊ6е gu3уэEьТъZщОч;ч6ч€ч…шhщЃъ :ьФэ‹як 3™ 5e 7Є 8‡ lx:A :9 :Ф lЊ9І 7П 5Е 3’юrьБъNщ‡ш NшќчQчмчЄщ’ыQэыюФ 3а 5ў 74 9ђ :X n}&lt;Z &lt;¤ ;o m~9¦ j†iЋ4ЭюµьуъdщичЯцЩц\чъчЩш RъЕыЁэxяy gЏ6­ j—9^ :ґ :u :ф 99 9T 8ъ 6B 5ья‰э’ыBъ^щVш ]чѓцШцдч 6щ Jъ\ыщь7я –gl6µ 7В 8Ю 9и :e ;Ј ;Х nЌ;і 9т j6О 44 fZюЖыєщGшЃчецҐцъц›ч¬ш 8ъcыEэ Fя ‚4U 6ј 7б 8е 9А :E n•;s :Ґ 9Y 8і 6П 4Эяkю Nэиы Nы¬ъ 5ъыщЄъZыrьЕэZя i4; 5t 6c 7щ 7ю 8ю 9a :ц l‰lk‹7i i‘5« 3рю_эныµъфщлщ Qъzъ RыЛыЈь Kю©я Њ4T 5A 6&gt; 7ъ 7Е 8Џ 9к 9R :w :Й 9Љ 8H 7и 58 4…*яэ«ь^ыcъ–щЦш’шфш§щVъ Pы [ьcэШюl 3— 4б 5d 7— 8X 9€ l„9= 8м 6Ч 5Ђ 4єяњэ“ыгщ—ш FшЕч¶ч _ш :щRъ \ь QюћяТ 3ў 5ё 7h 9V :б :P ;Ќ ;S ;¬ :a 9Д jm6б 3tюЌьЬъ„щМшDшЧч \шZщ Hыць юS 3E hЉ7µ 8M m;Я ;X o“&lt;„ ;j :Ў ku7­ 5в 3ЯюГьпъHщCш Vш•шяш~щ”ъYьlю6 f|5Ю 6j 8Т 9и :“ ;№ ;C ;€ :« 9V 8^ 69 4Ую‡ьќъ Cщ ?шщц Oц @цАцеч 3щDъјыіэµя‹ 4• 6Q 8k 9N mѓ;… ;і ;S ;E :ж 8х i„5о 3Qя=эМъѕшЦч™ч=чjчтчЙш Xъ­ыЊэiя |4з 5µ 7Н 8x lw:ѓ :ј mt:Я 8‚ 7И 5Н 3ІюВь¤ы”ъ†щ FщїшБш eщхщ&gt;ыЦьxю ‘3® 4ч 58 jn8Г 8ж 9‹ :e :· 9Т 8ј 7С 6Я 5Џ 4ыяgюОьdы=ъжщ Xъeъръ‡ысысь¦юo 3Є 49 5и 5Х 6· 7} 8О 8Ь 8ч 8Х 8ь 7ќ 6H 5Ў f6яЉэdь TыНщдш„шOшRшГш–щўъ­ыаь`юЯяk 4® h€7Ј 8‘ 9Щ 9О l—9с 7x i}5j 3uюbьLъtш TчРциц 5ч‚чOшЙщ Dь Dю†яб 3І 5 7Ь 8Ю 9ђ :Р :¬ :A :Њ lqkЌi‡4вю ;э•ы 3ъ«шячВчНч шЭщ|ыoэuяm gѓ6ё 7s 9з :Ё n{&lt;л ;X ;Є :… 9В 7Ъ 5в 3фю`эПыощ [шЉчИч?шµшxщуъќьћю• 3H 5т 6Ѓ!8 :н mЃn{;– :ь l{9’ 7ї 5_ 3лэДыGъfщ Xш 4ч{цПцўчёш @ъ]ы®ьѕюр 3с 5– 7њ 8® 9Є m“;U ;3 ;u := 9Џ 7С 5H 4Љяwэґыещ Xш*ц»ц dчЫч;ш @щ ъdьГю§ 3K!5 7‡ 8х 9у m‹ny;г :» :Ь 9ж 7¬ 5Ь fNя’э&lt;ьуъJъущwщєщkъ^ыѕь…ю: 3Ќ 4w 5Л 63 8в 8љ lђmѓ:± 9ъ 8С 7¤ 6  5_ 4*яњю4элыЦъ aъ Uъhъ 8ыюыЊьGэМюz fyhj6А 6¤ 7p 8V 9й 9Ў 9q 9z 95 9? 8г 6Ф 4Хя”юэkь 6ыощ Qщ®шЗш&gt;щЭщ–ъ¶ытьMю¶я u4€ hq7л ko:{ :“ m}:m 9L 8ь 6Z 5j 3Zю~ьќъ Kщ\шзчЇчxшДщФъBьСэ№я¦ 4m 6а jx9i :Є ny&lt;У ;q ;ь :Й lvkЃ6Ц 3Tюђь;ы Sъ ]щ Xш„ч:шпщѓы Jэёюћ 3Ц 5!8д l•nr&lt;« &lt;E pЉ=j omn†9} 7ц h}4јюGьvъ Jщnш8ш eшPшLщзъoь3ю s3п g~7ь 8c :4 ;‹ ;Й ;§ n…n„:Ѓ 8Ё 6¦ 46яЛьИъuщkшvчкцЁцхц ;шЎщ3ы\ьлэцяъ gw7q 8V 9: :Е :7 ;С ;d n‰:„ 8± 6U hqgcядь№ъґшdч 5ч 8ч5чFчЩчaщIыQэ FяМ 3П 5 7№ 8ј 9g :е mЃ;» :ь 9¤ 8№ 6О 4їя 5юВьoыaъ…щ Bщ?щвщwъu*ыьЈюf 3ч 4J 6Љ j…8Т 8Ф 9b :т lflpkzjm6Я 4s 3хюPэ YьХъЧщђщЛщMъ 8ыuылыTэOя ug‰5ф h‚7ц 7ѕ 8€ 9µ 9љ 9Є 9Љ 9‹ k–7V 5Ѓ 3нюvэкыzъ‘щЎшНчђч ?шИш&gt;щ Tъ¤ы PэtютяA 4  5_ 7Й 8Ї 9ж 9| 9Ґ kЌjm6Д 4ЭяЧэоы QъlшЊч WчcчЕч‹ш’щ QыHэ Pя· f–5К 6d 8И 9¦ mfnnЉ;Њ :^ 9­ 7« 5| 3&gt;юoь Iы‰щ eш•чXчґчИш Uъ &lt;ь ?юКяБ 4ј 6© 8] :u ;&gt; &lt;Ї &lt;u &lt;З ;Д m~9B 7k 5° 3№ю›ь†ъ±ш‘ч Sч FчhчZшѕщOы Yэ4я Њ4M 6O 8И 9О :V ;я nЋ&lt;V nmx9Ћ 7ґ 5*я Nэ ;ыѓщ–шѕчТц eц eцGч =щІъАы PэQяt 4s i–8P 9Q m~;r ;ѕ ;Э ;ц :e 9{ 7Ё 5Љ 4ляаэ­ыЃщ SшЮчЛчДчдчhшЙщ†ыYэkя •gv6Л j‡lЌ:љ :Ь :F n•;N :Ч k”7Ќ 5ј 3Љюеь±ы«ъощЏщwщµщSъgы Fэўю g3_ 4® h„7л 7_ 8_ l„:Ю lЋ9ё 8і 7‘ 6Ѓ hy4мя›ю Tэќы‚ъ\ъЎъръ=ы¤ыТыйь ?я… 3Y guh€6N j•ks9U 9S 9‘ 9™ 9х 8Ц jѓir4zя 5юsьмъИщШш =шЬчбчщчmшВщ|ы«ьђэ AяЪ 3n hp7¤ 8 9з 9› 9я 8Q 8J 7” 5‡ 3•ю“ь_ъXшNчРцВц 5ч°чІшЭщЖынэЪяT 4¬ h‘7щ 8† mz;ч :Л :” :ъ 9‹ 8k iz4Яюкьrызщјш Bш”чzч `шЌщ~ыOэеюС 3а 5Ќ 7щ 8; :~ n”&lt;Ь nq;p :A 9j 7› 5ў 3–ю‡ьlъvш Fч;цЩх NцІц*ч‘щiы]эqя_ 4P 6Я 7н 8Х 9} :Ю :R :^ 9W ks7q 56 3cэкъdщ™шРчЙц«хXхgц `шЭщПъ°ыКэ “3F 5й 6щ 7Н 8ћ 9x :H ;&gt; ng:k kt7б 5ћ 4©яYэwыШщeшfч’цfцЪц‚ч©шТщMыyэЮяр 4• 6К 7» 8С 9М :&lt; ;ї :Ц 9Ъ 8Б jЊ6E 4аю Sэьы@ы®ъэщ3щ aщцщ?ыґьыэ Jяљ 3h hr7н 7ц 7h 8Ќ 9&gt; :і 9” koj€6ґ 5е 4Џ 3іюґьЇы 6ыОъХъ ъиъЅы‘ь;эЎю Љ3€ 4§ 5† 6T jq8х 8У 93 :M :9 :« 9± 8H 7– 5к faя†эуыЩъ Nъ;щYшЬч BшЗшіщгъ Dь \эfю }3ё 4k 6K 8 lpmr:© lk9В 7l 6¶ 4јяґэpыLщбчyч aчWчїч–ш 7ъВы =юхяY 4Д 5_ jЃ9Ш :И nho’ov&lt;l ;R :§ 8o 6ї 3&lt;юЭьІы Oъ…шЁчХчхш:ъ]ыэьн*ю f”6Я 7– lЂn†&lt;л oЏ=і &lt;Т ;b :„ 8ў 6Б 4„яcэ­ыНщучsц*х‰цvч¤ш ?ъlыRэЉяД 4ю 6Й 8р 9к :‰ ;В ;ў ;Х :  9q 8Ў 6d 4Шю Xь KъЅшЅчэц 3ц‰х Gцsчeщ 7ы8ь“эёяY 5J 7ђ 8q 9т 9­ :{ ;k ;ч m}:~ 8Ґ 6± 4: 3­юЫьFы«щ _шTчIчўчfш‡щўъ Aье*эя “5л 6Ќ 8Ч 9‰ mЋ;‘ ;E ;Ў :Q 9и 7c 6ь 3[ю Cьљъ GъЊщЎш 6шSшэшіъ Uь ZэЎюP fЏ5Т 6ї 7{ 8Ф kЂ9 9w 9К 8п 7Ъ 6‚ 5F gw3ЄюџэЗьПы 6ыOъyъcыoьuэoю Cя q3M 4Ў 5в 6O 7¶ jo8; 8ё 8я 8З kЏ8p 7V i5и 3=яvэщы ZыЩъ=ъFщЋшЙшlщ?ъ ?ы¦ыsь~эЖюC 3— 4› 5› 6o 7P 8О 8c 8Ц 7Ю 6b 5Г 3Oя*эЙьqыѕщ{ш _шСш”щRъpыёь;юСяў 4D 6F 7t 8н 9Д mf;ґ :o my:ы 8G j…hj3VюЎь 9ы bъ†щ Lщиш aщPъЫыАэ¬яA 4Ф 5~ 7й kh:L ;= &lt;G &lt;к ;V ;ђ :K 9 7· 5ј 3№ю @эўы^ъ Pщ@ш eш dщmъdыkьчэВяЏ 4] 66 8 9V :Ж :є :Џ m‰:l 9ы jmi‚g\я EэръЊщ‘шЪчhчpчТчУшнщ dыПьќюk 3@ 5К iЋ8G li:С :C nx; :ї 9n 8Щ 6= 5љ 3рюAэ™ытщyшyчBч—чЂшїщИъУыXэxяҐ 4€ 6п j’9_ :i ;У ;Ѓ ;У mh:З k—7w 5Ё 3Йю ]эты Cы€ъqъ…ъзъґы}ь‚э 8я? gji‹7М 7z kp9e 9Ю 9ъ 9 9X 8Ю 6¤ 5І 4Љ f?яrэюыаъЙщXщlщАщ‘ъЁы Oэ6ю Pя{ 38 5љ 6} jq8Ґ 8_ 9м ln:  9F 9п 8k 8I 7ё 5Ч 35яъэ FэЧы ъћщ Uщ _щDщ­щpъRы7ь?э `ю Yя› 3Й 4¦ 5 6&lt; 7n 7a jЊ78 6њ gv3Ью‘э CьZъЕшсчёчЮч `шмшѓъLьЅэ ]яµ 3Г 5­ 7D 9Q :Т m—;b ;&lt; ;Ь :М 98 8&lt; 6D g@я›ь Pы NъфшOшєчэч*ш Yъжы^эЬюд 3о 5o 7s klЏmЃ;r ;В :X 9ю 7Ї iЂ59 3dю‘ь Rы­щєш aшЪчsш®щ 8ы|ьЗэ6я ~g“6с jS!9 :Н :Г :y mrm‹9џ 7У 5д fHявь­ъЭш‘чЩцђцiц}цлцъчlщ `ыЪьbю5 3р 4ћ 6к 7Ћ 8f 93 :x :” :р 9t 8!7¦ 5Ј 4^ fUю AьlъFщЭшАш`шsш?щ&lt;ълыSэWю oft5G 7Ы 8~ lr:ђ :З :y :T 9« 7&lt; 6И 4I 3Qю :ьEъsщ5щ;щBщ Wщћщ®ъCь^ю6 3r 4| 5¤ i—8K 9љ ls:g :I :ћ 9‹ 8C js6Ц 4Џ f5я 9э_ыъ•ъ‰ъdъLъ cы‘ьСэвюЬяк 3!5 …6&lt; 7м 7т 7Q 8Й 8Щ 8› k‚8` j|6џ 4Q 3бю›эjьfы†ъ 9ъЖщsщhщЪщуъЬыУьГэїю ѓ3¦ 4Д 5w 6Ђ 7o 8Х 8Ы 8c k‘7ґ 5џ 4Y 3oюsьџъ Jщ ^шИчОчРчoшjщКъ~ь TюЌя q4ф 5Э j9Я 9‰ ml;= ;Щ :г 9P 8ћ 6я 4хя¦эеы ъ»щMщУшЬшЈщ VыХьBюФяґ 4z i~8§ 9Р :… ;г ng&lt;… ;¦ :v 9• 7” 5О f6я:э[ы:щРчqчжч“ш 6щ_щ„ъvь ю} f”5ў i’8Ї 9Ј :ё :Д :” :Ь 9й 8L 7Ђ 5Ђ 37ю`ьЬъcщMшwч6ч_ч XшTщљъсы&gt;э &lt;я Ђ4Ж 5: 7A 8ь 8ѕ l:I :“ :ю 9Ѓ 8Л 6N ht4я¤э«ыйщnшХчfч _чЖч„ш‹щчъPь 3юняґ 4† i…8n 9Ѓ m~;5 nm;5 :Q 9м 7е h}4;якэіьLыQъКщҐщЅщNъпъ RьИэmя ogshkiђjE!8 9Й 9Е l‘9‚ 8Ґ 7{ 6r 5x gђ3ђю =э·ыџъШщСщaъ 6ыКыfьPэмюt 3П 4к 5а 6Ю 7^ 8В 8‰ 9© 9E lЂ9х kp8N 6v gm3«ю’э5ьЦъќщ JщошХш CщXщ 9ъ7ыkьѓэ юфя¦ 4р 55 7… 8N 9p 9A 9€ kЊ7 5n 4E 3ћюCь _ъ…шЕч 4шъч 8шШшЬщ aыъьДюi 3р 4І 6x 8Г 93 :b : :А :Џ :p 9k 7? 5b 3ЌюМь=ы°щЊш Pш [шiш7щ›ъIь Gю3 fЏ5› 6ц 7Й 9Њ ;e &lt;ѓ o~&lt;« ;V n:ы 7ы h4Cяqэ…ыђщйчDчїчgш“шхшDъeь§юc 3Ч 4[ 6я 7· 9¬ :Х :Ґ m”:Є 9С kЂ7® gTя4эСы7ъ¤шgч€цhцЙц°ч®ш©щчъПьbяt gp6u 7| 8с lЋ;w ;ѓ ;V ;{ :N 9я jЌix4цю Kэfыhщ…чtц?ц€ц `ч‹ч aш•щ“ыСэ¬яS gЂ6Д 7o 9Џ :ф mr;З :4 :u l•8G i“geякэЖьeыCъЪщжщ Pъ@ъјъ `ь PюРя C!4 5ю 5Е 6W 7п jm8g 7µ 6ю 5T 5Ґ gj4~ f{3бяУяыя</t>
  </si>
  <si>
    <t>RI*Fж S!3WAVEfmt †C"3 gfgfw^!3 UV!3 hfv3dataВ S!3 vf”fЊf‘fЊf‘fђf‘fђf•f“f•f“f—f•ff33 f35 33 34 33 38 36 39 39 3&gt; 3: 39 3: 3&lt; 39 34 f–36 3P fЋ3Ья”яЦя ‡fЏf3W 3N 3зякя u3‘ 3ї 3ѕ 3} 3“ 3P 3&gt; 33 3Ь 3щ 3х 3” 33 3ёяKяЪютэqю\яB 3|яЈя±яћяOя –3Д 4ё 5ї 5џ gS"4В f†3s f”4‹ 3dя Cю Kю*эпю:яҐ 3« 4  4щя UяѕяІя|яўяА g†4няDюЯю [я g3 3!5е 5G 4nяЬю@ 3Ц fq4y 4З 4Т 3ЧюзэIюњ 3н 3p 3mя x3лю^ю QяQ 4Ч 3nяЈюИюћя¤яY 3Б 3w 4© f–3Щ 3С 4ў g‹4‘ 4а 3i 3`я8я6я? 3K f†3p 3€ fHя™эвэ EяжяL 3Џ 3‰ 3Љяµэhэ—я Љ5o 5p 4‹ fЉ3ЂяЌя` 4і 6N 6€ 3§ю»ю WяAя €f‰4y 4\якэ ;ю9 3Ђ 4Ќ 4t 3њя Dя€юFюUя’ 3яЯьЅьЏя@ 4дяЙяW 5ё 5Н 3¤ 3К 6в 6Э 3rя• g‹hn3ўюђюеэVьшы‰эЋ 3Л 6ж 7ы 5щяню‘ю Uю cэ [ю&gt;я“эKыьыХюЁ 3G 4R 58 7и 8G 8— 5ў 3› f’f{3P 4© 4V 3АэяъЋщ»ьv 5s 9E l’5«ьЯчьшяьJ 5ы h–4}ьдш @ш’эш 8O =Я ;Л k–5Gь©ъжюg 5t 5t 4Џ 3aю =эьэщ 4ф 8^ ow;d 6тщ’уЧр„уђшњяo 7Т 6МяNю· 37 5X 8p qѓuѓo;э Yцвтdу€чаяЄ 7‘ j”4; 4™ 6: 9Ю &lt;о @к &gt;ѓ 7«ырф†п 9пМфSы©ыPъF gЋ:h mjlrqЏ&gt;¶ 67ыљь ofLыўу‰уOш =ъ9эО ih@» Db Dy @K &lt;J jGэх*цфSщFьsщых°хМщ ы ‹4’ ;О Eц B; 5QфЋоѕрAщф 4Р 9њ :\ 4ч№уIщh =C KE L‚ BЙ lPяYц«с JфVэC 74 h4щ _чUчэъ[юР 4e :› &lt;‘ 5ҐчЬсУф Mю™ m}oЉmx4¤ы 6ућф`ь!AB J@ Eб 7€щ Vчkэє k†;­ A@ AЄ 4Џр:гNй [рЪц 3ъљ 8А 9л 6Ящыя 47 A­ IИ Hі &gt;јэ·оPд€вЃмФюN ruCю sѓ=Ђ A!?Ь &gt;ђ ?ч Fа A f8пtдxЭ CЧЗЩ…йQя@ Dѓ L– Pn Le Gf &lt;ґ 9®эчь›ш[сЬжигjйЊу©э¶ ;K K[ R` ‡MЂ F¦ ?P i]щ¶пАкµиRйoзце Wй·фњ m}KҐ YЕ Y‡ RЧ @Dъ~иkжNк 7пEуVфьч :ье 3f &lt;ў DA OШ Rі Pm GЩ pXэcпgв QаSлѓц№щЙчяшIяm 7¶ pЌFA I} DЋ 3|ф§рЬчТшКцѓт SфЕц ^ы r:9 GІ Sw OР C” 6вь~цPц ^ьQ 8V pn5uт4ж ?еќзЇс\ 3­ w…}msn3кыж 3Ћ k…8Џ 57яъ Mспр€ъ» p~C· tg;• kЊ3xы bя rsЌK FОюГкYаhЮ GеµрЃэЉ 44ю4ып 6ѕ y{T– UО Hс 4bрiк;нрху g‰=Ч :мщИп»рНюЪ AР RK \… Ux =yн&gt;ЪP*ШавеЗмЧлЌхZя¶ Fц S® ]G ]Ћ S« 8wр“и4нIтyчНю ;юhхсн Oх †=й OЧ YФ \Ь KГю Pв \ШДЮ‡л4р PфЬињм‡пN &gt;џ ‰@3k3L Xї nJк ]вѓл ;э‰яс 3ЪъРуiкьпЫ 7Р V± `4 cщ MЖэ VЪ ;М dСГвНмA 3rябыьчq 7“ Mq ZZ Z— R  F`фRгҐе;ъїьїчнх EъSэ¤ 6E @ы Vc a^ ‰{=`йІФ 5С AЫщйєь ”6Д 3Нм3и‰чт ЂI!b d6 Xы |eыЌдвг 3хС 4ѕы3с8п?цѕэл &gt;M P¦5? eЫ Ktф“ЪKПЈЦшЯnпфтСсТи Cкdя“ €S=Д@А bf Iєш IдИаЋо &gt;ч]тIлmкPсйь@ y]6ІL ICV KXи &lt;ЕQё LВ*Ьvу¦ 3Зшвс”с n9Q WЧ&lt; :CЖ4 zy\н”РъС—лA 7Ъ 9Џц EнОп Aшј 77 YрKЯS Џ^¶йБАгµ ^ѕФmуД ;F =^чљо Hхи sj^©&lt;»93 Xs g&gt;а]ПгШіф ln‘k5чЙтШъY ;Ґ ЃL8 WI:” 3‹Й[°ЂґїНNлк 3” lIы¤цфъ D| ]&lt;8Ћ4® €w8Ёз WЩСб Tн¦ш bю[ h€3ФяШ @Ґ Qw ]§ a? MыyЪйВ9ЖкШ пYщптџтБц? &lt;І Rr ][ ]№ ‹”JП 3–уqчАщ@ф:пiо `с Sп{цЭ ?ќ WB c± `Џ Jряsи–ЩEШЄЬhжсгчШ:Яу“ IШ aq36 cЁ [н ESчwп•ыq 4Дчкн4к LйBиSхP vЋ^†=љ4 …MҐъUЮ GЦ&lt;Ф dЩgЭфШ`ЦjбW 4ц ^hAЗ&lt;m cЬ Qз 4€кђкQшyяZы cуЛн 5ж`йGшx Hz eaDУ9` JипFЦTНьИЫОДЦёЫнЮ &gt;уy HТ9JFW8ж [‹ zUьrйіиЇт Yулт Qп{п Dсvщ ‡&lt;ј QA5 VBН dЩ r8дxЛuЖ[В НыЬяиѕсC 5і O€5 L&gt;W bш Qщ &gt;Јш”и Dг»л 9т@цЇшnъЦяљ &lt;З H5 SЌ ]d _} Pњ 3qаµОSМРНtЧiЯDзИтy gѓOO5±;з a­ Ѓ—mJу}дXдєрђь4 f•3kэ¶ю 4± ?‰ NE XR \Я ~&gt;я›вЄТxЦзЧgЮaб &gt;вhл 6шэ Fї dў&lt;М eu SB reф ]вtе›цд 5‘ 9a 7’ьЬт¬р Iюь Dџ XЛ –ЉЊqu`иЭХ FУjУ®ЫЁЭ 9е_ившы DC \р6B b` Yt wIъ Wй:иpцвы• 5E 3ЮщзтЙтG :П Ђ^” dV †’9уЯ@О№Н BУ KвiзВкaн3шS @D Zх7Н3‡ XF ?Іт\б 4е»хЯ jo&gt;« m‡6‚хъп \яы FЃ Zа `K R• 7пЮџН 5РљЩ¶жгкїн ^п¦цй &gt;R WЃ d7 _z Tb AjфВафе№ы— &lt;m &lt;і &lt;` 8счiп bшМ @Ґ TS ]Ъ U® &lt;Ђй MР­СќЫrж BсґхhфЌтєъ gAс QC Ќ|WA Oш :&gt;сЦе Yть iЂqp&lt;Ћ 4cщ†х &gt;чy 9У †Zq ЌM!Hч|ЧЁЙ EФPжDчє 5&gt;эRуми Iсы :A PL ]ф Yl Mј 7`о¦к©фЊ &gt;й DЗ &lt;ЛьфуKтQыp tЃTa Yк MкяхжIСзТ{е=ы y9ь f5фgг WЯEо› =ј Z‘ d® _Ц Iбэnк¬йею uAџ CҐ &lt;уыLс&lt;о5ъФ BЫ PЖ †oJС 6ЎлЯЦрЪ 8пЗя‰ 7“ш°ж ;ШvЧPнv D™ bК6к ^† }?я;ознH 4т Cс ?iю}уЄрyт] 3¤ E™ PЩ T¶ w]ьГеDШ—гЈхT kѓ5Xуkв–УtШєр yJэ d‰6– _p J¦ i[пПо gђ&lt;Р hRчUфhх Oы |=Ѓ |‡Pf JЖ :jщkжOЮ ?к Cюп 9йэхк8ЩыОЅЦ Xчж Sф8 Y7l Џ|}&lt;я BмхсY 8Љ =¬яћцФх}цtщa 9ш EЎ Ou Lh =ЛщЌдYЯфнSэI 7»чАйaЩОнЫЃэB XВ6 83¶ ЏЉLЖ 5шм HуC jr5eфЋпyш›эЈ 6y u~L‡ O® Aaя Aф 4еIд [у6 7y 7њхґгhХ?М :ЫЛ 4I ]F9у3О ]і NЛэxк Fур 5ШюВфјх ;юJюwяю mHU M‡ DЉ 8сч:е Iе¦у j3 яАр @еPФbН&gt;в“ ;› `&lt;6 ndv _в ~Hыхи­ц€ 6‹щeпжх Ќ5  4¤ 5Ф uЊN@ Mc ;zыЎс4дНз WхD 3…эЃп Zж @Ъ„Х8й9 @щ ]‘ cQ “ђ[® |Mъ’к`ц Љ4Йчјп6щu 8l 5С 4л qh~‡JX n\юЖщТм§нЪфЯъюфґг3ЫрЧTЪ–рв ufdФ9 €eН Z: HNц“гОк 7щЋфЏф”яK Ae &gt;  :Ч &gt;Т w‚?ц 5Ъ 3юя@п—рvч6ыAс§еPЭПЪёШvз¶ 7Д \d7i9 Џaј ~DщЭб;в 4ц9яp 5x 7Y qkYэcыj lЋE» w‚rl?UэкнUнЧу&lt;т‹з`ЬХЪфЪивњч‡ ~qdN9*4 ЊXK AютЧб ]й»уъш eя pjv6Щ!5 6Д 8\ &gt;Z H« Gf E= ;RчЛоAм«йgлХд«а =б Kг Bрш 5° FK ЉЂ’Ћ\° PI B=юЯоoмчп№х“ъБьЛяJ : =| =| &lt;у &gt;Ґ Aа E© ?i :ў 4“цЖжъЫҐХ:Ъ SЪФз Uш• B} NЄ „qPE †‘MЊ &gt;µъLъ @х Yо [лЅхI 3­ 8ы jЌ=ђ Gў G| nђ7З ;L A« Cx 8јьѕрса cЧ UФ 3Ь†мЗшв 5Т @— JФ HY CЦ Fќ |Ќt]ы :х¶цZс@оDя EХ ?њы“ь¶ ;B ;Ј 6— &gt;± O† V_ Ѓg:Bтэг ^ЬУО ^К UЦ `н9цШ 5А Jѕ \ж Vќ Kћ H} Cщь VоaтЖф Rо¦уw lj&gt;J 6Ч 3і =&lt; &gt;U &gt; BW J= Mї ~Ќ?Єш &gt;д‡ЯЁЬ°СXС®Я 9оэц •&lt;R Oф ^Ѓ ]v Xћ Iл 7jсµиeд`обшp hl3= :¶ &gt;г @§ &lt;a sЂAЅ y‚IЩ EK @U 6ьп TдЪ MЦьС CХ\ЭЄр‡ &lt;Y Jr Yц cі3µ ‡s&gt;уфтзAЪ›ЯnпМ 7Г &gt;Ш v…A‹ AГ r†=o 4Ѕ =s Eb HЏ D: 7Чш Kм¦ЫЕУ7Ф QЪўб9пб g}IE Wш UM €p€ЋHVъ§иeз‡и4м”ъd xЉMЌ &gt;Ью Ћ7« 8Ќ 3N 6Л x€SУ U› Eщю¦лDЯюСpИ XЛ6Я Nсрьћ DQ [ъ a&gt; Tа J— CЉ fSл‘й&gt;пNпярІ 8‡ FH t’6Ѕ m~?@ 9« 7P AG J° O† Ѓѓ=йт€вtЭ›О KЖЕП Jиъс r8Г P† —‹bL ‹vJM 5€мюд 8дUлмшj ;К @a =b &gt;g &lt;h ;x m†&gt;ш &lt;Ь Gф JA ~ђum3Ом 3гSФўЛ 9ИУРКЬ:ь  DШ ЏW8 :=¬ ђ{D8щtеpФ®ХЃну 9т Cќ Gё ~‘BЫ 7S iui‡7Ђ Gp GУ F9 BL gSф“з TЩ†УпОйЙdТoпЙ &gt;ё \e;’=ж6ъ UҐьЊ*ЮР 6Пpа•ь9 GМ ‰“Yt Kф 9Оы›фfшЭ k†AЁ L@ MD &lt;6э Vр”Я;ФlПЈЙ DУ“ж¬юё ЃH5Ђ=B: ЂWм :ЎоЊЬwУИЯEц †&lt;ф GЇ LE {p? 9:э”ыЪ ;s A&lt; C\ x=rяAф¬ж FЮRХДОПМ&lt;Ы &gt;ф •@V YЧ7 K? N7Щ OТщMбbТыФ°б¦ю‹ M[ Zn O9 Bv 8|ъwсЃцЩ 8• Fс ~yD[ :Iячфmг‚Ч’О~И&lt;ФРиЧ h‡SН8 &gt;= S6n Q‘ 8ЙжѕЧAУЦгХыІ G6 RУ Lk =Єя aъ‚шQюЗ =ѕ KЕ KЪ E8 kBэщс зІЯЩХаРoШqз @ю† Dї S« ^Ш ^— ‡oA‰щ dл…бBб]лИ 3| CЏ |wJЄ JЦ AT 4ышnщ*эZ nmxђHг @ч 3kш Pк¶Ч _РgР=У :г¤ыН G[ \ц7k9\ Uj 5ЈйQЯ aЩБгl 3з KЃ IҐ xЉxs=ЃыOю!9N s~q†== @E mJщ«чу*фжQУ BИІК«ЩемЕ &gt;л •EEe@t [ґ FЂу MЧюР»Я‡шЋ =U HГ RЇ MЫ BЫ 5ЉъЧшД 3| 6w h‚&gt;u D8 8oьПчЕкOЯоР FНгЩNл»ы3 FD –:9¶ b§ Rп 8eу№ЮґШЊй`э †Cл |vH” FL &lt;ђщ^сЋыQ ;± Cњ M@ K» @` 5ќс5дсЯдЪ ^ФZРбЩъл@ 3m K: \Ч7B3 –R6 :ьхTжPЬКЭЋтЅ ;j yoE› •MG Dy 5ъ 4X 7И 7ё 3ЦьЅэ ђ5щмоpбЃЧ FОIП EЬцыJ Tѕ4A6‚ bП Nаыъа AЩ№вEтR 7ь Cq Kґ Lс LУ A© 6_ьЇюµщpы&gt; 4Љ =&lt; =Е 7л!3ыВж`ЦDС TФ ZЬ¤цў IZ Yф Sс @Н lf:Fь“о ;у[ kЂ;cъX 7ф ‚lUx Iџ DЖ lAьАпўзЭнЗ i“&gt; ?K ;ГюЂуtв FЪиЭша†о3 9° &lt;Љ =‰ Fm q|9у =€ D8 @‡ 3wцФх NэL G Le O» T&lt; A4оTз}р Fшkхq @Ќ O“ FЭ 7f 4йсИгЫЭdЫУЩЈЯy*ЭиЅ iЌYR*&lt;:є&lt;З [@я?йџжEжнхУ 7e Fw D” @З &gt;р @z 9Л 8і ;Ы nj4nы№ч 5ы cцYзMЮ=ШyЧ=кGяи Jb ]\ ‹…Qџ ЃЌ;цр|м WпИо&lt;ша Jѓ a„ _С ‘ѓTQ 8Rп}з‰дҐд©п LщЃ 6а @a JБ tѓqp&gt;3юsйГдѕаyвHб Tкyхк 7W F&lt; †‚\‡ Ќ‹Gњ ;R 6; 6!5t &lt;Є FD pGъЙпWфѕъµы …5н =о 9ў 4Мь^ы Kэ Vцџр Mк Lе ?з &lt;щs &lt;!M ђЌ–[ AЂмБУbЦ¦ЫwкZэґ Jк Wо ^? Ћ•OЕ {ђ7°иuЦ \Я YсМъб gqDЫ Jћ z…3&lt;ц[пњлЧмМшLяН 6‹ k•8џшїрЩл·е 7ЪMЪ„е &lt;ц· GЗ Џve!a© OЋ 9Фц[цtы :ю” 9… ?ў 77эuъМтZй cлжйкйwныт 3ч¤ь Iю Qяэьћ &gt;µ Q› “ЌaЋ QЏюОг 6ТBРMЬшум 9т l@ьѓщєцќс;с Њk–MY VЯ ЋkXР wdт LЩIЬ=дVл•эC Db yoAa &gt;й i:щАрAуPяЏ 5ю 5й &lt;— 8©фыксOцЯьE ;› H‚ Jы BЩ 4xх &lt;тнцBъD 9  &gt;ј AЂ qTьОхСщ :ьґъ“ьї h&lt;я±ф›пєрРщT 5С @Ч }gMг |‚@ъь‘тtп @п 7х» 5ё :m ;Y 6буaпкуNщО 4К &lt;м r‘&lt;р 5Oш4ш5ы? g…nЌu€|ЊA‘ 3јфЊйlе?з9оцш &lt;ьџ fx9‡ &lt;r C‘ I” I` ~€D¦ ;’ 7@ь–уDф‡т=кBж|вYд aо Lы= kIЈ U&gt; U= Ѓ…FH 9zъfнНв Jе 9у =я¦ nj&gt;ц 8°ю Eш NтЃч8 4ояЖю‡я&gt;я u5я :ґ Ei L† AёъЊмЮйЪл \ъР EУ SЉ Nx ;•лоЮ7*аж QцО EH VК Uњ G€ыzй~ЭЂУ№Ч»н Ћs{†Њ‰„€yMb =§шjл Xк ?жЏбwкCщч r”Z3 Ѓ\Х Nн 8oпhбkЫeвoмWп 9шM 3^ 9И ?h Eж |qGF A° :—шПцџрeвћЩ&lt;ЪЃЯ±лщуC 5х Q]3й;z d~ ]W W: kcеШв Uй ?йPйЪч_ 6Е 5FщЃц”ы Dю 9яx 8Ґ =ћ ;П 5nыФсэтх 6L Hъ ѓ–H‚ &gt;:хЈб±Ьnкз 3L Eщ CK :‚у^е PЪ 5еЭяЦ QЅ? UH Њdу Eюй7СCСЉб 8ь… v}B… 5Dу ZкюпЭ 3B Iы ZJ [V H~ 5дк»ЫuФjЪ [г 8щx &gt;¶ y”O&lt; YО †—JЎ 6­т Aж№ЫіЮЖуV A” O¶ OХ Fм iWч Vе ]к=шм 9L &lt;ъ w‘@x 7ЈщЌы7ъм := ?Ь o”j^юНчРх eтЋф‡э y5eщ Vш®щћхес\уёэ¬ C§ vy;B @h j@чmиЪшђ fzhgsrJУ MМ y„?„ ;й gVхsыҐщЪъ:э cя\оmм Tт :срµш ‘9@ @“ 7mы 9щ~фоцЗ &lt;є LА La Gz fcуЂевжђкоьЃ 8Я =e ;° J» |lD6 vjD6 3;т|лрдЕйЂх&gt; 4r &lt;Њ =8 lj4Rч ^шп 7O @Ћ @| r4ю ?кZж Iд Oл Iф±ш:ю ѓgWу†п¤эк Fэ O bЭ –“†~;CкFЩ™еUьД @с UJ XЄ ~l7ІифХРЧ `ЬьжЭчp 6† &lt;U 9Њ 6gьJэВы :&lt; Oъ YV VҐ wXсSЯ·ТфЭ &lt;шa Gс Rљ KЄ 76тдй_клс 6ь… ;8 B— De &gt;М 9гь Eт мґт­ 3у ?u @я &lt;Ц 7l gGэп :| w†F8 jCц SжЁЮ‹б OиMч –9щ E!KЙ I— Eс ;•ьщфЎу–чЋь 5яЯ 3‡я¦ 69 ni@е nZэ’т Vп :пIужьС @е Px ~ђuђ7ђыПч«пЄуФ 6н ;„ hYэЭь[юQ hEэ?яв 4ъыос‘сУо’т Zч s4^ FЗ P7 Qт CЕ 8¦фѕжЖаЮкcсzы№ 3Ў ?… ‚‰^e ZГ TI HH 7Rт[ж Qд Fкън‰о…уoцҐщѕяh 5Ф 7~ ol=® =Э 9; k^ы¤х}м BлЪп*уkхЩ g€wd!M ‰lYЅ VО y}3Ќоoк cзыочц~ 4a 8&gt; :® 5 3… 7с 6–яоы8щЋуgл QкAр Aъf &lt;M Dл LЂ OР C»ьТн„дмишп =ќ I~ Kа o7фбЯ RЬcз q8u NT dМ c¦ NЮ 3±йEаржЏфК 9н Co &gt;}ымлѕзИк Lщ tsK‡ MЈ Bmь `п \иBкбфc h‘CI H7 A‹ 6aш§с№фHю5 &lt;У zwFЩ nSщ•т Bк§йТн ^яe &lt;Щ Cf AЙ A= :ѕ 5¦чуцLюк 7П 6c l’hYьFу YрxцО iђ?® Ci DЏ ;iьcх¦оRоЉхDэ n7њ ps;њ 3ТхMр«ш‹ 7N &gt;Ч Gs HU p3юЖх Zч }6ќ 8Л 8е 3Sц\й ;жµжюы t@Ч [џ `в Ћ„DTш CвLЫ _ЪмкэЊ 8І lojЌ8‡ &lt;b t„Cy z…@к 5ефЭфмсlуєр|тtш­тцсЂфR 5Ґ =P ylJ^ ЊЃlqAюфыbч YыGч Eя† 7ѕэ;ш QъЎю¦ 3—!3ы’ g‡5Њъ Dх Xщ Aы¬ю UюВ hђ&lt;Х 8и 6Њ 6b &gt;Я A™ ::эkщjоњоVпєъЧяа 6Сьп 6­ lnCi IЎ Qи JЯ &gt;Xшєл Cз{кyтqяy j•5K 4§улфЅыП 5Ъ A  M!Lњ FЌ j=фtмLмBп©щА 3д 5Ёэ CыДэ&gt; 7© ;J Eј Cw 9ЦуAд :еUц° kѓLI `Џ `ў IYъцв¤Ъiбюе@ыљ D| }Ћv~&lt;О f7*яъЖъ Ћih:¬юKцІлкж†рK 6џ Iд ZЛ X{ DlэзлЌе–о№эi o„um;Иэ›щзфTц Aь„ 7l =Д ? oѓ:ц f;щ‘у aхTчЦш gf?юВя&gt; 6S 5Є 8t ?a =г p}:™эхэrюґщ{ъћяЮюТя\ 3J 4Є 9› 9Ж 4ї 4» 3Эъ Iф Yф 7тбх}цiьЖ ;Ћ BЕ D› Lт ~ѓ=ґ 3gс]йBйМп \цЕ 8Ґ :щ 9щ 5ќя&lt;ьею… h|pu@m nЉ6Eь Wъђщl 4Ъ A  BЬ gNчАм =кkрЗя ђEИ L y†;pэЊп XйелЮх „6J tiE№ M  Bд jeщ GтЇкШр{сRшіч BхЩчТ 4µ p‘GO O№ Vs P› :Rчвп€л°л|увшњ 3е 6PэCэр 4ћ 4z j†&lt;@ ki:V 6[ 3e 8Л 8VьуэUыѕш NчЃшъюя h`эЎ 6Д 4ь gx:В 6к 9&gt; ;XэрцАфBнХт_ъPщћ 3\ &gt;“ =Д kЏ&gt;Б :© &lt;] 7oюBюK h&lt;эйь 6яu 4^ 5± ;° 8й 8Г &lt;К 6»ыzф Yоkсmс4тDь Џiѓ;± =R ?: tЃEТ 89яуыншDхащ}ыDяz 67 6h iQь¤шъф bцГщпъ? 7њ 5мю: 4V hy7[ :’ :4 &gt;М :о 3гюЌэЖяZ gѓ6I n’p…8в 5јэ‚шЗх^х Uч•ш Iюў 5Н l†:` 8W 7жэ&lt;ышЪы i3Hю8 4] 8j 9u m}5` 4В hWю9чkфkцLъ*ы Cэ¬ 4° hЃ39яЫюk 4ъ jЊ3с 4Ђ 7У 7ґющ 4У :Ж ?d &lt;] jr4¤ 5јю°у XыГ 4@ 3wя Kю 3q j{g_юк 4b 3†щ‡чmхиш9юi 3F 5¤ :t mЏ8“ 5X 3Ая x5Ўяљэ= 4z 3Mэжь‰ы9ънэBъЈъ bя –fEяЩю |3— 6г 7tюxяЅ hPьяьп 4] 6Б =Q pЉ:ю 8? 6Jя ‹fUэEы 3D g:юfэ9ь Pю Ћjn7г 6Њ 3жыЕщWчЂч‰ькэюэ •3И 6У 5в 66 6° 6ґ 4M 6Lэ±ьµюУы Hыщь?эЬ 5ќ j…6| 6Ѓ 6› 33ьҐьЉ 3љ fHь^ыZя»япэ ‘3} hv8Ї 3“ь ^ью 3– 3г 3_ 5О i~6®яЌьњюQ hz5ьюћю ‹3Ѕ gЏfh4Z 88 9z 5вьУъiъашGшSъ †3А 5° f{4з g~iq5:яи 3щ 3Тю—ьOю WячэЯюEюЁью \эlю¬ gu4Р 3И 4ёяјяљяґяЯ 3Е 3йюFюE 34 g4^ 4ч 4Ф 6А 6Ляаю…я 9я‡ю Lяw 3» 4{ hs4H 3я 3‚ f‚3C 3цюHяHэ7ьмэ`я{ 3а 3nяЇю :юћюЙэЧяІ 3; 4… 3Љя6юNю_ю LюЅюxэSэ°э8юАя  4w gђ5fюДьФю bэАюм 5l 5ѕ 5b g_юD 3ч 4» 5Ґ 5Г gg~fcюХяґя ‘5г 6№ 4Ь 3fя bяь 3¬ 39 4п gp3` 3gя 7яV 4т 4d fs4ъяQяPя s3з 3м 4« gЏ3HюЦэ 8ю Qю `юЦю†ю_эЁы@ы±ьTю~ 3Ѕ 3i 3BяЭэ»эёю±я  4k 4“ 3oяЂюгюмяa 4d 5W 5Щ 3Юя7яґяЪя= 4› gvgr3№юZю9я‹ 3d 4џ 4Й 3­яьюzягяХ 3У g|4‚ 3Ряmячяс 3— 4І 4о 4` 4&lt; fЋ3Љ 3Т f‚4ќ 3gяэюЩю4яњя4 fЉ3њяОюЪэґэ–ю‚яzя GяlюОэЧэkюgяx 3¶ 3i 3ЉяµюКю =я“я3 3g 34 3хяHя;яляА fЉ4Ы 3y 3ИяНя6 3i 3Џ 3з 3Е fi3’яeяняџ 3л 3д 3Ж 3¬ 3€ 3r 3ќ fkg•4Э 3&lt; 3хя rf†3ѓ 3§ 3і 3— f|3—я{я‚яјяьягя™яGя 3*яю&lt;яzяґяІя•я`я Lя Yя cяTяhяYя@я dя:яlя§яЖяМяАяМяНяБя¶яИяНяФяїя¬яКямя!3 v33 38 3&lt; 35 fn3шяюяхя lf}fvfnfq3кявябядятя zfЂfyfq3цяЭяШяЛяАяєяЄя©я¶яЄя°я§яЇя­яІя•язя</t>
  </si>
  <si>
    <t>RI*Fд ?!3WAVEfmt †C"3 gfgfw^!3 UV!3 hfv3dataА ?#3 ifkfnfofofmfmfxf}f‚f€fђfЋfЊf…ffl3щяиягябяЩяТяжяняыя rfЋ3K 3Ѓ 3ё 3н f‹47 4M 4S g–g“4: 4R 4P 4I 4C 4Ц 3; 3кя]яью{ю =ю¶эYэЦь{эђэЮь 9эZэЉэ _*юэ„э Nэ~юKя y4e 4&lt; 5Џ 4ж 5&lt; 4Р 4¦ fEяЫюЊяЗю eя`эЇю]я? gKяђяVь›ъТы;ъОэеюяюЁяЎэћэVю« 5‘ 5уяЉя… 5Q 8Ю 8Д ni?ю rqBЌ @5 AY B ?q Aк ?c A± ;Ы ?к DА t‡o~=s =Р ik69 nђ9Б 3T 4ВэЂю9ыжы dьGьюх:тичЕшйшъ 3b 4Гщрщh g—7ъэ„ъБх&lt;тZх…ьґяXьQфёчэ fg9? 4н 3Є fYъѓюм 5oэъь‰я ~4Z gЊ6пю y:ю Aў D: AФ &lt;P &gt;Ј @в Dµ BМ ;] imiЃ9€ ;ґ =„ 4^щ :ьaяР 3•ы RщЊф aрУрЉтkх JфЇуOцsщ щћщCь}ь&gt;яСя}я’ 5ґю_ 5Ж 9я &lt;[ A° &gt;· ?¦ sqBќ EP {•IK BU Fo JJ LШ K† Fc IЇ Jу Iљ L&gt; {hz‹Fj xsFJ CВ B3 Cк G€ CТ @џ &lt;| 7&lt; f~4Ю 4Pэ @ь—эEэ”ыоъ 5щ‚у 8сAмъл Oк 7йвзѓд RвKдiжDзҐеCгжа[гУг“в‹гцдЇзРк&gt;л†н 8п 7тут Wх°х&gt;цИщµы–ыЉьNьҐэ &gt;я· 4Б hq5ќ hm6г 8ћ 8Ґ ju6ёяxю zfzgy4@яQ fЃ3фяГ 3Ј!4 6П 5ћ i‰8| :‚ 8« 6„ 4• 4Ф 3і 3IяHэдъ§шnщдщ6чDфетBуЬт`хKц«хbц3щ©ьGят 4д 5Т jx:U ;© ;Т 9А 8В 9L 9¶ 9Х 8N jЊ8Г 8ї lѓ:ђ 9i 9_ 8µ 7‘ 6u i€6у 5ф 43 4ј 5&lt; j€j•6P ip7G 7М 7­ 6Л 56 6Ђ 5Z 6­ 5{ 4i 3ЯюdэYыoъJъош¤ч PчФшєшсшdъPыУъ±ъ|ъWъ @щ•чщцAч Tшџч~ц`ц`цўч \ш`ч AцфхYц [ч”цFчЮч&lt;шHш Wш`шHщpъ–ъїъ 8ы cь Xю ”3m 4H 6с 8Ц :K opq„?ґ sЌBс Br Cз CЈ D¬ D• w€v”Aм &gt;ґ =¦ &lt;Ђ =S rn@А q‰=й mЌ9J j…6т 3oяPюЬьдьTьФъ©щЖч`цВфйс&lt;н»йјжNж Aж ;з¦зJиEк ]мVмµоЙо¦п Jт?уlцлъСъхы«ь l4q 3ш 6к 8^ hu5С 7х 8З j€;ш nk7Щ 3TъгщИх\ъ Pъ &lt;ысщсувфDфyчЙщ‹эIюpю· is;  ;• Bv Is Li ‚–ѓ~MA ~—Kе Jn HN H5 Iњ Eg Bq =k 9q 5} gЋ5VюВю_ыОъхю© j–:O =т Aј Aс Bз Cї DG Dn Eа E~ Eя E§ C9 G9 yѓz€Iя Jћ Jг yzBъ B\!D CІ AU &lt;б 7n 5ї!3ь Kч@хPтЁт‹оФк Tм YмFнAм Uл Eн“сNх Mш 4ътщ©ъ©ътщ Xъ Fь°юњ 3• it9E &lt;е &gt;k ?3 Bђ yvJО Lы LК J· FM Gи Es EТ CЋ Aњ Bш sir‘qѓ&gt;А &lt;8 8¶ 5К 3· 4ч h‘6ќ 3»яС 3dяты Wщёш VъТъ«ы UьКьa 4ю :P @‘ DД H¦ KГ Lі J‚ Fu D5 vkB‡ ?С mf8? iuhЃ3љь\ъёшWшjш_щdэИ 6Щ ;У A9 Eb Hї K&gt; NЂ NV Lя JJ G| uv?Q &gt;8 @л @V @L =o 9Р 5vяЯьSыEъ‹ш TчђхUуцс*р&lt;с Mс ;т Tф¬ц¶шПщЃ+ъ 4ы›ь|ю!3ю 3S 66 if5Oя ^ьхчZх™уVс ]ряо Pо‘й XеПв 4г 5бЫЮ JЮ»Юsг Kз\лNп PфЎч^ъvъ &gt;ъПыGьQы bщкчxщ ]ъгъашГхЄтEп [мrк GмРнBоHнЯмLнШпЁрњфҐу­щJюЕ 4С 8W :ш ow@A CК D8 unCЕ D‘ Dµ IФ JБ Oџ Pz O– MU M3 L Iу ?6 @} =М &lt;ґ ?й oi=:я Sюђ j“6Ѕ 5I 4ёюќрЌл \йwр‰мєтцfыъчФчiтўрРл Gн Vд9аМдЖйЋр¬х Kьэ­ 4Љ &lt;© BЄ 9хя·щ¤щ¶фћп­ц‚нЊм SжВлШфvп¬п«фатРкёЮ YЩ°ТГХBЮ«жkг DиЂд№жoоeь© 6u &lt;Њ =V sЃ6tч›рОпЉы Eюdч^с Bн Yж¦ЩђЫ±Я№ШГХрФ‚ЧГЬSгкс LщJ 4ф &gt;K Dї BО Bщ GM PN WС c” d3 d» bD Zю Xw †“\е Wп X= Up Nм Gz Kѕ MЋ L!I ѓK¬ Il EН w”?ѓ &lt;Ўя€ 5«ъ Vч‘ц UхљщQю@ 4њяЮ fxiw9O 6О 8‡ 8‚ 9m 5dъЇщwчр*щшЭ 3¦ 7Б j…3вюЇьfцjфхт Vн»иTйLи 7зzзаи~йєж…з5кЎл ZйQкµмPоєпВоЌф№хафzт|у WчУш Jч @хюшПъBыPу Fшфчър—ы®я&gt;щ9хg 6oюcфъч 7ябцШчq &gt;Џ 7Ъ 5J 3ш B™ 8b 4 =Л zyDv Eї Jћ HФ G: H4 MQ B` yrK5 Im I¤ xuH‘ JЄ {—@У Is K; Cз E| P“!M EH ЂqQ9 Bы Bк MС FA An @¶ @` &gt;n ;ы 9ѓ 8нэ &lt;юћьgю4ъ5ф‡шущ^ш·ч¤ iSэ\ч…ю› 4Hяіэє :‹яЧэC 7@ 3xф ;*я @у 7Ьэ°яІ 4&lt;ю¬юЫ 3· 4Оы¶э— 4Ґ 4И 3ґю° 5№яqэыэ s4Ї hrfЃ5х 8Я 8‰ :н &gt;х =Ч 8q 7У &lt;  p‹i‘8Ґ &gt;е 6– 3Џ 8µ 6ќяV 5В 8э 79 ksq’== 8… 8= ;_ 8Є 7† 6џ ;І ;y t~&lt;Џ 8е &lt;ч mw;Э 8O 8a ;Z 9k 7ъь†ю¶ 4?ь ?ы 6ыоч[тхту Dс CрВмъйWй‚к 9к¤к 4ото ?р}сютoфvфAуАфЪш cъ&gt;чецDъДш Cщpь–яgэёю l5џ 8a 9Р ik9е =} &gt;G sЃs—po&gt;Ѕ @} BЕ rk?T D¬ wsB“ CO E BМ CЈ C› AИ @ј &gt;§ &lt;h 9« 7о 4іяТю\ 3ХяЦэ Lьњщ Oчшціх 6фЙх=щИ*шчєшдхЅсЦс `тќр TрѕсЋо Iп 8пЬн Mн м Wл–й;о AсДрuсSуjт _тwцgшoц `ч„шGцtчzщ 5ъЗъЋъМш Wхhс“сLрБо 4нЌк Bйпд Hгдг 8д©аsЮ 7ащЭщЩ 4ЭЖЯђЯ¦ЬРЯ ]бКа4аҐЯев в•г MеРеѕг“е @кLкђзЋм`п†мцм Iоён’л IнЁпQрШсйх‹хwщјы¶ыОьDяпя† g;@ m~;Ш =ч &lt;ф ;m ;D &gt;o &gt;№ &gt;ц Bd D¬ v‘GЋ E… xkxwpEА FУ EЙ Bё AД ?т &lt;к nz;^ 8Д 4q 3Х 3ќэьюйяАю”э cыkщuьцэDь„ь‰э _яд 36 3e 5} 3Ыэ§юrю™ьЄю^я©яч 3?яE 3· 4‡яюэ NэSь»ьЏьэЛю q3^ 4T gђ4Vяw 3О g“6ћ 8&gt; 9` 9o :є 8З 9ѓ :р :ї ot=Х =u ?&gt; ?  ?j ?K @ѓ sv?ь ?g @ъ &gt;« &gt;Њ &gt;Б &gt;g ?Ў &gt;† ps=± o&lt;Ђ :c lq9Ђ 7` 6Њ 5ў gЂ4H 3lюёю9я Wяdя°яЧя\ 3¦ fphЉ6m 7н 7H 8c l”n—;› ;: &lt;ќ &lt;g =Г =F p—&gt;ћ &gt;L &gt;ь &gt;М ph&gt;¬ qѓqp&gt;¬ pv=® &lt;® ;® ;? ;л 9r 9Г 8° 7ы ihix6и hn6P 5Г 4s 4и 3Ў 3p 36 3ҐяKя GяTю5эvьtь `э·ьНы№ыcыфъµы @ьГьЌэ GюгюD f•4Ќ 4ў h—6p i‚7о 7Б ko9— 96 mЉ:X :ќ :X mo:§ 9Н lx:} :— :j 9„ 8N 8о 7њ 7° 7@ kѓ8є 7‘ 7Ж 75 8Q 8Д 7K 7_ 7X 7: 74 7х il69 57 5g 5ў 5ь 5џ 5N 5т 4е 4@ ht6¬ 6Л 6~ iw6M 5Т 4© 4Ґ 4Т gv5C 5— 5ф 5‚ 6ґ 6• 6z 6D 6W 6p 6= isis6О 5є 5у 5л 5‚ 5Щ 4\ gЌ4E 4 4i 4A 4т 3З 3І 3Б fi4O 4‹ 4Ј 4Ы 4я 4N 5Ѓ 5« 5Р 5т 5л 5¬ 5k 53 5Э 4Љ 4L g…4ы fh4я 3л 3Ш 3й 3р 3м fhgsgwg‰g~gѓg„gH"4ю 3у 3к 3Э 3А 3Є 3њ 3{ 3` 3N f”f~fuflfk3*яьяьяюя</t>
  </si>
  <si>
    <t>RI*F O4!3WAVEfmt †C"3 gfgfw^!3 UV!3 hfv3dataш3!3*я h3*я hfifhfhfifififkfkfkfkflfifjfkflfpfofofofmfnfnfofqfofpfqfsfsfrfnfhfjfnfrftfrfpfrf;"3эячячяэ+яэяьяыяцяъяфямяряпяпячяфяжяияаявяаяЦяЙяЕяУяЗяЦяСяЗяПяМяХяЛяґя©я­я№я·яїяКя·я«яАяДяПяЇя¬яЄя”я¦яҐяДя­я–я‘я‘яѓя‡я—я›яћяЌя яљя›яЋяrяaя bя Qя?я`яfяiяUяCяDя ^яZяUяfяMяXяMя PяAя Nя ]яфю 7ягюиюхюфюCя bя =яаюТюГюШюм+югюњю‡юђюЭютюсюию ю~юSюzюЊюю}ю]юіюµюКюЯюєюlю ^ю 4ю Jю Nютэ Sю Bю Xю dюaюµю›юљюUюЗэ™э}эЕэ Aю7ю‰юBю 3юбэлэЯэКэјэ~эTэ cэ eэsэБэ¦эlэ„эwэ‘эўэcэ—эMэ Iэ \эWээLэwэ‰эќэЉэ э^эbэ :эыь8э ^эXэ Jэыь 8э 3э¶ьйьѕь`ь6ьЛыЗытыBь›ь Rэ `э Hэ·ь[ьZь Mьаы“ыЉы~ыџыfьwь @ьtыHыFыѓы`ьЉьWьэы[ы Tы†ыEыЪы AьmыhыWыЊымы&lt;ь|ьЉьэыры Cьиы OьBьUьйы]ы©ы cы]ыEыиъчъiъOъВъxыЩы\ь bь Uы Kъ &lt;щ YщЋщ_ъZъ®щщaщ Zъ`ъЦъуъощсщ°щХщ Gъ5ъЧщ _ъ ;ъЯщJъHъJъ Hщдш@ш Dш­шPщмщ9ъхщ Fъкщ‡щйщEъ 6ъaъжщ¶ш}шbчгцwч 4щ“щ @ъјъ Xъ©щ6щ§шґч*цDчgш CъЯъ &lt;ъhщЊшСшUъ®ъ 7ыLыЕъЁщ­щiъbыµъBы?ыпъmьbюЉя”юёэЪь cэ7эРь_ь Jьы©ыпь eьёыХыiьcэЭьНыГъ&lt;щ GщРшdщыш @чЮчСцCцЮхх \ч 9чЛц JцГхAф|уЧуxх Gцyц’чnцџф:у‚фвцфхѕхБхIхтх]цЪчЬшЏшчшъщ :ы8ъЬщІъяъMъПщҐщgшІшqыiь \ю’ю¦ьЕэdя` 3Ъ 4` 4Е 3Sю™юэяеяW 4µ fЌ3l 4} 3№я sfeяiя»яC 3Ы f\я«ю“эиэEюЉэ &gt;ю Iэ ?ьФыаы…ыщыХъHъЛщ«шќщ ;щнщ]ъRщрш…ш Sш[ш}чxчРцЦх Wц®хWцґхЙфЮх WфXхъфOуwу OфїфDх«х‚ф8ф[уrф|цБшXщJшТч=ч 9ц bцІчiъ¬ь Gьуь&gt;юЙэ}яf 3Љ 4П 4п fЂ5‹ 5Э 4« 5J 6џ 7в j“kЋ9Ф 7 7i im7… jh7А 6s 6\ h‚6d 6U hv5Y 3hяїююъэ YюЗэЏьДыµыЗъвъПъ¤ъ eы PыWщaш Pщ GшжчAш±шtшћч CчЕх&gt;ц¤х HчПцYц RхЖхкцпцешVч5чПуїт Dф\цѓч Tц eчEцъцQцKы `ьпщ Vш Dчyь IюіяМ 3М hЉ5Ѓ 4— iЏk7Е 4l 8О ;S &gt;I ;g 8I 9С 7« 9x &lt;Ж ?Ж =b :• 9л 9Й 9S 8ѓ 8л 7&lt; j–4x 4} 5р 4r 5Ж 4B 53 3Ѓэ”э [э Nэєэjэ\эpь•ъ ?ыљ+ъ NьСъQъЬч·чXшхш Qъ:щ eшфчјцµц Sш‡шYщШчьчзц‚хбцFц шcчВчсчКчYщwщ№ьЭэДэT 4— 5ў g6Z i…6Н 7± k€9н kѓpЊ?8 ?y &gt;й o=· &gt;¦ r€?Ґ @= &gt;@ &gt;V r”?Y ?З qk&gt;? =” oM!; ml‹9Q 85 8} 7щ 6K 7г 6 j€6« 4J fSятя…я @яЌюhюiюхэҐэ Xю°э€ьUы…ъeъpъ”ъ8ь¬ыІщ щџшЖщYыгыёэПы ;щcц&gt;чАш’ы Qьеы FьЕщжыXьЖ 3Х 4y 8С 8о 9с ls;g &lt;g :h pѓ&gt;Ѕ &gt;~ =: @И Ak C— DН E6 C8 Aj ?I @– Dж DO yky‘E— B‘ BЩ BV A‹ &gt;Л &lt;“ :Ь mp:N 8:"9Ї 8ґ kz9ї k‡8e jv7К 5x 5!4 r3Зябя NяЕя Ѓ3ќяf 3ћэ­ьkьiэcюGючя»юУюuяћюZэJэ JьЋэuэRыќъ Bъ &gt;ълыО 3v 4Ж 5• 5н 7N lr9К lp&lt;Є &lt;ё :я :Д @У t€Al B: AD Aв &gt;е tyE« Fт E_ F™ zsGб EФ Fr zsFК Da w„E&gt; B: Aм @N tzsq‚=о oђ&lt;К ;s &lt;Ю ol&lt;6 mr:и 8l 8 6ц 5Ё 5г 4К 3Bя w4} 3нюІ 3Њ f3aюbэбюpяyя¦юЫюUюЖэ _ю&gt;эЖьfэвэHьіы§ъфъpъ 5ыTэ‰яЕ h5• 5а h–4[ 5C msЋA­ @б ?‡ &gt;« &gt;Т =­ ?® Ay Cє Bн De GР G¬ FЃ Fѓ HB G– G3 EЂ E^ D; CЁ Cѕ DH wvAw ? ?7 ?І =» pg=h &lt;? nl;{ o~;‚ 9Ћ js7s 7« 6л iq6« 4аяtю aя*юeю Tяюэ эхыѕьUю‹яєэtэсьЅьЪыDыЃыzщMыRщшыmъtщіщкыRяжяZ 3–яњьJэ Aяд fЉ;O :j &lt;Ш &lt;Е p•qЊ=А A€ @D =µ =3 ?q A® Bв Bh Fе FV FV z‘Gн Fo uzCИ Cњ Cъ Aх ?µ rhpЌ&lt;u &lt;к &gt;: p”&lt;\ :± :f ln9С 9Г 8ю 6М 46 5Ќ 5Ѓ g•3YяEю[юjэdэ…э|эШы PыXыЖъDы PэЕэђэеь Uэ|ьNъ]щsщ}ш Sшщшqъъ­ъОъбъ Lщцч &gt;щuэІяDюr 3Гя†э Cэ …5О 8д kѓ88 8@ :k :ј :¦ ;г p‰=Е &gt;ъ ?ќ @Ф rЊ?в ?Ѕ u{vzA« @j ?© rЌ&gt;{ ?џ ?и p‘;¬ 9Ж :Ш :A lh9n 9D 8D 7Х 5f 5z hp4‚ f•3єя @я 4яэяFю*ыЩы Mэфы dщ3ъTщ™щ№щѓыdь€ъцщзчПшБц LцлхЕфЩхЪц _щіш3штц bчюцUчMціфzч &gt;ш dьЁыRы WьZы if3ъ 4G 4Л 3n 3† 3ѕ iЂkЂ:G 9‹ 9Њ k|8¬ mz=± ?w &gt;я pЉom={ &lt;т &lt;b =Ь nЏ;Ё 9ы :€ 9] 9н 8х 8• 8д 7џ 6r 5{ 4» 3‡ 3Ў 4Ќ 4бяRю Eэ Sь _ьFэҐьиыЯъ®ш ш Kш _шVшЭшsщ ;шОчЧц»ч{шXшљшП*цфќх™уцхПцzч Xш±цЊхЅтCу`цJц?цwц№хїч Aщ`ъ PыzщЕцqч—ъоьЎэЩюZяў 3a f‰3З 3ќяY 3ь 4З 8v 8Ґ 7Н 7C 9ц 8а 8O n|&lt;d ;Л 9х 8У 8E 8Ы jv8› 9? li8r 7n 8 7Й i•iv5ѓ 4• 3^ 3юЋюРь®э ?яНю Nя4я^ю–ь&gt;ъ\щШщ•щМщш…щ Mъ{ш‡щPшОч§цIц|чІфу¶тґфuц†ш 9ш 5ш…ц]хMцйх•хtт…т Aт†уЛх=ч eч–шD*щш“щмъ Dэ Xьpю9ю·ы:ючэ‘яГ f•53 7L 8ы lv6{ 8і 7C 8° 8Ї :і :A ;› &lt;h n†;J :с 9q kЊ9Е 6F 7M 7в 6Ъ i|7З 7± 7€ 8Д 7а iw6j 5U 5‡ 4w 3KяоэѕьшьќьПьјьВь ?эПьКыеыЈь cьў+ыЙщПч`щйш®шMш MщЁш=щoъ`щПш ^ш|ч TъMщµщЉщVщ Fчtфpх `фAц?чЩшЬшЁъКщњшэъЉьeю¦э© f“6P 6‚ 4aяt 3[ягяa 6ў l—8m 7¦ m•ojp†&lt;р o†;™ l‘;— ;ю &lt;r :G :k :Њ ng;’ 9K :І 9¬ 9в 9i :™ 9† l~8t j…8 7› 6ѓ 5ћ 4ьяl 4Y 4ђ 4ђ gl3tю DюьяИяЯя; 3еягюбюЋэўьќъjъкыЗьЦэ bьtыTъЌъ&lt;ь @э 5юdь4ыЂъOш ]щРщщµщ¶щЦшцщ QыQыcыEыЖьFьЎьЯъZэ@юб 3; 5В 4M 5O gmhЋ58 7з 7Ф 6L 5V 7› 9ђ =Н =Ь =| &lt;9 ;‡ ;› &lt;Ц =“ =O =F &lt;D &lt;ц ;Ґ &lt;« =Ш ?ї &gt;c &gt;В &lt;} ;я :… :љ ;@ ;ѓ ;© lm9њ 8ъ 7Ј 8_ 7е 7К j7U 6Џ 4ќ 47 5W 5» 4‡ 3”юОэ BюєяA 3F fPя Lюrь3ы@ь ZэОю3я Tя¬ю Iюль4эWюВьAь Mюhэ `юуьRэФьґыэыRыЋыТъ‡ъµъ¦ыцыѕэOэdю±я™я• 4± 3B 3™яµ 3D 3н 3P 4ж 3V ikx:а 9” ;№ :^ n‡;ѓ ;“ ;¶ ;Ч &lt;4 &lt;о =‡ &lt;ё p”&gt;ѓ ql&gt;J p|=? &lt;i &lt;М &lt;\ =с &lt;e =З =т &lt;“ ;x :Ы 9Q lr93 9› 8Б 7О hv6Д 4  gu4Ђ 3P fђ4_ 4I 3‹явьxэUэАэYя~юЖэЈь—эёэ \ю Fю›э°эЋю QюГэ Vэ _эfьiэ`юdьtыlъѕыЩы Dы}ъmыКъXъЙщзщШълыхэЌю Oя 5ю‰э~эФяA 3Бяє 3° gt3kя‘ 3њ 5Њ 7Ф l–&lt;ю :Ь 75 ju8ж 9д m;Љ &lt;Ш &lt;є &lt;Ў &lt;й &lt;Е &lt;@ =@ =4 =є o†;А 9ф 9Э :њ ;З n—o‚;‡ ly9љ 8® 8Б 8Р 6· 5Ф 5Љ 3… 3В 3Д 3™ 4@ hr5 4i 4Bязэoю4юpэ™эЌьUы™ыеъkъљэ_юхюгюoюСэWэaэ Mэ Tю &lt;эГы Eьќьїы [ыAы `ъ€ъЖщfщ PщњшЯш_щвшэчгщ IыjыиъєьЙэфэ ьъуш‘ъјы ]эAюцяV 37 4ь 3ў 4!6 Ђj‡8T 8I :Ф 7F 8Њ 8y 8y :­ :u ;с :Е 9Ђ 9Ч 8љ 9х 9Ц 9` ;t n…9w 8ч 8N 9ќ lm9Q 8 ir6Ў 5Ў 4Ж 4• 3Єяpя·я 8яcяQя KюCю bю‡эбэпь·ыМы =эDь5ьзырыyь”ы“ы Lыnыmы LэуэЈьњь»ыќы«ыЭь¦ы@ъ®шфц Jч &lt;ш}чcчлчtчQщ bщушFчЗч OщМщFъащdч­чoшющ”ш NщЕшЂъ€ы Jэжэ Bэоьзь h3й 3ж 48 4Z 4g 4І 4є 6S j|8S 8k 8Ђ lѓ9™ 8Л k€9‰ k9Е k8Щ 7І 7c 8ќ 8Ъ 8e kv7С 5N 4® 3Ћя^яЎяБяjя Wяую»юђюhяаюNэvьpы6ы’ы¶ъЯъ[ы dыJыµыБы Qь»*ыьщъGъKщїшDщЮъ§ъrъ?ы§ъѓъ Mы|ъочџчЁц ;ц‹шцч•чОцМц ^цйцbч ц 8ч§цuфґуµф±у Dх€цoх‹цFшЎъGыpыkышъїьльeь±ыoьeэyягяЎ fl4ќ 48 4й 5н jѓ9‚ kmlj8Г 7Ѓ 7« 7t 73 7Р 6J iѓ7‹ 6Ў ig7Б 6 5Ц 4m 5¶ 4Н 4P 4Г f~4я 3ЖяРю~юВэЭэ|э&lt;эЯь Vьuы &gt;ы\ых+ыaь 9ьXыZыµъВщ Iщ‚щјъНыqы ;ыPы‰ъ Vъ Gъzъiъ Jъчъ RыCъ„щtш Vш 8ш•чОцpчЪч—хfх@х QхЧф^ц 8ч &gt;цюхїф»фяфgцух4чзч»цЛщўъ :ь©ыуъјъ dырыфы3э}ю} 3!54 7Л 7э hq6i i–8ч 8c 9B 9  8X 8h 8ч 8ѓ li9Ѓ 8Џ k’8№ 7[ 8… 8Y 8: 8Щ 7э 6є 6Ы 6— 5 5w 4Т 3i 3ЮюЎэ :э]э=эRю =я§юЌюOюеэNэМьsьҐь«ы \ы\ъ€ъVыЬы‰ьKь*ъ ъ[ъ§ы dыЧыLыРъ·ыбьZьvыТъ‚ш¶цГчCш 7щ4ш3ч Yч cчLщдщ Kыvъ Bщтшёчлч“чWш :чЉчYшeщfъ¤щцщLъhы Aыљь;ь AьЋь Dюe f“g‹5ґ gk5щ 4 5Ќ ij6f 4ђ g†6‚ j€8ќ 8· 8T 9Л 9Ю 9h :D l}83 7м 7„ kЌ8— 7ћ 7? 7‡ i€7s 7w 7ѓ is6… 5‘ 4L 4v 3Ц 3– 3·яZя ZяVя ?яyю KяВю­ющэuю Aюљь¬ы9ыны LэVюeю‹э [ьDы &lt;ыеъ‘ъdщ _ъ Rы :ь‹ы Jьћыѓы KьЅы@ы‰щуш^ш`шBшгч 7шгчFш‰шmшIшвшZщ`ъцщнщѕщ Yъ®ъЇщ Jъ‹щ WьвэxяляЊяQю[ю Dяmя‘я _яґяv 3 !5 7µ jЂ8ґ 7“ 7\ 7: 8; 8ђ 7A 8^ j‚8` 8« 8G 9X 9Ж 9ы 8ё 8s 8С 7Џ 8a 8&lt; 8§ jЌ7i 6ы 6ж 6а 6F 6e if63 hЂ5џ 3Уяyяwя7 f‹3ѓ 3— 3Ю 3ѓ 4s 4X 3Ґю Hэ±ыЕыSь bь Pэ 3эяьшьZэ BюОэВэЇэ&gt;юMэЙъПъLыЇыPьOьры&lt;ъCщ Bъ 4ь \ьСъвщЛщ°ш°шЎшёщ«ъtщ5шМц{ч Aшєш@ъ~ъЎъЋъЏы^ьWьїьђэIэДэ®ю° 38 58 hЌ5њ 5z 5H 6К 5ч 6z 7^ 8r 8¤ k€9ч k’:7 :` oy&lt;? ;€ :т 9§ mЃ:4 ;і mj:Џ lЏ:З :Р n–;З 9ї 9Ф 9° kmk†8e 7Н 6Е 6S 6к 5^ 5п 4± 5э hzi–h7"5 }4и 4о 4г 3µя ]яХюGюєюњюЪюШяњяЙю Bягю HяАю ;ю Fю\ю‹юwюёю ?я Mэєь Zь»ь eь 4ь 5ьrыбьSь cэ WэќэЫэЫэЮь dыOъ°щЗъ©ы Eь 5эiэeэЅь&lt;ьОыоъҐы XэXюнэCю]эmюњя |3p 3щяЇ 3m 3Y 4| 4‹ 5‚ irj•8ѓ kЊl‰9А l‹nk;j ;Ј ;° ;™ :™ :s :S ;З ;] &lt;i &lt;І ; &lt;Я n‚&lt;© o}op;B :7 :М 9ю 9E :D l…lj8— 7Л 6¬ iђ6® 6‡ 7c 7с 6ѓ 6ѕ 6ђ 5љ 5‹ h–hq5ѓ 4N 4Ѕ 3\ 3`яПюЩя?я§юfю 9я Sю 3яоя»яіядю’юdюvю _юVяиюcю;ю†юђю Dя Oю*ь bэТюЩяY 3P 3fюUюTэ­эЋюЬэ‹эчьJюhюjюTэ¤ьЂэјэMюаюЂю§эКюіяR 4W 3D 3Є 3E 4¦ 4] 4ё 3Ояt 3o 4Њ 6: j7Z jw86 9Й 9p :„ :? :“ :Д mo;у :D ;q ;А &lt;М om&lt;› ;в ;u &lt;| &lt;X o~&lt;? &lt;‡ ;д ;R &lt;Ш ;z ;y ;u ;5 ;m mѓ:ф 8е 8Ќ jg7u 6Ѕ 5c 6¦ iz8j 8Ђ 7ч 5” h“i‘6ѓ it6І 5Н fЌ3рю `я­яњяp 3D 3!5р g‚5M 5–"4~я‹яdя‹я s3я 3љ 4ћ 3Ї 3к f”4¬ f‚3mяЯюгю€ю “3р 3€ gk3o 3“ 3юяѕяpю5юїэ[ю—э[юЙэ Pюµю\яДя =ю Jю AюЉю?я›ю\ю Bюiюzю®яУ 3хяц 3X 4Ц 5ї 5Ш 6Д 7а jЌ8X 7д 7У 7ј 6° iyk…lq:ч mЌ;” ;Ґ ;г ;M ;9 ;] :і 9° :: :t :;!: ;l ;T ;&lt; nЏ;† :€ m’mu:A :  9© 9E 9А kl8у 6“ 6F 6“ 6М 6і 5= 6; 6o h‹5о 4‘ 4й 3P 4р 3J 4&lt; 4Ґ 4i 4 4и 3Q 3ќ 3r fs3Y 3л 3Ё g’4Y 4« 3q fz4Y 4‰ 4з 3Їя;я 7я¬яsяµяIя¬ю:яl 3 3щяЦя Jюќю Mя[ 3u 3‘яШюгюµюфюХя Bя `южэ7юGю3э Bэgь8ь›эѓю:я•яКяћя9яZю 5ю?ю¬юўю Qюаюїю‡юfяF 3» 3К fxh”5` 5a 6N 6z 7б 6• 6Е 5Я gѓ5L 5ю 6F 7· 7v 7п 7а 7Э 7ъ 7Т 7ж 8l l…:Т 8Є ku8З 7E 8 7u 7ђ 6я 5г hz6и ir6= 5љ h5К 5И hhЊ5П 4» 4] 4s 3фя bя’юСю BяЫя :яя:я:яУю XяRяУю 7яmю Xюіэ Tэїэю HяОюхюОю№юЪю 8яrю 5юФэ€эйьјьдь¬э®ю’юmю}ю@юЈэІэ=эЯь8ьҐыты 8энь Nэґьрьfьѓы•ыЕъgъ Aы Zы@ь 7ь 7ы4ьXьДьЩьХь KьLыюъѕь Dэ_э eэXь Tь \ы Zь­ыRьеы 4ьќьФэьэ dюЏюЕюТюъю8 3џяЉ 3ГяЂяuяKяWяџяt 3‚ 3Ь 3k 3ц fq4€ 4й gЏ5o 5№ 4ё 4Ђ 4¦ gЏ4д 4ѓ 4ж 3„ 3z 3f f—f3wяЋя}яlя]яЖя Zя [яиюуюѓюѓю 6юШэсэ ]эЙь§ьќь«ьУьЛь~ь AьBьцыtьь†ьUьїыWыЧъLыxы~ыАыѓыUы Sы AыЭъ eыйы‡ыҐы?ыvъл+ъ“ыњыJы Mы Qъъ‰ъpъ‹ъРщјщ ?ъ*щВщжщощ Vъ aъqъyъмщ Wъ Aъ;ъ3ъЉъЋъZъ7ъВщгш=шФшншйш›шкш Zщгш ]щЫщbъ“ъЛъҐъ KыIъєъ Qы VыЮыIы \ы”ъ KыЎьјэЖюiюЦэїэjэ&lt;юею†яйя r3Уя €3пя k3№язя? fѓ3Ћ 3S 3™ 3‹ 3¬ 3Ж 3J fr3†ягяh 3[ fЌf‡3Эяйю Dюэ©эгэЯэъэ =юjэDэ Mэ;эіь Gь LьFьZь Mьдыщыtыєы Oь JьЭы4ы`ыюъГъsъNъ“ы]ь OьЪьCьчыты =ь Cь 7*ьы§ыУы ?ьhыjыЌыЪ+ъYы NьхыоыbьЂь9э{ь ?ьSы YъЄщ 3щјщ©щ Hъpъ&lt;ыџы [ыHы6ыrы”ы Kы8ы‚ъ~ъмъ DыҐъHъoъ…ъ8ыДъNыљыНььаьCэTь Qэ{эjэ…эЩэ VэТьНэЌю Dя яlя ?я€яBяЋяO 3\ 3’ 3И 3K 4’ 3Ґ 3m 4Ж 3я 37 4у 3z 4л gm5б 4{ 5™ 4» fh4s fn4h 4• g—45 4Л 3° 3А 3Ы 3u 3Щ 3Ѓ 3hяQя*юню}яаяXяЩюxю_юIю Eяvяљя l37 3ўяќя IяTюЫэVэtэ¬ьhэђэчэЏя Eя6я BяVю `ю„юЩю‚ю[ядюЬю§ю 6яyюlюхэ ]эkю 7ю8юСэVюЗю ?яХяОяOя~юаэqэФэKюpю &gt;ю“э @эjьNэ¦э 4я EяpюrюЖэнэИэ\яшюIюЗю®ю&lt;ю•ю«юxя w3ѕяўяFя”яM 3ѕ 3` 4р fl4… f”fђ4… 4’ 4K 4Y 4M gi4X 4Ц 4” 4” 4° 4љ 4f 5“ 5№ 5– 5} 59 5ё 4m 5ѕ 5ч h–ip6и 5й 5f 5w 5э h”6Н 5х 5л 5? 6З it7А 7v 7ь 6a 6† 6Q 6z 6E 6e i‘6A hy5а g‰5j 5П 5? i”6Ж 5w 5R 5j 5^ 5в 4Д 4° 4&lt; 4U 4P 4к 43 5L h…5ы 4щ 35 3D 3В 3 4e 4‹ 4ў 4Ј 4ь 4Ц go5‘ 4Б fyggq4ѕ 3· 3Й 3Л 3ђ 4n 4— 43 48 4 4: 5e 5„ 4E 4E 3Ч f–4¦ 4p 4B g†4Љ 3D 4U 4Ѕ 4H 5P 5› 5т h’6Ѕ 5К 5µ h}hЂ5y 4ѕ gj4w 4Ђ 4¤ 4P 5T 5ш 5Н 5п 5~ 6ф 6T 7n 7Z 6њ 6я 5Ѓ 6„ i’iЋ6» 5&gt; 6p 6w 6Ћ 6и 6!7… 7 j8б 7« 7l 7Ж 6о 6t 6в 68 7С 7N 85 8N 8в 7O jy7ў 7№ ji8g k„8A 8S 8P 83 8д 7U 7&lt; j‡7П 6} 6а 6ы irjЂ76 7B 7V 78 j‹7ь 6Б 6\ 6ћ 6Ы 6K 6p 6  5¤ 5Л 5M 6ў 6Ц iѓ7з 6Т 6ь 5Ы 5Ё 5W 5y h“5n 5в h‹6і 6Й 6j 6F i—iЉ6Ї hЊhq5э 4у 4w 5Ф 5I 5K 5N 5Н 5О 5w h‰5• 4Ц 4П g‹5­ 5S h“5“ 5Ь 5Ы 5в 5№ 5к 5U hЉh“5‰ 5є 5щ 5ї 6z 6G 6ћ ivi}64 6… 6” 6‰ 6’ 6г 5v 5T 5ђ 5К hЉ6™ 6¤ 6– 6A 6| i7k 7Ќ 79 7€ 6µ 5› 5г 5M 6“ 6U ih6d 5Ы 5W hg6Л iЊ7› 7T 7ъ 6‚ 6К 6p 6@ 6л 5Ў hm5я g†5Е 5‹ 6F 6€ 6” 6¤ 6y 6V 6] iЉiy6u 6z 6q 6Љ is6{ 6ђ 6\ i–6ь 55 5Г 4ґ gx5s 5А h‹6Q 6И 6n 6‹ 6H ioiu5b 4W gЋ4ћ 4… 4z 4Ѓ 4Џ gЃ47 4Ы 3њ 3 3т f„4Л fђgr4b 4Т 4Z 5Ѓ 5o 5ъ 4ф 3B 3«я«я@!3 4м 35 go4Ъ 3ф 3p 4v 4Ф 4в 4M 4B 4ў 3Ї fv4[ 4| g†4ю 3Q 4&lt; 4h g‘gЏ4Ы 3? 3¬ 3X 3э ftgђ4‚ 4Ѕ 4r 4| 3ыядя ‰3З fђg4Т f~3w fv4Т 4н 4Ю 4{ 4F gђ4Q gx4я ft4© fЊ4ћ 3„ 3[ 3ї 3k 44 4ћ 4= 4b 4‘ 4± 4з 4p 4ъ 3[ 3… 3Н 3ѕ 3Л 3Г 3A 3i 3± 3ц 3X 4г flg{4o 4– 4~ 43 gi3чя·я nf‹39 fo3фя8 fѓ3їяья Џ3&lt; 3n 3q 3Є 3€ 3{ 3a f…3єя GяГюЏюіюїюUя я”яАяОятяB 3X 33 3Z 3Ёя™юоэYюqюnяЁямяЈя JяwяgяКя k3yяDя9я&gt;я‹якюсю\юeюbю `юЕю 4яvяNяќюkюBю‘юwюgюАюbюzюХюЯю`я]яОя‹яБя·яПяВяcяEя|яEя 3яиюСюЭюмю Xя VяVяяxяЛяшяФяЋя¬я z3ьящяИяjяхюџюЦюіюlю Lю‘ю&lt;я&lt;я~яoя Qя;я bя?я dя№юОю‘юVю LюШэ 4ю;ю dюОюєюЗю ?я bя|я Lя 3я`юpюMю Cю =ю‘э—эчэ Kю =южэ№э Gю OюћюСюїю Oя юСюЦю§ю:юШэ 5юЅэїэ ?ю Aю VюЫэ&gt;юiю Mю @юнэ{ю Wю Nю«эЪэьэ CюyюXюмэtэ Xэ IэEэ IэRэќэбэьэ Nюdю 6ю Yю’юЌюiюDю WюЧэєэsэ§эlэ э Bю]ю’ю :юФэбэcю™юиюЩю№ю 7юЗэLюўюSю MюзэOюўюлю_я­юjюёэОэьэVю [я}я&lt;ячюЊю‰юџюЪюЃю _юЙэuэFэgэҐэ 4ю¦юТюdяKя4я‹юњю’ю€ю \юЖэКэЕэпэоэ _юЮэќэ‘эНэ…юњюuю 6юЭэгэ ;ю©ю„юЛю|юСюЁюoюцэшэнэ Cю 7ю Wю Uю Lю HююrюЕюЂюЋю Bяћю‘ю OюTюЫэ·эЬэ Oюрэ9юLюЙю±ю^юЖюґюЏюCюЏюЙюўюІюuюЌюFюфэбэ Kюїюхюгючю¤ю¤ю{юаюVяBяЈяјяняKя Hя @ямюќю‚ю[юЈю‚юТю MяQя eя Cяnя¦яjяэю Vя 8я Tяйю­юЫюгюЮюpяљяЃяьюЦю JябюмюЪю ^я _яЭю 5яЋяoя AяZяMя&lt;я SяTяЉя Xя 5яЩюоюGя Sя}я7яйюТю 8яcя›я~я Zя 9яћюpюcюую CяМюхюРю 5я =яTякяЕяzядюЂюўюIюЎюаю¶ю’ю‹ютюрюХюБю ?я GяЖю¦юпюЮюАюРюрю &gt;яљюрюЇю«ю=юQюЙюЈюТю Aя7яДяvяNя’я Yя eя¦юфюXю IюџюЮю“яћя¦яTя &gt;яЧюЇю¤юќюЇюЬюіюMю QюIю«ю 8я aя TяСю RяMяЬяряАяhяхюяюKяњяпяsя ?яоюЉю…юUюЉю aяЧя z3юя Zя8я Lяoяkя:явюЉюoю€ю©юию~яќяТяЖя€я &lt;я 6я Bя Fя `я Dя cя;я7яхю :яqяью Sя EядюЋю…югюею BяКюХю‰ю’юoюzюјю№ю aя Mякюію–ю°юђю PяVяfя8я3яуюeя Bяєю­ю_юfюOюню MяИюхюжюрю9я Lя{я’я;я `я~яcяXя Iя 7я Cяаю&lt;яЅюьюЂю8юРю¶ю¦юдю7яыюхюЛюјюєюЙю \я@яќянюµю±ю|ю№ютюѓяpя:я dя9я@я’я·яµяЌяMяNя eя Xя’я‚я‰яvяaя¤яUяPя=яCяzяМя „fЉ3ЬяФяпяСяћяNя 6яйю ?яRяbяkя @я &gt;яcяЊя}я dякюою bя@я‡яvя`я eя Dя{яФяМябяµяuя dя&lt;я‘яЯя ”fѓf}35 fj3ся ’3h 3I 3&lt; 3тягяЖяЈяьяѓ 3’ ft3ЬяояУяэя6 3e 3K 3хя jf•f‚39 3b 3» 3N 3ея«яQяњяђя¶яПяЖя§яЁяфя 3n 3e 3Ґ 3X 3m fw3бя u3ия ’3A fЉfl3щя Џf•3F fЏfЋ3~ 3к 3ь 3л 3й 3Ћ 3  3  3Е 3™ fЏfl3ФяшяВяєя ‹3; 3ћ 3Н 3т 3й 3Ъ 3 3¤ 3d 3A 3; f‡3y 35 3&lt; 3‰ 3К fg†49 g‚4њ 3« 3І 3Э 3&lt; g“4p 4^ g~4® 3h 3› 3з 3n 4“ 4› g“gpg}4Z 4| 4P 4; 4ё 3X 3V 3€ fxg‡g‘4о 3Є 3ш 3о 3o 4| 4Ћ 4F 4ї 3• 3› 3 3Ў 3є 3ю f‰g„4s g…4Z 4А 4М 4™ 4X g‡4K 49 4Ю 4± 4Ў 4‘ 4ч 3@ 4ф f‹g‘gђ4Y gѓ4q 4w 4Љ 4Б 4° 4ѕ 4e 4J 4g 4I 4j 4§ 4ё 4› 4o 4S 4L 4ю f}4a 4Ї 4С 4¦ g|h‰hghr5н 4® 4k 4B 4z 4і 4ч 4Ш 4¶ 4а 4Ь 4? h—56 h…5т 4Ш 4› 4k 4Ћ gfhЏ5Љ 5= 5; h„h‚h5ж 4В 4Н 4ђ 4  4x 4g 4T g‚4„ 4 4Н 4~ 4Ґ 4ґ 4я 4о 4й 4Ф 4Љ 4• 4r 4С 4г 4!5ч gl5ъ 4е 4Д 4› 4ћ 4“ 4» g„5A 5B 5э gzhz5К 4е 4ч gЋ5Ф 4ћ 4– 4Ж 4о 4з g5Ф 4Ї 4Д 4щ guhЊh‰h€5п gw5j 4­ 4v 4O 4z 4e 4Ґ 4Ђ 4ђ 4» g…5l hr5¶ 4ч 4¬ 4Б 4і 4і 4– 4U 4Z 4~ 4г g„5ю 4D 57 5э 4Й 4ъ 4ц 4ф 45 5J 5T 5&gt; 5] 5 5k 5i hp5Ж 4­ 4ђ 4к 4ф 4И 4№ 4Ў 4µ 4ы g•58 hѓhz5» 4R g–g|4S 4… 4™ 4З 4Ђ 4џ 4ў 4у 4И 4Й 4й 4с 4ж 4Й 4Х 4№ 4я 4и gq5м 4ё 4z 4J 4r 4џ 4Ч 4К 4к 4ю go5У 4” 4ћ 4] g‘g—4? g~gЃ4T 4¬ 4¶ 4ц 4С 4й 4© 46 4x 4P 4? 4D 4Ь 34 gs4O 4† 4x 4Г 4B 4O 46 gx4H g„g~46 4` 4h 4x 4X 43 gsg“4c g‡gn4­ 3п 3э fi4‹ 4‘ 4Ќ 4f 48 g•g|4я 3ш 3ц 3ќ 3Z 3J 3Ј 3¬ fv4h 4d 4y 4F 4: gx4­ 3  3| 3Њ 3¬ 3k 3о 3э fy47 4ф fhgxg‡4&gt; 4@ 4f 4R g“4Љ 4L g„gЏ4з f{4З 3і 3Ћ 3M 3Ќ 3¤ 3ч 3@ 4п 3; g†g—4@ 4М 3Т 3‘ 3• 3Є 3© 3а 3і 3є 3Ш 3Ј fl4щ fvgЉg~4р 3ћ 3w 3C fЏ3T 3j 3Н 3У 3Р 3с 3і 3’ 3` 3a 3q 3ѓ 3¬ 3Х f‚g…gh4я 3х 3Т 3Ш 3н 3Й 3¦ 3u fZ"3 ~3P 3p 3§ 3і 3д 3И 3Ъ 3” 3m 37 f”f„3Юяпя gf”3M f3Y 3Y 3g 3‡ f“3T 3щя ѓ3I 3@ 3f 3; f”3` f•3O 3F 3M 3У 3С 3ю 3м 3‰ 3Ђ f~3&lt; fђfsfѓf~3n 3­ 3­ 3ґ 3… 3H fi3–я»я†яИя ‘3U 3€ 3‹ 3v 3L f€3F 3E 39 3B f‡3ыя {3p 3p 3№ 3® 3Ґ 3Ђ 3m 3t 3i 3c fЂf†fv3ояья †3V 3a 3€ 3a 33 33 3[ 3U 3h 3B fЊfuf„fЃf’fЉ3Гящятя zf†3S 3A fђf‘fw3ъя ufЂf3B fyff‡fЏ3E 3K 3N fЉf€ff‰3Ѓ 3џ 3\ 3X 3мямяПячя s3щя ‹fkftfn3фяюя „3щя p3Ляйя mfz3` 3Z 3t 3{ 3T ffЉ3тяИяїяКя Џ3Y 3± 3ў 3{ 3; 3мя g3ыякя ‚3ряьяеяьяA f—f‡ft36 3[ 3d 3C 3m f„f†fђf‹f3Эядяжя i3D 3K 3w 3I 3= 3D 3‚ 3њ 3Ѓ 3b 39 fo3ья wfjfn3юяъятя gfЋ3h 3j 3h 3p 3‹ 3I 3x 3i 3&lt; 3@ f€f‰ft3ЪяЬя№я wfЋf„ffqfh3: 3` 3Ѓ 3– 3b 3a 3G 3A 35 f}33 3бяЦя j3няшяХяеяья pfufsf{fЊ3Ря p3*я u3Жя…яѓя¦ящя ‘3V 3P fЌ3J 3~ 3џ 3И 3А 3ћ 3?"3дяЛяхя †fl3D fЏfЉ3&gt; 3W 3Ї 3« 3њ 3l 3L 3N fЊ3Q 3i 3] 3M f“fЌ3юя yf‚f€3: f‡fofmfkf’38 3K 3Ѓ 3b 3Z 3N 3N f•3ЮятяТяїяЅяУяA 3J 3O 3ђ 3‰ 3x 3B 33 3B 3щякя {fkfF"3уя ‚3Ья sfjf—f„3Ья n3ьянячяЭяаяпяся9 fЃf‘fѓ3юя 3гязяЅя·яБяЙя rfђ3; 33 f‰3шяуяЬяБяМя«яxяЃя®я·яДямя ‡f“fЃ3дяЇяҐя‚яЋя™яЎяnяdяgя„я†яЈяФяАяЁя„я…яљя™яњя”яuяbя&lt;яXяRя `я UяMя bя&lt;я \яfя{яSяTя `я 4яМюЩю NяEяPяmя&lt;я Kящю KяXяhяfяFя TялюЭю ;я4я;яZя&lt;я dя7я5я [я :яЯю›юћюіюРюЯюзюРюБюМю &gt;я AяьюТюГюОю·ю­ю·юЧюЯюйю Hя Uя Iя Jя 3яхюЛюђю†юyю‡ю›ю©юАю±юћюїю—ю€ю•ю¦юЮюЈюЈю‘юuю|юPюeюBю Nю=юDюzюoю^юQю dюCюOюhюђююЄюЉю_юLю9юAюVю@юQю `ю Zю Rю =ю Wю Gю&lt;юKюDю [ю 3ю ;ю Fю4ю^юGю JюжэБэВэжэоэ 4ю Mю 5юшэпэ :ю 5ю Hю \ю =юХэЇэ‰э{эџэµэЛэіэЏэЂэЎэЈэВэвэ 8юфэсэ ;юХэкэаэьэ 4юЬэкэЙэџэwэ‡эµэКэХэЖэНэ¶э«ээ‰э]э `э7э Tэ=э ^э ^э aэXэ~эtэ~э[эVэqэ„э€э“э„э`эmэgэnэ„э…эoэ \э dэ \э Fэ9эiэџэ»э”эђэ~эqэ_э^эiэDэEэDэ ]э eэ _эEэtэ}э|э[эEэSэ`эћэ“эeэQэ bэ9э aэGэsэ…э”эЂэeэvэlэ„э”эќэ“эЋэџэЈэ¦эџэ“э—эђэ…эЋэ эљэЏэ›эЏэzэvэ}э™э§эўэњэ¦э эЏэ‘э•эЂэѓэvэ~эЋэђэ э«э­эіэ¶э±э’э…эќэіэґэўэ›эњэњэ°эЦэЙэ»эљэ›эђэЈэ¬эАэВэЗэШэжэюэшэ 7юцэЬэКэМэЭэУэУэОэЖэГэ»эФэеэхэ &lt;ю Rю [ю Lю Hю Rю Sю Qю [ю cю ]ю Zю Pю Rю Pю Yю \ю@юFю?ю=ю3ю9ю ^ю Rю dюCюLюUюPюoюkюdюdюaю]юVюTюdюfюhюЂю”юЖюёюЕюјюўюЁюxю…юzюsюҐюЄюЗюКюМюаюСюЖюєю±юЙюЙюСюЮюаюдюЪюЬюНюИюЧюЩюЫюШюУюцю 4я Aя Aя 7я :ятюыю :ятю &lt;я &lt;я @я Jя Bя Eя Tя Tя Qя Lя Xя ^я dяLяGяBяFяAяZя`яbяcя\яYя]яiя‹яЉя•яџя’яњяяЈя»яДяВя°яЈяЎя“яҐяАяМяТяёяЇяµя©я¦я°яЖяјяЅяЖя№яДяБяКяЦяЛяНяУявяЯяаяЭяРяЪяЦяляэяы+я ifmfiflfwfЃfwf|fzf}f‡f‡33 36 3: 3L 3C 3F 3C 3L 3k 3k 3r 3o 3n 3k 3[ 3] 3U 3[ 3[ 3b 3_ 3k 3x 3{ 3} 3u 3o 3d 3^ 3a 3d 3q 3z 3‚ 3ђ 3† 3Њ 3Њ 3Ќ 3‰ 3• 3ќ 3Ў 3ћ 3  3Є 3¤ 3­ 3Ґ 3§ 3™ 3‹ 3’ 3  3© 3» 3» 3Ѕ 3Ѕ 3є 3Л 3Й 3З 3И 3П 3Ф 3Э 3Щ 3Ъ 3а 3г 3б 3е 3г 3в 3Ы 3г 3о 3д 3е 3Ъ 3д 3й 3п 3э 3ы 3й 3Ш 3а 3е 3ю fjgrgqgo4э 3э 3я 3ь fmgpgj4ш 3т 3я fogЂgxgh4ю 3н 3п 3о 3ь 3я 3ь 3я 3ч 3ц 3ш 3э fjgq4э 3ш 3к 3ж 3а 3с fngЂgђgЌg|4ю 3х 3р 3ь fk4ь 3!4я figogsg{ggwg:"4ч 3т 3т 3ц 3т 3ы 3ъ 3т 3ф 3н 3ц 3ь figpg6"4ш 3ф 3ч 3ч 3ы 3я!3 gk4ю 3ь 3ч 3п 3н 3ж 3е 3д 3е 3к 3л 3н 3о 3т 3о 3ж 3Ь 3П 3О 3С 3Щ 3Ъ 3Ш 3Ъ 3У 3Ц 3Ю 3р 3ъ 3ъ 3с 3д 3Ф 3Й 3Д 3Л 3Р 3Щ 3Э 3Я 3Ц 3Х 3С 3Ц 3С 3Р 3К 3ѕ 3· 3І 3± 3ѕ 3В 3В 3А 3ї 3№ 3ґ 3Ї 3® 3Ї 3Є 3¬ 3¬ 3± 3® 3± 3ґ 3є 3є 3ё 3і 3Є 3ћ 3 3— 3— 3 3– 3њ 3› 3ќ 3Ј 3« 3° 3Є 3© 3Ј 3– 3‰ 3… 3† 3Њ 3Њ 3Њ 3Ќ 3Ћ 3Ћ 3Ќ 3Џ 3ђ 3‰ 3‰ 3ѓ 3 3y 3v 3| 3} 3ѓ 3… 3ѓ 3z 3r 3n 3q 3p 3p 3m 3l 3k 3n 3s 3u 3t 3s 3p 3o 3m 3j 3l 3k 3j 3h 3h 3e 3b 3_ 3b 3b 3b 3_ 3` 3b 3c 3b 3` 3\ 3U 3U 3T 3S 3S 3T 3U 3T 3R 3P 3N 3L 3M 3O 3P 3P 3L 3K 3H 3H 3G 3H 3F 3A 3@ 3&lt; 3= 3; 3&gt; 3&gt; 3? 3&lt; 3&gt; 3&gt; 3? 3? 3&gt; 3? 3= 3: 3&lt; 38 38 38 38 37 38 36 35 34 f34 f—ff—f—f34 f—f•fђfЏfЊf‹fЌfЉfЌfЉfЊfЊf‹fЌfЊf‰fЉf‹f‰f€f†f„fѓf„f†f„f†f†f†f†f‡f†f…f‚f‚ffЂff}f}f}f~ff}ffЃf‚f~f{f{f{fzf{fzf{f|fyfxfxfwfwfyfwfvfufrfrfsftfuftftfrfsfrfpfqfqfpfpfqfpfpfnfofofofmfmfmfmflflflfkfiflfjfifififhfifhfhfgfgfgf4 3</t>
  </si>
  <si>
    <t>RI*FPI!3WAVEfmt †C"3 gfgfw^!3 UV!3 hfv3data _I!3 …fpf‹fqfЊfof‰fgf…3*я ‚fhf€fkfЊftf“f|36 f‚3: f‰3I f‘3L f”3F 35 3N f“3G fђ3@ fЋ3; f†f–fs3= f’36 fЃ3O f•3] 3J 3C 3Кя8 36 39 3E fЊ3&lt; f’3Е 3– 3ыя ‹3­я›я ‚4Юя\ 4h fJяHяТя ю Ѓ4“ 3Ся; 3— 3Кяy fp4Bяsяoяy 3SяG g{3Ї 3эя y4ҐюТя я› 33яЋ 4З f{3LяэяUя  f’3v 3ВяЌяKя ѓ3кяi 3гя ‰3§яШяпя4 3Zяoя3яЩя±я ’3ЖяE 3»яАя]яҐяGяйяOягяEяюя?яия&gt;яМя eяІяјю©яјюіяКюgяГю^я—ю Sя‹юкю6ю©ю IюЯю=ю|ю Aю™юЫэ‡юhэиэ±эХэ Oэлэ Pэ–э TэЕэвьvэ&gt;ь9эOь@э;ь :э ]ьuэ :ьСьЉыЮьщы Zэњыzьeы¦ь±ы]э[ы&gt;эwыџэ±ъf 4ђъ aчЪъ ‘3kэЯьЬь№юОя g5Гъ&gt;щ o3Сю=яЎю»ыЕ 3†ямэј 5@ 4kя] 3vэУ 9u jMяM 95 6Ѓ 3я ls6и :э 8h 9™ &lt;h lq7л &gt;R :] =К @8 =ї Bт &gt;Ц :“ E Eє 7Џ ’}YЅ3ч&lt;— Hm 4Бті°жцR 9”ш“ PA V_ SL J&lt; ]dlhW KmtwxwuwtwK YзѕЗКњ @щ b™ 4у9rз оjШR¶ђБ bФылrYЩb\Ь HэhЗ‹« PЭeгл® Iµ=І”±YЗ „fnSЩьІ° aґdЇ QІ;ЇН°Ё®ѓЇЛ­ O®№¬”¬{«зЄ HЄ B©ђЁ @§р¦Ъ¤DҐSўєЈ \џ]Јећђ­љюЁ ;DVч^ЛY}9Б Gc \c :Бйґ &lt;Еь:ЪЄРi ^HOИМ ‹&lt;шRЭ:ыH \:­E[ •†Hд7 P:s5‘7ў c’ eђ cа c“ `R aн ]Р ^t [j \!Y ЏЌЋ‰‘Xз TN ‰ЂSЎ Th Q3 SЦ ‚tRN N_ QL LC RЎ &gt;iт u&gt;идў 6ф ‹LЅ ”LО –Lr M` I{ :і MтґеФ Qk qR&gt; Nк R± Oa TЫ ѓwW= C4 R!Wю Eј @&gt; &lt;П TР [Л Zб ’Љ‚eѓ WB &lt;d `z4K bz;[ LW G^@ B5 [&gt;Г9Ќ? d=•A&lt;@ХC TC ]FрEѓHАHКJмJ=8›VAюЊ€шл’Ы bђѓќ№—eҐ P›Cћjњ _ЎЗўMЎ MЎЯўђўЌ¤рЈ V¦ BҐeЁБЁ·Є a¶н©k©э©b©ЪЄћ©К«ђ©в¬ЯЁ 8ЇcҐjАФИ©® TшхьЫт№ Gxw q=ШбfамЄ [Ё”ёЅ ЂFК&gt;НЈ OщїЙж:j&lt;bсgЪbТe}bЪcщ`ў4¬я3?vaВ_й]h_Ю[ Y_„U BTA[ІZ›Xо&gt;L ѓt—Љaю `д 9~!cC@с‹ЙЖ 5Ђ 3Oе“зTпVЭ DСаЮЪбpН Eжg K?юd9Рщ‹°ЬМ€еаБ TЖфЕ [•&lt;Ґ&gt;H8ј3Ѓ ?z Q\ BV ui;Б=г@ LLюJјS ?BЯFЕ 6П FС¤о Wш’яы NW w;мuД 7щ ЌMQОлб»б ]® bАrОЫ Cђ NУЫчЮ Vм]гя 4ґ 9qмЫ C«ош Qi&gt;W6џ oh†@Aьт±¶¦Ы \єBФ‰Я±Щ®ЩqСnЖJ¶Д dП 8» aј LА¶а]Ш!7 €Rq7 &lt;6¤&lt;DC«B BMўYлaчD d; N?°4_H·PU cћ D8 —KяЂшФі8лЃ№MНўЦiэL i’ЌEф;у _тМЧ|Лщ» `УOЛPК \Ъ©У‰Я›НlЭBР† =љd nH¤CЛ^Z X6 R7 S@Т_ёAАэФ Wn№]swQ?Ъ B€Ёpа ~^Ч &lt;єOЇ `Щі|І;»Ў KЄuVb±mёeni WQ 9·q§фЁ P© a§У© 9¦rЄЪ¤;«vЈЎ¬{Ўd°ЯћтИMДчЁФЁ5о8м 7­ Q¬¶§ FҐї ?П Iґу‹sСW cOжe NS` IImг*_e 6T `S \Јђ tIFTчGKxn OщXЦп&lt;±иёЄ!6БSXQЮW4i 6b?hрU 9QD 6Їё =ќгЙr 6љёь® UЄ5іnМ WЄPєJHжVІGec«fYhM` @^Ћg^huB :№ ^п– _У`ф Tё!YТЈЉ¦ [¦а¦\©цўH©Г®pГ9¦уѕЬеJЩИЯVЗфћ 3ЧяЛMЖў ‹bVKъtЦтІ QнЫGj6 €QЙ Aжы eХ@ТaЄA« @ЁєК7ДЪЯщЖъҐщ¦ГҐ&gt;±R `Ё eЊ H° LЄDі PЅEУ? 9Z3j©iѓA 7п ?в|›oВTНЬ Љb:ЈЯ u5\XћU9Jы\ ^L ==…XEkТbljбXµG:S·&lt; eСm gўb­ =Хvѕ Xкp 8фyж&gt;лЖ·Б SѓIг^dОefMіbЪЩ e¬Ё Hь 94ЧЂ—b§M›Е¤ЛњлЈzќЇЈђќD¤Џ›Р· Њh&gt;MЕfgfЊeмfБcУT„ ?‰ъўПљҐ”Г…­C  bҐ‹ѕчї Kц 4Д &gt;ЩъЈј¬ќ 6¤тЈ” 4Н ‹OKBfwiСKОdЪ7e T‹kѕbќhЕeЋeшe~ DЧџ‚т~ДСТјЦщд Jдt ‰K9Hд“џ 8ХҐч­А LтzДцёѕРAИ eт zy&lt;врЮ 4ЙЪгї ]I^ГO H8MWXп|­ 6о WчІЩС &gt;РФ»± IЭЂ e?8] 3ЊФ` G… ‚m&lt;k4і5ц;3bюLw ep I; 8¶ PЬdcMЈ Pqп|Тdз M·†¦ =¬ 8љMЎц№ BжPОБ 8¶ @јkяE O‚ ‚?бРЯЮ ]њ 4Rї9ЭКжЅхyD&gt;jєcЌG8H HF°;Ы X]&lt;жUR4° DЦ Iм&gt; lMt ‡FЭґ Rъ EіЧ~к [йyЩmеЉ PВ cеH Ќ^_н‹їIгт 5ЊЧ^Ѕ OЕyК:Ж°и– &lt;иY &lt;ќвТК­Ё¶џн¶Ё»cД \в [КМЙкфLчd q?л 9э‚ fUБт± 3ЅiГЃЬюц s84 ЉXфX CsHДF bц9 P@ђdF&lt;„&lt;kPчP&gt;MкAr 5f A‰ Љ…K@зФ·pДґї»­ьБ*іzєaї7и€ШЧяY ]YBMan*I N©?@EWБ*KV^I WU­d HBЕ@Ч an ]§ NG J[ Y† {UЭ›Ги TиuЬНАэҐіЫб©p«Д§°єkёмЁЧїХОOЪwНЮЛ™лЪЗЂпR syA!]Ъ —?PtRdeі F\ї–БОЬеэ*М YЬЕцФ X&gt;:t^юKy Bx 6l O„ Nс:a …tOx3 |E9 Vћ H·у8лйт &gt;М®єаІgІ K·^®оДёмT JK BЌсдщЕщAи­у¬юo &lt;±пQ4џA±&lt;с=T&gt;ёь]Ьtмz I &lt;щ …—Dќр9ФъПЩЮEР [шю bД ^qЧdЦVФ?ЙГіE¤ IЎу Ґ¦ 4Пэг ‰m7ю¬ 9ш 8І ]ё c9е ^иD 8: 8Л :§ь3дОъfюWЕ›Л [чХ cµU‘U4TЄQ^ Z? \Й aL D\ Kд ЃiC[ Ex8 WBpIМ du WХьТ _С €kQЭ8°J kCЖ 8у eИ NGыcю— IL ;Ї TЈC­ OштkЛ @БУ№ [ўaіP»qл]ф @ИфЧ 3ы ‰Sе!4 @ЕыЊЕЧЭ°А4ѕ G¦kе EрФ Eџы :оѓ 4Ѓ 5P =” \wЫМј8У GП•АИё`д 4ю№ jAd CZбзаw6 bRГ dS6U ZQ5aќYе[ D;Ич*ҐюЮ›о bвњГЊХ¶оfш9Ц c§‘І OДWїМШ= 8G Fњ _Ѕ dµЁёмПWХГъКнПКWи =пC 5Ь &lt;U i@дџ &gt;3;ѓE5]„aнpфjdnџ`€fиf TVЈ^Я …Ѓ:Ѓ L` E·ЮПТЅ± Bвћy¦ 9ЯЃ nЃAJц 3к &lt;Е¬ѕ&gt;З SДух ‹Bі C{ :П =„ H*сэ 9м fMЙX 9Ш zMцЮ;A ‡r&gt;т PЬСІЗІхZ hcтҐјB©kњ Eџлґ@ Dе ѓsђDDм JЇы` k—Aі bЅ d^ ]Ъ PА EZмgрYф 9ФЬ»ЊФЙЦ  Xu ZDуњЙwы 8тгР aо4 @ь Wґ :6 GП aN \PgсmХZ;G№ _Б U&lt;щЖі[г eн? Mр a  Њ‰?CъЬЮ VрЇ Dє &lt;ь p‚9Шы Fъ— J3;§ MЊBЉ?бB; vkY¬ `  3;е“ВаЙ ГLЕЬЫ OЖ›А—ѕRКСЗ»А©ІУЄЪБZл©ыІ 5y Љn=… „ABї r&lt;е PЯ Lщи Ld F¤ @LNЂ ЌђAНрVДњі LЫ“й SдXйћНИюl &lt;фчKуnЮ BЧEх :ч° GТ ZX!F Ue9&gt;CЁVђ[Б7 ЉPс 6Ћ jVрГмLмЄУ \Цjблы `5э _\ 4обоЛЕј]№ LТDй5очфQ BЖш?чътa 3sъ‡ф¶ BV ;o Gс ”‹‘”QЬ a‘ [e6 D?єъwб¤изЮЅцз cФ[ЪORA 9G =:X &gt;е kXцкобю ?у±хwэ6 3« K’ MаеҐФbљu•”њѓЎ :› &lt;”Ќќ _¬†и“яЉШїЭXс†в|лй h‹A8 Pд eЄ aЩ Y8NЖ;’ _HФ5Б Pж @Ех 8@щ Kч\тt*ЩдЊ pЌHЩ Tв _w8І \Ч ]К Jс 7П ]O 4} =¦ X… &lt;bэп @“ CЧ ѓyV‚ P” DХьpЬаЩяТ 8КиЕ Sжwп| 7ц &lt;pоTУcи [л dЧѕ Dэ Kл 4@ @Т Pющ bцQ I±кsя ’4fпnй^Г 3ЛЯьAэ™к ?О TЮпеЬЮ bюЭ Cµ x}‚i:Tц HэЋщха&lt;еВе z~–YК B] Q® S; D83B GЈ w”]{ Nр@BAЭ&lt; DO ^&gt;Ѕ `Д ЉЃnUщXш«цK E· 7щ AО tNюК 7cз†У¶РpСЩМKїЌйПЯ 5р Uш eоH ?ЩD Z:i I„ ;’ := ;sб XЗТѕ—Щэж8эЌюГи Oк [ъ@ьч l–X&lt; NЛ Cр Ec 6zц’Т€ФцЙ FїK¶ґј§ :А &gt;ЦЌт[ 3§ vs|iw„7О =~ш `шюуRлџЯ›ХYЫ=ж&gt; =ж Kѓ Oж |iy:ьЊУ5Ъ№гбзл 57 Nб JT dвIЬKn9 7U H K‚ O[ J† QM ‚‘Ub T±7 =: ’ѓqc‘ `I ~ЏTї ‚a6w6к Yc I\аNЗЌКlЧАз Jп 6рІн® &lt;Ў B“ AатГр Qм8Н&gt;Ьђ!; &gt;€ 7ѕ ?@ы ?цR Bя ‹|Apы XсGте°алв¶ЧdИ“В 3Л eсЖюК xS=Ђ&gt;д SA =Щр 4»йС EЭЩ UЮ_Н HУ…ч… GЯ &lt;y &gt;¦ Џ’Px eЌ4T ]Ъ ‡x7gфЕС G¶Ґѕ‡х •O‘ ^…;Џ ]a _б OК ]‹ ЌђSxъВ g4JэА poJm P{ ѓЊTЖ €mA9ьЏъ‚лнч`*сЧcо› ?P ЌЉ_Е M–ч :д7Ф}ЗRЁБќ‡ЗэО“Ь ?Ь =ФќЯrШЩФ„Ф5МѓНyУ 3РpЭіЯъб‘ 4Ќ HW F‚ _г87 a =№ ѓN6Ч dHB9 Yґ k—&gt;ћ _ї wЋyuPШ 4Ш grCgя\ьќ |“€–Wи ?ач^Э YСонфнаыо GҐ ЋЃwCюДв7о :цАмЄкўсPчЕ 8Њ v‡9YьKчршЅ 4ё :| QК KЊ :щ @У Lй5њBf3Ж= ^6 wCIф MгРУDФџвґхd 6Г K‘ ‰oCP :k DVц©Ю&gt;нOбЩТyёhЙSС Iаyл9н4з}СЇЗЮШfфСуi 5ы Fк o‰AЇ Vy Zх XW Uy 7ц ip8е :л M‚ ЂЉAъ” 4ћЪ KЮ°юў HG }Ђ†ЋYa Wђ ЃsG› 7т &gt;H ѓrJц N[ Lo oЌ88 @3 BE M@ J!?™ @5 ;Љ x~?@ ?љ @g xDуaЪ@ЧйА Sј–ЯUЩъУИв}ж№ПЫЕ¶з› 9Ьн HпЫиЅЧэЩOЧЋЮьц eйlиЏоЉюz r”L­ €Ho Xш Uk Iъ J7 GU 7—цg vi\ъ XІ R!_С ЋgTW }Њ;пя YцBр Eдѓс Bы«хЌу j9№оhдyе…зЧф ~flNN K: I« FІ 7™юёюb = ьґ iЉ&lt;— C} FІ 4g :џ Aяэлт 9с LзКът ?D Dћ E­ G¬ AІцXа8Ч®МЌб¬иЦн^й|зАт IцBьРоЁв dпз 3:хСм6д cс€х NэЇ ho7э ?В @“ @Ї HЪ qђM!VК Jr @ћ lmhm7і &gt;l 7Е ;T DM Rю Tў ѓoDѕщ•с dяЋ gpfЏ6—щџс·ь{к g7Ѓ &lt;”ф3 3“э» &lt;ў Rэ r~&lt;Л =µ 4е 4Fс @ш Wшё 7Я JJ sr4Вы–э¶ы] 4ќ ?U &lt;eш–д¦дІл7у°пЕпЕсњъ Ђhjkjk–Eэ CМ Kw vDьйыУу^шќъ·фi 3ј 9Ґ :р 7Љ p{8¬хМэр :_ы EыЂэ4кУзµкђхущЫ :Э 9Ъюl Cм AМю ѓ&lt;A ;i 4› 8ищ AяN 9± 5µ lLъ&lt;оWеТв Dлbд’Ыыи OЭ Kб·ф—эФю= ?N AЎ &lt;] BЖ Vн Ќq`Т8Ю Њh‰—UV FЬ :; 5a 6F HІ Gk DB :rцётxжcЯ|й YпCщ ‘9д ?CьуцSьЦц¬ч· 8Ђ 8ь ;° 7° :8 3·ьѕьђэb n—f`чҐцЦфљс aлри№фЏсрщЈ 6; 7O &lt;_ыЛш`я ;э¤ю Љ5Ё f&lt;ю AоGтТфОы”ю… 3d mw7X mЉKL QЛ =¬ :Ѕ gaэSьиъю° 8Я ?М ?­ъЦц Iэју†п…щяъ MъҐу‘щў 7µ 3©чR 4W :` 9· kg9V 8Ы!9юБюЅцЅчъ &lt;њ =В k“p’&lt;ё &lt;4 Aє D_ 8Ёш 7&lt; 5КьIюЙьШяsь n4Р iOшТщ k7· s‡:Џь Uш|ыея­ &lt;_ 3дщ‘хoу&lt;х©ьpэ\шќщоью ^ъ ;у Nф¬у¬мъл Rряо±х†юдыMьс g{:ё 6Ую ‘9Ъ &gt;© &gt;~ J„!G Bd ?6 6Ќъ 9y H_ D‘ x‰DБ @U Gw tЂ@Ѓ &gt;• &lt;с 6н 7ны]ю€ 4гю„чщр…ф8ягх¶ф•ш Eс»нRй7з[о@ьrш«ф Kф¬хбъ@ hp9R @z B• AТ Iz Bч oiBз ‚…P¬ G‰ ;g 3§хHы 5ю 5фбмЊсaчgюj gЋ7” Cз o‰fJщ NхПхxх…ь‰ю] 5ГяҐьsъвъ~цCд®д¦мРэЎяацЖъuъMфљщЅшCф Pъ ‘8С qz&lt;ф :® i‰BІ F— HЛ xђ8Ютfуiчмъ `эHю&lt;цnоЗнґх Eылы­ 3б 8\ E: DW @џ 9§ 5¬э‰яyяГ 6!; ~q~=л =х mx&gt;і DЮ Gr ;г :Ф Aж JI „ЂO: Aт 5µыВчAьэыlы Jь GцHрЭфгпхс Rп@иОбСв“б cвИућмWу– 9‘ &lt;ИяЯ 6; 8’ь*ъЉ 4я 7ц 6Ш gu9? &lt;џ 3Јыjэљ 8дщ‘ш[шХъ 3эС 7Ѕ :¦ю ]ь8 Bю uk7х :Н F] ‚wul&lt;!Eм Cт KМ X№ [M V{ J8 E¶ uzHц }‰v=Б nm6pн=г{Я DЮ OгPЭ~Э bЯвЯЁеFзwгЈтюх®мге=п =ефвЃт Zт Qо ZхЙ fn7; :Ф B9 G3 @x &lt;E &lt;е 9І 5!4Jь Gю f8» Cі Hc EG Cm B] B&gt; sqAa sm7=ю:ь &gt;щvт5фрюk &gt;і 7\ &lt;¦ 9Љ Ce B§ :А &gt;Zю›ъ–ьХц•р›шlяЬ 5¶ &gt;a AJ IЁ }ЊCҐ Fz ;ф 5ё 8и 8?ъ6ц ]цЄу5ш3я Ѓ6{ @“ HI tg5» 3_ц `рDйfз VнRкyв PЫШУ 4ЮIеmл;шЭъХшW 5г qЉ@° DЬ B¦ @З A&lt; lnf„g8яHцЯпѕм9рWыжъ6 fhmђBп @щ &lt;н 9ябщeх–ч\эД g7&gt; :‹ &gt;Ё C¤ C^ B ER CT q}@ч Bр F• Eг 9w 9Х 5@яд 6Ш 8с 8Ћ 8h 7\ 8з 3Ёь¦ч Cшњя•яиэD 3ёьЌъэя¤ 3Аья 3ј 4Eы Xы @ъ¦щыuщ &gt;ь l3яыBх[уяьшящьН g„9ц ;C 9  3–э… 5З 6ћ 6Кюfт Wуgхpшдю aя€ю =эуэц f[яЋщWч \ъ wkj@{ Fh Bµ &lt;a :§ &lt;A pr=ґ :| 6Я 3Я 3d 9q 5wя»ы›хЁшќх•ъ _эя 3б fXя Cэ Yс SоГпИнрпИпСпSц ?щfц8ч&gt;ш ^ц eщшъІыіьй 3g 3xя·юШя? :ь 9п 9– 5ЗюJш ]щшыЦ 5’ ;E &gt;­ =3 &lt;T :“ &lt;j :є 3Л!8 &lt;’ =ю ?э &gt;Ч :Д m‡:† 5ЩяvяВ 4« 9B k‚:З 8t 7Џ nЋ@у ?Щ &gt;D 7Ў 5B 3@ю3э9щШыy 3ню› 6{ 8Щ 6© 3P 3Є 5м f&lt;ыOчЮъ Aъ±хФч WьE fPшгъЪэ 4я PюПэnч–п±фJцму6т&gt;сђп ^ц‡ 3Зю6юb 4@ 3yыЇьМшvу«ш –5m p‰Cэ C&lt; AЫ @O ;} ;А &lt;» =– AL usB¶ AS ;i 5oю@ ;N Cp oIяйш [хВ*урћсЩт PуMъc j‹;И 8h 7• 7B 3Рэа 4&gt; 5ш 7m lk7’ 9‰ :a 8Ч 6У 3жю ‚ft8Ш 8ѕ iЋ43 5ѕю юМыЩщМхwт Fм Kп Jч EэЃыPч=ч¦ъ QщВыzь{юњ 4Q 3ё f=ю§ъ·ь‚эWюкяЩюёю eхБф_уeх \ъ‚ 3Уя ?я ђhf4љя« 6њ 9Q l‘5R 4} 5° :w 8ѓ nCT Pt UЕ OЌ Cв 65ъ…щМ 5ё 8” ip3ЛяЧэ_ i‡9Ж hZьТч:фБх!5Т =• &gt;Ф =!;у :ў 6ГъXсAнXоЯуcч6щНчЫчsцrц«чЃщ‚ч FтҐъ‚ю n4О fѓ6ьюЩя 3Оя ‡5c 9p n‹:„ ;Е kЉ7_ 9= li8¶ m‰&lt;‡ ?O |lN; Qѕ N JЃ @ґ ;ю 3зчsш¬щА 3СэIяP 3ЧшґхCо9кИлjп›тЗу aрzтpокс5ц]шfы^ 4W 7џ 73 4РьQь†ь Vь©ъЋчџу’ъ Eъ*ш 4щјъжыџх 8уЁхOю‘ 6й :м =X =о :л &lt;н =\ slAd BZ ?9 ;4 8] :Я o•=o =™ =Ы =° DQ Gв xkxЋC? vЌlTщ&gt;х ;л &gt;г OжРс©ъZ 3J 6ч 5r hq6Ц 7i 63 4Щя …i€6џ 4]яс 4vэњэпуМмщк–л±кпиДмЄщЯю”*ьъбяd 4Ющљц =хљуњц Uя© 7A o•A[ yvFЉ GЕ IH Ha x”G± F&gt; =] p‚7ЧьeчЋуВу¶фyщG 8ђ : :u 7Й 4­юяы eюS 4@ 4мыяц8ц Wх„рМфЂч„ш =цщ]ыЕьfьYъЫ 3W 7E 53 69 5ц 5= 9« 5L feяk 44я·ыды™ 4E hj5J h_ь `ьБэяь:эH fh9ц 5Ќ 3»я q4‡ i‘8E :Й =9 n—izj“l‚lЊ: lh8ы 8&gt; :8 7Еэючµщpя Ђ3Мю :яЭюQ 4I 6{ 5Ж 4ЮэОю}яdэГчZъЪьLьЯю MюG 3р 7&gt; 8ч 6b 5р 6Ы 5Цэxъєю‡ 3НюD 5И 64 6№ 5w kj;; 9p j—:‡ 9g 6¤ 7” hQэЏыЦы\ъ~шpхPц 3чйхfу™шіюДэц 3А 3АыCы}эряџ 6Ы 4gьэыИэ&lt; 4э 4ЪюЃшЃщ‰ъяцVщџь¶ю r6Э is6n 4w 4| 3… 3»эущ®*чъ— 3‘ 5d 9T 9м ju&lt;; ;Х pn?‹ &lt;7 9У 7… 66 7­ 3k 7U 9U 6H h“ij4‹яв 4O iЃ5Ґ 3џь[шOч©ыPэТэЕ 3y 3‘ 7: 7M jЏ;~ 9П 9Ё 8ћ 6e 3й 3»яr 34 gEюТь^яh 4? 7b 7И 8Х 5bэЋшXтfр”п”опkу GшXя‰ 6G ;7 &lt;Ґ 7ґьЊчQц MчQхГч eю•я Tэwю— 5d 8Я 7ѕ 8ч 5ъя Wю HюAяU j‹krlv;п :‡ ;Y l5‹ 5ч 6† gSю Xя†ьШэK 3щ 3dю Jы [ы dэ UюаэZяхюOю±юh+я3 3іюTяkю}яј 4e 7z 8= 8| 3¶э aя~э;яя cю¦эЧячь 4ю© 3‡ 7? t”?B kRюОыZщаы5 f“gs3t 3бюµ 4A 8х :&lt; iWя’ь Kэ[э6э k3Ю 6Г 6ј 5N 5Ѓ 5» 3с fxgy6c : &lt;O ;L 5?э*ыkь—щЏцVудхWшvэ dюоэљя“ 7T 8Ф 5k ix9° 9р 6Щ 7J 7= 8@ 5fя :э«ьеяІ 5c 4¶ 3ЏщвфТф·ч•щ &lt;э„ю@ 4!:ў 5gюoщIы aшZф‹хPу’уЮыvя« 7E ;л :г 8Т 3Џя3 4Чю‘ьDш ^щЏшFъ›юR 6З 8p 9’ 9Ъ ;ї =A pol3вяО 4® 4І h—8] :Ы :` &gt;n =’ :? 9Љ ;Т ?б @3 =3 m†6nэ Pщ Pц [ш¤чъшсъ PыFьЛэЊы Qъwъ Dщкшэш5щЅъIя Jю— 4д h†5Ю 4Y 5q 7в 9« ;В &lt;Ї 8` 3”я T*юэ°я q4^ hg7Щ 5Ѕ 3‘ g‚5Жя№ю¬ьУщ‡щ Nш_шiы5ъры Rяи 3| 6ы 58я Aэђь®ьqьFщ aф]ф7х·ч‘ы y3У gv5э g|5я 4Р j€8Ц 9¦ lmk‰8Н 5±яущ ;ш Oы eя: g‚8П &gt;X ?Ѕ 8Пэ ZьЙ 3ч 6л 4[ 4« 6E 8R 7Ы h‘4ЮяGь­ь‚ь Eь&gt; 4i 54 fjf|f‡4aя°яо f6яWьлч 7цvц4щќэЩю|яњ gm8Д 6ї 56 6я 6” jЃ6Т 3m 3W gm7‰ kЊ8S 8A 8¶ 9G!; &lt;Џ n’9Ю jk5®э|эуэUэhы~ыїэ Љ3И f‡5L 6К 6Ш 5  f^ьршAцят¤ч @ьк+э 8юВ f‚5t 4J 4Мю Vюяj 3h 4¦ h’6Ц 3lэъfыгъљшђэ ‘5? j‰8| 6?я LьЅэUю 9ышщзыўыЛюћ 5Љ 8« 8« 8¦ 5ґ 5} 4vю9ъщУъrы·ю vf—4’ 67 8© lЃ:| :V :J 9B 9S kЌ7ся @э4ыащKшeъuэ [я ?яr g…6Ц h…3—юJя 9ю Rь HыXэ cяBю 6юAяb fy4т 4› 3Ќ 4А i‹:U :ѕ 5щяhюҐщbцWщ OэЛ gu7ё 4gя`эyэ 3э Mэ3яѕ 3— 5ь 8Щ 7З 5  5Т 4Tэ &gt;эЫэГяЋ 5° 7х 8± 9‰ 7І 4К 4БяYю»эќъЧщ‘ьqъ @щ=чCшЌыn 3ї g}8° nl&gt;ы ;э 7ё 4ЇяшэСюэяk 4њ 4W 4C 3‹ f‹gu4ы 3М fNяЧэ&lt;юяб 3c 5K 4ь 3c 3xюґы=ы Fъ’э@ 5– 7› 6u 67 4ш f7я‚ь№ьСюИя[я‰эЇь‡эЁьжэзя QюєьЧэ|ы Lы€ьоэ¬эxю·ююЃ fm6E 4яю Rь Hьвэџэђ 3– 5n 3фю ‚3T 4M 6m :· ;&lt; ;G &lt;!=Ђ 9A 3юэЌьРыFь =ю nfz6@ 8€ 8З 8№ 7C 5С 3¦ 4v 4Ј 3¬янъcцЏц 5ъкыGэ¤яИ 43 iz8“ lu7· 4sя Kю …3»я•э @эвю…юgь Xь}ює 5ж 5† g{4щ 3` h•5t 4д 3шя&lt;яЃя VюWюXяZяNя GяЗэќьPэ&lt;*я 3С 3] 4р 6џ 5в 4Ѓ 4`я8ю XюЯэчю–яvя= 3Eюыэрю№ 3q 4j 5є 5К iЉ6¬ 5AяПю“ю ZюuэЫэ _юеэ Lю p4Ћ 7њ 8‘ 6р h5Ы 3њ 38яШю_ gЂ4]яљыDщYъ®эaяD g•gЏ5‰ 5х 4h 5¦ 5W 5х 3« 4Ј 4ш 3ї 3† g‹4‹яТяС 3_ h|4Ою|юЯяХю CэюыЅь Zювя¦ 3R 3ЙюbюЄя№ 3[ 33 3r 3ЅюNя—я 4юrэ WэЬьoэяю 6¶ ki8О 5с 4g 4r 3ЕяЃюЗэ 5эьіыSьOьџэA f‘gDяfэяюЌ 4ћ 6ї 4]яЛя8 hvjn8‚ 7d 5 я5 3Д 4е 3vюќь†э±ю q3л 4я 5§ 5¦ fs3_ 3GьШцУх=ыlэЮэ 7я‚я?яУ 3w 5gяЗ*ыьРял 4ж f~4[ 6Ы 5“ i”7Г 7М 9Ы 7O 4ыю ”43 gu3qяfя l5!7 –67 6„ j|7P 5ќ 3‡юбюЯ 3О f8яєэeьЫы°э›ьэькяЦ"4 x3„яZяФяая@яЁю OяЂющьньяІяйяЇяsюVэ 8эoьїэYэ \э:юMяфя… h‚7h 8е jwk‘7i iЊ4}я Pя y3Ј 3т 3ЖяЅяЄ 5Г j†8Ђ iyksjp5«юЁьSъdш \ыэьuэДюy f—4Yя› 3ьэKы“ыэ8яТ 3K 4ђ 4y 4… 5K 6ќ 5В 4µ 3h 3Ѕюою@яUюњэІь Pюзю ?я·яµ 3’ 4‘ 3ћяЧю^яS 3‚ 3иях 3Q 5Њ 5Ў f_я Zя3яDяДяБя] 3jя§ю Jю~э bяћ gv5P 5M 6J 6Ґ 5у 4ћ 4ќ 4C gxf’3Мю*ьзьЗь Wэ&lt;эBэСэЎ f—6x 5љ 38яфю`юоюµ f‚iw6« 5c"5D 3_яЫю V*я 3x 5X 5± jt9&lt; 8Щ 7z 6d 3oюvэFэѓэ^я…яDюЄэLю†ьЄщ Eщ:щЋыђюMю h3к 5l 5G 4– 4І 6м 6ъ 4€ 3яdьSэьоъµыхь6юЪ 3Q 4ь 3p 3?яJ 3° 4д 3; 3gя YяЄю 7юgюия­ 47 6Т is6к 5« 5h 5C 5¬ 3Ў 3х 3’яtя u3Е 4§ f}4эяЕ f–6Р 6Ћ 4w 4Ч 3Ђя eяЪэШьeь‹югюєяГ 4\ ht6w 5Э 4ћ hgizjs7Э h5N 4ѓя Xяyю‚ю“яџя Wю¦юряyя§я Fю Zыzы ;эЪюШюаэ ]эЁьYь“эВю¶э…эѓяґ 3l fЌ3Ї 4є 4–яѕюйэ“юБя –3} 4Ѕ 4Ќ 4Ў 5Р 5ю g]ярю |gr3€яt fYяпэЅюя :я©ююmюЅя{ 4; 5¦ 5v 6a 7ѓ 6S 6н 4ЬяЬюІюсюЪю 8ю cю UюЋэUюч 3O 5O 5Т 5I iѓ7ф 65 6” 5ж 3Ъ 3м 3U 4Ѕ 4ю 4&gt; f}3йяЉя4яNяyюbэ»ы{ъ`ъчъeьRюO f&gt;яфыЋыбь\ьpьҐэЯяH 4ќ 4о gt5З 4t hr6ѓ 5э 5¬ ho5Ѓ 4Я 4йя\ю–ьtэ 8юєюNяyя: g”5: 5» 4_ 4Я 4Ђ 3ЂяЦяW 3W 3h gx5ѓ 4? 4c 4c hЉ5™ 5У 5l 5i 5Ё gj3‘я ѓ3—юVю Kю^э;эЙэЭяq 3Џ 3j 4M 5ю 5B hi4‰"3Щьxы 4эРэнэ Xэ 3ю\я6яжэцэzяљ fs4Е 3O 5§ 5J 5а gn5­ 4 48 g‡4М 4L 4д 3ѕ 3N 3ШяВяЯюУь‰ь†ь 7э°ь b*эюS 33 gv5[ 4*я Њf‚3=я \я¦юШяH fk3Ь 4q 7Ч 7Я 5К f\яX 3Ц 3ЊяІюuю eэVэ›э [ю‚ю;ю¤юПяМяS 3: h‹5• 4o 4B fRю¬эъюфя› 3€ 3Шя»я T*яюЫюsю^юLюЙюҐю®юЦяM 3‹ 3Ї 4Ж 4ш 5Г ig6J h4P f4„ 4ф 4n 5† 5G 5’ 3® 3х 4I 5&gt; 3·я: 3ТяQязю…ю‘юЎяTяMяlя8ю{э№эСюqюЯэHюzю ^ю¤ю bяЪяН 4T 6ч 65 7и 6љ 5Ц 5ґ 5ђ 5x 5l 4ћяMю 8ю aю 9юЂэ\юдюњьЗъ§ыњь Qэ ?э©этэOяш 3± 4€ 4I 6¬ 7` 7ь i…5З 3A 3RяOюRюляР 3k 4В g‡4” 3k 4З 3Mя5юяэTю“э–э@ю Wяш 3У 5Z 7ў 6Л 5б 4= 4C 3Dя;ю ;*эы·ьЩэHю Zя4 3кяЁ 3Ђ 4a 3?яЋю™яЈя”ю®юзюR 3я guhp5› 4d 4ї 3e gЌ4єя7яMя©юiяC 3P fp4§ fѓg“4чя GяБюDюnюPя‚ 3єя mfv3«юєюZюќю`ю h3й 3” 3µ 3Њя‹ю `я xf’4њ 4I 5­ gu4? 4‘ 4~ gy5Ј 4  4p 5µ 5U 5L 4[ 3ФюlэEэbэьэwюЛющэ}эзэЉэOю[ямя¤ fx4И f–4 4Ј fcяџя­ 3€ 4… 4Ы 3~ 4¦ 5Щ 5Х 4A!4 5ѓ 4У 3!4; g€4_ 5T 6{ 5A 4л 3тяуюXяМяВяЉяoя&gt;я¤я„япя—я \я &gt;юNь8ы*ъЕъ¤ъ KыОы SыCы‡ьOюЛяЛ 3r 4W 5 5ч 5Л 6Љ 7› 6Љ hy4к 3Ы 3t 4{ 4 f‘3Ѕ 3— 4x g‘4; 3ію}эёьШьnэAюIя¤яµяЫя—яИя® gѓ6p 6Y 6џ 5a 4‹ 4g 4B 3C fn3©яіяЧя=яуэРь Cь Uэ&gt;эOы Hьеэ 3ю} gp5‚ 3Г 3ќ 4: 4љ 3¶ g‡5к 5Ў 6Б 7E 7ћ iz6l 5h 3ђюvэШэBю5яJяцюЮю Nюuю ;юлэ`юwювэ7я† f–3Їяо 3P 4e 4y 4Љ gy6b 7x i‘5Ю 4а fHяЄюѕэ^эцю of—fz3„я›ю Wю8юлюA 3&gt; 38 3И 3\ 3€яцэОьXю{я ]ятя ‘gr5Ї 5№ 5  5І 3Ня6я9э Zэ№ю „f‡4ќ 4C hj5і 4¤ 4ц 4 4Б fj3Ы 3G g†3фюџэЛь :ьxы¬ы Jь­ьЌюk 4R 5Ў 5¦ 5… 5ј 5ш gn4m 4a hn6б 5ш 5b h4O 3¦ягюДюёюфэ Yюqю 6юЃэЗэ¬юБюёяоя 9я\ю§юёюІюєю Hя 6яфюЎя r4ї 4у 4ѕ 4t 4‡ 4ј gђ4Мяъюпю Gя»яд 3b 4§ 4’ 4D 4Ч 3!4V gЉ4Й 3Тя EяЯю_я”яТяўяљяµяd fѓ4r 4У 3Oяwю‹юаяЄ 3К 3¦ 3хяжюЙэЛэЗэѕэGюую Kя­яx 4Ц 4у 4G 5з 4{ gѓgn4U 4v gn4Ц gЏ4ыя\я AяЩюAяP 3§ 3e 3=яџяhяNюЈэ3эUэ\юИючю{ 3i 4G g„fDяfяyяJяwяля• 3р 3м 3\!4 5Ќ 5] 5­ 4Є 4’ 3Mя4ю 3ю?юАюїяфяІяЌя‘яляУяsяћяnя±юїюъюДюью Cяфюшю Dя&lt;я j3Ќ 3| 3ы 3ќ 3” 3c 4 gЏg~gЂ4N 3Щяµяёя‚я|я rfug—hwiz6ў 5ѓ 5› 48 3€юkюАю·яµ fu4O fcяjюќю|я— 3А fs3«яsяWя&lt;яwю6ю·ю™ю =юыэЖю pfj4Щ gn5} 5њ 6y 7” 6ђ hf5° 3Фю[э™ьЂь@ь ;ьЇыHь¶э9юЗэјэ 4юЅюЊяs 3м 3г 3» fq4ж 3г 3| 4¬ 4j 4G 3mя¬я¬ 3v 4Ж 4Ч 4e 4h 4€ 4ф g}5г 4н 3&lt; 3p 39 4ѕ 3g 3„ 3u 3  3 3€ 36 3ўя®я Sяxю›ю [я~я GяfюТэ3э”э±ю ]яvяћяИяСяe fy4№ 4W g|4« 4Ђ 4у 3| 3єя5я›яr 3о 3К 3† 3~ 3ј 3ґ 3є 3Д 3Љ 3ьяэю \ю«юњя Ћ3І 3Ж 3Ъ 3В fyfЌ3ѕ 3† 3:яГюsяГю:ююЄю†ю«юјю 7ю„юµяЫяцяT 3жя i3€ 3d 4¶ 4© 4~ gh4g 3ѕя_яsяЅя q3щяья [яФюкю Vя ѓ3О 3B 4й g‚hoju9Q 9Щ 7р gy3рюРэ :ю 7э’ысъ XыыЦыZь \эЌэ;юню›юgюШя •4а 4s 4Ў 3Я 3O 4E 4ѕ 4C 5љ 4K gЃgl4– 3N 3° 3p 4X 5Ѓ 5D 5&gt; gmf_яХюю8ю Fя•я ‘3€ fxgЋ4™ 3ѕя 4яЯю5я ђ3ѕ f}4µ 3жяРяЮяыяf 3n fv3ЯяўяДяЕя 5яџю4яъюью|я eя 5я Kя­яs 3Й 39 4ц 36 3кяЋя ^я±яќ 3s 4ч 4Щ 4‹ 4† 4Ј 4љ 4Л 3эяђя Jя &gt;я‡я ^яЇюhюMю6ю bюфэжэ€ю:яїяm f‡4W 4q 4r 4E 4¶ 3^ fx3ДяaяљюБэ‹э“юSяя‚яЄя j3ч 3® 4p 5Й 5r 4z f{3L 3v 3‰ 3z f„3z 3¦ 3‹ fy3¦я n3Ля6я·я4 3Ж 3Д 3Z 3вя_яђю\ю«ю®ю ;яbяЮя ‘3њ 3] 4ь 3Ђ 3Ъ 3ь fk4i 3ияw f‘4a 4| 4ы 3ь 3€ 4Њ gk4 3ья;яТючюEяXяeяЃяPяqяіяБяЉяЋяЧяЃ 3!4 w4« 3јя€юrюўюѕюkю?ю Rязя™яљя»яЁюђю Uяhяaя:ясю 6яNяGяђя „3… 3v 3{ 3Пяzю Nю&lt;юКюuя~я•я €3S 3й 3° gЃ4Дяcяrя :яЋюNяњ 3ј g‡5П 5л 5b h”5x h5ш 4f 5‘ 5\ 5з hЉi–5у 3Э 3И 3ё 3Ф f‰3сяN fs3{я eяТю bю™эіэ 5э«ьLэNэ3э&lt;э bэ \э»*эю5я‡я ѓ3Мя}яћяI 3Ђ 3• 3s 3Њ 3N gЏ4x 3F 3i fx4[ 4| 4Ы 4¤ gt4й f}4B 3»яЄяrяљяd fЌ4њ 4Y 4&lt; 4H 4{ 3аяНяјя7 3ѕ 3| fQя‘юNю KюUюVю*э=ю 8яµя; 3Ю 3f 46 4д 3ё 3о 35 4С 3™ 3¶ 3’ 3љяXязя j4и 4­ 4ѓ 4® g‹4њ 3• 3~ fЉ3кя aяБю CяWя‰ю eюЯюфю ю югюаюhю5юРэDэСэѓю Tя5яИю [я™я ђ3ћ 3„ 3Ё 3‡ 3… fr5“ 5№ g‰hu4= 3X 4‘ hЌhЏ4I 3џя©яx 3® 3l 3? 3сяL 3љ 3Д 3— 3ўяЙю†юЬюаюжюґю®юКюWя­яwя v3J 3ґяЋя±ядяжя rf„3°я&gt;яpя’я x3^ fx4” 4ѕ 4Р 4р 4Ц 47 4Q 3rя&gt;яою 6яњяD 3Ј 3± 3_ fђ3§ 3љ 3Жя{яя—ягюБю `я Dяью FяОю8юgэ_э‹эмэЛю§яl 3U 4x 5№ 5^ 5: 5і 4b 4= 4Щ 3ђ 3A 3Ё fsg”5ч 5µ 4л 3Ю 4e 4p f–3RяSюЈю«юKю dю—э|эOюиюЦ+ю‘я Zя@яЦя¶я o3V 3ТяВяќ f4] 4І 4\ 4ћ 3ыяU 3г 3` fq3Ляfя`яЂяlяйю NяZяRяЂялявяr 3` 4Ѕ 4у 4€ 4p 3M 3 3њ 3Р 3є 3… 3шяя Eяtю Bю&lt;юЏюXюdюqя›яaя6 3« 3вя7я Sя6ясю aяWяlяe 3S 4ї 4џ 4р 36 fr39 3S 3… fѓ3Ся m3r 3с 3ю 3Щ 3k fx3Ёяњя?я ;я&gt;яояL 3Ђ 3‚ 3 fk4T 4W gЌ4Я 3н ft4¶ 3ГяІю`юFю EюўюSяo fy4я fh4§ 3єяZя{яЯяЄяяѓяТя¶ 3я 3р 3© 3„ 3A fuf…3Z 3№ 3Г 3Ј 3x 3: 3џяЊяtя Oя¬яv 3€ 3j 3ВяkяLя Vя°юЌю›юьэ:юёюЫю 6я ]я…яБявя Њ3ѕ f‰4_ 4ђ g’4€ f|3ЏянюMюNюСюЭяф 3› 4w 4Х 3¤ 3ћ 3: 37 3€ 3` 3бяB 3К 3ш 3: g‡4п 3у fw4Ч 3п 3х f†fVяYюШэxэ‹эУэqюEяЂяGя{яюя? ffy3Ея©яЖяЙя k3’ 3m 4й 4Ѕ 4‚ 4Ц f„3; 3l 3c 3J 3бя bяшюЂяњ 3ђ 4З 4  4O g~4` 4¤ 4[ 4Й 3Ж 34 4у 3h 3мяTяью‚ю bюVюЏюиюИюѓюSюЄю“яЬяmяью¦ю}юaюyю№ю Nя–я w3¶ 35 4w gqhl6v 6ў 5= gЉfif‰fn3ГяЌяЃяУя^ 3C 3шяЕя»яЬяНя{я [яеюІюџюOююМю·ю›ю€юЁю•ю‰юДюEяm 3Є 4в 4Й 4Э 4µ gЋ4K 3Јя ZяЧю LяПяА 3a!4 ho5ћ gv4Ё f‚3іяlяwя k3ќ 3? 4` 4щ 3• 3цяЎяћяЮя\ 3О 3!4 ‹4D g€4О 3B 3пяьяtянюeю eюTю¦ю dя „3n 3E 3[ 3= 3‚ 3ё 3s 3Q fЊ3„яиюџю D*юэJюSю bю ]ю Bю}ю Eя `яБюїю :я7я~яp 3F 4e 4Т 3C 3чяxя &lt;я Eя°яЎ 3T gЃ5o 5I 5= 5љ 4Ч 3Њ 3x 3ў fz4Ћ gЌ5„ 54 5и 4ї 4№ 4v gЊ4й f‰gp4} fy3¤яhя‘я{я @я¤ю&gt;ю DюїюQяѓяSяЛю ^ю SюWю±ю @яEя EяШю¤юЈюгюZя Kяdю&gt;юю Kя¶я] 3е 3B 4н 3Т fЂ4k 4і 4S g‚3`я™я sf”fЏ3Є 3в 3й 3й 3Љ fi3‘я®я o39 34 f„f‘3n 3| 3ц 3Z 4D 4b 4X 4? 4@ 4a 4е 3&lt; fq3Вя{яЕятя›яџяияЎяѓяcяfя—яR 3ќ 3&lt; 3кя h3ия­яЌяkяOяgяlя Oя§ю\юDюЩю±я mf‘3ќяыюRя qf~fufu3}я[я?я ]я:я™яv 3H 4Х 4¶ 4i 4У 3y f“3f 3™ 3F 3Няєя…я dяhя·яyяSяЊя 3h 3† 3g f€fr3a 3М 3Ы 3њ 3Ѓ 3Ј f…3ЊяЉямя rfofђ35 3зя¬яИяРяЫяЮяЋя Wярюjяјяaя Rя 9ярюЗяй 3g 4М 4U h…54 4t 3ояЄяЌя_*яю HяЉяСяc 3° 3П 3­ 3™ 3q 3ряїяЛя ~fq3сяуяпяЭяїя”*яю¤ююуюaягя” 3П 3в 3Ь 3ќ 3@ 3юяњяOя 7яью 5яzяюяk 3… 3{ 3i 3@ fЉfЃ3\ 3џ 3Т 3ы fp4Д 3щя bя Tя WяУя› 3Б 3¶ 3Џ 3A f•3M fѓ3я™я¬яФя s3љ 3ж fЏ4F 4њ 4њ gy4Ы 3Ч 3мя€юХюя Ђ3Гяzя¶яЯяїяђя 7яЭэwэИэ{юDяПя‘ 3№ 3¦ 3Ѕ 3’ 3R 3ыяµяbя Jя№ю¦ю ?ю ]юую u3І 3– 4L 5n 5к g}4ѓ 3*я Hя[юЎюzяѓ fЌgxg€4k 4b 4V 4Э 3щяLя8я @я¬юЅюкюЮю»ю—я^ 3a fkfЋ3Л 3^ 4Џ 4Н 4ь 4ч 4N 4юя§юЩэЋэЖэ‰ю‹я hg†5Ч 57 6= 6Х 5Є g{f;яЭю&lt;юѕэ Uяџ fn4v 3Ля&gt;яaятюсээЋэeюgяЉя_я3я Vя JяЬю’ю¶юOя €3Ћ 3Н 3€ 3гя]ягюиюеюHяјя5 3› f4C 4&gt; gЌgp4» 3” 3С 3J 4€ 4“ 4y 4g 4Ў 4€ 4k 4U 4Ь 3† f“3Ўя9яую BянюЁюЕюUяЮя] 3… 3q 3G 3хя[ 3А 3µ 3x fm3Vятю EяOя{яФяo fx4Њ 4I 4Р 3Ј 3I 3pяпюиюsю dю bюЋюыю@я^яCяrяvя&gt;яМюТю&lt;я^яxяќя kf•3u 3Ч f”4ћ 4Ч 4в 4в 4§ gЊ4— 35 3МяЏя“яляT 3ґ f†47 4ј 3_ f†3Оя{я;я DячюЛюъюѓя ѓ3I ffЂ3ЫяЯя „ffq3ыяйя g3R 3“ 3 3б 33 go4И 3ѓ 3C fmfq3СяnяхюЏюЎюдю &gt;я eяiяУя Љ3“ 3ј 3± 3 3j fЂ3ыя i3эяияеяЬя3 3® 3» 3u 3P f–3@ fЏfi3ѕяЇяqямюµюпюDяяТя7 3^ 3 3J 3гяѕяѓя [я@яІя 3б 3№ 4_ 4D 3“яeяГяЊя6яrязя o3фяшяПяaяEяEя|яµяця €f–f‰fkf”f–3X 3‹ 3З frgu4Њ 3d 3џ fjgq4Ј 3q 3U 3хя§яEяфю \яqяШя6 3{ 3Ґ 3“ 3d fk3єяЦяРя°яЪя ”3’ 3  3Ю f{4н 3R 3ья m3A 3Q 3J f—3дяЄя„янюbюѓю°ю–юдюVя:яjяЮяA 3Ѓ 3Ё 3· 3l 3ЮяђяЊя FяБю @яvяпяP 3І 3№ 3¦ 36 3№яћяВяняa fngk4ќ 3є 3е 3s fs3*язяъяV 3µ 3z 3ля”яhя‚яДяЬязя9 3Ѓ 3Ѕ 3Е 3z fx3ЛятяK 3c 34 37 37 f–3чяея fn3зяпя 4"3±яGяsя¶яОяряжяЇяpяwяЊяќя Ѓ3z 3Љ 3Џ 3™ 3– 3&lt; 3Ыя’яЎяБя¤яФяТя”я[я яюяёя=я ]я‰яфяљ fЃ4: 4в 3} f—fg3СяВя!3~ 3m f‹f•3: fr3Ря—я–я­яНяия h3зяМяxя LяTяhяPяfяћяОягякя €3U 3’ 3« 3з 3V 4p 4C 4э 3Й 3i fs3хя Ђfs3ЦяЅя‰яFя ^я@яЋяСя j3ея®я=янюaяеяA 3p 3њ 3ђ 3v 3ґ fѓ4х 3Љ f’3ьязяья Ћfz3юя o3чя n3Ъя яђяЛяТя«я›яГяляДя–яЈя—яkяяҐя€яpяoяyя–яЕя kfЏ3B 3: fЃ3фяшя •3l 3e 3_ 3џ 3С 3Ш 3ъ 3у 3Џ 3; fz3КяІявятямя {3Z 3R 36 f€ftfѓfЂfo3l 3Б 3љ 3K f}3Ця•я›я”яјяуя „3b 3‚ 3P 3I 3^ 3Z fѓ3Пя№яґяЎя‚яQяDя5яуюйю Hя IяEяІя Џ3Q 3™ 3ѕ 3\ 3ря wffЃ3эяБя›ябя7 3\ 3j 3ђ 3O 3ьяояИяЁяpяKяoяўя”яҐяъяp 3§ 3 fu3№яЁяѕяыяE 3@ ftfђ3| 3Ш 3Р 3¬ 3„ 3&lt; fЋ3\ 3 3&lt; f…36 fn3ѕя±яџяќя„я [я bяgя{я’я«яНяЧяжя –3‚ 3љ 3 3c 3хяя6я cяSяжяw 3© 3Ґ 3† 3e 3e 3v fvfWяeюpю BяБяj 3В 3н 3Б 3w 3&gt; 3щя¤я9я8я·я {3= 3: 3b 3z 3| 3i 3юяХяпяияЭяўяmяЉяАяыяL 3O 3&gt; 3C 3o 3r 3S 37 f{3хяИяжя }f}3&gt; 3Ё 3Х 3і 3¬ 3Н 3Н 3u fm3№яБяйяояЦяеяоя»яkяVяcяXяЂяЦяH 3S fЏ3Ся?яzю 6юSюью©я w3„ 3» 3 3… 3— 3Е 3Е 3q f{fj34 3D f|3Щя©я°яєящяT 3µ 3К 3ё 3ќ 3Y 3@ 3 3™ 3n 3w 3‹ f–fh3вяСя»яХяУяЫя ~f„f‰3C 3X f…3Ґя [яиюMяЩя }3ьяЮяЬяЩябя›яRя6яwяЅяЧямя q3G 3s 3Ї 3Р 3є 3‰ 3g f…fsf{f„ffЋf‹fj3йяпяМяџя«ягя kflfg3Жя]я 7яфю ^яЉядя gf…f‰3e 3¤ 3Є 3‘ 3Ѓ 3Є 3Ќ 3Ця`яџяJ 3є 3‹ 3; 3тя hf€3W 36 3Ъя[я Oя VяbяЬя Ћfn3Ля¦я‘яuяhяfяЊяКя ‡3‘ 3Х 3ґ 3r fЋ3вяйя ђ3D fђ3чя kfqfh3ыя ~fH"3 Ћ3k 3w 33 3чя |3R 3f f…3ЈяqяЌя№яѕя­яГя jf•3H 3? f‚3няѕяяJя MяSя¤я»яря4 3y 3¤ 3§ 3x 3 3Њ 3Њ 3| 3^ 3Џ 3® 3• 3n 3U fg3‰яDя YяCяЌяБяНяМяЬя r39 3O 3F f—fѓfq3юя {ftfi3бя­яЂя©явя ‰3q 3t 3? ffЃfp3Няєядязя±яъягяQя bяdяЁяКягяуяъяЦя®яњя“яЎяГя sfЊ3ъябяияея x3g 3| 3a 3j 3y 3\ f•f‡fG"3 “3_ 3Ќ 3© 3v fЂ3ДяЁяЛя ЂfЏ3йяСяїяµяМяТяњяtяnя§я Ћ3ў 3а 3е 3І 3j 3J f‚fjfhfpf’3M 3C 3&lt; 3T 3n 3U f•f{3ЗяJянюхю [я}яТя ѓ3I 3] 3R fЌ3ьяВя“яrяZя‹язя •3K 3b 3l 39 3вяёяЦя p3= 3A f—3P 3ѓ 3y 3V 3ыя’яlяЉяИя “3^ 3L 3= f’fs3ЩяБяјяёяЖяЯящя tfv3ыяряшя!3 |f”3D 3Q 37 fЃfjftfЉfyfo33 f–f|fi3эя w3L 3P fn3ЪяВя–я–я°я­яґя’яlя}яЌяґяея wf—33 fz3чя y3? 3x 3p 3S 3M fy3иязяЫяжя sfpf|f3J 3C fr3Шяґя°явяъяЪяѕяїяЪямятякя |3C 3? f—3D 3U 36 fsf„f‰fl3Пя©яЕяхяуяСяГя»яЩя ~f†fvfl3хяЙяЈяќяЇяЯя qfѓfufvf3T 3b 3W 3D f—37 3: 3@ 3D f‘f{fЊf‰fq3Тя®я»яЬяоясяЫяЗя©я”я®ячя&gt; 3&gt; fzfr3цябяФяГяпя ‹3H 3D fђf{fq3зяБяЅяЫя y36 3= 3E 3S 3L f†3мяДяАя№яАяФябяояцяоякяояюяыяЮяЯяыя tf‚fx3ъяЪяјя»яЮя tfhfhfu3ыяЫяµяџя©яЇяЄяїяШяня pfЉf—f—fЏfi3БяІяЦя jfЂf—3L 3n 3Љ 3• 3Љ 3e 3&lt; fq3бязя …3_ 3ѓ 3g 3R 3A f†f{ft3юя kfq3*ящяояШяЖяВя·я№я·яЈяћяАяияуячящягяЯя q3P 3} 3† 3z 3f 3G f‡3чяЫяИяПяЧяая jf”3D 3M 3I f”fl3ияряжяЙяЄя™я·яояьяюя hf…33 f…fuf‚f{3чяЫяИя­яЏяIя ^яbяДяY 3Д 3э 3Т 3 3m 3R f•3пя№яњяЁяЅяНяБяІяЙядя if|34 33 f’3= 3` 3y 3J f–fЉf’39 fЉf8"3пяЛяЩячя v3сядя nf•f—3&gt; 3^ 3R fЃ3йяµяsя6я dяVя|яЋяїяця ѓ35 3&lt; 39 37 f•fvfmfnfi3цязяЦя±яўяµяЖяся lfpfxfЌfЉf’38 f3Шя­я·яЭяцяыя kfyfЋfЋf€f…f‹36 3: f€3*якяЬяУяГяКяпя ‚f—3= 3K 3@ f„fѓ34 39 39 f“fqfhfm3цяхя yfs3еяЯяияияЦяЄяЉяЉя±яНяЧяЬякя!3 ~36 3F 33 fv3ряЬяФябяпяюя wfЋfЏf„f†f{fvftfwfr3нябягяаяЫябяляиязятя rfЊ39 3A 3= 35 37 f’f~fvfsfrfj3уягяТяв+я yf€fЊfЃfm3мяХяДяЕяг+я kfpfpf†ff–f„fyfsfxf‚ffyfpfpfzfrfifmfpfh3фяияжяЧяЛяУяня oflfnfmflfzffj3рядядятяюясяЦяЙяСягяфя jfufЂfђf—fЏf‚fr3юяыяцячя ifofzfЏ37 34 f„frfi3ъяйяЪяЭяеявягяпя hf‰39 f–f€f|fh3йяЩяСяДяНяЮямяс+я vfЂfЉfѓ3юяЭяЛяМяЦяеяшя lfzfЃf„f“39 36 f‘f~fufrf{f†f‡f{fq3юяфякяеязязяпяэячяч+я vfy3ъяеявяпя!3 9"3юярякяняоящя lfsfzfЂf|fvfh3ряжягямяъя jfrfzffy3шягяеязямя hf‹3; f”fs3уяняляояуярядядяуяюя kfjfmfofnfjfmfrfof;"3ъяцязягяйяхя pfЌ33 f‘f‹f‰f€fy3шябяСяТяЭяЪяОяРяеяпятяъя nfq3*яшяцячяхяуячяэяюяъяхящя pfЂf†f|fufsfg3ляЯяЮяеяряшяэя if}f–3: f–f‹fЃf|fvf{fw3эяйяйямяюя qfi3бяЙяРяъя ђ36 f–f†f}fyfЂfЃf|fwfufЃfђfЉft3фядяЪяЩяеясяъя hfi3эярябяФяОяФявякятящяюя hflfrfyftfj3*я h3щяпяфяэя lfofrfyf|f{fA"3хячящящя!3 sfxfpfgfhfofmfh3*я gflfmfqfvfh3рязяфя wfЂfD"3ья rf‚fr3фяшяьяюя kfrf;"3чяуяшя ifnfxf{ft3ыяжяФяТяЪяжящя rfzf|fzfsfg3уякяжязяря jfufsfofpfofkfhfg3*яъяфялязяйяпяфяъя mff€f„ffvfnfmf5"3 g3,яэяъяшяфяуяья pf|f~fЂf~fyfg3мяаяЩяЫяля if{fЉfЋfЊf{fg3сязяЬяТяЦязящя kfofpfmfjfifjfpftftfm3юячяпяияляця!3 ofsftftfrfkfg3юящяхяхяхяфяцяъяья hfsfyf~fЃf}fufnfj3эяцяуяуяхяцяхяшяья gfkfpfsfqfmfjfg3эяъящяшяцяхяхяхяхячяья ifqfxf|fyfsflfg3ыяцячяцяцящяья!3 lflflfnfnfl3*ящяцяхяшяы+я kfmfpfpfmfi3*яэяьяъяъяъяшяъяэя#3 gfjfmfnfkfg3юяюяю-я gfhfifkfnfofmfkfjfg3юяэяыяшяшячяцячяъяэя hflfofnflfifhf6"3юяэяэяьяьяэя gfkfkfjf5"3юяэяэ+я!3*я gfgf4"3 4"3 gfhf4"3 g3*я%32яюя!3,я!3 gfifif5"32я0я!3 gfgf5$3*я!3 4)3$3</t>
  </si>
  <si>
    <t>RI*Fж S!3WAVEfmt †C"3 gfgfw^!3 UV!3 hfv3dataВ S!3 jfrfj3юяъямяФяёяНяъяэяояЧяЕяЙяМя яpяcя–яаяСя&lt;я 3я \яHяWяЂяЫяЦяђяЦя ?"3єя[яэюЧю Mя€я{я cя HяVя©я o3щя°я®я”яҐя‰яхя| fЊ3~яВякя {3K 3мя­я •3С 3И 3&lt; 3ХяНя? 3њ 3Д 3_ 3† 3Ш 3у 3К 3Ч 3N 3аяЯя ‡3C 3к fl4c 3Шяu 3д 3ќ 3љ 3п 3j 3жя ‡fЂ3ьяФ 3!4 ‰3IяtяҐяGя k3Љ 3ћ 3Ж 3п 3шяХюую[якю 6я k3э 3} 3C 3ЦяПюэю}я–яЧя g3няG 3І f•3ЪюЂю Ѓ3п 3^ 3uялюEяjяФя i3фюМюXяJяnя „3*я©я~яЁяХя` 3ы fЊ3&gt;яжя ‡f”3Ья°юdюкяр 3Ц 3» f‹3i 3G 3цяѓя¶якяяяЄ fj4т 3Ѕ 3ќ 3“ 34 4U g—4Г 3oяlя ‹3R fЋ3· 3І 3Џ 3h g•48 3Ё fЃ5л 5~ 5Щ 4Ц 3« 3л 3ьяVяЧ f~gЊfЊ4q h’hl3yяЊя»юќяся¦я ?я_ю Љ3ў fh3© 3h 3Ј 3м 3с 3ц 3E 3 3cя Oюдярякюдя› 4Х 4c fRяш*я"3 Ќf{4о 4й 5F h}3ћяЙюNю‘я „3йюбю]я± 3¬ 3•яs 3Y 3¬ю Rэ 3ьnыcыЧю y5b 5U gЉ3і 4r 4Ёь·ыЇюѓ 3в 4ќ i“6w i}6f 3Ђь Tьаэ bючь юxя 4я dэ Wь 8ььJэЫьоэGяA 3] 5є 4уя– 3гя _ю‰э =юR 3Т 4‡ gЂfx38яћюќэСэльяы cь8э 8яМя 9юфэј*яюЫь ?эЮю“я Jя€я Ђ4б 4P 4к 3Н 4± 4k 5ъ 5Ф ggѓ4Р 48 5Ф 6© 7ў 6“ 6G 9Г mx8ж 5Њ 6v 5: 8^ m•9k k‹9ј 73 5T iY!6 5‹ 6Й 7e 5ї gmh’fMя!4њ 5О jm96 5Ыю®ю 3ЄяєюЏ 3} hj6w 7‹ 4¤ыцш:шVц aшWъ}ьЯэsь Fьђь bэ Pэ Hъ XъЁъ Hэ эµэ“я Yэ dэ Vэ;щ ?ъ Mъ€щљы{ь9эюэЎы Pъђщhчуш:ьґь UяеюЦюa 3чяњя w3уя‡ 5Ж 7Ф ;F 9— 57 6ЛюдэЂ 5чяhю3 ko7” 4’ 4°э†щ›шШъДю ~3R 6v 7« ip3л g–:А :я ;¦ =µ ;Д ;6 &lt;ж mn75 6o 3Ф 3cэDы†юЗ 3h 3“ 3D 4o 4еяџ 36 hЋ5V 8щ l“n–:њ :ъ :h ;н :Г l…6аюkь =эиъћы„ъ*цsщkщЩшMчошжьоы¶ъ Zъtьх 4Ъ 7E!9 6‡ 3ґ 3ы 4‘ 6o mq7Уяz jihEыБыxщnш¤чvч 8ъ Yъ»ыЎы©ы?ъoщ Zэgъ`ые h|oЊ@Џ @ў ?Y oz:= 7O 6¬ялшјщ©шЇхјщ &lt;ъбц•ф3т UхЩу ^ч6ъ YъэьФыoэГэ›эТ 3Й 5с 7· i†lЃ:W 8д 4Z 58 7Ъ 4pяаюuь y7З 6oэЖэ Љ6± 8Ѓ :6 ;  8= l†o|o‹=А ?[ Bя Eш =&lt; &lt;Q o93 9c 9O jp9— &lt;± 9зяз 4‡ь_я t9` 4¶ 3ѓ g?я[ь7яЄя№э“ыЂэхш dъЖэRь [э 5ьРшJы 9ъy 3С 3ыЩэMэLь \ьРш Pф ;уqт№п CлЌл Aм Zм ;тёх _х 3щ {3*шДшbэмыaыЇ 6q i‹9A 7У nq8“ 5ея ZшѓъуьJщHьљ 5O 8z 4Њюјя­ 5т 4Х :« :q @‹ Dd y“Aв qT!A C] C° HЭ KK P VI F7 6Нъ^щRю Њ5Z hЉ6S fDэїцђфhу [у°ц»цлщ@ i•n•&gt;К ;А ip4:я7яYюВы FыBьжшјцЬфЌфОхёчяфирфу Mс“с ZчЧшlх Gу 8с¤пkс Xч¬ъMш 5ыОяЭэN 3і 9i 5L 5џ 9Э :a k‡4Щ 9Ђ 9‰ 8h 9Ќ 4№ 3ж 6… &lt;P &lt;‡ :† 4П 8P io5З 5Е 3чю tlh8Ь 4э 8y =Ё A; xrKШ H„ A¶ C‡ u|:† 4ЬьТъBю± 4м j~6d 4оы SщДц8с{уAчVу SрЁу&gt;ц MфЃъ4э eхСчЙь‰ю?юё 4Еюбэк g6Д 4э 7D 4‰ьВшЯс‚йюзІпґуѓшЭщЌъDъхян MлdпКцљю!&gt;  Bz o‚:м 8u 3} 6T =„ &lt;A G» ѓ„Nё JС HЛ H• vu&lt;a &lt;• 7п 4С 6ќ 3±+ыЇь?юУьMяlя^ 9§ &lt;· k&gt;П BЁ IА!P Kf A· A· ruoѓ6Нэ `фTц}ыЮхСсЬо&lt;и…з№лTнЈо*у =ю Mя †4№ 4Џя; 5Z 6M 3“ 5µ 8‚ 9C 7® 45ъЧхFф;с=мэмXм=мЩо ;х¬оЕкЁк Uк Rлyс 4щД f&lt;р =Ў r–BЃ w‡AЮ A†!F Jе Pл XБ OK Nо Aљ 8Ю gѓ6rя q:R oz=d &lt;ь &gt;єяЪфПмrкжсkщЫ 5K jOюmш Eче 3Ѓ &lt;ѕ DС ?¦ llh:e CБ C 7;ю_ълыQыwъйхvп Wмтж®а‘в Pй Jт cьѓьБфЛслхЈшп 7A 9o &gt;† Cg BV CK D\ p€@Ґ kaэ¬ъЂюK 7€яџяPф &gt;пнмjм @иRмXсiыH 7G sђCФ ql&lt;= 9ъ &lt;ы A= Bq |QП U‹ UИ Lб rKьRшўшВы ‘gs8Ныґщ Qріз XлGмђр ;х®ы· 6е my@&gt; hOщ Bщ¦ъ‰ 5’ 9Ї ?Е Av =­ mEюшхDуЗсИм ]н—мЖмwр‚фWу©чюъGшxь m@j ;€ =Y Dg GЇ Ft ‚”Oв M  Og GЗ Aу Aъ &lt;— pЊ&lt;: 7OэЩъ~ф ^охе TждЮcзЦмПсДщдъ|ч &lt;ьIь j4й ;µ A° B¬ A® EГ w‰r’v|o’8Ж 8Јядъшы‰э—шeу dч^сђыZ 3Еы:уЛфћн”сDч MшЬьФ 3Н @л 9l qЌrђ9С :ћ 8} n‰7a B{ @K l}7Ф 5sыQьOь™ъ°ю­ 9y &gt;· &lt;ч pikr4WяO 5cшјьВяK 3C j†;VяXэPцѓфРр Gф :ьЁ 3п 6g 5јю cш&gt;ч:рyу Lр VцЩф:ъ· 5Y 7u 9ј &lt;M 5Н 7С n•nz7Ќ ;‡ 8Щ 6Ф =… 8x :\ 6wыIы =эЙ 6® D: C8 @\ j~3Нэ¤щKщAьяъћ 7І 6] &lt;С 4и 3YыфчКц &gt;ы} 4§ &gt;о s‰&gt;Ќ 5Ґш5хЃсУщ5 3Э 7x lЌkMяSшщъгхcы«шЊцvц­щаф‡пћрмнспUсцдтґю[ 4MэН fk6Њ 4  :c Cо Gф C@ Lr E@ AЊ Ee ;H pЋoЉ?Х :h p@юЗщжщђфЇх CуІпасЗс”ъoч AчНуЁх _яR :@ F¬ C‹ ql:¤ &gt;ѓ wg{€D: :U n‡&gt;!;V 9›яFыТхWтпогсlт`тDсщнКлvкaф &lt;ъД 7ў :‰ :X nk&gt;j q•?ў ukDA KС FЈ u€=„ =Ѕ 7ЙюЁц»цEс&gt;сЇлэйѕлЭлНи Oй Qйн eфnъ ‚7f :x 5к hЂhw&lt;h ?й pnw„D€ Dњ D^ Bъ Ax &lt;« BБ hl8ХюD 3q oipqHъ op5Fяуэныдякы&lt; 4W g?юќц­юhшHщ4фМу eщ r6Ѕ 5ш 3Єч Kщ:ф®ф Jц _щџы wh~6Ј :з np4Љ 4M 5Я 6Э &gt;Я &lt;v &lt;Т =Ж i…4Rэ\юҐш Rщ ?хnр ZрВуhоШлљоuнБуUц @щйщ h4VьЇ 4Ћ 5т ?Э t‹BЭ L= LN HН Cр :Ц ;ё ?ь &gt;L &gt;ў ;¬ 8џю­ч¶тсу Mч cщ Mтил Lрoо LщVъoщЕэ aя ѓiЊ:A BC ytH† G· 8ґ @L &gt;f ;й &gt;п &lt;s 5sш3хщф Dъ AыSцъф Zцщъ?ш RъЮьЁэЃ ij“3О :w 8Ћ ;г 7mю‹шнч Mш_щ 3шkъ Dф [п [йЫк8кЏц›щTяБэ°ь Zяк oЌC— HЄ MЏ D© I“ I‹ }qwЃyw&gt;¤ @M 9V 9H 8” fcыНфЛрhс TрOрЭу 8ъ° 3з 5iэ Rц Vы DыV 8‡ =х &gt;i DQ Dґ &lt;Ш 66 8Џ i“3B 43эЈъыщgыqщyшефвтlс“хxхеымюBю@ 3Фщ&gt; 3ыъ ]ю§ 7Жя m3‘ g„8П 7© lђfDыkэ}щ@чTэ“ы 8ямъЗы PщчшИ 3u 3™ 7М 4ЯэЁюЋ 3… 3Y 5Вю Pэ dшђьњяgяЉ j…8Ґ ghm~9e kn‰?ї ;D ;Ќ 9Ђ jЃ&gt;\ z…Fў GA BФ jt4P 6= 7© 5О 87 kw3\щJщ Bт@у»ц5с XтWрTц&lt;цVц Kш eфвф Yс Nч5цcюѕэ’ 6Eяе 7яюіяc jpih:З 8Є &lt;K ;P 7dю eю3 fЂ8° 6Я 8њящ 3u 3© 3Ёю Iш«чJъdщPэ6чЖшgшуч bщbшkъ~ 3‘ 3Ую| 3;яН 5B 9б 9– ;я pA!7 &gt;л :d &gt;ц &gt;ё k—kЋi’5с 9q B№ @; wfl&gt;ъ Nъљъ·ъ6э·э x3‚юZъ’ф Jтмр Rш aш WщDц &gt;ч¤ы s3ѕэХщNщ Rя Ђ36 =b s†B§ =ќ &lt;Е 8Э 7§ 4— jt:х &lt;Ф &lt;Є :  :ыя Uя Mш n3dщаяфчРъ»ц7щ GхзуFрыоeпиц dь·юУэ^шBу Sс `щrьо 3Є 7ю 3ўю~эNю {4б 3П :И 9m 9K ?Ю ;Ъ &lt;ђ :m 5±я }4Й f„:e 7¬ 7r hpj:Л kOяWъ;э›яg 4µ 5P k€k‡:m 3оюнэL 3F 4X 4Yющ fyj7‹ 8r 5ЩъВю aю8 :¬ lsCR AE :м 5Ряrям mj?!= t&lt;шя^ъШщ Oщ ?щ·цЬхГшЄх•уWрgоьн;оHоауkх TфЋх XцФф ц Tщќщ|ыЕ*э fЉ8Z &lt;i 7Z 7T ;!:к &gt;r ?у @Ш @@ &lt;» &lt;ж 8“ 4є 6|юмюЯяMэ dэIшѓч cцLч BцЬыq 6; 6Ј 4mщтъЬя y5Р ;ґ =7 Cэ rѓAГ l=ж &lt;Т ;: &gt;Ё &lt;в 8» :6 &lt;а ;g @Ѓ 3л 3Цяrэвэh 4iэ4 :ФяNя~щќцЇчЖчдыою Љ3JьрьИщячьф?фьш¶ъОь3яѓюНш¬цщцµш=ъ‡юVює 47яЄь aщNъШчfэXьWяС 3уыіьHчщ Hъјъоюуюoэ`яaъ Jэі 4x 6\ 4; 46 3Ы 4м 5o ;ј 3V 8q kЏ8Љ &lt;V s‡w‰BО ?Љ : &lt;Р 9Ф &gt;H pm&gt;x &lt;л ;Z :Д 7x 3_ыЗ 3ЮыLю Eяkю JяЂ 4PюТьvюoщ aьВя x7б j—4Ф gBю ч 8ьЋэ ~5­ :Ц 5ью±ю BэVьҐъЄэчэиэЏяЯъbэ‚ъЯш&gt;ьћыЯч{ы &gt;щяъцщ‚чЈш9х]хошџшбыWьуш IьБъnыОьЕю; fWя ‚fp4Ќя ‰5ђ hXя: 5ґ 7„ 7t 7P 7A 6Ґ :v 7  7ж h–3j 7С iђ;m : :z ?? =· Aњ ?K ;а :Ѕ &gt;Г q—&gt;Ћ &lt;} =№ ;H :ѓ k…hl4‚ 3р 3їь 4яЎьBь UыДщуЂт 4фх¤ц Lхєфhфшц8хЅф‡чШшиъны†ь •4ћяТяѓяx fЋ7}я‘ 6Ь gi5` f”gHю9 4Tэoяnь]юdъ ?ш“шфщЖь Iъ–щбщ FьющyэФъ\юњъэьL 4» 5Я h“7v 4sю5 5Є 4‡ m„7] :м 9; 9ѕ 7м 9И 6U ?R &lt;K &lt;є =4 8¦ ;э 9Й =9 ;U =» m—&lt;e ?» BЂ tЂBш :Q l„6„ 5ч 9„ 7y 8О f7ю 7ьњыgъ«ы”шчъћш6чsщ\хвцhш 3ч·у 9цjц[щ LщҐъіщ Iы Tш‚ч 7чйыbюnюЄэ°ъmэ®ъмыsь№ 3KюJя›юYюыю TьЊьТыЮюЄэ8ю ^ь¶эѕъпц _ц 3ш 5щWщDъГщNъ&lt;щ†щѕъ…ьЉэwяЊ 4| 5i 5i g–8U 8ђ ip7!=~ &lt;Н ?и =М &gt;A ?k &gt;л =A &gt;Ц &gt;g @C ?н AБ A­ @ў ;в =ѕ ;@ &lt;A : ;T &gt;v :П 9Ђ 5— hoj†9ј 6k m–5a fSяҐюЋю HярюHэяю†ыXъХъ ^ытшЇчѕх¦ц ?чЖш@шъхрф [сВс_т©ш Eщ Nъ—щЯц SцѓчBщ†ыQьDюрэi 3d 4Љя7юњюЎюд 4| 5П 4i 4° 4b 4Юю LэёыЯьГюPяЄюЪэПъ cъмъЈщфъ [ыУьЄь `эЎю¶юЖ f‡5@ ir9» 9д 8O :&lt; ;З n|;Љ :Ђ ;s =e ;ђ n{;Е ;“ ;Т 9њ 8“ 7‡ 8В k„8M :S 9c 8B 6B 8з 6› 7Ы 5x 6ђ 8u kЏk•6Й 6к 5Ћ j€6e kѓ6µ 5тя&lt; 4ю 3щ 3йя cэFьћы ;+ы aьКъ“шmч©цќцљш MшЇц Oчау6ф€ф Dш Qщlщзш\чсчJъхъ€э^эЂю¦юё 3№ 4H 3Ч 3t fђ4Ј 5й hђh‘5U 5&lt; 53 3„юЕэяэ§яfя Lя­эUыdыбыЊъіыеы®ьЖь5эYяHя yg}5Ц i‘9С 9ћ 8¦ m•&lt;Б ;O ;й nѓ=я &lt;ґ :Б 9s :Ю :У ls8Є 6d 5Я 5U 5¤ 4ж h„go3тя… 4­ f4•я°ящ 3^ 6T i”io7ѕ gh6ѓ 5– 6Е 6~ 7ґ 3k iЉ6Ґ 5Ю fJэ№щЇыБы TэCэіь“щBщїц Uцsшоч™чХщwчiч†ч:ч=щwш MшVш Mыzю`э y3щюзюзяБ fvg‰4ё j‹6E 8± 6‹ h5Й 5Ђ h…il5i 4j 5y 4= g8яФю eэ®ьЋьaыщыxь©ь&lt;ъћъАъcьвыЋы”ыцю bю w3Ёя 49 5y 5D 7j :ќ ;± 9„ ly:Р ={ =Ц 9Л my;&lt; =Y mfmq8ж 4Yю @ьaя—юЩюwыSы|ъПшМщ 8ъ3ыЇщkы3ьЄюбю6 3D 3B 5N 5Ю 4T 7Ц 8J :{!; :Р 9М :Ѓ :д m~:Y l|6г 6л 6р 7P &lt;ў :Г 8v i5юЛюwяU 3¶ 3ц 3Rя|эRы“щПщJъKъЖщЯчјшЗъ_ьБы„ъTш§ч9щ}ърюГя 3яЁэь‰эWэ XюКя’ 3А 4™яNюiэую \ю›я Dю ZэШэвы LьВъ­ъ¬ъ Tы@ъZщхщ™ъLь;ьtыћыKы ]эS fy3X h}3ЮяЗ 6№ 7› 8в 7— 7D :И ;“ 8¦ :Ї 8P 9§ 8і 6^ :Џ 9л 7И 6е 8Я 6· 8п 4] h5“ gkfЊ4H 4Їя ‡3Fю] 3люmяќю·я¶юрю‘ 3Ј fЂ6д 5– 6н i{5O 5€ hs7_ 8 76 5h 5‰ 6Ґ 5” ih6ј 5ё 6Ц 3k h“5Y 5Щ 4p 4w 4Ч 3ыэЩэSюЗяЬэвыџы&lt;ы ZэЋюЭюXэ MыЈщrыАыѓэ4эРьіэ ]ыbь Jыjьзь Kэтэ§эьаы‘эwь‡эTы Xь Eьйыџы]ы4ыўыBы›ы Bы WыЅь dю Uя^ю &lt;яwюняч 4О 4g 6ј 5E 5Е 7Њ 8A 8’ 8B k†:т :є 8Щ ls8т 7Й jw78 9Є ks7b 6с 6± hp7° gn5Я gz4H 3Џ 4¤ gv3ШяЂю4 3vяХяpяЃ 37яўюІя „3Њ gЊ4¶ 4c 5¤ 3ц 3п 3G 5N 6€ 5Г 3л 3о gp4u 4Ц 3э 3!5 •3Р 4› 4В gm4› 3Ъ 3і fLюФюTяє 3ВюЧь9э’ьAю{я –3Сювьnы*ь 9эЎэЫь{ь _ю&lt;ыЎьРъ _ь &gt;ьЯыPьъьмы„ы IэЅыЂьсщ»ы Gы @ьpыЬыўыTь^ы§ьЂь `ьџюУя— 4й fl5? 4Y 5b 6&lt; iђ7Ъ 7T 7D 8И 8U 7› 8I 8ъ 8? l–8n kmj‹6¤ iЉj’ji7С h‡6І 49 4‡ 4џ 4Џ 4U 4u 3› 34 5Д 4Ш 3Ѕя‡я ‰3І 3Э 3Ѓ 4Ђ 4[ 3нюжюся ^ю 8юыэ AяЙюіяМююEэ Uэрь \э XэРьJюcьАь‘ыeы\ьGь 9э‰ь™ь_ыpьSы Oэ Mь [ь‰ь _эђэ¤э ;юrюіюдюjяDяхя m4љ 5F h’5у 4R hЋ7У 6Ф 6є 7“ jK!7 8m 7¦ k•8® 7“ k”85 8© in6Ј 6г 6i i}7E 6л hkhЃ43 5О 4V 4V 4І 3Ѓ 3o 4Ќ 4v 3Ћячюђя hfx3ыяЏ fn3 юЎэ–ю„южэ bюЫюRюјюQюгэ=юЦэUэ Cэ ]э GэJю VэDэ”ьЛыHь}ьpэµьТь Wь:ьЪыъьсэ &gt;э–э Rюмю Mя·я Љ3ц 3^ 4e 45 5ђ gr5g 6” 6Ч 5‚ 5– 5K 7‡ 7g 6ы 6D j“6ф 5Ў 6С 7ј 7Љ 5Z 6ц 6} 7Ж 5_ 5° 6є 6о 4к 5® iЃ6Ш 5№ 4Р hђ6q 4 4P 4j gЃ4D 4ля] 3Фя ~3Пя RяkюFэ_э Yэ@эEьрьть ]э&lt;эКьOэ©ь9ыјы 8юvэУьХы&lt;ьNэЈьСьґьЏькыѕъ dь 3ьWь_ь @ь№эЧэПэ bю5юдюНю8ящя• 3ђ 4  5Щ 5ќ 5ъ 3K 4q 58 6¤ 6s jg7ѕ 6{ 5Х 4R 5Њ gz5] 4« 4ч 3 4¬ 3хяёю Mю 5яОю‚ 3^ 4K 5њ hz5[ gt4Ч 5} 6± 8Й 7ы 7а jЉkwjw6™ 5Џ 4] 4Т 3n 3nяOю¶э 9э;э Xь©ь &lt;ьwьЋьсь @юqэ 9юПь№эию –3@ fyfv3ЦящяАюЄюЛэeюGюOю &gt;юИь¤э?эkэєэєэцэзэJяtя[я­я ‡3Ю 3л 3с f„4Ї 4[ g“4ћ fЂ4чя Ћf|f…3@ 3џ 3o 4Ы fq4z 4x 4M 5c 6I 6ѓ 6ґ 6Y 6и 6ћ 7e 76 8° 7ф 6j 7^ 6э 6¬ 5љ 5И 4O 4о g†gr4Бяцю^югэ^эFэ 4ю ;юMюVэќэЬьgэ Rю Zюию©юаяля ѓ3„яE 3зя ofi4Л 3b 4T 4џ g‡4Х 3П 3Ѕ f‹hp5} 5® 5¦ 4ѓ 3k 3јяД 3} 3•я5 3Фэоэ 4э№ьиь ;ьGь‚ыkыaыyы ]ыЌы aыmымы”ьЋэ›эЁюМюќя»яіяй 3G gsh…5Є 5s 5: 5§ 5ф 5ф h64 hght5« gngy4Ђ fsg„3Mя Mя ^я ;я·южюRюҐю Gю d*юэЦэ 6э3ю­ю›юKяћюфюію­юЭюія· 3F 4д 4~ 4ђ 4‡ 4ќ 4t 4v 4о 4W 5b 5r 4Ї 4f 4k 4т 48 g”4Г 3± 3Д 3эяЬяНяряЕяOя ZяkяМяЗяTя BяCяЯю‘я&gt; 3_ 3Н 3” fЂf‘3u 3I 3¦ 3; 4Љ g‡h‰5D 4G 4Г 3€ 4с g†5с 5Ё 5’ 5е 4® 4ѓ 3џ 3{ f•4O 4ј 3™ 3iяЫю®ю\я8яQяAя Aя¦я3яgясю±юЋю§ювю—я Hя Wя Kяљю ?юѓэ Xю9юЊя 5ячю TюЈэ eэ@эsэPэ 7юьэЭэеэ`ю№ю¦юВюџю:я7я”яW fЌfЌ3dя„я®яA 3J 3ђ 3µ 3N f…3&gt; 3 3@ 4n 4d 4Є gЋ5У 4l hu6а h{6є h‰5O 5| 5K hv5G 4ѓ gy4ч 33 4Й 3‚ 3шяБ+я i3шя9 3P 3Я 3Н 3ё 3Љ f–3Э 3Ф f–g4“ f‚3d 3b 3· 3U 3g 3¤ 3Z 3I 3оя!3› 3j 3ћ fЋ3жяРяЊяШя i3пяЃяЧюкюЕюGючэ`эмьGьLьџь°ьїьWьфы QьNь©ьиь 4э€эчэ™ю&lt;юяю @яoя|яq 3r 3Ж 35 4u 3§ 3У 3{ 3± 3z 3C 3є 3д 3L 4Л fo4к 3f 4e 4¤ 4г gih…5‰ 4n 4F 4Q 4Ы 4И 4ж 4М 4Ќ 4c g}4ё fn4&lt; 4v 4&gt; gЋ4В f“4H 4Ў 4Ќ 45 4ъ 3П fp49 4ш 3Ў 3Л 3~ fЉ3Њя dя&gt;я 9я§юзюKя}я @яю¬юљю®ю ;яИя „f”3кяvя 8яЪю dя№я‹яxя*ю¦ю|ю ю 9яэю{юRюЋю¤ю‚юёюЅю?я Kяoя l3ЩяA 3Б 3щ 3µ 3~ 3љ 3Б f{4| 4Ф 4 4я 3џ f“3r 3Ж 3у f–4А 3Н 3І 3z 3f 3€ 3— 3± 3… 3¶ 3о 39 4x 4Є 4 gЋ4ѕ fЌ4ф fzgsg‡4n 4т 3Л 3б fy4ї 3є 3[ 3” 3Е 3O 4~ 4э 3ѓ 3uяаюую6я Sяiя HяЇю ;юјэ `юSюTюKю…юRю VюУэ@ю–ю &lt;яJяuя WяҐяия —3Няёяия3 3­ 3= 3Ј 3e fzf—3Оя“яHя`яДя±яљяfяЊя№яШяХя‹я«я•яТя h3шяЛяшя ’f‰fsfr3U 3t 3Z 3 3Н 3з 3Г 3З 3n 3z 3› fЌ4П 3№ 3Ю 3Т 3ї 3c 3S 3&lt; 3C 34 3„ 3P 3H 3ќ 3ё 3ѓ 3O 3‰ 3± 3ї 3Ш 3~ 3е 3› 3o 3эяСяI 3хяря°я l3*я»я„яJя‚я7я \я6яOя^яXяvяJя6я;я‚яBя AяBяrяЅяжяРяЕяћяХя kfo3зяЫяпяця vf‹3q 3 37 3u 3r 3~ 3µ 3в 3Б 3j 3r 3џ 3і 3Є 3v 3S 37 f’f“f„3Ля ~fЃ3ся¬яљягяхя if‰3дяУяіяая Љ3P 3a 3= ft3тя m3D 3K 3W f–3пяияхя Џf‚3пяпябягяЫяТяДяґяТя t3Яя±я­я‘я№яЈя»яИяБяјя‹яiя|яЂя†яљяЁяћя{я’я‰яѕяжяшяхяУяёяТяся i3эяЫяНяёя¤ягя vfrft3юяцягяЩяся lf{fxf{fЌf•fЋf}fj3юя rfђ3G 3m 3f 3k 3[ 3Q 3G 3? 3R 3Y 3q 3a 3E 3C f†fs3чя g3ъяцящяця h3тяояЧяЪявяияьяшя kfh3шя ifvf~fl3ряояшяшя!3 wfpfvfx3ояйямябясяшячяцяйяЮяияпяеяжяЭяЯявявяйяоягяжямяоярячяуячяъяшяшяцячя!3юя ifjfhfjfofk3*я!3 ifhfifqfwfxfrfsfmfjflflfnfifg3*я#3юяэяьяюяэ+я#3</t>
  </si>
  <si>
    <t>RI*FЁ5!3WAVEfmt †C"3 gfg3Ђ&gt;"3}!3 hfv3data„5#3*я!3 hfif6"3ыяыяцяхящящя iftfjfqfkfqfs3юяпяляфяфяЬязяЭяИяЪяся ‡3C ffuf]"3a 3N 3чя»яЗяВяІя „f’3шя kf}ftf~3ЬяВяТяняХя±я›явяня; 3ь 3Ё 3а 3ь f‡3Є 3l 3C 3:я NяAяХюяю\яV 3ь 3€ 3± 4[ gЋfp3”ятя\я Iя ]яFядяP 3= 3¬ 3µ fw4H 4^ fЋ3Њ 39 3кяњ 3S 3цяpяBядяСя_ fx3ъя; 3ЭяtяtяТю3яјю n3Й 4u 5Љ 5ц 5Р 6Љ hѓ5њ g‘4A 3Шюгьжы EьUь Xэbэ…эЈэ cюТяk 3l hq6&lt; 5y 4їюЯьРыjыЉыWыoь Dю Kя –4љ 5 64 6z 5M 5k 5y 4Ѓ 3O f—3Аю·юЎяШ 3A 4G 5ы 5: 5¦ gp4Уя Aя dяјя PяЌяў fugh4М f‡3_ fo4® 4W fЋ3дю™юSя Њ3 яWяюЊю ‰3 яV fvfl3¦ювю©я ?я°яcя 9я 6ю§юбяПя—яQ 3УяЧяќ 3м 3µ 3ГяшюKяію[я&gt;яwя™юОэжю 3яЛяF 4B 4— 4N 5h 4† 3ряУяйюЬюмю¦я6 3H 3r 4Ќ f~3‡ 3: 3эяK fo3• 3ђя{ю[я Oядя7 3щяЫ fug‚48 3љ 3р 3ј 3з fm3:яхюfюІюцюфюГяЭяхяъ f‡4м 3¦я;я¬яёя \я‡ю _юDюДю Kя Cя w3А 3х fѓ4б f—4j 3“я dя5юTюбю&lt; 3М 3A f{f“g~4К 3H 4я 3— 3X 3‹яИяєяSя—я 7яPяyяЪя` 3H 3ќяуягяУ 3в 4ѓ 4X 3ѓяVя°я}я№юIю¦юЯю™я Ѓ3· 3w 4H 5З f”4Ля fnfBя9ю RягяP 3ґ 3Ж 3» 3¤ 3ж 3ѕяљяџя z3Дя` 3йя x3ия Љ3M f‘3В 3б 3D fv3хяT fh3“яГя Ѓf€3S 3U fy4х 3шяМяєю cя \яояX 3P 39 3? 4s 4§ 3!4ь 3? fLяжюPя­яa 3&lt; 3‰ 3с f•3сяия x3фяТяnяџяb 3p 4Ц 3Бя €3A fh3P 3ФяB 3Д 3Д 3„ fr4e 3QяґяЃ 3v+яІ 3D 4» fЉfgfXяN 3o fo4ЄяXязя4 3?яІ 3щ fЊ4_ 4‚ f†3® 3шяb 3Ия}яУя5 fЂ3ќ 3Ия&gt;я•ясю•я |49 4c 4А 37 3ья§ fn3Ю fm3Pяgя m3W 3&gt; 49яђ 3: 4®яhя? 4°я&lt; 3Фя™ 3ѕя!3\я’ 3Л 3: 4t fWя9я® 3[ 3Тя Cя…юея 3Ф fЂ5« 4У g†39 3ЄюЎяМя‘яВюЗя@я }3Г 4_ 5s 3Є fЏ3E 3Ря4я &lt;яеюkяРя…ю Rяp 3х 3ћ 4Р gm4§ f‚3ляпюэю^яDюНяф 3° 3jя¤ 3Щяж 4† 3їяџ 3зя `яBяpяУя ’3Јя©я ѓ3› 3ЧюИя p3N gp4я f~4ћя3я­язя_яg 38 fp3Юяѓ 4{ 4З 3¬я `яэю 6япюхю‹яГяP 3К fk4Э f•fk3&gt; 3  3 яY 3џяѕямю€ 3Оя7яЌю cяЇяћ 3ћ 3— 3¦ fЌ4B 4л gЉ3±эqяXяњю®юlяt 3йяФ f44 4S 3‡ 3ЎяvяZюуюТю4 3O 3џ 3С fz3@я „go3д 3–яЏяtюўяsяЛя €4B 3\я k3ря Ђ3цящю:яхяГя•ю IяҐяйяыя= 3{ fp3oя ‚3Ґяgюk 3ђяі 3йяня aя IяiяHя8яжяA 3тяo 3і 3Пя VяЋяuяzя y3T f“3L 4ая ~35яSяGяЙя5 f3 3L 3® 3r fn3p fx3дязю±ю§юъяјя6 3yя n3y 3йяк 34 fXяЅяИ 4r 4» 3Xя„я {fQяUю6яvя§ 3ѓ 3Ояx 3М 3_ 38яКю8яQ 3• 4б 3?я _яdяЎяѕядяџя Uя®яї 3Л fy3Ряњя№ 3p 3ЖюHяЉ 3° 33 3жюЮя‰яњ 3Н 3ц 3Э 3z 3Чя r3hяыюMя Bя 4яБя ‰4S 4йяO 3n 3ЕяMяс 3s 3N 3ВюЭю„яЊ 3a 3КяЉя ‚3жя x4 4µя`яjя Iязю VяцюєяP 3г 3я 3С 3ѕяG 3¶яsя5яPяЌяЄя§яTяЕюьяЅ 3Ћ 3B f~fk4ґ f[я ZяЧяЁя FянюLяAя „4W g4° 3H 33яO 3N fQябюNя9яѕю @яья8 g€45 gy3Ѓ 3іюSюO f3Ї 3цяЊ+яbя› 3q gg’fz3Ля “3=я…ю }3ћяшювя– 3°я s3X 4Н f9яaя u3Лю Rя”я8яe 3ся “3™ 3¬ 4‹ 4d 3H 3T 3Тяю Rя‹яBяУяљяµ 3ы 3~ 3тяmя‰яC 3я 3m fUяpя †f„3nяAяЕяB 3сяп f…4m 3±я‰я –fЂ4щ f†3‹яR 3Ё fЌ3„я¤я g3Єю^я^ 3® 3Ђ 3§яЦяжя ‡3Ј 4I 4€ f†3М 3Чя\я ~3П 3·яЭю Cя]я l3Ыяµ 3»я Ѓ3‘ 3x 3*я‘ fx3GяJ 3– 3k fHяУю§ 3Р 38яљяБюDю Fя®я hfЂ4G f‰3р 3Њяю 3І 3t 3\я DяЗяэя ’3‰яњ 3Пяeю Cяю f‰3a 4Ѓ 3ЭяM f†4d 38 3rячю”я‹яКя®яЯя Њg†4џ 3ё 3O 3›яs 3\!3 4ъяRясю4я7 3к f3ыяz 3б 4н 3C 3€яvяn fy3ќя &gt;яsяQяЖя6 3Ђ 3а 4C 4T 3’юйя9яШяюя5 4ч fi3ря t3!4н f–3ґ 3чяЖю‚ю†яn 3ияЦ f“3Пя Qяья\ 38 3эю OяRяЪюгюYюЂю3 3› 3C 3x 4І 3Fяoя™юRяУ 3Р 3; gt3ѓя Ђ3”яД 3Ж f‡3I 3няШюy 3dяБяw 39 3е 3· 37 gЉ3{ 3R 3Ц 3CяWя 8яvя9яєя~ 45 5&lt; 4g 3n 3ћ fp4» fp3§ 3® 3яШя †fz3DяFяНя” 3M 3зяТ fђgng“f†3Ѓя`яZю°яpя Dяjю„я |3І fy47 3t!3я Oяияпяцю Mю Cя6 3q 3Ђ gЋ4= 3[яћя?я MяrюJэJюyяЂ 33 4р 3z gp5й 3Ќя dяzюмэkюъю\ 3› 3S 3? 3o 3t 4ю 4&gt; 4П g‰4_ 3Ўя™ю_ю`яў 3{ 3k 4V 4џ 3© 3M 3БяJя [яаюTяPяФя~ 3e 34яQяјяЈ 3o 3? 3Гя™яTюДэ RюІюІю 3N 3‚ g—5– 4Џ 4§яДю WюFю¬юСюыюЃ 3• 3‰ 3~ 3ѕ 3і 3B 3пяҐя …3Оя’я:ячю:ю‹юtяr 3ся†яґя€яЯя €3б 3¤ 3™яьюzя –4аяЏю я› 3© 3і 3I 3Љ 3xяnяЄю ]яnяЅюзю ‹3є frh‘4;ящюзю™я ZяsюЎюv 3Qяпя;я¦яPяЬя Џ4ђ 4Q 4… 3µярюЫюјюцюРяБя]яL 3x f†3§я^ 3 яаяUятю‡яfяфю Xяjя°я©яЭяf 3Ў 4q 4A g†fIяjяиюIя`я u3~ 3? 3^ 3мяQ 3‰ 3ПяЖяl 3Д 3Ля`я Hя~яыя^яєяFя–яЋ 3џ 3= 3C 3БяCя›яЎя sfЋ3Kяыял 4ѓ 4m 5w 5eяpю 3яРяДяЙ 3Q 4ю 4Ќ 3МяОяЬяйю @я „3– 3 fj4Дягэ KюЫюея TяZяЮюtячя5 4№ 3Бя\яS 3чю eюeя ‡3АюЉю ЋfЏg…4Г 3T 4= 3aящя¶ю—юnюьюuяјя 4я¤яОяE 3і 3C 5ыя x3ДясюkяK 3I 3ЄяlяЄя\ 3V 4ъ 3C g’4Д 3®я 9яЩю Dяњя—яyяыяЗ 3~ 4¤ 3Є 3s 3P 3ыю 3яd 3м 3Ѓя_ю _юvяµяЂяmяВя? fЊ3L 3—якяpябюѕях 3r 4’ gt4— 3· 3T 3…яБяK 3¬яtяШюїяаяэяЁ 3‚ gy4р 3а 3– 3I 3~ 3Y 3‰ f&lt;яKю^ядю@я¤я 3И 4Ј 4H 4: fTюvэ FюЭюбюs 4Ё 3l 3¦ 3Й 3› gt4_ 4І 3Sяцю=я [я«юЦяьяP 3І 3’ 4њ 4‚ 4Х 3ѕя–юЖя Ђ3‡яю©ю dю7яJ 3ш 3W fЌ3Y 3~яZ 3“я 5я cяЊю AяVявяX 3ця!3µ f~gѓ3© 3s 3Ыяbяaя „fifw4Ч 3Z 4^ 4&gt; 4” 4` 3Щ 3 g‹5п 4Д gn4н 3C 4Ќ 4Р jl8ћ 6} ju7Q 6H gЊ34 3фяX 3щяЎ 4ШяЬюпя u3б 3Ќ 3ш 3ы 3Z 3&lt; gЊ4ч 4Ц gk4Л 3‰ 4о 4Ќ 3б fr3¬яF 4ѓ 3я 3тя v3P 3Vяh f‹3Єя¤юk 3^ 3r f‡3; 4kяЊяЖю©юЇю \юяэїю№я*юня[ 3т 3вя Љf5яєю JюлюКя‰я[юHэЫэ›юЈяI 3C f–3~ялюЙюcюЖюыя }3k 3ЖяћявэАэ{э&lt;юЏя4 3«яј 3xя:ю Nя eяEяЯя g3„я5 fx4l 4j 3МяX 3љя fo3гяљюзэ Iю DяiюzяІю®я dю!3“яЄ 3 3Ћ 3? 3®эUю Oюкэ!3a fVя„яЯю aяY fo4Н 3‰ 4У 3Ў 3ђю7э6ь ZэЁю €fn3µяNяѓю я&lt;яѓ 3© 3&lt; 4¬я VяIю &lt;я±ю я= fu45 3ёю 5яhяЩюФюмю\ 3&lt; 3i 3 ябю }37яЃяjяІ 3жя7 3hяzяъяѓ 3Џ 3Я 3ня=я©юB fs4X 4V 4к 3С f†4ЫяҐ f38 3Fя w3дю 7эвэЙэјя› 3ія l3т fw3° f€3мю aяхяІяW 3хяУяM 3C 3Д 4Y gq3·юS 3л 3‹ 4= 4c g„4F 3х f{3™я}яBяиэщя —3: 3ґ 3p 3ѓ 3ЁяНяZ f—3Ђя@яЈя ”3ґяюяAяУя Kя q3™яc 4Р 3С 3вя Mя:яH 3и gkhЏ4_яЬюЪюЌю x5c 5Ѓ 5П 4Фя Hю Tю}я­ 3Ї 3» 4љ g”4е 3к f”3ј fm3… 3F fЋfЊf‚3УяЈяС 3o 3g fx34 3К 3] 3sя“юRюmюlя¶я¶я3 3‚ 3K 3в 3µ ft3Уя°яС 3ы 3Хю;я©юg 3R fk5_ 4Ю g~4n 5` 34яєэ©э–э®ьжюі 5Д 5Г 5Э jtn6L 4Y 4Щюьюжю p3С f‹3ЯящяЖю QяЃя Њ3µяу 3вяю 4¶ 5v g”4cя6южэ 9юgю 8я ;я =явя Oюiя= gw3m 46 4ё 39 fѓ3“ 3Ў 4ђ 4й 5~ 54 hw6ґ hs5v gЉ3dюFяeяO f’gm4w 3ц 3щ fo4пя Ќ3xяўяxюЄюџю|я€ 3Я 39 3Нясюgяkяая~яLяЁяpяzяsя Tя›юЅяЁяљ 3“яљя­яПя 3E 37 4Ѕ 3пя‘я eяAя«яµяПяҐяґяoя‡я‹*яю i3›я Pя^ 3ЛяАющюЌяU 3БяЎ 4g 4— 4G 4iя Kю Uэ}э‘я ђfif…4U 4У 4  4кя m3Т 3g 3вя 6я RяЪэгюGяB 4L 4W 3¬юяэХю ‡3Ђ 4~ 5 5Є 3gянюIюТэ \яІяc 3Ю 3д 3чя RяЏэ=яґяw 3’ 4B 3ъя  3юяfя jfy3°яЯю h3¦я@ 3Lя‘я8 3Ђ f{4° 5д 4N 3УяАю„ю№ю`юUяКяяyя Ђf”4Е 3Цяѕ 3~я]ю†яќяАюуяЯ f”4c!4 3—я»ю ^юfэоэwяY 3щ 3µ 3v 3K 3NяLя[ 3` 3О 3™ 3УяDящю Qя^я†яµ 3&lt; 3ияџ 3‹яPя „3Ќюlю ~3ц 3к 35 3ию RюЫюэю~ 3ШяК 3гяgяЮэ·эЯэЩяi 4ѓ 5ќ 5P g‹4Lяvя |3‹ 3”юUю eюѓюЇя 6"4ф 3йяp f^я› 5;юн fr4ґюR 6uю if9яґю BяT 3ця@ 3JяЁю ;яЂямя Џg‡f‡3•яхяѓял 3щя „3:я]я®яW 3ы 3G 4Ф 3ґ 3  3^ 3— fs3Г 3 4O 4ќ 3эяјюсю MюОюоя Њ3F 4n 4J 4? 4®яэя­я k3няЉ f’3µ 33 3…я¦я ‡4ґ 3™ 3Јя9ю `яM 4U g‘5F gVяRюаэ ZяnяЫя f~3зяБя\яЊяW 3L fh49 5m 4щя TяMюsявя@ 34 3юяЃяоюЙя± 3` 3v 4a 4t 3wя®я Hя–ю NюЮя!3F 4F h}4Tяzя‡яЌя Љ3µ 3A 3F 3§яЫяu gЂ4ї 3ш 3ыяќ 3Јя 6яOю YяЩяия· 3H 3Ыя Ћ38 3± 3є 3— f€3њя &gt;я\я Uя Љ3*яD fђfLяD 3Ї 3щ 3› 3F 3щю 8я ^яvяy 3Ћ 3T 4 3ряWя _яня p3щя –3g 3B 3Ќяl 3ZяҐяеяO 3ћ 3¶ 39 3  3Юя*юсю _я 9яў 3e 3† 3l 3ья\ 3кюLяХя‘ 3И 3— 3« fp3Ея Bяnя Cя™яE 3{ 3Г fs3Јясюыю dяaяvяЉ 3M 4Џ fk3= f;яїя^ 3ую &lt;яpяФяпяu 3®яую i3&lt; fЏfѓ3Ѓ f”ft3ьяЅ 3vяйясявяґяf 3ЅяЁ f‰fGя Nя`я}яD 3ЮяЂ fЌfSяHя† 3ы 3M gЊ4ѓ 3hя*юnяwя Ћ3® 3бяПя^яVяxя ?яЮяЋ 3хя {3*яјюѕяZяёян 3ѓ 3Пя:я ;я RяЌя~яря¤яў 3ряe 3: 3A 3ФяЭя Uяg fk4Ј f€4·яєю›яiяѕя Ѓf„fz3P fh3j 3µя 6яҐяR 3V 3д 3: f„3\ 3vя ‰g–3Љя _ящя™яpяЗя:яЪ fh4в 3µя g3KяJя¦ 3D 38 34 fWяnяЩюЄяЦяm 3Y fЉ3Г 3¤ 3фяВю ofeя¬ f—4h 3‡ 3;яґяќю Iяe 36 3К"3чяеюЉ 37 3кяъяКя: 3• 3· 3 39 3ёя Ѓ3н 3I 3­яu 3= 3Ђявю [яКя`я„я• 3Тя– 3nяmя 9я kf•3z fh3б 3щяF 34 f^яњ fѓ4еяЛя 6я\ 3&lt; 3еяэяjяЩя xfЌ4Ґ 4g 4M 4^ 3®янюiя v3ия– f3ІяZ 3­я8 fЃ3uя ~4D 3Ќ 4џ 3h 3Ї 3мятяЩя— f‡3d 3ЙяЫюЛю `я {hl5wяп gUя…яeэNюЗ 4№ 5чю Rяm 5ЉяЯыl 5р 6Ўэн 3г 5шю]юЬэ Oь§яtя †3Њ 5k 56 g=яиэSя‡яќя Ђ4Н g„4L 3эюйя t3ЋюЛяd 4h 3љ 3… gЌ3шюµяdя‘яояфя aяЃяc 3Ѕ fdяoяВя`я·яая 3ѓяая® 3| 3Ця Ђ3F 3&lt; 3‹ 3эяи 3Х 3ся z3Яяµя —3пя Ћgp3Сят fЂ3±яЈюЎяv fs4w 4„ 4вя}яr 3Ю 3h 4µя¦яЛ 4є 3бяC 3Bяќю_я ѓ3У 3&gt; 3 4џ 5Х 3х 3qяію Vяkя5 3Ќ 4‚ 4r 4s 4Ђ 3y 4с 4к 5s hq4Ћ 4k 3зяr 3­яЖя f5г 4[ i•7– 5„ 6Ф 3ѓ 3жюХю HюtюDя‚юoьfя “fQюjя ‡3q hMяeы[ 3Gя¤ 34 fWяЊ ho5№я¬ 6‰ 4Yю±яэ fk3Б 3]я bя„ 4|яHюCя„ 3cяЯю¦ю Hя ?янэ­я Vял 3x 3тя“яµя¤юeэґя PяЭю‰ьЋю±эrьяь€э Ђ3–я Iю 5юKюйэ Cяm 3цяK 3Хю 4ю›юшю°яря­ 3в 3F 3i 3¶яNяRяЕя z3Яяq 3oя 8яvяD 3ояЛ f‡f„4“ 3‹ f[я яЕ 59юX 5„яЛ 8·юmюt 3O 3“ 4сяф 3Н f?ю&lt; 4q hIы}яћ 5n 3с 4@ 4L 5с 3№юЁьN 4¶ 5aюію Ђ5Сюўь Yя j3O 3E 3{юФ fu5A f‰4­ю} 3Е fq3•я ‹3ся OюаяШ 3C 3? 4Ы fЌ3ъяЃяZявюїяЗ 3wюЇю ?юЖяв f‘4и f—4Дяcя ’3G 3т 3I 3РяРябю =яiя t3ћ 3Я 6Л 3\я cэ¬ h_эЇь• :\ы5яФ 8Шь¶ 6Ѕ 55ы ]ьЊ 5ў f•m\яХщЉю p4…ыЬ 4Bэиъ› 4y 9ђ 7· 6w 3Йъ5шЌэ‡ 4њ 8Э 4• 5fя dяащїы 3: 4м gЉ8з 8zяОы`ьРь y3€ 5ш 5u 6M 3‰э Lэ·ъ `ыe 3I 6Є 6о 5J 6  4Ѓь FъoьЋ g„4J 4t 5j 4MюАэ 6юњяґяj 4х 47 5ЭяЃюjюИюqя“ 39 3В 3&lt; f8ясю h4Ћ 3!3яr 3KюО 5…юlяџяјя Qяw 4T 4e gђi‘3· 4` fQя SюZэцю ‘5™ 5ц 6_ 7n 6¦ 4\ 4_яqюµь:эдьXю6 3S jЌ9Ч lЉmx7‰ 4ЦяAы‰щ`шWщњъzэ Њ3є g‘6Т 4p 4Хю„*яэ Pэїюпяm 4ѕ 4x 5t fk4» it5Г 4щ glg”4k 3©ьэ†юP gw6А 7ю 6ь h5n 5^яЫьmюЮэ\я }3\я9яО fbюEюЏяu 3Џ 4ФяФюFэЮяА h‚6M 3бя_ 4б 3дю± 5ў 5уэкш Uц ]щ Kю&lt; 6к 6вя Sыrь }foiЉ:` 9b 4Iы Wь }6A 9E 8‡ 7Ѓя‘ч:*цъН 7M ;i 9І 5Zю6щЏъµ 3Ж 89 58ящюєяz 7Ф ;x &gt;е 9еьcфVт…шs 3М 5Хя aюрюzы&gt;ъ9ы |3ќ 6№ьзш Dыi 3Ц injo5Ќюzыiы RяЫ l9eя _цЗуTц \ы7 4f j‡hFюНю Ћ6м l…:j 7s 4»юцьOюЌ iѓ7Q k€4&lt;ь QюЦ 3@ 5Э 4Ъ 7j 5“яЩыuяБ 9ь &lt;v gSьkюџ m…7m 7‡ 8b jPюкэ… 5щэ x6t 6щ 3НъцхMч “3о iv8Тюўя{яЈ h9С &lt;&lt; ;8 7—ыНц;ь ‡gf7€эхцЏс dчяъЙ 3µ 4 5Д jt3Ь 7‹ &lt;« ;*юc 3o 3‘ :б 9щ 8–ьPю–ъшц MщЪю Dя`щ CыРьґэВюY 6m lЂ;§ ;± =8 &lt;п ;Э 8в 8Р 8·я«ыNъ XцzъSъ Eчcр HтТшУэ{ gs8‹ 8л 6: 6B ;‘ @D ?ж &gt;™ 8S 4wэ 9ыsщ6щ†*щтКнЄт ^х›шЩэҐ 3ыю«э? 4Д :O Cн Dx CЏ A« &lt;Г 4я° 4‡ю Iщ6фmф _т _чИчAфНхаъђьћэґ jf?у @y rЋ?ш &gt;7 =Г &lt;9 :P 6P f:эKшkф›хLш @х&lt;тbуDуЖу Tъ y6t ;L 9№ 8« :ў =Г ?ђ ?o &gt;t 7ьябэћь^эЪы [ъ8ш—ф Kч•ъIь XыtэСэ€ gi9T &lt;Г nh&lt;Щ l{7X 9Ј &lt;Ч 8l 5у 3Bэщшпщ…ъйш…шАщ°ь¦э ]я 8я–юh 3хяC 6!9§ 6Ф 5C 7Ј 5&lt; 4I 3± 3~яb 4*юць”ыЈъiъoы [эМьђяЕяКя ”4F 5Т 5М is6Њ 5а gЏi€7К 6љ 6*яBьґьyяЃ 3эю BюЋэT 4т 4о 6„ 9к 6B 3v gtiЋ5Т 5¬я6ы [тїй aйlпцч‘ g•&lt;‘ &lt;N 7ІяїыячХц &lt;щъэЖ kЉrnAМ @А nygDыLчЪш :ь {3Љ :­ ?ј rЂ=і k`яєы~щущPьть7 fЉ6ж 6a 8y 7B 5 5Ы 6p 7¬ 4Ћ fЃ3­я­юvюc 3n 3¤я AюсюDяdяzэQьХьNяJятяД 4Ю 4К 3Л 3ґ 4Щ 5‰ 3бюОьсы Dэ;юhэ LэЙює flhЋ5l 3шя 3м 3k 4^ 4~яЪю :яІяg fbя]ю Sя9я ugy6Ё 4bюHюѓяO 4­ h—5Ш 48 5й 4щ 3{яiяхюяCяLюъюъюЁяћ 4— 4i 3€ 3? 4‰ 5o 5A 4?яѓя‹ 3| 45 4Ж 3pяНьщь—ю —3b 3цю§ю@ю›эБюМ 3w gl3Ґя i3] 3j 3h fOяМю AяSя©яЌ 3ГюWэ±ь”э cя Ћ3Xяxя†я9юMю Bяi 3хя| 3§ 3–ю›яјюЅэ W*юяUэg 4п 3C 5П 3їэ=э¶юЦ hy4кюFъYых 3m 8g 6SяJчиьЗ injЌ:ц 3Kю k3Ў 6є 3f 4~ь AяL 4Ѕ 3a 5°ы Xц|щ° 3Џ 57 ;† 3оэЈ 4ш 6р 8&gt; ;бэіыqщ^ю ѓ9Q 4Pю?э€эP 3i 7 4 юZш ZщТь§ gЌ5zя RэЖя j5‹ 8J 8Ч 6е 4Ф hi9” 7Ѓ 5Р f„3Х fRэЊыфъ Cъ;ьцэ |3зэ MюK 5Ї 5ш h6V 6n ix9X!: 7’ i}6Эя 6яt gIэМщCч &lt;уЙу`чUьЄ 3= j€8Х 8њ &lt;Б =з 9€ 7­ hЉ6Х j‘8z 3\ь&gt;ь ?щьъ 8ы 9щЂщЈънъЮь¶яQ 3Ў 3G 5t iЉ8ж ;] &lt;л :Х"9 ‹6C 4°ь›ъэщ^ъ LщтшЛщ‚щ”ъvэДэ&lt;юђюЅяЖ 5F 9± :Ѓ :а ;њ n|:Ё 98 9Ъ 6uяаэЈщцшЉш¦чђхбч _щ©ыgюCю hfgk’:‘ 9э :ъ ;µ &lt;4 &gt;s &lt;3 9н 3сяwьdьёъ9ыушщъЄщышЖщ Wь¦ыIю„ 3™ 6№ l|;Ѕ 8м 9Ћ p{;Н 9; j?ятэ»э Jь 6щьш Dщ…шПы:юwю GэЫыvъMэ ‰3V gЃ6M 8ђ 8› :s ;д 8Л 5л 4• 3“ fDю‹ыWшйц KшYч ъ—ы›ы 6ючяЯ gr6ч 5— 7‰ 8e :ќ 8• 7G 5ЮяУяtя cя?я Jэџь 7ь“ыЉьЬыWьmьєэzяQ 4Q 5I iѓj•jf8— 8ѓ 7Ї 6l 5w 3ЂяBюаэ [юеьгыDы‰ь eэfыЌэся: 5i 5F 4Ё 3ья 6d ir6I 6™ 57 6? j“iu4ыю Vэ”ьЉэВюНэ _юЈюCя© gЂ5u 6” 6¤ h–63 8т hЌ3VяъюЈ 3ш 3F 4ѕяЫю®я ”f}3Зю Mя‹яцюyю bю \ю™ю ђ3f 3Х 5Ї 6« 6!79 g€3’ю`яeюxюЪюdяRя¬ю eя‹юЖэAю9я ]я\я …3ђ 4Њ 5Ю h—4сяLю9ю8ю•я3я Ќgp4iя 3ьљъмщoъ№ъ:ыЪыэ OяЫ 4« 6G 6o h5г 4· 4ўяпь»ъЈъ:ъпщЇщTщIы 3ээЙэ dя k3D gy4·яkяОяЄя ]яояОя= 5O 7Ы 5· 3”яїю&lt;ю Vяќю°юђюВюІяѕ 4­ h‘gdяvя h4Е 5б 5o 4† 3C f}gl5“ 5ў 5Ў 6ў 7о jЌ6Ё g~4t 3Iя@я _юmэзь»эVя‹ hk6Ф 5T 7‘ :f ; lv7a 3Фы bыT 3Ч 7А 8 jp5zяnюyьЕъБыqюЕяфьMьия@ 3~ 3‹ 3ї*я 4c 8¬ 8Я 7Ю 7ъ 7@яКыEэОюHя‰ 3™ gZэKыE 3— 6°яHя 6яЕшХц Њ3ћ 6= 5Ј 77 7ћюЄ 6d :N 7”яўымч Mэ« 3Ќю Jъuю _ь bц^ъЯ 3C 3Дю› 7µ 99 ;\ mr5I 5] 5Ѕэ3ьЙь Dю\ьЧщхыылъйш€ьА 6К 9w 3k 5Ў 8Чюg 3з l•6{ю‹юьызщё 3r iXьњь™ 4S 3Jьaю­ыяы э =яа 7‹ &gt;R :Ў 6Є 7ї 5‡яџ+ыЏы RьzыtюM 3rыEщ– 3т &lt;; E° uhC&gt; ;г 5Жэ Nт Uм eу•щ Yьљ iw&gt;` @_ qt€&lt;_ 9] 6Hю3шЏчюц ^щ‰щ KяХ 6? 8д 7у pAя @F ?• op4eъ9ш хіхЖц~ц ]ъИ 3ґ 7ь 6@ :Т 8s 9R 5єяѓ fPяnэ ]я :ю Rъ 7ю} i—3Уэ‘ 4Й fWы ]ъ KьСш 9ъвцЏы‘юK 3U h”lj:э 3ѕ 4G 5&gt; 4ј 4§ 3ь[щвщxш4ъMюыь _э‡ gm4bя “4Y 4u 3f 5k g@яї it7r 5Ђ f&lt;ю Zьјю Iя;э Yэ4ялыgшЌщPяОяJ 5w g‹4Ѓ 7њ 4Ѕ 3€ 8g 6Ию©э·яDя7яАю GяЪьgъ [ьeьAя›яДэѓ 3Няжэ® 3µ 7ѕ 7e 8c 6Ч hshv6х 5з 5› 3Iь Rчох7ш –4люи 4« 3ЭыЭ 4љ hj4У j78 3w go4Ќ 6± 4± 3vэMьЙьзщ= 3z 7™!4 58 6К 4ЈьOщг 5*э= g&lt;цяDь Yюyшэющ 4Хч&gt;ы§ 6№ыќю nAфюW 6« k–7с 7© 8c 6‹яx ;¤ g3юЫщ*шmщIхХч4ъQы &gt;ьсь› iѓi–8G 9: 8ё iЂ;Ц &gt;а :h 8ґ fЂ4ђ h8я™щёшДч»шчы DьSфдчsыђъЊяь 9u 7q 6ъ 5o 9т q;ѕ 9± 7Ѓ 5я hѓ7= 3ФэАь CщµъЦщ»щЪцЊчџь =ыEэV 5Щэ— 3: 8э :» nЌlЊ;† &lt;ч 8Й 8ю 7hюµыґю ЌfXэИьdш«ч Uч&lt;щbъ!4 ?яДьє 6P 5‡ 5Џ jv63 7· 7Щ kz:ћ 6‘ 3Ь!3 4ё g‘6сэBьDьбьHыЙэ &lt;ьAьРъuьб 3шяья Џ4ђ 4f 6F 8&lt; =? ;d i‡7Є 5” hdюЁя Yяuь 8ы|ъ‡шзшюш•ъЪь \ь]яC 5є 6 9` lm9… :К 8з 8\ 8Y 6№ 3Oы Pэlэ„ыVшo*ъщщЧьгэd 4M 3Ћ 3µ i‚5ў 6± 9H 8^ 6z 4i 4: 4г 3Z 47 3Љэ°ю»ь…ькь”ьёэ†э LэхьГю bю¦яфя@ 3Е 6М 4€ if7• 7P 6” 3Јюряю 4ДягяУьAы ]ыЬъ eьЖьЌэрэрю ufr4o h•6Х 4} 4с 5V 6Х 5Њ 4} 4} 3^юѕэkы•ьnьЮьть¶ыЃэїь§юc 4ќ 59 6е 5Ќ 4· 3чя 4¶ i5{ 4· 4Тю 9ю Aю¶эDьры;ь Oьpь 5яо fqg‰4v 3ў 3Ж 3Шяµ ghil5ђ 4с 3Е 3Ф gz3Еь‹ьюы=ыъщъБьUэ XюТю FяєяМ 5Њ 7N k–8и jђj‹6џ 4о 3П 3yяюЭэ 8юњэ FьИыыќьGюйэDэ„энэияЏ 3A 5X iu7Џ 7ж i•5X 5р 4‹ 3Фяjю 6ь HыJщmъ IыІы¶эЯяєяЦ 45 6n 5Ъ 4“ i‚79 7Ї 5‘ 5L 4l 3кю \эЯэияОяxюoю QяЫюХю eютэЋю ^я‘юуэђюія¶ 3x 3Б 3p 4х 4‚ hn5І 4V 4Ђ 4Ґ 3Ѓяѕю”юYю®юНю‰юHя5я dя я ’3М 3Ѓ 4} 4Щ 4І hfhЌ4ё 3 3Ѓ 3ґя©юIю;ю Gюѓэ ;ю Eю Yю Iяія¤ fЉ5Ё 5Ш 5ю 5: 5Л 4w gogЌ3Zя9я•ю Aю©эЭэсэЗю Aя eя q3W 38 3q 3Й 3&gt; 4‡ 4E g€4Х f|4Њ 4Ґ 3P f‡fl3Єюшэ QюЙэLэMя 3“ 4” 4· 3;я|яжю»ю]яyюХэ GюпяК 4E h•6† 6й 6© 7ь i€5Ў 3ЋяKэМыФы›ы KьNэ wfx4Ћ 4ь gs3љ 3&lt; 5Њ 4ф 3п 3g 4Ї 3g 3„ 3В 5у 6д 65 6™ 4? 3йюбьќэEэ Wэ Rэ®эяэ&lt; 3Е 47 6ю hv7­ 8U 9њ 6с g:яyэ Rэ‡экэЭю6эAэZэЙюЕ fЋ5Ѕ 5l g”k’JП 7ѕщЦьТ 6wчmч8ыТьѕ 4ь 6m 8G 5ђюђщGшўщ Џ3q 4€яu 3Д 7l 9© 9п 6б 3»ю TьЧэю Њ5ч 4Ќ hZэЛ @` MЃ Dw &gt;‰ьlш 6ч Aш–эиэnэ “gl7џ 9K jKяiьсэ RщFщ Yь–я` 8d lv7&lt; f6ш фЬсҐу{щСя ђ6Ъ 8А lђkz6Z 4П 4­ 5` i‚7^ 5няjэЈыущCъфъ Hэ ‡3ј 6T 9: mr9‚ 8Т 6і h|5Љ 49 6f 5? hy6С h†6э!5 6L 5– 5ш 4† g†4є fYяРэьэ*юцяе 3® 5р h}6Й 6S 5р fLя}юЂэъэ™эзэ Oюйюёютю 9яDю‹юРю±ю§югюjяЉюFю Jюzю eюеэtэДь Qэ Uэ[юRяКю—ю [я›ятюЫюBяYя:яkю Eю­юxюЊюДю BяCя \я{я›я&gt; f“4d g‚4Ця g36ягю3юTю–юbяэяЯя &lt;ю4ьАъ‚ъ QъkъЏыЛъ 7ъаъ=ъEъшщЄч”х™ф°у bтаф8щёь°ях 5В 6  io5lьЇщEъ Uыжшћь …3П 3Д 6Б 7ў 5t 3^ю±эІяЙ 5 js7· 7ѓ 6б 4ую[эZэвэ ю3 f—6о 6z 6с 5О 6¶ 5i g‚4‘ 4B hp5Ц 4= 4\ 4e gz4о 3Z 4ѕ hm7Е 6‡ 6· 5¬ 4Х 3Р ft5L 6Й h†5ж 3R 4й 3ћ 4c 4‘ 4Y 5d h5Й 3JяКяжэ†ь Tэ^я| 5® 7Z :ъ 9ш 8` 7¦ 6в 7B 7Ь 5ж 3]ьЪш cчЕчщъl 3i 7h ;ц =E &gt;= &lt;к 9О jv5ЌяєэЙы `ы\ы KыЬьkю™ 4Y k{mf;W :° 8¶ 5nяѕьЂъФщ—ъ°ы±э f4‰ 6Л 7Ћ 8  8Ш 7D 67 gYяљэNь 6ь CьЉьiэ QяН 3K 5U 6Ъ 6о 6Ь 5Ї fQюль7ьGьPэ 8юФюќях 3!5К 5W ix6¬ 4¤ 3»я©ю‹эrэGэ™эHюЭюжяЛ fm4– 3b 39 3МяDягюZяХяЭя g3h 3ъ 3л 3!4? 4ч 3Ѕ 3І 3І 3ќ f’4т fЏ4Х 3Ѕ 3r 3Ўя7яою»ю;ю FюАюkяаяCяЩю»юLюєэ _э—ь„ь 9эЬэзюKя‹я Џ3O 3A f’33 3*я‰яOяѓяfяIяОю Jяфюсю Jя Nя«яЬя` 3† 3 3€ fs3МяџяЁяµяєяЯя­яыячя9 3@ 3ыя Ѓ3? 3b 3Юя©яЎя qfђf|3f 3Е 3Є 3М 3‡ 3{ 3тя= 3n 3j 3Ї 3] 3Пя»яйя u3G 3l 3R f…fhfyfkffo3Њя§яxя8я6яhяҐяЗ 3  3в 3N 48 gj4Ѓ 3wяMяQя BяXя}я¶яЩяМя¦ 3&gt; 4Ќ 4“ 4р 3 3{ 3d 37 3~ 3] fѓ39 3e fngkg—g‹go4Ѕ 3a fg3µя¬я dяEя¬я —f“3чя j3зяыя{я:я»я ~3? 3~ 3¦ f~3Њ figЏflf}3m fЌ3j f“4§ 4m 4U 4Ш 3_ f{fv3эя “3щяИяЙя»ясяD 3ияG 3‡ 3‚ 3i 3Q 3бя’я•яЛ+яУяъяфяля Џ3&gt; 3h 3г 3ќ 4р 4™ 4Р 3њ 3C 3ЫяЙя­язяШяея ”3» 3Ж 3Ќ 3g 3¬ 3u 3уяµяИяеяe 3&gt; 3m 33 3ЇяrяUя4яtядяW 3S 3L fЃ3УяаяУяхяјяЖябя Ђf|f„f“3A 3A 3бяГяІяОя·яАя¬яхя 3щяаяя—ягя q3\ 3O 3ояАяпяея sf’3&lt; 3: 3E 3тяцячя ”3f f„f“f‡37 3ыяґяРя mf€3D 3W f‰fkfmfwf€fm3ля Ђf3Шяјяуя: 3q 3l 3Ў 3Ґ 3b 3&lt; 3ояея …3K 3H fm3РяЅяеяЇя±яая!3тя xf‰3F 3W ffyfjf…3J f35 37 3a 3i 3Ё 3Б 3± 3є 3ќ 3„ 3h 39 3B 3_ f•fz38 34 3U 3K 3r 3© 3 3T ftfw3мяРяјяєяјяЭя nfѓfs39 f—3I 37 ff}3еяЕяЎя©яїяЧя E"3 ifnfn3N fЏfif{fђf…fl3сяляЮявяФяРя lfЏ3z 3f fђflfjf€f”f‰3аяЦяюя mfyf„f“f‚fy3жяШяУяЗяДявя jfvfw3юя €3@ fђ3K fѓ3ъяЭяіяЯядяЧяня pfpf{fifjf’3тяЅяѕяМялятяюядяуяСязя €fq3зяЮябя g3; f|f}3= fr3мяпя €3; f’f‰fg3мяИя mfѓ3: 3&lt; f„3ыярячя y3&gt; 3a 3] 3\ 3J f~3хяфяйяряиявяЖя¬яЁяИяТяЫяея i3мяЫяЩяЫяЕяЁя¤яЕямя qfЂ3лязяХяНяХячя qfl3фятя!3чяфя m3ъяНяґяАяФяиязяДяЇяОяЫящя ”3фяшятяъяьяB ffЉf„3чяшяъя x3шяЪя±яЯя!3 y3ыятяФяЅяМяня jf€fЃfpf‚3&lt; 3? 3? fy3ояґяЗяАядяРяЗяІяКяря •36 fЋf†fl3зядяРяжязяУяЙяНяъя tfrf–34 3M 3B 3G fЃ3ЧяЪяпязя ifЂf–3L 3&gt; fpfzfuf‰36 f†fѓ3ЬяжяРяхяУяЦя»яІяаяояйябятящя p3юя!3ЮяРяіяйябяфяЫяиябящяШякяЭяАязяияояеяХяхяряыявядяыяхяЫяаябяЗя«я°яСяцяця wf&lt;"3щялядяряЬяЯя!3кя kfg3щя r3бяпятядяхя mfo3щяояшя l3юяцяыяояЫя№яДябяЧя ofjfpfj3ияляжя fЃfofl3иякяыятяНяµяЧяияыя rfnfi3щя gfi3пя qfЉ3&lt; f–fq3Ъябяаяьяьящя ofw33 f~f”fЊf…3хяояэя m3чяия yfofkfxfg3рягяЬяТяъя sfzfifrfpfi3кяуяея jfnft3ояжяЫячямяияРяЭяйяй+я ЌfxfЋfyfl3чякяЩяЮяЧяЖяТядякя tf~fr3аягяуя i3кябядяЦя lfrf{3тя gflfoflf~3щяцяЯяцяхябяЦяОяеякяфяаяоябя!3уяеяхя j3*ятящяёяѕяШяЭясяШявяЬя sft3чямяОяХяЯяКяДяЙяФяЩяйяъя rf‚f}3ьяпяряуяаяпяряйятячятяья ifЃfp3*ягязяояояаякяЗявяъяняыя jfђ35 fv3уяЪяаяця }fifxfo3юяья o3кягяня ‰f‡fx3цяшяояЧяПяЩяаякя o3эя rfgflfsf‚fx3уяЭяЭяояля!3ця g3ъятя sfnfnfr3ъямямяряъяюяиявяпяыя 6"3кяОяАяняюя x3пяэяхяыяйя nfxf|fyfwfwfzf”fђfh3щя i3ыяпячяэячящя vf„f”fvfl3няэяряЫябямяжя kf‚fЏ37 38 f€f‰f”f“f…fЂfof~fhflfifЉfЊf–fufhfo3дякяияжяЮябяря wfpfrfr3эя tfm3шяфяуяЬявяЬяюя qfofЂfkfzfwf}f†3*яхяэя yf9"3ья kfsfѓf|fy3ьясяЧяЯяТявяФяЭяЯясяшяцяшя ofpfnfo3сяэяьяюяэяоявябяшяцяъягяЭязяця lfh3дяУяЭяоямяъяьявяияхятязядяояыя l3ъя qf{fq3тяряеяфяэячя mfsfyfgfmfhflfofjfofmfvfl3*я j3ся!3шяьяуяыяюячяюяпярясяояэячяфямяияхяюя jfof}fflfp3*яхяъяэ+яюя ofqfsfofi3ьяояйяряъятя jflfofjfnfofp3юя i3эящяшящяэя gfnfnfrfjfofrfpfofh3*яэ+яэящяъящя!3 i3,яюяьяшяьяэяьяы+я!3 jfi3юяъяыя gfjfhfg3ь+яэяья g3*я 6"3э+я g3юяюя!3 h3*яюяэяэ+я 4"3 h3*яю2я/я!3 4"3*я#3 4&amp;3</t>
  </si>
  <si>
    <t>RI*FИ J!3WAVEfmt †C"3 gfgfw^!3 UV!3 hfv3data¤ J!33 mf;™ n~&lt;c &lt;™ &lt;— &lt;t o€&lt;Ј ;Ъ mj:з 8В 7u i{5њ 3эюgэныLъЅш8ч CцЧфИу Tуѕтёт Bуфу _хєцєшТъ SэOяђ 4L 6Ы 7y 9s nlpi&gt;е &gt;У ?&lt; @Щ rЋ?‘ &gt;¤ &lt;3 l‹7‡ 6ЮюДыЈьЈч5п›с OхxЧ ]ГrМЪЬHпЂ &lt;k QД Zј a~4Ќ5и5H a@ Sv Fй pЌ7… 35 3ъ 3ч 5Е 9Ц ;w 8рьaс»гEХЅЗѓјоі e°iівЅBОcвЦцг ;Q Kы X° b¤ }b± Zw Q  GW ?{ lf6u 5Д kђ?И Fё N&gt; VВ Ћ”]b Zo Tл Kь sf57цЭлIд—ањаВгяи°п’ц\э 6ш 9Б :p 8к 3їъБуём•ж ;в’ЯЛЯ„в Wз=нvф№ыИ 4X 9є &lt;Њ &gt;Ќ &gt;› &lt;ѓ 9Ц 5xяЩь|ыeыЩь®яЯ 6!&lt; hBЅ G jPю Q— R” „“OP Kѕ FЪ AT =; lp6ђ 3;яю]ю‚юВю¶юкэ`ь Zъ Zч’у‰пyлЁз”дDвка…а~б“гѓжЦй«нёс¦х \щRьжю 4Ц h}jwko95 :Џ ;W =} r”B7 xЋHТ J6 MП NІ OЉ O{ N™ LB JW Gн Cў @x =І m‰kv6U gi3µюTэ№ы*щТчEхђтЖп TнјкЗиCз{жfжУжЅз3й Wл?нRпyс…у5хуц™ш`ъ8ьJю’ 3ъ 5ў 8V nz&gt;› @н u”xsG{ Ho |xJ@ Jа I6 Ii HT z‰FБ DO Cн A\ @› &gt;ў &lt;‰ :G 8Ю 5` 3ЭэGыжш‚ц Tфъс Zрsо 3нЭл AлЇк†к кукўлiмZн€оЪпnс UусфсцAщЎы cюЄ 3B 6№ kr;3 pk?Ї @т Aч Bь CФ DҐ EC Fч F} Gµ G§ G6 GP Fх D7 v•Aф &gt;  oЏ:Ѕ 7† 5 3ЎюБьюъJщ№чьх8фтЛр Uп™нiм–л [лск 5лЁлЙм Oо±пbс&lt;уGхTчdщdыxэtяg 4c 6W 88 mx&lt;Х ={ rђA‚ BН CУ D  xzF– Fњ FG Fџ EИ D‰ v€B– @д qy=; ;K 9v 7Ђ 5› 3‘юќьЁъЗшьц5х§у NтЪр©пёошнѓнNн[нџнEо cпHр•с _уйф©ц|шZъTь Qюмя­ 4x iv8О 9Ђ n†=і &gt;J @І Aл Bм C° w€E5 Eх D| DМ Cє BЌ AH @в &gt;Z =У ;E :‡ 8№ 6ю g3Kю…ьѕъ 5щ&lt;чАх[ф =уЪсРр 8рkп 3пЗоЩо XпЗп|р сдтZфЭх’чLщ 5ыФь™ю8 3ъ 4¬ 6V 8ш 9‰ nЊ=° qtsЂA3 BШ B4 C@ vCО BK BІ AЮ @и ?э &gt;з =§ &lt;E ;Й 9= 8† 6є 4Пялэ XьZъѕш `чпхЯфйущт:тЈс `с­р~рcр·р7сбсЕтшуgхПц]шищљы3элюq ft5¶ 6c 8В l–;ґ &lt;!&gt;4 r•@э @” Aз Aн A® A5 AЈ @э r”?N &gt;Њ =У &lt;Ч ;С :Є 9d 8Щ i—5P 3aюtьЊъЄш EчўхzфЎу ?у—тYт†т‚т“тітрт [уzуру‰ф‡хПц _шДщ–ыћэuя; gk6® j‰9Ѓ :Д ;Н &lt;№ =Љ &gt;: ?· rv@l @Ћ @r sЏ@Н ?M ?џ &gt;В =о oq&lt;Ю :y 9ш 7n 6¶ 4щя ^юgь…ъпшЌчjцќхофzф Yф ;ф IфIффЅф Wх~х NцљцAчжчФшЯщ NыXьУэFяЄ fђ5ѕ i8R 9d :6 ;Э ;= &lt;‹ &lt;Ћ &lt;c o•&lt;ш ;ї ;Ћ ;† ;x ;A n‚;д :” :э 9: 9G 8H jv6А 4} 3Mя Xю 8э Pь_ыНъEъВщZщИш`шЅч Bч5цЈх dхµфrфџфнф‚хљцбчючХшҐъ‡ь†юё 3й 5Ы 7Н 9њ ;V pk?Q @9 tzB uqupt‹@к &gt;3 =E ;O 9a 7‹ 5Й 33яЩэСьеы \ы‹ъ*щќщaщ;щ9щNщ~щ›щ«щчщ‹ъ DыЌы cьзьѓэ\ю Qяґя ‡3L 3d 3f 3Ђ 3h 3A fs3Яя h3D 3‘ 3к 3e 4и 4&gt; 5« hq6U 6` 6W i•inik6Ъ 5¶ 5g 5e 5r 5‡ 5™ 5Ј 5‡ 5C"5° g€g•feяIю¬э MэЎь&lt;ь BьIьЈь @эVэ”эЄэїэ¶эtэ [эИьzьfьёьIэ 3югюЧяС 3С 4Б 5d 6Ќ 6‡ 6B 6т 5¦ 5F 5Ю 4Ґ 4Џ 4— 4” 4± 4И 4Ш 4Ы 4Т 4ћ 4_ 4щ 3њ f{3 яLя &gt;яХю‚юvюsюѓю™юїюЪюнюмюлюнюкюъюуюуюЫю &lt;яCяЋяЗяшя wf34 3H 3N 3J 3D fЌfЌf”3\ 3v 3Ћ 3Ј 3Ы fЃg’g…4о fo4н 3¶ 3J 3ыяЅя™яiя Tямюяю ^яSя©я ‹3¬ f}4y 4‰ 4u g‹4µ f„3‚я :я’юBю GюJюю DяyяйяQ 3¬ 3т fqgr4ч 3µ 3R fl3Ля яdяYяXяwяќяѕяея k33 3K 3^ 3S 3R 3Q 39 fu3пяЧяПя»яПяЭя wf”3O 3‘ 3Ы 3д 3Т 3ѕ 3 3N 3эя“я [ягюҐю±югю@я¦яая €3z 3Е 3Ю 3Щ 3· 3ї 3® 3Џ 3E fi3»яЃяFя Aятю 4я ]я?яkяИя; 3Ї!3 g•44 gx4Ц 3Ѓ f|3ќя9яШюµюЯю \яuяОя8 3¦ 3р f„g}4л 3  3d 3S 3K 3ря§яjя~яЃяЏяaя eя5я`я®яъя Џ3e 3™ 3Ъ 3р 3й 3¬ 3h fl3±яA*яюґю»юаюUяЯя\ 3Х f•4ѓ 4Ќ 4{ 43 4Ѕ 3[ 3пяЂя 9яЇюpю[юjюµю ?яbяУяS 3а f—4` 4[ 48 4ш 3· 3R 3фяҐяwя?я bяLя‡яВя ‹3‡ 3л fvgw4с 3Ї 3d fy3№я&lt;яэюБюµюЗю Oяgя§ядя Ќ3h 3 3љ 3q 3P f~3ля№я‘яnяzяЃяwя‡яќяУя j3: 3o 3Ї fx4U 4ќ 4З 4с 4с 4ґ 4q 4ы 3x 3Ня4яўю&gt;ю*эдэУэШэ Rю¤ю _я¤яфя †3&gt; 3G f€3Мяkя]я_яЇя …3‘ 3ю 3ѓ g~5D 5V h‚5ё 4T 4О f–3 я OябюЙюцюMя»+яV 3З fw4и 3o 3мяЂяИюдэ ]эЪь Tь^ыфы?эћьЖэ ‹3їяЁюK 6v 8]ш Sч pi‡A‡ Dц GD }zHd CF &lt;… 4ы CфЏнdкък©н[слфнц}чАц 7х–учтWф’ч Fьќ 4° :Щ sgGs MХ †–Y® \&gt; ]K Z— S  Iб &lt;·ы¬н:б MЧ5РЖМЊМ NПTФўЫЮд®пZыс 9 DЏ M&gt; TK ‹pZЩ Yp ‹mVП R¶ Nм I9 DЎ p…i[ыэт ]л bд…Ю[ЪоЧ aЧ _Ш =ЫJа¶зЭр :ыЅ kuCj }TР YN ]y ^™ ]Ґ Zн U† O№ G± qlhYшЦоrжtЯ DЪ›Ц WХНХЃШ _Э»гзлDхNяr osF NЋ U‰ Z_ ђ€^І \7 YК SА LM wu;Fю«ф•лЛгkЭ»Ш &lt;Ц†Х &lt;ЧuЪ ЯђжЙо Sшб 4љ &gt;А Gц Oљ VG [ґ ђh^\ \ё XD †ђLс Cа :“юGхTм3д ^ЭЯЧЉФ±УьФћШ`ЮтепоЭш ‰64 @= IK QА W| \њ ^З ]Г Њ‡SЫ JЗ Aщ 8:юFшVф \тыр @рµоcм ^йцд VаҐЫЕШ…ШОЫ3гЁо…эІ Aѓ SX dQ?¶HэKЄHЛ&gt;O bЋ N} kVпmЪsЙµЅ MёЗё aїWКЛШ [йfщ? n‡Ga OЖ Sш Ta SЙ O@ Kџ FЩ BG sђ?K r|smA&gt; A@ @| =А 8цюњцkнOд QЬі*ХС JСгУ4Ъµг»пwэ° &gt;o Lu Xа aМ4 ;7f5M –s[v PX D” 7@шьм«г®ЬTШЉЦQЧ JЪѓЮфгCк¤р Lч_эh iz&lt;o Al FФ J™ N_ „|Sx S‚ Rе Oу K… Fъ ?J kBэ‡ф[м 5е ?Я 4Ы CЩXЩИЫTаґжPо¶цnяэ mђCt Jќ ѓ–Uф WД X¦ WЄ TХ OЃ |gBЖ 99ю =ц‚офзІвтЮрЬ·ЬDЮ‡б5ж QмШт \ъЅ g|&lt;З B» H° Mz QЭ Sђ Tu Sї P• L: GГ @Є 98яЪч Oс Cл ^ж;в°ЯЁЮ|Я TвMжЮл\т щ&lt; 4У ;Ц Bе HІ ЂwQР Rк R’ Q NH JШ D” &gt;ж!7юxч`срл„зfдв Zв cг™е`й_о9фЊъ |4’ :ѕ @E Fе J; Ѓ–PЎ Pѓ OП LД H‚ Cr =н 6^э PчGсqмўи UжЗдвдEжэиямЮсhч Fэ· 5я :Ъ r–D¤ zvJy K» ~uK; IB ylBУ &lt;ц i@юcшLуао]лЬи­з®зЬи IлWо„тsчбьt 5С :© ?ґ CТ FС Hё Io |‰Hч Eс B8 ?Ш miYюRщйф Cсжнџлdк ^к 7лРмЋп Vу”ч™ьт 4B m}?4 CT FE Hж HI H Fд Cѓ @Д &lt;… kЉ4Зь†шїфЈс`пун`нµнжоШрwу~цЪщaэ9 gq8ж ;E rBL D Eд E7 Eo C¬ @6 =7 9р 4¦эѓщјх”т dрІо ]о{оµпВсnф¤ч ]ыХюo 5и kЂ&lt;С qsA‹ BB CG C Bа @ђ &gt;– ;8 8ќ 4ыэkъ \чZф :т”рАпЖп±р†т LхJшхыЁяX 6Ц 9Б &lt;х &gt;† @^ A\ Aѕ @_ ?° =K ;й 8? 6ѕ f_юҐы eщоцЬфUуIт Uтџт Qф6цПш¤ыўюЄ 4Ґ 7… :3 =[ ?Ё s‰Aє @њ ?ґ =q ;є 8э 5E 3Лэfы Tщ GчGхэуFу6уЙу Dх 8чѓщeьuяR 5м 7G :] ogq†?ћ ?a ?l &gt;Ъ &lt;Ф :t 8Ф hЂ3[экъјш ?ч№хИфbфЃфnхрцЫш CыЊэ ‡3¬ h“kЊ:« ;¬ &lt;H =9 =Э oq&lt;Ж :Z 9« 7· 5“ 3zюQьGъ’шFчMцСх 3цґц·ч MщзъцьMяґ g„jЋ9Є :Ж ;q &lt;™ &lt;V &lt;Ё ;Ќ m„9ђ 7Э 5Ц 3¶юxь`ъҐшzчЬц–ц»ц dч dш©щЌыџэЫя lh„jr9Е :Х nЋ&lt;т ;E ;@ mg9– j6| 4ояTюЕьOы Vъ5щёш…шҐшгшЃщcъ¦ы UэЕюЉ 3x 5Y j…9¬ :н ;V &lt;г nt;  9Х 7­ 5Ќ 3oюЄьwы¦ъ5ъ 8ъ XъNъ™ъщъhыТы|ьWэ`ю·я` 4с 5Ѓ 7а k‰:р m‘n„;k my9| 7p 5X f?ю 9ьKъ ?щJшуч &gt;шљш”щЩъpь KюЦяI 4» 5О 6’ jy8p 8џ 8ў 8“ 8V 8± 7№ 6‹ 5W 4щяёюЋэќьЛыUыЯъTъ Hъ ;ъfъ HыFьГэOяю 3ќ 5ю i‡8Ь 87 9K lЂ9і khk{7й 5Ѓ 4чя[юеьЖы 4ы¬ъІъ Wыsыныwь 8эЂэ 6ю±юsяZ 3• 4щ 5U 7Ј 8± 96 m‚:z l8\ 6t 4|яЅэ9ь Tыaъащѕщ 7ъЄъЁыйь?юrяЕ 3Ж 4Џ 5ф 5J 6d 6x 6Ќ 6№ 6и 6И 6N 6Љ 5ђ 4v 3jяvюЅэ @э›ьQь@ь Hь AьJь­ьAэ7юCяF 38 g|5ґ 5` 6Я 6i 7” 7’ j‹7^ 6J hq4Яя«юИэ [эбьОьУьтьтьяь Zэ{э Eюзю¶я’ 3W 4п 4e 5Ґ 5Г 5  5w 5C hy5К 4a 4Ь 3U 3ияЂя eяию юqюQюAю _ю Lю Cю ]юmюбюЊя Ђ3 3а fѓ43 4H 4g 4‰ 4№ gjh€5Т 4f 4И fgf`яqювэ}эrэФэNю XяаяЊ fq4” 4ё 4Ј 4G 4Е f„3Ќя LяЄюzю“юЛю9яЬя‘ ft4d 4“ 4ё 4i g‚4њ fu3\яЙюvюCюЂюую¤яI 3К fp4э 3Л 3“ 3A 3ыяђя&lt;я Jя Qя9яaяґя —3§ 33 4ќ 4¶ 4T 4Щ 3B 3¦я ]яЗюљю¤юёю 5яjяГявя&gt; 3Ґ fz4L 4e gk4~ 3Яяfя*южю :я]яЦяa 3П f}g‹gp4П 3• 3&gt; 3Жя4яЎюXю6юsюЦю`яхя’ 3: 4‚ 4· 4| g~4џ 3B 3ля†я:я Jя Bя :яAя~яЕя Љ3Ћ 3Е 3я fЏg‘4Ц 3„ 36 3Ояkя ;яћюjюcюЌюїю&gt;ямяћ 3= 4¦ 4к 4К 4 gp4Џ fi3~я ;яГю±юЅюуюXя¬я Џ3Њ 3р f€49 gђ4з 3€ fm3zячю—юbюЉюлюiяйяa 3ї 3ш 3я fx4Э 3В 3| 3C 3вяЊяRя Yя Rя _я‡я z3• fjg€gq4Ѕ 3^ 3ТяPяуюМюжю7я©я m3J 3p 3p 3x 3d 3I fw3Хяјя я·яГяжяшя 3m 3Б fogs4л 3« 3U 3Ія Nя ю@ю =ю7юДюTя ‘fl4і g|h–hl5p 4» 3ия `я©ю_ю]юћютюYяія r3C 3r 3© 3· 3Д 3В 3Ч 3® 3‚ 34 3Яя™яcяkяoяЁяїяуя z3G 3T 3I 3B f„fp3сяЫяњя’яtяtя‰я«я»яФя uf‘3O 3r 3 3… 3Ћ 3± 3· 3µ 3Џ 3Y fg3µяЃяeяKяTя‚яЪя Џ38 3E f‘fq3ая¶яuя&lt;я ?я Cя;я‡язяd 3Ы f’4y 4` g“4Э 3” 33 3ыяВя¬яѓяiяiяyяtяћяАядя nfЋf’3D fg3няґя?ясэ^эgю†юxя@ 3o gi5Ф 5h 6ј 6Л 6Y i‰5e 3`юcьЪъ Rъtъіы©э s3@ hpjo8g 8Щ 7° iЊ5a 3sю±ьZыџъ…ъIыЕьпюN 4‰ i–8ч 8© 8‡ 7Х 5№ 3љюѕь†ыуъ Lыяыcэьюµ 3U 5С 6і 7ц 7] 7ю hЋgIяVэ Fь|ыћыwьјэBяС f|5р 5F 68 6П hlhq4КяЅюГэaэYэХэ‚юfяK fw4џ 4о 4ф 4Ћ gy4i 3гяKя FяОюАюкю4яљя l3m 3… 3« 3s 33 3чяїяЊяzя‚я яЭяA 3‚ 3­ 3ї 3ё 3† 3h 35 3хяБя¤яЂяkяtя‚яЁяЗя Ѓ3L 3‰ 3© 3¬ 3n 36 3мяѕя‹я~яќя¬я·якя ufЉ3&gt; 3F 3E 36 f•fѓ3ъябяјяЅяўяДязя Ђ33 3P 3q 3[ 3&lt; f|3Хя™яyя‡яяДя gf‹3K 3k 3k 3_ 3? fђ3уязяЙя®яљя¤яњяіяЫя v3H 3} 3џ 3– 3y 3@ 3цяєя‘яЎяўяЯя kffЏffx3щяШяСяУяЫябяряьямяцяхя nfѓ37 3S 3P 3? fv3шяГя»яіяДяаяхя wfxfЉfzfѓ33 f–3A f”fЊfk3Ня®я•я•я–яЅяЯя jf‡3A 3: 3F 3O 3R 3G 3L 3L 38 f‚3ьяТяЁя|яpяeяyя«ядя s3f 3Ћ 3њ 3њ 3Ќ 3a fЊ3щяБя—яЃяwя|яЉяѕяЬя w3B 3i 3t 3‚ 3i 3E f3йя№я я¤яҐяЗяэя ‚3? 3I 3G 35 f’fs3ояЬяМяНяЛяЯягяыя jfqfѓfЏfwf}fyf|fhfo3ыяцяляыяьяхяюящя o3чя o3ыя h3ьяуяияиягязяия gftf‹36 3@ fђfЋfn3уяЬяаяКяЧяжяхя ifwfxff†fЏf~f…fmfg3тямяЦяФяЭяжяу+я jfsfhfpfifhfsf|fvfѓf{fu3*ящяеякяняояшяэяыяшяьяэяья qfofwf~f‡ft3ю+ятяеявяуясяюя jfyfsftfwfM"3 k3*яыяйяжячяеял+я qfnf}f‚fwfvfuf6"3шящясяхямяшяйяъяня l3юя pfkf{fnfsfjfgfj3*яэяыяэяюя g3юяю+я p3шя w3*я q3эя g3шяшящячяуя h3щя n3ыя n3юя lfl3ю+я l3ыя i3ъя n3юяья!3</t>
  </si>
  <si>
    <t>RI*F8 C!3WAVEfmt †C"3 gfg3Ђ&gt;"3}!3 hfv3data zC!3 Ђ3Ця „3Жя g3–яГя 5яНюЎюћюЋщо &gt;¦ 9жь• 3Sяљ l=эГьSыPъ; 6UяТъу 6ї :s iZя… 3в 8їэІч Fы– 7а 5зы @ьрюT 7ы 3љ 4О 3±ь®юЂя 4д 4j fj4ѓ 3iяLяBяжюЄю6я Ѓfkgy5› 4№ 5| 3њ 3–яю™ю &lt;яtяj 4Е 3« 4с 3D 3Кю _ю [я rfGяlяZ 3Z 4h 3Э 3јяјяСяя Zя9я€яHяјяЅя| 3m 4х 3} fq3F 3¶яЌюрюШю‹я4яЦя| 3_ 3№ 3a g…fЃ3Њ 3o 3Ияµяхяняья ifЃ3w fЌ3n 3± 3ьяняуяУя{я–я°яЈя‰ягязя«яќяТя of~3юя ‚f‡fђfѓ3*яхяU 3Ъя of‰3ояКяW 3p 3d f–f’fѓ3Щя¦япя‹я x3‚ 3O 3мяця!3ЧяјяСяуя |3] 3K 3оя ”3\ 3X 3X f…3ая mfnf“3J 3L 3† 3к 3„ 3мяR 3Шя m33 fg3° 3ояРяµ 3Щяїя› 3Dя FяхяПяpяІя я ’3]яxя mft3? 3X 3®яuяЪюАюTя TяДяZ 3ж fЋ4Ия яцю x3Zя ‚3P 3Р 3[ 4дяпяИяюяИя m3¶ 3ѓ 3T 3hя g3Аяья•яияКяM fw3fяКюW 34 3ьяУя5 3р 3ЫяђяХя^ 3Хяe f”3Е 3† 3ляЛяыя rgsf3йя •gr3ёяНя« 3­ 3Дя‰ 3СяTячю:ядяЅяПя’ 3d gЏ4ј 3Ня bяёю3я †3Ћ 3\ 3Йя i3ђяtя \ямя€ 3 3† 3] 3няЄяІяvядя „f…4g f{3ё 3ќя? 3вяТ 3*яK fh3¬яВя9я«яuяэяЃ 3k fw3Ея¬я±я o3няПяV 3› frfgf—3` 3 я ]я XяєяШяОяC f…3Ї 3ПяряСяёя`я4я…я7я g3G 37 3F 3‹ 33 ft3] 3ЯяёяњяC 3‰ fx3гя “3kячя Ѓ3ЙяЩя l3ия\я± 3¦я …3H fj4M 3ЕяУяРя fl3T 3љ 3ш 3› fx3HяШ 3ъя ofz3Ћ 3’ 3IяiяЂюѓяЎю¦ f†3N gy43я ђ3‘яѓ 3ФяИя s34 f–3©яЪя ’3€ 3„ 3їя| 3њяняr 3І fm4Vя Vяdя ;яЗя Ќ3Кяq 3[ 3ЫяН 3s 3Гя y3m 3pяЪяЕю«я 3я –3№я§ 3ИяяЮяgязя 8я§ 3}яуяАяўяn 3аяо 3°я x4Э 3: 4s 3ІюBяВюљяфя` 4p 4› 3„ fdюьюТ 3Ў 3q 3`ю 3рюSяkя·яТ 4‰я‘ 4§ 3“ 4ѓя 7яzячяyяљяѓ 3ќ fЋ5x 3~ 3`ябю –gXюЯюс 3к 3Ђ 3\яgяїя n5±э6я t3›юУю ‰3K 4J 4^ 5‰я“яюяЙя ogRяйяря {4пю“ 3: h&lt;я… gx4ьяЃюјэМы­ 4© gpgЃ4C 3†яlя†эRэv 5qяц 3 5нэ ”gaяeю w3¤яаэЈю }5® 4ђ hAя RюЭ fMэGяjя· 6l 4N 3Ћ 3C 3!5*юY 3¦ь PяЄэL 6® 4ѓюh 6о 3cяЋю‰ьѕя j4Z 3€ 4ҐюIя— 3љяOя =юТя v3E 5« 4щ 3kюAэ `юЫя Љg•7љюе hl4‘яћ 5шю9юБэXя9 5hяГ 3a 6… 4`ь=я h4bюRю® 3c 4Р fFэ®яТэ m3BяJ 4ђ 5E 3—ясэФ 3‘яSя¦юФ 3Ь 5; fЃ4С gp4ґ g;юДэvю‚ю° hogЂ4E 4ж 3™эЁю 7юSя v5ґэШ 3‘юfя|юН 4ѕ 3Лю„яПь :яV hSяшя€ 5Юю5 5n f—gЌ4Ђ gaэбьћ 4Ђ 3д 6хюў 5{ h4яњюЊы €5Мя&gt; f‚4ЈюЎю \яЂэe 3є 3mюІэВ i3яЗяi hAьв 4Hюµ 4S 4K 3Љ 3Ђ 4… 4ЏъН 5ё 4Кэ Ћ6ZяК glhPэ ‡3_ gGю…яЋ 4®ьИ 3M 3ыьW 6їю \ю… 6Ль 3 gSю 4»яѕяМяЭ 4…эM 4Нэ Yюz 6Дэ o4@ 5Ёяi 4} 4РьC 3 3wь› 6{я ?я w4Ою™я ‚5ќэ k5’яB 4Ў 3ў f—3Ню·я­ьу 5OьR 4 4wэy 8™ъ |5&gt;юGя5 47яє f5юB!5 3хюАю ‹6бюи 3c gUя l7\ 3ќэ¦ f~3ЋюG 6[эBяЖ 4чюБюM 6Єя: 3EюЯъX 4ZэvяV 3¤ 6‚ 3m gn5“яЌю®ю  f|3Я 3_э‡ f‘45!4я m5Fь‹ 5ШэC fz4®юџюM g‡gЏ4Д 5Gя“ь aэЄю&lt; 8l 3@ :Эюџ 97сs ;gэ bъШрРсЅ JV k‹IфлЬя‡ь 9хV 4~ш Xус Iб 9ею» 9ю mYьЊр?э i7‰ rЃ:ут Ћ9”фу 6Е 5^юР @± 4Ть 3уУ 4» lo5¦ 4Ъш Ћ=ЂъSтЛызю ‹:Ъ 6ЩюEю{ 8й 4™щ @фЎ g\эFюС 8‰ m”8‹ 6Д j[ю4ъµщЛьШьЏь ‰=I &lt;9 hMю‚ 4№ямьTюКюa 4ЬьsэдюЖюy 6F 4p 4гьєь|яa jEя‹*шэь 7ы 9µ 3y ij5pюБыЧыl 6ґ 6N hSюО gѓ:АэJтc 4w 4Ж 3R 5tьЮ 7ОэЩы Yь `э™ 7wэfы|!5 &lt;Э kѓ4щс j4ию¶юґюP 6Z kFяv 7вэ Ћ9  3–ьпяKэУ 5JюCь –fЊ5б 4gэЪэHы r4е h8э™ 5ы*ю f€3iщБя ’6н 6dэдьЉ 5Р 5Њ 3P 4‰ 4хя© fx3µю =эQюQ 4” 5‘ 3¶ 4™ 5: g’3ДюёяКь \э g3&lt; 3m 3¶яb gЊg–6г 3Ѓя~ь6юК 4^ 3‚я`яx 4‡ 4Цю Uэ| 3v 4і 3Ря\эЉяjя NюїяA gЃ4Ѓя ^яд f’3Ы fђhuhЉ5®ьЕяd 3} 3¤яlьШ 3л 3W 8і 5є 4ЃэBя&gt;ф5 6N 3K :р 3сч LшЇ 8‡ &gt;Rь {59пЦ &gt;Кщ№хX 7ЋяЧ 3` 5­ =8юhя cэњч 97эЭя ~ip4б j|6¦ю†ыW fkl3я… fNъTю ‹5Л i•7и 3PэiыWыТь¶"6bэWя­я ђ7=яЬэV fdю“ю`э‡э j3¤!6 ;A 5щяЭэ:э VэЮь Џ3® 5ЩяI 5Ј 5P 6хь y3xяіюѕяі f–3јяДяРязя n4? 5ѓ 4Кяѕю 6ю ‡4Ыя i4мюC f‚gЌ3mя9я”яKяfюся ‹4Љ 4FяCяeяPяZюПяі f”4U 3› gk3H 3rя Џ3щю©яxяB 4”я g5ф 4n 5К 3D f•39 9H 4Ч 4Bка ;нч Jф XцЎрCю[ 8iчЦ jPрYъњэазТ KN C… Uо =9ъ |GШт&gt;й‘ N?юЈ N¶ь‚ Cу UЇс Yяbозцэ ?` 5€ ?8 7илчцTсмяZ DPйBцgе© L” 5\фах„у­ 4Ж &gt;ГрЊэ©н ’4H Pt h8я 6п_ыт F· ?їь¶я 8&lt; 9љьцъ HшF 9Г 7H &lt;П 9UыИэ 9ьК sЉ3{ ;› 4бэВяЮ 7у &gt;ЦцЬ 6©юnь“ю‰эsэВьoь …7кщ{юw 3€ fTы6шm 5ѕщЁсВют kYя w4Qъхщіш Њ4Ъ kGю RъЎ 3€ &gt;bыеюКьі g–7« 3ы h=ю `ш_ 7р 5± 7a :Zю E*ъц g5ШюOю°э hЌ7Д 4Жъ Gь|эЉ gugy6фя IэM 73 5l :o f:юП 9Р 4Ѕ pu4И 6Ею 7ю Љ:8 4a 5`эї 5¤ 7:я– 5‘ 3” 5iя| 4^я} 3xш— 5юэ€ iЋ4@ьuэeюU 4ѓя ѓ6_ 5{ 3ьэЊэ AюэС i‘8ыю g3‰ 3T 4“эЗь |3ЖяUэ‰яч 4ЪяЄыdяЌыG 3ъэўь t3и h†h_ю Kь Dюіы_яXяMяbюjяТ fFэ Uя dю№ю{ю Vям 3ѕяOяJюЦюРяz 5Пя¤ю эІэw hQяэюЪэH fm5wяOяq 4&lt; 5 3Дэ»яjяјяДю­ 4е 4ў 3Шэ Cэlя4 34 4Њюќю§ 4І 4O iu5_ 4iэё 3• 5m kgkЌh•5Єя ѓ8д ih7Y 4“ jr3Љ 4?яQ 4N 6чя} 6з 4€ 4ЏюPьн 3РяXюС 4µю?ю|эYяЧ 3Vюѓя eюСюJ 3~ 5О 3јэЇэ яє gMяЈяИэЪяи 4Cяі f_язюі 4Џэј 4X 5„ fgf6эК 3‚ 3= f‹3§юВящюХюЋ 34 3_ 3ПюЄэ°яQяЊяѓэГэ*юїюьюdюqэАэMющэZя«юiю_ювэ›ю &lt;яЪюЦя§яеюэяфю 6яђяҐя8 3ќяN 3e 4&gt; 3u 39 3Цяњ 3цяэ 3Яяbяѓ 3‡ 4r 3Ая’яl 3и fv4Н 3ыяy 3О 3Ґ 4– gz4H 4љ 4э 4Ћ 5’ 58 5е gЃ5D 5€ 5І 5¬ 4: 5З 4G 5l 4b 4c 3I 3W go3v 4ЌяЙяРюТяrя~ 3°япю&gt;ю{ю»яДюШя l3жя9яьяўяДя‚яjя kg†3Зя eяџя[ 3ї 3o 3= 3` fh4&lt; 3zяrяня‰ fk3VяЗюГя§я cяqяMюОэТю`яћюxюЇэцэШюЩю|юoю ю4яЛю Vю \юlюЗяOя‹яНю–юФяV f‚3зю ]я –f€3ьяїяЮяЫяуяќяЕя­я —3ѓ fmfЋ3’ябя– 3ї 3ќ 3Эя} 3в 3Њ 3ґ fЌ3а fogmg`"4 ‰4P 4{ 4c 44 4Q 4d 4Q 4‘ 4_ gn4b 4І 4r gxgz4K gђ4H gj4Ц 3Н 3о 3Н 3| 3v 3€ 39 ft3ця vf~3цяэя№яљяЏя|яzяiя§яіяЭяСя’яЉя‘яёя‰яЎя™яЎя¤яvяяKяIя{яjяMячю 6я_яDя \я eяJяNя Jяцю Hя Gя 7ячю RяUяFяPя eяHяDяLяlяяёяКяЙяряцящяЫяыящя yfpfhfmfЌfqfrfЊf—3B f|fz39 f•fЊ37 37 fЊftf…3K 36 f”f–3S 3v 3Ђ 3| 3s 3” 3њ 3ё 3Б 3П 3Э ft4ш f|4у 3Т 3ш 3й 3Л 3В 3Ш 3Е 3А 3Ј 3‚ 3Љ 3p 3d 3s 3d 3M f‰3ня Ђfђfl3уяиячяЖя›я§яРя±яІяЙя¬яя•яЃяя®я’яЌя‡я’яЇяџя’я°я±я’яўяВяџяЋяЈя¤яєяЎя’яяЁяЈя¦я™яЌяҐя°я я¬я©яћяҐяµя¶я·яѕявяляЭяЮяЬятяря kf}f~fЂf|fЃf“f•f…f‰3; f”f~f{f‘f—fzflfrfЃf‚f‹f–35 f‹fvfnfЉ3: 3I 3I 3@ 36 f„fwf’3E 39 3? 3I 3T 3G 3G 3&gt; 3? 3L 3X 3W 3\ 3T 3] 3L 3B 3S 3Z 3</t>
  </si>
  <si>
    <t>RI*F„ A!3WAVEfmt †C"3 gfg3Ђ&gt;"3}!3 hfv3data` A!3 v3їяХяЏ+язяйяћяРя®ю@юэьпя¤э u3u 3ќ 4UяЁюlыОъXэ™ь eщЭхvч4ш OъҐъ‘ц Lс WсЫщQ 7‘ @L B© ?И pq7» 4K &gt;X @° ?° wiEЌ xrB– w–w~C3 =Э 9j 7Є 4а 4t 3В gu8У jh8Є 6E ir5K 8” jl5Є 5y hђ4u 6т 7F 8y 9x :Є ktk…g’7o 4·яЦяKэ7э eьКъјщҐшишЛъ~щgщyщNшyчѕчУщ3ы @ы Tш \щВш5х=ф;хzх@х‚цkц„цЇчыц“ш{щЧщQыы 8ыsьыь Wэйэ Oю 4яGяїя t3А 3L 4х 3° 4· 5о 5&lt; 6д 5Ѕ is6ў i{j~67 6‘ hЋ4{ 4Ґ 4H 4Ј 3ђ 3цяІяНю :я Qю¬эHю 5ю“эљэ Aю¬юМю›юAюXюNюоюаяя—яk 3ья ngi4ъяQ 3ОяДя ‘3ряїя яf 3” 3њ 3­ 3i 4з 4t hs5~ 5Х 5Ћ 5Y hЉ5Ђ hthu5` 5U 5р 4f 4Џ 4И gj5ј h‡5ц 4Ж 5° 5Ч 4D 6d 6› is6A 6¦ iq7_ i6Y 6d 6з 5^ 5¬ h“ht5¦ 4і 4й gt5W 5„ 4– g†h‘5D 4љ 3M 3Ч 3ш 3– 3ЯяВяѕяЇ 3: gђ4ю 3с 3д 3I 4µ 3W 3\ 3к 3z 3Е 3x 3ґ 3ч fo4љ 3r 3п 3ё 3љ 3кяРяA 3q 3ця¶якя; f‘3·яoяЌя°яхядя—я®я k3Цяёя:я [яџяRя&gt;я IяRяYяYякю 8я TяСю©ю…юШючю UяLю7юЧюОюю dю:юъэљэFю`ю~эmю¶эфэ Jэ IэOю Nю·эLэяэ dюКэШэ &lt;юЎэGюSюЬэІэАэfю°юМэџэыэiюУюжюТюиюRюqяЂящэGюdюиэЛэфэpювюЈю Jя@я}яFяоявяІя—яїя}яHяћяля |4µ 3жяr 3I 3г 3Э 3` 4П 3ц fx4{ 4‚ 4M g‡5™ 4л f…4О 4Д 4Е 3‚ 3… 3p 4И 4s 4е 3y g–4™ 4а 4Ї 4ћ 4Х 4G 4ф 3З 3Z"4В 3D g‘4Ђ gg€gђ4Ћ g5Ц 4} gr4P 4Ю 4` 4й 3Ј 3@ 3± 3  3d 3G 3µ 3T 3@ 3k 3w 3j f‰4B 4Д 3ф 3ы 3и 3Ћ fI"3„ 3ч 3R 35 f„3§ 3Ї 3ј 3h 37 fo3ТяЋяія—я\яzя“яZявю Qяlяtя Hя3яЈюИю Iю4эмю ^ядю [э9эБю 9ю 4юЎэyюЎю 4ю8юxю 4я &lt;яEюcю№ю»ю{яlяњю№ю­юБюЮюшэёюєюxю IяІюЫюмю±юбютю7я^я}яЏяFясюQя”яаюўюжюТю©юЦю‹ю RяeяnяTяXя яЧя¦яЁяПя@ fЉfr3эя ~f|f•ftft3= 3&lt; 3@ 3F 3c 3` 34 38 3v 3k 3G 3? 3P 3Є 3_ 3Џ 3ѓ 4[ 4Д fzgЏ4г 3C 4@ gygЏg}gѓgЏggѓg…gygr4V 4Ќ 4l 4 4Ё 4‡ 4џ 4† 4x 4_ 49 4G 4u 4p 4I g‰4B 4w 4L g‘gz47 gЏgm4ч f4€ 47 g‘gxg“4J 4ґ 3z 3ћ 3Ю 3~ 3h 3b 3r f„3тяыя&lt; f}3ќя„я±яЩя¶яdяjяUя–я„яPяVяQя &lt;яЙюЦю|ю8ю \ю [юNю aюПэ”эrэОэ†эЪэ@юkю4юйэSюYю 4юЩэ Gю =юеэ5ю=ю?ю :ю &gt;ю 9ю‡ю_юёювювюIя‰яГюЋюёю©юpяІяjяLяdяOяРюЕю 6я}яьяЛя©яПявяГяG 3З 3њ 3f 3J 3Ђ 3X f‘39 3i 3@ 3Q 3] 3h 3№ 3Щ fn4= 4_ 4Ќ 4[ 4џ 4¶ 4j 4ў 4т 4и gf5ђ 4› 4e 4Ќ 4O 44 4N 4_ 4_ g’g’4Ѓ 4l g–4d 4q 4K 4P 4E 4c 4p 4л 4e gwg–gђg—4S 4u 4_ 46 4t 4` 4ь 3Ъ f‡4o gђ4[ gЉ4_ 4Љ ggs4Ъ 3µ 3е fmgx46 gf4п fu4с 3Я f{4Ы 3њ 3В ft4= 4а 3M 3Їячящя |f“frf{3P 35 3юяия ‡3m 3g 3x 3Q 3ыя l3ПяЃяVя @яEя—яmяЧюЎю©ю™ю?я‘яЯэiюЖяOя&lt;юUэ Kюzюиэ Hю CяҐюаю„ю·юЂюBю&lt;юtю©юBю=юуэгэ eю8юxюLюЛэ Nюjю“юКюGюFюлюфю®ю}юЗюиюыю4я;я Nя№ю™юnю­юБюОю^яѓяEя IяTя`яtяБя gfw3ќяgяЙяБя‚я|яvя°яёяґяэя Њ3P 3R 3~ 3 3” 3m 3i 3Ш 3З 3» 3ї 3p 3S 3n 3w 3n 3l 3r 3Z 3Ѓ 3Њ 3‹ 3Й 3З fЃggzgЂgu4и fgЂ4Y 4ґ 4µ 4Э go5з 4„ 4H 4ќ 4Э 4¦ 4  4Ж 4е 4Ф 4ф gЌ5G h|5µ 4а g•58 h‚h•5H 5Й 4І 4Ё gv5ц 4й 43 4? 4x 4T 4б 3к 3ш fђg–4ц 3Ч 3X gѓ4Ш 3… 3› 3&gt; fЏ3ыяГя’я°яјя q3”яYя€яcяuяќя@я OяUя~я—я bя ZяГю®ю¶юЎю†юfю ;ю6юtю4юMюЌю =я*ю^яя U*яю bя Wя“ю–юйюЄю±юvю…ю»юою Gя aяЌяхюъю WяSяфювюEя 9я Jя Gя4яDяwя Љ3p 3[ 3J fЊ3Ѕяsя­яЌя±яaя 3Іяaя§юLюђюКюEяѓяЕяжяІягя v3СясяояхяD 3М 3І 3? 3@ 3r fs4Р 3Ж 3F 3гябяЭяі 3ц 3ј 3~ 4ѓ 4k 5и 4&gt; 4G 4ц 3л 3V 4› 48 5c hkh€4L 4J f“49 4\ 3Щ f9яL gths5ЪяL 3D 5џ gp3Х 3Э 4И 3в 3N 4М g”4Ђ fg‹4ђ 3ј 37 3‰я p3“ 3} 3{ fv4” 36 4c 4~ fЏ4г 4З 4i 3] 44 3йяB 3ІяЭю5яtя]яvюXя·я –3w 3µяЮ 3T 3@ 3B f3гяgя&gt;я ~3Пя Gя‚юѕюљю 8я ?яњюџюДю…я§я Eя Cя VякюЌющэGю№юию~ю5ю{ю =юАэ HюcяћяЊяiю®юBярю=юSю™яА 3мюёю¶яF 3щя bя_я_ 3ќ 3ею Iя ’fѓ3єю¬юыю‚яСюыю\юзэ 4я[ю*э 4ю—э Sю‡эPэҐюjюaю Zя €3fюДэ IяЃ 3|яLяvяёя u3«я¦яQ 3&lt; 3Ля Љ3w 3Є frf‚f–3ЖяTя=яйя±яжя ‡3Њяvяьяu 3; f€3T 3щ 3† 3ояю 3‡ 3ЬюРюc 3я 3е 3’ 3™ 3m 4Ў 4r 4¤ gj5О 4а 4в 4¬ 4u 43 4Ѓ 4В 4w gr4Є fn4V 4F 4Ѓ 4І 4° 4J 4R 4h 4З 4w 4Q 4N 4_ g4X 4Я 4М 4й 4Т 4Ў 4j 4O 4` 4„ g’4± 3€ 3· 3  3g 3ѓ 3q 3Ю 3Г 3| 3j 3а 3U fЃ3ояQ 3ъ 3‡ fs3Ыя 3ряуяzяЅя’ 3G fu3зяЯяВяxя vf—3g 3гя{яyя Wя Fялюрю cю:ю5ю{юoю±ююею TяOяuя7я Gя|я®яИя«яOя eяшю Oя Dя`я 6яшюфюЂю 7я4я›яфюЗюXю NяЈя~яУя4я UяБюмюGяІюQю 5я€я:я ?яяЬяrяqюжэuэ Jэoь Hэ &lt;ютэМэ‹э юCя™я‡яРю’юzю—ю‰юQю¶юhя ~3ѓ 3¤ 3‚ g•5m 5џ 5` 5E 5К 4c 5І 5ъ h{6r 5Q 6| 6o 6| 6k i6ѕ 6Ѕ 6и 6Z 6° 5¶ 5Ш 5p 5x irif6S 6х 5c 6| 5њ hl5Я 4f 4u g–fѓ3“ 3s 3Ьяd 3тяШяF fy3С 3h 3‹я• 3a fѓ3vя Kя€яВюIюЙю Nю€э [э„эAюSюSю @юВэђэИэ§эўэUю·ю TюЩэвэљэвьPь“э¦эЛь:эёю¬юBю эQю bю KэЗэ®э Eю¬э Lэ aюдэяэ№ю…яIяЬюќюЦюњюBя`я9я_я§яня †3»я‚я _ящя я;яnяЙ 3Љ 3| 3ў 3‰я`ящяЂ 3y 3Ъ 3Ф gЉ5Ю fl3I 3Ё fz3гя&gt; 3ѕя AяЄю|я|яJяЇя rfЊ3Dя…яSяўя&gt; 3« g‚gi3о 37 g€4Яяѕ 3f 4 4Щ 3з 3хяќяКяйяї 3– f•3p 4“ gЋ4г 4В 4§ 4ё 5ж 5G 5ё 3™ g4Ж 3F 3Ёя„ 3Х 38 fj45 f‘44 5‡ 4; 4Z 4џ 43 4X gyi†5Ё 3x 4ч fЊ3й fh3JяEяЎяЗя›я –3пюияЗяъя\ 3Ю f^яc 3Ј 3nяo fЏf”3ќяК 3¬ 5р 5г 4x 3 яhюью9я–юFюNю«юAю Jэ‚ь¦ь‚ю ;ярюИюф 3_ 3в+я[ 3чяf 3§ 3J 3Cя  3K fr3Зэ Xю`юрюZю Gяиюњяr 3М 3л 3p 3Ђ 3Ё 3q 3J 4n 5{ 59 gs4Y 4¬ 4@ 4P 4b 4» gk4_я @яУя…яkя “3М 3Юяj 3{ 3Мя–я‡я¶я…я4 f?я‰яDю &gt;я[яыюIяёэ4я XяОюДяSя‡яW 3дя ”fgf‰3ея ѓ3&gt; 3N 3Дяfя lf4я dяvя’я^я LяДяЕя €3i 3I 3} 3№ 3х 3Я 3° 3« 3к 3Q 3юяуяпяЩяфя yfz36 3L 3? fvf„3S 3µ 3“ 3? 3M 3M 3T 3R 3E 3E 3E 3&gt; 35 f“f‘fЏf†f…f}f{f~fvfkfqfofj3*я 8"3*яья g3.я</t>
  </si>
  <si>
    <t>ь _э7э `эiэuэhэUэ^ээгэBю…юБюЧючю6яIяsяlяЏяЋяҐяТятяЄяШю Jючэфэпэ &lt;юJю›ю ^я“яХяG 3Ў 3Ю fy4— 4п 4S 5— 5д hЉ6b 6Љ 6Ћ 6§ 6№ 6° 6Б 6љ 6ѓ 6S 66 iuigiv6U 6d 6} 6µ 6Ы 6в igjlj„7Ц 6у 6± 6њ 6K 6? 6ъ 5э 5· 5R 5И 4e 4Г 3Ѓ f‘3щя o3фя k3ьяеяМяЇяЊяyя eя Pя 5яИюwюRющэжэ¶э§э¶эАэ¤эtэ`эjэpэ э”эьэ DюZюuю“юЦюнюшю Xятюћю…юpюUю7ю LюЧэрэсэОэуэ:юQюfюUюЉю‚юrю”юѓююoюYюaюVюzю«ю~ю–юГюїюлювю 3яPя OявюЪюЩюЗюєюХюфюЖюшю ;япюQя Mя@я ]я 5я TяVя CяWя \яiяєяляG 3Q 3‘ 3п fm4э fp4К 3Б 3Є 3” 3} 3ѓ 3 3Ў 3© 3Ё 3Ж 3Р 3б fyg‚4b 4} 4¶ 4Р grhѓ5? 5N 5L 5G 5@ 5&lt; h‰5L hЊhv5л 4ё 4ї 4‡ 4j 4H 4; gЂg}gu4щ 3!4 f4ф 3Н 3µ 3ќ 3c f‚3кя†яAяэю¶ю:ю KюаэѕэќэЄэЅэмэФэтэ Wю@ююґюжюзю 7я 7яPя_я—яЬяТя ‡3b 3g 3• 3Ј 3µ fЋgЂ4m 4v 4Ѕ 4ж g“5Щ 5м hЌ6ђ 6° 6г 6х i‚j‹jjnj|j~jЊ7я iѓjy7З 6Б 6Ћ 6Z 6g 6в 5ј 5S 5э 4А g‡gt4l fЊ3ёяxя^я…я›яЭя i33 3a 3U 3v 3Ќ 3W 3O fЉf“3еяИяЎяiя&lt;я 8яъю·юЫюЈюЕюѕюЇюфюбю 7ялю Cяэю Iя Sяхюмюѕюџю’юtю `ю 7ю Nю `ю dю [юSю…ю¦ю§ю‚юLюWюMюHю}ю‹юкю 9яPяrяЉяЋя Wя~яAяgя^яnяЌяgя‰я_яlяљя€яАяґяПяЫяЫяҐяўяўяiяkя&lt;я aя Nя :яшюиюУюЦюФюиюцюбюЭюЬюФюхюшю ;я 8явю±юўюmюfю ;юИэaэ†эqэoэЊэџэСэ Mю[ю„юЎюЗю KяDя±яшя —3њ 3О f†4Q 4Ћ 4њ 4П 4ъ!4 hfhohЂh…h‚h‰5@ 5Q 5r 5Ћ 5| 5y 5@ 5@ h‚ho5к 4Э 4в 4к 4и 4а 4к 4ш 4х gf5Ъ 4Х 4ї 4§ 4‰ 4T 45 g‡gj4й 3Ы 3С 3B fЋ3Эяўяmя Sя &gt;я{ю @ю¬эgэSэ aэMэ Bэ &gt;эсь Cэ 5э Hэ8эЉээQэ&gt;эИь Vьґы&gt;ыръЩъ [ы=ы[ыPыћыды Yь•ьЧь Aэ TэMээ QюlюLю&gt;ю cюjю:юvюЇю Bяtяфя_ 3q 3ѓ 3Ћ 3ћ 3c 3v 3‡ 3m 3‰ 3µ f~4q 4ѕ g|h”5I 5W 5r 5~ 5к h‹6ы hu6= 6[ 6u 6… 6ђ 6‡ 6љ 6М 6° 6Т irjsjr7B 7U 7P 7] 7u 7X 7[ 7h jЉ7Я 6† 6p 6L 6I i“i”iЋ67 i—iЏiѓi~6Ъ 5Г 5‡ 5] 5у 4Ъ 4† 4l 4у 3Ж 3‹ 3j 3e 3Q f|3ШяІя“я~я ‹3Ќ 3Ія HюOяКя}яPяA 3Чяь 3Щ 3\я]я Ќ3|юјюВя€я {3™я —3qяrяeяФ+ю Iя =яdя _я Jю &gt;я†я KяоэUю :яЌюNю‘юбю¬юЧюНюЌюаюиюОю JяҐя„яGя9яЗюzюФюУюЁюџюѓюDюNюшэтэqю;юџю·ю†ю Oя Dяпю„яnя&gt;яҐяЃяxя 3ея Ђ3: f‹3V 3‚ 3B 3&gt; f†fЂ3ъя x3Њяzя\я Yя3яДю‡ю…юЄюЏю°ю¶юёюОючю&gt;я`яxяЊя­яСя ђ35 3= 3j 3Z 3z 3W 3щяЪяаяЛяЙяОя¶якяЭяЈяґяЋя№яия |fof†3ыяфя 3&gt; 3мяюяАяїяЉяbя&gt;я eя&gt;яtя‰яЌяЈяЎя›я~я«я…яҐяЁякядяля zfЊf’3f 3e 3d 3d 3— 3„ 3Ђ 3Њ 3P f–3эяДяяoя`яbяkяVя Sя 6яхюрюкю Nя Tя9яoя”я¬яШяйя j3? 3c 3~ 3Б 3К 3Л 3а 3н 3л 3а 3Ы 3№ 3ђ 3&gt; 3 3‚ 3л fu4&lt; 4V 4ђ 4« 4К 4К gn5Ю 4с 4Ы 4Х 4ѕ 4П 4А 4  4{ 4b gЂ4й 3Ж 3Щ 3Ї 3« 3™ 3™ 3x 3Ќ 3~ 3Ќ 3ѓ 3› 3S 3 3U 3{ 3z 3s 3b 3J 3хяЯя‹я™я_я`яEя@я Cя Yя 6я OяNя@яZяFя[яІячя: 3b 3ћ 3Ґ 3ї 3© 3З 3є 3Ъ 3џ 3є 3f 3Y 35 fh3ХяИяёяІя¶яеяЯя ofhfk3ця k3гяья {f€f’3P fifЏ3Тя o3їяШяЌяїяЄя®яЇяЩяМя 3ъяd f‚3J 3хя Њ3жяцяЂя‘я&gt;я dяПюзю‘юЇюKю[юЪэ &lt;ю_эєэ4эђэ 7эcэ 9эќэюьґэфэ‚ 3†я ‚9mэE l]ы·ючfтЂ f[ыЈ 4Xь 6ю eя` 3Nэtыгщ =ьA gXяњ 6Х 3цэfяђщ:ыГчмя eьэ 7o 3iюЩ kf4} 5¬ f‡4 7a 4Ѕ 48 5b 5л 4[ k‡mliyl4д 5Щя p7С 6« 6Ы 76 6Б ir6О 3§ k„5e 8j 7“ 4A 7§ 5У 5Є 5µ 45 h„4Т gђ4Б 3­ 4Џ 4z 5ея yix5b 4± 4U 3S i–45 4t 5X 4C 6 4x 4Ю 3і gЊ5B h•5C 5Ю gw5| hlhx5” 4ю 3Y g4G 4ц 3Ћ f“3Ря h3S 3СяJя[яФюия—я&gt;я Rя|ю›ю‚яєэ3яeюRялюэОю Nэ Mю 8э±э_ю=ь¦ьЏыlыЇьЩъsы†ъЬъuъ{ъ aы Eь¤ыGэФыПьЗь`ь =э =эMэdэmэдэ Yю7юxюSю‰ю¶юхю Sяjя”я’я‘яЎя•я­якяцяия ‰3гя9 f‘3b 3p 3_ 3Ѕ 3† 3‚ 3h 3&lt; 3L 34 3I f3@ 3f 3U 3J 3’ 3Ј fh4й 3N gѓ4O 4h 4| 4Ж 4Ф 4Р 4Ъ 4п 4Ч 4м 4е gw5¶ gЂhx5й 4» 4d 4х 3ь 3Л 3Е 3З 3Ґ 3і 3• 3w 3хяеюШюФю Wяcяџя ђ3d 3· 3Ш fh4њ 3g 36 3хя …39 3: 3L 3s 3 3ї 3Ї 3· 3Ь 3г fЂgЋg‡4i 4s 4Ч gmh|hЊ58 5C 5: hf5ц 4ы 4з 4й 4М 4  4‰ 4q 4v 4S g‹48 g‚gy4м 3и 3И 3ъ 3у 3&gt; 4&gt; gЉ4I 4u 4b 4S g—gn4М 3Ј 3® 3` 3g 3] 3U 37 3ья@ fw3I fx3уяАячюќюБю ?яеюPя„я–яюя v3; 3{ 3t 3О 3г 34 4C 4? 4f 4Y 4T g~4о fugl4Т 3м 39 4= 4я 3ѕ 3i fЂ3њя–яAяИюWю eю:юБэЮэЦэџэАэ«эПэЌэ“эЎэ4э JэIэхьаьµь•ь]ьцыёы¤ыёы}ыђы’ыєы™ыЈы4ы XыТъё*ъщкщ‰щ @*щшEщНщ aъµъNыКы‚ьоь]эуэKюГюЄюЏюЦю Cя Rяiя‡яУявяћяzяЭюЮю&gt;ю &gt;юYюю JяЦя‘ 3… 48 5э 5Њ 6; 7є jЃ8њ 8м 8\ 9‚ 9ї l{mЃm‘:@ m€m„m‚mi:ј 9Ѕ 9Z 9? li9ґ 8n kЏ8Ѕ 7; 7з 6X if6ђ hЂ5Ц 4§ 4I g‘4Л 3± 3{ 3I 3ыяИя·яrя\яAя \яLяOя Xя =яоюИюХюКюМючю @я FяIя bя =я Cячюэю _я Tя [я=яVяЉяЁяњя·яПяЭяТяЙя·яМя°яЁяўяЕяВяЧяЗя ’3дяF f‡37 3w 3T 3‚ 3_ 3M 3U 3d 3s 3Q f‹3ОяXяЎю*э|эCэ NэQэrэьэ6ю Vю &lt;э&gt;ы‰ъ”ъqы8ьОь\эМэpюЁю :я3яiяђяќя†яЂяJя eя ^я UяGя5яiя‹я‹яАяsяАю”эњэsюшюяэяB 3» 3щ 3м f‹49 4Й 3¶ fsgk4m 4А 4и 4ш gЋ5n 5„ 5У 5е 5™ hz5{ 4б 3И 3љ 3‰ 3Ѓ 3a 3J f~f†3ья§я PяЌю—юћю®ю—юjю Mю Nю\эfэRэ ;ю‚э Sятю Sэїя `юШ 3=ю aяW 3@я‹яOюДяTю“э BяЃюiяРя Xя­ 3R 3e 4J gv5= hЉh‹6н 5T ig6ћ hj6С 5ы i{jm6© huiv6? iv6њ 5L 53 ho5P 5ћ 4e gЋ4І 3§ fv4s 3Z 3@ 3– 3J fђ3ыя p3¬яRяlя7яwя·яїясяДя|я…яnя TящюмюuюlюQю 9юЕэµэ·э¦эkэ_э Tэ Tэ dэБьіьUьgьQь Oь =ь bь8ьКьжь &gt;эть :э @э 5э Hэ7эcэ®эПэKюsю®ю ?яnя«яСя lfЂ3gя”я n34 3H 3= 3И 3ѕ f‘4[ 4€ 4Я 4ч g‘53 5T 5O 5™ h‡5ѓ hy5ы gЌh’5{ 5њ 5И 5© 5ї 5… 5b 5„ 59 5n 5T 5¤ 5« 5‹ 5э 5О 5х 5м 5ю h‚6U 6b 6o 6e 6t 6u 6Q 6Q ix6о 5ф hf6“ 5c 5ш 4У 4ќ 4¦ 4t 4P 4Љ 4= 44 g–4N 4@ gn4П 3¬ 3џ 3љ 3„ 3u 33 3@ 3кя ~f“f{f{3Ря 3шяаяя”яДя¦яёяТяИ+яЫя kfofzf€fn3ряЦя¶яuя‚яoяuя™яzяњятяЩя Џ3Хя ~3B 3} 3џ 3“ 3 3} 3» 3f fЌ3ъя ‰3µяoя _яЙюсэяэ 4юяэ =ю 9ю U*юэ6юSюvюrю IюzэzькъСщюшјш[щ Aъ 6ыЙы‰ьЃэйэ§юСюrяЂя­якя †3@ 3‚ 3k 3Ж 3ї 3М 3Р 3Ь 3Й 3~ fsf”3ЩярявяМяAяяГя q3r 3З fЉ4h 4й 4а g58 5v 5џ 5б 5й 5Ж 5Я 5в 5‚ 5p hЋh—5У 4€ 4D gЃ4З 3ь fЋg{4} 3W 3~ 37 4G g~4й 3е f4п 3у f“4` 4џ 4¤ 4‹ g†gh4р 3N 4Q g•4Ґ 3юяC 3C 3P 3Оя—я¶яЮя rfm3ая°я­яЬя№яzя яfяuяQя&gt;яhяaя«яPяeя dяъюяуюдю@яOяъюbюЧю Wя Wя 8яќюєю“юнюґюЂюWюdюfю Uюйэ¬э_э dэ…эMэ€э¶эИэ4ю‘юЅю©юrюЈюмю 9я =яЇюјю­ю¶ю€ю DюіэґэЈэ°э™эMэ&lt;э Lэ7эRэ3эqэcэ›этэЭэЕэ :ю9юЏю¦юNюјю Nя Vя\я™я…яkя r3ия6 3‡ 3В 3л fj4R 4О 3U g€4Н 3@ 4х 36 4» gЏ4w 4Щ 4« 4В 4ъ g–57 h‚5` 5? 5­ 5Y 5Q 5L ho5э 4ч gnhЂ5с gy5р 4ъ 4± 4а 4Д 4ћ 4« 4a 4K g‡g{4и 3р 3Щ 3ц fh4M 4: gng•g€4&gt; g4ъ 3к f‚4х 3я 3ц 3ь fvg…4; 4N 4m 4? g’44 4N 4¦ 4Е 4Ф 4Т 4Э 4Р 4К 4Т 4ј 4Ф 4• 4Ґ 4ќ 4– 4— 4h 4V 4J 4D 47 4ь 3В 3¶ 3Z 3; fs3®яЋя?я Hя 3яХю–юWюоэЖэ­эhэyэIэ:эQэAэNэlэ{эЇэаэ Gю QюUюkю{юaюgю _юVю5югэdэљэlэIэ9эяь Tэ Gэ Zэ Xэ eэlэ¤эоэхэ 8юCюЄюЭюAяµя p3z 3· fЏ4\ 4– 4и g€56 5s 5A 5ґ 4м 3Д 3Ї 3Ж 3м 3т 3ц 34 g~4ю 3D gz4H 4y 4m 4і 4њ 4Ў 4љ 4~ 4g 4V 4? gЊgx4ь 3µ 3е 3€ 3© 3c 3i 3ияНяЏяоюnюєюўюРюAяmя cяMя[я&gt;я5яЖя kfp38 3O 3I 3Хя«ягя”яія№я‰я°яtяqяЄяaя°яТявяЩя nfђ3H 3L 3‹ 3Џ 3Ъ 3ц f„4O 4} 4Ь gvhp59 hЉ5P hth‚5л 4х 4Ј 4Й 4‰ 4{ g’gЉ4я 3« 3ђ 3d 3\ f‚39 fsf€3дяйяЭяџя„яVяXя Jяjяњя›яТящяьяV fѓ3K 3L fЏ3N fЋ3k 3V 3U fЂ3эяX 3Б 3• 3д 3џ 3и 3Ъ fs4Ћ 3Њ 3g 3[ 3: 3M f“35 3H 3O 3A 3Q fЏ34 f3V f‡ff†ffђfQ"3ыяўя“я®яљяђя’яGяcяBя9я ^я OяЗюЭю…юЋюЂюdю}юuюAюbю]ю`ю}юxюю‹юyю”юЉюћюЌю„ю–ю»юЗюOя</t>
  </si>
  <si>
    <t>RI*F Az!3WAVEfmt †C"3 gfg3Ђ&gt;"3}!3 hfv3dataкy!3 mfn3S 3k 3~ 3П fwg}gѓ4^ gtg“4K 4a 4t 4: 4э 3` 4 4® 4M 4‘ 4= 4s 4N 4@ 4Ь 3Ч 4_ 4H 5^ g‚5] 4a 5№ 4т 4Д 4x 5Џ gx5[ 4­ g4D 3ѓ 3ья Љ3a 37ю}яLяию Jяsюмюёю Hю eяЎю®юЛюЖю Mю Fю­яVюъюHюVюҐяВэ„ 3=юУяЎя 8юЮяФюhяl 3БюVя&gt;я ~gNя†яЂяЮяN 3Гюћ 3&gt;ю|яo 3Шю ‘4Љя¤ gVяҐяЕ fЂ3Ъ 5м 3Е fx9ёью 3M 3pюj 8X 3p 6сяї 4= 4\ fnj€hm5; 3Ћ 6Ъ fѓ5К 4¬я ”5« 5± fui6п 4… 8NяЩ 5Бя… 6iюi 4cю j85 i^э¤ 4Аы› 5KяТ 4Еэ ZярэЦюnяєяЅ 4у*эячэБяЇюйэћ 3€эCяЛяqэЏ 3;ь=юAюйь 5юцэЏю•юФьiюЧь©э®э]эзь3эТэxю=юзьЅэ HэЌя [ю±ю 7ягю‡яРюДюмя№юeяНюИю ѓ4|ь_ 35юзягяИюию Wю• f_юњ iCьл 4–ю{ю”яњя_эzэ;яZьЦяJэ=яuэЪюлэ7яµэfюЕэЈэџюБэ _юhю EюўюЫюDюН 4ыьфя7яѓяСяУ 49яДю„ 4Цю9 4“ 3Щ 4H 4— 4ь 4д gj5і 5° 4Я g“g”5] 4Ђ 4з 3т 3U 3z fЋ3i 3 3I 3‘ 3© 3ф fngЂ4“ 4L 4‰ 4Q 4Я 3Џ 3ћ 3W 3w f”3C fz3ћ 3Вя&gt; 3јяЖяg fMяжяИя †3z 3w 3: 4х 3_ 4Х 4е 4’ 5М hu6н 5!6N 6ы 5и 5ѓ 5T 5K hЊhxhsh5q 5М 4Ў h’5• h~hђ5Ц 4ш 4с 4з 4І 4В 4i 4Ї 4њ 4б 4· gu5§ 4± gs5K 5Q 5а 4Ѕ 4¶ 4\ 4 4T 4Ј 4\ 4¦ 4Ъ 4Ф 4e 4Р g–4Ч 4I 4  4® 3G 48 3[ 4zяї 3Ћякяj 4kэq fWюЖюҐярэЯэ Yю5эЯьўь Iэ ;э=эФь°ы Hэ EьLь Vюќэ Lэ Hэ Cю YэMэZэая¦юшюЊэ &lt;ю Eю·э3ю\юDюQюНь&gt;эwэ=ь®ь 5ь KьБьYэkэіэбэ`юмэЊюgяю Qяќя k3И 3– 3т f„44 g•g•4&gt; 4а 3А 3ш 3¬ 3ѓ 3› 3Ђ 3\ 3¬ 3Џ 3c 39 3S fj3† 3Ґ 3К f†4~ 4W 4Z 4— 4І 4z 4W 4q 4† 4 4‘ 4‰ 4“ 4є 4Ѕ 4Д 4ц 4г gs5Н g‡5І gv5А 4^ 4? hf54 h‰5… 5” 5¬ 5° 5Ћ hѓ5N h|5A 5б g|5С 4 4ї 4~ 4’ 4A 4= 4P 4Б 3ў fђ3»я•я{яHя XяРювюµю‹юpю aю“э‰э_эщь 3эбьЎьЈь \ь @ь{ы…ыwы VыћыfыыјыЫыгыMь\ь‹ьВь ;э3эЏэЁэЗэ aюYюЙюмю;яГячяZ 3~ 3­ fq4r 4` 4™ 4е gf57 huhЂ5Э g—5Ъ 4L h”5к gnhw5з guhx5б 4ц 4щ 4Е gohv5п 4ы 4ж 4ь 4џ 4™ 4Ф 4g 4™ 4L gg€4п 3п 3© 3Г 3° 3Р 3° 3‘ 3ђ 3љ 37 3@ 34 3t 35 f‰f‚3ая nfЉftf†3уяуяНяЭямяцяЦяёяcяЗяµяќяђя†яmяaяjяъюТю—юJю Rю№э…эяь BэјьїьВьШьМь =э 3эДьКьсьльЖь®ь›ьЋь„ь’ь‡ьУьіь ьГь Sэ &gt;эjэkэ3э‡эbэQэUэћэМэ 4юnюЖю3я‰яЪяD 3† 3ъ fm4} 4v 4Х g„hЏ5_ 5„ 5’ 5х hЏ6&lt; 6• 6r 6Џ 6x 6” 6V 6с 5В 5z h‘5я 4• 4Q 44 4О 3¬ 3I 3Ля ‡3: 3‚яСя’яєяИя`яJяљяoя =ясю­юЧю Eя cя…я®я j3K ffpfu39 3X 3± 3ё 3– 3† 3Ґ 3M 4{ 47 5R 5G 5| 5– 5Э hЂ6O 6~ 6ћ 6¬ 6Ґ 6Ж 6Г 6Р 6В 6Z 6ф 5p h”hq5ќ 4~ g‡4а 3T fv3Уя«я я¶ятяся qfl3V 3К f’4® gЋ5ў 5є h{i€i—6= 6C ir6щ 5ї 5| 5„ 5V 5L 5Я 4е 4„ 4W grg~4М 3› 3p frft3ЯячяОя¬яАя‘я“яјяБядя lfg3шя tf{3ыя m3ШяЗя’я‚яXяEяbяqя‰яњяqяЎя«яjяЌя€яoяyяЂяWяmяTя[яvяiяCяdяCяIя Wя _я @я &lt;я ?яИю|юЌюdюHюУэЗэ±э‰эИэХэЖэ®эГэ‰эҐэ¬э¶эЯэеэ Lю aю ^ю9юJюKюQю 8юtюaю™ю¤юЕюЫюпюшю eяrяєядяыяМя–яЈяXя`яAяQяQяFяfя}яЉяНяШяъя pf…fЌft3вячя7 3M 3Љ 3ћ 3‘ 3И 3¶ 3й fy4Ц 3К 3Ф 3ї 3q 3x 3a f‘fw3оякяня nfj3юя v3ъя jffhfЉfqfqfjf}3W 3G 3k 3` 3J 3c 3@ 3D 3A fftfgfj3юяхя wfr3; 3D 3[ 3G 3J 3‹ 3Љ 3ћ 3В 3Л 3Ж 3Й 3Ґ 3† 3» 3• 3z 3r 3i 3: 3A 3ряЏя Nя VяGя Zя@я dяbя_я¬яѕяЗядяцявя r3бяФяОяхяУязя o3шяжязяЫяВяМяґя{я^яGя ^я Tя 9я Uя Gя LяоюрюЩюµюЋюwю FюџэnэЭь]ь{ььvь”ьЁь¬ьФь ?э MэJэЂэЗэвэKюEюОюЩю Tя&gt;яRяeяdяPя Jя Iяъю Iя Uя Eя Hязюъ+юМюјюЖюЇюЙюЯю Lя Aя=яJя|яяНяйя €33 3` 3G f“f|f{fЉf|f…f“3L 3\ 3U 3o 3r 3m 3} 3j 3Њ 3m 3ў 3Ѕ 3Г 3щ fogЋ4: 4\ 4  4њ 4Љ 4” 4~ 4k 4† 4z 4… 4• 4Ќ 4q 4¤ 4ћ 4р g‚58 hђhsh…5F 5” 5l 5† 5ґ 5Ћ 5Ђ 5§ 5¬ 5Л 5Ё 5Ї 5 5В 5t 5” 5‹ 5^ hl5ё 4Щ 4Ќ 4„ 4j gy4Ж 3} 3o 3O 3V 3e 38 3n 3ў 3Њ 3· 3п 3е 3т frg|4ъ fvg„4м fl4щ 3ь flgp4в 3н 3а 3Х 3¬ 3Њ 3l 3Z 3b 3` 3@ 3C f}fѓ3ьясякяся h3Ѕ 3¦ 3w 3J fz3МяЖяЗяУяея3 3F 3ў 3ж f”4M 4&lt; 4k 4[ 4” 4ђ 4z 4њ 4– 4ѓ 4&gt; 4М 3h 3Г 3‘ 3‰ 3ћ 3ґ 3« 3Ґ 3w 3‹ 3V 3g 3A 3мя fkf‡3Хя Ћ3; 3юя ‘f{34 3I fЌf3щяЪяця«яљя|я Iяєю®ю Tю:ю Fю Cю Rю aю &lt;ю6ю :ю Pю 7ю 7юлэОэЯэ·эМэУэЭэ 9ю 4юRю SюCюcюjюЎю¦юѓюjюNю4ю Aю 3юОэЗэ—э–эWэkэPэmэkэ8эkэЂэБэ 5ю cюtюђюОютю ]яAяrяЄязяЦя Љf—3f 3Љ 3‘ 3ќ 3І 3н 3р 3б 3У 3й 3ф 3л f‚gigyg„4&lt; 4E 4K 46 4V 4: 4^ 4x 4ћ 4‰ 4© 4Ћ 4‚ 4‚ 4Љ 4{ 4k 4W 4H 4Т 3h 3МяДя‘яЈяґяєя“яІяЙяИяЦя k3тя@ 3e 3§ 3¶ 3Т 3Ч 3е 3ф fЏg”g4B 4@ gЉg~4б 3й 3у flg…gЌg‚gu4р 3» 3] f‹3Ояўя‡я|я{я~я†яЖяДяЎяья z39 3p 3m 3і 3• 3­ 3• 3| 39 fw3ляБя›яђяuя–яЇявязя •3A 3_ 3€ 3{ 3Ѓ 3r 3E 3&gt; fi3пяІяряДяїя°я‰я{я›яќя±яМякя kfЏf‰3P fЋ3N 3: 39 f“3] 3&gt; 3D f€3U 3; f‹3чя n3Ўя’яQя_я?я ]я;яlя}я№я—яПяЬяЮязяня qf‹3ця w3тябяея g3ЗяфяєяЙяЈяЧя¦я•яuяrя]яяmяµяУяояХяG 3I 3“ 3l 3ў 3У 3Ь!3 4E gyg‡4ш fЉgЏ4` 4E 4s 4G 4L gw43 g{gЉ4я 3р 3ж ft4± 3з 3ї 3Ц 3™ 3® 3‡ 3” 3m 3• 3i 3Ѕ 3Љ 3» 3™ 3§ 3… 3¶ 3 3› 3r 3• 3^ 3| fЉf„3ёя©яlя¬яUяOяжюсюwюІю Xюqю»эъэ‡эїэfэ†эxэЅэ}эїэ“э `ю:ю’юЙюCя:я[я¶яДябя x3zякящяt 3·яШяРяхяrяЮя Xя8яЅюзюШэCюЧэtюyэДэ VэПэУь&gt;ю]*эюgю p4џ 4Г 4KъВ 4¶ч± 3‡эДэІэ ?юћя 5яЮэЯэЃя®юэячя  3ЅьЇ 5JщФ 4mыЄ 5љэNяџ 4ьщG 5 я4 8V 3h 5\ 8Юю¦ 6‰э• gTяn 7t 6№ 5O gui‡3Б 5ј 3© 4z 4Э 4h 3” 5щ 4{ 4J gs4N 4] 3¦ 4с 3` 4` 4Ў 3ъ fs4s 4Т 4B 3ў 3J 4‹ 3 4U f‘4ў 3@ 4ї fЉ4вя‹ 3гяH 3»я ’3G 3Йяg f‘3 3J 3} 3V 3f 3Д 3К 3х 3Щ 3„ 3X 36 3ляЪяЦяЪяЎяШяђя] 3ъяh fЏ3h 3Z 3] 3  3• 3ё fЃ4: g}4I 4] 4о 3§ 4р 3I 4k 4о 3{ 4н 3л 3F 4у 3= 4P 4Q 4~ gЏ44 4O g‘4| gpgmgwglgz4ъ 35 4Ђ 4` 4q g‘gЋ4у fђ4О 3о 3Б 3и 3Ґ 3Г 3l 3_ fr3Оя Mятюlю Qю‰эDэжь~ьVьуыЏыџы±ыИыїы QьjьЖь Kэsэ­э =ю3юmюџюйюЪюыюДю EяLяЄяєяжяпя xf’3B f‘3W 3x 3’ 3Ѓ 3Ч 3Й 3л 3ш 3? 4Ш 3н 3ф fzg}4T 4f 4p 4T 4q 4J 49 4f 4w 4? 46 4T 4‰ 4‰ 4Ї 4Ю 4г 4з 4х 4Р 4С 4Ы gu5у 4Д 4› 4Ё 4s 4h gw4Е 3Ш 3Ћ f•fs3ЧяћяPяйюmюѓюDю aюУэҐэ’эЋэeэrэ9э ^эюьжьПьѕьЅьЖьФь 5э Lэ ^эXэIэsэ’э¦эёэСэ 9ю&lt;ю]ю±юЁюёюНюжю 8я ;яZя“яЅяея „fЌ3= 3m 3t 3_ 3† 3Y 3‰ 3d 3¤ 3Ђ 3z 3_ 3Љ 3l 3Љ 3S f–3D 3\ 3e 3— 3Є 3М 3Б 3о fng‹4S 4` 4s 4r 4v 4Џ 4ђ 4‚ gЌ4х 3а 3л 3О 3ж 3О 3С 3Н 3и fkgvgmg’g†4] 49 4u 4j 4U g‰4u 4E g„43 4Й 3К 3ю 3В 3б 3Е 3Л 3џ 3y 3‚ 3m 3_ 3 fЊ33 34 fЊ3няфяЖяНяsя|яEяью№ю»юѓю\ю Zю Sю*эЙэ•э`эDэCэ Tэ QэиьИьYьHьPьnьЉьЩь GэiэґэсэJюgю’ю|юaюtюqюНютюfяЈяЙяуя {3= 3: 3? 3[ 3n 3V 3q 3r 3w 3Є 3­ 3µ 3Ы 3Т 3ч f“gЌg–4Z 4x 4  4џ 4Г 4Л 4у gЋ5у gihЃh‡5Я gzhxh€h{hzh’hph‡5X 5z 5— 5В 5б 5Ч 5Ц 5ћ 5Ы 5Е 5ў 5п 5± 5Т 5Д 5m 5= 5Ю 4» 4s 4V 47 4Ѕ 3p fЋ3Чя”яbяыюµюЉю{юLюwю”ю”юНюиюУюЧю 9я 4яYя6яђяЈячя u3A fЉf…fw3—яБя †3тяьяая |fh3уя “fo3фя –3 3^ 3’ 3И 3с fjgq4 4“ 4Ќ 4њ 4Ѕ 4№ 4У 4Ъ 4Н 4  4y 4H 48 4ї 3„ 33 3ля¦яяdя8я &gt;ядюїю–юxюiюfю aю Lю 9ю MюьэЩэ 6юрэпэ aюpюДюою Pя5яiяѓя}яњяУя pfn38 3{ 3ё 3м fs44 4‹ 4f 4‚ 4° 4љ 4В 4о 4С 4и 4Ф 4в 4µ 4ґ 4Ј 4¦ 4– 4… 4W g–4ы 3Ы 3Б 3‹ 3T f|37 3@ 34 3Y 3z 3m 3X f…3хяоя—яaя ]я’ю bю 4юЩэНэЌэѓэjэXэlэaэ`э`эhэgэlэ‰эєэВэЬэ 4ю Vю5юTю„ю»южю QятюћюqюWюWюyю•юѕюЁю·юvю‹юmюxю|ю№юСюуюяю Cя Pя8яIя`яgяWяvяќяjяHя Vя =я ]я3яJя™ягя7 3X 3љ 3› 3Ї 3ѕ 3’ 3„ 3‹ 3Г 3ж fm4ъ 3Q 4Ѓ 4• 4Ћ 4А 4љ 4Р 4й 4Ф 4¶ 4Г 4Ъ 4р 4б gqh…5M h–ht5З 4Ќ 4O 4s 4_ 4| 4џ 4є 4и 4о gzh’5P 5џ 5ѕ 5© 5ў 5› 5} 5ѓ 5K 5] 5Щ 4ї 4Њ 4j 4W gx4М 3» 3Ж 3і 3© 3О 3Н 3Х 3А 3К 3є 3¦ 3№ 3§ 3§ 3l 3J 3m 3ґ 3М 3С!3 4с 3ю 3я 3т 3д 3э 3Ъ 3й 3Т 3Ъ 3а 3Х 3З 3б 3° 3µ 3ё 3з fx4; 4l 4I g‰glg‹g•47 4A 4f 4K g„4Ю 3‚ fl3‘я NяТюZю 4ю”эDэЩьђьxьwьіьіьйьъьПьгь 5э*ь&lt;эгьЪьь :э5э_эDэbэXэ Aэюь¶ь•ьjьЉь{ь№ьгьжь NэRэbэeэЉэџэФэ Tюiю›ю QяeяОя y37 3Њ 3¤ 3¶ fЃ4= 4= 4e 4“ 4Њ 4› 4ћ 4¶ 4Њ 4` 4y 4| 4R 4| 4g 4k 4i 4Љ 4‰ 4ђ 4… 4j 4k 4„ 4µ 4» 4П 4Д 4Ц 4ё 4ћ 4f 4\ 4K g‰4ц 3й 3Т 3Ш 3Е 3К 3· 3Б 3© 3“ 3_ 33 f{3ПяЙяuя EябюЧю AяPя›ятя7 3 3Є 3­ 3Ѕ 3С 3Я 3И 3µ 3Ґ 3† 3‚ 3e 3[ 34 f€fv3ХяОяЈяђяbяkя NяЧю Oя eяню°юЫюфю `я@яDя ZяKяXяDяlяJяXя}я”я я–я¬яіяќя–яyя‰яњяЄя®яќяЌяяµяХявяыяюяня&lt; 36 3[ 3Ђ 3‚ 3_ 3› 3Ч 3b 3¤ fЂ4f 3[ f‡3j 3Й 3G 3h 3| fѓ3W fvfЊfjf‡fЊ3ця¶я”яХяоябякя‚яІяІяџяУядя3яOя&lt;янюЮю Dя4я dя Zя^яNя3я RяЂяYя \я aя Eя7я Eяѓю‰юeюbю [юєэwэ?э &lt;эОь 7э ^э Oэ7э|э…эµэаэкэCю·ю Rя‚яљя—я|я5 3® 36 3@ 3v 34 3E fЂ3o 3r 33 fѓ3p f‡3H 3G 3~ 3– 3Љ 3^ 3ея] 3љ fk4т 3F 3[ 4Д 3¤ 3n 4к 3у g}5† 4{ gЂgЏ5j h|5і 5у 5T 5e 5n 5e 5є 5љ 5Ќ 5Г 4l 4Ћ 4s 4· 3‰ 3эячямя s3зяWяQ 3њ 3ћ 3ђ 3ј 3ь 3г 3Њ 3Б 3l 3Н fzg€4” 3м 3\ g‘4K 4= 47 gЊ4С 3н fh4њ 3q 37 f’fp3Цяёя‚яk*яюТюЕю{ю•юtю3ю YюіэҐэDэ Lэ Rэ 8эіьћьҐь­ьµьЕьСь 8э aэ^эrэЂэ§эжэ 5ю6ю«юБю TяЃяЈяія№ябя m3щ+я zfx3*яюяхя t3J 3U 3n 3s 3Л 3ъ f€4X 4Ђ 4Њ 4П 4б gzhѓ5r 5^ 5i hЋ5д 4Є 4§ 4» 4© 4 4– 4n g}4н 3Ъ 3а!3 4C 4B 4E 4_ 4l 4i 4~ 4ґ 4° 4Х 4» 4Г 4Ќ 4Ќ 4c gtgn4§ 3O 3тяХяrя NяОюfю Bю·эwэHэ CэхьуьyэКэTю‹юШю IяCяЏяЄяЩяжя Ќ3O 3 3› 3 3Щ 3т fЉgz4H 4A g”g}4ю 3я fq4ж 3О 3А 3Х 3г 3з 3и 3ц f{g‰49 4K 4p 4‹ 4• 4” 4Ќ 4l 4s 4| 4S 4K 4L 4U g{g„g4® 3k 3J 3L 3R 3d 3” 3Љ 3њ 3o 3R 3[ f“fЋf‚f–fЊ37 fђf†f‰3*яВяџяZя–яHя 6я XяDя_яєяXяяhя›я “3D fhfo3Чяця ѓfЋf‹3@ 37 3z 3p 3q 3N 36 3kяЇюУюcяB 3Ґ 3n 3e 3{ 3e 3Y 3» 3В 3F 3Z 3D 3ФязяняЈяwя*юЕюTю=ю Sю I*юэшэ•эtьЁыMыQыЕыFь«ь ;эмь Uэ\э€эоэ MююЩю bяsяюя’ 3я 3O 4Ц gЏ5n 5И hin6ќ 5ж 4| 4n 4о 3~ f’fq3 3О fkgg‘4t 4 4ѓ 4… 4„ 4В 4ї gkhj5O 5 5~ 5W 55 h{5э 4и 4Ч 4љ 4z g‘4Щ 3: fw3Жя›я‰я я›яЅяья —3E 3W 3f 3r 3t 3t 3X 3X f}3зяФя ђ3Џ 3П fo45 45 4? gђg4S 47 4= 4щ 3с 3О 3‘ 3g ft3пяґя}яCя 3яЪюpю­ю]ю]юјю dюЎюДюзю ZяKяxя°яЏя‚яrяHя@я‚явю Sяlя&lt;я6яXя ]яЯэ9я &gt;я…ю Nю 8я &lt;яПюКю№ю ;я Tя6яNяєю|яЗя‘яZяIяЉяkя„я№я y3k 3[ f3R 3: 3l 3l 3= 3z 3t 3b 3‚ 3Ф 3Х 3ф 3В 3— 3V 3І 3Ф 3Й 3Њ fЉ3ўяЬяжя Њ3F fnfЉf”f†3` 3Ѕ 3Ј 3g 3D 3@ 3C 3p 3l 3T 39 f~3Юя{яtяTяѓя^я Vя Qя VяуюFяNяFя ^я Qя Oя &lt;я 3яуюћюџюЫювюжюмю &lt;я 7*яю ^я5я8яeя~яjяXяGяFяCяfяkяpя~яYя^я ?яфюбюїюљюѓю©ю»юею 8я &gt;яGяIяoяѕяВяјя‘яњя’яќя›я†яzяЃяfяqя~я}я¦яФяия7 3M 3N 3w 3Ќ 3Ў 3Я 3Ю f‡4S 4Љ 4· gD"5 ѓh”59 5Е 4ш 4ґ 4« 4г 4я g}5® 4Ю gЏ4к 3T 3C 3±яЇяYя Tя Nя Iя›юю^ю©юСюDя eя_яdяcяUя@яMяgя±яµя¶я±я hf…3F f‚3? f|fЊ3ыяСяГяґяРяаяэя …3T 3 3А 3Щ 3? 4u 4ў 4ў 4_ 4K 4S ggѓ4н 3Ъ 3І 3В 3б fЂ4ш 3&lt; 4O 4Ѓ 4Ё 4r 4‡ 4‚ 4Ђ 4Є 4Є 4¦ 4Џ 4† 4Ќ 4; 4] 4@ 4F 4ъ 3Ѕ 3n 3Ся ^яАюМюдюую Hяdя™я u3Y 3† 3Л 3у 3ю 3я fog…46 gЂg~4Ш 3ґ 3Ѕ 3ћ 3e 3Y 3U fЃfs3їя}я6я*юИюЌю]юiю}юҐюую TяKя‘яРя qf”3b 3Ќ 3‹ 3ќ 3‡ 3t 3} 3ѓ 3I fђ3Юяуя·яўяtя¬яwяAя U*яюїю{ю PюмэЇюдэ;ю OюNю\юыэ _ю &lt;юНэвэMю]юgюuюѕюЮю LяPяoяЁяёяШятя o3W 3ћ 3Ъ fqg…4G 4e 4g 4j gj4ѕ 3¤ 3\ fЃ3Яяґяkя `яаюсю Aя Rя Mя \якюОюЮюью RяGяUяЌя я®яеяхяЯяояйябящя mf–f–fЂfq3зя¬яuяPя [якю®ю•юЧэ—эrэ&lt;эAэ Nэ}ьLь\ь Zь Nь YьGьzьѓьjь Jэ©э 3ю Xю”юCя¬я „3‰ 3х 3\ 4› gy5Y 5Ђ 5’ 5!6 …6B 6S 6® 6Я 67 7a 7ц 7У jЌ8• 8П 8ы!8 9Л 8ў 8k 8S 8я 7Е 7ѓ j–7Д 6W ii‚6Т hu6Д 5И 5¦ 5™ 5h 5d h5Щ 4d 4ѓ fLяґяnя¬я l3@ 3’ 3Ф fЏ4H gxg”4н 3ђ 3x 3~ 3l 3• 3° 3Ѕ 3Е 3Ы 3С 3Ј 3M 3ШяЛя gfЂ3Ця®ятяояеящяmя8я@яъю Qялюy 4ЏяЭюQюЈюUяVюvю LюфэAэИэHэйэ]э’э’э=ю `юЃю¦ю‚ямюHя 6яѓя«яC fЉ3Ј 3” fЊ3йяѕя”яЉяqяvяhяeяљюцэЧэ 3ю 6юmю]юию Iя^я]я{яLяlяЇя©яШя ‚3f 3№ fЂ4r 4Т 4з 4т 4G 5x 5Ћ 5” 5њ 5Є 5џ 5ђ 5b 5G 55 h‚hk5Ъ 4Ї 4Ѓ 4Q 4Х 3&gt; 3Ая“я~яxяDя:ящюцю±юGю Wю»эgэCэqэ»эўэґэЈэїэОэйэыэ Qю XюQю’ю‚ю§ю­ю¶юЗююќюЃю‡юWю‚ю—ю6ю‹юdюўюjюЉюЁюѕюРюШюКююbю 3юГэ„эFэ ]э PэYэфьWэeэјэиэ:ю `юаюхю eяYя•я3 f‰fѓ3b 3Д 3Л 3X 3t 3У 3ъ f—gk4Ь 3Ю 3¦ 3Л 3Њ!3 g‘g”gЉ4§ 3ч f–4T 4b 4k 4X 4¤ 4­ 4‚ g…4ц 3А 3Ч 3њ f„3І fЂgw4о 3r 4Є 4Ќ 4~ 4e 4| 4p 4• 4N gѓ4Э fh4є 3` fm3ЧяhяКю•ю Lю Fю ]юBюqюѕюGяњяІяля h3] 3p 3f 3F 3± 3Ц frg4P 4n 4† 4ѓ 4ї 4Ъ 4Ю 4о 4к 4Э 4Э 4ь 4Ф 4Й 4Ф 4у 4У 4Л 4д 4г 4• 4q 4` 4G gs4Ш 3• 3Ѓ 3M f{3цяѕя—яEя?я Jя&gt;я bя Tя Yя ;я Eяцю 6яію @я Dя№юЅю Jя‚юзэLюtэЅю bю Zэ LюVэyэжэЉэЗэ@ю{юNэeэмэ|эЗэ &lt;ю9юЯэ:ю JюLэТэ Uю 9юЬэ [юGю‘ю?ю aюzю“юsюЉю Bя“юxюvю юю“юАюDю•ю}ю—юіюкю Uя;я Lя cяLяtяqя—яїяйя Љ3D 3[ 3w 3є 3› fЊ4Њ gw5} 4y 4N 4C 4k 4q 4&gt; g4i 4В gl5ж gl5^ 5Ъ 5· hЂ6q 5V 4и g€h—h•5Ь 4Ѕ 4± gsh}5Ц 4W 5П 5И 5¶ 5V h’5‰ 4‚ 4!5J 5‘ 5Ґ 5] 57 5з 4і gЏ5? hz5й 4« 4p g“4ф 3њ f3їяђя•яКяБя°яnяwяdяfяWя Mяйю’юLю Fю Qю&gt;ю|юїюПюоюцю aя Tя Nя `яYя™я‹я®яТяЯяьяпяця if3; fѓfЉf~fЏ3F 3_ 3‚ 3† 3¶ 3 3љ 3ѓ 3° 3• 3ќ 3Б 3Ч!3 4&gt; g•4Z 4M 4f 4g 4C 4N 4к 3Ъ 3§ 3” 3x 3Ў 3Ґ 3Г 3Й 3с fg‹g“g”g‚gt4н 3Ѕ 3љ 3‡ 3b 3R fЉf|3ћяђяBя =я·юМюбю¶ю¶юјюІюіюіюІюЙю»юГю®юўюЕюТюїюМюЄюТю±ю»юЩюб+ю Bя Rя^яfя­ямяся jfz3ья s3фядя«яџя©яyяIяLя9яBятюмю 9я Rя Iяsя cя5я RяIяIя|я§яЈяя„я–я m3X 3Ф 37 4™ 4А 4к gu55 5E 5 5i 5њ 5W h‘5Ю 4Ѕ 4c 4ъ 3x 3b 4C 4¤ 3~ 5}ыЙэ ‡:­ч t4UэУ 4Іь} 3ЈюiэS 4«эeюTя–я[юЋэ w3Ью–яP f}37яL 3M 3ђю©я ђ4rя cэ ‹g‘3П 4u 5M 3єя o6пяЗ i[ю ‰5зяЯ 5пя3 hѓ5mя|яО 3пя@я MяўяФяия^ f—fЊ3· 34 3b 48 4Ў 3K h“h”4¶ 5щ 4| 5V 4° 5 5у gl6ћ 5R 5щ 5E 5ѓ g—5ш gzg€5† 4T 3џ 3’ fJяtяD fJя s3Йяъяi 3– 37 3¦ 3бяt 3Ья•яґяZя [я“яЃяjя„яЏялюкю3ю¤ю¶э _юdэиюХы§юoю`ь €f;эЬяЖэ;я lfHю9 3–яЂ 3Люќ 4gяH f“3Фяt 34 3» 3Wя7 f{3±я „3Z fj3Ся Ђ3ЬяЏяЎяџя6я†яэю„яЦюяДюµюђюмээ—эlэсьпь™ь4ь WьЈыЌыWы=ыCыІъAыеъ Xыmы¬ыЫы ]ь„ьFэ 7ю–ю Fя€яДя ”f’3o 3ќ 3з f€4i 4‘ 4“ 4Ж 4ё 4Є 4‘ 4Ѓ 43 gq4Т 3б 3› 3Ш 3ћ 3М 3† 3· 3” 3љ fi4A 37 4ћ 3&gt; 4g 4b 4ж 4p 4с 4М 4ц 4Щ 4С 4¦ 4a 4z gЊgЏ4э 3Ф 3ї 3Љ 3І 3D 3› 3; 3O 3? fЏ3? f–3v f•3l 3D 3k 3Z 3] 3L fx3фяШяћяOя Yяуюаюхю°ю€юTю3ю Eю HюkюНю XяUя¶яЮя —3O 3X 3Ѓ 3К 3С 3Х 3ч 3к 3ц 3п fjgЏ4я ft4й 3н 3Х 3о 3Ж 3ђ 3” 3r 3P 3j 3d 3h 3J 3o 3‚ 3P 3© 3| 3ж 3Л 3@ gn4ч 3° 3… 3’ 3h 3D 3V 3l 35 38 3Яяфяия ЊfmfЉf•3G 3Ѓ 3™ 3Ь 3Џ 3Ч fl4C 4} 4° gЌ58 hЃ5t h€h’5с 4У 4И 4a 4M gc"4й 3х 3Ъ 3m 35 3ѓ 3U f–3Ё 3Ћ 3­ 3± 3Ѕ 3Л 3– 3ћ 3А 3c 3© 3‹ 3Љ 3Ы 3й 3™ 3Ћ 3љ 3I 33 3мяhя 8яБю°ю Zю:юпэЦэwюwюШюµю 4яЧюкю Zя Iя`яvяўяеягяјяКя‚яљяяЊяТяњяРяуя5 3Џ 3¦ 3К 3Е 3Ж 3и 3ї 3С 3Ь fi4Ў 3М 3» 3‹ 3} 3&lt; 3n 3[ 3™ 3  3‡ 3| 3~ 3— 3Ш 3и fv4н 3н fh4L 49 4F 4J 4j 4m 4} 4Ћ 4D g~4з 3 35 3“яsя\яbя8я8я Sя3яLяjяdяiяёяТя’яія«яєямявяЦя¶я¬яҐя~яtяSя 8яню ю&lt;юКэjэoэ~э’эђэ¦эШэ &gt;ю HюшэеэЌэBэ€ь _ьЯыОыДыЄы¶ыЙы MьOь`ь‡ьєьсь ]э†эЯэ Sю‹ю©ютю Iя_яЉя©яшячя= fyfЉ3T 3{ 3± 3Ґ 3Н 3П 3б 3ь f†4ь 3; 4d 4R g”g‹4щ 3ё 3Ґ 3¤ 3ґ 3о fog—4J 4Y 4w 4w 4{ 4b 4y 4d 4^ 4љ 4¶ 4С 4Ь gjh„hih~5R 5\ 5\ 5n 5Ћ 5i 5z 5‘ 5Ў 5~ 5_ hv5ц 4ћ 4} 43 4х 3” 3B 3Тя†яQя UяЧюbю OюїэЁэЛэїэЅэ№эйэ [юRюђюДю =я;я‚яНяD 3w 3є 3д 3ю 3@ 4m 4џ 4П 4Ъ 4Е 4Є 4¤ 4© 4љ 4¬ 4¦ 4Ъ 4е 44 5M 5U 5A 5; 5ш 4ф 4¶ 4ґ 4x 4g 4b 4[ 4K ggђgm4а 3Ч 3Ё 3љ 3e 3k 3&lt; fz3ѕяѕя–я“яяwяZя Dя &gt;яію‹ю{ю6ю_ю Nю 8юКэjэвэфэRюTю MюQюJюjюIюкэ Wю Iю Uю VювэkюІюXюEю:юАэ–ю[ю Wюpю›ю Aю¦ю7ю &gt;ю3ю WюРэ|юNюґюНю&gt;я7япяЮяЩяЭ+яХя p3c 3F 3§ 3± 3й 3щ fw4Z 4ю 3ж frgu4Ю f|4Щ fh4ъ f€gs49 4S 4^ gx4\ 4‰ 4T 4Џ 4· hЉhnht5д h…ikir6ь!5 6Г 5“ 5¦ 5Ћ 5h hf5Г 4В 4ћ 4v 4q 4± 4™ 4&lt; 4W gy4© 4ѓ 4~ 4у 3п 3Ў 3С 3B 4\ 34 48 3ў 3&gt; 3!4u 3­ 3; ft3› 3Љ g•4Хя ђfmf…3@ 3F fZяею cя¬юЖю¶ю ю`юJюмэтэ 6эыь7эrэ QюЈэ8эРьНьЯьOэЋэ9э»ь‚ьqьЦьіьйьгьјь dэ®ь эъэ dю EюЗэЖю OяTю Sяю–ю Jя Yя \яЮю7яЄяЩя ЋfpfЏ3фяћ 3x fu4П 3К 3Ч 3Ь 3ж 3ь!3 gp4т 3ф f“4‘ 4‰ 4Б 4Б 4х 4о 48 5h 5Z 5a 5– 5¶ hz6з 5ю 5ш hp6Ф 5З hs6Д 5Д 5И 5… 5К 4Щ 4U 5R 5ѓ 5¬ 5¬ 5» 5а 5Э 5с 5Ж 5­ h“5о 4Ю 4в 4© 4h 4q 4T g•4д 3« 3© 3Ё 3‘ 3o 3Q 3M flfq3Ся–яnя [яХюФю™ю”ю‚ю‡юЃюЊю юЃюcюўю‹юЄю‚ю€юєю€ю]юЂюEюUюFюGюIюIюТю†югюЮюґю»ю9яDяшюqя\я|я¤яtяњяgяYя8я Fяѓяoяnя?яNя Nя :я Oяою 4я7яЪюЙюjю{ю Aю Mю Bю AюдэЯэҐэќэ“эYэ—э?эeэсь ?эГьуьчь @эаьEэ 8эZэ8эћэЉэњэ°эцэ Dю]юTюЊюџюФю 7я _яcя…ягяля xf‘fsfhffЃf’3*я4 f‡39 fЊ3O 3B 3d 3– 3Ё 3ї 3Ё 3Ш 3Р 3с 3Х 3н 3р f‚4м 3D g‡g—g”4D 4о fngvg…4с 3я 3л 3ф 3п 3п 3С 3Ы 3О 3Г 3µ 3є 3¤ 3ў 3Г 3° 3 3’ 3 3ў 3· 3Я 3!4 ‹4ь 3ш 3Н 3п 3› 3§ 3v 3ћ 3t 3ѓ 3v 3y 3Ґ 3° 3Й 3ф fЏ4&lt; 49 4p 4… 4§ 4± 4п 4Ю gn5й 4ф glhqhmhqhvh“h}hj5О 4Х 4° 4• 4w 4I g‹4G 4K gr4г 3н 3± 3Џ 3‡ 3q 3\ 39 3щяъя j3цяЬязя }f€fђ3b 3x 3j fЃ3хяКяєя•я|яeя ^яЖюЎю Bюыэзэйэ eю [юiюКюTяА 3k g|fЃfp3vэ6яМя: 3Эю BяЛюМюЎя Rя‘я¦ятязяВ 3q fx4ЙяЮ 3—юея` 3M 3Є 3eя†яИя k5І 5Ї 4К 4Л g„5К 3в 3a 4Ц 3l 5§ gt5Ь 3Q 4± 3Ы 3О 3„ flg‹4ц 3ы 3· 3К 3q 3Њ 3ё 3K 3b fЏf—3ряъя»яљяґяЏяЊяжюAя Iя Vяхюіюiю_юSю 5юЅэ—э _эyэ Rэ3э 5экьЪьЦьаьЩь ?эаьOэ ZэNэbэ э“эцэ QюlююЫю\я—яДя¶яІя Ђfp3; f‚3V 3e 3w 3 3w 3Ў 3} 3Ш 3Ъ 3л!3 4а f‘4в 36 4с 3g 4 4• 4з 4¶ 4E 5¦ gm5Л 4б 4б 4¦ 4Њ g…4^ 4Ы 3Ю 3‘ 3p 3сяляБя‚яёя3я5*я+юљюFю\ю Nю FюBю @ю Bю ]юЮэNю PюqюЖю Yя°яНя ‚3І 3щ 3n 4ћ 4з 4h 5Ґ 5з 5в 5т 5D 6п 53"6 ‚i~6О 5д 5Ж 5ќ 5a hs5р 4Ш 4У 4С 4µ 4њ 4l 4&gt;"4Ц 3” 3Ђ 3Ё 3“ 3€ 3ѕ 3і 3Х 3Ѕ 3Ю 3ё 3 3  3w 3_ 3S 3k 3R 3G fofw3ЪяПя©яvяfяKя9я7я Cя@я]яxяoяЃя{яrя Xя Aягюію‚юsю€ю‘юVюWюrюdюњюРю EяOяmяѓя€яrя ?яЙю‚юuюPю]юaюЙюПюаюкюШю Cяою Iя Bя Gя 8яую Nя AящюФюЄюeюbю _ю Oю Iю 5юъэдэ†эґэ Jю~ютюѓя l3· 3T 4ћ 4° 4С 4Э 4Ѕ 4€ g†4@ 4L 4x 4З 4ж 4Я 4Ј 4z 4U gp4Њ 3ю 3Ѓ fr3^ 3ОяШяN 3: fr4E 4x 4М 4t 4Ь 4б 4Ы 4ы 4z 4Н 4а 4F 5Л h’in4– 3“ 3\яuюHяyя Iяью _япю№юkяНю\я eяHя~яњяея Ћ3{я]я›яЊя]я Yя¶юMюnэ±ьQь Qьёькь 8эзэ cюVюзюбю№ю;юGюОэ^эkэ RэщьЉьVьлы Qь Zь _ьJь9ьOьКь Tэuэ 6юWячяљ fw4m 4И 4H 5U 5Ћ 5Ц hwiqi‰6v hЌhghs5ч 46 5Г 5  5P 6&lt; 6Й iqj„79 7: j’jm78 7K 7J 7V 7Д 6Џ 6= iђ6ш 5џ 5 5D 5у 4‚ 4Љ 4¤ 4џ 4А 4К 4О 4њ 4ђ 4– 4| 4d 4V gtg‰4Я 3Ь 3Ж 3џ 3j 3L fn3›яcя Pя·ю“ю[ю :ю‚э‚э dэ Nэ 9эуь 3э 3эOэRэyэ€эєэ 3ю &gt;юІэxэGэ‰эНэ«ю@яjя „3O 3m 3› 3І 3ў 3џ 3± 3ъ 3Д 3» 3§ 3Џ 3i 3P fЋ3ияНяЙя№яћя}яiя eя`яfяљяґяБяЬяМябя!3ФяЛя«яДякяэяL 3X 3… 3ї 3§ 3‹ 3¤ 3ґ 3Ѕ 3Х 3а 37 4g 4Ќ 4m 4Љ 4‹ 4| 4  4` 4U 4„ 4U 4t 4z 4[ 4z 4W 4‡ 4y 4’ 4^ 4Ђ 4_ 4~ 4@ gt4Д 4Ќ gq4; 4Љ 4y 4] g}g…gg{4у 3о 3» 3¦ 3љ 3” 3N 3= fp3@ 34 3N 3\ f3M fh3Еяkя [яџю eюDюOюkюcю‚ю¤юКю¤ю®ю¦юџю“юhю3юПэ AэХьOьиьЯьгьЭь CэAэRэ{э­эјэмэ HюBюLю Kю ^ю Pю @ю7юpю…ю“ю№юсюЖюью8яpяая y3Z 3| 3ѕ 3й f‰g…4p 4T 4¤ 4ј 4д gmh‚5l 5[ 5] 5€ 5; 5o h‹hЏ55 h~h”5= 5л gr5й 4Р 4п 4Е 4Ж 4­ 4– 4Г 4ћ 4ё 4‹ 4И 4› 4¬ 4ґ 4Щ 4Щ gr5р 4ц 4И 4ј 4Y gm4Д 3 3„ 3: f|3йяЕяЯя›яЉя Aя»юQю ;юФэҐэќэЛэОэвэ 7ю6юmю‹юёю¶юwюkю[юMю HюDю _ю cю Vю [юХэјэXэ]э Uэ VэжьЮь°ь±ьёьпь DэAэ]эАэёэ eю UюЋю®ю Bя6я‚я–яМяЧя ‰3: 3M 3&lt; 3Y 3A fЉ3јяКя‡я—я Jя8ядюЩюґюЪю¶ю®юТюІю©юўюђюЏюsю‘юxюoюAюJю6ю &gt;юЊэ{эFэ‡эoэ‚эЁэ Zю Bюѓэ¤ьЭь RэГэхэIю Mю…юUяДяХя‹яKя‘яПяаяЦя’яP 3r 5‹ 9v k…=’ 8@ыЏэѕ f4Зя o8йяЗъ&lt; f—5° 7Ґ 9„ 9г =ё 3F @^ fXюxюK p”py6u A 5yющ 3н &gt; ih&lt;K &gt;э &lt;M ;a ;Оюш gђp„9В or:~ l‹7Ъ 83 lЏ6ы 5_ 7С 5x 7F 7L 6П 4H 6з 5J h‘5{ 5Є 4y 4й 3“ 4Ж 3с 3G 3© fm4Ьэ „3cя^эNю 3ю\ю Eю›эіэ6э†ь Uьќыњы_ы Cы PыbыуъјъОыЊъlъ ;ъ :ыьъ \ыjы7ы•ъ…ыїы·ыJымыЧыОыОыZь Eьяы:ььTьБььюь­ьфь ^э Mэzэxэ :эёэDэуэ юрю ^юuюЮючюДюЌя\яЕяАяеямяЅяРяІя–я x3Яя Џ3n 36 3О 3в 3: 4и 3– 3« 3й 3C 3¦ 3‡ 3­ fu4м 3; ghgm4v 4’ 4Џ 4§ 4? 4ћ 4Ы 4И 3Ѓ 4Т 4r 3~ 4y 4п 3ч 3µ 3n 3S 3m 3? 3Гя›яЈяЧяяJяоюўя ;я dяSяяхюzяіяN f3Ј 3s 3V 3j 3t fЏ3W fy36 3гяЭя m3Ђ 3[ 3Й 3ц f|4І 34 g|4Д 3C gђ4H 4 4Щ 4G 5R 5€ 5µ 5в 5њ 5b hp6J 5с 5m 5\ 5є 5Ґ 5› 5q h5ј 5ъ 5R 5J 5p 5† 5I 5W 5Њ hkh5Z 5н g•h–5ы 4є 4№ 4Ю gl5Ч 4У 4• 4г 4А 4‚ 4f 4‚ 4  4Љ 4Z 4ы 3й f‚4й 3З 3y 3 fЃfv3РяЙяњяIявю 3я®юІю_ю‰ю^ю TюыэДэТэЄэ™эЃэДэPэ [эZэMэ|э Yэ 8эђь NьжыКыЖы6ь@ьђьЎьФь eэ&gt;эPэ \эHэaэ[эMэ 3э8э \эHэ JэeэVэ…эДэ Eю Tюpю{ю§ю«ю¬юДюИю›ю@ящюЬю 6я]я‡яzяяAяKяSяvяIяhяCя@яdя:яsя™яmяtя™яЛя яИяЪяМяияЛя Ѓ3¦яУяЙя“я‘яGя_я8яеюйю 3я 8яцюяю_яCяyя±яляпяыя ”3@ 3B 3‹ 3q 3Б 3¶ 3Я f~g}4Љ 4  4И 4м gv5t 5• 5V 5ж 5© 5О hkiЌitiЂ6Q iЊiѓ6t i}i•iqi‚6ю hp6Е 5Н 5{ 5Ё 5‡ 5c 5F 5} 4… 4O ggq4и 3Y 3b 35 3R fq3ЯяЌя _яДюЈюћюЎюMюEюJю Dю DюСэЦэАэјэЙэИэzэЌэ­элэ :юZюvюMюHю cюРэЯэDюњюhюeюNюnю]ю7юыэDюkюрю 4яXя§яЪябяЄяН+я ђ3x 3№ fhg‰4з 33 g„4^ 4| 4s 4Ы 4ё 5B h‚5В 5В 5› 5U 5Ж 5е 4C 4c 4  4A 5q 4Ґ 4I 5З 4щ g|5з hu5e"5r 5W h’5‘ 4Ћ 5а 4~ gЊgj4x 39 3Ѓяjя¤я©яNяћяњяЅяєя LяіяGя“я„я yfX"3&lt; 3} 3“я g3¤я яЕя ‡f‹fw3? 3: f‰3¬яЄя{яњя~яVя ]я dя DяNяNяQя`яUяѓяёя№ябягяЇягязямя €3b 3Ћ 3™ 3Р 3Х 3ы 3&gt; 4Z 4u 4’ 4О 4v 4¤ 4Ь 4е 4С 4Н 4ќ 4С 4в 4Ф 4Ґ 4µ 4g 4m g|gx4Х 3  3p fЃ3ЯяыяФяjяqя AяЊяҐяUя]яAяPя5яdяNя‡яљя±яОяІяЖяёяџяҐя·яФяЎяЌя“яЈя„яµябя–яiяLя‹яћяКя mfЋ3юяR 3T 3d 3c 3t 3O 3D 3A f‚3C f“f–f€3Юя‰яПяўя°я mf‹3u 3ѓ 3љ 3х 3с 3O 4‘ 4{ 4‘ 4У 4‡ 4З 4f 4l 4^ 4Я fp4И 3¶ 3¦ 3Ћ 3€ 3І 3ј fi4Б 3В 3ё 3Ћ 3Њ 3Љ 3r 3Ђ 3s 3z 3b 3‘ 3y 3‰ 3f f’3*яляБяrяnяCя &gt;ячюФюќюXю Kючэ¶э^э3эяьІьLьАыLыRыPы•ы Gь ^ь `ь9ьVь|ь­ьфь LэuэЁэЮэ :юяэ4юCю?ю=ю Bю LюиэКэ‚эѓэњэКэ 9ю`юйю Wя•яАя {f„fЂ3] 3– 3є 3Ц f‡g†49 4a 4t 4{ 4k 4c 4&gt; g|4B g’4w 4H 4| 4‰ 4ж 4Ѓ 4Ч 4ѕ 4| 4H 4_ 4‘ g„4Ѓ 4T 4V gx4Ґ 4k 4V 43 4П 4~ 4Х 4 4И 4Ь gy5ч 4Х 4^ 5О gwh‹hy5и g}5_ 4Џ g…4f 4A 4Ш 36 g8"4з 3Э 3Ў 3† 3q f•3J fq3тя of‰f~3ыя e"3 3Y 3Џ 3N 3O 3V 3a 3p 3V f{fЌ3їяэя€яЗяћяTяnя]я=яХюеюЇю—юmюLюFю `ю Gю &lt;ю ?ю Wюзэ Rю Cю9ю Iю &lt;ю Mю Fю ^ю [ю*эCю Rю^юUюoюNюlюzюyю€ю‰юЉю™юЇюлю HяPя&gt;яxя®я±я…яІюую ‹3_ 3} 3ѕя m3Ья®я&gt;я k3§ 3‰ 4Ѕ f‰3к 3!4Ќ hm47 fЊ4d 6дюЈ fЌ59 47 3Z 3Ля Ќ4О 6ЮюЊ ip3С gЉ6юм 6с g}3Е 5« 3Ё 3Ы 5Ј 6Ъ 5_ 4Q 4` 6i 3й 3_ 3ј 3я 4ё 4› 3d fЋ5дя w4’ 4дяћ 4G 3¶ 3їя’ 3ѓяІя¬я¦ 3R 33 fj3\яћяjяЈ 3uяЬяґя6 3Ряря v3ьяDя‚ 3Чя Џ3жяцяюя•яфя’ 3J 3nяћя €3ћяя•яўя¤я“я cя 9янюкюwя[юЬэОэuэ9ээЈэ 3ю&gt;ю aю¶ю№ючю &gt;я7я dяјяFя Dя ?яaяъю6юхэbюјюПюtюію 4я ;яыю 5я”юјюТюOю юНюњюgю‰ю†юмюґю¬юкю Rя Dя9я VяSяyяЈякя jf“3{ 3В 3Н 3» 3ю 3К 3‡ 3‘ 3± 3h 3– 3Б 3x 3К 3« 3Ф 3ю fp4Ц 3‹ 4§ 4ж 4Ч 4ж 49 5Х 4н gohk5н 4Ц 4– 4њ 4¤ 4i 4i g‚4с 3в 3П 3н 3и fwgЌgngЌg€43 4Я fp4љ fЏ3цяµя‘я§я­яЎя§я™я¬я©яФяфя wf•3d 3t 3› 3ѓ 3™ 3Б 3й 3ы ftgn4я 3н 3С 3Љ 3і 3Љ 3z 3l 3&gt; ffj3хяЄяћяЋяrяЃяАяОятяХяРяйяьяоязя l3эяM flfЉ37 f3G 3Q 3N f’fzfq3ЗяЇяdяCяHяню8яЪюию 4яTя QяЄя›яnям 3[*яю© 3Њяrяw 3Фяqя™ f}3“яРя«я‘ f„3эяn fPя Qя KяЋюгюЦю@ю5ю;юYюLююЮюГюиюDя9яVяuяѕяБя¬я•яqяpя‡я®яјяѕяќяЂяmяiяЏяЕяЖя q3Ья l3¤яdя—явяf 3¶ 3ц 3j 4Ѓ 4¶ 4ы gl5&lt; 5\ 5j 5b 5] 5o 5y 5_ 5_ 5R 5m 5v 5a 5T 5_ 5g 5P 5Ћ 5Ћ 5V 5r 58 5A hq5й 4” g€g–4ъ 3ы 3Е 3і 3Ѓ 3B 3ОяЖяњяgяЌя„яSяCя Vянюъюую 7яBяuяzяЌяЏяБяљяКяОякяэябяУяЄяџя­яyяќя¤я~яmяaя\яQяGя \я Tя Gя:я [яЫ+юъю“юoюZю aюцэнэхэЕэµэћэ‘э‘э€эјэГэгэ Mю Jю Nю Qюeюkю•юЉюЬюкюBя`я™яЖяря …3Y 3L 3Y 3d 3g 3f 3r 3  3† 3… 3‡ 3r f•3J fp3хяСяbя Vя Hя Cя 8я Rя Nя&lt;яfяxя¤я¶яЬяця yfђfЌftf‘f3\ 3\ 3V 3j 3J f—33 f…f†3e 3K 3J 3G f‡f‡3A 3D 3I 3&gt; 3M f“3T 3h 3† 3… 3§ 3“ 3Ж 3Т 3Щ 3ю fvg‹4ь 38 g‡gЏ4B 47 gЏ4щ fpgЃgђg‰g}g~gvg{gsg‡g‡4I 4Y g‘4u 4J 4I 4a 4S 4¤ 4 4– 4ѕ 4В 4э 4ц gL"5 Ѓh|5K 5я 4Я 4Э 4Б 4’ 4h 4“ 4T 4J 4Ы!3 4ё 3¤ 3r 3P f”fЋfs3Яя•яQяою—ю@юзэ®э­эЉэ•э“э’эЙэЂэcэLэ[эlэmэqэ]э‡э€эДэҐэЄэћэЅэЉэЇэЋэёэїэаэЕэеэкэпэ WюTюю°ю 9я ^яEяWяёяЎяря ѓf€3W 3i 3Q 3p 3Њ 3ѕ 3Ў 3» 3Е 3м 3з fЊgЌ4: 4G g”g‡4M gs4s 3@ 3c 3[ 3V 3= f”3мяЭяпяия¶я§я6я Sя &lt;я &lt;явюію»юїю¬ю Eя Mя bяkяfя`яqяРяѕяПя!3 |3X 3Ё fr4П 3Б 3М 3’ f’3няЇяЋяLяnяaяпя |3] 3Ъ f—4Ђ 4z guhs5H 5f 5Ќ 5  5Џ 5„ 5h 5r 5k 5d 5T h…5я 4д 4¦ 4’ 4u 4k 4&lt; 4@ 4C 4U 4] 4} 4Ў 4¦ 4Ћ 4ђ 4u 4[ 4= 4= gz4з 3К 3‘ 3s 3a fђf{3ЄяСяСяя•яЌя~яГя“яЄяБя¬явя of|f†3A 3` 3u 3‚ 3З 3Ш 3г fj4В 3° 3v 3i 38 fvfrfvf‰3тя \яВюћюОю ?яmюЙэЎэVю]юhюJю]ю”юию DяХюfюГю Lяѓя HяЯю Lя Oя&gt;я*э¬ю Bяою 9яjяgяЬяђ 3щя Џ3Д 35 g‚4‹ flf‹3G 3¬ 3{ 3ФяняЖя}я Eя NюxьДь3э3энэНэEю QюТю dяTяЂяЈя|яЈяЌяЪю*эіэ№ьЅыФыЛы cьJь‘ь’ььdь :э ь‘ьЉьџь Fэ Qэљэсэяэ CюІю3я MяРю}ясяЗяйяJ 3T 3j fWяџятя· 3З 3‹ gwhђ5Ґ 5М hx6; i’6l 6k 6R iЋ6у 5ы 5Й 5Н 5ў 5d h•57 5щ 4й 4ж 4К 4А 45 hђ5и 4н 4Л 4О 4: 5D 53 5Я 4Э 46 5&lt; 5` 5q 5b hЂ5Т 4V gy3ЬяєяІяxяkяkяЊяHя Oя@яTяUяEяrяШя q3&lt; 3„ 3Э 3в fl4F 4j 4u 4q 4e 4^ 4j g—g|4Ь 3s 3&lt; 3Вяђя\яЯюЂю &lt;юnэ™ь WьSьжы Dь 5ь}ьЬь PэQэ¦эТэыэ=юVю†юЁю‘юПю°ю§юОю 5я Rя @я 5я [я}яЧяйя= 3i 3o 3Ё 3б 3‡ 3і 3И 3р 3э 3? 4D 4Ў 4В g†h—5{ h‚5… gy4C 4Н g†5А 5м h|6I 6V 6z 6Ї 6§ 6К ikj75 7: 7ц izj‡7&lt; 76 7J jz7v 6ы 5– 5: 5е 4Ц 3Ї 3c 3„ 3Ѕ 3Щ f}4U 4@ 4э 3ѕ 3№ 3¬ 3Ґ 3њ 3w ft3цяџя~яqяЃяRяtяzя|я@я|яЪяМяБяЎяжяТятя±яxяAя bя Dя AяУюдюНюжюХюоюРюіюёю»ю¶юЦюЩюеюIю8ю”э–ьтъ aыgы™ыBьiьґь 6э7э™эЭэ MюXюtю‹ю aюjэ}ьь Lэ Wэ Nэ”ьtь Fь eэ4юSюСючюhя­яЇя Ђ3ѕя9 3O 3R 3Јя Fя 3яHюЫэнюPя­япяЊ 3С 3¦ 4ї 4Б 4т g–5щ 4N i‘5z h•6° 4н 5Ч 5Е 4л 4v gv4H 48 4; 4Џ gu5» 4‡ 4в 4~ 4В 4Ґ 4а gz5Й 3} 4Т f4z 4Ў 3z gq4‰ 4Р 3У 3у 3!4 Ќ4Й 3Ф 3« 3y 3Т 3&gt; 3Ш 3m 3&gt; 3&lt; 3‚ f‘3M 3k 3h 3ћ fѓ3z fЌ3ъяОя±я—я‰яЌяЏя®яvя±яrяnя `я§ю†ю6ю Zю‚ю?юwюXю®юєю¤юўю§юґю Fя ^яRя”яѓяeяБя}я ‡3‹я k3Ея r3*я&lt; 35 3h 3N 3j 3= 3‹ 3M 3№ 3x 3­ 3u 3O 4И fl5n 4О hЉhЃ5nю&lt;юеюХ 4ё h}gr4MяЩ 4d 3ъяЧяhяV 4h 49 5 gq4ї g†4N 3P 3эяЛ 4и fЏi“3л 5ь 4n 3j 4u 6J 4M g…hЊ3ќ 5јюm i„4~ 5‡ 4‚ 47 4бяа 3; 4Ў 3† 4З f•4ия ‰3с 3U 3ж 3Я 3l 3x 3уяЩ fkf•f|39 fЉ3*яoяўяOя–я=я3яЦю”яїюјюҐю^яЈю–юФю \ю Xя4юнюЉэћюсэЃю 7юbю Bю°ю 8ю Yюпэ XюЦэїэОэ &gt;э¶эCэоэXэіэ =юГэ MюWэоэ”э EюtэSю [эёюТэjюЩэАэАюЖэЮю†э‰юХэrю[юqю _юOю &lt;ю{юRю‰юGю”ю]юhюRюvю\юЁюЂю_юPюUюbю‡юђю°юљюcю›ю±ю«юПюеюOя8яRяCяdя™я“яҐяЇяўяЮяЮяхя mfЃf|3z 3[ 3} f”3u 3W 3d 3ѓ f„fx3зяЬя j3бя ’3Q 3z 3Џ 3ґ 3Л 3х 3С fmgzg„g”g‡gЏgl4ё 3t 3h 3h 3P fn3«я—я°яЈяЌя]я eя Oяэю EяCяjя”яГяМягя ђ3\ 3X 3ћ 3Є 3П fv4D 4X 4| 4T 4p 4‚ 4В 4Ѕ gxhЊ5V 5ј 5ї!5 65 iЃiiЋ66 6H 6† 6« iz8– 7Аю —6C jn63 7ц 5U 58 5№ 5Ї 5ъ 4D 5љ 6« h“6[ h—5Ч 5: 6K gy5&lt; 75 gn6Є 5&lt; fo7Л 3 яД gl5к 3Жя f†fn3„ fo3д ffn3ИяЎяpяzя ’3? 3Hяµя§я VяOя cя&lt;я7я¶юФю ;яСю ?я 5яљюЭю 5я 7я @яоюыюкюТюжюлю MяЭюмюЙюїюpюѓю©юPюхюЅю±+ю bяlяqя—яЌя»яЁяЪя …3ля o3Ля w3пяЕяќяuя eяыю Jя 9яXюћюfюBюNюсэїэМэxэmэUэzэeэtэuэ‘эШэЭэ3ю `ю”ю~юnюNюFюіэЂюnю›юІюхюпюTяDя ;ящэQэцьaэЯэpю¦ю»юpяШя t3E 3Y 3t 3Й 3н 3‘ 4Џ 4™ 4є 4» 4Й 4Ћ 4‘ 4O g‰4щ 3E 4i g–4п 3d 3T 3Z 3B 3м f‰3В 3Ѓ 3х 33 4Є 4C 4® 4„ 4Ц fx3ѕ 4F 5~ f•hi4&lt; 6b 5z 5н hfih6Ш h—6N 6ц i~7† 6™ ig6Ъ 5‡ 5k 5] 5¦ 4O 4л 3В 3ї 3i 3ря h3жя nf€f{fsfv3ЮяояџяЭяµяxяwяeяя§яГяУя xfzf“f‚f„3P 3i 3e fЌ3ся Њfv3*я ‰fmfv3ыяряІя‘я’яnяEяAя &lt;я 6ябюєюМю]юpюЖяQю¦ю_яЌэ¶юDяпю9яGяЭю Mяrя Kя €3Чяe fLяg fq3 3К 3А 3Гя4 3н 3°я q3ЁяG 3ъяЋяБюVяЖюяюќю{юџюyю†юСэТэ6юvю &lt;ю 8юWюРюЂюЂю_ю_ю \юgюdюkюHю Qя 4ядю Pя Y*яюЦю CяRяЫя¶явяКяЯя hf‰3J 36 3n 3] 3g 3[ 3h 3_ 3] 3Q 3V 3эяРяeя QяОюfю \юSюcюљюоюbя•яАямяo 3° 3ч 3V 4Ђ 4Г gf5Ю g‰5N 5Y 5X 5A 58 5Ъ 4w 5а 4т 4Є 4w 4Ћ g–4l 44 4ъ 4U 4ў 4f 4N 4Ё g…4ш 3T 4х fЉgЏ4E g…4Ш fo46 4&gt; 43 4й fq4з 3Ь 3e 3X 3g 3{ fw3пя{явя~яБя JяDяжюУющюЗюёюЖю“юЙю№ю‘ю‰ю‡ю”юЁю|ю{юbю‘ю•юЁю`юZюUююMюWю 5ю Xюьэ 9ю 5ю Rю Bю bюMю _яЂю†юЋяґяПюоя S"3 ‰3Џ 3§ 3Д 3› 3ы f…4ў 3Ф 3® 39 4† 4O 4ћ fu4з fv4J gt4’ 3а 3l 3Ў 3 3Ф 3R 4Х 3© f’gЊ4? 4\ 4: 4Ч 3¬ 3Э 3; 4x 4m 4_ 4@ 4ы 3C g‹4щ 3о 3• 3в 3є 3Љ 3W ff{f’3Z 3k fЌ3B 3; 3K 34 3&gt; fЉf}fsf”fy3бяЎя©яlяMя Zя aя Hяшю ^я7я=я `я`я°я¬я·я™яаяЫя№яМяуямя k3ЗязяФя ufrf€35 35 f‘3гяХяЖя‹яkя:я@я BяFя Mя 4яуюоюТюЭюЭюсющю Uя bяPяFя `я Uя aя XяRяaя—яіяТя g3пяОя¶яnяFявю±юVю TюЕэФэШэТэ—эrэ `эlэ Zэ¦эќэ 8юEюЮюиюњя—я m3ряЉ 3Љ 3F g‚4А 4d 4м 4R 4’ 4В 3@ 4l 3Љ 4б f€6ћ iЌ:P 3_ =щя›ьп =­щp hq5„яq 5P :ь 6т h:яЇюЅ 3к g|54 7ь 6Ж iEю Uю @яc 4Њ g~iЃk4яr 3o 5ђ 6№ 7Пю¶ 5V 5T 3Ѓ 4} 4j 3№ f†5v 6~ 3&lt;яHя Њ3’ 5s 3® 4J 3Н gЂ4`юГюЭя eявяf f|3аюх 3з 3= fj4U f3i gj4і 3ѓ 3w fЌ4щ 3М 3Ж 3V 4s 4є 3C 4I 4Ћ 3\ 4Г 4” gѓ4¬ 4l g“4V g‰4Л 3y 3l 4W 4љ 3џ 3й 3b 3S f„f†3Жя°я«яјямюХюиювю»ю&lt;ю =ю—юХюњю:юЙэ&gt;юЮэ ;юйэхэwээYэІэQэ Uэњэ?эгэ‹эmэFэTэ 5эжь°ьЂьcь4ь cьЙыиыЁы№ыҐыЂыYы[ыqы®ы Fь `ь BьVь†ь &lt;эEэrэ°э Bю*э Eю ?ю:ю^юЏюЋюЊю–ю‘юµю«ю†ю›юµюљюЗюДюљю–юbю‘юoюѕюлюEя‡явя ‡3І 3Ў 3и 3!4щ fl4&lt; 46 gg—g{4q 4  4Ч 4Я 4­ 4С 4Ч 4Ъ 4й g{h{h…5_ 5Ї 5С 5я hg6B iЉ6H 6e 6F 6h 6t 6&gt; 6_ 6&lt; 6c 6[ 6Ј 6№ 6Ж 6Я 6М 6Ш 6г 6¦ 6љ 6] 6\ 6H 63 iЊisio6ј 5¦ 5• 5ђ 5\ 5I h‹hyhЏ5г 4љ 49 gt4ё 3ї 3V 3J fђfi3©яЁяwяhяfяlяNя ]я„яҐюWя&gt;я LячюЬю3я Uя [яЭю–юzю Jю`юRюЈюю¬юнюцю5яQя Yя &lt;я^яeяЏяјяпя „f€3m 3’ 3ў 3« 3‰ 3n fj3Уя›яlя 3я°юLю:ю Tю :юъэК+э Cю ]юBю”юЦю OяMя[я‚яУяЕяУяЗяЧяЦягяняияая»яҐяzяxяCя dяПю7ю Qю]юwюЬю bяwяyяОяґяЗяґяЊяья †3џ fk4ш f—g“g~4л f{4Д f’4S 4s 4» 4› 4Б 4Ф 4З 4Ш 4ј 4ј 4д 4С 4л 4Й 4± 4ѕ 4d 4h g‰49 gx4Ш 3К 3¶ 3Р 3а 3У 3ј 3Ѕ 3ї 3ґ 3Ґ 3Ј 3ѓ 3z 3{ 3d 3c 36 35 f|f‡3G 3Q 3F 3k 3U 3W 3I f€fvfx3Ьяёя•я—яKя Aяйю©юdюXюOюZюDю~юkюЊюЂю‹ю}юWю?ю7ю Yю \ю Aю Gю QюHюMюЌю_юЁю€юµю€юґю[юѓю aюCю XюEю _юkю Yэ3ю Jю|юhюЂюТюнюsяwяуяK 3п fz4 юJ 3ъя&lt; 4ђ 4·я j4© 3\ 4¶я: fEяъ 3‘ 3шяЙя‡яQ 3Bя u3ХяЦя bяOяiя Hя p3ъяRя5яQяfя:яЖю†юyю Oю \ю 9юїэЦэmэВэњэ•эќэјэћэлэ FюKюaю bюFюZюrю§юЙю LяBяxяcяіябя p3Q 3O 3Ќ 3± 3д 3а f4C 4~ 4« 4¶ 4» 4О 4т 4с g}h—5Z 5Њ 5  5© 5Л 5¤ 5¦ 5– 5њ 5‹ 5А 5€ 5‡ 5i 58 53 h~5о 4ї 4Ђ 4V 4B 4y 4« 4ч 4ы g”5| 5Ѕ 5т 5ю ho6п 5ћ 5u 5R 5Ѓ 5b h}5Р 4ґ 4е 4Ќ g–g~4Щ 3v 3W 3= fk3±яЁяSя _я TяоюзюХюМю}ю§юњюўюЇю™юјю·юєюЛюћю’юnюcюiюdюiю‚юuюhюcюyюЃюuюЃюUюЃю€ю™юЅюфю Fя Gя 8я =я Iя Kя Oя9яZяmя”якя hf—3m 3№ 3Э fЂ4g 4« g‡h–5” 5Ґ h“6; 6c 6ћ 6¤ 6Ѕ 6« 6ј 6К 6П 6Е 6§ 6® 6n 6Y 6H iЌi…iw6у 5х 5М 5¶ 5t 5a 5H 5B h–hЃ5Х 4б 4Ќ 4k g€4‘ 3ѓ f~3њя^я IярюБю®юsюjю&lt;ю ^ю Iю Cю&gt;юСэуэлэОэ @ю OюLюљюбюВюРю =я Lя^яXяряяfяХя{яћяђяЌяЁяКякяpяqяuяѓяЃяђяҐяrяЉя6ясюГюИю‚юІюµю®юcюDю^ю Jю@юпэ Rю ;юыэЛэГэгэдэ VюGюgюmюЌюzюqюћю Cя &lt;я _яhя ]я &lt;я 3я Zя =я Cя SяGя Gяыюgя Gяую NяFяFя Dя 9яvя9я4я IящюЛюцю&gt;я Vя AяјюФюЬюЉюЕюеюпюмю Jя Hя cя Pя @ягю±юФюHя¦яся p3хя n3B fѓfg3ЪяљяШя„я›яћя?я [ящюЖюmюоэ„э|э_э7э‘э 7ю‘ю Gяњя …3® f{4m 4№ 4Й 4Ю 4д gu5м 4Д 4љ 4` 4a 4F g~gi4№ 3Ћ 3| 3V 3b 3‘ 3ѕ 3у f‡4a 4™ 4ч 4L 5№ 5а 58 67 i‡6V 6; 6; i“6: 6ч h‚6р 5й 5} 5u h‡hvhw5Е 4І 4Q 49 gz4х 3и 3щ 3!4й 34 gr4ж 3  4h 4я fz4| 4в!3 4ј 3w 3D 3вязя…яiяbяaяoяUя Tя€яNяsя—я™я—яДя {3аяЛя­я„яЕя•я„яXя6яGя^яЊя|я—яСяВяфяця@ 3¬ 3› 3З 3ъ 3ы fjg’4[ 4V 4h 4M 4— 4a 4… gf4д 4H 4= 4Ь 3ё 4© 3а fu5¤ 3› 3зяL 4d 3ђ!3 4IюєяMяТ 4М g_эСяЗя®ю Rю¦ю‹юKюЙ 3пю±ы aяgю:юЋэ5ы‘ь 3э‘эyъBьЅэ Nь}ы“ы¬ы}ыџь Qь :ь 4ь ^э_эшьZь eьrэ &gt;эЕьmэPю 3юзэDюґэ№э aю Nю4э ?э…эЁэ…э‘эЊэ©эЦэ @юGю‚юшюйюKя j3S f’3g 3{ 3И 3U 4Ґ 4a 4О 4М gvhЋh‚5т 4ч 4Х 4Е 4Ы 4® 4¬ 4Ч 4Ј 4v g‚4[ g†48 4= 4; 44 g…4Ъ fu4Б fr4ж 3Ц 3± 3Д 3„ 3a 35 3пяєяTяеюlюРю Pюtюзэ э®эйэгэLюQюXюею Aя’яќя l3ря y3щяля–яiяыю№юбюпюзюгю Kя6я:яcяИяпяY 3† 3б 3ю 3я 38 g•4љ 4У 4= 5Ћ 5с 5H 6› 6є 6О ikjЌ7P 7s 7’ 7О 7№ 7Ѕ 7а 7й 7и 7х 7П 7« 7› 7€ 7 7ѓ 7q 7o 7~ 7] 7K 7Z 7w 7D j‹j’7л 6ё 6  6\ 6щ 5Щ 5” 5Z hЂhђhfhp5ы 4е 4Ж 4Ш 4µ 4— 4a 4K 4р 3Р 3Ќ 3C fs3№яxя CяЫю™ю IюТэЁэ`э RэльЫьСь»ь¤ь¬ьѕьбь &lt;эчь KэNэnэЋэМэрэ ]юLюђюїю :я @яHяяђя€яЏя‹я™яaя]яgя@яEя6я KяъюдюФюОюМюаюшюйю 7я Oя Zя[яvяџя№я§яТяъя {fЌ3M 3q 3† 3› 3¶ 3« 3Й 3Р 3х 3э f”g…gЂgs4Е 3Ю 3Т 3Н 3о 3л fq4н 3Ю 3И 3ѕ 3Й 3А 3ѕ 3« 3· 3Ј 3ї 3” 3Ё 3№ 3є 3І 3џ 3§ 3В 3€ 3| 3Љ 3M f“3B fЃ3Шяѕя_яOя4яDя@я Sя :я QяшюсюРюџюlю_ю Gю3юФэБэ›э”э?э4эПьГь“ь†ь?ь _ь4ьEьЩыРыоыjы~ыuыСыиыкы®ы :ьaь¤ьжь CэЗь Xэёэяэ \ю@ю€юзю6яfя^я?яUя=яѕяЭяЭя? 3дядя&gt; f‰fv3Єя A"3ояБяџяkяAяЋя Њ3ў 3З 37 4– 4ё 4В 4» g‡5F 5– 5“ 5± 5Ј!5 67 6i 6p 6R 66 65 6g 6h 6k 6&lt; iN"6 „6G 6K i‹i64 6: 6_ 6o 67 iЋiq6Г 5ђ h|5С 4Н 4Ў 4| gy4Т 3Е 3І 3• 3V fЋfЃ3жяОяЖя›яґяЄяЉяTяYяVяXя QяЂя@яNяrяzя?я Wя IяЬюґю“юWюKю ZюHю &gt;юAюbю’юЄю cю Pю Jю ^ю;юZюFюЊю‹юЕюэюAя“яхя „3Ѓ 3” 3с 3э fhg~glgx4а 3Н 3а 3Є 3€ 3J 3чя“я WяЯюИюОюФюОюЦю 4яЯю Iя 6я 9я Oя Eя `яфю ?*яюйю :я_яаяP 3? fyfR*яэЛьwь•ьEэЬэ8юVю~ю‡ю№юРюИюию UяNя~я‡яёя±яњяЉяwя^яYя Yя RяPяuяшяКяЈяWяhя}яdяYя]яgя‹я­я·яСяУя hf•f•3B 3T 3X f…fn3КяярюџюЌюЃюXюЖюЧю NяCяmя–ябя Ќ3Љ 3  3о f“4e 4c 4] 4B 4Ѓ gЊ4« 4K 4u 5Г 5] 7^ 6µ 8цч &gt;ш qDЂ 5t 4:ъY 8^ 6k 7з ;П 4• 9Ї 6п :б 8­ 8X 7”ц 7№ 3| :I 3П l&gt;эI v=ш Cщ g;K m^яm 3… 3kяAю „3SьTя eюk 4ю« 6S 3• g?яT 3lя; 4Ё 4Y 3Ѕ 4µяџюtяяЯ 3Мяѓ 3L 4С 3б gm4Ґ 4^ 4д 4” 4j 4в 4м 3ъ 4s 4W fkf‡4  3ї g}3ѕ 3] 3uяQяЫюФюШю&gt;ягяEя»юRяоюtя [яБяlяКяћяЄяeяѓяBя Gя `я GяДю 3яшюљю±юјю…юBюaюпэњэjэщьЕьћь Dьzь`ьFьjьІьќэ6э Mю BюBю•юґю¶ю Fя Dя`яrя4я eяJяsяБя†яdяQя 5яKя7я ]яоюґюЌю ю­юЭю EяDя eя Yя{юрэйэRюЂюмю„яТяf 3d fk44 ggЊgm5Ґ 4p 4» 4‹ 4Ѓ 4— 4­ 4Ђ 4µ gi5у 4У 4Ґ 4Е 4Е 4В 4т gv5я 4ю 4Х 4З gЂg‘4С 3Щ 3В 3Я 3Х 3† 3Ѓ 3Ј 3· 3‘ 3p 3Ѕ 3є 3ћ 3Ґ 3‡ 3z 3Љ 3¤ 3» 3Ќ 3u 3џ 3љ 3њ 3… 3m 3d 3z 3E 3&lt; 3` 3; 3| 3 3Ќ 3a 3Ќ 3_ 3v 3h 3| 3‚ 3p 3q 3« 3­ 3‡ f‘fn3Уя©я—яҐяzя†яЂяgяkя UяGя CяоюЦюџюYюµю :я¶юЮю _я GяZяЋя¦я†яЭя—яЋяЖя h3џяря Ђ3ЛяЯя €3A 3ЯяB 3s f”35 f‰fЏ3&gt; 3U 3µ 3n 3њ 3{ 3  3~ 3w 3‚ 3} 3h 3Ґ 3љ 3М 3‘ 3_ 3I 3c 3w 3Z 3a 3l 3\ 3Џ 3~ 3i 3j 3v 3j 3Љ 3Љ 3h 3T 36 3F 3M fђfm3шяняБяЎяeяfя ]я =ящюкюІюФюгюїюoюKюдэіэmэOэ _э DэЩьђьUьшыиыњыxыzыWыSы3ыcыЄыхыKь}+ь ^э®эиэ&gt;юЛю eя›япямяюядяНяОяЗяФяоя tf‘3C 3[ 3ћ 3Н fsgogЏ4Y 4= 4M 49 4g 4  4С 4Ц gmhѓ5W 5J 5l 5N 57 h~h”5l 5Љ 5Љ 5Љ 5` 5  5Ъ hz6&lt; 6h 6q 6Ў 6ћ 6Ь 6j 6ж 6г 6» 6В 6Ь 6Ц 6њ 6– 6Ђ iqim6і 5Д 5x 5X 5з 4п 4Ў 4~ 4D gp4ї 3Њ fЏfЉ3сяпячягяу+япягяБяМяћяљя•яXяDяKяqяQяЂяbяґяЊя}яЁяsя`яRя¶яvя¦яgя dяъюЦюHяЊю™ю”ю·юдю @яую :я@яЏяцюKя \яџяЪя­яЄяФя 3ЮяРяыяйяЄя}я4яУюnя aяЖю¬юУэ:юЪэшэ?юGюLюћэ:эЧь 4э Xэ3эyэЗэФэ cэџьCьЫь‚э IюћюШю&gt;юmюCюѕючю}я7яцюFя4яЋяМяояСяґя’я№юЈю @я_я\я‡я°яЌяџя^я \я^яэ+я»яБящявяU"3 ‹3Y 3Е 3Ї 3ћ fj4^ 4[ 4Ї 4 4° 4Є 4ґ 4‡ 4‹ 4§ 4ќ 4Ќ 4i 4F 4e 4{ g‘gѓ4ю 3э 3ф 3г fs4m 4s 4ы 3к 3j gi5n 5o h}5ђ 4№ 4— 5М 5Л 5Й 5v 5¦ 5· 4Ч g’5• 4і 4[ 4I 5E 5; 5‚ 5Ы h|4і 3f gt4В fs4„ fjfЉ3ґяaяЖяјяОяШяРя†яќяЈяІяєя±я›яћяНяШяИяЮяюяэя 3c 3Ў 3О 3в f—4т ftg‹4S 4X 4N g€g†4g 4x 4e 4z 4ў 4ѓ 4ќ 4` 4§ 4ї 4М gjhЌ5@ 5E h~hЂhvhЃ5и 4ѕ 4є 4‹ 4’ 4w 4B 4я 3Ж 3­ 3x 3d 3J fђ3ояЩяРяЁяћяxя5я &lt;ягюљюЂюtюbю^ю KюСэҐэXэ Qэкьіь°ь“ьґьџь•ь–ьTь…ь•ь›ьјьоьфь Uэ Kэ&lt;эЩьћьFь &lt;ьУыmы†ы•ы»ы AьIь»ьсьBээцэ Xю‹юЬю dяwяябя }3R 3Ё 3К f{gЉ44 4B 4R 4H 4U 4@ 4с 3к 3г 3Т 3Ц 3И 3У f‚4&lt; 4b 4ё 4† 4в 4і 4њ 4Е 4‚ 4¬ 4® 4« 4Ю 4С 4ї 4Ю 4‡ 4ё 4R 4| 4M 45 g•4Ц fo4№ 3Ћ 3ї 3“ 3b 3w 3H 3x 3^ 3X 3N 3y 3є 3А 3· 3® 3З 3Ы 3§ 3М 3ї 3® 3Н 3“ fЏ4¦ 3р fm44 44 g’4D 4 4€ 4y 4Ћ 4s 4Џ 4ф 4џ gf5± 4А 4ѓ 4Q gu4П 3© 3z 3N 3? fu3кяФяСя¶яяdяHя6я ^яею ;ягюЕюЈюћю»ю‘ююUю9юhюaю^ю5ю dю Cющэ”эўэSэъьЫьйьжь 4*эьмь›ь‹ь aь BьЙыУы :ы cыmы N*э*ьэчэКэ ?ю8юдэ `э«юґэ†ю­эNю `ю TюЎюВэ‚ю &lt;ю]ю`юАюЬюШю=я Aя Lя ‹f‡3[ 3] f4M 4? 4Ї g|5и 4ѕ 4^ 5L hЋ5« 5¬ 5‡ 6« iЏ6– 6ґ 6g 6V 6] 6[ 6Г 5Ю gЂg’g–4ѓ 3ё 3b 3° 3o 3Л 3· 3ґ 3ќ 3° 3Я 3л 3? g–4&lt; gЊ4ш f‚4C 4; 4Ќ 4d 4  4Ґ 44 5&gt; 5Є hz5Р 5е 5= 5¤ 5Х 4L 5ш g„5ћ 48 5u 4› 4r 4c gЉg‡4г 3о 3В 3Ч 3  3Д 3“ 3Є 3Ґ 3у 3Г 3Ю fqgogu4D 4E gЊ4ь 3· 3o f‚3Дяbя Vяйю{ю›юYюZюDю?юNю[юvю‚ю6ю ?юцэ 5ю VюHюlю«юёюЎю–юЏюoю6юЅэpэ9э Qэ XэEэVэ¤э»э Mю Uю aюЪэ\эпь±ь¬ьљьЮьюьDэ™эХэ Nю›юYяія Ќ3P 3° 3п fngЉgjg–4… 4i 4\ 4U 4„ 4| 4Й 4Д 4Ч 4с 4З 4И 4‡ 4^ g€gp4ц 3К 3µ 3і 3і 3¦ 3© 3у 3W 4Г 4O 5H 5Я 4U 4S 4В 4“ 5Ю 5‡ 5Ь 4e 4; 4“ 4’ 4h 4з fh4к 3„ 4§ 4ф gx4Д 3n 4b 4“ gq4± 3¤ 3К 3г 3Ъ 3™ f—3ряїяxяHя 8яЯюмюыюGя»юѓюеэ·эҐэҐэ•э¶э ^юЬэ YюBю cюVюsюsю®юЕюШюїюсющю;яПюрю GяЇюВюёю¤ю‘юЅюю¬ю№юцюдюХюјюОю Tя5яя‘яIя9я Fя:яtя«яЋя®+я®я Ќ3W 3z 3ц 3M 4w 4S 4¦ 4ј gЃhv5; 5t 5Z 5~ 5{ 5ѓ 5‘ 5µ 5Т 5Ц 5Ѕ 5o 5u 5K 5ш gq5Ч 4Щ 4о gЊ5Q 5c 5‘ 5ѓ 5“ 5a h‰hk5л 4к 4з 4Е 4z 4w 4J 4Ъ 3 f„3¶яWяиюёюuюBю 5юOюІю 8я@яnя•я я©яяЁяWя &lt;яЫюЕю­юxю•юlюDю HюеэЪэИэВэЃэЇэXэ bэ @э Sэjэјэоэюэ ?ю MюMюLю Vю =юЮэаэ№эЋэ“эwэ¬ээ›эѕэзэ OюXюњюЬю Kяyяёя!3C 3k 3‚ 3ї 3и fog|4L 4i 4l 4® 4і 4і 4¦ 4  4¶ 4— 4g 4e 4Ѓ 4Н gx5[ 5я 4 4w 4б 4h 5љ 5X h€h{5z hgiuih6p 5’ 5Я 5J 65 6l 5— 4G 4a 4И 4› 4К 3… 3  figЉ4Ѕ 3} 3V 3Ч 3о 3д 3^ 3X 38 fЂ3Єя‰яяgя}я QяЃюzюzю°юЏюХю|юю—ю dю­юXюuюоюгючюОюёюяюуюШюыюФюэю Oя ^яmя Rялю &gt;я Xя Fяхю &lt;яЫюёю‹юЎюґюАюїюАюЯюъю Rя4яOя[яњяѕяГ+яая ‚3Z 3a 3H f–3T 3*я i3сяВяЌяџя­яРяЫяИязяюя7 f“3W 3‰ 3“ 3Ѕ 3ї 3Ж 3х 3ш 3п 3к 3У 3р 3Ѓ 3· 3” 3{ f|fg3фяЌя¬яaя3яTя YяCя]я :я NяZяZяeяћя я‘яйя ‘f{3K 3ъя m3юя7 3_ 3t 3Ч 3Я 3п 3с 3Ґ 3f 3G 3щя3 3h 3z 3Р fmgЃ4? 4~ 4Ќ 4Ѓ g…44 g–g”g…gv4‘ fz3№яЖя} 3 3  3№ 3Х 3ъ 3а 3ч 3Т fw4д 3п 3Ю 3… 3f fЋf„3·я„я4яЦююlюWюQюEю `юьэМэКэѕэ SюЌюВю 8я 7я?яRя…я’яюя; 3б 3© 3Д 3‹ 3h 3Г 3® 3ї fl4~ fx4W 3ў 3‰ 3ћ 3a g€4A g|4С 3Ф 4 4Ю 48 5– g‡5– 4О 4р 4э 44 5d 5G 5e 5&gt; 5Q 5Y hq5О 4« gu4Э 3m 3аяhяkямю Oячюіюeю Hю ^ю [ю3ючэ№эҐэЈэЁэЫэ Wю5ю ]юXюЋю¦юѕюЁюЗюъюеюОю…юtюЁю GяZяhя№я Ѓ3J 3± 3Ф 3г 3з fu4R 4 4o 4Ѕ 4Н 4њ 4w 4 4ѓ 4x g€4@ 4· 4ї 4г 4ј 4!5A 5B 5n 5Џ 5¦ 5О 5№ 5к 5Р 5љ 5Љ 5r 5q 5љ 5l 5„ 5d 5… 5c 5R 5\ h‘hlhr5В 4µ 4Њ 4P 4R 4Э 3Л 3N f}3чядя…яlя€я‚яeяHя Iя*ю @я 4я*ю LяхюЪюіюдюЙю¶юёюЄю|юEюZю|юҐю ю›юpюqюHюUюЂюwю|юҐюіюЁю№юјювюЕюКю­юЏю™ю«юЭю Tя6я™я©яЙяоя yfЋfi3Ьяия¬я Dя6ю 9юяэ№э·эЃэ@эть{ь®ыoъ’щrщ{щЊщЇщ»щ ZъTъъНъCыtыЭы XьЎ+ьJэ…эюэ \ю[ю|юПю EяNяoя¦яІя­яЖяУя Љ3— 3№ 3б 3: 4J 4v 4\ 4— 4© 4Й 4Ы!4 5? 5L 5D 5U 5g 5‚ 5&lt; 5O hЂ5ч 4й 4к 4!54 5? h’5I 5D 5x 5` 5Ѓ 5g 5M 57 hf5Ф 4« 4l g—4ч 3й 3З 3ћ 3њ 3Њ 3Љ 3Ќ 3¤ 3Б 3В 3Ц 3Ъ 3Т 3і 3» 3® 3© 3z 3m 3J fЂ3еяДяyяrя^я Yясю§ю¤ю_ю FюvэWэрэKюДюлюэющю 8ящю 9я Fя GяBяђяНя l3= 3l 3” 3К 3Ѕ 3Ѕ 3№ 3И 3¤ 3Ќ 3Љ 3› 3ќ 3w 3U 39 3_ 3€ 3n 3µ fp4љ 4ъ 4† 5ц 5: 6± iЃ7w 7ћ 7н 7\ 8Y 8‰ 8“ 8ђ 8Ё 8• 8‹ 8~ 8y 86 8@ 8У 7И 7v js7» 6o 6ч 5І 5C 5Н 4Џ g„4— f’3 я7яью 7я»юоюЬю€ю ;юяэОэмэКэШэаэУэвэѕэЗэ‘эЎэЌэ€э‘эCэHэяьцьдьсьгь `э ]эcэVэqэdэ‚э[эxэ|эVэ–эYэ•э’э™э эђэВэЃэbэ8эHэ Dэ Oэу</t>
  </si>
  <si>
    <t>RI*FЊA!3WAVEfmt †C"3 gfgfUV!3D¬!3 hfv3datahA!3 ‹3Гя vfu3ВяC 3РяряРяC 3¶яуязяU 3Ья k3шя ’3ЛяряnяZ fi3K 3ТявяҐя Њ3· 3rя^яб 3сяЖяся ~fЂ3CяД 3›я› 3ЭюЗ 38 feяжя“ 3жяЮяlяё 3њяря n3ня: 3Bяx 3Ея5 fm3ря €3®я |3A 3џяS 3њяQ 3јя j3L 3ЊяW 3ЏяX 3няря v3ся z3Дяся; 3МяA 3Жя t3пяля6 3Хя {3Яя yfЉ3Ея3 3ЙяL fЂ3Єя wfn3{ 3ЇяЎяQ 3жя~ 3¤ялятяd ft3љяья&lt; fxfv3„яi 3ся: 3¬ябяy flfv3‡яf 36 3ы+ячяA f~3еяE 3дя] 3·я Њfzf["3тяO 3­я Њ3G 3зяйямя[ 3иявя v3A fw3Дя xf‘f~3юяпя }3ияE 3Жя wfzf…fp3§я –fЉ3Чя o3БяA 3ляшя xfЉ3аяиячяI 3Ая mfhfx3јя9 3вя |3аягя –3ЙяE 3Оя gfm3ня ‰3ёяA 3чяЮя5 3ћя‡ 3†я ђfz3йя ђ3“яv 3дя w3ья›яn 3ГяI 3¶яАяr 3¶яR 3rя Џ3; 3ћяR 3sяu 3їяпя? 3nяЊ 3љя fv3Їя† 3gяr 3МяЩяv 3vя™ 3oяQ 3ЬяТяd 3•яp 3Жя§яE 3ЁяЦ 3Hяфя@ fh3~ 3ФюВ 3ФядяыяШяЕ fFя6 3гя Ѓ3Љ f@яЄ 3’яa 3мяПя{ 3Uяw 3П+яG 3nяґ 3ѓя\ 3ШяАя¬ 3bя… 3Љя |3` 3Џя 3hяo 3ыяПяw 3tяњ 3Їя k3D 3 яҐ 3|я] 3Зяня‚ 3”яb 3я —3X 3»яM 3‡я” 3·ябяn 3Њяp 3‡я^ fj3Ґяx 3я” 3ђяфя@ 3®яґ fLя… 3Ія zfЏ3Љяm 3±я xfh3јя~ 3ЊяC 3Ля …fj3Ґя| 3¬яо+я·я¦ 3[яJ 3јя vf‰3Ќя‚ 3‰я M"3Дяp fSя 3љя }3еяЗяz 3uя= fЋfg3Дяkя‰ 3бя –3~я n3© 3Ѓя; 3yя` fl3·я: 3ґяt 3ЙяЁяR 3©я• 3•яця&gt; 3јя` 3hя” 3Дяу+яЕя‰ 3ќя ‰3ЩяЧяI 3±яD 3ѕя@ 3зяЕяM 3Дя ђ3ИяТяm 3­я? 3Мяфя ‘3‹яЎ 3ЃяA 3®яъя 35я’ 3xяe 3ея я” 3jя„ 3lя Ћ3I 3я€ 3\яЉ 3ЛяСя] 3јя| 3џя ѓ3A 3¶яp 3Eя™ 3Яя l3фяЮяp 3®я rf‰3юя? 3Љяb 3ня Ѓfh3Цяu 3ёя }3цятя… 3†я^ 3їя3 33 3•я| 3ЋяP 3Хя m3w 3pяt 3‹яb f{3Йяc 3ѓя’ 3Йя wf•3Ія} 3Ѓя` 3Ня ђ39 3ђяd 3жяS 3ея°яu 3ЬяB 3µя }fЌfm3Ьябя ’37 3¤я ‡3ияF 3ЄяІяu 3Тя ~3™я Њ3G 3‚яV 3Ћя@ 3бяЛяl 3pяЋ 3Qяq fg3Уя ”3dяџ 3~я †3УяТя„ 3Dяf 3ѕяg 3Жяuяq 3фя\ 37яb 3S 3eя ‡3•яЖ 3УяЄяГяP 3[ 3’ячяряu 3Жя g3уя&gt; 3Шяу+я m3@ 3ЪяT 3©ячя ђ3ия† 3lяZ 3ћяt 3кяКяu 3tяџ 3®я mfv3кя— fPя© 3±яC 3ляяџ 3›яs 3›я6 3= 3ћяL 3Јя– 3єя!3 Ђ3ЗяY 3Вя …3ия sf“3Зя €3*я Ќ3Зя hfЉ3; 3·я g3бяN fs3єя ѓfz3E 3Тя tf”3ея\ 3¦яX 3жя †fg3Эяw 3яm 3Бя Љf•3№я 3ќяc 3Ляэяe 3jя€ 3«яA 3ояДя‘ fKя ‘45яy 3™яI 3Ря_ 3яc 3Уя ~3ця; 3эяЗя –3ря p3r 35я• 3†я§ 3ќя»яq 3†яЁ fdяz 3ХяҐяW 3\яЮ 3&lt;яЈ 3&gt;яa 3йяСяn 3Vя’ 3ћя ѓ33 3Ия w3­я5 3R 3=яЭ 3ую ‰g]яP 3жя kf‚3 яX 3сяДя? 3 яw 3Ия kfu3Ыя7 3ОяF 3Йя sfѓ3дя 3Ся: 3гя uftf†f‹3Бя yf“fufn3ья }fЃf}3тя k33 3хяся —fufl3юяЧя Ћ3S 3®я Љ3РяU 3ЫяЬяM 3Ъя „3гя ѓfqfz3дя {f‚fЃ3·яs 3»я Ћ3ояR 3ня ‹3їяZ 3мя Ќfm3шя= 3Шя3 f–3Гяv 3pя¬ 3qя» 3№яъя Њ3эя Ђf‹3Уя ”3ая@ 3їяa 3ЁяS 3ВяF 3жя&lt; 3Фя r3чяG 3КяB 3ГяG 3Ня ”fifqfjfk3ояa 3Ля o3Ря&gt; 3чяЧятя •3Эя {3Ея •3эяЫя Љ3нявя Њ3ЛяD 3єя o3мя ifѓ3Ия w3цяья m3ая ’3ЖяY 3™яd 3‰яT 3Вя hfj3єя@ 3БяУя= 3™я| 3Aяz 3}я¶ 3eяПячят 3СюФя‘ f‰3xяG 3щюл 4zюT 3T 3vяО 3ъю; 4°юX 4uю z4¬я‹ 3µю g3B f4тю: gaю3 h^юm 4›юq 3» 3¤ю Љ4фюH 4оюµ 3xяЛ 3’яА 3 ю“ 4НюZ 5{ьY 6ЭюЮю p3±яN 6Хь  4Іэ m6Лэ ‘hQюй 3ґяИюn 6Їы Њ7fь· 4i 3cюв 6?ъ –9rъ u8Жь ‡gЉ4Їь 8ыщp 9Щъ fi]яСюH 7шщї 9„щ~ 8Ньo f•5Дыэ k6щ~ 9Xы~ hkfKэ7 8Јщ —:»шћ 88эЮя hiPъТ :Йч… :;ъП 5‘ 3xь p9VшО :лш ѓ9ґытя „6Лы …l&gt;шљ ;ѓшa kGэ h4r 4Ъы&gt; 8ІъO 7‰эїя q5Еь o73ь\ 6Rэ {4] 3јю ‹5§ь_ 6оь€ 5ёю•я ’4]ю ‰5мэI 4Юя Uя: 4•юx 4ѓюo 4AюY 4bя v3єяаяє 3ЮюД 3ОяЦя« fOя| 3&lt; 3tю” 6Кща 9*щ‹ 7vэ†я4 6zыр 7]ыD 6Мюfя® 4~э­ 5ЁэX 4Nя Џ3т fDюm 5¦эХ 4‰ю ”4zя? 3пя \яM 4ёя |f4яА 3Ќ 3Uя† 3оюn 4МяEяИ 3Qя ѓgCя 35 3•я^ fwfw3µя› 3Ўя‹ 3”япя‘ fi3o 3‘ю r5BюР fЏ3—я h4ВюM 4@яё 3†я= fu3­я Џ4Џюs 4_юµ 4Дю m4‚ясяҐ 3gя° 3PяЛ fAя ~4ќя~я] 4аэ “6Ћьd 6ыь{ 5ЈюT 3И 3ЕюЯ 4ѓэЗ 5иэ g@яЦя‚ 4¶эь h7эS 5±юH 3І 3ћю 4гюч 3‡яђя u4ою {4Ню n4Pя± 3|я u3ѕ 3pю fhZю° 4яюЗяB 4аэ± 5JэA 5xюB 3« 3Јю¦ gHюЄ 4‘юэ 3rя“ят 3љю o5Gэl h=ю mgm3nюm h4э 5Ўэ 4F fCю› 5®ь™ 6ьыx 6&gt;э7 5»эa 3• 4быb 7аы ~6єэ ’3Ф 4XьP iMэ¦ g^яZя q4іэ— 5mь6 6»ьф 5}ьM 5Жюоя} fHюA 5GэБ 5оь m5зю~яJ 4Чэ ‘5bэ] 5±э’ 4@я‹яц 3=ю g5ХэY 4]явю ЃhSэб 5фь Ѓ5Ўю •3e 3ґю± 4Аэ№ 4Ђю¬ 3ся¶юЕ 4ЌэЅ 5–ь h6jю r3сяЉя ЂgBэЦ i]ь k6уьа hBюдя[ gNю¬ 4єю •3d feя5 4аэ8 5±эЬ 4ЙюG 3; 3&lt;яe 4Оэ ‚5ZюY 4±ю y4kяO 3oя s3ж 3€ю© gcюЮ 4Гю№ 3ЁяЬяИ 3ґю· 4“ю k4Юя¦я‡ 3Vяy 4xюO 4Тюw gOяђ 3№яE fu3ШяС 3^я™ 3hяЩ 3Ёяљ 3gяД 3я u4уюЉ 4еюу 3qяb 3Я 3ОюЄ 4XюТ 4чюд 3ЬяФяЭ 3Nя? g?я^ 4дю f4ѓ 3сюЙ 4ХэТ 5•эd 5lюB gr3Тюc 5Nю ѓ5›эя gKя^ 4jяђяњ geюS h^ю¤ 4&lt;явяЊ gEюЉ 5ДэМ 4kягяD 4ѓю Џh6юП gNям fx3UяA 4”юW h;юј 4Ююг f•fUя y5гэА 4Hя wfw4Ююњ 4ћюЛ f“3°яC 4 ю ”4_я= 4хюы fZя †4…я ђ3Х 3џюѕ 4Ню p4їя±я4 4кю Ѓ4†яT 3v 3bяМ 3Vяю 3Kя§ 3лю‚ 4Њя VяK 5ќэы 5бьc 5@ю o5щюxящ 3®яu fDюэ 3ч 3k 3сяTю jh\юB h8ю‡ 4мю&lt; fr4љя aя6 gNя‡ 4рэ ‰5Вюd 3·яСян 3`яшяЄяЊ 4чью 6ЫыЉ iYэ3 4c 4;э› 5aэ ђ5»ю= 3ья«яІ 3HяЎ 3Nяё 3Зюv gKя i3” 3“ю№ 4Ею •3Ж 3‘юї 4“ю q4яVя Њ4¤*ю 3Іяzя z4Люњ f~f_яB 4Чюu 3p 3Ѕю&gt; 4чю­ 3Эя…я  3™ящяw 3&lt;яї 3}якя¶ fZяz 3дяzя™ 4кэ” 3ъя 3¤ f@юN 4¤яЯяЯ 3Щю Ћ4©ю– 3џ 3|юµ 4Ьэ ‰5Їю rgVяL fRяc 4DяUяЌ 4кэ© 5iэЫ 4ею3 3± 3rяy 3;яЧ 3Юя5яЦ 3Хяe 3Јяля ~3l 3зяЬя ~3Ќяю fQяЁ 3ђяЕят 3Лю~ 4=ю; 4ћяgя ђ4gюњ 4Ею g3ж 3њюe 4™юе 3ћя°яЎ 3[яV 3Ея jfs3хяјя i36 3sяЙ fTю@ 5BюЎ 3ҐэS 5®яѓякяO 4›э» 3_ f•3ою&gt; 3«яІ 3їя’я? 3чэ… 6ҐьЙ 4Оя“ю‡ hAьк 6Hэг 3» 3шь† 6ь Љ5іяѓюh gEю t5ўюѓяЉ 3¦яОягяb 3Oятя ‡f3’ю` 4Ояуюй 3љюХ g5ю© 3^ 3мэl 64ь&gt; 53яџя €4ќэ} hIю… 3хяRя “4пю= fm3няўяt 3Ёя“ 3мюйя† gaяgяУэb 4‚ 6ЏьФ 3¬ 3Юю7 4Dьа 9†ь?ю— 3Aя¬ 7Єщѕ 9‘ц …=_ы| 3sя Bю« :“ф± q?х r&lt;&lt;ъ} 6;эQ 4L 3¤ 3vю› 4ўюО 3Z 4}эK hZэm 7“ыA 6TэO 68ьc 7Sы` 6Kя{яH 5aы± 8ЩыF 5Ўяэю4 4¬юн 5ъьЎя Bяє j;э™ 3V 3–яв 4хые 7Oь Ђ68ь €7{ь» 6ҐэЕю~ 5ШюЮ 4sэО 4&gt; fGюэ 5жьА 5hюя¦ 5­ьЁ icы ‡l;ъч 7tьJ htf;э ~8рщD 9Мъ riIяЫющ 6uъЛ 7zь— 6†э6 fh4sяw 5Яъu 7[эЙ 5aэ ‹3Ж 5їыж 7tы Ќ6ыэ: 4© 3›эC 5ьэ6 5?юш fGя‚ 3» 3FюR 5ЉьI 7Dьї 5^юфя‹ 4•э ’6\ь –6ФэR gYя ‰f‹4‰э^ 6оы‘ 7Ъы@ h‚3 э5 7Љъ­ 8Иъ’ 6ШюЦюь 5Ѓы‰ 8jън 7°ы yi&gt;я [юн 6€ъп 9Nш u9ЛьРя‚ iJщN ;Фч[ m[ые fE!5ьў 8ёш‰ :°щ} jGэuяў 7„щќ :МцЦ nHъ^ hj4жъ” nOц –&lt;їш!7­яНь’ kIщm :ьш: 8±ь 4Я f;ь@ 84ых 8”щЌ 5— 3&gt;юД 7№хo p9щ :iщ¦ 5й 3JюҐ 6Zъ” 7цьф 5РэЕя™ 45юј 5€ь —6ћэ­ 4чя =юS 6BыV 9}щ¬ 7Iэ ѓ4[ f6ю ~6Ґь k6ЃэA 5тэ`!4 3[ю Ћ6Yы h9GщЧ 8Zьм f„5Cъ¦ :пш@ 9LыБ 4d 4?ь3 8ЩщM 9кщ l8±ьY 4“ 3¶ьх 8vшс :Бш® j&lt;я°ьщ lOцѓ =\чТ 8qэ ^ю 8dщN :–шэ kaь x5sя@ю ’7Тщ m\шN m&gt;ы^ 4W hJъЩ :Тч wmYыx 4ё 4ЦыE 8Pъ o8Гы@ 6НэГ 3И 3Нэџ 6гъЙ 8ЛъЂ 6Аю¦юі 6Уъ‘ 8Хъў 6·юCяИ 4Ъэ\ h7юN 4&gt;я› 3»яюя“ 3‰юX h9эV 6Хьl 5ёю ђf|4ћэI i^ьх 6Yьг 5=ю €3Ђ gSэ Њ74ы 7\ьC 5hяпю¬ hTьѓ 7ЇыЛ i:э† 4™ fMэ Џ8NщS m`щ ѓ8Мэдю ”7УщЧ 9рщВ jYэ 3° 4сь3 7пъГ 84ъ^ kBь† 4± g`ыw :’ч¦ :нъ’ 4џ 5пще m@шљ 9чыќ 4T 3’ю o5Kэ8 i_ьL 7Lы t7пэаюm 7ФшD ;{шн 7xю :ю° jCъ3 8|ь„ 4A 3цю¶ 3Sяџ 3Ею ѓh[ь …8Съ­ 6Эюјэѕ j?ъd kTь ~4y 4§ь 6ФьЕ 4шюћ 3©юR 5‰ьа 5kю‹яЖ 5Оъл 8Оъµ 55 3їью 77ъ h8;ьl 5шэo 4ёюZ 4Сэ3яѓ 7Ящ u:Џчi :їьЖэF 8гч ђ&lt;hш }7Џясьђ k=щП 8¤ьN 3Ў 5;ы‹ 8“ъ± 7ЃыЖ iTэН 4Ѕя Gюб 6]ъГ 9¦щк 6зюиэ Љl^чљ ;учќ : ы= 3Vюэ k6яeь FяэяЗ 9ічњ 8Yъ‡ l^э‡ 3зю5 4VюР 7уч w&lt;lщc 6€я№э7 jBые 8ЈъН iCю` 5ЬыH 7¤*ь 4В 4Dыя 8&gt;ы@ 6MюЮя 5Йьп 5L 4Яьl 5ыюCя Њ7±шО nHщ– 6Ч 3Ць| 7°ы_ 5R fHяj 4±ю§ 3п 4хь €hѓfMю o7cы© iJя UюS jVыЈ 6жя Wь :XшQ 9эьћя Њ6Iьэ h&lt;я 6яа 5ЮьP 5aяeя qhNяџэ&gt; 8сщs k9ьс 3I 6Дъ w8Иь` 3и 5§ъё j9ю‹я8 6Mы° iZя5юН hdэx 5ДюqяЅ 4аюТю| 6ЬъФ 7lэ CяQ 6–ы Џ7?эhяД 6&gt;ъ {9PыE g}5Аыm 7ЂьF 4K 3ШюЪ 3}яџян faя 8яД 5Иым 7†ым 3Ж 5sюїюС 3…ю kjdщ …naчє 9`э @яз 5oые 7гъ„ 7Йь „4ф 3тьp 7aъ vlcъs 7Бэ„яA 67ы· jOь— 5ЃяDюu 6їыC jbьЗ 5Јюl 3E 3‹юф 5еь 5bя eюѓ 7tщ` :Rщ —7§яђь Њ9ышщ 8жь @яE 8Ќшs :Xщe kNэl 4lэ_ 5х 3юЫы° 34 oQч v6В 3Єъ° =Зф f9Гя_щђ @упю ?ЄщµэV =ђпЄ D—сЎ &lt;Хъ t3E 7YъF 8Јъe :…фВ sUфЛ 8І gYцЈ CЅл8 Gр j9µ 6‰фN Cвп9 pGь YяА 9гуз =ўшw &lt;Яу ‰;ґшL BVт –4Mэ hL\щ ?*кхС Yятђл5 HђчЬ 39у› ‰HЫБ @Ы =Їэ[ч ^ъ rt7щЪ 9Dфчэф qPя9ьЬтy GГцw &lt;Чо» &lt;П 5шэ}ю~я cыд @qп †&gt;­хA =a h4н mIМоЩ I–еѕ A6 :шм k{;зр Kёл ‹@бц Pяў oYшП =IпО p‡5ІьLю~я Ћ3Ц 7xюEы u5·ям :wтЬ pIъ} h~4Хэ ‹hYь‰ 8Кь6 3Q 4Pя•яD 4М 3fыD 8±яeэ| 6НэЮ 3Ъэf 7лэ Sь †8Аы[ :CшC 4Б 5ћ 4СэPюYю &lt;mцP 7Ђэn 5L 5єщг 9лъY 49 5*юќяСь ѓ:|эRь n4w 9гчx 5є 4‹я[я7яH 6Aы{ 6» 7ац° ir4Ж 3аюЁьЄ 7оюМьН is3ёэ ѓhbю t5yюF 3• 4дь Ѓ7џь»яѕ h`ьг 7­ъQ j^ю«я 4;эў 5IяУьК 6^ю№ gUэѕ 4КяC 3ѕюЩ 4пы_ i4ю u5Wю “3Ѕ 4йьр 5qь“ 6iюИ 3Зю~ 3\я} 5јъ5 7јэk 5dьЄ 7&lt;ъ\ 9lщ6 &lt;„т› F6н9 t5пк ADы 4щa ?Їф ‰FДЭЩ O­ч h8ѓс™ 7; ‡:уяъГЦ;&lt;‚Ъ 7R &lt;¶щ› JtµМh QЄЗ;”Ъ –wЏFMРв46Й• [ьэ LЬЎ Y¶Ю ђ^5Щ •&lt;й 9™ц wZJВ \Сй nTѕд±ыР 7Щ Jh K»ЇЛ Gв Њ&lt;х GЮэ 6ђ4µЭ оE FІ &lt;ЩтМъЊ }&lt;м4 :пюq f@сн AY 5sнт &lt;ѓ &gt;sхЉы ‡fz@Eх¶ю›ьн Kmб oBйьG 8”цK 3љ j;э ~;ЃхШюЉ ?K 6чяЮбp Uлц‡цa 6ѕыј M†ХH FП ;кш WэRы¶ Kфе ‡AЁшW 4ю A;йџ 9¬ъ MщЧ ЏOнм wQNЫЩ ;Ј GУэЄт ^л ђcИгр &lt;OдU ‡Uп ‰Etб ‘D­ю4 9ђ hOлЪ EEь† 4nч•ъ P=еѕ BАЫy6РЩ‡ ?Z 6бнТ OРчЕ =&gt;Мv btшjх¦ =‘мЫ Ooу…шбуќ P[ 3хвТ Q‹бЕ Ќ9ЩЅ LdлA ?3 =џвG JАпы Q8г“юФ KWЯT _тЭ5 &gt;єкM ЊLфЫу ^ьцэћ Mаё CБф “BЇ 4хр— :°яF 9Шцk 6K gcьш &gt;›пр 9рьC 7СшЯ mg83ч YяJ 5н &lt;ѓшущPы~ Cpэшч sg„6г 7cт= :р haяз 3йэ vj5чѓ ;ф 4фц z@oр= &gt;§ъ&lt; 7uът 4¬ :шфў kCя? gt74ц ‘?qф^ &lt;gц Џ&gt;fъьыЦ ;ахб AПо l&gt;ЖьЏя¶ 9°пБ F¤фх 5Ъя cя w:nр” Blфc &gt;Ръ Jяь h7щI =•х Џ=ФфП ;_эЎъС ?ёр– r]хм pbюПчХ k@ъk EPнQ 8vьм 7&gt; 3;ъ7 ;Tчo &lt;UтЬ @`ъищw ?uч· 8Eхъ &lt;Оэ@ь u8°цk B›рѕ :;ы Ѓ:Фя Kф h@®щђядя ~7мш ~6їя[яЅ 6Уфш &gt;Пщл 4AюA 5| 3льЈ gFэ q7•ьЏя r3x f|3&lt;э “6Гь‰ iZюaюИ 8Ущ€ 5&lt;э‘ 7ўц: qAщИэ g8Ыъ g=ЕрК =уьХэЁ 6“ы} :Бхс =¬х§ 8гю_ы r&lt;YхO :—щG :—ьјь l&lt;ЂхІ lDэy n@ъЮу? NµЪu WМеG ;c l&gt;чщ l4уg IGмT :ш jZтF H?ж&gt; Lакг =џэ[ы u&lt;жчВ 5n 4&lt;э4 :ЛчХ jNыХ m3ыXя Ѓ3P 3C 8TъТы&lt; oMьЪ fRьс 7f 3Ыъм &lt;iуњ &gt;щшХ 5— f`ы° 9Јь• 3йюh 3ю jdъЗ gm4пяTя Џ6[ы  5ЃюС 9Ґч h7fюt jUь6 4ѓ h\ыЧ 8Aэѕ 4›ь‚ 4F 9©хs =Схк &lt;щъ r3‡ 6Nъx ;dь Oье :Oц ‹q=хС keяШ 3” gcъЮ 9Ыы7 8Љы Wя h8‰ы Ќ9кчG 6S h[яЏь l5Е 5шю7ьД 7­э8 ;юу ’&lt;nц† 98 6@фL B^ш^ыП mYьЗ 7­ыcьP Cвт; i7э }5t 3pя§ 4Ёшъ &lt;*ч; :8щ5 n_щ? jdэ Њ3њ 3@ 89мщ KъмQ &lt;ћыC :еш© 4©ы№ CkрТ 4¤ f…6Ђюp 3† 5Єцg =ХъXю: 6ъщЇ nTыэ h\ьU 4| 4фэХ 8­у« &gt;Ѕщо 9µщкяћ 5›ыё lHъЁ 3ц 9\тb GJж» Jjо‘ =ЅъK*я mQх iseр —Aкц jJяџыБ :КщЧ 3Цю ”iowcХ xX3иґ ?ъ ;рлw 7р iЏ5К 5 щЄьЫ :Зьh &lt;—гЭ [›ЧB RыпЎь‹ @Fф9 AKи zEк 6Kо— y7зю PЗкz 7B qEе zVбвГ Dљч4чт QbФџ `ЎУ­ XFй¬ 9™ :Энщ Ekцзя‰ 8^фЧ D–мь ?¦ыгьИ =Хс{ : 6Ау† HтаП U=бђ HTчсъe Aйн ђu;ъQъD GЖа‹ \нКГ46Ц¦ VЦдR ?F 3Дшё 7– :„у –&lt;эZщL =cыЯ g:ъy oaщI 4@ &lt;7тН &lt;5чњ ;‘эИшH E&gt;иб IRйw Hбр§ 8Ќщo p‘4¦ 67*д VџЯ4 Њ^Ъ€ vs?Ља¬ ‘=Иv?У»Л&gt; ?Хг Mп 6ь &lt;«ој DстK rXп7 k~AМпF &gt;јщk 7°щн &gt;‡ум ;ҐфТ ?¬э 8х± BTпя D&gt;тЂ 3b =еф q@Xр† CЫфBюЕ DДд †NћзШ zHф&gt;ящ ?¦о fEї*н ?…ы”юА &lt;\мп EЁрv {&lt;ршэк &lt;Wш …=юп± wWцК 3„ 5«щ „&gt;ѕт uqOч ѓA©н |BЪр° L`нўюџ 6ёуО S®Ч u\“ХА `ПЫ ‘:i mCчо NsЦH Rkо ADыэмЫ JЬр ‘FЌно 7y 8Nщ ro&gt;л• JщуC ioiOхy CMкS ~dкx ?ћюcшh Bяй rzEф3 @*тпыў D‚пы @—пW @Чщ †h;я«ьз 6ЎьЄ 7съ Љ6M 3®эE i=щ7 mQыс 6Lэ э·яЧ 6@ 5–ц pjЌmMц h:Ђх †q&lt;ьt 6”чЮ 6Э 3X 5ШэИэ? 3в 5[ 3зщї 6Ў 3y fWэh 4Бя ђ4«ы© 8Aы” h“f;эё 6ђы {8Вь;э7 :EщJ m;цj &lt;Љшq 9WыБя7 j?яЗ!3цН s5цb 8зыA 6З 6oу Ќ@Іцл 9З hVс” p_ь&lt; XVИ ЏB± 5; CUхUр¶ Cйя• =эзЪх™ V7 7oлќрC F¶ h‘kOжќ =Џ &gt;©ь Fча fhoLъ]ьN 7;ю[ 6иэwяIю _э ‡&lt;хьxшN 7J 6†ши ;кэ Eь©ьВ CЯ &gt;ЁжьЬГ ddпо E•*Я =k …AОC [dЦ &lt;7БП gDф &gt;rъmщЉтz SБе Њ;Bт8 RІлP 4ф 4Ћшз EУиg OЎЭ “P­пЏ 6W :чу x@рсN @чуЃ 9&lt; 7Tъуьz Bzй lEMчН =ПоП ?9щ§я Љ:@щЋ keчN &lt;=яrш: &lt;Eці @—у l:Хщ ђh‹:­тќ v]л7 JьмP =аы&lt; 4а 5мщЈ &lt;Бс« Cђу k&gt;6оЏ Eжц }5и 4Њьї gѓ3љ 3‡э h8ьш° :±ш’ 9Иъа 5ьюЂ fo3&gt;юЧ 5ј 3Фьv 4Kя‰ 7bщw 5» 3є 4Гэ Iя h4&gt; 6ЁъQ 7Э*щ &lt;ОцТ 7{ыИ :цыjыw :[ш ѓ=џцё 6щягю ’jCч &gt;Ёф ‘&gt;«фF &lt;Ћъь :щц ‘5¦э —nXэ–я Uчp &gt;єш j;pфк =вх] B;оѓ lЃ4F 7Оь FьЁ 5„яЏ 5¦я]ы„ 5Ёэг &lt;pуш =кт nDWпк ?¬фг 8f 5&lt;щч &gt;kнY y\пщ Aeу Њ&lt;Ры3 fЊ6дчж &lt;¶чT 9}ыA 6ЊэIя3 8VшГ ;xу Ђu=х† 8Рыг 4Р g;эК 4Шэ •6ЋюAюs 4ЙяM 5Ќь Fяl 6T 3Йэ =ял 4k 4&gt;ьљ 5hья lBъћ g:юF 6Мя GяЯэю 6¶ь x7ыр 5цэЪю l8eыЈ 7;чD &lt;ћэ7 3Сщђ 9к 4N 3`щ KьG @µщA j&gt;и Ќ{l8&lt;эЮтp oy;рцЩы„ 3њ ;яъ8 4hъІ BUао ^АХИ WШдA :Й 5Ця ‘:гс‚ :Є 4Nыt idю† 3†яTя 8‰ъИ 6Лщр mWъ№ 4Ояь jEш@ &lt;єс® B“тњ ?6цг i‚gaю „6КшР ;}ъ&gt; iAюЫь ‹:Іьsю’яЈ 8ШъҐ 5иыҐ :‰ч{ 9Сщu 9gя bъ o9жы[ laщN 5јяl jMч„ ?6тб @™у y;rь s3q k_фш @јцЫ 7ѕъз 8_эyяль5 ;ЋыKяЛюђ 7¶южыц 5Ф 6o 5JцЃю_ :® 4Ґы9 3лэШ 8ЂюБъ Џ;hщ@ kbы| 4п 3i 4Жэчюu!5юБ 6iы• 5ГяѓяУ 4bъo 9†ьм 4и 3њц± u6фІ oXфО ;oяїыt!7щo &lt;5шE kRь {4В 4йякэUяо 6њь? 7Cщ ‹8ШщЁ ;‘ъ”яg 3Ѕ 6ыъ· 5дыТ 8дэУэј f@юZ ;¬хМ 6Nэm BОф Nцф 9¬ 8њяPхЖ k…iЉ6ьш IшП =М lMч Gю VэА &gt;цф :BфЇ :Ы fHщ ђ;їшҐ 9bьШэј 7Тыг k7ш t6Э 5‹ярь~яМ 5я 8nщЎф F8р­ G~г gMЩрЫ nCъµшT F;оГ AXтЮ 6K ;љх№ :пшђ 4х 6;ы3 &lt;@р¦ D5рq @Шхq 6u 5DъВ &lt;—т– @Пф° ;ПыNъу @uсУ BТкћ &gt;ю 6&gt;шѓ &lt;@йЯ Vщг …s:х| :O 5НчК =ЋтЗ uDу¦ m&lt;ыЧ 4ч 6ёф =Ф 3сшФ!9чЋ oHыўяь 6xх ЋCЕу€ :Mьъюc 6эРю® 8¦чЃ o\щИ 6Iь sj[я„ь¶ 8Уъ‘ jQэГ gAю ’4ѕ 5Wшq &lt;тшн :iхЎ =rщИ gj3Ј fЋ7жхQ m=ьw oOсt Aџт@ &gt;–ъe 5Ѓы± j†4‡щi 9бэєэ 8дъ v6°эh 4S 6?ш &lt;uуR Cfфа fЌ5ЏьS &gt;eт‘ :xэщя\ 6™ц: =Юъ’ 5‹эbят 5цяlэЉя3 5Іяў 3Мэ} 3tю q9Цщr 8cщЫ 7dяЅъ» :кыж 5eщG ;kэХэOя ‚4м 4Tю }3ую •5йяУэPяC 6Vя&lt;яLэТ mBц9 &gt;bфQ 9 7qх· o[хІ r;чЌ 5Я 5yшЉ &gt;±цъ 7ВщU :Пя\щ x&lt;Kхx FЌи‰ rSщ„ 7я A&lt;дЅ DбтЦ }=нqъ¶ Bєу§ FМз‚ &gt;т 4wыЇ :Fс –CMца 6іюџэТ @Tрd 7Y 4ъь p7ЗъZ &lt;ZшВя t7hэЪ 7уч= 6 3Г 5kю Kчd wBфr 8ЗшУ j‹iJщ s;Pц&lt; &gt;гфY ; ьђюк 6Yы® jQюдюЊ 6·ь†яE 5єяЃэ –hЉ3_ 6‘шV 5M 8Nщ k;ІтZ Bмц­ 3@ j]чv CЃму C{рв BSфш 7Сяны§ n_цЭ =Шф Њ;€ь‡ g}3ЂъC ;®яЈюшчУ l‘g’4съЉ 5Фь m^ыЮю¬ hTэ t7—ьД 3ґ 6гц –=°цZ =zхб 8; 3ЏьМ 7уъг 6‡ю† 3ю 3Zц: y3нЉ ;”ьф 5Й 6\*ч 66ъ ђ@cыwуp q:щ7 UѕЙ ЃWAгP acУ iGmп¤ Ѓ]л‚ =Рмп OTкh ;ЙыхяЊ &gt;*р­ ;Dт¦ IЊт KяHю :№щ m&lt;пфе nHх„ s]чвь: &lt;љь4юняBю ;Hц o;”уъ ?ющ¬ g}3Пюљю€ jBюјюКыХ &lt;ўьdю Cэ¦ 4« 7кюІъья· 6ї 6Zэxче lwi[эЙ 3GшZ =уюИэды– 6j 5хэИэЈ 4щ 3гы] 8&lt;ьъ gs5Эщ Џo8рj Gсл hF&lt;о m@JьТш« uFо h&lt;‡ 9¶уЃ &lt;*у prv4Ъу` ?tпK IMрВ lUчM BVцЭяСэ og–AПл&gt; ;”ює :?ъ?ы hiЋ8’э±я3щљ :ия¤ю eя=эО 9ВщЙ 6ѓящь— 8тч‹ :DъЕ 9}ш9 8ящ| ;ЅчХ 8¬ъd 79ю5я r3Џ gy4ЙыЮ 5тэ™ iBъј 9*ъ yi3э jh–3mэ ‰7бъ ~6Ђя :я® 3uяшяѓ gIэM 76шЁ &lt;мщЊ 9tх ‰;эч!= Aч» 8¬шМя lAљпl 4T @zщЙыK g€5? :Tрy &lt;rщЛ ;ъќэ€ 5;я™ q3ва QЁф ьs lNхB ?FчК 8DэжэА 8cх™ &gt;џц m&gt;Tу± lwf6ь qn3ф …&gt;‰ш§ 5¦ 3”ю‰ 7kъx 5ея^ят fcэG 8сь† 49ыzэМ ?йчБю€э~ 9е 4жця 4ѕ &lt;qыцхЫ &gt;ЧфX uaхn 4ыюO 6ґюy gdъT :Ј 4|ц9 :Tщ Љ=Йц¦ 8©ш’ =@щnя –hЋ3Б 3щш Ћ:5ю« 6пщМ 6у 4щъ €8Рхd vUм} J»иi BЮьющµ =єт ‚pRы pj‹4Iщa ?До vs?цЃ @ќтЅ 7ё 5@ь= kDщ· 6щ g7ъЯ :NьЎю XьS &gt;XфВ :Zъ” 8ою›юFыK mcщв jp5iяMшЉ 6{ qKо” B~р{ @Цьўък 5Дэ m&lt;sх mleъ; mEэШ 3Oы… kg5Rх• &gt;oщЊ 7уъy 4п 4Вя” icц p&lt;рьЯя NюЁ 7Xъµ 7кэ i5ЌэЪ 4цьп 6ляюы№ 7Цэ© 3кэo ieюЉ 4uьЕ 5з 3sюд 4БьМ 5Dю| 4§ fOюR jTщ› :пъ ‹3Ь 4ЗэA 7AяВь Jю z:¬ьр gcъо 9ЅыГ g3A 3ьэ® 6Іэ Jя }4Ў 7нц Џ;Њщї 6А 4;ыж 6Dэђ 8‚чQ 7p 3K 5аэЗьџ 3ў l;ьRя;юѕ 78юфя[ь ‘8юе fSьo 5Й 4^я}ю‡ьъ ;¬ц Ћ&gt;Ас ’ADуЭ =Мшы h_яuэ p&lt;љх ђ&lt;Ѕх j;Cъб 85эi 39э{ 6?я_ 4rь •3] 7Wэ`юо gaя ‘7Ґщ †6„я} 5†эпюг 3Ъ 3Г 3Ѓяmьџ 6Ўэ “6€ь\ 6wюB 3lюХ 3э 4мьz 44я Џ4ФяzяЇяв 4Иэћя¬ g^юљ 6Зы… 6`ь k6Ьюb 3вюаюb 7bыn 6Юь— 5?яёю x4XюА 6‰ьн geэD 6тюsюB 4·яm 3ґюп 4Ъяќя†эg 5Кя ‰f&lt;ям 3S fЉfk3Бь: 7Бь ‡iEэД 5pя 3ю ‘4f 4БяПьІ gЊ5’ 3чэ 8ьC 97э† hQь«яЄ 8—ъ •6nю Ќ4іюЌ 4EэB 8ешв 95ы €7НьН 5ѓюРю …7Џъu 7–эp 4Єяб 3њяпю y3† 5Љюбэ 6лэХ hcьY 5а 3Fьј 6еыц 9?ь®юПя ђ4‚ j4х l=Ыщ&lt; lGщг 6w 4рэт fRы± ;:щЕ 6Ыы ghth`юg 4ґым h‰4ЖюҐя© 3ґэ ‹9Рч q:њъz 6aю ’3A g9ь… 7бю qf9юw 4Ђю} i:эы 3` f]я —3УяN 6bъ5 53я 6&gt;э |f]юd kTэ*я’эG 5Л 3бь= 5К 3eю vg7юb 4*юъ 3Y 4rь Љhi3Н f5ю? g—3;ю­ 3b 3‘ 5ґы] 5Mю° 6»ы sh3ZюЃ 5ФьМ 4S g^ю&lt; 3Ню© 4• 3УэШ 3—я= 5ЎюлэИ 4љ 3‘я ]яjюР 7ВьB 3Л+я ‚4ю Vяђ h\я{э© 5„ 3›язь |4h ;ґшҐы y5¤ 4Х 6гы „8Гу ‰=тэlьл :ЇцИ &lt;щц= 5^ fy9°ъЦъa ;OыT 7*ъ •33 ;hхl 5Ю 4n 5wюEъJ 9gяrяsю»юв kZь?ю h4Ј 6Pэжю Ќ4‘я s5Йьs 3д gYя8 gNы? 9„ы j8{щД h‰ft4ц 3ыьЅ 3Ўюћ 7&lt;э¤я°яyя: 9гф i&lt;ЅыЫ 7‰чМ 8hю= 5› 3Дщ €9Iы ’7dяђэe fi5‘ 4pъ— fz6л 3Њэюэб 5\ 5‡ые 58ь^ 7ня—ы n4&gt; 4Ж 4э 4ҐчЄ 8жэ} k\шр iOяyю‡ 7lш —=Kшy 5¦э h3R 7dя9э5ы7 @‰х 6јыЯ mKю [ъс 4? 5ю 8^т „?Tц ЋoNъБя} jZы™ 8эц k&gt;«ш© 5–яїэ4 lWщУ 5aэ ~:Hъ¤ 44э“ jYю o4~ьй 8xщ sjЉfDэц k4шZ n6фm @“хv A3оr &lt;ЗчІ ?ЅьZц· 6Й p4шzш— 9Н 6Й feу n&gt;©ф• Lьз? =УсЗ GЎшВь _ыХ &lt;  4ъшЁэl 9Ћ 5hьИч €&gt;М h[цD 4k 9‡юЁэ6яѕ 4Л hPя°эsюц lGэ TэD 5b 3У 4«э№юK 3l 9=ыКюЪъџ w7пХ t]м xGмуь qFмm CaыК gUшB ;‹я‚эkы‚ =Ћь bыxэ i9у oWл —&gt;хш| BЂпс ?8н iJўнj @¦п5 EУу© :Іх© 8p 8пщс 5Џф ЉEkтU =рф Џ7o 7тъf 5mъs =«ф\ &lt;©шB 6Є 3l 4hщ  7] 5aю„ы¬ 6§эЮ kFъ3 6ы™ 9џьBя] 3x 4‘юлюs 7ќш† ;йшЕ nPф” &lt;јш± =¬ч CяЦэ …Kе5 8щшs Gyујъw &lt;Вчr AKно ?9ъ’ &lt;фч\цb EЮтk xdжЎ HЩсЊ @JеZ XШеђя[ nЌ7ЄыьчІ 9А 49 7Юч›ъy pѓhFщo 9єхь =их• :Sэ \*я 8фхH 8“ 4 hHчP 9ђщ… @Ртў :bщB 9—ювюҐяYя o6^юҐюK 7№ьJ 6Шым 54ь: 8Чь n9gщZы· AЁъ &gt;цН 8њ 8Ї 4ЪхЛ 8§ыА 9® 9•нР h’?ї 5AоN ?Dчq!Eнh i’gЉtSоюя‹ ;¤ 4qшз @Кв&gt; P‚ъ–цЅяe pDыA 4:ш№ &lt;FьA &gt;Eлў mђ7Ѓ 7=тф =џыѕ 4&lt; 3іьµ 5G 3и 3°ч® Baт‚ 8Fыh &lt;ыщ”юн 4№э f;хф‡ 8иэЋ lEх t&lt;Џь[эF kFыд 8ш —7v 3Ќ gLя`чА =©ъѓ 8gци ;®щ{ 9ЊъД 3Й 4iяћ 3}ъs ;Aщ` 7ры± 5tя— gTъФ hj^эшы …hm6люпэµэI 6џ 6dъхю Љ5w 7ўъВ!4щ` 9&lt; &lt;єс‚ 3зюВ EќоVюЅ 4J =№ь &gt;хЉ :&lt;эV &gt;bтЌ kRъ l?УчXэ— 7·я s5{чT ;&gt;эЁ iaхќ ;w 4@ьСэ 7Ы fYъP n[цк =Йтщ @Нфй oNф y?Їцj k=эб i\ы ~5ҐяЎ 4ЌюІ 3ьюЗює hv3фэ Hю k9иы‡ 4&lt;ъз ;GьO 3йы^ 8сюhя GяKяж 5ЮюyяДэП 6эюВю r3– f}gOэѓ h;яФ fdюИ 4Бя5 3Кюc 4няЕюQ 3Е 5xя«ья fj6яьf 3Вю± 6„яsы’ 5T 5ЃяZюЂэЄ 8yыг 7Sън 5Я 5]щ™ 9Џщj ;…ш }5№ 4iь s&lt;vт– &gt;йч· ;®ч  iIя!3І 7]хн @©у ’?{с№ pAъЭ 5Є 4Ћью 5ћъ!:›ь dяуяt 3’ 5ь o3? 59 3¶яСыY 6Ню ‚6iэЕ 6щeэc &gt;Вщч 5штY &gt;‰ gDяaырю p9]юфы± 5„яЇ 7«чІ :gч№ &lt;&lt;чџ :їъў 3µ 3 юф 7Зщg 8Ышl &lt;ЉчЭ 7ґь№ 5_ 4ьщl 9 ыo 8ѕш ~7” fFюЎ hEыЇ 9ьщЈ 8Iы m7—ыЯ h–fYяў 3рю‘ 5‰ю dяw 3m 4ЄяQэ\ 7Мьќ 5ќь@ 6ЅяПюи 3»эs 6ѕюC 3Rя‹ 3!4ѕэЕ gIяr 5QьЗ 5±юL gbяЧяH 5А*ь 5zюs 3й 3вэu 7aщj 7ня’ю– 4ўьз 7·э„ 3¬юL 3Ѓ 5ѕь; 6тьХ 5шэg 4nю oiKы €9Ўы •4ВяЖ 3  3Јя5юЂ 5єэЇ 5@э? 57яHяd 4июТя3 4M 3оэf 4gяц hAы† 6вэU hSю Ќ4Aюu 56юХ 4Zэз 4‡яся ~3&lt;яз 4_юlя Џ4ыя ’fRя ‰3— 3зяv 3щюg 3ЬяU 3Мя Џ3&gt;я ‘4ыяїю l4СяД f:яqя· 3v 3p 3лю@я\ gu3‡я¬яn 3±я№ян 3†я‘яC f~3m fTяu 3™ягяM 4UяSю qg3† 5ЯцМ 9ўь ‡;пшЁ 3Фю j6ёюЕ iVъды €9U h4эҐ 6ўчD 8вя| 7цыЃшр 99 4z 4Іэhы‹ 8”ю ђ5Ыь Tяюя» 4” 4~яЈэp 3ё 3Z 3c 3Жю MяИя “6jя–эr 3Ј 5ќю 6э €6Ѕ fNэ 4A 3ш 3Сэ f4• 3‘юЧ 4&lt;э^ 5жюЦ 4дэў 3№яА 3Yя ‚3Уя“ f]я9 4‚яСя­яu 3ыя ‡3bяѓ fЂ3l 3ЙяњяХяЏ 3E 3—яфюЏ 4я x3xя© 3»я •fЂ3Kяn 3q 3°яйя …3­ fBя ‡fn3ч 3®юЉ 3l 3jя† 3єяЋ 3шю» f€3ЩяУяШя ~4зюў 3&gt;я ѓ4zяЫя5 fkf3ВяШя!3џ 3ѓя·я Ѓ3x"3Ояўяќ 3Ля; ft3”я –f‰3@ 3±+я ”3Пязя„ 3¤яЖя@ 3бяB 3гя«яQ 3Тяy f&lt;яµ 3БяA 3iя ђf‘3 3|яОя ‚fufЂ3&lt; 3±яняия» 3^яg f`яt 3‚ 3ня cя “3Џ f•3KяW 3гяуя m3; 3Ўя4 3ѕяќ 3Dя¶ 3ћя3 3ЏяИ 3—я\ 3Ѓя€ 3лявяї fWяZ 3ця 3я }3ІяЎ 3ґя› 33я —3U fvfw3hя| fs3X 3pя Џ35 3Ия ‚f}f~3џяЋ 3ВявяB 3чяцяѕяЪ 36яR 3ќя— 3ЙязясяСяљ 3ЇяЯяПя_ fk3©я vfr3ея {35 3ФяМя „ffm3ѕяE 3Пя@ 3Бя “f‚3Чя&gt; 3ПяQ 3?яь 3“яюяЊя… f†3Ояљяg frfn3ля!3Їяo fgfђf_яй 3eя  3VяЌ 38яЛ 3«яP fdяд 3±яшяЎяи fNя6 3Бяе 3йю ig@юA 5…юҐ 4РыУ 4: 6nюҐэ g3b 6rэC 5Ъь`юh 8эяяѕ 3зя z3*яая e*ю 4Вя o3яЕя• 3Ая:яі 4РяdюҐя x4Чяg 5eь n4•ьF &lt;ты Uэъыf lmg7э Dэ{ ji5ЃыEя’ьО ?‰чЏь Ѓ43 6† m7чЭь­ hk5” 7°хЎ 7ф 4Lя~яХъ Ћ;ћэГя№ьЛяў 7}я ]я±эF 6oю†я “4Иэ u6—эD 5ыье 5Ш fCьМ 5`эя 5oэњ hTюш 4кьЋ 6йьЋ 5йэ; 4«ю· 4L f@я№яД 3µ fSя 5я] 3Q 4r 4ћэґя“ 3@ 5эC 4kя 4яk 6ыър 7жыI 89ыМ 4¤я 3ш 3‘эЏ 4—я x4шюЉях 3Я 36ю*я €4фяЁ 3ўэ· 4Ґ 3уя Aю o3v 4‚ 3Уюфя‹я ѓ6¶ь‡ 3HяE 4p 4кь —4ъ 3µяsяlя3 5ЭэBяo 4’ 3Єяјя©юm 5жю3яE 4mэ_ 7µьъ 4їэ&lt; gt5vэX 3ЉяЁ 3= 4iю&gt; 3’ 3оя y3‚яЁ 3—я“ 3ёяГяK 3? 4†юe fѓ3† 3ЦяGя u4•я^ 3hяЅ 3цяая z3еяляi fzf‘3шяҐяT f–fofn3вяv 3ЎяЫяB 3ў 3»я€я …3Б 3‡я Љ3oя6 4љя5я| fЏ3Ф f]яІя„ 3Фя] 3Уяья h34 3ыяіяo f‚fs3tя ’3a 3тяf 34я› 3ЊяС fLя‹ fj3Ая €3Ўя’ 3јя †3№я –3ЮяЯяі 3gя ‘3ХяG 3№яE 3юядя&lt; fm3…яЌ 3a 3¤я‘я “3‰ 3ЭяГяЙя• 33 3я ifЉ3I 3Љя5 3ТяЖ 3{яхя®я‚ 3кя r3Эяљяx 3ія: 3|яb 3ТяПяN 3№я v3Зя5 3­я w3дя ‹3ЮящяЮ+я }f…3—я s3ля ”3Ія q3жязяЬя ‚fh3Тяџя5 fv3ЁяЮя Љ3ая·я †f|3»яхя†яv 3Эя 3ЏяцяS 3Ня r3Тяфя q3Фя: 3Їя ufЃ3йяЎя Ѓ35 3вяя ЌfЃfq3я ‘fm3пя©яG 3§яЏ 3hя9 3ќя{ 3 3шюЬяh 3Ыяz 3Шя·яКя g3… 3Жя°яT fv3Ѓя3 fv3‡ 3€яЙя ’3ъя[ 3]яҐ 3жяТя ‰3ъяw 3·яѕя ђ3ояИ 3явя „3\ 3Ъя y3ЮяСя› 3yяl 3§яҐ 3dя[ 3*я pf”3њя` 3ЫяB 3ъя wfѓ3Еяh 3Юя Ћ3Ъяa 3Мя ѓfЂfЉ3уяНяѓ 3Ля –3¬я7 f‘fi3тяпяряN 3Ъя Ѓ3­я&lt; fk39 3ія k3дяy 3єя m3йя ‹fg3эя r3Тя uflf}fi3вяЛя ‰3ъя rfs3вяЦя †fЉ3ьяЦяХяQ 3гяУяэя ђfy3ляЅя zfg3F 3­япя yfnfz3Ыя v3Ъя l3чяДяD 3Дя m3ня kfh3Ня ѓ3Ая q3цяъя „3№+я }3шяйяИяаяJ 3аяРяаяея ‘3Ая q3Ояжя ‚3Юя „3њя …f{3аяПя mf’3Юя w3Йя }fof~fl3еяря …fgf‡3Юяфямя yfЏ3Ыя Ђ3Шя; 3эяУя —f†3щяґяV 3Шя: 3Ляc 3Иязяия x3‡ 3Ўяжя3 ffЌ3З+я¶ 37я ѓ3*я· 3цяuядя™ 3Јяf 3ћяu 3ГяТя w3b 3кящяЏяg 3Вяf 3ПязяРяz 3ЁяЈ 3Ћю ugj3о 3чьD 3| 6ЧюаэЬяЫ 5Kюд fRюэя§ 5Пю„яЖя» f~3uяЄ 3Tя!3 aяk 5­юP 3{э­ 5†яуя}яP 3эяЅяъ 3xюM 5кьH 5Щэ —i=яџюЧя!4”!3яє 3sя |3RяЗ 5Zэ… 3E 4єя9 4Иы| 6…ю{ 3ДяЬяб 3“ f9э i5uя Њ4љ 3ЋьД heяҐ f^я‘ fdя s4Ґю ‘4ШяеяKяҐ 3] 3fяIяр f|fofJя †3ф 3Ч 3ЈюXюо 4їяйякяЊя m4Zя‡яа 3zяx 3¦я¦я‰ 3m 3ою 3ЙяР 4lэтя“ 4} fOюџяN 5‡ю&lt; 4Жююг 5ую‰ 3Сю }3I g•f^я Wя ЂgMя ђ4ЈяуяпяжяY 3® 3cюu 4Шю ngyf9ям 3ЁяЗяѓ 3Ія x3u fJяѓ 4vю gIя† 3@ 3®яйяеяZ 3°я x4bюЂ 4ѓюU 5›э •go3¬я ’f‡3^ 3‹яЦяй 3сю№ 3ьяI fZя\ fЃ3З fPяляМяЬ 3„яГя u39 3bя¦ 3rяу fbю8 3· 4Hя [яMяи 4ъюk f\яЕя ”4pяЦя»я&gt; 3E 3‚я …fw3тяґяU 3–яK 3ОяМяv 3`яЈ fXя| 3Фя •3мяЮя¶я9 3хя; 3Пя¶я —fЂ3кя }3дя j3ъя ofo3яS fЃ3&gt; f5яжя w4»я]яКя• 3фяыяyясяЇ 3ЄяФя w3ря mfqf{3НяЭя!3L 3вящяя: f•3мядяьяы+ямяO 3кя h3tя4 3¬ 3Зяtя o3¬ 3ія m3ґя s3m 3ляФяЦяі 3ВяЮяГя xfg3Z f~3Dяa 3s 3ыя±я p34 3°я5 3Ѕя „3H 3вяШя g3МяD 33 3ья¬я!3u 3ЮяНя }3ья …f~3пяАяT f~ft3№яF 3хя ”3Ыя {fЋfЉ3єя Њf}fif{f€3јяI f‚35 3Њя? fЃf–3¬я&lt; 3Фя fr3оя if’3Оя —3›яВ feя_ 3љя!4 Kя €3ряхяc 3юяbя GяQ i:э• 4‰юХ 3^ 3’я6 fIя i4ряhя ‹3љ 3йяLя m3њя&gt; g‚3Жю Њ3В 3љя p3€яЕ 3џя Љ3bяѕяБ 3› 3ИяUюm 3э fr3Yя¶яi 37 3t+я? 3оя o34яѕ 3йя Ћ3©яуяL 3єя L"3 q3ЯяАя6 3B 3Зя©я hfЏf€3±я †3щя „3ЮяХя!3J fi3Зя»я: 33 3*ягя­я; f‡fЉ3ЈяцяI fufg3єя pf”3G 3ФяЇя m3` fЃ3µяЪяJ fmfi3дя †fj3чяоя ‡fЏ3ояфя qf€fh3юяпя ‹3пя ufwf3Ьяхя ‡fЏ3уяОя!3E fo3ыяЮя |fЂf|3Ыя ѓfnfx3оя mf‚3юяыятя {3ля ~fr3дя ‰3Фя ‘3жя ‡3ся “3ТяХя? 3СяW 3ґя9 3rяA fp3Ђ 3?яѕяe 3I f—f&lt;яe 3K 3ця±яШяЋ 3—я5 3Фя6 3вя y3Ря y3дя ifz3зя m3Кя {3ыя j3Эятяхя t3цяыяЮя 3ьязятя }fxfi3·яряH fh3¤яГяH ft3ляЁяля= fx3Гяќя 3C 3Уя·яфяP 3фяѕяЙя? fl3ЩяХя ѓfh3сяХя ~3ьяыяжяЩя· 3mя ~3Pя q4ѓяL 3Hяј 3fят fVяM f€3њяJ 3­яы 3‹яОяия z3X f‡3”япяЬяК 3їяћя —f†3ьяцяИя„ 3®я hfhf–fѓ3сяЦя ‘3кя9 3Вя ufkfuft3Хя pfx3*я h3пя jf‰f~3бяхя „fЃfm3хя!3 Ќfofj3щя nf’3ьяояъя Ѓf‡3уя wfwfl3ця wfxfrfoftfof†fkfz3оя ~ffs3юяуя Љfwfv3ля yfЃ3ья h3ыя |3ця }fl3тя kftfsfk3ья ofgfw3ця }3ся zfr3ъя k3щя ‚3ыяъяэя sf|3фяхяья }3уямя |3пяья!3 gfg3т+я i3ыяшя!3юяця g3хяъя l3*яуяхя m3ыяыяйя i3ьяья jfi3жящя l3ьяЭяюяЮя l3хяыяйя r3ъяйяыяшякямящяхяцяьясяьяшяшяояуя o3ъя g3ьяЪя v3ряшякяхясяся i3кя j3зяся j3сяъяйя gf? 3</t>
  </si>
  <si>
    <t>RI*Fм3!3WAVEfmt †C"3 gfg3Ђ&gt;"3}!3 hfv3dataИ3!3M 3–я p37яРя „3¶юЖядюГэ &lt;я¶ыtэ `ьх 3Л 3у 7t kx;Д ?] Aн @w &lt;ьэAь;ъ^щ‡чЁхҐреуыс HъМ 4Ж 8­ j“3ќ 96 ?р vwvr&gt;Щ 4ћ po8• ?§ h&gt;э Gя€ 4Въqт ZжeпCцМь NэИ Bу &gt;8 4Zэ3 &gt;U :ъ 5Р 9f 4Ѓ ;9 3Йэ¶ъ eпёй›лЯж€н—р3нЪъ 9юм Kj I© U’ Ow KL MЉ P™ Nj nOщ_о8пOт8хЫнUчcць4эЫ 4д &gt;5 ;щ 4о 6фя Ђ&gt;&lt; &gt;вэ4й Tк ;пµр 3о›у ;к Tжxфяы[ 8г ?  ;N j”jЏ5I q’H@ч„с№тGя•ы dщ 6я~щ u8‹я ‰9н G\ R· EВ BК LI Rњ MА Cњ @C &gt;” 5» 5Єэ&gt;ъйSиИк¬рtэ¤ъРхЦтfы bы@ы g7ъэ·*цш:э 5э&gt; 7&gt;ыіс 8ь :ю€ 9w 68 7K :Ї 93э6ыt 7Ью·фQх JэјэDы„ъ6я® 4цхЖш!@® ?Ё ;ѕ hg=Ы &gt;¶ AЏ :Iы eю &gt;шЇшp 8U 3[ыmя Ћi]ь] 7ѓ ?Ш 8П 9Ц BE ;4 ?ж j‚4ѕяzц =т‡рнлЛеJе\л\ф¬ h‰oЌBY CЉ Lш BC ?o w’?” 6Lъыужуgф FрAтGщEыЫ 7ж 9y 8A m‹6™ &lt;Ч h’6}ыoяІ 3Ѓт 7эх 3Їьеъ †h’7чэЁ :f 5о 7^ &lt;nоo 4ая№ыЇ ?®эЗшЕ @џоCы¤ BІщс 85 BR 5h AF n`ъn 3yь7 4Њ 7FюТэ 7Еэ Њ3З s7ыК 4B &lt;Ї 4=эg &gt;е =ўцtшВуёъв 7кьОз Eч=дщлЂф@рNх_учтt 9± ;Щ su@p ip4м 8ь =§ ;е 5ТуpуCш m4J n•9љю® 7ы EЙ OM }”wkDВю p3 ju7‡яTцЇнPщeэ9 3S A€я XуІ :‚фwюг mMй¦нј CЂч –p|E№м« mVщІф@ &lt;ѕк€мkыЦла 4DяAьХ 3Ё 5° Iф 7ё Es o&gt;ч6рbл AчzуYч™нќч&gt; rv@с =„ F5 =&gt; 9E x”H] :– =И &lt;µч 9ъњ h6ыщоЭы “4Ѕ &gt;Э A‡ m~6€ 9… 9ч &lt;я HЁ 9Qяuфгс­ы Wя№ш{хPфЅтЩщиьст&gt;о 9ш_я§ю p9Г 56яЗрђюћю w:Йс&gt;ъпчФ :а n}k…6Ю 6p Caьa Go B„ 4‰ 3Ё 4w 66 =Y ELыЇ 6KолпУ SYеBн &gt;:Ќшг 3Ј ZЖ sWбm 6T 3sкћэ 6г CЪPмNу¤Щжьёы‰э? A« lTф Oьњ 7ъцЪЯІж …9ирwрB Eе Nж Jџ {’7к Dё 7ўщБьh Fу ;F &lt;Ч 6*ыH Gq AЉы ‹npN§ BГ gЋv…6‹ 6Q ?”яL 6N 7v j5э|ыЕнeъо 3дхйъэшhщZр Iх5фVъ‚эЋ 7y @Д 9єтЂс‘ 6Fх|сънvщe :c iTыКх ‚:М 9ЊшH „vDюё 8­ =«рqуЃ 3yюч =L C4 8± hln9&gt; k]уМьT 9ъ &lt;¦ Ax ;y :ч 3±я v5D 6^ 7Џыєч 3jш Nу NщЕпoцO 3чы Џ6? EђэылЗо ^э· hu3aъ j“=5 4O :К :WшЗэп 3pя} @– AiяjщNт6щ |;`ь dшР C®уy 7Пь] gFя „:nрCй¦п7ыc 9&lt;мґэО 4ҐэЪюq A‚ыbсjя• @&lt;шЖ ;з ^З Gг Tj A”щB ?жШјн 5гЪщ yGE qifx:§ :њоЬ 9Ѓчw Aь Aчь Љ7® 3jк•зиЯ=ч… oVэх H@ bL ZЏ {ђ:qыны°Х 8кUч°м} 4єд~ 8А &lt;:р ‡Aиэ• 8И Bіь ‚8Э y6ц &gt;цлх Zь ;uч =щ ?э&gt;ч’уЪ 9Е 5† A  Fѕ 4`эO 3HуЫфaъWхЛ @Ну[ FCыфхнкЇ 8дяЁьап4 7ї Vћ JФыИчљ 6влХ AТ :` ?р x•=Е &gt;eщzтgб Wчм I~ BRмГе l8ЋьЌ 6Џыу EФ ?hъ @Y &gt;— =дфeкьйьхолЅчО ;Ф WK =J BпчiяO NX ygYЃ gt&gt;5 9hыrтc 7lч&gt;м ’@d tЉHq u„:› &lt;РсJнхуі l^ьч 8МфYэ Bж_в› nzy}IГ 9ИмЪч Jф 9чПэ AпWф4м=фм 7кьOяЖлЂь Oя „9ъ 8S CБ J}яuш@й­с 5щхэ aтЛ BK 4\оwю&gt;ас 4±юІ &gt;S Jс LшышхFцg 3v f’l8сО 3S &lt;„ 98 Bzя z9x q‹3Ў 7Съ ‹l~qЉ7!;Хмјх? &lt;Э ?ф 6Гр©т‘ю x?Чъ Ъy g};Љ Jї 6ћю\ягк&lt;ч 7х» 3\ют Aп 9Ё GЏфХшјюУ i†AГы&lt; ?щ hp&gt;ў 8ж gqh•5‡яђ oBO &lt;R ;&lt; 5yю9ц _эухЬ 9^ FH =B qЂ&lt;‚эўъ y8Ђу MшіъX 6{ьюрВи Rс№лPк DыЅяЪ 4Eо Tяі =Иъ«фќч» 5&lt;я› Dю G9 9јяёу 4о_хЂшщцн &lt;‰ i—CН ;« DЋ!= KU Qn M‹ Nн 5ЬцIюз 7€ :ыяЫшму Aм*щК 8‚ Bi 37э=ф LщEю4 sg6‘хќжAЧкзшй dъ `ф Hн^хwщЄы¦ kBш­ц eэ]лч m|G‹ @“ьlч§тR AJ {pKє ѓђz„&lt;кыSя Uх6щCш SыЮ 8` BЪ 8oэі faьёчhшQ 5~ @Щ 9…хOьR l5щяю‚юЈ 8ЗьГ 3њ ;Z B№ &gt;µ v‚&lt;= &lt;= ;»ъ&gt; @R IД 5мч Vр =уау@ &gt;f 5Ф :Ф g?фК 3Г 3n 3њуEп RрВ f}&lt;rь ]о Nзp 4@ m…{ЋKф Ѓn9_ 4х @= If Mc ?Ѓч„ьЄ ;H ow6Eьѓцmр§о &lt;х\р9оxбZоuу Xш¤щЎл _лан‚ 4Eян 8_ @Ою ;ъ†я i&lt;ч @Э 7`чЊ CA q‹8| 6ѓ @П yf?е 9I 5­ц FхЃцѕч¬ыбыGтЧхХыj ;™э 6ъHь ]яь 5[ьЋ 7Ь :Y uЌEЃ B&lt; o{8UюSх: 3l 8И 8Ъъ`ы8 q{6} 4јфfшЎы dщ J*ск–лък ^лЅп!4э 7: 5ґьxы i4щ &lt;Z 6Y 5э i‰5a 5u Aa @‰ 8Eяю 4a Dw C  @K 5^щ ‚3Хя™ьMф}цFш —6¤э}чщьлчР 8k 3Ќ n6ю5 44 7Ё ?F A¤ &lt;ъ 8a @Н Jф =« 8гя•ьс 4З 3W kr6ћ 9ж @Ѕ hYьOц–хр gCю‹щНшp 6? EW 8хъrр†рУьy 4Џ :z &lt;C Aj BX LИ |t6шщцш~ &gt;ўыmо Uу Zуёщ© 7oычс Kк}ЙOЯ§ 87у«лВн!@ h3KщKч 5тPж‹лaцq 8о qaхЗ ;h Yы Gх 5о KR 8EтH 8‘ Bm C” Lк s€o•sNъ›т„шЕьЬ pIыUы w7®нdпI :жщtы Nф|мwх •7‚ 6б &gt;€ @”я­ 7x 9† 4lэ· hЌ5В s–Uћ &gt;@ ;“ыY 5з 4ў 3K iaч® 5B 3Ъу 8н‰с [шђх 5щЕщКтћу†хj m”Dз 5Щю 4ъ° 6Ј :э =  q„&lt;‘юx Bд CЛ 4Ту~шї 6M =j gFуИсхч&gt;ыh 7В 5w pgpNэлэ–ъµюњ =&gt;я±ю6уМъњ &lt;ч =} 7·эЗцРцf 9ј 99 7мэ cщґ 7в ;аь;я¬ьіщ Fшїяt A^ 6iу ‹6ґ MА WЪ v6к B} E| ?лш«ьлуKщr 3Єц€тEьЄчUуяш·р ?цн Mмhшµ =dр ]э kj;эiфNо Aы† :6тyрBъЂц kjRъBчѓ ;єч Ѓ5З CW 5jя Wх† jЃjv6 kЊDС yL&lt; 9’ыG oWэ ьЄ j‡oi&gt;t 5ѓьђъѓяAщ ?лТм 8юе 89 85ъ„хПэ ~7Гш ;цL 7У ;Ј |Ћ?W :Ж :g qxLб Hy 4nт¶юљ {fAyяЄш Iш =ч XоЬж …43 8?я Rя›х¶ыwяЫшќэQ 5– ?Д D· 8юъoр…яА 8i 9¦ BЁ 3ЧцЦт eтeюҐы FшюыЕцF 4Э w]шастщ_ ik9Ью{ 8ќ 6Њ @h Ic :P nzFmы Cцк 3п 8: &lt;yыБЫ 4с Dщі 6љр^мБч@чf 3¤ъ ;юѕ 4z 7с :§ &gt;Н &gt;M NЙ {giqk@я S„ CТ 3&gt;й\цж 5п 4]ьЌр XгКьlя wiGлGлeр PсЎц ;yщЭ 7ѓюэ 3є Bм ?о 4aтЛсm 8Я N3 DН 6yцпх u:Њ 7sэЃщcмbк ;рї 8~ 6ыю 7ъhы bтd ql;i @Ё 9Л ?{!C D!;Г &gt;њ 3о &gt;Ф 9Т 8м 5‡ъпрЭвµбы 3Д 8Lяед bг±фД 8O 5Ґ!7щ ~AE ?J C· AR FМ Ky S&gt; uЋqЊFћ Fв 9D 3wы!7’ xw5wмЕеJп|ш‘ 4CпЖиПс PуWсµф™ 9ш mЂ3†щЁкУ &gt;м uvqUю†юyюс &gt;а 6ъьќыЌы€цГ 5Ђф[ k5э™ч‰шbыjщ u;K 6ёуbс_рю 4: I| |…;› 5Lц– &lt;В :H HЫ &gt;&lt;ъ[ 7dъPь pAЄтЉт KлRЯ 9фљх5 9—яmуSяЎ :r Ff 5Эч Tяс DЧ Tщ XЯ &gt;Pя dшЯ =Э GX Iё AЩ 7Уч Hтѓт ы Tщ‡ъ›иh*пусш ц Eи«йХъL B‰ Sѓ &gt;„ 3Жщ ЊAr ;e ~‘BE &lt;цьi h@щ4 ;©ю4яRвјъДхwэ 3чcр NзаъМ 4I 3¦чzсРъБ ? 8Ї ;Mэё 3ќщl =“ {rN’ Aмь 5ыь 63 5° 3|ъ„ъ±ч?оЭркр3уBзzлFрЄ 6Й ?Лэ®х: up}“TР &gt;Ј &lt;Ё 7O Oл K@ ЃЋKs I; =3хус7 6Ј Fэ &gt;MфmЭ &lt;к|уерсЬбЭ]р smqEіюљу Wф ;ь –Hы UG XT Fz ol8Ч Dя qђAuюхыцуpхFцём Lв dЦЂеЭмцъ [ф|е_ЯДпJ AС ?Я BЊьwчЛ nmQј €ЃTl IQ KВ EФ E; =; @ 7Ы pPт Sй \и8д4йЂењгЛгVи›н{ 4pч“ьK*у &lt;А G‚ Uґ Fр wqH© L‰ TT ‡—uy6з ;У 5ќ ?n 9eяAн [ж =х¬щ Vюдцѕтвце 5[ &lt;\ ng;} 4? lЊ=Ґ =Ц &lt;c 8ЦэfъЅ :Ќ ЂgE‡яХм @кар Cуінње•аАоЙп RъВт‡пbмYр &lt;щ“ 7ђ 7ј h“9х &lt;V Hц Gx &gt;i 4Ј 3• h^ч†я ]лЇс CйЄчKя Oоw obг 4йрЂ Fё Bк F€ :“ gz~€rgN? &gt;~ &gt;Т =о lp@@фо =Tя† ?CшfчjэСы‡шЧчKшЁэО v’&lt;у ?r Qд HG X„ 6€ 78 =F Eќ 6Aф&gt; nЋ4Рн\ 6ЦоMЦоЮ8ибЯПбЁнтф 3Я7сҐф† 3E 9a B= ?Ѓ \ч _g Jѓ ^„ L¶ H‚ mЃx}5`эѕх ;п;жHг ?п 5ЦАо“з6п[ц “Bq A: 5я GБ &gt; :Х K9 H] ‰mOi OL LЫ Cї &lt;­ &lt;p 8Мц FрgЮУШЕР ;ЧIмCзеЯZЬШоsфµмЈзҐрЇ Aб †T† GІ K® QI Vў hG® 7N 6е 4м =ј @ђ &gt;янEд·ЬвЮ…с®ш Wр5оЬ 3ч B‘ ЂЏ&gt;ѕю‰ш Pэz ~|uf=иуЩьB ;8 vw=›ьВпчм &gt;т{х SчЦн:ъђ gѓ6н jQя8п”бРй Iъ` &gt;Т HР :Њ =ш &lt;` tx9Зьcя«ч:э\ :ы 5·эВф WпШцdя„ &gt;ќ 7n 8Є 7т :Ы Is Cы ?э &gt;™ ?– ЃoFR &gt;&lt;ы{я~ 4{ &lt;„ 4џ =” 5HэkыLмщк¬уё ibшб goC‹ C° yqEЛ =в u‡o~7iюЎщљ 4Єщ\ы ?уЖс BнИуокЗм 6сkнyоlд 8т Cсb 4О :M 6Я &gt;’ }E« 8N 4ґюј 5Ѓ sfE… B] vDщХеЪЫзЩСоxчг 3ТчЦнKфУщjю Ѓ;= i‰BЋ SД [ѓ ЏЌD= 8ѓ 4| 4Е =§хЈзIЦµЧµйішрч8 5дщ— 7н Bљ CA JF @“ 5ћэм &gt;о Kc …EЩ 5JтИш †;Ћэ eЯЬЧ &gt;к±тxьёрXЯ [жA ;X GМ IA @™ 8| m{Iй YE3њ a‡ R; Cз D8 QP S‚щ GП RЅ‹Ш^ы€н :О„ёъМzлћю [п Mзмоў =щ ‘&gt;A ‹dЕ S6 MВ Lг \“ _ў 6…рЁтИъ‹ 3Д :cа cПжХ‰ЯЅй?оjзVЭ¦эЈ UЅ6Й6K Џ…~’I± Ђ…VЙ TІ 6љюТ Cм H9 mKкRФKЖ}РXУРЧ–е вXнПящ C^ wqE„ @E @Й Eq Sk S9 „mLхыКцI 7Ѕч Dк 3ХҐВ9Сжл aу Yбўв= fjrjKБ rfxCя Qв ^У eЏ b§ Lќ :YщFрй 4Т &lt;фц¬Т PРЙбит“с AЭпМwТhо›ыњ &lt;Q ;^ 9Z rlXg VХ Vb Xg ЉђPЪ Tї —5Ѕц_увз’б aбФЬ 8СuЫUжЇрг :c fbьg Dѓ WФ ]°8О bb W4 ‘g^c U“ y’Ceяѓч PыXоЯЧPйУмLо Dнњм Uи‹юY ;Ш ?g EО &lt;§яj 4| 6Ью—шп 7iя6фZм eоVи KвЖбґТlЯ eж_хи 7e @щ AC 6к ;и Db Qќ L9 Hчя ЂvyJN F zHявяјч DъђщмяG 7Ро&gt;щqщ¬ @г CЇ n–?Л A&lt; A  SЭ Fµ ?}я… ij5uщoъ¤лЙтYгEа Ъ `йаAЫэд~ийяKяіоwф „3P Os L_ ЃЂSў v…{nFѕ 4‰ gdш q6i 3„чшфnщ &lt;шЊяЗпvтш mEюн ;А 8у [Я 5™ GЮ ryLt aа T¤ RL 3ЇфПу @хт 5гЬ CЧЭМЎд Nпrф…дrЧMлШы ’6њъBиrиёч ‡Hw AИ 3Ныч 4N HO DБэсъ€ыћ iyEI Ml M® @? :e 47 Dє G` Ђf6Ёыь ?ь @о Is pz:Хьhя­ GТ Dс „9ўыП &gt;э HZ ~’5bу№Щzу ь` gQцхаYвoс —;yщ{ЭКЧУз bъ°ыњшMкєу s7® &lt;3 6гшyпЧцъ 4x 8Т 8фъOюЦ :М nz&gt;Вюы 8m 6`!&lt; &gt;q &gt;э 7 =Fя` 4a @? v“:lхњс Iэ› u’K^ 9бшHшМ!:ь­оЫаbе’нHунЩп]п 8*ыуI 5h ;{ JЮ @| 4Ѓ &lt;т Ђ–‹”JDх VрTьu ofg?кYШАзFч7 ?у hЌi„;О u‚LИ Mh Iь r:ю„ =? NF O° GЯ ;eэn 8Н 9: 8аъoьРхmчбш ?ч Aц5тzпEлХж_тћыЅхшх*фцг &gt;Й Wp ^љмvцџ AТю ‰?в No :…сМУфЮНж®р–ы† 8ѕ CTэ3к» 5Ж n†?Ї ѓPк Gc h”=w DЊя ‰=А EящЙуше LЭRгЏЪ&gt;сm lfM¤уdь 7ъ Yьа t†Cµш BяNъ H!FтЛ 58а ЃCГ ѓЂGтЦкріл7 Fѕ PП ”@оюв‚фВэL ?– `Щ!3ж cуC RNх® Hцэ~л—ы v7| cщ xsEђзЎ DуьШ B5з]мЛ 7¦юiпlч‡жA sk@Ћ ly:§йншЩж™ыЖъPцшъ7я†кsкЏы„цчябфO Dд =V Aи k‹~AЗ Vc ѓl5€ JF 3щЮtфн g8ця 6лщрщsр|у 3цЭо –tFнР E• Mж ?M Lє =ї Eћь †7oчyж SсUчOшыаiщ :езсµЮ=Юmхi 4v :ь In Ѓgiuj[эЉяьп Kэr N \Џ DфЮ @ною ‰7ДюQшUш_ Fb @X ;Ќ &gt;t KШ D” 8ЈъЦ MИ KЄ 8зю ?пѓф8 AЎ XЈ @Hи JЮ]Ь 9ю YхZэЗЮC 7gэБх Nфa uЊЂ“Pn Hт 5† =љ &lt;| J“ ;к 3Mп 6н 9*аЭXж&lt;б§оЮолуSщы A9 8Ш MФ XA S№ XЂ E© &lt;pщб ?[ Cв ;aыШф”фнаaд 6о•хEь@ 3 ыкъ] 5Ыш q7е nЏLn ?у ?rыcмyз 3їъБчnжчтpэЖ @‹ q9Ця†ы =хО o6чБъ ]м ^ш `ьk :Dнhо‚ъЖ &lt;Э HK N© l:Фъ&lt; :Ћ EП v’KК 8Ъ 8HмRрЬжуьL ;Y 5ф =ДъM Ѓ‚E† KЫ &lt;і Fи Nѓ Aї 9] plfRс|к Rа‡гЗку7Ьt*лнлщUуГ hx&gt;S zђLБ Q© Jг R№ LB EL 5UйЎрюъhъmс ]аАЧ”й YуAыFы“ъ&gt; 3Г NЮ …€GЩю eтќ q•\U RD h^сІл €f9АтАйaт¦щG &lt;wя aнћз±ъл &gt;c 8iьљс;ы j&gt;Y Iџ :О 6`ь Eь Wэ BяM 5Ъ 6™ 8нчмпщр[ Ap ;Б &gt;{чнц •8ќ ;g lk4bо Aъk ;V Mу Bm CҐэ ‚B№ Hj EҐюUоЌчшцBфsтЬг dещб Pк–р5 jt7M {–&lt;Ц @n ~ЂT= MН J› =L E” }{4»м}зЮипоТшЇдєЭ©еѕхг 3м 3Ф 8“ A] EЮ =Њ Fр FR Ђ•E† ?Є l‘5ОыSсЂн `к`н ^чHч“т“у­ь ‰@Ў @• =а Cѓ 7Є JБ &gt;Ы h—4a 5ЖхSц FхмиЂж Lе AхfыДщiяжь3 5Ф 8д C8 Jm t€:Ћ @t ?_ g”3МьOсѕь trGяЄчфякы‰ 3‚ @Ў 6…щ\ъu i;ыeщ FъОшPу¶о 5ц LэЌ iQьPя• ;° @c &gt;г :N 8К xt&lt;{ ?ЌяЅфђхь 3uуLм Yпќу›щЮ 7x 4эщHшaя ‚Fr {Aь U» \ќ =Oу~Шум ‚Eї Kl ;­ =’д IЅ¤Ь Gф ‰}[8\?a H:ю–тЧц[ Mќ TS gEзaЮ®ек 4т Cя ;ЧЯБЃЧ*оё Ap GЧс [ж† =e KL „t‰G‡ rzCг 9&gt;яІю 3с 8с xD¤шЮ uIь| &gt;\щµбJа &lt;ч ЌBэ O| Ђ6фfы Uьж ?°ь8цяс€кx }q~zY® &gt;ЬеЪХnс r5Щ =D P@ @Хи6зЏл ~&gt;яуOьхф‹ф &lt;юgэЮ 6КрД nu&gt;ь„ 5йэ¶ 8T 7Ж 5O 8Ф 9вхё jnI&gt; &gt;H 9Ух QьЇ 3C 9ц ;NяЇюЅэ5 kou†6щ 5^ 3AзЗйeч§ =й ;dъгщ Sыt rЉl‡C‘ 8:юХ Cљ Lс sЊ3·эiц ЊgOы=юяышн­ж dб cд eо …6Д 8m 7а gcяЕыЕ 6џ v|BЈ Bц DЛ @ґ 8Ч 4г 8н i“3П 6]ьу 5Сш¬т NэЂоЃ 3©эУюЧ 6ф ;ђ 6R hPю¬ь ^юО 3ъ ;” i“6‡ 8б 3l mAьy 7Ея§ш4хvч‹чБъ CэР 3Ц 4†цхщ—ц~ъ eшШьhш Bъ¬ 3ї 7НяТя• wv8C 9ШтТйищ 3ю =‹ yiByъ»щљ fYцS 5“ ;*ь Vюfь Jэ ѓ&lt;«э}яPщ| 6ґ 8ДюТчVцТыЕщб &lt;Ёюп ;Ќ K\ ?Ѓ Eh A&lt; s€?Г 4“ыо 9L 4‚ @’ 4ґъОъpш Wщ^у~кS :Ь 8ѓь @ьCъ’яРыг 9д nQюI A° qg&gt;Еэйъш· 6№ 3 gim6ш dяэц›ъйцTэ«ф ^щ3э[ьw 7‰ 3ПяKяO szK– LХ @o :Зщѓщ :ъ DшАяњэ 4ътц CтSтш*ур Bы Uь[ p…=  &lt;Ф 6Ц jpЏus&lt;4ь bяIю® 4їьЂъ™уЂфgын 7въ JмGйGм?фК 4® 8ЪыNьэ 7g 6S ;„яhчwыµ 3J 8у C~ B€ BЮьzцw gq;Н 7№ы™рСц \чЧэћхХхfьЃ 8h 7‡ 5ё 7S &lt;&lt; rl=~ Cи H` AЫ ;Є fTю„яtьЊъшц †3© 3? 3еэШ 3¬ mЊ?Я 6эыSыA n“CR == gZф BнЛхЮыQцЙцЁхiщ ѓh–;К m•6k 5V 8ю 8: &lt;ј :Ю hLяQ 4§ iЊjTю~ц:р&lt;цё 6­ 6юь=ы№я” :L ?Ь s‹=џ 8u 3кяжюя 6Ш :Ў 4K 3л*ьчбшПщМыіщгчBщ Sэ¤ъl fMяр f–5lщ Mцoъ=я] ;Н 5йэъч©щЭыVыїх Tфжтьщ–чЭтѕтЫыK 8f 5KяPяu 7e @m &gt;A ?H =– ?Ќ ;s l‰3zяhюзэ&lt;цбщ±ъџ 4Ёю z6·ыпъ Ќ:E :ѓ 6} fp@· 9• 6Ќ 9щ r}=Ф iЌ7› 3KюЭ 7ъ ;Rь»цk 3ы 5Zэ]ю† 3яъєя[ы8юWфсщfъі gMыMю ’h6ъ 5А 6; EC mhlXэA 4¶ 4]юєь&gt;ьВ 3Ј 3o 3„ч­ыкьyю[ш№ :Z 9a p—9џ 6T 8~ :C ;Н 8К 3Ц 4lюь 4ЕэQь 7ц] 5ђэЩя Pщиэ GцzьЮьЙяs 4є l{5жюfъ 4КюXэ4щры†щfьMь\эъ _шgш &lt;ъ‹ьaяxя l6Y 7@ 7ц 6Б 5љ 7Т 5Sы Yщ‚ъ Sю–ыЙюГьZьnэ^я&gt;эqьєюf it8І ;С ;Е qt;С p~&lt;… 43 3г 5Ђ 6ЄэЄялэLъPщйюЁщCшvъnэБя 3І &lt;а &gt;¶ ?ф &gt;Ђ &gt;| 9: pg=F 93ъ 9ыПц5ъДчaчmф¤фнцiфцф YяZ iv3ьэ­ f—h‹7_ p–@v q”4Ћ 4И 4F 8ЭямэNшUщряmюWъSя®юTюЙ 3н 6O 5Еяї 7J =в Aj C7 :шяuьTяm 5Ё kЃ5иъ ^т Oтvъk 4V 7Ђ 3¬язь4 3Ѓ 4A 43 4‚ 3n 3ж 6йьоэВщ Zъ;щГу [ц Fц Lш `ы 8ьgьЁяє 4бюaяР fЊ;ъ &lt;® ;о 4Gю eъ=щuь bш cу @хјщ dыkцЯшж 5a 9а ;« @^ F\ HЇ sЃ8€ :C Av ;џ 3ны¶юЇ 7{ 7МыAр»рќођн_р¶ы_ 8щ l~fLяc 7Ш jv:о 9Н ;c ;Л 9ќ 8Э k”6’ 9Б 9Б iЏ5М g?ю IэЬфчс @цЕэX 73 6ѓэ3 5¦ &gt;s Cб :Њя hiЏ8Ё :П 9џ jzfEъBъ¦ъ WьнъTю WщіцЩрNшSэЂ fFя lksk‚q:= 5Rь5э¬яН jЌ7џючЇх dэґ 7A 8e 5Кя&gt; 5Nяqэыъ Aьqя MэЩш IъJюv 5ѕяшяпяЉэ4 6j n‚;° :’ :њ 9± :Ы 3rъјь u5зюЁюSхЉнЅрЧцxцЉш=ю Tь±ыp 4… 3¦ :џ =ДюЄч ^ы ?эсьRьЅя@ьG*ющoщ^ъ Ќ5Зячюэя5 65 4Kэj 9Н @Ы &lt;Cышщj 3Ї 8| n7ы† fЉ8а 8R 8н 7ґ 8c 3› 8ѕ &lt;¤ ?‚ &lt;3 ;ў :І =ъ @Ё pCюUуЂэЃ 8Џюшціцсц &gt;э` 5±я \ю? 7н kg7є 7Џ l{8ц ktg=яє 4™ 5Дьxэ Zюнь„э¦ъVш^эЪэІшКу @ыЩьЁю;эУюY 7j 9Ц &lt;Б =a &gt;3 :J 3‡ 54 fKь@ь aы8ыKцKщ{х Zщ 6ю…ыIщДхєь i3G jn7O 6я 8y 8} :° :й ji4uя·я”юЦчТщЦыѕшбщ GчЗю^юҐх `шйщђ 4„э ;э 3ь“ h@юCшгь&lt; &gt;@ BЄяЌю ^ьµш Oујш &gt;ыЯя‰ 3Юязь…ы8юј*я 6; hi7e lz=а 9µ 7s 7i 6є 3¦ 3ъчLьZ o†:оы 3я7яЪь Tян 8m &gt; 9= ;э :z r—Bѓ rЋ?h &lt;‘ oЃ:…ю=эсъаы ZэN 5ш f‚4aх х·ы “6fъ”ч •3ф &gt;F &gt;ь n…3ѓ 6i 8` 5Ќш;ы dц QъЇьUъцчншe 6§ 3Йю±ю _ыµэряЎ 8± 6: hЃ7я gЏ4J 3; 6Щ 9z 8Њ 5w g”4ќэћц ]ьu 3gю ;эџь»ы?ъВщmю†ю Bю Qя¶юµя® 3ьг h‹9ґ 7T 4т 3~эrя«чЖхМут+фpх¦чЋэиюn 5К 4Їя XыљъMьJю_ 6R 5еюJ 4L gv5&gt; lЏ9] 3Gю?ю°ыеъЯ 4¶юі gp5з 6&lt; 76 8m 8t h{5Е gh96 :F 8х jk9к 8_ 7жюЊ 3ЇьЌыЕю ’3x hr35 4 4v 7© 7п 8І 8bяЦъ“ъµ 3Ћ 8У 3№щЉъњю\ьGыCьиы [юsюЅ 4O 8¶ m’rw&lt;Є n};п 7w 4Hъ eы8эCяіэщZш Qюл 7Т h‡3мю s7ѕ 8F 4вя †5… 6t 5‰юRю; 6sяшьIъ “3ц 6j fBьЈъ ‚fi4Ё*яэ®ьЦэ Aъ `ъуьSя r3п 3эяE fbяD 4Ц h•fUэ dъєы Lюл f:я Qю 8юWя©юЉэµщ :ч eчGыЈэ x4‘ 48 3Ё 6‚ :± 9м 6“ gt4t 3ќюльоьП 3&gt; 4ю 4I 4Бя 6ю dэ Jюєэўэ6ь»эљюэ 3† 8к 9Ю :  8О 9С 8В :r g=ю aэхюбя ^яfюЁ 7ы 7д i[юдцy 3} 4н 6З h‰:Ъ 8Ію€ьF 4™ 4Ґ 5щю°ъъК 5Б 7K 3ещZю x68ьEыгьЬэ9эB 4:+я¶ hЂ4я 6sю¶ 5ы m‚5x 3ђ 3s 4– 3няIэЪы7экэ|эньћ fђ5RюЫ 4D kЂ:K 7\ 6L 8ш 7ы hsgRь»ъ RщФх·ц*уЁхСц Qш Xэј 4 5в 5ЭяCэљюo 7Є 8Ч h4K 4Няэ g‘3eьЏы@ьПщ BчбцNы§ h‡;ў =ћ m8g 7Р ;† lЌidювынэвь¶энэ5э‘ 3Ґь8ы EъЩю f8Ю 7} 8± 5c 4tяо g‘6О 5‰ 7А 99 9† 4s 7– 7O 4Dя Zы dь @эВэ 7я aю}ьIяЙя l4Tяgю…эI 3Й 6’ 6Ш 3ъя’я i5М 6@ 3;юцюЖя w4ћ 4: 7Х jЊh;!3яWяs 4о f?я NяЇяўюѓя „3v 3CяІэfь Zышы8юЇ fg8Ђ :— :’ 7¶ 4  3Ќ 3ђэеэ[ьръ Dшфш &gt;ъSъ GъLшЂщ”ы \яД 3v 7P :h =C ;Ш ;H j‰6№явяаэ?э Uыoю” 3кя [яљы Eъ Nъ Oъ?эЁ g|k‰9Ї jslЊ6B 3Kяoю &gt;ю‹ьѓъ eщBъ ]ъёэжыkэ» 5С 3Л 6; lЃlЃ7Ф 6d 3ЩяшюҐ 3Mючы 5э{э’эVэЩю| 3? f]ю¬ю {3r 5ґ 4Э 5E 7ц jЂ6У 3ЋьzыЭыМьщюе g†3_я Ѓ8Щ ;M 8ы 6S 3е 3Ё 7а i…g&lt;эшь№яЊя m4РэDэ±яђ hg5T 3k 3` 5? i8p 9N 7Б 34яB g”3Њэеыь‡ыAьЬя –ko6йюїяґ 5p 65 7] 6Шюэю ”kjn~j=э&gt;шАщ Vэ 7юИщєш‡ъ5юѓ 4л 6Т 5е 3© 4J h‡6й 5» 3ЙюЫ 3¬ 3jямяИю‹ы|ьРя[эїьLыGьtюО 4В ik5І 5п 4ё gq7e hWюСъљъ;ыФь 3э &lt;ыKъоэр 4Z gЉ5о 4І 3ш fѓ4ђ 4µяЗючюS 3п 3~эуъмш Wш©ш»ыЩьuэ —3E 6О 8’ 9€ k…6– 5t 5Е 4Ш 3’э MыКщCэNяqю HэЮэ№юxюІя 5ў 6Ћ 6я 6_ 8Ѕ :· 7~ 4:я UяМю{э FюшэУьСэMя n5Ы 5D 5Q j‡lX!9 6пя‹ 3ю 4L g3ФюКя‡ 4Тя Yя5юия¤ 3K 3F 4­ 6@ kp8} 6M 8х 8О 6M 43 3Ц 3¬юаьФъUыМы\ь Fэqю„я”яЅ 3Џ 5N 6E jtil5Љ hx5‰ 4т 3ґ 3ќюAэ6ь _ыpъeыVьМэ@я‡ 4Ц 5њ j“6` 6K hp5с f‘3Oя}юдэеэвь Zь@ь»ьdь Jэ|ю t3J h…ij6Ј 6Ж 6ш ik6f 4Љяoэ Qьiыеъфъ”ыqьЅь ^ю|яТ 3щ g€4Е 3В 3Х 3чяOяvэАьяы Pы 9щMщ EъЭъQьЈэЉю ‹3p 4№ 6о 8‘ 9n 9H 7Ъ 6} 6y 5Ќ 3йэЩь VэЧы™ъyъЏыmыmьшюh 4с 5A 8C 9¶ 9Э 8© 9W 99 8ч 5б 3ѕ 3I 3&gt;ю’эўэќюpяћ 3хя€ fЌ5б 6N 7‘ 6н 5б 59 7µ 7т 5Ќ fOя`я Aящьчыgы…ь•эюЂя ~5” ikjЃi’iЋ7q 7a 5N 3я‚яряЛэнь bыЕыАыёю3ю¬эЂэ‹ 4ю 6` 7… 4F 57 7O 7Ш 5m fj3ую dю\ьЌьDэQю~э}ю Xяќя– 4а 5X 5| fqgm6И 6Р 4Љя Hя_яЕэ Eы†ъ cыCьwэ©эњю Nя •4\ 5° 5Ј 4ч 3… fq5Ў 4¬ f6юкэ `эЇь»ы^ъ…ъUъРы~ьЯэлюU 4є 4I 5Я 4ъ g5€ 3jяњю Mя]*яэЊь„ьJэ†юaюрэ‰ 3ј f„6¬ 7@ i„8Б 7є 6U 5ђ 6Пю z3Вя Rю’э§я Gэѓяь 4О 3а hЊ6v 6{ 66!6 5¬ 5Р 5ДюЃя? 4цэrяэю’ягюuя\яy 3ц 3rяp 4й!5 89 5ш 4я 5l h†fFэьэџь†ьZьtэЫяУяђюG 3Ј 4¦ h‘6¶ iЂ4Ћ 6K 6Й 4вяіяОяЩэWяYэ–эќьsэуя y3s 4¬ 4Ж 64 6е ig8^ 6X 5|ю5 3uюШюјэ NэVьЋэ@*юэzюRяжяY 4O 3„ h…5J 5L 4м 3Ня \ю :юїы bь 4ь Pььыь©эШяЕякяQ 3T h—45 hЃ4D 4я;явюЌюОэЌэАыЂэРэђ*яэ&gt;яЊюJ 3O 4† 4Г 3Ќ 4R g†3T fcя ^юXэ ]э±ьbьЋьRэќя p3X 3Ня {4‰ 5С 58 g|4¬ g‡5¤ 4S 3цяµ 3ю 3f 4Э fЉ3M 3C 3§ go4в ftf3Г 3ч 3W 4щ 3Л 3‡ 4п fsg†4ц 4П gi4к 3Г guhs5: 4A 4i 4ћ fs4€ 3A 3EяwяRя @яКюХюАяЯ 3« 3z g…4^ 4z ggЊf‚3aяMяЛюAя Wяжязя 3№ 3Щ 3A 3¦ 3¶ 3y 3з fo4ъ 3Y 3І 3pяѕя; 3YяNяІяцяЛ 3S 4c 4ј 3‘ 4W 4? 4Ь 3Гя Gя‡я4яаэ`эйэМэzэ NюЊэ Mэќэ Hю»юЖюгюэюYяcяЅюыю 7я·юѓюую JюБюTюjэ‘ягьняA 3э •5·ю aяѕ gFяT 3Gяцю o3щэЈ 3kюRю ‹3±юК 3§я{ f”4Й g—6Т 3± h‹5о f‚5€я p3®я ;я•ярю bя;яФю WяЌ fѓfi3S 6Х 3N 6ю 5м 3‡ 6J 5ч 3ь 3ђя_ 3ґюКюOюsю Xю­юСя‹я? 4Ў 4Ь 4v 7j 4Ѕ 6H 5љ 5@ 5щят 3^я EяL 3bэ§я }3&gt;я^ g”f†5ђ 5Ы 4= 5Њ 4P g{4sя4 fBяuю=яљюeя €3Dя&lt; fЃ4љ 3І 4~ 4“ 5• 5Ф 4n 4A fѓ3IюЗэwэІьfэФэіэЖя Nя6 3Л g~gl5± 4§ 49 4m fl3Kя Rююхь}эgэ FэaэXэГэґюЧю­яГяu 3H 4ў 3ч 3ия Ћ3jяэюeюеэ cэ`эЦэJюPюйюыя Ђ3p 3ў fp4Е 3? 4r 3Џ f‚3їяшяїюНюљюЮю¤ю;яPя @яъяh 4Ј 3д 4j 4и 4Z 5Г 3Ў f{3ЌяЅяДюJюыэ’ювю4яҐяЏя‰ f…5э hЃ5ч 3‚ 4ч 4э 4ѓ g|3§ 3F 3КяЛя&gt;я 9яЂяЛя3 3Q 3” fЉgngЊ4я 3М 4б 3xя•я± 37 3ЦяБяФяµя@ 3A 4§ 4± 3J 4p 5– 4Е 4Н 3Ь 3ПяҐяVя‹яВюкяБяl fr3іяД f†3– 3; 3¬ 3Ч 3ђ 4‚ 4¬ 4  4Ш 3О 3o f•3Oящю·ю Wя ю Hязюlя‚я 6яЪяляd 3~ 3Ъ 3b 3д 3i 3¤ 3Ля№яЇя5я &lt;яДюYюDюgюtюCю Rюпю‘я&lt;яЂяИяY f’3*я¶яПяbя·ю5юђю‚юМюЄюВю ;я ;я p3фяЃ 3r 3M 3Ю 3¤ 3A f‰3Ѕяgяіягю RяЙю TяaядякяH 3Ї 3!4R 4в 3Ё 3} 3І 3J 3R 3Јя[я®яЏяЬяП+ямяЫя4 3~ 3{ 3] 3m 3Є 3[ 3е 3Е 3s 3U 3¶ 3Ђ f„3f 3Ѕ 3K fv3Ў fkgЌ3€я7 g…4±яD 3¬ 3ея яL 3С 3sяXя™ 3^ 4j f–f‡4j 4’ 3џ 3¤ 3A 4u 3h 3є 3« 3щя o3V 3јяШюЉя ђ3ЭюdяZ 39 fs3V 3Ќ 3g fl3Э 3Ќ 3–я{яC 3эяђяЪя m3КяЧя xfЉ3nяSяшя™яњя n3кя m3LяЄя…яЏяbяC 3‡я l3Жя’ 3ся©яВя? 3= fk3„я†я¶я ]яYя TяZяхюRяДя[я~яaяd 3Мя Џ3”я j3ъя m3Ъяzяля ‹3: 3ляh 3щяЩящюЊ+ядя]я OярюQя’яОяEя†яшя •fr3kя p3B 3j fђ3© 3Ч 3Шя j3R f€4Ћ 3Ўя\я ‰3‡ 3z 3ЏятюљяM fv37яљя “3Ђ f|f{3E 3п fqgz4¤ 3Р fv4б 3щяўя[ 33 3я 3я§яЩяФяРя v3’ 3Е 3бяd 3µ 3ї gk4c 3бя 3ђяЦяV 3є 3№я [яСя‘ 3¦ 3єяёяs 3З f„fЌ3U 3 3Y 3Њя™я o3j 3¬ f‰3яУя· 3‚ 35 3c f3P fѓ3] 3„яшя‡яC 3iяЃя ѓf~3€ 3¬яї 3ія3 3хя± 3Єя№я„я |3єяeя w3R f‹3Шю ‰3C ft3Ыюя4яЉяџяБяШя‰яияG 3[ 3mяШяE 3: 3A fn3±яЗя n3\яђя Xя—я¬я Ѓ3­я ufi3чяl 3J fЌfl3ъя “3_ 3єяёя Uя°яЊяЊя‘яјя ѓ3џяћябяe fm3ОяЂя Ќfnfu3Ґяая»яёяҐяЋяh fx3мяЗя pfђf’3Юя †3*якя …38 f”3Пя Ћ3кя\ 3Ґяh 3A 38 f{3r 3P 3дяцяЬя: fk3МясяЦя tf†3щяg 36 3З 33 3y 3’ 3вяЧ 3кяОя o3“яJ fЂ3іяПяЩя‡ fl3ця• 3v 3^ 3R 3‡ 3ј 3u 3шяЃ f“f‹3B 3єя Ѓf„fy3Пя sft3E f…3МяКя4 3b 3J ff‡3A fv3жяХячязяЭяАяЬяёяЖя•я·яБя»яря i3щяфятя ~3рядя Ѓ3оя k3ияЬяФя k3ая¶яНя |3іяДяПяпя t3µяЅя Џf–3мяэя ЂfЂ3Ыя@ f}3чяіяжяаяЅяuяЅяБяІяЯя l3ИяАяЯявяъя kf…fi36 3D fђfsf„3уя&lt; 3уявяЙяСяэяПяИяіяВяИя!3 l3H 3N 3: f“3_ 3W fyf…3: f€3ья pfђfmfo3Ёя x3ХяЙя4 3*я †f†3жя –3Ьяея7 f‚f‰3? flfmfr3щядяЦягя u3Няь+яЪяДяъячя uftfpfufp3ъя mfjf|f‹3уя J"3 Ѓfu3фя †3ъябяшяо+яьяля ~fЌf~fu3= fwfvf~fmf”fЋ3йя nfw3щя!3ця mfofj3х+яся m3чяуя |fЂ3*я ifu3юя ififsfp3ъяуя o3ыяуяпя ufjfi3щя g3эяцяня j3*я hfpfxfs3*я ifjfq3хя h3ьяъяхярясяуяхяряъяфя g3ъя k3ця i3ъяыяыяэяъяшяэяыяцяцяюяшяъячяъячяюяъ+яэяья gfh3*яыя 4"3 h3юя gf4&amp;3*я</t>
  </si>
  <si>
    <t>RI*F Љ\!3WAVEfmt †C"3 gfgfw^!3 UV!3 hfv3data f\!3хя k3Юя ufhfЏ3A 3h 3Тяѕяѓя‡яёяЄ 3V 3L 3П 3@ 4Ћ ftf_я’яzяРя ‚3ѕ fkg–3эя4 f[яµюiяxя–я7 3;я aя ‡fvgЊ3К 3њясющю« 3‹ 3Чяpю YяJ 3D 4p 4~ 3“ютю 3d fy3L 4Ш 3«яy 3чяb 4Ш 3lя eю{э Ђ3Ї 3ЄяE 3Dяv 3Х 3яsяM 3р 3‘юRюц 7ц 8ГэљяЂ 4jэзю •6^ 5W 4Z 4=я Ѓ7ы 4Ъю …gaэ3ч@ы| f†f4ыь ‰7Jэ7 3MяЗэѕюию4 7лэІ 5!4± f“9Д iЊ5gыw 4ДэДю ^ь Yю· 4V 3Ђ 8ї 6ЌяbэЅя@ 3Їхчь @я Џ3f 8Ю =ј 5§ю“ 5:ш VфPр§цl 7Е Et FV AБ 9}цdм»мjуpш…чЭ n–=Р Eп Cр 7пъАші 4‹щкцТрчѕ ;o Al oOюuэ‡ 4  =L iRы Mь ѓ38 3иц 9тяч| :` Cг Bџ 6’цґлжц m;&lt; 7ІюИы —9• kw&lt;я 6JъЮчXыR l”om3б 3¬ 45 &lt;ф fQыMщ:ь§ 7к &lt;е 3П 3† 3¬ 7 4@элч 7ыею» 3кь…яЖя m5О ;Т 5ђъещ™ч EшoъВ 5Ё 5; k_я‘ :к 7Х 4‘ f4яфъ•эіъзюN 4Т 7” 8Ч 9Dэ]юН gIяEя4яЊь `ъвэ@ fJю\ь mkUь `юєя RыСь«ы« &gt;B 8Љ kUюЎ 5Bюmэ? 3Л 5“я­эє 6н :· iWфІю ]чь 5пчь 5±яu jn3B 3E 4±ыD 4uэ Ѓ4Pч qi_ье 7Б 6d 4зыf 6_ &lt;µ nt;9 3d 3вь” 4ґьqьКюры r4К 3Ѕ 4ґ i“7џ ;аы 7шСхця9 7Ою —hGюЪъЕю o4\ь} =ч 8пчwъФ 7\яjчz 5ъ 7Є 3А p|4Xя†эаэБь ?ш~ 4*я}ьr 4Н 3“ 7С jm68эєюMье 6‰эcч{юК 8  4цю LюM 6qь†ьѕ 7¦ 3sюйъщю|ь UъР 8u &gt;m kRюч 6» 3оь 4ыlъ ;юДюљэ 5э¬я[ 6µ 4юь –3„ 7„ящ fMщC 5k =| 7N 6Vщ Aь ^ъmьNыЂ ;ј 74я?яЕ :вэ] 3Ь ot;€эAу [э †9Rъ r5с :« 4уъїюTяyяе 5° 4Й g`э¶ 3ую 4як 97 hЏi&lt;ыДю«юъ f5ъшя; 3О 5И 8лы… 3n gpg“6S 3цю–ч Iяњэ§ 3ZьЋь ”&gt;ю n3ш~щ †k&lt;эњцМ &lt;i 4сыЌык ;П 4SщZь Ћ3«эЫш };u 7Ќц4 5@ 7…ьHэ\ 5|с 5ь6 :&gt; 7Іэья ‡3ЩэёьfюQ 6щ 3ћ 4K ?и h@тХы3 &lt;… 9j 6H fCъ»ш @эr 4№ 6Тяz fЉ6v fx5bэвьЂю u9M jGъхэZ 3Ј fЏ3» :ё 5Ґя ‘7sэPябьЪ 5: 3O 4њь 6Щ 6ЇьЁ 3j ;“ 7fьМы [яћ 9!7ЙыЮщhя f4b 4є 3чяХяНэE 6h 3ц 3эЎыБя r4ё 3ОъџьZ :!5dяFэwяАыђыЪю†ю 3~ 6Ѕ 3l 5MяnщБюb j@яЌ 3х 4ўя Gяљьµ 3 3с 3Ююцыu 3ъ 4sю\я¦юъ 4Ё 6ґ g`яКэb 3Qэg 5zэl 5ўяcэ Џ5Ю 5iя p8» 3kэЯэ» 4dяZяґ 3gэЌ 6Џ 44 3мы9ыёчzэЭя`яҐ 5s 7Е jѓ5ЕэИя 3я aю `я ;яея8 4й ;G 6: 6F 6: 3H 4G 4оэ †5Ї 8Э k—4ѕя ~5vэ­ gBюz fUю FьSэhяT 5ЖьъяJы Iюцюtэ®ъtьo 7t 6·ы ?яЊыМюl 3‡ 3ЮьФъТ 4Rя… 4г 34 hw5M 7W kVэЌяЏ 3х g‰g7ээ Lьд 7k 8“ьh 7Э 6йяЯюN g@ю’щъ 8• 67 5\ъЧюiы ѓfPь eюgэЫ 6Ђ 4Щы ѓ5@яУяjэT 4\ 3·ыRыощ• gЏ=И 3ѕч@ыю 4eяи 3« 7Ѕ 7иы r3n 7Б 6‘ь·яV 9б 7Ц hЋ5М hs6› 4} 3ц 46 4м hi7†э© 7Mэ‚ 5”юSь‘ 4  4rюТюія FяcюЄьЈю ‰3єыWысю“ъc 5Т 4Е 54 3ђюбэДщ± 67я ^юЄь] 8D 3Юшn 4мюҐ 5јюlяј 3‰ gv5  5йър fRюр 4!5^ 9 юмы„юBюc 5A 3Уэ =ю v7T jRя¦яM 3:яу 4Љ 4Fя‚ы€ыh 5а 4O 5Ды †3H 5H fNь¤ьЅ 44 5© 4Юь3яkэz 3Ѓю x3Ц 4МьВ 3x 3пю Jя Zэµюъыўя„ 6jь¤ 8ё ;Ш :m 3•ыQяt 4‡я †5О 6D l}5Фяnюc 4&lt;я‚ 7і 5џ 8Д 4€я”я&gt;ю‚ hЂ7џ 3ыц \рЕя &lt;юѓы g‰gy8Ўя v68эMы:ъ w8!4ќъ8ш Wю— h&gt;ю ’9Ў 3§ 6t h‚3dы rj‘gJы­юL n&gt;щ NыAяв 3R uYьк 6Eх‘ю Џfn7“юСэЛ 7=эЋ 8eыш kDьею¦эv k;э ]щ\ю †3Ђъcя‹ 4¤яp 6йы 8ю Eю5 7_ 4Њ 4E hUью fBыЬ 8… 5A 3®ьF 4Ћ 4V =« 4~эдюВ Bz :‡ 3хъё fЃ5м 4Щщ :э&lt;я ђ7єэЉ kbюлыC j…lv5™чYь›щЋыќ 5R 6кяZэ}ю6 6µ 6qюXы±яќщУю‘ 3~ьh 4ў ft7Ы 8т 4lюСш &gt;я n7›щ¶э ы” 3Бю4 lgjKь 3ыПэ[ 8y g…f38юЫюЦя Ћ5® 6‹ъ¤эж 4dьнэиям :„э Џ6Й 3^яnэ№э‚яВя5 4Gяоя t:§юnь OэРюЋыІ 4№ 5о i_ъ[ 4т 3± 64цЖ 4є 8= ?п j€6UэБриыX @А 6ЊчB 4о :Ў 4=юQ 4мшP 6д 6Ф nu4зэь 5&lt; i=юЩыCы rg|7cр 4мЃщЗ hkHЇ y†?µ 4kч 6с _ъdэ±я’ l]шЂъ ^щґ 3l &lt;љ ?^ 8_ 9‰яфу 8ш bых 5с 6Т l–4Gю_цЩя“ 4Џ 9ыэє 4ђыСь{ц cъ­я oBш =Ся JчпшЅъв 6†э; 5°я•э Sъ ;яn 83 :ўюљэЅэ Њ5[ 3ђ 3±яi 4lя&lt; 5у 5м 6ЁэЋю&lt; 75 grfNюiыW fv:Ъ 8~ 4» 4bэЯя Dя ‚3кяo fђ68яЅцущDяШ h&lt;u 9_ 6UьёшЁьД 3e 3G 4¶я ;я Ќ4у gЌ5выхь@ 8O 3@ыmщЌю †j6я© 5Ъ 4g 4ЦэYю h3к 5мьqэтчI 8тюЧ 7y 4v!7я‚э Jы `ьWц™ 9Р 7_ il5ч 8ф 8Пы ^щQщЬ 3Ь 4’ 39щ± 3Ъ 8xюнюГ 4 fo3Ъ 5r hx3™щея–ьЯ 7љюЊэ~ьг 4цюa 8° 3¤я‘ 3­ 6] 4еяFяUэ!3 eща 4A 88 8Шяїъ Wыгю:э} nxkђi^юBчfэь 6ќ nv7zьтф Hь| 5М 6ч ?Ъя SыfчU g;я =ю  &lt;І ?ч =© 4Оъ—пqцЙ 6б ?5 8FюрщМшђьЯя ’9EюЩъ Kш 8эвь bю ѓ6: :и qi3·ч5щґэA 9Ы ; =Ч 4UхюоГь ‚lg5IыряYь®ьЂ 6ш 5Y kЊ:о &lt;В 4vыrф}ш 7я UэU 4ь 9‡ ;s 9сшvу[ьM Ee @ этSфШь® 7Т &lt;­ 7юь–ю—ячэtыі 4ѕ :b 9ЙэБы FчЗъ Џ3\ l€7‘ы*щГю†эђ 5e 5„ 8n 8› 3ђ 7… 8њ 7ѓъ ;щ eу®шXяQ 5Ю 4m 5Ч &gt;к :~ 8Њ 5ъшШц Ѓ7h 8*ь„щ7юС 6ъ 8« 4е 5—яX jMю Ђ3ПяТш®ьњ 4щэгх TтИч°я g6Ё 8o 9V :Qюќъ¬ц|ч— 3w k’9 fAэeю¶ьЉы‘юg 5E 9Ы g‚6н 4V 6· 6  4Њ 5К :џ 5¶ 4©ъkяЬэC :g 8Т l{4ф fUънъ3ъ —hx:› 9WьnьPы?ыэ™э ’7Ј 8_ 6Tц cхяЛ 7эяоя 6юё 4† 3р 5tэЙюЮы№ h\яды &lt;ыГ 4B 9T 9њ 7vэюэ @я·юM ;‹ 9Їяi :y 9V 4  7Dы q5BяpюЫч KтЖч8шZъh :Д &lt;j 4яЫ 95 4` 5{ 3Вя 9щ[ц„щ‚чЙыЩюЩ ;ГяsюшэШыxь–я TюХ 4° 7– 3Ьэю fTьд 5Z 6? 7ҐьT kv6· 5є 4ў f[эЃ i|&lt;оюВ 3Ѓ 6&gt; =L 8!4nэµчTщ Ђ9Gяґюµ 7 я Zь ohn5ТяХюoэµ 4‚шyщТшЄъіэ6 no6й 8„ 6vь cьo 8Ф 6ѓяЄ 8їщE 73юbьLь= 5O kЃ4¤эrюэъџщ †5±э± 7™ &gt;’ь v;m lVянщ?чбъ¶ 6фьЬяфяr 5G 5ћ hЌ6‰ 5pшзхЊюy 8п 4aяЯ gu8юъ QяЃ 4°щ Xэ “7о 3v 3ѓяБяћь v4” 3±эєы Ћ3Ущ Ѓj:э l58ьlю­ыNэ xl3я Њ4V h‰5P 6iюНюm hCыa f’6z 3‹ 7]яё ;Ђ 7‚ fЊ4eюL 3nя 5ъВюЂ 8п 7ч 5й 3r 4тьJ 7ѕю“ьDя¬ 4”ыкы l6ы 5СщєюQ 8:яu 4ґъ@ъХы4 7;я Џi…6Ж 7р mЉ8`ющдяшы¤яцэЙъM ;e :’яЬьz 4µ iQэ[ъ ‰3B hVэuчdы; mZялэНэ„щљ 6„ :K 5ЗцЎъa 5ѓ :РьћыФшK ju9K 4л geщI 5¦ 4? 4Xю&lt; 5t gq4Йюбь|эї hbюмяъяЃ 3Ј 6Июжы&gt;я№яияkъўяи fЃ4fяХэ&gt;я‹ 5ф &lt;| haьeэЩэџ 6№ 6ц 4 ь Ќ7јщ»юђ i}lx8N jeьFю‡яЛ 8й 6IюРь 8щюѓяГюќ 8_ 5Єэі 5VщЊ 5¦ьu 6Щ 3к 4r 5”ъ6уuьцъу f{5п 6zыF 3jяд 3ЕъE 36э 4ь Tъ&gt; 5w 3ѕя [я tjtgq9Д 4·яJяf 8P 6Iю€ю  fKяН g„h\юуэhязьt 9Зюјы6 7€ 7Xъоя^ 7tэ= 3Й mZъѕы l;ъЋя« 7кюЊъНэщ 3’ьЇюc 5л 4УшГэџ gIя~э o4хэ—эя 8О 5ђ h3щј 4щя 6Ж 97 8·я  3мэoяґ kЃ5{ямэМ 45 6Й 4ыю» 5| gCыЫь xgsfk3Е 4б 3ўъ{ымшЗэR g—3f 8oюOю’ю Vя] 7Яю @юМьPя k4їю 5я rf8ю;яМ 5S 7Ќ 3ВяX 3Ія ”4‡ 3Ќ 6№яWыЩэЇ hЌ6Х g–5’эЦьН 4T 8С 75 m–fPюAы u5йюI 3И hy5aщДъ p3{ iЃk“f5юmьдыIюХя{ 4DьЉю’ь :я Ѓ4и 4P 4ю­ 3=э Tэ Kюґэ*яjяOяШ 3А 6› 3 9ј 4ў 3@эъ 5&lt; g3э:яЃ iЃf’6t 3—я&gt; 5? 3O 4m 7ё 3KюЙ f9эPюЙ f‰7T hNяWэ ?ю Ђ5oьЖ 3У 6@ 3“щvьЮя _эOэі i3яЮэvэчюУэЮэfю“ 4щ f’i”6g 3ЧяМ h4ќюШя _юyыЋюІюaьs 6© 8| 7ЇяЏэ‚ы `ъ•ъS 3ЋэZ f}ix5Щ 7vь z4’юsы»эзь” i„5Щ 6¦ :Ь f5яaы Wяѕ 7h 3ю =ю 94 3…ъ–щР 4О 3R &lt;l 4Ящhю p4нэ№яЋ 6ъ 7„ю ~4уяY 5Wь[шrэ`эLяЎ 3{юрэЏюҐ 9р :… 8ОэсщтшИэ Yы n8д 8J kBяЁщ5юл ;г 7lь Vэ ‘3| 5y 6Cяђ 7щ 5‘ 3мьeэУыy 3g f7s 3Кэ cяО 3ј 4њьб f@ьуыЌф[ 4p 5: g}5Ќъџя Oыи 7Hщѕя Rьл &lt;3 3а 4wхЈ 3‹чЖ oFыЭ jЊlSьћъ ђ3R &gt;Ђ 8Џ 6ЩяЩ 8џыCьL 74 4ј 64 5W hHъЅ 4k fbю§ f€7Fэ 5ч] 4p 5“ j:э kgTюGъыэюэFя9ыв 7xыЫюм 6E 5дя]э }4_ьџъА 3aю Yю4 5h 6\ 8bьёэФ 7ўяZ 3&lt; 4— lђ3M it3&lt; 4’яП f9љ 3Ьювэ– 3Ќ 3e 3Ж 3±ю?эnэ €3Ч 3L 5и 3ъэТъ‰щE 3jэN 5nь9эAэwяЙюLюw 6‡ hBю ‡fdю*эчяs gq4бя Ќ4&lt;эp 3P 6к 5J :; g|4›ы@юT 8•яО gLь ~7  3Т 6L 4o gsfxhЃ6I 4ѕэБю† 7ды— 3•эTьШюе 9Z 5­явэ°ш ‚36 6ияЏыВ 6|э Uю[ 3C 6®ы| 3юэЯяДэJя[ 5« 7§ 4ҐяґэCэs 3ћюR 3л 7ћэЧэEю xlJю 6яLыќ!5 gђ7тя {5¶щЋ 5Ж 6„ 6Єь¬ю3юAя •8Ая¤юѕь “5o 3ђ 5NяWю™ь6явъ»щ™э@юМэхя; 9ТюZ 5Ъыl 9µьі*ях Oю«ъaьZ 8п ;W lЋ=µ Cћ 4ЬшЈъ№црщ k4ѓ 4ў 5к h‰fYъ `ъ }7Ю 8gяT h”5ѕэзъА 3Ґ 7 4€я§ь”ь dыЇ 5¤ kЌ5lьч fZюvьЭьQ 9^ 5K 4Њ f9ъ^ю f6a i”5з rЊ9…ь~тPф; :О 6U 8ґ 7’ы @хMюh 7M 6u f4ыНя` 3‚ 7} jѓ3Uь AяЌ*ыя@ю¬ 3ХщХ =р &lt;М 7ќ 4mы ?ы^шA nr9ђя Sы[я‚ю n4r 3†я]ы 8яДщ{я m3K 7® 5ЁюЂчEэЗьЂьG 3&lt; AАщр &lt;Ў 7П 8я 7@ 6~я[ gPхЋ 7&gt; 4tшfэпы—я€ 6}яaяd ;Fщ –gXылчКщxы^эО &lt;Йю“ hЉgѓ4L 9Ж 6Ђэё 8€ &lt;©юџяпч Cч« 6л 5‡ 9зъ Jшґш y4Р 6H 4±эАэЛт FэБю€ьuьx 6k i—ly?EяЬ 3ящ‚юЦ 8ш 8ЩяЫ 3µяБ 7Ё 4– 8Ч ny;A 5§тTф Sюй 8ЏэШ 5V 94ь 5шs 4¬яјс l4Ьш –9Єя gjQяњцB 5Т 8Р 5±яјяцьУюъ 6Л fk5Лэс 3Ѓэр 6и 8ќ k=яь l;яЉь°ш `эs 5є 8Ю 7Z hz4NюDыЅ 3¤ь =ю*эГю [щgшSь— 6x 8V :– 4lъ ?щK 5‹эЅ 9Д 9–яДэGьЮюч h6яУыZ!4 :  =„ 49яњъ† 4}я‚я~ 3гяHьВш№ 3О 8j 6Љ 4‚ю^ 3aъSэzя„ьК 4ГъbюЪ 7з 4y =Y ;= &lt;&lt;ю\ш‚х @чд 9bюяюЌы­ 9ы ps5” 3нх*ъФэфцгю OыЦьБ 4ј 6і &gt;цюУ fBы&lt; gЊ7—ыVъ GыГ f\ю }4† lЂjђ7Є &gt;~ 5ль ‡4љъ&lt;ь [шЦюњ*ю 5v 3И @к 7± 9рыЄчЯхєэE 7~ h“5¶ 7Д 5… hYъy 5… 3\ 4ЄщотЁ 5&gt; 7Шх«я[ p=› 6ђ 7яь\фУф GюGю Rьzшуэє 4V n‘&gt;Є q3fт&gt;юСю 3»ыћ 3д &lt;uяe rsl—g?ч@щФя `эє 4яэ 4юe &lt;B &gt;ћю6 hy7ќчлыИэйяЌэ№эgяb 5оьЩь·эе gl6V 7љюґъђюґяіщ©ь 5ъЃ 5ЦьѓюЖ 6t 5Lь¬ 7  7x 7Ѕэs lWя¦эd 3сыЎя`ыQ 4Ґ 8ф j‡7сяDяЅ 5j 5¦ iu5р 5ь 9Ћ 3Lыїы^ю”!7 3NцiщЧюP 3w 4?я”я@ 4S 5T lj5«ь?ы@ыЗ 3щьУ 4•э aъ¦я …lzlPыЕь» 3&lt;ыПэЏ 4зю9 5~ j}4яJяГь@ 5фя7 3q 45щѓют 5j i“&lt;е 7N 3л 3уюJяи 4‘ 3Оъ¤ьґ!7 hKязэЯ 7З 3s 7У 3” 3qьVы®ьчъHщB 5ї 9c 5ќъШюЖ i4ьµш‚ 8ьэМэ¤ 3nяця o4МьТы QэЬ 5‰юїъМ 9c 7J 5zя•эЕьцю¶ oЂiЃ4уя№эЈ 3mьСяГ jh8С 4B :Б 3»ь &gt;ь”юп 6гы6юш 4;юЙэ: &lt;ЏэОьЙщP 4¬ 6]я“юРэњыxыQ 9rь dь~яЖьj 7? 3¦ю— 3їэ 4€ 4а 4Џ gЉ:п 4¤юШ 4ВыM 6і 5qюV 5Ё gЋ4Щю~ 5ъ 5Р 6’эq f†6— 3ҐяҐ 4№эCь@э&lt;я[ 6рэґщmюЎюЄя*юP 6t 6ЛъсъЮяШ 7сю4ыбь~ 3ч 5± 7w 4`ъEф †3€ kЉ8&gt;я [ьOэі 3Ы m‰7ZыЃъlэy i‘9M 6ќш®эё 7y 9Л 4qяiы§щuю­ 94 4FщќчБ mwl–4Fьјъзэu 6ќ ;ъэАэЇь Ќf{7д 3Јь|ш&lt; 9А 9э jx5ть ‡5­ 6FяЖю XэиыPы –gz6uэ ‹h…5Т lђ3‹ьuщ­ъ Mэ@ 3З 6ы 6И 3”яЃ 57 4ьэ[ 4u 5И hЉ4l fЌh”f€4О 3э 5я 3П 3X 4щѓымэ 5эLяN 5кю` 4йэn f]юwю§ю&gt;ы ?ю p4X 4‹я8 57 5ЅэJяП g„h”3zэ… 3с 3®ы eэ UяЫя k5A fm3е 3ё gЊhqi3жь™чЏю№ lx7iъ Hю o6П 5щ 7‘ 3w 3«щ›ы {4o 6ИьќьК 7— 4ью!5Ч 5qэ5юую QяЗыxэ }4» 5p 3е g”7^ 8¦ 8мяПхДю y3µ*яэє 9ѕ 69юз gQэбьO 5^ gy7Z lЊ7Е 5І :•ю ]эBя„щ _ь Oш&gt;эьч bяB 6_ &gt;| A6 3Юы*шЏшДь;ыВщDъ jCэ l3R ;Њяф 55 ft9K 4Ѕ 74яашхюЋы7 4·юzэ ‘46ьЦ g&lt;ы&gt; =® &lt;ґ 3ЊъФъRэдэпэ©э4ъ5ьѕц¦ьj 9Ї l“&lt;ю 5ъ 4яю 6д g3яwыьъ cят 4д 6юя &gt;ьmю~ 5° ;C ;[ 4нь @юG 5в &gt;K &lt;Я ;¬ 3Луsх7ю&gt;я\ъ`щБэ\ 6n &lt;з BK A‘юс fJш=тґщЇчЋхКьqьЅ 56 9ю kЉ=· 8– 4g 9yя \ч Vъ AюW 5Т :Bю PыЙэҐъj 3ѕэЦэ? 4QяжюЂюHч}ш zAѕ 5вя ;ъvш `щЇю… 5X 7ц 8JэБ 7f 9у 6` 5‹ 8Zэ cюш 4є 7¤ 6yьMы~шЫя p4цяь™ю Vяmяґ 8b iLь ZъЊя Wю€э‡ 3m 4^ f€f6я m8O 8і 47яЁьЮ ht6Д 7L 3йьtэЃ 4“яЩюІ 5ћя”юЫ*эыwяU 6“ 8h 5ЖъШьњю pj†ix5аю€ыdя› 7ђ 3Y 3Вю Ѓ6З 6„ 9щ iЃ3AяIяКю Gьmю«юgюH 3Ш i•k‘6f 5Жю­ы¬ъВщwшЌыЌы [шіъЭяќ 5d 7uэКщЂщ{ы°яЂ 5= 74 65яёь Dяk 7Ъь”ч Gя w9є 8ю :D 7? 9и 9с :Р grfWю;ь–ьТ 5X 5tю Њ7у 7е*ю 4m 8¶юѓэ4 3; 7^ы`ш{юіьЂю o:э 7n 4Ж 3OхЫф@ъјэ o6Ф ix;ћ 3} 3ж 4qя:яёы}ы&gt;юФям 4¤ 7Г gv6µ 6] 8a iZэвюБюO 4Њ 6К 8YюEыaы t6” f=ь± 5¬ 7ђ 3М 3ї 3¬ы=ю« 8Й 4люПщ4шючСэпяm 8g 4y 4Ш 4h 6eяSьЏч Eь OыPъWчФъZъп 4Ѓ 6J 3i 4№ясь9я5 6DюИьi 4Ш 8Хьђ :| pђ6УюЮ 4¶ 5z 6B nk;Z 8” 4? 5‰ 7Eя ~3@ 5Е gFя&lt;эЩь›ь]юzюҐ 4^юж 4¦я _ы{щuьТь Qэ§ьЊьпь ”g4‘ g~4Џ 5у 7Ыэ]яS 4Ј 4lэпьТ 4Ї fSэ3яi 5Яяu 6x :H 4з 5Яяњъ Dъ— 3A mx4Ы 8Є 49ю WьЄыЄ 3~ ik3H 3ъ 4ц 3й 5Їэ p4вьџ 3”эћь |f&lt;ьWцLьРяУ 3Lявяoя® ;Ѕ 4Xъbц…ъ—эb 5ы 8љ 6‘ю4эCя&gt; 4ЄяоыxяА 5Н 8Њ 7eэ—ю\юnяЉ :ы 4Н gOъЇэ` 4ж 9› ky4Њ 8; k€3Uы‚ь‰ gЃf~6З 64 5‘ 4!5 Ѓ4§ ft3Зяч 3Еы…ыэ‹э y6Лэ5 5]!5юЮяљю HюDыcы&lt; 3– fЏ3Є 9•ь»яOы”я©ь†яГ g–7I 4‘ю Zя}яWэо f‰h}3їьЁ i;эI 3y : 9ћ 3Щь ^юj hIя°яДш;яф =о 9ь y4ѓюёчoь@эE h‘3ЯхcюНь—я…юYэУ on97ьAя 8юУшDцУъЇ f…:® 6у 4P j4ъИы‰ 4“ 4Ъ 4яю‘ 4сэ XюO 4u 4k 4} 3мя ‘4Ѓ hЉf9g &lt;’ 6‘ю»яC kh7!6жэfэ bэYь­ 4Z ;l 7б 4C 3| 4O 3fюсю 9яsюlю®ьая›!3э*юм 6h 4Q 5ЏьзчЗэBь°э hgbя 8ь&gt;я Ќ3ч 6Ћ i€4r 6nьKэЪюЯъяэ if…7„ 6Р fu3Ўя°э; 4Єяљ 9П 7Љ 3‡юnэ° 6– fMяГэ‹ f\юЪый 6џ hk3»ч[щjэ ‰5m ;c 5¤ 3{хЖэ Aяtэ EюПь “6t 7рябьхы …3} fhfDыо gЏ3l 3ояP 4G 4b 59 7Ї iGыҐы j5ё fXы 5яD 8ц 5Nьf 5u 9« hf8М 8yэЊяз :Х o}3т 3Ш 7— 4&lt;эk 7У 9tю¦ыпрОфЌэi 3¤ 4¶ 36 4KшHяїя_ g’3аэ Qэ tiЂ5nя XъуьWы t3ќ 5!7F 5q 4ќ 5т 8UяEэЇшµяAьцяУ 4Џ 4О*эя v5ёюkяТ h_яЕ l‚4Џ 5N 4u 63ю &lt;яzчТшџ 3ЋъВэ 5юD 6Р l„=3 &gt;€ kPяшюCяVыэь@щ Gыјь}яЖяeьX il5| 4тэЃэющuыЎяo 6ъ 7г 5Т ;Z 7Х gPэEя :э zgvf`ьBыMюэ j€7L mw5† h]ьры”эmю5 fЉ5EыHьjюH j‹3џ 3’ 5¦ 4ЙяэХ f‰6Э hynEыsъ^юз 7І 4· ht8E jVэ: 5и 6фю¤э9ыRь¤ч [чUщЬьSэю 3юyэ!3ьw 3’ 4nюн 6Љ 3VяiяТэ ‡5q 7ьяГ 5“ 9B lq5ђ 3К 5p fXь Џ4Л 3гщ @я ѓ4ї 6tя Jя 5[яzь~я¶ 5љюџщфяgъІ 5П 3о 4Г 4Б 6Z 3Ћь Pюa 3у 3E 3` &lt;ґ m~4Ў 4aь 4ш AьЈ 6Ц 5dюЃы¤ь 5ыEэ¶ 5” 9у 9ў 5›юIы‚ъ Cяµ 4Z 3\ lЌ6¬яRя k4іяІ 5o :ряаю Qя§я·эm 3“эияУ 5¬ 5Ш 5Eэ`яlэ*ъ €4Н gQэаьЬэ bюр 3Ь 6| hЃ6шы&lt;юУщмьЬшєэЌю Џ5э 7&lt; 6ђ 6Ѓ ft5Hь±я”эЏыЅ 38 5WэщяІ 4° 4ѓ 5S ;июђш¤ъзчh 3rя j&gt;8я„ ;№яп 5cюґэЈ fOъЊ 8С 3Аы€я ЋmriLщ Zэg 3Ию§ш‹ 6Я i5щн 3А ;О 7° 4а fm5ђьЉэyъИэ TюDюђяd &lt;· 7еьђюОя fЃf5я@ 4©эXыЬэgя 5Є 7Ё 3z 4б 3џя Ђ5| 3Б 4} gUяZь~ 4q 5й 4Я mq7Ю f{3Цэ CщЉ 4НюДю«ы ‹5ЇшЭ o€;sю Ђ&lt;5 6xыРцc 6Хж 6юЖфФьҐ 6џ k‡7*ьW &lt;ЮяЩчkыoъ… iF*юы€юд fo7ЧяЧ n3я; 6г 3U 9L 6ЏюйьП 3гэVь {l’6P 3ЋяВя: 5КяIюь 9јьшэt 4E 3vэръЖюq 3Т 3p 8G 56 5{ь5 7ґюТэЇъ­ 4љ 3hэ y5v 6¶ 5ЧщЋяI 3дюСя„э AяУъль l4±я} 5ЌюЭ jy4®ъҐя †4Эя{ 4ў 9@ 9A 3Yю g6M 3aюџ 4r 7Ј 6т 5ђяЇ 4ёы_ы Ђf3AяІ 5v 3WюS 46 7„ 4Mэzъ{ы 4яAюzэГьфяг in9s 3ГьIъпчVэ Lя [ятыЙэ nh{l…7G 7{ 5ыюЎяJэZэi gXю ‰3Ь 3S 5F n‰;@ 5Wя —3‚ 5ьэQьOьmъ‘э ‹7њ jЌ3п 3®ыю 6&gt; 3J f€4Hяќю Kцeы :юДюК 3v 6Г 4ўь€ 3G 4–яјэ„ 3Q :­я­ь©ь=юТэ f5И 7K fЋ6U 5щ iЋhNэХ 3: 3няЋыцьe 4qь aщЁ 5f &gt;h 8й 4§ 5Р 5мь^ш№ьx 5ґэ©ь‚эў jz5MяW fg9z maэ™ь Jя’ 6uюћь ^*ьыДъCщ s6ґ :Цъ}ьEюЈъэя †9‹ 48эAэR 6&lt; 7ьЭьm 6§э†ыjюh 3Ф 5і 8ИяI 4о 7о imfm3с 3F =Рю8я;эия–ьЛэчш« i‚8ћ 5mяџ ix3‘я Bы 4ьй 8«я~э&lt;э&gt; 9Ж @„ 3ѓъЁш †h6э@ъgьЕ 8Х ;Ія Vъo 6› lUяQ :Gф·ыТшa 3гырь‹ 4Ё 5• &lt;йюn 6›ч 6аю ‘?ЯэmъоъHэЭ 7  fTяF 6к o‘h_эґш f;№ 4^ h&gt;э o7Dю° 5UъЇя :ы EыEьЙ 4kюоы›шw 9cю_ьзя 7Љ fJэ№ъ `ч w5ню p8АюСю x3H 8f 9уэРя ^яdяT 4Гшiю ‡&lt;Ѓ ;фщ:юйюъю o5Ќ 6у 7х 5yюZ 3k iGэчщ&lt;э=ъrцрэ6 5‰ 7K 6^ qЏqgE` 5vъ\хЙызшУшјх TыkэN mxmo;d 8В jz3‡яVы„ъuь Љ3‘ 6B 5л i”4Ся `хIхєю •4Р :” mx4f 6Т ls;Я ;k fHшDш Bя AюсщzъЖъzьSэбюk 5”яК 3Iяъы¬ k‘iЂ3‘юНъ VыBь Rь¬ 3– 3№ 4Њ 5^ 4N 5г 9Вяg 6” 6y nx8® 9~ь aюш gC*яэ VэИыэяуяЇ frh6§ 6—яъяЮэЏь oj’7aычхЬъRы7 i”i?ьљяk 5‡ь k3іяВ 5Э 9Эя Cэjэ™ыс fcю 3dю Wь ;э° 8” 5 6З 7; &lt;^ 6o 4_юіь &gt;ю •4^ 7П 8»я7э t4э 3L 4Ђю 5:я®эФщ Dы] 4G 6J 3№!6этъ†щть n6T f;ъМш„ьЯяx hSю …3Yю =ю&gt;эЖя m3З gh~gz3L gn4•ю| 4|э] 9K 6dяџян 43 6с :ў 6u 6Лэзюсяью– 7\ 93 4®я¬ 5{ 4Щэ· fMю Tя bюWэеыфэ bэош–юЌ 6ЂяйчlщC 3ЎяіюОьj 5М 9ьCъ“ g—8`ю°ю ђ3њ 7€ k|i7яЙ 3с jЊ6И h;эюэR 9Dяmы ђheшў 5c ls6і iFэЂэP 6°ю{ъыэ¦ы AюЎ :Ы 74 ly3bш¬ 3_ 4Ыъmя~ъ eьж 66 5i 8Ъ k`ю @ыµыyчЎь h4vы^яДяѓэ·я Nэ z5Эяl 6† hm5Ю 7Уюэя®э Oю” 5^ gђ5И 5u gЉ9” 8L 5“ i†3Oэ©ющьu j:I 4Р 5АъЙш LюУю Kяwь{ьШ 3°я Uэ :ю[э&lt;ы€я@ю\ 4® 3чь LьeяГ 3H 4ьюW 4R 4э 4µ 4Е 4О 3ж 4W 6г ivg5tю‘яuыk 3^ 5х j&lt;эk 5_юмюЂэЦяс 3џ 8} 6Ы i’8ЧыђъMьГь? 6M 6н i&lt;юыцЃфЮю7ь±ш s6&lt; lЌ3_ h4ь»х eъz 3•ъ h7є 8ѓьЁъЦ ly9}ьэяG 3A 8ї 7ш 5© ;к &gt;ю3 hYюРъNюl g‚=В &lt;@ 5JыэИюы 67 8Е 8‹ю[щцыўъi 3ѕ 7F 8Ы f~7vяёщґ 4` 6ј 5ѓ 5Щ 4эЩъ `ъ bщ n3‹ :Њ 5БюВьНьЋщ*юvю± 3ґюмэmюЂ 3ўю&lt;шМя–ь­юЦэbяяЃ 3Д fTя h4x 3q 34 5¤ 3~ 4Ѓ 7Ќ 5ќэ :яї 3ЇэТя Џ44 gzi‚3† 3¶ 3Љ 3Ђ 3јяН 3eюAю †4ё 3Ѓю“я 3б 3FюсэцяШяIяРю¤ 4о 5й gNясяЅя KяUя Kя k7@ 5Вэ Ђ39 4B f8юЛя‡я [я8яї 3Љ 3G 3жю”ю 9яuяJяl 3Д 3Ј f“3Ђ f{4Дя Cя&gt; 3› fn4ия3 3Н f‘3‹яT 3C ff}f}f†fl3зяюяч+яъя</t>
  </si>
  <si>
    <t>RI*Fў =!3WAVEfmt †C"3 gfgfw^!3 UV!3 hfv3data~ =#3њясюљюјю‰юњюlя@яШюDьўх ;с р =уЊьb k†tp~yQь Qu Kй D¬ CМ ?М ;” :Ї C IO EИ 7Љщ5шТцЭхvэј ;ў Hy ~GТ =™ 7зю*яOэ_ ;ё DЎ P7 RD ЂЃB¬ 3hю ь&gt; 74 Bc sѓCI &gt;я 5УыЕт ;цV 3d z{Q: P· QN NC }Љ=ры|ыe 6и ?б r&gt;ыџчхр 6ЫвЛјРWХЄ*УРDЛБС•ШкЩЗЩнињч€ ;и g_р‚п OсПоQеСиИрtц @хdс dу†щћ phL»5uB“M aIk4 •[О Qѓ x}7D 8x L№ Yи SП I§ LК vѓ4FрјвyбCзЋиmгюоR &gt;ю QЏ Ђz8uщnз„Т}Ущбл 8ф“с Bт :шўућп|т Lч”щєъ `фFьР AЖ MD T6 Oя LЫ Hл 64ысю ihl&gt;л E lg5H ;n Bn Kд Ue U8 {}&gt;gы9цЬшB 3р kѓ&gt;s &gt;Б h6уХа`аҐж Pк &lt;е`г @д9ЯgШюЦdЫІХЬЂеЧй}йлз‰лvчl :– {“„nO‘ |ЃEJ Aѕ @« Co Eµ HУ Jµ D4 @a &gt;… &lt;¤ 9¤ 7е :b @џ Cf DА s€no&gt;§ CЇ H] P‚ Uџ P!DК &lt;у 8и jk7y :T :ш g9ю‡юMэЋъ6щSц·п™мiрPтЂощиІе Xж ;и UсГэЁ @Т Kђ iJп DЄ Bя ?Э :‡ 6НыХф¦р Hп_р¤фvщ @э„ 4© 6&lt;ъ bс &gt;и¶бUгШлФуъь@ 5› 7в 8; 4ЗьBь cъ 6цсцХх}оMж»вжв=зір RшAюџ 4ўя8щ 6хєу ]чѓ 4– &lt;µ CA Gю yoBэ 9ј 8Ш nhBј FC H^ zЌv‚=ќ ;Ї &lt;o A§ x–z…KЄ ѓђUУ V± ‡hOа Lў M5 O¦ QD QЗ Kи EJ AҐ p~&lt;m 8Х fHыhу&lt;пПк Eи&gt;зЧз Sи~кжйеизкBнiмУнЃсЪцГьeю:ш‰х 6чaш 3хkуHфќф[сБр?фсых 4ѕ l–&lt;џ ;® :Ѕ 7B 5оэ{цVч№ 3P 9  ow:l 7ќ 3µ 3m 4ч 7ґ &gt;F Ae Cз w‰u•&gt;г ;х q}BF C= ?Щ :n =O 9¤ 4№ 49яЦэIя? n‘Fц C» kEювэВыqюD &lt;§ EЧ }—OБ Eж BГ =ѕ!= :мюКшњщ&lt; 8п @п Dw AУяЅу ?пКз \й `д_зСт Eыњы cэћ 3¤яЛю IхЦг;Щrацкфэп ;І 4m 9r 4»щОоюсЃнhй Rиcм®ц 7А &lt;џ 84ц=й Nж Zл ?л SтЂщ•ы Jы@ю ‹9J &gt;м :Ї 6K 3јрубЮз&gt;йRо 6тVуИч™ю „5d 5° k9я YщDь 5я€ ;f Lc U| Rf Tq ЉѓSэ Lе {†I  IЩ Ѓ‹R« „gK` &gt;nя Rш°ы –fslwq‰sy&gt;У BM CБ &gt;Ђ =Х ;‰ 3Zьvшчџы@ 78 5¤ 5c 9I 8рэTщOтЃоЛлИв Jвpе UжђмётYц^тёп Nс @тpчЂэ |3й j€nxpfnx:¶ m‰:Ј 8Ш 7b fSя HчWфЅхЫш‡я z8Є 94 fWшІт WнзйiкЛс‘ъ JяЌьЗцЧп Uн YиОйЭс±чІьh 45ыnч Nп aрҐщ’ю‹ nfG€ Mg K— K… Kш HF Kы L: Gщ Bf kDь Nч{т¶р±убху fp;T ?  @k oЋgLцџф @у _фђъFъZчЃу†п—о eуIцтыЭ 6Ѓ 8] =w &lt;= 4ЯэДщФшЇыДъ°э Њ3· 49 76 6А hq3І hx;F ;j nђ@U &gt;— 6Й 9R &gt;¤ qЃ@а m~6® fDюд 3E :· 9Є 6| 5‡эхэ ti|8ч 8ђ ;Д 5_ 3„ g5я q6i :ґ ;] =Ы :Ж 9њ l‡9R 5m 3й 4m 5¶ 4m 5G 6Г 9И ms9ѕ 8Г jo8q lolЌ8“ 6н 3@юFю PюЦю‡яШюбъ—ш§ч–цѕшLэў 4&lt; 8o l’kx5¬ 4Фя»ыЂъйы‰э Lы5ш cщ®ы ?э 8ю7ямяЖя l5C 8к ky:ш :Я 6Oючь]э„щєхЋт Cтѓу¶ц MьЧяI 5І 5j 3ЗюЧя© h‹j—7Й 5ґ 5И 4 яђю= h‹:Й ;} &gt;Д BS Eэ EҐ xЉCЉ BD ?э :ў 8ќ 6Є 5w 5Ью Nэ [э|ьiш\фЮсврур`сЄуЈчрьd 4{ 7З 7ш 5y 4Uюыь&lt;ю4 4ц 7c :З :П :? :С 9¤ 9Т 8ћ 8™ 8њ 7¬ 7Л 7• 78 ikh‹5Щ 4z 4a 4† 3[яЄюеэ Cю·яS!4 5= 5@ 5w 3Пьвшlц dч™шўш aш 7ч^ц Aцвхdц’цФц Lш \ш}чSцѓх3хжуЧс]т Hх Pш†щmъOыљьcэ­ьЙыль±ю; gЃ6е 7И 8ы 7Љ j‚8Ю 8· ku8б 7› 8А 8п 8E 9l 9ђ 8Ђ 7‘ 7О 8Ў :К nr&lt;Ч ;M m’lp9ч 8– 8л jђ7D"6U 6Т"5і 43 3cюрьяыХы JьFэМю§яыя¤я’яЖю 8эІь\ьПь\эаь№ь _э Bэ‹ь¬ыnыШъ aыWьєэ DяВя t3зя ’3ы f}h}6‰ 6ј 6Р 6b 7г 8g :ј :8 m’9ъ jlj”6Ј 5u 5x 5• 5о 5W 6Q 6Т 5G 4ЃяюЯэdэЛэјюРяg 3с f}4j 3©я Fяеяй 4] 6I 7ф 7S 8J 8· 7› 6^ 5љ gђ4† 4Є 5№ 6Б 6№ 5g f^юіьЙыҐыАыЕыМыЕы…ыgыЪъК+ъ8ы ^ьЌэяю —3 f’3_яТюыюxяЩя ”3A 3і 3т 3Ґ f–3я 8язюЋю±эґьіыјъ7ъњъHы YьЋьZь@ь8ьЂьfэvю Sя“яДяmярю™ю_юQю»юdя7 f’4ь 4Џ 5д h}6Ю 5и hm6ь 5» 5Њ 5K 5@ 5j 5‹ 5Н 5ж!5 68 i“6ж 5† 5E 5ѓ 5н 5&gt; 6™ 6ј 6Ї 6Ќ i6В 5P 5с 4p 4й 33 3lяЁюЗэ XэпьЮьсь3эЃэЌэ€эЏэќэйэ6юљю:я {3У 38 gw4b 3Ђя·ю aююeяk 3R 4Щ 4Р 4t 4ч 3[ 3­я ]я KяZяЕя!3СяZяЯюuю Fютэ &gt;ю7юbюjюWюaюiюDю Eю ]ююоюFяnяGячюљю]юpюЁющю5я cя*юЬюрю Kя dя^я¦яТя!3 ‰f‡fЂf}3J 3Ј fk4] 4™ 4Б 4Ж 4Ѕ 4™ 4v 4_ 4Q g–gf4в 3І 3u 3; fl3еяЙя›яjя6я*юЬюєююўюИюЩюФюЖю°юЊюѓю”ю¶юдю JяaяЁяСяйя t3&gt; 3e 3  3Ч 3с 3ь 3!4ь 3ж 3С 3ї 3ё 3° 3« 3© 3” 3s 3Z 37 fj3ЧяКяСяПяЦяаяСяяLя DяеюМюМюзю IяDяgя{я{яzяwяuяя™яµяСяня pfwf@"3эя!3юяшяшяэя gfsf~f…f‹fЊfђ35 3= 3; 3&lt; 3C 3E 3C 3E 3G 3C 3; 34 f“fЏf‰f€f€f„ff{fxftfqftfufvfvfrfnfjf4$3юяюяьящяцячяшящяъяьяю-я</t>
  </si>
  <si>
    <t>RI*F ЊA!3WAVEfmt †C"3 gfgfw^!3 UV!3 hfv3data hA!3 ufЊf–f–fz3няШямя h3шяG 3? 3Йя8ясю[яХя t3C 3‚ 3† 3чяJ 3Сябюкю]яЃяpяия kfЌ3= 3« 3ю 3м 3&gt; 4{ 4і 3ряфя {4У 4N ho5г 3Р 3x 4{ fЊfЂ3‹ 3  g‰5Ј 4C 4e 4Пю 8эљьТь юLяћя&lt; 3~ 3іяFючьоыcы OыZьЛэ EябяэяЇ 3Ч 6B k‰8a 7с 5я 4мяюн 3’ 74 9Л 9U 8? 5В 5’ f^э№ыGьЭю {5Y 8› 9A &lt;я ;] 7Ея…ьИьЗю• g…6В 7ћ ku6Ј 3аэMю 6юvэоэҐэv 3Ф 4а 5­ 4c 4њ 5Д 4µ 4еяМ 3И 3ъюВэ Lю¦э Iю7юЧь&gt;юuюяэ|ю я– 3D 3^ 46 4Д 7R :i 9Н 8| 8б 8: 7e 6Ґ 4њ gsi5Ў 4Zя HюЭэJьsщљщ’э FэгыуыСы [ъOч•хtц &gt;щПш`ш¤ъ‘ы Iэчы‰щышTщ PшЉхохтч~щ [ъJщјъ Yь Iюђэћэ `я4яђяПю FюtяП 3д 3ћ 3кяЕэХьЮыЯы}юЧя7 4x 4­ gs5‘ 6Л 6І 6А 8~ ;_ o•m€:п ;| =Ћ rhr@™ @Е &gt;h &lt;т ;р &lt;{ =Y &gt;Ѕ =d qЌ@Ч ?F ?џ &lt;? n“;Ћ ;i &lt;Ќ oЋq†&gt;[ pЃnђ83 7ь 5Ѕ 7ч k€:@ 9u 7&lt; 5гя¤юъэG 3є 4_ 6щ if4љя TюїэOэQ f4х!4 5“я dэчъ &lt;ъ‘ы;ю’юЩэ 8э‰ъхщєъmьѕювя ‡3ВюТь ^ъпщzы’ь ‚fЌ75 9u 7ПяеъРшhщTыщэ h3ѓ 4­ h‹4¤яУьaъzы8эn 3і 8в :ж 9E 6¦яUэҐь…ь v3Р 74 8К 8ќ hGэ‘щЄш•ыЈяж i€:— :» 8Ф hЂ4wюzэћюш gѓ6№ 4jя}ьОы ^ь¬эЂющюЛяP!3 gp4M iw8&gt; h\ю©ъзъщы№яЄ hѓ8m :й l9Ж i‘5d!4 5M!6!9 &lt;P =° ;u 9ї 4Цэ\ь Pэ dю 3t fHюYьSьRь5ю©ю]юsяG 3эюаьЬъyъbы eьDя4 7o l‰9M 5ь Lч Hц KчЯчKьїю Qя‹эЬщѕц Qцбцbщю‡ f„5о k†:у 7Ѕ 6Т 5П 5ђ 7• 8Д 7M 7а gu4c h}7_ 8ћ 8q ig=юљъ Wч{цДшПы‰ыіщљчКц cшwшац 8ш4ы;э·юљя …4o 5[ 4Сю©юЋ 3z fTяsэIь”ы…ьЗэђь`эTю•я6я UюЫьДы OьOю 7я Њf–gf5В 6H 8c 7= 5Ь 3П 3X 6J 9л 85 ;м ;e 9H 5&lt; 3µя l4ш kl=Д =З &lt;Ћ ;ю 9m 5Ѓюхычъ Iэ :я o5} k}:!7tюпщУчхчЮыu 5є &lt;­ sqrfn}7Q 4Z 4t 5І 7„ :№ n„m€5Аь’щзшащ5э¶ 3Ё 6Ё k{jЉ4sюWыёыbяL 6й 7&lt; 7\ 5ЕяЇю ^юµыIьбэ» g‘7ъ 8ц 7¶ 4PяVь 8ы 4ы¦ь*яY 5Ю 8¬ lЉ:x l6мяоя Ђ3АюФ 3µ jn:t ;™ ;b 9Ќ 6K 4LюТэxюЭ 3И 5у 5Б 3џ 3Жя @эХэ!4&lt; 6¦ jЏh[яiь°ш:цохіцЧъд 4¬ 8ю 8| kq4…эLэ 8ю‘ 4^ :T ?О AЌ @ў =Ї 9M 7Ц i|8џ :y &lt;Ы &gt;A @F ?Ь &lt;ќ :E 9R mh;е &lt;й =A &gt;4 =_ :– 8Ќ 8l 9я 9и 9@ 7¬ 5R 5~ 3hяJ f[яµяJ 4Я 3&gt;яфь DыЁыкъRъръ:ы&gt;ы7ь·ъUч‹ц U*чц aч Kшаъ ]эўыvъ 4ыSъ =ъpъЄъщыYьѕъ LщРч@ч Iщ TъЇыЈьСьҐь¬ыйъ HъNщ6щ3ыРь`ьЄыИъIы Pъ ;щHщ„ыVюeя†ядяѓ 4G 4«я?эaы‰ыЏь«эгюЃ 3К 3[ 4Џя SэЇы Cы Cь”юОя n4N 4!5€ gu3E 3d 3Ѓ fЃ3Ф 3a 5ѓ 6ё 7Ќ hUя q3Ђ 5з 6№ 7Ё 8§ k…:ћ 8; 6; 6ё 5ч 5‘ 6— 7Ј 6F 4fюЅъ€шУшGыЬьWюZ 3­юlэeы &gt;ы 6ы|ы &gt;эёю f8я†ь 6ыvыqэjэ®эйэ®эCюђюэ Jэsэoь GыЉъђыtь©юйьЫъјщ MцдуSуРт±х=щџь k3y 4¶я*ь =ыхъGь ?юРя^ 5e 6л 6Ж 7Ж 8j 7p g@яnэ k3X 5: 7u 8D :Њ 9Д 9® js6з 6к 9f =ю pg&gt;ё =P qn@Т CO wkFб zIл {†F  BЭ BC BЧ AH @} @а vЏEy FМ Bw &gt;Ц nwmp7е 3¬эЏя› 4e 7\ 7wя Qьщќш 3ч•фЧуЬц—ъsыЏщЗшПш Zъ…щvшТц 9щѓь _яРю{э‹ьдъ HшWф Nуѓхчшuь{юьЁщтч Aх_т{сЫтйцЯщМъыщ6ъњь9ю Oэ Rьhь“эчэфыцщ Gщ6ъOъ 9щЌцИхЗф PурОо·оzоEото[рAхишqъјъВъШъ BэtяЮяw 4ь 4S 6· 77 6– 3dяCюmюЎя4яуя }hm6• 4ЛюГэДюц 4W 7t 8w :ћ ;k =Є &lt;м :Ѕ 7Ы 6Ж 7П 9ќ ;Д n}&lt;u ;ґ 9« 5°эMы‘ы&lt;яА 4њ 5л 6н 84 9г i„4кя sg‰5} if8Ь jlj„i‚gKя _ю]ю№юш 3ќ 5 iu6® hЋ5p 3Оэfь Lэ`ю~ 4e it6б 5v 5h 4ая 4ят 3ж 5Ы 7д 9х &lt;џ &lt;w 9™ f?э 7ъбщ4ъЧыПюЫ 4D 6“ 4aюФъ Sщ·шїщ¶ышэДяѕ 3V 3Тю°ь Wызъ cы5ыЯъ|ы¶э rg†6Ћ 6i 5u 6ы 7Љ jЃ5x 3Щ 3љ 6i 8W 9ы 8ђ :® ;Т mqjs3uя„ g‰8» 9ё 8Ю 7п 6 6j fDяњяК f„gu4e 3xя— 3; 6: i†4ђяk 3­ 4„ go4”яiю™юЧяЏ 3р 3v 3L 4K 5с gѓ3nэќь Iю„юpэњыэы9эвь Uыцщиъь™э§ю;я“я“ 3Џ 3Ѕю cыЖчъц&lt;ш Pъ;ьЬ 3‹ 8З :G :ђ 5RэДшґцљцДшиъ &gt;юЫяF 3їя :ьЇшЇц‚х aцGчйщAэ3 f‚4aяBэѓьЩы Zщ eчUх Sчnъ IэЈю]ядяTядьNъ Uчdх \хЌш¶ьёюСюЋюZю:э…ыђьKюЄ f‰5ц 4Е 4 4x f&lt;яnэ]ыiь5юq 4Ћ 4В 4· 4k 5е hf6C 6№ 7x 9f &lt;Х ?є tѓAЪ ?Ш qj?8 &gt;я &lt;Т ;B &lt;N =Б &lt;O :† 7х 4k 3ияА 3Y 5ґ h”i~6‚ 6I 5g 3зюAяlяЩяЙяЅюl 3› f|3•эШчбу9тRтщу©ф ]ц 7щyьъ*ьыdщ MчtхяуЅх Zш«ырюV 4я 3Еэџщвцpц eцлхлчПъйэ»эЧыЏъ Iъ PщcшечЮчiщЮы•эўэ}ь Qьэьуы‡ъ^ъћч3ц]х}ц¬ц EшрчtшћъўъЯыХъРы?яB 5Њ 5~ 4ј 3Ыя!5R 7­ 98 &lt;¶ ofq—&gt;· ;G 8в 5… 5¬ 6b mj=P =ъ ;З :‚ 9‹ 6^ячэјяP 7Ј :4 :I 7F 9х :w &lt;¶ ng94 9Ж 9b 7` 6т 4q 3E 5В j‘lz:’ 9J ms;m 94 7{ 6д 8ј =® @т Az AЋ &gt;’ ;к 7!6[ g„g…7р 9r :Я 9k ly9ж 7« 3Ђюдю3я „4i 6и j‘9± 7К 6\ 6¶ iw5A 3Ћяўя6 4| 5Џ 5о 5µ 5а 3Eя[э FыWъ©ъ ^ыiь QьWэfю^я Ѓ3–яГэ3ьGьaэ[юUэЋь Jььць WэїэЩэZь–ъ \щчш}ш7шЩчOч 7чЄчКчєч9ш§шОщwъUыSэДя o5Ф 6t 8Ц 8 7џ hЃ4m 4„ 5B 8К ;І &gt;† ?– =D ;Щ 9Џ 7м g‘3Щя= 3X gp5µ 5[ 6p 5· 3Tю &gt;э dь«ь~ь Kь aьИэйя… g…6Э 6ы 5Д 4фюь…ь ?юъюЪ 4n 7ѓ 8џ 9^ 9H 8] 6Ц 3фэ Fюряч 4[ 6Ф gRя 9эcыѕщ™щМщ Wыжэя 3\ 7M 9ґ :З ;!&lt;} nj;Я ;B =V @4 Bф CЗ Dш DH Db BЎ A† ?b @O t—D} Fу HЛ }vJЉ I· Gx DS Aњ ?&lt; &gt;– &lt;s p‚qw?t ?R p“&lt;j ;v :л m„&lt;Ъ :Ж 9; 9b 7  5ЬяyьFыЗъrъЇъмщ EщfъЏъРъ \ъпч 9ч9чЭчВшмщХщџъ bэуяЯ 3J 3ћэ7ь‡ьЂьЇьќэПюL g„5A 4РэґщОф§тJтЉт MфГфНцмш 6щ 7щ–ц·фЫтщтҐуmх LчYшеъКъѓъИщыц 4ф cт®сЏрхрCсЇущ‰эЪяй 4­ 7— 7я 7С 7Ю 8и &lt;O AЏ x’GЂ I JЦ KE ~tI” GQ y–F— y†Hя Iт KГ LJ ”~Њ{oF· woDД AD ?А &gt;І ?¶ Ar s”&gt;§ m‘7q gAяpэ€ь·юЛ 4« i„5Mя Nюъь 4ыќч9цйц 4ъжэ’яGюхщ 4хЫр Bп°о Cр Pт]урх LщФыgы­щВцТуGу Dф aцѕщOюй 3и 4ґ hm4Сэeъ 6шгц›ш™эд 6Ѕ ;L &lt;i ;х 8Х 5~яЛъTц \фOцЖшгънь @яrя·эыщ Lчљф–т сZс…сДтВфfцЈчUц Cф6т\рPпyп№сЬф Xш ]ъSы¶ыoыSы 8ы9ыЪыТьOюsямяняЫяsя eя Rя RяVяІяоя 8 3</t>
  </si>
  <si>
    <t>RI*Fn \!3WAVEfmt †C"3 gfg3Ђ&gt;"3}!3 hfv3dataJ \!3ЬяфяЬя Ѓf€3оя k3Жяb f…f‹fЂ3} 3няO fm3· 3фя; 3| 3@ 3†я‹ 3Кяd fCя fiaюСь s5d =ЉяxцБщ ‘n‚3Т 8_ 7qч€цФя ‰8г :X 3чшpшўюе 3х :г iSчlх i3Ђ 7– 8О gNь ZцжыЃ &gt;q 9‘ю ’4юы~эc lЃj‰j\ыџхi 3x 9І 8Ю 5¶ы~ь q3Q 6Ћ 9; 5™ы[шп 9ўх­ 9¶ Ѓeж 5Щм Xф MКЭ Mн7щcцКвї yЋLЯу@бЏ ?o Oжи`ш }QЕъ5Ы_ ?Е RёйЭч –Q€о Aа‘ JЉ VИбBм„ J„эшсG CЉ ?™ъўуKчИ ?zц bя zqu3^ь`ы\ 4Y nYп“ 6Ј ?°яЙу« &gt;Щх Hъ ЋFMсРр9 =Ё Bилічщ E‚ i\щт mZя}хХ u–6™рSрв Aп 6Tя„юA 5Џ mOю[тk h„KЦтoт&gt; 8в n`уО 6yэ9ысюU 7– 89яeюГюН 7cы f6‰ neш Pу ‘7Њ &gt;GыН 4[ 5~ j@у ‚&lt;Л :&lt; 9Бъ§ 6;эш 6Рэm 8ояЪь¬ыњ ;V 5Aяpьz 78юз 3З 4У :RшяыУэi 4Ръq 9UъXьIы® 7ўэ{я CьЬ 4‹юoщаю Њi_ьіъIэV 7Z 3єэ&gt;яЎя Tы “4м 4‡яВ i&gt;юEъйя h8|я ?ю Љgx6Т 5© 6M fJя· 4• hRэ] 4y kj3жэ№яю 5е 5И 3S 4‘ fr6– 3с 3 4? 3L 4n 3&gt;ю „3C h@юgяe 3ё 5D 4xя ~36 3…яю 3&lt;яЎяЁю PюҐ 3®юЩъVяf 4жыЌю u4sякьХюY 3ЈэЙэ Ђf&gt;эГю¶ю :я NюҐ 3U 3ея GюOяЗ 3@ 3’э Wяй 5сяля …3ьюZ 3F 5hюj 5Ц gsh‘fk3~ hЉ4Ќю­ 4U 3H 49 5Жя w4Љ hЌ3ґ 5‘ 3о 3н 4у 3HяЋ 4k 3Y 3zях 3s 3вя\яp 4RяЉяъ 3ЎяВяря№ю 4ячюню ‰3\яzь¦ 5ЗяйыHяЇ 4вэБэ^ 3§ 3OэПяч 4Чэ Vяѓ 5њюаь ‘3j 4J 3™ю¦ 3? 5эюMюW 4Ѓ 5hяГю Ђg‚4Фя› gЃ3кю[я dя^ i?ы‘яK &lt;жэ“шT ;‡ 5?щМь¶ ;O hAц!6Ф &lt;»ы?э l8`яҐэЏяY 7§ 3fь_ 5; hLьhьІ 7Я 3Цъcюq 7sюYь’ 6Х 4WыЗэ­ 4•ю Mю {4= 3®яЏэ†яd fPю6ю3 5Ћя`эЊ 3І gXю;юѕ 4в 3ґяЩ 3щ 4чюoя v4ќя Hя Ћ4ђ 5жя~яЬю f5°ю ‘4T 5Y 4гю{ 3† 3я 4T fy4Ч 3°ь…яC 6љ 3ЗюJ 4џ gGю 3юм 6Х 4Яэn 3эя Ѓ4·яДя{ 3…юјюТя№ 4eю† 4N 8Гъ[ъ• jЃhWъEю j6¦юbюч 5я 3&lt;ы; 5љ 5§ъkь Њ7дяtэgют 5ы fSэ ]эЄ :щьЂшZ CМь*иu @‹ {Gй•ч&gt; K[ы›нщ 5S EНюQн €:L F:с®шЩ AK 6Нн wgDЅы„уN =Ў 6­с© gf@3ь Gш ogf8ЩюЋшo o”;ЬпЁшЁ @”ю«ц …9ґ :Xь“щ[ 6i 5•ъ ^я№ 8= 6dы!3 ђ6Аы LьH 9d 6ёые 4Ћ 8ШыЉыБ 6х 6mыу fi8}я Hъ« f{7EэБюб 6{ 5љэMь6 4B 5вэ |4  5PяЬ*ыю› 6вэ=ю Њ5a 5™ы« 3у 6]ьOыь fn8iь ]юо 5Ы 4ѕщјюH jf4_ы –46 4ѓю;юШ 45 f”3b 4 4’ 3­яNю „3Щ 4зю n3x 6Tю Aю †4© 5·э¦ 3ё 6t 3•эВ fЃ4iюУюЉ 4ъ 3}ю– 3ц 3кюБэH*я 3‹яґя s4j 3jь p3Ќ 3я{эс f{4Кэ†юЪ 4аюиь ihz7Wы»э‹ 4™ 4іыѕяЫ gr4„эз 6r 3@э»юз 7Јэ?ю i4g 7‚эDя u5t 7oэЁ 3…яЇ 8вьI 6•яяPяУя– 3Ё gЊg}3Ъяџя ‹5х 3n 7ІцE 4† ?sфCу_ Fn 5@м• imC}хъчЧ 6E =†шџчо :Њ :Ъп‹ 3A :yэЃуъ :Ќ :¦ц»ыЃ qZыcщ™ 5А 7hщЛэ m6r h:ышю Ћl‹4ЬцЂяЭ :џ 3ґчѕ 9Г 7«э}ьн 6хю€э‹ 3ј 7КяіюТ 4B 5bь –4§ 6b 3еюЦ 6A 5ќю Qюз 5ї 3‡юУ 3· 77я Wэs 3е 6«юNю™ 5V 4\эИюH 3В 3¶ю k3А 4xяЇэ: 3Чю ^юНя· fJю~юe faяѕьЋю“ 3Тя dюсяљ 3©ю‹э 3я€ fSя cях fЏ3±яCы zlgZцн 4N pIъДът ;\ 4Tщ o3f l’5’шѕ 5з :хы Bэ hli5rы Eюп nQяЂыт 6А 5_ыЮ f–8ЅяXь№ 4X 5зюPяЙ io5вызь9 7lяCэ Ќ4n 6ЈэЎэ „46 4fьія© 5kя­эм 3ЏяCь„ h“4Њыmя± 7ЪэIэ[ 47 h4ьtяЎю| 8°яОшQ 5ѕ 7Мь ?ь• 6&lt; 4Mьh 4C 7DьЁэ!8«ядъГяз 6LэPю\ 5Т i^яДю 4\ 5}юQэЅ 4ю 3Няv 4n 5=юВэ3 4e 3чюљ 3g 56 4WяLя Ѓ5Юю@юШя† 6ЮяМю t5сюlюд 3Ь 4НюЎя 4† 3Єэ Џ3N 3йю‘юЌ 3Ря–юеюUя Lя Љ3f 3Ня NяІя—ю_юґя {f”3ъя^ 3ц 4ёьюяТ g}fXяВ 5вяrяa 5¬ 4ФьВяґ 8я 4Rьg 4ј 7Nя 6юe 6± 5]ю§ю3 in4Оэ{ 3Ш gXэи 3} 5сяҐьgяю 4•эRю\ 6Љя cэфю ЃfEя¬эл 3Ья9эhэ x3_я9я\эбяH fFя…ю!4UяСяxя {3ляm fAяє f{3ЯюWя ‹5Ќ 3”яУ g“g_яЭяl gm5ЭяТ 4І 5„ 3Ия§ gЏ4пяЯяЅ 5Ё 3‰я ~4Ы 3:я±яр 3є 3чя± f‡3Хя&lt;яЁ 3г fNя‹юЇяLя =я§я ‡3vюђю^я `я›ю9яyяKяNя«яЈя Zя ]я8ярю‰я] 3уя§я›яђяgя qf…3’ 3w 3[ 3W 3Ї 3Р 3Ґ 3[ 3€ 3№ 3G 4о 3° 3Љ 3› 3¤ 3с f’4ј 3e 33 ft3b 3O 3Ў 3„ 3T 3&gt; 36 3КяКяцяЧяАя Љfѓ3uя eяя[яdяґяЅяjя&gt;яUяЋяhяWяQяqя bяя№я ]яbя№яkя®яПя PяЈяZяЗю› 3F feяO 3Џ 3ЋяэюT 5тюZю9 :жэњшl l8ХшA 3Ь kDяыьё f‘8Yяmы l7с 7бьaяN 7E 3¬ы: 4V 9ЂьQюч 59 f;э |5; 4Uюўэ‘ 34 4yя Iя¶ 6l 3эы’яО 6@юАэЋ 58 3МьИюе 3Hя Jэтя 3d fp4†я;э f4‚ 3Rюея Њg:яќэШюь 4Шя§ю@ gk4VяШяфя” 3Фю s4Ѕ 3Ря{яH 3—ю 8яД 3\ 4·я5 3B 3l 3kяj 3[ 33 3¤юz 3ю 3Tя{ 3« 4tюwяЕ g|4Bя –4ґ 4Ў 34я —g„4~яья8 5Ѓ 3†яЃ fr4ґюgя{ 4я fXя Ћ3W 3Ля»я “4жяTяIя&lt;ю; h–3їы» 3ђ heьaэ –6ЃяJьЗюЋ hЏ3Ъь z3i 5Vэ3ю© 4°яПэ·я n5”ю&gt;юі 4кяzэЗ fp4УюCя …g{3Рю] 3Ћ 4Є 3iюT 3µ go3аяМ 5Ф 3\яlяЂ 3Cя`я •fu4 fЌ3b 3ў f•3• 3Ѓ g4d 3г 3Y 3yяДя ‰4’ 3ояfя “3Jя}яШ fs4«я6япя tf:я s3¶яWяSяl 3DяTяБяяЎюxядя}яоюзяwяQяКюЂ 3Ыявяv 3Я 3Ую©яХ 4µ 3qюЏ 4{ fFюЄяs 4†яЮяъяg f–gx3Ся§ 4o fYяY 3Ш 3Ьэ k3Р 5t 34яР fqfZя pfvgЋ3@ fp3M 3Ляўя5 3‡ fNяМя €3•яшящ fpfh3«яфякюЪяЏяЏя‘яf 3zячяfя Yя EяТя w3ц 3­яы+я@ 3«я[ 3ФявяЖяJ 3Њяњ 39 3Ћ 3®я q3Ня¤ 3Дя p3Яя¦яљя Ќ4Гю Zяr 4ѕ f;юm 3э 35яBюч fx4ёярю‡ 4м 3гю NяИ gh3„юї 3ђ h9я Mя‹ 3G 4sяo 3V 4Ч 3Щющя fѓ3Uяu 4h 3_я¬я ”gKя¤яK 3Ё f6яНяюя v3¦ю ”3J 3‡яЃюx 4Ряґэ ;яQ 4mюеюµ 3ґ 3;ю_яб 3pя©ю h4Яя·ю Qяg 4&gt;я :я Ђ3Ь 4ню~я •4° 3ъэј 3{ h3аэљ 3Ш 3Ќя FяЈ 6y 39юD 3М 5Ґя…яl 3§ 4џю*я5 g3eюM 4• 3Тя Sяr 4M 37я [яH 4Ия …3§юu 4Ояhю5я? 5аюгю m4o 3zэФ 3= 3Z 3ЪяК 3ВяАяЏюt fUяЮя@ 3ч 3Ня– f@яs 3_яЊ 3еяся¬яПяЬэ ‡4j 3Ря j3Ю 3Џэ &lt;я lf‚4bя] 3h 3р 3„эДяБ 3ЊяЉэр 3ъя6 3ЉяЄ 5vэ t5§ 5ьѕь †9Д 3№ыС 3Ў 7ќыєэЮ 6O 8vьЈы“ 6A 5Жь‹ 3Y 7т 3цыА 5‹ 5zю4э† 6¶яRю u4V 7“э 4эЇяС 5eь ‘3~ hs3bыЁ 4± 5­яжэЯ 4Ђя Uэяэ  5–э№яђ 3ею Cэr 5xю«ю Qяэ 5hю 6яжяй 5ЎьхяY 5u 5{эТ g–5p 3~эН 6ё 3ЊяЕю uidя‹ 3]яТ 4Ґюз 3вя@ 5Tэ {4Ю 3Ѓ 3рь uhNя¦я4юЉ 4ќю g3шь Њ5}яДя Nюr 6ЅэG 3kяј 5]эн 49ю™ 4ёь •6Єэ |4bюя 6‚ъы qYн 59 W9е 9Тn3”!MРЕклщ _цЮЫ F” O рЯа“ DЙ ‡EЯЛчt TPю6ФT Bю OДо\р? Lv 3ДвН =} Ђ7ф»н| :f ;uчpыI Cг t:аVоЪ Mђ fNк }wђAыфДтЖ 7Ќ :lфu 4T &gt;d 6Хчn 3т g?эЌц: ;д :‡ъ Nыj p6ыЊхA 9@ pKъяэ |9 8lфAыv =g 4Wщѕ 8&lt; ;ЇьGц „4ў 4РяR gu;«я 9чl 3a 3ЈцF 9B ;Јющьо 3г 3шщcьb 9j hCяНяо 3|ю Yь]ь 7Ж 6Єю z5ц hdьGэC 6M 3 эх 7л 5gыжьB 6– 3iья 5= 9›эMы№ 4§ 3иьЫюЊ jm4йы r4Ќю…эБяЁя w4X 4еюu 3®эSэhюЮ 3Сяию ’5ъя Nь –f’g…f‹3…я§ 5®я Xэ s45 5їюмэh 4” 3Ъэ q4® 5шюМ 3Й 5^ 3*я&gt; 4^ g9ялюy 3ќ 4І 3]я |4w 3«юРяь 3Б 3ся6 3w 4Ия ‹35 3–яЕю&gt; 35 gh3Mяx 3сяQюЕя” 34я|яёяµяQяѓю Њ3®яІюЕяЊ 3­яОютя l3Кю° 3_ 3щюiю яЄяяЭяЉ 3эяця Ѓ3± f€3Ця™ 3Ў fђ3З 3Й frf…3™ 3Ћ 3X 3є 3г 3l f’3L 3” f~f‡3е 3й 3јя ‰3_ 3Ёя‹яu 3– fr3*я† 3Мяoя¬яw 3шяZя„я ‹fFяfяѓя¬юС 4@ fBя eя8 4Кя Cя„ 3hяљяTяnю ‘g8юTюЁ 3c 4}яію• 3ря `ю© g5]э sf”g†3вяc 3? 4sю Qяќ 4f h„3Чюf 3N fTю x3Q hi3hюКя ђg\яКяZ 4°я HюcяЬ 7яшcю™ &lt;jэ§ч? &lt;Ц 4йшъь€ ;№ 4›х• 6H qUъMэB 7T 3Рьuю^ 8µ 3@ъї 6В 54ьЮыД 7ы 3сы=ю p7Цю№ьУ 5 5ћьdюл 4Tя SюЬ 4· 4‚ 3HэћяД 4„ю 8ю6 6[ 3Dюђяg geюБэo 4j geя» 3Ў 4Wяgю¶ 3_я{я  3п 3\яY fcя• fNяћ 3b 4} 4&gt;я l3йюҐ gEяу 3З fAюqюј 5Mя`юЇ 4o 5oь®ю  iy4Aэ p4ж 3^ 3’яµ 3д 3Kя‚юt 3~ 3w fMяъя YяЩюыяU 3кю­юуяД 3‰ 3хяџ 3Sя”ю Џ3№ 3*я­я} 3~ 3°ю“яw gq4ЪэЏ 7iьOы&lt; E?ъкж€ ufJЂи{ш&gt; ЂYьњм w5Џ EаяИк vnkG~п‚шn vz4™м? 3ё E5ъ3фЇ &gt;З 5Јр’ 5i @гъ_чV 4i jYэлшБ o…;‡оФче @9юЂх 9Ђ :Zы Rщё 6C 5‹ъeюК kn6Ќы@ fЃ6Jы’ьћ 9w 6¬ьL 5‚ 77ь 6ь Ѓ7Ї 6GьЌ 5Э 7»я &gt;ыЦ 3• jUю OяМ 8’ 5щьшэB 49 33 3D 5… 4ыэЭю!3ѓя·эu 3щ 48 f@ю ”4Ч fTэ‚ь •4„ 4nю @я ѓ4БюЇь^ю] 4цяћю s3Ё 3™юЫюцязюдяЃ 4тюџя ”4щю—юФ 4C 3їяC 4л 3Оя6 3y 4W 3*яэ 4v 3Ўя ђ4ч 3џя z3K 4= 4З 3P 3Н 34 3вяUяe!3 4c 3D fЂ3uю“яa 3Ќ 3±юшяЛ 3Ыю‚ю· 3кю Fяfяйя‰я {fVюџя­юvя&gt;я Ђg:я ‘3ђяc 3wюi 3цю ‚4_ю zhYюмяІяЊ h&gt;юwяМэ xiLюe 7ХяPюuюЊюР fЃ7u 4Gэзюйям 3\яT :Iчўя ‹@Кф Zу yIш hdлY 8о Dcх¤шr 7Z ?@шѕчg &lt;‹ =»пУ 3т :Њяaт‚ &lt;э ;Eч\ык r[ъMъТ 6й 8`щуюї 5¬ 5hъpяЫ 9Ь 4zхxю …;с f6ц№ 9Ј 7Zэ–ыБ 6иэИэєяю 6ыюЌют 3Q 4Њыл 3€ g“3ѕюф 5C 3Ъэ§эo 5ия 5я 3ш 6фюSэЫюр 6›ю`юv 4d 4†эґю bяа 4фюкя „4ќ 3тэX 3Мю Qя¬ях 4Йю DяЃ 4зяLь[ 3Т gg3юS g‡4yя4ю® 3ч 3х fk34 4]яі 3Пъ† :П 4Љц Њ5Џ &gt;»шЂъ m&lt;™ 4CчvяC lѓ6їцВ 5т 9Йы]ы z9@ f&lt;ыnьB &lt;њэы 5  6”щЙ 3Ї 6ц 3Ѓъ4 5ъ 3N 3вьЈ k‰3‘эРщd &lt;ѕъAшк P°д Eэ ‡o€GЪЯ хк ^ оъз&gt; ZІлХчш Nаъла6 ;@ Fтљя ’4э ;ё 8ЗмЄяu EВ =yб j@&lt; =ЕтЬяЇ @блђ =ЧщX :Mчr 5[ :вьЄч‡ 6‘ьe :€ш‚ш knis7вЙ Dр hBмb ;ѓюrы¦ 5Oш“ ;Ґь‡ь; 5f &gt;¬фЩ 6љ h‹&lt;tэцш» &lt;љ 9йтЁ oЃ6вщM :З 4‚ю g83я 84 4tъч 6› =`хj gr8ґ 4†ыbыЬ 9С 3pф: 8з 6aъ d!4юRюьясыx 3вя8ъ·я –5Хч }5Б g;ъXэpя„ 3Rю Dы x6ЛяUьыя ^яљюI 6Fя«ю™ 6; 3зя Љh&lt;яЅ 6gя:я¦ 6у 7Уь ‚4X 7тя Tэu hЂ9КюyьM 8Ё 4®эД i–hEэ o4h 4? 4пь¤я5 6dяiъЇ 5ш g[яОьjя‹ 5ояЅъґ 4т 3Яэuю_ 3­ь`яаэЅ 3МюЅэX*ю 3µь |3н 3Ђя э юёя y4LэІ 5L 4Ђюtя© 5Єю m4€яљ 5· f‘3Ё 4к 5gюѕ 3w 4с 4&gt; 3Х gw4a 5{я‘ 5З 4j fJя© 4Aяi 4uяМ 4ЬюАяҐю Ќ79ьтю}я •7™щхю= ?9пv f~9Ѕ 7Єо _яД xTхJуЂ F™уСчњ =P 8WтЕ 37 9jъTя” 58 5» 5IцЈ 4I &lt;S 5сЎ :G 7†ш nfy?qцЪ 4ыя™ 5њь‘ 5э 6Ѓьlэh 6Х gЉ4Пь ng}4ЂюхьЛ!9 3шчf 8ш 3kь® 5_я y5EьO 3е 3С 5Іыч 4Щялю9 5­яdюЗяzяк 4рю‡юБ ibюџы ’6m 4XяІю ѓgn3Bя…юb 6Ѓэ3 7Ўю}ъ ѓ8Ч 6Мш[ 4j 7Мэ 9яF 3¦ hr4Јы“ g‹6оьгя† hcяђяТяD 67ю DяP fЌf\эі 4mяpэ q3Хя•яџ 3ЛюЋ 4ч 3Щь= 3Ы h[эяД 4kя›юЪю„я †3ЄюТ 3­я9 fp6гюпьр 5L 4№эs f‰4їяъэNя f6^я№эЙ 5н 3ќюГ 4Ф 3ся|яФ 3У 4‹я UяT 4|яию¶ 4‘ gЌ3чя j3Я 3дя n3Ъ f–3·ю= 3ђ 3Mя Љ3” 3Rябюw 3Л 3YяМяY 4гяџю ‡3[ 3sя _яе 3a 3хюНяЕ f_я ;яТ 3u 3Nя]яc 3Ая aя3 f3fяC 3eю ‡5V 3Iьk fk6ѓьґэш hg3Хьuя_ 5… fFэ° fђ5Zю¶юT 5НяqюїяЏ 5*ю­юW 4Л fPюE 4в 3Bя Mя!4 Ќ3*я!3› 4­ 3Аюїя Џ5їяAяљ 4{ 4`яІяЇ 3дя®ю3 3± 3w 3 яU 3P 3r 3Цяі 4„ fif‘3Є 3ЙюЗяг 3Ќ fHя·ябя]яЄюЯ 3d 3„я*юG 3SяaяzяюяЁю _яb 3Ою”яvя8яc 3€юбяy f4яњюW 3Ћ f&lt;яОяљ 4¦яВя f5АяљюЬ 5™ 3;яЯ 3G 4Xю —3o g3јяЫ 3ўяc 4йя Ћfx4‰ 4оэП f•3ўюяЕ 5YяjяЖяx 3ўю q4R 3k f_яР 3wяJ f?яы f=я r3·ю› 4KюМ 3’я s4Рэ!5ЫэQ 5Nыu hЊ9ѕсЖ :` 6Л 3=ф: 7z &lt;=шѕъШ BњтЧю ‡:д 7Їф¬ 6n 8Цъxь h8Э hNяЅчY 8Д 8lэ¬шЭ :Xю `ъ m5° ;шхВ 6†я Nя Bюe 5ж g7э &gt;э h6еяAяCя j5бюµэ’ 4щ iOэdы •9АэЕэД 5Є 3Ќ 3aэЁ 4В gw4ѓэњ 6\я:юX 5Юяця –3U 4„ 36я Ѓ3« gHюµя ’4= 3Nя€я| f‡3†я 8яи 4&lt;эпя n4[юЄяЋ 3бюLяa 3tяэя LюЈ 3ѓяуюD 3x 3–ю€я@ 3fяюяiяj 3H 3шюљ 3x 3@ю® 3ў 4\я—я Uя ”4мя‡я5 h—4Ќэѓ 3Ч 4оя —3« fhgz3„яX g€faяЅ 3к 3©я5 ft3‘ 3•яљяИ 3  3гя^я= g‘4щьвяћ 4M 3}ьс gЌ5Жьмюш hAю{ 3f 4q 4€эѕя; 3№яЧю¦ 4Р 3ьяvю‹ 3Й fЉf=ю? 4Пю &lt;ятя: 38юФ 4ЪюЃ 3Љя JяDю} 3яюђ fv3М 3Wяяbюд 3ўюuя\яF 3¬яn 3К 3ђяф 3… 6ґы [юЏ 7я g5ыб 5Ы h3эtэj 7№ hTюvыR 7ґ 3єюЗяЖ 7цю Iюj 4Ї 6Яьћ 4O 3†я Nяш 4аяwяwю“я›я— 3‡эЈ ho3&lt;ю©ю y6nя Yя`я‹ 4‹эQяЯюQ 39я „4Аь Њ3­ f5янэ@ 5pяИ 3gюe 4е 3uю’яФ h}3Ћя¤яА 6ЎюАяЅ 3ї 5·юуяж fr4—юь 4ВяЗ 3NюI 5џяoюЄ 3E hDючяЉяp 3гэй 3мюl 3њюшюґяQ 5KэУ 3: 3J 4эьИ 4q 3= 3№юџ fSяo 3“я= 4dэ –hk3— fbяЃ g‰3АяЁю ‚j;юLяЅя§ 6љюF 3ѕяh 5сьW 5}я] 3™ю` 4сэ –3VяЖ 3хэТяiю° 3яюВ 4ЪэA 4еэ¦ 3&lt;ю wgdюУ 39ю |4Zэ ”4Ђюt gXэ ~5MяІ f6яo 5ZяB 3фю¦ 5Uю Ѓho3} fMю †9µыЉюЦ 5} 7 ъь iЊ3¬ 4ЊыН 5Ћ 6— 3цщr lIя ?ю„ hЌ6Iъ» 4З iNя@ьи j9э4юgэ7 8Јя†щџ 5W heц&gt; :v 4їэzэ± 4Еэ HяШ 3™ 9Ачгя“ 6x 3pъJ ibэ‚ 5Kя‘я h7S iAш© 3Щ 6‹ 3*шч nЋ3ГъMэм 9Шэ 8эф 3ъ 9‡ш§я t5А 4DъБ 4» 5” 3’шР 9№ь€юWяѓ keэf f;ь« j&lt;ы Ќ4Ёьw 8ћьa 3aя y7;щ Њ8лэ |7Сэ[ 5яю —iGъЈ 8жэ ‹6Ещ 8Ўь |4Јьд ;Eщ 7ЃяЈ 6rщM &lt;{ш• 9&gt;ьS 7?щ’ 9ЄыХ 6rщґ ;УцГ 9~ъE nNшI 5ью o8Ищ6 7ёьe l=ч¦ 9ҐыЎ 6Ещ“ :НчD 89ьЬ hUщ‡ n@шС 7Иъ ”lMфµ Avт} z6Х68kз ^х eцv •3ЪF 5ґ 8Ў &gt;Гг7 Rmе sLeж] Gµф |F”бs Dђ iMя€иH I_ ncнеъ] KҐх XцІ ?Sэ…эT 6Єя w4Ё 7vц[ p€3Пъзэ zBPт&gt; 4в jЉ7Wф Љ&gt;L g3яOх… rDье 4Јш ‡&lt;9ь NяЯчf &gt;iъ? 3mщ }pLш }8™ы‹ 7щчk jCь4 6жъ= 8=щg 59ь v:ЛчЖ 5 ьЩ 7bъF k]ън kFш –8Яэz 7ыъЗ 5Іьc 8]ь zk?ь5 6Fь †6ЄыТ 9jьF 6нъ¬ 8cэ{ hGюх jYьЎ 5ЃюЙ 7sэє 5хьT iDю™ 56юо 5RэИ 5Zэ‹ 5Рюж 4ђэz 4Mю ‘69ьГ 4ьэ ig3эѓ hbэм 3Йь· gQю¶ 4©ьџ 4Жэ’ 3Џэб 5пэь 3 юъ 4Сэ6 h^яЫ fQюj 5Wюі 4~юЮ 4hя ‘4Uю4 5жюX 4AяФ 4}юй 4Kяo 4Џю 4?яо 4dю‹ 4Aя q4Qю ЃhVяЙ fNя№ 4@юW 4vя8 4•ю&lt; 4qю –4dю8 4¤юЪ 3Qю‚ g^ю“ 3ЄюЫ f\юЗ 3Qю3 4ґюЇ fXюЭ 3†ю r4Нюм 3*эь 3ќюµ 3™юU 4xю o4°ю m4кю ”4ґюЃ g?я= 44яf 4щюv 4Eяi gRя‰ g`яy 49яw 4Jяy 4BяІ 4&gt;яB 45яЛ 4IяЃ 48я| g[яФ 3Mя •4Ђюv 4РюЧ 3њя… fRюZ 4‰яW 3Єю€ 4 юM fWя ѓ4јюr 3зю` 4Iю‹ 38яФ 3Gю fOяЗ fQю¬ 3нюф 3—юs 4ћюЁ 3КюC 4Щюф 3НюC 4ЖюХ fQяЛ 4юс 3Lя l4?юН 4ґяs 3ђюъ 4ъюЅ 3ЮюГ gSяи 3§юЋ g5яЬ fBяw 4JюС 3TяM 4=юЎ g9яЦ 3ҐюК 4Ію[ 4°ю  4Oю&lt; 4Ію!5ЦэЈ 4qюb 4ПэЉ 5фэ ѓ5Ёэn 5сь 7ъо 6Ь 3Ьэћэя 7Тэmя ђ3© gNэ§ 6ЙьЫ 5kюБ 3ёяI gRю5 3© 3Ся›эб 4= 4•э }gѓ44я‡яµ f`яґ f€fЌ3‚ 3№ 3Їэ Љ5qяТяхя` 4ьэз 3Љ fm3пяї 3kяћ 3ВюЭ fyfT!3яж 3їяVяЂя u4їюZ f‚3P f[я i3™яk fTясяЮяПя HяU 3Ќя†яzя ‡3Cях 3њяшя¤яB 3*я —3eяd 3єяS fh3Щ fdяi 3•я ЋfTя| 4qяJ 3“я i4@яЗ 3Мя— 3ыюЋ 3ђяЮ 3fяЖ 3Ќяc f6яЯ 3nяE 3ѓя yg;яС 3±яѕ 3Uял 3vяЖ 3oяи 3dяР 3Vя„ 3^яЇ fQяп 3Ђя§ 3ЃяФ 3Ўюё 3©яЙ 3пюH gZяi 3gя i4µю• 3Cяџ 3}юv 3IяЁ 3Zюч 3;яi 3—ю ’4™юа fbя ’4[ю ‹4Пю –4ћюM 4Ююѓ 46юљ 4Ўю… 4™эи 5‰ьU 6кяСюЎя †6Чь9 4i 3Џ 4ѓэ t6’э lh&gt;юі g&gt;ящ 4аю ‡4mю {3eюA 5©яў fz3њ 3CюИ 3rяшянюШ fLяA 44яѓ 3чяДяЭю p4ЏюаяЎяЁ 3Eю© 4Ґю® 3зюС 3Тю„ 4sюZ 4Тю{ 4бэV 5Вэј 4Kэ ”8Уъ»ыя Ѓ[б YяQ ?Ѕ D§Юљъб ђQкXкњ ЋeкБщМ Q5х;б |AК DЈмў 6« 6u 9J 6їрPяХ FЇ 7јбЭ y•;шн ђ7z vEй­ &lt;gэП 7зу Њ93 &lt;vшИшz :bэ ~6Xы9ъT 9; &lt;ЩгD x”h;йy =ѓ 4ІшЭ fLъ u:щФю ‡8ї &lt;Чфr 7C 5ў 9_ьEъ&lt; =љ j4ф •?Б 5ћц gnf7bыЎ l•4Л 7Фю‚ьЗ 6й oAх t7l 7ф 4вы©эі 8е 3ДхK 9b 6iыШ fTэшэ l4Dы© 4Ѕ 3yъ Zяў 4yчп 49яМьГэЬэжяTяҐшЇ 5x 3Xъѕюв 45яЎю Fюѕ 4М 5Aьр 3Б 6оьu g|4Ћ 3Љ gh7XяК f“6U hP*эя ~:e 3ЭюY 6м!5яd 5~ 4ЉяК 4ъ 4R 4’я№эЃ 7b 38э j5Ц 5]ю ‚3Уюш 4†яPэОя_ 4э`я &gt;я5эjюеюgя Qя Rю¤яCю 4э™ 3?яйэVя eюЖюBя cюv 3Йя–э… 3ѕ 3kюв 3] 3•я Ѓ4эяє 4щ fЂf–3ѕ 4 3‰ 4&gt; 3K 5X g€4Ї gЉ7µсо ‡9д ђ8µ 4Ќ J@е ѓ6щ ?„я ]ф] J«иh =9ьб ;vц sCЂкХ 9ю 4І 8Пзн GЕяЌрДчЖ €=Яc hѓmђ8ўкш BЋы@ 5ьшu 7оюN 8сQ 9T k?я _тм @rю›шe 5¬ rBп3 ;т 5iэ}ыЗ 86 6‚э™чя &lt;Аю6 5Єш&lt; :DяHэБэq :U 3nчЉ 9r g\ъD 7сяр fNьв 4[ 3J 4~ы« i•4pь= 6G 3¤ю Vюd hЋf;я dэК l7юjьЊ 4о iKюs 3cя@ 5рюРэЁ i—3:эЦ 5бя Ѓ3pя{ g&gt;яИ fXюq 7Oэ vg[юы 6Ћэ Zюіэq 8~ьUю {i”4ѕъd 7&lt;ю i3’юб 3яўя^ьж h^яюuю” 5{юЩюцяА 4vэ«юџ 4ЏяЯэI 5ЯюМюF 3w 3{ gRя„ю® 5ъяКэШ 4ч 4љэ· 3H f—35я? 3` 4ћяЌю {5\ 3|*я 3 4єя@ 3Мя 5fяэяи 3м 3ОюК 4K fѓ4Љя’ 3U 3a 4дю 4ья] 3Єяq 4Rяљ 3ЦюД 4KюU faя ‚4vэT 4€юа 3VэR 4†э ‘5®ъ¤ 7fюSъs 7Ь fVэОы –ix6Љ*ш 44 5лъТя …4ћ 3ІэL 4 3=эДяЇ 3` 69ь Uя {4F 8АъЭюf 7ћя»ьи 3Г 8гэ«яэ 4w 3`ь€ hk6}юXэ Њ8C 3^ю„ 3Њ 5Јя Gю» 3A 6;яVэч 4• 3XюAя№ 6¤яnь Ђ5@ 3N 3|эМ 5љю Iя j3q 3L 3Пюbяс 3єюЊя i4Ґя [ю ‹3ѕ g`ю7 3јяq 3ЫюAяЗ 3ряёю j3• f~3RюД 4uяКьb 6мя Bэў g†5&lt;э®юА 6rь° 3^ 3H 4кяХю·яП 4cюk 3u 3° 5iьј 3!6 5я Eэ[ j_я 7яГяљ iWэ o4о 3ч 3Pя tfp3P 4›эЦ 4~ 3ч 3&lt;юэ fm4„юмя‚ 45яPя¶я; 4ею_ 3ЙяE 3Рю!3 ”3O 3Ѓю¬ 3жяыю~ят 3Юю ЉfNяЭ 3‹ю| 4Лэ g6ќыУ g“9јтК 9s i~4Гф Џ8Й ;пшfъl AТт ‹3} 9o 7hх gj€7’ыйьї 7§ heя Gш w8‘ 8оэош7 :=ю\ы o5 ;Фц‚ i‘3ѓ 3мь Љ5А 5eэhь „75 g:я@юO 5dя aэu 3© 7ЋэМъB 8{я Gэ» 3ґ 3s 4—ьы 3К 4ю f6ьк 5Ия—юR 4ЬяТя6яG 3[ g`яsяЂ 4ІюЫюЇ 3Ґ 3Ыя Eяк 3А 3НяNю\ hZю=яі 3‹ fz3Ґяtя– 3nяFя qgdя}яq 3Щя jf|3тяЬяҐяя ‰g_яxяБ fl3sя= 3¤яћ 3=я¤яз fRя z3› 3РяВяѓ 3Џя ”3F 3јяш 3сяЪя¤ 3кяИяh"3хяря Њ3‚ 3~якяT 3ІяC fЋf~3Шя Љ3– 3чю –3I 3’ 3Xю† 3¦ 4ёюCяЇ 4mю ‡fq4ґ 3 юS fs3АяЄяВ 3P 3Юя;я” 3‰ f‹fBяЃ 3‰я{я‚ 3Л 3Цю 3¶яся№яN 3ѕя u3kя&gt; fѓfk3±я_ 3ЉяшяЯяG 3’яюя |f|3ёяR 3Вя •3Оя „fhf’3іяO 3Ъя!3 hfЉ3Йя Џ3кя 3ея ‚3ия Ђ3вя „3пя Ђ3ТяR 3Йяфя Ѓfw3Тя yfw3шяря {3х+я</t>
  </si>
  <si>
    <t>RI*F&gt; K!3WAVEfmt †C"3 gfgfw^!3 UV!3 hfv3data ЂK!3щяшящяыящя g3фябяРяВя@я§эшы9ьѓь Oь &lt;ычыДю9 5Q 7ї 7с 8s :h ;Л l{7‚ hk4b 3цэgь;ы¶ыЮъЇщќщ·щІъ=ыXьjь·ьџьЉыЯыѓьЦэ RюЕя •gЊ6и 8Ы 9К &lt;Ћ &gt;? @у Bъ ?Ѕ BW @а qx&gt;a mi9Щ 6d 7т 54я dэПщЦхЦсФп–оан CнЬо±кHп|о cр@рѕуЁш*ъКщ 4ньeэgю Lщґ f’3‚ 9Ђ 7Сщ&lt;кІы ‡D› 9 х zOљ ;X 5h lgw]=м ”hvjfJ6i@ p’&lt;;пжо 7г &lt;Ьvиµ =„ 5ћыNЯ 8й –6&lt; L¤ N– T…5д O| F\шlуNвпЧ”пКр 9ч‚жРФ EФвм ѓЂ„’[уљщ6Х¶п}мщп W· Tr Vµ ?y Bф Fі LЎ Mз3c b© w=ш QФ’Ъ†зІеЋСЩЦ =У8дЗд”бµефрг h†7Bщ ‹6ј {wK‰шйЭЁм{ 9в v|=† nj=­ Bи =… &gt;– 9г 5Bъ† 5p &lt;†шЦщ:цию®ь bъ aх”пhъїтГт5ы–щrя– oђ@ш &gt;Я f–4ћ 7M Bf F† }‚Hё 8Ї BЦыЌохшb 5• G} ?Z Dґ vhZЧ x”s]S Џ}ZЭ nKяьбФЪvУkУ’ЛЕОQвїз=кЂу] @~ w‚sHт }n…Jµ ;И 5НюgщМпьлMп—ъ \хOсЕч› j€r€qЏ;_ :µ 7|ю 6шkцЮъ YьТыЦэтчяш XыБъoъJъУьшы bъ{э UьЂч€ш•ч \щOю 3ь Oэ4 3З 6B lw;д =С Aо ?и &gt;V :· 4~ 6AяЊэЮь*э3 3•юЕэ Sю 7a ;T 9R 6!8 ‡ko5R 3с ioh…3™эьщеьЏэnь 3ъ Sюsя€ 5© fLюX 6A 4ЖяY 3Џ j~7‹э XыMяЉюfъ€ыB 6Ш 5° 3Њ 3’юјягю &lt;яПюћюряья |4я gЋ4АяД 3лю[ь ?ь‹эыю DьОщХэ}яЬя™юЧяЎ 4p 3Г 3e 5Ю g|7ќ 5Л 4ѕ 5} gj4•эДя NюCэ=юдэR 3ўячю7 3н 3^ 4@ 4њ 3· 3© 34 3t 4Ъя 9ю Yяo f}3іюЂ 3т 3љяmяхяT gђ4¬эјю Aя¤ю Oэ4ь ;э 8э«э KюЈю}яїюjя tgЂ5F 4J 4· 3С 3‡ gdяW 3Ћ 3»я4юЗэqю©юђэLя 9яЋя€ 3в 3p 5Б 4Ђ 5I 6u 6Ђ 4» g’4y 4љ 3]ю¦яХя|ю Fяaя¤ 3аяzя  3В 3° 4кя№ f~ho5F 4ч 3 45 gn4С f‚g…3ґ 3Jю«я GяaяЅюзюUю±яtя dюКяќ 4Z h‚4_ 4З 4Б hv6Џ gr4; 4Г gy3Зю¤ь 5яVя x3‚ю :яля° g†4D fЉ4Ђ 5J 5л 3R 3¶ fu4G 3ЇягяХяхяРя ~3Їя› fђ4? 49 3W 3К 3О 3z 3џ 3i 3{ fv3Љ 3эя·яnя€яВяйюгю•юґюБяЗюђюЫюnя№ю VюСюљяjя|юSюнюеяЕяђяAяйя‚ fh3cя Џ3i 3вя Oяџяu 3‚яlядяtяся Mя=яґя Kя‰яђя¶яйяЊяTю юlя :я 7яeя „f4й 3џ 3[ 3{ 4ё 4l 4вя!3ќ 3c 4Хяoю aя pf’f8яёю –3S 4J 3•я\яќ 3a 3шяuяВя “fUясю†я jf“fy3‚ 3У f“4= 3­яЊяKя{яєюШэ·эЛюмя €3фя }4™ 4б 48 5є gi5д 4б 3ИяЊя‚яиюXюNю `яhюIюЗюёя™ 3@яI 3Щ 4ґ fngw4з 3Ї 3оя 3¬ f—3фюыяП 3G 3в 3а 3є 4Ъ gy3Ія &gt;яGяKяuюИюc f’f|3 4ў hn4LяЧяЏ 3мяЬю Eя®я­ f}4й 3Е 4Ф 3g 3ё 3Ч 3uяґюEюЦяГ fm4зюјюЪю“юїэш gq7© 6м 5С 6› 7E 8л 5yяI 3`ъ­чашўыЃщЌъхъЃышэЬюы 4a 7ј ;– ;¶ ;њ 8џ 4=я:яОя–юуэ—ыжъМэ‘юЭю я7 5j 3Н 3= 3эя· 4R 3Тю Њ3и fYюeяЦ gЋ5њ 5и 4ѕ 3” 4` 3јюИэGюUя­юлэZэ FяЏю 8юМяЖ 3· 4ї 3Д 4Z g~g_эЧь Sьищ`шDь— 7Ц 69 7№ ;с ?  @: ;Љ 5eь®ш LрфлYу _ю ‹:Т :Щ BЛ ;к 4єпѕп¬ ?Л @@цEр xUж e§ Dц 7ђыZф mfaЯЦП[етп?ш}хР :u Sћ HД ;y 9E 7ѕкчх ~BЗ 3qщдэ® hVхµь‰я 8л Ђ3“ Bа 3Ё &lt;® s{9› 3@ Bx DЗз =з• 4Ьщ—тТ 7W ;M 9I 9r 8_ьг gj;ия Qяќ 5ьяlцh 7Д p8фоп4яDяWютя_ысэ }Ai q8щ†э ”:Љ 7PьеыЛье 3Ѕ gЊ4¤ 5чхФ 3Щ &gt;kю ‡3ъ 8[эZэ sAи 5Оцl gm=mяјц @ыЇы€ iЌ&lt;ѓ 7Щчэ 8P @х 6џ 4ы 3тщ Uэ‡ &lt;aюuфQэM :л 7С 5c 3µэь 6і 8И 8±ы 7хF 6L 9]ъЙы ^э Pь ;У 6ЧчмшЌ 3ќ lo4Љьpю‚ьИюЗ :Къ Uп &lt;эЌ 5lя j3vю{ы™ 6ы &lt;‹я cч Nэ ЊhЂ4Hя•шИчшыV mn4ґфбы› 5І 4Ш 6C 3„щп 4Я 8їюнъKюsяС gЂ6‰ь‡ыаыo 7ф 84эDэл 4` ln8“ 3бъYюТ 7y 74ы›ъ¦ 4L 3К 3р h6юоъ ‚5Є 7Ґя QьДюn 6О 4Ї jdюNщ· flk}4Ќы ZэІюЌ 3ќ 5K 4Ћъ 8я d!9 6џюTюМюъ 3Ф i}3ЌьBьх 4› 7Жя3я№ю8 fЉ8Ж 5…ы3ьа 6Ђ 5wючэйю°яM fhj•4ь mh–8t i“4йяљ 39 h7hю 9ь Љgh6™эКьг 4Hюjюѓ ix5}юуяЃ 7Б 5љюЌ 33 3ї 3® 4sя HэVя¶ f‘3Ня nf‘3џюP f†6џю”юa 4Qя w39 3gяФяЋя ~h[ю Rю› 4ѕ 3&lt;э …fђ5cяья &lt;я Dя 9яею… 3{эбюQ 3зюЧяЇ 5CяuюЇ 4е 4йюъэ \я† 3Yявю:ю]я —6­ :Д 6‹ :яьЗц 4ш Qф Tщµц@ьаюQюЦюЙ 4х ;Ы 9ў &gt;ъ lf7Ж 3К 3ґ 5Ры|я9 :K :&lt; gbю &gt;чC 3ц 84 36щyьqьyцшф¦э  fMяb 7x 5? 3u 6О 3r j}pk@L @K 9ё fZь _ъuшmфЉхUшхшMчђшЅэЏ 5O 6… 4ы 3D 7„ 7е 7т 39 3X 7х 6Њ 4г 3: 4F 3Qя\ 5” 4рэ!47 6c 4z 4Q 4иь =я Ќ3ЦэAюЌыЛящэЯя¬ 5?ю †4 8ё l‰h‰5— 6ѕ 6‘ 3ьы Vь“ь©ю*ь^ыKэ Pю~юєя‚ 4° fv4Ч ft4У 3ОэDюY 3V fk3;ю eюХ 4R 3бю AяТэx 3P 3џ 3ћяМэ® 3С 4@яфюR 3ї 3i 4= 4ЛяЙяЄяЫ 5ј gZя– 4‘ g~3• 3Оя ђfn3w f†4›яјя9 3­ 3Ђ 4µ 3Їю™юЁ 4­ fGяuэlяT 4‰юNяuяqя }4сявя ofЉ3ћя!3 ~gUя YяҐяЋ 3*юHюфя•юу 3Ё f4я †fo4Ї 4м 3¤ 3› g~4щяЩ f’f5я3 3с 3®я v3nяJяЭ 3·я¶ 3§яLяэ fGяiяWяrяЎяёячя¤юD 3а 3ї fCяъяп 3Nю¦яяѕюiяпю4я«я…я o3`яе 3P 4Гю Nя |4ц 3вяX 3е 3[ 3зяfяЕя 4яНягякюP 4Eя4я …g—4ј 3Zял 3Ф f“f’3ря i3ЌяД f?яљю] 3ЗяO fn3i 3ЇяъяЋ 4ђ 3_я8 3ж 3GяЖя™ 3вяуяX 3j 3фяМяW g‚gy3 gx3№яфя]яКя 4яНя?я›я |f}3йях 3Щ 4Yяq 3І f€fЋfIя± 3Ця Oя ‚3ПюжюТя»яjявяU 3H 3‹ 3v 3„ fЊ3Ня… 3–яЁя z3ьюЙятяqяЩяХяu 3E fЏ3„ 3µяґя!3ўя Wя«яхяGяљяОяњ f|3Y 3ш 3qяX 3A 3„я«яЛяXя ?яЪяЙяTя Kя: 3К 3юя –3Є 3љ 3® 3b fЂ3E f5"3lяья Њ3;я –3C 3‡ 3Ъ 3t 49 4Г 3° 3*я y3Ря ”3‘яЎюЅя€я Sя ?я”яO 34 3j 3мя&lt; 3¤ fЉ3Жяеяk fm3ляC f€3„ 3Ѓ 3‡ 3Џ fn3m f—3c 3{ 3ќя„я]я Xя `я±яѓяUя y3v 3џ 3пяH 3Ж 3= 3ё fЉ3Тя9 33 35 3tя®яТя~яNяfяhяњяW 3їя–яняХяТя‡яЄяЏя Nяfя”я=я›я”яя tf3j 3Ѓ fm4ф 3ј 3¬ 39 3їя 8я*ю¤ю [я Ѓ3Ї 3E 4` 4ђ g†4Ы 3s 4ц 3‡ 3’ 3*яТю 6ю‘эmэRюDяE 3f g–5] 53 4ыя`яЏю}ю =яЕя6 f}3® 3г 3A 4У 4л 5ж 6і 6® 5‚ f&lt;я_эоы ]ы =ыШы 9ь 3э bюqя‚ 4o 5з 5· 5~ 5= 5њ 43 4M"3Ея’я [я©юНю5ю WюЬюжяЬ f”4” 4€ 43 4у 3l 3мяЕяЙяВя €3с f|4¦ 3Вя aя¬юлэ“э Qэdэ[ючюдяМ 3и 4ќ 5Ё 4_ 4L 4Т 3j 3J 3€ 3® 3‡я Qю“ю5 3• 4Э 4“ 5: 7© 7Y 6П 4j gk5v 4Еямю[ю„э EэRюC fxg}4c 4€ 4\ 3€я*юcю\юзэЬэћь©ыBьqэ Dя]яђяж 3d 4a 3«я}я] 3E 3ЕяМя ‰3ляtяЬя •4й 4¬ 4љ 4 g{4c f‡3ї 3H g’4u 3Јя Pя \яТю Iя’яE 3[ fx3eябювюbяЂя[я†я™я Cяцю\яБ 3± 4У 4’ 4н 3ѓ f|3rяЧяБ 3~ 3„яђю KюJю†ю\я ’fx3Ќ 3Ч 3Ѕ 3± 3ц 3Ф 3S 3оя ;яСэ IэIэwэlюНяC 4ј 4й 4ш 4_ 4r 3ця Ќ3Зя Eя Mю«эaэУэbяа 3‰ 5к 5J 5ё 4ѕ 4љ 4¬ g‘4&lt; 4№ 3љя Oюйэ dэrэ 5юVя „48 h~5ф gr6Ш ij‰6и 4В 3h 3HяLэ~щћэ &gt;ю\ьwц8шл ;ґ 9ї ;э ;  m]эђъjхMшЮэ o4nэ j5є &lt;o &gt;Ћ ?A 9m iTхFчMхјъ Ѓi•3‰ 3с k{7ў 6РэVчЈьЂьЪь `ыЧэ 7µ ;р AA x~&lt;ћ 5†шFл eн?мBс{п=ч aяС 64 7y &lt;Н oЉm‚7р 4b 8m &lt;Г 5љьSчѓ*шщЯуєщЇя z8Б :9 7Є 8 r”@p &lt;l :Ћ :И 8Уя©ю9 fЂgЃgn5ЎюХ 4n g‡4є fu6® 5mюДчЮщБьъьѕьЫь LяЩ f—3Сю? 4Ѓ 4[ 5Љя Iю›ь†у eлWд4в{з aсJ 4‹ Fn Qя Ќ–^l ]О X° N_ BЅ 7Bь 7хІлЁгвЮ TЮЅбWжГл aфcъу 4я n‹sЉyx{tJ§ Hm zЃFЖ ?Ћ 7Хъ{т ^м·жPз Nк eп `уЇц Eщ Oю_ 5; 6~ 8З 9Љ &gt;b &gt;Є =™ &lt;^ :q 8а 6X g}4M 3Ъ 3W 4±юЕюЌюўыWъ3ъIыQъ°ъйъMьСэґэMэЛюq 6» 8a 9K lЌ&lt;В o‹;л :6 9l 8µ 6R hђ4ж 3|яэ:энэ€ьbэђюхэАэыьrьИэ Њ3ъ 5S 8&gt; m“;l :џ 9M 8Р 5І 4; 3ьэКъ LшнчzчIцЩцPчЉшюшXъњэ? 4i 8ф :џ n€o“;B 9k 8c 7Ѓ i‰4Аэ=щ€хWуџсKсЌс dу dціш Iыќь Њ3У 4Е 6И 9Ј =Г ?В @П Aз AY @~ =» :‹ 6Џ fKюЛьиьдю€ 3} g|6C 7Н 6^ 4А fЋ3тяFюUэhьhыzы dы Aь‹ьnэ Pю Uюю»ю…ю GющэЋэmэґэ 6я{ 3С 4ђ 6} j8Ф 7R 7± hn3€юGюKэ‚ь=ьќьУь“э Tя¬ 3J 5\ 76 8` k‹8U 8С 7Т 6… hЃ4љя¬эХы bъПшршищXы¦эBя&lt; 33 4… 5З h~5” 4о 3іяAюyэ»ь9ьҐыIыEыvы IьXэ aяп 3Ѓ h{j‡8Є 8І 8™ 7Ђ 6¦ 5{ 4пяxюГэтэgюSяьяd 3I 4Й gl5· g„5N h€5ю 4¦ 4а 3ия•яsя«яШяѓ 3ы f|4d 3Ґя Iя“ю‹ю_ю :ю TюЏюyю;ю Kю&gt;ю¤ю8я k3 3X g…5¬ 5З 5ё 5М h5J 4Ж f—3ґяEя HяЙюЃюАюHяЕя9 3n 3Ж fz45 gђ4В 3A 3УяqязюdюбэКэГэ»эбэРэћэzэ·э YюЕю•яz 3р 3` 4В 4н gsh|5Э 4Ђ 4F gѓ4з 3с f{gЋg‚4e 4® 4ё 4~ 4V 4= 4т 3¦ 3&lt; 3ёя Rя‡ю BюВэдэ BюKю™ю 6я=я„яЕяМяµя•яЋяnя?я=я Nя Gя?яIя Tяэютю [яgяРя Љ3p 3… 3† 3– 3– 3О f€4Z 4Љ 4© 4¶ 4Њ 4h 4s 4f g—4я 3Н 3‡ 35"3 kfkfpfk3Ця¦яћяµя«яјяия l3йяТяЅяСяЯятяхяйядяЗя…яfяwяyяwяaяRяHя_яя·ябя ifsfp3фяШясяюя i3ъяфяря gfpfu38 3N 3F f”flfi3йяня gfѓf”fwf|f„f”f–3O 3V 3&gt; fЊ3оя­я‡я‰яyяPя9яPя`яdяЂяИя ‚3\ 3 3№ 3П 3а 3Ы 3џ 3l 3K 36 fl3ИяРя gf’3F 3W 3] 3J f}3ояЬяїя›я‰яmя^яUяGяQя‰яЦя s3N 3Ј 3д 3ъ 3м 3О 3Е 3Ё 3~ 3N 3ыяЏя \яуюЧюТюлю VяqяЖя uf€3K 3g 3r 3~ 3Ќ 3‚ 3i 3` 3D fn3їя€я9я RяKя“+я‘ f4y 4У gЃhѓ5Т 4ў 4a 4э 3c 3зяѓя [я 3яЮюфю Fя cяCяIяpя}яXя ^я :яШю­юѓюЊю»ю Kя’япяY 3ї f}g€4м 3ј 3ў 3] fp3ЮяЧяєяСя l34 3^ 3µ 3Я 3ь fqg‡go4Я 3њ 3c fw3Љя FяУю—ю–юЛю3яЫяP 3€ 3Ї 3ш 3ъ 3ќ 3P fy3±яDя Iягюію‰ю€ююІюмюOяЧяE 3ћ fm4P 4} 4Ћ 4C 4э 3є 3\ 3тя†я^яbяlяѓяя…яїячя ѓf3— 3Ц 3а 3У 3Ь 3Ґ 3O 3&lt; 3G 3O 3@ 3r 3 3K 3ЕяGяЯюўюјюЯю 9яlячя Ћ37 f’f~fxfђ3T 3h 3ћ 3у fЏ4; 4V 4w 4@ 4Э 3Ј 3S fl3ёя‹яAяыю 8яAяwяІяУя }3b 3љ 3° 3} f3шя·яNялюЌюvюrюЃюЇю­юџю–юТю Xяя „3ґ 3р f•4_ 4b 4T 4A"4ґ 3w 3O f†33 3_ 3y 3€ 3Ь f}g‹gp4м 3Х 3љ 3] ft3ЇяFяЫюЃюHюgюЏюѕ+ю_яЁяня ѓf—f–f…f{3бя±яЈяmяPяRяHя eя Sя [я[я‰яия ђ3d 3t 3’ 3· 3К 3!4E 4Y 4Y 4i 4^ 46 gvgѓgs4Т 3Ѓ 39 3мя—я|я„я|яђя±я’яXяEяTя`я‹яЩя †3L 3x 3Њ 3Ё 3§ 3Ї 3€ 3P 3: fl3ѕяѓя|яZя@яCя`яЃя®яФя s3; 3N 3N fЏ3чяОяОя­яђяbяPяKяWяrяqяЃя‹яЈяєяУя s3B 3` 3… 3« 3Ѕ 3® 3¬ 3 3 3g 3a 3M 3E 3I 36 fwf‰3? 3&lt; f‚fnfsfk3уяжяЩяОяµя¤я’я¦я№яМяФямяфяэяюяйябяйятяояияеяЦяВяГяВя­я‘я‡я’яќяГяЩячя qf€34 3B 3i 3’ 3¤ 3­ 3ґ 3± 3ќ 3‡ 3} 3i 3N 35 f‰fn3жяЮязядячяыяхявявяйяйяоящя mfj3эячяфянялядядяжязяЭяЬядягяияияжяияряфяэяыяюяыяыячящяюя!3эяэяюяья g3эя#3 jfh3юя!3,я!3</t>
  </si>
  <si>
    <t>RI*FьK!3WAVEfmt †C"3 gfg3Ђ&gt;"3}!3 hfv3dataШK!3є 3ќя_ 3дяІ 3ёяЗ 3‚я€ 3њяї 3уяё 3[яў 3«яѕ 3Ия¬ 3±я– 3яг 3—яў 3ЪяД 3fяД 36яY 4Њя· 3uя¬ 3nяс 4оя™ 3Хоhл 3щiъPч&lt;щ’ш CъЈш›ъ 6шЩшЉщЮъHъБъ SщШщішKшищ@эSь`ьїщ NъќщОыАщБъvъRь:ы„ьеыСьЯщьы eыЅьgыЉэ:ьШэпъqэ‹эч 6ш 6Хэh jЌl’9b 8Э jt&gt;н 9” qЊ6Н &lt;ы =I ?‚ :ї 7Љ &gt;п k{73 4p 3` nЂ4y hUю th‡jSюуьв 5i =Ж Aл 8i 8Х 6± Bв 9± omBЪ rЌlu&gt;5яD 7f 8ъ 3Ъ 38 fXыgфwъџч MрІу›еЄп«цТь!&lt;v ;¤ C› m‹Qф ~hsmBu Qk a? `й Iѕя =4х O— =E 9­ю Ђ&lt;ЦмKэ …CГ A~ &gt;ь vj&lt;Т AP ?Tц№цЈшjлCи Kб=ж _н ^пPгти Sчщф AлAгДк ?н‹ф HрЄу p:”фzэl ;a LЎ VЛ Eг LС Mл A• EГ M; J^ ?~ &lt;« 7n 7a ?АьчёмUт @р dр :лШиреСтpж LйJлПо3зрв 5бSнHш bыНъ!FЧ =Q 9L &lt;№я9яГ Gэ im8= l5ыp Kр :й =? ]К ^• PX jЏSх 5– |•Fkэ iJј 7±у Tску–нMьЄяCт ђ5У =^йм 4… g\шь 3ОыЙс&gt;фLх eчЖтѓч;щ–ш Ђ?уэ UчВ m`ъФ CВ Ddні Gшо[ IK 8и 53юћ NГ 9ј &lt;m 7m @т r—ti4Ж Dо &gt;Aыў =N =“чс 3I E‘ля 4Џ @™э5 3ѓхgф5ыѕеЯл &gt;хфеj 8Џе CФ§паюИ _†эе IЃ :ь 3G 9Я mqobм~ |‘Jию= x€iq3Ї @ЉоУф‹ 5§кл 4Ъь Zп @ЪkоtЬeдЯ ECщ›ыdн] N;чТзХ G°л°оФ 5@ц” 5ЖЪ*з= }ZэЩьє D… &lt;б XђфУхq [ѓп` 8і ;меЅ AJ 7е 6H N• ?О sUт ”D[ B¶шLщC Iуеw q]яOъm Fzуd hЃE›й† vFы«п¶ 6­ gSмЎ 3qюя 4`сія] uVэмшЬ 7Рщ© &lt;&lt; 8Фяe ;|юT 7л 8Яэ  5И oNнИщ ”&gt;™н6я¤ъђф!&gt;S 6Ыя¦ 4Њ 5V 7ЫпЛюь 7‡о ђg^ьњрЦл™ъЉйли ‘9yцятR ;?тгЫф :• G±ЯМнВ @9 ;ір Zрd Eалгл@ D&lt;ц ?ь Cз¶ pn@ИЮа kSщUоB &lt;Ўм‹ o…@Ыо« &gt;и 8Aцу Bѕшо zPщ;жљ GухСо‹яJъN qx5орК x–E“сЫ IЭ &lt;T 9° 3D C› JѕыИьє ?; oЌG&gt;т— &gt;_ QEхg =µ yz96 hvzi{u–Dr rg:с CЖ 6b g’Hж 8c &gt;ћ KГяs ;3 CU 8kы­ю» 9Tшќыј ?sэ ~?ж =¤х ђCХ 4юч Џ4NьЕиc 5®ц bоДэ5ш bяrуЪпЖ h4зЁтЭ q:о ?яRщ{к “@^ш EпЃ =QчFхl :Nл‚ pEыЦпЗы Ђg;л] 7[с{тћ 7у{э CыЕпB o?ьея™ы lD›хqрh Au 5їы …?@ 7OлP :F k’3vчш JKум =Нцo Tiху gfoIя8 7А &lt;Oя‡ E— F±ы …&lt;¦ lЊDЦ 4{ &gt;Z 6g &lt;u H¦уo k‹mhChяu 4м :u 4щ jWщ5 k•7Ђ :Оэ \яТ Cах8ъV C™ъЬъe Bъ Uэ n6Й =Ь 3]цЋ 9bьщ kLыЇщу =; i9щ „6h 5­ 3ъIуц mw9ґ 8… 6Ъш  8б qg67 5Јь m5шю aю Zшў 7ь 4’яЃщс 4“ 5yшЏцxу JуАь{ъ‰м{ырыKхЇтpьсъЖцОь Mс Rцџ =ЂъЩы›юћ 7_ &lt;шщИяR 3&gt; j…:еэUю u3mю whBуh 5л 5зоyхtщРцащљх 8шJс\ 5ЭъГрбъyяЂщЖт Vэ™ 6ІъЋф ?щ‰щCяqъ KчfъАщй 8TсЗщзяf 4чэ &gt;э_ю 5С &lt; ыї 4¬ 9· 8Џ 8jъ» 4l &lt;; =Щчd 8– 3nяаьMшІш Fя\шзуфшC 6ZьЂю&gt;ш[яэ j9ьiыPэПю§я 4¤ьPя[я 5дшц 8‘ &lt;O 5dфП 4п &lt;шю\ 8зэёюqя•я– DЗшј 9З HQцтч= HИэDц p3Т 3qтю 7Ъь\сќю Ќ@ЈпRф Fэж 3птрь Gю€ыvь [яхыёы| 8n oJхCч g7  :ЂцJ 6х &lt;•ы_эћ =mэНъW @Oьяс t=¬ &lt;;ыжшя =­ gl5ЧяЧ 6Zюг 3m 6ЈэцьA &gt;n 9fцАэВ 9ёюHыqяa 4съo 68ъ `чj hЉ;aь 7ы° ;Ѕ 4Мяж 5· :і p~6q oЊ5і 6х &gt;щ vIэґ 3П =X 8Ж 3t 4Х &lt;u 6}ыЮя RяЙ ks4hю JъЋюЮяg*ыф‰ 3Ь h4ызъ 8яѓ 3JэBэ§ 3{ы’ k|3Яшwю– :Ю 4ЫьРюH 3І 7мямь= 8@ 6ц 9Lя¬ 3• 7и Bf 4іь»яь B‘ 5kц­ ?€ j`тр ;э leт¬ 3П ?xр•тЧ ?Љ iPешя•!?сзъЕ kOхКщ3 &lt;Мюьк u:\ B5тdфB B‡ыйфН &lt;Д 5ћт{ 6і u8т _щ™ xo5eс] 8O =ЌъlчЦ ;v 4Мы{ 6џ 3Fх …;Ы nMшџто &lt;d 5ЦтУя lgZч3 fWя&lt;щ“хў 7рэлч†яn &gt;&lt;ы CъG 3° 3› 4Z 4ю 4ЛьЌэ ѓgXщш 4Л ?‡ 6къ§ш”я r9Ю 3О 5Ѓ"9Ш hdюE h•&lt;g pEяyшZ 3о 7¶ 6D 9fю AыІэЛяmъзф›яHэЬцєь SяаьТцRхЉ j„7G 6 э NъP ;Ё 9и 3g 5`яј 6hяЗ 3‘ 94 j‚3Зяg 3И 5o 6tя=ш]ьM ;z 5Qь™ю€ 54 kl7Wю ”5s 5w 3wыЇя ‚5Х 4CщtюuяД 4Wю 6ыgэ 5I 5ѕ 3ҐыX 4= :O 4ZяF 6а ;Ј 5 ы‹ 5q :_ j”6Hям 4№ 9ж 7• 3у 3ђ m„8iяд 4Э 7Ќ 5М 6рюy gz6v 6‡ 4аюG 5ћ :¬э«эYяф 4` 4‘ю Fьмюj 4{ 5WэЮ 4Ј 4оэBэ€эД fw7Uщ ђ8чыЬяЈ 4бю\ьr iѓ7Эячъf 6€ 9У 4‹шё 5; 7ёы Aх Aю g99эјъ›ю `эz 3©эµявьҐю@ 5љэ Eь»ьЧя~ 5јъxьl haюРыyщЄяg h&gt;шYъйя_ 4ЁюVэЮя± h4f 6xьЋ 4Ф 8“ 3&lt; 4§эы j„8;эУюй 3[ 7ё 4ВыxэЙя 5Юэєъпя` 5Xэ»ы Yы= 4ѕ f:ы^ъ\ьЌ 4«эxыЯю|яќ 4rьыР 4B 7…я†ьЂя Љ8 5ґщ]юH 3R!6эЅы@яb 59 3zъQыќ 6~ 4Лю ?эGюЙ 5Б 3¶ълэГ 4К 5Яю}ы Jяа 7Еяоэ bъ 6b 3Июuщ p4ф jaя}щFя4 lw6}ь eэX 5± 5Zэ Xь8э p6‰ю7ю [ы …5Ъ 5ЈэOъ v4x 7® 6UюuьB 5а 4i gDы°яҐ ;3 3‰ъЧьP 64 4VэCь\ 4: 4И 3Ћъ Cя‹ 7[ 6уь§ы Ђ3k kifMыvыь 3I gTь§ъ „4¬ 7Ія aщaю· 5Ћ 7°ь‰я €4­ 6ўя SьЭэ‘ 6Ш 3o 3Аъfю› 6Ћ f7ъЇэвяDю”х @ъz 4О 5Yш 9ц=ьњ 7фь«ъdъ t5E 47ю 7ь† 5‹ gAяЛщ „4Д 4вяZш@ъ„эЕ 7‹ 3bы€ъЧ 7} 3zяЄыq jqk}5®ьE 6N 8юOх FшКэу 5eх6шПъ y8хъмъZы~эxюПцћэ ZъШ 4ГяF 68ь Pьё 6‡ 7pъ ’8A 5» 7e 3† 59ю]юѓ 3k 7nю SяUь— j€fo36яќ 3њэчьѓэЎ 4&gt;ю3э…э bя’ 4| 6Ґя† i3сюNэ‡!3 j6ё 38 5Џ 8‰ :_ jy6у 5№ fЌ8} 7!5Х 7Ь 8У 8@ 5ѕ 6f i‘5х 7ўюр i‚6Љ 6о 3Jя ‰k‹5њ 6G 3P :z 4Y 4j 5i 9Ј qLэ… &lt;Йъx v@ъ5 ?ЅяВ 6Z 8ўхь 3џ 6ўэј 8&lt;юa n~:xы v8Я 8ґюА &gt;eюц 5&gt; 6Э :iяЛ 7¬ьЂ 8ЛыN 6Cъ8 3@я„яРэ x3вяп 9Њ faэЉ 5У hMщ~ &lt;жщ’ fplPыЇэV 5&gt; :Ёц4ъД ig7рьxы xj•5Й 4Ещl 4‚ 6&gt; 3а 3µц4 kh6«юWъО 5  5°ъ&gt; 7Љ 7љ 7Х 3Ёяп gt3Щ ;|ь7 4yы‡ =•ю›*яы!5r 6Юч– 6ўэ 7ю Aьhы@ыТяьыЧщђю¤ьНя 3эЈяn 3±э§яJ gvjJыHъ4 q\э 4e 4Б 7¦э {5Аяm kЋ7у 4x 5к 4њяняђ 3:ю s4я g@э m7Жюv h\эn 4qя Jяѓ 5^эј 4„ю Sю Ќj8э Aю эЊэСъђ 6РщўяЦы 4к 3Tэ|яг 3ґюF gGюБэ] 4Щ 3Щъ~ 5¦эH 4хя Љ4A 4HщХ 8K 3Oю €7эю4 7Rэ@ 9мюDъв &lt;E 5b iGэЅьP hBюЦ 7r f“6Ф f„5_ю „7¤яj 5’ю9ю k5Зю‹ 4 5nь `я4 4ҐэР g{3‹э—я w9‚э ~3± 5HэЖ 7јюЗ 6Ь 5ёюЪ hFяЯяо mRь n5X gz5k 4— 6T 4µ 5F f“js6  5{ jh7P il8мюЗ ;f 6J 36 79яґ mAюDяg 8Лятыm 7хяZяёэ•яП 3jщj 9mэ&gt;щY 5пшY 4k 3рчх 3ЄэMщr gZщз 4HьлюHъMэг 45ъЇюZя 3ьпь “3ъш: 5wьЙщ jgRщ 5яГ 3|шСьyэЩ 3іщјь6яЩцЌ 7kьтщсю Yю–ь &lt;яђ 3РыХью fRюbъА i`ы cьh 6mъCяd 3&gt;э‹ 3±я”яќыї 7EяЙьУ 7¬ьQ 3д 5Лэќю9 5гюФь™ 6хяПэ8 3мяАьћ f…3љъ_ hWяЂъ5 iIьлэк fLю^юzь 4lю…э§ 4uь»я g3иьQ 4vэTэ 3Iю ZюГю –3bю№ъ }6’эЬъX 5Фь=юцяНщL 3ЙюLэyюшыо g@ьрэ Ђ4«ъi 48 47ъЙ fѓ4›эP 3ю_ 3В 4b 3·юmэт jDясы† 6;я4эЁ 7`эRяX 4ћяґь›фѓх§ь€юПщЯх6ы‘ыaцЅэфыёь¤э«я;я k—9“ AС &lt;@ ;\ =Ь pn&gt;_ oKяe &gt;K x8уП r7ы[ jJю@ 4Ущ~ 3{ :Пъ®ясшёщҐцЦэJт KьТ 3\фA 6ЈщyщЫ 9™ 3єщZ 6і l]ьЈ iЂ5џ 4‚ 7М 8а hi5ѕ 9ё k‹4В l‡7ь 9И jg7H 6H &lt;k hђ8!7Ї 9k 4h 6Э :9юИ 9U 5~юФ 8Е 3›я {4ш 5Gь DяK 3IьЖю Oюџьэ Hяsы—э¶ f8э№ь †4ыьЬюV 5Aь aяЧ 4*юіюB 6q 3Dя7 8VэЩюф 6¤ю9 3Ќ 4цютэ¶ g[ю JюYя»ю]эVя«юsы“ 3‚яёьїэFю Uэ ѓ3wяѓя |fwMмь=Т FщащХ=іф°в— Ђ9лjь± ARя ‹rAю 9ц PцЁ DСюm*ф iBюфш4 UЗэОо§ 8‘щ€ 7Йш 4™ ;¤у 5i ?ющV 6Е 6¦щCэп C±шЫщ3я |4{ kt6Ўщ rpg:Їог jn7Щх5 6ыLь›яЅ g&gt;э Џ6zьnъИя Qэ[ 4ZюРъaъ :Cятю iЊ5ґяўяВю5э?ю v3љэ§ьјюз 3д 6±я 5э j5f 3±ыЃ 3і 6ZюA 4ј 7ЉэЩяъ 7“эѓь¦ f^я7юЦ 6ь 3[я] 5T ji4ж 7y ;Чц… 9&gt;я „3э ;‰ 5j*щ n9^ь ;юх =ЌыB 5Щ :Шь{щN AЯы`ь| :Ы 5къА 4їэN 3оэЩ 7Тщ‚ 3Ч 5S 6@эЙ iMэ †jPя¦ъ —fЊ5ѕэ*ыпэЅ ;r 5‡ц· 4— 7љ 5O 4џщ… 7°ю •9„ 4jъС 5Ф &gt;™щoя§ь3 ??ъpь[ 4Їяђ mNьlэy :• 4x &gt;йу&gt; 8Й =5 h“6зшА jz:C 6wэВьx ;± h’5TюЋ 8‰ 4Щ 6}щфъш 6‘ 4bяЉщ l5х :нэ= h9ьҐ 3E &lt;Ї 6Ыш” 5я 4·э« 3ћ 9ЎцQ &lt;ј =гоАяµ s:я Mъ &lt;ьw 6† 8ќ 4P 3¤ыЪ &gt;Ћ 5Ёщ™ 7Vы Ђ:б 3BчF 4ы :й 3wь Aюк 4У 36 3эчЌ 6M 9S 3Sъчюg &lt;© 3МъRыL 6и 5ЁьWъЗьи 5t 8џщ¦шi 6H 5Зы;шОюм 6Ээ 6ьищх 7~ iSщКыЕяС 3? 4Жш5щi 8М 4Eшw 3€юЉ 6цю &gt;ч 9ьA gѓ8\ц Gър 7? 4†ьеь^ьќ kЊ3еьЅц{ 6… &lt;иш 3ыУ g‘;Ќы:ч‚ 6х 3Шы‰ h8ш яR 8Ґ 6ИцMьЩ lЂ5цOяd gw4ќ 4OщјюЮ 7Х 3єэaц® 7» 8Хш»ъЭ 6ђ 5E 3Gь°я 6ыТ 5Bь·ьЕэ… :LяОы‡э —;иякэ ;ъЖ fw96э ;ъ¤юG 7¦ 5УъЎ 3A 5 7Яю±шg 6± &lt;…ь Њ4Ыяh k†:њъюэ „6L 9j 4Rщѓ 3І 8з 6‘эѕэ †3X 5J 7qф g=о :O i;ънюљ rЃ68щьщв 8й 7¦щ Oъи 3№ю: 6¤ 3iын 7њ 6Є f_я–ъв &lt;m 4Ќэ’ 7Ы :Ў :ґы PьЛ 7U :C 8?ц l6Ќ 3&gt; 4&lt;ь&gt;ы p:!4Щ 5?эвщe =жь‘яoыJэe &lt;єьЛь ziЉ6о h\ъШюҐ 4X :ђ jeыР 5– 8й 3\я&lt;ю¬ t~fx5г kYя x:— 5„эwф\ :&gt; ?уф~э4 l6Г 4Yчц j…:[ю k5КщЫ @L 43ы€яeюI =Ъ h&gt;шят 7х 4Гщ Bь· &lt;Е 8съ 3шґ 6s 6ЁшгъZ ij6њьTюSчH 8iя `ь Pэчџ 8ћюjъKя8 hi9wщlэ6 4bэ Њ3щъ Aь Aя]я°ю Aы ;я« 3T h]эХя K!5 fy3N 5З 3иыЉ 9В 4Ґц Њ43 4dя*эjь|я qjZюjя OэBяP 86юЉшc gѓjJэ‚ыГячы `юD 3‚ fђ4; 9{юПън 5 7і k:ыбщ CяЪ 6уя w3mыФэ Њ5¶цЊ 4› :§ы Hъќ 5© 6фьK &lt;ЛюљцX 45 6вщ @чЧ &lt;џэ 7ч¬ъс G•хЧй† D8 9џдВ &lt;Ќ SЋжФоќ Q*яYЬd E± &gt;винэ €PЛл±о wIА 54е? ?… AТх Xуц K;цXц„ BЬ =РчЬ my8Fфксґ ЂFч7од DT ?Олю jhuFы Hыо Ea 4цк €? 8?лњэQ CАчЩчш m”4АцІ 9B &lt;»шN :а Dхш @ц` r~@му}я` &gt;vы5ъs ?iюQьD :л jKч ‚hЂ8_я чМ 8k 9[ю;ю w7!4 Њ5Чяњ 8yяe 5= 8Vэ @яр o~5Ішњя Њ&lt;| 5EьЁя4 6p 5!3Ђ f6fя h8ґъѕ 4ц :Аю–щЪ 6Р hyj‚7Ј fOюВ 8Ў jJюДэ­ 4Я f†gbэ €6¬ыэ 3йэ ]э9 4Їя @ы†ю Mь “6Ю 3юь® fWю “5GяbьSяl 3Ѕ 6‰юИ 4О 8Х 3ІюVяD 4d 5тяfю¦ 4l 48 4иэLэ@я eя» 4†ьк 3И 4Фюgю‡я 9яхэ– 34 g]ы3 7В 3Oь XяN :њя7э s4л 6©я Lя ‚5Јэ 4э u5Рыџы Џ3О 3Oэ cъНю«ю Mэ‰ьuэ4ь kYя IяiяL 7uэ 5k 4л 4ЦюK 3шяџ 5\ 8у 6ґ 3[яі 3п 6Чя wfeэ^ hBяю 5’шѕьP 4эЮэP 4f 6еъuэЎ 53яkязю9ю h4Ґ j5э]юрщћ :d 7§ iJэ &gt;ъЬ 7Y 6± 5ць dь _эoчў 4J o‹4Ђю Gю mkp:з 6’яa 3Ђюх 6дъряі 9л 6ґ 4‹ 6ґ 4Ї 5чэЉщvю z6С 9Рюџэїь FьdюПэf 3в h&gt;эпяЩ 7Й 7I gAщ ^юU fi:э 7] 3ж 38 6±я •4Пэ Aяўы ;ъr 6Ж =P 9Лю NщРэЭэ s5ІьВэЉ f{6I 3I 7e 5‚ 3•ю… 3V 4nыxя Gяsэh 6^эќюn 3§ 5‘яњэ› 5Н f|4n 3Июбэ`ъF 5® 3‹ьПэВ*эыЯъ¦ъpъlэђя8эzэЅ h‰7¦ 4©я§ 6• 8Ћ 3ѓ 3• 3сюuю 4яW fQю —lЏ7Юь 7яЈ 5T fTюЭ 6¤ 5§э»юґ faюџь ‡3Љэ№ьw 6Ь 4Sя ”4ќ 6 3Фь«э*ьoэх 3б 3dэЃ f…6L f:ыyюѕ hm4Ћюrяxяyя¦я№юнэ ѓ3·я’ю”яЂ 6Йяgэ;э…я{я‰ю¶я~ю ‰5 4Тя^э9я }5Ёя­эgя[ gFяЬэњэ_я u3… 3Aэ·ь h4т 3кэ_яЕ gf5ќ 3@ 5– 3п 3џ 3Мя NюШяЄ 5ZяXэS 4– 44яЩьХ 3Т 3э_ю®яњя „4РюoэБ 36 5? 3§ьцю6яъэИю Aюtюья 3оэЇэљ 4D 3іэnя Ќ5ЛяжяХюсю›ю¬эґю­э»юЦя—юµьjюФюOь eьLэІэ :э^ю9эщьдю Pю ;эqяК 4©яЂяx f—3V 3ј fq3Ъюp 4щяћю3я› 4: 3&lt;ю –fu4mя@ 3ј 3f 3t 39 hbяїюйя xg:яДю Њ4Эя`ю; 4!3bюX g|43я@ fm5Ў 3Ію« 3 яЋяi 3…я­яFя_ 3tяЉяэя  3гю ofj4’ 3C 3D 3М 3щяb 4µ 3Дю·яЉ 3Cя QюБяЋяўюбю§яrя›я ‰4Чюѓяq 3Ъя Gяїяняйящя›яQюыю pgЏ3*ю\ 3Гя bяjю]яk f†3Й 3–ю Hяй 4‘ 3Бэ_я ѓ3¶я‘ючэxя ‡g=яsэЉьї 4Йя Vьqщb 4] g6ю Vь l5a 5eь ]ъd 3T 5tяhыKюl 4Q 6Бь­э я Љ6ыэ Kы¦ g„7— f^ь WэQ 5H 4OэxьЖ 3¬ 6ћяFьЈюW g‘hKя 5ю| 6B iђgTэТя y8h 5жюбя| 5М 5–юЦыjяДяЉ 3лэЙьK 5¦ 5• 4!3а 3о 6·я‘ь Iюх 3Х 5„яЬь‚ 6^ 5Aяї 3И!3 8† 5€яH 4к 3` ky3Vяђ 4© 5• 63 3@ f{i‰h‡fЉfh3Џ 4Їя[я8 4Ч 3‡ 5{я |4Е g•6Ћ 4–яїя· 7U 4lюТ 4о 4M 5Ћьf 3p 5J 4ю f–4К 5‡ 5” 3o 3g 4Ѓ 48 3WяIяИ 4z 4‘ 49 4з 5Ё 5? gx57 4Ј 6G 4xюY 3Г fw3Љ 3“яЕяЅ 5Ню4 g‡3© 5• 3aэa 3M 4й 3Щя&gt;я ”6ОяСэ u3h 4E 3P 4сю7э¦ f@ыJвЪ •Yч’эBлђц lD§ L\т4уд 5qы5 G4юГхҐщъ HU 7Џя[ц Ќ4дщЅы ѓ9Y @`ш QпЗ 9т &lt;5 9іт SщN &gt;ё 5П 6ы 3ж j@ь v=ю ;b 6цщ…ъ± mpgPюЦ 4¦ 8N 9†ю Jя\ц~э @ъэ :` 4&lt; gFщб 3Щ :® &lt;цы¬ 3!== 6Ќя3яR iPь»яч 6р 5Dюєфiъ; :І 7Ўэаъ“ 4Gю  3—э3 5jю —7ґэBы hgЌ7ёъZю— 6§ 6y fЃ5ІэШщ Bшпьо 4ґ ;m 8въЄ 5Ї 4е 4[ 6x 5dшцхГэ_ 5Ў 3· 5† 8е 3ЭшЅь Rч»щ …3i 7Љ 4™ 6ЉыГ 4‘яV 3шэ [яuх Jх aц Њ3P ih48 3щя `щФягя &lt;яRы” 8’ ;ё 9э 7‚ l`ы 6ъfяџ i~3ѓ 3e 4L lx8° j~:|ю Rь5эWя&gt; 3© 8› 5¶ ;ьэY 3g f4ю q4шюрюЈхЮьШ 6ё 6§ 9Ћювэ …6Ы :@ kaьfяц :Ѕ 5€яS 4ТьФыuхЖыЙ 5¤ 6U j—hЃ&lt;„ 8TъЂп=фЅ :^ ;К 7} 3:ъФю 7Ж 5ъ 5нюП 4“ьд 4Ё 4–я eьЖш—ю h9]яЌ 4ыъЮшaю ‚5=эlюtяЭ 8m 8N &lt;J 7rюв 3µ 3ґ 5Ъя 4ъxыh 3Q hJэ bъFя‘ 6v f=я§ь· 5&lt; 8Щ 6c n€4{ 4Ъ 6z 6ч gJъоь7 5;яHъ PяЎ 7° 5хяoэ Oю¦ьпшґ 4ж gG!4 6€ 4Ђ hAя“щђ 3ъы„щПы BэПю fCя Bъ›э№ыRь4юж 3^ 4=ь _ы cяМя 3vю CяО 4Э kЌ4шъ‰шЩь` 8Ќ 6]ю Eц„э v8еэkю t7™ьGьФ jЉ7jщБщлэрьЪыц 6Щю3ыШ h†:9эOюzяЖщзьМ gђ4№эn 4Ј 6фюХьо 3b 7rюЈь} jk4бьБ g“4бъчэy jRяЇэѓ 4m 5DьЄяХ 4ХяЙя bяt 3M fЌfn3Мыvьр 54 g^ьz 3б 3Ры„ь ‚5‡ю•ь u6К 4bэЎ 4щ 6zэкь^ hWя6ыж 3ю 5уьИюY 3bюOэ —5· f^ь ^э ‚6‘ 3tы Mю h3ќюЊяб 5џ 3{ю5юсэ‡я= 3G 6»ьХэ® 3[ 7Дэйь ЋhUя JяН 3e 4Y 3Ъ ft4Eя: 3Р 4С 5ЩюµяY 3Ря8юe 3q 5Тэ &lt;яІ 59 3рю y5p 4 ыIяh i8я 9ю} 5I 4жю 9яV 5щэhюЁ 56 f[ьБ 3Е 4|ьhюА 5N 3Ђь Ђ3t 4џь hf‡6&lt;я EяЊ 5Зю?ю  4р 5Jь“яэ 5еюGэn 4L 3Ъю HяB g3юnю‘ 5сэѕюh 4… h?эaэо g_ююLя gfZю 9яПя PюПэЋ 5ѓяњэ Ђ4і 5–яЩю] g‡3Eю” 5ї 4O 3KяА 4rю ^яѓюО 3Ќ f=юP 3‰ 3_яФюЛя” 5Ля™юu g5G 4МюJ 3Г 4ЦяМ gw4я^ 5± 3pяЪяш 3] 45я” 4Ш 3аяj 4; 3Їяf fs4@ 4“юЃя‚ 3N 3„яњю‚ 3дячяСя¬юсюg 3Pя^э€ю„ 4K 39ю— 3Љ 3ЛяК 3Q 3гя‹ 3љ 3©я eяЊ 4v 37яфюw 4· 3ё 3Ѓ 3КяЦ 3њ 4с 3€ 3G 3Б gn4Fяa gw5J f8яX 3МяX 3І 3¤ 3ЇюH 4к 3Вю 6яЛ fђf^яљяЎя¬яf 3v 3„я­ 3‘ 3tяЕю‚я g‰gDя ‚4Н 4дю ~3xя }4\ 3Ц fBя bя Ѓft5ђэ &lt;юу h‘3Zюх g’geя`ю ^я»яkяZ 4 3Чюq 3_яtю‚ 4q 5ё 4G 4| 3k 3ПяЕяН 3Ь 3Р 3C 4ЩяG fЏgt5Юя y4ю 4l 3ћ f’4а 4 4‡ 4Ґ 3[яб 3ф 4f 3њ 4ђ 5_ g{gv3W 34 3є 3Т 3°я Љ3O 3† 3Ря9 3\ g}3R 3¶ 3ѓ 3Ы fy4мящяј 3~ 4~ 3; 3t 5&gt; gn3i 3Б 3L 3| 3s 37 3¦ямяж fcяя&gt; 3Л f‘3¦яІяЁя– 3’ 4ЅяBяЏ 4O 3Zюсюљ 3Ј 3¦ю3юОю–юBю Vя¬ 3„ 3H hЋ5Ї 4В 3Ђ 3›яоясю&gt;яT fЃ3Мя {3C 3‹я§эRяAя ’3FяБяЕ 3U 3б 3^ 4U f{3їюќя·я‘ю Њ3Юя­яSя№юo 3OяѕяМю Wя eя p3FюђяпяЉяЈяэ 3F fЌ3ияV 3Й f{4€ 3Уягяnяxя; 3бюзюZяЭюЙюЬюНя Ќ3»ю Љ4л 3ќя {g‡fn3ї 3й 3Шяњяl 4ѕя«я’ 4‚ 3ђ!3 g•3I 4Eяh 3}яiят 4jяЖю l3ґ f•f`юкяG 3I fo35я CяyяЖяЧя Ђ3| 3\ 3йяH 4В 3§ 4Чяo 3L 4ия r3a fVюgя Ћ3nюUюяs 3гюxя {3›я€ f‘3ѓ 3В fjg{gv3lяЕя„ 3gя яЎ 3X 3уяnяUю –3\ 4Йя«ю± 3¦ 3o gwfЊ3iя§ g–4ѕ 3Ђя… 3А 3Џ f{f[яЏю “3C 4‡я№ю4я“яЅяпя›яґэ‡ f‚5t f~5г 3ћ 3йя3 3а 3Ею…ющяя Cя®ючюPяџяея&lt;яkюбяея lfЋ3§ 3вяЃюvя “4„ 3¶юdю †fu4Еяою8юЬяs 4O 3…юЛюћяґ 3ая TяХюљю•яi 3Dя VяWя‘яS 3–я~ 3`я ;ю 3яЫя¬я@я TяЖяiяГюyяpяоютяeяyя‡яњя y3&lt;я’я\яќю 8юpяE fЋ3—я·ю FяИя^ 3шяЧя±я5 3Цяeю `яу 3жя\юЗюiю?юЋюOяЖю«юТюJю3ю«юhя Xя¦яцюЭя |3ЪяђяD f~3H 3а 3Х f…3@яЏя№я 3Л 3a 3…яЪя p3U 3? 3p 3€ 3Q 3К fЃ3g fzg‡4І fђ4њ 3K 3V 3Эяья ‡3O 3~ 3Н 3} fuf…3пяия¶яmя Ћ3M 3&lt; 3NяLя¶я ‹3Ёя‘яF 3N 3L 3ёяпяK 3І 3Є 3Юяi f‰3 fy3J 3p 4в f†fЏ3Ш 3Б f”fЌ3} 3­ 3~ gj4p 3й 3й fy4Й 3| 3Џ 3µ 3M 3вя lg{4q 3Ґ 3¤ f„3• f„3~ 3U 3v 3ў 3бя hfWяАяA 3Йя ~3ея }3ВяЮя 39 3мяp 3ЗяҐя\ 3јяbяйя€ 3Ыятяc 3–я Fяіяb 3X 3·я jfЉ3”я z3b 3ЪяЦя „3D 3f 3» 3є fg3x fs4ї 3W 4вя f~4:я p4{ 4Рю7явю5яLю{ 3\яsя’ 4§я cю„ gЋfYюђ 4Д 3S+яЌяМю‡юoя 7юKю xg„3сюУя` 4}яЗьµя4 3аю ’3t 5Ћя ѓ3“ g|4ZяТ 38 hs3‰яу 4КяЅю tg‰48яµяЎ 3лэДэ§ 4« 3Эя ”5и 6ё 3Љяu 6· 3Ѕю ђ5 g6э*ю —4ДюjюЙ 3ZяЗэЫ 3Q 3NюШ 3e 4ѓ 3Эю© gi4љюђ 3я 4p 3t 3I 3fяDю ‚3ВяBюфю Ќ4DяLяm f{4© f—4є 3G 3¦ 4Г 5Э 3и 3§ hЏ5Ќ 3_ fz4т fjfЏ4r 3y f“4I 4Љ fq4Ы 4в 4? gђ54 4¬ 3W 4у 4Г 3» fkg‘3Lя u3уяшюіяи 3џ fЂ3t 3` 4е 3а fѓ4V 4K 4¤ 4Ц 3З 3І f…3oяьяДя‡я 8яµяYяияЙя ofn3у 3p 4“ 3x fi4™ 3M 3h fЌ3I 3мяЫяПяCя w3ЃяFюўюЁ g„3€яYя– 3[яґ gy5б 3GявяДюф gQяЭяL 4•э`яU 3Њ 3Q 4Џ 5} 3– 3хюlюЫя Q"3MяБ 4М 4k fЂ3ѕяXя”юЭя¶ 3E 3u 4мьбэG 6oяKяV iQяa 3» 3ЙюV 4Й 3*юK 3ѓ flfUю 7яьяJя Џ3дяъэ bяv 3¦яЙ 3Ћ 3пяА 3© 3M 3з 3B 3љ 3ф 3іюjя –f;ю3яшя 7яЩя¦ятяь f\яЮяh fn3эяџя dя: 4S 6• 4Хю«я я UюБя=я u3д 3… 4W 3eяею †fF"4 €fЊ3¤ fѓ4G 49 4Вя·яф 3ѕ 3ѓяСю v3` 4уяцяT 3Ђ 3W 4© 3C 3~ fѓ5C gkgn4hяуяњяЂ 3Љя‘яЫ fx3VяґяђяD 3ляў 3М 3– 38 48 gnfsf“4| fv3ьяьяm 3о 3Љ 3мя;ях fi3&gt;яd 3эя Њf—49 3g f‹4§ 3@ 4 3‹ 3‰ 3Ё 3n fzfj44 fDюvя«ю =э*юЛяЖя] 4Ы 43 4`яwя `юe 4и f7эC 3Ё 5ж h~4Зьэ 3|яђя@ 5о f|4a 3sя–я _я ‰3jяY 4љ 5Іяе fl4®ю8юуяняQ g‘3пя—юLяM 3BяГ 3mю: 3щ 4Э 3{ 4Ђ 4ж 3D gOюv 3јюаэ№ 7Ф h?я‘ь \эf 4B 43 f‘3ию –4ѕ 3ё fKя¦юЄю BяЫяя =я§ 3Џ gqgLя Gю=яЂяV 3№ 3—яD f‚4!3w fQяxяЈя „3‡ fn3шюФ gi4Kя№яo 3K fGэ¬эr 8Mыѓ hz4&gt;ю i7Џяk 5з 3Vюо gx4&lt; 4ф 3nюћя QяҐяК 4¦яџяrя ~4v 47 gЂ3©я 4’ gЌ4 3&gt; 3ы 3Э 3М 4Z 4pяк 3• ft3Щ gcяAя ѓ3? 4ё 4…я 7яР f“4дяЫю 8яТ 33 3Їя4 3Яя€яЫяўюьяd fkf5яm 3Л 3Ьюзю ”f{4M 4пя5я Ѓg“3њяҐяX 3» f€3Ўя 4џ 3ж fo3T 3љ 3ІяъяYя ‚3; 3^ f“3л fz4ня 3g 3: 3“яЦяf fЏ3­я‰я`я kf3mюї 4U 47яKю† 3е 4~ 3&gt;юЕя ”4=яHют 3b f&gt;яj 3Ќя• 3Ґ 4}яјяW 3Щяія –3K 3ЈяЈя Њ3ся z3јяW 3Шя Ѓ3B 3cяЏ 3\ 3^яҐяо 3тя@яЯяb 3Ёя \я q3v 3№яO 3R 3kяљяЭя‡я3 3кяNяЗя„ 3ъя¶яФя j3ОяI 3Кяыя†ябяЙядя €3Yя‹яf 3Шя •3ию†яф fѓf6юЗ 3cю“ящ 3—яќюТяV 4кяИяЎяХ 4: fCюН fy3¶ю« 3…я BяэяЯя„юХ 3Fяt fЊ3` 3ћяЙяF fm3Ўя •g”3ѓ 3Y 3хяђ 3б fЏ3е f~3± 3є 3{ 3яћ 3уя; fђ3И 3h 3Л 3U fk3R 3J 3ќяпяЎяmя bяќя &lt;яДяFяфюwя5 3n 3љя« 3… 3ўяНю ~3о 4мя &gt;яDяЦяёя°яАяB 3¤ fѓfXяЧяJ 3pяЯяu 3E 38 3“ fѓ3ђ 3Q 3c f3ќ 3оя ‰3ґ fw3оя „3hя_ fh3µ 3Yю[ 4uя9 4ћ g?я q4К 3э 4љяћ fRяЁ 3Pя t3§ю …4Оя¬ fjfЃ4фяЬ 3z 3‹ 4^ю@яд 3w 7Yя€яV 3E 5xю i4¤яЏ 4Й f–3yюa 3\ 3Мя*ю| 38 3є 3y 3І 3љ 4ф 3±я €g~4¦я ~4e 3уяц 3“ 3Эя {4Эя¦ю† 3@ 4§яTяј 3ия ђ3» 3H 3ЗяЕ 3U 3Ая y34яд 3z 3µя ‹37 3U 3W 3D 3о 3n 3п 3— f~fj4~ 3&lt; 3ѓ fm3К fѓ3P 37 3q fi37 3x 3ћ 3k 3·яz 3S fj36 3} 3b 3h 3j 3ў 3€ 3• 3Т fu3a 3°яѕ 3Љ f…38 3n f‹35 f‰3­ 3ля —3Yя v3Ќэ r4Б 6[ 4· fy3€ 3Ёягяь 3S 3™ f4„ээ g36 3ґ 4P 4С 3Ѕ g|5| 5х 4¬ fѓ4] 5љяО*юэЇэ№ю rfngi4D 4Ш 4ю 4&lt; 4© 4S 3&lt; 3› 3qяdю Hюя o4!5: hr5\ 4G 4¶ g•gh4У 3Л fv3њю¦я Aя»юТяЕ 3Н 3Ї 4Z 5Н 4и 4щ 4ш g‚fcяПю«юЩюЁя q3› 3ж 4i 5­ 5Ю 5O 5} 4Ѕ 3Њ 3Юяwя7я`яЬяX 3я 3ђ 3у 3\ 45 gu5[ 4с 3z fw3ря BяЦюVю@я n3и 3€ 3v 4Е hp5С 4_ 4x fHя~ю{ю Zя&lt;я \я‘я— 3N 4я g‹g}5к 44 4ў 3m 3… 3D 3Yяuя€яYяЎяS 3– 3Y 4ю 4З 4… 4S gi4D 3gя]яPяYя№я ‚3З 3O 4\ 4o g‚g”4Ь 3– 3‰ f}3ояИя †fђ3тяh 3ряЁ 33 gq4ќ 3Ў 4­ 3з 3Юя }3ЮяEя w3“яL fofx4тяПя` i}4з 3Оэ Dя: 4Ѕ 3з 3^юЭя }fjgz3пя Oя— 4R 3„яФ 5Ьэј 3–я t3rяo 34экя –54*я 3Ќя† 33я4 3Ля 8яNяия¬ 3«юЁя 8я }4вю ‹3щ 3fэa 5  hIэJь –gOябьЯяJю Uяt 4wяџяwюИэИэ Ќ3Яюы 3Р 5Ђ 3Хэ mgdяшэ v3^ 5P 4ъэт 3ею &lt;юµяјяЭ 3яюою:+я:яЎя 3‘я®яFю»яЩэtяб 3Mю\ю jfwfNя ‰3їяћю Oя Aяyюwю Gя w3™юую „f=юl 3&lt;яWюшю v3уяля aю”ю Vя=юZяхю Jя Xя †fy3ў 3ї 3tя cя 7я­я Qяќя4 3Kя„ 3tя•я ^яjяВяЖя EяdяgяHя§юYя©юЈюГюxю\яНю7 3фяхяfяѓя№я 8я«юґю›юЎюUю|юBяpю~яЊя •3`яKя Dя4яeю@я’юњюqя `юУюЎюmяя‰я6яњяиябя«юЋя ^я Vю¤юЗюuя9я]яЂяЉяµя?я›я q3zя‘я Gя _я [ялюMя _я cяИяЦяШяЛ+яея Rя3я NяЃюqяlюЊяеюoя 6яЉяЬя Ќ3Ая¤яcя —fYядю 7яЊяТю¤яИяЁяxяzя‹я _я‹я‚ю _яNя·юдю Mя Cя ;я&gt;я ^яЈя§я›яeяЉяЋяaя 3я &lt;я 5яЈю‹ю”яDяля№я Њ3фяЧяйяУя`я [яJяЋяЄю \янюВяЌя –3ѓя p3©я †3сюј 4ќэ CьLэЛьд 5w 6¶ j_эЮ 43 3Тю9ю“я _яЯюХ 4Ўяv 3q 5у 6Ћ 6Ы gw3;юн gђft4mэ Lэ OэЖяЉ 3Cю Nя5юD 3ряЇ 3© 5v 5i hx5 3R fJя‚яµюЬяНяРэ &gt;ю“э…яэ fq3Їяию€ьєю:яЯ 3њя¬ f‰6Мя w4д 4k g”3`яћэ“ю®я =яЦю ’3P 3фюВю4я Љ3я 4ХяWю k3“ 3ф 3Ж 4о g‹3Уяья› 4Њ 4‹ 4u 3Л f‰f“3З 3c 4A 4п 3к 3G 3] 3Т 3уя¤ 3Зя y3v 3гяхяЋ 3Џ 3C 4B 34 3љ 3’ f‡3ЕяЫя4 f†f…3‹яФя„я Lя‹ячяґязягя= 3тя¬я|я qf“3] 3»яR fn4F gr4¤ 3e 3ьяВя x3LяS f’fkfg3г 3d 3ыяv 3v 3‘ f3± 3Ї 3o 3Ья*юЬю‰ю!4эяД 3Џ 4ДяeюЅ fy6Т g_я Wя` 6р 5Єя‹ьЋэZ hv7А g;ю^ 3Ї 5К 5? 3“ю Kяѕ 3пя~ь} 3Iя Ђ54 7g 6Яы DюX 5м gk4Ея i3Qю ‹3Ы 3ъя«юНя g3– 3B fЏ4• ft3Щ 3УяY 3¬ю„яФяy 3л fq3Ю 3ѕяТяW gz4K 3ш 3Т 3f 3ћ 3k 4’яляЙю ѓ4ў 4O 3И 3А 4j g[яГя k4№ fЏg„3Ия ;яwяd 4µяB f…3ыя€ g†4T 3C f–3Ј 3—я Xя•яр 3Уя s3P fm3w f‰3OяOя} 3ќ 3б 3O 3zя7 3н fz4Ц 3К 3} 3n 3€ 3§ю\ 5юя n4љ 3льЪ 4hэ x5Єюc 4цэ= 5y 3ФяJ h8ю w7‘эй 5ёю“ 3Ц 39э] 7fяу fw4TюF 4H 3ј 3ц+яMяТ f_яэ f‡3} f’f|3I 3Э"3s 3s 3¦я¦ 3ьюi 4=я{ 3Гяряјя k3t f|3љ 3Dяќ 3Бя ‚4Ў 3ыяJ 3Ъяc fђf|3u 3U 3= 3¤я° 3ЖяАяЖя: 3ў 3Ия Њ3жя„ 3Ћ f•3T 3‚яP 3I 3= 3ця h3є 3мя Џ3ЖяляЁя ѓ3h f–3ґяЧяаяs 3&lt; fy3мяШя·яьячя o3&gt; 3ояБя„ябяѕяїяQяЫяхяКя­яОя°яїя·яѓя яХяРясяеядяѓяся±яря¤яlя–я№яШя•яaяUяЏяя“я{я•я}яsяTя‰яIяdяyяҐяcяsяqя~яјяљя…яCя°я™я k3РяияІящякяјя’яЅяХяјядя ‚3–яђя¶я­я‘яќяЮя¦я‘явя ‹3ПяЪяСяЯяЪя¦я¶яnя9 3AяРя‚я|ютэµяd 3WяЭя 3› fЋ3ияЮюёяV 3M 3\ю &gt;ясяn 3й fpg€3Ъяія ‹3B 3шяшя s3} 3ћ 3Уя ]я }3fя „3F 3=я‘яdяљяzя­юТя6 3&lt; 3n 3i f3‰я pf{f‰3АяІяЏяјяхя&gt; 3pяЮяc 3*яSяЧя«яQ 3УяЅэќяN 4ьэ|я ђ4єю ~39яiяжяcэ‘ fЌfPя r4юям 3~яї 3B 4ХюПяw 4:юєю Ѓ5дя« 3‰яO 5Љя Tяјяo 4P 3Ђя›ю¶ hLю± 39 3Ия® 3№я¦юќ 3уэ x5&lt;ю©яь 3Ѓ 3*я3я –3и 4rюD 3µ 3ця Ѓ4@яR 3§ 36 fu4аю  f…fЂ3– 3Pяo 4Ря[ян 3VюТ 4Вю™юр f5юдя@яT fЃ5f 3yю ]э’яВ 5Є 5uяћ 3dя4 4і fu3R 4S 3э f_"4‘ 5a 4P 4ёя …4ж 3Gя4 3ІяЧюцюЮэgяЪя ‹3з 38я t3З 3жя¤ 33я k4® 3¶яЉ 3&lt;яхяћ 3‘яД 3I fj3Вяъя= 3| f|3Ѓ 3Э 3] 4[ 4ј 3„ 37 3¤ 3Х fh3R 3B fz3Жяфя± 3A 3ц 3Y 3ґ 3G 4Ј 3є 3` 3\ 4б fЏfp3Ця&gt; 3НяяW f–f‹3®я” 3б 33 3Є fЌ4о 3ё 3Љ 3a 3C 4L g’4 3¤ 3A 3цяЗ 3† 3њ 3‹яКя ’3Ґ 3С 3¦ 3бя v3ђ 3Є 3Н 3Х 3і 3х 3_ 3O fЌfЊ4ј 3^ 3o 38 3T 3ё 3v 3ђ 3ѓ 3~ 3щяf 3X 3Ё 3… f…fѓf—4Ё 3µ ft4Щ 36 3л 3Ў 3Z 3Щ 3њ 3p 3µ fЌf•3; 3_ fЋ3F 3чяНяйяT 3= 3b 3Y f‚3L 3h 3к 3« 3L 3Ќ fu4‰ fђ3ђ 3o 3Y f”ftfЏ3Њ fѓf•3K 3t 3Ћ 3Љ 3[ 3Є 3Г 3Р 3} f‚gi4° 3ґ 3Г 3’ 3® 3H 36 3Y f3ня_ 3H fy3цяX 3Z 3} 3‚ 3h 3фяЌ 3G 3~ 3ќ 3W 3X fx3f ftfp3b 3c 3I 3h 3s 3M 3Ї 3– 3Ѕ 3ьяC 3l 3Ё 3x 3[ fЋ3; 3V f–3фя 3E 3? 3Тямяr 3W 3: 3O 3f 3М 3a 3v 3z 3– 3w fnfЃfw3ЗяКя”я¤яВяАяГяея 3аяєяЯя u3E fЉfЃ3кяйяця {fp3мяфядя Ѓfo3ЧяЭяЇяПяКя m3ОяОяЫякя Џf‰3ыя m3ЖяЭяЙяеятя m3няУя¶яґяЎяФяГяЗя‘я5я‘ятя€я l3Ћя‘я‚яєяаяyя§яхяµябя¦яюяЖяОяЯяdяя ‰3јяjя©юКя Pя o3кяUя‘яєя €fi3ЙяАя ‚fz3ыяТяИяўяея p3ЇяCя‡яИяїяsя@яГяxяІя«яjя…я’яѓя­яЎя«я©яїяќяЂяўяmяђяџя‰я‘я}яpяяYяјяqя dяoя|яояљяXя{яќяєя|яfя‘я‚яЈяnя я|яmяsяZя‡я{я6яPяzяxя?яvяpя|яxяQя]яkяЗяїяЊяiя]я—я‚яhя–я‚я¤я”я}яgя]яzяeяЎяHяxяaя^я¦яVя7яoя Nяѓяtяgяћя™яµяЮяЖя¬я—я·яЁяјяЯяґяТяХяЪяНяХя o3™яляЮяdя¦яцяҐяћяСя¶яXя‹я я…я€яМя’я„яВя–я‚я”я«яњяяјя~яЉя›яЇяzя„яgя“я¦яsяoя Gя„яѕяeяЁяЋямяµяУяНя¦яЁя”я”я„яyя«я]яkяџяЕяzя= 3ЧяЛя ^я•я’я ~3”яМяeя f{3мяЫя}я n3±яіяeя’я q3Фя¦яКя!3БяЗя’яЙяшя!3–я‚я x3Ыяёя°яДяХя“я m3ВяЏяІяЅяЋяГяpя k3јявяСяvящямя i3Ќяжя©яЊяѓяњяxя‹я Ђ3Њя €3`я®яЄяrяНяОяЁя—яія»ядя‹яыя 3я {3«яШю8я Ѓ3· 3†яМяd 3Џя bя o3Уя4я4я r3w 3ПяІ 3ДююХяM 3ЬяћяK 35 3|яьяM 3RяЎяѓяgяъяџ 3ьяуя –3аямяьяjяяО 3џяЉяj 3Jя]ю‡яё 4Хяt fЋ5Ч 3Yяaя¦ 3‹я 5яЇ 3ч 3tя†яИ 3»я Iюбю‰ 3йяeяY 3Ф 3h 3&gt; fm4Ј fHяJ 3цяцюџяu 3q 3Q 3чя›ячяјя {3Ѓ 3† fi3”яшя ’3йягя ‡3d 3N 3№я m4• 3ЌяляP 3Няd 3шю PяЙю‹я xgzfg6— 3дэМ 33 4Щяќ 3ј 4ў 3I fz3Q 3Рю‹юeя 3я›яAяі 3б 3b 3} 3u 3| 3М 3N 3ыя¤я …3з 3Ў 3L 3ЖяXя IяUя Ќf†3мяj 3ЩяНяЯя ”f–4P 3J 3Ё f‘fi3Ф 3L 4h 3ђ 3v 3o 3СяX 3ў 3©я UяXяgяђяuяяc 3• f|3‰ 3бя©яР 4dю eяq 4N 3ію¦ 4| 4S fVя i3jя?яv f‰4ЭяДяф 38 3З+я‰ 3КябяҐящяџ 3ґ 3v 3Е 3j 3Пя?я 3Ѓ 3ЧяЈя§ f€fw3Їя tf{3» 3!4Б 3‰ 3‘ f‰3єя•яДяЉя–я‡яЗя „3Љ 3Л 36 3V 3ъя4 fif„3џ 3_ 3¦ 3u 3C 3СяляЕя^ fmfzfr3w 3A 36 3Фя ’3Ђягяjя |gy3§ 3Љ 3џяђяi 3? 3Mя† 3уюТ 3НюA 4e 3ћ 3`я ~4Ђ f—4Уяї fѓ3А 4а 3З 3вя: 3µяЈя u3Ъя„ 3СяїяЫяќяУюЋяB 3‚ 3b fyf‘3ѕяD 3И 3Є 3№яI 3В 3Дяњя s3E 3|яFяаяC 3чяжяё f€3”яЕяе 3Q fЋ3yяN fЋfЃ39я|яЮ 3Ря!3ОяfяЌ 3kяШяNяР 3L 3Ћ 3» 3° 3V 3V 3¶ f†f|3Щя …4ќ 3· 3Ая`яOя hfWя w3зяe 3u 3n 3: fz3ёяўяыя ‚3P 3m 3Ћ 3E f‚3‰яеяВя ‹3Ия5 35 f„3‚я}яћя {3юяK fw33 3юяйя j3сяаяоя ‹f€3; fj3{ 3\ fЊ3ЄяЫяјя ЏfЏf—fz3ояТящяюя o3ця hft3Ъячяхя Ђfmf†3Уя ѓf€3| fђ3D 3щя9 34 f’fk3сяЯя {fЊf{fhf:$3 Џf‹fmf‘3_ 3` 3&lt; f–3g f†3b ffЌff}f}fpf|fhflf}flfqfЌfЌ3*яe 3u 3Y fЌfЌ3j 3@ 3N fЋ3Y f‹f”f‚f~fyf”3? fѓf}f33 f†f–f„fx3уяG 3W f{3: fzfu3юя ofђ3I 3H f—f„fhf3юя {fyf‘fЉ3: 38 fЂfvfk3юя kfmfnfx3эя “3шя m3ия ‚fh3юя g3мяся k3тяюяЭятяфяЁяj 3Фя i3Йяфяюячявяоя q3юяГя ‹3жя!3ря t3кяъяжя ~fj3тяОяБяляъяЯяЩяєяля }3ъя ifj3ля †3щя4 fofrfѓfpfhfѓ3хя }3Ря tfj3щямяняояыяЛятяЪящякя n3х+ямя }3ья y3*я z3Ся t3юя }3кя7 3щя Џfmf‰fk3V f“3Ню n3&gt; 3ця&gt; 3тяЁ 3зя&gt; 3І 3Pяe 3„я Ѓ3E 3ья ‹3юя‹ 3йяH f”f~3X f–3‘я –3Ѓяэя ‘fЋ3пядяияЮяd 3№яня Џ3†я €f–3уяi 3ая Ћfp3; fofg3*я nfЉ3D fo36 3јя …fo3кя €f|fhf‡3Хявя z3L fmf“3юя f}f3[ 3&gt; 3дяиячя tfkfsf€fx3щя ~f“fђ3ья 3ея †3сяОяйя u3ыя ‚f{ffgfl3Ця jfx3A f†fs3жячя n3Q 3T f•f‚fi3щяля sfђ3` 3A fn3аяЄя kfЉ3X f†fЃfЉf}3эя; 3? 3H f‚3хя |f”3M f‘fgf~fq3ья kfz3Фяьясятясяжя!36 f…fw3тя!3пя `"3 qfђ3тя }3*яья ‡ft3C f†3= f}fxfzfxf~fђfЂf‘fzftfѓfsf’3ця rfyfyf„f{f•fѓfi3фяня hf…fw3F fЋ3юя ufsf|fofif‚3ЫяЭяЭя!3ыя fmfjfpfwfqfm3ця H"3 ‚3ьяъя gfЂ37 fzf‰3: fx3ФяЧячя8 36 fђ3p f’f}3ъяЪяия j3ияуяеяшядя {f~3эяуямяшя mfyf‹fЂf‰fЋfЉf‰fzfg3*ядяйяЬяЫяая j3кя tfwfm3? f{fo3ьяЯяПяця }f“fkfq3^ f‰3мя†ядя&gt; fЃ3ляфя ”f‹ft3кячяЬя xfЊ3ояряйя mfj3ъя }frfmfpfmfk3фяйяля pfofuftfr3фя n3эя i3СявяхяЯя sfifk3Ъяаягяюя €fp3фящя ="3чящя rfn3щя!3чянядяия g3зя jfjflfgfnfm3щячя 8"3ю+яэятяля w3ъя zfl3эяаяЪятя g3фяЫяЭяляыяйямягянянячяьяэяцяфямяоятя h3фя k3чяюящя j3Эягяцяпяхяцячяъяшяуя o3шяряряыяшятяняья q3ьящя ofnfgfi3ся qfo3тяУяЩяшяиягяЩяйяия k3юя p3ья gf3Ъя …fmf~fi3ыящяиязяюяэяюяця fyfhfof‹ftfѓ3*я ofЏ3юя: f~fw3пя y3ья Ќf3чя •fvfЃ3R f}ff}frf}f}fwffufm3цясяэяГяья hf€3A 3U 3O 3C 3= 3юя ‹3= f‚3T 3ыя y3A fjfjf‘f|3X 3юя t36 fpf{fsf{3ья!3 x3жяоящячятя |f–fѓfrfwfj3ыяэяйядяТя o3фя h3E fЋ3эя jf—fy3юяеяЯяДяыя xfr3эящятяняия n3ъя h3Ьячяуяья h3ляЪяЩякяюящяЪяхя lfrfg3Щязямяжяыяыяляьяця rfxfm3рявяья :"3ряояпяляЬязятяцямяоядяряэятяияШяияыя p3мящя w3ця 7"3 w3щ+яюя tfЊfЉf€fofmfufvfrfF"3 ‚f}fkfp3э+я |fmf}fЋfxf’fkflf“f|fzf|3C fЋf…f‹f€3ъя yfg3юя gfxfЌf~f€3; fђf‚f|f‹33 f’3E 3H f’fvf—fЃfЏf‰f‰3@ 39 fђf€f‡frfhfkfrf–fЌf‹fxf€f}f|f~f|fwf€f„f‹fЃfv3уя s3X ftf‹ff‡f„f–3@ 34 3*я u3ояця p3&gt; fwf€3ья i3эя vff|fsf}fnfh3нящя kfuflfv3кя n3пя l3ья o3ья s3юя!3 ifl3ця mfifw3ся rfmf~flfn3ЭячяШязядяфяоя i3бя s3“яHяш f’4|яГюСя\ 4z 3™я®я Ђ3X 3A 3“яtяM 3l f†3Ья3 3аяџя‹яB 3: 3Дя r3уяЙяe 3МяҐя {ff}3дяmя!3F fj3 яpя u3ё ftf|3P 3D fm3еяля “3ояЙязя ‡3S f…3пя ЏfЋ3щяЫя rf‹f‘f‡3дяРяуя!3 }3ея ufЉfyfi3Ыягя g3ВяЪя rf–f|fnfsfЂ3оя m3ьямяця!3 pfk3Шя hfnfmf{fnfgfr3эя wfh3фягячя wfy3лясясяця z35 fkf€3E 3G fyfxffflfs3пяхяЭяЩя g3ря u3л-я w3эяэя sf}fo3*я „f„fsf”fyfkfЃ3пяюяр+яэя ifrf}fy3щя ~3ыядяхярявя q3юя jfjf‰fifoflfofjfuf’f}fzfЃf3ъя mfsfnfk3мяъя kfh3эяыя ofkfjfkfsfnfyf{fjfifgfjfk3эя {fn3*я!3 n3ья }fuf3щяS 3ня= 3ря }fЊ3ся –3*я Љfrfqf…f‘fЂffmf’f{fђfuf{fђfyf’37 34 frfuf“f†fkflfnfifЉflfЂ3ыя rffxf;"3жяТя {f‡fЃfl3рялярядяюя xflfѓf–f•fyfqf…fgfflfuf‘3ыяляаяляюяюяъяюя j3ояЮяЮявяря p3*я ~fЏfv3лячязяЭяця kfkfn3*я pfl3цяэя jfnf{f‡fЊ3Ся‚я p3*я= fy3&lt; 38 f„fxfx3ияйягямяэя }3@ 3&lt; 38 3d 37 3? 3ияІяuяX gwh=я_юВя —4‚ 3няћяая• 34 feя}я o3u"3 Њ3  3мяyя w3r fk3мя „fjf…3_ fm3Цяфя‚ 3] 3Эя g3Ияq 3W 3ЖяЕя |fxfo3вя Ќ3E fЌfofr3юяБязяЕяняi 3] 38 f3; 34 3Ая№ядя g3йя 3ля`я‰ 3оятя®я8 3Њ fmft3ДятятяхяРя Ѓ3? 3R frfof5"3вятя {f{fЂf}3ТяЫяШяПяГяпя9 3*яюя o3ыяЫяґяжя ‰ffѓ3чяЮя p3шяняЫяпяЦящятя lfh3зятяоя tft3Яя xfЉ34 fn3ъ+я Ћflfi3ея ѓf~fq3Ьяжяэяэяхяъя Џf‹f…f~fwf~fm3щящя zfpf‚f‚fЂ3ся i3ыя ’f…f‹3§я Ћfi3G fi37 3Юяi 3вя8 f‡f–3Y f•fs3зя= 3G 3a 3N 3U fofsfzffgf„f„fofЂf3сяуя rf3АяэяЬ f–3џяІя9 33 ff‚3мя •3m flfs3Ся&lt; fЂfЌf‰3фяЫя x3ё fђ3КяЩяляt f“39 3Дяля xf…f’f†f~f‚fyf~3зяV 3щяp 3ХяA 3–яiяЎ 3Мя ђ3Ђ 3± fEя s3шя} 3зя6 3г 3`я }3№я6 f‡3m fo3: 3йя!3o 3ёя —fЌ3жя 5"3Ця ‚3Тякягя |f‹39 3Нячя ‹f†3; fЌfp3ия ‘3пя rf‚3ыя k3&lt; 3юя if€3Шя? fkf~3ляняю+я mfu3тя ‚3ияаячя pfЏ3Ъяея p3ця ‚3ся g3тя gf†fgfif€3щя h3сяшя s3юявя ѓ3ся €3хя jfv3шя wfzfkft3ря vfh3юя vfpfyfx3щя 9"3 ifvfnfnfwfrf‚3ьяь+яья rfl3*ячя g3юяюя r3ыя mfpflfqfnfqfrfm3*я n3юя ifjfkfjfj3ыяыя g3ъяэя hfi3юя jfmfnfnflflfnfjfififkfkfj3ыя!3 gfhfifififjfgfh3юя ifgf5"3 hfhfg3эя hfgfifg3,я gfhfgfgfg3*я)3 4&amp;3*я#3 4$3,я'3</t>
  </si>
  <si>
    <t>RI*F S;!3WAVEfmt †C"3 gfgfw^!3 UV!3 hfv3dataь:!3ъя l3ыя o3чя j3хя s3ыя m3ря l3фя w3ыя p3сяцяжя 3уя u3эя 3зяЇяYяѕя…яя Eя @я~яЦяг 3Цящя Ђfu5N 3t 3т 4– 6х 4N 5Ё 56 5† 6Ч 6Ь 5!4— 6V 4N fЉ6j 3ію»ю :яКюRя Zяѕэ&gt;юљяpэ Aюdэ*юсь aэ±юrыЖэйэ ZьЃэть¶ыФыEю±ь LьвюJя—я7яю©я яv 3~ fЉ4o 4X 4Ы 4с 4D 4о 3@ 5њ 54 4 f‰6Ў 6є 4  gvg—g}4w g†gt4H g’37 3п 4{ f…3Ф 3ЙяГю\ 3їюJю„эЌэЇэсэаюыяpяҐю я« 3Тя¶ 3Х g–4„ 3з 3Б 3Ё 34 3Ї 3c 4и 4є 4Ў 5] 5; 4Ґ 4™ g4с 4д 48 5¦ gk4R 4Г 3z 3G 3j fx39 3мяgя;юVюБю 5юTю‹ю¶юXю &lt;юkюжэoю 7юOюююlю[юdюђюVю?яЮюsяI 3Ня›яЄяS"3 ‚3p fx36 3Ї 3’ 3j 3· 3f 4T 4K 4ч f“4¤ 3Р 3џ f~3ъяйяжя •3жя m3K 3«яНяфяшя w3ЙяњяЂя&lt;яCяzяlяІяаяљяZяtя~я яГяняпяL 3D 3g 3d fЃf…3Ї frgЋ4X gp5ж 4и 4ч 46 hm55 5@ 5i 5п gh‡5л 4ф 4!5 w5ў 5z 5¬ 5л 5 h•5» 4Ф 4ы 4ґ 48 5: 5у 4ф 4“ 4N 4` 4“ gi5Т 4№ 4Ь 4М 4Б 4X g}4р 3м 3A 4к 3Ў 3‚ 3o 3v 3ФяЃяЊя 5яuюжю\яПю}юVюрэчэЦэ‘эчэцэыэЪэИэьэSюѕэЅэ‡э”э 6юfэЋэпэXэ`эoэVэ TэеьеьИь Yэ&lt;э\э Xэdэ?э@эiэЂэWэsэАэҐэ—эXэiэ?эlэ№эиэ Mю ?юњэ~эаэзэ·э Yюцэ€юНюsю SюFю}юЩю&lt;я­юFя Qя­яzяяхяg 3r 3P 3q 3y 4C 4&gt; 4F 4T 4Z 4‡ 4и gj5Т 4i gl4Ґ 4н fu4у 3р 3: 4Ю 3Э 3@ 4И 3¦ 3Г 3Ё 3 3T 3ж 3ї 3Ђ 3l 3r 3І 3з f‘gђgrg—4р fj4b gЂg’4™ 4№ gs4в fs4я 33 4в 3s 48 g‡4V 4П 3@ 3e 3ы 3И 3ћ 3† 3У 3Щ 3К 3› f3F 3№ 3c 3ґ 3i 3‰ 3Ї 3| 3В 3г 3а 3‡ 3Щ 3Г 3m 3y 3e 3· ff…3 fђ3b 3r f…3ия r3щя sfmf“fЊ3J 3A f•3o 3l f}36 3F 3џ 3¶ 3z 3џ fЋ4V gr4{ 4Џ gЃ4Ґ 4® 4К gr5  4з 4Н 4{ 4Ѕ 4љ 4ї 4» 4‡ 4Њ 4} 4t g…4&gt; g‡4Щ 3Я fpgk4Й 3r 3v 3h 3Ћ 3] 3хя jfЊ3вяля†яUяTялюCяью \яCянюьюБю±ю‹ю°юѓюLюўю’юЇю’юDю&gt;ю LюFю›юSю_ю¶юрюSю WюNю\ю;ю[ю Zю„юfю [ю cю3ю _юцэ5юjю]юxю ^ю‹юlю ;югэcюpюYю]юњюҐюњю‚юЇюаюЏюэю№юію ]я=яtя™я :яtяЖяХяЖя nfw3Гяљябя ”f€3ёяея w3Ся nf†f‰3] 3ляЖяf 3L 3вя= 3† f}3U 3[ 3e 3S 34 3‚ 3Ё f‹3^ 3[ 3„ 3Ђ 3^ 3e fx4» 3m 3» f–4Е 3` 3Ц 3Ь 3Г 3| 3„ 3Ю 3Ё 3љ 3J 3® 3Ж 3ѕ 3« 3ј 3µ 3f 3‚ 3я 3’ 3l 3Њ 3ћ 3Щ 3° 3“ 3й 3ь 3¦ 3™ 3ґ 3К 3¦ 3T 3g 3о 3° 3i 3® 3ћ 3і fѓ3` 3џ 3x 3F 3{ 3Z 3Љ f„3o 3r 3z 3\ 3@ 3ў 3ђ 3X 3? 3] 3X fЊfђ3M 3b 3C fvfk3&lt; 3еяия&lt; 3] fpfЊfЉ3эя@ 3иякя5 37 fj3хя „3Q 3гя Њ3C fr3] 3– 3V f}3¤ 3@ 3l 3ц 3° 3‚ 3Є 3ѕ 3М 3Я 3№ 3µ 3ј 3Э 3К 3Н 3Ќ f}4Щ 3“ 3Е 3ы 3ђ 3Е 3Ы 3ђ 3s 3Ж 3Ћ 3u 3w 3› 3 3‹ fЏ3J 3J f”f‡3Жя8 3h 3Ёяя jf|3”яґя†яћяєяBя9я…я`яBя&lt;я6яжю MяLя UящюІю&lt;я ]яШюГючюэю Aяµюёю Dя»ю}ю·ювюrюjю`ю[юfю LюMюЎюVю [юgюvюwюhюtюѓюhюЊю]ю{юmюЩюјюФюьювюЕю Jя dя&gt;я6яdяЏяdяfяҐяМяqяЭяья kfuftfv38 fyfr3W 3[ f‰3y 3‰ 3q 3[ 3Ў 3Е 3‰ 3’ 3М 3ї 3Н 3¶ 3Ј 3Ц 3ј 3ї 3џ 3Ж 3ъ 3} 3Н 3ш 3Ђ 3Ж 3° 3» 3¬ 3‡ 3­ 3У 3М 3’ 3A 3Ґ 3j 37 3« 3c 3Z 3ў fЉ3дя[ f€fЌ3Q 3K fѓ3l fnfЋ3A 3@ 3C 3Z f3` fЃ3= f‡3Юяыя 3l 3 3R f‹f–3l 3°я№я7 fofЊf‘f{3o 35 ff’35 fr3Шяляj fx39 3В 3в fy3уят 3Ѓ 3‹ 3Д 3l 3µ 3µ 3Њ 3s 3щ 3c fz3„ fЂ4~ f‚3e 4ђ 3”яТящэK 5“ 3в 5} 3m 3Iя3э`яk 4] g”5}я€ 4|ю Kя» g„4uю Oь •3Пюљ 5F 5Ќ 4_ 4ЗюsэLю Wюl 4PюJяsюУ fEюёя‰яЬэ LяЩ 3м 5ќ 3Ђ h†fn3§яЏьЌяK 3цэ Oяo fk5€ 3] 3Ц 4Љ 5XяЮяью Uяћ fbюёяy 3Бя 3[ 4M 4®яџяFюЇю ю cюvяВ 3Їя‘ю·я _я№юњя AяyяSя Ѓ3Йяlюќюrэ &lt;ю vf–4їяЯя ђ3­я¤ 3U 3ѕ 3Їя°яn 3А 3€ 3јяK 3H 3Н fђgpg…4Њ 3ђ 3З fЂ4b gЋ4р 3h 3P 3Х 3т 3; gЌ4№ fi4ў fh4Ї fђ3jяA 3®яW 3Й 3_эря°ю QюzюъяG 3њяс 43 7™ 5С 9­ 8m 8‡ 6e 4ґэхэ Yь Sюшэь 3и 4Щ 7w ;g ?ш ?м pj&gt;n &gt;Х ?Л &gt;8 Bє sw&gt;_ g6эК 6›яPы3ьђэґщ•ъRчирИл5ж @лkрмоGъ zl‹&lt;• :с 8ч :e :пяШш±т W*йдMл¤шц g€fNшЧпГлчм aын :Ё &gt;\ :Н 5н 3ешЛпYтЖт4шЈьЪюЋ 5М 3с 5‹эСюЭ 7У 6§ 6Й :ќ q7¶ 4ш 7M 6e kh&lt;o Aд &gt;ф :R &lt;` =н &lt;} ;X lz8[ ifju8Ь 5Hю Vыяь 9яґяФ 3П 3мю•эђъxщ›шАчьщћыtъЙъ VюНю ~3йюґэРыЋщ eч OхYуЉтясZтњсmс3п‹р TмNл Rщ“шЭ 3¤ 4Vяи 5] 5UяЭщїу™хIуУт Yэ¶ 8¦ :Ь lqBЙ Hн Hі TЗ _Ш \&lt; €|†“ЂnMa EЅ ;A 7› 8Ї 7‚ 5M AЇ x”9‡эХю ‡;g @i ?Э AL Hy g&gt;уc 3ќ ?ш 7n k?ь9юґ H”ы @е8уSьъ 4Ќф¶нbщ@я Qф ;ю Ђ&gt;Ґ 9» Fи syCT wЂ;· ;З &gt;М gBю ip‰@К 5Я tЊjJф Zф¦хћъЃ 8— 9;хєрeэ@хJф_эUчіх‡пдзъсъмTЭќЬ Dд…й¦нuк SнoшДюoц Oуpю: 9J qЏ&gt;с B4 ‚ЌN` E¶ :Юь&lt;юЪ 6  9I 7Л 7f ?Ё wo@ф r~Cm ?6 6Шю{я —f5ы ^у‹п¶у7ьыь 5эўыKъ‚ъ UшGх=ьџ 9a 9Щ hKяиыьц BтњпърЖхЕщuщры ђ3W 5d 6м g8© 8K 4љя Xя|юЈяU 3— 4ј 6s l„li9Ы 8E ;_ 8” 5Ц 5З 7B 8и j–lЋ7¬ 3рэ ZяЎ hp6… 5 4і 4R fHю —5Њ 8~ :Л &gt;° ?р :Г 7Ћ 5kю 6ы Iщ…ъіъ—щ Fц?ухф eшҐэ¶ 4Џ 4» 3–юјяcяьюSяию«яґ 4o 4™эАщ Mш ]х®х 6цтхDш?ыаь±э&lt;ювюѕю eяїю—ыtьПэфьeя4 5W f~5и 5— 6Q 8­ 9S :™ :Я 7єяјьtэ° 7ђ :X 9я 6” 4ќщЎчљфѕф Dч ‹3† :Г =№ |ЂRХ Џ…•vYЩ IФ 6^уюи“й8рSх~чих Uъ w8­ B№ E° ;‡ъ Bпхлvр”ч± ;R KM QЛ SЋ qMчўй;зкл bч­ :і tЋ?Ш 33ш[у ф?х‘фУщyъч 5њ 5РъяфGш x4уяOэ=ш FяW 5Ц &lt;[ :є gHяШыzшячD 3` ?к BЎ B­ qЊ&lt;А 8 5ЛьGыoюz fJю EщЁшмцжсьр Lу &lt;ъYяВ 8В mv:z 6хю|ъљчTцHыЛ 9“ Bn ux&gt;‘ 4гч @т KуlфўъJюmь€щєцSт«оЋм7нсодч‰ъЗыЌэею |gt4*яи 4Ґя Ђg†3“я w5¬ 6ђ hg6q 4њю­ю ’6№ ktl“8П 4kюѓэ ?ьKъ Bы Љ3v 6· 9Щ :ь iYь®ъзь n5O ;D &gt;O ?\ ?­ ? @ў rh=п ;О nђ;ъ &lt;Ђ ;° 9x 7 h€4Ц 4] 7n =ј AА @’ n|9› 5щ f‘fЂ5» 7э 8R omp•8  3jчѓъічМшы©ы6ю^чЇщ[цчц°чучЗч@ъыя— 6бэ`шпчЪцзш­юг 3¶ 4№ 4G k}8• 7Ё 5DэФш»щ§ыащIы¬ьръSъ &gt;ы 9ь&gt;ыЕъты†я Њ7  k9¶ :8 8Љ 5‰я 4эцьЕ 6‰ k–5™ющюT 3ё 3JяТюсю;яВяв 4V 6· 7« 5^яMь ZыЙш©ыЖь 5ъПшґъlэ” 3Ё 3Г gj9у :® 6  5r 3КяН 4В 4Љ 4§ 7Ђ j6• 3іяЉэ|яAякыЧюB 4Ь hy9А 8t 6И 7@ jv4”ю ?эЇэ UюЕюrюPюoэ€ю~ьЦэњэ z3Ля«юµяyэ Tяє 5Ъ 3ѕюbя cяµюшямэ pfЃ5h 4 3Z 5Ю 4щ 5s 5Ђ 68 3^ь5ъ;ьCяNэьщ 7я …8¤ g?ю¶ 4ј 6† 4ј 7сэFьр 8Й 6и 4Ї ;§ 8Б :Ќ ?ѕ kWюц ;o 3V 8‚ jgs;t 9¤х €5Ќ 8тъa nЏ;ЖяЖ ;Йьwщ&gt; jr6ћэ~ 4]я Yьщ 49ыѓыY 6‡ 8c 5џ 4іцЏх Fь &gt;ъ]шАь7ы€ъgь MьAюЕю ?ъIш3 fs5O 5П 8п 5bюПяёщRъйя&gt;ю bю” 7б 6ю 4Іь[чш ZэтэжяЯ 3Џьъэ»ыkы KщvчЖюE f{4 3Ыю @э _ьLэЈъrяЫэцэ®япюЃ 3“ 5ж 6*э‰эuыИыдю`яБ fVэ“ьЦэ o4_ :љ :{ n‘klf[я§юЫю= 4в 5– 86 9Щ 6¬яБэіь=ю… 4П 6„ 5• 45 gu5Ќю n3жэ^ 3GьаьГыцщqыѓьY 5 ы 4чPь t3Iьрш \ш Tчnш Vъmь OыmъоюU+эЊэГъЮьЦьчь!3j 3Х 4¤ 3ЏьlыB 3ш 5п 5© 5В lЉi|5} 7d iђ6й 4Фя»юA i•5 5ґ 4оя{юR g„5ы 6† jx4RяIяУю”ю —3Ш 3‡ 4@ 5` hPьёыУы DяЖя Њ4Ч 5ђ i“hx7П i‡7… 6њ 5ж 5k gj4’ 5д hЃ8џ 6O 4oяЧяO 5ћ 7є 9g 8? 7х 4  h–5» 4» 8‚ oj&gt;§ =P ;— 7З 5¤ 3W 4; 8G ;_ :_ ;Л 9† 86 5E 6Ґ 4_ 5Ь 8@ &lt;ш lђ:µ 8— 4люCю®ю` 4l 3ќ 7e is7ѓ 3a 3Vядэ €3= 4_ 3Nяµю Aэ¦щбшuъМыYы5ьЦъещyщвш ;ъЎыKыьчIцdх :ф Eх@чКчЂшЇш—щyыnь­ьђыVыуэPэ®ыyьdэNэ]ыєы SяJ 4U 3; 5w 5ъ 3&gt; fHянюйя= 5« 3ј 7&gt; 7H 5Ы 5±я€ 6льс 3ъ 3я lm7е 4А kj:Й 3~ 4Њ 9ґ 7W 5щ 4и fo5= 4t 7Ѓ 9{ k~:4 4э 6б 6~ 5О hpf_эЁьoя „69 4и f—5· 3› 5ь 6І 5ц 5ш f_ю ѓ3мя‹ 3С 3c 4bяДю&lt;яv 3‰ 3ҐюЏэФы`ю= 3t 4еюьoю …3_ 4n 5› 4Ія5яДяЅю© 3и 4G 49 f4яЄю« 3н 3Џ 3‚ 3· 4Ь g‰4V gm5ш 5| 6Е!4 5p 5ч 3v 3a 3† 4;яVэ\юFя»яЏ 3‚я‚яЧюуэPюЖьЏьйьэь Dь Uы‘ы BэTэ@э•э bэзь:эњьnэЇюЕь@э5э Dь GьйьЉюєэ»юљя… f€4ёя :эТь Jэляg 4є 5 4ѕ 3S 4A 3Ѕя” 3њ 4ѕ 4V 44 gu3є 3Ј 4f go4ЄяИ 3‚ 4я 4п gЋ46 3¬яЄяЌ 3u hq63 5љ 4гюsэїьць{эS 3B fr3pя Zющывьџю‰юЄ 3s 4‡яТ 3ПяWяјэEьpьѓэjю]ю Bюбю«юXэ·ю ]э &lt;ь}ьДэжь `эoэAэsюrюiэ…эЄэWюўэvэPьФэ!3Ќю? fGя@ю ЏfUэ 9ы‘ 6нюАя¦ kj5·ю¤ hЏho5Ь 4с 4† 7• iq6· 5g 8у hђ4– 9d 5\ 5Э 9У 6‡ 6Ц 7Ч 6¬ 5” g‚6¦ 7‡ 54 6и hf4К 4џ iЌ5† 5ю 4¬ iЊ6Й io4” g’3o 3Хя Wя›яk 3Ж 3эю‘эBю5эДэЌэ¤ьtюvэ3ьjю‹э7ьaэ DэЬь:э©юВэйь`эѕь Tюжюмэ–эуюцюdя= 3ЛюъэЪэ»ю;ю bя &lt;юyювэLю6яhюzю†я…юhю MюKю`эЁэЇэ &gt;юMя^яКюНюSюhэxэ Mюџэѕэ®яняЋю§юYюмьэьтэЊю m3ѕя`яdяOю =эSэИь ]ьМяњ 3Йя p3ЄяҐэ dяћязяTя ’3­ 4x 4] 4P h†5Ґ 3д 3f 4э 5© 5n 6o 6` 7ј 63 7Њ iѓ7В 6‘ 7T 7– 6p 7D 8 jl7‰ 6@ 8T kl6К 7q k€jx5 6N iЃ5ћ 5¬ 6« 5W 6!7Ў h—6Щ 6т 5G hq5X h—6Е 6б is6; 5Џ 4В 4C 5± 4; 5­ 5б 5ђ 5Д 5c 4: 4Џ 4k 3зя™ 3Ь 3П 3Н 3і fn4iяІяо 3в 3њя 3я Fю Mя?яљэqэЛэ Oэ«ьйьЙэДэ~э“э¤ьцыІь©этьLюВэ‘э BюSэ”ьbэWю Mю &gt;юAэ KэZюСэЏэИэїэ~ю =я Kю8ю–юuяЕю’э bю 4юЙэmяцюЖэqэнэ ;юЖэъэ4юОю^я :я’э NюКь™ь AюµьLэ§ 3B 4…ю4ь^э‘ю3ю 9ю±ю QюҐю„ 3џя€яВя ^я BяJ fЉf”3S 4EяЊю &gt;яИюЭю ‰g”h”hѓh—4x f”fu3ОяB 3Я f“3ё fЂ4f gvh‹5U 5Ф 4F 4T 3‡ 3— 4Г f{3Е 3‘ 5Н 5О 3p 3= 4ч fpg‘3Ё fђ5— 46 49 5Z 6Ё 5§ 3Ц 3д 4№ 4y 4® h–6!5ч 5‘ 64 iЉgj3ќ 3· 5І 5K guh‚6љ i•6А hy4O 3 3° f…5Й jx7K 6w 5Б 4Т 4› 4™ 4њ fEя6 h‹64 5Й 3ш 5y 4Ъ 4М 3… 3Тя&gt; 6х 3`эPюћ 4r 3‰яґяH gЂ5ёюzю ‚4§я_яЯю Uю\яБ 3ѕ 3‡юХя`юQюЌю  3бэбю 4яЊяЕю u3¬яЉя¶яDя :юhя…юэяё 3Чю Tяp 4Z 3Ъэ¦ьАэbюD 3¶э ]ящ 3Г 7‘чYя ^ю^ 7Cюa 5·сn 4Ѕ ?fшЕь _ьЬ 5™ш» 8хъё gEяДщ 6d 4FыЬъVыF 7‘ю7юџъбэ l4qыГэMьЃ 45 4Bъ@ gRювъХ 3ўяЬь{ h?юЯэKы „4аю 5Д 4FыT 3г*э 3cя^я 8ял 5мя·щ ‚5џэЏ 5Ю 4ѕэІ 3N 3®эЊ 4R 3™яDя‚ 3™ f&lt;юэюМю h4ћ 4МяИ 4ЪэВэ&gt; 4м 5Тю eяє 4tяYяІяМя› fђhp5ѓ g‡hNэХю‰ 4Й 4І 4€ 3Їя “3А 4Џ 4Ьяѕ 3l 3І g4” 3H 3r 49 5L iЊh3—юх 3х 5K 5q 5в 3Е gz5”я gr6А 6Ж 3– 3… 4ЦяEюQ 4і 4r 5ј g€hЃ4яз 3щ 5џ 3Ќя8юўяc 3ЪяЅ 4Mя …5И 6© 4ГяІ f‘fѓ4ґ 3џяOя*э›я €3X 3; 4Б 3ря– 5Ґ 3rюoяGя§ 5¦ 6І 4™ю 3эЊэ;юЬя ‘6@ fGяЂ 3ѓ 4ц 3@ 4Тюlэ ]юЅю FяЏя m3E 3}ю 3ю‘я? gr4[я€юKяИю€юЫэЛ 3P 5Lяѓэля] 5ќ 6[я DяA fp3Юю« 4} 3eюU 5ґэ mfu6P 3Е 5Z f…3€ 4[ hHя!5; 6Ѓя Rяё g~4` g“ft6В 4Xюј 4И 4U 3јяo 3‚ 4—яH 4и 3ЕяпюzяF g6я ^я fЂ3З 3¬ 3tьАюѓ 3ъьUъdыь f;!5эЭьЬье 3х g€gOъ•эoя;ю¤э YэТя¦я™юЕь»юAю Mюѓюќю WяҐя:ю›юJ 3Ѕя 6эUэўэѕэ¶ю Bя ‰3BюђьЛыSюпю @яЧьТь9яЫюЗэ‡ь Nю Pя Tюѕэwю·ю&gt;юyю TючюfюЬюђюИюџядю¶южюГяіюЙюРю GяЃяјяУяiяІя*эJю|я”я Ђ4‚яFюЛя 7яЏюРяUюuюg 3Nя 5яэю \юЮя‰я q3Tяъ 3t 3† 3M 3Ыюeя? 3^яК fo4Ї 3O 4« 3t gЊ3Х 3Ё 3K gђg~h€4q 4@ 5Q gv4° g†5Б 4U 5… 4Д 4Ќ 5r 5„ 5} 4Y 4“ 5ё 5„ 5† 5Ъ 5  5F hp6ъ 4Л 4р 4r 5° 5“ 5Y 5ќ 4U 5V 4п 3e 3¶ 4ь hxhu4у gЋ4` 4§ gjg”g”5џ"4 ‘g‚gЌhЉh{grgm4}яc 4› 4т f}43 4б 4Ћ 34 3c f‚5@ 5ф 3dя— 3з 3n 4s 3[яW 3} gxhЊ4© 3Ая@я w3чя4 gЋ4ня“ 3a 3Жяr 3Љя«яBяU 3ЛяЖяdя я±я –4вю–эђя_ячя°ю cюЄя`я\я†ю GэҐя Sяую Iя 7я±я™юыэ LюЫю“я IяeяWяѓю Oю†эЬэgюwяµю&lt;я©ю Hю“юMюMю Aю Nюѓю Dя 6я*эЯэЁюUюCю·юЩю 7ю&lt;юNюїюШэWю8ю“ю юKю—юЙю•я я‹ю Mя [яўюjя &lt;юЭю; 3ляуяхяЃ+я w3] 3­ f~3i 3З 3И 3_я” gn4H 4Ы 4т 3l gЏ4b 4» 4R 4n 4Т 4F h}5и 3‰ 4П 4E hk5Ч 4Ф 4o 4Г 4Л 4S 4D 5Q 5 4¦ 4e 4d 4E 5‡ 4к f“4N hkhz4s 3є 4&gt; g€3Ъ 3Г 3I gЉ4a 3{ 3э fЏ4K 4g 3Dя† 3‰я™ 3Ї 4С fBяЎ 4ўя4яая Ђ37 3n hЂ4¶ 3[я‰юЭя Fя_я YяЩюмяR 3I f—gUя&gt;я]яб 3… 3: 4ЬюЫя@ 4’ 4e 3:ю j3д 4„ 5‚ 5щьK 3ЎяЗюцяGю›яm 3Зэoю VяћяБьбюЪ+юmяTяR f€f†3J f’f‚3^яzяРяЭяая ‡f—35 3пяШяАяНя©я3 3няF 3C 3шя9 f€3—яФя i3› 3З f|3f f†3u 3Ся‡яB 3d 3є 3У 3Ђ 3‡ 3m fif–f}37 3€ 3} 3Э 3Б 3« 3” 3t 3ця —3e 3~ 3’ 3Д 3© 3Ю 3Б 3v 3цядяO 3¦ 3Ј 3° 3® 3ќ 3X 3c 3&gt; frf~3© 3¬ 3Ѕ 3| fk37 3p 3N fЋf~3X 3П 3Н 3d f–3ЬяN 3F 3Y fђ3L 3F fu4тяЋ 3ёя\ 3Эя• 3ѓ f”3„ 3] 3 38 3бя pfЂf‹3u 3W 3; 3M 3Џ f3йяИясяшяF 33 3K fy3] flfq3Ўя •3зяRяе 3аяn 3qя›яі 3ИяПяA 3lячя} 3kяe 3Yя{ 3Бя&lt; 3кяѕяУяпя™яфя›яСя u3ляБяI 3ЕяЗяZя h3ЫяыяЬяИя™яся —3тяbя hfk3Жя Љ3БяТя Њ3њя q3КяЕяЇя 3эякяyя k3ъя Ќ3jяРя ѓf”3tяиязя g3ЪяЪяъя t3аяйя „f3Яяоя†яЬяьяҐяP 37 3‹ 3= 3Юясяйя kf}3эя 3@ 3C 3d f‰f‘fr3¬яh f–fw3f 3бяЅ 3Ся… 35 3чяT 3U 3C 3Й 3вяЗ 3юяѓ f’f—3[ 3P 3G 3Ђ f3L fr3B 3Y 3&gt; f‹fy3ля‡ fsfgfufЉ3B 3J 3эя u3шяЏ 3кя ”3»яъя; fЉfЋ3Дяхя Ћ3Ѕяu 3—яЧя`яья zfj3ыятяыяЫяАя …3АяUя ‚3Ђ fЌ3Їя™яёяђяџя{я&gt;яя —3¶яqяPя–яҐяДяґя†я¤я Ќ3ЩяЂяoя§яђя¦ягяЙяґяіяцяЏяяUякя–яДяьяэяq 3ЙяГя†ян+я°яP 3хя ЌfЂ3ЕяІяУя¬яХяўяся3 3гяДяљябя {3µяјя {3іяZ 3B 3wюN 5Щэ@ glfBяz g:юС 4‘я ”3] 3¶я ѓ3€ 3Љя… 39 3Ня¤ 3‹яљ 3йяґ 3Бя w4µ 3шю F!6э­ 5Ќю 3U 3люu 3ъя {fЂ3p 3Qяo 3TюT g&gt;яї 3Yя• 3І 3UюЌ 6ны[ 6IюA 3Є 3бюќ 4ІюҐ 4Ію&gt; 4SяW 3Щяоюr 5Ць¤ 7нюn 5&gt;юкяd 4®ьN 8У 66 fu:й 6r hlg‘nyl7я }4… 5зя‰ 5_ 4р 3{ц•ы Hюoь UчЙю 3яфь§ч¦ы;шiщxцfьГюЩъИьЎ 8  6ЏьЉю¦ы± iXэEэZыЖ 5sь ‚5Х 6\ ?!7 ?щWяє qЊ35 fi9§ A` 5Ї 5йюg 5ц 9Л 9Тщo 5Ґ =J l=ы§щІъчш­щxы8ю” 4DэЕъ6ьlш Lьw 4&lt;я7эhюn jr7Ѕэмэ ’4µыn 4ђ l—gi5F r„8pчTш!9y 9№яu 4и :‰!&lt; 7мю [ьеы я°ъьшdыkюЕщбцyх OщЂыјэмюY 6_ l„4~ 5” 6¬яВюц fu6M 3шяЯ jilq4КяE 5ч 9ъ jtg3 4j 7Г 8Ќ 9э k–9ш 8П 3‘эЭяН 4@я¤щ—щЭяэ gcяLю ^ю[ьmы‹юb 4i 3aюsэ ьДъ*щ{ьO fђ3Ђя ‰5v 8р 5ўюхэКюАяУ 3f 7д k|8Г 7T 4дэе 3y 7K 8h 6е 4R 5Ґ 3‘ю 7ьџыnщцъОэ”я Fюћы`юkь…ш 6ъSю y3Ѕя &lt;э’юВяfя;э @эUяx 3З 3Д 5ш 5џ 46 4а 4!3шя§ 38 6U 6С 4»я]я –h€fpf„3« 5p 6[ 6Љ 6Ч 7њ 5І 3о 3Н 3Ґ 4R 5s 4Љ 5µ 4я 4g 5» 5r gЂ4I h~5E 3Ря •3О 3“яrюљю©ю ZюЩэ·эюАюЕэDэвэиэ_я 3МяЊяF 36 4f 3ьюџюЉяхяhя }3F 3ЉяҐю›юЎэ9юАэ:яaю{э‘ю 3Ѓя Kяiяљ 3¬ fXяж 3Ј fk4Љ f‘3”яПю¶ю ;яш fo3эяf 3] 3*ю™ю JяwяЖя©я“яЯяє 3– 3ђ 3“ fЋ4? 5№ 3; 3ьюљю•ю Iя &lt;янюZ 3§ю3ь ]ь 6э…эТэфю† 4x 5к 4µ fgѓ3&lt; 3ю 3Н hЏ5f 5е g‹6» gy3F 3А 3ћя€я‚ 4: 6ч h–4U f@я¦яIя Њ3h 5” i~5hя§ю€юяюпэбэKю TяM 3®я o3ою 4юЦэFэ [юою; 3^ f7я EэјьQьУьhь [юця Ќ3O 3‹я f;яФю8яЊяЊ 3™ 3в fyf\яµя} f„3ЯяЛ 3№ fЃ3]яф 3@ 4Л 4ўяµяЋя« 3Ц fr4њ 4Ѕ 4± 3= fs3ЄяРя“я h3Р 3Ѕ 3д 3џ 3Ц 3їю ?я w3„ fЊ3m 4И 4Џ 5° fgf3i 3в f…3· 4в 4d 5в h•5р 3Ь 3\ 3Ї 39 5ю g“6Ћ 5ѕ g4љя€ frg{4M 5Y 6} 5r 4С gi5­яею wgѓ4Ѕ 3C 4R h€5ІяJя\ю|я Gя vf~5ц 4E 4L 3Aяћюqю’ю JяkяҐю VяћюЉюБэ 6эlь `эыь \э aювюYэ»ьµь_ь Oьдь?ю ?юАьhэ CюДэWь°ь‰э эjэ”эЋэЄэSэwэЛькьїэёюяю„я –3b g37 3Вяf 4] 4„ g’5m h‰gq4± fuf_яiяБюЛя: 3ф f‡4“ h„5U 4¤ 4V g|4µ 4Ы 3ѕ 3S 4‹ 4V 3сяЦ 4Њ 3бюY 4€ 3o 4V 3Дяўяуя“ю’ 3~яІяbюh 3sя…яЉю–яоя Љ4Bэ „fЋ7FюY 4gяR 4ѕ"4 ’3lяЎ 3њюh f“3wя[ f”3X hy3‰я~ 3Ця†яУ g—3„ 3э 4h 5{ 5C f}i”3в 5В 3s 4ґ 4т iЋ5&lt; 4ї 4е 4с 3— 3Џ 4Ёя›я j5з 4a 5ЕяџяKя© f”3љ 4q 4ъ 6J 5€ 4v 4Ую9 5V 3Њ 6і 3н h5± g…3бятэ® 3пю‘я–эЪюью ^ю‹ьИь6ьfэQэнэ€э^эcэЏыѓьЃыдь HьLюОьЅьдыkэ;эґэ 7яWю LюЇэ»ю®юЃю CяЏ f7я№ 3; 5Ђ 5= g„3[ 3: 3ею Kяѕ 4Щ gr5г gЉgl3: 3¬ 4бя” fxh‘6„ 4Ъя VяЛ 3vяµюпя 5з 56 f–6Ф 3Ќю¦ 3e gn5ряВ 45 7я 3¤яЗ 3‘ 4о 3ќял 4э 3G h‰4’ 3ЫюГюјэРюЛэўя[ 4Ё fw3юiэ Vю 3эNюЌэѓэAя CяЛюTюyю9юИэ Sэ‚ь: 3Џ 3ѓяфыйьAэaы QьZэ‘ 3фя‹ 5С 6r i€kr6с 5U 6А 58 4oя }3Ж 7° 8» =х Aв A« :F 3љ 3¬ 3›ядюе 4Й 6Бяwш“шзъ ^ь 8э 5ь„эk 6ь 9L nЃ8Ж h…5т i„8№ясы6чМыn 7–я 7ы @яФ 3њяРю ђlf?џ 9BяAь§хецПь»юќэиытш6шёэЛ 7С 5·ы_хгс@тАц &lt;ю zh[юсшгхкц*ыЄяг 3Р 5H 4чю»ю m4b 7B 6’ 4Ю 3µ 6v 8@ 9@ &lt;ж &gt;Р &gt;Q &lt;r 9€ 6©юэыСъ–ьЬь&lt; 3™ 63 8Ї 6ќ fh3I 4= 5о 7Ы!; &lt;L l’9Ў 9ў :р ;х &lt;L =й &gt;р &gt;k @e AЖ @И &lt;e heьЁъ¬ч:ч Iшwч‚цЂфЩт [уЖф =хПфжф Fф 7уЅуkуPуІрЭрЉфpч aьcяHю”ыЈч MцFчTъmюO 4Й 4= 4ьяЖэЭю Nя 4яxю­ю WяJю eюЊю Fя XяZя‚я h3О 38 4кюeюЕы9ъ{э Lэ6 f”5ґ 7i :х :‹ ;Њ &lt;® =ц &gt;А &gt;P s‹CЃ DЯ CP BT B4 @[ @Е &gt;Є o‹=K &lt;§ &lt;ь 9¦ 6@ 6р 6^ 4\ 4o 3m 3€ f:яЋэVьлъ [ыmырьQюd 3Њ 34 6† 5i 5™ 4Б 3Ж 3Я ht6V 5ѕ 6ј 7і 5ѕ 3ня„ 3Рюyюію 6юБь«ьЯьгь•ы bъ Mъ Oщуш ;щьшјщ6шРшѓшNъ Hы•ьђэ¦яИя TяҐяЫя&gt; 4ќ 5 5‘ 6ц 6є 6М hЋ5¦ 4A 3НюPяB 3Е 4Ї 3з 3^ 4¶ 4П 3П 3§ 4ј 3qяп 4О 4ѕ hm3ёяЛ 3wя k3Чю f4Д 5‡ 4з h}3AяЎяv 4з 4дя eю„юеь®ы{ьyь ;ю OюќюC fCяёю \ю=э`ьmэ Nю AяJяwя MянюШэ[югю &lt;я^юiяў*юэHэnэ dя: 3љяGяюFя 3я“юjюQю QэпыЌъїыµъѓьЖы XыАъ¦ыgыХъҐъ@ю¶ьR 3¤юР 4Wя Qя  hEяб 6\ 3k gFю[ 3Zьk gz5QэE 7pьв 6bяX 6Ыя6яіюЗэДь…ъvюМц ѓ4Жх 6э 8щaъ@ыNъ Fь 9фОъ’юeю}эђуђэ•яй 5kэУяОэ „7A 7лш[ 9а 7| qЏ= 4Хя± jЏqђ4ќ 6i jѓ;Н &lt;‚ 4aюты x@ѕ &lt;­ 4”юW 4ч ;ы iЏp€7O 8• 9€ m‰8зяҐ 3 g};{ 9Шюѓ 4е 4… 4Ј 3‡ 5¶ 4ё 3« 95 :u 44ю~ fh8Г 4 4Й 3є kt6‚ 4»я; gGю¤ 4P 8Й 3U 6z 7e 84 4щэm 5‘юC 3n gVю6э8я i5рэЗэ F+э5 3шьwюрь @яќюЫ 4—юАэ]эґ i^я9ь7эOязю›эля ‹3DэЅяiя• 4` 4ґя u3Ћ 4g 5п gЂ6z 5Щя „f‘3о 3ґ 4љ 7rэрьPю aэЗьиъMюјюБяБю&lt;э VыШю :ыDыПщеь ZьАэХэ 4ыDэ `ыСч;щгъyьгэiюw 3bя DэєьящN 5люЧъIэоьҐ fђf•3Йя=ы©ц€ 5&lt; 4Шяyь} 4l 5dяј 4oяЎшRэN ;b 8ўьЇьш 5ѕ =Ч 7« 3Йяѓю 4яЏы f9@ 43 7H 4– 4уюою9ъ¤э Gяь :gя@ 3нъ}ы ђ6К 6сы 8шЁь {4х 3 6hяЪэфя ‰4‰я7ы· 3C hu8› 6яю:ь@ 5– 5U h3F 7Аю– 5| 5Ђ fUю§я_ 6ж 5Ї 4€я Mьџям 37якяV 5ё 5њ gxi}3aяP 6т gЂg…in7¶ iЃ4J 3© 3» 6® 6ж 5€ 4і h„5к 5~ 6u 6s 6O"5 —5v 5z h—6њ ir7Ў gЌg•4Ђ 4џ 4њ 4« 45 7д 6a k7E 6І 5Ю h†4И 5e iqilgklЏ7‡ 4р 5љ 3jюM 3Я 4”я @я ‡3¤ 4Г f‰4}ьэъ aэ dюЃ 3&gt; 3k fWя m3Fя’ьжю 3¤ 3ЄяR 4ЋяЏюФю9 g`я \юЋь Xя 4эщьR 3MюЊы¬э…эA g=ыE 3vьљцe 8E 3чцлы&gt; 5cшБ 4Kы©э eыт 3Юы„ 5¶щҐ g&lt;ь: 5оюЃыeю‹юЕ 6­ f9ю `эcэщ 5ия“ы Vя Rяюь j6Љ f\эM 4M 5Н 3юЕюЮ 3tяW 5Њю x4‡ 5` gRяЇ 3йяђя… 4‹ 3ГэИю 4№ 4ґюPяО 3&gt; 4§я cя u3® 3g 4ряыюкюз 3Ч 3аюПяГ 4Ў 4dяiяN 3оюFяd f[ю°я ѓ4Nя kfj3AяP 3у 3Ж 3~ 3Џ 5Ћ 4М 3о 3Ря ?яЏяO 49 3Г f{4А fRяsя cяТя {3ёяЛяЊ 3Ў 35яЗюљ 3м 3|яdяЃя¬ f‚3¦яҐ 33 4 frf‹3“яеяW 3: 3V 3g fx3ія·я ^ямюею x4Ж 3д 3тя| 3Ь 3[ f–4Љ 3e 4Ж 4Й fЉfNя ‡3—яЄя „3Щяg 3ё 3«яYя6 3‡юЃя m3эя‘ gЌ36яЬю†эжюЂ 3jя aя UяMяDя Lя LяЧяLяТэЂюhюsяСя…ясюAьDэyюђюGю{юoя6яZэ eэўэю„ю i3KяЋюЅю©юЖюmюrюзюДюЕэаэ o3¦яЬяcя“ю«я @ячэiяѓ 3ю 3™ 4&lt; gЃf6я {3SяPя 3Ц 4Э 4Л f‰3l 3I 3Н 3З 3· 4п fw4Б 3G 3— 3ґ 3j 4Э 35 3б 3Ѓ g~48 4W 4{ 5Я f‰3Хяхя r3Ы 3V 4H fЋ3† 3rяyя¶яIяКяѕ 3kяЄяЖяOяџяЊяияся—яb fAяЋяЗ 3й 3и 3эяпяцяЕя bя {3n 3Њ 3Ж 3ћ 3”я»яЁ 3&gt; 4ћ 3Ъ 3а fv3„ fЊgЏ4N 4: 4Ч 4Ы 3h 3Ў 3к fxgw4‹ g‘g4ш f…4° 3› f}4Ѕ 3C 4Ґ 3о 3Ў 4Ї 3N 4ь 3· 3ЮяЄяШяЄ 3‘ 4т 3v fz3=я WяWя {f“3• 3s 3џ 3Iя aяЛяљяхюўя® 4l 3H 3ея p3T fm3\ 3*яЧя9 3‚ 3C 3{ fq4пя&lt;"3a 3q 3A 3® f…4ц 4Y gy4¦ 3\ 3G 3н fm4N g|4µ 4V 4Ќ 3Ё 3m g|4m g•gh4Ф 3¬ 4 gz4ћ 4† 4b g~4z 3л 3B 4Р 4Ћ 4a 4у fz49 4ѓ g…4d 4и 3К fl4б fj4А 3ћ 4Ь 4р 3ф 3© 3ю 3‚ 3Y 4Ю fs4ђ 3Њ 3» 3R 3№ 3’ f‰3‘ 3» 3§ 3O 3o 3u 3Ъя…яуяU 3\ fu3јя8 3џяЬюзю _яО*яю ifo3ЉяХю€яAячюJя°я Cя Pяпю 6яКюeя ]я‚я…ю±юьюАюUю BяШю Wя &lt;яНюЪюЬюЧю©юUю Pя Vя @яєюЗюФю DязюIяeя GяЋя&lt;яPя Fя D+я \я =яmя{я XяXяпю‚я9я–я Њ3 я 7я_я 6я’яRя„яФяЌяФю Mя€ю‹ю ;яgя _я§ядю Nя aя~яБю =яею OяMя s3GяыяРюяю¶юдюЕю‰яGя y3жю|я‡я3яЁюx 3я… fLя 3ияшядя®яНяjяp 3Ѕ f’3yяC 4d g‚4уя 3b fi5V 5й 3ЦяI 4ї 3I 3Ж 3c 3Ђ 4n 5Ґ 3” 3¦ 3&gt; gЃhѓ5· 3е 3л g…4йя ~4t 5_ gl4іяо fђ4л 3V 3q 4гя4 3F 3pяї 4®яL 4Б 3v 4Ћя bя™юHю\яN 3•яЏ 3к 3z*эя_ючяѕ f&lt;я:яЎюrяҐяЫю„юeя»ю {fMяцэрэЭюТя„яXя s3mяўю¤юzя —3@юеюґю ]ю&gt;юѓю =яz 35 fxfAякюІю…яБяЇ 3uягэфэ Aю Iяжю eюЄязя Gя :ю эЫю Hя =я]юIя·яµюBю”юxюйюљя*э¬э‚эXю \юЯюѓэТюzяБюъюHюqя~яСэѓы‚эv 4†яfя WэШь®юcэГэ eяћэ 3Њ 4m 3‡эCяЅю}ь Ќ3Б 3‰ 3= 5N g6эUэ9юS g”4Ю 3мя Tэмэuю v3‚ 4ня}яЁэ Wятя8 5Ў il3оя9 3uюЦ 4с 6k j|7¶ 7u 7е 4@ 4D 6T 7ё 6Љ 5p 5‡ 5l 39 f—4— f“3h 4X 5¶ g}5Э 5я 4: 4jя‚яaяЪюk 3в f‡4љяBяьюzюrя ~3зякяЏ 4э 4Х 5’ 4O 4? 5¤ h€44 4Ж itj—3Й 3е 5R fUя?юEэoюкя :явя IэЙщШэЙя» 3` 48 3еящ gpg`эчэ Zя ]э ;ьМьOьвьLы–ьТьsь Qь№ь‡ьАю Cюзэ Oэзэ Wю6э HэµэiюІ*юяo 3HюЂюњ 3і f—5a 7є 6љ jt8К 7z 8Љ 9ј 9­ 96 m†9~ 8А 8О 7т 7© 6Я 6­ 6j 5@ 4¦ 5V 6А 5№ g†4? 3Иэ3ю*я WяwюТэRярэpэчэyяю3ю bя­ 3эю Љ3° 3Ояоэ NэЭюѕяtяc 3Y 3Љя jg{3`яV 3f hp7G 6± g’5c 6К 4з 4м 4ш 5s 5› 5p 6Ц 6Ѕ 5э 4y 6A 6Э 5‚ 5 hf5G 4є 5і 4в 3‡ 3т 3Ш 3^ 3™ 3` 3¶ 3Э 4N 5Y gx4ј 3є fy45 f~4l 5П 4ў 3} 3пяћ 3¶ gf5T 5Ћ 59 5Љ hn6d 5А 58 ih6· 6¶ 6љ 6Ѓ 6U iF"6« 5І gv56 6§ 4ыяья© 4еяqюkяCявю Tя[я7яЪю„якяЩюІю—яєяKя‰ 3&gt; 3џя ЊfqfVя°ю cю€яZ fKя3ю¦юБэ Yю 7я¦ю BюWюZюрюµю7я`!3яэьРьLю[я Pякю _э„э _ютэ_эgь bэvюЏэеьWьjы HыдыЄъxщПъАъбшОшgшЏш 6ш [шЂш ?ш®чЈчЃч Zц Lц@ч‡ч…чjчыцћч Pшѓш”щЎщцщ^ъ‡ъ 3ылы’э3юoю Yя†яБяl 3Ё gm5џ gj6К 6м 5ђ 6х 6| 7ћ 75 7= 7° 7&lt; 7\ j„jh6p 6б 6· 6д 6!7Ј 6д 5ы 5c 6R 6z 6k il6g 5Я 5Ю 5С hv6ў 6R 6Ч 5F 6† 6Ґ 6y 6O 6i 6с 5з 5O 6^ 6R 6w 6Ѕ 6’ 6Љ 6Ю 6П 6Х 6Ћ 6ч 5Е 5џ 5~ 5ю 4е 4` 4Щ 3® 3] fђfx3мяЙ+яДяoяўяІяqя·я±яOя Zя AяЌю{юЄю Dя?яцю Fя Vя Rя—я u3F 3h 3: fЉ3Фя n3C 3H fk3Бяяыю ;я cя 3яСюшю„юRюЃюcюЊю‘ю†юWю?югэ†э¦эЄэЌэuэ Rэ3э Eэ–ьГь 4э bэ Gэ=эљэљэ•эЌэ—эіэжэAю–юљюДюPяVя”яЗя k3? 3x 3± 3ї 3ж f{g‚glgv4я fugvgi4Щ 3и 3м 3Р fm4Я 3Л 3§ 3В 3‘ 3h 3g 39 f†3ъяЅяЩяляўяЋя‹яMя Mя&gt;яNяЫюЬюЗю‰юaюIюЃю¦юЏюЅюаюмю Nя6яvяёя r3: 3d 3x 3™ 3„ 3µ 3Ш 3б 3Ы 3Н 3Г 3Ф 3ъ 3и 3ж f—43 4U 4u 4g 4“ 4Ё 4“ 4° 4И 4Н 4З 4Ф 4І 4Џ 4t 4M g‘4&lt; g‡gk4Ы 3И 3ш!3 4и fn4я 3и 3х fj44 4A 4B 4m 4{ 4r 4L 4\ 4I gsgЃ4@ 4M 4Y gЊgzgz4м fv4ш 3ї 3· 3­ 3• 3Љ 3| 3\ 3&gt; 3e 3t 3J 3] 34 f{3R 3r 3Q 3= 3E 3; fЂfђ39 3? 3O 3R 3c 3? f~3&lt; f…3*яюя u3шяПя яuяXяLяZяtя:я Jя @ясюЅю¤ю¶юѕюБюљюЉюџюІюЈю‘юЋю‡ю‚юЌюzюѓю‘ю§юЁю§юЈюіюЗюмюяю VяPяZяvяjяWя“яФяря pfЋf•f‹fzf’3O 3w 3• 3 3„ 3‘ 3› 3љ 3« 3ј 3Г 3М 3О 3п 3ь fj4ы 3я fkgЃ4A 4F g–4A 46 4e 4“ 4— 4ў 4ё 4¶ 4а 4Ч 4б 4и 4г 4з 4В 4Ё 4§ 4Њ 4§ 4‘ 4z 4Z g‹gp4н 3!4 j4н 3є 3° 3ђ 3q 3] 3T 3G fxfnfyfqfrfh3Ця·я«я€яwяђяљя›я‹яqя^яtя‚яzяtяЋяЋя{яђяЏя–я„яvяdя]яPяKяTяAя3я5я _я [я Vя Hя Iя Jя 6я Aя &lt;яхюйюйюЮюУюУюФюЦюШюИю№юЙюЬюйюфючюью :я =я Gя Zя Qя Jя Xя `я ]я Yя ]я4я dя@яQяjяzя~яЂя‹яЋяЏя я№яЗяКяУяШяШябяняуяэя ;"3 kf‚f†f}f‚f‰f’f—36 3&lt; 3? 3F 3@ 39 f•fЏ33 3@ 3? 3@ 34 f–35 ff–f—fЌfzfifjfmfkftfofi3цяцяуяиямяряеяЫяЧяЭяЧяХяаябябяЯяНяАяєяѕяїяёя№яјя»я»яЗяЕяДяСяФяЫяЮяХяУяЭяЫяРяРяУяУяТяКяУяЫяЮяЮявяаялярялякя!3 m3тяляхя yfo3ьящя vfmfn3уя yfif="3 rfo3ъя t3ыя k3*я ‰fo3пяся? 3= 3сяця&lt; f–fhfrf†3&lt; 3&lt; 3K fЉ3щя ѓ3Q 33 3ця x34 f†3ся mfsfifif{fg3Сячя sfh3аяфящяияря h3ыяЭяняэятяЬяЩяняияуяшяшяняъя o3ыяйя!3 ѓfyfqfvfyfsfwf‰fЂfuf}ffЂfЃf‚fЊf€f€f…f‚f‰f–34 f—f•f•f•f–34 35 36 35 3: ff—f•34 35 33 36 f—f•f37 34 35 37 38 39 38 38 39 39 3; 3&lt; 39 34 f•f•f“f“f—f—f—f“f‘fЌfЏfђfЋfЋfЋf‹f‰f‡f…f‡f†f…f‚f~f}f{f{fzfwftfvftfqfnfpfqfnfififkfh3*я%3эяыяьяъяэяыяъяшяъяыящящяъящяшяшяъяыяъящяьяъяыяыяьяьяэяюяэяюяю/я</t>
  </si>
  <si>
    <t xml:space="preserve"> 3_ 3; 3x 3’ 3F fpftfЃ3D 37 f‰fqf‚3^ 3_ f’3d 3— 3ћ 3U 3… 3ђ 3y 3L 35 3B f‹3пяЬяМяlя BяПюзюсюью·ю–юµюЈюШю Pя Qя =я FяAяҐя­яЇя»яАяпя»яyя•яўяБя if’3† 3Ж 3б 3р 3Э 3о 3м 3Щ 3Т 3± 3u 3i 3Ќ 3M fq3зяwяHяaяdяѓяcя4я…яєяРя”яZя…я©яБя!3 x3Эяйящядяпяїя©ящя Њ3ьяья ѓ3a 3І 3І 3` 3m 3ф 3ч 3G fh3H 3d f‡3ЙяЂяYяxя]я Vя:я5яью 9я Oя Cя IяZяЗяЭяЎя›яИяпяояБяђяЋясяѓ 3‡ 3C 3i 3‹ 3с f–4э 3о f•4р 3Ы 3в f–gЉgy4к 3Й 3’ 3° 3Ґ 3a 3Бя¬я7 35 fs3*яея 3m fxf„3H 3C fЏfѓ3ыящя&lt; 3њ f{3aяЖя? 3їяЩяяUяѕя lf\яџя^ 3F 3O fx3Єяуя p3pяйюЙю&lt;яХювюvяэю _яРяpяКя g3Іяфякяџя»яХяЩяЎя BяAяЯя«я j3i f}3r 3„ fЋ3M 3жя°я rfo3чяЗяsяCяFяiяџяwя cяNя‹яЙя Љfl3ШяюяБя«я kfvf‰3ђ 3Ґ 3н fЂgl43 4q 4K g•4ъ 3б 3д 3Ж 3? 3пяЩяЦя›яiяkя·яїя‰яѕя mfђ34 3сяЦя mf‰fv3°яRяWяkя’яІяаяця·ягяG 3I fyfЊf‘3K 37 3»яrяBя\яlяЏя¤яmя6яyя№яЖяЕяїяµяµяЈяТя n38 34 37 3z 3… 3h 3x 3Ў 3К 3Л 3} 33 f…f’fn3*я!3 kff‡f…3‚ 3У 3™ 3t 3_ 3u 3t 3n 3X f3C 3M f’38 fЃ3їяХя!3 qf’f•3D 3~ 3w 3N 3F 35 34 3i 3 3Ј 3Ы 3Ч 3і 3ґ 3Ю 3!4 q4Х 3Ґ 3ј fq4п 3` fЃfnfxfs3ряЧяеяхя lfvfЃf…fs3*ямяШяКяоя!3Кяўя‘яљя§я№я®я­я°яія¦я©я®яЈя‡яЋяЈяѕя©я‰яuяяя•я‰яnяcя„яЁяЗяЁяyяgяCяAяWя U*яю ZяEя \я &gt;я Oя;я’я¬я—яЈя№яНяКяјяїяФягясякя ifgfnfЉfy3эяряОяеяЫяІя·яЗя я“яЛяияЭяҐяґятя ЃfЊfofpf‡fnflfj3пя!3юяуя r3ряїяЧяКяП+я ‰33 3? 3R 3b 3| 3Ќ 3” 3Ґ 3ќ 3“ 3– 3Љ 3{ 3x 3} 3њ 3Џ 3z 3r 3e 3Ђ 3” 3„ 3Y 3G 3? 3T 3e 3W 3K f’3&lt; 3Y 3D fЉf„f}fuf~fЊ3B 3\ 3J fЋfq3щя {3Q 3a 3i 3{ 3b f3? 3Z 3] 3D ffnfkf{3эядяОяЁяўя°я‰яlяvяІяОяТяЙяЦя!3 p3фяъя jfg3хяпяэяияйяыя l3цяКяПякяРяЛяияоя t3*ядя gfsflfk3сяиякяйяХяЯяОяУяЖяБяЕяЅя¬яѕяКяЧяЩяся ufj3тясяч+яхяйяцяуяияхясядяшяшяъя!3сямяняряцяюя }f†fv3эя!3 {f•f’f‹f}fyffђfЋf|fxf{f‚f‚fvfl3эяыяюя!3эяуяняряцяъя gfgfifkfgfgfjftfsfj3эя!3 kfi3ья#3ьяыяюящяъяцяыяэяюяъяюяэяю+яьяыяь+яэя!3эяю+я%3</t>
  </si>
  <si>
    <t>RI*F&lt;m!3WAVEfmt †C"3 gfgfw^!3 UV!3 hfv3data Km!3 4$3 gfg3*я#3 kfifh3,я ifj3ъя g3ъя nfk3юя!3 yfvfsfpflfnfЃfzfmfsf‹f…3шя r39 3N 3B fk3O f†fv3тя Ѓf3; 3кя: 3єя5 3; fm3зяU 3Q 3жя­ 3Ёя я €3Яяћ 3Їя }3wяѓяX 3oяoяU 3ї 3^ 3УюБяnяЅ 3\ 3gя hfv3щя¬яP 3Ћя  3–я ђfg3_я‘ючю|яґя©яЉяB 3ЈяШ 3q 4Й 3  3Љ 4н g4– hѓ4п 4O 4Ш 3л h—5Ґ 5Й 4‹ fm5ќ 5Їягю s4: 5Ћ fTя7 33юлыжэЕ 4Ћю UэхьtюЭю6эtэѓт§ф{ 4В 9ш B\ =tэCыяуaыл ;Wыo g&gt;ыnэБ uh6® 6v ;а 5ВыУ :d 5Ч 3lяф 5’ 9цю€ ;P 6&gt; fv5L 8Н iЊ3Вю·ьЄ 8; ky4Ч f„5Зяђ ig7А iЌ6ч 5в 4Шя —3k 6‹э _ьP 6љ 5кюЙъьячъ ц™щИэy u‹EюцЈн &gt;йЄх&lt; 3С v}zu=ъ·мЭХси‡ 9в IP BИыKу TлNчР :Ы Nуш3 7™чкш_с Qлэ 7хы ;ыхоФЭµл sHВ _№ LQмaУ…мЭ =  ђjЂDд @УЂо ЉLP Bтж№жо t}RS ;cЮънё t•Pv KAтwЫ`п† FА Cќя§иГаhш§юGяm PX ==хіЮ‰х xPn otB9 &lt;Ѕк ;щh CА pFщ Gс« lrђ;щрuЯ: &gt;Е=\6s :Ћсис n&lt;¶ ?у B6ц›фыБ?ж m‹A; ?щ±гъжњ Dn TЫ ЌuH№у· =ж ЃDтѕб€уq fcз GуD Wў h?иЛ =± CБкТе PеЭоц Hс3[ Yґп:р =т=Т v?ф ]ФяИО OЮ bю’ AлдyвмоҐ LЬ eѕ WЫфћв€рс D9 4Iоўсу 6в X¤ Iў &lt;hЫЌяГ =Yц‹ые Bnя©п†кU 4 Sґ ]ЛуcЧ`сQм R6JшFє LФ‹ Mк =ВнлЯW 6` Mrъ— RЧ FдвkЬ!4? j”FЃ5a7 Ђ=ХЮяЬХщwч &lt;ы ‰s5;Ч3y CA 7”пОрЕкWф Lм№ 9Љ &gt;\ KІ Rа Q›ы :Ф€с jI‘ Kyа aПCв– TL eГц—юB GK 9Щ 5‡ Cc iNЦOпT Љc&gt;ю Fъіђ·шФQ Iг6 ЂѓcХїИ5уъ&gt; JVр k=ШНпB =RAѓ FZн}ч= JД ‚IуПЬЙбLчЇт d5ж MLж‚а\жЗнk 4j 5? [Ц DЖ Ps4H {’U… Q‡5 xYЋт ynjY}&gt;J €AнkгйЯэъ Ћvt4ћо@бЈж­РeРnкђ &lt;О CUЬп­ =М8 =о IЈфўЖќО^ЯмоF E›з‡аЄзкдгЦwе?к¤тCщІщГ :† 7Чя–г E*й l„H&lt; UҐ CВ mcыC 3дю 9у ‘8ѓ FP ~”Dd 6етЉе Ћ?ґ Ћ†W; Jіф§в5йэъ ‹fђG; JЩь€л 3иІчZ 3O 4„ 7} &gt;в 5Іу‘кФо AыW 3¦ =‡ Aќ ‚†YfG›DМ eњ `М cД ^T6 H&lt;ЕL JNя&lt; lT@ ?  SЏ ~ЏL’ Vы [u:&lt; ‘|Z© L5 Fx Dо zЌpvo‡7Њ 4р*цлѓм Jд LХVГМГ XДЧП‚ЦьШVФRбшТ dалЖбtи aзтл OнMй 4с ^пхнКсЇуящCч NыЩчяшAф BцЃьФь Dъ?ярюRхм 5hя FяH 7Яцзь bщич† nPфгэS 6иъ 5эшх `хќфxщhфyойяЫма j6й¬уЂфЋлнц±еѕцол 8уЗлњхЃхџц Bд 3Хяй &lt;Uх8 6kЭgЛ;їхСKЧдО 3ШЕГЇМSКТп EЯ]Н Pд\лІеGц 8вsн©и€х“лRу„о}щаяa 7іюЙ 6?ю‘ 8} 69 6Э 4i :9 7с &gt;ђ :P qu8Џ 9Xю Ђ4‹юЈь°ъ ?кЋоxнpтGхQщ Pь i3ѓ 7в 8в 8д &lt;Г @‚ CА EО {‚Ђ—JR nP~ ‡ЂR¬ Wч Z&gt; ЏЌЏP3Ю6Э e¤4 A4­5*:B9D:г eш3 €bє ”“bъ \Щ Vе Y^ To Rf K“ Fы @й &gt;Х =j 8­ 4DяЁшаш YцµиаСBМЫЮЃщ©пмЮйХ Х›ЦЯа^лTф4ьВэ Nэs QC HН q}=у ”nOІ fDK Te ‘–•s]е [ь Zъ ЋG:ъKk: O6L —~d9 d© dЗ cQ&gt; `;® ZК ^ј3Я4 x]“ ]J X° €qzL{ WА Ej p]н 3жIпЌЯLмкрвм ФиТEГ Gіh®aЗрЧнЭ…№ \±ФП&lt;еид&lt;МFёѓУ’нЈм…ЬnС›Е Dч3 Cоъ‡м¤й~мkрЎчzкyд[Л Oѕ ZАбјqВШЛЦИJЭшзНж MкЏп Lв &gt;ШЬе} A“ QS =ѓчятЊшP xub°EЌ UTц i{XB@hљy 5[|?Ё9В QD ]z [7 Lч mBнYтє 4g 4u @‚ Rc Hrц5уё Y} QH Bf Gi ‘W4у EX L; `џ ЌFУ ;4фГрoщкюZ hPохТ OНЬЪОФ3їy§C”*Њ•—ДЎ_» W°іњз«ЊЅOј c№_З 6ѕћФ®Ю =ТѕаЭШ№Э5 gixѓ&gt;‹эЁ pЋT~5P7з Mm 9Э @4 MЉ 9F :h 4C 9џюяьЫык &lt;џьТсZй 4с’рщнЈбЊЬБиодщУ·ЖjјыЇХ¶kїpЖпОFЪ ?ЯћЦЋб|у\эRыТэ †3›цџ nmEн FЫ P‹ Fх FУ TЧ SЛ Tћ Sa [ѓ [ф Zм `‘@юC [Dј@В9л7ГA:Gт?з;© d° O‚ a[A 45? Љ‡€Ќo’Lж 4йъo wm&gt;џц FШыИlИЗН CлЗн гђкЖлnпъс€шЈэ[ 6oяцфІй† FЉ R_ Xj ]® Hµ Du €tЏЌ`я Uв HШ ѓЉVх Ќ€^њ \Ц Zh „tIґ ђ&lt;:B d” zhBЇ XYCвEы!_ •“_б dь3_ L5 JҐ PЩ O‹ •mcІ QVэЈтТ 4У oЌB_ 8Яыx ;\ DL &lt;yм*ъ Fх ^ж IбћЫ]иxг№бNаєб—аэЯpМ HП XЬ QИ&gt;Г’ј a«Ў¶m» 8КjН:ШсЬЈдЮм 8чћтб 9— Eџ v9э™яй @® Fй Mз „|Uч UН Pў M&gt;!W ’†e¤ TБ TT [Ч eґ ZП SЎ ZR Xк €lSН U9 S` RГ QS …ЌNт LЊ |ђSм Pc nq&lt; n‰M&lt; O° &gt;Иш Lэ8 h•?yьyюШр _жSкҐк Tи™кҐмїладУиxеXк¤иЪй?зьхbзЃсЅфїч VнШуђз_Ь=щZ 7І Bьъ:уKп—н7йлвNЧўР NЕwЙ &lt;З 6МЁЙtЖЦЛзПЬОYДмИ5НєОuСуР¬О HП»ОЭОuС \РйС @ФчН JГЯЖ;Ц FШ YЭTЭqе¶з Yй SгћкБш RхУа Yп¬ч 5ф ;ц”х g9« 9 HG [¤ Vй Nс Wх4†EdQн_ ck dp†mлfaeom9]ЦZkU eUЃI@KN&gt;Ј; 55› e° —u_И VВ WE ѓpKЎ D– Dµ 4Џ 8—вяг[ьJч3пJсЛх Lцнт :улк}р FшѕжКб№тещўрШНКВ FЗГР‰Ъuг›з{о&gt;пХштц ‰7т :т :w †ЉPµ &gt;Ф Rr Zq ‚jK: AЦ Fo =` KX LD Ju Hњ HЖ Ij G‚ Kk J· Wњ NO m‰\[ TР Pм CY Er qs&gt;n &gt;? 7КюЛьзшіч cф‘у‹пЭи 8гnејд}жhж]ЭQШщЭDЩ &lt;УЕК;З dЗ YМЭХгЙЖАњГ{ИЛК7КРЛ;КJРoС|Т™У{ЧOЪ KШ?ЬМЫеЯГаГдиж XюTрђб bцxйЮп 3кIр\ч›нбрTс Qс Nп Bс®р bр”с;т HрИс‚р]т _рxс•чџс 9уатБу™ы6эЭ 5E 3{ 3а Aw ?  kЌ9: &gt;Z n–3Ґя•у—с FхeфАуDт Vф¦с‰пЮдkЯЅеРе cп `к¶гЃзnж 6ж„йнрафДч =эЏ 7] mwqtBЪ Cґ H… ID Ђw…}Sр U= ‹Ћ\ѕ \N Џf`N “Ќ`ћ —v“_5S&gt;F?…H}B `GwIС?I `8G =7 xPя ZУ [е Xt T{ Oп ZB ђ„I[ |…w‹Cб &lt;}т&lt;фt 5K 8ш =hъ„ CT Hг ;¤щdфи &lt;H ts9_ 8? ;G ;Й =_ ;‹ =є lo9i C@ &gt;џ u|Mі ?ћ j~?Т :Я 6­э{ 7’ 5Wх Hр’ 8j 6’ BR MЩ qn&lt;д mЃCщ n’MХ XЃ Uв U‘ P O§ Џ&gt;6 WAб6{ ^Љ4Ґ [Э ‘86 l‘Ѓ_ѓ Tv Eа Wl MЧ Nќ Hл Da N^ ;v :A ;!5 3эЭъ 3щруNг Dгџщкф GмwмШоWн Lп°гче„л &lt;вўФгж3бНЫвЪ 4Щ”Ъ TЫЦЧЃЪіЮПЬ^ЦўФ_П ;ФЄЬ WбЈзmиYкЪр9у `ыьюБ 8­ k€=Цы AщR =&gt; y‹IХ Kы Ow R№ N; QІ T¬ R] Sћ Uв Vѓ ‹Wґ [? OЮ ЉQГ ЃoHќ Eљ uRьi 9e 3dяШ Ai =ШыjюжэєтІтцрMоZжЦгаЫ 9ФЉБҐЫ dРкЕ [ёЉІ ;ё ?ѕBВ¬№R·Ь№™µUКПК `С [ЦЫБК№кА =ЙMЕ bД3БъЈi» 6УЙЖ‹ВQВґГђЖzЗ«Й3РоСcЦ AХмШ ]ЮфЯ&gt;г \д ?з±еєк HоАсkт@ш &lt;щ :эЊ 3q 5№ jp&gt;Ы @д Bт BD ylDЁ D_ K« SZ4– \b €”Mf ‚‰&gt;з ST PН UI eп= m_Х ZЛ Yї ]Т \g ^ц YА ‹ЃZт ‰x[¶ WК K‹ Qґ Ks IU Fw M№ GЂ |ЏJу GБ T™ Џ’aЊ \Ў LYя SюЬ K&gt; Љ`ю„пРйЧ 3wуbэ {5ЉнhиУз^Я№Ц ?жVз&gt;зФеЬиљлoыт DИсфП¬ЫL*жфѓ &lt;ћы8ЬvдЎп 8щ @ш5 jeю9чъ 3n 6Ѓ ;c n…@O oiBЊ y‹MG Le L@ QR6u=8 ^р=lCг=q:ж:ђ&gt;=&gt; 6B `COBVC№?Њ@ =&gt; E@ђ ZД Mџ ‡maз8а8ф7ч5N: P&gt;FKњ=e= 6;Л8 ^5о6I3s4@ “C4 8E’&gt;} _] TЩ I= H[ x“B° :и 5tъЛчпнџоЌй EрџйЖиюі6ІXЦIШuпБд Vйжс Fс^ЮХЪ ЬбЪxЧ 5Е 5»єПєйQгГЙTХgлvй CЪ BН XИуЕпИp№с© 9¶«ґй¶yЇЁ±ч®¦±µ¶щ¶ѓЅоГ{ЛnЛ 4УЁа?зЉхѓйFн“флш·шбх 9цэю_ьgяья© ;‘ BЛ ?я :Д &lt;I ?] wЋBЈ Aўш? 6N &lt;N sg~ЏxЋC{ыїяf EЌ ЃlQ3 ЂЌK§ w’Cs Eб zs{jDЈ A@ rn=y lgi…4k 6йэЖ 8a B± @bо Rжк :6ы @с @нЭмНй}жNзOвЧЭбЪ Eу»щДльа IХhН*П¶Н–И†№ Vі^ЗdМ TМ 6И“Й[Й EЖ‡» IДkЙ™Шiв 7йЎм—ушчў 3 8N &gt;f Bі I° KM OТ P® WЊ Zґ ^  ^~6М6 U=4&gt; L? E9о?•:&gt;A;@© _ф ]ъ Zo dш ^З [ќ WЫ U© MT NЕ F{ MJ Xь …†9_юY 4U Dэ Aњф;хMедЦ ]ш; 8aм~Я CаЃвbбчЮяЬ \ЫҐгLцЫл5ЬNЩґШЉЪ‚Ь}Ы SЭ·ЬвЫЇЭѕЬ}ЭЩб 3в [Я…йЉзoкѓкOмИк ^оoЮ±дµуТу dц _ш@щUэ{я… 4tщщw k@о Gџ CЖ J9 Iг Iw z…MЮ X« Z‰ X± aв b:3“ ex e©4 J9•&lt;И&gt;і; I=џ8·4–5\R4EУ cп&lt; YC7KВCў9Ж4ҐJНAЭ:Њ cN6ф [Ц dХ&gt;ф aи ?Ў pѓZБ SЈ8¤ eK Pщ 7U qn:н 4і 4®шДу°н“ж 7УMО `ЧѕЦ€а EвЌЯіЯ9бbЭ¬вfзEмЈрVн[йcл [рkр &lt;рbнесюпЭфЈчBэнт Dг щи 3и 8Ё 8Ь 8­ m”o—:S i„7C 5O 3_ ?Ђ DE BЏ @6 =з 9µ ?ђ @O B» Ae Eо JЂ Qф K… Ro XЫ …ЏMю P» Z6 Ћ‹VХ „fQI KБ Kй z’B7 =т ;э 4MэjшмфSркй WеeбKЯ =Ь“Щ ;У~РЗОтЛпЛ DЛvЗ—ГЩАlАѕВёБЎї DИ 7ЛЫАлАЃЖѕК JМlМlСNФЋУ=ЦjЪПЩ’Щ WШOЬЯЮЌа _Ч­ЬЖеяаXФ bО ;Х XЮГйДп Tр Jр€ц‰ъ9ьv 3і h\ю lhGc V7 Xf Sю †~Ћ…Њ“WҐ Zv3ё9z `© ’bх @7ЙD MG RD G?µ?іAgBЦ:•6Ќ6 eг Xu `t Xа Љ…U7 TД Pє w—xtMф y‹7Б &gt;R &lt;яьы` 8Ц 6=ч KлQф hkt@r i\ь“ч BцЄщ^лъг bо @о CрЭв \РѕЧТиfэўлeб—р 7цъсџо DуЪ 7ы {•9ниэкЦ 4uяg 3О 4»я Eы LъEы}ю“юЕ 5Z &lt;  pЏo‘Ѓgz|&gt;ѓхэь ЊP‘ Lљ {†D“ 8XфыR 7ї LN SY SY Uq xlCуеnф ЉP… S… vf7H n‡li5Ш q…KЈ P` Gb s}j&lt;рPЬ§л» 3л =В :qяоъюэ‚яQ gx64 gRэаъСъеч3хХфrрHс^пeе;Я„а ZЩџУ UТVФ\Ц–Щ›П_Р]Л–ёyБjМхЫ ?дЇЭЫЩ\ШпЬ™аEХўЛiЫЃбAг—Я‚Ш‚Ъ5Ф XЯfЫ‡Й‚ЛЫЧ @з‘пн f•Bn ;яч“вщОжЮ BсЄч†юљы 8щ•ъBя} j–n‰?Г BC Bќ tЂF&lt; Hs ѓMй ~„Mт M Oe Rњ Q: Rk Qл S¦ Q? ‚rOE O Mй LZ KЎ K€ Vr N&gt; &gt;? 5A u’JЏ aН NМ 8– ~t5pт·л цишзэ o6Эщ±с =ужш JьНъУъu h“Eх ЏЌEѓэy :Н FJ r:вAб4 =п uxB^ 6узЩп Iш¬ tq4Ќз¤цt ?€ w„3Ѓя^э§ъ“ы—я¤щєэјшaймЭkШxн cх cъхчЃчhуЏх eь Eыях ]ъЋщ \ь”ыуш ?фeчUфXы7 g~={ @G 9† 6™р•уйялэ6э 8щес¤тЮт Nс‹фyьu &gt;К 9m @= 6wт ^ц |3… &gt;… &gt;{ 9ч FD us?D J= Jo Sш ‹•]Ђ “c·3ѓ4Р5џ8 L; :@НCєDSD ]FЏGґJОM QM~IxH SGРG :EЧAS?Ґ@х= \:Љ8C4m4 Y3Н cЩ ”y]Щ [p Xг TЉ P@ PВ Nщ JГ Hж Fѕ DM Bф @Ы p“&lt;ќ 6‹я Qя Vя Lъґц№фСуҐс Rсжовмъй№жВж Wг ]д„в ^вpЭIЬ†ЮbЯХаЧЮчШ 4Ц;ЧяХ~УИС&lt;ОЏНЏИVКµН¤ИјЕfЙжН¬НBО©ЛuУbСМСфР`ЦKЬ 8аЩЧщРFО XНзЗ ;ЕѕЛ HЙґїґїБ·љГЄЛҐГ :ј‹ёжїтДъЗкИїЗ AИ`ИЋТVЦ 9Э :все®зgк ?йјйлнџоЄк ^пsтьхFоспТ 3А 9m 4»цЗыЫ gf9n lЌ=t M± Se FU FЛ Dв ygt{w‰Q“ Sя R” ”}Vх }oMЧ!Y XУ _р3ё Z\ [С Њr[` Q{ Wи dу cЃ _v ]° dк el \F T“ Q[ [‹ \Д YЭ WЫ Tx „’‚—Nѓ ЂuKe Fё DF A9 &gt;Р lz:¦ k5ўя o4ёэRэSэ†ыKьищ“щ“э† 3Яэ ‘fl7A lq:ы h;яЗ 4s j7Э ;в &lt;Ь ;!: ”5ц 7в io:K =Ш &lt;Z pkpЏ&lt;ш ;? ;э =€ &gt;ё @ё Ctюs 7ъ ;z 7а 9З 6Ї 7шяw 3чяi 3ЬяЊюҐэ‘юJэ VьЋщ EщнцЯцJхёцGшGшRъ QчктАк :е TлWш›юaюђшdс­рНпТс–уЌф Cуdуpк—г*и Vнікщм [оҐчvщЕщµяrэпюeэХ 5[ 4R :| &gt;П ?· xtJѕ {|H© F? EТ vzv•Pж KU {kHЊ Bџ 6® @ы xkEЕ C| A¶ &lt;† A¬ Cм |yLM Eq Aє uЌEЬ &gt;Ґ ?Ќ 5kюЖяm jw6m 7с gKцэШ k•7“ 3Sх‚ц LшNы:ыЗфЗу :чP 9A ;ПъhыП 37 6\ 5ю 6Ќ =»!&gt; @Ж or&lt;6 83 9В ?: ?Й &gt;g m‘j‘p|;§ &lt;‡ k€m‰;E hu3@ы· :Б ;] 9вьhыЫьmх8ъ}с’оѕл‰зЫаЧЦbЛєИxГUЖdИеЅп©и№ IЅґЙ eПѕА IГґЕDКЄВ `У4ЦGЫ LЮ ;в [еcй“наспц ѓfЉ3Н ?6 ?ЪэП 6– tpHЏ &lt;щ @r “IГ ~–N‡ F№ JD W‚ VQ ѓ[Д XҐ M– H^ FЕ DN B€ 4Sч Uяї h„7Ї 7W g]тжеєлКпkлЄеЎа IиLл¶кшжЯйае¬ж Mй‹й_й Yм&lt;мЯлЛлвлЈл±пХмAп Xт &gt;ф3ц Џl}@љ &lt;wы HыU =э Bъ =B q‡s†@© sЊCЦ E~ E~ DР Eт wsFU Hx FY G~ Mы Pu Ѓ–MА Jp ?b „Ђ€oL= Ch [F `_ ЌqMH Mw vspqRd [j Q‹ —Ќb© XN Wї ]к cвFФK¤ aф CН IN a‹ eб7е7­ VЌ: [Iu=Q ^w Uл Xt †–‚€hSшN ;E Pж =‘ A¶ ;Я 66 =v D› &gt;c 4яю¬э4щУф©сЂслп [лЮиµз 8дщв@бБЯ TЮ‹Ч_ВHЖZФНЪџбщцIж¬СпбKн®ш @цљы Iу‰фящ‡ fw8~ {ЊK™ C@ vuJж {€JФ Gr DЫ E4 F№ ~NЃ Mо Qе N@ Jb }y~Љ‡‘PI sIв I‹ Kv C7 rjs‘@К &gt;g 8B 4ЩщСщоу HсPоfмHл†кибдЭаЙЬ ZЬцЪЌЩ ;ЩuЩяЬл*ЬЫиЭ 3Ыіа 6фgоњЮЦФlРbХ 6ЫNШнЦLТсУ5Х HУ ЦAШ6ЧdЦУЧ»ЯќЭ =Ъ*Ш KЮ”аMеъзUж»вЈаbаСгёеKз†йЬд Oв—амвЧв WЯжУ 3ЪЏажгѓж Zг?жаж Wн—у Xю …4EхTп¦вЏо 4ч9г GвхдNл Gч•хІфMфкщ ђ3Z =Ў @° 8N 6• 7\ Dћ {•yЃAb =е @Щ =з qђC6 Bv =I &lt;G AY Cq q—8щ 9с :3 phHО Ee CА tqs€Aё Bё D± ysFЕ DЋ ?џ ?— r€@ї Ae t…tЂ&gt;п ;Y Ar D{ CМ Ex G[ MЉ LТ NЅ KЧ Lњ OМ T± [h \T ]Э XГ Uа V‹ _Ъ4Т `f \в Y‚ ‰iSG RK VE X5 €{Oё }{KХ Jї Lџ Kё Gґ!E BФ =М oh&gt;€ ?=!@цЏч`ьњуямЦш№ьѕ 8Ґ &gt;d 4л 9А Dk CC I… Hђ sOс FТ M!Q4 ]П Ub R· ‹•‹u‰’MК Eя 3Х 4Г zЂJњ N\ CЋ ;@ы·хи km@” :жь 7ъ HьящdшFы‘хBп·нKнlпєо Zи ^з cзeеЉе’в&gt;вDкDчАй TЯ SЕ]М«й®кuпЬчЪхЩм 4змопуеfг”еОо№с 8фДф =фjсKт 3ъ3яЭ 4н 6‰ 8к &gt;њ @O ?: &lt;g ?[ Aї ~kMё G‹ E‘ t€upr€;h :У 7Њф  8Ћ &gt;– pv:M mЌ&lt;T Aµ B· &lt;Ф Ez UZ Zї SG Im Ml Ot }‘Dд F· KМ vЌGЗ AЅ =F ;Ўь JЮШ8зlэ ”g`ц|н€иZг _Я GгзЮ bЮ HбPбkгљв Hб HжђвєЯяУ 7кnм &lt;вбЭµЪге NрQйци Yи?н :н Gр Fпзо dрьчжш» 7ц ;ВыДяuу8ф‘щћэ…э ;ь YчШсКо Yмёл¦оqз¦ж ]ж VЬ \аЙгТглиЬзшзuлµй bжѕб{е—е &lt;сcьЃ 4Рюђ :| x’|€G\ AC CЎ Oў VR Љ‰XҐ V° Uл \К:К*84 ‡dе:x9Ї9 J3U Љ=9µ5 \76 dh ЏqЏЂW‡!N {•tOВ @Т ltCЕ =Ї Bh @I =б Lf Kу 67ыzъ¬чуђпIйЧвMФ&gt;є _°ЛИ•ФxФ RХ‰ЧxЭЈбъб“б Uбж„уъсфрPп 6хяхуiчръ¬юЫь;эђэљ 3Dюrю?эјэУэ ‹5к 9щ 7; 6° h4{ gi:Э &lt;к :ёыZц ыіяќьSщеы RюBпkЫUЧЃемјж—жржлйёмgс @ш¶э DяІ gl};х &gt;г J‘ ’—^} ЋrWe „xS± O© jR? Ђgt‹&lt;| Jџ Kи HY CЌ Ca @Ж &lt;п lDь ?ф cф« ;h 9Ѓцрп§х6ьBяRъBц›ч &gt;ъ dшъ vhx9J ;e =j s†{tdб U‡ ?щ hw5х 7r ;џ IN _” ’…FчэOйuиын _рFъЩ Dl OС Gv =» 5® 7EыъeуJф NыBвUеIг Aг CйЊоЃч &gt;чJсpр Fшќц Bъ \э Tо“чух Xхбэшь Xфgк eпЅтoеАзvт™фwфгкВлыч Cя¤ 3Ь 5L ktEХ ~Hю ymAў vfN“ Q^ Oo }hJ– KP H MИ Nу Lы Gb HG ~gMB MІ Qb ‡mXП bИ du ЊђЏzђLG GЊ r3ю SзРв &lt;ж¶нЌф &lt;пЛк]д Kз­йўиvкцлTксеЮл;пPс©пKткрМс Sр]о@с IсОщё 3A 4«я …4ПэѕщQф мLжкл TЬ ZЭpнKхKдmХКЯ MбЈЯҐвЬЯТЫсмsсљл7о“ц Fшъaщ{ю f&lt;џ :N :yт _зачB =Ж =d 8Ік‚ЫEвTшЖэЩш EлhбDлҐо7п¶м}мMлзољрЁхгрBо^йGйЕкєпгуЊрMеMж&gt;и8й TЫHФmб IоlцG 4» 3Aю‡юёю…я r&lt;… A5 &gt;q :и 9V ?• 5№ 3T JЂ `… ]e Qа `Ќ ^4 Lћ V€= N7Ђ3Z ]  SО aI3Ѕ&lt;Q9@6 g–Љ`N bц4г9Ј=’@Б6ъ ЉЋd…9Ъ;а5 b7: B7К7R:ц; ^@ bBv?б?t?¤&gt;3DпCF:W6@;ь835Х ЋЌXA Ћ’Џ{\о ^ґ Џy‹mRУ ‚gTe LЏ &gt;а 8Т l‹I¦ H? &lt;бъПш‚ш&gt;щСц_цНщ¬ъґяШыМрpс_пцйLг¬Э YЪ\УдЖЬѕ CЙ]У _ЦћУСМњИoЙМКЈЗXЕёѕтВ’ГХјЄє A»’·Є®™¬M®¶«гЈБЄFё№Ій°БІа° G®}«x«iЇІі 9ё ]»Ѕјjѕ NА•АЮГ NИ}МВО VТьФ*Ц ?ШkЩЩНаlа YЮ [гRйgс‡тЯчGфPэ dя ]я ѓ9L siEB zh‚~Qy €zV» W€ ‘saТ3П8м9&gt;: Z5а6З5х5*7¬;л8s 76 &lt;3 53t a“ c; c‘ bµ _5 cї `Z3 …aѕ XЖ We _W3 94ћ Vs SЙ Xa [­8S _¶ •z`O [¤ …v‡“X5 WG €qHx KК N; Mб H9 IC Hё CИ AG ?і =M ;ї 6П 3Пюnь 8ыїш Tц VхетZт~нљо Yы yfy4–щ @фГсЁрRт 3с \о:оЎо@иИд Cиpм dзЈдаци 3Y =д l’3Wыy 3w 68 6ћяапsйBз bу7лЮЪНЮ3вIи”е“ЪњУЕОҐФ‘Р*Т &gt;ЦЉЧ ZТСТіСгХ\ЪЄШ &lt;Ытз @рМе OЬOгэйОе:Юћгяк FмцжIрирґт 8х–с Gч{ g|9m 9ў 8[ 6} 6m :ц 9® no=¤ AN BY @F ?R @&lt; Ar &lt;« lw;i TV ‹fP? B† Cm †lWу J_ DЙ JО PЉ Eд &lt;§ &lt;M Ar IК Dy =М 6э 6Л EC LЏ IР @u E| ‚ѓYИ S• J{ KМ X° ^„ [C XH cщ7п8°8Ч;`=в?нB BD c@ ^&gt;Ч&gt;У?ђ7x •Ќ_ѓ Z’ Yi Wz Q8 RБ O” Fя ?Ѕ :E 7l kp;® 4;ц7уGсчпјнaмґзOг]а `ЯдЬъЧMХPФёП«Т‰ЦyТРТ dЦYг 4гяЪDУZПEМqЛsИ YВНѕwёЊІЩ¬р±NµCґєµх¶T¶ЖІЛ¶UѕwГlИ•Р9ЛfВ€И©У &lt;Ю ;д4иќмNсях`ътя ~:v &gt;— &gt;Ж Bщ G‘ Lµ NЄ R® U‡ Yt XО ’yeЉ bѕ Uo OВ P­ Qk T …lNє |w}ЂLЮ s|AI @F n‡oplmk4дюЃюt 4њя§шЗуSыш gi;­ ;T ;т ;ц ;S &lt;Й =ѕ &gt;Ф ?к ?H o|&gt;Щ u„A‘ AN Bт y—DK @_ ?F &gt;E =џ :п 8Їь bчfс«нҐр~н‰л 3г 8Я PЯ7ЯЋЮїдЏаzд Bи„иVиxзм4рщфяц¬ц№шэ eэ„ьQэЭ 7o =№ muj‚7я &lt;о ?Щ qi9– 8[ :y ;Ј ;ш 8” &gt;в GR EТ CЁ @• &gt;Ќ Dщ 8± 9ю ;~ M† ѓiJR JW H¶ E© |kQЮ R~ ЏЌb} YО Ii S„ ‘–k”‘TK!V ЉpT­ Nй 9Ь &lt;Д Fў OF YQ ‡Ѓ‚{N‘ v{BЗ w~Bй ;й 6W 9&lt; 8­ mЌ4Oя s9¤ъап 9РbУЯа\н[*чштьВц™ш Qьї 9‘ 7йэ€ ;5 x}In yЋIO MZ ‚jUЛ Wв ѓyWт SS UУ HЁ &gt;¬ IЈ J¦ Fj G} ?ф ?Я ;х ?&lt; BЉы Ћ4\ 6П h7эЛя3 9І ;y 6: 7д 5wю· 3Н g|7Rч±ч‰ык 5ё 8№ =‹ &gt;є 8ЩэЎюЃ 8Щ 9’элы bьY 7ВяЛ jѓ4· hz5o 6R 6Х :_ 9‹ ?гшЁхґ CцьМш bк ?е|ЫОЬ bУЅРCУNПЋТ MЕї8Ж{є–ґїЇРі—№¶А^»tїюЅKГЅГYЗЋИmЛ PХЁЪ FЪЄШuЩ @ЯПзQфmю ]ъ Eщошsю] 7Ъ 4Х 6=цШтБнVиумEоЊрдрТнСлхдґгМж:й±еёвZЭ DЬrЯсЭбЪ ?ЯuЮРЭЮЩCЩФЬ Ю{гРй–н\с*хЭцЪчYьо 5й 8D &lt;A =C D® y”JЈ Ђf„ЊSz †ЂW¤ Zь ’‚]A ]° `] bq e±5‰6т d: `л c”46 e` dш —^3к aT `І d‹ cџ aW YЭ R5 VХ SZ RЎ Q4 TJ \Њ `Џ aЉ WЎ RO Ђ†Iт F— D| t“AЫ &gt;€ o’jѓ6Њю :чгцЏэ HщiфQфЄм &lt;*вгХб Uк»м ;м‰шXъДт Aтaтгц“ 3џ :J C¬ nh7Q 6ј 4в 3‚ы“ 5j 7e 6у 9Т &gt;Ъ =W 7JэЂпrо BшўьоыНы UщNшуы\юХ &lt;x Bо Bo r—9€ 4М g@чУшМ :дюъdъ э‘ъ Eы›ъЩэ4 i‚:Ђ ;­ 7: gCюЬ 4Д A­ j‡f‰5Єю Sщ HяG ;ђ ?“ oLэwх‘ы† =т C| GА C› CБ Cц :G 6їэБ lgf@пИбрЮvрйтЫуЕфШь[ 5Ѕ 7Х @О DШ t‘Mу ^х e—8m “naћ458 D&gt;кGeL’N dQtN?Eћ9o&gt; 8DщB^6m dk eь3w \В UС N‘ KЪ Pљ KZ yfC’ =V ?B @y rz:ф 6OщЕмБи DсКи ^ЪЉЙ±А Jѕ‰є eі°¦ЄљLћР°~µР¬р  T›Хў7¶ AјЌ»SЇ U°є»4ѕjЖ DНwУFЦјТъЪ YЫ3зµе_гЊбЪР­Э[пОю ‹6муьиЋоBшѕ 3µь©ф aлдлЧтЊтµйибwЩ QФЂЦ4СBЕ\НЋН ;ЖвВ _ЖBТ‘ЫAЯЄУѕК›ЖЊРLТйКЪС LЦ Mйyа}Ь°д `х ђh|7Y 8» 3dшо 4i @‰ &gt;r AИ =Ё J€ S€ ZЃ \} `ъ35 dB9[D§CЬ@QFчHaN®SFJSDЄJ‡MЎG@FqI6KZNGL MS 5NЯIЛM“&gt; D5И e– WU Tp OЂ Kй G` KЎ Qщ Oћ He sp3QчьтЧпЦп bмЖЯzвэвXЮ`з CЧ•ГlОґЫЬг DиZЫ 4Ь dЭPд cбbи =еҐШoФ TЫњбmо¶ућз~еQцНцbу Yтьэ^ы cх 8оќф 9ьЦь 7я QюЙ =о IX GM &gt;aьЂуi 4` Ad &gt;­ Bq 8іы…ю Zэ –9j @н &gt;H ЂzDО 9d C8 yЉfw5  G; K8 Lя CO 3Ўц Zюў ;r :ж 7І &gt;D &lt;g lpEй &gt;С 3„ыт ;ё Po HЊ u}&lt;© 8к Dј ЏF3 s[° ?q AЪ ZЬ ’„_I b{ X• [« VП YT U± Pќ = ь {f€&gt;i ng9џ 5Їя Gю `ю„ю9х NфҐ lqNк ЃyA« u}?з 9ҐшЛ 5M El C~ ;¬ь±ьС HФ Hю piBЃ 7€ 4rяC &lt;` ?Ш o‚nl?Ђ z‘Gf Hd LP Jn I| Rз UV VЅ P® Rт4’7_ ‘kKу!6 ;O AУ LЃ TA ZГ y–sz&gt;г DЋ 9¶ j‰mo&gt;Ћ 4ЩхишWэЌхcц 3еѕХ dИ &lt;ХУт]я8ъєЩ®ЧћЫCЭjа 5р _тx 4nгЧР Mл™я&lt;лpлфтздyО=Ы‹з &gt;ф‚ 6СбyЭїй _гкт3хЋс &gt;иqе¶М©ё C№eЕ{Ю ^п—юsхюнЗМвК 3Х ?пГл°ЪмХИЮ ;мГэ® 4° 9–я;чpф 9с =ч—ьsъ–ю AлфЮОвdо?энц JтХф Qц\ыес…ш[р›уrчсъХч‚фЯуФр›ъЂшСчЩс 3сqу &gt;ч‚щђтжцUф ?нылвк Xсyлїс_ьй 6Х 6¤фуж Jг HкqоШкzкЅиvзУзЋз GгNз Oзcж`е QжІлбзЏбчЯRЯ‚*гвЯеRзPе–бэашгБеJз =зўеiдґд•иGищи§л&lt;ріуРшЅц JчЂэЯ 73 ;Е &gt;э AН y…Jc Mo PФ QD Sд Sy €kV ‰ЃVљ Uъ U~ TЮ S— P№ ‚zM“ KЌ IҐ Jи I° GG t—DЬ BЭ ?Н 9№ 7с 6_ 7ђ 6i 5— 4IюgюІяј 8{ := 6w 5І 3Ў 6B 9… 5ь 3н 6і ;: 9г"; Ќ=[ qђpj?o Cѓ @R C&lt; D› =Ю Ch wЉDv Aз Aц CВ DЏ DЊ Cї EF @L r•Fч BY @N q‰B5 AР AP Cл ulFщ D&lt; GЅ Lщ ypEо @л BВ wЌ{oЂ‹Oт KP ~fPz YA ^Ё b‹ ЉxKЖ M® \n bИ cњ c  `ь ‘—bА `Д ђ“a YE WЧ ]© bL aW \¤ Qй S– PО Gv GМ Qр Uщ MК BШ &gt;l }qL» R› Tm A· &gt;&lt; Iэ LV Na G9 C] Dб xpI: H‹ D± &gt;і :Д k•H_ LЃ &lt;Д g&gt;ш§ыzэ3э¶ 3ґщtтЫуN 3hьіщЗх’хUьѕ 5ця†ъєы?э f:ъ}хЏо SрЬх =я±ъ6чkсwлгт &lt;х 8уGкуб»жКйѓйњв бчЯ€ЮЋЩЛЩZЩ 5ЧГТоСЬРЄОgН 3МсЛЯЙєК dОjМѓЕА№t»эПWШ`ФЃН &lt;КбЩРб Tиёз№и dУбСOгqпzп QрBсир… 9Ш =j 9л :ј Dб LЏ PS JX CҐ Lk ‚yOa [ю9\6 ’`Ѕ ;e &lt;О TА7“3п DХ 9р &gt;N M› FK =uс3Ю]бhкЮоЫуZт aлMо IоВм^т|сЉф±кЬаDв 9иUе]л…л LоцнIзЉн Zпртрф3ю Kфзмfн=уЗц ^ш¶ф8хeхoъЄп*й™шQ 4Јщ‰к‚гKм dс^тsн Zп¬ЫѕУfлцуЂ 9[ &lt;№ ;ЕяRы–юМ ?“ ~f|…Ђ‰K&lt; p‡Kї ~tNС NЉ “Cь :ё m5э\хЕмЛзXгHв4гЬЩ±Щ ]ЯmТ4ЧбзCаNФZС_Э _а¦а&gt;ЦЯЦњг}гHбaиЩк—рЋиЪб bз EтfяД*сз«пжпХуSшqяxэfь f5? 5ї k‡=6 BА DИ qѓ=Е wvF; G“ IГ LZ ~„Mй M_ MЋ RH S› X \ќ ^• dN9°&lt;ђ9 e5t;ї&lt;*&gt;~AdEЌOиMзNЧNoMрV [c :\њOњAЊ@ 4AЮE ^E­;‹:H&gt;8;Б4f4B6Ч e€ eф ep3а3° aF ]X V® …jT• Wй Uт N‡ Jб Iн GЪ D Ak @” ?У ;n 6Tхдк Bв AЯЃЯjЫ ЦЪФХЩjЮ NвIЬАФЂТ^ЩкЪ HЩыОђЙ5И§ЖґЛФСШТ CЪзШЫФ TШЧЬ™б Jв‚в 6иЂжјж @иъж aифбUЫcЪіЬ XЯЪг `ЬOЭ Iб IЯ›а SдЕвЉа·е€иЯйан @пХоґстс®х&gt;ш›ь·эZьнэ§я vmkFР Et = 5{эщя Џi:юRъ]хXтЏтЩлEв­Я Bз `зdжЉбљбЭеДи QеqУрР TЩDЫЭЩ6Ы3ЫПШXбWз BЬ^ЯPдАм:о’и…аµбРЭdи*н AпщйZлљм№рЕю o;§ 8р o‘9¤ Gђ K; Sк SH cьE|DG3 ‰c·=уL AOђL~F;D 5HЧNH_¶e Y_OWЯX‹[€`lX&lt;U ]Q GN¬G*CфCюDС=ђ7 }x]‡ U| RИ PD Oф xz@j &gt;\ r‚&gt;ѕ vЂC­ rYя~цдх9эщы 3щТмTмЫнpу bхнп Yрщн 3з \г Qв DгѓЭгШ‡*ЪЭШЭйЦ®О NЙjХеЫДСЬЖщВ¶ВЅВ YБtД»Г _И;З U»H№ѓВ :ЖПК 8ХKО ?П7ЧQЧ~Т‚Т]УгСHЦ”Х 3ХюХ 3УХУ LТ›УдУ}Ш¶ЧТЪрЧ*УјРрН·ФSЯuе€л‚нћфІоОлпнЪугю\ 8F 9е &gt;6 MХ Rм MЇ Jc Pа Ug V• \И d‘3э dЃ dФ a6 ]M eЗ5p `X [] Y§ ]Ѓ YМ Uv ЊЋЏЂ•ѓ]v †}OК ‚ЉMo Mј RЎ K® D~ ;… o~?в Gб K? JП EQ ;OэlяЃ ; @m {ЊKљ DQ @5 :V ?Ф &gt;ћ ?Є ?‚ ;Пьpъ:ьS 4u f[у IоЁнорёнaинвIе•дЮЫ ;Ц TР{СMЦ ?ЧъЬdбьбиЫСУеТ\аcк AмажZдeдјдMз =лbмЩмXк†л[мgл MпUрѓоfм QъЭ 8G 8й 5l 5› 7"&lt; Cь E3 JK VU _F [Щ SН OЛ QЂ „‚QU „”IП 8¤ ?I Q№ \т [ „ѓCЕ &lt; Aљ @› J¦ J» K¦ |ђHЦ EЮ GТ Fl M± b: QW C‘ C™ &lt;‘ ?Ц CЯ F– FҐ GҐ Hћ RQ Zn Yэ Sљ Rq ‡—XЈ ^ј _: XU [’ Sл K„ ’O? PВ ~…Fу @э P6 PЧ E6 ;U 96 o–A‡ un9ЉюЙыfэ &gt;ьrц ?хйшлэ¬ы cщ{сЁл3нNь« :\яyы§щ FчRуjщ4 misEю NуzрHцH ;« ={ Ag ?¤ 6‹ъZф Eшт g‹:љ &lt;^ 7ъщ OтQуцчцщРш PъOьљю‘ь™яВю]ыМыЏ iMыШчM km&lt;®ъUы Mю 7ыъыЦх \н;ш u7—ьfи OЫ*г™опув 5Nъ7у Yф?фАшаъгэзщ@эю 8S 7«эФьУъVф ZхИшYф Hсzу OщЂш Oц•х Gщ Tф Cц Fч–сХпSу·у3хMхЁц&gt;т @пШл Hр Uъxьkц‚чзьdц5оћ 4ѓъMсНууќрЎхSяЖ 6V 5B 6”я¬яб ;в &gt;Я &lt;Ќ 5‹ 4c 8Ш &gt;” D| F {szit‹B° x”DO EM Er tf?Б BЕ Fe HЩ y†BH &gt;8 BQ F» Gв Hn GБ Cѕ AЅ Aя ?· tЏFС CЈ E¶ :tьЗцЌъ Dя­ш®ц YпµйЏз AнсоалКл ?мЂи­ж aк‘ипе‰з Zл SлТгэа IзEнЋсРнПмдк•й†рУо:ж OЪIУ›Ф«УьСнЖ“АBЖ—ЖћГ„їSАЖїЖє a№Њґ Pј CДАИwДjј cАRА 4ДГИrЙчЗЯУЙЯщг ?ауЬ Gв Mи`пјтхфoц Jш°ъћ lo&gt;г ?± 9ф oFM Kj †rTН T[ P] QЛ [к \7u —\™ V9 dJ;‘7А7¤ dN ^№ –67 7: 68Б eЬ _7 ^’ `I dh bє W– Tа Rў Su Tµ Uѕ Oc LЫ H6 CX u‰EК D« FЛ Fy Dx tp?{ An x‰Go Ec vzD№ @d Bђ v—CВ Aе C&gt; AШ ;» ?• Be @f ?a AN Eњ F^ I¦ ЃmJ« H5 J3 Mб Jб Jё Nu SЙ †rO© zuIц HЫ C{ D} ~ЃMі H5 MФ |—Cc DВ 9ЅюќъВэб 8п p|5*у*п Xл Sмчм Rж–д~н QчўоWгтЮ№в _з¤жЦзїзлжВд‰гDм§хЁхЏфЛхЄю@яш Rы6ь?шЃыn 4µ 8М 3схг f‚m‘&gt;5 @` =л ;¶ A© A± :П 7« 6е =Z @ &lt;Њ k’8G :o :© 6ЪэЕьЋъ Yщйш 6ыvчOш Uш}ф¶у¤рВнOлњмќр5сDсHпрк6нYн dо LоQйhйљиъд¶еЙжRжЃзулvцu 5s 4бьВы9ъ~ь Pю ЌfЂ4– 4ньBщ QщЕшуц_ъкэюъ 7ыгьEьTщ­ф Gу5цHъ 4яљ 6ї 5©э‰щUю› 5Эя±ъкъrыґы]щcш ]юеяМьЧьІю 3юЦ 8— ?г @З @‡ BЄ CҐ @л ;^ ;Ч ;ы =» @E @n ?® =\ ;d 7± h•5Ф 3Гэ]юВ gw5€ fUя†юиыpы­юР 3А f&gt;я’юФьЭь CэШэ‹юpя UюЦэ°ю aя Uя— 3џ 7„ j7И 9y ;X ;° &gt;° @Г umEЯ Fb G~ G¶ Eґ Dе Gю JГ M€ ЂЌOT mGЪ zx‰JВ }vMz Ђlp{„Hж FE u{D&lt; AR A… sg:В 6Н 6Ь 3¤ыхИр€рxсНчFщ ]чГф5хRчёф@о}о 5пZл‹ияр @ч WтРнћш3 gAь®щЮэщя·щЫъz 4Љя _щ Rхзъ eэC pЊKО @о &gt;f Bѕ Dl rfmt;У ot&gt;Ю @§ Dp!G C± ;w 6» 5j 5I 5ѕ @7 G„ zvHk @ oЂ5сюћ &gt;i GP D‡!5ъ¬ ko&gt;й {Ѓ5Л 5R 4w 3®ъыхВы–цQцЇу^сімЖи ]Я©Ы Nдќе _ЧфЛ­СЄШ‹апЮАЧАС*П [ЗпјXЅМЗСИтГ 7ВПЕ DЛ†Т_ХGХУР®ТdЬци]фЪфЅп Vй»зЂтєшeъ t4iэдъP 3є 5Ћ gvlЉ6}ю™ь 6яб hgmЋ:x :ф 9g 8q 4Ўя Њ5™ ?T I!Gѓ w…Cш EЙ }“N™ ѓ“SM €‘UM Qk L: GC D@ y•}”~‡Hђ As mЂkЋ;o @k B· @Й =п &gt;_ Cє Li Nл GЅ szCO Jn QЗ M± Hи Du J• LR Hq DА @ф 9W k‡&gt;Я vxyЂC8 @` ky8› 9ѕ ;Ѓ ;R nxhk5С h€3Hю„эqшЏт‚хЎ 3| ;® h`ызц dхBщж 3џюcчМх¦фWф Sфpш{ 3Ѓ 8• :Д :љ 9Y 7В hrk|?з t‘@} p’p–=@ 8ЂяhэЊ 4Х fPюЎ 4й 5: 6a 4Зэ &lt;юwя– 5ґ 6‚ 7v hq4ая® 4X ;ф B6 G» Bє @7 B‡ ?” rjCP Aѕ mЏ6П 8® nz&lt;Y ;О 7М 4t 6Ъ :J ?о ?ф = o”&lt;Н @Л Gш KЋ z‘B_ &lt;ы :Ь &gt;Щ uЌBQ ;eюНыщы‰ 3— ni;Ў kf8O 3’ьўь Bь&lt;эIыџъ bцJсDнWоNсіу ;у Aо Rй@кякснµн­кjг NЫTЫdдЏк™йtе¦ЯАЮ]беж 8кЧпoуЈт®оЉлuрxщ jg‹8i 5Oэaэ6 4® 8ч 98 8p 6ч 4: 4Ё 8Т :З :Р 9I 88 3ѕэ QюЎьlьZэкюU fn4Ш 3РэђщГуќпjу Fъ=ыaъqщMщzчКцNчћх[ф&gt;щwяЯ 6W 7” 5SяД 4™ 8Й :C :v ;[ &lt;я ;p ;Ч &gt;!Cъ Hф IГ F¤ D  vЃDГ B¬ A® Bf Cн tj?Љ ?S B7 zѓ|„F[ Cm DS Ae ?є &gt; qsCt Dz BZ ow7т 5„ f‹4ґ 7љ 6Zяvы·хјцюыB 7щ 7иъ®рмпМчныGыYш¶ч‡щљч 3шXьы 4¬ jЂ6;ьИф–т bсљр„сOмљаDШ BЫ~аµЯ5ЯgгудwдІЭ 4ЧЬХчЩЂЯТбOвMЮ’ЩMХ[ТKР BСфШєЯDв `ЭєЫ?ЭЇЬ®Яфг 7иѓл OнDи—ж€кїс Vш cэLя?э‡ьСю ѓ48 6ќ 8л 9е 7Й fXюµьРцµт‰х IэВ 3r ggi79 &gt;Z wHO „|YЙ ]В ЋrTк KЎ N¬ Wд Џ–]Д ‰nNЌ {‰Oж V@ “g`ш Ya …•NЦ M La Lч „g‰j…u~u~zQ« R7 Rъ Nж Gљ @ъ &lt;4 pwAЈ A} Bк C› E{ EЦ vjsopl;п 5Т 3ё 5A 8l k…7gя JэYчЎцrьНьCчљф TчPыґь[цЮп‡пЭсћчРю ‘5Ш 6¤ &lt;W =п ;? 3•юэ 8М pЊm{:m 3В 4b jw:G 8Pяcю± 4ѓыму} 3g 5Ы 5Ш 5Фю~цBь_чfю· J­ FЏ 6u oxBz ru6ощ Vф Mьс 6D &lt;э &gt;X 8L jy:lъ6 5Ђ Dс M@ ^y Zz Bґ 6Ю =М KN Iґ J‰ SБ €ѓ‚–Gр x~}hAsя‘ 4№ ;± &gt;{ =« &lt;Ц 5x 4А :В =Џ &gt;o r‰CЏ D‚ D; Bџ Dq J| M­ Kз IМ Dt q…=Л &gt;6 @Ї ?Ў @J A© &gt;џ :э 5W 4„ 4Ќ nfB~ ?К 5Ию{ 5B ;± v€DЂ @Г &gt;Y &gt;o n…5Hю 5ю UэєьИыnцгн ;и4д Oе№дЁЮpШ4С WМ &gt;ЛdП5Т¤М 8АЊ¶C¶ [ЅgГ№Й€ИЧјЬґc·wБ”ЛЃЙ _Ж©ЗЛ VСтЫ‹вµЭЫБЯЁдXк†у @ь WщћпѓмОк 6лwт_яф :в 5Rч»с dтCх°ы IяТ &gt;В zeьrьЋ 8П G‰ [Љ ^” T“ pMэ_ k‰~zTу MІ Eл oy9x 8x :‹ 5ЖхимЏтѕц DхЁу»с X*млxм`иъйЭл Wн :нукйи›и{лLлµй aз{жлиНк Cкxиsз5йфтБшRш~щRъѓюЉ 3Б 7є &gt;µ CO {tJ· LT P[ O3 Q­ TЉ ‹x]§ _х `ї aa cЛ6Р? CCєBѓ=“6‰5Ј6I6t4П —q–w”nђЃV№ …w…‡bЁ eA [Г US SЭ Q` P” NК Mљ ~fz—Bщ CВ z‹Eг ok3мяA i‹8!;T :R 9Ѓ iLяRыzщВъє 3н 3_ 3Жыuщcщ&lt;щPщ“ымщ 8чЫфЩфYшАщ @ш [цлчлъ~яж 4юэФь t5Ч &gt;S q–m|7B 9ѕ @@ w‘D“ ?ц 8] fNъ_ш„ыљэЭщ &gt;уXп TнЬнuп»нїй?иѕж г dб¶Ю ZЬ“Ш VШcЦ­ФљУЗФµЦ SЧgЧЬУ 5ЦBШьЧDШ¤Ц IЩaЬ KЭПЯ3в‘жЊо•тжф 5ч @шџщ Cэ` 6и ?I DE AД ;л 7v 8Ж 9s :ж :Ґ 8“ 5µэQяк 4ш 7У &lt;Ъ 8з 7x p”t’D… IЅ QИ R&gt; Pя Hё =Г 8¶ &lt;й ;ю m|;љ :Ќ lWэPщ4щЛш 3я_ъ™ф6фaщ¦щўуГчзы`ыiщПч Nц‚с©мќиЈб№а \и&gt;ж 7Я5Ь @еХеҐй„т Aчђьj 4‹ 6Ґ 4‘ 8_ C= |uC[ ?B ?© @{ Ak CR FІ JЁ z‡AМ &lt;Д ;i ;њ &gt;r Bх BY Fё C~ ;j 7® 4“ 9і oЏ:Ґ 8›!9 k7яЩъвъ№ъФщBф Rм 3бnгµч Dы‡мЃгрб \г [зВй Tк 4мmл_л“лmлылъм Uк Nж 6к«тЭхdч bыeяУ 5C :ю ?Ы sjBн EG Ks P3 ‰†Zv ‘zbЊ •j•Њa” __ ]— \M ^U ^Р ^F `» ^© Xд Uќ VЂ Wє T3 ЂhH™ ~•OD N{ I± x‡D§ Bґ Dз Cд @\ rz&gt;&lt; q†:z fHя«яµю±ыiщКщБщ &lt;щрцэц@шЩш ?хѕтХф dц@чОчмц]ч6ш ZщБщ*шЂы Dю‘юќ 3й hѓ5hящэ bю;эйы”юн 3”яЄщлу`т‡уйцїщeщAщ ]ъЅщ&gt;эП 4; 5Т 4iяЖ 4O 7 4рюОя Ќ6ъ k†l|:х 7_ 5` 3Б 4G kЋ99 3Bы=ъ“ъ&lt;эЮ 4г g_юtщбыD 5x 8т 7\ 8ю 7ћ 7к 3Яю ;ю &gt;юtя€ 6X 7v iBяЁьКэTэџщ Lш4шcч…щ¬ъЋшхчФфЌхлшaыН 7ѕ ?О @R EЏ EР =Ь oh&gt;R!? ET D; E  K@ Kђ LM Qв S– WY Rг FМ H` {rH^ HЁ VP?д4® ‡‹AE lЃqfD¦ v’9U g;ш7м VлІтгы Wю]х Bп6йWеЉд6г‡ШВТ’вЁтMи GбQЫ5Ш :Ц 6ЯСл?к Oд Dа{б Kй YмЧм’йeк VиГи¤уfюµэ 5щ &lt;ш 5я‹ 6n 9Д &lt;Ь ;Ќ &lt;Ѓ D¬ Gj G± Gr Dl A† rx@¦ DQ ID NЬ Hy sm9й =Ќ CT xC‹ =± 9d &lt;Ѓ ?g &gt;g n9] 3Aю¤ш VтЗоНо‘т cтси dдЮІЫПЬlЪKШГХ–ЦјЭ bв‘гЗг @д eг RеМйµкHр€*унmж KЮђйgлэд dлЉфA 5”ш—дЁжЧжяж Uхї Da IR ?° iWя§ 4С 7Є =~ B  DP &gt;С 8¬ 7Е 7Яъжтeфµу 4ц UыЁь»хJмkк±к\кол¬п«ф‰цОоeжЇбDа—б YнхфірCчдцыфКнDхj i{&gt;= &gt;Љ ;i 6~ 5С 3^ю[хvряцпшѓь “fЃ4ѓ 6А 6™ =Љ HA M5 OЧ Iм Iѕ F™ M™ KH F‚ ?Я 6щэЅъг*ыьµх dнглзжђз Xоmо6охмcмКлxиЖн–ч· 4s ;» 5кэшqтск &lt;у Dэ№ :_ @¤ &lt;T :Е &lt;¶ CП EA u”AБ vgDЖ G€ Pµ S‚ †•Qw RЩ ЌW7 77® cM V« SФ ]H:е&lt;џ7…4 ydЎ ZP ѓђ‚ЊOї Nl ‡uTЃ Jv IЕ J6 C› 6Cчгц{ыGыДт =р»о6чь 3ТупмВомс Mхеш 7фsсЖпsн;лсз™д5еЖкpоLп»к©иМм]пѓфлэї &lt;q sz@M =Ґ ;о mЉA¤ x„|mHF F: Eї @a &lt;° 8Ъ 5М 5Ч 3© 5 58эъёюЙ 98 &gt;Y @5 &gt;j =€ ?Ш Aй B} Du {ЉIы Jњ K’ —ѓ“Rџ QG Uѓ V± Wи Y; ZП Zy ‹mUё P± ЂhLн Lѓ KC H™ AМ &gt;^ =k =Є 9У 5п ;¤ @C sѓ9ыю ^ъkуҐтtш&lt;эФ hnh6чЛлНктуёъэя Gя”щ•фљй8Я§б`л 9ц OъщЗхжлМе–вcд XкЁф°цьйKЪЙФ aЫ 9йXфGщNшОч·щuфaмОч 8¬ M· Y{ QК J¦ Fш Ћ†€Tй RЩ Qљ XЁ U? N‰ F­ ziJm ~‡K« Lу zjr‰meьІн¤йgчљ =њ :3ю†п&lt;и[е Jв¬жџлЫеѕЬ–Ю 5бйвSЮEЭ MвЅвёа aЬ XЪХЩ|ШmТўРПФSЫ Eб†ЮЄШиЧ„ШМЮьжбкзйЉжфдdз 9лYрѕхFшЖъйя¦ i3Pэ@яФ 9h &gt;м ?П ;{ :P =ё BD CБ Am AP &gt;Є :9 nj@@ C; u…Bў Br @C &lt;C ;o :| 7d hx6¬ 8Щ 6‚ 4m 4ї 3\ь Yш;фДфDц’х“удс[фСф[у:сXпМрwтЈх EхвуBхxхIх CцeщХщ7ыYы—ъ 8ь·яЌ iol„:!7Z 6н 84 ;i ;q 9T 8^ mw=± &gt;Т ?т AN &gt;; mkЏkw8H!9 7Q 3Ны aщsъ `яx 4K 3=эЕчёфбф &gt;щSъЌъ _ыjъGы’щ Eх JтКуђшVщ _цкхКч TъAь 9ь_ъ@ы‡ю? 3дэЅьвю ~hЌ5І 3ЦяBя‚юо fѓjЃ7f 3ыэz 4Ў 8d 9l 8D ji9? :ц 7И 5¤ 5O lin{=G ;™ 8— 5U 3и 7Ф ?y BN @Э m—8r ;• t„@М &lt;« =Я ;а 8‡ 5• 7Y :I ok:Ы kz;| of?[ Aа @К kp5Ъ 7Ф Bz KA GЭ @щ &lt;А 8ф iw=­ DС IЛ J› |f~vKу QN a© _S WИ V&gt; \5 \Ы Xњ †jM5 ~“O[ QH SV „D&gt; ?G =й =n &gt;џ CЖ Eе &gt;ї :P 9Ь 5Ў 5e 3эь IяЧ 6R 9№ 5– 3“ 5п 5Ѕ lsFq Mљ ~€Oэ R¬ Ko E yvIџ NЫ SР „gЂJ… z{C• ?Ж &gt;s 8&lt;щPфЮтlирЫЇЧ JЪХЬ FЭQЮeЮrЪkЬ`г?вWЯDе[мТнРмЅйWв YЮ”жbрєо…н Wу DуLмїзЙж]зЙидйZжъа¶г `иaе[г ]в»ЬАЩИЭ~лсэ^ 5цч3пxл&lt;н dхщ¶эт ;4 =ОэПф 7у Eш ?я ‡3: 3±юMщlф[о 3йaзЌзБе\аdЯАбEв€е dи 8к‚м ]н»уНысщГтЄн \нmн4пщхQюХ &gt;Є H¦ AH ;Б :^ 7_ ;Ж =« :\ yЏKQ :^ 4Е 6ьюЦьСшњт Rсэп AтчЉъaы•ъЇчEс”л›лЉн‡сџш9ю5 6‰ =С D™ y„@Љ k€7е kun†=« rfF? zOљ PL Nг Hш B› ?R B‰ u’=w 8Л 4ь 7д Aч GZ Hk utow@Д D° @“ &gt;Ф uvzn|mFS =6 5wю­ 3ѓ ;К ?M ;В 6м 8щ =® @~ rlom8яґщ 9цьу€у3ц†ъПщ№пЄд Jб„вЧзіоDрЫпZсmпwлvк 3н Yх ]юИю 5шЭрДр›щО 4V ji&lt;т Gр T‰ XZ „sJQ HK Gг GE Nх U8 \ќ a» a: \ї T– ~gEj GЎ ѓ†Њ€ЋvUg }Ќt€qЌsfst;ђ hUя aь `щ ;ъЈюY 4ж 3еэЖъtы9ь…щ =ц bхКцdхЗт ]хiч 8цlхьх:хЉуэуЕчЦюЁ 9к :~ 6ћ 3О 3k j„n†:Ј 7› 6c 5ъяКэёэ NящяIэРц :тСтoцшу–кХеaк Wч Ќ9± =Г 8pя DыLьЯю Mя– 3Й 7Ї qiB| &lt;У fOъ \чeцмуЋт”х 7ъDьLьoъ 4цшуlчќщЮчЊц°цЏч©ъо fk:Ф :З iPяЋыхщ dыиэ— 3Ф g‚3JьЖш dч¤шТю ЃoЏDЮ C‡ &lt;p 3ТщЧц ]ц `ш KьQюЊяќяЭы`чтуrръмЉк®м 7оГз©в‘вэвґдіз‡лЧпаушч¤ъ\ы‚ътъјэTя f6е :ћ ;е o€@С Cl Cх 7ЈъQы*яћ :y Bc CL = 5¦ю `ы•фpуГщOюЋ 3&gt; j„5”ь ЃjuwtBџ i_эdяХ 6ЄыPмІоГ 4ј EВ ЂnIp ;Щ gw=Э LЧ ‡hOЌ HG Lv Vз _J cВ _@ ZC U~ N^ {‚HL }‰}q~|“G„ ?` :3 6¬ю~ьTяЯ hpkЋrkF  A† hdцћоBпПфЖш{ч€уAт9хHщjшДт Uоwм _м–кЦиqй‚кЫкЕй NиЅж =гЫаUгПз?н°н Bи9гqвФкцйчфgфзхKшTщ `щ›ы x4 &lt;е xiIЇ D^ AЊ Es Nу UZ YD YX ЉxVМ V~ Xh XK S­ Mч P• Z; ”rb« ‹…w‹57 8Њ v‹Lr ‚xOx Ѓ‹L° |lI’ Cж qmF» PЦ ‡{T† RА ѓkMЛ It Jp Lг LH Lо J› yk&gt;б 5O gq9A rЃCl Cл &gt;У 3[уХл Eл:к Iжлг°жAзлвcацаNбVб‹бRб &lt;бЏгNй :м Tи \б~Ъц+Х RШ RХ«Л QИ­П”У ZН&gt;КJС EЫѕЯ›ЫЮХоЧєгЋшл =\ ;&lt;фЋе}иУфµъгшЖъ JяО 8] qPяЌч‰ 7Д iHыPю PяФ 5A =і == &lt;O 8Ёюjцtуlю um•8!5ЎяP 66 Aµ JO Iє &lt;єэЌч5ъ fk‡A¤ Jе S¶ Sw ‚„MЎ IЄ C» =љ nl&gt;; Cй Ee CЬ @: &gt;Ё 8\юRц cт‚ухфЗфэу JспиNа ?Я PаоЯ Qв^еєйBп3уoхAчZщучдт•рщрVх 3яP 7=я ?цIуџшћюр 4м 4ЬюдщvхµчЕы Vь —3ї 6V 3Wь~цNо¬нoхNь_ю3 f€6t 6ч h}hTэ‡щоъBъЇш‡ъСш Wу·с Vуэт XтШсирtмсжздWд GеійFсћшюш8сЉйле Wе†здо|щ h3zю†ц &lt;п‰пћу хmчpш`щЁьЫя dя¶ъ@ц 4фвхЃъчъЕчЫхrч 4ьHяљ 3фьіц eыZ 7Є ;— @ї @— n~;ю pxB­ DҐ Dћ JЅ Tђ ‹fWв SЁ NH Hq Fб Jл Jш F~ K!Q ЂQ\ T— Y® ZИ UТ MЦ I‹ GЦ DД CР AЂ AO Eл I~ zK‰ GW u„;Ф 6E 4Ћю Ѓ65 Bґ M± PF y|:Ї 7O 5сэ^ 3Ъ 7Љ 9ш 9” 8№ ivj‹9K 9ї 6‹ 5ш 7!&lt; t&lt;p 7M 5D 8q o…rЂw€K} L„ K6 LЋ ~nOШ V” [z Y{ Ђ’AY rѓA4 ?q 7Fъnчyщ}ч eуЮр]сvц {3N =9 Eѓ {uG@ En DR v{@¶ :њ 97 ;М ;O AR FЁ DЋ C± AA &lt;l 8L 7? 7T 8t ;Н nv6Wю dыЩхOт¶уєшдь&gt;юСыRуЬл?к[кЩлXо Fуєыв 5¤ 7f 4љыҐф QпЕхG nmJ™ Oj Nш Gў t‡?u q‹&gt;t rkAТ rs=” ;X =9 t‚Cm BЭ @t &gt;Н :э if6Ж 8¦ &gt;Ё D} DC @« &lt;э 4Ќщeщ &gt;ь Dь h3V n“?‰ &lt;Ё iPщ…лшвъв=иjпых _ш&lt;чГч†чыф Zуџт 9хnщ“ьВ 3л 6Ц 4Jя CяСя® 5D k‹7г 4х gЉk–=Ј ry&lt;4 4\шЕр*л©к8онх MьJэ:ь&lt;шипpи‡д@дЫйUт›ч™шiчзф _сdо‰н Iп 9ч ‹7п ?9 q„6{ьШшМф Gп WлЧмчрђт Uт?тњф№х~тCр®сwуoу _рTм|мoрЦхЩъЗэЖьRч?сЛоUрїф aщlы Rю p4gя &lt;ы6ътэў 5t 8з 8G 7Ъ 4цяћя r3lэ­шnуBкҐЯНЦ dРП :СJС’ФхЧ TЪ _Яґа«*ЪФYУ•ФйЦ ^Щ‹Ь’аbв Zдѓкёт OхСс›оЦм Aнќо’рZц3ыKч–рёнAоюс Xц…чэщr 4‰ =X E® {ЂC8 :D 4 юк 4Ђ 9Ґ 9р 9Ґ :E :ї :Ѕ kw7и &lt;l D‚ ytEѕ uiB\ CЁ wuFj Hе JЯ Kъ Jд Hз x“F` KЋ Nж M6 MГ Ђѓ„j‡kR§ Nњ }ѓxђDj GЊ HЉ z‘Fл ES GП z|H‚ I&lt; I] Gv G‰ JТ ЃwS!VЎ Vs €ЏSќ Pѕ Pw …wSn S= T© T~ S® OЛ |”FЈ Hd LI ~oFЪ ?г o“p‘;z 7o i}7о 8b &lt;S &gt;V pЏnђkђiЉ8Й mЂ:’ 8¦ 7Ќ 5бяЊюеэЉьhь`юxю [ъєу dпЎо ]сџф 4чVщiь™эЌэ ]ьЈх Lо `мYп ^фcхурЌмЈм \пFрънZйче–дів†б FгGе \зIй&lt;кЬи JзЮзЧкЪомф^ыSя g•4bя HюЛэаэёя x5п 3¦э±ьtюc 4њ 6~ 6Ц 6X 9Ї mt;C =ъ ?U BМ Cd AҐ &lt;± k–gBюЧю —4H 8© &lt;Е &lt;l n~&lt;П :Г gcьэЪ 53 9о ;g =i ;9 9€ 7у 4V 4B hv4~ 3Ь i–:¶ 9k 7я 6ї :!BЖ Hя Je |‚yoA9 ;А jml‹?B DЅ A® :Е 6M k”;™ 9; 5| 4P 6Щ i”7¤ 7x j‡ln=Г ?z ?« n7ё 6c 7№ 5&gt; 4HяFь @ь :ю©юЯю o4? 6; 6Ы 5з 5t 4МэФщ :ш \чцхщхщц Hщ 7ьҐьҐъДшышсщVшQхЁф†ц ;ч}уyп 4оЏм 7к€и Iй \кЛкЅлрл‡лѕмaн—л&lt;кгйжкИп¦хEчцфvр©лРкAп eцЬъМш _у ]сџу ]шэ| 5Ї 8њ 8t 6– 3Xь=ш Jцњх®цЌшКщищ CщйцтуЦтЪу°ф [хЧцUъйы LшWу RуАцAъ—ъ 6щ XшFш Lъ ?эµюЩя €4‘ 4Щ 5М 8З &lt;} AJ A› 8Fэ¶э hiq9ё 8м 5_юЙъШщЃыaэеъну™л­еTжЖл‘р Bт8рnмЮзедFдфеРн aш aьґыЅыXэ? 3T 6у l}&gt;М sЌ@6 q„?o Aш Bt Cь vqFQ BИ k{iu8Т 6Щ 3TяД 6Т pn?ч lVю3ш Kъуь 9эЮюh 64 ;Г qisr@f Aџ Be BR v~Gњ Ml Qќ!N MЎ ѓhS„ PQ IM Bэ ?Є B] IІ Mz ЊK` }qym=і 3¦ь Jэкя3 7X m—;› 9: 6ляюz 3Y 7Ў :’ =T @х AЅ AЂ s‰@Р @k Aв @ї ?¦ @z vѓE9 wiBG A; vjDѕ ?ю 8M 4тяZ 5K 9Т 9ђ 7k 6Ч i8е 9‡ :R 9k jz8Љ &lt;{ @Н &gt;х 8С 5± 7э 9ћ :­ ;H =U &gt;u ?Я AЬ w…y~Fm FЂ FП xCO ?e @Џ Eё Gf Fи BЋ =– :‰ :З 8б 5ї 5p 7i 7Ј 4Yювэ uft5ь 5є 5ђ g”3FэTъ RъjцёлDж]к Kнбп“цuц«рГоТлѓиФм 7фЖщ Hяlя ;щ{рЋл&gt;оҐф WщОьU 3л 5ь 7у 7· 5A 3КэrыgшmхйцљъЁъюшхцДсхл;к™мјо Bл`гiбЇзRм Pи†а:Э XЮяа GдUд©вЦгNи4м ]о&lt;пьм@ж Hвfжћпeц8ч =хму&gt;фЬхЊшъљъµщѓъЙю ojЉ:ё 9Ќ 6њ hj9‡ piBИ D8 vrn€kѓkl;Є &gt;с AЭ Dі EТ Dл CЌ s”;9 8и 9Р &gt;Е Aї AH s”&lt;Й 8Џ 7 6p 8\ &lt;і roB» Al ?Ч &lt;– :ћ 8y 7ч lѓ&gt;А ?° ?¶ &gt;џ =X &lt;° 9л 7К 6« 4? 5A :п @у FЎ Iц zѓF­ zxJi Is Fа wkFѓ Hц Kљ OР ѓzOЖ KТ Fо @!=ѕ &lt;X &gt;Н &gt;Щ =E =k ;» 64яцьЗь¶эЂэ eь3ызшвхCх Nц ^ц”фvт Zт ?т·рVпyн3м ^л{ишж¤е~в dвігBеЗл‹т®тNсЬсѕу‚чG*ыэТюМьРъ @ы8э aяҐю 7эoы±ъўыtь‚эёюA*эщ‰ч Eч¶ш Xы­ьЕынш [цcф№у&lt;т‘о bлSй 6исз Qй ^лAпOуНу”сфоМнJрОх LыdэbэA 3u ls=? =q &lt;е :P :Т :Ђ lm6ШяKя[ 5§ l}mЃ6Аюpъїц^ц Jшщърю s5W 7† 7Ђ 3\ыѕшcщФь i4Ы 6Г 7Ь 5yэьц*сSо«мќн­*рфvш^ъ№ъЏщiш°шjы x3d iЊ7с 56 3Uюvяж i|=O uѓE_ D{ @П ;Ь 7z 6Ќ kЃ&lt;z r‡Aь &gt;ґ 9L hђ4t 4э gЉ6Ђ 6ї h‚6z 8E ;z &lt;N nf9я 7є ki9ф 7“ i’5Ў 3ряw fs3‡ю bяХ 4‹ 6Щ 6µ 6є 7F :Z &lt;т &lt;® ogo‘;– ;x &gt;Є t“Cс BЕ rmЏh7яЪэLэґъЇхBрЇмJм6оТр\у9фbтѕпгнaмiлfлІл;мИм7лѓздaгJг·дhзhйсиnжlг›бмбњгІжФкlн’нlмЈлKн©с^чЮь l4д 5H 4џэ eыYыпэ\ 3џ 3Є 5я :m =Ї :e 6Єя `ю qf‚6x 8n :ј ;y ;c n—=С &gt;Љ ?‚ AЦ E© KН Ot ѓuOk Mк LЫ LU —L‹ K} Iя FЂ!D B8 @ю ?† svAw C™ Fр G† G] xoCw AЩ &gt;h &lt;ќ &lt;[ &gt;У qr=x mѓ8џ 5ія5э 7ь{ъ aш6чХчCщ[ъ _ъВщўщЇщ?ъ»ъ IыНы±ь*эx 3¬ 6ё 8‡ 9О 9g 8э 5x g3Ыю`ю­юѓя¤ 3Е 3№я»я… 4E 6Џ 7С k‡:o &lt;‚ ?— Aу Aa An AР BЏ Dм E; GQ Hњ {sIy J… L¶ O– Sџ UP Tю P© NВ M— L» Kи K L» MP NG ЂzKґ HЄ FP Eр DT wЋC’ Bn AЋ ?ь qk@· A] B6 Ac rpq;4 9Ў 7X 7Њ 7» 7Є l‘&lt;б &lt;‘ oЏ&lt;т ;} &lt;Й &lt;ф :Q 7Њ 4± 4љ 6R j†6ф 4П 4‘ 4д 3ф 3Ц 4т hx7K j•6К 4p 4x i€mloЃ;– lt9Ќ 9· 9o ku7­ 6ж 5A gx3¤юrы 6шЈцТч‚ъзыЅъГшЭц—хпх›ццJч=ш 6шСч Xшґчнц8ч 9щ­ы}эАэ Mэџыйщaщ~щ–ш*ціц{шCъћъPъnщђчeхЬу 3ф 7цмчЁч9хYт}р&gt;п [о~нoм Dлнк8лBкGи&gt;ж7еєе RзЎи cк YмунiовмEйЫд–вВдЈй?нуо†пaппTпџо :п Dр Kт Lф 7фqу bуцуjчЭъtыmъ Zъ{ыъь€э YюЫяC 5Ґ 7Й 9ў :w 9д 7Џ 7г 8Р :® ;4 ;Џ 9k 7д 5Ќ g‰f8я :эСщшцх [цЈчХчацЮх фuуэт=уDфпхV*шъ“ыЕщ°шєщ 4ыДыћьvэ®юW 4— 8• &lt;Ф =Ј &lt;С :f 8… 5 3 3q h‰8Х kЂ6ЗэцшЏчnш|щЁъ…ы SьAэpюҐюЊэ§ь AюЫ 3l 5‰ hx6Р ihiђ4їяyяC 3т 3Ќ 3–ю =ьµ*ыэї 3y 5К 4Шю Qь YыЬы &gt;юл 3!6 6Ѓ 45я°э…э [юЗю cяcяЎя? 3Ь 3T 4› 4v g‰4… 3ья5 3R 3Уя Nя &lt;ю Jэ©ь Kь€ыxы ^ыbъъПыжь Oэоьеь]эsюЌя’яhю«эgюyяпя ~3EяМь™ъ·ъУь €3и 6Щ lu;Р li„3хяЙ 4a jЋ:s &lt;В =ћ =— &lt;Г ;B ;B ;Й nto&lt;э nЃ;Е 9– 8№ 7a 7ц 6D 6к 5† 5§ 4М 3 3Д 4H 7Y l~9У 6h gs3o 3ж 5b 9л n‚&lt;B :G 8z j|7f 6п hq6а 6f 8\ 9С 8b 7I 5­я Fю ]юЦю‘я\ 3р 3г 3ряъюКюz*юьАъЏщaъћыҐышъёъ Fъ dшЩц®ц [ч‰щIэI 3В 4ч fZя Nяt 36 4ї 3Ґяgя €3fя 4ь†ш ?ш–щ5щ”хzс_р Sт 3фzх `чГш bъgъRщЊщ&lt;ызь aяћ 4Ш 6S 9а l•8‹ 7у kw;c =ц tqID Nє Oу M&gt; I¤ wxuЏAу @— r•&gt;Л =Т ;Д jl4«ю @ь­чКуфтlф4цљч XщИщЕч]х}х ZчUщKьzюКю¤юПя g6Е 9Ў ;” :e jЌ5µ 5v 65 6¶ i{7» 59 3эбыIыЖы dю§ gq7э jp8А 7— 7… 7І 7E 8б 8‰ 9Ч 9Ѕ 8у 6Ч 5Ћ h–6Ѓ j„lu;e &lt;¤ &lt;&lt; &lt;к ;ђ &lt;‹ &lt;ђ :ф 8Ѕ k‚9П 9У 9› 8г 6В 5й 5Q 6Л 56 5Щ 5ъ 6\ 7Ь jt9‹ 9µ 8Ф 6А 4“ 4Ъ 6ў 9Ж ;т &lt;Ф ns9“ jz8Э 8¬ 8z 7Н 6с j–mx&lt;? &lt;y m‰k‰7F 8К :© =ц r‰t~BЁ CФ xgHЏ Hy GF FЊ x…EЌ DЭ C’ v„DЮ x„zђFп v“Ab &gt;ф onp€pt&lt;” ls6Љя°эiэ“эLю YяШюZэ’ыЧъФы Pэ¦эџэXэВэЄю &lt;ящю‚юУэ€э¦эћэ 5ьєшgху*тс›т5фбхйцLч›ц‚ф–т=тБу Lц{ч¤ч 9ч bц 5ц Lц:ц \ч¶шoъ &gt;ь„ьЏы aъ VщМшwщБъХыРы™ъҐщҐщЌщсш bш Iш…ш Hш Gчшх&gt;ф®тщс_тfу&lt;учс 8смрВсPтдсс…с Vт&gt;у Iфчф =цNц_х Kфау cх”ц &lt;чуцzц Cц;цІцmч:ш†ш ?шЎц ^х¶фЏф‡ф =х?х _хhх{хЇхЬц OщУы SюєяY 3‰я5ю Pю„я’ 3ыяю*ьТы VыОъ`ыTэЙя ‘4ы 3’яБэ•э¤я} 5‚ 8З :i ;‘ :Л 8Ј 7¶ 6Ь g‰4О 4в 4J 4~ f‰3K 3] 3 3l 3ЭяеюЉэUьQы=ъKщТш [щЦщuъ 5ыЛъКщ«шЅчМч¶ш :щЛшєшРш&lt;щ¶щэщвщ…ш‘цљхGц&lt;ш±щЂъ°ы\ь QьkыФъEыhь 3юыяe 4C 5® 5Њ 5q 5№ 5Y 6а 6Э 6t 6U 6A 7Ѓ 8й 8о 8E 9Ѕ 9е 9Ј ljlЋ8И 7Г 7“ 7щ 7° 8Я k—9z lflr9Ш :B =і &gt;Z r‡@Ы @: At AЊ A: A• @M s}AЪ Bњ wqE‡ C6 tis—@љ @` @6 ?Д p€py=— &lt;Z ;Г 9Д 8ё 8Р kЌ8Ґ 6o 5Љ h’6n 6r i“6џ hЌ5І 4Ъ 3ЕяZяряx 3Z 3ря IяРэньеьdэ•эLэ=э 7эНыuъ :ъKъ}ъыщвшЭч_ч©ч“шЅщ°ъХъUъ IъtъЊыWэ7я† fЏ4’ 4U 5N 6A 7Q 88 9Х 9– : ;Ђ &lt;Ъ &lt;_ &lt;њ ;ћ ;« o~&gt;Ќ ritѓB‰ uЌBH AР!@ A| Aм AU B‚ Bђ Bx B6 BЫ A^ Aс @… @ъ ?m ?Є &gt;н =T =‚ &lt;а ;Ґ ;| n–;І :— :б!: n„;б m‹m‹lЋ8µ 7R 7c i•5› 3WяmяW 37 4Д 4± 4Ц 3®я®юµэ¤ь‘ыЩъНъїъ Nъaщдшqш 5шВчОчтч ;ш GшЯчџчъчДшWщЏщIщёшђш BщЙщlъхъXы4ыaъPщgш±ч3ч\ч–ш]ъ‰ыџы PыЈъ @ъНш PчЮхСхАцxчЋчЈчбч =ш Wш Vш &gt;ш KшQш“шлш|щчщ 8ъфщпщпщ EъЩщцш Oшбч~ш»щ @ы Xьіьoь‹ы?ъ Mщўш”шфшТщ‚ъоъЋыVь Tэ§эЙэзэпэЫэзэаэЙэ 3юyю ;яяЙя&gt;я7юAэ 9эШэhюЭэРэEя\ 48 6&gt; jz7b 6и 5ћ 5y 5М 5i 6° 6– 6r i|6Ђ 5Q 5® 5д 5‚ 5Є 4Ь 3„ 3{ f3\я…ю­ю™яE 3S 3Ья Yя}ю &lt;юЅэџэ Tю6я m3~ 3Ц fugѓ4ы f‹4— 4Ц 4X hЂ6В 6ч 6з 6„ iЏi†6c 6p 6К 5й 4’ 4Њ go5b i”7Ћ 6№ 5r 5м 5W iy6i 5i 5З 5Ц 5т 5» 6L 7] jЉ7» 6с 6ђ 7щ 7U 8ћ 8Ё 8Џ 8р jg7U iy5— fk3}я 3юtьгы ^ы UъЦщ Xъ :ыыQыmыћыьыЊьўэџюаю Oяђ+я&gt; 3ё fi4Х 3g 3h 3ї fp4„ 3­яBяфю `юнь{ь cэъэ Aю8ю”ю‰юjюыюЫяђ 3Ј 3u 3В 3Ч 3° f†gq4ў 3a 3p 3; 46 hЃ5П g‹hЌhЉ5э g€4ГяuяO 3ќ 3[ 37я Oю’юrя5яlюкэ VюMюЬэNюsяXяQю&lt;ю—юђюПэUэїьuьаь‹э \ю Љfm4є 4з 5@ 7Ї 7Т ik7“ 7U 6Ь ggrg…3Йю &gt;ю”юrяJяИэAэДэ LюIючэҐэчэеэdэiьPь№ь’ьЁьєьDь JэTэјьAь‹ь[эДэ?юjюбю 6язя| 3Ш fv3†яK 3Л 3Љ 3­я ^яьяr 3f f“4x 5!6Ќ 77 8p 8¦ 8¤ 8ё kq8› 7q 7Т 6Е hq6h iu6f 5М 5t 6\ 5Ы g5@ 6о hu5К 4Ю 4Ш 4п 4n 4s hiy6ћ 5Ж 5Я 5j 5Њ 4ю 3J 4А 4i 5F 6D 6‰ 6q 6b 6ќ 6f 6ў 5y 5 i~7‘ 6 6… 6Ч 6Ц 6R 6ф 5ї 6f 6е 5щ 4Д 4Y 4Љ 3T 3Р fЉg‡4Ё 3H 3C 3Ј 3T 3няаяD ff^яlяmяПюјэgэzэUэ9эБь¦ы[ыїыїыeыYыбы bь‹ьгьKьyь SэЩь¶ьЂьЧь¬ьЪь Kэ«ьЭьсь ьLь Iь Nь=ьбьЫьНь UьSьЏь¦ь{эжэГэ Kю™юю¤юOяDяћю DяЈяЩяИяWяъюjяK 35 gz5\ 5ј 5Ж hz6h 6± i…6Ф 4z 3†я№я[я№юOюуюпяіяcюѕэЁэыэ OюЭэdэрь[э®эТэhэ ]э7эYюcя8яЂюУю 7яNяЏя QяОюXяЛя‹яА+явяпямя°яУя m3N 3э 3б 3З 3A 4Э 3Дя€яl 3Е 3шяъю bя4 3B 3Шяѓяzя”я‘я„яZя JяBя¬я tfЌ3; 3М 3ґ 4f 5Њ 5: 5Ђ 5д 5„ 6а 6ч iЋ7Њ 7± 7\ 7= 7s 7H 7^ 7{ 7х iЂ6І 5— 5И 5^ 6w 6L i}6E 6Ў 6I jЋ7р 65 7З 7Р 7ѓ 7u 7° 7n 7Ќ 6№ 5ц 4c 4М f}3—я 6яєюЙю5я†я9я‘я‚яТюЯю dяKягясяЊя\я 4я¦ю dяЃяmяLяOя}яЅя ^я‘юъюзяьяхяЄяKяЉяшяuябюњю§юҐюШюсю FяБю]ю ]ю5ю6юлэ энэ ;ю Jю QюDюfю”ю”юuю ;юыэNюнюЃяRяМюpя x3«яNяaя…яSя|яAяrюЫю~я&lt;я Hя”я Bя8ю bю Iюъэ­эeэ Qэ;эfэ·э &gt;ю]юЊюЫюjяѓя{я€ячя k3СясяІ 3Н 3™ fЌ3ЭяљяВяЅяAяYю_ю›я {3Эя„яэюкюєяmяkяЂя &gt;я 4яцюьюsяџяХющю Xя]яSя Aя [я j3w fr3ћяm 3c 4= 4Ъ 3Н 3Э 3• 3є 3Ю 34 3Їя}яЦюДюёюЅю 6яoюуэЂэЫэЊююfюdюZюёюfяO 3еяbя FяЊя” 3^ fVяёюaя Џ3ё 3Я 3К 3• 3ш 3с 4U 5D 5m 5® 5@ 6Ќ 6v 6ђ 6  6N 6Ф 5¶ 5‹ hЋhshf5У 4Ю 4Э 4; 5ђ 5l 5g h‰5M 5v 5Q 5 5‚ 5r 5Y 5Є 4~ 4й gЉ5U 5ј gmg€4п 4z 5d 5р 45 5y 5L 5ж 4« 4д 4[ 5В g4„ 3ЪяЧя6 3W 3E 3эяоя§я’яРяїяИя “3мя4я&gt;яМяНя†я 4яЏюЋюџюЙюъючю Fя Pя*ю[яNя Eя6я6яоюою Aя~юPю \юµэ€эЕэ 7юдэ¤юТю‹юГюuя§я¬я‚яДя§яНятяhяљя k3K 3йяtя YяKя4я :яћяЬя}яRяЌя…яuяZя bя&lt;я dяаюию|яЉяЂяйя z3гя {3l fЌ3Цяґя!3 Њ3Бяuя‰яЈяўяjяtяЗяµя‹яVя Mя @я3я Gя =яZя KяЭюлю Oя3я Uякю¬юЛюєю\ю Yю Tюеэ4юўюЕюДюЁюХю eя`ятя7 3F 3s 3» 3ђ 3f 3§ 3ё 3Х 3Ъ 3Х fs44 4] 4] 4A 4U 4Ё 4  4ј 4В 4ї gЏhu5` gЂgЏ4S 4q 4J 4Ґ 3h 3¤ 3н 3б 3Р 3с 3л 3| f{3D fJ"3 ђ3: 3ъящяR 3z 3Ј 3й 3¦ fz46 4ч fvg‹4• 36 3E 3г 3Ѓ 3еяНяЦяЮя ufsf|3уяЮязя‰яЉяНябя яMя Qя =я Hя 8я|юQю¤юµю“ю aю Hюgюжю Tяљюќю AяgяЛя¬яВя9 3B 3‹ 3Ј 3t f•fl3*я |f”3йя›я•яяҐяЏя‰я№я»яєяИякя ѓ3ня€яЖя&lt; 3: 3ЪяШя Џ34 3G 3Ґ 3Б 3њ 3І 3с 3ж 3м 3Я 3Ґ 3ѓ 3Ѕ 3§ 3« 3† 3ќ 3Д 3џ 3ќ 3е 3в 3Ч 3З 3Ж 3я 3в 3А 3є 3¬ 3x 3O</t>
  </si>
  <si>
    <t>RI*F‚ I!3WAVEfmt †C"3 gfgfw^!3 UV!3 hfv3data^ I!3 y3юя |3Ля q3&gt; 3a 3H 3~ 3A f‘3Дя‘я;яGяrяТяКю€ч ^х\щ i3В oѓEќ u„&gt;ЏяNтHмЭвDЯбЬџЧфЫpбLи \и Zл Bш‹яД &gt;v KЌ Gе @S 7»ю®яЮюђ 4c 5З ;и CJ JN S» Ћ66\&lt;„EYIa768S3N `‰ cё ]q `к NV Hп BЇ ;’ &gt;О s—CЁ CЫ E« I° IO A9 &gt;h j@ъЗнЛаЬУ OД ?Ї 3¤· 9ЌE€Ќ•и ЁЇшё 3ЅЙВЌ·Ж±?·C¶С· GјlГ RВ JГгЖqОJС PЪ Wкпъ[ &lt;— wђE¦ DU z…z‹DX HЁ Eo t’x–G“ MЩ UЯ d`: GF¬SKYЦW€`Јd 5ONH:&lt;і3Ф bн –^@Є;oKЎY3Tє]¦J3LdC E&lt;шDЙ;o5 ЏXl Nя @П 5ўьвчњьB 4ЈэMч eу[нЉз:с =ч8ф° 5з 7xяzщ 4хўу =ф†щiч|х=шјхИяёыяы‡ъ‘уыэвщ7ш v4&lt;эНяP 6E =л DР :д =d uf&gt;&lt; C_ Eљ DH Gd Jб ‰u?h Dх E· D? Gч HX Fс Cќ AЖ Aж AБ ;З :ь OфїлѓвМЫeХ PО QЕЙїеѕ’З;ЙЯО€УRЪmаВиKд=а&lt;Я OЬ№ЪqЫћЧІЯтЫ}УuЮ°аЋаYб &gt;ЮОЯњжLаQЬOЩљТъПвСJЧьШўТКФ‚ФUЩXЫaЯjе HбzЯjЯЫЩ‹вђвжглд[р 6фкфКт dыќщяыЉюuюОч[ъ •6_ 9А 4F 3сэQы Tь Xэв 3р ;Ј vmJ­ PX Ќ•_Р bq aЩ [У Wє ‰ѓQ&lt; Mb †m‰ЉR6 P] †uXx Vk V• Xђ Qо O‘ Q® ‡~XА U} U‰ ‚I6 HO HС LЗ Hг F{ z’uhBШ ?M 5hь{ътф eпЈт Aо [н KнУт?хnх°ф NфCчSыgыьщ«ш‡уQнекркЄм…мИнНоAоЩпуАьЬю»яУ 6[ @y ?Э AЖ AН Cм wЂFб E™ Du B‘ D† E› Hu My U» Љ{ЊxЋw^м _є “h_“ a‰ •b  cд •x_р Zu ’}b= _А bз ”m_ђ `N ]a \д ^9 \q \m W9 SП T= TЛ …oPO ‚tOк Oь OK „‰SS Nы JV GЎ A– =Ь 8Ў 4:я Rюї 3ряm 6  6Ѕ 6д 6– 4S 4µюэюDяћяћ 3°эBь ZщќцЦуХх Rъjьѓ 3U 7L 9Њ 9 9N ;; =“ =“ sq@M &gt; &lt;Л 9Ц 8h 6‘ 4dюІю’ 3&gt;ю cюgю Mь­шют|рЕнDл^иuвЄЭрЩaЪКШ@Ф KПшЙzЙEИВИЁМ¶ЙЏЖґЙ|ЖoДИЖ PЗµЕQЕУЖaЖ 9ЗБЙ UЛ AЙЬЛ“Н GМkМQЗ­Е IЙ 9ЛФМ„НЖОuОіР§УїХ _ЧBЩЧЩ 7ЬeЮҐвpжбзnйeл 7нHр VсчфНфdс&gt;уЛт®у 8щ @шЋы Dяw 4Y i8ў :? ;6 =} &lt;i =х :Ґ 8? 8’ 8щ hj4С 6j 9Б 9щ &lt;3 @ќ CW yЊFh {ѓ}pLщ Nb P… Qi O{ PШ OУ PЖ „‰RС Qi Tч Rк RР Rd †“Qж Mu K¤ Jj J€ }zKy Jн HЄ HP I€ {g{gIH y—Gђ HM IЪ IВ Iz KK ЂxLM •K— Kё ЂЃM™ J‚ Jк IЦ Hё GH GЌ yvE wDµ v|CA Bж A&gt; u}Ag @d @U AЗ @ф @w BH vCЁ D‰ xuDЎ CЛ BП &gt;• &lt;Я :X 8Ѓ h–34 3nя8эЈы¤щAщЏчrч‚ц Kф Bс Yс KсЪр MтLрыоЃпmоюнынГн GоЕо‹нЛнyн@о DсьсєфaчЗчашSъAчцчХчпцЯчrч QшФш 9щPшuш¶щ;ыVюяm 4» 6Ц 7M 8у 8• kЋ9Ж 9н 9п 9{ ;ы :К m”;; ;й 9х 7| jm8S 8ш 9В :s :€ lo:I nЉ&lt;ќ ;Ђ ;H =± &gt;с =ш pѓA€ B… Bg B} Cu Cи Bљ B‹ AА @ы @Н t{A9 Ay @l ?« ?ђ &gt;v =ф ;!&lt;f ;® m€:¶ 9Д"9 Ћ7п 6 6ў io7• 6? 7и 6” 7f k|7| 6L 5ф 3НюPю [э=ьЉщ‚ч9чЧхзфhу Fтют®сPсис‰със OтТт^тЏт‰у„фЊх@ч9щ¦ъЊъ™ъ\ъ bъ&lt;ъ‘ъ &gt;ъ›ъfы @ьрыСы&lt;ыЊыЈы4ыDьбь›эЏю aяtя”юFю SэКь [ю Lю¶эВэ 5юЧэ@юk 3Y 4· 4’ 4Z 4I 4} 4„ 5Ё 6Б im7° ipit6C 6F 6ќ 7Щ 7б j~9„ 9№ 9n mq;ѕ ;u &lt;С n†n†9B 8Ь 6€ 5Г 3ћ 33 4з 3н 3х 3O 3l 3H fcяЏюЮэ LэdьSы¬ъ &gt;ъ ;ъ :щ…ш ;ш»шzщ­щ ^ъйъ Kы Tы§ъ‡ъ Yъ Dъ`ъИъцъ Vы¬ыъыИыgы›ъ YъхщPъ &gt;щjъ Kш Kъ§цЎшЯчDфlч @чЮх `цдщ =ъxчhчіъ…ъJь&lt;э~ь{ь±я `я†я ”3А 36 4К fЉ4д 4Т 4; hphЋ5У 5Ѕ hђ6W 6Ю 5r 6g 6В 6W 6Ы 6У 6Ш 69 6z 6э 6Д 6ќ 5Ц 6d 6Ж 6ќ 6— 6У 6ћ 6V 7њ jl7± 7l 7О 6h 6} 6‹ jkv6{ 6С 5ф gn4c 4= 6ќ 5] 6ј 7б 6: 74 jfj}7&lt; j“j‹7] 6H 6ю iѓ7A 8б lh;о ;g &lt;C &lt;I &lt;є n…:С 7… 6Х 6~ 7‚ 8w 8– :u &lt;o &lt;З =‡ p’&lt;Е ;I ;P ;€ :B 9з 7R 7J 7\ 7ї 6{ 7Ґ 7¤ 7‚ 7к 7Л 7г hs4a f‘3ію7ю”ьEьўыьъ]ъQъuъ€щцч ;шkшўъlыSы§ыФыРы Yь Lь¤ыиыUыЂыcыы ^ь•ыzы @ьЄь·ь YэЉэWю _ю 4ю 8ю“э‡элэ GюбэKюэ XэЗэґэєэЊэIю FяУяЇяЄяB 4v 4} 4G 53 6Є 6u 77 8в jr8Т kЏ8W 8ђ 8!9 |9і k“9o 9Т 9; 9й 8Ў 9¤ ltm‘njnk;т :З :4 :ю 9Г 9П 8o 8Э j7; 7t 6q 6O jh7` 6п ifju6M 5Ю 4] 4д 3ј 3ъ 3¤ 3M 3йяRяkя i3џ 3љ 3Ю 3M 4В 4[ 4ё fj4` 3oяoя 3яКюы+юЂюmю°юZюoю‡юµэJэ Cьчъ^щ dш8чоцKцАхЮхгх aцlцЯхКхНх3хЕфКфЁфўфqфХуИуѕуЅуЫу\уДуZфOф§ф Fх`хАхзхOцЁцяц EчXчичочSш&lt;щќщ LъPъХщ»щгщ”щ–щ·щ &gt;ъвщХщMъ…ъЖъ:ы‚ыФыЅыLь—ь 8эЩьчьPэ 6эµэ^юjюйюkяРя —3n 3С 3R gy5Ж 53 6u 6X 6¤ 6Ъ 6U 7њ 76 8J 8н 7¶ 7“ 7X 7u 7· 7з jq8п j—87 kЃ8T 8Д 8Б klЊ9c 9К lq:c :!; †;  ;Ю ;п nsoro—&lt;Й ;a nf;Р :е :• :Љ :† :9 m—:Ќ 9O 9l 9~ 9Н 83 8‹ 7­ 6‚ is6v 5u 5d 5› 5Ц 5х hj6; 6q 6I ik6В 5Ц hlif6Q 5ж 4Э gr5I h5н 4є gihshѓh—hy5Ќ 5› hЏhЂho5Э gl5a 5a h–h”5й 4€ 4ў gw4» 3l fv3h 3а fl4n 4Х 4г 4C 5w 5µ 5t 5к 4‰ 4~ 4Л 4¤ 4О gf5F 5’ 5з h‡6Ђ 6y iЋ6М 5} 5ы 45 5&lt; hЌh‰5: hs5з 4е 4н 4¬ 4Ћ 4… 4ђ gy4Q 3йяѕя{яоюЇюpю `ю Eю Nю Dю 4ю 3юуэ[юѕюХю;яyя„яПя‡ 34 4m 4Z 4c 4Л gnht5— hki–6ђ 6k 6‚ 6u 6… iѓiwin6® 5k 5п 4} 4B g•4— 3B f‘3} 3P gy4’ 3G 3тяЄяCямю»юGю @юЬэ Nэ &lt;э Dэ7эхь‡ь^ь &lt;ь YьФыыdы?ыUыnыYыюъёъыъ ?ы Lыюъьъ RыръьъЯъЫъ Aы°ъMъPъ Qъcъ3ъ BъЂъ 7ы4ы Gы Hы&gt;ыіыЙыyы\ы aы Bыюъ &gt;ы aыDыlыТы ;ь®ьFэЄэ dюiюћю™юUюfюyюQюfюnюиэьэљэЮэеэоэ®э€э›эДэЗэcэ=эqэ?э eэбьДьФь &gt;эhэ~эЉэГэзэПэйэ Gю ^ю ]юћюµюФю 6я&lt;я|яіябя Џ3X 3x 3® 3Ъ 3С 3г 3O 4Ћ 4” 4w 4љ 4; 5] 5r 5Ѕ 5¬ 5l 5z 5§ 5Ъ 5Г 5і 5Ґ 5` 5R 5v 5ґ 5е 5с h“6м hmih6Ѕ 5Л 5‚ 5d 5a 5` 5W 58 5т 4± 4Ч 4¬ 4љ 4Ч 4Џ 4N gЉ4‹ 3K 3еяћяЋя?я dяeяrяKяXяvя±я x3Чя€я·яЛяbя4ямюЙюБю Vя&gt;яIяЌя’яЅя }39 3’ 3й f‚4y 4ћ 4Щ 4ы!4 5&gt; 5— 5Ќ 5ї hw6ц 5Ц 5К 5с 5H 6c 6b 6ѓ 6W 6T i|6П 5Щ 5х hr6ы 5Ы 5µ 5Х 5л hpi{iЂi’6R 6¤ 6К i†j•75 7= 7O 7 7¤ 7т 7Н 7¶ 7Є 7„ 7~ 7s 75 jo7з 6з 6К 6ј 6r 6X 6= 6a i“ir6Г 5б 5Ч 5К 5І 5µ 5Ћ 5¤ 5l 5q 5~ 5Y 5M 5I 5р 4б 4Г 4ј 4W 4H 4ч 3щ 3м 3 3‚ 3ћ 3њ 3” 3\ 3чяуяЯяЭяuя[я Yя3явюыюжюзюѕюўюјюђюТюРюИюєюЁюђююѓю:юSюXюLю LюьэфэУэфэ Gю 7юрэ aю}юҐюАюмюпюиюДю 9я Yязю AяэюЬюШюую SявюЇюЙюйю­юјю~ю…ю JюЮэщэ Nю§эєэЅэЧэМэ Eю 7ю Mю LюYюmю|ю\юію§юЉюKю Wю \ю Tю 9ю Hю Pю Tю Sю Eю Kюшэпэ 5ю Bю ?ю Cющэ @юкэЖэНэбэ 7юfю„юµю№югю8я Gя ?я Wя [я 5я CяшюхюНюЩюдюцю6я Xя Xяxяњя яеявянявяэя „f”3] 3M 37 3G 3Z fЊ3C 3: 3O f—36 f^"3ЬяЛя¶яЎяќяяKя ]яdяhяAяEя?яeяpя}яjяяDя9яNяHяGяQяiяЋяГя§яїячя·яЛяЖя©я«яќяЄя яАячяцяш+я lf’3W 3m 3 3— 3¶ 3И 3а 3к ftgѓgo4N 4b g•4K 4k 4&gt; 4J 4[ 4d 4k 4† 4Z 4u 4w 4 4© 4u 4T 4] 4F 4&gt; 4C 4G 4G 4? 4E 4F 4= gђgЂ4W 4p 4I gЌg–g—4D gЃgmgn4й 3й 3Г 3• 3¶ 3µ 3ґ 3© 3І 3Џ 3W 3&lt; 3J fЌf‰f|3эя k3Шямя ufpfk3ЧяЬяѕяВяДяИяЇя°я§я¦яuяyяzяuя‹я•яfяhяяxяЊяЕяІяЎя­яяђяrя†яЌя€яћяќя|я™я”яfя€яzяЂяdяnяTяQяяkяiяЂяfяЂя‚яњяЕяЁяЄяФяІяѕяЬяЩягяъя tf•fЌ3V 3= 3b 3} 3» 3™ 3А 3п 3п 3х frgk4к 3ы fxg‰4Y 4g 4T 4T 4M 4Q 4Њ 4ў 4І 4© 4Ц 4Л 4ґ 4С 4У 4Ѕ 4м 4д 4п 4ь 4Э 4т 4Ъ 4О 4Т 4Е 4» 4Ц 4д 4¶ 4Ё 4› 4¦ 4k 4= 4&lt; 4; gigvgq4ь 3М 3Д 3ё 3µ 3± 3ћ 3\ 3J 3C 38 3? f•37 fxf}fѓfmfxfm3ЯяцяйяЮя»яјяєяЇяЄяµяЖя№я¦яЇя¦яљя’я™яЉя‘яЋя‰яvяzяTяFяHя8я Eя @я ;яфюЭюЦюїю­юЄю¦юЏю юЋюqюѓю…юrюwю†ю~юkю‡юЃюЃюwюjюmюЃюtюtюѓюqюbю‹юЂю†ю™ю•юЊюЎю—ю¤ю¦ю–юІюћюЁюАюДюЛюМю№юФюсюй+ю 3яшю 5я Hяэю Cя Gя 6я Rя dя7я Vя Zя \яGяPя?я^я_яbяuяsя‹я‚яЃя–я‡яЂяќяЎя—я•яҐя™яїяЬяЫяЪязяця …f„35 3O 3d 3e 3k 3w 3… 3 3 3§ 3› 3Є 3ґ 3ї 3Є 3· 3О 3У 3Щ 3е 3Ш 3р 3Ъ 3в 3ш 3р 3и 3д 3о 3н 3С 3Й 3З 3· 3І 3Ж 3ѕ 3° 3« 3ў 3ћ 3¦ 3– 3њ 3Ќ 3• 3ќ 3€ 3v 3z 3T 3U 3U 3U 37 3= f•f–37 fЉfђfЏf‹f€fЊf†f}fgfjfifrfm3хяюя m3шяеяьяюя lf}fufѓf{f†fЃf†f}fЃf„f„fЉ3&gt; f•f‘37 f•f“f–f€f–f39 33 f—f“f“f”f’34 3&lt; 3F 3J 3P 3P 3E 3Y 3^ 3` 3\ 3[ 3W 3W 3^ 3V 3P 3T 3Y 3W 3_ 3] 3i 3f 3^ 3^ 3k 3x 3` 3c 3X 3^ 3] 3Y 3W 3^ 3U 3Z 3V 3Z 3O 3_ 3_ 3\ 3[ 3[ 3S 3P 3W 3Z 3K 3I 3&gt; 3: ffЌf‡f‚fЊfzftfk3юяшя ifkfo3ьямясяеявявязяняжядязяияЯяСяСяХяХяФяЫяПяЩяЦяПяОяФявявяЭяЪяЭяЮядяйяжяфяхя!3 pf|fyfvfxf†ff}f‰37 fђfЌ37 f‘fЌfђ38 fђfЌf‘fђfЏf…fyfuf~f{fpfifxfmfpfnfl3*яюя kfh3шя l3ыяшяуяряояжязяеягяЭяЬяЧяСяНяЙяЙяБяёяІя¶я°я®яЈяЁяЎяҐяџя™яќяќяљя–яќя›яЈяЎяћя—я я§я¤яҐя«я¤я«я®я¦яЎяЄяЎяЇяЇя®яµя­яІя»я»яёяБяИяЖяИяКяГяЙяТяОяЫяЮяЬяЬяиядяжяияняряпяоянямяояйяняфясяъяшяьяыяъя h3эящя 5"3 mfkflfg3*я mf:"3 kflfkfmfifnfsfvfvftftfrfufpfrfwfwfrfrfyfyfsfwfyf{f{fzfufufxfyf{fwfzf|f}f}f}f~ff~f…fѓf‰f€fЋf…f‡fЊfЌf‰fЏf”33 f–ff•f”33 f—f–33 f“f—ff”f’f“fђfЏf‹fЌfЉf‰fЉf‰f†fЉf‡f…f…fѓffЃf‚f~f|f{fzfvfsfsfsfqfnflfkfjfj3эя#3юяюяьяшящяшячячяцяуяфятясяпяпяояпяряояоямялямяояоямяоянямярясясяуяуясяфяфяцяцяцяшячяшяъяъяыяъяюяю-я#3 4(3 hfhfifhfifjfififkfifjfkfkfkfjfkfkfkfkfifjfifjfjfifififhfifififififhfhfhfhf5"3 gf4$3 4$3*я%3*я!30я'3</t>
  </si>
  <si>
    <t>RI*FШI!3WAVEfmt †E"3 gfgfw^!3 UV!3 hfC"3dataІI!3фяшя«яѓяќя|яЗяЏяuясю Vя‹яШя 33 3“я3яKяияc 3—я„яV 3ўяwя Gя_я Hя&gt;юCя 4яМюђюя] 3ья ѓ4М 4’ 4t 3Ґ 4T 5Е 5‰ 6Н 7в 7° 5х 4k 4э fp3yяЄяFюµэЏю8я Rяµ 3&gt; 48 5= 5Џ 4ђ 5w 4• 4Е 5е 4Д 3тяZэ MьUыUъиъ—ъЩыЗэKю x3m 4—"5Ъ f•fr4S 4; 5I 6® 6r 5Ч 4Ь 4z 3ћ 4B 6x 6Њ 6Г hy5о f‚3ј 4H h“4j 3:яѕю7яУюЇ f†5Z 3ђ fFяуэfэ[эЧьќыПщ dыxьбьЫюЇ 3щ 3&gt;яљ 3” 5ў g”5X 7Y 8r 7l 88 kЋgWя Wюyэмю NюjэyюFю”э bяЛя Aя Aяhя Yя\юdэ ^эРьияЌ 4“ 4ц 3дюpьqь Vь”ьўэиь›эBя 3ѕэСэў 4E 3P 4Џ 6ж 6&lt; 7й 7T k‘7I 4w fp3¬ю bя~юКы§щ 6ъ*ыЌыMъЛщ3ъЫщNшQъ Fьуъ8ъ Wы*ъEэpя k3°*юя¤ hXяйю™ 4} 3пяp 4_ gu7g 7H 8э :R n‡8ґ 7B 7’ 7R m…&lt;ђ ;Н :V 7MюhъЫщoчVъ Xэ ‹3х 4h 3µ 6м 4iю ђ4кюэчя‘ 3L 6џ 5tюЂю \*юэ 9юzюЪю„я± 3L 3U 6В 8A =З ?ч p„&lt;: 7° 3щ fv7М nЊoЃo”;© 9_ 6] fCю ^ь @ь @югщсыцэbьЮь KъHы 9ъю*щыЛэБь Lь„э›ъ CщСщoэ{эј fЏ5J 3‚э[э{яа 3¬ i…l•;8 ;X 9} 6e 4е 8l kl8H :№ :С 3o gЂ4Ґ 3°ьxт¶л¤кіл PсZьU 4¬ 5O :™ = 9} gЉ6Б :Љ =µ &lt;a :Њ 9N :U 6ё 3ҐьOтdсХфЉю n6q =M tЊ?J &lt;3 ?б Bэ Dц vqDB ?Т 5о 3ѕ 7‚ 5J 7ъ 77 js5“юґю Gю :шиуYс Aм›оTп=сешQяЂ 4oэUыAэПыИщ [э«я eя Jя± 3i 3Щш bтЉр 9у Iт TшЌ 8б &gt;ч Eљ LЫ NK S§ QЃ F‘ qf&gt;Ѕ &gt;@ &lt;† 5К 5«юcчъс ^рмфVц SнЗк ?кчо»хf 6= =Y 6R 3ќч*с?схр7мmм±мoпс Qр‹рCфХт«уg 4№ &lt;А Bб G„ K– zvAЈ AF F¤ EF CA 9K 43ю|ю ‡7W 7Є 3—ъ’щєыс 6w 6§ы UрЂи HиідэкDъНяC kЂB” qknЋzЌK“ |kG¶ p7ющцTщ Wэьэёы:цvхfц—ъБ :н G‹ Iх J‡ IЌ Hї tЊ:е jVюЕщ*х EуJшкэРяЏь&lt;яYя DэW 7Z @з Iw Eе Eg ?Ёэ[п ]ейлBэ f8V q‰@Z BЄ HР Dy &gt;d 6[ 7з i‹8‰ 5|ю3ь=чТуФт Pь7юk 6iяј 7† kh&gt;ІяЯ 8б 3жч Sх&lt;о &lt;у=кГхЫпчя’ыл ;n &gt;Я @D Ik v‚Cй :o 5гь Џg&gt;хwывш”ч–рaбќжKе 3сVчЗ r‰An qЂ&gt;я 5О 56щpш 8уЇч9цЎп Xо&gt;з 6пЙчµ Aт |ЋMЕ Gю 9hьЕцFэ qh‰8]цD 4vэ cщ[щwхРхјо 8фХч pip&lt;F EU OE JI Cп ;» :Ў 6Л 9A =vя—п 3у”щ„ hz&lt;з hЋ&lt;[шЇт Fц§ъ*щ]ьІш&gt;оBн Wнпу ]ц \ю` 5Г 9‹ &gt;^ @о L€ OE J§ E© &lt;I 4хъђъ¤рКдлЮнШ`Ц MЭ GиЄцЮ 8Б wpPІ UЎ T] PT Kк oaь–ф5с¬н?мЬл Nйж PйАуlц· 9Д Aj Dv GВ }ѓJ” Cm &gt;ы :yы¶тЎцZщ €5f &lt;X qy;д &lt;3 :Ы o{u‘@Y Bё tpsh8ю 7] &gt;  =р k6S 6Ш lЋCй Iµ }gGЊ ?Z :э 4сNт—щ \ч =цmшау‰уcь6ыяю6 :» =‹ Aю @4 &lt;‡ 9тю ^ы›рВж„кiж =дўЮфбVб]дВкфн TуNщ ’lq&lt;{ =Є &gt;ў ql;С 4ИщахЩмzсП 3Ј &gt;і JЯ Nѓ R“ L I8 @O :± :ы 8э :[ 6gщVт™л*кЮр©с Mф Jыз 4» jt5‹яћ 4Йэ†эґцJф†с cи:жѕиvзНз Iо7с Њg|=b ?у s‘FФ Dl Gќ Hј D_ sђo~7Ј 4ж 3Иы ђhЏ&lt;И v’JX L• Wj Zo W4 Zы T` GR @¶ 57ч Dу bпітiпежSлiй—к Sр¤ф^ъkъ Mф¤ф =х©т*ф `с‡рaо JнЭтъц Tъk 4е 9d 8М ;С tЃAw B: Cg AО Bо ok4ЅяѕяW 5г 8ю =й Fц Jo M« „pOU IЯ JО EH Aї &lt;Ќ 3№щанХк &lt;о€кзлрпбо TхPшПц Fэ g6в 3въеш4ш 5щ RчOэі 4Эя«юґь Cшkэ№ o†Gґ L± v~‘Dщ 4ЩчЙч&lt;ъ† 4ї qk@в ?’ 5mь z7L 7c 5ю fJш Eу кtв€вКаmгЊз Oл—лa*псґшЮюеы q5ђ :± &lt;ъ Eг Fї sЊ7ъш€тРсгш 4“я 7я 4ы Dф§и«еЬк—рgщ Љ5I hm5њ 8~ 9R BХ rti_ю:юuя® 3e k’&gt;h @† stCc D] Iз B] &lt;Т ng3еъYюОю†я‹ 9є 9ѕ 8p 5чяњ 9ѕ n‡7i 3ґы&gt;яK 4&lt; 3Q 5сюћш CщWуЎу­хошЄя WюBь dю :ь NюЪ 6є 7vюЄхлцбя3яаьв 4X 6љ fЏ4« 7љ jk:ж 7ё 7!9Ќ :c ;  uђAk :‡ l‘:р &lt;D 8t fHя­ 8¦!7 nЋ=P D¶ &gt;W o{5±хшцX hs8Фь Dх…оўт•сЧчСюЎ g6э№ю h8T 9Y :‹ыAфoнЧс‹ 5Ы Bk Dў Bо &gt;Ж h”iKщPьИю|юa 6Ћ &lt;В iKь°ъГые 7B 5ъ 7E &lt;№ 6j 5ѕ 3”хvзџн Qт 8ф}й Bл4и_дГзKзЪе [иРп Hчг gEю{ьR gѓ7: &lt;Б &gt;џ mЌ&gt;: &gt;J n‡8¤тbдЯй„к™тёщ›ы¤ 7J =g &lt;Р =z AУ Fy ‚~Rр RG Qґ Oр GC m…4v 6;ьяф€щБш ?чЊт dсЊъ3я t7є ?m A!&gt;ќ m”7Ђяiъаъю y7c j4яaъ{хRсOтОщп ?‘ Bѓ Cс I{ |hyhq‘:З 9й 8ч 5o 8N 4ZшSыz 5н &lt;’ =т 6њ 4«щЮт‚у’сіт’ц 5ыР 5ю =€ AV Fh Kц so8п 4lьОч ч… fp9Tэqт ;лZжҐЯtе¦п Nъл 9; Df Lм K’ ‚‘†wPЇ P© Rw Rц P7 Hx AМ q†5cуfкwе 3е Kв 3ЮЧЪ [ШяЪсгюоЗц [юя ;т Eн {wBp &gt;К 6—х Oо§еуШsТ¶ХкЭзк§хE 6  Dl BП =¶ 9™ 6r 7KяЯ 4Ћ fBы9ьxысфkъ —f‰iЋ=j =!?У &gt;‘ 7rъ‚ф Wц&gt;щn fЋC§ Qк Ub T© KЎ &lt;пш—нfйJй{и =гHдNЭ«ХuвУпaъЗ m†Gс ѓiSw Mт Ev ;щ 6Ф 5¤юЧьD 5X :В qiD° &lt;3 6єъ*э€ :s &lt;з ;D AБ @Л &gt;Щ rЉ;‹ pot}CП Ao s”=P ns9oяЦ gUяMш«ьшэ Mыа 37 lm9b 3ф 5D ?ђ BP =Ѕ 9ћя~шДщ eцЂшашAшыјцГп]лмжNиIсшњюб 4г :Z =d Cщ &gt;a 6¤ 4e 8И kCьиыpшъоhз4ж]б BЯ@жBн7р~р Hъ hlЃsЋMі Yt cя —ЊbF ‹y‚ЂDј :я gRы¶ыЖьlышц‡сІпїс—шQ g‘&gt;y vo{ЏGN &gt;ЩюSуЦзeиeп Iр{тЄхОч…ц’сcн{кѕжчйќрJфХхруЫцЩ 5к &gt;е Lі Љx[P \` „‰En =ц 4Я 7‹ 6&lt;ыЅсDгgЫнЦ QЦWЭ’н•ъt hp6Wш 5кiвDй Mч4 9k Eж QЃ ‹ЊRР zf9­ф OйЙа aв NжэиЬр&gt;ф?хmьl 9Б @X ~qTж €ђR„ Lw CЙ ;7 7Ґ 8U &lt;ђ s–zrLҐ O” Oв MЕ O8 RЪ ‡w€zRг L: DЙ 4с 4и‚б7гцйєн¦ткшJыRь=ъЇщ» 4x 4Ь 5o ;H :‡я®ъ 9чхцwцЕц„э· 4Ф 4ќю =ю…э YэБ hf?S AX =S 6Ыя:шФфдчvх`ф хiъЬъ _шь }hЋ4­ 5l 8f ;Л t‹Fa Eђ &gt;oэБс &lt;сZрхѕщъьs 5; 5сы щџцёфGт;с±пЫс—уХфЏп Xм»п :у Aьu 8z AЧ GО z|FВ |†M• F§ &gt;В 8p 4ЃшЄмЏе€еWйХтhюё 9­ FҐ QP N Lн A‡ is5V h…jЏ;Е ;B =з &lt;] 9p 5шь©ьФ 7‹ n}=с k[шjо `гoе 5н»р &gt;ртк Dн„сЁщ’эR :э 6f 3АхЈфьжйс 5ш tgЌ=С &lt;I ;Ґ qwv“:§шйк зНвѓсхф8я5юҐя y3эю*яТюЇ =„ Cъ @‰ =X &lt;\яE 5\ыюэrяйю zBb P? V? Vv ‹vY‰ Qї I„ EJ BЉ q–&gt;‰ =jштхoч 7цпс’ф°ьг 4Lю 5хqх _тМп eфT fj3gыFуfк [Ы;Ь±дSн `ъ„ 7P!&lt; l‡3¶ g‹:Ш 8З 3Зэ Џ5І 8и 5=ыфы 9ъщьK 3 юuшћэeьC 5у 6Х o…Aл ;‹ &lt;u o‡;Б 4iъ‰ткн&gt;йЖл SрЏфкьфъ*ш bх =ч…шлч‹тЉто+сєрbрЫхgь° 5 m–A† IЂ Ђ“N· ЌBн =ђ ;© 4X 49 4– hЂ6ј 3Ф 4ё =¤ E8 IЈ C? Cд A® 8u 9µ pupro|7ўщ ;х `хпюК ;° :T 7ІяёяЂ j96 &gt;b FУ ?K!4чDо Gе‘лdц°ъ w3фэsэ9уЊрuт}рОоуфЦэ Mы&gt;шцяc l–;X ;Ѓ &lt;| 8‰ 5– 4БэLю Aьуь“ lq;З 7Ќ oUяЇс5тУтЫшy 7N 7Ѓ :• 9Ю 7: 7Z 7Њ ;s ylHT uЂBЛ HЁ MS OU |sEђ ;: ix9й :— 4Ьь„ 6фюЦ in7r :• l‰;{ =JэЏо…н~ж…аябlе“м JойсЄрUчњцЁ hЏB? D\ I~ J3 N‘ L№ ?В 3щьІфOц BчіъґшОц _ъDъUовмµц ZъІяY ;ђ &gt;[ @· u–Cк &gt;Ш 6= ?г!&lt; &gt;F ;Й 3В 7DяOщехјс Bкѓа JЯLЩDЪ QдУгqсЛ 6п swKN K7 HH {mCЪ &gt;® sЏ&gt;ю &gt;а ;џ 5?я aюЖы‡ 6шь® 34 8т 5€ &gt;| v‡F^ Iк IЙ F© |‘Es GС B¤ j[ь”чЌл‚мBтеы† ;’ ?± EB sj4КшБт;кoцЁы ~f}7± ko8Ј 9: 6•ш[ф©р=с6сLрБфЋнµгЕаbЮ{гЦдЋз KчЭю6 =} Mћ †ЏLџ &gt;—ю—оГгvЮxаuиЛмМцдь‚ъцщЌъ Wю° :c =l FБ SР WЂ V‰ L7 Ak ?t =Щяsъїэ ”7T :н ln};‰ 7У 8Л 6ъ 9x Bд EO zkBъ &lt;Ђ =ї ;sяєь cьFш^шДткпaоbиылћм‹кKрёлЛа ]е Qгiд Sк5лpрќэQ o…HТ †vUT ‹}Sй KХ @j 6]юіызф Uх¶у @хСцkхyф ZряхQяd &lt;E =и EГ HY GO J€ E\ ?_ ;еы¬ъuя…шч°ш FтЋм„лEмHр«оYе 3ЭЄЪkиrчГ 3Ў vЂL¬ EН CЕ rw9S lЃ7q p‚CЗ vfD€ @у 6ЎяYюЦэ3 9Ф &lt;o shAb &lt;“ p—:Н 3Ј jf7v 7п :S lЋ&lt;З ?§ m‹5¶ыWу3ф Iч”эл 7И k€m…@— n’9о 7ѓ 5&lt; 4m 7J 9x 9° 4ищёюАэҐш{х &lt;щ{х»к‘зцлёеЕЭкеЄжѕЯйаЂбШЮ9ЫУШЊб_кпоЃтђъ5э—ьЅщWф¶п©кєу =э x?з IН Js DR Ft EM Gп SH ^› `ф dл dь Ќ’V… PV WГ ZЏ Uт ‚Fg @p :ь 6t 8ћ 4A 3; 3Ъэ 5ц Fх уњп€лСеХлlрЅлЃу 3ьЉшЬфітюуўфец Iъхы©шЉшјщ[уDрЇтётюх 4ыC :{ z“Mc TЮ ‚‹Cе ;ь ?џ sЌAЭ @@ p†f^ф bтXуЌтЫчЊьMю° fNюіыєш щ[ь{ &lt;л :7 ;: pЉ4Zя†ыК 3ъ 6C ?t Fт HR EЌ 7ћ 6dыЊтъфrхъцьхэт¶ц5у4фНэЊ 77 &lt;д h&lt;– 9D 9Ф k~7J lvh–=8 :™ 7Eыќх &lt;щDш _яј 6p 7Ґ &gt;k Jњ }yH; F| Hѓ Gt IЬ yqk4ОсГчўх DшP 5ю Fх P™ Qы Oх {„AЃ 6н 7uы’тњоhп«пvс :цIя_ faщ‰с ZЯCС|Т·ЦЉаЇжtйnк¦в4ЧNУ FНЕЖ§Ф Cб Rнјц­щAч·сЃтќтMь k6O sqPm Z” ^ъ Z» U6 JW &gt;‡ &lt;B ;e o†E… Ru Zђ Xp Qе M Eе BЧ u‡Du &lt;Ї 7® 3†шЉшящ‹ 9: =R uwHd Ci i?ы PыҐэl 6Щ 5t 5Ыю щясыл_иTй нћыG 7Е ;’ :ц :s lDя SыќшЋчгчиш4ч OцOс†йяаРЮgбЯз4м ;с3уРшбяЂ 9ч ;Ж o’=4 AТ =‚ &gt;A AЭ r{Ci t}rЌ7ќ 4Ня QюЈъJю— 7Е kh:d &lt;г := 6ВяLьЊю ^ыЮызяГя~эНя ~h:яЈяV gjkЋ5ПяіюЇщЂх¬хnс aпОрIщШ kpr‘AJ }qP: Ot L‰ xsAб ?€ qЊC\ D` sqAЄ Aі @: &lt;t 8j 7‘ 8е 9= ;b jtg…8И =“ ?А Cu D› &lt;® 7[ fIц Tн4йaзzв 9гsд¶и FнґтBч§щ;ъ:фЌлJв cв Pе»к &lt;тЌчъш‚х·м‚б EЬ cа 9лъу Bьшх:рЇоYм6оґчk 7Ш Ft Yу4]9Џ7K d… Uј B’ 6§я„эЏя’ 5ј nЊ=д mu;v &gt;O @m qЊ;h 8у 7ї 9z CТ IЪ KQ I@ H? x‰=ґ 8™ mp;` ;К A› @И lB"3&lt;щїфЎп\еFЯсЯ3еји…н—уxч¬цyоэиеж№йѓсЄы” 6t 54 gJя JщЁуЩрцрҐф…цmь p4ґяЌ gw7!8 ”kfmi8Q gLэЃь ?ъgчHэє i‚=Е w•I5 IЇ E BЎ ?] ;Х 43ыўщДч Fп &lt;кiм eйсениkкџо ?фE 3µ &lt;C C€ GЋ H7 Bи ks6љ 4Jэ}шUъbьЪы Nь ’3x 6„ 7x mz?Н CЧ DZ Jю Nї N‘ PN QГ „vNH Gр Av &lt;m 8‡ 7: 9ї ;Б &lt;П @Ђ Ax &lt;А 8` ;R &gt;` @D A@ =… 7є 3fщ¤ф°сђуxцCчяфомЈйАс†щпф Dк `ЫQОЂЗфИщС5Ь Uг|л&gt;щ —6X h’3 ъiр5мLфBю j8Д 9Њ ;‰ 7…эFюХ hx&lt;д AЃ H  |o@[ 8“ 6l ;в AD Gs K— Lю NЂ SА UК TЏ OЗ LT KК H: ?o :Ж =E B~ EЇ Fi Fn @е &lt;  :ъ 3nъ Iч’чьуПр Gр ;м Iе·аєв”е dж ]елдЉд `дэаFШЛЧ `Ч EЫвд№мьс Oциш k3d lu=О D› Eэ A¦ ;D jEяхь‚ 3™ 9ё 8m 7Ё 8d 5X gmgr5~"7У 4v 7З 3‰ 7њ lj;5 &lt;Љ j–7Y :В ;е 6€ъ4тNл]вЧаЊЯXЭ ?аЕвVж`й~одуЁъnюr 5Ћ 9Ш =K =y =Ђ ?‡ ?^ @Т ?г &lt;„ 8њя| 4њ 4r 7Ж q„yzMN VW Yґ S” SО PЦ TX Xc Zx ‡ЏQф I^ &gt;b 6јх¬о `о°рПу Pю g&lt; Aм v‡Aµ A¤ AQ ;њ 6Ж 5™ 4ЙыЬчЛт–тџьо 3] fSыkъюч¦фUрhп :мСм DрЁп“гвЫ cУ«ЭbзџтБч 6щы«щ5й–сYмшрЩхС kw?; p’I… ?ђ GЖ 6О :U 9Ґчо 9П =‘ ;j Iф A? Is O‰ Pм Xй `J cп ]Э ЉvFn knhr5\ &gt;k F… Tт Uє Mu TЦ Ly I@ H¦ 8бо PбкбБШdЦjШKв{еЯрПнXсІхШыXцхык 5YьSюЇтЊс Qк°вчЩАУГШСЪ«жћс Fф Mъ–эыбыk*ыш ;фбьщъUъЅ 9’ r‰7Н jЊ:&gt;шZтµу3ф ѓ4• ;7 @– Ct u„Bў Qв Sќ Eє LЌ Jb =4 8‘ 7VэКъ nom;ґю‚ц Jхyф BмУжЫиgм?м8ч_ 7Њ 9З ;к tЌ@° =Щ 5Ѓ 9@ :о h‘k‰j‹3»ь—ю Ђh‚6к f‰4Ѕ := FS Lj ‹\J ZЂ M· Rц YБ VҐ …‡Lп @јюн–пЎу| 5в &gt;њ C­ &gt;О &lt; @‰ &gt;с B› In @Р 4Ѓэ RхMкХйYк Dнфт‹о CлGм‹н 4к OЬмЧ?Ш6ЪФЮ;Ы `ЭYалТ4СъЬѓз cсoэю ;ь =¶ьdс 6уЯхлу 8у ‚gXэ“ыТ 3й 7u 9h w—B] FЇ Fь &lt;э ?; Er KH Bч zѓKЋ |kЃ~Uq L= Mq P] Iн Bе ;; z†UА Uо V&lt; RY K: sf6јюlщwцЫс¤й`кЇн Gфrзuл \ж 7браПЬµЬ IЩ§ЩoЪ¤ЭFШXалбmг Sм:ш¬шСщsэЃ 5тш^т ^щ5ывт\фіщZэe 4‡ @v L® Ђ’P3 Nз Mv IT B— EЂ Dо BU @v &gt;№ ?ђ &gt;ї ?ь Lк R8 SY RГ Ow C— 7вщeр5ж¦еxоlй WмWтbщ 5ы ^э™ 6юэZыКщУяїю‡ gn?ш ;N ?7 ?­ 7G 7Уяј 5g &gt;x @` &gt;^ KЭ Tг Rа OQ IХ @N =&lt; nЌ=ё njtqzfH± H^ C¦ B“ wsmGю Pуrкќи™нхцћ 5Ш ;ќ BN wyAП &lt;Ћ 3kтRлOу 7фdп€п UхҐщ„чXхМс F*еЦ}Ш FЯ Uа¦ж¤*лс“у&lt;к 3з 8вXз NнyфЃф QрSу­уЬоЁйЕс Yъ SяP &gt;j ;I &lt;X l7ґ &lt;т n…Dі C… &gt;‚юЫъ 4щэхќюО 8Ш =К A: s”&gt;i EЁ x‚Nа Wp XП ЉЃS7 JG Gѓ =њ :н 4¦я s?я =Б si&lt;г BY FY p’lYя3ь‰эDъaхѓмьл&lt;с­фЈц Rх…т TтPрњж о^х 7ч eшэнЧеЉЮ9Ы?г_сЭъ •8{ :ч 9r &lt;? ;Ѓ &lt;њ &gt;… Cµ HЉ Fљ &gt;G 8Эъ±ркнL*пф`хzю› =t Jґ Oµ Tп Xp XL \&lt; ]Ч RЫ E? 9|чaмљк ^п’о®о SоТп \хЌшЊщъю w7ї ;x ly3Lь ‡5’ 6W l@c FZ GЎ srA… =&lt; &lt;Ъ &gt;р &lt;ќ =· @U @E mw4W 3ыьЕ 5  jq6И 7| ?^ tfC– Dн Ah @D &gt;№ q&lt;]ю\щ Yт”йЕвѕа„в eд Pр @я ~8Ж 6€ 9џ 6g 5{я«ч‰сшгЌШ 3Ы Rг«кnцbъ Yхшйaепг `н Lщёэ Mюят…н 8л `жрд :и &lt;лkнxс=уъоЯгAаLаЭаҐлљы· :6 FИ Nґ U– `” ”‚]Ґ XJ Qz FЌ mѓ8В 6«яN 7` @т EЯ |qMч QЊ TК UТ Ti U… U: KU Ih Gй &lt;Э ;ж :D 8o 7? 6ояХы Lш™чўцwх Gу Kп bз Uг `вlеyпТтґш°ъEчлцэфUу}ц [чНцЋцYх‹фSр6оІш‚ъ±ь xj•mfAБ D] tr@; &gt;e :o 8L 8^ь `чmу®с\нУнsтш Sэx 5‰ 4Ф 6з ;} =Е skAF @D &lt;V 8¶ 3gьґц Bс 4уЪу JыАя? 34эЭю Pя †7д =ж @ю B“ rђn{:U 8з hq79 8Ў r‡{s|pzBy 6hэµъ•х&lt;фUхcчьу 8сСф=ь Ћ4V ;Q AC Gу JW ЃtTB Yџ W— WХ Uе HP =5я ?пРеЪдFиеиAмЂубш= f‹mЊCЕ @ё @W 8cц Tс 6к 5дАЯ :Я@дФнwскшн 3sъЭс[пGж HлшфА gy&gt;v 5јыЗлнаћаШлИя k&gt;I B\ 7yюЫф Hу YыW!3 qmuu…Hщ M¦ €L] J_ &gt;®э ’3ЈяВяs 4Џ 4щ 9л &lt;f AЉ @Л E§ {„Co &gt;жюш 3e @Ё Bќ DC HЫ KЭ LЈ †tW: XL X§ UЄ K@ ?» 3AшzхбфrшхыІпYа‚ШnС·Т=Щ Uе EпмЎофувсбмpнЌлйиЮг Gа›зциLнстящ Dя эЇ 8¶ &lt;к :D 6°ят 3№ :AяРц Kэ@ю ^ъш›щj 6К q{Dэ G€ D!Aч Cќ Aљ ;| 8¤ 5»ы\сПз Sз KзЃмuщ ‡7б :[ kЂ9ш 9ия CчpыЙ 3[чGчzыїшЁщ Џ3_ 6• nЂ&gt;О q|rЊ&gt;Ъ &gt;‹ Cy vѓ8Лы4х&lt;т’т„шЖ 4] &gt;і AЩ AЅ w–Cm Cј Ђ•_}5­ eа [ж Ou =Т 6‡шpфNъ8ц 9цвцЙщyя m8V 4Н p}Af =а Aд =M 78ч Rй SЯРЬ 4в~рщч ъ KюЖыћэЌчРсџтSоЉу]фZуlтъо 9иіе¶и HиКс IщэьvщХъҐ!7 ;H nw9§ 4©эРъЧь{ 3“ &lt;— C‹ F‘ Cr &lt;± =Ј ?i 8f &gt;P &lt;е BЊ B  FN AЄ Eа Jь DЌ |‡&gt;с @ічЪ 8Ј jum”?i @д OУ =N Ky @e @l &gt;тр eъ4зУЫ Oм8жsнМзIЫВб 3ШЩЫJт Lь“ 8J Fк 7N 7MяёрФсbрPсСнDуткДрЌяNфЃц Aяфш ?ь …hcь Sфячьэoы ^ъpяmщпщ  6€ь5ш—юf 5ї 4w ?[ @[ 6‰ DР ?v 9і I‚ DT =C &lt;S 5Нъ*яQя Ђ&gt;с DЛ 5Э 4Х l€9t 68 Br Ђlrf6” 6  ibъд 9О m|&lt;€ mqnЋ4Ч m€=Ь 7t ? m‰:Kц·щЯт Sэ4 3&gt;ці 4№ы} Cа ЂxYj cн Њ’[З FК o†uЊ:h FI {“?ж B‚ uv=” :з :Ц IЬ HD ;[ x|HЪ :ЄщYыУ 3йуЬтbэЦшУжуЯ=дLЮ LЭ Fзtн”г«з·цGыbфіи¤з [ЪХЛЇН NФsРgФ~ЮЄй”унэ n—@n A\*ьиЇгЯпUнZр‹ш Nн­шФ 3y 4&lt; Fн Pj ‚„ђ–bЭ WО ‹…Ns D; I— DВ Fн @і =Е Mz NV Jя Bх wqEЫ {ЋSA [; UG &gt;Ї 59 3Gц PтfцПтнзИвкЦцСVЦНеЃцЗюљэіу:у FляЯмлXйЙЯ &gt;ЬЃТЉД FДBП^бЊцїэл 5‚ ?Н 9S 4щ :е ?џ @і Bь ?В 8Хц§сiшRчГшЃ :} &gt;L o‚;Б uvGk uhЃ{Z§ UУ J¬ {‚ЃwEЗ 7Љ 7О =№ьXы u7Hыїу IюU :O &gt;’ &lt;8 jhlcя bщ :z Aх &gt;’ EҐ CX =¬ 4Bч–т‚х =эК ?ј |…M ~x=ВыlтuЯ•ЬCи}ф— 4й 9| @Q F¶ Mе Xr “_{ Xo ~„GТ @уьбхњ 4ќюµш[я‘ц @уЉъ Љ9 |’T‹ ~uNД IC :„ jdя4щ &lt;ф :т TцЄтпеџзGй SзµйЏп TхЏт;п ^о¤жюЬ‹Я§в9аAЧОТ &lt;П7П JХ}гЮлґтµщkыыљ gLьґшвяRх WрРоyзjм’уuьY s€Mч Ђ”€jP© I  |}DЭ I± ѓp€jW^ ‰wQ‚ Fё &lt;® 6± 6о ?э Oo TH S‘ ‡”Oр ~ЏK» xtK; Gй r‰=„эdвПЭ Wа•ЫвмyтЃъ°чWк ;оJт Kм†рzыwуtоdп&gt;ж№азгґлYс|лък*с—нSлµх|ь¦э Ќ5€ 3‡ю :ью 5џ B№ Ez w‚&lt;Ј 6M 36*ыюџ 7й 9ђ rЉ~kM° }iQЯ Sь Vа NХ EЙ HJ @ц 8y 9Tя‡ы{ g]!5 &lt;Ј BІ &lt;• 9џ 4Fщlь dю№ыЛ l&gt;— 5¦э EхЖт™ 3Ѓ pgx{}yEЮ &gt;H kdя§ 7ў r‘F` =XяДу¶аЂЯ?л’х§ 3G 9w hЉ9»шGухяЛ &lt;р Bф Sщ Yp SЃ O‡ IN ?—ы¶чШ 3ћ 6Uюе 3: gCхpсЌшЃ f€:µ ;в 6оьLп SкwпҐх«ы ]э Wы WпqЯ|Щ UСъЙyПЎШгЮfзпзёи&lt;ж•ЧИХ aЪжв`мЌп &gt;тёу»кЁањмьпЕщ B\ CL AК =9 9њ &lt;&lt; F€ ЂЌXъ Ve OА Vк Iy I: Mќ Oн PХ Vw Qi Rд Up Zя [c Qx Q€ Ef &lt;K CЧ FЇ rDU JX Dz wy&gt;ы 4њьqр8хст`л @оkп PмЂе€а [в‹м JуМр№ъ5ы VшІф¤у”х ]хfпаиобrО€Ь{ЧЭдЈЬШспсЌ ;‹ 5i 9m =QцэчМкТ 7€ 9] sЋumAѕцпцЏно \эZ 3« Iѓ Ey Qа OЅ P… In P° „j€ЂRM RЫ PФ MЩ EX 6Ч &lt;оя“ &gt;іь~ъ k3ђю cьЩ lzBШ 3K &gt;“ ={ьБоlиПмQж @йђс[л`п*у JцЫя 6Й 9; =б Dµ 4ч 4л 9IюЌ 6} ;C @Ђ Bѓ &lt;Пюo 7ґщЉыY 9§ =№ v—LЌ Oт K5 pbш­ :љюоуЮэ Eэћ fTяFэ:у&gt;ц TцZъФюВ 4ь &lt;† 9Э 9n :нэ]уоф ;зҐб Ц MХsЪ FУ‰Ю№мvцТ 9у Gv 8Ґы UмУд JдbвgгQнUхЛш± ?7 :¦ BЇ :¤ъЪу“п“ыЖ 8А Kє UШ \в Ra MЖ Oь z†@@ ?: @ђ Aт 8Wя z5ўэ ђ8¶ &gt;Щ 9H m‹wnM„ Ng JY Hд yRJ ‘{^Э Rь!O GЦ 6¬ъ 6р ]ц§ fq4ўъ 8ы¦нoсґяKы7цnоzп Vн^в|ЫXЧ‘ФҐЭЌнац&gt;яо i_ь bм WЫебXи‚еKй 8уOшЎц`т{н= 6» 6Ё &lt;± v&gt;P @с 4Sх4ъЖь‡шщь3эЪц~сбсµэq xrJ· KЊ O— Eѕ EД pGэњь: 7l @g MН Hл IМ NС Kь –}z|zBЧяk 5Љ 8¬ч9щЦ 97 ?ы B&lt; &lt;n 6’щМсыхSэ‹уeч‡щЄэШю eюжнЬф¶пgпФеяе Oс®я :юu ?ж p‡5®эЊ 9К 7І Aё Њop&lt;Жь\ы Tю†ыМ 5у &gt;Х 8ў @UюЁяA 7в 4Њ Aя C; 9!@дэ± 5Щ 4€шХъ5э“цсчxсЭеaбђЮ“ЧЬбЅЯ Cаџш¬юhэШ Bц Fk 7 k^ю Fш°с¬йщш®ю Nщ@цЈо EнVфК 6” Md Vа Xф Zь Gє g€;П :F ij4ыч :ф Wм ?с =ыx 6ћ 4Aэ Vяa 5| @Ж @s zЋK™ 9gцqчGй p5Y KЃ IМ W¶ Us IЭ Mє E :r 3†ьk 4ВъYч Kчfм Uз*д&lt;йЙсYу°пqх MпKж Jй \иµг{еђеiрZфЃхщяу g{4| 7· 3Yэ ;юыьUч@ь*ц ;ч †wlL“ Xv dV `ћ UЌ Ls ?¦ k5Эшu 4Ј ow9oшЙхPьЏцбъд ;х ;ё 8k @є &lt;я 5{э¬ыѕ f{5люж nЋmђh“:‘ ;c :7 5бэоэ of;ф h3Г 9g 5џ 9‰ :­ f{=У ?д lj&lt;s 4„юuь Nшўц:эИ 6P 9ў =J AX ?у =Ю tu;¤ъ s4Г =K tђIѓ FT xl@E ;a =v 4zю‹э№ффTц Hр¤м 7уSт}л FзKзYхЩ 3W fЊ&gt;M D«ю 7ъЌ 4Yэ\*юь¬ь¬у–а7Юймпц*яС 5\яДцЯйPмЪт]э® @A Cр @— ml7ю 6Wя„тhкикtйUзyзHн 7ьvы3 k—Oґ ‚{Љ`Л PT Fё A‡э Eш Uцќгъо]р UдЭю ~7Бэ3 9·щgцџъL 8в By sw6B 4†хоыpюач9шTф­рЮыЧ 7m &gt;Э HЇ tm&gt;5 :ВыС 8‹ ruDп …—FP 9Џ 8мцЌь— 9а 3P 3Cшмк»зНн*иЕекгВиёоАтЪм еХеёЮЁгХц[ =о Eў w‹xЊA@ ;Ђ &lt;z yuQM „”ND NO @] 5Н BX z~Iљ N¬ zЋ?т 9Р 3Ь ;» :„ 6U ?¶ 8&lt;ъ dэЦц•нЬыљэ[ 5© :a 7ІэЂш Xы™ъ¶щЄфЏц\ш№ыІыБцњн KмЋоф FхLьt oЃ&gt;№ u“s‚5?шaшlь cь¶чћюѕьDщЅцb 3t Gм @Џ Kґ JЬ :и &gt;8 ;g Dx R§ ЃtUz Q6 &lt;ШшйрFз Pнјнуш rh4яюыІръл cм‘ф o3д :і 6M 6оъЉпЯм§ш Ћl—t‚D° kKхгЯ‹ЬeЪWж :к§р :сљуvкњж]с›зсоёыВ 5C :| &gt;… 5~ю= 9є 7ђ :В px4эхчнђо 8ч ]ыП &lt;u Bb Cд l–5Ї 4вчдх Iц?шЂц@ 7‘ Aл mnf=щЖц•ч :э ‚6й 6{ш°цuъ; hs•:G Bю Qх @Сыlъ‹ш&gt; g’Bч y„J!G r;F &lt;љ 7B 54 Bв Mа [m d3 _F WТ JН HЋ xkw–m|3~чАрер®лџз@йjтюъэьG &lt;Ґ |ik]яr =K 87 7Э &lt;; ?Ў ;љыXиDб±СNУрк*уеу{щXш4т ?цЙъц 6Ю 7Х 8№ :^ m4я·т 7п Eл‚йQф j6q 5Ґ 7Ы &gt;V 5@ъи @° GN zlIu FЧ rЏ:E 9  =њ =о ok&gt;4 8К 5‘ j4R 6Ц 3јъ‹ 6‡ 8щяў 7R ;ѕы?уfш—ъl fFшрхkхнмїмrьА ;9 CD P&gt; Rл x„&lt;ґ C­!F!J UP €fMr tЂ8  6W 8 4у!7 6Nю6ч O*поЗс]хgынч­ц`щ@у~жҐаЩЮ»Ю7в ^оіш&gt;щ·щдх &lt;пNлҐнЇцrщДъ Cы 3п ?иSж«лар?у ‚gЌ&lt;H G¬ J5 Dџ &gt;R iaъ¶э Ќ4Ёьђыtыру WъMэЅ 7” ;Ќ 7µ ;z ;S 4е 8¤ H— QR VО T5 Ѓ–@Й 3rъ\ш Gх\ф ]чRсКз 5о^цЙч ]ъf 7О ?Е p”Eг FІ rv;5 5ѓ fqfpgw8W &lt;’ 5™ъ Mо Tд±к Qц° &lt;§ v‘HU JR CЌ BP Bї w}B— Eќ I– Dk ?@ 6B 3Ќяgь›ы Vы RяAюЎ 9° &gt;‚ ;G 3Пы Wщ~свтfсЇл¦зьи}сtл*вЎг ^а@ЦПЦАЯgвќй}пMу…уіоZц®ыСш8ыµшEф Zт;сlч CхyцЌю№ 3z 7^ C[ FE LМ QG RС N; Mў |OА Pш M¦ WК TО LЬ N: Lm J? I¬ Gф E} JЬ LТ Nx N… D3 BЎ p8я RюWэbщ©ъHчћчaш [хyф†цNсОйwзйе \о_тЪ 3? Bк @Л n€8·ю;хЏуnфљъ©хощ« 7UяэщішJфХоLлърWьK fЌ7X o“7qэ© 9А &lt;~ =Ф @{ :pьдр€кџЯSЭсЮШЮ3б Jа Fбcй…эч :Ь =‹ Bу ?‚ 63эвч}с Oм &gt;зsр№ 3я CЅ RБ Y» Vы HV 5ы 3° 9и lhDџ Fќ @Ж @а v}D¦ ;]юJъkъџюE 9Ф lghIьЎшУцLэ Њ?J =б =Ч ;nюzч{э6 @Ю FЩ voA‡ 8Уэ HцЏцOя x3p 7A oi9–ъТщЙт—м \рТюґ A‚ FA Iу |u9Хх&gt;нћиХзtе»н[оEл UпOфyх :цћ+эЈю‘ :Р 9ы 3bяiщты9я •6D :~ 4§ю°ц}нмцн WеЃдукЕмJу Sкпfы] 4D &lt;r @И vgB’ tw9IюНя| 9г Fг LG Ѓ‰H\ q‹sx}†Rф €oUV S[ Њo`P Z– Vї Zm Xp GЭ :х :Бяѕюй jt&gt;•ю¶ы 4ч aт®тЪлгх©хuсЎчъtшТь —i’3eщѕц _ц`хAл :м FпКнчнEйэпмт›сєр 6у Oу›фьчuь \эoо ^мPтdчПц·ъ6 ;ї vmHЪ {Hї A} 7у 7ш gXюЮ 3H ;µ Bl ;™ 4·ч Pцђнём bцЬчмю€яA km?= 7­ 8з k^ц Eо Zи…е _зVз\л’р3хь u9б ;Ъ :— 6Щ ;V 6mч‰ьТ 4Іь…ф DфОцWъ Џ4” CZ ‚„Kј KЉ LЗ D =G 8s 8ѕя Cэщы:эiя6 9– I› J‘ IЏ Qy ЂLs PЇ PU |…&gt;]ъ«м¤жцд|к _мКк Bмnй|оЬфЄя &gt;М s•9;ющпдЯ*ЩkТ VПoУ&lt;ХcЬЯж Jу `ъҐ gЌ:¦ @L vnEЇ Jо Kc Qс TЋ Tл W5 ‡{ЃsGэ t—nTюRшДш Fхтр8уSшъфCшW fmiYюnы €3E 6D 6Џ &lt;М r‘9­ 5¶ g•9Х == =й @ґ y–Bі u–EЄ &lt;Ъ &gt;а IЩ P{ O3 Lі Oe Rѓ zoD— &lt;›яOьбэ ;э j3D 8Ш 6Тя Hэ aхНтбнJнар\пљтиу Uф Iх&gt;уНрJнХеЏидр QуFцwх`п Tп5пaу_ю[ 4џ 6© :† 96ъчф 4т Jс EсKу Sьдъзэ¶ :7 ?Н jЉ8ц &lt;~ &lt;Ѓ ?? trzwFY =Р k5юІрЩс @ф \р 7тeщ? il;њ ?5 s3эOнµс\пЈоЂщ z7р &lt;” 67 7эьш—чЖу8м„ж7еЏмгэG jf;5 CЪ vzA„ ;вэЄц‘рЩпЩчЬю _яЏ i‘?’ o”B? yЂA„ @J sЂ&lt;G :J 7эю&lt;щђнҐрnщх ljѓЂXв Xэ [и Vб Oе AД =L AН 5J 4Ф 6Tэ z5± 4Ьь±щCмёзил’овц @с7йMйрбeЭ и CтЛхм 4Y Bs C7 :љ 3Ъюы;шД*ъ 4я &lt;¤ :&gt; E« uv&gt;‘ &lt;И jѓ4;эдъъiчОфечќцKц°фГт dх &lt;хбь &lt;; ?С wЋ|‰F5 &lt;Аь …3Qъ Oщ f6Ж :Ё &lt;o B7 =\ l†r}&lt;L C5 E= 3W n…@Д :Т 6Ся Vы¶е Bо VмДйnзsи ;ыЩ 3ХщXх@ээъ kv6{ jЉ=± CM GO x’?f ?] nЂ7Л 7э 5ѕ 8D ;ґ 4їу ^оілMъl faъ :ю ѓ6д 3™хFд­Я6Я6г{оҐы]ч [ю·ыF 4иу BуЅхВ gЏfs34 Dш w‹Mџ |ЌK® I3 D· =•ч Pс 5кHкЎц aюG ;u CP Ee Ѓ‘=ИыWхытGыќыgуачЖи Tж@ъЙщ ”g:™ 7‹х к[Ю cв¶мЪъћ NЛ [Б [б ZG ‚€&gt;8ыЂы№т @ч„ 74 EУ vЋ9ю Cь jOяЬ &lt;ћ Ѓ“WW \R Xк Mџ 7ЯхФыђщЁ 3Љ JС Nы B© :ѓяўчCрxоДэU 9M fJю 7я”я Hщ`о 6ь x3дьѓ 8q 3­хЩн 7ьщсzзwм–у Tчcцћш m6©ы}ыќ u‘:@шWяЙ Cw =f AУ „n€•~jEњ 9hъ·ф CтMэiъdлЈлXкМйщу фmп Eа FдЊр DъД 6щ O‚ Rк FК :t 3ќцЙс@пpщ ~4C 9І lv;GяU*ю rsz‰:~эЈ Gм –N&gt; Dp Ll hTэ— fx4U C«юL ;Ѓ gHыBюЇщkтЄч bэG 7г &gt;д ;ќ A&gt; Nа NP Kk P Jэ 6йюўцoиБдфЭэгкг ^н~ялч UшУъ}эїр]оЕо*кдЯЇг„пНиўп]ъЉ 4†ш eъ …5hэ†ыЬ BА IЧ :6ы Dф«лјжиbм‡чЌяu 3х 6б &lt;L &lt;f {oHе :г &gt;Ё 8З 6¶я€щЌ 6ў F\ Cэ In uKч =с|с Rш}чbьЏ @П ?Ц rn5љэ 6тЗйMыє Cн AG ;« @жя`р­рКх Iч9юЮ |g]Ш ђ}Zi KЦ ?ЗэNуGя‹яР 3ћ kn&gt;А Cg BЬ 6© o}7п &lt;я FЩ s“4JтитЫсниНл­ръйAл _рчфИуых=цЌш™щP 7О 8рчѕфІиHбдзЂп“ыЌ @Р L\ FЗ s{8_юY 9О &lt;Ь =К o}7ѓ 5q 4&gt;ъёы QъGфц f•4ДцIыHэ‹ч dрUт dр &gt;йҐм›ю n3t 37 &gt;С A– =• 9Ч ?!Fd Cё Eм Eб j?яъяf 5л 4Цш 6ш z&gt;¶ Aф 8” =« 73чЦх Cцґ 4Ї =й :… GЊ B9 gMя4ы‡чvлљк°нWх Aьэ ;i yЏHэ KЇ SЊ Ћђ‹‘Oє L  Eня”й”в`л»оІл bфёщeь±ыhфRк &lt;а9дЛв*Ю [ЬUЪuжVзеЩKаaмiтњчE 63 k;ш Aв pђ9wь 5эвыQыГю‚яO 7І 8† :П ?г JK NЇ GЫ r•onp;7 ;З k5эIьЕ 8§ &gt;_ :8 g•8~ k“3Я 7В &gt;ї :Є hHю«щMш 4ьL 5н @ф lJя sgDэSъj 6~ j–fWц Mф:уMьi &lt;{ wuMу ѓ}OЗ uf?y 5yф:фж g‘8D ?¤ Cъ @\ p‘6™ъoшFчеяґ Be Hї E? A| 4№хичШ iЋ&lt;V :| s‚Aс 5wъѓх Cч4хvъ„яСыAю Dш©чЖц‚чИшФшКъ®юкръеЄз»лрнЄш| ;њ 9Н 7§ &gt;‹ &gt;і 8[ lЏBт Iќ F? AР C… 9Wщ Dы @ь&gt;сFхыэоюВ 3¦ n‹EІ @¤ 3Yъ Dь Zя †fx&lt;&lt; ;зю [чЭсљм3рkюi ;ѕ =X r…DL CФ =Щ 3M gXэ:ц =фrц ]ш@ъiъZуuсшр Vсіщk 33 8= jЌguj€3эчaъ Yц”х eъД 3ю 7Й ?± &gt;К 9ћ iFьЏы@щ«щљ 4Е 5€яиц 6рlфЫф„х¦чЈхЮщШуGс‘о :жыг“дАпзцЈэ¦ =‰ ?z =B =ш ;ф 7іяРэ i3„щ”тИнИймл тOцЫы o7дъ |5J suCm KТ Mb Q® JY Cц wЃ;цъЖы\ю Yя k4] &lt;€ @ё 7Щ iz=Ћ 6@ф Nнmлёп*хҐяЩ :„ kl6‘ 7¦ю RъZыФ 9T nЃ6{ 6Ж 5W 3”ь t6Ѓ B№ B_ Am OИ VЇ Tv SГ OЈ MТ N­ Uv †gFќ 4“э &gt;ы MыПщмъй 7В &lt;Ь @O oЃ6»ы{цвцжьбьЁы!3‡ 8Л 8jюµщ°цит уnщ§щpэЭэ·ъжтПмTнґк a*нхфщDыЏю”ъ|у}м &gt;о\рЁхДя§ 6Wюцэh 5єяшюж 7E m&lt;ю i“9‰ 4ЧъEц bьЧя» 5і EН Fq JТ EЈ nMю Eс Gх‘чPъ]ьщш– 44 :[ 3гьдыoщґфНт EфСшЗфiцiшqф|пЬн:д_ЯIжЪнсхєші 58 j€5| 7E 9Д k”9Д =ј s†x{xuDН y€@Р pk&lt;ј 5эъcюoяeыU 4¤ 9Я 83 keюръЏтNдФЭВЭ•лoх 3ьЮэ[ыTрлнeшP 4 6Ъ ;H ;§ 5А 4&gt;яoь|яv 7й &gt;ћ &gt;} 9{ 6Tэ’ъQыDщмуЁо°хј 4= ;P =l 8«эы 5T @^ AБ ?у :y :D 9хюЩ 7Ђ :Ь C| Oб SЮ N‡ C; :§юS 6D s‡Dк EГ Iё PБ Ig E§ ;—ъ}э n9ш &lt;У ;g &lt;K 8ѕщoъ Xы”яэ hk6Z s‹}i}ѓEВ @ѕ :a &lt;Т 8X 6З ;т @; F… F• 9ЕхэоЊиђжЭнЂсВш›ь SчgхuчПцЅыВ 4d ;4 :j 9ф 8lэoхJлљибЯпШ ?ЪФЯ=глдsк 6кЅи Eм3чa 4ш ;y &gt;Я @W rp9aъіфсуHойпuцьЮ 3ш 4Јюiщ5хсўп 3цКя v9Ґ q}&lt;Г 8Ґ 5©ю‡ 6X B} Eк xmwnBі Fч Eп w‰DЂ CШ B[ =T 3« 3[ g&gt;я&lt; 4ј 5Ё 3мърч¬ч7фэуфу 4уНм 5зhоКу№хJтБш 5эАыСь •4в ;У 8Ж :T Aз q„6IюЪ 4ѓя” 4y :K =y &gt;А 9Є 3yч—сЛф bхSуdх№шrюч 5nы Fщ]ъЦч=ш Eяµ 9‡ =G =^ 7uэЧфҐрaрЃн Jпнр№о®оЯф Њi~no&gt;t @Ј @ќ =і 7р 9О ;Т =!Dj Aѓ ;n 9o :n ;ш m…9м AP ygEР L7 Sљ T“ U• OФ P\ QЬ S{ Qr •Gз nPэЈч Hщµщ[щ Bъиэ| 3ЦыцьрьаюЋ 7Щ &lt;Б BК &lt;¶ 8[я]ь8щYър 7[ =7 ;KьЎъЕцVпюкiсис 9мИо dоЪи¶кчр TшЙ 3 9€ :м 37я ufYюХчJх &gt;щ{х4р `мћжkгів bк6чЦы¤ 6¦ :Д &lt;ђ r”q“=v 8SяzэЧщЙс±с LтЅлікuнRпДх«ь Bю}ь^ 3Х og@Е EҐ Jo N_ F‚ 8ч 5—яГюC 79 ?‰ Bк FЯ LЎ Qє J± @С pЊ=c C« HФ HЙ I~ n[э‘ъ’ц;тјуUт­х &gt;ъ ;ъHцВфRріхпъCъ° 7л mЌ4Ыу‘ш n4K 7э &gt;µ 8j 6Чы3щ&lt;т Hнпмвчo 6Ё 6… 7sяHюЯ 6nь¶з `бґЬЊктж^нЛзhдfу’йжы aш7 :Ы ?ѓь fcь Oо Lмћх‚ш Kюж 8Ч 4‰чYх Aы ЉnЂFж P¶ QQ S[ ЃgFЂ Bh ?Y 8Ш qЃIН &gt;І qpoMя j4кш QшСц± 4ђ Ef FO lmBн!O HL D{ 6И Bw &gt;&gt; 8¦ 3їтЋмМц№эsшЗрѓф Mу:тўъ ‹6] rЉMP FТюЏ 5ЛяЭц •h~=¦ 7р 6в 5Њщеэї =¬ 8С 3у ;} ?ѓцЈй Zе«мнс Lр ri=юCч3я° h?х•с Kу†ъ| 4Лэч jWыjй~й ?рБмол} 7™ KL JЧ Hx q5}фxч q:› C¬ CУ IІ LА lCцПж Oи \х ‚4п 6Ь 3 ю QфЊсѕцsь aяН ?О E; zvKM =‘э dшв fr8hыОя~ Bћ Cў &lt;n G¤ EЄ Dд HЄ F~ 4еэ[я 4ъ ;у DъI 3К 3чя ;яdшWкїйFй¶и·к›уҐяFы 6чAф‰о GоЛцZыyщ 9х­щё &gt;з EЁ =Т :] fcш‚дунgсіп™н ;ъ u35у Uы»сhюOю _ю Hы Aэ– 5Є 7Ю Jћ Qo }lAJ m‡odш _ы‹э =щd 6Ѓ ?o =Ґя QючщUс Mмµнль:яХ :Љ :жхфшnыФ 8 BW ztPz OW Ѓ|EХ GТ :‚ =s @Y prBЛ 5фя† 4P &gt;p Kф Fd JP D¶ IN @Ѓ 8Pя :шД*шф Bщ„фMюj laяж*чс ?*пйjпТш[я5 kp7o zЏFё Du ?C ?і Cя CЉ CЪ &lt;v mЋ7мэжч bщбфрэж 8ѓ 9™я\ 7ґ = Gг ?; Db rdэe 3МыЪш4п¬м‚р¬цыщ @щУч{э o6LюЎш‹ц 3ю8щnц NюЯшњсищeъЙшцхrтZщОюцыЮудм 6шЩх Wр€ы– 3x 7вэХяр &lt;Г ;І A© EW :x 4: 3hьyх Aхbя9 &lt;eя:я® 5T E’ Avэќя &gt;ш SчТу Jмљч zg’4J 9*шdп¤нIт«у¦ъц &lt;хD 7ѕ 9ОфјлVпlр MшэХ ?ё s†=ъ m~8AыСщ{фКоFцшйџпVм@т¦ч_ыЊ 6КяМяu ;ш 56ъ™я&lt; ;P 9: =b @Њ CД :ц 6e 7F 3b 8Њ &lt;u Gп t†Aї &gt;[ iRьЫьЃ 6h &lt;П 9м 8† 8@ 5sхќю= =Р 4—юaших [с­и±щХш }7тц†щ?оДйДэ3эЁ 7у 8o HС G– K§ Rњ Sв ‚@‰яMхtьЫ 5ђ 6І @ѓ 83ъ]щwцњ 4Y qЉ}RW Qp TЦ Ex :И 4Ї ?Ш =± 8® i{:H 6VыьоҐк 4ыKыЊяЁьПщзщ Fх [йsу &lt;тmх ‡9Я iu9^э UшCуxсЁнБц Ђ4z 4V 68юZю;сdмPэ u6‚ьЬ 6V qw;•э VычяW 3§ 9q A° KP @р tg=Є 3FчСрyп}оoожсЉфІцпЙтЩмЗу„ч¤цФшґмахо 5Б :Nяо Bx AA 8љ @Й &lt;ы :а ?r H~ BЭ zЏl‹9А 8¬уiи№ж€фRтMыЧэ№ 8‡ |i&lt;Т 3ћъд 3Wя† i‘gWя\ 5I 9zщ &lt;р OщbлIојн Sщ;юD 7§ ;‰ ?Эш 7ж_с†ф Qыь 7Ц 9n s€IA Iб &gt;f g^ъ|ы@я =ъИ :M HA H® 4ъо =ч \ч aч Ђ:Ѓ Cу i^фnн UйPо§ч» 7V L_ }xI± ?з 9&lt;ы bхЇъЛы« gs&lt;Н @ќ!6 7N j“6щ g“8З @• TВ PЄ z–=– 8Рц RйбнахЮхaп 8мxЯілFм Wв·х\ :р FЭ HЈ Lм FЇ ;iы g9Ш &gt;Ж p“U4 U‹ HЇ q8х 7озт„ 7є Bw Fы JМ Hг Fі 7V 5\ B? r“4Й @Т }‹?F 6qыAш7у bх‹пmо_ъЊчWфJйЬе—б°ъaюEсЬм¶рЙнџз Wд§д~пъфE 5” 8ДьZфЎц ]жјЭік}я ylg3M @ќ @Ї 6ИыU &lt;ы!= v‘{fKф &gt;  4e ?Я =Б 6Щъ m3Ч jDшГхЖ oryifђ:B DЮ ?o 4R =Щ B¦ :„щЬцВш«о Tс№т–уд 3ќпњжеDуш liflpsoЏ@|ъt ;™ 6ЗхХютH ;И :— j‘5щч aьръ’ц4чI =L Fн KJя _рdю] :c &lt;Ѓ mkGР xgBo 5 3}нµвўеом DпющЗ ;&lt; ;Яюму‹ройЧн 7ч •C« JЧ N[ Kk wUщ Uн ZыXф5т‰ч8 3дх©с VяZ 5Ј m’h–lЃ&gt;Уя^ 8B {ЌOщ Cµ G° Gv :Рь :ф &gt;зМЬ BЬsпЃь`щL 5M g€5Yя &gt;т®уКюЁ 8k ?w @† F] G¬ C ;HтUпОчйц’н ^оbфЖ 5k B¶ j†jЏ@Щ 7‚ 4Сь4 ;u MX QЖ ?” A· Lu BМ ?m GV &gt;ычmф &gt;ь ;ы Pъ •;w B’ h—5ґ 4ЉцоъVэ’ lgmBьnэТ 9:яСхiщcх4лdЬbЭЪЯdдZнЮшпыµяJ &lt;е &lt;? 6¤я‡ uѓ@S 9П Da Ja sЃ=ж ?s i‰3Є 4Y 6д 5—ы° =» FЛ GR ‚ЏQ– L‘ :ЭщНх^ч Uуо i…A™ geящРцiзҐЯ›зыпўц¬ 7Ж A› plm7ю XэЩю¤цo iЂ9W 4Хх|рIо ]и;дцжЄнтця 6ы 9жэ `х6уґп§р±я[ BЪ Ei EО yz&lt;ѕ 4оыBфkуfчўюйюЇ 5Л Dq Hь Bї =‹ 6›ъЏъ™я° ;О C· E6 wѓ&lt;дчGмЗе\гадtкЩн«т aц±шПц_ь‘ 9¶ rnCЙ FM I« @• &lt; &gt;О 8_ 9J o~lFьИц‡у;уёфўт„рэхx 3K 8д oЋ&lt;Жя†ьqхТи±йЙн¬о 7уhцЃщђъач;ы} 3? 4V :k ow8ч 8· &lt;Ћ EH D‰ =D ? E~ Bf t…GТ BЙ l”7C 8x hbюдюmяQэ i4ю kq9у oѓxuFЧ &gt;б 6Ръ‘уЪкюмяхRш EшGъjщ\цBцSхpчЏшE*ы 8њ n‡5f 5ћэ YыP 5L j}&lt;і C• BЂ =В 6Јщkч Iцэч Wюe hЋ:ў 9ъ 5сх&lt;пDо[пЈнїоkхЄчтъ 5ы¦шjрrо Zс‚хLщЇщЮшFчxш ]ьzърш Ќ5ъ kj&gt;ё BГ E4 Lб Ox Qя N[ MQ J• EА pk&gt;” Aх t‘@w &lt;T 6`яќы^ь янюТ 8Y &gt;&gt; ?у 9Х 6FяЛю 8яђ 5Ю 3ќ 5| :Д 6F 4Ђх‰щWу‚уЦхЂхЎъ 3р ZхTхVмµпRсЄн\оOи^нЫч ;нэо bт=пЉт QыE 4Ќ 4¦ 5ъ 6J :б ;є @D ?‡ 8n @л Aо B= EЫ GШ IХ xkC7 DІ =Є 3‘ 7&gt; 9I 6љ 5{ю9 3cяAьўяeя MяЗ ho5еь«щwъёш bфЉрлпn+т}щџя {hSяzэЇяЦыbьg g‰6Ј 8‹ ;e ;!&gt;Н 6~ю°юо 4з i†7Т &lt;: pw&lt;” =F :¤ :j 8Lяl 4s 9ж kl8l m~9  5†ягяeьfч{шrьiэZщ JщЈцТоІн­рPх XуKчЬь o3Иэ Oю g7z 5g gs3• 3ч i„kp5b 3c 4­ыOш Rщцщyэ® jЏ:^ 5Ј 5ґ 9Ѕ np:S 8F ;Ъ 6O 3° iЉ7~ fyiЋ;® &lt;щ 8Ѕ 8— 8Ѕ 88 :K =р ?С =R 9K &lt;} qw9я 4Ц 6` &lt;ь 8кяcы CчDпыкЗо©пыкЧлтп 5н OкҐнХукшFэ’юЗь=ъwьTя э 3ьџ 5о 9е 7Э 6‹ ig5Ъ 3Ш 5 5і 3|ьЅю Ћ83 8C 7ї 8§ 7е 4` 9н ;g ;» :ё ;Њ 9¶ 3‹ f–3|ьушішhц‰с *пфУщ©ы&gt; 3Ћ 4мэ`юЌяdюђяЁ 4T 8&gt; 9ы 6H 5љ 3к 4—я y3± 3юћь_эчьTъ UшFъ Vэ=юt 4ђ jr8ў 6ћ 6– 6к 3Фь :ыКы BьOы*щЯхСф®фШфўфCфЏшєэvь=ьвь Jьвызэ @юЄъpщДы–ю Dяe 3µ 5} 6і hs7М 9D ;‡ 96 m;m 9m 6p 3эяDяиэsь¶ъЖъ`э„яфюX 4… 5pяхэ[ь°ьPэAэ SыRыQъљщSэн gv6} 7» 7† 7V kr6g hg88 :А 9љ :№ 9Я 5` 5є 7Ў hdюеьљэrьNы KэГэєэ3 3ћ 4єяQю i3ыяЧяъ 37 3Ёя \я &gt;ю Nь Qы^ъuъ;ьeэ &lt;я@я UяИ 4y 5z 4Z f\яAяГ 5В iv4Ѕ 4j jh8В 5S 5Љ 5™ 4q 3з 3A 4Ш 3e 54 6z 5ц 4 h‰6Щ 5ш 5O gAяnяЩ f“4 3{ fЃg|3:юїю“ fЉ3:!4 6€ 5Y 3Hяg fs3ЁяgяUя¤я–я±яЂя`яВю—ю Fяѕ 3† 4g fYя \я^яДьВыІэхю°эҐэmюСэЧьАэ¦яQ 37 3wяФюЛюъю’яхя ^я &gt;я cяЪю [юfэ Nюl 3п 4» gv5Я hs6Z 6 5a 4‰ fo47 gЃgЃ33я @яьюИюВюАюьэґяо 3п fxgygЏ3Яят fЊ4c 3} 3А 4ё g‘3jя¤ю±эњэ|ю @яQя ђ3ы f’4д fr4Ї 4¶ 4ј 4ћ h5V 4џ 4Ў 4Эя &lt;я§я Џ3gяЛюHя Ђ3›я=я †3хя±яW 3‹ fr3®я ЊfЋ3їяія¬яjя~яЦяЙя„я€я ‚3l 4± 4Й 4А 4N 4« 3а 3¤ 4a 4­ fn4‚ gq4Њ 38 3Эя h3Ђяgяѓя OяйюЃя яЄячяХяъя g3D 3уяqя ?я6я™ясяG 3\ 3^ 3№яpяXяWяGяўяX 3p 3A 3ТяОяМя q3: fЏ34 3F fЉ39 3няЗяфяНяћяРя®я7я XяQяЌя©яґяЩя6 3Ѓ 3w 37 fifЋ3z 3Ќ 3{ 3Y 3X fm3бя i36 3^ 3d 3I 3чяЯяыя s3хяря l3ъямяЩяЖя›яћяНяЬяЫяаяЮяШяЫязяфяйямяъяыяэя kf7"3*я</t>
  </si>
  <si>
    <t>The recon group of G.P.Lovecraft passed to the future via the experimental Time-Port, while taking with them the key from inner garth, where the Radio Tower Complex is placed. So we have to wait until their return to be able to get there. I can only say: time isn't on our side. -- Pete.</t>
  </si>
  <si>
    <t>The Self-Destruct System can be engaged with the button to the left of the window with a view of Radio Tower(RT).After activation, the destruction of RT will occur in 3 seconds. WARNING: do not leave the shelter until destruction is complete - a powerful blast threatens life even at a long distance.</t>
  </si>
  <si>
    <t>Again there are no firearms... Shit... It's so cold, dark, hard to breathe, and... weird here! This place is scary as hell... hell?.. Hell! It really looks like hell.</t>
  </si>
  <si>
    <t xml:space="preserve">      This is dead end!</t>
  </si>
  <si>
    <t>Is this the Eye of Shub-Niggurath mentioned earlier? Grim sanctum of this unholy world! I have to push it.</t>
  </si>
  <si>
    <t>This switch will open East Portal in the tower</t>
  </si>
  <si>
    <t>This switch will open South Portal in the tower</t>
  </si>
  <si>
    <t>This switch will open West Portal in the tower</t>
  </si>
  <si>
    <t>Flying cubes? Are you sireous!? It looks DANGEROUS! I have to be fast as hell to pass through them!</t>
  </si>
  <si>
    <t xml:space="preserve">    I feel so lost here!</t>
  </si>
  <si>
    <t>Here lies R.J. MacReady, an American helicopter pilot, member of J.Campbell's squad. R.I.P.</t>
  </si>
  <si>
    <t>Damn these portals! I'm already scared enough - why should I suffer more?</t>
  </si>
  <si>
    <t>Cursed lands, zombies, devils, lots of traps! It’s just a miracle that I could not only survive here, but also go through the portal of the Great Damned Pyramid, while the trained soldiers failed! How could it be?</t>
  </si>
  <si>
    <t>But now I have no less difficult task. If I understand correctly, this portal should lead me to the very heart of the base, where the Little Damned Pyramid is located.</t>
  </si>
  <si>
    <t>And there I must pierce the Central Tower to turn off the locks on the outer gates of the base. Then I can finally escape from here... But how many creatures do I still need to win to get there? And can I survive the meeting with Ziggy?.. OMG, i'm so tired!</t>
  </si>
  <si>
    <t>I'm John Campbell, the head of the recon group, and I am the only one who has survived in this hell so far. Our task was to find the Eye of Shub-Niggurath - a powerful artifact that controls the doors between the worlds.We've discovered that it's somewhere under the Pyramid Of Lost Hopes. Try to find it.</t>
  </si>
  <si>
    <t>...we have lost most of the people, our weapons are almost empty, a new wave of attack will come soon, therefore... If you find this letter, send it to my son, Flynn Taggart, 1551 S Monroe St, Danver, Colorado:</t>
  </si>
  <si>
    <t>So all I can do now is to sit here between the smoking corpses of dead monsters and wait...Wait for continuation of their invasion. The moon and stars are shining. The night is silent. I'm waiting.</t>
  </si>
  <si>
    <t>Do you think this is the end of the story? Ok, I've beat these weird aliens, but... This crappy door is stuck,so i'm still locked here, far away from the Control Tower - in fact I have no idea where I am now! Near P7 base?.. On Earth?..   I don't know. . .</t>
  </si>
  <si>
    <t xml:space="preserve"> '...And a Tyrant from among the Ancients will come and open the Gates of Pain... And he will bring with him hordes of insatiable life-eaters to cleanse the earth of the human race...'      The Chronicles of Kadath</t>
  </si>
  <si>
    <t xml:space="preserve"> '...And a Hero from among the timid will be elected to withstand the battle with Tyrant... And many will fall in that battle...And Tyrant will be defeated by the hand of the weak one...' The Chronicles of Kadath</t>
  </si>
  <si>
    <t xml:space="preserve"> '...whose name will be David, and he will come from royal blood... And the human race will be forgiven, and will be given the will to rule on Earth with wisdom and respect...'           The Chronicles of Kadath</t>
  </si>
  <si>
    <t>Okay. Sit down next to me and buy me this bottle of beer, and I will tell you... Thank you... So... It was August 1979. It was a very hot night. . . . .</t>
  </si>
  <si>
    <t>Hi! My name is Dave,and I suppose you already know about this shitty story about defrosting aliens who rebelled at a secret base? There was also a full house of mystical bulshit! Have you ever heard of this? Not? Really?</t>
  </si>
  <si>
    <t>Closing.wav</t>
  </si>
  <si>
    <t>Intro_Mid.mid</t>
  </si>
  <si>
    <t xml:space="preserve"> 'Hello son! Love you very much, but it looks like this mess will be my last! Never thought I would go to hell before my death, but now everything says that I have to die defending this damned Pyramid - the portal from Hell to Earth...Take care of your mother and try not to get into trouble like your father!'</t>
  </si>
  <si>
    <t>...research data suggests that the key to the Gate is hidden somewhere deep under the Pyramid. Scans of the pyramid showed the presence of a large amount of water - some kind of underground lake. Soldiers must be careful - there is a risk of drowning. --- Grabe Nuel</t>
  </si>
  <si>
    <t>Our scientists say that this structure is used for some dangerous rituals and has much in common with our Stonehenge, but it's much older. We will try to study it more closely - may be it helps us to get an access to the Mystery Tower.     George Bennings, Campbell's squad.</t>
  </si>
  <si>
    <t>This is Clark. Windows says that we made a mistake by entering the portal without a key. However, the prospect of wandering in the terrible hellish forest behind this door also attracts me a little. We are all frightened by what is happening, but Campbell decided to return for Key.</t>
  </si>
  <si>
    <t>The project administration provides all middle and senior staff with first aid kits from UAC to help them manage injuries incompatible with life. The cost of used drugs will be deducted from your salary.</t>
  </si>
  <si>
    <t>...And the lord comes to Earth, whose name is Bastoth-Ragn-Ka. And he will gather an army of the dead to wipe the human race off the face of the earth. And he will open the gates, and the ancients will come out of those gates to devour the survivors. And Cthulhu will be awakened.</t>
  </si>
  <si>
    <t>0,256+0,030</t>
  </si>
  <si>
    <t>Напольная кнопка, спаунящая монстров при выходе из церкви</t>
  </si>
  <si>
    <t>Sprite will be ZOOMED by scale within the IndentLevel (1-18)/ The hitpoints of this sprite will be scaled too, as well as the damage and damage distance (for harmfull sprites, Like gas barrel, which can explode)</t>
  </si>
  <si>
    <t>This is snag! No exit! But still this is the coolest place in this hell!</t>
  </si>
  <si>
    <t>Телепорт-дверь к зимней секретке (обманный выход с уровня)</t>
  </si>
  <si>
    <t>This is a locked gate that I saw from the other side some time ago!</t>
  </si>
  <si>
    <t>All staff base! Due to periodical malfunctioning in the operation of the hover transport system, we had to block the entrance. Ask for a key in a research foundry. - Project Administration</t>
  </si>
  <si>
    <t>Something dangerous is just behind this gate! But I have to explore it.</t>
  </si>
  <si>
    <t>This is an experimental installation of a gravitational reactor - a simplified copy of an alien planetary engine! I heard about this earlier. But I never saw the gravity anomaly it creates Looks strange!</t>
  </si>
  <si>
    <t>Включение пушки, уничтожающей реактор, и спаун монстров</t>
  </si>
  <si>
    <t>Открытие кодового замка на выходе из зала реактора</t>
  </si>
  <si>
    <t>Включение пулемета на выходе из зала реактора</t>
  </si>
  <si>
    <t>Спаун монстров в галерее</t>
  </si>
  <si>
    <t>Включение кнопки на подвесном транспортере к острову</t>
  </si>
  <si>
    <t xml:space="preserve"> '...I've seen the dark shadows moving in the woods, and I have no doubt that whatever I've resurrected with this book - it should come here...  for me...'                -From diary of Prof.Raymond Knowby</t>
  </si>
  <si>
    <t>According to the thoughts of our scientists, the Mystery Tower is nothing more than a station of relativistic portals, given that the places we can reach through it are not in this world, but in another dimension. Thus, we must explore all the portals to find the Key to the Castle Kandar. -W.Blair,     Campbell's squad.</t>
  </si>
  <si>
    <t xml:space="preserve">       Castle Kandar</t>
  </si>
  <si>
    <t xml:space="preserve">       Mystery Tower</t>
  </si>
  <si>
    <t xml:space="preserve">   Pyramid Of Lost Hopes</t>
  </si>
  <si>
    <t xml:space="preserve"> '...Ancient mesopotamian scrolls says that humanity has already faced the massive transformation of dead people into terrible beings controlled by Evil. The source of infection is so-called Kandarian Dedite Demon...'                -From diary of Prof.Raymond Knowby</t>
  </si>
  <si>
    <t xml:space="preserve"> - To all P7 workers -      Due to the fact that in recent times there have been frequent cases of traumatic falls with a lethal outcome from the waste disposal port, warning signs have been marked on the walls of this port. Be careful!          - P7 administration</t>
  </si>
  <si>
    <t>...The alien spacecraft we are exploring contains many interesting technologies. Some of them have already been fully or partially mastered by our scientists (anti-gravity platforms, cargo teleportation, gravity reactor, revitalizers)...</t>
  </si>
  <si>
    <t>To date, 7 locations have been found on Earth (including those in Basra, Cairo, Kandar and others), with ancient temple-like structures containing artifacts called 'gates', created in immemorial times (supposedly for this type of teleportation).</t>
  </si>
  <si>
    <t>...In fact, last week we have established several "alive object" teleports, but they are unstable, and the probability of death and generalized mutations of the teleportation object is extremely high...</t>
  </si>
  <si>
    <t>...while some require further detailed study (teleportation of living objects, instant remote cross-space teleportation technology). We are waiting for the result of an experiment to revive an alien astronaut - it can help us in our research...</t>
  </si>
  <si>
    <t>…Another problem: guys from the neighboring department report a gravitational anomaly that appeared a week after the launch of an experimental reactor modeled after a planetary engine of an alien ship. The anomaly grows, it is accompanied by spontaneous mutations and death of personnel...</t>
  </si>
  <si>
    <t xml:space="preserve">     - Directive 124 -     All railway guards must now be on duty in pairs, as thefts of weapon and valuable equipment from trains have become frequent. You should check trains from the inside every hour. Be aware!                                          - P7 administration</t>
  </si>
  <si>
    <t>Открытие двери казармы и спаун монстров</t>
  </si>
  <si>
    <t>…This significantly slows down the work on both the Space Z Bullet project and the promising development, codenamed Space Shatter. Without the use of a new planetary engine, one can hardly expect that it will fly further than Mars (the Space Shatter may not be able to leave the Earth's orbit at all).            -Frank H.Pabodie</t>
  </si>
  <si>
    <t xml:space="preserve">   Space Shatter Project</t>
  </si>
  <si>
    <t xml:space="preserve">       Central Tower</t>
  </si>
  <si>
    <t xml:space="preserve">   P7 Bank Receipt          __________________________  Account PIN:  100101001   Type: performance fee   Amount: 80 gold      __________________________  Balance on account:96 gold                           CAUTION: Don't share your PIN to protect your account from fraud!</t>
  </si>
  <si>
    <t>I see the Yellow Key in his pocket!</t>
  </si>
  <si>
    <t>In empty cells or window cells with SPRITES, it</t>
  </si>
  <si>
    <t>Works only if both teleport cells marked Warp Text!</t>
  </si>
  <si>
    <t>Encodes "horizontal slide pseudo-door" teleport (see above)</t>
  </si>
  <si>
    <t>If has Active Side, It ports Hero only if he pushes the wall with special sprite, adjacent to cell's active side (if active side of both teleport cells are different - it will become the "pseudo-door"-type teleport with vertical sliding effect by default and horizontal sliding, if Wrap Text is set on both teleport cells). If one in pair of teleport cells has "+0,5", it will be the one-side teleport destination (with changing of Hero direction to that, specified in active side of destination cell), but when another cell will have no floor - this pair will be "floor hole down jump/on-wall climb to the upper floor" type teleport (the +0,5 cell must have the adjacent wall with spec.sprite on it to Hero be able to climb).</t>
  </si>
  <si>
    <t>Wrap Text (перенос)</t>
  </si>
  <si>
    <t>Note: killing him will ends the level; you can create several MegaBosses on one level (player have to kill them all to finish the level). DON'T place them on the TELEPORT cells!</t>
  </si>
  <si>
    <t>Спаун монстров после ворот от жд к центру комплекса</t>
  </si>
  <si>
    <t>Включение пулеметов на спаун монстров после ЖД</t>
  </si>
  <si>
    <t>Damn, it seems that the opening of this door has turned on the alarm! I can hear the zombie soldiers coming from the side of the railway tracks. It seems that to the left of the entrance I saw a fortified checkpoint - a pair of machine guns will help me repel the attack! Rather go there!</t>
  </si>
  <si>
    <t>Easy money! Huh...</t>
  </si>
  <si>
    <t>Today's P7 Bahk operations: 1. 40 gold credit to the account 19420618 - balance 77 gold.                 2.17 gold expence per account 19670220 - balance 27 gold.                3.120 gold bonus credit to the account 19421127 - balance 270 gold.          __compiled by order of the Cyber Center___</t>
  </si>
  <si>
    <t>John, you asked me to put a combination lock in the Loading Hall - I did it. Professor Shimada came up with a password: if you start counting column groups in the Cyber Center room, starting from the north wall, a 4-digit number will be released. Interesting, isn't it?  -Pete.</t>
  </si>
  <si>
    <t>Кодовый замок на двери погрузочного цеха</t>
  </si>
  <si>
    <t xml:space="preserve">       Loading Hall</t>
  </si>
  <si>
    <t xml:space="preserve">      Cyber Center                                     (I think I should look for       something here)</t>
  </si>
  <si>
    <t>Кнопка в хвосте шатла</t>
  </si>
  <si>
    <t>It looks like this invasion has no end. Most of science associates are dead or transformed. Our group will try to get to the future through an experimental time-port on a second floor of this building to find out our perspectives.I hope that this recon will help us in the fight against the invaders. - G.P.L.</t>
  </si>
  <si>
    <t>We will not be able to restrain the invasion for a long time. People are in a panic. We are guarding the Time-Port, so I suggested sending recon group to the future.  P.S.To prevent unauthorized access to the arsenal, I had to move the arsenal door control panel to a hidden place to the right. -Pete.</t>
  </si>
  <si>
    <t>Is this an inter- dimensional portal!? I've heard almost nothing about it... And all this time it was here, hidden under the RadioTower!? Is it conspiracy?.. So where am I now? On Mars? On Yuggoth? Or?..</t>
  </si>
  <si>
    <t>...To those who will read this!!! I'm Nick Romero, the security guard of outer level. We are under ATTACK! Guys from upper levels said by INTERCOM that experiment went wrong trying to revive alien…</t>
  </si>
  <si>
    <t>...Ziggy (at least, they call it Ziggy) spawns monsters from other dimension... Security guard from next level told me strange things about possessed scientists and tech associates...</t>
  </si>
  <si>
    <t>NO MONEY HERE!</t>
  </si>
  <si>
    <t>DON'T PANIC!</t>
  </si>
  <si>
    <t>THIS MONITOR SHOWS FAR LOCATION, YOU WILL BE THERE LATER.</t>
  </si>
  <si>
    <t xml:space="preserve">If set for static walls, it activates the special texture (if it's present) for active side (if used on walls with active side and texture of floor/ceiling), or for all cell (if used on cells without active side) </t>
  </si>
  <si>
    <t>Spaceshuttle shaper</t>
  </si>
  <si>
    <t>Нажимные плиты спаунят охранников на стоунхендже</t>
  </si>
  <si>
    <t>Темные ячейки</t>
  </si>
  <si>
    <t>Лестница на 2й этаж башни</t>
  </si>
  <si>
    <t>Нажимная плита на втором этаже башни</t>
  </si>
  <si>
    <t>stairs underfloor</t>
  </si>
  <si>
    <t>портал со второго этажа башни</t>
  </si>
  <si>
    <t>Top of Great Pyramid</t>
  </si>
  <si>
    <t>Главный портал пирамиды</t>
  </si>
  <si>
    <t>Нажимная плита в боковом туннеле пирамиды (турель)</t>
  </si>
  <si>
    <t>Лестница в подвал пирамиды 1</t>
  </si>
  <si>
    <t>Лестница в подвал пирамиды 2</t>
  </si>
  <si>
    <t>Подводный портал пирамиды</t>
  </si>
  <si>
    <t>Encodes reverse appearance of usual sprites</t>
  </si>
  <si>
    <t>Note: works only with sprites, coded by Fraction (0.127 ets); don't works with the wizzbangs</t>
  </si>
  <si>
    <t>Кнопка, открывающая правую дверь портала (2) башни</t>
  </si>
  <si>
    <t>Кнопка, открывающая нижнюю дверь портала (3) башни</t>
  </si>
  <si>
    <t>Кнопка, открывающая левую дверь портала (4) башни</t>
  </si>
  <si>
    <t>Портал за правой дверью башни (2)</t>
  </si>
  <si>
    <t>Портал за нижней дверью башни (3)</t>
  </si>
  <si>
    <t>Портал за левой дверью башни (4)</t>
  </si>
  <si>
    <t>Yellow key 3D#</t>
  </si>
  <si>
    <t>Blue key 3D#</t>
  </si>
  <si>
    <t>Red key 3D#</t>
  </si>
  <si>
    <t xml:space="preserve"> codes adjustment of Z_pos  for this sprite (not in cells with holes)</t>
  </si>
  <si>
    <t>Sprite will be depressed into the ground by the indent_level x 2 points</t>
  </si>
  <si>
    <t xml:space="preserve">left(indent) </t>
  </si>
  <si>
    <t xml:space="preserve">right(indent) </t>
  </si>
  <si>
    <t>Sprite will be rised above the ground by the Texture_height+ indent_level x 4 points</t>
  </si>
  <si>
    <t>John, it's terrible! Grabe just went crazy! Not only does he conduct monstrous experiments on unsuspecting volunteers - his 'soldiers' are totally out of control. If they revolt, nothing will stop them, John! Do something, before it's too late! P.S. I've updated the TP access code. Now it's 28111979.</t>
  </si>
  <si>
    <t>Camera 128: aimed at the bunker gate with experimental creatures (results of Dr. Grabe’s experiments with volunteers). Technical comment: these masked arachnids, of course, are almost artificial experimental creatures, dangerous as hell, keep this gate closed!</t>
  </si>
  <si>
    <t>ON</t>
  </si>
  <si>
    <t>Sounds:</t>
  </si>
  <si>
    <t>SOUNDS:</t>
  </si>
  <si>
    <t>Game palette (R,G,B):</t>
  </si>
  <si>
    <t>Red</t>
  </si>
  <si>
    <t>Black</t>
  </si>
  <si>
    <t>Green</t>
  </si>
  <si>
    <t>Blue</t>
  </si>
  <si>
    <t>Yellow</t>
  </si>
  <si>
    <t>Violet</t>
  </si>
  <si>
    <t>Marengo</t>
  </si>
  <si>
    <t>Gray</t>
  </si>
  <si>
    <t>Some problems with behavioral stability of subject still remain, but we assume that it will be overcome in the near future.   ------------- Chief of military department, Grabe Nuel</t>
  </si>
  <si>
    <t>Or enlargemend of the sprites to make BIG ones</t>
  </si>
  <si>
    <t>Напольная кнопка, спаунящая монстров в лесу при взятии желтого ключа</t>
  </si>
  <si>
    <t>Strikethrough (зачеркивание)</t>
  </si>
  <si>
    <t>right(indent) - will be PAINTED into the palette (1-7), specified by the Indent Level. The native palette will be ignored</t>
  </si>
  <si>
    <t>Default_High_Ceiling_Texture</t>
  </si>
  <si>
    <t>Напольная кнопка, запускающая вертикальное движение островов и турели над пропастью перед красным ключом</t>
  </si>
  <si>
    <t>Special tag cell activator (+2048 for activate,+2112 for DEactivate)</t>
  </si>
  <si>
    <t>When hero enters that cell, it will activate all cells on map with specified special tag (if tag pecified as Value+64, it will DEactivate previously activated cells with this special tag). DO NOT duplicate this tool with on-wall switch for the same special tag value!!!.</t>
  </si>
  <si>
    <t>Напольная кнопка, спаунящая монстра при взятии красного ключа в левом портале замка</t>
  </si>
  <si>
    <t>The texture for process will be taken from the cell floor/ceiling texture set (if texture set has special texture frame, it will be used instead of ceiling texture, if there both floor and ceiling are set as holes in this cell, the engine will use the basic texture for this level for texturizing high ceilings)</t>
  </si>
  <si>
    <t>If set in the cell with lighter texture (on wall or on ceiling), it means BLINKING LIGHT (if lighter is not set OFF by special tag or Subscript option)</t>
  </si>
  <si>
    <t>Damn, it seems that I sow it somewhere before!</t>
  </si>
  <si>
    <t>Wow, it's  Grenade Rifle! Coool!</t>
  </si>
  <si>
    <t xml:space="preserve">distributed(indent)- spawn will happen every 120 sec + "indent level"*4 seconds. If indent level = 15 (and total time = 180 sec) then this spawn will work only once. </t>
  </si>
  <si>
    <t>To all guards! The new weapon arrived to base - Grenade Rifle, the modified type of Panzerfaust. Keep it in secret, do not allow the other workers on the base to face with it! Hans Grosse</t>
  </si>
  <si>
    <t xml:space="preserve"> Например, Дэйв неплохо управлялся со взрывными работами (пару лет назад полгода работал на руднике), умел проводить техническое обслуживание гидросооружений, хорошо разбирался в технике и даже прошел краткие курсы по упрощенной программе обращения с новшеством последних лет - персональными компьютерами. Бойцом или ученым он не был, поэтому ни стрелять, ни оперировать трехэтажными формулами не умел. Да этого и не требовалось. Львиную долю его работы составляла уборка помещений, уход за парковой зоной внешнего уровня, обслуживание гидропомп, которые обеспечивали функционирование разветвленной сети охлаждающих и промывных гидротоннелей, прочистка вениляционных коммуникаций, помощь на складе (тут уж Дэйв успел натаскаться ящиков на жизнь вперед). Изредка требовалось что-то подорвать для строительства и расширения базы, и тогда он входил в бригаду подрывников. В остальное время было скучно. Жаркий и засушливый климат (фактически, их секретная база располагалась в самом сердце обширной пустоши в одном из южных штатов), небо - днем слегка грязное от пыли, а ночью почти черное и усыпанное мириадами мерцающих звезд - не знало туч или даже облаков. Дождей здесь не бывало. </t>
  </si>
  <si>
    <t>Occasionally, it was required to undermine something for the construction and expansion of the base, and then he was part of the team of demolitions. The rest of the time it was boring. The hot and arid climate (in fact, their secret base was located in the heart of the vast wasteland in one of the southern states), the sky - slightly filthy from the daytime, and almost black at night and strewn with myriads of twinkling stars - did not know even clouds. There was no rain here. Far to the north in the haze of skyline, the peaks of the ridge darkened. Dave was not strong in geography, and was not particularly interested in what kind of mountains there were. He only knew that after the election procedure (interview and physical examination) and registration of all necessary papers, he and several other guys were seated in a bus with curtained windows and drove to the site (the road took approximately two hours). New acquaintances, the feeling that everyone is engaged in some very important common cause - all this has blossomed for Dave the first months of staying at the base in almost iridescent tone. Then it became worse.</t>
  </si>
  <si>
    <t>Great expectations, as in the case of the object in Roswell, were soon replaced by painstaking routine and the expectation of what was not clear. It was hard for Dave to get used to the monotony of the local situation, and only thoughts about a good salary here and the two-year prospect to open his own little business somewhere near the sea helped him not to lose his positive attitude. Also there was Nick. The guard of the outer perimeter, the former Marine, the father of two cute little girls, he turned out to be an excellent friend. Calm, like a rock, always confident in the correctness of the orders of his superiors and his actions. He, as a rule, acted consistently. He was not an intellectual, but there always was something to talk with him about after a jar of "tuborg" (employees were allowed one beer after work, and the guys did not ignore this bonus). In a couple of words, Nick was that man you will go with to scouting. However, Dave was not a military man at all...</t>
  </si>
  <si>
    <t>But yesterday everything was different. first of all - the morning incident. Hell, Dave has never been so distracted when doing responsible work. But only one time it was enough. After he shuffled with his partner, he pulled the valve of the pump for the acid waste with a wrench. The tap ripped off, and the pungent greenish liquid spattered Dave right in the face. All the lights darkened in the Dave’s eyes at once... Lately, doc Jenssen said that toxic fluid burns the cornea an that the Dave’s vision will be altered for a certain time. Not the news you will want to hear, ain’t it? All the day Dave staying at home, treating his eyes with the curative drops and doing nothing. Late evening he turned to sleep. Three hours later, he was awakened by the blasts ant shots behind the wall of second security level. His eyes were sore and details vision was significantly diminished. The TV set still broadcasts silly motivation video, but with some new additions – the face of alien called Ziggy was showed to Dave as if this alien was alive! Dave called but nobody replied.</t>
  </si>
  <si>
    <t>“There must be the solution for this situation. May be all the things not as bad as in my imagination?" But inner voice told to him:”C’mon, dude, you know and i know that there is no chance for the happy end in these circumstances! Don’t you hear the blasts are stoped now? No shots! No shouts! Just silence. Do you think it’s because of our victory? So where all the humans? Where the news by TV set?.. Realise: may be you are the only alive human in this prison face to face with the things that killed all the people here?”</t>
  </si>
  <si>
    <t>klop</t>
  </si>
  <si>
    <t>Alternative_Beat_Sound</t>
  </si>
  <si>
    <t>Step back and let door open.</t>
  </si>
  <si>
    <t>Damage points to Hero for this wall (not working for floor and ceiling)</t>
  </si>
  <si>
    <t>Space Z rocket holder</t>
  </si>
  <si>
    <t>Then Dave’s shouts brung to him no reply as well. Dave was frightened and puzzled about what’s happen? Then he wondered about the necessity to defend himself. The only weapon he has in his room was heavy wrench. Not the best weapon in the world, but Dave had no choice. He knew, that in case of danger, the outer perimeter of the base locks to prevent the leackage of menace. And this blockade could be turned off only from the central tower in the deep heart of the base. Ironically, being in the outer security level, the Dave can escape the base, only going through all the security levels to the center of a base and facing with the all the dangers which caused those shots and blasts. Dave thinked about the explosives. Some TNT packs could be found among the current security level – in armory for guards, for example. But TNT will not destroy the wery strong outer wall. It may serve only as a weapon to vanish weak walls and enemies... Enemies! Fright took over the Dave’s mind. “Just don’t panic!” – said Dave to himself.</t>
  </si>
  <si>
    <t>File N =</t>
  </si>
  <si>
    <t>Sprites Paremeters(left column of each sprite, can't contain transparency indexes for art)</t>
  </si>
  <si>
    <t>Ziggy_Roar.wav</t>
  </si>
  <si>
    <t>Use.wav</t>
  </si>
  <si>
    <t>Train.wav</t>
  </si>
  <si>
    <t>Teleport.wav</t>
  </si>
  <si>
    <t>Stats.mp3</t>
  </si>
  <si>
    <t>Squish.wav</t>
  </si>
  <si>
    <t>Scientist_Shot.wav</t>
  </si>
  <si>
    <t>Scientist_Roar.wav</t>
  </si>
  <si>
    <t>Reload_Gun.wav</t>
  </si>
  <si>
    <t>Plasma_Gun_Shot.wav</t>
  </si>
  <si>
    <t>Pistol_Shot.wav</t>
  </si>
  <si>
    <t>Opened.wav</t>
  </si>
  <si>
    <t>Open.wav</t>
  </si>
  <si>
    <t>Move_Box.wav</t>
  </si>
  <si>
    <t>Monster_Dies.wav</t>
  </si>
  <si>
    <t>Monitor2.wav</t>
  </si>
  <si>
    <t>Monitor.wav</t>
  </si>
  <si>
    <t>Lost_HP.wav</t>
  </si>
  <si>
    <t>Locked.wav</t>
  </si>
  <si>
    <t>Heal.wav</t>
  </si>
  <si>
    <t>Gunshot.wav</t>
  </si>
  <si>
    <t>Guardian_Roar.wav</t>
  </si>
  <si>
    <t>Get_Weapon.wav</t>
  </si>
  <si>
    <t>Get_Key.wav</t>
  </si>
  <si>
    <t>Get_Bullets.wav</t>
  </si>
  <si>
    <t>Footstep.wav</t>
  </si>
  <si>
    <t>Fire.wav</t>
  </si>
  <si>
    <t>Earn_Gold.wav</t>
  </si>
  <si>
    <t>Death.wav</t>
  </si>
  <si>
    <t>Deap.wav</t>
  </si>
  <si>
    <t>Closed.wav</t>
  </si>
  <si>
    <t>Buy.wav</t>
  </si>
  <si>
    <t>Button.wav</t>
  </si>
  <si>
    <t>Broken_Glass.wav</t>
  </si>
  <si>
    <t>Broken.wav</t>
  </si>
  <si>
    <t>Boom.wav</t>
  </si>
  <si>
    <t>Beat.wav</t>
  </si>
  <si>
    <t>Arachnopod_Roar.wav</t>
  </si>
  <si>
    <t># of sprite,which will be placed on map and moved for wizzbang</t>
  </si>
  <si>
    <t># of wizzbangs shots at the same time</t>
  </si>
  <si>
    <t>wizzbang speed</t>
  </si>
  <si>
    <t>Wizzbang trigger (&gt;0 - # of wizzbang sprite)</t>
  </si>
  <si>
    <t>Wizzbang velocity (if wizzbang trigger&gt;0)</t>
  </si>
  <si>
    <t>Shotgun</t>
  </si>
  <si>
    <t>Shotgun Bullets</t>
  </si>
  <si>
    <t>Texture #</t>
  </si>
  <si>
    <t>Damage accuracy (1-90,higher values - wider horizontal distribution of damage power, weaker damage in each point of screen)</t>
  </si>
  <si>
    <t>Crossfire_for this weapon</t>
  </si>
  <si>
    <t>Creature Shot_Sound_#</t>
  </si>
  <si>
    <t>Creature Roar_Sound_#</t>
  </si>
  <si>
    <t>Creature loot index</t>
  </si>
  <si>
    <t>File length</t>
  </si>
  <si>
    <t>File containers -&gt;</t>
  </si>
  <si>
    <t xml:space="preserve"> </t>
  </si>
  <si>
    <t>X_cells=</t>
  </si>
  <si>
    <t>Y_cells=</t>
  </si>
  <si>
    <t>Texture_width</t>
  </si>
  <si>
    <t>Texture_Height</t>
  </si>
  <si>
    <t>Next_Map_Name</t>
  </si>
  <si>
    <t>S</t>
  </si>
  <si>
    <t>.</t>
  </si>
  <si>
    <t>?</t>
  </si>
  <si>
    <t>!</t>
  </si>
  <si>
    <t>-</t>
  </si>
  <si>
    <t>:</t>
  </si>
  <si>
    <t>=</t>
  </si>
  <si>
    <t>(</t>
  </si>
  <si>
    <t>)</t>
  </si>
  <si>
    <t/>
  </si>
  <si>
    <t>,</t>
  </si>
  <si>
    <t>A</t>
  </si>
  <si>
    <t>B</t>
  </si>
  <si>
    <t>C</t>
  </si>
  <si>
    <t>D</t>
  </si>
  <si>
    <t>E</t>
  </si>
  <si>
    <t>F</t>
  </si>
  <si>
    <t>G</t>
  </si>
  <si>
    <t>H</t>
  </si>
  <si>
    <t>I</t>
  </si>
  <si>
    <t>J</t>
  </si>
  <si>
    <t>K</t>
  </si>
  <si>
    <t>L</t>
  </si>
  <si>
    <t>M</t>
  </si>
  <si>
    <t>N</t>
  </si>
  <si>
    <t>O</t>
  </si>
  <si>
    <t>P</t>
  </si>
  <si>
    <t>Q</t>
  </si>
  <si>
    <t>R</t>
  </si>
  <si>
    <t>T</t>
  </si>
  <si>
    <t>U</t>
  </si>
  <si>
    <t>V</t>
  </si>
  <si>
    <t>W</t>
  </si>
  <si>
    <t>X</t>
  </si>
  <si>
    <t>Y</t>
  </si>
  <si>
    <t>Z</t>
  </si>
  <si>
    <t>Sky_back_color</t>
  </si>
  <si>
    <t>#</t>
  </si>
  <si>
    <t>Default_Viewed_Wall_Distance</t>
  </si>
  <si>
    <t>Objects_Width</t>
  </si>
  <si>
    <t>Objects_Height</t>
  </si>
  <si>
    <t>`</t>
  </si>
  <si>
    <t>Year</t>
  </si>
  <si>
    <t>analog</t>
  </si>
  <si>
    <t>not realized</t>
  </si>
  <si>
    <t>Platform</t>
  </si>
  <si>
    <t>Interface</t>
  </si>
  <si>
    <t>Oscilloscop</t>
  </si>
  <si>
    <t>None</t>
  </si>
  <si>
    <t>Hardware panel with lamps</t>
  </si>
  <si>
    <t>SEGA</t>
  </si>
  <si>
    <t>one-purpose digital</t>
  </si>
  <si>
    <t>Developer</t>
  </si>
  <si>
    <t>EDSAC</t>
  </si>
  <si>
    <t>graphic monochrome</t>
  </si>
  <si>
    <t>semi-analog</t>
  </si>
  <si>
    <t>Higinbotham</t>
  </si>
  <si>
    <t>DEC PDP-1</t>
  </si>
  <si>
    <t>MTI</t>
  </si>
  <si>
    <t>electro-mechanical</t>
  </si>
  <si>
    <t>mechanic visualization</t>
  </si>
  <si>
    <t>DEC PDP-10</t>
  </si>
  <si>
    <t>L.Beturum</t>
  </si>
  <si>
    <t>Language</t>
  </si>
  <si>
    <t>Tube scheme</t>
  </si>
  <si>
    <t>unknown</t>
  </si>
  <si>
    <t>BASIC</t>
  </si>
  <si>
    <t>Text screen</t>
  </si>
  <si>
    <t>D.Diamond</t>
  </si>
  <si>
    <t>Hamurabi (the sumer game)</t>
  </si>
  <si>
    <t>Focal</t>
  </si>
  <si>
    <t>R.Baer</t>
  </si>
  <si>
    <t>TV graphics</t>
  </si>
  <si>
    <t>one-purpose console</t>
  </si>
  <si>
    <t>DEC PDP-7</t>
  </si>
  <si>
    <t>K.Thompson</t>
  </si>
  <si>
    <t>Fortran</t>
  </si>
  <si>
    <t>Weapon_width</t>
  </si>
  <si>
    <t>Weapon_Height</t>
  </si>
  <si>
    <t>x1</t>
  </si>
  <si>
    <t>y1</t>
  </si>
  <si>
    <t>z1</t>
  </si>
  <si>
    <t>x2</t>
  </si>
  <si>
    <t>y2</t>
  </si>
  <si>
    <t>z2</t>
  </si>
  <si>
    <t>x3</t>
  </si>
  <si>
    <t>y3</t>
  </si>
  <si>
    <t>z3</t>
  </si>
  <si>
    <t>x4</t>
  </si>
  <si>
    <t>y4</t>
  </si>
  <si>
    <t>z4</t>
  </si>
  <si>
    <t>Ramp</t>
  </si>
  <si>
    <t>Color</t>
  </si>
  <si>
    <t>X_rotation</t>
  </si>
  <si>
    <t>Y_rotation</t>
  </si>
  <si>
    <t>Z_rotation</t>
  </si>
  <si>
    <t>X_shift</t>
  </si>
  <si>
    <t>Y_shift</t>
  </si>
  <si>
    <t>Z_shift</t>
  </si>
  <si>
    <t>Obj #</t>
  </si>
  <si>
    <t>Various</t>
  </si>
  <si>
    <t>Healthpack</t>
  </si>
  <si>
    <t>Yellow Key</t>
  </si>
  <si>
    <t>Red Key</t>
  </si>
  <si>
    <t>Blue Key</t>
  </si>
  <si>
    <t>Cell_size=</t>
  </si>
  <si>
    <t>%</t>
  </si>
  <si>
    <t>Shadow Sprite -80</t>
  </si>
  <si>
    <t>Lighter Sprite + 80</t>
  </si>
  <si>
    <t>Base_wall_Colors (Ceiling)</t>
  </si>
  <si>
    <t>Map cell filling pattern (number of floor/ceiling texture)</t>
  </si>
  <si>
    <t>Basic cell light/dark index</t>
  </si>
  <si>
    <t>Number of sprite (must be)</t>
  </si>
  <si>
    <t>Lighter index (&gt;0 - power)</t>
  </si>
  <si>
    <t>Animation pointer (&gt;0 number of next  animation frame)</t>
  </si>
  <si>
    <t>Time delay (in ms) for this animation frame</t>
  </si>
  <si>
    <t># of sprite,which will be placed on map after destroy/use this sprite (empty - NO destroyed sprite)</t>
  </si>
  <si>
    <t>Gold achievement(0 - 99)</t>
  </si>
  <si>
    <t>Ammo get(0-5 for type of bullets and+256 for complement axe type acheivement)</t>
  </si>
  <si>
    <t>Bullets get(0-99)</t>
  </si>
  <si>
    <t>Health get (0-99)</t>
  </si>
  <si>
    <t>Distance of damage, caused by this sprite</t>
  </si>
  <si>
    <t>Sound # for this sprite</t>
  </si>
  <si>
    <t>Number of this weapon(must be)</t>
  </si>
  <si>
    <t>Animation time for this frame (ms)</t>
  </si>
  <si>
    <t>Reload ammo trigger(pointer to start the bullet reload animation)</t>
  </si>
  <si>
    <t>Damage trigger(&gt;0 - damage power, caused by this frame to target)</t>
  </si>
  <si>
    <t>Damage distance</t>
  </si>
  <si>
    <t>Sound index</t>
  </si>
  <si>
    <t>Walk skin 1 row</t>
  </si>
  <si>
    <t>Walk skin 2 row</t>
  </si>
  <si>
    <t>Attak row</t>
  </si>
  <si>
    <t># of creature(MUST BE)</t>
  </si>
  <si>
    <t>Attak skin</t>
  </si>
  <si>
    <t>Light Index (&gt;0 - power)</t>
  </si>
  <si>
    <t>Animation pointer (&gt;0 - # of next frame)</t>
  </si>
  <si>
    <t>AnDelay for this frame (ms)</t>
  </si>
  <si>
    <t>HitPoints to destroy this object/take goods</t>
  </si>
  <si>
    <t>Dsprite (pointer to the sprite which will be placed on map after this object will be destroyed, 0 - no destroy)</t>
  </si>
  <si>
    <t>Gold achievment (0-99)</t>
  </si>
  <si>
    <t xml:space="preserve">Ammo_Type (0-5, if +256 - axe of this type) </t>
  </si>
  <si>
    <t>Bullets (0-99)</t>
  </si>
  <si>
    <t>Health (0-99)</t>
  </si>
  <si>
    <t>Ddistance (distance of damage, caused by this object)</t>
  </si>
  <si>
    <t>Sdist (distance, at which hero can hear the object sound)</t>
  </si>
  <si>
    <t>Number of voxel 3D object (MUST BE)</t>
  </si>
  <si>
    <t>Lighter index (&gt;0 - light power)</t>
  </si>
  <si>
    <t>Height to which object should be elevated if it's elevator</t>
  </si>
  <si>
    <t>Pointer to sprite of target hit</t>
  </si>
  <si>
    <t>algorhythm alone</t>
  </si>
  <si>
    <t>Bill Pitts</t>
  </si>
  <si>
    <t>DEC PDP-11</t>
  </si>
  <si>
    <t>MECC</t>
  </si>
  <si>
    <t>various</t>
  </si>
  <si>
    <t>Atari</t>
  </si>
  <si>
    <t>one-purpose platform</t>
  </si>
  <si>
    <t>NASA(S.Colley)</t>
  </si>
  <si>
    <t>TIES System, Mac</t>
  </si>
  <si>
    <t>Imlac PDS-1,Mac,X11</t>
  </si>
  <si>
    <t>Empire (1st Multy-user net shooter)</t>
  </si>
  <si>
    <t>J.Daleske</t>
  </si>
  <si>
    <t>PLATO System</t>
  </si>
  <si>
    <t>TUTOR</t>
  </si>
  <si>
    <t>graphic monochrome 512x512</t>
  </si>
  <si>
    <t>Space Race (1st asteroid surf game)</t>
  </si>
  <si>
    <t>J.Keenan</t>
  </si>
  <si>
    <t>Grand Track 10 (1st ROM automat)</t>
  </si>
  <si>
    <t>J.Bowery</t>
  </si>
  <si>
    <t>Colossal Cave Adventure (1st quest game)</t>
  </si>
  <si>
    <t>W.Crowther</t>
  </si>
  <si>
    <t>Channel F (1st CPU-based 2-gen console)</t>
  </si>
  <si>
    <t>Fairchild</t>
  </si>
  <si>
    <t>Fairchild F8 CPU</t>
  </si>
  <si>
    <t>TV graphics (8 colors 102x58)</t>
  </si>
  <si>
    <t>Taito</t>
  </si>
  <si>
    <t>Intel 8080</t>
  </si>
  <si>
    <t>Space Inviders (2d shoot'emUp arcade)</t>
  </si>
  <si>
    <t>R.Garriott</t>
  </si>
  <si>
    <t>Apple II</t>
  </si>
  <si>
    <t>color graphic</t>
  </si>
  <si>
    <t>Applesoft BASIC</t>
  </si>
  <si>
    <t>Adventure (1st action-adventure game)</t>
  </si>
  <si>
    <t>W.Robinett</t>
  </si>
  <si>
    <t>Atari 2600</t>
  </si>
  <si>
    <t>Mystery House (1st graphic quest)</t>
  </si>
  <si>
    <t>Sierra Ent.</t>
  </si>
  <si>
    <t>Rogue (1st Roguelike game)</t>
  </si>
  <si>
    <t>M. Toy</t>
  </si>
  <si>
    <t>A.Turing</t>
  </si>
  <si>
    <t>T.Goldsmith</t>
  </si>
  <si>
    <t>Ferranti</t>
  </si>
  <si>
    <t>UNIX</t>
  </si>
  <si>
    <t>T.Ivatani</t>
  </si>
  <si>
    <t>Namco Hardware</t>
  </si>
  <si>
    <t>DECUS games (1st computer game libriary)</t>
  </si>
  <si>
    <t>OXO (1st computer game with graphics)</t>
  </si>
  <si>
    <t>NIMROD (1st logical electronic game)</t>
  </si>
  <si>
    <t>Castle Wolfenstein (1st stealth-action game)</t>
  </si>
  <si>
    <t>Muse Software</t>
  </si>
  <si>
    <t>M.Evans</t>
  </si>
  <si>
    <t>Sinclair ZX81</t>
  </si>
  <si>
    <t>pseudographics (text)</t>
  </si>
  <si>
    <t>Brown Box (1st Pong game home console)</t>
  </si>
  <si>
    <t>Eidolon (1st 3D FPS with fractal mase for PC)</t>
  </si>
  <si>
    <t>LucasFilms</t>
  </si>
  <si>
    <t>ZX Spectrum, MSX,CPC</t>
  </si>
  <si>
    <t>ID Software</t>
  </si>
  <si>
    <t>IBM-PC, DOS</t>
  </si>
  <si>
    <t>EGA 15x320x200</t>
  </si>
  <si>
    <t>Bethesda Softworks</t>
  </si>
  <si>
    <t>VGA 256x320x200</t>
  </si>
  <si>
    <t>…and so on.</t>
  </si>
  <si>
    <t>Terminator FS (1st 3D FPS with real 3D models)</t>
  </si>
  <si>
    <t>Arena (1st RPG on a Excel spreadsheet)</t>
  </si>
  <si>
    <t>C.Walkin</t>
  </si>
  <si>
    <t>Excel 2003-2010</t>
  </si>
  <si>
    <t>VBA</t>
  </si>
  <si>
    <t>56 colors 50x25</t>
  </si>
  <si>
    <t>Excel Charts</t>
  </si>
  <si>
    <t>J.Goldmeier</t>
  </si>
  <si>
    <t>Sprite height (0-32)</t>
  </si>
  <si>
    <t>Texture</t>
  </si>
  <si>
    <t>Textures Sheet</t>
  </si>
  <si>
    <t>Sprites</t>
  </si>
  <si>
    <t>Sprites Sheet</t>
  </si>
  <si>
    <t>Creatures</t>
  </si>
  <si>
    <t>Creatures Sheet</t>
  </si>
  <si>
    <t>Weapons</t>
  </si>
  <si>
    <t>Weapons Sheet</t>
  </si>
  <si>
    <t>Landscapes</t>
  </si>
  <si>
    <t>Landscape Sheet</t>
  </si>
  <si>
    <t>Voxel 3D Sheet</t>
  </si>
  <si>
    <t>Polygonal 3D Sheet</t>
  </si>
  <si>
    <t>Stars color(0-no stars)</t>
  </si>
  <si>
    <t>Moon sprite #(0-no moon)</t>
  </si>
  <si>
    <t>Sun sprite #(0-no sun)</t>
  </si>
  <si>
    <t>Moon position(1-360)</t>
  </si>
  <si>
    <t>Sun position(1-360)</t>
  </si>
  <si>
    <t>3D Maze (1st 3D first-person maze chart simulation)</t>
  </si>
  <si>
    <t>Max # of bullets for this weapon</t>
  </si>
  <si>
    <t>+</t>
  </si>
  <si>
    <t>\</t>
  </si>
  <si>
    <t>/</t>
  </si>
  <si>
    <t>Zombie Scientist</t>
  </si>
  <si>
    <t>Swamp Demon</t>
  </si>
  <si>
    <t>Start from:</t>
  </si>
  <si>
    <t>If Active side is NOT set, then this object is treated as deaped - if Indent Level is even - or elevated - if indent level is odd - by duplicated number of texels, specified in indent level. NOTE: you can NOT use the special tag in a cell with such an object.</t>
  </si>
  <si>
    <t>x18</t>
  </si>
  <si>
    <t>Good Spawn Cell (+2304 for 3D polygonal objects, contineous)</t>
  </si>
  <si>
    <t>Encodes # of 3D polygonal object to be spawn in this cell every X seconds(see below)</t>
  </si>
  <si>
    <t>in Good Spawn Cells it codes the delay between spawns (sec)</t>
  </si>
  <si>
    <t>left(indent) - spawn will happen every "indent level"*4 seconds</t>
  </si>
  <si>
    <t>right(indent) - spawn will happen every 60 sec + "indent level"*4 seconds</t>
  </si>
  <si>
    <t>Spawn_Sprite</t>
  </si>
  <si>
    <t>Good_Spawn_Sprite</t>
  </si>
  <si>
    <t>This is the entrance to the P7 top security level. But it's locked up on the other side. I have to find another way.</t>
  </si>
  <si>
    <t>Напольная кнопка, спаунящая монстра в боковом коридоре пирамиды</t>
  </si>
  <si>
    <t>Муз. Афиша</t>
  </si>
  <si>
    <t>Муз.афиша</t>
  </si>
  <si>
    <t>Включение света в левой комнате 1 эт Башни</t>
  </si>
  <si>
    <t>Включение света вправой комнате 1 эт Башни</t>
  </si>
  <si>
    <t>Включение света на втором этаже башни</t>
  </si>
  <si>
    <t>It seems to be the point of no return!</t>
  </si>
  <si>
    <t>Задвигание ящика на дверь лифта, чтобы ГГ не смог сбежать с арены, спаун монстров на башне</t>
  </si>
  <si>
    <t xml:space="preserve">      Looks dangerous.</t>
  </si>
  <si>
    <t>Hell Scientist</t>
  </si>
  <si>
    <t>Split Second Map Name</t>
  </si>
  <si>
    <t>Level2</t>
  </si>
  <si>
    <t>Split Second Map Horizontal Border</t>
  </si>
  <si>
    <t>Split Second Map Vertical Border</t>
  </si>
  <si>
    <t>Finally this damned gate to the second P7 level is open. OK. Here are office buildings and research facilities. And a lot of fear and pain!</t>
  </si>
  <si>
    <t>Пулеметчик</t>
  </si>
  <si>
    <t>Grenade Rifle</t>
  </si>
  <si>
    <t xml:space="preserve"> 'We inform you that in aim to improve security inside the base, all window panes will soon be replaced with tempered impact resistant armored glass. Please treat this work with understanding.             Administration of the project.</t>
  </si>
  <si>
    <t>They are coming!!! As guard of time teleport facility, all I can do is to send yellow security pass key to the future to protect it from monsters... And I must hurry! If any human will read this - find it there! Don't let these alien bustards get to the Pyramid!!!</t>
  </si>
  <si>
    <t>Grenade Round</t>
  </si>
  <si>
    <t>Screen of Unholy Church</t>
  </si>
  <si>
    <t>Basic palette</t>
  </si>
  <si>
    <t>_</t>
  </si>
  <si>
    <t>^</t>
  </si>
  <si>
    <t>{</t>
  </si>
  <si>
    <t>]</t>
  </si>
  <si>
    <t>|</t>
  </si>
  <si>
    <t>[</t>
  </si>
  <si>
    <t>&amp;</t>
  </si>
  <si>
    <t>$</t>
  </si>
  <si>
    <t>@</t>
  </si>
  <si>
    <t>*</t>
  </si>
  <si>
    <t>a</t>
  </si>
  <si>
    <t>b</t>
  </si>
  <si>
    <t>c</t>
  </si>
  <si>
    <t>d</t>
  </si>
  <si>
    <t>e</t>
  </si>
  <si>
    <t>f</t>
  </si>
  <si>
    <t>g</t>
  </si>
  <si>
    <t>h</t>
  </si>
  <si>
    <t>i</t>
  </si>
  <si>
    <t>j</t>
  </si>
  <si>
    <t>k</t>
  </si>
  <si>
    <t>l</t>
  </si>
  <si>
    <t>m</t>
  </si>
  <si>
    <t>n</t>
  </si>
  <si>
    <t>o</t>
  </si>
  <si>
    <t>p</t>
  </si>
  <si>
    <t>q</t>
  </si>
  <si>
    <t>r</t>
  </si>
  <si>
    <t>s</t>
  </si>
  <si>
    <t>t</t>
  </si>
  <si>
    <t>u</t>
  </si>
  <si>
    <t>v</t>
  </si>
  <si>
    <t>w</t>
  </si>
  <si>
    <t>x</t>
  </si>
  <si>
    <t>y</t>
  </si>
  <si>
    <t>z</t>
  </si>
  <si>
    <t>font height</t>
  </si>
  <si>
    <t>font width</t>
  </si>
  <si>
    <t>sign identifier</t>
  </si>
  <si>
    <t>&lt;</t>
  </si>
  <si>
    <t>&gt;</t>
  </si>
  <si>
    <t>'</t>
  </si>
  <si>
    <t>Exit Message Pointer</t>
  </si>
  <si>
    <t>Intro Message Pointer</t>
  </si>
  <si>
    <t>Moral of creature (1-10)</t>
  </si>
  <si>
    <t>Melee attack range (0 - no melee attack)</t>
  </si>
  <si>
    <t>If placed in voxel 3d cell, it places the sprite/polygonal 3d/creature ON voxel object. If placed in EMPTY (without walls, windows, voxels, trains) cell, then it places sprite/polygonal 3D model on half of cell height (If sprite can DAMAGE Hero, it will start to fly/swim randomly within parent cell in all dimensions). If 3D polygonal object is placed in a wall cell, it will be elevated on this wall. If hero takes the same object in the same map row or column, this object will disappear with the object taken by hero (for more realistic imitation of underwater and second floor purposes)</t>
  </si>
  <si>
    <t>Flight Max Height (0 - creature can't fligh)</t>
  </si>
  <si>
    <t>Max melee damage, caused by creature</t>
  </si>
  <si>
    <t>Creature attack light index</t>
  </si>
  <si>
    <t>Creature hit points</t>
  </si>
  <si>
    <t>Pointer to sprite of LIVE target hit</t>
  </si>
  <si>
    <t>Level_Music</t>
  </si>
  <si>
    <t>Plasma Gun</t>
  </si>
  <si>
    <t>Plasma Bullets</t>
  </si>
  <si>
    <t>TNT box</t>
  </si>
  <si>
    <t>Creature max height in pixels</t>
  </si>
  <si>
    <t>TNT candle</t>
  </si>
  <si>
    <t>Expendable weapon trigger (explosive, mines, so on)</t>
  </si>
  <si>
    <t>Shot trigger (0-no shot, &gt;=1 -number of bullets used)</t>
  </si>
  <si>
    <t>Sound distance(how far Hero&amp;Creatures can hear it)</t>
  </si>
  <si>
    <t>Sound distance</t>
  </si>
  <si>
    <t>Box over wall</t>
  </si>
  <si>
    <t>Window 2 floor</t>
  </si>
  <si>
    <t>Creature_Roar_Sound_Distance</t>
  </si>
  <si>
    <t>Creature_Shot_Sound_Distance</t>
  </si>
  <si>
    <t>обычный</t>
  </si>
  <si>
    <t>курсив</t>
  </si>
  <si>
    <t>полужирный</t>
  </si>
  <si>
    <t>полужирный курсив</t>
  </si>
  <si>
    <t>}</t>
  </si>
  <si>
    <t>Power Pentacle</t>
  </si>
  <si>
    <t>End_Level_Music</t>
  </si>
  <si>
    <t>Post_Scriptum.mid</t>
  </si>
  <si>
    <t>x5</t>
  </si>
  <si>
    <t>x6</t>
  </si>
  <si>
    <t>x8</t>
  </si>
  <si>
    <t>x9</t>
  </si>
  <si>
    <t>x10</t>
  </si>
  <si>
    <t>x11</t>
  </si>
  <si>
    <t>x12</t>
  </si>
  <si>
    <t>x14</t>
  </si>
  <si>
    <t>QuadroGun Bullets</t>
  </si>
  <si>
    <t>QuadroGun</t>
  </si>
  <si>
    <t>Reflection_Degree (1-5)</t>
  </si>
  <si>
    <t>Reflection degree (1-5, empty - no reflection))</t>
  </si>
  <si>
    <t>Reflection exception color (ramp 1-7)</t>
  </si>
  <si>
    <t>Height of bottom of this sprite (0 to 32, 0 - on ground)</t>
  </si>
  <si>
    <t>Sprite # to put it on walls when Hero hit creature near the wall</t>
  </si>
  <si>
    <t># of sprite,which will be placed on map after destroy this actor (empty - NO destroyed sprite)</t>
  </si>
  <si>
    <t>Sprite # to put it on a floor when creature is wounded</t>
  </si>
  <si>
    <t>Sounds</t>
  </si>
  <si>
    <t>Music/Sounds Sheet</t>
  </si>
  <si>
    <t>intro.mp3</t>
  </si>
  <si>
    <t>Message#</t>
  </si>
  <si>
    <t>TexHeight</t>
  </si>
  <si>
    <t>Backside Visibility (Empty - both sides visible, 1 - first side visible, 2 - second side visible)</t>
  </si>
  <si>
    <t>Alt Color Ramp (instead of invisibility backside wil be filled by this color)</t>
  </si>
  <si>
    <t>Alt Color Index (instead of invisibility backside wil be filled by this color)</t>
  </si>
  <si>
    <t>Transparency (empty - not transparent, 1 - transparent, applied to both sides of polygone)</t>
  </si>
  <si>
    <t>Window 3 floor</t>
  </si>
  <si>
    <t>Power Cube</t>
  </si>
  <si>
    <t>Power Cube 2</t>
  </si>
  <si>
    <t>Power Skull</t>
  </si>
  <si>
    <t>Random Ammo Box</t>
  </si>
  <si>
    <t>Letter #1</t>
  </si>
  <si>
    <t>Letter #2</t>
  </si>
  <si>
    <t>Letter #3</t>
  </si>
  <si>
    <t>Letter #4</t>
  </si>
  <si>
    <t>Letter #5</t>
  </si>
  <si>
    <t>Letter #6</t>
  </si>
  <si>
    <t>Letter #7</t>
  </si>
  <si>
    <t>Letter #8</t>
  </si>
  <si>
    <t>Letter #9</t>
  </si>
  <si>
    <t>Letter #10 (eternal)</t>
  </si>
  <si>
    <t>Blue Key Eternal</t>
  </si>
  <si>
    <t>Yellow Key Eternal</t>
  </si>
  <si>
    <t>Red Key Eternal</t>
  </si>
  <si>
    <t>All plus N pack</t>
  </si>
  <si>
    <t>Fan</t>
  </si>
  <si>
    <t>Tower</t>
  </si>
  <si>
    <t>RadioTower</t>
  </si>
  <si>
    <t>Portal Runa</t>
  </si>
  <si>
    <t>speed of creature (0-16, 8 is average)</t>
  </si>
  <si>
    <t>run speed of creature (0-16, 8 is average)</t>
  </si>
  <si>
    <t>Creatures_Call_Others_Distance (if hit by hero, this creature can call others as far as this distance)</t>
  </si>
  <si>
    <t>Creatures_Under_Attack_BackWalk_Time</t>
  </si>
  <si>
    <t>Creatures_Under_Attack_SurroundMove_Time</t>
  </si>
  <si>
    <t>Creatures_Get_Hero_TurnBackWalk_Time</t>
  </si>
  <si>
    <t>запуск турелей 1</t>
  </si>
  <si>
    <t>замок на запуск туреле 1</t>
  </si>
  <si>
    <t>открытие двери с монстрами 1</t>
  </si>
  <si>
    <t>включение света в туалете в тюрьме</t>
  </si>
  <si>
    <t>окрытие дверей с монстрами в тюрьме</t>
  </si>
  <si>
    <t>открытие двери из цеха №2</t>
  </si>
  <si>
    <t>открытие двери из цеха №3</t>
  </si>
  <si>
    <t>Универсальный(на весь уровень) затемнитель ячеек со светильниками</t>
  </si>
  <si>
    <t>музыкальная афиша</t>
  </si>
  <si>
    <t xml:space="preserve">Box World группы </t>
  </si>
  <si>
    <t>Level4</t>
  </si>
  <si>
    <t>телепорт/лифт</t>
  </si>
  <si>
    <t>Voxel_3D_Objects</t>
  </si>
  <si>
    <t>Real_3D_Objects</t>
  </si>
  <si>
    <t>LT_Steps_Of_Doom.mid</t>
  </si>
  <si>
    <t>DEL_Outro.mid</t>
  </si>
  <si>
    <t>LT_Dead_Eyes_Look.mid</t>
  </si>
  <si>
    <t>1  (in color ramps means GRAY)</t>
  </si>
  <si>
    <t>2  (in color ramps means RED)</t>
  </si>
  <si>
    <t>Under other circumstances I would love to attend this open-air show</t>
  </si>
  <si>
    <t>3  (in color ramps means GREEN)</t>
  </si>
  <si>
    <t>4  (in color ramps means BLUE)</t>
  </si>
  <si>
    <t>Project 7 has its own foundries and stamping workshops. Here is one of them.</t>
  </si>
  <si>
    <t>5  (in color ramps means YELLOW)</t>
  </si>
  <si>
    <t>Here's the P7 science unit. All the crap is coming from here.</t>
  </si>
  <si>
    <t>6  (in color ramps means VIOLET)</t>
  </si>
  <si>
    <t>Caged monsters!? The head of science unit is crazy!</t>
  </si>
  <si>
    <t>7  (in color ramps means CYAN)</t>
  </si>
  <si>
    <t>8  (in color ramps means DARK_CYAN)</t>
  </si>
  <si>
    <t>9  (in color ramps means BLACK)</t>
  </si>
  <si>
    <t>10  (in color ramps means SHADOW)</t>
  </si>
  <si>
    <t>11  (in color ramps means WHITE)</t>
  </si>
  <si>
    <t>Guy reveals some P7 secrets and notes his PIN for teller machine.</t>
  </si>
  <si>
    <t>Comp 61-63</t>
  </si>
  <si>
    <t>...just one good news for me - I've got the personal PIN in a local banking system. I'll note it here, in my diary, just to remember: 12345671</t>
  </si>
  <si>
    <t>Experiment 29. Subject: Paul Smith, male, 35 years old. Personal P7B account 7654321. During the teleportation, multiply body transformations were observed. Mental functions were highly abnormal too.</t>
  </si>
  <si>
    <t>We had to kill the subject due to uncontrolled aggression, accompanied by incredibly increased muscle strength... Sorry, Paul, you are another victim of science... It's horrible, but we have to go further!</t>
  </si>
  <si>
    <t>And despite today's disappointment, we will fix the teleportation procedure for biological objects to make it as safe and useful as teleportation of goods, and so on...</t>
  </si>
  <si>
    <t>Alien technologies give us the strength to create anti-gravity levitation and even transportation over time! Paul, I believe that this technological breakthrough will mark the beginning of the golden era of humanity!             Rest in peace, Paul!</t>
  </si>
  <si>
    <t>Comp 145-146</t>
  </si>
  <si>
    <t xml:space="preserve"> 'Starting today, the chief of prison will be mr J.Wilbur. He's responsible for security in this block, so he will save all the access keys. Under any circumstances ask him at his office. J.Carmack.'</t>
  </si>
  <si>
    <t>0,256+0,021</t>
  </si>
  <si>
    <t xml:space="preserve"> 'Mr Pointchek, you have to find and return to me the yellow access key until evening. Your irresponsibility is unacceptable, and I will report this event to mr Carmack, if you fail. Chief Wilbour'</t>
  </si>
  <si>
    <t>0,256+0,022</t>
  </si>
  <si>
    <t xml:space="preserve">   P7 Bank Receipt          __________________________  Account PIN:  135246357   Type: performance fee   Amount: 46 gold      __________________________  Balance on account:90 gold                           CAUTION: Don't share your PIN to protect your account from fraud!</t>
  </si>
  <si>
    <t>0,256+0,023</t>
  </si>
  <si>
    <t>0,256+0,024</t>
  </si>
  <si>
    <t>Hi, Pete! You did a great work! We all know that time portals are a potential threat. Despite the fact that they are still under development, they are able to bring something dangerous to our world, so all security improvements are welcome. __John Carmack P.S.Thank you for the access code to the        roboguard system.</t>
  </si>
  <si>
    <t>0,256+0,025</t>
  </si>
  <si>
    <t>0,256+0,026</t>
  </si>
  <si>
    <t>"Zebra regular vertical color pattern" total height (in voxels)</t>
  </si>
  <si>
    <t>Hero_Wounded_On_Floor_Sprite</t>
  </si>
  <si>
    <t>Hero_Wet_On_Floor_Sprite</t>
  </si>
  <si>
    <t>"Zebra regular vertical color pattern" painted part 1 height (in voxels, must be less then height of whole pattern)</t>
  </si>
  <si>
    <t>I see a button in the dark in front of me - it seems that this reactor also has a self-destruction sys- tem, as it was before with the Radio Tower. And I think I should activate it!</t>
  </si>
  <si>
    <t>Alternative Level(s):</t>
  </si>
  <si>
    <t>Alternative Level Exit Message:</t>
  </si>
  <si>
    <t>End_Of_Level (# of row on map sheet with name of next level)</t>
  </si>
  <si>
    <t xml:space="preserve">Encodes alternative level transition (main transition is encoded by "X"). Abs(value) points to the row in last column of map sheet with name of next level sheet (the one row behind - the number of alternative exit message) </t>
  </si>
  <si>
    <t>X,x, -1</t>
  </si>
  <si>
    <t xml:space="preserve"> - position of default End of Level (the next level map name must be coded in the 17th row of 256th column of map sheet - if empty, the engine treats it as the last level and ends the whole game) </t>
  </si>
  <si>
    <t>I listen to the beat of my heart while the elevator rushes me to the Top of the Control Tower. What will I face there? Will I beat Ziggy? Can I open the outer gate of the base? And will this be the end of my misadventures?</t>
  </si>
  <si>
    <t>It seems that now I'm in a so called Little Damned Pyramid. On Earth again. In the heart of P7 base, totally occupied by alien forces. It was tough task before to stay alive, but now... I don't want to think about it.</t>
  </si>
  <si>
    <t>I do not know what we are doing here, waiting for guests from the Little Damned Pyramid. I think there is no chance that something good will come out of there. By the way, my PIN for the ATM is 18900920. I will write it here so as not to forget.</t>
  </si>
  <si>
    <t>Pete, this reactor is very dangerous! I am afraid that the gravitational anomaly it creates is only a small part of the problems that we will face. Anomalies in the southern part of the complex claimed many lives, so I put there your great automated guard system and lock with a password = 789 minus 123. Rob             P.S.Tell it to John.</t>
  </si>
  <si>
    <t>Applied to cells with high ceiling line set, it codes texturizing of it with 2nd frame from floor/ceiling texture set, overiding the rule for using the special frame, if it's present). If this is a lighter cell, it will NOT blink</t>
  </si>
  <si>
    <t>In Doors, it codes autoactivation (at the level start), color or stuck</t>
  </si>
  <si>
    <t>"Zebra regular vertical color pattern" color 1 index adjust (-10 to -1 or 1 to 10)</t>
  </si>
  <si>
    <t>"Zebra regular vertical color pattern" color 1 ramp (1 to 7, if 0 - the voxel color ramp will be taken)</t>
  </si>
  <si>
    <t>"Zebra regular vertical color pattern" painted part 2 height (in voxels, must be less then height of whole pattern and moree then height of part 1)</t>
  </si>
  <si>
    <t>"Zebra regular vertical color pattern" color 2 index adjust (-10 to -1 or 1 to 10)</t>
  </si>
  <si>
    <t>"Zebra regular vertical color pattern" color 2 ramp (1 to 7, if 0 - the voxel color ramp will be taken)</t>
  </si>
  <si>
    <t>Flag for "silent" platforms (if set to 1, then sounds, produced by this object, if it's movable platform, will be prohibited)</t>
  </si>
  <si>
    <t>HitPoints to destroy object/receive goods</t>
  </si>
  <si>
    <t>Number of console message/identifier for teller machine console/if &gt;256 = 256+#ofLootSpriteGivenByLinkToTheIfDestroySprite</t>
  </si>
  <si>
    <t>Reflection_Grade for special sprites (for specials only, 1-5, empty - no reflection)</t>
  </si>
  <si>
    <t>Dark-gray color transcription (0 - color scan starts from gray ramp, &gt;0 - scan starts from cyan/magenta ramps)</t>
  </si>
  <si>
    <t># of sprite, which will be placed on wall instead of current sprite, if special tag have been activated</t>
  </si>
  <si>
    <t>(DO NOT CHANGE!!!)</t>
  </si>
  <si>
    <t>API / level design manual:</t>
  </si>
  <si>
    <t>I had to leave all my weapons in order to pass through the automated inter-checkpoint! Life's tough.</t>
  </si>
  <si>
    <t>0,256+0,027</t>
  </si>
  <si>
    <t>Jail?! You're just kidding me! Who was it built for?</t>
  </si>
  <si>
    <t xml:space="preserve">   P7 Bank Receipt          __________________________  Account PIN:  1366613   Type: penalty fee      Amount: -60 gold      __________________________  Balance on account:20 gold                           CAUTION: Don't share your PIN to protect your account from fraud!</t>
  </si>
  <si>
    <t>Precalc trigonometry</t>
  </si>
  <si>
    <t>2nd floor column</t>
  </si>
  <si>
    <t>Here is a prototype of a flying saucer, created after studying the alien spacecraft. I don't know if it can fly, but it looks weird.</t>
  </si>
  <si>
    <t>кодовый замок на двери к тарелке</t>
  </si>
  <si>
    <t>запуск подвесной вагонетки</t>
  </si>
  <si>
    <t>Открытие двери для вагонетки в шахтах</t>
  </si>
  <si>
    <t>What a puddle! By the way, here's an entrance to the time-port research facility.</t>
  </si>
  <si>
    <t>Включение света в Time-port research facility</t>
  </si>
  <si>
    <t>Открытие двери в Time-port research facility (настоящее)</t>
  </si>
  <si>
    <t>If I have to die... If you mean to destroy me in one of these terrible ordeals... I beg you - do it quickly and painlessly. I hope at least I deserve it. I don't ask you anything more... Thank you for your attention, now I have to go.</t>
  </si>
  <si>
    <t>This base is huge! Foundries, mines, warehouses, laboratories... Zombies, dangerous puddles, trolleys, deep holes, teleports, time machines...Deadly danger at every turn!.. How many perils are waiting for me?..</t>
  </si>
  <si>
    <t xml:space="preserve"> ...God, can you hear me? Could it be that everything that happens now happens by your will?.. I've never asked you for anything, but now I have one request for you. . .</t>
  </si>
  <si>
    <t>Спаун монстров между цехами 2 и 3</t>
  </si>
  <si>
    <t>Запуск турели для взрыва радиобашни</t>
  </si>
  <si>
    <t>Открытие двери к окончанию уровня</t>
  </si>
  <si>
    <t>The gates saw how continents were changing, how life grew and developed, how R'lyeh sank, how Kadath disappeared behind the high mountains and haw the black Lang plateau emptied.</t>
  </si>
  <si>
    <t>Teleport/elevator/pseudodoor/multyfloor on-map inentifier (+ 1408)</t>
  </si>
  <si>
    <t>And when the Ancients left, a new race arose from the dust - a race that did not know its roots. They began to consider themselves the masters of the Earth, as the worm considers itself the master of a rotten corpse.</t>
  </si>
  <si>
    <t>Level1</t>
  </si>
  <si>
    <t>Marker for Big objects (no need to modify - calculated by engine)</t>
  </si>
  <si>
    <t>height for flat textures, accessable to monsters (no need to modify - calculated by engine)</t>
  </si>
  <si>
    <t>And all this time the gate was guarded by the Yog-Sothoth, as old as eternity. And only those could pass through it who had the ethereal key. So did the  Elder Ones, so did Cthulhu and many others -much later, for millions of years.</t>
  </si>
  <si>
    <t>Credits:</t>
  </si>
  <si>
    <t>moving platform (Active side determines the direction/axis of movement). NOTE!: Indent level must be EXACT DIVIDER of cell size (i.e. if CS = 32, then IL can be 1, 2, 4,8,16)</t>
  </si>
  <si>
    <t>And now they have found the lost key and have opened the Damned Gate of the worlds, not even knowing who will come into their world to replace them on Earth. And they will fall, like the others before, swept away by unspeakable horror.</t>
  </si>
  <si>
    <t>... if there is no one among them who closes the Gate.</t>
  </si>
  <si>
    <t>A long time ago, when neither mankind nor its ancestors yet existed, Nyarlathotep, son of Azathoth, came to Earth and built a gate.This gate united seven worlds scattered among the stars.</t>
  </si>
  <si>
    <t>While the stones of the Earth cooled off from the day of creation, Shub-Niggurath came with the thousand of his youngs. So life appeared on Earth.</t>
  </si>
  <si>
    <t>Time passed, the Archean eon ended, eras were replaced by eras, the Cambrian was replaced by the Ordovician, and that was the Sillur, as February is replaced by March.</t>
  </si>
  <si>
    <t xml:space="preserve">   P7 Bank Receipt          __________________________  Account PIN:  640382   Type: performance fee   Amount: 57 gold      __________________________  Balance on account:100 gold                           CAUTION: Don't share your PIN to protect your account from fraud!</t>
  </si>
  <si>
    <t xml:space="preserve">Subject:              Extraterrestrial sample  Alias:      'Ziggy'         Actual name:Bastoth-Ragn-Ka Race:       'Keykeepers'    Place of origin: Yuggoth    Approx.time of landing:     9,000,000 years BC      Mission: Capture of Earth  Actual status: alive       </t>
  </si>
  <si>
    <t>Details: we do not have enough information about the origin of the object, but experts suggest that it should be a hidden planet beyond the orbit of Neptune. The findings of the Peabody Antarctic Expedition gave us it's name - Yuggoth.</t>
  </si>
  <si>
    <t>Вкл света в спальне</t>
  </si>
  <si>
    <t>Вкл света на складе</t>
  </si>
  <si>
    <t>Deep hole column</t>
  </si>
  <si>
    <t>Вкл интграв платформк т/п</t>
  </si>
  <si>
    <t>вкл подвиж стены 1</t>
  </si>
  <si>
    <t>вкл тележки от бассейна</t>
  </si>
  <si>
    <t>Вкл турелей и монстров</t>
  </si>
  <si>
    <t>Mmm… It looks like weird 'Snakes and Ladders'</t>
  </si>
  <si>
    <t>If you read this, then I'm dead. Now 1989.The whole Earth is under aliens yoke. We are left to die here, among the ruins of human civilization, fighting with terrible creatures. The last hope for us was lost at the moment when Ziggy used RadioTower to send an inviting signal to his allies on Yuggoth...</t>
  </si>
  <si>
    <t>Открытие кодового замка 2</t>
  </si>
  <si>
    <t>John! After our recon group went into the future, I had to change the access code for the TimePort to prevent the enemy from entering the future too.I know that the guys will not have the chance to return on their own, but I hope that I can pull them out if I will survive.If not, the code is 458376. - Pete.</t>
  </si>
  <si>
    <t>We planned all the systems of this tower, and it was even pre-mined by TNT, so that if necessary, we could prevent data leakage by blowing it up... If I had the key to RadioTower's self-destruct system... But I didn't have it... And I can't go back in time, until the time port is locked! - G.P.L.</t>
  </si>
  <si>
    <t>It's a key from garth with the Radio Tower Complex!</t>
  </si>
  <si>
    <t>Here lies G.P.Lovecraft... Sorry, man, I'll try to finish your work!</t>
  </si>
  <si>
    <t>Открытие арсенала</t>
  </si>
  <si>
    <t>Probably this is armory door terminal.</t>
  </si>
  <si>
    <t>This is an armory door.</t>
  </si>
  <si>
    <t>E,e,W,w,N,n,S,s,NE,ne,NW,nw,SE,se,SW,sw</t>
  </si>
  <si>
    <t>(letters defines the initial orientation of Hero - to the east,west, north, south, north-east, north-west, south-east and south-west, respectively)</t>
  </si>
</sst>
</file>

<file path=xl/styles.xml><?xml version="1.0" encoding="utf-8"?>
<styleSheet xmlns="http://schemas.openxmlformats.org/spreadsheetml/2006/main" xmlns:mc="http://schemas.openxmlformats.org/markup-compatibility/2006" xmlns:x14ac="http://schemas.microsoft.com/office/spreadsheetml/2009/9/ac" mc:Ignorable="x14ac">
  <fonts count="118">
    <font>
      <sz val="10"/>
      <name val="Arial Cyr"/>
      <charset val="204"/>
    </font>
    <font>
      <sz val="10"/>
      <name val="Arial Cyr"/>
      <charset val="204"/>
    </font>
    <font>
      <sz val="8"/>
      <name val="Arial Cyr"/>
      <charset val="204"/>
    </font>
    <font>
      <sz val="10"/>
      <name val="Arial Cyr"/>
      <charset val="204"/>
    </font>
    <font>
      <sz val="8"/>
      <color indexed="14"/>
      <name val="Arial Cyr"/>
      <charset val="204"/>
    </font>
    <font>
      <sz val="10"/>
      <color indexed="16"/>
      <name val="Arial Cyr"/>
      <charset val="204"/>
    </font>
    <font>
      <sz val="6"/>
      <color indexed="14"/>
      <name val="Arial Cyr"/>
      <charset val="204"/>
    </font>
    <font>
      <sz val="6"/>
      <name val="Arial Cyr"/>
      <charset val="204"/>
    </font>
    <font>
      <b/>
      <sz val="6"/>
      <name val="Arial Cyr"/>
      <charset val="204"/>
    </font>
    <font>
      <b/>
      <sz val="10"/>
      <name val="Arial Cyr"/>
      <charset val="204"/>
    </font>
    <font>
      <i/>
      <sz val="8"/>
      <name val="Arial Cyr"/>
      <charset val="204"/>
    </font>
    <font>
      <b/>
      <i/>
      <sz val="8"/>
      <name val="Arial Cyr"/>
      <charset val="204"/>
    </font>
    <font>
      <u/>
      <sz val="10"/>
      <name val="Arial Cyr"/>
      <charset val="204"/>
    </font>
    <font>
      <sz val="6"/>
      <color indexed="16"/>
      <name val="Arial Cyr"/>
      <charset val="204"/>
    </font>
    <font>
      <sz val="7"/>
      <name val="Arial"/>
      <family val="2"/>
      <charset val="204"/>
    </font>
    <font>
      <sz val="10"/>
      <color indexed="10"/>
      <name val="Arial Cyr"/>
      <charset val="204"/>
    </font>
    <font>
      <strike/>
      <sz val="10"/>
      <name val="Arial Cyr"/>
      <charset val="204"/>
    </font>
    <font>
      <u val="double"/>
      <sz val="10"/>
      <name val="Arial Cyr"/>
      <charset val="204"/>
    </font>
    <font>
      <u val="singleAccounting"/>
      <sz val="10"/>
      <name val="Arial Cyr"/>
      <charset val="204"/>
    </font>
    <font>
      <u val="doubleAccounting"/>
      <sz val="10"/>
      <name val="Arial Cyr"/>
      <charset val="204"/>
    </font>
    <font>
      <b/>
      <u val="double"/>
      <sz val="10"/>
      <name val="Arial Cyr"/>
      <charset val="204"/>
    </font>
    <font>
      <b/>
      <u val="singleAccounting"/>
      <sz val="10"/>
      <name val="Arial Cyr"/>
      <charset val="204"/>
    </font>
    <font>
      <sz val="8"/>
      <color indexed="10"/>
      <name val="Arial Cyr"/>
      <charset val="204"/>
    </font>
    <font>
      <b/>
      <u val="doubleAccounting"/>
      <sz val="10"/>
      <name val="Arial Cyr"/>
      <charset val="204"/>
    </font>
    <font>
      <sz val="9"/>
      <color indexed="63"/>
      <name val="Arial Cyr"/>
      <charset val="204"/>
    </font>
    <font>
      <i/>
      <sz val="9"/>
      <color indexed="41"/>
      <name val="Arial"/>
      <family val="2"/>
      <charset val="204"/>
    </font>
    <font>
      <sz val="9"/>
      <name val="Arial Cyr"/>
      <charset val="204"/>
    </font>
    <font>
      <i/>
      <sz val="9"/>
      <name val="Arial Cyr"/>
      <charset val="204"/>
    </font>
    <font>
      <sz val="9"/>
      <color indexed="41"/>
      <name val="Arial"/>
      <family val="2"/>
      <charset val="204"/>
    </font>
    <font>
      <sz val="9"/>
      <color indexed="41"/>
      <name val="Arial"/>
      <family val="2"/>
      <charset val="204"/>
    </font>
    <font>
      <b/>
      <i/>
      <sz val="9"/>
      <name val="Arial Cyr"/>
      <charset val="204"/>
    </font>
    <font>
      <sz val="6"/>
      <name val="Arial"/>
      <family val="2"/>
      <charset val="204"/>
    </font>
    <font>
      <sz val="5"/>
      <name val="Arial Cyr"/>
      <charset val="204"/>
    </font>
    <font>
      <b/>
      <u/>
      <sz val="8"/>
      <name val="Arial Cyr"/>
      <charset val="204"/>
    </font>
    <font>
      <b/>
      <i/>
      <u val="doubleAccounting"/>
      <sz val="8"/>
      <name val="Arial Cyr"/>
      <charset val="204"/>
    </font>
    <font>
      <b/>
      <i/>
      <u val="singleAccounting"/>
      <sz val="10"/>
      <name val="Arial Cyr"/>
      <charset val="204"/>
    </font>
    <font>
      <b/>
      <sz val="8"/>
      <name val="Arial Cyr"/>
      <charset val="204"/>
    </font>
    <font>
      <b/>
      <i/>
      <u val="singleAccounting"/>
      <sz val="8"/>
      <name val="Arial Cyr"/>
      <charset val="204"/>
    </font>
    <font>
      <u val="double"/>
      <sz val="8"/>
      <name val="Arial Cyr"/>
      <charset val="204"/>
    </font>
    <font>
      <u val="singleAccounting"/>
      <sz val="8"/>
      <name val="Arial Cyr"/>
      <charset val="204"/>
    </font>
    <font>
      <u/>
      <sz val="8"/>
      <name val="Arial Cyr"/>
      <charset val="204"/>
    </font>
    <font>
      <i/>
      <sz val="6"/>
      <name val="Arial Cyr"/>
      <charset val="204"/>
    </font>
    <font>
      <b/>
      <sz val="5"/>
      <name val="Arial Cyr"/>
      <charset val="204"/>
    </font>
    <font>
      <sz val="4"/>
      <name val="Arial Cyr"/>
      <charset val="204"/>
    </font>
    <font>
      <b/>
      <sz val="9"/>
      <color indexed="81"/>
      <name val="Tahoma"/>
      <family val="2"/>
      <charset val="204"/>
    </font>
    <font>
      <b/>
      <u val="singleAccounting"/>
      <sz val="8"/>
      <name val="Arial Cyr"/>
      <charset val="204"/>
    </font>
    <font>
      <b/>
      <i/>
      <sz val="10"/>
      <name val="Arial Cyr"/>
      <charset val="204"/>
    </font>
    <font>
      <i/>
      <sz val="10"/>
      <name val="Arial Cyr"/>
      <charset val="204"/>
    </font>
    <font>
      <b/>
      <u/>
      <sz val="10"/>
      <name val="Arial Cyr"/>
      <charset val="204"/>
    </font>
    <font>
      <i/>
      <u/>
      <sz val="8"/>
      <name val="Arial Cyr"/>
      <charset val="204"/>
    </font>
    <font>
      <b/>
      <i/>
      <u val="doubleAccounting"/>
      <sz val="6"/>
      <name val="Arial Cyr"/>
      <charset val="204"/>
    </font>
    <font>
      <i/>
      <u val="double"/>
      <sz val="8"/>
      <name val="Arial Cyr"/>
      <charset val="204"/>
    </font>
    <font>
      <i/>
      <u val="double"/>
      <sz val="10"/>
      <name val="Arial Cyr"/>
      <charset val="204"/>
    </font>
    <font>
      <b/>
      <i/>
      <u val="double"/>
      <sz val="8"/>
      <name val="Arial Cyr"/>
      <charset val="204"/>
    </font>
    <font>
      <b/>
      <i/>
      <u/>
      <sz val="8"/>
      <name val="Arial Cyr"/>
      <charset val="204"/>
    </font>
    <font>
      <i/>
      <u val="doubleAccounting"/>
      <sz val="8"/>
      <name val="Arial Cyr"/>
      <charset val="204"/>
    </font>
    <font>
      <i/>
      <u val="singleAccounting"/>
      <sz val="8"/>
      <name val="Arial Cyr"/>
      <charset val="204"/>
    </font>
    <font>
      <b/>
      <sz val="5"/>
      <name val="Arial Cyr"/>
      <charset val="1"/>
    </font>
    <font>
      <b/>
      <sz val="8"/>
      <color indexed="81"/>
      <name val="Tahoma"/>
      <family val="2"/>
      <charset val="204"/>
    </font>
    <font>
      <i/>
      <sz val="8"/>
      <color indexed="81"/>
      <name val="Tahoma"/>
      <family val="2"/>
      <charset val="204"/>
    </font>
    <font>
      <b/>
      <sz val="10"/>
      <name val="Arial Cyr"/>
      <charset val="1"/>
    </font>
    <font>
      <sz val="10"/>
      <name val="Arial Cyr"/>
      <charset val="1"/>
    </font>
    <font>
      <b/>
      <sz val="10"/>
      <color indexed="16"/>
      <name val="Arial Cyr"/>
      <charset val="204"/>
    </font>
    <font>
      <b/>
      <u val="doubleAccounting"/>
      <sz val="8"/>
      <name val="Arial Cyr"/>
      <charset val="204"/>
    </font>
    <font>
      <vertAlign val="subscript"/>
      <sz val="10"/>
      <name val="Arial Cyr"/>
      <charset val="204"/>
    </font>
    <font>
      <b/>
      <i/>
      <vertAlign val="subscript"/>
      <sz val="8"/>
      <name val="Arial Cyr"/>
      <charset val="204"/>
    </font>
    <font>
      <u val="double"/>
      <vertAlign val="subscript"/>
      <sz val="10"/>
      <name val="Arial Cyr"/>
      <charset val="204"/>
    </font>
    <font>
      <vertAlign val="subscript"/>
      <sz val="8"/>
      <name val="Arial Cyr"/>
      <charset val="204"/>
    </font>
    <font>
      <b/>
      <vertAlign val="subscript"/>
      <sz val="10"/>
      <name val="Arial Cyr"/>
      <charset val="204"/>
    </font>
    <font>
      <i/>
      <vertAlign val="subscript"/>
      <sz val="10"/>
      <name val="Arial Cyr"/>
      <charset val="204"/>
    </font>
    <font>
      <i/>
      <u val="double"/>
      <vertAlign val="subscript"/>
      <sz val="10"/>
      <name val="Arial Cyr"/>
      <charset val="204"/>
    </font>
    <font>
      <i/>
      <u val="singleAccounting"/>
      <sz val="10"/>
      <name val="Arial Cyr"/>
      <charset val="204"/>
    </font>
    <font>
      <i/>
      <u val="doubleAccounting"/>
      <vertAlign val="subscript"/>
      <sz val="8"/>
      <name val="Arial Cyr"/>
      <charset val="204"/>
    </font>
    <font>
      <sz val="10"/>
      <name val="Arial Cyr"/>
      <charset val="204"/>
    </font>
    <font>
      <i/>
      <vertAlign val="subscript"/>
      <sz val="8"/>
      <name val="Arial Cyr"/>
      <charset val="204"/>
    </font>
    <font>
      <i/>
      <u val="double"/>
      <vertAlign val="subscript"/>
      <sz val="8"/>
      <name val="Arial Cyr"/>
      <charset val="204"/>
    </font>
    <font>
      <b/>
      <i/>
      <u val="doubleAccounting"/>
      <sz val="10"/>
      <name val="Arial Cyr"/>
      <charset val="204"/>
    </font>
    <font>
      <b/>
      <i/>
      <u val="singleAccounting"/>
      <vertAlign val="subscript"/>
      <sz val="10"/>
      <name val="Arial Cyr"/>
      <charset val="204"/>
    </font>
    <font>
      <u/>
      <vertAlign val="subscript"/>
      <sz val="10"/>
      <name val="Arial Cyr"/>
      <charset val="204"/>
    </font>
    <font>
      <u val="singleAccounting"/>
      <vertAlign val="subscript"/>
      <sz val="10"/>
      <name val="Arial Cyr"/>
      <charset val="204"/>
    </font>
    <font>
      <b/>
      <u/>
      <vertAlign val="subscript"/>
      <sz val="10"/>
      <name val="Arial Cyr"/>
      <charset val="204"/>
    </font>
    <font>
      <b/>
      <u val="doubleAccounting"/>
      <vertAlign val="subscript"/>
      <sz val="10"/>
      <name val="Arial Cyr"/>
      <charset val="204"/>
    </font>
    <font>
      <i/>
      <u/>
      <vertAlign val="subscript"/>
      <sz val="8"/>
      <name val="Arial Cyr"/>
      <charset val="204"/>
    </font>
    <font>
      <i/>
      <u/>
      <sz val="10"/>
      <name val="Arial Cyr"/>
      <charset val="204"/>
    </font>
    <font>
      <i/>
      <u val="singleAccounting"/>
      <vertAlign val="subscript"/>
      <sz val="10"/>
      <name val="Arial Cyr"/>
      <charset val="204"/>
    </font>
    <font>
      <i/>
      <u val="doubleAccounting"/>
      <sz val="10"/>
      <name val="Arial Cyr"/>
      <charset val="204"/>
    </font>
    <font>
      <i/>
      <u val="doubleAccounting"/>
      <vertAlign val="subscript"/>
      <sz val="10"/>
      <name val="Arial Cyr"/>
      <charset val="204"/>
    </font>
    <font>
      <b/>
      <i/>
      <u/>
      <vertAlign val="subscript"/>
      <sz val="10"/>
      <name val="Arial Cyr"/>
      <charset val="204"/>
    </font>
    <font>
      <b/>
      <i/>
      <u/>
      <sz val="10"/>
      <name val="Arial Cyr"/>
      <charset val="204"/>
    </font>
    <font>
      <b/>
      <i/>
      <u val="double"/>
      <sz val="10"/>
      <name val="Arial Cyr"/>
      <charset val="204"/>
    </font>
    <font>
      <vertAlign val="superscript"/>
      <sz val="10"/>
      <name val="Arial Cyr"/>
      <charset val="204"/>
    </font>
    <font>
      <strike/>
      <vertAlign val="superscript"/>
      <sz val="10"/>
      <name val="Arial Cyr"/>
      <charset val="204"/>
    </font>
    <font>
      <b/>
      <i/>
      <vertAlign val="subscript"/>
      <sz val="10"/>
      <name val="Arial Cyr"/>
      <charset val="204"/>
    </font>
    <font>
      <u val="doubleAccounting"/>
      <sz val="8"/>
      <name val="Arial Cyr"/>
      <charset val="204"/>
    </font>
    <font>
      <vertAlign val="superscript"/>
      <sz val="8"/>
      <name val="Arial Cyr"/>
      <charset val="204"/>
    </font>
    <font>
      <b/>
      <i/>
      <u val="doubleAccounting"/>
      <vertAlign val="subscript"/>
      <sz val="8"/>
      <name val="Arial Cyr"/>
      <charset val="204"/>
    </font>
    <font>
      <b/>
      <u val="double"/>
      <vertAlign val="subscript"/>
      <sz val="10"/>
      <name val="Arial Cyr"/>
      <charset val="204"/>
    </font>
    <font>
      <b/>
      <u val="double"/>
      <sz val="8"/>
      <name val="Arial Cyr"/>
      <charset val="204"/>
    </font>
    <font>
      <b/>
      <u val="double"/>
      <vertAlign val="subscript"/>
      <sz val="8"/>
      <name val="Arial Cyr"/>
      <charset val="204"/>
    </font>
    <font>
      <b/>
      <i/>
      <u val="doubleAccounting"/>
      <vertAlign val="subscript"/>
      <sz val="10"/>
      <name val="Arial Cyr"/>
      <charset val="204"/>
    </font>
    <font>
      <u/>
      <vertAlign val="subscript"/>
      <sz val="8"/>
      <name val="Arial Cyr"/>
      <charset val="204"/>
    </font>
    <font>
      <b/>
      <vertAlign val="subscript"/>
      <sz val="8"/>
      <name val="Arial Cyr"/>
      <charset val="204"/>
    </font>
    <font>
      <strike/>
      <vertAlign val="subscript"/>
      <sz val="8"/>
      <name val="Arial Cyr"/>
      <charset val="204"/>
    </font>
    <font>
      <b/>
      <i/>
      <strike/>
      <u val="doubleAccounting"/>
      <sz val="10"/>
      <name val="Arial Cyr"/>
      <charset val="204"/>
    </font>
    <font>
      <strike/>
      <u val="singleAccounting"/>
      <sz val="10"/>
      <name val="Arial Cyr"/>
      <charset val="204"/>
    </font>
    <font>
      <b/>
      <u val="singleAccounting"/>
      <vertAlign val="subscript"/>
      <sz val="8"/>
      <name val="Arial Cyr"/>
      <charset val="204"/>
    </font>
    <font>
      <b/>
      <i/>
      <strike/>
      <u val="doubleAccounting"/>
      <sz val="8"/>
      <name val="Arial Cyr"/>
      <charset val="204"/>
    </font>
    <font>
      <i/>
      <u/>
      <vertAlign val="subscript"/>
      <sz val="10"/>
      <name val="Arial Cyr"/>
      <charset val="204"/>
    </font>
    <font>
      <sz val="10"/>
      <name val="Arial"/>
      <family val="2"/>
      <charset val="204"/>
    </font>
    <font>
      <sz val="10"/>
      <color indexed="63"/>
      <name val="Arial"/>
      <family val="2"/>
      <charset val="204"/>
    </font>
    <font>
      <i/>
      <u val="singleAccounting"/>
      <vertAlign val="subscript"/>
      <sz val="8"/>
      <name val="Arial Cyr"/>
      <charset val="204"/>
    </font>
    <font>
      <sz val="6"/>
      <color indexed="15"/>
      <name val="Arial Cyr"/>
      <charset val="204"/>
    </font>
    <font>
      <b/>
      <i/>
      <u val="double"/>
      <vertAlign val="subscript"/>
      <sz val="10"/>
      <name val="Arial Cyr"/>
      <charset val="204"/>
    </font>
    <font>
      <strike/>
      <sz val="8"/>
      <name val="Arial Cyr"/>
      <charset val="204"/>
    </font>
    <font>
      <u val="double"/>
      <vertAlign val="subscript"/>
      <sz val="8"/>
      <name val="Arial Cyr"/>
      <charset val="204"/>
    </font>
    <font>
      <u val="singleAccounting"/>
      <vertAlign val="subscript"/>
      <sz val="8"/>
      <name val="Arial Cyr"/>
      <charset val="204"/>
    </font>
    <font>
      <b/>
      <sz val="10"/>
      <color indexed="16"/>
      <name val="Arial Cyr"/>
      <charset val="1"/>
    </font>
    <font>
      <sz val="8"/>
      <color indexed="40"/>
      <name val="Arial Cyr"/>
      <charset val="204"/>
    </font>
  </fonts>
  <fills count="77">
    <fill>
      <patternFill patternType="none"/>
    </fill>
    <fill>
      <patternFill patternType="gray125"/>
    </fill>
    <fill>
      <patternFill patternType="solid">
        <fgColor indexed="8"/>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12"/>
        <bgColor indexed="64"/>
      </patternFill>
    </fill>
    <fill>
      <patternFill patternType="solid">
        <fgColor indexed="10"/>
        <bgColor indexed="64"/>
      </patternFill>
    </fill>
    <fill>
      <patternFill patternType="solid">
        <fgColor indexed="11"/>
        <bgColor indexed="64"/>
      </patternFill>
    </fill>
    <fill>
      <patternFill patternType="solid">
        <fgColor indexed="13"/>
        <bgColor indexed="64"/>
      </patternFill>
    </fill>
    <fill>
      <patternFill patternType="solid">
        <fgColor indexed="14"/>
        <bgColor indexed="64"/>
      </patternFill>
    </fill>
    <fill>
      <patternFill patternType="solid">
        <fgColor indexed="9"/>
        <bgColor indexed="64"/>
      </patternFill>
    </fill>
    <fill>
      <patternFill patternType="solid">
        <fgColor indexed="15"/>
        <bgColor indexed="64"/>
      </patternFill>
    </fill>
    <fill>
      <patternFill patternType="solid">
        <fgColor indexed="16"/>
        <bgColor indexed="64"/>
      </patternFill>
    </fill>
    <fill>
      <patternFill patternType="solid">
        <fgColor indexed="22"/>
        <bgColor indexed="64"/>
      </patternFill>
    </fill>
    <fill>
      <patternFill patternType="solid">
        <fgColor indexed="21"/>
        <bgColor indexed="64"/>
      </patternFill>
    </fill>
    <fill>
      <patternFill patternType="solid">
        <fgColor indexed="23"/>
        <bgColor indexed="64"/>
      </patternFill>
    </fill>
    <fill>
      <patternFill patternType="solid">
        <fgColor indexed="24"/>
        <bgColor indexed="64"/>
      </patternFill>
    </fill>
    <fill>
      <patternFill patternType="solid">
        <fgColor indexed="45"/>
        <bgColor indexed="64"/>
      </patternFill>
    </fill>
    <fill>
      <patternFill patternType="solid">
        <fgColor indexed="44"/>
        <bgColor indexed="64"/>
      </patternFill>
    </fill>
    <fill>
      <patternFill patternType="solid">
        <fgColor indexed="48"/>
        <bgColor indexed="64"/>
      </patternFill>
    </fill>
    <fill>
      <patternFill patternType="solid">
        <fgColor indexed="43"/>
        <bgColor indexed="64"/>
      </patternFill>
    </fill>
    <fill>
      <patternFill patternType="solid">
        <fgColor indexed="41"/>
        <bgColor indexed="64"/>
      </patternFill>
    </fill>
    <fill>
      <patternFill patternType="solid">
        <fgColor indexed="37"/>
        <bgColor indexed="64"/>
      </patternFill>
    </fill>
    <fill>
      <patternFill patternType="solid">
        <fgColor indexed="36"/>
        <bgColor indexed="64"/>
      </patternFill>
    </fill>
    <fill>
      <patternFill patternType="solid">
        <fgColor indexed="40"/>
        <bgColor indexed="64"/>
      </patternFill>
    </fill>
    <fill>
      <patternFill patternType="solid">
        <fgColor indexed="39"/>
        <bgColor indexed="64"/>
      </patternFill>
    </fill>
    <fill>
      <patternFill patternType="solid">
        <fgColor indexed="62"/>
        <bgColor indexed="64"/>
      </patternFill>
    </fill>
    <fill>
      <patternFill patternType="solid">
        <fgColor indexed="60"/>
        <bgColor indexed="64"/>
      </patternFill>
    </fill>
    <fill>
      <patternFill patternType="solid">
        <fgColor indexed="61"/>
        <bgColor indexed="64"/>
      </patternFill>
    </fill>
    <fill>
      <patternFill patternType="solid">
        <fgColor indexed="58"/>
        <bgColor indexed="64"/>
      </patternFill>
    </fill>
    <fill>
      <patternFill patternType="solid">
        <fgColor indexed="59"/>
        <bgColor indexed="64"/>
      </patternFill>
    </fill>
    <fill>
      <patternFill patternType="solid">
        <fgColor indexed="57"/>
        <bgColor indexed="64"/>
      </patternFill>
    </fill>
    <fill>
      <patternFill patternType="solid">
        <fgColor indexed="38"/>
        <bgColor indexed="64"/>
      </patternFill>
    </fill>
    <fill>
      <patternFill patternType="solid">
        <fgColor indexed="34"/>
        <bgColor indexed="64"/>
      </patternFill>
    </fill>
    <fill>
      <patternFill patternType="solid">
        <fgColor indexed="33"/>
        <bgColor indexed="64"/>
      </patternFill>
    </fill>
    <fill>
      <patternFill patternType="solid">
        <fgColor indexed="35"/>
        <bgColor indexed="64"/>
      </patternFill>
    </fill>
    <fill>
      <patternFill patternType="solid">
        <fgColor indexed="42"/>
        <bgColor indexed="64"/>
      </patternFill>
    </fill>
    <fill>
      <patternFill patternType="solid">
        <fgColor indexed="47"/>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63"/>
        <bgColor indexed="64"/>
      </patternFill>
    </fill>
    <fill>
      <patternFill patternType="solid">
        <fgColor indexed="32"/>
        <bgColor indexed="64"/>
      </patternFill>
    </fill>
    <fill>
      <patternFill patternType="solid">
        <fgColor indexed="55"/>
        <bgColor indexed="64"/>
      </patternFill>
    </fill>
    <fill>
      <patternFill patternType="solid">
        <fgColor indexed="56"/>
        <bgColor indexed="64"/>
      </patternFill>
    </fill>
    <fill>
      <patternFill patternType="solid">
        <fgColor indexed="54"/>
        <bgColor indexed="64"/>
      </patternFill>
    </fill>
    <fill>
      <patternFill patternType="solid">
        <fgColor indexed="50"/>
        <bgColor indexed="64"/>
      </patternFill>
    </fill>
    <fill>
      <patternFill patternType="solid">
        <fgColor indexed="53"/>
        <bgColor indexed="64"/>
      </patternFill>
    </fill>
    <fill>
      <patternFill patternType="solid">
        <fgColor indexed="49"/>
        <bgColor indexed="64"/>
      </patternFill>
    </fill>
    <fill>
      <patternFill patternType="solid">
        <fgColor indexed="52"/>
        <bgColor indexed="64"/>
      </patternFill>
    </fill>
    <fill>
      <patternFill patternType="solid">
        <fgColor indexed="51"/>
        <bgColor indexed="64"/>
      </patternFill>
    </fill>
    <fill>
      <patternFill patternType="solid">
        <fgColor indexed="46"/>
        <bgColor indexed="64"/>
      </patternFill>
    </fill>
    <fill>
      <patternFill patternType="lightTrellis"/>
    </fill>
    <fill>
      <patternFill patternType="mediumGray"/>
    </fill>
    <fill>
      <patternFill patternType="lightGray"/>
    </fill>
    <fill>
      <patternFill patternType="solid">
        <fgColor indexed="65"/>
        <bgColor indexed="64"/>
      </patternFill>
    </fill>
    <fill>
      <patternFill patternType="darkGray"/>
    </fill>
    <fill>
      <patternFill patternType="gray0625"/>
    </fill>
    <fill>
      <patternFill patternType="darkHorizontal"/>
    </fill>
    <fill>
      <patternFill patternType="darkVertical"/>
    </fill>
    <fill>
      <patternFill patternType="darkDown"/>
    </fill>
    <fill>
      <patternFill patternType="darkUp"/>
    </fill>
    <fill>
      <patternFill patternType="darkGrid"/>
    </fill>
    <fill>
      <patternFill patternType="darkTrellis"/>
    </fill>
    <fill>
      <patternFill patternType="lightHorizontal"/>
    </fill>
    <fill>
      <patternFill patternType="lightVertical"/>
    </fill>
    <fill>
      <patternFill patternType="lightDown"/>
    </fill>
    <fill>
      <patternFill patternType="lightUp"/>
    </fill>
    <fill>
      <patternFill patternType="lightGrid"/>
    </fill>
    <fill>
      <patternFill patternType="gray125">
        <bgColor indexed="63"/>
      </patternFill>
    </fill>
    <fill>
      <patternFill patternType="gray0625">
        <bgColor indexed="63"/>
      </patternFill>
    </fill>
  </fills>
  <borders count="393">
    <border>
      <left/>
      <right/>
      <top/>
      <bottom/>
      <diagonal/>
    </border>
    <border>
      <left/>
      <right/>
      <top/>
      <bottom style="thin">
        <color indexed="64"/>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9"/>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bottom style="thin">
        <color indexed="0"/>
      </bottom>
      <diagonal/>
    </border>
    <border diagonalDown="1">
      <left/>
      <right/>
      <top/>
      <bottom/>
      <diagonal style="hair">
        <color indexed="64"/>
      </diagonal>
    </border>
    <border diagonalDown="1">
      <left/>
      <right/>
      <top/>
      <bottom/>
      <diagonal style="dotted">
        <color indexed="64"/>
      </diagonal>
    </border>
    <border diagonalDown="1">
      <left/>
      <right/>
      <top/>
      <bottom/>
      <diagonal style="dashDotDot">
        <color indexed="64"/>
      </diagonal>
    </border>
    <border diagonalDown="1">
      <left/>
      <right/>
      <top/>
      <bottom/>
      <diagonal style="dashDot">
        <color indexed="64"/>
      </diagonal>
    </border>
    <border diagonalDown="1">
      <left/>
      <right/>
      <top/>
      <bottom/>
      <diagonal style="dashed">
        <color indexed="64"/>
      </diagonal>
    </border>
    <border diagonalDown="1">
      <left/>
      <right/>
      <top/>
      <bottom/>
      <diagonal style="slantDashDot">
        <color indexed="64"/>
      </diagonal>
    </border>
    <border>
      <left style="hair">
        <color indexed="64"/>
      </left>
      <right/>
      <top/>
      <bottom/>
      <diagonal/>
    </border>
    <border>
      <left style="slantDashDot">
        <color indexed="64"/>
      </left>
      <right/>
      <top/>
      <bottom/>
      <diagonal/>
    </border>
    <border>
      <left/>
      <right/>
      <top/>
      <bottom style="dotted">
        <color indexed="64"/>
      </bottom>
      <diagonal/>
    </border>
    <border>
      <left/>
      <right/>
      <top/>
      <bottom style="hair">
        <color indexed="64"/>
      </bottom>
      <diagonal/>
    </border>
    <border diagonalUp="1">
      <left style="slantDashDot">
        <color indexed="64"/>
      </left>
      <right style="dashDotDot">
        <color indexed="64"/>
      </right>
      <top/>
      <bottom/>
      <diagonal style="hair">
        <color indexed="64"/>
      </diagonal>
    </border>
    <border diagonalUp="1">
      <left style="dashDotDot">
        <color indexed="64"/>
      </left>
      <right/>
      <top/>
      <bottom/>
      <diagonal style="hair">
        <color indexed="64"/>
      </diagonal>
    </border>
    <border>
      <left style="dashDotDot">
        <color indexed="64"/>
      </left>
      <right style="dashDotDot">
        <color indexed="64"/>
      </right>
      <top/>
      <bottom/>
      <diagonal/>
    </border>
    <border diagonalUp="1">
      <left style="slantDashDot">
        <color indexed="64"/>
      </left>
      <right/>
      <top/>
      <bottom/>
      <diagonal style="hair">
        <color indexed="64"/>
      </diagonal>
    </border>
    <border>
      <left/>
      <right/>
      <top/>
      <bottom style="double">
        <color indexed="64"/>
      </bottom>
      <diagonal/>
    </border>
    <border>
      <left style="dashDotDot">
        <color indexed="64"/>
      </left>
      <right/>
      <top/>
      <bottom/>
      <diagonal/>
    </border>
    <border>
      <left/>
      <right style="dashDotDot">
        <color indexed="64"/>
      </right>
      <top/>
      <bottom/>
      <diagonal/>
    </border>
    <border>
      <left/>
      <right/>
      <top/>
      <bottom style="dashed">
        <color indexed="64"/>
      </bottom>
      <diagonal/>
    </border>
    <border>
      <left style="dotted">
        <color indexed="64"/>
      </left>
      <right/>
      <top/>
      <bottom/>
      <diagonal/>
    </border>
    <border>
      <left/>
      <right/>
      <top style="dashed">
        <color indexed="64"/>
      </top>
      <bottom style="dashed">
        <color indexed="64"/>
      </bottom>
      <diagonal/>
    </border>
    <border>
      <left style="hair">
        <color indexed="64"/>
      </left>
      <right style="hair">
        <color indexed="64"/>
      </right>
      <top/>
      <bottom/>
      <diagonal/>
    </border>
    <border>
      <left style="slantDashDot">
        <color indexed="64"/>
      </left>
      <right style="slantDashDot">
        <color indexed="64"/>
      </right>
      <top/>
      <bottom/>
      <diagonal/>
    </border>
    <border>
      <left style="dotted">
        <color indexed="64"/>
      </left>
      <right style="dotted">
        <color indexed="64"/>
      </right>
      <top/>
      <bottom/>
      <diagonal/>
    </border>
    <border diagonalUp="1">
      <left style="dashDotDot">
        <color indexed="64"/>
      </left>
      <right style="dashDotDot">
        <color indexed="64"/>
      </right>
      <top/>
      <bottom/>
      <diagonal style="hair">
        <color indexed="64"/>
      </diagonal>
    </border>
    <border diagonalDown="1">
      <left style="dashDotDot">
        <color indexed="64"/>
      </left>
      <right/>
      <top/>
      <bottom/>
      <diagonal style="dashDotDot">
        <color indexed="64"/>
      </diagonal>
    </border>
    <border>
      <left style="dotted">
        <color indexed="64"/>
      </left>
      <right style="hair">
        <color indexed="64"/>
      </right>
      <top/>
      <bottom/>
      <diagonal/>
    </border>
    <border>
      <left/>
      <right style="thin">
        <color indexed="9"/>
      </right>
      <top/>
      <bottom style="thin">
        <color indexed="64"/>
      </bottom>
      <diagonal/>
    </border>
    <border diagonalDown="1">
      <left/>
      <right/>
      <top/>
      <bottom/>
      <diagonal style="double">
        <color indexed="64"/>
      </diagonal>
    </border>
    <border>
      <left/>
      <right style="hair">
        <color indexed="64"/>
      </right>
      <top/>
      <bottom/>
      <diagonal/>
    </border>
    <border diagonalDown="1">
      <left style="hair">
        <color indexed="64"/>
      </left>
      <right style="hair">
        <color indexed="64"/>
      </right>
      <top/>
      <bottom/>
      <diagonal style="hair">
        <color indexed="64"/>
      </diagonal>
    </border>
    <border diagonalDown="1">
      <left style="dashDotDot">
        <color indexed="64"/>
      </left>
      <right style="dashDotDot">
        <color indexed="64"/>
      </right>
      <top/>
      <bottom/>
      <diagonal style="double">
        <color indexed="64"/>
      </diagonal>
    </border>
    <border>
      <left/>
      <right/>
      <top style="double">
        <color indexed="64"/>
      </top>
      <bottom/>
      <diagonal/>
    </border>
    <border diagonalUp="1">
      <left/>
      <right/>
      <top/>
      <bottom/>
      <diagonal style="hair">
        <color indexed="64"/>
      </diagonal>
    </border>
    <border diagonalDown="1">
      <left style="dashDotDot">
        <color indexed="64"/>
      </left>
      <right/>
      <top/>
      <bottom/>
      <diagonal style="dotted">
        <color indexed="64"/>
      </diagonal>
    </border>
    <border>
      <left style="hair">
        <color indexed="64"/>
      </left>
      <right style="dashDotDot">
        <color indexed="64"/>
      </right>
      <top/>
      <bottom/>
      <diagonal/>
    </border>
    <border>
      <left style="dashDotDot">
        <color indexed="64"/>
      </left>
      <right style="hair">
        <color indexed="64"/>
      </right>
      <top/>
      <bottom/>
      <diagonal/>
    </border>
    <border diagonalUp="1">
      <left style="dashDotDot">
        <color indexed="64"/>
      </left>
      <right style="hair">
        <color indexed="64"/>
      </right>
      <top/>
      <bottom/>
      <diagonal style="hair">
        <color indexed="64"/>
      </diagonal>
    </border>
    <border>
      <left style="dashDotDot">
        <color indexed="64"/>
      </left>
      <right/>
      <top/>
      <bottom style="dotted">
        <color indexed="64"/>
      </bottom>
      <diagonal/>
    </border>
    <border>
      <left/>
      <right/>
      <top/>
      <bottom style="dashDot">
        <color indexed="64"/>
      </bottom>
      <diagonal/>
    </border>
    <border>
      <left style="hair">
        <color indexed="64"/>
      </left>
      <right style="slantDashDot">
        <color indexed="64"/>
      </right>
      <top/>
      <bottom/>
      <diagonal/>
    </border>
    <border>
      <left/>
      <right/>
      <top style="double">
        <color indexed="64"/>
      </top>
      <bottom style="double">
        <color indexed="64"/>
      </bottom>
      <diagonal/>
    </border>
    <border diagonalUp="1">
      <left/>
      <right/>
      <top/>
      <bottom/>
      <diagonal style="thin">
        <color indexed="64"/>
      </diagonal>
    </border>
    <border diagonalUp="1">
      <left/>
      <right style="hair">
        <color indexed="64"/>
      </right>
      <top/>
      <bottom/>
      <diagonal style="hair">
        <color indexed="64"/>
      </diagonal>
    </border>
    <border diagonalUp="1">
      <left style="hair">
        <color indexed="64"/>
      </left>
      <right style="hair">
        <color indexed="64"/>
      </right>
      <top/>
      <bottom/>
      <diagonal style="hair">
        <color indexed="64"/>
      </diagonal>
    </border>
    <border diagonalUp="1">
      <left style="hair">
        <color indexed="64"/>
      </left>
      <right/>
      <top/>
      <bottom/>
      <diagonal style="hair">
        <color indexed="64"/>
      </diagonal>
    </border>
    <border>
      <left/>
      <right style="thin">
        <color indexed="64"/>
      </right>
      <top/>
      <bottom style="thin">
        <color indexed="0"/>
      </bottom>
      <diagonal/>
    </border>
    <border>
      <left style="thin">
        <color indexed="64"/>
      </left>
      <right/>
      <top/>
      <bottom style="thin">
        <color indexed="0"/>
      </bottom>
      <diagonal/>
    </border>
    <border>
      <left/>
      <right/>
      <top style="thin">
        <color indexed="0"/>
      </top>
      <bottom/>
      <diagonal/>
    </border>
    <border>
      <left/>
      <right style="thin">
        <color indexed="64"/>
      </right>
      <top style="thin">
        <color indexed="0"/>
      </top>
      <bottom/>
      <diagonal/>
    </border>
    <border>
      <left style="thin">
        <color indexed="64"/>
      </left>
      <right/>
      <top style="thin">
        <color indexed="0"/>
      </top>
      <bottom/>
      <diagonal/>
    </border>
    <border diagonalUp="1">
      <left style="dashDotDot">
        <color indexed="64"/>
      </left>
      <right style="dashDotDot">
        <color indexed="64"/>
      </right>
      <top/>
      <bottom style="dotted">
        <color indexed="64"/>
      </bottom>
      <diagonal style="hair">
        <color indexed="64"/>
      </diagonal>
    </border>
    <border>
      <left style="dashDotDot">
        <color indexed="64"/>
      </left>
      <right style="dashDotDot">
        <color indexed="64"/>
      </right>
      <top style="dotted">
        <color indexed="64"/>
      </top>
      <bottom style="dotted">
        <color indexed="64"/>
      </bottom>
      <diagonal/>
    </border>
    <border>
      <left style="dashDotDot">
        <color indexed="64"/>
      </left>
      <right/>
      <top style="dashed">
        <color indexed="64"/>
      </top>
      <bottom style="dashed">
        <color indexed="64"/>
      </bottom>
      <diagonal/>
    </border>
    <border>
      <left style="dashDotDot">
        <color indexed="64"/>
      </left>
      <right style="dashDotDot">
        <color indexed="64"/>
      </right>
      <top style="dashed">
        <color indexed="64"/>
      </top>
      <bottom style="dashed">
        <color indexed="64"/>
      </bottom>
      <diagonal/>
    </border>
    <border>
      <left style="dashDotDot">
        <color indexed="64"/>
      </left>
      <right style="dashDotDot">
        <color indexed="64"/>
      </right>
      <top/>
      <bottom style="dotted">
        <color indexed="64"/>
      </bottom>
      <diagonal/>
    </border>
    <border>
      <left style="dashDotDot">
        <color indexed="64"/>
      </left>
      <right style="dashDotDot">
        <color indexed="64"/>
      </right>
      <top style="dashed">
        <color indexed="64"/>
      </top>
      <bottom/>
      <diagonal/>
    </border>
    <border diagonalDown="1">
      <left style="dashDotDot">
        <color indexed="64"/>
      </left>
      <right style="dashDotDot">
        <color indexed="64"/>
      </right>
      <top/>
      <bottom/>
      <diagonal style="dashDotDot">
        <color indexed="64"/>
      </diagonal>
    </border>
    <border>
      <left style="dashDotDot">
        <color indexed="64"/>
      </left>
      <right/>
      <top/>
      <bottom style="dashed">
        <color indexed="64"/>
      </bottom>
      <diagonal/>
    </border>
    <border diagonalUp="1">
      <left style="slantDashDot">
        <color indexed="64"/>
      </left>
      <right style="dashDotDot">
        <color indexed="64"/>
      </right>
      <top style="dotted">
        <color indexed="64"/>
      </top>
      <bottom/>
      <diagonal style="hair">
        <color indexed="64"/>
      </diagonal>
    </border>
    <border>
      <left style="dotted">
        <color indexed="64"/>
      </left>
      <right style="dashDotDot">
        <color indexed="64"/>
      </right>
      <top/>
      <bottom/>
      <diagonal/>
    </border>
    <border>
      <left style="dashDotDot">
        <color indexed="64"/>
      </left>
      <right/>
      <top style="dashed">
        <color indexed="64"/>
      </top>
      <bottom style="dotted">
        <color indexed="64"/>
      </bottom>
      <diagonal/>
    </border>
    <border>
      <left style="dashDotDot">
        <color indexed="64"/>
      </left>
      <right style="dashDotDot">
        <color indexed="64"/>
      </right>
      <top style="dashed">
        <color indexed="64"/>
      </top>
      <bottom style="dotted">
        <color indexed="64"/>
      </bottom>
      <diagonal/>
    </border>
    <border>
      <left/>
      <right/>
      <top/>
      <bottom style="slantDashDot">
        <color indexed="64"/>
      </bottom>
      <diagonal/>
    </border>
    <border>
      <left style="dashDotDot">
        <color indexed="64"/>
      </left>
      <right style="dashDotDot">
        <color indexed="64"/>
      </right>
      <top/>
      <bottom style="dashed">
        <color indexed="64"/>
      </bottom>
      <diagonal/>
    </border>
    <border>
      <left style="dashDotDot">
        <color indexed="64"/>
      </left>
      <right/>
      <top style="double">
        <color indexed="64"/>
      </top>
      <bottom style="double">
        <color indexed="64"/>
      </bottom>
      <diagonal/>
    </border>
    <border diagonalUp="1">
      <left style="dashDotDot">
        <color indexed="64"/>
      </left>
      <right/>
      <top style="dashed">
        <color indexed="64"/>
      </top>
      <bottom style="dashed">
        <color indexed="64"/>
      </bottom>
      <diagonal style="hair">
        <color indexed="64"/>
      </diagonal>
    </border>
    <border>
      <left/>
      <right style="slantDashDot">
        <color indexed="64"/>
      </right>
      <top style="double">
        <color indexed="64"/>
      </top>
      <bottom style="double">
        <color indexed="64"/>
      </bottom>
      <diagonal/>
    </border>
    <border diagonalDown="1">
      <left style="dashDotDot">
        <color indexed="64"/>
      </left>
      <right style="dashDotDot">
        <color indexed="64"/>
      </right>
      <top/>
      <bottom/>
      <diagonal style="dotted">
        <color indexed="64"/>
      </diagonal>
    </border>
    <border diagonalUp="1">
      <left style="dashDotDot">
        <color indexed="64"/>
      </left>
      <right style="slantDashDot">
        <color indexed="64"/>
      </right>
      <top/>
      <bottom/>
      <diagonal style="hair">
        <color indexed="64"/>
      </diagonal>
    </border>
    <border diagonalDown="1">
      <left style="slantDashDot">
        <color indexed="64"/>
      </left>
      <right style="slantDashDot">
        <color indexed="64"/>
      </right>
      <top/>
      <bottom/>
      <diagonal style="slantDashDot">
        <color indexed="64"/>
      </diagonal>
    </border>
    <border diagonalUp="1" diagonalDown="1">
      <left style="slantDashDot">
        <color indexed="64"/>
      </left>
      <right style="dashDotDot">
        <color indexed="64"/>
      </right>
      <top/>
      <bottom/>
      <diagonal style="slantDashDot">
        <color indexed="64"/>
      </diagonal>
    </border>
    <border diagonalDown="1">
      <left style="dashDotDot">
        <color indexed="64"/>
      </left>
      <right/>
      <top/>
      <bottom/>
      <diagonal style="slantDashDot">
        <color indexed="64"/>
      </diagonal>
    </border>
    <border>
      <left style="dashDotDot">
        <color indexed="64"/>
      </left>
      <right style="slantDashDot">
        <color indexed="64"/>
      </right>
      <top/>
      <bottom/>
      <diagonal/>
    </border>
    <border diagonalDown="1">
      <left style="dashDotDot">
        <color indexed="64"/>
      </left>
      <right style="hair">
        <color indexed="64"/>
      </right>
      <top/>
      <bottom/>
      <diagonal style="hair">
        <color indexed="64"/>
      </diagonal>
    </border>
    <border diagonalDown="1">
      <left style="hair">
        <color indexed="64"/>
      </left>
      <right/>
      <top/>
      <bottom/>
      <diagonal style="hair">
        <color indexed="64"/>
      </diagonal>
    </border>
    <border diagonalDown="1">
      <left style="dashDotDot">
        <color indexed="64"/>
      </left>
      <right style="dashDotDot">
        <color indexed="64"/>
      </right>
      <top/>
      <bottom/>
      <diagonal style="slantDashDot">
        <color indexed="64"/>
      </diagonal>
    </border>
    <border diagonalDown="1">
      <left style="hair">
        <color indexed="64"/>
      </left>
      <right style="dashDotDot">
        <color indexed="64"/>
      </right>
      <top/>
      <bottom/>
      <diagonal style="slantDashDot">
        <color indexed="64"/>
      </diagonal>
    </border>
    <border diagonalDown="1">
      <left style="dashDotDot">
        <color indexed="64"/>
      </left>
      <right style="hair">
        <color indexed="64"/>
      </right>
      <top/>
      <bottom/>
      <diagonal style="slantDashDot">
        <color indexed="64"/>
      </diagonal>
    </border>
    <border diagonalUp="1">
      <left style="dashDotDot">
        <color indexed="64"/>
      </left>
      <right style="dashDotDot">
        <color indexed="64"/>
      </right>
      <top/>
      <bottom/>
      <diagonal style="double">
        <color indexed="64"/>
      </diagonal>
    </border>
    <border diagonalUp="1">
      <left style="dashDotDot">
        <color indexed="64"/>
      </left>
      <right style="dashDotDot">
        <color indexed="64"/>
      </right>
      <top/>
      <bottom style="double">
        <color indexed="64"/>
      </bottom>
      <diagonal style="double">
        <color indexed="64"/>
      </diagonal>
    </border>
    <border diagonalUp="1">
      <left style="dashDotDot">
        <color indexed="64"/>
      </left>
      <right/>
      <top/>
      <bottom style="double">
        <color indexed="64"/>
      </bottom>
      <diagonal style="double">
        <color indexed="64"/>
      </diagonal>
    </border>
    <border diagonalUp="1">
      <left style="slantDashDot">
        <color indexed="64"/>
      </left>
      <right/>
      <top/>
      <bottom/>
      <diagonal style="double">
        <color indexed="64"/>
      </diagonal>
    </border>
    <border>
      <left style="dashDotDot">
        <color indexed="64"/>
      </left>
      <right style="dashDotDot">
        <color indexed="64"/>
      </right>
      <top style="double">
        <color indexed="64"/>
      </top>
      <bottom style="double">
        <color indexed="64"/>
      </bottom>
      <diagonal/>
    </border>
    <border>
      <left/>
      <right style="slantDashDot">
        <color indexed="64"/>
      </right>
      <top/>
      <bottom/>
      <diagonal/>
    </border>
    <border>
      <left style="dashDotDot">
        <color indexed="64"/>
      </left>
      <right/>
      <top/>
      <bottom style="double">
        <color indexed="64"/>
      </bottom>
      <diagonal/>
    </border>
    <border>
      <left style="hair">
        <color indexed="64"/>
      </left>
      <right style="hair">
        <color indexed="64"/>
      </right>
      <top style="double">
        <color indexed="64"/>
      </top>
      <bottom style="double">
        <color indexed="64"/>
      </bottom>
      <diagonal/>
    </border>
    <border>
      <left style="dashDotDot">
        <color indexed="64"/>
      </left>
      <right style="dashDotDot">
        <color indexed="64"/>
      </right>
      <top/>
      <bottom style="double">
        <color indexed="64"/>
      </bottom>
      <diagonal/>
    </border>
    <border>
      <left style="hair">
        <color indexed="64"/>
      </left>
      <right style="hair">
        <color indexed="64"/>
      </right>
      <top/>
      <bottom style="double">
        <color indexed="64"/>
      </bottom>
      <diagonal/>
    </border>
    <border diagonalDown="1">
      <left style="hair">
        <color indexed="64"/>
      </left>
      <right style="dashDotDot">
        <color indexed="64"/>
      </right>
      <top/>
      <bottom/>
      <diagonal style="double">
        <color indexed="64"/>
      </diagonal>
    </border>
    <border diagonalUp="1">
      <left style="slantDashDot">
        <color indexed="64"/>
      </left>
      <right style="dashDotDot">
        <color indexed="64"/>
      </right>
      <top/>
      <bottom/>
      <diagonal style="double">
        <color indexed="64"/>
      </diagonal>
    </border>
    <border diagonalDown="1">
      <left style="hair">
        <color indexed="64"/>
      </left>
      <right style="hair">
        <color indexed="64"/>
      </right>
      <top/>
      <bottom/>
      <diagonal style="double">
        <color indexed="64"/>
      </diagonal>
    </border>
    <border diagonalUp="1">
      <left style="dashDotDot">
        <color indexed="64"/>
      </left>
      <right style="dashDotDot">
        <color indexed="64"/>
      </right>
      <top style="double">
        <color indexed="64"/>
      </top>
      <bottom style="double">
        <color indexed="64"/>
      </bottom>
      <diagonal style="double">
        <color indexed="64"/>
      </diagonal>
    </border>
    <border diagonalUp="1">
      <left style="dashDotDot">
        <color indexed="64"/>
      </left>
      <right style="slantDashDot">
        <color indexed="64"/>
      </right>
      <top style="double">
        <color indexed="64"/>
      </top>
      <bottom style="double">
        <color indexed="64"/>
      </bottom>
      <diagonal style="double">
        <color indexed="64"/>
      </diagonal>
    </border>
    <border diagonalUp="1">
      <left style="slantDashDot">
        <color indexed="64"/>
      </left>
      <right style="hair">
        <color indexed="64"/>
      </right>
      <top style="double">
        <color indexed="64"/>
      </top>
      <bottom style="double">
        <color indexed="64"/>
      </bottom>
      <diagonal style="double">
        <color indexed="64"/>
      </diagonal>
    </border>
    <border diagonalUp="1">
      <left style="slantDashDot">
        <color indexed="64"/>
      </left>
      <right style="slantDashDot">
        <color indexed="64"/>
      </right>
      <top/>
      <bottom/>
      <diagonal style="double">
        <color indexed="64"/>
      </diagonal>
    </border>
    <border diagonalUp="1">
      <left style="hair">
        <color indexed="64"/>
      </left>
      <right style="dashDotDot">
        <color indexed="64"/>
      </right>
      <top/>
      <bottom/>
      <diagonal style="hair">
        <color indexed="64"/>
      </diagonal>
    </border>
    <border>
      <left/>
      <right style="hair">
        <color indexed="64"/>
      </right>
      <top/>
      <bottom style="slantDashDot">
        <color indexed="64"/>
      </bottom>
      <diagonal/>
    </border>
    <border diagonalUp="1">
      <left/>
      <right/>
      <top/>
      <bottom/>
      <diagonal style="slantDashDot">
        <color indexed="64"/>
      </diagonal>
    </border>
    <border diagonalUp="1">
      <left style="dashDotDot">
        <color indexed="64"/>
      </left>
      <right style="hair">
        <color indexed="64"/>
      </right>
      <top/>
      <bottom style="double">
        <color indexed="64"/>
      </bottom>
      <diagonal style="hair">
        <color indexed="64"/>
      </diagonal>
    </border>
    <border>
      <left style="dashDotDot">
        <color indexed="64"/>
      </left>
      <right style="hair">
        <color indexed="64"/>
      </right>
      <top/>
      <bottom style="double">
        <color indexed="64"/>
      </bottom>
      <diagonal/>
    </border>
    <border diagonalDown="1">
      <left style="dashDotDot">
        <color indexed="64"/>
      </left>
      <right style="dashDotDot">
        <color indexed="64"/>
      </right>
      <top/>
      <bottom/>
      <diagonal style="hair">
        <color indexed="64"/>
      </diagonal>
    </border>
    <border diagonalDown="1">
      <left style="dashDotDot">
        <color indexed="64"/>
      </left>
      <right/>
      <top/>
      <bottom/>
      <diagonal style="hair">
        <color indexed="64"/>
      </diagonal>
    </border>
    <border diagonalUp="1">
      <left style="dashDotDot">
        <color indexed="64"/>
      </left>
      <right/>
      <top/>
      <bottom/>
      <diagonal style="double">
        <color indexed="64"/>
      </diagonal>
    </border>
    <border>
      <left style="dashDotDot">
        <color indexed="64"/>
      </left>
      <right/>
      <top/>
      <bottom style="slantDashDot">
        <color indexed="64"/>
      </bottom>
      <diagonal/>
    </border>
    <border>
      <left/>
      <right/>
      <top style="slantDashDot">
        <color indexed="64"/>
      </top>
      <bottom style="slantDashDot">
        <color indexed="64"/>
      </bottom>
      <diagonal/>
    </border>
    <border>
      <left style="dashDotDot">
        <color indexed="64"/>
      </left>
      <right/>
      <top style="slantDashDot">
        <color indexed="64"/>
      </top>
      <bottom style="slantDashDot">
        <color indexed="64"/>
      </bottom>
      <diagonal/>
    </border>
    <border diagonalUp="1">
      <left style="dotted">
        <color indexed="64"/>
      </left>
      <right style="dashDotDot">
        <color indexed="64"/>
      </right>
      <top/>
      <bottom/>
      <diagonal style="double">
        <color indexed="64"/>
      </diagonal>
    </border>
    <border diagonalUp="1">
      <left style="dotted">
        <color indexed="64"/>
      </left>
      <right/>
      <top/>
      <bottom/>
      <diagonal style="double">
        <color indexed="64"/>
      </diagonal>
    </border>
    <border>
      <left/>
      <right/>
      <top style="thin">
        <color indexed="64"/>
      </top>
      <bottom style="thin">
        <color indexed="64"/>
      </bottom>
      <diagonal/>
    </border>
    <border>
      <left style="dashDot">
        <color indexed="64"/>
      </left>
      <right style="dashDot">
        <color indexed="64"/>
      </right>
      <top/>
      <bottom/>
      <diagonal/>
    </border>
    <border>
      <left style="dashDot">
        <color indexed="64"/>
      </left>
      <right/>
      <top/>
      <bottom/>
      <diagonal/>
    </border>
    <border diagonalDown="1">
      <left/>
      <right style="hair">
        <color indexed="64"/>
      </right>
      <top/>
      <bottom/>
      <diagonal style="slantDashDot">
        <color indexed="64"/>
      </diagonal>
    </border>
    <border>
      <left/>
      <right style="dashDot">
        <color indexed="64"/>
      </right>
      <top/>
      <bottom/>
      <diagonal/>
    </border>
    <border>
      <left style="dashDot">
        <color indexed="64"/>
      </left>
      <right style="hair">
        <color indexed="64"/>
      </right>
      <top/>
      <bottom/>
      <diagonal/>
    </border>
    <border diagonalDown="1">
      <left style="hair">
        <color indexed="64"/>
      </left>
      <right style="hair">
        <color indexed="64"/>
      </right>
      <top/>
      <bottom/>
      <diagonal style="slantDashDot">
        <color indexed="64"/>
      </diagonal>
    </border>
    <border>
      <left style="dashDotDot">
        <color indexed="64"/>
      </left>
      <right/>
      <top style="double">
        <color indexed="64"/>
      </top>
      <bottom/>
      <diagonal/>
    </border>
    <border diagonalUp="1">
      <left/>
      <right/>
      <top/>
      <bottom/>
      <diagonal style="double">
        <color indexed="64"/>
      </diagonal>
    </border>
    <border diagonalDown="1">
      <left style="hair">
        <color indexed="64"/>
      </left>
      <right/>
      <top/>
      <bottom/>
      <diagonal style="slantDashDot">
        <color indexed="64"/>
      </diagonal>
    </border>
    <border diagonalDown="1">
      <left style="dashDotDot">
        <color indexed="64"/>
      </left>
      <right/>
      <top/>
      <bottom/>
      <diagonal style="double">
        <color indexed="64"/>
      </diagonal>
    </border>
    <border>
      <left style="dotted">
        <color indexed="64"/>
      </left>
      <right style="dotted">
        <color indexed="64"/>
      </right>
      <top style="double">
        <color indexed="64"/>
      </top>
      <bottom/>
      <diagonal/>
    </border>
    <border diagonalDown="1">
      <left/>
      <right style="hair">
        <color indexed="64"/>
      </right>
      <top/>
      <bottom/>
      <diagonal style="double">
        <color indexed="64"/>
      </diagonal>
    </border>
    <border diagonalUp="1" diagonalDown="1">
      <left style="dashDotDot">
        <color indexed="64"/>
      </left>
      <right/>
      <top/>
      <bottom/>
      <diagonal style="slantDashDot">
        <color indexed="64"/>
      </diagonal>
    </border>
    <border diagonalDown="1">
      <left/>
      <right/>
      <top style="double">
        <color indexed="64"/>
      </top>
      <bottom/>
      <diagonal style="double">
        <color indexed="64"/>
      </diagonal>
    </border>
    <border diagonalDown="1">
      <left style="dotted">
        <color indexed="64"/>
      </left>
      <right style="dotted">
        <color indexed="64"/>
      </right>
      <top/>
      <bottom/>
      <diagonal style="double">
        <color indexed="64"/>
      </diagonal>
    </border>
    <border diagonalUp="1" diagonalDown="1">
      <left/>
      <right/>
      <top/>
      <bottom/>
      <diagonal style="slantDashDot">
        <color indexed="64"/>
      </diagonal>
    </border>
    <border>
      <left style="hair">
        <color indexed="64"/>
      </left>
      <right style="dashDot">
        <color indexed="64"/>
      </right>
      <top/>
      <bottom/>
      <diagonal/>
    </border>
    <border diagonalUp="1">
      <left style="dashDot">
        <color indexed="64"/>
      </left>
      <right style="dashDot">
        <color indexed="64"/>
      </right>
      <top/>
      <bottom/>
      <diagonal style="double">
        <color indexed="64"/>
      </diagonal>
    </border>
    <border diagonalUp="1">
      <left style="dashDot">
        <color indexed="64"/>
      </left>
      <right style="hair">
        <color indexed="64"/>
      </right>
      <top/>
      <bottom/>
      <diagonal style="double">
        <color indexed="64"/>
      </diagonal>
    </border>
    <border>
      <left style="dashDot">
        <color indexed="64"/>
      </left>
      <right style="dashDot">
        <color indexed="64"/>
      </right>
      <top/>
      <bottom style="dashDotDot">
        <color indexed="64"/>
      </bottom>
      <diagonal/>
    </border>
    <border diagonalDown="1">
      <left style="dashDot">
        <color indexed="64"/>
      </left>
      <right style="dashDot">
        <color indexed="64"/>
      </right>
      <top/>
      <bottom/>
      <diagonal style="dashDotDot">
        <color indexed="64"/>
      </diagonal>
    </border>
    <border>
      <left style="dashDot">
        <color indexed="64"/>
      </left>
      <right style="dashDot">
        <color indexed="64"/>
      </right>
      <top style="dashDotDot">
        <color indexed="64"/>
      </top>
      <bottom style="dashDotDot">
        <color indexed="64"/>
      </bottom>
      <diagonal/>
    </border>
    <border>
      <left/>
      <right/>
      <top/>
      <bottom style="dashDotDot">
        <color indexed="64"/>
      </bottom>
      <diagonal/>
    </border>
    <border diagonalDown="1">
      <left/>
      <right style="dashDotDot">
        <color indexed="64"/>
      </right>
      <top/>
      <bottom/>
      <diagonal style="dashed">
        <color indexed="64"/>
      </diagonal>
    </border>
    <border diagonalDown="1">
      <left/>
      <right style="hair">
        <color indexed="64"/>
      </right>
      <top/>
      <bottom/>
      <diagonal style="dotted">
        <color indexed="64"/>
      </diagonal>
    </border>
    <border diagonalDown="1">
      <left style="hair">
        <color indexed="64"/>
      </left>
      <right/>
      <top/>
      <bottom/>
      <diagonal style="dashDotDot">
        <color indexed="64"/>
      </diagonal>
    </border>
    <border>
      <left/>
      <right style="dotted">
        <color indexed="64"/>
      </right>
      <top/>
      <bottom/>
      <diagonal/>
    </border>
    <border diagonalDown="1">
      <left style="hair">
        <color indexed="64"/>
      </left>
      <right style="hair">
        <color indexed="64"/>
      </right>
      <top/>
      <bottom/>
      <diagonal style="dotted">
        <color indexed="64"/>
      </diagonal>
    </border>
    <border diagonalUp="1">
      <left style="dotted">
        <color indexed="64"/>
      </left>
      <right style="dotted">
        <color indexed="64"/>
      </right>
      <top/>
      <bottom/>
      <diagonal style="double">
        <color indexed="64"/>
      </diagonal>
    </border>
    <border diagonalUp="1">
      <left style="hair">
        <color indexed="64"/>
      </left>
      <right style="dotted">
        <color indexed="64"/>
      </right>
      <top/>
      <bottom/>
      <diagonal style="double">
        <color indexed="64"/>
      </diagonal>
    </border>
    <border>
      <left style="dashDotDot">
        <color indexed="64"/>
      </left>
      <right style="dotted">
        <color indexed="64"/>
      </right>
      <top/>
      <bottom style="hair">
        <color indexed="64"/>
      </bottom>
      <diagonal/>
    </border>
    <border>
      <left/>
      <right style="dotted">
        <color indexed="64"/>
      </right>
      <top style="hair">
        <color indexed="64"/>
      </top>
      <bottom/>
      <diagonal/>
    </border>
    <border>
      <left style="slantDashDot">
        <color indexed="64"/>
      </left>
      <right style="dotted">
        <color indexed="64"/>
      </right>
      <top/>
      <bottom/>
      <diagonal/>
    </border>
    <border>
      <left style="dashDotDot">
        <color indexed="64"/>
      </left>
      <right style="dashDotDot">
        <color indexed="64"/>
      </right>
      <top/>
      <bottom style="slantDashDot">
        <color indexed="64"/>
      </bottom>
      <diagonal/>
    </border>
    <border>
      <left style="dashDotDot">
        <color indexed="64"/>
      </left>
      <right style="dashDotDot">
        <color indexed="64"/>
      </right>
      <top style="slantDashDot">
        <color indexed="64"/>
      </top>
      <bottom style="slantDashDot">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right style="slantDashDot">
        <color indexed="64"/>
      </right>
      <top/>
      <bottom/>
      <diagonal style="double">
        <color indexed="64"/>
      </diagonal>
    </border>
    <border diagonalUp="1">
      <left style="dashDotDot">
        <color indexed="64"/>
      </left>
      <right style="dashDotDot">
        <color indexed="64"/>
      </right>
      <top/>
      <bottom style="double">
        <color indexed="64"/>
      </bottom>
      <diagonal style="hair">
        <color indexed="64"/>
      </diagonal>
    </border>
    <border diagonalUp="1">
      <left style="dashDotDot">
        <color indexed="64"/>
      </left>
      <right style="dashDotDot">
        <color indexed="64"/>
      </right>
      <top style="double">
        <color indexed="64"/>
      </top>
      <bottom style="double">
        <color indexed="64"/>
      </bottom>
      <diagonal style="hair">
        <color indexed="64"/>
      </diagonal>
    </border>
    <border diagonalUp="1">
      <left style="dashDotDot">
        <color indexed="64"/>
      </left>
      <right/>
      <top style="double">
        <color indexed="64"/>
      </top>
      <bottom style="double">
        <color indexed="64"/>
      </bottom>
      <diagonal style="hair">
        <color indexed="64"/>
      </diagonal>
    </border>
    <border diagonalDown="1">
      <left style="dashDotDot">
        <color indexed="64"/>
      </left>
      <right style="dashDotDot">
        <color indexed="64"/>
      </right>
      <top style="double">
        <color indexed="64"/>
      </top>
      <bottom/>
      <diagonal style="dashDotDot">
        <color indexed="64"/>
      </diagonal>
    </border>
    <border diagonalUp="1">
      <left style="hair">
        <color indexed="64"/>
      </left>
      <right style="dashDotDot">
        <color indexed="64"/>
      </right>
      <top style="double">
        <color indexed="64"/>
      </top>
      <bottom/>
      <diagonal style="hair">
        <color indexed="64"/>
      </diagonal>
    </border>
    <border>
      <left/>
      <right style="hair">
        <color indexed="64"/>
      </right>
      <top/>
      <bottom style="dashDotDot">
        <color indexed="64"/>
      </bottom>
      <diagonal/>
    </border>
    <border>
      <left style="hair">
        <color indexed="64"/>
      </left>
      <right/>
      <top/>
      <bottom style="double">
        <color indexed="64"/>
      </bottom>
      <diagonal/>
    </border>
    <border>
      <left style="dotted">
        <color indexed="64"/>
      </left>
      <right/>
      <top style="double">
        <color indexed="64"/>
      </top>
      <bottom style="double">
        <color indexed="64"/>
      </bottom>
      <diagonal/>
    </border>
    <border diagonalDown="1">
      <left style="dashDotDot">
        <color indexed="64"/>
      </left>
      <right style="hair">
        <color indexed="64"/>
      </right>
      <top/>
      <bottom/>
      <diagonal style="dotted">
        <color indexed="64"/>
      </diagonal>
    </border>
    <border>
      <left style="hair">
        <color indexed="64"/>
      </left>
      <right style="dashDotDot">
        <color indexed="64"/>
      </right>
      <top style="double">
        <color indexed="64"/>
      </top>
      <bottom style="double">
        <color indexed="64"/>
      </bottom>
      <diagonal/>
    </border>
    <border>
      <left style="hair">
        <color indexed="64"/>
      </left>
      <right style="hair">
        <color indexed="64"/>
      </right>
      <top style="double">
        <color indexed="64"/>
      </top>
      <bottom/>
      <diagonal/>
    </border>
    <border diagonalUp="1">
      <left style="hair">
        <color indexed="64"/>
      </left>
      <right style="hair">
        <color indexed="64"/>
      </right>
      <top style="double">
        <color indexed="64"/>
      </top>
      <bottom/>
      <diagonal style="hair">
        <color indexed="64"/>
      </diagonal>
    </border>
    <border>
      <left style="dotted">
        <color indexed="64"/>
      </left>
      <right/>
      <top/>
      <bottom style="double">
        <color indexed="64"/>
      </bottom>
      <diagonal/>
    </border>
    <border>
      <left style="dotted">
        <color indexed="64"/>
      </left>
      <right style="hair">
        <color indexed="64"/>
      </right>
      <top/>
      <bottom style="double">
        <color indexed="64"/>
      </bottom>
      <diagonal/>
    </border>
    <border>
      <left/>
      <right style="hair">
        <color indexed="64"/>
      </right>
      <top/>
      <bottom style="double">
        <color indexed="64"/>
      </bottom>
      <diagonal/>
    </border>
    <border>
      <left/>
      <right style="hair">
        <color indexed="64"/>
      </right>
      <top style="double">
        <color indexed="64"/>
      </top>
      <bottom style="double">
        <color indexed="64"/>
      </bottom>
      <diagonal/>
    </border>
    <border diagonalDown="1">
      <left/>
      <right style="dashDotDot">
        <color indexed="64"/>
      </right>
      <top/>
      <bottom/>
      <diagonal style="dotted">
        <color indexed="64"/>
      </diagonal>
    </border>
    <border diagonalUp="1">
      <left style="dashDotDot">
        <color indexed="64"/>
      </left>
      <right/>
      <top/>
      <bottom/>
      <diagonal style="dotted">
        <color indexed="64"/>
      </diagonal>
    </border>
    <border diagonalUp="1">
      <left/>
      <right/>
      <top/>
      <bottom/>
      <diagonal style="dotted">
        <color indexed="64"/>
      </diagonal>
    </border>
    <border diagonalUp="1">
      <left style="dashDotDot">
        <color indexed="64"/>
      </left>
      <right/>
      <top/>
      <bottom/>
      <diagonal style="slantDashDot">
        <color indexed="64"/>
      </diagonal>
    </border>
    <border>
      <left style="dashDotDot">
        <color indexed="64"/>
      </left>
      <right style="dashDotDot">
        <color indexed="64"/>
      </right>
      <top/>
      <bottom style="dashDotDot">
        <color indexed="64"/>
      </bottom>
      <diagonal/>
    </border>
    <border diagonalDown="1">
      <left style="dashDotDot">
        <color indexed="64"/>
      </left>
      <right style="slantDashDot">
        <color indexed="64"/>
      </right>
      <top/>
      <bottom/>
      <diagonal style="hair">
        <color indexed="64"/>
      </diagonal>
    </border>
    <border>
      <left style="slantDashDot">
        <color indexed="64"/>
      </left>
      <right style="hair">
        <color indexed="64"/>
      </right>
      <top/>
      <bottom/>
      <diagonal/>
    </border>
    <border>
      <left style="dashDotDot">
        <color indexed="64"/>
      </left>
      <right style="dashDotDot">
        <color indexed="64"/>
      </right>
      <top/>
      <bottom style="dashDot">
        <color indexed="64"/>
      </bottom>
      <diagonal/>
    </border>
    <border>
      <left style="dashDotDot">
        <color indexed="64"/>
      </left>
      <right/>
      <top/>
      <bottom style="dashDot">
        <color indexed="64"/>
      </bottom>
      <diagonal/>
    </border>
    <border>
      <left style="dashDotDot">
        <color indexed="64"/>
      </left>
      <right style="dashDotDot">
        <color indexed="64"/>
      </right>
      <top style="dashDot">
        <color indexed="64"/>
      </top>
      <bottom style="dashDot">
        <color indexed="64"/>
      </bottom>
      <diagonal/>
    </border>
    <border diagonalDown="1">
      <left style="dashDotDot">
        <color indexed="64"/>
      </left>
      <right style="dashDotDot">
        <color indexed="64"/>
      </right>
      <top style="dashDot">
        <color indexed="64"/>
      </top>
      <bottom/>
      <diagonal style="dashDot">
        <color indexed="64"/>
      </diagonal>
    </border>
    <border diagonalUp="1">
      <left style="dashDotDot">
        <color indexed="64"/>
      </left>
      <right style="dashDotDot">
        <color indexed="64"/>
      </right>
      <top/>
      <bottom/>
      <diagonal style="dotted">
        <color indexed="64"/>
      </diagonal>
    </border>
    <border diagonalUp="1">
      <left style="dashDotDot">
        <color indexed="64"/>
      </left>
      <right style="hair">
        <color indexed="64"/>
      </right>
      <top/>
      <bottom/>
      <diagonal style="dotted">
        <color indexed="64"/>
      </diagonal>
    </border>
    <border>
      <left/>
      <right/>
      <top style="dashDot">
        <color indexed="64"/>
      </top>
      <bottom style="dashDot">
        <color indexed="64"/>
      </bottom>
      <diagonal/>
    </border>
    <border diagonalDown="1">
      <left/>
      <right/>
      <top style="dashDot">
        <color indexed="64"/>
      </top>
      <bottom/>
      <diagonal style="dotted">
        <color indexed="64"/>
      </diagonal>
    </border>
    <border diagonalDown="1">
      <left/>
      <right style="hair">
        <color indexed="64"/>
      </right>
      <top/>
      <bottom/>
      <diagonal style="dashDotDot">
        <color indexed="64"/>
      </diagonal>
    </border>
    <border diagonalDown="1">
      <left/>
      <right/>
      <top/>
      <bottom style="double">
        <color indexed="64"/>
      </bottom>
      <diagonal style="hair">
        <color indexed="64"/>
      </diagonal>
    </border>
    <border>
      <left style="dashDotDot">
        <color indexed="64"/>
      </left>
      <right style="dashDotDot">
        <color indexed="64"/>
      </right>
      <top style="double">
        <color indexed="64"/>
      </top>
      <bottom/>
      <diagonal/>
    </border>
    <border>
      <left style="dashDotDot">
        <color indexed="64"/>
      </left>
      <right style="dashDotDot">
        <color indexed="64"/>
      </right>
      <top style="dashDotDot">
        <color indexed="64"/>
      </top>
      <bottom style="dashDotDot">
        <color indexed="64"/>
      </bottom>
      <diagonal/>
    </border>
    <border diagonalUp="1">
      <left style="dotted">
        <color indexed="64"/>
      </left>
      <right/>
      <top/>
      <bottom/>
      <diagonal style="hair">
        <color indexed="64"/>
      </diagonal>
    </border>
    <border diagonalUp="1">
      <left style="dotted">
        <color indexed="64"/>
      </left>
      <right style="dotted">
        <color indexed="64"/>
      </right>
      <top/>
      <bottom/>
      <diagonal style="hair">
        <color indexed="64"/>
      </diagonal>
    </border>
    <border diagonalUp="1">
      <left style="dotted">
        <color indexed="64"/>
      </left>
      <right/>
      <top/>
      <bottom/>
      <diagonal style="dotted">
        <color indexed="64"/>
      </diagonal>
    </border>
    <border diagonalDown="1">
      <left style="dashDotDot">
        <color indexed="64"/>
      </left>
      <right/>
      <top style="double">
        <color indexed="64"/>
      </top>
      <bottom/>
      <diagonal style="dashDotDot">
        <color indexed="64"/>
      </diagonal>
    </border>
    <border diagonalDown="1">
      <left/>
      <right/>
      <top/>
      <bottom style="double">
        <color indexed="64"/>
      </bottom>
      <diagonal style="dashDotDot">
        <color indexed="64"/>
      </diagonal>
    </border>
    <border>
      <left/>
      <right style="dashDotDot">
        <color indexed="64"/>
      </right>
      <top style="double">
        <color indexed="64"/>
      </top>
      <bottom/>
      <diagonal/>
    </border>
    <border diagonalDown="1">
      <left/>
      <right/>
      <top style="double">
        <color indexed="64"/>
      </top>
      <bottom style="double">
        <color indexed="64"/>
      </bottom>
      <diagonal style="hair">
        <color indexed="64"/>
      </diagonal>
    </border>
    <border diagonalDown="1">
      <left/>
      <right/>
      <top style="double">
        <color indexed="64"/>
      </top>
      <bottom style="double">
        <color indexed="64"/>
      </bottom>
      <diagonal style="dashDotDot">
        <color indexed="64"/>
      </diagonal>
    </border>
    <border diagonalDown="1">
      <left style="hair">
        <color indexed="64"/>
      </left>
      <right style="hair">
        <color indexed="64"/>
      </right>
      <top style="double">
        <color indexed="64"/>
      </top>
      <bottom style="double">
        <color indexed="64"/>
      </bottom>
      <diagonal style="dashDotDot">
        <color indexed="64"/>
      </diagonal>
    </border>
    <border>
      <left style="hair">
        <color indexed="64"/>
      </left>
      <right/>
      <top style="double">
        <color indexed="64"/>
      </top>
      <bottom/>
      <diagonal/>
    </border>
    <border diagonalDown="1">
      <left style="hair">
        <color indexed="64"/>
      </left>
      <right/>
      <top/>
      <bottom style="double">
        <color indexed="64"/>
      </bottom>
      <diagonal style="dashDotDot">
        <color indexed="64"/>
      </diagonal>
    </border>
    <border diagonalDown="1">
      <left style="hair">
        <color indexed="64"/>
      </left>
      <right style="hair">
        <color indexed="64"/>
      </right>
      <top/>
      <bottom style="double">
        <color indexed="64"/>
      </bottom>
      <diagonal style="dashDotDot">
        <color indexed="64"/>
      </diagonal>
    </border>
    <border>
      <left/>
      <right style="hair">
        <color indexed="64"/>
      </right>
      <top style="double">
        <color indexed="64"/>
      </top>
      <bottom/>
      <diagonal/>
    </border>
    <border>
      <left style="hair">
        <color indexed="64"/>
      </left>
      <right style="hair">
        <color indexed="64"/>
      </right>
      <top/>
      <bottom style="dashDotDot">
        <color indexed="64"/>
      </bottom>
      <diagonal/>
    </border>
    <border>
      <left/>
      <right style="hair">
        <color indexed="64"/>
      </right>
      <top/>
      <bottom style="dashDot">
        <color indexed="64"/>
      </bottom>
      <diagonal/>
    </border>
    <border>
      <left/>
      <right style="hair">
        <color indexed="64"/>
      </right>
      <top style="dashDot">
        <color indexed="64"/>
      </top>
      <bottom style="dashDot">
        <color indexed="64"/>
      </bottom>
      <diagonal/>
    </border>
    <border>
      <left/>
      <right style="hair">
        <color indexed="64"/>
      </right>
      <top style="dashDot">
        <color indexed="64"/>
      </top>
      <bottom style="hair">
        <color indexed="64"/>
      </bottom>
      <diagonal/>
    </border>
    <border>
      <left style="hair">
        <color indexed="64"/>
      </left>
      <right/>
      <top style="dashDot">
        <color indexed="64"/>
      </top>
      <bottom style="dashDot">
        <color indexed="64"/>
      </bottom>
      <diagonal/>
    </border>
    <border>
      <left/>
      <right/>
      <top style="dashDot">
        <color indexed="64"/>
      </top>
      <bottom/>
      <diagonal/>
    </border>
    <border diagonalDown="1">
      <left style="dotted">
        <color indexed="64"/>
      </left>
      <right/>
      <top/>
      <bottom/>
      <diagonal style="hair">
        <color indexed="64"/>
      </diagonal>
    </border>
    <border>
      <left/>
      <right/>
      <top style="dashDot">
        <color indexed="64"/>
      </top>
      <bottom style="hair">
        <color indexed="64"/>
      </bottom>
      <diagonal/>
    </border>
    <border>
      <left/>
      <right style="hair">
        <color indexed="64"/>
      </right>
      <top style="hair">
        <color indexed="64"/>
      </top>
      <bottom style="hair">
        <color indexed="64"/>
      </bottom>
      <diagonal/>
    </border>
    <border>
      <left/>
      <right/>
      <top style="hair">
        <color indexed="64"/>
      </top>
      <bottom style="hair">
        <color indexed="64"/>
      </bottom>
      <diagonal/>
    </border>
    <border>
      <left/>
      <right style="hair">
        <color indexed="64"/>
      </right>
      <top/>
      <bottom style="hair">
        <color indexed="64"/>
      </bottom>
      <diagonal/>
    </border>
    <border>
      <left style="hair">
        <color indexed="64"/>
      </left>
      <right/>
      <top style="dashDot">
        <color indexed="64"/>
      </top>
      <bottom/>
      <diagonal/>
    </border>
    <border>
      <left/>
      <right style="hair">
        <color indexed="64"/>
      </right>
      <top style="dashDot">
        <color indexed="64"/>
      </top>
      <bottom/>
      <diagonal/>
    </border>
    <border diagonalUp="1">
      <left style="dashDotDot">
        <color indexed="64"/>
      </left>
      <right style="dashDotDot">
        <color indexed="64"/>
      </right>
      <top style="dashDot">
        <color indexed="64"/>
      </top>
      <bottom style="dashDot">
        <color indexed="64"/>
      </bottom>
      <diagonal style="dashDotDot">
        <color indexed="64"/>
      </diagonal>
    </border>
    <border diagonalUp="1">
      <left style="dashDotDot">
        <color indexed="64"/>
      </left>
      <right style="hair">
        <color indexed="64"/>
      </right>
      <top style="dashDot">
        <color indexed="64"/>
      </top>
      <bottom style="dashDot">
        <color indexed="64"/>
      </bottom>
      <diagonal style="dashDotDot">
        <color indexed="64"/>
      </diagonal>
    </border>
    <border diagonalUp="1">
      <left style="dashDotDot">
        <color indexed="64"/>
      </left>
      <right style="dashDotDot">
        <color indexed="64"/>
      </right>
      <top style="dashDot">
        <color indexed="64"/>
      </top>
      <bottom/>
      <diagonal style="dashDotDot">
        <color indexed="64"/>
      </diagonal>
    </border>
    <border diagonalUp="1">
      <left style="dashDotDot">
        <color indexed="64"/>
      </left>
      <right style="dashDotDot">
        <color indexed="64"/>
      </right>
      <top/>
      <bottom style="dashDot">
        <color indexed="64"/>
      </bottom>
      <diagonal style="dashDotDot">
        <color indexed="64"/>
      </diagonal>
    </border>
    <border diagonalUp="1" diagonalDown="1">
      <left style="dashDotDot">
        <color indexed="64"/>
      </left>
      <right style="dashDotDot">
        <color indexed="64"/>
      </right>
      <top/>
      <bottom/>
      <diagonal style="dashDotDot">
        <color indexed="64"/>
      </diagonal>
    </border>
    <border>
      <left style="hair">
        <color indexed="64"/>
      </left>
      <right style="hair">
        <color indexed="64"/>
      </right>
      <top/>
      <bottom style="dashDot">
        <color indexed="64"/>
      </bottom>
      <diagonal/>
    </border>
    <border diagonalUp="1">
      <left style="dashDotDot">
        <color indexed="64"/>
      </left>
      <right style="hair">
        <color indexed="64"/>
      </right>
      <top/>
      <bottom style="dashDot">
        <color indexed="64"/>
      </bottom>
      <diagonal style="dashDotDot">
        <color indexed="64"/>
      </diagonal>
    </border>
    <border>
      <left style="dashDotDot">
        <color indexed="64"/>
      </left>
      <right/>
      <top style="dashDot">
        <color indexed="64"/>
      </top>
      <bottom style="dashDot">
        <color indexed="64"/>
      </bottom>
      <diagonal/>
    </border>
    <border>
      <left/>
      <right style="dashDotDot">
        <color indexed="64"/>
      </right>
      <top/>
      <bottom style="dashDot">
        <color indexed="64"/>
      </bottom>
      <diagonal/>
    </border>
    <border>
      <left/>
      <right style="dashDotDot">
        <color indexed="64"/>
      </right>
      <top style="dashDot">
        <color indexed="64"/>
      </top>
      <bottom/>
      <diagonal/>
    </border>
    <border diagonalUp="1">
      <left style="dashDotDot">
        <color indexed="64"/>
      </left>
      <right style="dashDotDot">
        <color indexed="64"/>
      </right>
      <top/>
      <bottom/>
      <diagonal style="dashDotDot">
        <color indexed="64"/>
      </diagonal>
    </border>
    <border diagonalUp="1">
      <left style="dashDotDot">
        <color indexed="64"/>
      </left>
      <right style="hair">
        <color indexed="64"/>
      </right>
      <top style="dashDot">
        <color indexed="64"/>
      </top>
      <bottom/>
      <diagonal style="dashDotDot">
        <color indexed="64"/>
      </diagonal>
    </border>
    <border>
      <left style="hair">
        <color indexed="64"/>
      </left>
      <right/>
      <top/>
      <bottom style="dashDot">
        <color indexed="64"/>
      </bottom>
      <diagonal/>
    </border>
    <border>
      <left style="dashDotDot">
        <color indexed="64"/>
      </left>
      <right style="dashDotDot">
        <color indexed="64"/>
      </right>
      <top style="dashDot">
        <color indexed="64"/>
      </top>
      <bottom/>
      <diagonal/>
    </border>
    <border>
      <left style="slantDashDot">
        <color indexed="64"/>
      </left>
      <right style="dashDotDot">
        <color indexed="64"/>
      </right>
      <top/>
      <bottom/>
      <diagonal/>
    </border>
    <border diagonalDown="1">
      <left style="dashDotDot">
        <color indexed="64"/>
      </left>
      <right style="dashDotDot">
        <color indexed="64"/>
      </right>
      <top/>
      <bottom style="dashDot">
        <color indexed="64"/>
      </bottom>
      <diagonal style="hair">
        <color indexed="64"/>
      </diagonal>
    </border>
    <border diagonalDown="1">
      <left style="dashDotDot">
        <color indexed="64"/>
      </left>
      <right style="dashDotDot">
        <color indexed="64"/>
      </right>
      <top/>
      <bottom/>
      <diagonal style="dashDot">
        <color indexed="64"/>
      </diagonal>
    </border>
    <border>
      <left style="hair">
        <color indexed="64"/>
      </left>
      <right style="dotted">
        <color indexed="64"/>
      </right>
      <top/>
      <bottom/>
      <diagonal/>
    </border>
    <border diagonalUp="1">
      <left style="dashDotDot">
        <color indexed="64"/>
      </left>
      <right style="slantDashDot">
        <color indexed="64"/>
      </right>
      <top/>
      <bottom/>
      <diagonal style="slantDashDot">
        <color indexed="64"/>
      </diagonal>
    </border>
    <border>
      <left style="dashDotDot">
        <color indexed="64"/>
      </left>
      <right style="dotted">
        <color indexed="64"/>
      </right>
      <top/>
      <bottom/>
      <diagonal/>
    </border>
    <border>
      <left style="hair">
        <color indexed="64"/>
      </left>
      <right style="slantDashDot">
        <color indexed="64"/>
      </right>
      <top/>
      <bottom style="double">
        <color indexed="64"/>
      </bottom>
      <diagonal/>
    </border>
    <border>
      <left style="dotted">
        <color indexed="64"/>
      </left>
      <right style="dotted">
        <color indexed="64"/>
      </right>
      <top/>
      <bottom style="double">
        <color indexed="64"/>
      </bottom>
      <diagonal/>
    </border>
    <border>
      <left style="dotted">
        <color indexed="64"/>
      </left>
      <right style="slantDashDot">
        <color indexed="64"/>
      </right>
      <top/>
      <bottom/>
      <diagonal/>
    </border>
    <border>
      <left style="dotted">
        <color indexed="64"/>
      </left>
      <right style="dotted">
        <color indexed="64"/>
      </right>
      <top/>
      <bottom style="dashed">
        <color indexed="64"/>
      </bottom>
      <diagonal/>
    </border>
    <border>
      <left style="dotted">
        <color indexed="64"/>
      </left>
      <right style="hair">
        <color indexed="64"/>
      </right>
      <top/>
      <bottom style="dashed">
        <color indexed="64"/>
      </bottom>
      <diagonal/>
    </border>
    <border>
      <left style="dashDotDot">
        <color indexed="64"/>
      </left>
      <right/>
      <top style="dashed">
        <color indexed="64"/>
      </top>
      <bottom/>
      <diagonal/>
    </border>
    <border>
      <left style="dashDotDot">
        <color indexed="64"/>
      </left>
      <right style="dashDotDot">
        <color indexed="64"/>
      </right>
      <top style="slantDashDot">
        <color indexed="64"/>
      </top>
      <bottom style="double">
        <color indexed="64"/>
      </bottom>
      <diagonal/>
    </border>
    <border diagonalUp="1">
      <left style="dashDotDot">
        <color indexed="64"/>
      </left>
      <right style="dashDotDot">
        <color indexed="64"/>
      </right>
      <top/>
      <bottom/>
      <diagonal style="dashed">
        <color indexed="64"/>
      </diagonal>
    </border>
    <border diagonalUp="1">
      <left style="dashDotDot">
        <color indexed="64"/>
      </left>
      <right/>
      <top/>
      <bottom/>
      <diagonal style="dashed">
        <color indexed="64"/>
      </diagonal>
    </border>
    <border>
      <left style="hair">
        <color indexed="64"/>
      </left>
      <right style="hair">
        <color indexed="64"/>
      </right>
      <top/>
      <bottom style="dashed">
        <color indexed="64"/>
      </bottom>
      <diagonal/>
    </border>
    <border diagonalUp="1">
      <left style="dashDotDot">
        <color indexed="64"/>
      </left>
      <right style="slantDashDot">
        <color indexed="64"/>
      </right>
      <top/>
      <bottom/>
      <diagonal style="dashed">
        <color indexed="64"/>
      </diagonal>
    </border>
    <border diagonalDown="1">
      <left style="hair">
        <color indexed="64"/>
      </left>
      <right style="dotted">
        <color indexed="64"/>
      </right>
      <top/>
      <bottom/>
      <diagonal style="dashDot">
        <color indexed="64"/>
      </diagonal>
    </border>
    <border diagonalDown="1">
      <left style="hair">
        <color indexed="64"/>
      </left>
      <right/>
      <top/>
      <bottom/>
      <diagonal style="dashDot">
        <color indexed="64"/>
      </diagonal>
    </border>
    <border>
      <left style="slantDashDot">
        <color indexed="64"/>
      </left>
      <right style="slantDashDot">
        <color indexed="64"/>
      </right>
      <top/>
      <bottom style="double">
        <color indexed="64"/>
      </bottom>
      <diagonal/>
    </border>
    <border>
      <left style="slantDashDot">
        <color indexed="64"/>
      </left>
      <right/>
      <top/>
      <bottom style="slantDashDot">
        <color indexed="64"/>
      </bottom>
      <diagonal/>
    </border>
    <border>
      <left style="slantDashDot">
        <color indexed="64"/>
      </left>
      <right/>
      <top style="slantDashDot">
        <color indexed="64"/>
      </top>
      <bottom style="slantDashDot">
        <color indexed="64"/>
      </bottom>
      <diagonal/>
    </border>
    <border>
      <left style="dotted">
        <color indexed="64"/>
      </left>
      <right/>
      <top style="slantDashDot">
        <color indexed="64"/>
      </top>
      <bottom style="slantDashDot">
        <color indexed="64"/>
      </bottom>
      <diagonal/>
    </border>
    <border>
      <left style="slantDashDot">
        <color indexed="64"/>
      </left>
      <right style="slantDashDot">
        <color indexed="64"/>
      </right>
      <top/>
      <bottom style="slantDashDot">
        <color indexed="64"/>
      </bottom>
      <diagonal/>
    </border>
    <border>
      <left style="slantDashDot">
        <color indexed="64"/>
      </left>
      <right style="slantDashDot">
        <color indexed="64"/>
      </right>
      <top style="slantDashDot">
        <color indexed="64"/>
      </top>
      <bottom style="double">
        <color indexed="64"/>
      </bottom>
      <diagonal/>
    </border>
    <border diagonalUp="1" diagonalDown="1">
      <left style="dashDotDot">
        <color indexed="64"/>
      </left>
      <right style="hair">
        <color indexed="64"/>
      </right>
      <top/>
      <bottom/>
      <diagonal style="hair">
        <color indexed="64"/>
      </diagonal>
    </border>
    <border diagonalUp="1" diagonalDown="1">
      <left style="hair">
        <color indexed="64"/>
      </left>
      <right style="hair">
        <color indexed="64"/>
      </right>
      <top/>
      <bottom/>
      <diagonal style="hair">
        <color indexed="64"/>
      </diagonal>
    </border>
    <border diagonalUp="1" diagonalDown="1">
      <left style="hair">
        <color indexed="64"/>
      </left>
      <right/>
      <top/>
      <bottom/>
      <diagonal style="hair">
        <color indexed="64"/>
      </diagonal>
    </border>
    <border diagonalUp="1">
      <left style="hair">
        <color indexed="64"/>
      </left>
      <right style="hair">
        <color indexed="64"/>
      </right>
      <top/>
      <bottom style="dashed">
        <color indexed="64"/>
      </bottom>
      <diagonal style="hair">
        <color indexed="64"/>
      </diagonal>
    </border>
    <border diagonalUp="1">
      <left style="hair">
        <color indexed="64"/>
      </left>
      <right/>
      <top/>
      <bottom style="dashed">
        <color indexed="64"/>
      </bottom>
      <diagonal style="hair">
        <color indexed="64"/>
      </diagonal>
    </border>
    <border>
      <left style="dashDotDot">
        <color indexed="64"/>
      </left>
      <right style="hair">
        <color indexed="64"/>
      </right>
      <top/>
      <bottom style="dashed">
        <color indexed="64"/>
      </bottom>
      <diagonal/>
    </border>
    <border>
      <left style="dashDotDot">
        <color indexed="64"/>
      </left>
      <right style="dotted">
        <color indexed="64"/>
      </right>
      <top/>
      <bottom style="dashed">
        <color indexed="64"/>
      </bottom>
      <diagonal/>
    </border>
    <border diagonalDown="1">
      <left/>
      <right style="hair">
        <color indexed="64"/>
      </right>
      <top/>
      <bottom/>
      <diagonal style="hair">
        <color indexed="64"/>
      </diagonal>
    </border>
    <border diagonalDown="1">
      <left/>
      <right/>
      <top/>
      <bottom/>
      <diagonal style="thin">
        <color indexed="64"/>
      </diagonal>
    </border>
    <border>
      <left style="hair">
        <color indexed="64"/>
      </left>
      <right style="hair">
        <color indexed="64"/>
      </right>
      <top/>
      <bottom style="slantDashDot">
        <color indexed="64"/>
      </bottom>
      <diagonal/>
    </border>
    <border>
      <left style="hair">
        <color indexed="64"/>
      </left>
      <right style="dashDotDot">
        <color indexed="64"/>
      </right>
      <top/>
      <bottom style="slantDashDot">
        <color indexed="64"/>
      </bottom>
      <diagonal/>
    </border>
    <border>
      <left style="hair">
        <color indexed="64"/>
      </left>
      <right style="dashDotDot">
        <color indexed="64"/>
      </right>
      <top/>
      <bottom style="double">
        <color indexed="64"/>
      </bottom>
      <diagonal/>
    </border>
    <border>
      <left style="hair">
        <color indexed="64"/>
      </left>
      <right style="hair">
        <color indexed="64"/>
      </right>
      <top style="slantDashDot">
        <color indexed="64"/>
      </top>
      <bottom style="slantDashDot">
        <color indexed="64"/>
      </bottom>
      <diagonal/>
    </border>
    <border>
      <left style="hair">
        <color indexed="64"/>
      </left>
      <right/>
      <top/>
      <bottom style="slantDashDot">
        <color indexed="64"/>
      </bottom>
      <diagonal/>
    </border>
    <border>
      <left style="hair">
        <color indexed="64"/>
      </left>
      <right/>
      <top style="double">
        <color indexed="64"/>
      </top>
      <bottom style="double">
        <color indexed="64"/>
      </bottom>
      <diagonal/>
    </border>
    <border>
      <left style="hair">
        <color indexed="64"/>
      </left>
      <right style="dashDotDot">
        <color indexed="64"/>
      </right>
      <top style="slantDashDot">
        <color indexed="64"/>
      </top>
      <bottom style="double">
        <color indexed="64"/>
      </bottom>
      <diagonal/>
    </border>
    <border>
      <left style="hair">
        <color indexed="64"/>
      </left>
      <right style="hair">
        <color indexed="64"/>
      </right>
      <top style="slantDashDot">
        <color indexed="64"/>
      </top>
      <bottom/>
      <diagonal/>
    </border>
    <border>
      <left style="hair">
        <color indexed="64"/>
      </left>
      <right/>
      <top style="slantDashDot">
        <color indexed="64"/>
      </top>
      <bottom style="double">
        <color indexed="64"/>
      </bottom>
      <diagonal/>
    </border>
    <border>
      <left style="hair">
        <color indexed="64"/>
      </left>
      <right style="hair">
        <color indexed="64"/>
      </right>
      <top style="double">
        <color indexed="64"/>
      </top>
      <bottom style="slantDashDot">
        <color indexed="64"/>
      </bottom>
      <diagonal/>
    </border>
    <border diagonalDown="1">
      <left style="dashDotDot">
        <color indexed="64"/>
      </left>
      <right/>
      <top/>
      <bottom style="double">
        <color indexed="64"/>
      </bottom>
      <diagonal style="dotted">
        <color indexed="64"/>
      </diagonal>
    </border>
    <border diagonalDown="1">
      <left style="dashDotDot">
        <color indexed="64"/>
      </left>
      <right style="dashDotDot">
        <color indexed="64"/>
      </right>
      <top/>
      <bottom style="double">
        <color indexed="64"/>
      </bottom>
      <diagonal style="dotted">
        <color indexed="64"/>
      </diagonal>
    </border>
    <border diagonalDown="1">
      <left style="dashDotDot">
        <color indexed="64"/>
      </left>
      <right style="dashDotDot">
        <color indexed="64"/>
      </right>
      <top style="double">
        <color indexed="64"/>
      </top>
      <bottom style="double">
        <color indexed="64"/>
      </bottom>
      <diagonal style="dotted">
        <color indexed="64"/>
      </diagonal>
    </border>
    <border>
      <left/>
      <right style="dashDotDot">
        <color indexed="64"/>
      </right>
      <top/>
      <bottom style="dashed">
        <color indexed="64"/>
      </bottom>
      <diagonal/>
    </border>
    <border diagonalDown="1">
      <left style="dashDotDot">
        <color indexed="64"/>
      </left>
      <right style="dashDotDot">
        <color indexed="64"/>
      </right>
      <top style="double">
        <color indexed="64"/>
      </top>
      <bottom/>
      <diagonal style="dotted">
        <color indexed="64"/>
      </diagonal>
    </border>
    <border>
      <left style="hair">
        <color indexed="64"/>
      </left>
      <right style="dashDotDot">
        <color indexed="64"/>
      </right>
      <top style="double">
        <color indexed="64"/>
      </top>
      <bottom/>
      <diagonal/>
    </border>
    <border>
      <left/>
      <right/>
      <top style="dotted">
        <color indexed="64"/>
      </top>
      <bottom style="dotted">
        <color indexed="64"/>
      </bottom>
      <diagonal/>
    </border>
    <border diagonalDown="1">
      <left/>
      <right style="dashDotDot">
        <color indexed="64"/>
      </right>
      <top/>
      <bottom/>
      <diagonal style="dashDotDot">
        <color indexed="64"/>
      </diagonal>
    </border>
    <border diagonalDown="1">
      <left style="hair">
        <color indexed="64"/>
      </left>
      <right/>
      <top/>
      <bottom/>
      <diagonal style="dotted">
        <color indexed="64"/>
      </diagonal>
    </border>
    <border diagonalDown="1">
      <left style="hair">
        <color indexed="64"/>
      </left>
      <right style="hair">
        <color indexed="64"/>
      </right>
      <top style="dashDotDot">
        <color indexed="64"/>
      </top>
      <bottom style="dashDotDot">
        <color indexed="64"/>
      </bottom>
      <diagonal style="hair">
        <color indexed="64"/>
      </diagonal>
    </border>
    <border>
      <left style="hair">
        <color indexed="64"/>
      </left>
      <right style="hair">
        <color indexed="64"/>
      </right>
      <top style="dashed">
        <color indexed="64"/>
      </top>
      <bottom style="dashed">
        <color indexed="64"/>
      </bottom>
      <diagonal/>
    </border>
    <border>
      <left style="hair">
        <color indexed="64"/>
      </left>
      <right style="hair">
        <color indexed="64"/>
      </right>
      <top style="dashDot">
        <color indexed="64"/>
      </top>
      <bottom style="dashDot">
        <color indexed="64"/>
      </bottom>
      <diagonal/>
    </border>
    <border diagonalDown="1">
      <left style="hair">
        <color indexed="64"/>
      </left>
      <right style="hair">
        <color indexed="64"/>
      </right>
      <top/>
      <bottom/>
      <diagonal style="dashDotDot">
        <color indexed="64"/>
      </diagonal>
    </border>
    <border diagonalDown="1">
      <left style="hair">
        <color indexed="64"/>
      </left>
      <right style="hair">
        <color indexed="64"/>
      </right>
      <top/>
      <bottom style="dashDotDot">
        <color indexed="64"/>
      </bottom>
      <diagonal style="hair">
        <color indexed="64"/>
      </diagonal>
    </border>
    <border>
      <left/>
      <right style="thin">
        <color indexed="8"/>
      </right>
      <top style="thin">
        <color indexed="0"/>
      </top>
      <bottom/>
      <diagonal/>
    </border>
    <border>
      <left/>
      <right style="thin">
        <color indexed="8"/>
      </right>
      <top/>
      <bottom/>
      <diagonal/>
    </border>
    <border>
      <left/>
      <right style="thin">
        <color indexed="8"/>
      </right>
      <top/>
      <bottom style="thin">
        <color indexed="64"/>
      </bottom>
      <diagonal/>
    </border>
    <border diagonalDown="1">
      <left/>
      <right/>
      <top style="double">
        <color indexed="64"/>
      </top>
      <bottom/>
      <diagonal style="dotted">
        <color indexed="64"/>
      </diagonal>
    </border>
    <border diagonalDown="1">
      <left style="dashDotDot">
        <color indexed="64"/>
      </left>
      <right style="dashDotDot">
        <color indexed="64"/>
      </right>
      <top style="double">
        <color indexed="64"/>
      </top>
      <bottom/>
      <diagonal style="hair">
        <color indexed="64"/>
      </diagonal>
    </border>
    <border diagonalUp="1">
      <left style="dashDotDot">
        <color indexed="64"/>
      </left>
      <right style="dashDotDot">
        <color indexed="64"/>
      </right>
      <top style="slantDashDot">
        <color indexed="64"/>
      </top>
      <bottom style="double">
        <color indexed="64"/>
      </bottom>
      <diagonal style="hair">
        <color indexed="64"/>
      </diagonal>
    </border>
    <border diagonalDown="1">
      <left style="dashDotDot">
        <color indexed="64"/>
      </left>
      <right style="dashDotDot">
        <color indexed="64"/>
      </right>
      <top style="double">
        <color indexed="64"/>
      </top>
      <bottom style="double">
        <color indexed="64"/>
      </bottom>
      <diagonal style="hair">
        <color indexed="64"/>
      </diagonal>
    </border>
    <border diagonalDown="1">
      <left style="dashDotDot">
        <color indexed="64"/>
      </left>
      <right/>
      <top style="double">
        <color indexed="64"/>
      </top>
      <bottom style="double">
        <color indexed="64"/>
      </bottom>
      <diagonal style="hair">
        <color indexed="64"/>
      </diagonal>
    </border>
    <border diagonalDown="1">
      <left style="dashDotDot">
        <color indexed="64"/>
      </left>
      <right style="dashDotDot">
        <color indexed="64"/>
      </right>
      <top/>
      <bottom style="double">
        <color indexed="64"/>
      </bottom>
      <diagonal style="hair">
        <color indexed="64"/>
      </diagonal>
    </border>
    <border diagonalUp="1" diagonalDown="1">
      <left style="dashDotDot">
        <color indexed="64"/>
      </left>
      <right/>
      <top/>
      <bottom style="double">
        <color indexed="64"/>
      </bottom>
      <diagonal style="hair">
        <color indexed="64"/>
      </diagonal>
    </border>
    <border diagonalUp="1" diagonalDown="1">
      <left style="dashDotDot">
        <color indexed="64"/>
      </left>
      <right/>
      <top style="double">
        <color indexed="64"/>
      </top>
      <bottom style="double">
        <color indexed="64"/>
      </bottom>
      <diagonal style="hair">
        <color indexed="64"/>
      </diagonal>
    </border>
    <border diagonalUp="1">
      <left style="slantDashDot">
        <color indexed="64"/>
      </left>
      <right style="slantDashDot">
        <color indexed="64"/>
      </right>
      <top/>
      <bottom/>
      <diagonal style="hair">
        <color indexed="64"/>
      </diagonal>
    </border>
    <border diagonalUp="1">
      <left style="dashDotDot">
        <color indexed="64"/>
      </left>
      <right/>
      <top/>
      <bottom style="dashed">
        <color indexed="64"/>
      </bottom>
      <diagonal style="hair">
        <color indexed="64"/>
      </diagonal>
    </border>
    <border diagonalUp="1">
      <left style="dashDotDot">
        <color indexed="64"/>
      </left>
      <right style="dashDotDot">
        <color indexed="64"/>
      </right>
      <top/>
      <bottom style="dashed">
        <color indexed="64"/>
      </bottom>
      <diagonal style="hair">
        <color indexed="64"/>
      </diagonal>
    </border>
    <border diagonalUp="1">
      <left style="dashDotDot">
        <color indexed="64"/>
      </left>
      <right style="dashDotDot">
        <color indexed="64"/>
      </right>
      <top style="dotted">
        <color indexed="64"/>
      </top>
      <bottom style="dotted">
        <color indexed="64"/>
      </bottom>
      <diagonal style="hair">
        <color indexed="64"/>
      </diagonal>
    </border>
    <border diagonalUp="1">
      <left style="dashDotDot">
        <color indexed="64"/>
      </left>
      <right style="dashDotDot">
        <color indexed="64"/>
      </right>
      <top style="dashed">
        <color indexed="64"/>
      </top>
      <bottom style="dashed">
        <color indexed="64"/>
      </bottom>
      <diagonal style="hair">
        <color indexed="64"/>
      </diagonal>
    </border>
    <border>
      <left style="dashDotDot">
        <color indexed="64"/>
      </left>
      <right style="slantDashDot">
        <color indexed="64"/>
      </right>
      <top style="dashed">
        <color indexed="64"/>
      </top>
      <bottom/>
      <diagonal/>
    </border>
    <border diagonalUp="1">
      <left style="slantDashDot">
        <color indexed="64"/>
      </left>
      <right/>
      <top style="dashed">
        <color indexed="64"/>
      </top>
      <bottom style="dashed">
        <color indexed="64"/>
      </bottom>
      <diagonal style="hair">
        <color indexed="64"/>
      </diagonal>
    </border>
    <border diagonalUp="1">
      <left style="slantDashDot">
        <color indexed="64"/>
      </left>
      <right/>
      <top/>
      <bottom style="dashed">
        <color indexed="64"/>
      </bottom>
      <diagonal style="hair">
        <color indexed="64"/>
      </diagonal>
    </border>
    <border diagonalUp="1">
      <left style="slantDashDot">
        <color indexed="64"/>
      </left>
      <right/>
      <top/>
      <bottom style="double">
        <color indexed="64"/>
      </bottom>
      <diagonal style="hair">
        <color indexed="64"/>
      </diagonal>
    </border>
    <border diagonalDown="1">
      <left style="hair">
        <color indexed="64"/>
      </left>
      <right style="hair">
        <color indexed="64"/>
      </right>
      <top/>
      <bottom/>
      <diagonal style="dashDot">
        <color indexed="64"/>
      </diagonal>
    </border>
    <border diagonalUp="1" diagonalDown="1">
      <left style="dashDotDot">
        <color indexed="64"/>
      </left>
      <right style="dashDotDot">
        <color indexed="64"/>
      </right>
      <top/>
      <bottom style="double">
        <color indexed="64"/>
      </bottom>
      <diagonal style="hair">
        <color indexed="64"/>
      </diagonal>
    </border>
    <border diagonalDown="1">
      <left style="dashDotDot">
        <color indexed="64"/>
      </left>
      <right/>
      <top style="double">
        <color indexed="64"/>
      </top>
      <bottom style="double">
        <color indexed="64"/>
      </bottom>
      <diagonal style="dotted">
        <color indexed="64"/>
      </diagonal>
    </border>
    <border>
      <left/>
      <right style="hair">
        <color indexed="64"/>
      </right>
      <top/>
      <bottom style="dotted">
        <color indexed="64"/>
      </bottom>
      <diagonal/>
    </border>
    <border diagonalUp="1">
      <left style="dashDotDot">
        <color indexed="64"/>
      </left>
      <right style="dashDotDot">
        <color indexed="64"/>
      </right>
      <top style="dashed">
        <color indexed="64"/>
      </top>
      <bottom style="dashed">
        <color indexed="64"/>
      </bottom>
      <diagonal style="thin">
        <color indexed="64"/>
      </diagonal>
    </border>
    <border diagonalUp="1">
      <left style="dashDotDot">
        <color indexed="64"/>
      </left>
      <right style="dashDotDot">
        <color indexed="64"/>
      </right>
      <top/>
      <bottom style="dashed">
        <color indexed="64"/>
      </bottom>
      <diagonal style="thin">
        <color indexed="64"/>
      </diagonal>
    </border>
    <border diagonalUp="1">
      <left style="dashDotDot">
        <color indexed="64"/>
      </left>
      <right/>
      <top/>
      <bottom style="dashed">
        <color indexed="64"/>
      </bottom>
      <diagonal style="thin">
        <color indexed="64"/>
      </diagonal>
    </border>
    <border>
      <left/>
      <right style="hair">
        <color indexed="64"/>
      </right>
      <top style="dotted">
        <color indexed="64"/>
      </top>
      <bottom style="dotted">
        <color indexed="64"/>
      </bottom>
      <diagonal/>
    </border>
    <border>
      <left/>
      <right/>
      <top style="dashed">
        <color indexed="64"/>
      </top>
      <bottom style="dotted">
        <color indexed="64"/>
      </bottom>
      <diagonal/>
    </border>
    <border diagonalUp="1">
      <left style="dashDotDot">
        <color indexed="64"/>
      </left>
      <right style="dashDotDot">
        <color indexed="64"/>
      </right>
      <top style="dashed">
        <color indexed="64"/>
      </top>
      <bottom style="dotted">
        <color indexed="64"/>
      </bottom>
      <diagonal style="thin">
        <color indexed="64"/>
      </diagonal>
    </border>
    <border diagonalUp="1">
      <left style="dashDotDot">
        <color indexed="64"/>
      </left>
      <right/>
      <top style="dashed">
        <color indexed="64"/>
      </top>
      <bottom style="dotted">
        <color indexed="64"/>
      </bottom>
      <diagonal style="hair">
        <color indexed="64"/>
      </diagonal>
    </border>
    <border diagonalUp="1">
      <left style="dashDotDot">
        <color indexed="64"/>
      </left>
      <right style="dashDotDot">
        <color indexed="64"/>
      </right>
      <top style="dotted">
        <color indexed="64"/>
      </top>
      <bottom style="dotted">
        <color indexed="64"/>
      </bottom>
      <diagonal style="thin">
        <color indexed="64"/>
      </diagonal>
    </border>
    <border diagonalUp="1">
      <left style="dashDotDot">
        <color indexed="64"/>
      </left>
      <right style="dashDotDot">
        <color indexed="64"/>
      </right>
      <top style="dashed">
        <color indexed="64"/>
      </top>
      <bottom style="dotted">
        <color indexed="64"/>
      </bottom>
      <diagonal style="hair">
        <color indexed="64"/>
      </diagonal>
    </border>
    <border>
      <left/>
      <right style="hair">
        <color indexed="64"/>
      </right>
      <top/>
      <bottom style="dashed">
        <color indexed="64"/>
      </bottom>
      <diagonal/>
    </border>
    <border diagonalUp="1">
      <left style="dashDotDot">
        <color indexed="64"/>
      </left>
      <right style="dashDotDot">
        <color indexed="64"/>
      </right>
      <top/>
      <bottom style="double">
        <color indexed="64"/>
      </bottom>
      <diagonal style="dotted">
        <color indexed="64"/>
      </diagonal>
    </border>
    <border diagonalUp="1">
      <left style="dashDotDot">
        <color indexed="64"/>
      </left>
      <right/>
      <top/>
      <bottom style="double">
        <color indexed="64"/>
      </bottom>
      <diagonal style="dotted">
        <color indexed="64"/>
      </diagonal>
    </border>
    <border diagonalUp="1">
      <left style="dashDotDot">
        <color indexed="64"/>
      </left>
      <right style="dashDotDot">
        <color indexed="64"/>
      </right>
      <top style="double">
        <color indexed="64"/>
      </top>
      <bottom style="double">
        <color indexed="64"/>
      </bottom>
      <diagonal style="dotted">
        <color indexed="64"/>
      </diagonal>
    </border>
    <border diagonalUp="1">
      <left style="dashDotDot">
        <color indexed="64"/>
      </left>
      <right/>
      <top style="double">
        <color indexed="64"/>
      </top>
      <bottom style="double">
        <color indexed="64"/>
      </bottom>
      <diagonal style="dotted">
        <color indexed="64"/>
      </diagonal>
    </border>
    <border>
      <left style="dotted">
        <color indexed="64"/>
      </left>
      <right style="hair">
        <color indexed="64"/>
      </right>
      <top/>
      <bottom style="dashDot">
        <color indexed="64"/>
      </bottom>
      <diagonal/>
    </border>
    <border>
      <left style="slantDashDot">
        <color indexed="64"/>
      </left>
      <right style="dotted">
        <color indexed="64"/>
      </right>
      <top/>
      <bottom style="dashed">
        <color indexed="64"/>
      </bottom>
      <diagonal/>
    </border>
    <border diagonalUp="1" diagonalDown="1">
      <left style="dashDotDot">
        <color indexed="64"/>
      </left>
      <right/>
      <top/>
      <bottom/>
      <diagonal style="dashed">
        <color indexed="64"/>
      </diagonal>
    </border>
    <border diagonalUp="1" diagonalDown="1">
      <left style="dashDotDot">
        <color indexed="64"/>
      </left>
      <right/>
      <top style="dashDot">
        <color indexed="64"/>
      </top>
      <bottom/>
      <diagonal style="dashed">
        <color indexed="64"/>
      </diagonal>
    </border>
    <border>
      <left style="slantDashDot">
        <color indexed="64"/>
      </left>
      <right style="dashDotDot">
        <color indexed="64"/>
      </right>
      <top/>
      <bottom style="dashDotDot">
        <color indexed="64"/>
      </bottom>
      <diagonal/>
    </border>
    <border diagonalDown="1">
      <left style="dotted">
        <color indexed="64"/>
      </left>
      <right style="dashDotDot">
        <color indexed="64"/>
      </right>
      <top/>
      <bottom/>
      <diagonal style="hair">
        <color indexed="64"/>
      </diagonal>
    </border>
    <border diagonalDown="1">
      <left style="hair">
        <color indexed="64"/>
      </left>
      <right style="dashDotDot">
        <color indexed="64"/>
      </right>
      <top/>
      <bottom/>
      <diagonal style="dashed">
        <color indexed="64"/>
      </diagonal>
    </border>
    <border>
      <left style="dashDotDot">
        <color indexed="64"/>
      </left>
      <right style="slantDashDot">
        <color indexed="64"/>
      </right>
      <top/>
      <bottom style="double">
        <color indexed="64"/>
      </bottom>
      <diagonal/>
    </border>
    <border diagonalDown="1">
      <left style="slantDashDot">
        <color indexed="64"/>
      </left>
      <right style="slantDashDot">
        <color indexed="64"/>
      </right>
      <top style="double">
        <color indexed="64"/>
      </top>
      <bottom style="slantDashDot">
        <color indexed="64"/>
      </bottom>
      <diagonal style="dashDotDot">
        <color indexed="64"/>
      </diagonal>
    </border>
    <border diagonalDown="1">
      <left style="slantDashDot">
        <color indexed="64"/>
      </left>
      <right style="slantDashDot">
        <color indexed="64"/>
      </right>
      <top/>
      <bottom style="slantDashDot">
        <color indexed="64"/>
      </bottom>
      <diagonal style="dashDotDot">
        <color indexed="64"/>
      </diagonal>
    </border>
    <border>
      <left style="hair">
        <color indexed="64"/>
      </left>
      <right style="dashDotDot">
        <color indexed="64"/>
      </right>
      <top style="dashDotDot">
        <color indexed="64"/>
      </top>
      <bottom/>
      <diagonal/>
    </border>
    <border diagonalDown="1">
      <left style="dashDotDot">
        <color indexed="64"/>
      </left>
      <right style="dashDotDot">
        <color indexed="64"/>
      </right>
      <top/>
      <bottom style="dashed">
        <color indexed="64"/>
      </bottom>
      <diagonal style="hair">
        <color indexed="64"/>
      </diagonal>
    </border>
    <border diagonalUp="1" diagonalDown="1">
      <left style="dashDotDot">
        <color indexed="64"/>
      </left>
      <right style="dashDotDot">
        <color indexed="64"/>
      </right>
      <top/>
      <bottom style="double">
        <color indexed="64"/>
      </bottom>
      <diagonal style="dotted">
        <color indexed="64"/>
      </diagonal>
    </border>
    <border diagonalUp="1" diagonalDown="1">
      <left style="dashDotDot">
        <color indexed="64"/>
      </left>
      <right style="slantDashDot">
        <color indexed="64"/>
      </right>
      <top/>
      <bottom style="double">
        <color indexed="64"/>
      </bottom>
      <diagonal style="dotted">
        <color indexed="64"/>
      </diagonal>
    </border>
    <border diagonalUp="1" diagonalDown="1">
      <left style="dashDotDot">
        <color indexed="64"/>
      </left>
      <right style="dashDotDot">
        <color indexed="64"/>
      </right>
      <top style="double">
        <color indexed="64"/>
      </top>
      <bottom style="double">
        <color indexed="64"/>
      </bottom>
      <diagonal style="dotted">
        <color indexed="64"/>
      </diagonal>
    </border>
    <border diagonalDown="1">
      <left/>
      <right/>
      <top/>
      <bottom style="double">
        <color indexed="64"/>
      </bottom>
      <diagonal style="dotted">
        <color indexed="64"/>
      </diagonal>
    </border>
    <border diagonalDown="1">
      <left/>
      <right/>
      <top style="double">
        <color indexed="64"/>
      </top>
      <bottom style="double">
        <color indexed="64"/>
      </bottom>
      <diagonal style="dotted">
        <color indexed="64"/>
      </diagonal>
    </border>
    <border diagonalDown="1">
      <left/>
      <right style="dashDotDot">
        <color indexed="64"/>
      </right>
      <top/>
      <bottom style="double">
        <color indexed="64"/>
      </bottom>
      <diagonal style="dotted">
        <color indexed="64"/>
      </diagonal>
    </border>
    <border>
      <left/>
      <right style="dashDotDot">
        <color indexed="64"/>
      </right>
      <top style="dashed">
        <color indexed="64"/>
      </top>
      <bottom style="dashed">
        <color indexed="64"/>
      </bottom>
      <diagonal/>
    </border>
    <border>
      <left/>
      <right style="dashDotDot">
        <color indexed="64"/>
      </right>
      <top style="double">
        <color indexed="64"/>
      </top>
      <bottom style="dashed">
        <color indexed="64"/>
      </bottom>
      <diagonal/>
    </border>
    <border>
      <left/>
      <right style="slantDashDot">
        <color indexed="64"/>
      </right>
      <top/>
      <bottom style="double">
        <color indexed="64"/>
      </bottom>
      <diagonal/>
    </border>
    <border diagonalDown="1">
      <left style="hair">
        <color indexed="64"/>
      </left>
      <right style="hair">
        <color indexed="64"/>
      </right>
      <top/>
      <bottom/>
      <diagonal style="dashed">
        <color indexed="64"/>
      </diagonal>
    </border>
    <border>
      <left style="slantDashDot">
        <color indexed="64"/>
      </left>
      <right style="slantDashDot">
        <color indexed="64"/>
      </right>
      <top style="double">
        <color indexed="64"/>
      </top>
      <bottom/>
      <diagonal/>
    </border>
    <border diagonalDown="1">
      <left style="dashDotDot">
        <color indexed="64"/>
      </left>
      <right style="slantDashDot">
        <color indexed="64"/>
      </right>
      <top style="double">
        <color indexed="64"/>
      </top>
      <bottom/>
      <diagonal style="dashDotDot">
        <color indexed="64"/>
      </diagonal>
    </border>
    <border diagonalDown="1">
      <left style="dashDotDot">
        <color indexed="64"/>
      </left>
      <right style="slantDashDot">
        <color indexed="64"/>
      </right>
      <top/>
      <bottom/>
      <diagonal style="dashDotDot">
        <color indexed="64"/>
      </diagonal>
    </border>
    <border>
      <left style="slantDashDot">
        <color indexed="64"/>
      </left>
      <right/>
      <top style="double">
        <color indexed="64"/>
      </top>
      <bottom/>
      <diagonal/>
    </border>
    <border>
      <left style="dotted">
        <color indexed="64"/>
      </left>
      <right style="dotted">
        <color indexed="64"/>
      </right>
      <top style="double">
        <color indexed="64"/>
      </top>
      <bottom style="double">
        <color indexed="64"/>
      </bottom>
      <diagonal/>
    </border>
    <border diagonalDown="1">
      <left style="dotted">
        <color indexed="64"/>
      </left>
      <right style="dotted">
        <color indexed="64"/>
      </right>
      <top style="double">
        <color indexed="64"/>
      </top>
      <bottom style="double">
        <color indexed="64"/>
      </bottom>
      <diagonal style="dashDotDot">
        <color indexed="64"/>
      </diagonal>
    </border>
    <border diagonalDown="1">
      <left style="hair">
        <color indexed="64"/>
      </left>
      <right/>
      <top style="double">
        <color indexed="64"/>
      </top>
      <bottom style="double">
        <color indexed="64"/>
      </bottom>
      <diagonal style="dashDotDot">
        <color indexed="64"/>
      </diagonal>
    </border>
    <border diagonalDown="1">
      <left style="slantDashDot">
        <color indexed="64"/>
      </left>
      <right style="slantDashDot">
        <color indexed="64"/>
      </right>
      <top/>
      <bottom/>
      <diagonal style="dotted">
        <color indexed="64"/>
      </diagonal>
    </border>
    <border diagonalDown="1">
      <left style="slantDashDot">
        <color indexed="64"/>
      </left>
      <right/>
      <top/>
      <bottom/>
      <diagonal style="dotted">
        <color indexed="64"/>
      </diagonal>
    </border>
    <border>
      <left style="dotted">
        <color indexed="64"/>
      </left>
      <right/>
      <top/>
      <bottom style="slantDashDot">
        <color indexed="64"/>
      </bottom>
      <diagonal/>
    </border>
    <border>
      <left style="dotted">
        <color indexed="64"/>
      </left>
      <right style="hair">
        <color indexed="64"/>
      </right>
      <top style="double">
        <color indexed="64"/>
      </top>
      <bottom style="double">
        <color indexed="64"/>
      </bottom>
      <diagonal/>
    </border>
    <border diagonalUp="1">
      <left/>
      <right style="dotted">
        <color indexed="64"/>
      </right>
      <top style="double">
        <color indexed="64"/>
      </top>
      <bottom style="double">
        <color indexed="64"/>
      </bottom>
      <diagonal style="hair">
        <color indexed="64"/>
      </diagonal>
    </border>
    <border diagonalUp="1">
      <left style="dashDotDot">
        <color indexed="64"/>
      </left>
      <right style="hair">
        <color indexed="64"/>
      </right>
      <top style="double">
        <color indexed="64"/>
      </top>
      <bottom/>
      <diagonal style="hair">
        <color indexed="64"/>
      </diagonal>
    </border>
    <border diagonalUp="1">
      <left/>
      <right style="dashDotDot">
        <color indexed="64"/>
      </right>
      <top style="double">
        <color indexed="64"/>
      </top>
      <bottom style="double">
        <color indexed="64"/>
      </bottom>
      <diagonal style="hair">
        <color indexed="64"/>
      </diagonal>
    </border>
    <border diagonalDown="1">
      <left style="dashDotDot">
        <color indexed="64"/>
      </left>
      <right style="dotted">
        <color indexed="64"/>
      </right>
      <top/>
      <bottom/>
      <diagonal style="dashDotDot">
        <color indexed="64"/>
      </diagonal>
    </border>
    <border diagonalDown="1">
      <left/>
      <right style="dashDotDot">
        <color indexed="64"/>
      </right>
      <top/>
      <bottom/>
      <diagonal style="slantDashDot">
        <color indexed="64"/>
      </diagonal>
    </border>
    <border diagonalUp="1">
      <left style="dashDotDot">
        <color indexed="64"/>
      </left>
      <right style="dotted">
        <color indexed="64"/>
      </right>
      <top/>
      <bottom/>
      <diagonal style="hair">
        <color indexed="64"/>
      </diagonal>
    </border>
    <border diagonalUp="1">
      <left style="dotted">
        <color indexed="64"/>
      </left>
      <right style="dashDotDot">
        <color indexed="64"/>
      </right>
      <top/>
      <bottom/>
      <diagonal style="hair">
        <color indexed="64"/>
      </diagonal>
    </border>
    <border diagonalUp="1" diagonalDown="1">
      <left style="dashDotDot">
        <color indexed="64"/>
      </left>
      <right style="dashDotDot">
        <color indexed="64"/>
      </right>
      <top/>
      <bottom/>
      <diagonal style="double">
        <color indexed="64"/>
      </diagonal>
    </border>
    <border>
      <left/>
      <right/>
      <top style="dashDotDot">
        <color indexed="64"/>
      </top>
      <bottom style="dashDotDot">
        <color indexed="64"/>
      </bottom>
      <diagonal/>
    </border>
    <border>
      <left/>
      <right/>
      <top style="double">
        <color indexed="64"/>
      </top>
      <bottom style="slantDashDot">
        <color indexed="64"/>
      </bottom>
      <diagonal/>
    </border>
    <border diagonalDown="1">
      <left/>
      <right style="slantDashDot">
        <color indexed="64"/>
      </right>
      <top/>
      <bottom/>
      <diagonal style="dotted">
        <color indexed="64"/>
      </diagonal>
    </border>
    <border diagonalDown="1">
      <left/>
      <right style="slantDashDot">
        <color indexed="64"/>
      </right>
      <top/>
      <bottom/>
      <diagonal style="dashDotDot">
        <color indexed="64"/>
      </diagonal>
    </border>
    <border diagonalUp="1" diagonalDown="1">
      <left style="dashDotDot">
        <color indexed="64"/>
      </left>
      <right style="slantDashDot">
        <color indexed="64"/>
      </right>
      <top/>
      <bottom/>
      <diagonal style="dotted">
        <color indexed="64"/>
      </diagonal>
    </border>
    <border diagonalDown="1">
      <left style="dashDotDot">
        <color indexed="64"/>
      </left>
      <right style="hair">
        <color indexed="64"/>
      </right>
      <top/>
      <bottom/>
      <diagonal style="dashDotDot">
        <color indexed="64"/>
      </diagonal>
    </border>
    <border diagonalDown="1">
      <left/>
      <right style="dashDotDot">
        <color indexed="64"/>
      </right>
      <top/>
      <bottom/>
      <diagonal style="hair">
        <color indexed="64"/>
      </diagonal>
    </border>
    <border diagonalUp="1">
      <left style="hair">
        <color indexed="64"/>
      </left>
      <right/>
      <top/>
      <bottom/>
      <diagonal style="dotted">
        <color indexed="64"/>
      </diagonal>
    </border>
    <border diagonalDown="1">
      <left style="dotted">
        <color indexed="64"/>
      </left>
      <right style="dotted">
        <color indexed="64"/>
      </right>
      <top style="double">
        <color indexed="64"/>
      </top>
      <bottom/>
      <diagonal style="dashDotDot">
        <color indexed="64"/>
      </diagonal>
    </border>
    <border>
      <left style="dashDotDot">
        <color indexed="64"/>
      </left>
      <right style="hair">
        <color indexed="64"/>
      </right>
      <top/>
      <bottom style="dotted">
        <color indexed="64"/>
      </bottom>
      <diagonal/>
    </border>
    <border diagonalDown="1">
      <left style="dashDotDot">
        <color indexed="64"/>
      </left>
      <right style="dashDotDot">
        <color indexed="64"/>
      </right>
      <top style="dashed">
        <color indexed="64"/>
      </top>
      <bottom/>
      <diagonal style="hair">
        <color indexed="64"/>
      </diagonal>
    </border>
    <border>
      <left/>
      <right/>
      <top style="dashed">
        <color indexed="64"/>
      </top>
      <bottom/>
      <diagonal/>
    </border>
    <border>
      <left style="hair">
        <color indexed="64"/>
      </left>
      <right style="hair">
        <color indexed="64"/>
      </right>
      <top style="dashed">
        <color indexed="64"/>
      </top>
      <bottom/>
      <diagonal/>
    </border>
  </borders>
  <cellStyleXfs count="1">
    <xf numFmtId="0" fontId="0" fillId="0" borderId="0"/>
  </cellStyleXfs>
  <cellXfs count="3849">
    <xf numFmtId="0" fontId="0" fillId="0" borderId="0" xfId="0"/>
    <xf numFmtId="0" fontId="2" fillId="0" borderId="0" xfId="0" applyFont="1"/>
    <xf numFmtId="0" fontId="0" fillId="0" borderId="0" xfId="0" applyFill="1"/>
    <xf numFmtId="0" fontId="4" fillId="2" borderId="0" xfId="0" applyFont="1" applyFill="1" applyBorder="1"/>
    <xf numFmtId="0" fontId="2" fillId="2" borderId="0" xfId="0" applyFont="1" applyFill="1" applyBorder="1"/>
    <xf numFmtId="0" fontId="2" fillId="3" borderId="0" xfId="0" applyFont="1" applyFill="1" applyBorder="1"/>
    <xf numFmtId="0" fontId="2" fillId="4" borderId="0" xfId="0" applyFont="1" applyFill="1" applyBorder="1"/>
    <xf numFmtId="0" fontId="2" fillId="5" borderId="0" xfId="0" applyFont="1" applyFill="1" applyBorder="1"/>
    <xf numFmtId="0" fontId="2" fillId="6" borderId="0" xfId="0" applyFont="1" applyFill="1" applyBorder="1"/>
    <xf numFmtId="0" fontId="2" fillId="7" borderId="0" xfId="0" applyFont="1" applyFill="1" applyBorder="1"/>
    <xf numFmtId="0" fontId="4" fillId="7" borderId="0" xfId="0" applyFont="1" applyFill="1" applyBorder="1"/>
    <xf numFmtId="0" fontId="4" fillId="8" borderId="0" xfId="0" applyFont="1" applyFill="1" applyBorder="1"/>
    <xf numFmtId="0" fontId="2" fillId="8" borderId="0" xfId="0" applyFont="1" applyFill="1" applyBorder="1"/>
    <xf numFmtId="0" fontId="2" fillId="9" borderId="0" xfId="0" applyFont="1" applyFill="1" applyBorder="1"/>
    <xf numFmtId="0" fontId="4" fillId="10" borderId="0" xfId="0" applyFont="1" applyFill="1" applyBorder="1"/>
    <xf numFmtId="0" fontId="4" fillId="11" borderId="0" xfId="0" applyFont="1" applyFill="1" applyBorder="1"/>
    <xf numFmtId="0" fontId="4" fillId="12" borderId="0" xfId="0" applyFont="1" applyFill="1" applyBorder="1"/>
    <xf numFmtId="0" fontId="4" fillId="9" borderId="0" xfId="0" applyFont="1" applyFill="1" applyBorder="1"/>
    <xf numFmtId="0" fontId="4" fillId="13" borderId="0" xfId="0" applyFont="1" applyFill="1" applyBorder="1"/>
    <xf numFmtId="0" fontId="4" fillId="14" borderId="0" xfId="0" applyFont="1" applyFill="1" applyBorder="1"/>
    <xf numFmtId="0" fontId="2" fillId="12" borderId="0" xfId="0" applyFont="1" applyFill="1" applyBorder="1"/>
    <xf numFmtId="0" fontId="4" fillId="15" borderId="0" xfId="0" applyFont="1" applyFill="1" applyBorder="1"/>
    <xf numFmtId="0" fontId="4" fillId="6" borderId="0" xfId="0" applyFont="1" applyFill="1" applyBorder="1"/>
    <xf numFmtId="0" fontId="4" fillId="16" borderId="0" xfId="0" applyFont="1" applyFill="1" applyBorder="1"/>
    <xf numFmtId="0" fontId="4" fillId="3" borderId="0" xfId="0" applyFont="1" applyFill="1" applyBorder="1"/>
    <xf numFmtId="0" fontId="4" fillId="5" borderId="0" xfId="0" applyFont="1" applyFill="1" applyBorder="1"/>
    <xf numFmtId="0" fontId="4" fillId="17" borderId="0" xfId="0" applyFont="1" applyFill="1" applyBorder="1"/>
    <xf numFmtId="0" fontId="4" fillId="18" borderId="0" xfId="0" applyFont="1" applyFill="1" applyBorder="1"/>
    <xf numFmtId="0" fontId="2" fillId="16" borderId="0" xfId="0" applyFont="1" applyFill="1" applyBorder="1"/>
    <xf numFmtId="0" fontId="2" fillId="17" borderId="0" xfId="0" applyFont="1" applyFill="1" applyBorder="1"/>
    <xf numFmtId="0" fontId="4" fillId="19" borderId="0" xfId="0" applyFont="1" applyFill="1" applyBorder="1"/>
    <xf numFmtId="0" fontId="4" fillId="20" borderId="0" xfId="0" applyFont="1" applyFill="1" applyBorder="1"/>
    <xf numFmtId="0" fontId="4" fillId="21" borderId="0" xfId="0" applyFont="1" applyFill="1" applyBorder="1"/>
    <xf numFmtId="0" fontId="4" fillId="22" borderId="0" xfId="0" applyFont="1" applyFill="1" applyBorder="1"/>
    <xf numFmtId="0" fontId="4" fillId="23" borderId="0" xfId="0" applyFont="1" applyFill="1" applyBorder="1"/>
    <xf numFmtId="0" fontId="4" fillId="24" borderId="0" xfId="0" applyFont="1" applyFill="1" applyBorder="1"/>
    <xf numFmtId="0" fontId="4" fillId="25" borderId="0" xfId="0" applyFont="1" applyFill="1" applyBorder="1"/>
    <xf numFmtId="0" fontId="4" fillId="26" borderId="0" xfId="0" applyFont="1" applyFill="1" applyBorder="1"/>
    <xf numFmtId="0" fontId="2" fillId="27" borderId="0" xfId="0" applyFont="1" applyFill="1" applyBorder="1"/>
    <xf numFmtId="0" fontId="4" fillId="28" borderId="0" xfId="0" applyFont="1" applyFill="1" applyBorder="1"/>
    <xf numFmtId="0" fontId="4" fillId="29" borderId="0" xfId="0" applyFont="1" applyFill="1" applyBorder="1"/>
    <xf numFmtId="0" fontId="4" fillId="30" borderId="0" xfId="0" applyFont="1" applyFill="1" applyBorder="1"/>
    <xf numFmtId="0" fontId="4" fillId="31" borderId="0" xfId="0" applyFont="1" applyFill="1" applyBorder="1"/>
    <xf numFmtId="0" fontId="4" fillId="32" borderId="0" xfId="0" applyFont="1" applyFill="1" applyBorder="1"/>
    <xf numFmtId="0" fontId="2" fillId="30" borderId="0" xfId="0" applyFont="1" applyFill="1" applyBorder="1"/>
    <xf numFmtId="0" fontId="2" fillId="29" borderId="0" xfId="0" applyFont="1" applyFill="1" applyBorder="1"/>
    <xf numFmtId="0" fontId="2" fillId="31" borderId="0" xfId="0" applyFont="1" applyFill="1" applyBorder="1"/>
    <xf numFmtId="0" fontId="2" fillId="28" borderId="0" xfId="0" applyFont="1" applyFill="1" applyBorder="1"/>
    <xf numFmtId="0" fontId="2" fillId="33" borderId="0" xfId="0" applyFont="1" applyFill="1" applyBorder="1"/>
    <xf numFmtId="0" fontId="4" fillId="33" borderId="0" xfId="0" applyFont="1" applyFill="1" applyBorder="1"/>
    <xf numFmtId="0" fontId="2" fillId="32" borderId="0" xfId="0" applyFont="1" applyFill="1" applyBorder="1"/>
    <xf numFmtId="0" fontId="4" fillId="0" borderId="0" xfId="0" applyFont="1" applyFill="1" applyBorder="1"/>
    <xf numFmtId="0" fontId="2" fillId="0" borderId="0" xfId="0" applyFont="1" applyFill="1" applyBorder="1"/>
    <xf numFmtId="0" fontId="4" fillId="34" borderId="0" xfId="0" applyFont="1" applyFill="1" applyBorder="1"/>
    <xf numFmtId="0" fontId="4" fillId="35" borderId="0" xfId="0" applyFont="1" applyFill="1" applyBorder="1"/>
    <xf numFmtId="0" fontId="4" fillId="36" borderId="0" xfId="0" applyFont="1" applyFill="1" applyBorder="1"/>
    <xf numFmtId="0" fontId="4" fillId="37" borderId="0" xfId="0" applyFont="1" applyFill="1" applyBorder="1"/>
    <xf numFmtId="0" fontId="4" fillId="27" borderId="0" xfId="0" applyFont="1" applyFill="1" applyBorder="1"/>
    <xf numFmtId="0" fontId="2" fillId="36" borderId="0" xfId="0" applyFont="1" applyFill="1" applyBorder="1"/>
    <xf numFmtId="0" fontId="2" fillId="24" borderId="0" xfId="0" applyFont="1" applyFill="1" applyBorder="1"/>
    <xf numFmtId="0" fontId="2" fillId="25" borderId="0" xfId="0" applyFont="1" applyFill="1" applyBorder="1"/>
    <xf numFmtId="0" fontId="2" fillId="35" borderId="0" xfId="0" applyFont="1" applyFill="1" applyBorder="1"/>
    <xf numFmtId="0" fontId="2" fillId="26" borderId="0" xfId="0" applyFont="1" applyFill="1" applyBorder="1"/>
    <xf numFmtId="0" fontId="2" fillId="34" borderId="0" xfId="0" applyFont="1" applyFill="1" applyBorder="1"/>
    <xf numFmtId="0" fontId="2" fillId="37" borderId="0" xfId="0" applyFont="1" applyFill="1" applyBorder="1"/>
    <xf numFmtId="0" fontId="4" fillId="38" borderId="0" xfId="0" applyFont="1" applyFill="1" applyBorder="1"/>
    <xf numFmtId="0" fontId="4" fillId="39" borderId="0" xfId="0" applyFont="1" applyFill="1" applyBorder="1"/>
    <xf numFmtId="0" fontId="2" fillId="23" borderId="0" xfId="0" applyFont="1" applyFill="1" applyBorder="1"/>
    <xf numFmtId="0" fontId="2" fillId="21" borderId="0" xfId="0" applyFont="1" applyFill="1" applyBorder="1"/>
    <xf numFmtId="0" fontId="2" fillId="22" borderId="0" xfId="0" applyFont="1" applyFill="1" applyBorder="1"/>
    <xf numFmtId="0" fontId="4" fillId="0" borderId="0" xfId="0" applyNumberFormat="1" applyFont="1" applyFill="1" applyBorder="1" applyAlignment="1" applyProtection="1"/>
    <xf numFmtId="0" fontId="2" fillId="0" borderId="0" xfId="0" applyNumberFormat="1" applyFont="1" applyFill="1" applyBorder="1" applyAlignment="1" applyProtection="1"/>
    <xf numFmtId="0" fontId="0" fillId="2" borderId="0" xfId="0" applyFill="1"/>
    <xf numFmtId="0" fontId="0" fillId="0" borderId="1" xfId="0" applyBorder="1"/>
    <xf numFmtId="0" fontId="2" fillId="0" borderId="1" xfId="0" applyFont="1" applyFill="1" applyBorder="1"/>
    <xf numFmtId="0" fontId="2" fillId="37" borderId="1" xfId="0" applyFont="1" applyFill="1" applyBorder="1"/>
    <xf numFmtId="0" fontId="2" fillId="24" borderId="1" xfId="0" applyFont="1" applyFill="1" applyBorder="1"/>
    <xf numFmtId="0" fontId="2" fillId="35" borderId="1" xfId="0" applyFont="1" applyFill="1" applyBorder="1"/>
    <xf numFmtId="0" fontId="2" fillId="25" borderId="1" xfId="0" applyFont="1" applyFill="1" applyBorder="1"/>
    <xf numFmtId="0" fontId="0" fillId="0" borderId="2" xfId="0" applyBorder="1"/>
    <xf numFmtId="0" fontId="0" fillId="14" borderId="0" xfId="0" applyFill="1"/>
    <xf numFmtId="0" fontId="0" fillId="36" borderId="1" xfId="0" applyFill="1" applyBorder="1"/>
    <xf numFmtId="0" fontId="4" fillId="0" borderId="2" xfId="0" applyFont="1" applyFill="1" applyBorder="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4" fillId="33" borderId="2" xfId="0" applyFont="1" applyFill="1" applyBorder="1"/>
    <xf numFmtId="0" fontId="2" fillId="47" borderId="0" xfId="0" applyFont="1" applyFill="1" applyBorder="1"/>
    <xf numFmtId="0" fontId="0" fillId="0" borderId="0" xfId="0" applyFill="1" applyBorder="1"/>
    <xf numFmtId="0" fontId="0" fillId="0" borderId="0" xfId="0" applyBorder="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0" borderId="1" xfId="0" applyFill="1" applyBorder="1"/>
    <xf numFmtId="0" fontId="4" fillId="33" borderId="1" xfId="0" applyFont="1" applyFill="1" applyBorder="1"/>
    <xf numFmtId="0" fontId="4" fillId="31" borderId="1" xfId="0" applyFont="1" applyFill="1" applyBorder="1"/>
    <xf numFmtId="0" fontId="4" fillId="0" borderId="1" xfId="0" applyFont="1" applyFill="1" applyBorder="1"/>
    <xf numFmtId="0" fontId="4" fillId="32" borderId="1" xfId="0" applyFont="1" applyFill="1" applyBorder="1"/>
    <xf numFmtId="0" fontId="4" fillId="0" borderId="3" xfId="0" applyFont="1" applyFill="1" applyBorder="1"/>
    <xf numFmtId="0" fontId="4" fillId="0" borderId="4" xfId="0" applyFont="1" applyFill="1" applyBorder="1"/>
    <xf numFmtId="0" fontId="0" fillId="0" borderId="4" xfId="0" applyFill="1" applyBorder="1"/>
    <xf numFmtId="0" fontId="4" fillId="0" borderId="5" xfId="0" applyFont="1" applyFill="1" applyBorder="1"/>
    <xf numFmtId="0" fontId="0" fillId="0" borderId="6" xfId="0" applyFill="1" applyBorder="1"/>
    <xf numFmtId="0" fontId="0" fillId="0" borderId="2" xfId="0" applyFill="1" applyBorder="1"/>
    <xf numFmtId="0" fontId="4" fillId="0" borderId="6" xfId="0" applyFont="1" applyFill="1" applyBorder="1"/>
    <xf numFmtId="0" fontId="4" fillId="0" borderId="7" xfId="0" applyFont="1" applyFill="1" applyBorder="1"/>
    <xf numFmtId="0" fontId="0" fillId="0" borderId="8" xfId="0" applyFill="1" applyBorder="1"/>
    <xf numFmtId="0" fontId="0" fillId="0" borderId="0" xfId="0" applyNumberFormat="1" applyFont="1" applyFill="1" applyBorder="1" applyAlignment="1" applyProtection="1"/>
    <xf numFmtId="0" fontId="4" fillId="38" borderId="0" xfId="0" applyNumberFormat="1" applyFont="1" applyFill="1" applyBorder="1" applyAlignment="1" applyProtection="1"/>
    <xf numFmtId="0" fontId="4" fillId="36" borderId="0" xfId="0" applyNumberFormat="1" applyFont="1" applyFill="1" applyBorder="1" applyAlignment="1" applyProtection="1"/>
    <xf numFmtId="0" fontId="4" fillId="35" borderId="0" xfId="0" applyNumberFormat="1" applyFont="1" applyFill="1" applyBorder="1" applyAlignment="1" applyProtection="1"/>
    <xf numFmtId="0" fontId="4" fillId="22" borderId="0" xfId="0" applyNumberFormat="1" applyFont="1" applyFill="1" applyBorder="1" applyAlignment="1" applyProtection="1"/>
    <xf numFmtId="0" fontId="2" fillId="37" borderId="0" xfId="0" applyNumberFormat="1" applyFont="1" applyFill="1" applyBorder="1" applyAlignment="1" applyProtection="1"/>
    <xf numFmtId="0" fontId="4" fillId="19" borderId="0" xfId="0" applyNumberFormat="1" applyFont="1" applyFill="1" applyBorder="1" applyAlignment="1" applyProtection="1"/>
    <xf numFmtId="0" fontId="4" fillId="8" borderId="0" xfId="0" applyNumberFormat="1" applyFont="1" applyFill="1" applyBorder="1" applyAlignment="1" applyProtection="1"/>
    <xf numFmtId="0" fontId="4" fillId="21" borderId="0" xfId="0" applyNumberFormat="1" applyFont="1" applyFill="1" applyBorder="1" applyAlignment="1" applyProtection="1"/>
    <xf numFmtId="0" fontId="4" fillId="33" borderId="0" xfId="0" applyNumberFormat="1" applyFont="1" applyFill="1" applyBorder="1" applyAlignment="1" applyProtection="1"/>
    <xf numFmtId="0" fontId="4" fillId="39" borderId="0" xfId="0" applyNumberFormat="1" applyFont="1" applyFill="1" applyBorder="1" applyAlignment="1" applyProtection="1"/>
    <xf numFmtId="0" fontId="4" fillId="23" borderId="0" xfId="0" applyNumberFormat="1" applyFont="1" applyFill="1" applyBorder="1" applyAlignment="1" applyProtection="1"/>
    <xf numFmtId="0" fontId="2" fillId="30" borderId="0" xfId="0" applyNumberFormat="1" applyFont="1" applyFill="1" applyBorder="1" applyAlignment="1" applyProtection="1"/>
    <xf numFmtId="0" fontId="4" fillId="31" borderId="0" xfId="0" applyNumberFormat="1" applyFont="1" applyFill="1" applyBorder="1" applyAlignment="1" applyProtection="1"/>
    <xf numFmtId="0" fontId="4" fillId="20" borderId="0" xfId="0" applyNumberFormat="1" applyFont="1" applyFill="1" applyBorder="1" applyAlignment="1" applyProtection="1"/>
    <xf numFmtId="0" fontId="4" fillId="2" borderId="0" xfId="0" applyNumberFormat="1" applyFont="1" applyFill="1" applyBorder="1" applyAlignment="1" applyProtection="1"/>
    <xf numFmtId="0" fontId="2" fillId="31" borderId="0" xfId="0" applyNumberFormat="1" applyFont="1" applyFill="1" applyBorder="1" applyAlignment="1" applyProtection="1"/>
    <xf numFmtId="0" fontId="4" fillId="25" borderId="0" xfId="0" applyNumberFormat="1" applyFont="1" applyFill="1" applyBorder="1" applyAlignment="1" applyProtection="1"/>
    <xf numFmtId="0" fontId="4" fillId="29" borderId="0" xfId="0" applyNumberFormat="1" applyFont="1" applyFill="1" applyBorder="1" applyAlignment="1" applyProtection="1"/>
    <xf numFmtId="0" fontId="4" fillId="32" borderId="0" xfId="0" applyNumberFormat="1" applyFont="1" applyFill="1" applyBorder="1" applyAlignment="1" applyProtection="1"/>
    <xf numFmtId="0" fontId="4" fillId="28" borderId="0" xfId="0" applyNumberFormat="1" applyFont="1" applyFill="1" applyBorder="1" applyAlignment="1" applyProtection="1"/>
    <xf numFmtId="0" fontId="4" fillId="24" borderId="0" xfId="0" applyNumberFormat="1" applyFont="1" applyFill="1" applyBorder="1" applyAlignment="1" applyProtection="1"/>
    <xf numFmtId="0" fontId="2" fillId="29" borderId="0" xfId="0" applyNumberFormat="1" applyFont="1" applyFill="1" applyBorder="1" applyAlignment="1" applyProtection="1"/>
    <xf numFmtId="0" fontId="4" fillId="34" borderId="0" xfId="0" applyNumberFormat="1" applyFont="1" applyFill="1" applyBorder="1" applyAlignment="1" applyProtection="1"/>
    <xf numFmtId="0" fontId="4" fillId="11" borderId="0" xfId="0" applyNumberFormat="1" applyFont="1" applyFill="1" applyBorder="1" applyAlignment="1" applyProtection="1"/>
    <xf numFmtId="0" fontId="0" fillId="53" borderId="0" xfId="0" applyNumberFormat="1" applyFont="1" applyFill="1" applyBorder="1" applyAlignment="1" applyProtection="1"/>
    <xf numFmtId="0" fontId="0" fillId="56" borderId="0" xfId="0" applyNumberFormat="1" applyFont="1" applyFill="1" applyBorder="1" applyAlignment="1" applyProtection="1"/>
    <xf numFmtId="0" fontId="0" fillId="52" borderId="0" xfId="0" applyNumberFormat="1" applyFont="1" applyFill="1" applyBorder="1" applyAlignment="1" applyProtection="1"/>
    <xf numFmtId="0" fontId="0" fillId="51" borderId="0" xfId="0" applyNumberFormat="1" applyFont="1" applyFill="1" applyBorder="1" applyAlignment="1" applyProtection="1"/>
    <xf numFmtId="0" fontId="0" fillId="55" borderId="0" xfId="0" applyNumberFormat="1" applyFont="1" applyFill="1" applyBorder="1" applyAlignment="1" applyProtection="1"/>
    <xf numFmtId="0" fontId="0" fillId="54" borderId="0" xfId="0" applyNumberFormat="1" applyFont="1" applyFill="1" applyBorder="1" applyAlignment="1" applyProtection="1"/>
    <xf numFmtId="0" fontId="4" fillId="9" borderId="0" xfId="0" applyNumberFormat="1" applyFont="1" applyFill="1" applyBorder="1" applyAlignment="1" applyProtection="1"/>
    <xf numFmtId="0" fontId="0" fillId="50" borderId="0" xfId="0" applyNumberFormat="1" applyFont="1" applyFill="1" applyBorder="1" applyAlignment="1" applyProtection="1"/>
    <xf numFmtId="0" fontId="0" fillId="2" borderId="0" xfId="0" applyNumberFormat="1" applyFont="1" applyFill="1" applyBorder="1" applyAlignment="1" applyProtection="1"/>
    <xf numFmtId="0" fontId="4" fillId="14" borderId="0" xfId="0" applyNumberFormat="1" applyFont="1" applyFill="1" applyBorder="1" applyAlignment="1" applyProtection="1"/>
    <xf numFmtId="0" fontId="4" fillId="37" borderId="0" xfId="0" applyNumberFormat="1" applyFont="1" applyFill="1" applyBorder="1" applyAlignment="1" applyProtection="1"/>
    <xf numFmtId="0" fontId="2" fillId="28" borderId="0" xfId="0" applyNumberFormat="1" applyFont="1" applyFill="1" applyBorder="1" applyAlignment="1" applyProtection="1"/>
    <xf numFmtId="0" fontId="2" fillId="33" borderId="0" xfId="0" applyNumberFormat="1" applyFont="1" applyFill="1" applyBorder="1" applyAlignment="1" applyProtection="1"/>
    <xf numFmtId="0" fontId="2" fillId="32" borderId="0" xfId="0" applyNumberFormat="1" applyFont="1" applyFill="1" applyBorder="1" applyAlignment="1" applyProtection="1"/>
    <xf numFmtId="0" fontId="0" fillId="53" borderId="0" xfId="0" applyFill="1" applyBorder="1"/>
    <xf numFmtId="0" fontId="0" fillId="50" borderId="0" xfId="0" applyFill="1" applyBorder="1"/>
    <xf numFmtId="0" fontId="0" fillId="56" borderId="0" xfId="0" applyFill="1" applyBorder="1"/>
    <xf numFmtId="0" fontId="0" fillId="51" borderId="0" xfId="0" applyFill="1" applyBorder="1"/>
    <xf numFmtId="0" fontId="0" fillId="2" borderId="0" xfId="0" applyFill="1" applyBorder="1"/>
    <xf numFmtId="0" fontId="0" fillId="54" borderId="0" xfId="0" applyFill="1" applyBorder="1"/>
    <xf numFmtId="0" fontId="0" fillId="55" borderId="0" xfId="0" applyFill="1" applyBorder="1"/>
    <xf numFmtId="0" fontId="0" fillId="52" borderId="0" xfId="0" applyFill="1" applyBorder="1"/>
    <xf numFmtId="0" fontId="2" fillId="36" borderId="0" xfId="0" applyNumberFormat="1" applyFont="1" applyFill="1" applyBorder="1" applyAlignment="1" applyProtection="1"/>
    <xf numFmtId="0" fontId="4" fillId="10" borderId="0" xfId="0" applyNumberFormat="1" applyFont="1" applyFill="1" applyBorder="1" applyAlignment="1" applyProtection="1"/>
    <xf numFmtId="0" fontId="4" fillId="7" borderId="0" xfId="0" applyNumberFormat="1" applyFont="1" applyFill="1" applyBorder="1" applyAlignment="1" applyProtection="1"/>
    <xf numFmtId="0" fontId="0" fillId="49" borderId="0" xfId="0" applyFill="1" applyBorder="1"/>
    <xf numFmtId="0" fontId="0" fillId="41" borderId="0" xfId="0" applyFill="1" applyBorder="1"/>
    <xf numFmtId="0" fontId="0" fillId="48" borderId="0" xfId="0" applyFill="1" applyBorder="1"/>
    <xf numFmtId="0" fontId="0" fillId="46" borderId="0" xfId="0" applyFill="1" applyBorder="1"/>
    <xf numFmtId="0" fontId="0" fillId="42" borderId="0" xfId="0" applyFill="1" applyBorder="1"/>
    <xf numFmtId="0" fontId="0" fillId="44" borderId="0" xfId="0" applyFill="1" applyBorder="1"/>
    <xf numFmtId="0" fontId="0" fillId="40" borderId="0" xfId="0" applyFill="1" applyBorder="1"/>
    <xf numFmtId="0" fontId="0" fillId="45" borderId="0" xfId="0" applyFill="1" applyBorder="1"/>
    <xf numFmtId="0" fontId="0" fillId="43" borderId="0" xfId="0" applyFill="1" applyBorder="1"/>
    <xf numFmtId="0" fontId="2" fillId="0" borderId="1" xfId="0" applyFont="1" applyBorder="1"/>
    <xf numFmtId="0" fontId="2" fillId="0" borderId="0" xfId="0" applyFont="1" applyFill="1"/>
    <xf numFmtId="0" fontId="0" fillId="32" borderId="0" xfId="0" applyFill="1"/>
    <xf numFmtId="0" fontId="0" fillId="31" borderId="0" xfId="0" applyFill="1"/>
    <xf numFmtId="0" fontId="0" fillId="29" borderId="0" xfId="0" applyFill="1"/>
    <xf numFmtId="0" fontId="0" fillId="30" borderId="0" xfId="0" applyFill="1"/>
    <xf numFmtId="0" fontId="0" fillId="7" borderId="0" xfId="0" applyFill="1"/>
    <xf numFmtId="0" fontId="0" fillId="10" borderId="0" xfId="0" applyFill="1"/>
    <xf numFmtId="0" fontId="0" fillId="26" borderId="0" xfId="0" applyFill="1"/>
    <xf numFmtId="0" fontId="0" fillId="28" borderId="0" xfId="0" applyFill="1"/>
    <xf numFmtId="0" fontId="0" fillId="34" borderId="0" xfId="0" applyFill="1"/>
    <xf numFmtId="0" fontId="0" fillId="9" borderId="0" xfId="0" applyFill="1"/>
    <xf numFmtId="0" fontId="0" fillId="8" borderId="0" xfId="0" applyFill="1"/>
    <xf numFmtId="0" fontId="0" fillId="28" borderId="0" xfId="0" applyFill="1" applyBorder="1"/>
    <xf numFmtId="0" fontId="0" fillId="33" borderId="0" xfId="0" applyFill="1"/>
    <xf numFmtId="0" fontId="0" fillId="35" borderId="0" xfId="0" applyFill="1"/>
    <xf numFmtId="0" fontId="0" fillId="37" borderId="0" xfId="0" applyFill="1"/>
    <xf numFmtId="0" fontId="0" fillId="3" borderId="0" xfId="0" applyFill="1" applyBorder="1"/>
    <xf numFmtId="0" fontId="0" fillId="47" borderId="0" xfId="0" applyFill="1"/>
    <xf numFmtId="0" fontId="4" fillId="33" borderId="9" xfId="0" applyFont="1" applyFill="1" applyBorder="1"/>
    <xf numFmtId="0" fontId="0" fillId="31" borderId="9" xfId="0" applyFill="1" applyBorder="1"/>
    <xf numFmtId="0" fontId="0" fillId="32" borderId="9" xfId="0" applyFill="1" applyBorder="1"/>
    <xf numFmtId="0" fontId="0" fillId="26" borderId="0" xfId="0" applyFill="1" applyBorder="1"/>
    <xf numFmtId="0" fontId="0" fillId="37" borderId="0" xfId="0" applyFill="1" applyBorder="1"/>
    <xf numFmtId="0" fontId="0" fillId="25" borderId="0" xfId="0" applyFill="1" applyBorder="1"/>
    <xf numFmtId="0" fontId="0" fillId="35" borderId="0" xfId="0" applyFill="1" applyBorder="1"/>
    <xf numFmtId="0" fontId="0" fillId="37" borderId="2" xfId="0" applyFill="1" applyBorder="1"/>
    <xf numFmtId="0" fontId="0" fillId="25" borderId="0" xfId="0" applyFill="1"/>
    <xf numFmtId="0" fontId="0" fillId="10" borderId="0" xfId="0" applyFill="1" applyBorder="1"/>
    <xf numFmtId="0" fontId="0" fillId="33" borderId="0" xfId="0" applyFill="1" applyBorder="1"/>
    <xf numFmtId="0" fontId="0" fillId="31" borderId="0" xfId="0" applyFill="1" applyBorder="1"/>
    <xf numFmtId="0" fontId="0" fillId="7" borderId="0" xfId="0" applyFill="1" applyBorder="1"/>
    <xf numFmtId="0" fontId="0" fillId="3" borderId="0" xfId="0" applyFill="1"/>
    <xf numFmtId="0" fontId="0" fillId="25" borderId="1" xfId="0" applyFill="1" applyBorder="1"/>
    <xf numFmtId="0" fontId="0" fillId="37" borderId="1" xfId="0" applyFill="1" applyBorder="1"/>
    <xf numFmtId="0" fontId="0" fillId="35" borderId="1" xfId="0" applyFill="1" applyBorder="1"/>
    <xf numFmtId="0" fontId="0" fillId="24" borderId="0" xfId="0" applyFill="1"/>
    <xf numFmtId="0" fontId="0" fillId="12" borderId="0" xfId="0" applyFill="1"/>
    <xf numFmtId="0" fontId="0" fillId="11" borderId="0" xfId="0" applyFill="1"/>
    <xf numFmtId="0" fontId="0" fillId="13" borderId="0" xfId="0" applyFill="1"/>
    <xf numFmtId="0" fontId="0" fillId="4" borderId="0" xfId="0" applyFill="1"/>
    <xf numFmtId="0" fontId="0" fillId="5" borderId="0" xfId="0" applyFill="1"/>
    <xf numFmtId="0" fontId="0" fillId="6" borderId="0" xfId="0" applyFill="1"/>
    <xf numFmtId="0" fontId="0" fillId="16" borderId="0" xfId="0" applyFill="1"/>
    <xf numFmtId="0" fontId="0" fillId="15" borderId="0" xfId="0" applyFill="1"/>
    <xf numFmtId="0" fontId="0" fillId="17" borderId="0" xfId="0" applyFill="1"/>
    <xf numFmtId="0" fontId="0" fillId="18" borderId="0" xfId="0" applyFill="1"/>
    <xf numFmtId="0" fontId="0" fillId="36" borderId="0" xfId="0" applyFill="1"/>
    <xf numFmtId="0" fontId="0" fillId="27" borderId="0" xfId="0" applyFill="1"/>
    <xf numFmtId="0" fontId="0" fillId="23" borderId="0" xfId="0" applyFill="1"/>
    <xf numFmtId="0" fontId="0" fillId="38" borderId="0" xfId="0" applyFill="1"/>
    <xf numFmtId="0" fontId="0" fillId="22" borderId="0" xfId="0" applyFill="1"/>
    <xf numFmtId="0" fontId="0" fillId="20" borderId="0" xfId="0" applyFill="1"/>
    <xf numFmtId="0" fontId="0" fillId="19" borderId="0" xfId="0" applyFill="1"/>
    <xf numFmtId="0" fontId="0" fillId="57" borderId="0" xfId="0" applyFill="1"/>
    <xf numFmtId="0" fontId="0" fillId="39" borderId="0" xfId="0" applyFill="1"/>
    <xf numFmtId="0" fontId="0" fillId="21" borderId="0" xfId="0" applyFill="1"/>
    <xf numFmtId="0" fontId="0" fillId="2" borderId="10" xfId="0" applyFill="1" applyBorder="1"/>
    <xf numFmtId="0" fontId="0" fillId="23" borderId="11" xfId="0" applyFill="1" applyBorder="1"/>
    <xf numFmtId="0" fontId="0" fillId="38" borderId="11" xfId="0" applyFill="1" applyBorder="1"/>
    <xf numFmtId="0" fontId="0" fillId="22" borderId="11" xfId="0" applyFill="1" applyBorder="1"/>
    <xf numFmtId="0" fontId="0" fillId="20" borderId="11" xfId="0" applyFill="1" applyBorder="1"/>
    <xf numFmtId="0" fontId="0" fillId="19" borderId="11" xfId="0" applyFill="1" applyBorder="1"/>
    <xf numFmtId="0" fontId="0" fillId="57" borderId="11" xfId="0" applyFill="1" applyBorder="1"/>
    <xf numFmtId="0" fontId="0" fillId="39" borderId="11" xfId="0" applyFill="1" applyBorder="1"/>
    <xf numFmtId="0" fontId="0" fillId="21" borderId="12" xfId="0" applyFill="1" applyBorder="1"/>
    <xf numFmtId="0" fontId="0" fillId="2" borderId="13" xfId="0" applyFill="1" applyBorder="1"/>
    <xf numFmtId="0" fontId="0" fillId="2" borderId="14" xfId="0" applyFill="1" applyBorder="1"/>
    <xf numFmtId="0" fontId="0" fillId="33" borderId="15" xfId="0" applyFill="1" applyBorder="1"/>
    <xf numFmtId="0" fontId="0" fillId="31" borderId="15" xfId="0" applyFill="1" applyBorder="1"/>
    <xf numFmtId="0" fontId="0" fillId="32" borderId="15" xfId="0" applyFill="1" applyBorder="1"/>
    <xf numFmtId="0" fontId="0" fillId="54" borderId="16" xfId="0" applyFill="1" applyBorder="1"/>
    <xf numFmtId="0" fontId="0" fillId="29" borderId="15" xfId="0" applyFill="1" applyBorder="1"/>
    <xf numFmtId="0" fontId="0" fillId="52" borderId="16" xfId="0" applyFill="1" applyBorder="1"/>
    <xf numFmtId="0" fontId="0" fillId="30" borderId="15" xfId="0" applyFill="1" applyBorder="1"/>
    <xf numFmtId="0" fontId="0" fillId="56" borderId="16" xfId="0" applyFill="1" applyBorder="1"/>
    <xf numFmtId="0" fontId="0" fillId="28" borderId="15" xfId="0" applyFill="1" applyBorder="1"/>
    <xf numFmtId="0" fontId="0" fillId="55" borderId="16" xfId="0" applyFill="1" applyBorder="1"/>
    <xf numFmtId="0" fontId="0" fillId="53" borderId="16" xfId="0" applyFill="1" applyBorder="1"/>
    <xf numFmtId="0" fontId="0" fillId="51" borderId="16" xfId="0" applyFill="1" applyBorder="1"/>
    <xf numFmtId="0" fontId="0" fillId="49" borderId="16" xfId="0" applyFill="1" applyBorder="1"/>
    <xf numFmtId="0" fontId="0" fillId="50" borderId="17" xfId="0" applyFill="1" applyBorder="1"/>
    <xf numFmtId="0" fontId="0" fillId="36" borderId="11" xfId="0" applyFill="1" applyBorder="1"/>
    <xf numFmtId="0" fontId="0" fillId="35" borderId="11" xfId="0" applyFill="1" applyBorder="1"/>
    <xf numFmtId="0" fontId="0" fillId="37" borderId="11" xfId="0" applyFill="1" applyBorder="1"/>
    <xf numFmtId="0" fontId="0" fillId="25" borderId="11" xfId="0" applyFill="1" applyBorder="1"/>
    <xf numFmtId="0" fontId="0" fillId="24" borderId="11" xfId="0" applyFill="1" applyBorder="1"/>
    <xf numFmtId="0" fontId="0" fillId="34" borderId="11" xfId="0" applyFill="1" applyBorder="1"/>
    <xf numFmtId="0" fontId="0" fillId="27" borderId="11" xfId="0" applyFill="1" applyBorder="1"/>
    <xf numFmtId="0" fontId="0" fillId="40" borderId="11" xfId="0" applyFill="1" applyBorder="1"/>
    <xf numFmtId="0" fontId="0" fillId="41" borderId="11" xfId="0" applyFill="1" applyBorder="1"/>
    <xf numFmtId="0" fontId="0" fillId="42" borderId="11" xfId="0" applyFill="1" applyBorder="1"/>
    <xf numFmtId="0" fontId="0" fillId="43" borderId="11" xfId="0" applyFill="1" applyBorder="1"/>
    <xf numFmtId="0" fontId="0" fillId="44" borderId="11" xfId="0" applyFill="1" applyBorder="1"/>
    <xf numFmtId="0" fontId="0" fillId="45" borderId="11" xfId="0" applyFill="1" applyBorder="1"/>
    <xf numFmtId="0" fontId="0" fillId="46" borderId="11" xfId="0" applyFill="1" applyBorder="1"/>
    <xf numFmtId="0" fontId="0" fillId="48" borderId="12" xfId="0" applyFill="1" applyBorder="1"/>
    <xf numFmtId="0" fontId="0" fillId="3" borderId="11" xfId="0" applyFill="1" applyBorder="1"/>
    <xf numFmtId="0" fontId="0" fillId="4" borderId="11" xfId="0" applyFill="1" applyBorder="1"/>
    <xf numFmtId="0" fontId="0" fillId="5" borderId="11" xfId="0" applyFill="1" applyBorder="1"/>
    <xf numFmtId="0" fontId="0" fillId="6" borderId="11" xfId="0" applyFill="1" applyBorder="1"/>
    <xf numFmtId="0" fontId="0" fillId="16" borderId="11" xfId="0" applyFill="1" applyBorder="1"/>
    <xf numFmtId="0" fontId="0" fillId="15" borderId="11" xfId="0" applyFill="1" applyBorder="1"/>
    <xf numFmtId="0" fontId="0" fillId="17" borderId="11" xfId="0" applyFill="1" applyBorder="1"/>
    <xf numFmtId="0" fontId="0" fillId="18" borderId="12" xfId="0" applyFill="1" applyBorder="1"/>
    <xf numFmtId="0" fontId="0" fillId="12" borderId="11" xfId="0" applyFill="1" applyBorder="1"/>
    <xf numFmtId="0" fontId="0" fillId="8" borderId="11" xfId="0" applyFill="1" applyBorder="1"/>
    <xf numFmtId="0" fontId="0" fillId="9" borderId="11" xfId="0" applyFill="1" applyBorder="1"/>
    <xf numFmtId="0" fontId="0" fillId="7" borderId="11" xfId="0" applyFill="1" applyBorder="1"/>
    <xf numFmtId="0" fontId="0" fillId="10" borderId="11" xfId="0" applyFill="1" applyBorder="1"/>
    <xf numFmtId="0" fontId="0" fillId="11" borderId="11" xfId="0" applyFill="1" applyBorder="1"/>
    <xf numFmtId="0" fontId="0" fillId="13" borderId="11" xfId="0" applyFill="1" applyBorder="1"/>
    <xf numFmtId="0" fontId="0" fillId="14" borderId="12" xfId="0" applyFill="1" applyBorder="1"/>
    <xf numFmtId="0" fontId="0" fillId="47" borderId="12" xfId="0" applyFill="1" applyBorder="1"/>
    <xf numFmtId="0" fontId="0" fillId="12" borderId="0" xfId="0" applyFill="1" applyBorder="1"/>
    <xf numFmtId="0" fontId="0" fillId="36" borderId="0" xfId="0" applyFill="1" applyBorder="1"/>
    <xf numFmtId="0" fontId="0" fillId="23" borderId="0" xfId="0" applyFill="1" applyBorder="1"/>
    <xf numFmtId="0" fontId="0" fillId="32" borderId="0" xfId="0" applyFill="1" applyBorder="1"/>
    <xf numFmtId="0" fontId="0" fillId="8" borderId="0" xfId="0" applyFill="1" applyBorder="1"/>
    <xf numFmtId="0" fontId="0" fillId="4" borderId="0" xfId="0" applyFill="1" applyBorder="1"/>
    <xf numFmtId="0" fontId="0" fillId="38" borderId="0" xfId="0" applyFill="1" applyBorder="1"/>
    <xf numFmtId="0" fontId="0" fillId="29" borderId="0" xfId="0" applyFill="1" applyBorder="1"/>
    <xf numFmtId="0" fontId="0" fillId="9" borderId="0" xfId="0" applyFill="1" applyBorder="1"/>
    <xf numFmtId="0" fontId="0" fillId="5" borderId="0" xfId="0" applyFill="1" applyBorder="1"/>
    <xf numFmtId="0" fontId="0" fillId="22" borderId="0" xfId="0" applyFill="1" applyBorder="1"/>
    <xf numFmtId="0" fontId="0" fillId="30" borderId="0" xfId="0" applyFill="1" applyBorder="1"/>
    <xf numFmtId="0" fontId="0" fillId="6" borderId="0" xfId="0" applyFill="1" applyBorder="1"/>
    <xf numFmtId="0" fontId="0" fillId="20" borderId="0" xfId="0" applyFill="1" applyBorder="1"/>
    <xf numFmtId="0" fontId="0" fillId="16" borderId="0" xfId="0" applyFill="1" applyBorder="1"/>
    <xf numFmtId="0" fontId="0" fillId="24" borderId="0" xfId="0" applyFill="1" applyBorder="1"/>
    <xf numFmtId="0" fontId="0" fillId="19" borderId="0" xfId="0" applyFill="1" applyBorder="1"/>
    <xf numFmtId="0" fontId="0" fillId="47" borderId="0" xfId="0" applyFill="1" applyBorder="1"/>
    <xf numFmtId="0" fontId="0" fillId="11" borderId="0" xfId="0" applyFill="1" applyBorder="1"/>
    <xf numFmtId="0" fontId="0" fillId="15" borderId="0" xfId="0" applyFill="1" applyBorder="1"/>
    <xf numFmtId="0" fontId="0" fillId="34" borderId="0" xfId="0" applyFill="1" applyBorder="1"/>
    <xf numFmtId="0" fontId="0" fillId="57" borderId="0" xfId="0" applyFill="1" applyBorder="1"/>
    <xf numFmtId="0" fontId="0" fillId="13" borderId="0" xfId="0" applyFill="1" applyBorder="1"/>
    <xf numFmtId="0" fontId="0" fillId="17" borderId="0" xfId="0" applyFill="1" applyBorder="1"/>
    <xf numFmtId="0" fontId="0" fillId="27" borderId="0" xfId="0" applyFill="1" applyBorder="1"/>
    <xf numFmtId="0" fontId="0" fillId="39" borderId="0" xfId="0" applyFill="1" applyBorder="1"/>
    <xf numFmtId="0" fontId="0" fillId="14" borderId="0" xfId="0" applyFill="1" applyBorder="1"/>
    <xf numFmtId="0" fontId="0" fillId="18" borderId="0" xfId="0" applyFill="1" applyBorder="1"/>
    <xf numFmtId="0" fontId="0" fillId="21" borderId="0" xfId="0" applyFill="1" applyBorder="1"/>
    <xf numFmtId="0" fontId="6" fillId="0" borderId="0" xfId="0" applyFont="1" applyFill="1" applyBorder="1"/>
    <xf numFmtId="0" fontId="6" fillId="13" borderId="0" xfId="0" applyFont="1" applyFill="1" applyBorder="1"/>
    <xf numFmtId="0" fontId="7" fillId="0" borderId="0" xfId="0" applyFont="1" applyFill="1" applyBorder="1"/>
    <xf numFmtId="0" fontId="7" fillId="0" borderId="0" xfId="0" applyFont="1" applyFill="1"/>
    <xf numFmtId="0" fontId="6" fillId="7" borderId="0" xfId="0" applyFont="1" applyFill="1" applyBorder="1"/>
    <xf numFmtId="0" fontId="6" fillId="9" borderId="0" xfId="0" applyFont="1" applyFill="1" applyBorder="1"/>
    <xf numFmtId="0" fontId="6" fillId="8" borderId="0" xfId="0" applyFont="1" applyFill="1" applyBorder="1"/>
    <xf numFmtId="0" fontId="7" fillId="0" borderId="0" xfId="0" applyFont="1"/>
    <xf numFmtId="0" fontId="6" fillId="10" borderId="0" xfId="0" applyFont="1" applyFill="1" applyBorder="1"/>
    <xf numFmtId="0" fontId="7" fillId="0" borderId="0" xfId="0" applyFont="1" applyBorder="1"/>
    <xf numFmtId="0" fontId="6" fillId="13" borderId="0" xfId="0" quotePrefix="1" applyFont="1" applyFill="1" applyBorder="1"/>
    <xf numFmtId="0" fontId="2" fillId="0" borderId="2" xfId="0" applyFont="1" applyFill="1" applyBorder="1"/>
    <xf numFmtId="0" fontId="2" fillId="58" borderId="0" xfId="0" applyFont="1" applyFill="1" applyBorder="1" applyAlignment="1"/>
    <xf numFmtId="0" fontId="0" fillId="31" borderId="1" xfId="0" applyFill="1" applyBorder="1"/>
    <xf numFmtId="0" fontId="0" fillId="12" borderId="1" xfId="0" applyFill="1" applyBorder="1"/>
    <xf numFmtId="0" fontId="0" fillId="32" borderId="1" xfId="0" applyFill="1" applyBorder="1"/>
    <xf numFmtId="0" fontId="0" fillId="54" borderId="1" xfId="0" applyFill="1" applyBorder="1"/>
    <xf numFmtId="0" fontId="0" fillId="2" borderId="1" xfId="0" applyFill="1" applyBorder="1"/>
    <xf numFmtId="0" fontId="0" fillId="8" borderId="1" xfId="0" applyFill="1" applyBorder="1"/>
    <xf numFmtId="0" fontId="4" fillId="33" borderId="8" xfId="0" applyFont="1" applyFill="1" applyBorder="1"/>
    <xf numFmtId="0" fontId="0" fillId="24" borderId="1" xfId="0" applyFill="1" applyBorder="1"/>
    <xf numFmtId="0" fontId="0" fillId="51" borderId="1" xfId="0" applyFill="1" applyBorder="1"/>
    <xf numFmtId="0" fontId="0" fillId="55" borderId="1" xfId="0" applyFill="1" applyBorder="1"/>
    <xf numFmtId="0" fontId="0" fillId="59" borderId="0" xfId="0" applyFill="1" applyBorder="1"/>
    <xf numFmtId="0" fontId="0" fillId="60" borderId="0" xfId="0" applyFill="1" applyBorder="1"/>
    <xf numFmtId="0" fontId="0" fillId="1" borderId="0" xfId="0" applyFill="1" applyBorder="1"/>
    <xf numFmtId="0" fontId="0" fillId="61" borderId="0" xfId="0" applyFill="1" applyBorder="1"/>
    <xf numFmtId="0" fontId="0" fillId="62" borderId="0" xfId="0" applyFill="1" applyBorder="1"/>
    <xf numFmtId="0" fontId="0" fillId="63" borderId="0" xfId="0" applyFill="1" applyBorder="1"/>
    <xf numFmtId="0" fontId="0" fillId="64" borderId="0" xfId="0" applyFill="1" applyBorder="1"/>
    <xf numFmtId="0" fontId="0" fillId="65" borderId="0" xfId="0" applyFill="1" applyBorder="1"/>
    <xf numFmtId="0" fontId="0" fillId="66" borderId="0" xfId="0" applyFill="1" applyBorder="1"/>
    <xf numFmtId="0" fontId="0" fillId="67" borderId="0" xfId="0" applyFill="1" applyBorder="1"/>
    <xf numFmtId="0" fontId="0" fillId="68" borderId="0" xfId="0" applyFill="1" applyBorder="1"/>
    <xf numFmtId="0" fontId="0" fillId="69" borderId="0" xfId="0" applyFill="1" applyBorder="1"/>
    <xf numFmtId="0" fontId="0" fillId="70" borderId="0" xfId="0" applyFill="1" applyBorder="1"/>
    <xf numFmtId="0" fontId="0" fillId="71" borderId="0" xfId="0" applyFill="1" applyBorder="1"/>
    <xf numFmtId="0" fontId="0" fillId="72" borderId="0" xfId="0" applyFill="1" applyBorder="1"/>
    <xf numFmtId="0" fontId="0" fillId="73" borderId="0" xfId="0" applyFill="1" applyBorder="1"/>
    <xf numFmtId="0" fontId="0" fillId="74" borderId="0" xfId="0" applyFill="1" applyBorder="1"/>
    <xf numFmtId="0" fontId="0" fillId="58" borderId="0" xfId="0" applyFill="1" applyBorder="1"/>
    <xf numFmtId="0" fontId="2" fillId="0" borderId="4" xfId="0" applyFont="1" applyFill="1" applyBorder="1"/>
    <xf numFmtId="0" fontId="4" fillId="0" borderId="6" xfId="0" applyNumberFormat="1" applyFont="1" applyFill="1" applyBorder="1" applyAlignment="1" applyProtection="1"/>
    <xf numFmtId="0" fontId="4" fillId="0" borderId="2" xfId="0" applyNumberFormat="1" applyFont="1" applyFill="1" applyBorder="1" applyAlignment="1" applyProtection="1"/>
    <xf numFmtId="0" fontId="0" fillId="0" borderId="6" xfId="0" applyNumberFormat="1" applyFont="1" applyFill="1" applyBorder="1" applyAlignment="1" applyProtection="1"/>
    <xf numFmtId="0" fontId="0" fillId="0" borderId="2" xfId="0" applyNumberFormat="1" applyFont="1" applyFill="1" applyBorder="1" applyAlignment="1" applyProtection="1"/>
    <xf numFmtId="0" fontId="0" fillId="0" borderId="7" xfId="0" applyNumberFormat="1" applyFont="1" applyFill="1" applyBorder="1" applyAlignment="1" applyProtection="1"/>
    <xf numFmtId="0" fontId="4" fillId="0" borderId="1" xfId="0" applyNumberFormat="1" applyFont="1" applyFill="1" applyBorder="1" applyAlignment="1" applyProtection="1"/>
    <xf numFmtId="0" fontId="0" fillId="0" borderId="1" xfId="0" applyNumberFormat="1" applyFont="1" applyFill="1" applyBorder="1" applyAlignment="1" applyProtection="1"/>
    <xf numFmtId="0" fontId="0" fillId="0" borderId="8" xfId="0" applyNumberFormat="1" applyFont="1" applyFill="1" applyBorder="1" applyAlignment="1" applyProtection="1"/>
    <xf numFmtId="0" fontId="2" fillId="0" borderId="8" xfId="0" applyFont="1" applyFill="1" applyBorder="1"/>
    <xf numFmtId="0" fontId="4" fillId="36" borderId="2" xfId="0" applyNumberFormat="1" applyFont="1" applyFill="1" applyBorder="1" applyAlignment="1" applyProtection="1"/>
    <xf numFmtId="0" fontId="4" fillId="38" borderId="2" xfId="0" applyFont="1" applyFill="1" applyBorder="1"/>
    <xf numFmtId="0" fontId="0" fillId="56" borderId="2" xfId="0" applyNumberFormat="1" applyFont="1" applyFill="1" applyBorder="1" applyAlignment="1" applyProtection="1"/>
    <xf numFmtId="0" fontId="0" fillId="50" borderId="2" xfId="0" applyNumberFormat="1" applyFont="1" applyFill="1" applyBorder="1" applyAlignment="1" applyProtection="1"/>
    <xf numFmtId="0" fontId="0" fillId="52" borderId="2" xfId="0" applyNumberFormat="1" applyFont="1" applyFill="1" applyBorder="1" applyAlignment="1" applyProtection="1"/>
    <xf numFmtId="0" fontId="4" fillId="28" borderId="1" xfId="0" applyFont="1" applyFill="1" applyBorder="1"/>
    <xf numFmtId="0" fontId="2" fillId="31" borderId="1" xfId="0" applyFont="1" applyFill="1" applyBorder="1"/>
    <xf numFmtId="0" fontId="4" fillId="29" borderId="1" xfId="0" applyFont="1" applyFill="1" applyBorder="1"/>
    <xf numFmtId="0" fontId="2" fillId="32" borderId="1" xfId="0" applyFont="1" applyFill="1" applyBorder="1"/>
    <xf numFmtId="0" fontId="4" fillId="33" borderId="1" xfId="0" applyNumberFormat="1" applyFont="1" applyFill="1" applyBorder="1" applyAlignment="1" applyProtection="1"/>
    <xf numFmtId="0" fontId="4" fillId="32" borderId="1" xfId="0" applyNumberFormat="1" applyFont="1" applyFill="1" applyBorder="1" applyAlignment="1" applyProtection="1"/>
    <xf numFmtId="0" fontId="2" fillId="32" borderId="1" xfId="0" applyNumberFormat="1" applyFont="1" applyFill="1" applyBorder="1" applyAlignment="1" applyProtection="1"/>
    <xf numFmtId="0" fontId="4" fillId="29" borderId="1" xfId="0" applyNumberFormat="1" applyFont="1" applyFill="1" applyBorder="1" applyAlignment="1" applyProtection="1"/>
    <xf numFmtId="0" fontId="4" fillId="0" borderId="8" xfId="0" applyNumberFormat="1" applyFont="1" applyFill="1" applyBorder="1" applyAlignment="1" applyProtection="1"/>
    <xf numFmtId="0" fontId="4" fillId="28" borderId="1" xfId="0" applyNumberFormat="1" applyFont="1" applyFill="1" applyBorder="1" applyAlignment="1" applyProtection="1"/>
    <xf numFmtId="0" fontId="2" fillId="31" borderId="1" xfId="0" applyNumberFormat="1" applyFont="1" applyFill="1" applyBorder="1" applyAlignment="1" applyProtection="1"/>
    <xf numFmtId="0" fontId="2" fillId="33" borderId="1" xfId="0" applyFont="1" applyFill="1" applyBorder="1"/>
    <xf numFmtId="0" fontId="2" fillId="31" borderId="18" xfId="0" applyNumberFormat="1" applyFont="1" applyFill="1" applyBorder="1" applyAlignment="1" applyProtection="1"/>
    <xf numFmtId="0" fontId="4" fillId="30" borderId="0" xfId="0" applyNumberFormat="1" applyFont="1" applyFill="1" applyBorder="1" applyAlignment="1" applyProtection="1"/>
    <xf numFmtId="0" fontId="0" fillId="38" borderId="0" xfId="0" applyNumberFormat="1" applyFont="1" applyFill="1" applyBorder="1" applyAlignment="1" applyProtection="1"/>
    <xf numFmtId="0" fontId="0" fillId="29" borderId="0" xfId="0" applyNumberFormat="1" applyFont="1" applyFill="1" applyBorder="1" applyAlignment="1" applyProtection="1"/>
    <xf numFmtId="0" fontId="0" fillId="30" borderId="0" xfId="0" applyNumberFormat="1" applyFont="1" applyFill="1" applyBorder="1" applyAlignment="1" applyProtection="1"/>
    <xf numFmtId="0" fontId="0" fillId="26" borderId="2" xfId="0" applyFill="1" applyBorder="1"/>
    <xf numFmtId="0" fontId="0" fillId="27" borderId="2" xfId="0" applyFill="1" applyBorder="1"/>
    <xf numFmtId="0" fontId="4" fillId="0" borderId="8" xfId="0" applyFont="1" applyFill="1" applyBorder="1"/>
    <xf numFmtId="0" fontId="2" fillId="33" borderId="1" xfId="0" applyNumberFormat="1" applyFont="1" applyFill="1" applyBorder="1" applyAlignment="1" applyProtection="1"/>
    <xf numFmtId="0" fontId="0" fillId="0" borderId="4" xfId="0" applyNumberFormat="1" applyFont="1" applyFill="1" applyBorder="1" applyAlignment="1" applyProtection="1"/>
    <xf numFmtId="0" fontId="4" fillId="0" borderId="5" xfId="0" applyNumberFormat="1" applyFont="1" applyFill="1" applyBorder="1" applyAlignment="1" applyProtection="1"/>
    <xf numFmtId="0" fontId="2" fillId="0" borderId="6" xfId="0" applyFont="1" applyFill="1" applyBorder="1"/>
    <xf numFmtId="0" fontId="2" fillId="0" borderId="1" xfId="0" applyNumberFormat="1" applyFont="1" applyFill="1" applyBorder="1" applyAlignment="1" applyProtection="1"/>
    <xf numFmtId="0" fontId="8" fillId="0" borderId="0" xfId="0" applyFont="1" applyFill="1" applyBorder="1"/>
    <xf numFmtId="0" fontId="8" fillId="0" borderId="3" xfId="0" applyFont="1" applyFill="1" applyBorder="1"/>
    <xf numFmtId="0" fontId="8" fillId="0" borderId="4" xfId="0" applyFont="1" applyFill="1" applyBorder="1"/>
    <xf numFmtId="0" fontId="8" fillId="0" borderId="5" xfId="0" applyFont="1" applyFill="1" applyBorder="1"/>
    <xf numFmtId="0" fontId="8" fillId="0" borderId="6" xfId="0" applyFont="1" applyFill="1" applyBorder="1"/>
    <xf numFmtId="0" fontId="8" fillId="0" borderId="2" xfId="0" applyFont="1" applyFill="1" applyBorder="1"/>
    <xf numFmtId="0" fontId="8" fillId="0" borderId="7" xfId="0" applyFont="1" applyFill="1" applyBorder="1"/>
    <xf numFmtId="0" fontId="8" fillId="0" borderId="1" xfId="0" applyFont="1" applyFill="1" applyBorder="1"/>
    <xf numFmtId="0" fontId="8" fillId="0" borderId="8" xfId="0" applyFont="1" applyFill="1" applyBorder="1"/>
    <xf numFmtId="0" fontId="7" fillId="35" borderId="0" xfId="0" applyFont="1" applyFill="1" applyBorder="1"/>
    <xf numFmtId="0" fontId="7" fillId="47" borderId="0" xfId="0" applyFont="1" applyFill="1" applyBorder="1"/>
    <xf numFmtId="0" fontId="7" fillId="30" borderId="0" xfId="0" applyFont="1" applyFill="1" applyBorder="1"/>
    <xf numFmtId="0" fontId="7" fillId="52" borderId="0" xfId="0" applyFont="1" applyFill="1" applyBorder="1"/>
    <xf numFmtId="0" fontId="7" fillId="2" borderId="0" xfId="0" applyFont="1" applyFill="1" applyBorder="1"/>
    <xf numFmtId="0" fontId="7" fillId="33" borderId="0" xfId="0" applyFont="1" applyFill="1" applyBorder="1"/>
    <xf numFmtId="0" fontId="7" fillId="31" borderId="0" xfId="0" applyFont="1" applyFill="1" applyBorder="1"/>
    <xf numFmtId="0" fontId="7" fillId="23" borderId="0" xfId="0" applyFont="1" applyFill="1" applyBorder="1"/>
    <xf numFmtId="0" fontId="7" fillId="12" borderId="0" xfId="0" applyFont="1" applyFill="1" applyBorder="1"/>
    <xf numFmtId="0" fontId="7" fillId="3" borderId="0" xfId="0" applyFont="1" applyFill="1" applyBorder="1"/>
    <xf numFmtId="0" fontId="7" fillId="40" borderId="0" xfId="0" applyFont="1" applyFill="1" applyBorder="1"/>
    <xf numFmtId="0" fontId="7" fillId="36" borderId="0" xfId="0" applyFont="1" applyFill="1" applyBorder="1"/>
    <xf numFmtId="0" fontId="7" fillId="54" borderId="0" xfId="0" applyFont="1" applyFill="1" applyBorder="1"/>
    <xf numFmtId="0" fontId="7" fillId="8" borderId="0" xfId="0" applyFont="1" applyFill="1" applyBorder="1"/>
    <xf numFmtId="0" fontId="7" fillId="4" borderId="0" xfId="0" applyFont="1" applyFill="1" applyBorder="1"/>
    <xf numFmtId="0" fontId="7" fillId="41" borderId="0" xfId="0" applyFont="1" applyFill="1" applyBorder="1"/>
    <xf numFmtId="0" fontId="7" fillId="38" borderId="0" xfId="0" applyFont="1" applyFill="1" applyBorder="1"/>
    <xf numFmtId="0" fontId="7" fillId="9" borderId="0" xfId="0" applyFont="1" applyFill="1" applyBorder="1"/>
    <xf numFmtId="0" fontId="7" fillId="5" borderId="0" xfId="0" applyFont="1" applyFill="1" applyBorder="1"/>
    <xf numFmtId="0" fontId="7" fillId="42" borderId="0" xfId="0" applyFont="1" applyFill="1" applyBorder="1"/>
    <xf numFmtId="0" fontId="7" fillId="37" borderId="0" xfId="0" applyFont="1" applyFill="1" applyBorder="1"/>
    <xf numFmtId="0" fontId="7" fillId="22" borderId="0" xfId="0" applyFont="1" applyFill="1" applyBorder="1"/>
    <xf numFmtId="0" fontId="7" fillId="56" borderId="0" xfId="0" applyFont="1" applyFill="1" applyBorder="1"/>
    <xf numFmtId="0" fontId="7" fillId="32" borderId="0" xfId="0" applyFont="1" applyFill="1" applyBorder="1"/>
    <xf numFmtId="0" fontId="7" fillId="7" borderId="0" xfId="0" applyFont="1" applyFill="1" applyBorder="1"/>
    <xf numFmtId="0" fontId="7" fillId="6" borderId="0" xfId="0" applyFont="1" applyFill="1" applyBorder="1"/>
    <xf numFmtId="0" fontId="7" fillId="43" borderId="0" xfId="0" applyFont="1" applyFill="1" applyBorder="1"/>
    <xf numFmtId="0" fontId="7" fillId="25" borderId="0" xfId="0" applyFont="1" applyFill="1" applyBorder="1"/>
    <xf numFmtId="0" fontId="7" fillId="20" borderId="0" xfId="0" applyFont="1" applyFill="1" applyBorder="1"/>
    <xf numFmtId="0" fontId="7" fillId="55" borderId="0" xfId="0" applyFont="1" applyFill="1" applyBorder="1"/>
    <xf numFmtId="0" fontId="7" fillId="29" borderId="0" xfId="0" applyFont="1" applyFill="1" applyBorder="1"/>
    <xf numFmtId="0" fontId="7" fillId="10" borderId="0" xfId="0" applyFont="1" applyFill="1" applyBorder="1"/>
    <xf numFmtId="0" fontId="7" fillId="16" borderId="0" xfId="0" applyFont="1" applyFill="1" applyBorder="1"/>
    <xf numFmtId="0" fontId="7" fillId="44" borderId="0" xfId="0" applyFont="1" applyFill="1" applyBorder="1"/>
    <xf numFmtId="0" fontId="7" fillId="24" borderId="0" xfId="0" applyFont="1" applyFill="1" applyBorder="1"/>
    <xf numFmtId="0" fontId="7" fillId="19" borderId="0" xfId="0" applyFont="1" applyFill="1" applyBorder="1"/>
    <xf numFmtId="0" fontId="7" fillId="53" borderId="0" xfId="0" applyFont="1" applyFill="1" applyBorder="1"/>
    <xf numFmtId="0" fontId="7" fillId="11" borderId="0" xfId="0" applyFont="1" applyFill="1" applyBorder="1"/>
    <xf numFmtId="0" fontId="7" fillId="15" borderId="0" xfId="0" applyFont="1" applyFill="1" applyBorder="1"/>
    <xf numFmtId="0" fontId="7" fillId="45" borderId="0" xfId="0" applyFont="1" applyFill="1" applyBorder="1"/>
    <xf numFmtId="0" fontId="7" fillId="34" borderId="0" xfId="0" applyFont="1" applyFill="1" applyBorder="1"/>
    <xf numFmtId="0" fontId="7" fillId="57" borderId="0" xfId="0" applyFont="1" applyFill="1" applyBorder="1"/>
    <xf numFmtId="0" fontId="7" fillId="51" borderId="0" xfId="0" applyFont="1" applyFill="1" applyBorder="1"/>
    <xf numFmtId="0" fontId="7" fillId="28" borderId="0" xfId="0" applyFont="1" applyFill="1" applyBorder="1"/>
    <xf numFmtId="0" fontId="7" fillId="13" borderId="0" xfId="0" applyFont="1" applyFill="1" applyBorder="1"/>
    <xf numFmtId="0" fontId="7" fillId="17" borderId="0" xfId="0" applyFont="1" applyFill="1" applyBorder="1"/>
    <xf numFmtId="0" fontId="7" fillId="46" borderId="0" xfId="0" applyFont="1" applyFill="1" applyBorder="1"/>
    <xf numFmtId="0" fontId="7" fillId="27" borderId="0" xfId="0" applyFont="1" applyFill="1" applyBorder="1"/>
    <xf numFmtId="0" fontId="7" fillId="39" borderId="0" xfId="0" applyFont="1" applyFill="1" applyBorder="1"/>
    <xf numFmtId="0" fontId="7" fillId="49" borderId="0" xfId="0" applyFont="1" applyFill="1" applyBorder="1"/>
    <xf numFmtId="0" fontId="7" fillId="14" borderId="0" xfId="0" applyFont="1" applyFill="1" applyBorder="1"/>
    <xf numFmtId="0" fontId="7" fillId="18" borderId="0" xfId="0" applyFont="1" applyFill="1" applyBorder="1"/>
    <xf numFmtId="0" fontId="7" fillId="48" borderId="0" xfId="0" applyFont="1" applyFill="1" applyBorder="1"/>
    <xf numFmtId="0" fontId="7" fillId="26" borderId="0" xfId="0" applyFont="1" applyFill="1" applyBorder="1"/>
    <xf numFmtId="0" fontId="7" fillId="21" borderId="0" xfId="0" applyFont="1" applyFill="1" applyBorder="1"/>
    <xf numFmtId="0" fontId="7" fillId="50" borderId="0" xfId="0" applyFont="1" applyFill="1" applyBorder="1"/>
    <xf numFmtId="0" fontId="4" fillId="54" borderId="0" xfId="0" applyFont="1" applyFill="1" applyBorder="1"/>
    <xf numFmtId="0" fontId="4" fillId="40" borderId="0" xfId="0" applyFont="1" applyFill="1" applyBorder="1"/>
    <xf numFmtId="0" fontId="2" fillId="40" borderId="0" xfId="0" applyFont="1" applyFill="1" applyBorder="1"/>
    <xf numFmtId="0" fontId="0" fillId="29" borderId="2" xfId="0" applyFill="1" applyBorder="1"/>
    <xf numFmtId="0" fontId="0" fillId="30" borderId="2" xfId="0" applyFill="1" applyBorder="1"/>
    <xf numFmtId="0" fontId="4" fillId="52" borderId="0" xfId="0" applyFont="1" applyFill="1" applyBorder="1"/>
    <xf numFmtId="0" fontId="2" fillId="54" borderId="0" xfId="0" applyFont="1" applyFill="1" applyBorder="1"/>
    <xf numFmtId="0" fontId="0" fillId="28" borderId="2" xfId="0" applyFill="1" applyBorder="1"/>
    <xf numFmtId="0" fontId="2" fillId="52" borderId="0" xfId="0" applyFont="1" applyFill="1" applyBorder="1"/>
    <xf numFmtId="0" fontId="4" fillId="41" borderId="0" xfId="0" applyFont="1" applyFill="1" applyBorder="1"/>
    <xf numFmtId="0" fontId="2" fillId="0" borderId="7" xfId="0" applyFont="1" applyFill="1" applyBorder="1"/>
    <xf numFmtId="0" fontId="0" fillId="0" borderId="7" xfId="0" applyFill="1" applyBorder="1"/>
    <xf numFmtId="0" fontId="0" fillId="25" borderId="2" xfId="0" applyFill="1" applyBorder="1"/>
    <xf numFmtId="0" fontId="0" fillId="24" borderId="2" xfId="0" applyFill="1" applyBorder="1"/>
    <xf numFmtId="0" fontId="7" fillId="0" borderId="1" xfId="0" applyFont="1" applyBorder="1"/>
    <xf numFmtId="0" fontId="8" fillId="0" borderId="19" xfId="0" applyFont="1" applyFill="1" applyBorder="1"/>
    <xf numFmtId="0" fontId="0" fillId="26" borderId="0" xfId="0" applyFont="1" applyFill="1" applyBorder="1"/>
    <xf numFmtId="0" fontId="7" fillId="56" borderId="6" xfId="0" applyFont="1" applyFill="1" applyBorder="1"/>
    <xf numFmtId="0" fontId="7" fillId="0" borderId="6" xfId="0" applyFont="1" applyFill="1" applyBorder="1"/>
    <xf numFmtId="0" fontId="7" fillId="0" borderId="4" xfId="0" applyFont="1" applyFill="1" applyBorder="1"/>
    <xf numFmtId="0" fontId="7" fillId="0" borderId="20" xfId="0" applyFont="1" applyBorder="1"/>
    <xf numFmtId="0" fontId="7" fillId="0" borderId="21" xfId="0" applyFont="1" applyBorder="1"/>
    <xf numFmtId="0" fontId="7" fillId="0" borderId="22" xfId="0" applyFont="1" applyBorder="1"/>
    <xf numFmtId="0" fontId="7" fillId="0" borderId="23" xfId="0" applyFont="1" applyBorder="1"/>
    <xf numFmtId="0" fontId="7" fillId="0" borderId="24" xfId="0" applyFont="1" applyBorder="1"/>
    <xf numFmtId="0" fontId="7" fillId="31" borderId="4" xfId="0" applyFont="1" applyFill="1" applyBorder="1"/>
    <xf numFmtId="0" fontId="7" fillId="31" borderId="6" xfId="0" applyFont="1" applyFill="1" applyBorder="1"/>
    <xf numFmtId="0" fontId="4" fillId="0" borderId="7" xfId="0" applyNumberFormat="1" applyFont="1" applyFill="1" applyBorder="1" applyAlignment="1" applyProtection="1"/>
    <xf numFmtId="0" fontId="0" fillId="32" borderId="6" xfId="0" applyFill="1" applyBorder="1"/>
    <xf numFmtId="0" fontId="0" fillId="8" borderId="2" xfId="0" applyFill="1" applyBorder="1"/>
    <xf numFmtId="0" fontId="0" fillId="7" borderId="1" xfId="0" applyFill="1" applyBorder="1"/>
    <xf numFmtId="0" fontId="0" fillId="9" borderId="1" xfId="0" applyFill="1" applyBorder="1"/>
    <xf numFmtId="0" fontId="0" fillId="35" borderId="2" xfId="0" applyFill="1" applyBorder="1"/>
    <xf numFmtId="0" fontId="0" fillId="60" borderId="25" xfId="0" applyFill="1" applyBorder="1" applyAlignment="1">
      <alignment horizontal="center" vertical="center"/>
    </xf>
    <xf numFmtId="0" fontId="0" fillId="0" borderId="0" xfId="0" applyAlignment="1">
      <alignment horizontal="center" vertical="center"/>
    </xf>
    <xf numFmtId="0" fontId="0" fillId="67" borderId="0" xfId="0" applyFill="1" applyBorder="1" applyAlignment="1">
      <alignment horizontal="center" vertical="center"/>
    </xf>
    <xf numFmtId="0" fontId="0" fillId="65" borderId="0" xfId="0" applyFill="1" applyBorder="1" applyAlignment="1">
      <alignment horizontal="center" vertical="center"/>
    </xf>
    <xf numFmtId="0" fontId="0" fillId="65" borderId="25" xfId="0" applyFill="1" applyBorder="1" applyAlignment="1">
      <alignment horizontal="center" vertical="center"/>
    </xf>
    <xf numFmtId="0" fontId="0" fillId="59" borderId="0" xfId="0" applyFill="1" applyBorder="1" applyAlignment="1">
      <alignment horizontal="center" vertical="center"/>
    </xf>
    <xf numFmtId="0" fontId="0" fillId="60" borderId="0" xfId="0" applyFill="1" applyBorder="1" applyAlignment="1">
      <alignment horizontal="center" vertical="center"/>
    </xf>
    <xf numFmtId="0" fontId="0" fillId="60" borderId="26" xfId="0" applyFill="1" applyBorder="1" applyAlignment="1">
      <alignment horizontal="center" vertical="center"/>
    </xf>
    <xf numFmtId="0" fontId="0" fillId="1" borderId="27" xfId="0" applyFill="1" applyBorder="1" applyAlignment="1">
      <alignment horizontal="center" vertical="center"/>
    </xf>
    <xf numFmtId="0" fontId="0" fillId="1" borderId="28" xfId="0" applyFill="1" applyBorder="1" applyAlignment="1">
      <alignment horizontal="center" vertical="center"/>
    </xf>
    <xf numFmtId="0" fontId="0" fillId="60" borderId="29" xfId="0" applyFill="1" applyBorder="1" applyAlignment="1">
      <alignment horizontal="center" vertical="center"/>
    </xf>
    <xf numFmtId="0" fontId="0" fillId="60" borderId="30" xfId="0" applyFill="1" applyBorder="1" applyAlignment="1">
      <alignment horizontal="center" vertical="center"/>
    </xf>
    <xf numFmtId="0" fontId="0" fillId="64" borderId="0" xfId="0" applyFill="1" applyBorder="1" applyAlignment="1">
      <alignment horizontal="center" vertical="center"/>
    </xf>
    <xf numFmtId="0" fontId="0" fillId="60" borderId="31" xfId="0" applyFill="1" applyBorder="1" applyAlignment="1">
      <alignment horizontal="center" vertical="center"/>
    </xf>
    <xf numFmtId="0" fontId="0" fillId="64" borderId="32" xfId="0" applyFill="1" applyBorder="1" applyAlignment="1">
      <alignment horizontal="center" vertical="center"/>
    </xf>
    <xf numFmtId="0" fontId="0" fillId="59" borderId="33" xfId="0" applyFill="1" applyBorder="1" applyAlignment="1">
      <alignment horizontal="center" vertical="center"/>
    </xf>
    <xf numFmtId="0" fontId="0" fillId="60" borderId="34" xfId="0" applyFill="1" applyBorder="1" applyAlignment="1">
      <alignment horizontal="center" vertical="center"/>
    </xf>
    <xf numFmtId="0" fontId="0" fillId="60" borderId="35" xfId="0" applyFill="1" applyBorder="1" applyAlignment="1">
      <alignment horizontal="center" vertical="center"/>
    </xf>
    <xf numFmtId="0" fontId="0" fillId="60" borderId="36" xfId="0" applyFill="1" applyBorder="1" applyAlignment="1">
      <alignment horizontal="center" vertical="center"/>
    </xf>
    <xf numFmtId="0" fontId="0" fillId="60" borderId="37" xfId="0" applyFill="1" applyBorder="1" applyAlignment="1">
      <alignment horizontal="center" vertical="center"/>
    </xf>
    <xf numFmtId="0" fontId="0" fillId="59" borderId="19" xfId="0" applyFill="1" applyBorder="1" applyAlignment="1">
      <alignment horizontal="center" vertical="center"/>
    </xf>
    <xf numFmtId="0" fontId="0" fillId="60" borderId="38" xfId="0" applyFill="1" applyBorder="1" applyAlignment="1">
      <alignment horizontal="center" vertical="center"/>
    </xf>
    <xf numFmtId="0" fontId="0" fillId="65" borderId="39" xfId="0" applyFill="1" applyBorder="1" applyAlignment="1">
      <alignment horizontal="center" vertical="center"/>
    </xf>
    <xf numFmtId="0" fontId="0" fillId="64" borderId="25" xfId="0" applyFill="1" applyBorder="1" applyAlignment="1">
      <alignment horizontal="center" vertical="center"/>
    </xf>
    <xf numFmtId="0" fontId="0" fillId="67" borderId="25" xfId="0" applyFill="1" applyBorder="1" applyAlignment="1">
      <alignment horizontal="center" vertical="center"/>
    </xf>
    <xf numFmtId="0" fontId="0" fillId="60" borderId="40" xfId="0" applyFill="1" applyBorder="1" applyAlignment="1">
      <alignment horizontal="center" vertical="center"/>
    </xf>
    <xf numFmtId="0" fontId="0" fillId="68" borderId="0" xfId="0" applyFill="1" applyBorder="1" applyAlignment="1">
      <alignment horizontal="center" vertical="center"/>
    </xf>
    <xf numFmtId="0" fontId="0" fillId="60" borderId="41" xfId="0" applyFill="1" applyBorder="1" applyAlignment="1">
      <alignment horizontal="center" vertical="center"/>
    </xf>
    <xf numFmtId="0" fontId="0" fillId="60" borderId="42" xfId="0" applyFill="1" applyBorder="1" applyAlignment="1">
      <alignment horizontal="center" vertical="center"/>
    </xf>
    <xf numFmtId="0" fontId="0" fillId="60" borderId="0" xfId="0" applyFill="1" applyBorder="1" applyAlignment="1">
      <alignment horizontal="center" vertical="top"/>
    </xf>
    <xf numFmtId="0" fontId="0" fillId="60" borderId="25" xfId="0" applyFill="1" applyBorder="1" applyAlignment="1">
      <alignment horizontal="center" vertical="justify"/>
    </xf>
    <xf numFmtId="0" fontId="0" fillId="59" borderId="33" xfId="0" applyFill="1" applyBorder="1" applyAlignment="1">
      <alignment horizontal="center" vertical="top"/>
    </xf>
    <xf numFmtId="0" fontId="0" fillId="0" borderId="5" xfId="0" applyBorder="1"/>
    <xf numFmtId="0" fontId="0" fillId="28" borderId="6" xfId="0" applyFill="1" applyBorder="1"/>
    <xf numFmtId="0" fontId="0" fillId="59" borderId="0" xfId="0" applyFill="1" applyBorder="1" applyAlignment="1">
      <alignment horizontal="center" vertical="top"/>
    </xf>
    <xf numFmtId="0" fontId="0" fillId="59" borderId="0" xfId="0" applyFill="1" applyBorder="1" applyAlignment="1">
      <alignment horizontal="center"/>
    </xf>
    <xf numFmtId="0" fontId="0" fillId="59" borderId="0" xfId="0" applyFill="1" applyBorder="1" applyAlignment="1">
      <alignment horizontal="center" vertical="justify"/>
    </xf>
    <xf numFmtId="0" fontId="0" fillId="59" borderId="0" xfId="0" applyFill="1" applyBorder="1" applyAlignment="1">
      <alignment horizontal="center" vertical="distributed"/>
    </xf>
    <xf numFmtId="0" fontId="0" fillId="68" borderId="43" xfId="0" applyFill="1" applyBorder="1" applyAlignment="1">
      <alignment horizontal="center"/>
    </xf>
    <xf numFmtId="0" fontId="0" fillId="69" borderId="0" xfId="0" applyFill="1" applyBorder="1" applyAlignment="1">
      <alignment vertical="center"/>
    </xf>
    <xf numFmtId="0" fontId="0" fillId="59" borderId="33" xfId="0" applyFill="1" applyBorder="1" applyAlignment="1">
      <alignment horizontal="center" vertical="distributed"/>
    </xf>
    <xf numFmtId="0" fontId="0" fillId="59" borderId="33" xfId="0" applyFill="1" applyBorder="1" applyAlignment="1">
      <alignment horizontal="center" vertical="justify"/>
    </xf>
    <xf numFmtId="0" fontId="2" fillId="0" borderId="0" xfId="0" applyFont="1" applyBorder="1"/>
    <xf numFmtId="0" fontId="0" fillId="67" borderId="0" xfId="0" applyFill="1" applyBorder="1" applyAlignment="1">
      <alignment horizontal="center" vertical="justify"/>
    </xf>
    <xf numFmtId="0" fontId="4" fillId="55" borderId="0" xfId="0" applyFont="1" applyFill="1" applyBorder="1"/>
    <xf numFmtId="0" fontId="12" fillId="60" borderId="0" xfId="0" applyFont="1" applyFill="1" applyBorder="1" applyAlignment="1">
      <alignment horizontal="center" vertical="justify"/>
    </xf>
    <xf numFmtId="0" fontId="12" fillId="64" borderId="0" xfId="0" applyFont="1" applyFill="1" applyBorder="1" applyAlignment="1">
      <alignment vertical="center"/>
    </xf>
    <xf numFmtId="0" fontId="0" fillId="60" borderId="44" xfId="0" applyFill="1" applyBorder="1" applyAlignment="1">
      <alignment horizontal="center" vertical="center"/>
    </xf>
    <xf numFmtId="0" fontId="7" fillId="51" borderId="0" xfId="0" applyFont="1" applyFill="1"/>
    <xf numFmtId="0" fontId="7" fillId="50" borderId="0" xfId="0" applyFont="1" applyFill="1"/>
    <xf numFmtId="0" fontId="7" fillId="53" borderId="0" xfId="0" applyFont="1" applyFill="1"/>
    <xf numFmtId="0" fontId="7" fillId="55" borderId="0" xfId="0" applyFont="1" applyFill="1"/>
    <xf numFmtId="0" fontId="7" fillId="51" borderId="1" xfId="0" applyFont="1" applyFill="1" applyBorder="1"/>
    <xf numFmtId="0" fontId="7" fillId="55" borderId="1" xfId="0" applyFont="1" applyFill="1" applyBorder="1"/>
    <xf numFmtId="0" fontId="7" fillId="47" borderId="0" xfId="0" applyFont="1" applyFill="1"/>
    <xf numFmtId="0" fontId="6" fillId="30" borderId="0" xfId="0" applyFont="1" applyFill="1" applyBorder="1"/>
    <xf numFmtId="0" fontId="6" fillId="30" borderId="2" xfId="0" applyFont="1" applyFill="1" applyBorder="1"/>
    <xf numFmtId="0" fontId="7" fillId="32" borderId="0" xfId="0" applyFont="1" applyFill="1"/>
    <xf numFmtId="0" fontId="7" fillId="32" borderId="2" xfId="0" applyFont="1" applyFill="1" applyBorder="1"/>
    <xf numFmtId="0" fontId="7" fillId="29" borderId="0" xfId="0" applyFont="1" applyFill="1"/>
    <xf numFmtId="0" fontId="7" fillId="25" borderId="1" xfId="0" applyFont="1" applyFill="1" applyBorder="1"/>
    <xf numFmtId="0" fontId="7" fillId="35" borderId="1" xfId="0" applyFont="1" applyFill="1" applyBorder="1"/>
    <xf numFmtId="0" fontId="6" fillId="30" borderId="1" xfId="0" applyFont="1" applyFill="1" applyBorder="1"/>
    <xf numFmtId="0" fontId="7" fillId="32" borderId="1" xfId="0" applyFont="1" applyFill="1" applyBorder="1"/>
    <xf numFmtId="0" fontId="7" fillId="32" borderId="8" xfId="0" applyFont="1" applyFill="1" applyBorder="1"/>
    <xf numFmtId="0" fontId="6" fillId="36" borderId="0" xfId="0" applyFont="1" applyFill="1" applyBorder="1"/>
    <xf numFmtId="0" fontId="7" fillId="0" borderId="2" xfId="0" applyFont="1" applyFill="1" applyBorder="1"/>
    <xf numFmtId="0" fontId="7" fillId="35" borderId="0" xfId="0" applyFont="1" applyFill="1"/>
    <xf numFmtId="0" fontId="6" fillId="4" borderId="0" xfId="0" applyFont="1" applyFill="1" applyBorder="1"/>
    <xf numFmtId="0" fontId="7" fillId="37" borderId="0" xfId="0" applyFont="1" applyFill="1"/>
    <xf numFmtId="0" fontId="6" fillId="36" borderId="1" xfId="0" applyFont="1" applyFill="1" applyBorder="1"/>
    <xf numFmtId="0" fontId="7" fillId="0" borderId="1" xfId="0" applyFont="1" applyFill="1" applyBorder="1"/>
    <xf numFmtId="0" fontId="7" fillId="0" borderId="8" xfId="0" applyFont="1" applyFill="1" applyBorder="1"/>
    <xf numFmtId="0" fontId="6" fillId="28" borderId="0" xfId="0" applyFont="1" applyFill="1" applyBorder="1"/>
    <xf numFmtId="0" fontId="7" fillId="36" borderId="1" xfId="0" applyFont="1" applyFill="1" applyBorder="1"/>
    <xf numFmtId="0" fontId="6" fillId="37" borderId="0" xfId="0" applyFont="1" applyFill="1" applyBorder="1"/>
    <xf numFmtId="0" fontId="6" fillId="34" borderId="0" xfId="0" applyFont="1" applyFill="1" applyBorder="1"/>
    <xf numFmtId="0" fontId="6" fillId="24" borderId="0" xfId="0" applyFont="1" applyFill="1" applyBorder="1"/>
    <xf numFmtId="0" fontId="6" fillId="27" borderId="0" xfId="0" applyFont="1" applyFill="1" applyBorder="1"/>
    <xf numFmtId="0" fontId="6" fillId="26" borderId="0" xfId="0" applyFont="1" applyFill="1" applyBorder="1"/>
    <xf numFmtId="0" fontId="7" fillId="26" borderId="0" xfId="0" applyFont="1" applyFill="1"/>
    <xf numFmtId="0" fontId="6" fillId="37" borderId="1" xfId="0" applyFont="1" applyFill="1" applyBorder="1"/>
    <xf numFmtId="0" fontId="7" fillId="29" borderId="1" xfId="0" applyFont="1" applyFill="1" applyBorder="1"/>
    <xf numFmtId="0" fontId="7" fillId="31" borderId="1" xfId="0" applyFont="1" applyFill="1" applyBorder="1"/>
    <xf numFmtId="0" fontId="7" fillId="30" borderId="1" xfId="0" applyFont="1" applyFill="1" applyBorder="1"/>
    <xf numFmtId="0" fontId="7" fillId="31" borderId="0" xfId="0" applyFont="1" applyFill="1"/>
    <xf numFmtId="0" fontId="7" fillId="33" borderId="0" xfId="0" applyFont="1" applyFill="1"/>
    <xf numFmtId="0" fontId="7" fillId="0" borderId="9" xfId="0" applyFont="1" applyFill="1" applyBorder="1"/>
    <xf numFmtId="0" fontId="7" fillId="33" borderId="9" xfId="0" applyFont="1" applyFill="1" applyBorder="1"/>
    <xf numFmtId="0" fontId="7" fillId="31" borderId="9" xfId="0" applyFont="1" applyFill="1" applyBorder="1"/>
    <xf numFmtId="0" fontId="7" fillId="54" borderId="1" xfId="0" applyFont="1" applyFill="1" applyBorder="1"/>
    <xf numFmtId="0" fontId="7" fillId="14" borderId="0" xfId="0" applyFont="1" applyFill="1"/>
    <xf numFmtId="0" fontId="13" fillId="0" borderId="0" xfId="0" applyFont="1" applyFill="1"/>
    <xf numFmtId="0" fontId="6" fillId="11" borderId="0" xfId="0" applyFont="1" applyFill="1" applyBorder="1"/>
    <xf numFmtId="0" fontId="6" fillId="9" borderId="2" xfId="0" applyFont="1" applyFill="1" applyBorder="1"/>
    <xf numFmtId="0" fontId="6" fillId="10" borderId="9" xfId="0" applyFont="1" applyFill="1" applyBorder="1"/>
    <xf numFmtId="0" fontId="6" fillId="7" borderId="9" xfId="0" applyFont="1" applyFill="1" applyBorder="1"/>
    <xf numFmtId="0" fontId="6" fillId="14" borderId="0" xfId="0" applyFont="1" applyFill="1" applyBorder="1"/>
    <xf numFmtId="0" fontId="6" fillId="12" borderId="0" xfId="0" applyFont="1" applyFill="1" applyBorder="1"/>
    <xf numFmtId="0" fontId="6" fillId="9" borderId="9" xfId="0" applyFont="1" applyFill="1" applyBorder="1"/>
    <xf numFmtId="0" fontId="6" fillId="8" borderId="9" xfId="0" applyFont="1" applyFill="1" applyBorder="1"/>
    <xf numFmtId="0" fontId="7" fillId="36" borderId="9" xfId="0" applyFont="1" applyFill="1" applyBorder="1"/>
    <xf numFmtId="0" fontId="7" fillId="30" borderId="0" xfId="0" applyFont="1" applyFill="1"/>
    <xf numFmtId="0" fontId="7" fillId="28" borderId="0" xfId="0" applyFont="1" applyFill="1"/>
    <xf numFmtId="0" fontId="7" fillId="33" borderId="1" xfId="0" applyFont="1" applyFill="1" applyBorder="1"/>
    <xf numFmtId="0" fontId="7" fillId="25" borderId="0" xfId="0" applyFont="1" applyFill="1"/>
    <xf numFmtId="0" fontId="7" fillId="37" borderId="1" xfId="0" applyFont="1" applyFill="1" applyBorder="1"/>
    <xf numFmtId="0" fontId="7" fillId="8" borderId="1" xfId="0" applyFont="1" applyFill="1" applyBorder="1"/>
    <xf numFmtId="0" fontId="7" fillId="37" borderId="2" xfId="0" applyFont="1" applyFill="1" applyBorder="1"/>
    <xf numFmtId="0" fontId="7" fillId="31" borderId="2" xfId="0" applyFont="1" applyFill="1" applyBorder="1"/>
    <xf numFmtId="0" fontId="7" fillId="3" borderId="0" xfId="0" applyFont="1" applyFill="1"/>
    <xf numFmtId="0" fontId="7" fillId="3" borderId="2" xfId="0" applyFont="1" applyFill="1" applyBorder="1"/>
    <xf numFmtId="0" fontId="7" fillId="34" borderId="0" xfId="0" applyFont="1" applyFill="1"/>
    <xf numFmtId="0" fontId="6" fillId="29" borderId="0" xfId="0" applyFont="1" applyFill="1" applyBorder="1"/>
    <xf numFmtId="0" fontId="6" fillId="31" borderId="0" xfId="0" applyFont="1" applyFill="1" applyBorder="1"/>
    <xf numFmtId="0" fontId="6" fillId="32" borderId="0" xfId="0" applyFont="1" applyFill="1" applyBorder="1"/>
    <xf numFmtId="0" fontId="6" fillId="31" borderId="2" xfId="0" applyFont="1" applyFill="1" applyBorder="1"/>
    <xf numFmtId="0" fontId="6" fillId="31" borderId="9" xfId="0" applyFont="1" applyFill="1" applyBorder="1"/>
    <xf numFmtId="0" fontId="6" fillId="33" borderId="2" xfId="0" applyFont="1" applyFill="1" applyBorder="1"/>
    <xf numFmtId="0" fontId="6" fillId="33" borderId="9" xfId="0" applyFont="1" applyFill="1" applyBorder="1"/>
    <xf numFmtId="0" fontId="6" fillId="32" borderId="9" xfId="0" applyFont="1" applyFill="1" applyBorder="1"/>
    <xf numFmtId="0" fontId="6" fillId="0" borderId="2" xfId="0" applyFont="1" applyFill="1" applyBorder="1"/>
    <xf numFmtId="0" fontId="6" fillId="0" borderId="9" xfId="0" applyFont="1" applyFill="1" applyBorder="1"/>
    <xf numFmtId="0" fontId="6" fillId="33" borderId="0" xfId="0" applyFont="1" applyFill="1" applyBorder="1"/>
    <xf numFmtId="0" fontId="6" fillId="29" borderId="2" xfId="0" applyFont="1" applyFill="1" applyBorder="1"/>
    <xf numFmtId="0" fontId="6" fillId="29" borderId="9" xfId="0" applyFont="1" applyFill="1" applyBorder="1"/>
    <xf numFmtId="0" fontId="6" fillId="30" borderId="9" xfId="0" applyFont="1" applyFill="1" applyBorder="1"/>
    <xf numFmtId="0" fontId="6" fillId="33" borderId="1" xfId="0" applyFont="1" applyFill="1" applyBorder="1"/>
    <xf numFmtId="0" fontId="6" fillId="31" borderId="1" xfId="0" applyFont="1" applyFill="1" applyBorder="1"/>
    <xf numFmtId="0" fontId="6" fillId="0" borderId="1" xfId="0" applyFont="1" applyFill="1" applyBorder="1"/>
    <xf numFmtId="0" fontId="6" fillId="32" borderId="1" xfId="0" applyFont="1" applyFill="1" applyBorder="1"/>
    <xf numFmtId="0" fontId="6" fillId="32" borderId="45" xfId="0" applyFont="1" applyFill="1" applyBorder="1"/>
    <xf numFmtId="0" fontId="6" fillId="47" borderId="0" xfId="0" applyFont="1" applyFill="1" applyBorder="1"/>
    <xf numFmtId="0" fontId="6" fillId="2" borderId="0" xfId="0" applyFont="1" applyFill="1" applyBorder="1"/>
    <xf numFmtId="0" fontId="13" fillId="0" borderId="0" xfId="0" applyFont="1" applyFill="1" applyBorder="1"/>
    <xf numFmtId="0" fontId="6" fillId="2" borderId="1" xfId="0" applyFont="1" applyFill="1" applyBorder="1"/>
    <xf numFmtId="0" fontId="6" fillId="2" borderId="45" xfId="0" applyFont="1" applyFill="1" applyBorder="1"/>
    <xf numFmtId="0" fontId="7" fillId="52" borderId="0" xfId="0" applyFont="1" applyFill="1"/>
    <xf numFmtId="0" fontId="7" fillId="55" borderId="2" xfId="0" applyFont="1" applyFill="1" applyBorder="1"/>
    <xf numFmtId="0" fontId="7" fillId="28" borderId="2" xfId="0" applyFont="1" applyFill="1" applyBorder="1"/>
    <xf numFmtId="0" fontId="6" fillId="55" borderId="0" xfId="0" applyFont="1" applyFill="1" applyBorder="1"/>
    <xf numFmtId="0" fontId="7" fillId="53" borderId="1" xfId="0" applyFont="1" applyFill="1" applyBorder="1"/>
    <xf numFmtId="0" fontId="6" fillId="33" borderId="45" xfId="0" applyFont="1" applyFill="1" applyBorder="1"/>
    <xf numFmtId="0" fontId="7" fillId="31" borderId="45" xfId="0" applyFont="1" applyFill="1" applyBorder="1"/>
    <xf numFmtId="0" fontId="7" fillId="32" borderId="9" xfId="0" applyFont="1" applyFill="1" applyBorder="1"/>
    <xf numFmtId="0" fontId="7" fillId="7" borderId="0" xfId="0" applyFont="1" applyFill="1"/>
    <xf numFmtId="0" fontId="7" fillId="56" borderId="0" xfId="0" applyFont="1" applyFill="1"/>
    <xf numFmtId="0" fontId="7" fillId="47" borderId="3" xfId="0" applyFont="1" applyFill="1" applyBorder="1"/>
    <xf numFmtId="0" fontId="7" fillId="47" borderId="4" xfId="0" applyFont="1" applyFill="1" applyBorder="1"/>
    <xf numFmtId="0" fontId="7" fillId="47" borderId="5" xfId="0" applyFont="1" applyFill="1" applyBorder="1"/>
    <xf numFmtId="0" fontId="7" fillId="47" borderId="6" xfId="0" applyFont="1" applyFill="1" applyBorder="1"/>
    <xf numFmtId="0" fontId="7" fillId="47" borderId="2" xfId="0" applyFont="1" applyFill="1" applyBorder="1"/>
    <xf numFmtId="0" fontId="7" fillId="30" borderId="2" xfId="0" applyFont="1" applyFill="1" applyBorder="1"/>
    <xf numFmtId="0" fontId="7" fillId="0" borderId="7" xfId="0" applyFont="1" applyFill="1" applyBorder="1"/>
    <xf numFmtId="0" fontId="7" fillId="30" borderId="8" xfId="0" applyFont="1" applyFill="1" applyBorder="1"/>
    <xf numFmtId="0" fontId="6" fillId="30" borderId="7" xfId="0" applyFont="1" applyFill="1" applyBorder="1"/>
    <xf numFmtId="0" fontId="7" fillId="52" borderId="3" xfId="0" applyFont="1" applyFill="1" applyBorder="1"/>
    <xf numFmtId="0" fontId="7" fillId="52" borderId="4" xfId="0" applyFont="1" applyFill="1" applyBorder="1"/>
    <xf numFmtId="0" fontId="7" fillId="54" borderId="3" xfId="0" applyFont="1" applyFill="1" applyBorder="1"/>
    <xf numFmtId="0" fontId="7" fillId="54" borderId="4" xfId="0" applyFont="1" applyFill="1" applyBorder="1"/>
    <xf numFmtId="0" fontId="7" fillId="52" borderId="6" xfId="0" applyFont="1" applyFill="1" applyBorder="1"/>
    <xf numFmtId="0" fontId="7" fillId="52" borderId="2" xfId="0" applyFont="1" applyFill="1" applyBorder="1"/>
    <xf numFmtId="0" fontId="7" fillId="55" borderId="6" xfId="0" applyFont="1" applyFill="1" applyBorder="1"/>
    <xf numFmtId="0" fontId="7" fillId="46" borderId="6" xfId="0" applyFont="1" applyFill="1" applyBorder="1"/>
    <xf numFmtId="0" fontId="7" fillId="46" borderId="2" xfId="0" applyFont="1" applyFill="1" applyBorder="1"/>
    <xf numFmtId="0" fontId="7" fillId="45" borderId="6" xfId="0" applyFont="1" applyFill="1" applyBorder="1"/>
    <xf numFmtId="0" fontId="7" fillId="45" borderId="2" xfId="0" applyFont="1" applyFill="1" applyBorder="1"/>
    <xf numFmtId="0" fontId="7" fillId="48" borderId="6" xfId="0" applyFont="1" applyFill="1" applyBorder="1"/>
    <xf numFmtId="0" fontId="7" fillId="48" borderId="2" xfId="0" applyFont="1" applyFill="1" applyBorder="1"/>
    <xf numFmtId="0" fontId="7" fillId="50" borderId="6" xfId="0" applyFont="1" applyFill="1" applyBorder="1"/>
    <xf numFmtId="0" fontId="7" fillId="53" borderId="6" xfId="0" applyFont="1" applyFill="1" applyBorder="1"/>
    <xf numFmtId="0" fontId="7" fillId="53" borderId="2" xfId="0" applyFont="1" applyFill="1" applyBorder="1"/>
    <xf numFmtId="0" fontId="7" fillId="54" borderId="6" xfId="0" applyFont="1" applyFill="1" applyBorder="1"/>
    <xf numFmtId="0" fontId="7" fillId="54" borderId="2" xfId="0" applyFont="1" applyFill="1" applyBorder="1"/>
    <xf numFmtId="0" fontId="7" fillId="2" borderId="6" xfId="0" applyFont="1" applyFill="1" applyBorder="1"/>
    <xf numFmtId="0" fontId="7" fillId="2" borderId="2" xfId="0" applyFont="1" applyFill="1" applyBorder="1"/>
    <xf numFmtId="0" fontId="7" fillId="33" borderId="6" xfId="0" applyFont="1" applyFill="1" applyBorder="1"/>
    <xf numFmtId="0" fontId="7" fillId="33" borderId="2" xfId="0" applyFont="1" applyFill="1" applyBorder="1"/>
    <xf numFmtId="0" fontId="7" fillId="36" borderId="7" xfId="0" applyFont="1" applyFill="1" applyBorder="1"/>
    <xf numFmtId="0" fontId="0" fillId="60" borderId="25" xfId="0" applyFill="1" applyBorder="1" applyAlignment="1">
      <alignment horizontal="center"/>
    </xf>
    <xf numFmtId="0" fontId="0" fillId="60" borderId="25" xfId="0" applyFill="1" applyBorder="1" applyAlignment="1">
      <alignment horizontal="center" vertical="top"/>
    </xf>
    <xf numFmtId="0" fontId="7" fillId="0" borderId="3" xfId="0" applyFont="1" applyFill="1" applyBorder="1"/>
    <xf numFmtId="0" fontId="2" fillId="0" borderId="3" xfId="0" applyFont="1" applyFill="1" applyBorder="1"/>
    <xf numFmtId="0" fontId="2" fillId="0" borderId="5" xfId="0" applyFont="1" applyFill="1" applyBorder="1"/>
    <xf numFmtId="0" fontId="2" fillId="56" borderId="0" xfId="0" applyFont="1" applyFill="1" applyBorder="1"/>
    <xf numFmtId="0" fontId="2" fillId="55" borderId="0" xfId="0" applyFont="1" applyFill="1" applyBorder="1"/>
    <xf numFmtId="0" fontId="2" fillId="51" borderId="0" xfId="0" applyFont="1" applyFill="1" applyBorder="1"/>
    <xf numFmtId="0" fontId="2" fillId="0" borderId="6" xfId="0" applyNumberFormat="1" applyFont="1" applyFill="1" applyBorder="1" applyAlignment="1" applyProtection="1"/>
    <xf numFmtId="0" fontId="2" fillId="56" borderId="6" xfId="0" applyFont="1" applyFill="1" applyBorder="1"/>
    <xf numFmtId="0" fontId="2" fillId="52" borderId="6" xfId="0" applyFont="1" applyFill="1" applyBorder="1"/>
    <xf numFmtId="0" fontId="2" fillId="53" borderId="0" xfId="0" applyFont="1" applyFill="1" applyBorder="1"/>
    <xf numFmtId="0" fontId="2" fillId="56" borderId="1" xfId="0" applyFont="1" applyFill="1" applyBorder="1"/>
    <xf numFmtId="0" fontId="2" fillId="51" borderId="1" xfId="0" applyFont="1" applyFill="1" applyBorder="1"/>
    <xf numFmtId="0" fontId="2" fillId="55" borderId="1" xfId="0" applyFont="1" applyFill="1" applyBorder="1"/>
    <xf numFmtId="0" fontId="2" fillId="52" borderId="1" xfId="0" applyFont="1" applyFill="1" applyBorder="1"/>
    <xf numFmtId="0" fontId="2" fillId="0" borderId="7" xfId="0" applyNumberFormat="1" applyFont="1" applyFill="1" applyBorder="1" applyAlignment="1" applyProtection="1"/>
    <xf numFmtId="0" fontId="4" fillId="26" borderId="6" xfId="0" applyNumberFormat="1" applyFont="1" applyFill="1" applyBorder="1" applyAlignment="1" applyProtection="1"/>
    <xf numFmtId="0" fontId="0" fillId="0" borderId="0" xfId="0" applyFont="1"/>
    <xf numFmtId="0" fontId="7" fillId="0" borderId="5" xfId="0" applyFont="1" applyFill="1" applyBorder="1"/>
    <xf numFmtId="0" fontId="0" fillId="32" borderId="2" xfId="0" applyFill="1" applyBorder="1"/>
    <xf numFmtId="0" fontId="0" fillId="60" borderId="25" xfId="0" applyFill="1" applyBorder="1" applyAlignment="1">
      <alignment horizontal="center" vertical="distributed"/>
    </xf>
    <xf numFmtId="0" fontId="0" fillId="0" borderId="6" xfId="0" applyBorder="1"/>
    <xf numFmtId="0" fontId="0" fillId="0" borderId="7" xfId="0" applyBorder="1"/>
    <xf numFmtId="0" fontId="0" fillId="0" borderId="8" xfId="0" applyBorder="1"/>
    <xf numFmtId="0" fontId="6" fillId="30" borderId="6" xfId="0" applyFont="1" applyFill="1" applyBorder="1"/>
    <xf numFmtId="0" fontId="0" fillId="67" borderId="0" xfId="0" applyFill="1" applyBorder="1" applyAlignment="1">
      <alignment horizontal="center"/>
    </xf>
    <xf numFmtId="0" fontId="0" fillId="60" borderId="39" xfId="0" applyFill="1" applyBorder="1" applyAlignment="1">
      <alignment horizontal="center" vertical="top"/>
    </xf>
    <xf numFmtId="0" fontId="0" fillId="69" borderId="25" xfId="0" applyFill="1" applyBorder="1" applyAlignment="1">
      <alignment horizontal="center" vertical="center"/>
    </xf>
    <xf numFmtId="0" fontId="0" fillId="58" borderId="33" xfId="0" applyFill="1" applyBorder="1" applyAlignment="1">
      <alignment horizontal="center" vertical="top"/>
    </xf>
    <xf numFmtId="0" fontId="0" fillId="58" borderId="0" xfId="0" applyFill="1" applyBorder="1" applyAlignment="1">
      <alignment horizontal="center" vertical="center"/>
    </xf>
    <xf numFmtId="0" fontId="0" fillId="58" borderId="46" xfId="0" applyFill="1" applyBorder="1" applyAlignment="1">
      <alignment horizontal="center"/>
    </xf>
    <xf numFmtId="0" fontId="0" fillId="35" borderId="6" xfId="0" applyFill="1" applyBorder="1"/>
    <xf numFmtId="0" fontId="0" fillId="24" borderId="6" xfId="0" applyFill="1" applyBorder="1"/>
    <xf numFmtId="0" fontId="0" fillId="0" borderId="4" xfId="0" applyBorder="1"/>
    <xf numFmtId="0" fontId="0" fillId="20" borderId="6" xfId="0" applyFill="1" applyBorder="1"/>
    <xf numFmtId="0" fontId="0" fillId="29" borderId="1" xfId="0" applyFill="1" applyBorder="1"/>
    <xf numFmtId="0" fontId="0" fillId="65" borderId="25" xfId="0" applyFill="1" applyBorder="1" applyAlignment="1">
      <alignment horizontal="center" vertical="justify"/>
    </xf>
    <xf numFmtId="0" fontId="14" fillId="31" borderId="0" xfId="0" applyFont="1" applyFill="1" applyAlignment="1">
      <alignment vertical="justify"/>
    </xf>
    <xf numFmtId="0" fontId="14" fillId="12" borderId="0" xfId="0" applyFont="1" applyFill="1" applyAlignment="1">
      <alignment vertical="justify"/>
    </xf>
    <xf numFmtId="0" fontId="14" fillId="8" borderId="0" xfId="0" applyFont="1" applyFill="1" applyAlignment="1">
      <alignment vertical="justify"/>
    </xf>
    <xf numFmtId="0" fontId="14" fillId="9" borderId="0" xfId="0" applyFont="1" applyFill="1" applyAlignment="1">
      <alignment vertical="justify"/>
    </xf>
    <xf numFmtId="0" fontId="14" fillId="7" borderId="0" xfId="0" applyFont="1" applyFill="1" applyAlignment="1">
      <alignment vertical="justify"/>
    </xf>
    <xf numFmtId="0" fontId="14" fillId="10" borderId="0" xfId="0" applyFont="1" applyFill="1" applyAlignment="1">
      <alignment vertical="justify"/>
    </xf>
    <xf numFmtId="0" fontId="14" fillId="11" borderId="0" xfId="0" applyFont="1" applyFill="1" applyAlignment="1">
      <alignment vertical="justify"/>
    </xf>
    <xf numFmtId="0" fontId="14" fillId="9" borderId="1" xfId="0" applyFont="1" applyFill="1" applyBorder="1" applyAlignment="1">
      <alignment vertical="justify"/>
    </xf>
    <xf numFmtId="0" fontId="14" fillId="10" borderId="1" xfId="0" applyFont="1" applyFill="1" applyBorder="1" applyAlignment="1">
      <alignment vertical="justify"/>
    </xf>
    <xf numFmtId="0" fontId="14" fillId="7" borderId="1" xfId="0" applyFont="1" applyFill="1" applyBorder="1" applyAlignment="1">
      <alignment vertical="justify"/>
    </xf>
    <xf numFmtId="0" fontId="14" fillId="8" borderId="1" xfId="0" applyFont="1" applyFill="1" applyBorder="1" applyAlignment="1">
      <alignment vertical="justify"/>
    </xf>
    <xf numFmtId="0" fontId="0" fillId="54" borderId="2" xfId="0" applyFill="1" applyBorder="1"/>
    <xf numFmtId="0" fontId="2" fillId="35" borderId="7" xfId="0" applyFont="1" applyFill="1" applyBorder="1"/>
    <xf numFmtId="0" fontId="14" fillId="8" borderId="0" xfId="0" applyFont="1" applyFill="1" applyBorder="1" applyAlignment="1">
      <alignment vertical="justify"/>
    </xf>
    <xf numFmtId="0" fontId="14" fillId="31" borderId="0" xfId="0" applyFont="1" applyFill="1" applyBorder="1" applyAlignment="1">
      <alignment vertical="justify"/>
    </xf>
    <xf numFmtId="0" fontId="14" fillId="12" borderId="0" xfId="0" applyFont="1" applyFill="1" applyBorder="1" applyAlignment="1">
      <alignment vertical="justify"/>
    </xf>
    <xf numFmtId="0" fontId="14" fillId="9" borderId="0" xfId="0" applyFont="1" applyFill="1" applyBorder="1" applyAlignment="1">
      <alignment vertical="justify"/>
    </xf>
    <xf numFmtId="0" fontId="14" fillId="7" borderId="0" xfId="0" applyFont="1" applyFill="1" applyBorder="1" applyAlignment="1">
      <alignment vertical="justify"/>
    </xf>
    <xf numFmtId="0" fontId="14" fillId="10" borderId="0" xfId="0" applyFont="1" applyFill="1" applyBorder="1" applyAlignment="1">
      <alignment vertical="justify"/>
    </xf>
    <xf numFmtId="0" fontId="2" fillId="37" borderId="6" xfId="0" applyFont="1" applyFill="1" applyBorder="1"/>
    <xf numFmtId="0" fontId="0" fillId="10" borderId="1" xfId="0" applyFill="1" applyBorder="1"/>
    <xf numFmtId="0" fontId="14" fillId="11" borderId="0" xfId="0" applyFont="1" applyFill="1" applyBorder="1" applyAlignment="1">
      <alignment vertical="justify"/>
    </xf>
    <xf numFmtId="0" fontId="2" fillId="0" borderId="4" xfId="0" applyFont="1" applyBorder="1"/>
    <xf numFmtId="0" fontId="2" fillId="0" borderId="2" xfId="0" applyFont="1" applyBorder="1"/>
    <xf numFmtId="0" fontId="0" fillId="26" borderId="2" xfId="0" applyFont="1" applyFill="1" applyBorder="1"/>
    <xf numFmtId="0" fontId="14" fillId="31" borderId="1" xfId="0" applyFont="1" applyFill="1" applyBorder="1" applyAlignment="1">
      <alignment vertical="justify"/>
    </xf>
    <xf numFmtId="0" fontId="14" fillId="12" borderId="1" xfId="0" applyFont="1" applyFill="1" applyBorder="1" applyAlignment="1">
      <alignment vertical="justify"/>
    </xf>
    <xf numFmtId="0" fontId="14" fillId="9" borderId="2" xfId="0" applyFont="1" applyFill="1" applyBorder="1" applyAlignment="1">
      <alignment vertical="justify"/>
    </xf>
    <xf numFmtId="0" fontId="14" fillId="31" borderId="2" xfId="0" applyFont="1" applyFill="1" applyBorder="1" applyAlignment="1">
      <alignment vertical="justify"/>
    </xf>
    <xf numFmtId="0" fontId="14" fillId="11" borderId="1" xfId="0" applyFont="1" applyFill="1" applyBorder="1" applyAlignment="1">
      <alignment vertical="justify"/>
    </xf>
    <xf numFmtId="0" fontId="14" fillId="31" borderId="8" xfId="0" applyFont="1" applyFill="1" applyBorder="1" applyAlignment="1">
      <alignment vertical="justify"/>
    </xf>
    <xf numFmtId="0" fontId="0" fillId="31" borderId="2" xfId="0" applyFill="1" applyBorder="1"/>
    <xf numFmtId="0" fontId="2" fillId="37" borderId="7" xfId="0" applyFont="1" applyFill="1" applyBorder="1"/>
    <xf numFmtId="0" fontId="0" fillId="38" borderId="6" xfId="0" applyFill="1" applyBorder="1"/>
    <xf numFmtId="0" fontId="0" fillId="55" borderId="6" xfId="0" applyFill="1" applyBorder="1"/>
    <xf numFmtId="0" fontId="0" fillId="74" borderId="0" xfId="0" applyFill="1" applyBorder="1" applyAlignment="1">
      <alignment vertical="center"/>
    </xf>
    <xf numFmtId="0" fontId="0" fillId="74" borderId="0" xfId="0" applyFill="1" applyBorder="1" applyAlignment="1">
      <alignment vertical="top"/>
    </xf>
    <xf numFmtId="0" fontId="0" fillId="60" borderId="47" xfId="0" applyFill="1" applyBorder="1" applyAlignment="1">
      <alignment horizontal="center" vertical="center"/>
    </xf>
    <xf numFmtId="0" fontId="0" fillId="0" borderId="3" xfId="0" applyBorder="1"/>
    <xf numFmtId="0" fontId="0" fillId="60" borderId="0" xfId="0" applyFill="1" applyBorder="1" applyAlignment="1">
      <alignment horizontal="center" vertical="justify"/>
    </xf>
    <xf numFmtId="0" fontId="0" fillId="58" borderId="0" xfId="0" applyFill="1" applyBorder="1" applyAlignment="1">
      <alignment horizontal="center" vertical="distributed"/>
    </xf>
    <xf numFmtId="0" fontId="0" fillId="74" borderId="25" xfId="0" applyFill="1" applyBorder="1" applyAlignment="1">
      <alignment horizontal="center" vertical="center"/>
    </xf>
    <xf numFmtId="0" fontId="0" fillId="69" borderId="0" xfId="0" applyFill="1" applyBorder="1" applyAlignment="1">
      <alignment horizontal="center" vertical="center"/>
    </xf>
    <xf numFmtId="0" fontId="0" fillId="74" borderId="0" xfId="0" applyFill="1" applyBorder="1" applyAlignment="1">
      <alignment vertical="distributed"/>
    </xf>
    <xf numFmtId="0" fontId="0" fillId="62" borderId="25" xfId="0" applyFill="1" applyBorder="1"/>
    <xf numFmtId="0" fontId="0" fillId="62" borderId="48" xfId="0" applyFill="1" applyBorder="1"/>
    <xf numFmtId="0" fontId="0" fillId="74" borderId="0" xfId="0" applyFill="1" applyBorder="1" applyAlignment="1">
      <alignment horizontal="center" vertical="justify"/>
    </xf>
    <xf numFmtId="0" fontId="0" fillId="8" borderId="6" xfId="0" applyFill="1" applyBorder="1"/>
    <xf numFmtId="0" fontId="0" fillId="9" borderId="6" xfId="0" applyFill="1" applyBorder="1"/>
    <xf numFmtId="0" fontId="0" fillId="9" borderId="2" xfId="0" applyFill="1" applyBorder="1"/>
    <xf numFmtId="0" fontId="0" fillId="31" borderId="6" xfId="0" applyFill="1" applyBorder="1"/>
    <xf numFmtId="0" fontId="0" fillId="58" borderId="25" xfId="0" applyFill="1" applyBorder="1" applyAlignment="1">
      <alignment horizontal="center" vertical="center"/>
    </xf>
    <xf numFmtId="0" fontId="0" fillId="65" borderId="0" xfId="0" applyFill="1" applyBorder="1" applyAlignment="1">
      <alignment horizontal="center" vertical="justify"/>
    </xf>
    <xf numFmtId="0" fontId="0" fillId="60" borderId="0" xfId="0" applyFill="1" applyBorder="1" applyAlignment="1">
      <alignment horizontal="center"/>
    </xf>
    <xf numFmtId="0" fontId="0" fillId="64" borderId="0" xfId="0" applyFill="1" applyBorder="1" applyAlignment="1">
      <alignment horizontal="center"/>
    </xf>
    <xf numFmtId="0" fontId="0" fillId="60" borderId="0" xfId="0" applyFill="1" applyBorder="1" applyAlignment="1">
      <alignment horizontal="center" vertical="distributed"/>
    </xf>
    <xf numFmtId="0" fontId="0" fillId="60" borderId="39" xfId="0" applyFill="1" applyBorder="1" applyAlignment="1">
      <alignment horizontal="center" vertical="center"/>
    </xf>
    <xf numFmtId="0" fontId="0" fillId="62" borderId="31" xfId="0" applyFill="1" applyBorder="1" applyAlignment="1">
      <alignment horizontal="center" vertical="center"/>
    </xf>
    <xf numFmtId="0" fontId="0" fillId="62" borderId="34" xfId="0" applyFill="1" applyBorder="1" applyAlignment="1">
      <alignment horizontal="center" vertical="center"/>
    </xf>
    <xf numFmtId="0" fontId="0" fillId="61" borderId="0" xfId="0" applyFill="1" applyBorder="1" applyAlignment="1">
      <alignment horizontal="left" vertical="center" indent="3"/>
    </xf>
    <xf numFmtId="0" fontId="2" fillId="64" borderId="0" xfId="0" applyFont="1" applyFill="1" applyBorder="1" applyAlignment="1"/>
    <xf numFmtId="0" fontId="0" fillId="61" borderId="0" xfId="0" applyFill="1" applyBorder="1" applyAlignment="1">
      <alignment horizontal="left" vertical="center" indent="4"/>
    </xf>
    <xf numFmtId="0" fontId="0" fillId="60" borderId="49" xfId="0" applyFill="1" applyBorder="1" applyAlignment="1">
      <alignment horizontal="center" vertical="distributed"/>
    </xf>
    <xf numFmtId="0" fontId="0" fillId="69" borderId="39" xfId="0" applyFill="1" applyBorder="1" applyAlignment="1">
      <alignment horizontal="center" vertical="center"/>
    </xf>
    <xf numFmtId="0" fontId="18" fillId="60" borderId="0" xfId="0" applyFont="1" applyFill="1" applyBorder="1" applyAlignment="1">
      <alignment horizontal="center" vertical="top"/>
    </xf>
    <xf numFmtId="0" fontId="19" fillId="60" borderId="25" xfId="0" applyFont="1" applyFill="1" applyBorder="1" applyAlignment="1">
      <alignment horizontal="center" vertical="top"/>
    </xf>
    <xf numFmtId="0" fontId="0" fillId="59" borderId="33" xfId="0" applyFill="1" applyBorder="1" applyAlignment="1">
      <alignment horizontal="center"/>
    </xf>
    <xf numFmtId="0" fontId="0" fillId="59" borderId="50" xfId="0" applyFill="1" applyBorder="1" applyAlignment="1">
      <alignment horizontal="center" vertical="center"/>
    </xf>
    <xf numFmtId="0" fontId="0" fillId="68" borderId="43" xfId="0" applyFill="1" applyBorder="1" applyAlignment="1">
      <alignment horizontal="center" vertical="justify"/>
    </xf>
    <xf numFmtId="0" fontId="0" fillId="69" borderId="25" xfId="0" applyFill="1" applyBorder="1" applyAlignment="1">
      <alignment horizontal="center"/>
    </xf>
    <xf numFmtId="0" fontId="0" fillId="60" borderId="46" xfId="0" applyFill="1" applyBorder="1" applyAlignment="1">
      <alignment horizontal="center" vertical="distributed"/>
    </xf>
    <xf numFmtId="0" fontId="0" fillId="70" borderId="51" xfId="0" applyFill="1" applyBorder="1" applyAlignment="1">
      <alignment horizontal="center" vertical="center"/>
    </xf>
    <xf numFmtId="0" fontId="0" fillId="70" borderId="0" xfId="0" applyFill="1" applyBorder="1" applyAlignment="1">
      <alignment horizontal="center" vertical="center"/>
    </xf>
    <xf numFmtId="0" fontId="0" fillId="59" borderId="47" xfId="0" applyFill="1" applyBorder="1" applyAlignment="1">
      <alignment horizontal="center" vertical="center"/>
    </xf>
    <xf numFmtId="0" fontId="0" fillId="68" borderId="52" xfId="0" applyFill="1" applyBorder="1" applyAlignment="1">
      <alignment horizontal="center" vertical="center"/>
    </xf>
    <xf numFmtId="0" fontId="0" fillId="69" borderId="51" xfId="0" applyFill="1" applyBorder="1" applyAlignment="1">
      <alignment horizontal="center" vertical="center"/>
    </xf>
    <xf numFmtId="0" fontId="0" fillId="60" borderId="53" xfId="0" applyFill="1" applyBorder="1" applyAlignment="1">
      <alignment horizontal="center" vertical="center"/>
    </xf>
    <xf numFmtId="0" fontId="0" fillId="60" borderId="34" xfId="0" applyFill="1" applyBorder="1" applyAlignment="1">
      <alignment horizontal="center" vertical="distributed"/>
    </xf>
    <xf numFmtId="0" fontId="0" fillId="60" borderId="26" xfId="0" applyFill="1" applyBorder="1" applyAlignment="1">
      <alignment horizontal="center"/>
    </xf>
    <xf numFmtId="0" fontId="22" fillId="0" borderId="6" xfId="0" applyFont="1" applyFill="1" applyBorder="1"/>
    <xf numFmtId="0" fontId="22" fillId="0" borderId="0" xfId="0" applyFont="1" applyFill="1" applyBorder="1"/>
    <xf numFmtId="0" fontId="15" fillId="0" borderId="0" xfId="0" applyFont="1" applyFill="1" applyBorder="1"/>
    <xf numFmtId="0" fontId="15" fillId="0" borderId="6" xfId="0" applyFont="1" applyFill="1" applyBorder="1"/>
    <xf numFmtId="0" fontId="22" fillId="0" borderId="0" xfId="0" applyFont="1"/>
    <xf numFmtId="0" fontId="2" fillId="0" borderId="0" xfId="0" applyFont="1" applyAlignment="1">
      <alignment horizontal="center" vertical="center"/>
    </xf>
    <xf numFmtId="0" fontId="2" fillId="0" borderId="0" xfId="0" applyFont="1" applyAlignment="1">
      <alignment horizontal="left" vertical="center"/>
    </xf>
    <xf numFmtId="0" fontId="0" fillId="67" borderId="0" xfId="0" applyFill="1" applyBorder="1" applyAlignment="1">
      <alignment horizontal="center" vertical="distributed"/>
    </xf>
    <xf numFmtId="0" fontId="0" fillId="67" borderId="0" xfId="0" applyFill="1" applyBorder="1" applyAlignment="1">
      <alignment horizontal="center" vertical="top"/>
    </xf>
    <xf numFmtId="0" fontId="0" fillId="67" borderId="0" xfId="0" applyFont="1" applyFill="1" applyBorder="1" applyAlignment="1">
      <alignment horizontal="center" vertical="distributed"/>
    </xf>
    <xf numFmtId="0" fontId="0" fillId="67" borderId="0" xfId="0" applyFont="1" applyFill="1" applyBorder="1" applyAlignment="1">
      <alignment horizontal="center" vertical="justify"/>
    </xf>
    <xf numFmtId="0" fontId="0" fillId="67" borderId="0" xfId="0" applyFont="1" applyFill="1" applyBorder="1" applyAlignment="1">
      <alignment horizontal="center"/>
    </xf>
    <xf numFmtId="0" fontId="23" fillId="74" borderId="0" xfId="0" applyFont="1" applyFill="1" applyBorder="1" applyAlignment="1">
      <alignment vertical="center"/>
    </xf>
    <xf numFmtId="0" fontId="0" fillId="60" borderId="0" xfId="0" applyFill="1" applyBorder="1" applyAlignment="1">
      <alignment vertical="center"/>
    </xf>
    <xf numFmtId="0" fontId="11" fillId="58" borderId="0" xfId="0" applyFont="1" applyFill="1" applyBorder="1" applyAlignment="1">
      <alignment horizontal="center" vertical="center"/>
    </xf>
    <xf numFmtId="0" fontId="0" fillId="58" borderId="33" xfId="0" applyFont="1" applyFill="1" applyBorder="1" applyAlignment="1">
      <alignment horizontal="left" vertical="center" indent="1"/>
    </xf>
    <xf numFmtId="0" fontId="0" fillId="69" borderId="25" xfId="0" applyFill="1" applyBorder="1" applyAlignment="1">
      <alignment horizontal="center" vertical="distributed"/>
    </xf>
    <xf numFmtId="0" fontId="0" fillId="58" borderId="0" xfId="0" applyFill="1" applyBorder="1" applyAlignment="1">
      <alignment horizontal="center" vertical="justify"/>
    </xf>
    <xf numFmtId="0" fontId="0" fillId="58" borderId="34" xfId="0" applyFill="1" applyBorder="1" applyAlignment="1">
      <alignment horizontal="center" vertical="center"/>
    </xf>
    <xf numFmtId="0" fontId="0" fillId="58" borderId="54" xfId="0" applyFill="1" applyBorder="1" applyAlignment="1">
      <alignment horizontal="center" vertical="center"/>
    </xf>
    <xf numFmtId="0" fontId="0" fillId="58" borderId="42" xfId="0" applyFill="1" applyBorder="1" applyAlignment="1">
      <alignment horizontal="center" vertical="center"/>
    </xf>
    <xf numFmtId="0" fontId="0" fillId="60" borderId="55" xfId="0" applyFill="1" applyBorder="1" applyAlignment="1">
      <alignment horizontal="center" vertical="center"/>
    </xf>
    <xf numFmtId="0" fontId="0" fillId="58" borderId="30" xfId="0" applyFill="1" applyBorder="1" applyAlignment="1">
      <alignment horizontal="center" vertical="center"/>
    </xf>
    <xf numFmtId="0" fontId="0" fillId="58" borderId="53" xfId="0" applyFill="1" applyBorder="1" applyAlignment="1">
      <alignment horizontal="center" vertical="center"/>
    </xf>
    <xf numFmtId="0" fontId="0" fillId="69" borderId="25" xfId="0" applyFill="1" applyBorder="1" applyAlignment="1">
      <alignment horizontal="center" vertical="justify"/>
    </xf>
    <xf numFmtId="0" fontId="0" fillId="64" borderId="23" xfId="0" applyFill="1" applyBorder="1" applyAlignment="1">
      <alignment horizontal="center" vertical="distributed"/>
    </xf>
    <xf numFmtId="0" fontId="0" fillId="58" borderId="25" xfId="0" applyFill="1" applyBorder="1" applyAlignment="1">
      <alignment horizontal="center" vertical="top"/>
    </xf>
    <xf numFmtId="0" fontId="0" fillId="58" borderId="25" xfId="0" applyFill="1" applyBorder="1" applyAlignment="1">
      <alignment horizontal="center"/>
    </xf>
    <xf numFmtId="0" fontId="0" fillId="1" borderId="56" xfId="0" applyFill="1" applyBorder="1" applyAlignment="1">
      <alignment horizontal="center" vertical="center"/>
    </xf>
    <xf numFmtId="0" fontId="2" fillId="60" borderId="0" xfId="0" applyFont="1" applyFill="1" applyBorder="1" applyAlignment="1">
      <alignment horizontal="center" vertical="center"/>
    </xf>
    <xf numFmtId="0" fontId="10" fillId="60" borderId="0" xfId="0" applyFont="1" applyFill="1" applyBorder="1" applyAlignment="1">
      <alignment horizontal="center" vertical="center"/>
    </xf>
    <xf numFmtId="0" fontId="0" fillId="59" borderId="36" xfId="0" applyFill="1" applyBorder="1" applyAlignment="1">
      <alignment horizontal="center" vertical="center"/>
    </xf>
    <xf numFmtId="0" fontId="0" fillId="59" borderId="57" xfId="0" applyFill="1" applyBorder="1" applyAlignment="1">
      <alignment horizontal="center" vertical="center"/>
    </xf>
    <xf numFmtId="0" fontId="0" fillId="68" borderId="51" xfId="0" applyFill="1" applyBorder="1" applyAlignment="1">
      <alignment horizontal="center" vertical="center"/>
    </xf>
    <xf numFmtId="0" fontId="0" fillId="62" borderId="34" xfId="0" applyFill="1" applyBorder="1" applyAlignment="1">
      <alignment vertical="justify"/>
    </xf>
    <xf numFmtId="0" fontId="0" fillId="60" borderId="0" xfId="0" applyFont="1" applyFill="1" applyBorder="1" applyAlignment="1">
      <alignment horizontal="center" vertical="center"/>
    </xf>
    <xf numFmtId="0" fontId="0" fillId="59" borderId="22" xfId="0" applyFill="1" applyBorder="1" applyAlignment="1">
      <alignment horizontal="center" vertical="center"/>
    </xf>
    <xf numFmtId="0" fontId="0" fillId="68" borderId="34" xfId="0" applyFill="1" applyBorder="1" applyAlignment="1">
      <alignment horizontal="center" vertical="center"/>
    </xf>
    <xf numFmtId="0" fontId="0" fillId="75" borderId="36" xfId="0" applyFill="1" applyBorder="1" applyAlignment="1">
      <alignment horizontal="center" vertical="center"/>
    </xf>
    <xf numFmtId="0" fontId="0" fillId="76" borderId="36" xfId="0" applyFill="1" applyBorder="1" applyAlignment="1">
      <alignment horizontal="center" vertical="center"/>
    </xf>
    <xf numFmtId="0" fontId="0" fillId="75" borderId="27" xfId="0" applyFill="1" applyBorder="1" applyAlignment="1">
      <alignment horizontal="center" vertical="center"/>
    </xf>
    <xf numFmtId="0" fontId="0" fillId="71" borderId="0" xfId="0" applyFill="1" applyBorder="1" applyAlignment="1">
      <alignment horizontal="center" vertical="center"/>
    </xf>
    <xf numFmtId="0" fontId="0" fillId="59" borderId="21" xfId="0" applyFill="1" applyBorder="1" applyAlignment="1">
      <alignment horizontal="center" vertical="justify"/>
    </xf>
    <xf numFmtId="0" fontId="0" fillId="69" borderId="0" xfId="0" applyFill="1"/>
    <xf numFmtId="0" fontId="0" fillId="69" borderId="0" xfId="0" applyFill="1" applyBorder="1" applyAlignment="1">
      <alignment horizontal="center" vertical="justify"/>
    </xf>
    <xf numFmtId="0" fontId="0" fillId="58" borderId="25" xfId="0" applyFill="1" applyBorder="1" applyAlignment="1">
      <alignment horizontal="center" vertical="justify"/>
    </xf>
    <xf numFmtId="0" fontId="0" fillId="69" borderId="25" xfId="0" applyFill="1" applyBorder="1" applyAlignment="1">
      <alignment horizontal="center" vertical="top"/>
    </xf>
    <xf numFmtId="0" fontId="0" fillId="60" borderId="58" xfId="0" applyFill="1" applyBorder="1" applyAlignment="1">
      <alignment horizontal="center" vertical="center"/>
    </xf>
    <xf numFmtId="0" fontId="0" fillId="59" borderId="59" xfId="0" applyFill="1" applyBorder="1" applyAlignment="1">
      <alignment horizontal="center"/>
    </xf>
    <xf numFmtId="0" fontId="0" fillId="60" borderId="31" xfId="0" applyFill="1" applyBorder="1" applyAlignment="1">
      <alignment horizontal="center" vertical="justify"/>
    </xf>
    <xf numFmtId="0" fontId="24" fillId="30" borderId="0" xfId="0" applyFont="1" applyFill="1"/>
    <xf numFmtId="0" fontId="25" fillId="0" borderId="0" xfId="0" applyFont="1"/>
    <xf numFmtId="0" fontId="26" fillId="0" borderId="0" xfId="0" applyFont="1"/>
    <xf numFmtId="0" fontId="27" fillId="0" borderId="0" xfId="0" applyFont="1"/>
    <xf numFmtId="0" fontId="28" fillId="0" borderId="0" xfId="0" applyFont="1"/>
    <xf numFmtId="0" fontId="29" fillId="0" borderId="0" xfId="0" applyFont="1"/>
    <xf numFmtId="0" fontId="30" fillId="0" borderId="0" xfId="0" applyFont="1"/>
    <xf numFmtId="0" fontId="0" fillId="33" borderId="1" xfId="0" applyFill="1" applyBorder="1"/>
    <xf numFmtId="0" fontId="0" fillId="34" borderId="1" xfId="0" applyFill="1" applyBorder="1"/>
    <xf numFmtId="0" fontId="0" fillId="3" borderId="4" xfId="0" applyFill="1" applyBorder="1"/>
    <xf numFmtId="0" fontId="7" fillId="33" borderId="4" xfId="0" applyFont="1" applyFill="1" applyBorder="1"/>
    <xf numFmtId="0" fontId="7" fillId="2" borderId="4" xfId="0" applyFont="1" applyFill="1" applyBorder="1"/>
    <xf numFmtId="0" fontId="0" fillId="3" borderId="6" xfId="0" applyFill="1" applyBorder="1"/>
    <xf numFmtId="0" fontId="0" fillId="3" borderId="2" xfId="0" applyFill="1" applyBorder="1"/>
    <xf numFmtId="0" fontId="0" fillId="3" borderId="1" xfId="0" applyFill="1" applyBorder="1"/>
    <xf numFmtId="0" fontId="7" fillId="2" borderId="1" xfId="0" applyFont="1" applyFill="1" applyBorder="1"/>
    <xf numFmtId="0" fontId="0" fillId="4" borderId="4" xfId="0" applyFill="1" applyBorder="1"/>
    <xf numFmtId="0" fontId="7" fillId="29" borderId="6" xfId="0" applyFont="1" applyFill="1" applyBorder="1"/>
    <xf numFmtId="0" fontId="0" fillId="4" borderId="1" xfId="0" applyFill="1" applyBorder="1"/>
    <xf numFmtId="0" fontId="0" fillId="12" borderId="2" xfId="0" applyFill="1" applyBorder="1"/>
    <xf numFmtId="0" fontId="0" fillId="37" borderId="6" xfId="0" applyFill="1" applyBorder="1"/>
    <xf numFmtId="0" fontId="0" fillId="36" borderId="2" xfId="0" applyFill="1" applyBorder="1"/>
    <xf numFmtId="0" fontId="0" fillId="23" borderId="1" xfId="0" applyFill="1" applyBorder="1"/>
    <xf numFmtId="0" fontId="0" fillId="50" borderId="1" xfId="0" applyFill="1" applyBorder="1"/>
    <xf numFmtId="0" fontId="0" fillId="33" borderId="6" xfId="0" applyFill="1" applyBorder="1"/>
    <xf numFmtId="0" fontId="0" fillId="0" borderId="3" xfId="0" applyNumberFormat="1" applyFont="1" applyFill="1" applyBorder="1" applyAlignment="1" applyProtection="1"/>
    <xf numFmtId="0" fontId="0" fillId="51" borderId="6" xfId="0" applyFill="1" applyBorder="1"/>
    <xf numFmtId="0" fontId="0" fillId="51" borderId="7" xfId="0" applyFill="1" applyBorder="1"/>
    <xf numFmtId="0" fontId="0" fillId="50" borderId="6" xfId="0" applyFill="1" applyBorder="1"/>
    <xf numFmtId="0" fontId="0" fillId="2" borderId="2" xfId="0" applyFill="1" applyBorder="1"/>
    <xf numFmtId="0" fontId="0" fillId="23" borderId="2" xfId="0" applyFill="1" applyBorder="1"/>
    <xf numFmtId="0" fontId="0" fillId="50" borderId="7" xfId="0" applyFill="1" applyBorder="1"/>
    <xf numFmtId="0" fontId="0" fillId="36" borderId="6" xfId="0" applyFill="1" applyBorder="1"/>
    <xf numFmtId="0" fontId="0" fillId="23" borderId="6" xfId="0" applyFill="1" applyBorder="1"/>
    <xf numFmtId="0" fontId="0" fillId="31" borderId="0" xfId="0" applyNumberFormat="1" applyFont="1" applyFill="1" applyBorder="1" applyAlignment="1" applyProtection="1"/>
    <xf numFmtId="0" fontId="0" fillId="35" borderId="0" xfId="0" applyNumberFormat="1" applyFont="1" applyFill="1" applyBorder="1" applyAlignment="1" applyProtection="1"/>
    <xf numFmtId="0" fontId="0" fillId="37" borderId="0" xfId="0" applyNumberFormat="1" applyFont="1" applyFill="1" applyBorder="1" applyAlignment="1" applyProtection="1"/>
    <xf numFmtId="0" fontId="0" fillId="33" borderId="0" xfId="0" applyNumberFormat="1" applyFont="1" applyFill="1" applyBorder="1" applyAlignment="1" applyProtection="1"/>
    <xf numFmtId="0" fontId="0" fillId="36" borderId="0" xfId="0" applyNumberFormat="1" applyFont="1" applyFill="1" applyBorder="1" applyAlignment="1" applyProtection="1"/>
    <xf numFmtId="0" fontId="0" fillId="23" borderId="0" xfId="0" applyNumberFormat="1" applyFont="1" applyFill="1" applyBorder="1" applyAlignment="1" applyProtection="1"/>
    <xf numFmtId="0" fontId="0" fillId="24" borderId="0" xfId="0" applyNumberFormat="1" applyFont="1" applyFill="1" applyBorder="1" applyAlignment="1" applyProtection="1"/>
    <xf numFmtId="0" fontId="0" fillId="8" borderId="0" xfId="0" applyNumberFormat="1" applyFont="1" applyFill="1" applyBorder="1" applyAlignment="1" applyProtection="1"/>
    <xf numFmtId="0" fontId="0" fillId="32" borderId="0" xfId="0" applyNumberFormat="1" applyFont="1" applyFill="1" applyBorder="1" applyAlignment="1" applyProtection="1"/>
    <xf numFmtId="0" fontId="0" fillId="3" borderId="0" xfId="0" applyNumberFormat="1" applyFont="1" applyFill="1" applyBorder="1" applyAlignment="1" applyProtection="1"/>
    <xf numFmtId="0" fontId="0" fillId="4" borderId="0" xfId="0" applyNumberFormat="1" applyFont="1" applyFill="1" applyBorder="1" applyAlignment="1" applyProtection="1"/>
    <xf numFmtId="0" fontId="0" fillId="22" borderId="0" xfId="0" applyNumberFormat="1" applyFont="1" applyFill="1" applyBorder="1" applyAlignment="1" applyProtection="1"/>
    <xf numFmtId="0" fontId="0" fillId="9" borderId="0" xfId="0" applyNumberFormat="1" applyFont="1" applyFill="1" applyBorder="1" applyAlignment="1" applyProtection="1"/>
    <xf numFmtId="0" fontId="0" fillId="5" borderId="0" xfId="0" applyNumberFormat="1" applyFont="1" applyFill="1" applyBorder="1" applyAlignment="1" applyProtection="1"/>
    <xf numFmtId="0" fontId="0" fillId="20" borderId="0" xfId="0" applyNumberFormat="1" applyFont="1" applyFill="1" applyBorder="1" applyAlignment="1" applyProtection="1"/>
    <xf numFmtId="0" fontId="0" fillId="12" borderId="0" xfId="0" applyNumberFormat="1" applyFont="1" applyFill="1" applyBorder="1" applyAlignment="1" applyProtection="1"/>
    <xf numFmtId="0" fontId="0" fillId="7" borderId="0" xfId="0" applyNumberFormat="1" applyFont="1" applyFill="1" applyBorder="1" applyAlignment="1" applyProtection="1"/>
    <xf numFmtId="0" fontId="0" fillId="25" borderId="0" xfId="0" applyNumberFormat="1" applyFont="1" applyFill="1" applyBorder="1" applyAlignment="1" applyProtection="1"/>
    <xf numFmtId="0" fontId="0" fillId="0" borderId="5" xfId="0" applyNumberFormat="1" applyFont="1" applyFill="1" applyBorder="1" applyAlignment="1" applyProtection="1"/>
    <xf numFmtId="0" fontId="0" fillId="37" borderId="2" xfId="0" applyNumberFormat="1" applyFont="1" applyFill="1" applyBorder="1" applyAlignment="1" applyProtection="1"/>
    <xf numFmtId="0" fontId="0" fillId="35" borderId="2" xfId="0" applyNumberFormat="1" applyFont="1" applyFill="1" applyBorder="1" applyAlignment="1" applyProtection="1"/>
    <xf numFmtId="0" fontId="0" fillId="5" borderId="2" xfId="0" applyNumberFormat="1" applyFont="1" applyFill="1" applyBorder="1" applyAlignment="1" applyProtection="1"/>
    <xf numFmtId="0" fontId="0" fillId="31" borderId="2" xfId="0" applyNumberFormat="1" applyFont="1" applyFill="1" applyBorder="1" applyAlignment="1" applyProtection="1"/>
    <xf numFmtId="0" fontId="0" fillId="35" borderId="6" xfId="0" applyNumberFormat="1" applyFont="1" applyFill="1" applyBorder="1" applyAlignment="1" applyProtection="1"/>
    <xf numFmtId="0" fontId="0" fillId="31" borderId="6" xfId="0" applyNumberFormat="1" applyFont="1" applyFill="1" applyBorder="1" applyAlignment="1" applyProtection="1"/>
    <xf numFmtId="0" fontId="0" fillId="37" borderId="6" xfId="0" applyNumberFormat="1" applyFont="1" applyFill="1" applyBorder="1" applyAlignment="1" applyProtection="1"/>
    <xf numFmtId="0" fontId="0" fillId="23" borderId="2" xfId="0" applyNumberFormat="1" applyFont="1" applyFill="1" applyBorder="1" applyAlignment="1" applyProtection="1"/>
    <xf numFmtId="0" fontId="0" fillId="31" borderId="1" xfId="0" applyNumberFormat="1" applyFont="1" applyFill="1" applyBorder="1" applyAlignment="1" applyProtection="1"/>
    <xf numFmtId="0" fontId="0" fillId="35" borderId="1" xfId="0" applyNumberFormat="1" applyFont="1" applyFill="1" applyBorder="1" applyAlignment="1" applyProtection="1"/>
    <xf numFmtId="0" fontId="4" fillId="0" borderId="3" xfId="0" applyNumberFormat="1" applyFont="1" applyFill="1" applyBorder="1" applyAlignment="1" applyProtection="1"/>
    <xf numFmtId="0" fontId="4" fillId="0" borderId="4" xfId="0" applyNumberFormat="1" applyFont="1" applyFill="1" applyBorder="1" applyAlignment="1" applyProtection="1"/>
    <xf numFmtId="0" fontId="0" fillId="4" borderId="2" xfId="0" applyNumberFormat="1" applyFont="1" applyFill="1" applyBorder="1" applyAlignment="1" applyProtection="1"/>
    <xf numFmtId="0" fontId="0" fillId="24" borderId="2" xfId="0" applyNumberFormat="1" applyFont="1" applyFill="1" applyBorder="1" applyAlignment="1" applyProtection="1"/>
    <xf numFmtId="0" fontId="0" fillId="36" borderId="2" xfId="0" applyNumberFormat="1" applyFont="1" applyFill="1" applyBorder="1" applyAlignment="1" applyProtection="1"/>
    <xf numFmtId="0" fontId="0" fillId="24" borderId="1" xfId="0" applyNumberFormat="1" applyFont="1" applyFill="1" applyBorder="1" applyAlignment="1" applyProtection="1"/>
    <xf numFmtId="0" fontId="0" fillId="23" borderId="1" xfId="0" applyNumberFormat="1" applyFont="1" applyFill="1" applyBorder="1" applyAlignment="1" applyProtection="1"/>
    <xf numFmtId="0" fontId="0" fillId="51" borderId="2" xfId="0" applyNumberFormat="1" applyFont="1" applyFill="1" applyBorder="1" applyAlignment="1" applyProtection="1"/>
    <xf numFmtId="0" fontId="0" fillId="55" borderId="1" xfId="0" applyNumberFormat="1" applyFont="1" applyFill="1" applyBorder="1" applyAlignment="1" applyProtection="1"/>
    <xf numFmtId="0" fontId="0" fillId="51" borderId="1" xfId="0" applyNumberFormat="1" applyFont="1" applyFill="1" applyBorder="1" applyAlignment="1" applyProtection="1"/>
    <xf numFmtId="0" fontId="0" fillId="50" borderId="1" xfId="0" applyNumberFormat="1" applyFont="1" applyFill="1" applyBorder="1" applyAlignment="1" applyProtection="1"/>
    <xf numFmtId="0" fontId="0" fillId="55" borderId="8" xfId="0" applyNumberFormat="1" applyFont="1" applyFill="1" applyBorder="1" applyAlignment="1" applyProtection="1"/>
    <xf numFmtId="0" fontId="0" fillId="23" borderId="6" xfId="0" applyNumberFormat="1" applyFont="1" applyFill="1" applyBorder="1" applyAlignment="1" applyProtection="1"/>
    <xf numFmtId="0" fontId="0" fillId="55" borderId="2" xfId="0" applyNumberFormat="1" applyFont="1" applyFill="1" applyBorder="1" applyAlignment="1" applyProtection="1"/>
    <xf numFmtId="0" fontId="0" fillId="36" borderId="1" xfId="0" applyNumberFormat="1" applyFont="1" applyFill="1" applyBorder="1" applyAlignment="1" applyProtection="1"/>
    <xf numFmtId="0" fontId="0" fillId="50" borderId="8" xfId="0" applyNumberFormat="1" applyFont="1" applyFill="1" applyBorder="1" applyAlignment="1" applyProtection="1"/>
    <xf numFmtId="0" fontId="0" fillId="51" borderId="8" xfId="0" applyNumberFormat="1" applyFont="1" applyFill="1" applyBorder="1" applyAlignment="1" applyProtection="1"/>
    <xf numFmtId="0" fontId="14" fillId="24" borderId="0" xfId="0" applyFont="1" applyFill="1" applyAlignment="1">
      <alignment vertical="justify"/>
    </xf>
    <xf numFmtId="0" fontId="14" fillId="27" borderId="0" xfId="0" applyFont="1" applyFill="1" applyAlignment="1">
      <alignment vertical="justify"/>
    </xf>
    <xf numFmtId="0" fontId="14" fillId="13" borderId="0" xfId="0" applyFont="1" applyFill="1" applyAlignment="1">
      <alignment vertical="justify"/>
    </xf>
    <xf numFmtId="0" fontId="14" fillId="34" borderId="0" xfId="0" applyFont="1" applyFill="1" applyAlignment="1">
      <alignment vertical="justify"/>
    </xf>
    <xf numFmtId="0" fontId="14" fillId="52" borderId="0" xfId="0" applyFont="1" applyFill="1" applyAlignment="1">
      <alignment vertical="justify"/>
    </xf>
    <xf numFmtId="0" fontId="14" fillId="53" borderId="0" xfId="0" applyFont="1" applyFill="1" applyAlignment="1">
      <alignment vertical="justify"/>
    </xf>
    <xf numFmtId="0" fontId="14" fillId="15" borderId="0" xfId="0" applyFont="1" applyFill="1" applyAlignment="1">
      <alignment vertical="justify"/>
    </xf>
    <xf numFmtId="0" fontId="14" fillId="17" borderId="0" xfId="0" applyFont="1" applyFill="1" applyAlignment="1">
      <alignment vertical="justify"/>
    </xf>
    <xf numFmtId="0" fontId="14" fillId="56" borderId="0" xfId="0" applyFont="1" applyFill="1" applyAlignment="1">
      <alignment vertical="justify"/>
    </xf>
    <xf numFmtId="0" fontId="14" fillId="18" borderId="0" xfId="0" applyFont="1" applyFill="1" applyAlignment="1">
      <alignment vertical="justify"/>
    </xf>
    <xf numFmtId="0" fontId="14" fillId="29" borderId="0" xfId="0" applyFont="1" applyFill="1" applyAlignment="1">
      <alignment vertical="justify"/>
    </xf>
    <xf numFmtId="0" fontId="14" fillId="30" borderId="0" xfId="0" applyFont="1" applyFill="1" applyAlignment="1">
      <alignment vertical="justify"/>
    </xf>
    <xf numFmtId="0" fontId="14" fillId="28" borderId="0" xfId="0" applyFont="1" applyFill="1" applyAlignment="1">
      <alignment vertical="justify"/>
    </xf>
    <xf numFmtId="0" fontId="14" fillId="55" borderId="0" xfId="0" applyFont="1" applyFill="1" applyAlignment="1">
      <alignment vertical="justify"/>
    </xf>
    <xf numFmtId="0" fontId="14" fillId="39" borderId="0" xfId="0" applyFont="1" applyFill="1" applyAlignment="1">
      <alignment vertical="justify"/>
    </xf>
    <xf numFmtId="0" fontId="14" fillId="20" borderId="0" xfId="0" applyFont="1" applyFill="1" applyAlignment="1">
      <alignment vertical="justify"/>
    </xf>
    <xf numFmtId="0" fontId="14" fillId="23" borderId="0" xfId="0" applyFont="1" applyFill="1" applyAlignment="1">
      <alignment vertical="justify"/>
    </xf>
    <xf numFmtId="0" fontId="14" fillId="38" borderId="0" xfId="0" applyFont="1" applyFill="1" applyAlignment="1">
      <alignment vertical="justify"/>
    </xf>
    <xf numFmtId="0" fontId="14" fillId="22" borderId="0" xfId="0" applyFont="1" applyFill="1" applyAlignment="1">
      <alignment vertical="justify"/>
    </xf>
    <xf numFmtId="0" fontId="14" fillId="57" borderId="0" xfId="0" applyFont="1" applyFill="1" applyAlignment="1">
      <alignment vertical="justify"/>
    </xf>
    <xf numFmtId="0" fontId="14" fillId="19" borderId="0" xfId="0" applyFont="1" applyFill="1" applyAlignment="1">
      <alignment vertical="justify"/>
    </xf>
    <xf numFmtId="0" fontId="14" fillId="21" borderId="0" xfId="0" applyFont="1" applyFill="1" applyAlignment="1">
      <alignment vertical="justify"/>
    </xf>
    <xf numFmtId="0" fontId="0" fillId="69" borderId="60" xfId="0" applyFill="1" applyBorder="1" applyAlignment="1">
      <alignment horizontal="center"/>
    </xf>
    <xf numFmtId="0" fontId="0" fillId="69" borderId="61" xfId="0" applyFill="1" applyBorder="1" applyAlignment="1">
      <alignment horizontal="center" vertical="center"/>
    </xf>
    <xf numFmtId="0" fontId="0" fillId="69" borderId="60" xfId="0" applyFill="1" applyBorder="1" applyAlignment="1">
      <alignment horizontal="center" vertical="center"/>
    </xf>
    <xf numFmtId="0" fontId="0" fillId="70" borderId="62" xfId="0" applyFill="1" applyBorder="1" applyAlignment="1">
      <alignment horizontal="center" vertical="center"/>
    </xf>
    <xf numFmtId="0" fontId="0" fillId="60" borderId="62" xfId="0" applyFill="1" applyBorder="1" applyAlignment="1">
      <alignment horizontal="center" vertical="center"/>
    </xf>
    <xf numFmtId="0" fontId="0" fillId="60" borderId="63" xfId="0" applyFill="1" applyBorder="1" applyAlignment="1">
      <alignment horizontal="center" vertical="center"/>
    </xf>
    <xf numFmtId="0" fontId="0" fillId="60" borderId="39" xfId="0" applyFill="1" applyBorder="1" applyAlignment="1">
      <alignment horizontal="center" vertical="distributed"/>
    </xf>
    <xf numFmtId="0" fontId="0" fillId="64" borderId="25" xfId="0" applyFill="1" applyBorder="1" applyAlignment="1">
      <alignment horizontal="center" vertical="justify"/>
    </xf>
    <xf numFmtId="0" fontId="0" fillId="58" borderId="63" xfId="0" applyFill="1" applyBorder="1" applyAlignment="1">
      <alignment horizontal="center" vertical="center"/>
    </xf>
    <xf numFmtId="0" fontId="0" fillId="0" borderId="25" xfId="0" applyBorder="1" applyAlignment="1">
      <alignment horizontal="center" vertical="center"/>
    </xf>
    <xf numFmtId="0" fontId="0" fillId="26" borderId="1" xfId="0" applyFill="1" applyBorder="1"/>
    <xf numFmtId="0" fontId="4" fillId="28" borderId="6" xfId="0" applyFont="1" applyFill="1" applyBorder="1"/>
    <xf numFmtId="0" fontId="4" fillId="28" borderId="6" xfId="0" applyNumberFormat="1" applyFont="1" applyFill="1" applyBorder="1" applyAlignment="1" applyProtection="1"/>
    <xf numFmtId="0" fontId="4" fillId="14" borderId="6" xfId="0" applyNumberFormat="1" applyFont="1" applyFill="1" applyBorder="1" applyAlignment="1" applyProtection="1"/>
    <xf numFmtId="0" fontId="5" fillId="0" borderId="0" xfId="0" applyFont="1" applyFill="1" applyBorder="1"/>
    <xf numFmtId="0" fontId="0" fillId="10" borderId="0" xfId="0" applyNumberFormat="1" applyFont="1" applyFill="1" applyBorder="1" applyAlignment="1" applyProtection="1"/>
    <xf numFmtId="0" fontId="0" fillId="10" borderId="6" xfId="0" applyNumberFormat="1" applyFont="1" applyFill="1" applyBorder="1" applyAlignment="1" applyProtection="1"/>
    <xf numFmtId="0" fontId="0" fillId="9" borderId="6" xfId="0" applyNumberFormat="1" applyFont="1" applyFill="1" applyBorder="1" applyAlignment="1" applyProtection="1"/>
    <xf numFmtId="0" fontId="0" fillId="7" borderId="6" xfId="0" applyNumberFormat="1" applyFont="1" applyFill="1" applyBorder="1" applyAlignment="1" applyProtection="1"/>
    <xf numFmtId="0" fontId="0" fillId="8" borderId="6" xfId="0" applyNumberFormat="1" applyFont="1" applyFill="1" applyBorder="1" applyAlignment="1" applyProtection="1"/>
    <xf numFmtId="0" fontId="0" fillId="12" borderId="6" xfId="0" applyNumberFormat="1" applyFont="1" applyFill="1" applyBorder="1" applyAlignment="1" applyProtection="1"/>
    <xf numFmtId="0" fontId="0" fillId="7" borderId="6" xfId="0" applyFill="1" applyBorder="1"/>
    <xf numFmtId="0" fontId="0" fillId="7" borderId="2" xfId="0" applyNumberFormat="1" applyFont="1" applyFill="1" applyBorder="1" applyAlignment="1" applyProtection="1"/>
    <xf numFmtId="0" fontId="0" fillId="2" borderId="2" xfId="0" applyNumberFormat="1" applyFont="1" applyFill="1" applyBorder="1" applyAlignment="1" applyProtection="1"/>
    <xf numFmtId="0" fontId="0" fillId="2" borderId="6" xfId="0" applyFill="1" applyBorder="1"/>
    <xf numFmtId="0" fontId="0" fillId="9" borderId="2" xfId="0" applyNumberFormat="1" applyFont="1" applyFill="1" applyBorder="1" applyAlignment="1" applyProtection="1"/>
    <xf numFmtId="0" fontId="0" fillId="0" borderId="18" xfId="0" applyNumberFormat="1" applyFont="1" applyFill="1" applyBorder="1" applyAlignment="1" applyProtection="1"/>
    <xf numFmtId="0" fontId="4" fillId="0" borderId="18" xfId="0" applyNumberFormat="1" applyFont="1" applyFill="1" applyBorder="1" applyAlignment="1" applyProtection="1"/>
    <xf numFmtId="0" fontId="0" fillId="2" borderId="18" xfId="0" applyNumberFormat="1" applyFont="1" applyFill="1" applyBorder="1" applyAlignment="1" applyProtection="1"/>
    <xf numFmtId="0" fontId="0" fillId="0" borderId="64" xfId="0" applyNumberFormat="1" applyFont="1" applyFill="1" applyBorder="1" applyAlignment="1" applyProtection="1"/>
    <xf numFmtId="0" fontId="4" fillId="0" borderId="65" xfId="0" applyNumberFormat="1" applyFont="1" applyFill="1" applyBorder="1" applyAlignment="1" applyProtection="1"/>
    <xf numFmtId="0" fontId="4" fillId="0" borderId="64" xfId="0" applyNumberFormat="1" applyFont="1" applyFill="1" applyBorder="1" applyAlignment="1" applyProtection="1"/>
    <xf numFmtId="0" fontId="0" fillId="0" borderId="65" xfId="0" applyNumberFormat="1" applyFont="1" applyFill="1" applyBorder="1" applyAlignment="1" applyProtection="1"/>
    <xf numFmtId="0" fontId="0" fillId="0" borderId="3" xfId="0" applyFill="1" applyBorder="1"/>
    <xf numFmtId="0" fontId="0" fillId="0" borderId="5" xfId="0" applyFill="1" applyBorder="1"/>
    <xf numFmtId="0" fontId="0" fillId="0" borderId="66" xfId="0" applyNumberFormat="1" applyFont="1" applyFill="1" applyBorder="1" applyAlignment="1" applyProtection="1"/>
    <xf numFmtId="0" fontId="0" fillId="0" borderId="67" xfId="0" applyNumberFormat="1" applyFont="1" applyFill="1" applyBorder="1" applyAlignment="1" applyProtection="1"/>
    <xf numFmtId="0" fontId="0" fillId="0" borderId="68" xfId="0" applyNumberFormat="1" applyFont="1" applyFill="1" applyBorder="1" applyAlignment="1" applyProtection="1"/>
    <xf numFmtId="0" fontId="4" fillId="0" borderId="66" xfId="0" applyNumberFormat="1" applyFont="1" applyFill="1" applyBorder="1" applyAlignment="1" applyProtection="1"/>
    <xf numFmtId="0" fontId="4" fillId="0" borderId="67" xfId="0" applyNumberFormat="1" applyFont="1" applyFill="1" applyBorder="1" applyAlignment="1" applyProtection="1"/>
    <xf numFmtId="0" fontId="0" fillId="13" borderId="0" xfId="0" applyNumberFormat="1" applyFont="1" applyFill="1" applyBorder="1" applyAlignment="1" applyProtection="1"/>
    <xf numFmtId="0" fontId="0" fillId="10" borderId="6" xfId="0" applyFill="1" applyBorder="1"/>
    <xf numFmtId="0" fontId="0" fillId="10" borderId="2" xfId="0" applyFill="1" applyBorder="1"/>
    <xf numFmtId="0" fontId="0" fillId="12" borderId="6" xfId="0" applyFill="1" applyBorder="1"/>
    <xf numFmtId="0" fontId="0" fillId="7" borderId="2" xfId="0" applyFill="1" applyBorder="1"/>
    <xf numFmtId="0" fontId="0" fillId="10" borderId="2" xfId="0" applyNumberFormat="1" applyFont="1" applyFill="1" applyBorder="1" applyAlignment="1" applyProtection="1"/>
    <xf numFmtId="0" fontId="0" fillId="8" borderId="2" xfId="0" applyNumberFormat="1" applyFont="1" applyFill="1" applyBorder="1" applyAlignment="1" applyProtection="1"/>
    <xf numFmtId="0" fontId="0" fillId="11" borderId="6" xfId="0" applyFill="1" applyBorder="1"/>
    <xf numFmtId="0" fontId="7" fillId="0" borderId="0" xfId="0" applyFont="1" applyAlignment="1">
      <alignment horizontal="center" vertical="center"/>
    </xf>
    <xf numFmtId="0" fontId="0" fillId="69" borderId="0" xfId="0" applyFill="1" applyBorder="1" applyAlignment="1">
      <alignment horizontal="right" vertical="justify" indent="2"/>
    </xf>
    <xf numFmtId="0" fontId="0" fillId="58" borderId="26" xfId="0" applyFill="1" applyBorder="1" applyAlignment="1">
      <alignment horizontal="center" vertical="center"/>
    </xf>
    <xf numFmtId="0" fontId="20" fillId="58" borderId="26" xfId="0" applyFont="1" applyFill="1" applyBorder="1" applyAlignment="1">
      <alignment horizontal="center" vertical="distributed"/>
    </xf>
    <xf numFmtId="0" fontId="20" fillId="58" borderId="26" xfId="0" applyFont="1" applyFill="1" applyBorder="1" applyAlignment="1">
      <alignment horizontal="center" vertical="justify"/>
    </xf>
    <xf numFmtId="0" fontId="0" fillId="64" borderId="0" xfId="0" applyFill="1" applyBorder="1" applyAlignment="1">
      <alignment horizontal="center" vertical="distributed"/>
    </xf>
    <xf numFmtId="0" fontId="16" fillId="64" borderId="0" xfId="0" applyFont="1" applyFill="1" applyBorder="1" applyAlignment="1">
      <alignment horizontal="center" vertical="distributed"/>
    </xf>
    <xf numFmtId="0" fontId="0" fillId="1" borderId="69" xfId="0" applyFill="1" applyBorder="1" applyAlignment="1">
      <alignment horizontal="center" vertical="center"/>
    </xf>
    <xf numFmtId="0" fontId="0" fillId="60" borderId="34" xfId="0" applyFill="1" applyBorder="1" applyAlignment="1">
      <alignment horizontal="center" vertical="top"/>
    </xf>
    <xf numFmtId="0" fontId="11" fillId="60" borderId="53" xfId="0" applyFont="1" applyFill="1" applyBorder="1" applyAlignment="1">
      <alignment horizontal="center" vertical="center"/>
    </xf>
    <xf numFmtId="0" fontId="0" fillId="1" borderId="70" xfId="0" applyFill="1" applyBorder="1" applyAlignment="1">
      <alignment horizontal="center"/>
    </xf>
    <xf numFmtId="0" fontId="0" fillId="60" borderId="71" xfId="0" applyFill="1" applyBorder="1" applyAlignment="1">
      <alignment horizontal="center" vertical="center"/>
    </xf>
    <xf numFmtId="0" fontId="0" fillId="60" borderId="72" xfId="0" applyFill="1" applyBorder="1" applyAlignment="1">
      <alignment horizontal="center" vertical="center"/>
    </xf>
    <xf numFmtId="0" fontId="0" fillId="60" borderId="31" xfId="0" applyFill="1" applyBorder="1" applyAlignment="1">
      <alignment horizontal="center"/>
    </xf>
    <xf numFmtId="0" fontId="0" fillId="60" borderId="31" xfId="0" applyFill="1" applyBorder="1" applyAlignment="1">
      <alignment horizontal="center" vertical="distributed"/>
    </xf>
    <xf numFmtId="0" fontId="0" fillId="72" borderId="31" xfId="0" applyFill="1" applyBorder="1" applyAlignment="1">
      <alignment horizontal="right" vertical="justify" indent="5"/>
    </xf>
    <xf numFmtId="0" fontId="0" fillId="68" borderId="34" xfId="0" applyFill="1" applyBorder="1" applyAlignment="1">
      <alignment horizontal="center" vertical="distributed"/>
    </xf>
    <xf numFmtId="0" fontId="0" fillId="1" borderId="73" xfId="0" applyFill="1" applyBorder="1" applyAlignment="1">
      <alignment horizontal="center" vertical="center"/>
    </xf>
    <xf numFmtId="0" fontId="0" fillId="68" borderId="34" xfId="0" applyFill="1" applyBorder="1" applyAlignment="1">
      <alignment horizontal="center" vertical="justify"/>
    </xf>
    <xf numFmtId="0" fontId="0" fillId="1" borderId="70" xfId="0" applyFill="1" applyBorder="1" applyAlignment="1">
      <alignment horizontal="center" vertical="center"/>
    </xf>
    <xf numFmtId="0" fontId="0" fillId="60" borderId="74" xfId="0" applyFill="1" applyBorder="1" applyAlignment="1">
      <alignment horizontal="center" vertical="center"/>
    </xf>
    <xf numFmtId="0" fontId="0" fillId="60" borderId="34" xfId="0" applyFill="1" applyBorder="1" applyAlignment="1">
      <alignment horizontal="center" vertical="justify"/>
    </xf>
    <xf numFmtId="0" fontId="2" fillId="58" borderId="39" xfId="0" applyFont="1" applyFill="1" applyBorder="1" applyAlignment="1">
      <alignment vertical="center"/>
    </xf>
    <xf numFmtId="0" fontId="0" fillId="72" borderId="31" xfId="0" applyFill="1" applyBorder="1" applyAlignment="1">
      <alignment horizontal="right" vertical="justify" indent="6"/>
    </xf>
    <xf numFmtId="0" fontId="0" fillId="58" borderId="75" xfId="0" applyFill="1" applyBorder="1" applyAlignment="1">
      <alignment horizontal="center" vertical="justify"/>
    </xf>
    <xf numFmtId="0" fontId="0" fillId="58" borderId="75" xfId="0" applyFill="1" applyBorder="1" applyAlignment="1">
      <alignment horizontal="center"/>
    </xf>
    <xf numFmtId="0" fontId="0" fillId="61" borderId="0" xfId="0" applyFill="1" applyBorder="1" applyAlignment="1">
      <alignment horizontal="left" vertical="center" indent="1"/>
    </xf>
    <xf numFmtId="0" fontId="0" fillId="64" borderId="47" xfId="0" applyFill="1" applyBorder="1" applyAlignment="1">
      <alignment horizontal="center" vertical="distributed"/>
    </xf>
    <xf numFmtId="0" fontId="0" fillId="60" borderId="76" xfId="0" applyFill="1" applyBorder="1" applyAlignment="1">
      <alignment horizontal="center" vertical="center"/>
    </xf>
    <xf numFmtId="0" fontId="0" fillId="60" borderId="50" xfId="0" applyFill="1" applyBorder="1" applyAlignment="1">
      <alignment horizontal="center" vertical="center"/>
    </xf>
    <xf numFmtId="0" fontId="0" fillId="60" borderId="31" xfId="0" applyFill="1" applyBorder="1" applyAlignment="1">
      <alignment horizontal="center" vertical="top"/>
    </xf>
    <xf numFmtId="0" fontId="0" fillId="64" borderId="77" xfId="0" applyFill="1" applyBorder="1" applyAlignment="1">
      <alignment horizontal="center" vertical="center"/>
    </xf>
    <xf numFmtId="0" fontId="0" fillId="60" borderId="39" xfId="0" applyFill="1" applyBorder="1" applyAlignment="1">
      <alignment horizontal="center"/>
    </xf>
    <xf numFmtId="0" fontId="0" fillId="60" borderId="53" xfId="0" applyFill="1" applyBorder="1" applyAlignment="1">
      <alignment horizontal="center"/>
    </xf>
    <xf numFmtId="0" fontId="0" fillId="58" borderId="31" xfId="0" applyFill="1" applyBorder="1" applyAlignment="1">
      <alignment horizontal="center" vertical="distributed"/>
    </xf>
    <xf numFmtId="0" fontId="0" fillId="1" borderId="73" xfId="0" applyFill="1" applyBorder="1" applyAlignment="1">
      <alignment horizontal="distributed" vertical="justify" indent="4"/>
    </xf>
    <xf numFmtId="0" fontId="0" fillId="60" borderId="25" xfId="0" applyFill="1" applyBorder="1" applyAlignment="1">
      <alignment horizontal="right" vertical="justify" indent="3"/>
    </xf>
    <xf numFmtId="0" fontId="0" fillId="58" borderId="50" xfId="0" applyFill="1" applyBorder="1" applyAlignment="1">
      <alignment horizontal="center" vertical="center"/>
    </xf>
    <xf numFmtId="0" fontId="0" fillId="60" borderId="78" xfId="0" applyFill="1" applyBorder="1" applyAlignment="1">
      <alignment horizontal="center"/>
    </xf>
    <xf numFmtId="0" fontId="0" fillId="60" borderId="39" xfId="0" applyFill="1" applyBorder="1" applyAlignment="1">
      <alignment horizontal="center" vertical="justify"/>
    </xf>
    <xf numFmtId="0" fontId="0" fillId="60" borderId="53" xfId="0" applyFill="1" applyBorder="1" applyAlignment="1">
      <alignment horizontal="center" vertical="distributed"/>
    </xf>
    <xf numFmtId="0" fontId="0" fillId="58" borderId="75" xfId="0" applyFill="1" applyBorder="1" applyAlignment="1">
      <alignment horizontal="center" vertical="top"/>
    </xf>
    <xf numFmtId="0" fontId="10" fillId="58" borderId="0" xfId="0" applyFont="1" applyFill="1" applyBorder="1" applyAlignment="1"/>
    <xf numFmtId="0" fontId="0" fillId="1" borderId="79" xfId="0" applyFill="1" applyBorder="1" applyAlignment="1">
      <alignment horizontal="center" vertical="center"/>
    </xf>
    <xf numFmtId="0" fontId="0" fillId="1" borderId="80" xfId="0" applyFill="1" applyBorder="1" applyAlignment="1">
      <alignment horizontal="center" vertical="center"/>
    </xf>
    <xf numFmtId="0" fontId="0" fillId="1" borderId="81" xfId="0" applyFill="1" applyBorder="1" applyAlignment="1">
      <alignment horizontal="center" vertical="center"/>
    </xf>
    <xf numFmtId="0" fontId="0" fillId="72" borderId="74" xfId="0" applyFill="1" applyBorder="1" applyAlignment="1">
      <alignment horizontal="right" vertical="justify" indent="6"/>
    </xf>
    <xf numFmtId="0" fontId="20" fillId="60" borderId="53" xfId="0" applyFont="1" applyFill="1" applyBorder="1" applyAlignment="1">
      <alignment horizontal="center" vertical="justify"/>
    </xf>
    <xf numFmtId="0" fontId="0" fillId="1" borderId="73" xfId="0" applyFill="1" applyBorder="1" applyAlignment="1">
      <alignment horizontal="distributed" vertical="top" indent="2"/>
    </xf>
    <xf numFmtId="0" fontId="0" fillId="60" borderId="34" xfId="0" applyFill="1" applyBorder="1" applyAlignment="1">
      <alignment horizontal="center"/>
    </xf>
    <xf numFmtId="0" fontId="0" fillId="60" borderId="82" xfId="0" applyFill="1" applyBorder="1" applyAlignment="1">
      <alignment horizontal="center" vertical="center"/>
    </xf>
    <xf numFmtId="0" fontId="0" fillId="60" borderId="26" xfId="0" applyFill="1" applyBorder="1" applyAlignment="1">
      <alignment horizontal="center" vertical="top"/>
    </xf>
    <xf numFmtId="0" fontId="0" fillId="60" borderId="78" xfId="0" applyFill="1" applyBorder="1" applyAlignment="1">
      <alignment horizontal="center" vertical="top"/>
    </xf>
    <xf numFmtId="0" fontId="0" fillId="1" borderId="73" xfId="0" applyFill="1" applyBorder="1" applyAlignment="1">
      <alignment horizontal="distributed" indent="4"/>
    </xf>
    <xf numFmtId="0" fontId="0" fillId="1" borderId="73" xfId="0" applyFill="1" applyBorder="1" applyAlignment="1">
      <alignment horizontal="center" vertical="top"/>
    </xf>
    <xf numFmtId="0" fontId="32" fillId="0" borderId="0" xfId="0" applyFont="1"/>
    <xf numFmtId="0" fontId="2" fillId="69" borderId="0" xfId="0" applyFont="1" applyFill="1" applyBorder="1" applyAlignment="1">
      <alignment horizontal="center" vertical="justify"/>
    </xf>
    <xf numFmtId="0" fontId="2" fillId="69" borderId="0" xfId="0" applyFont="1" applyFill="1" applyBorder="1" applyAlignment="1">
      <alignment horizontal="center" vertical="center"/>
    </xf>
    <xf numFmtId="0" fontId="0" fillId="62" borderId="34" xfId="0" applyFill="1" applyBorder="1" applyAlignment="1">
      <alignment horizontal="center" vertical="top"/>
    </xf>
    <xf numFmtId="0" fontId="0" fillId="61" borderId="0" xfId="0" applyFill="1" applyBorder="1" applyAlignment="1">
      <alignment horizontal="left" vertical="center" indent="2"/>
    </xf>
    <xf numFmtId="0" fontId="0" fillId="62" borderId="31" xfId="0" applyFill="1" applyBorder="1" applyAlignment="1">
      <alignment horizontal="center" vertical="distributed"/>
    </xf>
    <xf numFmtId="0" fontId="0" fillId="58" borderId="83" xfId="0" applyFont="1" applyFill="1" applyBorder="1" applyAlignment="1">
      <alignment horizontal="left" vertical="center" indent="2"/>
    </xf>
    <xf numFmtId="0" fontId="0" fillId="58" borderId="75" xfId="0" applyFill="1" applyBorder="1" applyAlignment="1">
      <alignment horizontal="center" vertical="distributed"/>
    </xf>
    <xf numFmtId="0" fontId="0" fillId="60" borderId="84" xfId="0" applyFill="1" applyBorder="1" applyAlignment="1">
      <alignment horizontal="center" vertical="center"/>
    </xf>
    <xf numFmtId="0" fontId="3" fillId="69" borderId="0" xfId="0" applyFont="1" applyFill="1" applyBorder="1" applyAlignment="1">
      <alignment horizontal="center" vertical="center"/>
    </xf>
    <xf numFmtId="0" fontId="0" fillId="1" borderId="70" xfId="0" applyFill="1" applyBorder="1" applyAlignment="1">
      <alignment horizontal="center" vertical="top"/>
    </xf>
    <xf numFmtId="0" fontId="0" fillId="59" borderId="85" xfId="0" applyFill="1" applyBorder="1" applyAlignment="1">
      <alignment horizontal="center" vertical="center"/>
    </xf>
    <xf numFmtId="0" fontId="0" fillId="58" borderId="86" xfId="0" applyFill="1" applyBorder="1" applyAlignment="1">
      <alignment horizontal="center" vertical="center"/>
    </xf>
    <xf numFmtId="0" fontId="2" fillId="58" borderId="0" xfId="0" applyFont="1" applyFill="1" applyBorder="1" applyAlignment="1">
      <alignment vertical="center"/>
    </xf>
    <xf numFmtId="0" fontId="2" fillId="69" borderId="0" xfId="0" applyFont="1" applyFill="1" applyBorder="1" applyAlignment="1">
      <alignment horizontal="center"/>
    </xf>
    <xf numFmtId="0" fontId="0" fillId="67" borderId="46" xfId="0" applyFill="1" applyBorder="1" applyAlignment="1">
      <alignment horizontal="center" vertical="distributed"/>
    </xf>
    <xf numFmtId="0" fontId="0" fillId="58" borderId="83" xfId="0" applyFont="1" applyFill="1" applyBorder="1" applyAlignment="1">
      <alignment horizontal="left" vertical="center" indent="1"/>
    </xf>
    <xf numFmtId="0" fontId="0" fillId="60" borderId="32" xfId="0" applyFill="1" applyBorder="1" applyAlignment="1">
      <alignment horizontal="center" vertical="center"/>
    </xf>
    <xf numFmtId="0" fontId="0" fillId="64" borderId="37" xfId="0" applyFill="1" applyBorder="1" applyAlignment="1">
      <alignment horizontal="center" vertical="center"/>
    </xf>
    <xf numFmtId="0" fontId="0" fillId="69" borderId="35" xfId="0" applyFill="1" applyBorder="1" applyAlignment="1">
      <alignment horizontal="center" vertical="center"/>
    </xf>
    <xf numFmtId="0" fontId="0" fillId="68" borderId="31" xfId="0" applyFill="1" applyBorder="1" applyAlignment="1">
      <alignment horizontal="center" vertical="center"/>
    </xf>
    <xf numFmtId="0" fontId="0" fillId="68" borderId="31" xfId="0" applyFill="1" applyBorder="1" applyAlignment="1">
      <alignment horizontal="distributed" vertical="justify" indent="4"/>
    </xf>
    <xf numFmtId="0" fontId="0" fillId="60" borderId="87" xfId="0" applyFill="1" applyBorder="1" applyAlignment="1">
      <alignment horizontal="center" vertical="center"/>
    </xf>
    <xf numFmtId="0" fontId="0" fillId="60" borderId="24" xfId="0" applyFill="1" applyBorder="1" applyAlignment="1">
      <alignment horizontal="center" vertical="justify"/>
    </xf>
    <xf numFmtId="0" fontId="0" fillId="69" borderId="88" xfId="0" applyFill="1" applyBorder="1" applyAlignment="1">
      <alignment horizontal="center" vertical="justify"/>
    </xf>
    <xf numFmtId="0" fontId="0" fillId="69" borderId="89" xfId="0" applyFill="1" applyBorder="1" applyAlignment="1">
      <alignment horizontal="center" vertical="justify"/>
    </xf>
    <xf numFmtId="0" fontId="0" fillId="60" borderId="90" xfId="0" applyFill="1" applyBorder="1" applyAlignment="1">
      <alignment horizontal="center" vertical="justify"/>
    </xf>
    <xf numFmtId="0" fontId="0" fillId="69" borderId="24" xfId="0" applyFill="1" applyBorder="1" applyAlignment="1">
      <alignment horizontal="center" vertical="justify"/>
    </xf>
    <xf numFmtId="0" fontId="2" fillId="69" borderId="0" xfId="0" applyFont="1" applyFill="1" applyBorder="1" applyAlignment="1"/>
    <xf numFmtId="0" fontId="0" fillId="58" borderId="0" xfId="0" applyFill="1" applyBorder="1" applyAlignment="1">
      <alignment horizontal="center"/>
    </xf>
    <xf numFmtId="0" fontId="0" fillId="61" borderId="0" xfId="0" applyFill="1" applyBorder="1" applyAlignment="1">
      <alignment horizontal="left" vertical="center" indent="5"/>
    </xf>
    <xf numFmtId="0" fontId="0" fillId="62" borderId="91" xfId="0" applyFill="1" applyBorder="1" applyAlignment="1">
      <alignment horizontal="center" vertical="center"/>
    </xf>
    <xf numFmtId="0" fontId="0" fillId="60" borderId="32" xfId="0" applyFill="1" applyBorder="1" applyAlignment="1">
      <alignment horizontal="center" vertical="top"/>
    </xf>
    <xf numFmtId="0" fontId="2" fillId="69" borderId="0" xfId="0" applyFont="1" applyFill="1" applyBorder="1" applyAlignment="1">
      <alignment horizontal="center" vertical="distributed"/>
    </xf>
    <xf numFmtId="0" fontId="0" fillId="60" borderId="54" xfId="0" applyFill="1" applyBorder="1" applyAlignment="1">
      <alignment horizontal="center"/>
    </xf>
    <xf numFmtId="0" fontId="0" fillId="60" borderId="26" xfId="0" applyFill="1" applyBorder="1" applyAlignment="1">
      <alignment horizontal="center" vertical="distributed"/>
    </xf>
    <xf numFmtId="0" fontId="20" fillId="60" borderId="26" xfId="0" applyFont="1" applyFill="1" applyBorder="1" applyAlignment="1">
      <alignment horizontal="right" vertical="top" indent="1"/>
    </xf>
    <xf numFmtId="0" fontId="0" fillId="60" borderId="26" xfId="0" applyFill="1" applyBorder="1" applyAlignment="1">
      <alignment horizontal="center" vertical="justify"/>
    </xf>
    <xf numFmtId="0" fontId="33" fillId="69" borderId="0" xfId="0" applyFont="1" applyFill="1" applyBorder="1" applyAlignment="1">
      <alignment horizontal="center" vertical="center"/>
    </xf>
    <xf numFmtId="0" fontId="34" fillId="60" borderId="34" xfId="0" applyFont="1" applyFill="1" applyBorder="1" applyAlignment="1">
      <alignment horizontal="center" vertical="top"/>
    </xf>
    <xf numFmtId="0" fontId="0" fillId="62" borderId="25" xfId="0" applyFill="1" applyBorder="1" applyAlignment="1">
      <alignment vertical="center"/>
    </xf>
    <xf numFmtId="0" fontId="0" fillId="62" borderId="48" xfId="0" applyFill="1" applyBorder="1" applyAlignment="1">
      <alignment vertical="center"/>
    </xf>
    <xf numFmtId="0" fontId="0" fillId="62" borderId="31" xfId="0" applyFill="1" applyBorder="1" applyAlignment="1">
      <alignment vertical="justify"/>
    </xf>
    <xf numFmtId="0" fontId="16" fillId="67" borderId="0" xfId="0" applyFont="1" applyFill="1" applyBorder="1" applyAlignment="1">
      <alignment horizontal="center" vertical="center"/>
    </xf>
    <xf numFmtId="0" fontId="34" fillId="60" borderId="39" xfId="0" applyFont="1" applyFill="1" applyBorder="1" applyAlignment="1">
      <alignment horizontal="center" vertical="center"/>
    </xf>
    <xf numFmtId="0" fontId="2" fillId="69" borderId="0" xfId="0" applyFont="1" applyFill="1" applyBorder="1" applyAlignment="1">
      <alignment horizontal="center" vertical="top"/>
    </xf>
    <xf numFmtId="0" fontId="0" fillId="68" borderId="75" xfId="0" applyFill="1" applyBorder="1" applyAlignment="1">
      <alignment horizontal="center"/>
    </xf>
    <xf numFmtId="0" fontId="0" fillId="59" borderId="54" xfId="0" applyFill="1" applyBorder="1" applyAlignment="1">
      <alignment horizontal="center" vertical="center"/>
    </xf>
    <xf numFmtId="0" fontId="0" fillId="62" borderId="92" xfId="0" applyFill="1" applyBorder="1" applyAlignment="1">
      <alignment vertical="center"/>
    </xf>
    <xf numFmtId="0" fontId="0" fillId="62" borderId="93" xfId="0" applyFill="1" applyBorder="1" applyAlignment="1">
      <alignment vertical="center"/>
    </xf>
    <xf numFmtId="0" fontId="0" fillId="62" borderId="31" xfId="0" applyFill="1" applyBorder="1" applyAlignment="1">
      <alignment vertical="center"/>
    </xf>
    <xf numFmtId="0" fontId="11" fillId="67" borderId="0" xfId="0" applyFont="1" applyFill="1" applyBorder="1" applyAlignment="1">
      <alignment horizontal="center" vertical="top"/>
    </xf>
    <xf numFmtId="0" fontId="0" fillId="60" borderId="94" xfId="0" applyFill="1" applyBorder="1" applyAlignment="1">
      <alignment horizontal="center" vertical="distributed"/>
    </xf>
    <xf numFmtId="0" fontId="0" fillId="60" borderId="24" xfId="0" applyFill="1" applyBorder="1" applyAlignment="1">
      <alignment horizontal="center" vertical="distributed"/>
    </xf>
    <xf numFmtId="0" fontId="0" fillId="60" borderId="90" xfId="0" applyFill="1" applyBorder="1" applyAlignment="1">
      <alignment horizontal="center" vertical="distributed"/>
    </xf>
    <xf numFmtId="0" fontId="0" fillId="62" borderId="95" xfId="0" applyFill="1" applyBorder="1" applyAlignment="1">
      <alignment horizontal="center" vertical="distributed"/>
    </xf>
    <xf numFmtId="0" fontId="0" fillId="60" borderId="96" xfId="0" applyFill="1" applyBorder="1" applyAlignment="1">
      <alignment horizontal="center" vertical="distributed"/>
    </xf>
    <xf numFmtId="0" fontId="10" fillId="60" borderId="26" xfId="0" applyFont="1" applyFill="1" applyBorder="1" applyAlignment="1">
      <alignment horizontal="right" vertical="top" indent="2"/>
    </xf>
    <xf numFmtId="0" fontId="0" fillId="60" borderId="96" xfId="0" applyFill="1" applyBorder="1" applyAlignment="1">
      <alignment horizontal="center" vertical="justify"/>
    </xf>
    <xf numFmtId="0" fontId="0" fillId="62" borderId="95" xfId="0" applyFill="1" applyBorder="1" applyAlignment="1">
      <alignment horizontal="center" vertical="justify"/>
    </xf>
    <xf numFmtId="0" fontId="0" fillId="60" borderId="94" xfId="0" applyFill="1" applyBorder="1" applyAlignment="1">
      <alignment horizontal="distributed" vertical="justify" indent="8"/>
    </xf>
    <xf numFmtId="0" fontId="0" fillId="60" borderId="97" xfId="0" applyFill="1" applyBorder="1" applyAlignment="1">
      <alignment horizontal="center" vertical="center"/>
    </xf>
    <xf numFmtId="0" fontId="0" fillId="60" borderId="98" xfId="0" applyFill="1" applyBorder="1" applyAlignment="1">
      <alignment horizontal="center" vertical="center"/>
    </xf>
    <xf numFmtId="0" fontId="0" fillId="60" borderId="99" xfId="0" applyFill="1" applyBorder="1" applyAlignment="1">
      <alignment horizontal="center" vertical="center"/>
    </xf>
    <xf numFmtId="0" fontId="0" fillId="60" borderId="97" xfId="0" applyFill="1" applyBorder="1" applyAlignment="1">
      <alignment horizontal="center" vertical="justify"/>
    </xf>
    <xf numFmtId="0" fontId="0" fillId="60" borderId="100" xfId="0" applyFill="1" applyBorder="1" applyAlignment="1">
      <alignment horizontal="center" vertical="center"/>
    </xf>
    <xf numFmtId="0" fontId="19" fillId="74" borderId="0" xfId="0" applyFont="1" applyFill="1" applyBorder="1" applyAlignment="1">
      <alignment horizontal="center" vertical="top"/>
    </xf>
    <xf numFmtId="0" fontId="19" fillId="74" borderId="0" xfId="0" applyFont="1" applyFill="1" applyBorder="1" applyAlignment="1">
      <alignment vertical="distributed"/>
    </xf>
    <xf numFmtId="0" fontId="23" fillId="74" borderId="0" xfId="0" applyFont="1" applyFill="1" applyBorder="1" applyAlignment="1">
      <alignment vertical="distributed"/>
    </xf>
    <xf numFmtId="0" fontId="0" fillId="70" borderId="0" xfId="0" applyFill="1" applyBorder="1" applyAlignment="1">
      <alignment horizontal="center" vertical="distributed"/>
    </xf>
    <xf numFmtId="0" fontId="10" fillId="70" borderId="0" xfId="0" applyFont="1" applyFill="1" applyBorder="1" applyAlignment="1">
      <alignment horizontal="center" vertical="center"/>
    </xf>
    <xf numFmtId="0" fontId="0" fillId="60" borderId="83" xfId="0" applyFill="1" applyBorder="1" applyAlignment="1">
      <alignment horizontal="center" vertical="center"/>
    </xf>
    <xf numFmtId="0" fontId="0" fillId="60" borderId="101" xfId="0" applyFill="1" applyBorder="1" applyAlignment="1">
      <alignment horizontal="center" vertical="center"/>
    </xf>
    <xf numFmtId="0" fontId="0" fillId="58" borderId="102" xfId="0" applyFill="1" applyBorder="1" applyAlignment="1">
      <alignment horizontal="center" vertical="center"/>
    </xf>
    <xf numFmtId="0" fontId="0" fillId="60" borderId="54" xfId="0" applyFill="1" applyBorder="1" applyAlignment="1">
      <alignment horizontal="center" vertical="center"/>
    </xf>
    <xf numFmtId="0" fontId="0" fillId="60" borderId="103" xfId="0" applyFill="1" applyBorder="1" applyAlignment="1">
      <alignment horizontal="center" vertical="center"/>
    </xf>
    <xf numFmtId="0" fontId="0" fillId="58" borderId="58" xfId="0" applyFill="1" applyBorder="1" applyAlignment="1">
      <alignment horizontal="center"/>
    </xf>
    <xf numFmtId="0" fontId="0" fillId="70" borderId="39" xfId="0" applyFill="1" applyBorder="1" applyAlignment="1">
      <alignment horizontal="center" vertical="center"/>
    </xf>
    <xf numFmtId="0" fontId="0" fillId="70" borderId="104" xfId="0" applyFill="1" applyBorder="1" applyAlignment="1">
      <alignment horizontal="center" vertical="center"/>
    </xf>
    <xf numFmtId="0" fontId="0" fillId="64" borderId="104" xfId="0" applyFill="1" applyBorder="1" applyAlignment="1">
      <alignment horizontal="center" vertical="center"/>
    </xf>
    <xf numFmtId="0" fontId="0" fillId="70" borderId="25" xfId="0" applyFill="1" applyBorder="1" applyAlignment="1">
      <alignment horizontal="center" vertical="center"/>
    </xf>
    <xf numFmtId="0" fontId="0" fillId="58" borderId="58" xfId="0" applyFill="1" applyBorder="1" applyAlignment="1">
      <alignment horizontal="center" vertical="top"/>
    </xf>
    <xf numFmtId="0" fontId="16" fillId="64" borderId="35" xfId="0" applyFont="1" applyFill="1" applyBorder="1" applyAlignment="1">
      <alignment horizontal="center" vertical="center"/>
    </xf>
    <xf numFmtId="0" fontId="10" fillId="67" borderId="25" xfId="0" applyFont="1" applyFill="1" applyBorder="1" applyAlignment="1">
      <alignment horizontal="right" vertical="distributed" indent="2"/>
    </xf>
    <xf numFmtId="0" fontId="2" fillId="60" borderId="26" xfId="0" applyFont="1" applyFill="1" applyBorder="1" applyAlignment="1">
      <alignment horizontal="center" vertical="center"/>
    </xf>
    <xf numFmtId="0" fontId="0" fillId="64" borderId="25" xfId="0" applyFill="1" applyBorder="1" applyAlignment="1">
      <alignment horizontal="center" vertical="distributed"/>
    </xf>
    <xf numFmtId="0" fontId="0" fillId="60" borderId="105" xfId="0" applyFill="1" applyBorder="1" applyAlignment="1">
      <alignment horizontal="center" vertical="center"/>
    </xf>
    <xf numFmtId="0" fontId="0" fillId="58" borderId="106" xfId="0" applyFill="1" applyBorder="1" applyAlignment="1">
      <alignment horizontal="center" vertical="center"/>
    </xf>
    <xf numFmtId="0" fontId="0" fillId="69" borderId="106" xfId="0" applyFill="1" applyBorder="1" applyAlignment="1">
      <alignment horizontal="center" vertical="center"/>
    </xf>
    <xf numFmtId="0" fontId="0" fillId="58" borderId="25" xfId="0" applyFill="1" applyBorder="1" applyAlignment="1">
      <alignment horizontal="center" vertical="distributed"/>
    </xf>
    <xf numFmtId="0" fontId="0" fillId="58" borderId="107" xfId="0" applyFill="1" applyBorder="1" applyAlignment="1">
      <alignment horizontal="center"/>
    </xf>
    <xf numFmtId="0" fontId="0" fillId="64" borderId="108" xfId="0" applyFill="1" applyBorder="1" applyAlignment="1">
      <alignment horizontal="center" vertical="center"/>
    </xf>
    <xf numFmtId="0" fontId="0" fillId="58" borderId="58" xfId="0" applyFill="1" applyBorder="1" applyAlignment="1">
      <alignment horizontal="center" vertical="center"/>
    </xf>
    <xf numFmtId="0" fontId="0" fillId="61" borderId="0" xfId="0" applyFill="1" applyBorder="1" applyAlignment="1">
      <alignment horizontal="left" vertical="center" indent="7"/>
    </xf>
    <xf numFmtId="0" fontId="0" fillId="60" borderId="109" xfId="0" applyFill="1" applyBorder="1" applyAlignment="1">
      <alignment horizontal="center"/>
    </xf>
    <xf numFmtId="0" fontId="0" fillId="60" borderId="110" xfId="0" applyFill="1" applyBorder="1" applyAlignment="1">
      <alignment horizontal="center" vertical="center"/>
    </xf>
    <xf numFmtId="0" fontId="0" fillId="60" borderId="111" xfId="0" applyFill="1" applyBorder="1" applyAlignment="1">
      <alignment horizontal="center" vertical="center"/>
    </xf>
    <xf numFmtId="0" fontId="0" fillId="58" borderId="112" xfId="0" applyFill="1" applyBorder="1" applyAlignment="1">
      <alignment horizontal="center"/>
    </xf>
    <xf numFmtId="0" fontId="0" fillId="58" borderId="104" xfId="0" applyFill="1" applyBorder="1" applyAlignment="1">
      <alignment horizontal="center" vertical="justify"/>
    </xf>
    <xf numFmtId="0" fontId="0" fillId="58" borderId="39" xfId="0" applyFill="1" applyBorder="1" applyAlignment="1">
      <alignment horizontal="center" vertical="distributed"/>
    </xf>
    <xf numFmtId="0" fontId="0" fillId="58" borderId="39" xfId="0" applyFill="1" applyBorder="1" applyAlignment="1">
      <alignment horizontal="center" vertical="justify"/>
    </xf>
    <xf numFmtId="0" fontId="0" fillId="58" borderId="100" xfId="0" applyFill="1" applyBorder="1" applyAlignment="1">
      <alignment horizontal="center" vertical="center"/>
    </xf>
    <xf numFmtId="0" fontId="21" fillId="60" borderId="100" xfId="0" applyFont="1" applyFill="1" applyBorder="1" applyAlignment="1">
      <alignment horizontal="center" vertical="center"/>
    </xf>
    <xf numFmtId="0" fontId="0" fillId="60" borderId="113" xfId="0" applyFill="1" applyBorder="1" applyAlignment="1">
      <alignment horizontal="center" vertical="center"/>
    </xf>
    <xf numFmtId="0" fontId="0" fillId="61" borderId="42" xfId="0" applyFill="1" applyBorder="1" applyAlignment="1">
      <alignment horizontal="left" vertical="center" indent="6"/>
    </xf>
    <xf numFmtId="0" fontId="21" fillId="60" borderId="26" xfId="0" applyFont="1" applyFill="1" applyBorder="1" applyAlignment="1">
      <alignment horizontal="center" vertical="justify"/>
    </xf>
    <xf numFmtId="0" fontId="0" fillId="60" borderId="114" xfId="0" applyFill="1" applyBorder="1" applyAlignment="1">
      <alignment horizontal="center" vertical="center"/>
    </xf>
    <xf numFmtId="0" fontId="36" fillId="67" borderId="0" xfId="0" applyFont="1" applyFill="1" applyBorder="1" applyAlignment="1">
      <alignment horizontal="center"/>
    </xf>
    <xf numFmtId="0" fontId="37" fillId="67" borderId="0" xfId="0" applyFont="1" applyFill="1" applyBorder="1" applyAlignment="1">
      <alignment horizontal="center" vertical="distributed"/>
    </xf>
    <xf numFmtId="0" fontId="37" fillId="67" borderId="0" xfId="0" applyFont="1" applyFill="1" applyBorder="1" applyAlignment="1">
      <alignment horizontal="center" vertical="justify"/>
    </xf>
    <xf numFmtId="0" fontId="37" fillId="67" borderId="0" xfId="0" applyFont="1" applyFill="1" applyBorder="1" applyAlignment="1">
      <alignment horizontal="center"/>
    </xf>
    <xf numFmtId="0" fontId="37" fillId="67" borderId="0" xfId="0" applyFont="1" applyFill="1" applyBorder="1" applyAlignment="1">
      <alignment horizontal="center" vertical="center"/>
    </xf>
    <xf numFmtId="0" fontId="0" fillId="1" borderId="115" xfId="0" applyFill="1" applyBorder="1" applyAlignment="1">
      <alignment horizontal="center" vertical="top"/>
    </xf>
    <xf numFmtId="0" fontId="37" fillId="67" borderId="0" xfId="0" applyFont="1" applyFill="1" applyBorder="1" applyAlignment="1">
      <alignment horizontal="center" vertical="top"/>
    </xf>
    <xf numFmtId="0" fontId="0" fillId="60" borderId="116" xfId="0" applyFill="1" applyBorder="1" applyAlignment="1">
      <alignment horizontal="center" vertical="center"/>
    </xf>
    <xf numFmtId="0" fontId="0" fillId="58" borderId="39" xfId="0" applyFill="1" applyBorder="1" applyAlignment="1">
      <alignment horizontal="center" vertical="top"/>
    </xf>
    <xf numFmtId="0" fontId="0" fillId="74" borderId="25" xfId="0" applyFill="1" applyBorder="1" applyAlignment="1">
      <alignment horizontal="center" vertical="top"/>
    </xf>
    <xf numFmtId="0" fontId="0" fillId="64" borderId="23" xfId="0" applyFill="1" applyBorder="1" applyAlignment="1">
      <alignment horizontal="center" vertical="center"/>
    </xf>
    <xf numFmtId="0" fontId="2" fillId="67" borderId="0" xfId="0" applyFont="1" applyFill="1" applyBorder="1" applyAlignment="1">
      <alignment horizontal="center" vertical="top"/>
    </xf>
    <xf numFmtId="0" fontId="11" fillId="67" borderId="0" xfId="0" applyFont="1" applyFill="1" applyBorder="1" applyAlignment="1">
      <alignment horizontal="center" vertical="center"/>
    </xf>
    <xf numFmtId="0" fontId="0" fillId="74" borderId="0" xfId="0" applyFill="1" applyBorder="1" applyAlignment="1">
      <alignment horizontal="center" vertical="center"/>
    </xf>
    <xf numFmtId="0" fontId="0" fillId="74" borderId="25" xfId="0" applyFill="1" applyBorder="1" applyAlignment="1">
      <alignment horizontal="center" vertical="distributed"/>
    </xf>
    <xf numFmtId="0" fontId="0" fillId="58" borderId="39" xfId="0" applyFill="1" applyBorder="1" applyAlignment="1">
      <alignment horizontal="center"/>
    </xf>
    <xf numFmtId="0" fontId="2" fillId="67" borderId="25" xfId="0" applyFont="1" applyFill="1" applyBorder="1" applyAlignment="1">
      <alignment horizontal="center" vertical="center"/>
    </xf>
    <xf numFmtId="0" fontId="2" fillId="60" borderId="0" xfId="0" applyFont="1" applyFill="1" applyBorder="1" applyAlignment="1">
      <alignment horizontal="center"/>
    </xf>
    <xf numFmtId="0" fontId="2" fillId="60" borderId="0" xfId="0" applyFont="1" applyFill="1" applyBorder="1" applyAlignment="1">
      <alignment horizontal="center" vertical="justify"/>
    </xf>
    <xf numFmtId="0" fontId="2" fillId="58" borderId="0" xfId="0" applyFont="1" applyFill="1" applyBorder="1" applyAlignment="1">
      <alignment horizontal="center"/>
    </xf>
    <xf numFmtId="0" fontId="34" fillId="74" borderId="0" xfId="0" applyFont="1" applyFill="1" applyBorder="1" applyAlignment="1">
      <alignment horizontal="center" vertical="center"/>
    </xf>
    <xf numFmtId="0" fontId="0" fillId="58" borderId="39" xfId="0" applyFill="1" applyBorder="1" applyAlignment="1">
      <alignment horizontal="center" vertical="center"/>
    </xf>
    <xf numFmtId="0" fontId="17" fillId="60" borderId="25" xfId="0" applyFont="1" applyFill="1" applyBorder="1" applyAlignment="1">
      <alignment horizontal="center"/>
    </xf>
    <xf numFmtId="0" fontId="38" fillId="60" borderId="0" xfId="0" applyFont="1" applyFill="1" applyBorder="1" applyAlignment="1">
      <alignment horizontal="center" vertical="center"/>
    </xf>
    <xf numFmtId="0" fontId="2" fillId="58" borderId="0" xfId="0" applyFont="1" applyFill="1" applyBorder="1" applyAlignment="1">
      <alignment horizontal="center" vertical="center"/>
    </xf>
    <xf numFmtId="0" fontId="0" fillId="61" borderId="31" xfId="0" applyFill="1" applyBorder="1" applyAlignment="1">
      <alignment horizontal="left" vertical="center" indent="6"/>
    </xf>
    <xf numFmtId="0" fontId="35" fillId="67" borderId="0" xfId="0" applyFont="1" applyFill="1" applyBorder="1" applyAlignment="1">
      <alignment horizontal="center" vertical="center"/>
    </xf>
    <xf numFmtId="0" fontId="0" fillId="74" borderId="0" xfId="0" applyFill="1" applyBorder="1" applyAlignment="1"/>
    <xf numFmtId="0" fontId="0" fillId="58" borderId="0" xfId="0" applyFill="1" applyBorder="1" applyAlignment="1">
      <alignment horizontal="center" vertical="top"/>
    </xf>
    <xf numFmtId="0" fontId="0" fillId="74" borderId="0" xfId="0" applyFill="1" applyBorder="1" applyAlignment="1">
      <alignment horizontal="center" vertical="distributed"/>
    </xf>
    <xf numFmtId="0" fontId="18" fillId="58" borderId="0" xfId="0" applyFont="1" applyFill="1" applyBorder="1" applyAlignment="1">
      <alignment horizontal="center"/>
    </xf>
    <xf numFmtId="0" fontId="40" fillId="58" borderId="25" xfId="0" applyFont="1" applyFill="1" applyBorder="1" applyAlignment="1">
      <alignment horizontal="center" vertical="justify"/>
    </xf>
    <xf numFmtId="0" fontId="9" fillId="65" borderId="39" xfId="0" applyFont="1" applyFill="1" applyBorder="1" applyAlignment="1">
      <alignment horizontal="center" vertical="center"/>
    </xf>
    <xf numFmtId="0" fontId="18" fillId="58" borderId="0" xfId="0" applyFont="1" applyFill="1" applyBorder="1" applyAlignment="1">
      <alignment horizontal="center" vertical="top"/>
    </xf>
    <xf numFmtId="0" fontId="0" fillId="74" borderId="25" xfId="0" applyFill="1" applyBorder="1" applyAlignment="1">
      <alignment horizontal="center" vertical="justify"/>
    </xf>
    <xf numFmtId="0" fontId="2" fillId="58" borderId="117" xfId="0" applyFont="1" applyFill="1" applyBorder="1" applyAlignment="1">
      <alignment horizontal="left" indent="4"/>
    </xf>
    <xf numFmtId="0" fontId="0" fillId="58" borderId="118" xfId="0" applyFill="1" applyBorder="1" applyAlignment="1">
      <alignment horizontal="center" vertical="center"/>
    </xf>
    <xf numFmtId="0" fontId="2" fillId="64" borderId="0" xfId="0" applyFont="1" applyFill="1" applyBorder="1" applyAlignment="1">
      <alignment horizontal="center" vertical="center"/>
    </xf>
    <xf numFmtId="0" fontId="35" fillId="67" borderId="47" xfId="0" applyFont="1" applyFill="1" applyBorder="1" applyAlignment="1">
      <alignment horizontal="center" vertical="center"/>
    </xf>
    <xf numFmtId="0" fontId="0" fillId="67" borderId="0" xfId="0" applyFill="1" applyBorder="1" applyAlignment="1"/>
    <xf numFmtId="0" fontId="0" fillId="58" borderId="117" xfId="0" applyFill="1" applyBorder="1" applyAlignment="1">
      <alignment horizontal="center" vertical="center"/>
    </xf>
    <xf numFmtId="0" fontId="37" fillId="67" borderId="47" xfId="0" applyFont="1" applyFill="1" applyBorder="1" applyAlignment="1">
      <alignment horizontal="center" vertical="center"/>
    </xf>
    <xf numFmtId="0" fontId="0" fillId="60" borderId="25" xfId="0" applyFont="1" applyFill="1" applyBorder="1" applyAlignment="1">
      <alignment horizontal="left" vertical="distributed"/>
    </xf>
    <xf numFmtId="0" fontId="37" fillId="67" borderId="0" xfId="0" applyFont="1" applyFill="1" applyBorder="1" applyAlignment="1">
      <alignment vertical="distributed"/>
    </xf>
    <xf numFmtId="0" fontId="10" fillId="74" borderId="0" xfId="0" applyFont="1" applyFill="1" applyBorder="1" applyAlignment="1">
      <alignment horizontal="center" vertical="justify"/>
    </xf>
    <xf numFmtId="0" fontId="2" fillId="67" borderId="0" xfId="0" applyFont="1" applyFill="1" applyBorder="1" applyAlignment="1">
      <alignment horizontal="center" vertical="center"/>
    </xf>
    <xf numFmtId="0" fontId="11" fillId="67" borderId="25" xfId="0" applyFont="1" applyFill="1" applyBorder="1" applyAlignment="1">
      <alignment horizontal="center" vertical="center"/>
    </xf>
    <xf numFmtId="0" fontId="37" fillId="74" borderId="0" xfId="0" applyFont="1" applyFill="1" applyBorder="1" applyAlignment="1">
      <alignment horizontal="center" vertical="justify"/>
    </xf>
    <xf numFmtId="0" fontId="37" fillId="74" borderId="0" xfId="0" applyFont="1" applyFill="1" applyBorder="1" applyAlignment="1">
      <alignment horizontal="center" vertical="distributed"/>
    </xf>
    <xf numFmtId="0" fontId="37" fillId="74" borderId="0" xfId="0" applyFont="1" applyFill="1" applyBorder="1" applyAlignment="1">
      <alignment horizontal="center" vertical="top"/>
    </xf>
    <xf numFmtId="0" fontId="37" fillId="69" borderId="0" xfId="0" applyFont="1" applyFill="1" applyBorder="1" applyAlignment="1">
      <alignment horizontal="center" vertical="top"/>
    </xf>
    <xf numFmtId="0" fontId="0" fillId="62" borderId="0" xfId="0" applyFill="1" applyBorder="1" applyAlignment="1">
      <alignment horizontal="center" vertical="center"/>
    </xf>
    <xf numFmtId="0" fontId="0" fillId="68" borderId="34" xfId="0" applyFill="1" applyBorder="1" applyAlignment="1">
      <alignment horizontal="center"/>
    </xf>
    <xf numFmtId="0" fontId="0" fillId="69" borderId="26" xfId="0" applyFill="1" applyBorder="1" applyAlignment="1">
      <alignment horizontal="center" vertical="center"/>
    </xf>
    <xf numFmtId="0" fontId="0" fillId="61" borderId="119" xfId="0" applyFill="1" applyBorder="1" applyAlignment="1">
      <alignment horizontal="left" vertical="center" indent="3"/>
    </xf>
    <xf numFmtId="0" fontId="0" fillId="61" borderId="120" xfId="0" applyFill="1" applyBorder="1" applyAlignment="1">
      <alignment horizontal="left" vertical="center" indent="3"/>
    </xf>
    <xf numFmtId="0" fontId="0" fillId="60" borderId="121" xfId="0" applyFill="1" applyBorder="1" applyAlignment="1">
      <alignment horizontal="center" vertical="center"/>
    </xf>
    <xf numFmtId="0" fontId="2" fillId="68" borderId="34" xfId="0" applyFont="1" applyFill="1" applyBorder="1" applyAlignment="1">
      <alignment horizontal="center" vertical="center"/>
    </xf>
    <xf numFmtId="0" fontId="0" fillId="1" borderId="122" xfId="0" applyFill="1" applyBorder="1" applyAlignment="1">
      <alignment horizontal="center" vertical="center"/>
    </xf>
    <xf numFmtId="0" fontId="0" fillId="64" borderId="0" xfId="0" applyFill="1" applyBorder="1" applyAlignment="1">
      <alignment horizontal="center" vertical="justify"/>
    </xf>
    <xf numFmtId="0" fontId="0" fillId="1" borderId="123" xfId="0" applyFill="1" applyBorder="1" applyAlignment="1">
      <alignment horizontal="center" vertical="center"/>
    </xf>
    <xf numFmtId="0" fontId="0" fillId="1" borderId="124" xfId="0" applyFill="1" applyBorder="1" applyAlignment="1">
      <alignment horizontal="center" vertical="center"/>
    </xf>
    <xf numFmtId="0" fontId="0" fillId="62" borderId="39" xfId="0" applyFill="1" applyBorder="1"/>
    <xf numFmtId="0" fontId="0" fillId="64" borderId="125" xfId="0" applyFill="1" applyBorder="1" applyAlignment="1">
      <alignment horizontal="center" vertical="center"/>
    </xf>
    <xf numFmtId="0" fontId="0" fillId="60" borderId="126" xfId="0" applyFill="1" applyBorder="1" applyAlignment="1">
      <alignment horizontal="center" vertical="center"/>
    </xf>
    <xf numFmtId="0" fontId="41" fillId="0" borderId="0" xfId="0" applyFont="1"/>
    <xf numFmtId="0" fontId="32" fillId="0" borderId="0" xfId="0" applyFont="1" applyAlignment="1">
      <alignment horizontal="left" vertical="center"/>
    </xf>
    <xf numFmtId="0" fontId="32" fillId="0" borderId="0" xfId="0" applyFont="1" applyAlignment="1">
      <alignment horizontal="center" vertical="center"/>
    </xf>
    <xf numFmtId="0" fontId="32" fillId="0" borderId="0" xfId="0" applyFont="1" applyBorder="1"/>
    <xf numFmtId="0" fontId="32" fillId="0" borderId="1" xfId="0" applyFont="1" applyBorder="1"/>
    <xf numFmtId="0" fontId="36" fillId="0" borderId="0" xfId="0" applyFont="1"/>
    <xf numFmtId="0" fontId="2" fillId="0" borderId="0" xfId="0" quotePrefix="1" applyNumberFormat="1" applyFont="1"/>
    <xf numFmtId="0" fontId="42" fillId="0" borderId="127" xfId="0" applyFont="1" applyBorder="1"/>
    <xf numFmtId="0" fontId="32" fillId="0" borderId="0" xfId="0" applyFont="1" applyFill="1" applyBorder="1"/>
    <xf numFmtId="0" fontId="2" fillId="0" borderId="0" xfId="0" quotePrefix="1" applyFont="1"/>
    <xf numFmtId="0" fontId="32" fillId="0" borderId="1" xfId="0" applyFont="1" applyFill="1" applyBorder="1"/>
    <xf numFmtId="0" fontId="2" fillId="0" borderId="0" xfId="0" applyNumberFormat="1" applyFont="1"/>
    <xf numFmtId="0" fontId="7" fillId="0" borderId="3" xfId="0" applyFont="1" applyBorder="1"/>
    <xf numFmtId="0" fontId="7" fillId="0" borderId="4" xfId="0" applyFont="1" applyBorder="1"/>
    <xf numFmtId="0" fontId="7" fillId="0" borderId="5" xfId="0" applyFont="1" applyBorder="1"/>
    <xf numFmtId="0" fontId="7" fillId="0" borderId="6" xfId="0" applyFont="1" applyBorder="1"/>
    <xf numFmtId="0" fontId="7" fillId="0" borderId="2" xfId="0" applyFont="1" applyBorder="1"/>
    <xf numFmtId="0" fontId="7" fillId="0" borderId="7" xfId="0" applyFont="1" applyBorder="1"/>
    <xf numFmtId="0" fontId="7" fillId="56" borderId="1" xfId="0" applyFont="1" applyFill="1" applyBorder="1"/>
    <xf numFmtId="0" fontId="7" fillId="0" borderId="8" xfId="0" applyFont="1" applyBorder="1"/>
    <xf numFmtId="0" fontId="7" fillId="29" borderId="4" xfId="0" applyFont="1" applyFill="1" applyBorder="1"/>
    <xf numFmtId="0" fontId="7" fillId="32" borderId="6" xfId="0" applyFont="1" applyFill="1" applyBorder="1"/>
    <xf numFmtId="0" fontId="7" fillId="32" borderId="4" xfId="0" applyFont="1" applyFill="1" applyBorder="1"/>
    <xf numFmtId="0" fontId="0" fillId="0" borderId="4" xfId="0" applyFont="1" applyBorder="1"/>
    <xf numFmtId="0" fontId="0" fillId="31" borderId="7" xfId="0" applyFill="1" applyBorder="1"/>
    <xf numFmtId="0" fontId="2" fillId="38" borderId="0" xfId="0" applyFont="1" applyFill="1" applyBorder="1"/>
    <xf numFmtId="0" fontId="7" fillId="56" borderId="4" xfId="0" applyFont="1" applyFill="1" applyBorder="1"/>
    <xf numFmtId="0" fontId="7" fillId="56" borderId="2" xfId="0" applyFont="1" applyFill="1" applyBorder="1"/>
    <xf numFmtId="0" fontId="7" fillId="31" borderId="3" xfId="0" applyFont="1" applyFill="1" applyBorder="1"/>
    <xf numFmtId="0" fontId="7" fillId="36" borderId="4" xfId="0" applyFont="1" applyFill="1" applyBorder="1"/>
    <xf numFmtId="0" fontId="7" fillId="36" borderId="6" xfId="0" applyFont="1" applyFill="1" applyBorder="1"/>
    <xf numFmtId="0" fontId="0" fillId="20" borderId="4" xfId="0" applyFill="1" applyBorder="1"/>
    <xf numFmtId="0" fontId="0" fillId="22" borderId="4" xfId="0" applyFill="1" applyBorder="1"/>
    <xf numFmtId="0" fontId="0" fillId="38" borderId="4" xfId="0" applyFill="1" applyBorder="1"/>
    <xf numFmtId="0" fontId="0" fillId="38" borderId="2" xfId="0" applyFill="1" applyBorder="1"/>
    <xf numFmtId="0" fontId="0" fillId="22" borderId="6" xfId="0" applyFill="1" applyBorder="1"/>
    <xf numFmtId="0" fontId="0" fillId="22" borderId="2" xfId="0" applyFill="1" applyBorder="1"/>
    <xf numFmtId="0" fontId="0" fillId="20" borderId="2" xfId="0" applyFill="1" applyBorder="1"/>
    <xf numFmtId="0" fontId="0" fillId="55" borderId="2" xfId="0" applyFill="1" applyBorder="1"/>
    <xf numFmtId="0" fontId="0" fillId="56" borderId="2" xfId="0" applyFill="1" applyBorder="1"/>
    <xf numFmtId="0" fontId="0" fillId="52" borderId="2" xfId="0" applyFill="1" applyBorder="1"/>
    <xf numFmtId="0" fontId="0" fillId="35" borderId="4" xfId="0" applyFill="1" applyBorder="1"/>
    <xf numFmtId="0" fontId="0" fillId="28" borderId="4" xfId="0" applyFill="1" applyBorder="1"/>
    <xf numFmtId="0" fontId="0" fillId="53" borderId="4" xfId="0" applyFill="1" applyBorder="1"/>
    <xf numFmtId="0" fontId="0" fillId="56" borderId="4" xfId="0" applyFill="1" applyBorder="1"/>
    <xf numFmtId="0" fontId="0" fillId="56" borderId="5" xfId="0" applyFill="1" applyBorder="1"/>
    <xf numFmtId="0" fontId="0" fillId="53" borderId="6" xfId="0" applyFill="1" applyBorder="1"/>
    <xf numFmtId="0" fontId="2" fillId="0" borderId="6" xfId="0" applyFont="1" applyBorder="1"/>
    <xf numFmtId="0" fontId="0" fillId="9" borderId="4" xfId="0" applyFill="1" applyBorder="1"/>
    <xf numFmtId="0" fontId="0" fillId="8" borderId="4" xfId="0" applyFill="1" applyBorder="1"/>
    <xf numFmtId="0" fontId="2" fillId="30" borderId="3" xfId="0" applyFont="1" applyFill="1" applyBorder="1"/>
    <xf numFmtId="0" fontId="2" fillId="30" borderId="4" xfId="0" applyFont="1" applyFill="1" applyBorder="1"/>
    <xf numFmtId="0" fontId="2" fillId="30" borderId="5" xfId="0" applyFont="1" applyFill="1" applyBorder="1"/>
    <xf numFmtId="0" fontId="2" fillId="29" borderId="6" xfId="0" applyFont="1" applyFill="1" applyBorder="1"/>
    <xf numFmtId="0" fontId="2" fillId="29" borderId="2" xfId="0" applyFont="1" applyFill="1" applyBorder="1"/>
    <xf numFmtId="0" fontId="2" fillId="32" borderId="6" xfId="0" applyFont="1" applyFill="1" applyBorder="1"/>
    <xf numFmtId="0" fontId="2" fillId="32" borderId="2" xfId="0" applyFont="1" applyFill="1" applyBorder="1"/>
    <xf numFmtId="0" fontId="2" fillId="45" borderId="0" xfId="0" applyFont="1" applyFill="1" applyBorder="1"/>
    <xf numFmtId="0" fontId="2" fillId="48" borderId="0" xfId="0" applyFont="1" applyFill="1" applyBorder="1"/>
    <xf numFmtId="0" fontId="7" fillId="30" borderId="4" xfId="0" applyFont="1" applyFill="1" applyBorder="1"/>
    <xf numFmtId="0" fontId="7" fillId="36" borderId="2" xfId="0" applyFont="1" applyFill="1" applyBorder="1"/>
    <xf numFmtId="0" fontId="7" fillId="36" borderId="8" xfId="0" applyFont="1" applyFill="1" applyBorder="1"/>
    <xf numFmtId="0" fontId="2" fillId="30" borderId="2" xfId="0" applyFont="1" applyFill="1" applyBorder="1"/>
    <xf numFmtId="0" fontId="2" fillId="30" borderId="6" xfId="0" applyFont="1" applyFill="1" applyBorder="1"/>
    <xf numFmtId="0" fontId="3" fillId="0" borderId="0" xfId="0" applyFont="1"/>
    <xf numFmtId="0" fontId="3" fillId="2" borderId="0" xfId="0" applyFont="1" applyFill="1" applyBorder="1"/>
    <xf numFmtId="0" fontId="3" fillId="0" borderId="0" xfId="0" applyFont="1" applyBorder="1"/>
    <xf numFmtId="0" fontId="3" fillId="0" borderId="6" xfId="0" applyFont="1" applyBorder="1"/>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7" xfId="0" applyFont="1" applyBorder="1"/>
    <xf numFmtId="0" fontId="3" fillId="0" borderId="1" xfId="0" applyFont="1" applyBorder="1"/>
    <xf numFmtId="0" fontId="3" fillId="0" borderId="8" xfId="0" applyFont="1" applyBorder="1"/>
    <xf numFmtId="0" fontId="7" fillId="52" borderId="1" xfId="0" applyFont="1" applyFill="1" applyBorder="1"/>
    <xf numFmtId="0" fontId="0" fillId="29" borderId="4" xfId="0" applyFill="1" applyBorder="1"/>
    <xf numFmtId="0" fontId="0" fillId="0" borderId="3" xfId="0" applyFont="1" applyBorder="1"/>
    <xf numFmtId="0" fontId="0" fillId="32" borderId="4" xfId="0" applyFill="1" applyBorder="1"/>
    <xf numFmtId="0" fontId="0" fillId="4" borderId="6" xfId="0" applyFill="1" applyBorder="1"/>
    <xf numFmtId="0" fontId="0" fillId="4" borderId="2" xfId="0" applyFill="1" applyBorder="1"/>
    <xf numFmtId="0" fontId="0" fillId="31" borderId="8" xfId="0" applyFill="1" applyBorder="1"/>
    <xf numFmtId="0" fontId="0" fillId="36" borderId="4" xfId="0" applyFill="1" applyBorder="1"/>
    <xf numFmtId="0" fontId="0" fillId="31" borderId="4" xfId="0" applyFill="1" applyBorder="1"/>
    <xf numFmtId="0" fontId="0" fillId="33" borderId="4" xfId="0" applyFill="1" applyBorder="1"/>
    <xf numFmtId="0" fontId="7" fillId="28" borderId="1" xfId="0" applyFont="1" applyFill="1" applyBorder="1"/>
    <xf numFmtId="0" fontId="7" fillId="2" borderId="0" xfId="0" applyFont="1" applyFill="1"/>
    <xf numFmtId="0" fontId="7" fillId="0" borderId="6" xfId="0" applyNumberFormat="1" applyFont="1" applyFill="1" applyBorder="1" applyAlignment="1" applyProtection="1"/>
    <xf numFmtId="0" fontId="7" fillId="0" borderId="0" xfId="0" applyNumberFormat="1" applyFont="1" applyFill="1" applyBorder="1" applyAlignment="1" applyProtection="1"/>
    <xf numFmtId="0" fontId="7" fillId="0" borderId="2" xfId="0" applyNumberFormat="1" applyFont="1" applyFill="1" applyBorder="1" applyAlignment="1" applyProtection="1"/>
    <xf numFmtId="0" fontId="7" fillId="3" borderId="1" xfId="0" applyFont="1" applyFill="1" applyBorder="1"/>
    <xf numFmtId="0" fontId="7" fillId="0" borderId="7" xfId="0" applyNumberFormat="1" applyFont="1" applyFill="1" applyBorder="1" applyAlignment="1" applyProtection="1"/>
    <xf numFmtId="0" fontId="7" fillId="0" borderId="1" xfId="0" applyNumberFormat="1" applyFont="1" applyFill="1" applyBorder="1" applyAlignment="1" applyProtection="1"/>
    <xf numFmtId="0" fontId="7" fillId="0" borderId="8" xfId="0" applyNumberFormat="1" applyFont="1" applyFill="1" applyBorder="1" applyAlignment="1" applyProtection="1"/>
    <xf numFmtId="0" fontId="7" fillId="36" borderId="3" xfId="0" applyFont="1" applyFill="1" applyBorder="1"/>
    <xf numFmtId="0" fontId="7" fillId="37" borderId="4" xfId="0" applyFont="1" applyFill="1" applyBorder="1"/>
    <xf numFmtId="0" fontId="7" fillId="34" borderId="6" xfId="0" applyFont="1" applyFill="1" applyBorder="1"/>
    <xf numFmtId="0" fontId="31" fillId="9" borderId="0" xfId="0" applyFont="1" applyFill="1" applyAlignment="1">
      <alignment vertical="justify"/>
    </xf>
    <xf numFmtId="0" fontId="31" fillId="10" borderId="0" xfId="0" applyFont="1" applyFill="1" applyAlignment="1">
      <alignment vertical="justify"/>
    </xf>
    <xf numFmtId="0" fontId="31" fillId="11" borderId="0" xfId="0" applyFont="1" applyFill="1" applyAlignment="1">
      <alignment vertical="justify"/>
    </xf>
    <xf numFmtId="0" fontId="31" fillId="7" borderId="0" xfId="0" applyFont="1" applyFill="1" applyAlignment="1">
      <alignment vertical="justify"/>
    </xf>
    <xf numFmtId="0" fontId="31" fillId="31" borderId="0" xfId="0" applyFont="1" applyFill="1" applyAlignment="1">
      <alignment vertical="justify"/>
    </xf>
    <xf numFmtId="0" fontId="31" fillId="8" borderId="0" xfId="0" applyFont="1" applyFill="1" applyAlignment="1">
      <alignment vertical="justify"/>
    </xf>
    <xf numFmtId="0" fontId="31" fillId="12" borderId="0" xfId="0" applyFont="1" applyFill="1" applyAlignment="1">
      <alignment vertical="justify"/>
    </xf>
    <xf numFmtId="0" fontId="31" fillId="10" borderId="1" xfId="0" applyFont="1" applyFill="1" applyBorder="1" applyAlignment="1">
      <alignment vertical="justify"/>
    </xf>
    <xf numFmtId="0" fontId="31" fillId="7" borderId="1" xfId="0" applyFont="1" applyFill="1" applyBorder="1" applyAlignment="1">
      <alignment vertical="justify"/>
    </xf>
    <xf numFmtId="0" fontId="31" fillId="42" borderId="0" xfId="0" applyFont="1" applyFill="1" applyAlignment="1">
      <alignment vertical="justify"/>
    </xf>
    <xf numFmtId="0" fontId="31" fillId="43" borderId="0" xfId="0" applyFont="1" applyFill="1" applyAlignment="1">
      <alignment vertical="justify"/>
    </xf>
    <xf numFmtId="0" fontId="31" fillId="44" borderId="0" xfId="0" applyFont="1" applyFill="1" applyAlignment="1">
      <alignment vertical="justify"/>
    </xf>
    <xf numFmtId="0" fontId="7" fillId="29" borderId="2" xfId="0" applyFont="1" applyFill="1" applyBorder="1"/>
    <xf numFmtId="0" fontId="7" fillId="11" borderId="2" xfId="0" applyFont="1" applyFill="1" applyBorder="1"/>
    <xf numFmtId="0" fontId="7" fillId="10" borderId="2" xfId="0" applyFont="1" applyFill="1" applyBorder="1"/>
    <xf numFmtId="0" fontId="7" fillId="9" borderId="1" xfId="0" applyFont="1" applyFill="1" applyBorder="1"/>
    <xf numFmtId="0" fontId="7" fillId="11" borderId="1" xfId="0" applyFont="1" applyFill="1" applyBorder="1"/>
    <xf numFmtId="0" fontId="7" fillId="7" borderId="1" xfId="0" applyFont="1" applyFill="1" applyBorder="1"/>
    <xf numFmtId="0" fontId="7" fillId="10" borderId="1" xfId="0" applyFont="1" applyFill="1" applyBorder="1"/>
    <xf numFmtId="0" fontId="7" fillId="22" borderId="6" xfId="0" applyFont="1" applyFill="1" applyBorder="1"/>
    <xf numFmtId="0" fontId="7" fillId="8" borderId="6" xfId="0" applyFont="1" applyFill="1" applyBorder="1"/>
    <xf numFmtId="0" fontId="7" fillId="28" borderId="6" xfId="0" applyFont="1" applyFill="1" applyBorder="1"/>
    <xf numFmtId="0" fontId="7" fillId="44" borderId="6" xfId="0" applyFont="1" applyFill="1" applyBorder="1"/>
    <xf numFmtId="0" fontId="7" fillId="7" borderId="6" xfId="0" applyFont="1" applyFill="1" applyBorder="1"/>
    <xf numFmtId="0" fontId="7" fillId="47" borderId="1" xfId="0" applyFont="1" applyFill="1" applyBorder="1"/>
    <xf numFmtId="0" fontId="7" fillId="47" borderId="7" xfId="0" applyFont="1" applyFill="1" applyBorder="1"/>
    <xf numFmtId="0" fontId="7" fillId="47" borderId="8" xfId="0" applyFont="1" applyFill="1" applyBorder="1"/>
    <xf numFmtId="0" fontId="7" fillId="34" borderId="2" xfId="0" applyFont="1" applyFill="1" applyBorder="1"/>
    <xf numFmtId="0" fontId="7" fillId="22" borderId="4" xfId="0" applyFont="1" applyFill="1" applyBorder="1"/>
    <xf numFmtId="0" fontId="7" fillId="38" borderId="4" xfId="0" applyFont="1" applyFill="1" applyBorder="1"/>
    <xf numFmtId="0" fontId="7" fillId="38" borderId="6" xfId="0" applyFont="1" applyFill="1" applyBorder="1"/>
    <xf numFmtId="0" fontId="7" fillId="25" borderId="2" xfId="0" applyFont="1" applyFill="1" applyBorder="1"/>
    <xf numFmtId="0" fontId="43" fillId="0" borderId="5" xfId="0" applyFont="1" applyFill="1" applyBorder="1"/>
    <xf numFmtId="0" fontId="43" fillId="0" borderId="2" xfId="0" applyFont="1" applyFill="1" applyBorder="1"/>
    <xf numFmtId="0" fontId="7" fillId="25" borderId="6" xfId="0" applyFont="1" applyFill="1" applyBorder="1"/>
    <xf numFmtId="0" fontId="0" fillId="33" borderId="2" xfId="0" applyFill="1" applyBorder="1"/>
    <xf numFmtId="0" fontId="43" fillId="0" borderId="2" xfId="0" applyNumberFormat="1" applyFont="1" applyFill="1" applyBorder="1" applyAlignment="1" applyProtection="1"/>
    <xf numFmtId="0" fontId="7" fillId="7" borderId="2" xfId="0" applyFont="1" applyFill="1" applyBorder="1"/>
    <xf numFmtId="0" fontId="0" fillId="12" borderId="4" xfId="0" applyFill="1" applyBorder="1"/>
    <xf numFmtId="0" fontId="7" fillId="12" borderId="4" xfId="0" applyFont="1" applyFill="1" applyBorder="1"/>
    <xf numFmtId="0" fontId="0" fillId="6" borderId="4" xfId="0" applyFill="1" applyBorder="1"/>
    <xf numFmtId="0" fontId="0" fillId="5" borderId="4" xfId="0" applyFill="1" applyBorder="1"/>
    <xf numFmtId="0" fontId="7" fillId="10" borderId="3" xfId="0" applyFont="1" applyFill="1" applyBorder="1"/>
    <xf numFmtId="0" fontId="7" fillId="10" borderId="4" xfId="0" applyFont="1" applyFill="1" applyBorder="1"/>
    <xf numFmtId="0" fontId="7" fillId="7" borderId="4" xfId="0" applyFont="1" applyFill="1" applyBorder="1"/>
    <xf numFmtId="0" fontId="7" fillId="9" borderId="4" xfId="0" applyFont="1" applyFill="1" applyBorder="1"/>
    <xf numFmtId="0" fontId="7" fillId="9" borderId="5" xfId="0" applyFont="1" applyFill="1" applyBorder="1"/>
    <xf numFmtId="0" fontId="7" fillId="10" borderId="6" xfId="0" applyFont="1" applyFill="1" applyBorder="1"/>
    <xf numFmtId="0" fontId="7" fillId="9" borderId="2" xfId="0" applyFont="1" applyFill="1" applyBorder="1"/>
    <xf numFmtId="0" fontId="7" fillId="9" borderId="6" xfId="0" applyFont="1" applyFill="1" applyBorder="1"/>
    <xf numFmtId="0" fontId="7" fillId="8" borderId="2" xfId="0" applyFont="1" applyFill="1" applyBorder="1"/>
    <xf numFmtId="0" fontId="7" fillId="12" borderId="6" xfId="0" applyFont="1" applyFill="1" applyBorder="1"/>
    <xf numFmtId="0" fontId="7" fillId="12" borderId="2" xfId="0" applyFont="1" applyFill="1" applyBorder="1"/>
    <xf numFmtId="0" fontId="2" fillId="25" borderId="6" xfId="0" applyFont="1" applyFill="1" applyBorder="1"/>
    <xf numFmtId="0" fontId="0" fillId="25" borderId="6" xfId="0" applyFill="1" applyBorder="1"/>
    <xf numFmtId="0" fontId="0" fillId="0" borderId="0" xfId="0" applyFont="1" applyBorder="1"/>
    <xf numFmtId="0" fontId="0" fillId="47" borderId="6" xfId="0" applyFill="1" applyBorder="1"/>
    <xf numFmtId="0" fontId="0" fillId="47" borderId="2" xfId="0" applyFill="1" applyBorder="1"/>
    <xf numFmtId="0" fontId="0" fillId="33" borderId="8" xfId="0" applyFill="1" applyBorder="1"/>
    <xf numFmtId="0" fontId="0" fillId="69" borderId="0" xfId="0" applyFill="1" applyBorder="1" applyAlignment="1">
      <alignment horizontal="center" vertical="distributed"/>
    </xf>
    <xf numFmtId="0" fontId="0" fillId="69" borderId="24" xfId="0" applyFill="1" applyBorder="1" applyAlignment="1">
      <alignment horizontal="center" vertical="center"/>
    </xf>
    <xf numFmtId="0" fontId="0" fillId="62" borderId="128" xfId="0" applyFill="1" applyBorder="1" applyAlignment="1">
      <alignment horizontal="center" vertical="center"/>
    </xf>
    <xf numFmtId="0" fontId="0" fillId="62" borderId="128" xfId="0" applyFill="1" applyBorder="1" applyAlignment="1">
      <alignment horizontal="center"/>
    </xf>
    <xf numFmtId="0" fontId="0" fillId="60" borderId="128" xfId="0" applyFill="1" applyBorder="1" applyAlignment="1">
      <alignment horizontal="center" vertical="center"/>
    </xf>
    <xf numFmtId="0" fontId="0" fillId="62" borderId="129" xfId="0" applyFill="1" applyBorder="1" applyAlignment="1">
      <alignment horizontal="center"/>
    </xf>
    <xf numFmtId="0" fontId="0" fillId="69" borderId="0" xfId="0" applyFill="1" applyBorder="1" applyAlignment="1">
      <alignment horizontal="center"/>
    </xf>
    <xf numFmtId="0" fontId="0" fillId="60" borderId="30" xfId="0" applyFill="1" applyBorder="1" applyAlignment="1">
      <alignment horizontal="center" vertical="distributed"/>
    </xf>
    <xf numFmtId="0" fontId="21" fillId="60" borderId="37" xfId="0" applyFont="1" applyFill="1" applyBorder="1" applyAlignment="1">
      <alignment horizontal="center"/>
    </xf>
    <xf numFmtId="0" fontId="0" fillId="69" borderId="130" xfId="0" applyFill="1" applyBorder="1" applyAlignment="1">
      <alignment horizontal="center" vertical="center"/>
    </xf>
    <xf numFmtId="0" fontId="0" fillId="60" borderId="47" xfId="0" applyFill="1" applyBorder="1" applyAlignment="1">
      <alignment horizontal="center" vertical="justify"/>
    </xf>
    <xf numFmtId="0" fontId="0" fillId="69" borderId="37" xfId="0" applyFill="1" applyBorder="1" applyAlignment="1">
      <alignment horizontal="center" vertical="center"/>
    </xf>
    <xf numFmtId="0" fontId="45" fillId="69" borderId="26" xfId="0" applyFont="1" applyFill="1" applyBorder="1" applyAlignment="1">
      <alignment horizontal="center" vertical="center"/>
    </xf>
    <xf numFmtId="0" fontId="16" fillId="64" borderId="0" xfId="0" applyFont="1" applyFill="1" applyBorder="1" applyAlignment="1">
      <alignment horizontal="center" vertical="center"/>
    </xf>
    <xf numFmtId="0" fontId="46" fillId="60" borderId="25" xfId="0" applyFont="1" applyFill="1" applyBorder="1" applyAlignment="1">
      <alignment horizontal="center" vertical="center"/>
    </xf>
    <xf numFmtId="0" fontId="0" fillId="62" borderId="92" xfId="0" applyFill="1" applyBorder="1"/>
    <xf numFmtId="0" fontId="47" fillId="62" borderId="129" xfId="0" applyFont="1" applyFill="1" applyBorder="1" applyAlignment="1">
      <alignment horizontal="center" vertical="center"/>
    </xf>
    <xf numFmtId="0" fontId="0" fillId="1" borderId="0" xfId="0" applyFill="1" applyBorder="1" applyAlignment="1">
      <alignment horizontal="center" vertical="center"/>
    </xf>
    <xf numFmtId="0" fontId="0" fillId="63" borderId="0" xfId="0" applyFill="1" applyBorder="1" applyAlignment="1">
      <alignment horizontal="center" vertical="center"/>
    </xf>
    <xf numFmtId="0" fontId="21" fillId="69" borderId="25" xfId="0" applyFont="1" applyFill="1" applyBorder="1" applyAlignment="1">
      <alignment horizontal="center" vertical="justify"/>
    </xf>
    <xf numFmtId="0" fontId="48" fillId="60" borderId="25" xfId="0" applyFont="1" applyFill="1" applyBorder="1" applyAlignment="1">
      <alignment horizontal="center" vertical="top"/>
    </xf>
    <xf numFmtId="0" fontId="21" fillId="60" borderId="0" xfId="0" applyFont="1" applyFill="1" applyBorder="1" applyAlignment="1">
      <alignment horizontal="center" vertical="center"/>
    </xf>
    <xf numFmtId="0" fontId="0" fillId="69" borderId="102" xfId="0" applyFill="1" applyBorder="1" applyAlignment="1">
      <alignment horizontal="center" vertical="top"/>
    </xf>
    <xf numFmtId="0" fontId="0" fillId="65" borderId="0" xfId="0" applyFill="1" applyBorder="1" applyAlignment="1">
      <alignment horizontal="center" vertical="distributed"/>
    </xf>
    <xf numFmtId="0" fontId="0" fillId="61" borderId="25" xfId="0" applyFill="1" applyBorder="1" applyAlignment="1">
      <alignment horizontal="left" vertical="center" indent="5"/>
    </xf>
    <xf numFmtId="0" fontId="0" fillId="61" borderId="102" xfId="0" applyFill="1" applyBorder="1" applyAlignment="1">
      <alignment horizontal="left" vertical="center" indent="6"/>
    </xf>
    <xf numFmtId="0" fontId="0" fillId="60" borderId="131" xfId="0" applyFill="1" applyBorder="1" applyAlignment="1">
      <alignment horizontal="center" vertical="center"/>
    </xf>
    <xf numFmtId="0" fontId="0" fillId="62" borderId="132" xfId="0" applyFill="1" applyBorder="1" applyAlignment="1">
      <alignment horizontal="center" vertical="center"/>
    </xf>
    <xf numFmtId="0" fontId="0" fillId="64" borderId="25" xfId="0" applyFill="1" applyBorder="1" applyAlignment="1">
      <alignment horizontal="center"/>
    </xf>
    <xf numFmtId="0" fontId="0" fillId="69" borderId="102" xfId="0" applyFill="1" applyBorder="1" applyAlignment="1">
      <alignment horizontal="center"/>
    </xf>
    <xf numFmtId="0" fontId="0" fillId="62" borderId="34" xfId="0" applyFill="1" applyBorder="1"/>
    <xf numFmtId="0" fontId="17" fillId="60" borderId="0" xfId="0" applyFont="1" applyFill="1" applyBorder="1" applyAlignment="1">
      <alignment horizontal="center" vertical="distributed"/>
    </xf>
    <xf numFmtId="0" fontId="12" fillId="69" borderId="25" xfId="0" applyFont="1" applyFill="1" applyBorder="1" applyAlignment="1">
      <alignment horizontal="center"/>
    </xf>
    <xf numFmtId="0" fontId="0" fillId="68" borderId="43" xfId="0" applyFill="1" applyBorder="1" applyAlignment="1">
      <alignment horizontal="center" vertical="distributed"/>
    </xf>
    <xf numFmtId="0" fontId="20" fillId="59" borderId="33" xfId="0" applyFont="1" applyFill="1" applyBorder="1" applyAlignment="1">
      <alignment horizontal="distributed" vertical="justify" indent="2"/>
    </xf>
    <xf numFmtId="0" fontId="0" fillId="62" borderId="129" xfId="0" applyFill="1" applyBorder="1"/>
    <xf numFmtId="0" fontId="12" fillId="69" borderId="0" xfId="0" applyFont="1" applyFill="1" applyBorder="1" applyAlignment="1">
      <alignment horizontal="center" vertical="distributed"/>
    </xf>
    <xf numFmtId="0" fontId="12" fillId="60" borderId="34" xfId="0" applyFont="1" applyFill="1" applyBorder="1" applyAlignment="1">
      <alignment horizontal="center" vertical="top"/>
    </xf>
    <xf numFmtId="0" fontId="0" fillId="60" borderId="33" xfId="0" applyFill="1" applyBorder="1" applyAlignment="1">
      <alignment horizontal="center" vertical="center"/>
    </xf>
    <xf numFmtId="0" fontId="0" fillId="60" borderId="81" xfId="0" applyFill="1" applyBorder="1" applyAlignment="1">
      <alignment horizontal="center" vertical="center"/>
    </xf>
    <xf numFmtId="0" fontId="0" fillId="60" borderId="57" xfId="0" applyFill="1" applyBorder="1" applyAlignment="1">
      <alignment horizontal="center" vertical="center"/>
    </xf>
    <xf numFmtId="0" fontId="2" fillId="60" borderId="33" xfId="0" applyFont="1" applyFill="1" applyBorder="1" applyAlignment="1">
      <alignment horizontal="center" vertical="center"/>
    </xf>
    <xf numFmtId="0" fontId="46" fillId="60" borderId="47" xfId="0" applyFont="1" applyFill="1" applyBorder="1" applyAlignment="1">
      <alignment horizontal="center" vertical="center"/>
    </xf>
    <xf numFmtId="0" fontId="20" fillId="60" borderId="25" xfId="0" applyFont="1" applyFill="1" applyBorder="1" applyAlignment="1">
      <alignment horizontal="center" vertical="justify"/>
    </xf>
    <xf numFmtId="0" fontId="0" fillId="69" borderId="133" xfId="0" applyFill="1" applyBorder="1" applyAlignment="1">
      <alignment horizontal="center" vertical="center"/>
    </xf>
    <xf numFmtId="0" fontId="0" fillId="64" borderId="0" xfId="0" applyFill="1" applyBorder="1" applyAlignment="1"/>
    <xf numFmtId="0" fontId="0" fillId="59" borderId="24" xfId="0" applyFill="1" applyBorder="1" applyAlignment="1">
      <alignment horizontal="center"/>
    </xf>
    <xf numFmtId="0" fontId="11" fillId="60" borderId="25" xfId="0" applyFont="1" applyFill="1" applyBorder="1" applyAlignment="1">
      <alignment horizontal="center" vertical="center"/>
    </xf>
    <xf numFmtId="0" fontId="0" fillId="61" borderId="37" xfId="0" applyFill="1" applyBorder="1" applyAlignment="1">
      <alignment horizontal="left" vertical="center" indent="1"/>
    </xf>
    <xf numFmtId="0" fontId="2" fillId="70" borderId="0" xfId="0" applyFont="1" applyFill="1" applyBorder="1" applyAlignment="1"/>
    <xf numFmtId="0" fontId="12" fillId="64" borderId="25" xfId="0" applyFont="1" applyFill="1" applyBorder="1" applyAlignment="1">
      <alignment horizontal="center" vertical="center"/>
    </xf>
    <xf numFmtId="0" fontId="0" fillId="60" borderId="134" xfId="0" applyFill="1" applyBorder="1" applyAlignment="1">
      <alignment horizontal="center" vertical="center"/>
    </xf>
    <xf numFmtId="0" fontId="0" fillId="59" borderId="135" xfId="0" applyFill="1" applyBorder="1" applyAlignment="1">
      <alignment horizontal="center" vertical="center"/>
    </xf>
    <xf numFmtId="0" fontId="0" fillId="60" borderId="136" xfId="0" applyFill="1" applyBorder="1" applyAlignment="1">
      <alignment horizontal="center" vertical="center"/>
    </xf>
    <xf numFmtId="0" fontId="18" fillId="60" borderId="39" xfId="0" applyFont="1" applyFill="1" applyBorder="1" applyAlignment="1">
      <alignment horizontal="center" vertical="center"/>
    </xf>
    <xf numFmtId="0" fontId="0" fillId="59" borderId="24" xfId="0" applyFill="1" applyBorder="1" applyAlignment="1">
      <alignment horizontal="center" vertical="center"/>
    </xf>
    <xf numFmtId="0" fontId="18" fillId="64" borderId="0" xfId="0" applyFont="1" applyFill="1" applyBorder="1" applyAlignment="1">
      <alignment vertical="center"/>
    </xf>
    <xf numFmtId="0" fontId="0" fillId="69" borderId="0" xfId="0" applyFill="1" applyBorder="1" applyAlignment="1">
      <alignment vertical="justify"/>
    </xf>
    <xf numFmtId="0" fontId="14" fillId="59" borderId="0" xfId="0" applyFont="1" applyFill="1" applyBorder="1" applyAlignment="1">
      <alignment horizontal="center" vertical="center"/>
    </xf>
    <xf numFmtId="0" fontId="48" fillId="59" borderId="33" xfId="0" applyFont="1" applyFill="1" applyBorder="1" applyAlignment="1">
      <alignment horizontal="distributed" vertical="top" indent="2"/>
    </xf>
    <xf numFmtId="0" fontId="0" fillId="0" borderId="0" xfId="0" applyFill="1" applyBorder="1" applyAlignment="1">
      <alignment horizontal="center" vertical="center"/>
    </xf>
    <xf numFmtId="0" fontId="0" fillId="60" borderId="137" xfId="0" applyFill="1" applyBorder="1" applyAlignment="1">
      <alignment horizontal="center" vertical="distributed"/>
    </xf>
    <xf numFmtId="0" fontId="0" fillId="61" borderId="37" xfId="0" applyFill="1" applyBorder="1" applyAlignment="1">
      <alignment horizontal="left" vertical="center" indent="2"/>
    </xf>
    <xf numFmtId="0" fontId="18" fillId="69" borderId="0" xfId="0" applyFont="1" applyFill="1" applyBorder="1" applyAlignment="1">
      <alignment vertical="center"/>
    </xf>
    <xf numFmtId="0" fontId="0" fillId="67" borderId="25" xfId="0" applyFill="1" applyBorder="1" applyAlignment="1">
      <alignment horizontal="center" vertical="top"/>
    </xf>
    <xf numFmtId="0" fontId="0" fillId="62" borderId="0" xfId="0" applyFill="1" applyBorder="1" applyAlignment="1">
      <alignment horizontal="center" vertical="distributed"/>
    </xf>
    <xf numFmtId="0" fontId="18" fillId="60" borderId="0" xfId="0" applyFont="1" applyFill="1" applyBorder="1" applyAlignment="1">
      <alignment horizontal="center"/>
    </xf>
    <xf numFmtId="0" fontId="0" fillId="69" borderId="0" xfId="0" applyFill="1" applyBorder="1" applyAlignment="1">
      <alignment horizontal="center" vertical="top"/>
    </xf>
    <xf numFmtId="0" fontId="21" fillId="64" borderId="25" xfId="0" applyFont="1" applyFill="1" applyBorder="1" applyAlignment="1">
      <alignment horizontal="center" vertical="center"/>
    </xf>
    <xf numFmtId="0" fontId="19" fillId="60" borderId="0" xfId="0" applyFont="1" applyFill="1" applyBorder="1" applyAlignment="1">
      <alignment horizontal="center" vertical="distributed"/>
    </xf>
    <xf numFmtId="0" fontId="19" fillId="60" borderId="0" xfId="0" applyFont="1" applyFill="1" applyBorder="1" applyAlignment="1">
      <alignment horizontal="center" vertical="justify"/>
    </xf>
    <xf numFmtId="0" fontId="0" fillId="60" borderId="138" xfId="0" applyFill="1" applyBorder="1" applyAlignment="1">
      <alignment horizontal="center" vertical="center"/>
    </xf>
    <xf numFmtId="0" fontId="0" fillId="0" borderId="0" xfId="0" applyBorder="1" applyAlignment="1">
      <alignment horizontal="center" vertical="center"/>
    </xf>
    <xf numFmtId="0" fontId="0" fillId="69" borderId="30" xfId="0" applyFill="1" applyBorder="1" applyAlignment="1">
      <alignment horizontal="center" vertical="center"/>
    </xf>
    <xf numFmtId="0" fontId="0" fillId="69" borderId="39" xfId="0" applyFill="1" applyBorder="1" applyAlignment="1">
      <alignment horizontal="center" vertical="justify"/>
    </xf>
    <xf numFmtId="0" fontId="0" fillId="69" borderId="139" xfId="0" applyFill="1" applyBorder="1" applyAlignment="1">
      <alignment vertical="center"/>
    </xf>
    <xf numFmtId="0" fontId="0" fillId="69" borderId="41" xfId="0" applyFill="1" applyBorder="1" applyAlignment="1">
      <alignment horizontal="center" vertical="center"/>
    </xf>
    <xf numFmtId="0" fontId="14" fillId="58" borderId="0" xfId="0" applyFont="1" applyFill="1" applyBorder="1" applyAlignment="1">
      <alignment horizontal="center" vertical="center"/>
    </xf>
    <xf numFmtId="0" fontId="0" fillId="69" borderId="140" xfId="0" applyFill="1" applyBorder="1" applyAlignment="1">
      <alignment horizontal="center"/>
    </xf>
    <xf numFmtId="0" fontId="0" fillId="58" borderId="33" xfId="0" applyFill="1" applyBorder="1" applyAlignment="1">
      <alignment horizontal="center" vertical="center"/>
    </xf>
    <xf numFmtId="0" fontId="23" fillId="74" borderId="0" xfId="0" applyFont="1" applyFill="1" applyBorder="1" applyAlignment="1">
      <alignment horizontal="center" vertical="distributed"/>
    </xf>
    <xf numFmtId="0" fontId="23" fillId="74" borderId="0" xfId="0" applyFont="1" applyFill="1" applyBorder="1" applyAlignment="1">
      <alignment horizontal="center"/>
    </xf>
    <xf numFmtId="0" fontId="23" fillId="74" borderId="0" xfId="0" applyFont="1" applyFill="1" applyBorder="1" applyAlignment="1">
      <alignment horizontal="center" vertical="center"/>
    </xf>
    <xf numFmtId="0" fontId="23" fillId="67" borderId="0" xfId="0" applyFont="1" applyFill="1" applyBorder="1" applyAlignment="1">
      <alignment horizontal="center" vertical="center"/>
    </xf>
    <xf numFmtId="0" fontId="0" fillId="58" borderId="46" xfId="0" applyFill="1" applyBorder="1" applyAlignment="1">
      <alignment horizontal="center" vertical="top"/>
    </xf>
    <xf numFmtId="0" fontId="23" fillId="60" borderId="0" xfId="0" applyFont="1" applyFill="1" applyBorder="1" applyAlignment="1">
      <alignment horizontal="center" vertical="center"/>
    </xf>
    <xf numFmtId="0" fontId="3" fillId="67" borderId="25" xfId="0" applyFont="1" applyFill="1" applyBorder="1" applyAlignment="1">
      <alignment horizontal="center" vertical="center"/>
    </xf>
    <xf numFmtId="0" fontId="0" fillId="58" borderId="141" xfId="0" applyFill="1" applyBorder="1" applyAlignment="1">
      <alignment horizontal="center" vertical="distributed"/>
    </xf>
    <xf numFmtId="0" fontId="0" fillId="69" borderId="37" xfId="0" applyFill="1" applyBorder="1" applyAlignment="1">
      <alignment horizontal="center"/>
    </xf>
    <xf numFmtId="0" fontId="0" fillId="60" borderId="37" xfId="0" applyFill="1" applyBorder="1" applyAlignment="1">
      <alignment horizontal="center" vertical="distributed"/>
    </xf>
    <xf numFmtId="0" fontId="0" fillId="67" borderId="37" xfId="0" applyFill="1" applyBorder="1" applyAlignment="1">
      <alignment horizontal="center" vertical="center"/>
    </xf>
    <xf numFmtId="0" fontId="0" fillId="67" borderId="26" xfId="0" applyFill="1" applyBorder="1" applyAlignment="1">
      <alignment horizontal="center" vertical="justify"/>
    </xf>
    <xf numFmtId="0" fontId="0" fillId="58" borderId="46" xfId="0" applyFill="1" applyBorder="1" applyAlignment="1">
      <alignment horizontal="center" vertical="distributed"/>
    </xf>
    <xf numFmtId="0" fontId="0" fillId="69" borderId="37" xfId="0" applyFill="1" applyBorder="1" applyAlignment="1">
      <alignment horizontal="center" vertical="justify"/>
    </xf>
    <xf numFmtId="0" fontId="0" fillId="69" borderId="142" xfId="0" applyFill="1" applyBorder="1" applyAlignment="1">
      <alignment horizontal="center" vertical="distributed"/>
    </xf>
    <xf numFmtId="0" fontId="3" fillId="67" borderId="0" xfId="0" applyFont="1" applyFill="1" applyBorder="1" applyAlignment="1">
      <alignment horizontal="center" vertical="top"/>
    </xf>
    <xf numFmtId="0" fontId="0" fillId="67" borderId="0" xfId="0" applyFont="1" applyFill="1" applyBorder="1" applyAlignment="1">
      <alignment horizontal="center" vertical="top"/>
    </xf>
    <xf numFmtId="0" fontId="0" fillId="70" borderId="58" xfId="0" applyFill="1" applyBorder="1" applyAlignment="1">
      <alignment horizontal="center" vertical="center"/>
    </xf>
    <xf numFmtId="0" fontId="0" fillId="67" borderId="0" xfId="0" applyFill="1" applyBorder="1" applyAlignment="1">
      <alignment vertical="justify"/>
    </xf>
    <xf numFmtId="0" fontId="0" fillId="58" borderId="140" xfId="0" applyFill="1" applyBorder="1" applyAlignment="1">
      <alignment horizontal="center"/>
    </xf>
    <xf numFmtId="0" fontId="0" fillId="69" borderId="21" xfId="0" applyFill="1" applyBorder="1" applyAlignment="1">
      <alignment horizontal="center"/>
    </xf>
    <xf numFmtId="0" fontId="0" fillId="67" borderId="102" xfId="0" applyFill="1" applyBorder="1" applyAlignment="1">
      <alignment horizontal="center"/>
    </xf>
    <xf numFmtId="0" fontId="0" fillId="64" borderId="20" xfId="0" applyFill="1" applyBorder="1" applyAlignment="1">
      <alignment horizontal="center" vertical="center"/>
    </xf>
    <xf numFmtId="0" fontId="0" fillId="60" borderId="20" xfId="0" applyFill="1" applyBorder="1" applyAlignment="1">
      <alignment horizontal="center" vertical="center"/>
    </xf>
    <xf numFmtId="0" fontId="0" fillId="67" borderId="102" xfId="0" applyFill="1" applyBorder="1" applyAlignment="1">
      <alignment horizontal="center" vertical="center"/>
    </xf>
    <xf numFmtId="0" fontId="0" fillId="60" borderId="20" xfId="0" applyFill="1" applyBorder="1" applyAlignment="1">
      <alignment horizontal="center" vertical="top"/>
    </xf>
    <xf numFmtId="0" fontId="23" fillId="60" borderId="25" xfId="0" applyFont="1" applyFill="1" applyBorder="1" applyAlignment="1">
      <alignment horizontal="center" vertical="distributed"/>
    </xf>
    <xf numFmtId="0" fontId="0" fillId="69" borderId="0" xfId="0" applyFill="1" applyBorder="1" applyAlignment="1"/>
    <xf numFmtId="0" fontId="0" fillId="60" borderId="35" xfId="0" applyFill="1" applyBorder="1" applyAlignment="1">
      <alignment horizontal="center" vertical="distributed"/>
    </xf>
    <xf numFmtId="0" fontId="23" fillId="64" borderId="0" xfId="0" applyFont="1" applyFill="1" applyBorder="1"/>
    <xf numFmtId="0" fontId="11" fillId="69" borderId="0" xfId="0" applyFont="1" applyFill="1" applyBorder="1" applyAlignment="1">
      <alignment vertical="center"/>
    </xf>
    <xf numFmtId="0" fontId="0" fillId="58" borderId="140" xfId="0" applyFill="1" applyBorder="1" applyAlignment="1">
      <alignment horizontal="center" vertical="center"/>
    </xf>
    <xf numFmtId="0" fontId="0" fillId="64" borderId="23" xfId="0" applyFill="1" applyBorder="1" applyAlignment="1">
      <alignment horizontal="center" vertical="justify"/>
    </xf>
    <xf numFmtId="0" fontId="49" fillId="60" borderId="25" xfId="0" applyFont="1" applyFill="1" applyBorder="1" applyAlignment="1">
      <alignment horizontal="center"/>
    </xf>
    <xf numFmtId="0" fontId="0" fillId="74" borderId="0" xfId="0" applyFill="1" applyBorder="1" applyAlignment="1">
      <alignment vertical="justify"/>
    </xf>
    <xf numFmtId="0" fontId="23" fillId="67" borderId="0" xfId="0" applyFont="1" applyFill="1" applyBorder="1" applyAlignment="1">
      <alignment horizontal="center"/>
    </xf>
    <xf numFmtId="0" fontId="23" fillId="67" borderId="0" xfId="0" applyFont="1" applyFill="1" applyBorder="1" applyAlignment="1">
      <alignment horizontal="center" vertical="top"/>
    </xf>
    <xf numFmtId="0" fontId="34" fillId="60" borderId="20" xfId="0" applyFont="1" applyFill="1" applyBorder="1" applyAlignment="1">
      <alignment horizontal="center" vertical="center"/>
    </xf>
    <xf numFmtId="0" fontId="2" fillId="69" borderId="0" xfId="0" applyFont="1" applyFill="1" applyBorder="1" applyAlignment="1">
      <alignment vertical="center"/>
    </xf>
    <xf numFmtId="0" fontId="49" fillId="69" borderId="25" xfId="0" applyFont="1" applyFill="1" applyBorder="1" applyAlignment="1">
      <alignment horizontal="center"/>
    </xf>
    <xf numFmtId="0" fontId="0" fillId="58" borderId="114" xfId="0" applyFill="1" applyBorder="1" applyAlignment="1">
      <alignment horizontal="center" vertical="center"/>
    </xf>
    <xf numFmtId="0" fontId="0" fillId="61" borderId="55" xfId="0" applyFill="1" applyBorder="1" applyAlignment="1">
      <alignment horizontal="left" vertical="center" indent="7"/>
    </xf>
    <xf numFmtId="0" fontId="0" fillId="58" borderId="31" xfId="0" applyFill="1" applyBorder="1" applyAlignment="1">
      <alignment horizontal="center" vertical="center"/>
    </xf>
    <xf numFmtId="0" fontId="0" fillId="58" borderId="55" xfId="0" applyFill="1" applyBorder="1" applyAlignment="1">
      <alignment horizontal="center" vertical="center"/>
    </xf>
    <xf numFmtId="0" fontId="0" fillId="69" borderId="140" xfId="0" applyFill="1" applyBorder="1" applyAlignment="1">
      <alignment horizontal="center" vertical="center"/>
    </xf>
    <xf numFmtId="0" fontId="0" fillId="61" borderId="31" xfId="0" applyFill="1" applyBorder="1" applyAlignment="1">
      <alignment horizontal="left" vertical="center" indent="7"/>
    </xf>
    <xf numFmtId="0" fontId="14" fillId="0" borderId="0" xfId="0" applyFont="1"/>
    <xf numFmtId="0" fontId="0" fillId="69" borderId="46" xfId="0" applyFill="1" applyBorder="1" applyAlignment="1">
      <alignment vertical="center"/>
    </xf>
    <xf numFmtId="0" fontId="0" fillId="69" borderId="37" xfId="0" applyFill="1" applyBorder="1" applyAlignment="1">
      <alignment horizontal="center" vertical="distributed"/>
    </xf>
    <xf numFmtId="0" fontId="0" fillId="69" borderId="0" xfId="0" applyFill="1" applyBorder="1" applyAlignment="1">
      <alignment vertical="distributed"/>
    </xf>
    <xf numFmtId="0" fontId="0" fillId="69" borderId="143" xfId="0" applyFill="1" applyBorder="1" applyAlignment="1">
      <alignment horizontal="center" vertical="center"/>
    </xf>
    <xf numFmtId="0" fontId="0" fillId="73" borderId="25" xfId="0" applyFill="1" applyBorder="1" applyAlignment="1">
      <alignment horizontal="center" vertical="center"/>
    </xf>
    <xf numFmtId="0" fontId="0" fillId="60" borderId="144" xfId="0" applyFill="1" applyBorder="1" applyAlignment="1">
      <alignment horizontal="center" vertical="center"/>
    </xf>
    <xf numFmtId="0" fontId="0" fillId="73" borderId="145" xfId="0" applyFill="1" applyBorder="1" applyAlignment="1">
      <alignment horizontal="center" vertical="center"/>
    </xf>
    <xf numFmtId="0" fontId="0" fillId="73" borderId="146" xfId="0" applyFill="1" applyBorder="1" applyAlignment="1">
      <alignment horizontal="center" vertical="center"/>
    </xf>
    <xf numFmtId="0" fontId="0" fillId="73" borderId="128" xfId="0" applyFill="1" applyBorder="1" applyAlignment="1">
      <alignment horizontal="center" vertical="center"/>
    </xf>
    <xf numFmtId="0" fontId="0" fillId="73" borderId="147" xfId="0" applyFill="1" applyBorder="1" applyAlignment="1">
      <alignment horizontal="center" vertical="center"/>
    </xf>
    <xf numFmtId="0" fontId="0" fillId="73" borderId="128" xfId="0" applyFill="1" applyBorder="1" applyAlignment="1">
      <alignment horizontal="center" vertical="justify"/>
    </xf>
    <xf numFmtId="0" fontId="0" fillId="61" borderId="42" xfId="0" applyFill="1" applyBorder="1" applyAlignment="1">
      <alignment horizontal="left" vertical="center" indent="8"/>
    </xf>
    <xf numFmtId="0" fontId="0" fillId="73" borderId="148" xfId="0" applyFill="1" applyBorder="1" applyAlignment="1">
      <alignment horizontal="center" vertical="distributed"/>
    </xf>
    <xf numFmtId="0" fontId="0" fillId="73" borderId="149" xfId="0" applyFill="1" applyBorder="1" applyAlignment="1">
      <alignment horizontal="center" vertical="distributed"/>
    </xf>
    <xf numFmtId="0" fontId="0" fillId="73" borderId="149" xfId="0" applyFill="1" applyBorder="1" applyAlignment="1">
      <alignment horizontal="center" vertical="center"/>
    </xf>
    <xf numFmtId="0" fontId="0" fillId="58" borderId="35" xfId="0" applyFill="1" applyBorder="1" applyAlignment="1">
      <alignment horizontal="center"/>
    </xf>
    <xf numFmtId="0" fontId="0" fillId="69" borderId="150" xfId="0" applyFill="1" applyBorder="1" applyAlignment="1">
      <alignment vertical="center"/>
    </xf>
    <xf numFmtId="0" fontId="0" fillId="61" borderId="34" xfId="0" applyFill="1" applyBorder="1" applyAlignment="1">
      <alignment horizontal="left" vertical="center" indent="8"/>
    </xf>
    <xf numFmtId="0" fontId="0" fillId="64" borderId="151" xfId="0" applyFill="1" applyBorder="1" applyAlignment="1">
      <alignment horizontal="center" vertical="top"/>
    </xf>
    <xf numFmtId="0" fontId="0" fillId="69" borderId="20" xfId="0" applyFill="1" applyBorder="1" applyAlignment="1">
      <alignment vertical="distributed"/>
    </xf>
    <xf numFmtId="0" fontId="0" fillId="69" borderId="20" xfId="0" applyFill="1" applyBorder="1" applyAlignment="1">
      <alignment vertical="center"/>
    </xf>
    <xf numFmtId="0" fontId="0" fillId="69" borderId="152" xfId="0" applyFill="1" applyBorder="1" applyAlignment="1">
      <alignment vertical="center"/>
    </xf>
    <xf numFmtId="0" fontId="0" fillId="69" borderId="153" xfId="0" applyFill="1" applyBorder="1" applyAlignment="1">
      <alignment horizontal="center" vertical="justify"/>
    </xf>
    <xf numFmtId="0" fontId="0" fillId="69" borderId="20" xfId="0" applyFill="1" applyBorder="1" applyAlignment="1">
      <alignment horizontal="center" vertical="top"/>
    </xf>
    <xf numFmtId="0" fontId="0" fillId="60" borderId="0" xfId="0" applyFill="1"/>
    <xf numFmtId="0" fontId="2" fillId="60" borderId="0" xfId="0" applyFont="1" applyFill="1" applyAlignment="1">
      <alignment vertical="center"/>
    </xf>
    <xf numFmtId="0" fontId="0" fillId="60" borderId="154" xfId="0" applyFill="1" applyBorder="1" applyAlignment="1">
      <alignment horizontal="center" vertical="center"/>
    </xf>
    <xf numFmtId="0" fontId="0" fillId="69" borderId="155" xfId="0" applyFill="1" applyBorder="1" applyAlignment="1">
      <alignment horizontal="center"/>
    </xf>
    <xf numFmtId="0" fontId="0" fillId="60" borderId="0" xfId="0" applyFill="1" applyAlignment="1">
      <alignment vertical="top"/>
    </xf>
    <xf numFmtId="0" fontId="0" fillId="69" borderId="46" xfId="0" applyFill="1" applyBorder="1" applyAlignment="1">
      <alignment horizontal="center" vertical="distributed"/>
    </xf>
    <xf numFmtId="0" fontId="0" fillId="69" borderId="21" xfId="0" applyFill="1" applyBorder="1" applyAlignment="1">
      <alignment vertical="center"/>
    </xf>
    <xf numFmtId="0" fontId="50" fillId="60" borderId="25" xfId="0" applyFont="1" applyFill="1" applyBorder="1" applyAlignment="1">
      <alignment horizontal="center" vertical="center"/>
    </xf>
    <xf numFmtId="0" fontId="0" fillId="60" borderId="25" xfId="0" applyFill="1" applyBorder="1" applyAlignment="1">
      <alignment horizontal="left" vertical="top"/>
    </xf>
    <xf numFmtId="0" fontId="0" fillId="69" borderId="139" xfId="0" applyFill="1" applyBorder="1" applyAlignment="1">
      <alignment horizontal="center"/>
    </xf>
    <xf numFmtId="0" fontId="0" fillId="58" borderId="0" xfId="0" applyFont="1" applyFill="1" applyBorder="1" applyAlignment="1">
      <alignment horizontal="center"/>
    </xf>
    <xf numFmtId="0" fontId="52" fillId="58" borderId="0" xfId="0" applyFont="1" applyFill="1" applyBorder="1" applyAlignment="1">
      <alignment horizontal="center"/>
    </xf>
    <xf numFmtId="0" fontId="0" fillId="69" borderId="21" xfId="0" applyFill="1" applyBorder="1" applyAlignment="1">
      <alignment horizontal="center" vertical="top"/>
    </xf>
    <xf numFmtId="0" fontId="0" fillId="58" borderId="26" xfId="0" applyFill="1" applyBorder="1" applyAlignment="1">
      <alignment horizontal="center" vertical="top"/>
    </xf>
    <xf numFmtId="0" fontId="2" fillId="60" borderId="21" xfId="0" applyFont="1" applyFill="1" applyBorder="1" applyAlignment="1">
      <alignment horizontal="center" vertical="distributed"/>
    </xf>
    <xf numFmtId="0" fontId="2" fillId="60" borderId="33" xfId="0" applyFont="1" applyFill="1" applyBorder="1" applyAlignment="1">
      <alignment horizontal="center" vertical="distributed"/>
    </xf>
    <xf numFmtId="0" fontId="51" fillId="60" borderId="34" xfId="0" applyFont="1" applyFill="1" applyBorder="1" applyAlignment="1">
      <alignment horizontal="right" vertical="center" indent="4"/>
    </xf>
    <xf numFmtId="0" fontId="2" fillId="58" borderId="22" xfId="0" applyFont="1" applyFill="1" applyBorder="1" applyAlignment="1">
      <alignment horizontal="center" vertical="center"/>
    </xf>
    <xf numFmtId="0" fontId="2" fillId="60" borderId="21" xfId="0" applyFont="1" applyFill="1" applyBorder="1" applyAlignment="1">
      <alignment horizontal="center" vertical="justify"/>
    </xf>
    <xf numFmtId="0" fontId="51" fillId="60" borderId="34" xfId="0" applyFont="1" applyFill="1" applyBorder="1" applyAlignment="1">
      <alignment horizontal="right" vertical="center" indent="2"/>
    </xf>
    <xf numFmtId="0" fontId="51" fillId="60" borderId="34" xfId="0" applyFont="1" applyFill="1" applyBorder="1" applyAlignment="1">
      <alignment horizontal="right" vertical="center" indent="1"/>
    </xf>
    <xf numFmtId="0" fontId="2" fillId="60" borderId="57" xfId="0" applyFont="1" applyFill="1" applyBorder="1" applyAlignment="1">
      <alignment horizontal="center" vertical="center"/>
    </xf>
    <xf numFmtId="0" fontId="2" fillId="60" borderId="36" xfId="0" applyFont="1" applyFill="1" applyBorder="1" applyAlignment="1">
      <alignment horizontal="center" vertical="center"/>
    </xf>
    <xf numFmtId="0" fontId="51" fillId="60" borderId="36" xfId="0" applyFont="1" applyFill="1" applyBorder="1" applyAlignment="1">
      <alignment horizontal="left" vertical="center" indent="1"/>
    </xf>
    <xf numFmtId="0" fontId="0" fillId="64" borderId="46" xfId="0" applyFill="1" applyBorder="1" applyAlignment="1">
      <alignment horizontal="center" vertical="distributed"/>
    </xf>
    <xf numFmtId="0" fontId="0" fillId="69" borderId="47" xfId="0" applyFill="1" applyBorder="1" applyAlignment="1">
      <alignment horizontal="center"/>
    </xf>
    <xf numFmtId="0" fontId="37" fillId="69" borderId="25" xfId="0" applyFont="1" applyFill="1" applyBorder="1" applyAlignment="1">
      <alignment horizontal="center"/>
    </xf>
    <xf numFmtId="0" fontId="52" fillId="58" borderId="0" xfId="0" applyFont="1" applyFill="1" applyBorder="1" applyAlignment="1">
      <alignment horizontal="center" vertical="top"/>
    </xf>
    <xf numFmtId="0" fontId="0" fillId="67" borderId="25" xfId="0" applyFill="1" applyBorder="1" applyAlignment="1">
      <alignment horizontal="center"/>
    </xf>
    <xf numFmtId="0" fontId="0" fillId="64" borderId="0" xfId="0" applyFill="1" applyBorder="1" applyAlignment="1">
      <alignment horizontal="center" vertical="top"/>
    </xf>
    <xf numFmtId="0" fontId="37" fillId="69" borderId="25" xfId="0" applyFont="1" applyFill="1" applyBorder="1" applyAlignment="1">
      <alignment horizontal="center" vertical="center"/>
    </xf>
    <xf numFmtId="0" fontId="2" fillId="69" borderId="0" xfId="0" applyFont="1" applyFill="1" applyAlignment="1">
      <alignment vertical="center"/>
    </xf>
    <xf numFmtId="0" fontId="0" fillId="58" borderId="87" xfId="0" applyFill="1" applyBorder="1" applyAlignment="1">
      <alignment horizontal="center" vertical="center"/>
    </xf>
    <xf numFmtId="0" fontId="0" fillId="64" borderId="26" xfId="0" applyFill="1" applyBorder="1" applyAlignment="1">
      <alignment horizontal="center" vertical="top"/>
    </xf>
    <xf numFmtId="0" fontId="0" fillId="58" borderId="31" xfId="0" applyFill="1" applyBorder="1" applyAlignment="1">
      <alignment horizontal="center"/>
    </xf>
    <xf numFmtId="0" fontId="16" fillId="64" borderId="0" xfId="0" applyFont="1" applyFill="1" applyBorder="1"/>
    <xf numFmtId="0" fontId="0" fillId="69" borderId="0" xfId="0" applyFill="1" applyAlignment="1">
      <alignment vertical="justify"/>
    </xf>
    <xf numFmtId="0" fontId="0" fillId="64" borderId="35" xfId="0" applyFill="1" applyBorder="1" applyAlignment="1">
      <alignment horizontal="center" vertical="distributed"/>
    </xf>
    <xf numFmtId="0" fontId="37" fillId="69" borderId="25" xfId="0" applyFont="1" applyFill="1" applyBorder="1" applyAlignment="1">
      <alignment horizontal="center" vertical="top"/>
    </xf>
    <xf numFmtId="0" fontId="0" fillId="62" borderId="119" xfId="0" applyFill="1" applyBorder="1" applyAlignment="1">
      <alignment horizontal="center" vertical="center"/>
    </xf>
    <xf numFmtId="0" fontId="0" fillId="62" borderId="120" xfId="0" applyFill="1" applyBorder="1" applyAlignment="1">
      <alignment horizontal="center" vertical="center"/>
    </xf>
    <xf numFmtId="0" fontId="0" fillId="69" borderId="34" xfId="0" applyFill="1" applyBorder="1" applyAlignment="1">
      <alignment vertical="center"/>
    </xf>
    <xf numFmtId="0" fontId="53" fillId="58" borderId="0" xfId="0" applyFont="1" applyFill="1" applyBorder="1" applyAlignment="1">
      <alignment horizontal="center" vertical="center"/>
    </xf>
    <xf numFmtId="0" fontId="53" fillId="60" borderId="0" xfId="0" applyFont="1" applyFill="1" applyBorder="1" applyAlignment="1">
      <alignment horizontal="center"/>
    </xf>
    <xf numFmtId="0" fontId="0" fillId="58" borderId="31" xfId="0" applyFill="1" applyBorder="1" applyAlignment="1">
      <alignment horizontal="center" vertical="justify"/>
    </xf>
    <xf numFmtId="0" fontId="54" fillId="69" borderId="0" xfId="0" applyFont="1" applyFill="1" applyBorder="1" applyAlignment="1">
      <alignment horizontal="center" vertical="distributed"/>
    </xf>
    <xf numFmtId="0" fontId="0" fillId="62" borderId="19" xfId="0" applyFill="1" applyBorder="1" applyAlignment="1">
      <alignment horizontal="center" vertical="center"/>
    </xf>
    <xf numFmtId="0" fontId="0" fillId="60" borderId="156" xfId="0" applyFill="1" applyBorder="1" applyAlignment="1">
      <alignment horizontal="center" vertical="center"/>
    </xf>
    <xf numFmtId="0" fontId="0" fillId="60" borderId="156" xfId="0" applyFill="1" applyBorder="1" applyAlignment="1">
      <alignment horizontal="center"/>
    </xf>
    <xf numFmtId="0" fontId="0" fillId="73" borderId="41" xfId="0" applyFill="1" applyBorder="1" applyAlignment="1">
      <alignment horizontal="center" vertical="center"/>
    </xf>
    <xf numFmtId="0" fontId="0" fillId="73" borderId="135" xfId="0" applyFill="1" applyBorder="1" applyAlignment="1">
      <alignment horizontal="center" vertical="center"/>
    </xf>
    <xf numFmtId="0" fontId="0" fillId="0" borderId="135" xfId="0" applyBorder="1" applyAlignment="1">
      <alignment horizontal="center" vertical="center"/>
    </xf>
    <xf numFmtId="0" fontId="54" fillId="60" borderId="0" xfId="0" applyFont="1" applyFill="1" applyBorder="1" applyAlignment="1">
      <alignment horizontal="center" vertical="justify"/>
    </xf>
    <xf numFmtId="0" fontId="55" fillId="60" borderId="0" xfId="0" applyFont="1" applyFill="1" applyBorder="1" applyAlignment="1">
      <alignment horizontal="center" vertical="top"/>
    </xf>
    <xf numFmtId="0" fontId="2" fillId="58" borderId="0" xfId="0" applyFont="1" applyFill="1" applyBorder="1" applyAlignment="1">
      <alignment horizontal="right" vertical="top" indent="2"/>
    </xf>
    <xf numFmtId="0" fontId="0" fillId="69" borderId="157" xfId="0" applyFill="1" applyBorder="1" applyAlignment="1"/>
    <xf numFmtId="0" fontId="0" fillId="73" borderId="31" xfId="0" applyFill="1" applyBorder="1" applyAlignment="1">
      <alignment horizontal="center" vertical="center"/>
    </xf>
    <xf numFmtId="0" fontId="0" fillId="73" borderId="34" xfId="0" applyFill="1" applyBorder="1" applyAlignment="1">
      <alignment horizontal="center" vertical="center"/>
    </xf>
    <xf numFmtId="0" fontId="0" fillId="60" borderId="37" xfId="0" applyFill="1" applyBorder="1" applyAlignment="1">
      <alignment horizontal="center" vertical="justify"/>
    </xf>
    <xf numFmtId="0" fontId="55" fillId="67" borderId="0" xfId="0" applyFont="1" applyFill="1" applyBorder="1" applyAlignment="1">
      <alignment horizontal="center" vertical="center"/>
    </xf>
    <xf numFmtId="0" fontId="0" fillId="64" borderId="0" xfId="0" applyFont="1" applyFill="1" applyBorder="1" applyAlignment="1">
      <alignment vertical="center"/>
    </xf>
    <xf numFmtId="0" fontId="56" fillId="67" borderId="0" xfId="0" applyFont="1" applyFill="1" applyBorder="1" applyAlignment="1">
      <alignment horizontal="center" vertical="center"/>
    </xf>
    <xf numFmtId="0" fontId="0" fillId="58" borderId="0" xfId="0" applyFill="1" applyBorder="1" applyAlignment="1">
      <alignment vertical="center"/>
    </xf>
    <xf numFmtId="0" fontId="0" fillId="69" borderId="154" xfId="0" applyFill="1" applyBorder="1" applyAlignment="1"/>
    <xf numFmtId="0" fontId="0" fillId="73" borderId="31" xfId="0" applyFill="1" applyBorder="1" applyAlignment="1">
      <alignment horizontal="center" vertical="distributed"/>
    </xf>
    <xf numFmtId="0" fontId="56" fillId="60" borderId="0" xfId="0" applyFont="1" applyFill="1" applyBorder="1" applyAlignment="1">
      <alignment horizontal="center" vertical="distributed"/>
    </xf>
    <xf numFmtId="0" fontId="0" fillId="1" borderId="158" xfId="0" applyFill="1" applyBorder="1" applyAlignment="1">
      <alignment horizontal="center" vertical="center"/>
    </xf>
    <xf numFmtId="0" fontId="9" fillId="73" borderId="31" xfId="0" applyFont="1" applyFill="1" applyBorder="1" applyAlignment="1">
      <alignment horizontal="center" vertical="center"/>
    </xf>
    <xf numFmtId="0" fontId="0" fillId="60" borderId="159" xfId="0" applyFill="1" applyBorder="1" applyAlignment="1">
      <alignment horizontal="center" vertical="center"/>
    </xf>
    <xf numFmtId="0" fontId="0" fillId="60" borderId="156" xfId="0" applyFill="1" applyBorder="1" applyAlignment="1">
      <alignment horizontal="center" vertical="top"/>
    </xf>
    <xf numFmtId="0" fontId="0" fillId="60" borderId="160" xfId="0" applyFill="1" applyBorder="1" applyAlignment="1">
      <alignment horizontal="center" vertical="center"/>
    </xf>
    <xf numFmtId="0" fontId="0" fillId="0" borderId="127" xfId="0" applyBorder="1"/>
    <xf numFmtId="0" fontId="2" fillId="0" borderId="127" xfId="0" applyFont="1" applyBorder="1"/>
    <xf numFmtId="0" fontId="57" fillId="0" borderId="0" xfId="0" applyFont="1" applyFill="1" applyBorder="1"/>
    <xf numFmtId="0" fontId="0" fillId="69" borderId="39" xfId="0" applyFill="1" applyBorder="1" applyAlignment="1">
      <alignment horizontal="center"/>
    </xf>
    <xf numFmtId="0" fontId="0" fillId="1" borderId="161" xfId="0" applyFill="1" applyBorder="1" applyAlignment="1">
      <alignment horizontal="center" vertical="center"/>
    </xf>
    <xf numFmtId="0" fontId="0" fillId="1" borderId="162" xfId="0" applyFill="1" applyBorder="1" applyAlignment="1">
      <alignment horizontal="center" vertical="center"/>
    </xf>
    <xf numFmtId="0" fontId="0" fillId="62" borderId="105" xfId="0" applyFill="1" applyBorder="1"/>
    <xf numFmtId="0" fontId="0" fillId="71" borderId="25" xfId="0" applyFill="1" applyBorder="1" applyAlignment="1">
      <alignment horizontal="center" vertical="distributed"/>
    </xf>
    <xf numFmtId="0" fontId="0" fillId="72" borderId="0" xfId="0" applyFill="1" applyBorder="1" applyAlignment="1">
      <alignment horizontal="center" vertical="center"/>
    </xf>
    <xf numFmtId="0" fontId="0" fillId="0" borderId="0" xfId="0" applyAlignment="1">
      <alignment horizontal="center"/>
    </xf>
    <xf numFmtId="0" fontId="0" fillId="60" borderId="25" xfId="0" applyFill="1" applyBorder="1" applyAlignment="1">
      <alignment horizontal="center" wrapText="1"/>
    </xf>
    <xf numFmtId="0" fontId="0" fillId="0" borderId="0" xfId="0" applyAlignment="1">
      <alignment horizontal="distributed" vertical="center"/>
    </xf>
    <xf numFmtId="0" fontId="0" fillId="0" borderId="0" xfId="0" applyAlignment="1">
      <alignment horizontal="center" vertical="distributed"/>
    </xf>
    <xf numFmtId="0" fontId="0" fillId="60" borderId="25" xfId="0" applyFill="1" applyBorder="1" applyAlignment="1">
      <alignment horizontal="center" vertical="top" wrapText="1"/>
    </xf>
    <xf numFmtId="0" fontId="0" fillId="60" borderId="25" xfId="0" applyFill="1" applyBorder="1" applyAlignment="1">
      <alignment horizontal="left" vertical="center" indent="1"/>
    </xf>
    <xf numFmtId="0" fontId="0" fillId="58" borderId="91" xfId="0" applyFill="1" applyBorder="1" applyAlignment="1">
      <alignment horizontal="center" vertical="center"/>
    </xf>
    <xf numFmtId="0" fontId="9" fillId="0" borderId="0" xfId="0" applyFont="1" applyAlignment="1">
      <alignment vertical="center"/>
    </xf>
    <xf numFmtId="0" fontId="0" fillId="0" borderId="0" xfId="0" applyAlignment="1">
      <alignment vertical="center"/>
    </xf>
    <xf numFmtId="0" fontId="47" fillId="0" borderId="0" xfId="0" applyFont="1" applyAlignment="1">
      <alignment horizontal="center" vertical="center"/>
    </xf>
    <xf numFmtId="0" fontId="60" fillId="0" borderId="0" xfId="0" applyFont="1" applyAlignment="1">
      <alignment vertical="center"/>
    </xf>
    <xf numFmtId="0" fontId="0" fillId="0" borderId="163" xfId="0" applyBorder="1" applyAlignment="1">
      <alignment vertical="center"/>
    </xf>
    <xf numFmtId="0" fontId="0" fillId="0" borderId="0" xfId="0" applyBorder="1" applyAlignment="1">
      <alignment vertical="center"/>
    </xf>
    <xf numFmtId="0" fontId="0" fillId="0" borderId="1" xfId="0" applyBorder="1" applyAlignment="1">
      <alignment vertical="center"/>
    </xf>
    <xf numFmtId="0" fontId="61" fillId="0" borderId="0" xfId="0" applyFont="1" applyAlignment="1">
      <alignment vertical="center"/>
    </xf>
    <xf numFmtId="0" fontId="0" fillId="0" borderId="0" xfId="0" applyAlignment="1">
      <alignment vertical="top"/>
    </xf>
    <xf numFmtId="0" fontId="0" fillId="0" borderId="0" xfId="0" applyAlignment="1">
      <alignment vertical="justify"/>
    </xf>
    <xf numFmtId="0" fontId="0" fillId="0" borderId="0" xfId="0" applyAlignment="1">
      <alignment vertical="distributed"/>
    </xf>
    <xf numFmtId="0" fontId="0" fillId="0" borderId="0" xfId="0" applyAlignment="1"/>
    <xf numFmtId="0" fontId="0" fillId="0" borderId="0" xfId="0" applyAlignment="1">
      <alignment horizontal="left" vertical="center" indent="2"/>
    </xf>
    <xf numFmtId="0" fontId="47" fillId="0" borderId="0" xfId="0" applyFont="1" applyAlignment="1">
      <alignment vertical="center"/>
    </xf>
    <xf numFmtId="0" fontId="0" fillId="0" borderId="0" xfId="0" applyAlignment="1">
      <alignment horizontal="right" vertical="center" indent="3"/>
    </xf>
    <xf numFmtId="0" fontId="9" fillId="0" borderId="0" xfId="0" applyFont="1" applyBorder="1" applyAlignment="1">
      <alignment vertical="center"/>
    </xf>
    <xf numFmtId="0" fontId="9" fillId="0" borderId="1" xfId="0" applyFont="1" applyBorder="1" applyAlignment="1">
      <alignment vertical="center"/>
    </xf>
    <xf numFmtId="0" fontId="0" fillId="0" borderId="6" xfId="0" applyBorder="1" applyAlignment="1">
      <alignment vertical="center"/>
    </xf>
    <xf numFmtId="0" fontId="0" fillId="0" borderId="164" xfId="0" applyBorder="1" applyAlignment="1">
      <alignment horizontal="center" vertical="center"/>
    </xf>
    <xf numFmtId="0" fontId="0" fillId="0" borderId="165" xfId="0" applyBorder="1" applyAlignment="1">
      <alignment horizontal="center" vertical="center"/>
    </xf>
    <xf numFmtId="0" fontId="0" fillId="0" borderId="7" xfId="0" applyBorder="1" applyAlignment="1">
      <alignment vertical="center"/>
    </xf>
    <xf numFmtId="0" fontId="0" fillId="0" borderId="166" xfId="0" applyBorder="1" applyAlignment="1">
      <alignment horizontal="center" vertical="center"/>
    </xf>
    <xf numFmtId="0" fontId="2" fillId="0" borderId="165" xfId="0" applyFont="1" applyBorder="1" applyAlignment="1">
      <alignment vertical="center"/>
    </xf>
    <xf numFmtId="0" fontId="3" fillId="0" borderId="165" xfId="0" applyFont="1" applyBorder="1" applyAlignment="1">
      <alignment vertical="center"/>
    </xf>
    <xf numFmtId="0" fontId="0" fillId="0" borderId="166" xfId="0" applyBorder="1" applyAlignment="1">
      <alignment vertical="center"/>
    </xf>
    <xf numFmtId="0" fontId="9" fillId="0" borderId="0" xfId="0" applyFont="1"/>
    <xf numFmtId="0" fontId="62" fillId="0" borderId="0" xfId="0" applyFont="1"/>
    <xf numFmtId="0" fontId="9" fillId="26" borderId="0" xfId="0" applyFont="1" applyFill="1"/>
    <xf numFmtId="0" fontId="0" fillId="69" borderId="167" xfId="0" applyFill="1" applyBorder="1" applyAlignment="1">
      <alignment horizontal="center"/>
    </xf>
    <xf numFmtId="0" fontId="2" fillId="58" borderId="30" xfId="0" applyFont="1" applyFill="1" applyBorder="1" applyAlignment="1">
      <alignment horizontal="center" vertical="center"/>
    </xf>
    <xf numFmtId="0" fontId="2" fillId="58" borderId="42" xfId="0" applyFont="1" applyFill="1" applyBorder="1" applyAlignment="1">
      <alignment horizontal="center" vertical="center"/>
    </xf>
    <xf numFmtId="0" fontId="2" fillId="58" borderId="34" xfId="0" applyFont="1" applyFill="1" applyBorder="1" applyAlignment="1">
      <alignment horizontal="center" vertical="center"/>
    </xf>
    <xf numFmtId="0" fontId="2" fillId="58" borderId="31" xfId="0" applyFont="1" applyFill="1" applyBorder="1" applyAlignment="1">
      <alignment horizontal="center" vertical="center"/>
    </xf>
    <xf numFmtId="0" fontId="0" fillId="68" borderId="31" xfId="0" applyFill="1" applyBorder="1" applyAlignment="1">
      <alignment horizontal="center" vertical="distributed"/>
    </xf>
    <xf numFmtId="0" fontId="0" fillId="68" borderId="31" xfId="0" applyFill="1" applyBorder="1" applyAlignment="1">
      <alignment horizontal="center"/>
    </xf>
    <xf numFmtId="0" fontId="11" fillId="68" borderId="31" xfId="0" applyFont="1" applyFill="1" applyBorder="1" applyAlignment="1">
      <alignment horizontal="center" vertical="center"/>
    </xf>
    <xf numFmtId="0" fontId="0" fillId="68" borderId="31" xfId="0" applyFill="1" applyBorder="1" applyAlignment="1">
      <alignment horizontal="center" vertical="justify"/>
    </xf>
    <xf numFmtId="0" fontId="2" fillId="58" borderId="55" xfId="0" applyFont="1" applyFill="1" applyBorder="1" applyAlignment="1">
      <alignment horizontal="center" vertical="center"/>
    </xf>
    <xf numFmtId="0" fontId="2" fillId="64" borderId="35" xfId="0" applyFont="1" applyFill="1" applyBorder="1" applyAlignment="1">
      <alignment horizontal="center" vertical="top"/>
    </xf>
    <xf numFmtId="0" fontId="0" fillId="24" borderId="33" xfId="0" applyFill="1" applyBorder="1"/>
    <xf numFmtId="0" fontId="0" fillId="34" borderId="33" xfId="0" applyFill="1" applyBorder="1"/>
    <xf numFmtId="0" fontId="0" fillId="25" borderId="33" xfId="0" applyFill="1" applyBorder="1"/>
    <xf numFmtId="0" fontId="7" fillId="30" borderId="33" xfId="0" applyFont="1" applyFill="1" applyBorder="1"/>
    <xf numFmtId="0" fontId="0" fillId="28" borderId="33" xfId="0" applyFill="1" applyBorder="1"/>
    <xf numFmtId="0" fontId="2" fillId="0" borderId="33" xfId="0" applyFont="1" applyBorder="1"/>
    <xf numFmtId="0" fontId="2" fillId="68" borderId="114" xfId="0" applyFont="1" applyFill="1" applyBorder="1" applyAlignment="1">
      <alignment horizontal="center" vertical="center"/>
    </xf>
    <xf numFmtId="0" fontId="2" fillId="68" borderId="31" xfId="0" applyFont="1" applyFill="1" applyBorder="1" applyAlignment="1">
      <alignment horizontal="center" vertical="center"/>
    </xf>
    <xf numFmtId="0" fontId="11" fillId="58" borderId="25" xfId="0" applyFont="1" applyFill="1" applyBorder="1" applyAlignment="1">
      <alignment horizontal="right" vertical="justify" indent="3"/>
    </xf>
    <xf numFmtId="0" fontId="23" fillId="60" borderId="0" xfId="0" applyFont="1" applyFill="1" applyBorder="1" applyAlignment="1">
      <alignment horizontal="center" vertical="justify"/>
    </xf>
    <xf numFmtId="0" fontId="2" fillId="58" borderId="168" xfId="0" applyFont="1" applyFill="1" applyBorder="1" applyAlignment="1">
      <alignment horizontal="center" vertical="center"/>
    </xf>
    <xf numFmtId="0" fontId="2" fillId="58" borderId="103" xfId="0" applyFont="1" applyFill="1" applyBorder="1" applyAlignment="1">
      <alignment horizontal="center" vertical="center"/>
    </xf>
    <xf numFmtId="0" fontId="2" fillId="58" borderId="169" xfId="0" applyFont="1" applyFill="1" applyBorder="1" applyAlignment="1">
      <alignment horizontal="center" vertical="center"/>
    </xf>
    <xf numFmtId="0" fontId="2" fillId="58" borderId="105" xfId="0" applyFont="1" applyFill="1" applyBorder="1" applyAlignment="1">
      <alignment horizontal="center" vertical="center"/>
    </xf>
    <xf numFmtId="0" fontId="2" fillId="58" borderId="33" xfId="0" applyFont="1" applyFill="1" applyBorder="1" applyAlignment="1">
      <alignment horizontal="center"/>
    </xf>
    <xf numFmtId="0" fontId="0" fillId="58" borderId="83" xfId="0" applyFill="1" applyBorder="1" applyAlignment="1">
      <alignment horizontal="center" vertical="center"/>
    </xf>
    <xf numFmtId="0" fontId="2" fillId="58" borderId="101" xfId="0" applyFont="1" applyFill="1" applyBorder="1" applyAlignment="1">
      <alignment horizontal="center" vertical="center"/>
    </xf>
    <xf numFmtId="0" fontId="2" fillId="58" borderId="170" xfId="0" applyFont="1" applyFill="1" applyBorder="1" applyAlignment="1">
      <alignment horizontal="center" vertical="center"/>
    </xf>
    <xf numFmtId="0" fontId="2" fillId="58" borderId="171" xfId="0" applyFont="1" applyFill="1" applyBorder="1" applyAlignment="1">
      <alignment horizontal="center" vertical="justify"/>
    </xf>
    <xf numFmtId="0" fontId="2" fillId="58" borderId="168" xfId="0" applyFont="1" applyFill="1" applyBorder="1" applyAlignment="1">
      <alignment horizontal="center" vertical="top"/>
    </xf>
    <xf numFmtId="0" fontId="2" fillId="58" borderId="103" xfId="0" applyFont="1" applyFill="1" applyBorder="1" applyAlignment="1">
      <alignment horizontal="center" vertical="top"/>
    </xf>
    <xf numFmtId="0" fontId="2" fillId="58" borderId="50" xfId="0" applyFont="1" applyFill="1" applyBorder="1" applyAlignment="1">
      <alignment horizontal="center" vertical="center"/>
    </xf>
    <xf numFmtId="0" fontId="49" fillId="58" borderId="101" xfId="0" applyFont="1" applyFill="1" applyBorder="1" applyAlignment="1">
      <alignment horizontal="distributed" vertical="top" indent="2"/>
    </xf>
    <xf numFmtId="0" fontId="49" fillId="58" borderId="172" xfId="0" applyFont="1" applyFill="1" applyBorder="1" applyAlignment="1">
      <alignment horizontal="center" vertical="distributed"/>
    </xf>
    <xf numFmtId="0" fontId="2" fillId="58" borderId="105" xfId="0" applyFont="1" applyFill="1" applyBorder="1" applyAlignment="1">
      <alignment horizontal="center" vertical="top"/>
    </xf>
    <xf numFmtId="0" fontId="2" fillId="60" borderId="42" xfId="0" applyFont="1" applyFill="1" applyBorder="1" applyAlignment="1">
      <alignment horizontal="center" vertical="center"/>
    </xf>
    <xf numFmtId="0" fontId="2" fillId="60" borderId="42" xfId="0" applyFont="1" applyFill="1" applyBorder="1" applyAlignment="1">
      <alignment horizontal="center" vertical="justify"/>
    </xf>
    <xf numFmtId="0" fontId="2" fillId="60" borderId="42" xfId="0" applyFont="1" applyFill="1" applyBorder="1" applyAlignment="1">
      <alignment horizontal="center"/>
    </xf>
    <xf numFmtId="0" fontId="2" fillId="60" borderId="34" xfId="0" applyFont="1" applyFill="1" applyBorder="1" applyAlignment="1">
      <alignment horizontal="center" vertical="justify"/>
    </xf>
    <xf numFmtId="0" fontId="49" fillId="60" borderId="25" xfId="0" applyFont="1" applyFill="1" applyBorder="1" applyAlignment="1">
      <alignment horizontal="center" vertical="distributed"/>
    </xf>
    <xf numFmtId="0" fontId="2" fillId="60" borderId="34" xfId="0" applyFont="1" applyFill="1" applyBorder="1" applyAlignment="1">
      <alignment horizontal="center" vertical="center"/>
    </xf>
    <xf numFmtId="0" fontId="0" fillId="1" borderId="150" xfId="0" applyFill="1" applyBorder="1" applyAlignment="1">
      <alignment horizontal="center" vertical="center"/>
    </xf>
    <xf numFmtId="0" fontId="0" fillId="1" borderId="173" xfId="0" applyFill="1" applyBorder="1" applyAlignment="1">
      <alignment horizontal="center" vertical="center"/>
    </xf>
    <xf numFmtId="0" fontId="0" fillId="70" borderId="30" xfId="0" applyFill="1" applyBorder="1" applyAlignment="1">
      <alignment horizontal="center" vertical="center"/>
    </xf>
    <xf numFmtId="0" fontId="0" fillId="70" borderId="55" xfId="0" applyFill="1" applyBorder="1" applyAlignment="1">
      <alignment horizontal="center" vertical="center"/>
    </xf>
    <xf numFmtId="0" fontId="0" fillId="70" borderId="60" xfId="0" applyFill="1" applyBorder="1" applyAlignment="1">
      <alignment horizontal="center" vertical="center"/>
    </xf>
    <xf numFmtId="0" fontId="0" fillId="69" borderId="51" xfId="0" applyFill="1" applyBorder="1" applyAlignment="1">
      <alignment horizontal="center" vertical="top"/>
    </xf>
    <xf numFmtId="0" fontId="0" fillId="69" borderId="51" xfId="0" applyFill="1" applyBorder="1" applyAlignment="1">
      <alignment horizontal="center"/>
    </xf>
    <xf numFmtId="0" fontId="0" fillId="69" borderId="39" xfId="0" applyFill="1" applyBorder="1" applyAlignment="1">
      <alignment horizontal="center" vertical="distributed"/>
    </xf>
    <xf numFmtId="0" fontId="63" fillId="58" borderId="0" xfId="0" applyFont="1" applyFill="1" applyBorder="1" applyAlignment="1">
      <alignment horizontal="center" vertical="center"/>
    </xf>
    <xf numFmtId="0" fontId="0" fillId="69" borderId="109" xfId="0" applyFill="1" applyBorder="1" applyAlignment="1">
      <alignment horizontal="center" vertical="justify"/>
    </xf>
    <xf numFmtId="0" fontId="0" fillId="69" borderId="109" xfId="0" applyFill="1" applyBorder="1" applyAlignment="1">
      <alignment horizontal="center" vertical="top"/>
    </xf>
    <xf numFmtId="0" fontId="0" fillId="69" borderId="102" xfId="0" applyFill="1" applyBorder="1" applyAlignment="1">
      <alignment horizontal="center" vertical="center"/>
    </xf>
    <xf numFmtId="0" fontId="0" fillId="58" borderId="37" xfId="0" applyFill="1" applyBorder="1" applyAlignment="1">
      <alignment horizontal="center" vertical="center"/>
    </xf>
    <xf numFmtId="0" fontId="0" fillId="69" borderId="154" xfId="0" applyFill="1" applyBorder="1" applyAlignment="1">
      <alignment horizontal="center" vertical="justify"/>
    </xf>
    <xf numFmtId="0" fontId="0" fillId="69" borderId="174" xfId="0" applyFill="1" applyBorder="1" applyAlignment="1">
      <alignment horizontal="center" vertical="center"/>
    </xf>
    <xf numFmtId="0" fontId="0" fillId="69" borderId="105" xfId="0" applyFill="1" applyBorder="1" applyAlignment="1">
      <alignment horizontal="center" vertical="center"/>
    </xf>
    <xf numFmtId="0" fontId="0" fillId="69" borderId="83" xfId="0" applyFill="1" applyBorder="1" applyAlignment="1">
      <alignment horizontal="center" vertical="center"/>
    </xf>
    <xf numFmtId="0" fontId="0" fillId="60" borderId="175" xfId="0" applyFill="1" applyBorder="1" applyAlignment="1">
      <alignment horizontal="center" vertical="center"/>
    </xf>
    <xf numFmtId="0" fontId="64" fillId="65" borderId="0" xfId="0" applyFont="1" applyFill="1" applyBorder="1" applyAlignment="1">
      <alignment horizontal="center" vertical="center"/>
    </xf>
    <xf numFmtId="0" fontId="64" fillId="65" borderId="0" xfId="0" applyFont="1" applyFill="1" applyBorder="1" applyAlignment="1">
      <alignment horizontal="center" vertical="top"/>
    </xf>
    <xf numFmtId="0" fontId="64" fillId="65" borderId="0" xfId="0" applyFont="1" applyFill="1" applyBorder="1" applyAlignment="1">
      <alignment horizontal="center"/>
    </xf>
    <xf numFmtId="0" fontId="64" fillId="65" borderId="25" xfId="0" applyFont="1" applyFill="1" applyBorder="1" applyAlignment="1">
      <alignment horizontal="center" vertical="center"/>
    </xf>
    <xf numFmtId="0" fontId="64" fillId="65" borderId="0" xfId="0" applyFont="1" applyFill="1" applyBorder="1" applyAlignment="1">
      <alignment horizontal="center" vertical="justify"/>
    </xf>
    <xf numFmtId="0" fontId="64" fillId="65" borderId="0" xfId="0" applyFont="1" applyFill="1" applyBorder="1" applyAlignment="1">
      <alignment horizontal="center" vertical="distributed"/>
    </xf>
    <xf numFmtId="0" fontId="65" fillId="65" borderId="0" xfId="0" applyFont="1" applyFill="1" applyBorder="1" applyAlignment="1">
      <alignment horizontal="center" vertical="center"/>
    </xf>
    <xf numFmtId="0" fontId="64" fillId="65" borderId="25" xfId="0" applyFont="1" applyFill="1" applyBorder="1" applyAlignment="1">
      <alignment horizontal="center"/>
    </xf>
    <xf numFmtId="0" fontId="0" fillId="65" borderId="0" xfId="0" applyFont="1" applyFill="1" applyBorder="1" applyAlignment="1">
      <alignment horizontal="center" vertical="center"/>
    </xf>
    <xf numFmtId="0" fontId="16" fillId="65" borderId="0" xfId="0" applyFont="1" applyFill="1" applyBorder="1" applyAlignment="1">
      <alignment horizontal="center" vertical="center"/>
    </xf>
    <xf numFmtId="0" fontId="64" fillId="65" borderId="26" xfId="0" applyFont="1" applyFill="1" applyBorder="1" applyAlignment="1">
      <alignment horizontal="center" vertical="center"/>
    </xf>
    <xf numFmtId="0" fontId="16" fillId="65" borderId="0" xfId="0" applyFont="1" applyFill="1" applyBorder="1" applyAlignment="1">
      <alignment horizontal="center" vertical="justify"/>
    </xf>
    <xf numFmtId="0" fontId="12" fillId="60" borderId="25" xfId="0" applyFont="1" applyFill="1" applyBorder="1" applyAlignment="1">
      <alignment horizontal="center" vertical="justify"/>
    </xf>
    <xf numFmtId="0" fontId="64" fillId="65" borderId="25" xfId="0" applyFont="1" applyFill="1" applyBorder="1" applyAlignment="1">
      <alignment horizontal="center" vertical="top"/>
    </xf>
    <xf numFmtId="0" fontId="66" fillId="65" borderId="25" xfId="0" applyFont="1" applyFill="1" applyBorder="1" applyAlignment="1">
      <alignment horizontal="center" vertical="center"/>
    </xf>
    <xf numFmtId="0" fontId="67" fillId="65" borderId="22" xfId="0" applyFont="1" applyFill="1" applyBorder="1" applyAlignment="1">
      <alignment horizontal="center" vertical="center"/>
    </xf>
    <xf numFmtId="0" fontId="64" fillId="65" borderId="52" xfId="0" applyFont="1" applyFill="1" applyBorder="1" applyAlignment="1">
      <alignment horizontal="center" vertical="center"/>
    </xf>
    <xf numFmtId="0" fontId="64" fillId="65" borderId="43" xfId="0" applyFont="1" applyFill="1" applyBorder="1" applyAlignment="1">
      <alignment horizontal="center" vertical="distributed"/>
    </xf>
    <xf numFmtId="0" fontId="64" fillId="65" borderId="152" xfId="0" applyFont="1" applyFill="1" applyBorder="1" applyAlignment="1">
      <alignment horizontal="center" vertical="center"/>
    </xf>
    <xf numFmtId="0" fontId="0" fillId="65" borderId="20" xfId="0" applyFill="1" applyBorder="1" applyAlignment="1">
      <alignment horizontal="center" vertical="center"/>
    </xf>
    <xf numFmtId="0" fontId="64" fillId="65" borderId="176" xfId="0" applyFont="1" applyFill="1" applyBorder="1" applyAlignment="1">
      <alignment horizontal="center" vertical="center"/>
    </xf>
    <xf numFmtId="0" fontId="68" fillId="65" borderId="0" xfId="0" applyFont="1" applyFill="1" applyBorder="1" applyAlignment="1">
      <alignment horizontal="center" vertical="center"/>
    </xf>
    <xf numFmtId="0" fontId="0" fillId="65" borderId="0" xfId="0" applyFont="1" applyFill="1" applyBorder="1" applyAlignment="1">
      <alignment horizontal="center" vertical="justify"/>
    </xf>
    <xf numFmtId="0" fontId="67" fillId="65" borderId="0" xfId="0" applyFont="1" applyFill="1" applyBorder="1" applyAlignment="1">
      <alignment horizontal="center" vertical="justify"/>
    </xf>
    <xf numFmtId="0" fontId="0" fillId="62" borderId="119" xfId="0" applyFont="1" applyFill="1" applyBorder="1" applyAlignment="1">
      <alignment horizontal="center" vertical="center"/>
    </xf>
    <xf numFmtId="0" fontId="64" fillId="65" borderId="39" xfId="0" applyFont="1" applyFill="1" applyBorder="1" applyAlignment="1">
      <alignment horizontal="center" vertical="center"/>
    </xf>
    <xf numFmtId="0" fontId="65" fillId="65" borderId="31" xfId="0" applyFont="1" applyFill="1" applyBorder="1" applyAlignment="1">
      <alignment horizontal="center" vertical="center"/>
    </xf>
    <xf numFmtId="0" fontId="7" fillId="35" borderId="3" xfId="0" applyFont="1" applyFill="1" applyBorder="1"/>
    <xf numFmtId="0" fontId="7" fillId="35" borderId="4" xfId="0" applyFont="1" applyFill="1" applyBorder="1"/>
    <xf numFmtId="0" fontId="7" fillId="37" borderId="5" xfId="0" applyFont="1" applyFill="1" applyBorder="1"/>
    <xf numFmtId="0" fontId="7" fillId="35" borderId="6" xfId="0" applyFont="1" applyFill="1" applyBorder="1"/>
    <xf numFmtId="0" fontId="7" fillId="35" borderId="2" xfId="0" applyFont="1" applyFill="1" applyBorder="1"/>
    <xf numFmtId="0" fontId="7" fillId="37" borderId="6" xfId="0" applyFont="1" applyFill="1" applyBorder="1"/>
    <xf numFmtId="0" fontId="7" fillId="35" borderId="8" xfId="0" applyFont="1" applyFill="1" applyBorder="1"/>
    <xf numFmtId="0" fontId="1" fillId="66" borderId="0" xfId="0" applyFont="1" applyFill="1" applyBorder="1" applyAlignment="1">
      <alignment horizontal="center" vertical="center"/>
    </xf>
    <xf numFmtId="0" fontId="64" fillId="66" borderId="0" xfId="0" applyFont="1" applyFill="1" applyBorder="1" applyAlignment="1">
      <alignment horizontal="center" vertical="center"/>
    </xf>
    <xf numFmtId="0" fontId="64" fillId="66" borderId="25" xfId="0" applyFont="1" applyFill="1" applyBorder="1" applyAlignment="1">
      <alignment horizontal="center" vertical="center"/>
    </xf>
    <xf numFmtId="0" fontId="64" fillId="66" borderId="78" xfId="0" applyFont="1" applyFill="1" applyBorder="1" applyAlignment="1">
      <alignment horizontal="center" vertical="center"/>
    </xf>
    <xf numFmtId="0" fontId="0" fillId="62" borderId="54" xfId="0" applyFill="1" applyBorder="1" applyAlignment="1">
      <alignment horizontal="center" vertical="center"/>
    </xf>
    <xf numFmtId="0" fontId="0" fillId="60" borderId="102" xfId="0" applyFill="1" applyBorder="1" applyAlignment="1">
      <alignment horizontal="center" vertical="center"/>
    </xf>
    <xf numFmtId="0" fontId="0" fillId="64" borderId="102" xfId="0" applyFill="1" applyBorder="1" applyAlignment="1">
      <alignment horizontal="center" vertical="center"/>
    </xf>
    <xf numFmtId="0" fontId="64" fillId="67" borderId="0" xfId="0" applyFont="1" applyFill="1" applyBorder="1" applyAlignment="1">
      <alignment horizontal="center" vertical="center"/>
    </xf>
    <xf numFmtId="0" fontId="0" fillId="67" borderId="0" xfId="0" applyFont="1" applyFill="1" applyBorder="1" applyAlignment="1">
      <alignment horizontal="center" vertical="center"/>
    </xf>
    <xf numFmtId="0" fontId="67" fillId="67" borderId="0" xfId="0" applyFont="1" applyFill="1" applyBorder="1" applyAlignment="1">
      <alignment horizontal="center" vertical="justify"/>
    </xf>
    <xf numFmtId="0" fontId="9" fillId="69" borderId="154" xfId="0" applyFont="1" applyFill="1" applyBorder="1" applyAlignment="1">
      <alignment horizontal="center" vertical="top"/>
    </xf>
    <xf numFmtId="0" fontId="10" fillId="60" borderId="25" xfId="0" applyFont="1" applyFill="1" applyBorder="1" applyAlignment="1">
      <alignment horizontal="center" vertical="center"/>
    </xf>
    <xf numFmtId="0" fontId="69" fillId="67" borderId="0" xfId="0" applyFont="1" applyFill="1" applyBorder="1" applyAlignment="1">
      <alignment horizontal="center" vertical="center"/>
    </xf>
    <xf numFmtId="0" fontId="67" fillId="67" borderId="0" xfId="0" applyFont="1" applyFill="1" applyBorder="1" applyAlignment="1">
      <alignment horizontal="center" vertical="top"/>
    </xf>
    <xf numFmtId="0" fontId="64" fillId="67" borderId="0" xfId="0" applyFont="1" applyFill="1" applyBorder="1" applyAlignment="1">
      <alignment horizontal="center" vertical="distributed"/>
    </xf>
    <xf numFmtId="0" fontId="64" fillId="67" borderId="0" xfId="0" applyFont="1" applyFill="1" applyBorder="1" applyAlignment="1">
      <alignment horizontal="center"/>
    </xf>
    <xf numFmtId="0" fontId="0" fillId="69" borderId="103" xfId="0" applyFill="1" applyBorder="1" applyAlignment="1">
      <alignment horizontal="center" vertical="center"/>
    </xf>
    <xf numFmtId="0" fontId="67" fillId="67" borderId="25" xfId="0" applyFont="1" applyFill="1" applyBorder="1" applyAlignment="1">
      <alignment horizontal="center" vertical="justify"/>
    </xf>
    <xf numFmtId="0" fontId="0" fillId="69" borderId="177" xfId="0" applyFill="1" applyBorder="1" applyAlignment="1">
      <alignment horizontal="center" vertical="center"/>
    </xf>
    <xf numFmtId="0" fontId="64" fillId="58" borderId="0" xfId="0" applyFont="1" applyFill="1" applyBorder="1" applyAlignment="1">
      <alignment horizontal="center" vertical="center"/>
    </xf>
    <xf numFmtId="0" fontId="64" fillId="58" borderId="33" xfId="0" applyFont="1" applyFill="1" applyBorder="1" applyAlignment="1">
      <alignment horizontal="center" vertical="center"/>
    </xf>
    <xf numFmtId="0" fontId="0" fillId="58" borderId="33" xfId="0" applyFill="1" applyBorder="1" applyAlignment="1">
      <alignment horizontal="distributed" vertical="justify" indent="4"/>
    </xf>
    <xf numFmtId="0" fontId="64" fillId="66" borderId="24" xfId="0" applyFont="1" applyFill="1" applyBorder="1" applyAlignment="1">
      <alignment horizontal="center" vertical="justify"/>
    </xf>
    <xf numFmtId="0" fontId="67" fillId="66" borderId="0" xfId="0" applyFont="1" applyFill="1" applyBorder="1" applyAlignment="1">
      <alignment horizontal="center" vertical="top"/>
    </xf>
    <xf numFmtId="0" fontId="0" fillId="58" borderId="59" xfId="0" applyFill="1" applyBorder="1" applyAlignment="1">
      <alignment horizontal="center" vertical="center"/>
    </xf>
    <xf numFmtId="0" fontId="64" fillId="66" borderId="150" xfId="0" applyFont="1" applyFill="1" applyBorder="1" applyAlignment="1">
      <alignment horizontal="center" vertical="center"/>
    </xf>
    <xf numFmtId="0" fontId="64" fillId="66" borderId="57" xfId="0" applyFont="1" applyFill="1" applyBorder="1" applyAlignment="1">
      <alignment horizontal="center" vertical="center"/>
    </xf>
    <xf numFmtId="0" fontId="67" fillId="58" borderId="33" xfId="0" applyFont="1" applyFill="1" applyBorder="1" applyAlignment="1">
      <alignment horizontal="distributed" vertical="justify" indent="4"/>
    </xf>
    <xf numFmtId="0" fontId="64" fillId="66" borderId="24" xfId="0" applyFont="1" applyFill="1" applyBorder="1" applyAlignment="1">
      <alignment horizontal="distributed" vertical="justify" indent="8"/>
    </xf>
    <xf numFmtId="0" fontId="0" fillId="60" borderId="178" xfId="0" applyFill="1" applyBorder="1" applyAlignment="1">
      <alignment horizontal="center" vertical="center"/>
    </xf>
    <xf numFmtId="0" fontId="0" fillId="60" borderId="179" xfId="0" applyFill="1" applyBorder="1" applyAlignment="1">
      <alignment horizontal="center" vertical="center"/>
    </xf>
    <xf numFmtId="0" fontId="0" fillId="69" borderId="180" xfId="0" applyFill="1" applyBorder="1" applyAlignment="1">
      <alignment horizontal="center" vertical="center"/>
    </xf>
    <xf numFmtId="0" fontId="9" fillId="60" borderId="58" xfId="0" applyFont="1" applyFill="1" applyBorder="1" applyAlignment="1">
      <alignment horizontal="center" vertical="center"/>
    </xf>
    <xf numFmtId="0" fontId="0" fillId="59" borderId="47" xfId="0" applyFill="1" applyBorder="1" applyAlignment="1">
      <alignment horizontal="center" vertical="top"/>
    </xf>
    <xf numFmtId="0" fontId="0" fillId="66" borderId="0" xfId="0" applyFont="1" applyFill="1" applyBorder="1" applyAlignment="1">
      <alignment horizontal="center" vertical="center"/>
    </xf>
    <xf numFmtId="0" fontId="64" fillId="66" borderId="154" xfId="0" applyFont="1" applyFill="1" applyBorder="1" applyAlignment="1">
      <alignment horizontal="center" vertical="center"/>
    </xf>
    <xf numFmtId="0" fontId="64" fillId="60" borderId="181" xfId="0" applyFont="1" applyFill="1" applyBorder="1" applyAlignment="1">
      <alignment horizontal="center" vertical="center"/>
    </xf>
    <xf numFmtId="0" fontId="64" fillId="66" borderId="33" xfId="0" applyFont="1" applyFill="1" applyBorder="1"/>
    <xf numFmtId="0" fontId="64" fillId="66" borderId="33" xfId="0" applyFont="1" applyFill="1" applyBorder="1" applyAlignment="1">
      <alignment horizontal="center" vertical="center"/>
    </xf>
    <xf numFmtId="0" fontId="64" fillId="66" borderId="0" xfId="0" applyFont="1" applyFill="1" applyBorder="1" applyAlignment="1">
      <alignment horizontal="center"/>
    </xf>
    <xf numFmtId="0" fontId="64" fillId="66" borderId="24" xfId="0" applyFont="1" applyFill="1" applyBorder="1" applyAlignment="1">
      <alignment horizontal="center" vertical="top"/>
    </xf>
    <xf numFmtId="0" fontId="64" fillId="66" borderId="24" xfId="0" applyFont="1" applyFill="1" applyBorder="1" applyAlignment="1">
      <alignment horizontal="distributed" vertical="top" indent="8"/>
    </xf>
    <xf numFmtId="0" fontId="64" fillId="66" borderId="24" xfId="0" applyFont="1" applyFill="1" applyBorder="1" applyAlignment="1">
      <alignment horizontal="distributed" indent="8"/>
    </xf>
    <xf numFmtId="0" fontId="64" fillId="66" borderId="33" xfId="0" applyFont="1" applyFill="1" applyBorder="1" applyAlignment="1">
      <alignment horizontal="center" vertical="top"/>
    </xf>
    <xf numFmtId="0" fontId="64" fillId="58" borderId="33" xfId="0" applyFont="1" applyFill="1" applyBorder="1" applyAlignment="1">
      <alignment horizontal="distributed" vertical="justify" indent="4"/>
    </xf>
    <xf numFmtId="0" fontId="70" fillId="58" borderId="33" xfId="0" applyFont="1" applyFill="1" applyBorder="1" applyAlignment="1">
      <alignment horizontal="center" vertical="center"/>
    </xf>
    <xf numFmtId="0" fontId="51" fillId="60" borderId="0" xfId="0" applyFont="1" applyFill="1" applyBorder="1" applyAlignment="1">
      <alignment horizontal="center" vertical="distributed"/>
    </xf>
    <xf numFmtId="0" fontId="64" fillId="66" borderId="0" xfId="0" applyFont="1" applyFill="1" applyBorder="1" applyAlignment="1">
      <alignment horizontal="center" vertical="justify"/>
    </xf>
    <xf numFmtId="0" fontId="0" fillId="58" borderId="182" xfId="0" applyFill="1" applyBorder="1" applyAlignment="1">
      <alignment horizontal="center" vertical="center"/>
    </xf>
    <xf numFmtId="0" fontId="0" fillId="58" borderId="183" xfId="0" applyFill="1" applyBorder="1" applyAlignment="1">
      <alignment horizontal="center" vertical="center"/>
    </xf>
    <xf numFmtId="0" fontId="64" fillId="66" borderId="59" xfId="0" applyFont="1" applyFill="1" applyBorder="1" applyAlignment="1">
      <alignment horizontal="center" vertical="center"/>
    </xf>
    <xf numFmtId="0" fontId="0" fillId="58" borderId="0" xfId="0" applyFont="1" applyFill="1" applyBorder="1" applyAlignment="1">
      <alignment horizontal="center" vertical="top"/>
    </xf>
    <xf numFmtId="0" fontId="0" fillId="58" borderId="0" xfId="0" applyFont="1" applyFill="1" applyBorder="1" applyAlignment="1">
      <alignment horizontal="center" vertical="distributed"/>
    </xf>
    <xf numFmtId="0" fontId="0" fillId="59" borderId="184" xfId="0" applyFill="1" applyBorder="1" applyAlignment="1">
      <alignment horizontal="center" vertical="center"/>
    </xf>
    <xf numFmtId="0" fontId="0" fillId="58" borderId="0" xfId="0" applyFont="1" applyFill="1" applyBorder="1" applyAlignment="1">
      <alignment horizontal="center" vertical="justify"/>
    </xf>
    <xf numFmtId="0" fontId="64" fillId="58" borderId="0" xfId="0" applyFont="1" applyFill="1" applyBorder="1" applyAlignment="1">
      <alignment horizontal="center" vertical="distributed"/>
    </xf>
    <xf numFmtId="0" fontId="64" fillId="58" borderId="0" xfId="0" applyFont="1" applyFill="1" applyBorder="1" applyAlignment="1">
      <alignment horizontal="center" vertical="justify"/>
    </xf>
    <xf numFmtId="0" fontId="67" fillId="58" borderId="0" xfId="0" applyFont="1" applyFill="1" applyBorder="1" applyAlignment="1">
      <alignment horizontal="center" vertical="justify"/>
    </xf>
    <xf numFmtId="0" fontId="0" fillId="64" borderId="0" xfId="0" applyFont="1" applyFill="1" applyBorder="1" applyAlignment="1">
      <alignment horizontal="center" vertical="distributed"/>
    </xf>
    <xf numFmtId="0" fontId="0" fillId="64" borderId="25" xfId="0" applyFill="1" applyBorder="1" applyAlignment="1">
      <alignment horizontal="center" vertical="top"/>
    </xf>
    <xf numFmtId="0" fontId="0" fillId="60" borderId="26" xfId="0" applyFill="1" applyBorder="1" applyAlignment="1">
      <alignment vertical="distributed"/>
    </xf>
    <xf numFmtId="0" fontId="0" fillId="60" borderId="26" xfId="0" applyFont="1" applyFill="1" applyBorder="1" applyAlignment="1">
      <alignment horizontal="right" indent="1"/>
    </xf>
    <xf numFmtId="0" fontId="0" fillId="72" borderId="34" xfId="0" applyFill="1" applyBorder="1" applyAlignment="1">
      <alignment horizontal="right" vertical="justify" indent="2"/>
    </xf>
    <xf numFmtId="0" fontId="0" fillId="72" borderId="34" xfId="0" applyFill="1" applyBorder="1" applyAlignment="1">
      <alignment horizontal="right" vertical="justify" indent="5"/>
    </xf>
    <xf numFmtId="0" fontId="0" fillId="72" borderId="34" xfId="0" applyFill="1" applyBorder="1" applyAlignment="1">
      <alignment horizontal="right" vertical="justify" indent="4"/>
    </xf>
    <xf numFmtId="0" fontId="0" fillId="60" borderId="40" xfId="0" applyFill="1" applyBorder="1" applyAlignment="1">
      <alignment horizontal="center"/>
    </xf>
    <xf numFmtId="0" fontId="0" fillId="60" borderId="51" xfId="0" applyFill="1" applyBorder="1" applyAlignment="1">
      <alignment horizontal="center" vertical="center"/>
    </xf>
    <xf numFmtId="0" fontId="0" fillId="68" borderId="185" xfId="0" applyFill="1" applyBorder="1" applyAlignment="1">
      <alignment horizontal="center" vertical="center"/>
    </xf>
    <xf numFmtId="0" fontId="0" fillId="60" borderId="186" xfId="0" applyFill="1" applyBorder="1" applyAlignment="1">
      <alignment horizontal="center" vertical="center"/>
    </xf>
    <xf numFmtId="0" fontId="64" fillId="66" borderId="33" xfId="0" applyFont="1" applyFill="1" applyBorder="1" applyAlignment="1">
      <alignment horizontal="center"/>
    </xf>
    <xf numFmtId="0" fontId="0" fillId="66" borderId="33" xfId="0" applyFont="1" applyFill="1" applyBorder="1" applyAlignment="1">
      <alignment horizontal="center"/>
    </xf>
    <xf numFmtId="0" fontId="56" fillId="60" borderId="25" xfId="0" applyFont="1" applyFill="1" applyBorder="1" applyAlignment="1">
      <alignment horizontal="center" vertical="distributed"/>
    </xf>
    <xf numFmtId="0" fontId="56" fillId="67" borderId="0" xfId="0" applyFont="1" applyFill="1" applyBorder="1" applyAlignment="1">
      <alignment horizontal="center" vertical="distributed"/>
    </xf>
    <xf numFmtId="0" fontId="56" fillId="67" borderId="0" xfId="0" applyFont="1" applyFill="1" applyBorder="1" applyAlignment="1">
      <alignment horizontal="center" vertical="justify"/>
    </xf>
    <xf numFmtId="0" fontId="35" fillId="64" borderId="0" xfId="0" applyFont="1" applyFill="1" applyBorder="1" applyAlignment="1">
      <alignment horizontal="center" vertical="top"/>
    </xf>
    <xf numFmtId="0" fontId="35" fillId="64" borderId="23" xfId="0" applyFont="1" applyFill="1" applyBorder="1" applyAlignment="1">
      <alignment horizontal="center" vertical="center"/>
    </xf>
    <xf numFmtId="0" fontId="2" fillId="60" borderId="25" xfId="0" applyFont="1" applyFill="1" applyBorder="1" applyAlignment="1">
      <alignment horizontal="center" vertical="distributed"/>
    </xf>
    <xf numFmtId="0" fontId="35" fillId="68" borderId="187" xfId="0" applyFont="1" applyFill="1" applyBorder="1" applyAlignment="1">
      <alignment horizontal="center" vertical="center"/>
    </xf>
    <xf numFmtId="0" fontId="71" fillId="68" borderId="187" xfId="0" applyFont="1" applyFill="1" applyBorder="1" applyAlignment="1">
      <alignment horizontal="center" vertical="center"/>
    </xf>
    <xf numFmtId="0" fontId="35" fillId="68" borderId="0" xfId="0" applyFont="1" applyFill="1" applyBorder="1" applyAlignment="1">
      <alignment horizontal="center" vertical="center"/>
    </xf>
    <xf numFmtId="0" fontId="0" fillId="62" borderId="25" xfId="0" applyFill="1" applyBorder="1" applyAlignment="1">
      <alignment horizontal="center" vertical="center"/>
    </xf>
    <xf numFmtId="0" fontId="0" fillId="61" borderId="188" xfId="0" applyFill="1" applyBorder="1" applyAlignment="1">
      <alignment horizontal="center" vertical="center"/>
    </xf>
    <xf numFmtId="0" fontId="0" fillId="61" borderId="189" xfId="0" applyFill="1" applyBorder="1" applyAlignment="1">
      <alignment horizontal="left" vertical="center" indent="3"/>
    </xf>
    <xf numFmtId="0" fontId="64" fillId="58" borderId="26" xfId="0" applyFont="1" applyFill="1" applyBorder="1" applyAlignment="1">
      <alignment horizontal="center" vertical="distributed"/>
    </xf>
    <xf numFmtId="0" fontId="0" fillId="58" borderId="26" xfId="0" applyFont="1" applyFill="1" applyBorder="1" applyAlignment="1">
      <alignment horizontal="center" vertical="distributed"/>
    </xf>
    <xf numFmtId="0" fontId="0" fillId="69" borderId="0" xfId="0" applyFill="1" applyAlignment="1">
      <alignment horizontal="center" vertical="center"/>
    </xf>
    <xf numFmtId="0" fontId="37" fillId="67" borderId="40" xfId="0" applyFont="1" applyFill="1" applyBorder="1" applyAlignment="1">
      <alignment horizontal="center" vertical="center"/>
    </xf>
    <xf numFmtId="0" fontId="0" fillId="60" borderId="190" xfId="0" applyFill="1" applyBorder="1" applyAlignment="1">
      <alignment horizontal="center" vertical="center"/>
    </xf>
    <xf numFmtId="0" fontId="56" fillId="67" borderId="0" xfId="0" applyFont="1" applyFill="1" applyBorder="1" applyAlignment="1">
      <alignment horizontal="center" vertical="top"/>
    </xf>
    <xf numFmtId="0" fontId="56" fillId="67" borderId="0" xfId="0" applyFont="1" applyFill="1" applyBorder="1" applyAlignment="1">
      <alignment horizontal="center"/>
    </xf>
    <xf numFmtId="0" fontId="37" fillId="67" borderId="25" xfId="0" applyFont="1" applyFill="1" applyBorder="1" applyAlignment="1">
      <alignment horizontal="center"/>
    </xf>
    <xf numFmtId="0" fontId="37" fillId="67" borderId="25" xfId="0" applyFont="1" applyFill="1" applyBorder="1" applyAlignment="1">
      <alignment horizontal="center" vertical="top"/>
    </xf>
    <xf numFmtId="0" fontId="55" fillId="60" borderId="0" xfId="0" applyFont="1" applyFill="1" applyBorder="1" applyAlignment="1">
      <alignment horizontal="center" vertical="distributed"/>
    </xf>
    <xf numFmtId="0" fontId="72" fillId="67" borderId="0" xfId="0" applyFont="1" applyFill="1" applyBorder="1" applyAlignment="1">
      <alignment horizontal="center" vertical="center"/>
    </xf>
    <xf numFmtId="0" fontId="56" fillId="68" borderId="187" xfId="0" applyFont="1" applyFill="1" applyBorder="1" applyAlignment="1">
      <alignment horizontal="center"/>
    </xf>
    <xf numFmtId="0" fontId="37" fillId="68" borderId="0" xfId="0" applyFont="1" applyFill="1" applyBorder="1" applyAlignment="1">
      <alignment horizontal="center"/>
    </xf>
    <xf numFmtId="0" fontId="9" fillId="61" borderId="120" xfId="0" applyFont="1" applyFill="1" applyBorder="1" applyAlignment="1">
      <alignment horizontal="left" vertical="center" indent="3"/>
    </xf>
    <xf numFmtId="0" fontId="9" fillId="60" borderId="26" xfId="0" applyFont="1" applyFill="1" applyBorder="1" applyAlignment="1">
      <alignment horizontal="right" indent="1"/>
    </xf>
    <xf numFmtId="0" fontId="39" fillId="67" borderId="0" xfId="0" applyFont="1" applyFill="1" applyBorder="1" applyAlignment="1">
      <alignment horizontal="center" vertical="center"/>
    </xf>
    <xf numFmtId="0" fontId="73" fillId="60" borderId="0" xfId="0" applyFont="1" applyFill="1" applyBorder="1" applyAlignment="1">
      <alignment horizontal="center" vertical="center"/>
    </xf>
    <xf numFmtId="0" fontId="2" fillId="60" borderId="0" xfId="0" applyFont="1" applyFill="1" applyBorder="1" applyAlignment="1">
      <alignment horizontal="center" vertical="distributed"/>
    </xf>
    <xf numFmtId="0" fontId="73" fillId="60" borderId="41" xfId="0" applyFont="1" applyFill="1" applyBorder="1" applyAlignment="1">
      <alignment horizontal="center" vertical="center"/>
    </xf>
    <xf numFmtId="0" fontId="73" fillId="60" borderId="25" xfId="0" applyFont="1" applyFill="1" applyBorder="1" applyAlignment="1">
      <alignment horizontal="center" vertical="center"/>
    </xf>
    <xf numFmtId="0" fontId="0" fillId="62" borderId="31" xfId="0" applyFill="1" applyBorder="1"/>
    <xf numFmtId="0" fontId="0" fillId="62" borderId="91" xfId="0" applyFill="1" applyBorder="1"/>
    <xf numFmtId="0" fontId="0" fillId="68" borderId="39" xfId="0" applyFill="1" applyBorder="1" applyAlignment="1">
      <alignment horizontal="center"/>
    </xf>
    <xf numFmtId="0" fontId="73" fillId="60" borderId="41" xfId="0" applyFont="1" applyFill="1" applyBorder="1" applyAlignment="1">
      <alignment horizontal="center" vertical="top"/>
    </xf>
    <xf numFmtId="0" fontId="67" fillId="67" borderId="39" xfId="0" applyFont="1" applyFill="1" applyBorder="1" applyAlignment="1">
      <alignment horizontal="center" vertical="center"/>
    </xf>
    <xf numFmtId="0" fontId="73" fillId="69" borderId="37" xfId="0" applyFont="1" applyFill="1" applyBorder="1" applyAlignment="1">
      <alignment horizontal="center" vertical="center"/>
    </xf>
    <xf numFmtId="0" fontId="67" fillId="67" borderId="47" xfId="0" applyFont="1" applyFill="1" applyBorder="1" applyAlignment="1">
      <alignment horizontal="center" vertical="center"/>
    </xf>
    <xf numFmtId="0" fontId="74" fillId="67" borderId="47" xfId="0" applyFont="1" applyFill="1" applyBorder="1" applyAlignment="1">
      <alignment horizontal="center" vertical="center"/>
    </xf>
    <xf numFmtId="0" fontId="54" fillId="60" borderId="154" xfId="0" applyFont="1" applyFill="1" applyBorder="1" applyAlignment="1">
      <alignment horizontal="center" vertical="top"/>
    </xf>
    <xf numFmtId="0" fontId="54" fillId="69" borderId="39" xfId="0" applyFont="1" applyFill="1" applyBorder="1" applyAlignment="1">
      <alignment horizontal="center" vertical="center"/>
    </xf>
    <xf numFmtId="0" fontId="10" fillId="60" borderId="26" xfId="0" applyFont="1" applyFill="1" applyBorder="1" applyAlignment="1">
      <alignment horizontal="right" indent="1"/>
    </xf>
    <xf numFmtId="0" fontId="2" fillId="69" borderId="25" xfId="0" applyFont="1" applyFill="1" applyBorder="1" applyAlignment="1">
      <alignment horizontal="center"/>
    </xf>
    <xf numFmtId="0" fontId="2" fillId="69" borderId="25" xfId="0" applyFont="1" applyFill="1" applyBorder="1" applyAlignment="1">
      <alignment horizontal="center" vertical="top"/>
    </xf>
    <xf numFmtId="0" fontId="73" fillId="60" borderId="37" xfId="0" applyFont="1" applyFill="1" applyBorder="1" applyAlignment="1">
      <alignment horizontal="center" vertical="center"/>
    </xf>
    <xf numFmtId="0" fontId="0" fillId="58" borderId="0" xfId="0" applyFont="1" applyFill="1" applyBorder="1" applyAlignment="1">
      <alignment horizontal="center" vertical="center"/>
    </xf>
    <xf numFmtId="0" fontId="67" fillId="58" borderId="59" xfId="0" applyFont="1" applyFill="1" applyBorder="1" applyAlignment="1">
      <alignment horizontal="center" vertical="center"/>
    </xf>
    <xf numFmtId="0" fontId="67" fillId="58" borderId="0" xfId="0" applyFont="1" applyFill="1" applyBorder="1" applyAlignment="1">
      <alignment horizontal="center" vertical="center"/>
    </xf>
    <xf numFmtId="0" fontId="11" fillId="62" borderId="31" xfId="0" applyFont="1" applyFill="1" applyBorder="1" applyAlignment="1">
      <alignment horizontal="center" vertical="center"/>
    </xf>
    <xf numFmtId="0" fontId="0" fillId="62" borderId="191" xfId="0" applyFill="1" applyBorder="1" applyAlignment="1">
      <alignment horizontal="center" vertical="center"/>
    </xf>
    <xf numFmtId="0" fontId="2" fillId="62" borderId="191" xfId="0" applyFont="1" applyFill="1" applyBorder="1" applyAlignment="1">
      <alignment vertical="center"/>
    </xf>
    <xf numFmtId="0" fontId="0" fillId="62" borderId="191" xfId="0" applyFill="1" applyBorder="1" applyAlignment="1">
      <alignment vertical="center"/>
    </xf>
    <xf numFmtId="0" fontId="0" fillId="62" borderId="192" xfId="0" applyFill="1" applyBorder="1" applyAlignment="1">
      <alignment horizontal="center" vertical="center"/>
    </xf>
    <xf numFmtId="0" fontId="0" fillId="62" borderId="35" xfId="0" applyFill="1" applyBorder="1" applyAlignment="1">
      <alignment horizontal="center" vertical="center"/>
    </xf>
    <xf numFmtId="0" fontId="0" fillId="62" borderId="193" xfId="0" applyFill="1" applyBorder="1" applyAlignment="1">
      <alignment horizontal="center" vertical="center"/>
    </xf>
    <xf numFmtId="0" fontId="64" fillId="62" borderId="26" xfId="0" applyFont="1" applyFill="1" applyBorder="1" applyAlignment="1">
      <alignment vertical="distributed"/>
    </xf>
    <xf numFmtId="0" fontId="0" fillId="62" borderId="194" xfId="0" applyFill="1" applyBorder="1" applyAlignment="1">
      <alignment horizontal="center" vertical="center"/>
    </xf>
    <xf numFmtId="0" fontId="67" fillId="62" borderId="0" xfId="0" applyFont="1" applyFill="1" applyBorder="1" applyAlignment="1">
      <alignment horizontal="center" vertical="top"/>
    </xf>
    <xf numFmtId="0" fontId="0" fillId="62" borderId="0" xfId="0" applyFill="1" applyAlignment="1">
      <alignment horizontal="center" vertical="top"/>
    </xf>
    <xf numFmtId="0" fontId="0" fillId="62" borderId="0" xfId="0" applyFill="1" applyBorder="1" applyAlignment="1">
      <alignment horizontal="center" vertical="top"/>
    </xf>
    <xf numFmtId="0" fontId="0" fillId="62" borderId="0" xfId="0" applyFill="1" applyBorder="1" applyAlignment="1">
      <alignment horizontal="center" vertical="top" wrapText="1"/>
    </xf>
    <xf numFmtId="0" fontId="1" fillId="60" borderId="0" xfId="0" applyFont="1" applyFill="1" applyBorder="1" applyAlignment="1">
      <alignment horizontal="center" vertical="distributed"/>
    </xf>
    <xf numFmtId="0" fontId="73" fillId="69" borderId="0" xfId="0" applyFont="1" applyFill="1" applyBorder="1" applyAlignment="1">
      <alignment horizontal="center" vertical="center"/>
    </xf>
    <xf numFmtId="0" fontId="73" fillId="69" borderId="0" xfId="0" applyFont="1" applyFill="1" applyBorder="1" applyAlignment="1">
      <alignment horizontal="center" vertical="distributed"/>
    </xf>
    <xf numFmtId="0" fontId="0" fillId="58" borderId="40" xfId="0" applyFont="1" applyFill="1" applyBorder="1" applyAlignment="1">
      <alignment horizontal="center" vertical="distributed"/>
    </xf>
    <xf numFmtId="0" fontId="64" fillId="58" borderId="40" xfId="0" applyFont="1" applyFill="1" applyBorder="1" applyAlignment="1">
      <alignment horizontal="center" vertical="center"/>
    </xf>
    <xf numFmtId="0" fontId="1" fillId="0" borderId="0" xfId="0" applyFont="1" applyAlignment="1">
      <alignment horizontal="center" vertical="center"/>
    </xf>
    <xf numFmtId="0" fontId="1" fillId="0" borderId="0" xfId="0" applyFont="1"/>
    <xf numFmtId="0" fontId="2" fillId="58" borderId="0" xfId="0" applyFont="1" applyFill="1" applyBorder="1" applyAlignment="1">
      <alignment vertical="top"/>
    </xf>
    <xf numFmtId="0" fontId="2" fillId="58" borderId="0" xfId="0" applyFont="1" applyFill="1" applyBorder="1" applyAlignment="1">
      <alignment vertical="justify"/>
    </xf>
    <xf numFmtId="0" fontId="20" fillId="69" borderId="0" xfId="0" applyFont="1" applyFill="1" applyBorder="1" applyAlignment="1">
      <alignment horizontal="center" vertical="center"/>
    </xf>
    <xf numFmtId="0" fontId="0" fillId="60" borderId="98" xfId="0" applyFill="1" applyBorder="1" applyAlignment="1">
      <alignment horizontal="center" vertical="distributed"/>
    </xf>
    <xf numFmtId="0" fontId="0" fillId="70" borderId="0" xfId="0" applyFill="1" applyBorder="1" applyAlignment="1">
      <alignment horizontal="center"/>
    </xf>
    <xf numFmtId="0" fontId="53" fillId="59" borderId="0" xfId="0" applyFont="1" applyFill="1" applyBorder="1" applyAlignment="1">
      <alignment horizontal="center" vertical="center"/>
    </xf>
    <xf numFmtId="0" fontId="53" fillId="60" borderId="34" xfId="0" applyFont="1" applyFill="1" applyBorder="1" applyAlignment="1">
      <alignment horizontal="center" vertical="center"/>
    </xf>
    <xf numFmtId="0" fontId="51" fillId="58" borderId="0" xfId="0" applyFont="1" applyFill="1" applyBorder="1" applyAlignment="1">
      <alignment horizontal="center" vertical="center"/>
    </xf>
    <xf numFmtId="0" fontId="75" fillId="67" borderId="0" xfId="0" applyFont="1" applyFill="1" applyBorder="1" applyAlignment="1">
      <alignment horizontal="center" vertical="center"/>
    </xf>
    <xf numFmtId="0" fontId="51" fillId="62" borderId="91" xfId="0" applyFont="1" applyFill="1" applyBorder="1" applyAlignment="1">
      <alignment horizontal="center" vertical="center"/>
    </xf>
    <xf numFmtId="0" fontId="7" fillId="0" borderId="0" xfId="0" applyFont="1" applyAlignment="1">
      <alignment horizontal="left" vertical="center"/>
    </xf>
    <xf numFmtId="0" fontId="2" fillId="0" borderId="0" xfId="0" applyFont="1" applyAlignment="1">
      <alignment horizontal="left"/>
    </xf>
    <xf numFmtId="0" fontId="7" fillId="0" borderId="0" xfId="0" applyFont="1" applyAlignment="1">
      <alignment horizontal="left"/>
    </xf>
    <xf numFmtId="0" fontId="32" fillId="0" borderId="0" xfId="0" applyFont="1" applyAlignment="1">
      <alignment horizontal="left"/>
    </xf>
    <xf numFmtId="0" fontId="0" fillId="0" borderId="0" xfId="0" applyAlignment="1">
      <alignment horizontal="left"/>
    </xf>
    <xf numFmtId="0" fontId="0" fillId="71" borderId="0" xfId="0" applyFont="1" applyFill="1" applyBorder="1" applyAlignment="1">
      <alignment horizontal="distributed" vertical="justify" indent="2"/>
    </xf>
    <xf numFmtId="0" fontId="0" fillId="62" borderId="34" xfId="0" applyFont="1" applyFill="1" applyBorder="1" applyAlignment="1">
      <alignment horizontal="center" vertical="center"/>
    </xf>
    <xf numFmtId="0" fontId="0" fillId="72" borderId="31" xfId="0" applyFill="1" applyBorder="1" applyAlignment="1">
      <alignment horizontal="center" vertical="center"/>
    </xf>
    <xf numFmtId="0" fontId="0" fillId="72" borderId="185" xfId="0" applyFill="1" applyBorder="1" applyAlignment="1">
      <alignment horizontal="center" vertical="center"/>
    </xf>
    <xf numFmtId="0" fontId="0" fillId="72" borderId="195" xfId="0" applyFill="1" applyBorder="1" applyAlignment="1">
      <alignment horizontal="center" vertical="center"/>
    </xf>
    <xf numFmtId="0" fontId="0" fillId="72" borderId="196" xfId="0" applyFill="1" applyBorder="1" applyAlignment="1">
      <alignment horizontal="center" vertical="center"/>
    </xf>
    <xf numFmtId="0" fontId="0" fillId="60" borderId="185" xfId="0" applyFill="1" applyBorder="1" applyAlignment="1">
      <alignment horizontal="center" vertical="center"/>
    </xf>
    <xf numFmtId="0" fontId="0" fillId="72" borderId="195" xfId="0" applyFont="1" applyFill="1" applyBorder="1" applyAlignment="1">
      <alignment horizontal="center" vertical="center"/>
    </xf>
    <xf numFmtId="0" fontId="76" fillId="60" borderId="34" xfId="0" applyFont="1" applyFill="1" applyBorder="1" applyAlignment="1">
      <alignment horizontal="center" vertical="distributed"/>
    </xf>
    <xf numFmtId="0" fontId="76" fillId="71" borderId="0" xfId="0" applyFont="1" applyFill="1" applyBorder="1" applyAlignment="1">
      <alignment horizontal="center" vertical="center"/>
    </xf>
    <xf numFmtId="0" fontId="0" fillId="71" borderId="33" xfId="0" applyFill="1" applyBorder="1" applyAlignment="1">
      <alignment horizontal="center" vertical="center"/>
    </xf>
    <xf numFmtId="0" fontId="0" fillId="71" borderId="36" xfId="0" applyFill="1" applyBorder="1" applyAlignment="1">
      <alignment horizontal="center" vertical="center"/>
    </xf>
    <xf numFmtId="0" fontId="0" fillId="60" borderId="25" xfId="0" applyFont="1" applyFill="1" applyBorder="1" applyAlignment="1">
      <alignment horizontal="center" vertical="center"/>
    </xf>
    <xf numFmtId="0" fontId="64" fillId="65" borderId="25" xfId="0" applyFont="1" applyFill="1" applyBorder="1" applyAlignment="1">
      <alignment horizontal="center" vertical="distributed"/>
    </xf>
    <xf numFmtId="0" fontId="77" fillId="65" borderId="39" xfId="0" applyFont="1" applyFill="1" applyBorder="1" applyAlignment="1">
      <alignment horizontal="center" vertical="center"/>
    </xf>
    <xf numFmtId="0" fontId="35" fillId="69" borderId="39" xfId="0" applyFont="1" applyFill="1" applyBorder="1" applyAlignment="1">
      <alignment horizontal="center"/>
    </xf>
    <xf numFmtId="0" fontId="35" fillId="60" borderId="25" xfId="0" applyFont="1" applyFill="1" applyBorder="1" applyAlignment="1">
      <alignment horizontal="center" vertical="justify"/>
    </xf>
    <xf numFmtId="0" fontId="0" fillId="64" borderId="35" xfId="0" applyFill="1" applyBorder="1" applyAlignment="1">
      <alignment horizontal="center" vertical="center"/>
    </xf>
    <xf numFmtId="0" fontId="0" fillId="69" borderId="185" xfId="0" applyFill="1" applyBorder="1" applyAlignment="1">
      <alignment horizontal="center" vertical="center"/>
    </xf>
    <xf numFmtId="0" fontId="35" fillId="69" borderId="0" xfId="0" applyFont="1" applyFill="1" applyBorder="1" applyAlignment="1">
      <alignment horizontal="center" vertical="distributed"/>
    </xf>
    <xf numFmtId="0" fontId="64" fillId="67" borderId="0" xfId="0" applyFont="1" applyFill="1" applyBorder="1" applyAlignment="1">
      <alignment horizontal="center" vertical="justify"/>
    </xf>
    <xf numFmtId="0" fontId="64" fillId="71" borderId="0" xfId="0" applyFont="1" applyFill="1" applyBorder="1" applyAlignment="1">
      <alignment horizontal="center" vertical="center"/>
    </xf>
    <xf numFmtId="0" fontId="0" fillId="72" borderId="34" xfId="0" applyFill="1" applyBorder="1" applyAlignment="1">
      <alignment horizontal="center" vertical="center"/>
    </xf>
    <xf numFmtId="0" fontId="37" fillId="67" borderId="26" xfId="0" applyFont="1" applyFill="1" applyBorder="1" applyAlignment="1">
      <alignment horizontal="center" vertical="center"/>
    </xf>
    <xf numFmtId="0" fontId="37" fillId="67" borderId="26" xfId="0" applyFont="1" applyFill="1" applyBorder="1" applyAlignment="1">
      <alignment horizontal="center" vertical="distributed"/>
    </xf>
    <xf numFmtId="0" fontId="0" fillId="64" borderId="25" xfId="0" applyFont="1" applyFill="1" applyBorder="1" applyAlignment="1">
      <alignment horizontal="center" vertical="top"/>
    </xf>
    <xf numFmtId="0" fontId="0" fillId="64" borderId="26" xfId="0" applyFill="1" applyBorder="1" applyAlignment="1">
      <alignment horizontal="center" vertical="center"/>
    </xf>
    <xf numFmtId="0" fontId="64" fillId="62" borderId="25" xfId="0" applyFont="1" applyFill="1" applyBorder="1" applyAlignment="1">
      <alignment horizontal="center" vertical="center"/>
    </xf>
    <xf numFmtId="0" fontId="0" fillId="72" borderId="34" xfId="0" applyFill="1" applyBorder="1" applyAlignment="1">
      <alignment horizontal="center" vertical="distributed"/>
    </xf>
    <xf numFmtId="0" fontId="0" fillId="60" borderId="190" xfId="0" applyFill="1" applyBorder="1" applyAlignment="1">
      <alignment horizontal="center" vertical="top"/>
    </xf>
    <xf numFmtId="0" fontId="64" fillId="68" borderId="0" xfId="0" applyFont="1" applyFill="1" applyBorder="1" applyAlignment="1">
      <alignment horizontal="center" vertical="center"/>
    </xf>
    <xf numFmtId="0" fontId="67" fillId="68" borderId="0" xfId="0" applyFont="1" applyFill="1" applyBorder="1" applyAlignment="1">
      <alignment horizontal="center"/>
    </xf>
    <xf numFmtId="0" fontId="0" fillId="58" borderId="197" xfId="0" applyFill="1" applyBorder="1" applyAlignment="1">
      <alignment horizontal="center" vertical="center"/>
    </xf>
    <xf numFmtId="0" fontId="0" fillId="58" borderId="57" xfId="0" applyFill="1" applyBorder="1" applyAlignment="1">
      <alignment horizontal="center" vertical="top"/>
    </xf>
    <xf numFmtId="0" fontId="0" fillId="58" borderId="57" xfId="0" applyFill="1" applyBorder="1" applyAlignment="1">
      <alignment horizontal="center" vertical="justify"/>
    </xf>
    <xf numFmtId="0" fontId="0" fillId="58" borderId="57" xfId="0" applyFill="1" applyBorder="1" applyAlignment="1">
      <alignment horizontal="center" vertical="distributed"/>
    </xf>
    <xf numFmtId="0" fontId="0" fillId="58" borderId="198" xfId="0" applyFill="1" applyBorder="1" applyAlignment="1">
      <alignment horizontal="center" vertical="center"/>
    </xf>
    <xf numFmtId="0" fontId="0" fillId="58" borderId="21" xfId="0" applyFill="1" applyBorder="1" applyAlignment="1">
      <alignment horizontal="center" vertical="distributed"/>
    </xf>
    <xf numFmtId="0" fontId="0" fillId="58" borderId="199" xfId="0" applyFill="1" applyBorder="1" applyAlignment="1">
      <alignment horizontal="center" vertical="justify"/>
    </xf>
    <xf numFmtId="0" fontId="0" fillId="70" borderId="57" xfId="0" applyFill="1" applyBorder="1" applyAlignment="1">
      <alignment horizontal="center" vertical="center"/>
    </xf>
    <xf numFmtId="0" fontId="0" fillId="58" borderId="21" xfId="0" applyFill="1" applyBorder="1" applyAlignment="1">
      <alignment horizontal="center" vertical="top"/>
    </xf>
    <xf numFmtId="0" fontId="0" fillId="65" borderId="0" xfId="0" applyFill="1" applyBorder="1" applyAlignment="1">
      <alignment horizontal="center" vertical="top"/>
    </xf>
    <xf numFmtId="0" fontId="0" fillId="65" borderId="0" xfId="0" applyFill="1" applyBorder="1" applyAlignment="1">
      <alignment horizontal="center"/>
    </xf>
    <xf numFmtId="0" fontId="9" fillId="60" borderId="25" xfId="0" applyFont="1" applyFill="1" applyBorder="1" applyAlignment="1">
      <alignment horizontal="center" vertical="top"/>
    </xf>
    <xf numFmtId="0" fontId="47" fillId="60" borderId="25" xfId="0" applyFont="1" applyFill="1" applyBorder="1" applyAlignment="1">
      <alignment horizontal="center" vertical="top"/>
    </xf>
    <xf numFmtId="0" fontId="0" fillId="60" borderId="109" xfId="0" applyFont="1" applyFill="1" applyBorder="1" applyAlignment="1">
      <alignment horizontal="center"/>
    </xf>
    <xf numFmtId="0" fontId="46" fillId="60" borderId="25" xfId="0" applyFont="1" applyFill="1" applyBorder="1" applyAlignment="1">
      <alignment horizontal="center" vertical="top"/>
    </xf>
    <xf numFmtId="0" fontId="46" fillId="64" borderId="0" xfId="0" applyFont="1" applyFill="1" applyBorder="1" applyAlignment="1">
      <alignment horizontal="center" vertical="center"/>
    </xf>
    <xf numFmtId="0" fontId="0" fillId="0" borderId="200" xfId="0" applyBorder="1"/>
    <xf numFmtId="0" fontId="0" fillId="60" borderId="25" xfId="0" applyFont="1" applyFill="1" applyBorder="1" applyAlignment="1">
      <alignment horizontal="center" vertical="top"/>
    </xf>
    <xf numFmtId="0" fontId="67" fillId="67" borderId="0" xfId="0" applyFont="1" applyFill="1" applyBorder="1" applyAlignment="1">
      <alignment horizontal="distributed" vertical="center" indent="7"/>
    </xf>
    <xf numFmtId="0" fontId="0" fillId="58" borderId="0" xfId="0" applyFill="1" applyBorder="1" applyAlignment="1">
      <alignment horizontal="distributed" vertical="center" indent="5"/>
    </xf>
    <xf numFmtId="0" fontId="0" fillId="58" borderId="0" xfId="0" applyFill="1" applyBorder="1" applyAlignment="1">
      <alignment horizontal="distributed" vertical="center" indent="6"/>
    </xf>
    <xf numFmtId="0" fontId="0" fillId="58" borderId="0" xfId="0" applyFill="1" applyBorder="1" applyAlignment="1">
      <alignment horizontal="distributed" vertical="center" indent="4"/>
    </xf>
    <xf numFmtId="0" fontId="0" fillId="60" borderId="0" xfId="0" applyFill="1" applyBorder="1" applyAlignment="1">
      <alignment horizontal="distributed" vertical="center" indent="3"/>
    </xf>
    <xf numFmtId="0" fontId="67" fillId="66" borderId="0" xfId="0" applyFont="1" applyFill="1" applyBorder="1" applyAlignment="1">
      <alignment horizontal="distributed" indent="6"/>
    </xf>
    <xf numFmtId="0" fontId="67" fillId="66" borderId="0" xfId="0" applyFont="1" applyFill="1" applyBorder="1" applyAlignment="1">
      <alignment horizontal="center" vertical="center"/>
    </xf>
    <xf numFmtId="0" fontId="64" fillId="67" borderId="0" xfId="0" applyFont="1" applyFill="1"/>
    <xf numFmtId="0" fontId="64" fillId="67" borderId="0" xfId="0" applyFont="1" applyFill="1" applyBorder="1"/>
    <xf numFmtId="0" fontId="64" fillId="67" borderId="47" xfId="0" applyFont="1" applyFill="1" applyBorder="1"/>
    <xf numFmtId="0" fontId="78" fillId="67" borderId="0" xfId="0" applyFont="1" applyFill="1" applyAlignment="1">
      <alignment vertical="distributed"/>
    </xf>
    <xf numFmtId="0" fontId="78" fillId="67" borderId="0" xfId="0" applyFont="1" applyFill="1" applyAlignment="1">
      <alignment vertical="top"/>
    </xf>
    <xf numFmtId="0" fontId="78" fillId="67" borderId="0" xfId="0" applyFont="1" applyFill="1" applyAlignment="1"/>
    <xf numFmtId="0" fontId="64" fillId="67" borderId="47" xfId="0" applyFont="1" applyFill="1" applyBorder="1" applyAlignment="1">
      <alignment horizontal="center"/>
    </xf>
    <xf numFmtId="0" fontId="64" fillId="67" borderId="47" xfId="0" applyFont="1" applyFill="1" applyBorder="1" applyAlignment="1">
      <alignment horizontal="center" vertical="top"/>
    </xf>
    <xf numFmtId="0" fontId="0" fillId="58" borderId="201" xfId="0" applyFill="1" applyBorder="1" applyAlignment="1">
      <alignment horizontal="center" vertical="center"/>
    </xf>
    <xf numFmtId="0" fontId="0" fillId="58" borderId="47" xfId="0" applyFill="1" applyBorder="1" applyAlignment="1">
      <alignment horizontal="center" vertical="justify"/>
    </xf>
    <xf numFmtId="0" fontId="0" fillId="60" borderId="41" xfId="0" applyFill="1" applyBorder="1" applyAlignment="1">
      <alignment horizontal="center" vertical="justify"/>
    </xf>
    <xf numFmtId="0" fontId="0" fillId="58" borderId="34" xfId="0" applyFill="1" applyBorder="1" applyAlignment="1">
      <alignment horizontal="center" vertical="justify"/>
    </xf>
    <xf numFmtId="0" fontId="0" fillId="58" borderId="188" xfId="0" applyFill="1" applyBorder="1" applyAlignment="1">
      <alignment horizontal="center" vertical="center"/>
    </xf>
    <xf numFmtId="0" fontId="0" fillId="58" borderId="202" xfId="0" applyFill="1" applyBorder="1" applyAlignment="1">
      <alignment horizontal="center" vertical="center"/>
    </xf>
    <xf numFmtId="0" fontId="0" fillId="69" borderId="41" xfId="0" applyFill="1" applyBorder="1" applyAlignment="1">
      <alignment horizontal="center" vertical="justify"/>
    </xf>
    <xf numFmtId="0" fontId="0" fillId="58" borderId="203" xfId="0" applyFill="1" applyBorder="1" applyAlignment="1">
      <alignment horizontal="center" vertical="justify"/>
    </xf>
    <xf numFmtId="0" fontId="0" fillId="58" borderId="204" xfId="0" applyFill="1" applyBorder="1" applyAlignment="1">
      <alignment horizontal="center" vertical="justify"/>
    </xf>
    <xf numFmtId="0" fontId="0" fillId="58" borderId="204" xfId="0" applyFill="1" applyBorder="1" applyAlignment="1">
      <alignment horizontal="center"/>
    </xf>
    <xf numFmtId="0" fontId="0" fillId="58" borderId="203" xfId="0" applyFill="1" applyBorder="1" applyAlignment="1">
      <alignment horizontal="center"/>
    </xf>
    <xf numFmtId="0" fontId="0" fillId="58" borderId="205" xfId="0" applyFill="1" applyBorder="1" applyAlignment="1">
      <alignment horizontal="center" vertical="distributed"/>
    </xf>
    <xf numFmtId="0" fontId="0" fillId="58" borderId="154" xfId="0" applyFill="1" applyBorder="1" applyAlignment="1">
      <alignment horizontal="center" vertical="top"/>
    </xf>
    <xf numFmtId="0" fontId="64" fillId="58" borderId="39" xfId="0" applyFont="1" applyFill="1" applyBorder="1" applyAlignment="1">
      <alignment horizontal="center" vertical="distributed"/>
    </xf>
    <xf numFmtId="0" fontId="0" fillId="58" borderId="25" xfId="0" applyFill="1" applyBorder="1" applyAlignment="1">
      <alignment horizontal="distributed" vertical="justify" indent="3"/>
    </xf>
    <xf numFmtId="0" fontId="0" fillId="58" borderId="206" xfId="0" applyFill="1" applyBorder="1" applyAlignment="1">
      <alignment horizontal="center" vertical="top"/>
    </xf>
    <xf numFmtId="0" fontId="64" fillId="58" borderId="200" xfId="0" applyFont="1" applyFill="1" applyBorder="1"/>
    <xf numFmtId="0" fontId="64" fillId="58" borderId="33" xfId="0" applyFont="1" applyFill="1" applyBorder="1" applyAlignment="1">
      <alignment horizontal="distributed" vertical="distributed" indent="4"/>
    </xf>
    <xf numFmtId="0" fontId="0" fillId="69" borderId="41" xfId="0" applyFill="1" applyBorder="1" applyAlignment="1">
      <alignment horizontal="center"/>
    </xf>
    <xf numFmtId="0" fontId="0" fillId="60" borderId="41" xfId="0" applyFill="1" applyBorder="1" applyAlignment="1">
      <alignment horizontal="center"/>
    </xf>
    <xf numFmtId="0" fontId="0" fillId="60" borderId="37" xfId="0" applyFill="1" applyBorder="1" applyAlignment="1">
      <alignment horizontal="center" vertical="top"/>
    </xf>
    <xf numFmtId="0" fontId="0" fillId="0" borderId="61" xfId="0" applyBorder="1"/>
    <xf numFmtId="0" fontId="0" fillId="0" borderId="60" xfId="0" applyBorder="1"/>
    <xf numFmtId="0" fontId="0" fillId="60" borderId="60" xfId="0" applyFill="1" applyBorder="1"/>
    <xf numFmtId="0" fontId="0" fillId="69" borderId="55" xfId="0" applyFill="1" applyBorder="1" applyAlignment="1">
      <alignment horizontal="center" vertical="top"/>
    </xf>
    <xf numFmtId="0" fontId="0" fillId="69" borderId="204" xfId="0" applyFill="1" applyBorder="1" applyAlignment="1">
      <alignment horizontal="center" vertical="justify"/>
    </xf>
    <xf numFmtId="0" fontId="17" fillId="69" borderId="204" xfId="0" applyFont="1" applyFill="1" applyBorder="1" applyAlignment="1">
      <alignment horizontal="right" vertical="top" indent="1"/>
    </xf>
    <xf numFmtId="0" fontId="0" fillId="69" borderId="203" xfId="0" applyFill="1" applyBorder="1" applyAlignment="1">
      <alignment horizontal="center" vertical="justify"/>
    </xf>
    <xf numFmtId="0" fontId="0" fillId="1" borderId="122" xfId="0" applyFill="1" applyBorder="1"/>
    <xf numFmtId="0" fontId="0" fillId="60" borderId="62" xfId="0" applyFill="1" applyBorder="1" applyAlignment="1">
      <alignment horizontal="center" vertical="justify"/>
    </xf>
    <xf numFmtId="0" fontId="0" fillId="60" borderId="114" xfId="0" applyFill="1" applyBorder="1" applyAlignment="1">
      <alignment horizontal="center" vertical="justify"/>
    </xf>
    <xf numFmtId="0" fontId="0" fillId="58" borderId="55" xfId="0" applyFill="1" applyBorder="1" applyAlignment="1">
      <alignment horizontal="center" vertical="top"/>
    </xf>
    <xf numFmtId="0" fontId="0" fillId="60" borderId="50" xfId="0" applyFill="1" applyBorder="1" applyAlignment="1">
      <alignment horizontal="center" vertical="top"/>
    </xf>
    <xf numFmtId="0" fontId="0" fillId="0" borderId="207" xfId="0" applyBorder="1"/>
    <xf numFmtId="0" fontId="12" fillId="64" borderId="208" xfId="0" applyFont="1" applyFill="1" applyBorder="1" applyAlignment="1">
      <alignment horizontal="center" vertical="center"/>
    </xf>
    <xf numFmtId="0" fontId="0" fillId="0" borderId="207" xfId="0" applyBorder="1" applyAlignment="1">
      <alignment vertical="center"/>
    </xf>
    <xf numFmtId="0" fontId="0" fillId="0" borderId="209" xfId="0" applyBorder="1" applyAlignment="1">
      <alignment vertical="center"/>
    </xf>
    <xf numFmtId="0" fontId="0" fillId="0" borderId="210" xfId="0" applyBorder="1" applyAlignment="1">
      <alignment vertical="center"/>
    </xf>
    <xf numFmtId="0" fontId="0" fillId="0" borderId="207" xfId="0" applyBorder="1" applyAlignment="1">
      <alignment vertical="justify"/>
    </xf>
    <xf numFmtId="0" fontId="0" fillId="0" borderId="207" xfId="0" applyBorder="1" applyAlignment="1">
      <alignment vertical="distributed"/>
    </xf>
    <xf numFmtId="0" fontId="18" fillId="60" borderId="25" xfId="0" applyFont="1" applyFill="1" applyBorder="1" applyAlignment="1">
      <alignment horizontal="center" vertical="center"/>
    </xf>
    <xf numFmtId="0" fontId="79" fillId="67" borderId="0" xfId="0" applyFont="1" applyFill="1" applyBorder="1" applyAlignment="1">
      <alignment horizontal="center" vertical="center"/>
    </xf>
    <xf numFmtId="0" fontId="79" fillId="67" borderId="150" xfId="0" applyFont="1" applyFill="1" applyBorder="1" applyAlignment="1">
      <alignment horizontal="center" vertical="center"/>
    </xf>
    <xf numFmtId="0" fontId="79" fillId="67" borderId="0" xfId="0" applyFont="1" applyFill="1" applyAlignment="1">
      <alignment vertical="top"/>
    </xf>
    <xf numFmtId="0" fontId="79" fillId="67" borderId="0" xfId="0" applyFont="1" applyFill="1" applyBorder="1" applyAlignment="1">
      <alignment horizontal="center" vertical="distributed"/>
    </xf>
    <xf numFmtId="0" fontId="79" fillId="67" borderId="0" xfId="0" applyFont="1" applyFill="1" applyBorder="1" applyAlignment="1">
      <alignment horizontal="center"/>
    </xf>
    <xf numFmtId="0" fontId="79" fillId="67" borderId="0" xfId="0" applyFont="1" applyFill="1" applyBorder="1" applyAlignment="1">
      <alignment horizontal="center" vertical="justify"/>
    </xf>
    <xf numFmtId="0" fontId="79" fillId="67" borderId="0" xfId="0" applyFont="1" applyFill="1" applyBorder="1" applyAlignment="1">
      <alignment horizontal="center" vertical="top"/>
    </xf>
    <xf numFmtId="0" fontId="0" fillId="58" borderId="42" xfId="0" applyFill="1" applyBorder="1" applyAlignment="1">
      <alignment horizontal="center" vertical="top"/>
    </xf>
    <xf numFmtId="0" fontId="64" fillId="67" borderId="0" xfId="0" applyFont="1" applyFill="1" applyBorder="1" applyAlignment="1">
      <alignment horizontal="distributed" vertical="center" indent="4"/>
    </xf>
    <xf numFmtId="0" fontId="19" fillId="74" borderId="0" xfId="0" applyFont="1" applyFill="1" applyBorder="1" applyAlignment="1">
      <alignment horizontal="center"/>
    </xf>
    <xf numFmtId="0" fontId="19" fillId="60" borderId="25" xfId="0" applyFont="1" applyFill="1" applyBorder="1" applyAlignment="1">
      <alignment horizontal="center" vertical="center"/>
    </xf>
    <xf numFmtId="0" fontId="64" fillId="74" borderId="0" xfId="0" applyFont="1" applyFill="1" applyBorder="1" applyAlignment="1">
      <alignment horizontal="center" vertical="top"/>
    </xf>
    <xf numFmtId="0" fontId="67" fillId="58" borderId="0" xfId="0" applyFont="1" applyFill="1" applyBorder="1" applyAlignment="1">
      <alignment horizontal="right" vertical="top" indent="2"/>
    </xf>
    <xf numFmtId="0" fontId="79" fillId="67" borderId="25" xfId="0" applyFont="1" applyFill="1" applyBorder="1" applyAlignment="1">
      <alignment horizontal="center" vertical="distributed"/>
    </xf>
    <xf numFmtId="0" fontId="79" fillId="67" borderId="25" xfId="0" applyFont="1" applyFill="1" applyBorder="1" applyAlignment="1">
      <alignment horizontal="center" vertical="center"/>
    </xf>
    <xf numFmtId="0" fontId="48" fillId="60" borderId="25" xfId="0" applyFont="1" applyFill="1" applyBorder="1" applyAlignment="1">
      <alignment horizontal="center"/>
    </xf>
    <xf numFmtId="0" fontId="80" fillId="67" borderId="0" xfId="0" applyFont="1" applyFill="1" applyBorder="1" applyAlignment="1">
      <alignment horizontal="center"/>
    </xf>
    <xf numFmtId="0" fontId="80" fillId="67" borderId="0" xfId="0" applyFont="1" applyFill="1" applyBorder="1" applyAlignment="1">
      <alignment horizontal="center" vertical="center"/>
    </xf>
    <xf numFmtId="0" fontId="80" fillId="67" borderId="0" xfId="0" applyFont="1" applyFill="1" applyBorder="1" applyAlignment="1">
      <alignment horizontal="center" vertical="top"/>
    </xf>
    <xf numFmtId="0" fontId="0" fillId="0" borderId="207" xfId="0" applyBorder="1" applyAlignment="1">
      <alignment vertical="top"/>
    </xf>
    <xf numFmtId="0" fontId="0" fillId="0" borderId="207" xfId="0" applyBorder="1" applyAlignment="1"/>
    <xf numFmtId="0" fontId="0" fillId="58" borderId="134" xfId="0" applyFill="1" applyBorder="1" applyAlignment="1">
      <alignment vertical="center"/>
    </xf>
    <xf numFmtId="0" fontId="1" fillId="73" borderId="31" xfId="0" applyFont="1" applyFill="1" applyBorder="1" applyAlignment="1">
      <alignment horizontal="center" vertical="center"/>
    </xf>
    <xf numFmtId="0" fontId="0" fillId="58" borderId="211" xfId="0" applyFill="1" applyBorder="1" applyAlignment="1">
      <alignment vertical="center"/>
    </xf>
    <xf numFmtId="0" fontId="0" fillId="58" borderId="212" xfId="0" applyFill="1" applyBorder="1" applyAlignment="1">
      <alignment vertical="center"/>
    </xf>
    <xf numFmtId="0" fontId="0" fillId="58" borderId="34" xfId="0" applyFill="1" applyBorder="1" applyAlignment="1">
      <alignment vertical="center"/>
    </xf>
    <xf numFmtId="0" fontId="0" fillId="58" borderId="206" xfId="0" applyFill="1" applyBorder="1" applyAlignment="1">
      <alignment vertical="distributed"/>
    </xf>
    <xf numFmtId="0" fontId="0" fillId="58" borderId="206" xfId="0" applyFill="1" applyBorder="1" applyAlignment="1">
      <alignment vertical="justify"/>
    </xf>
    <xf numFmtId="0" fontId="0" fillId="0" borderId="207" xfId="0" applyBorder="1" applyAlignment="1">
      <alignment horizontal="distributed" vertical="justify" indent="1"/>
    </xf>
    <xf numFmtId="0" fontId="0" fillId="58" borderId="171" xfId="0" applyFill="1" applyBorder="1" applyAlignment="1"/>
    <xf numFmtId="0" fontId="64" fillId="60" borderId="25" xfId="0" applyFont="1" applyFill="1" applyBorder="1" applyAlignment="1">
      <alignment horizontal="center" vertical="center"/>
    </xf>
    <xf numFmtId="0" fontId="0" fillId="60" borderId="134" xfId="0" applyFill="1" applyBorder="1" applyAlignment="1"/>
    <xf numFmtId="0" fontId="0" fillId="60" borderId="34" xfId="0" applyFill="1" applyBorder="1" applyAlignment="1">
      <alignment vertical="center"/>
    </xf>
    <xf numFmtId="0" fontId="0" fillId="64" borderId="208" xfId="0" applyFill="1" applyBorder="1" applyAlignment="1">
      <alignment horizontal="center" vertical="center"/>
    </xf>
    <xf numFmtId="0" fontId="0" fillId="58" borderId="213" xfId="0" applyFill="1" applyBorder="1" applyAlignment="1">
      <alignment vertical="center"/>
    </xf>
    <xf numFmtId="0" fontId="0" fillId="58" borderId="214" xfId="0" applyFill="1" applyBorder="1" applyAlignment="1">
      <alignment vertical="center"/>
    </xf>
    <xf numFmtId="0" fontId="0" fillId="60" borderId="212" xfId="0" applyFill="1" applyBorder="1" applyAlignment="1">
      <alignment horizontal="center" vertical="center"/>
    </xf>
    <xf numFmtId="0" fontId="0" fillId="64" borderId="178" xfId="0" applyFill="1" applyBorder="1" applyAlignment="1">
      <alignment vertical="center"/>
    </xf>
    <xf numFmtId="0" fontId="0" fillId="0" borderId="207" xfId="0" applyBorder="1" applyAlignment="1">
      <alignment horizontal="distributed" vertical="justify" indent="2"/>
    </xf>
    <xf numFmtId="0" fontId="0" fillId="60" borderId="134" xfId="0" applyFill="1" applyBorder="1" applyAlignment="1">
      <alignment vertical="distributed"/>
    </xf>
    <xf numFmtId="0" fontId="0" fillId="70" borderId="0" xfId="0" applyFill="1" applyBorder="1" applyAlignment="1">
      <alignment vertical="center"/>
    </xf>
    <xf numFmtId="0" fontId="0" fillId="70" borderId="211" xfId="0" applyFill="1" applyBorder="1" applyAlignment="1">
      <alignment vertical="center"/>
    </xf>
    <xf numFmtId="0" fontId="0" fillId="70" borderId="214" xfId="0" applyFill="1" applyBorder="1" applyAlignment="1">
      <alignment vertical="center"/>
    </xf>
    <xf numFmtId="0" fontId="0" fillId="1" borderId="81" xfId="0" applyFill="1" applyBorder="1" applyAlignment="1">
      <alignment vertical="center"/>
    </xf>
    <xf numFmtId="0" fontId="0" fillId="1" borderId="123" xfId="0" applyFill="1" applyBorder="1" applyAlignment="1">
      <alignment vertical="center"/>
    </xf>
    <xf numFmtId="0" fontId="47" fillId="60" borderId="0" xfId="0" applyFont="1" applyFill="1" applyBorder="1" applyAlignment="1">
      <alignment horizontal="center" vertical="center"/>
    </xf>
    <xf numFmtId="0" fontId="47" fillId="58" borderId="0" xfId="0" applyFont="1" applyFill="1" applyBorder="1" applyAlignment="1">
      <alignment vertical="center"/>
    </xf>
    <xf numFmtId="0" fontId="0" fillId="60" borderId="134" xfId="0" applyFill="1" applyBorder="1" applyAlignment="1">
      <alignment vertical="center"/>
    </xf>
    <xf numFmtId="0" fontId="0" fillId="70" borderId="39" xfId="0" applyFill="1" applyBorder="1" applyAlignment="1">
      <alignment vertical="center"/>
    </xf>
    <xf numFmtId="0" fontId="0" fillId="70" borderId="212" xfId="0" applyFill="1" applyBorder="1" applyAlignment="1">
      <alignment horizontal="center" vertical="center"/>
    </xf>
    <xf numFmtId="0" fontId="0" fillId="70" borderId="177" xfId="0" applyFill="1" applyBorder="1" applyAlignment="1">
      <alignment vertical="center"/>
    </xf>
    <xf numFmtId="0" fontId="0" fillId="60" borderId="215" xfId="0" applyFill="1" applyBorder="1" applyAlignment="1">
      <alignment horizontal="center" vertical="justify"/>
    </xf>
    <xf numFmtId="0" fontId="0" fillId="60" borderId="191" xfId="0" applyFill="1" applyBorder="1" applyAlignment="1">
      <alignment horizontal="center" vertical="center"/>
    </xf>
    <xf numFmtId="0" fontId="0" fillId="60" borderId="192" xfId="0" applyFill="1" applyBorder="1" applyAlignment="1">
      <alignment horizontal="center" vertical="center"/>
    </xf>
    <xf numFmtId="0" fontId="0" fillId="60" borderId="188" xfId="0" applyFill="1" applyBorder="1" applyAlignment="1">
      <alignment horizontal="center" vertical="center"/>
    </xf>
    <xf numFmtId="0" fontId="0" fillId="60" borderId="41" xfId="0" applyFill="1" applyBorder="1" applyAlignment="1">
      <alignment horizontal="center" vertical="top"/>
    </xf>
    <xf numFmtId="0" fontId="0" fillId="60" borderId="25" xfId="0" applyFill="1" applyBorder="1" applyAlignment="1">
      <alignment horizontal="right" vertical="justify" indent="1"/>
    </xf>
    <xf numFmtId="0" fontId="0" fillId="60" borderId="53" xfId="0" applyFill="1" applyBorder="1" applyAlignment="1">
      <alignment horizontal="center" vertical="top"/>
    </xf>
    <xf numFmtId="0" fontId="0" fillId="58" borderId="154" xfId="0" applyFill="1" applyBorder="1" applyAlignment="1">
      <alignment horizontal="distributed" vertical="center"/>
    </xf>
    <xf numFmtId="0" fontId="0" fillId="0" borderId="207" xfId="0" applyBorder="1" applyAlignment="1">
      <alignment horizontal="center" vertical="center"/>
    </xf>
    <xf numFmtId="0" fontId="0" fillId="60" borderId="134" xfId="0" applyFill="1" applyBorder="1" applyAlignment="1">
      <alignment vertical="justify"/>
    </xf>
    <xf numFmtId="0" fontId="20" fillId="60" borderId="39" xfId="0" applyFont="1" applyFill="1" applyBorder="1" applyAlignment="1">
      <alignment horizontal="center" vertical="distributed"/>
    </xf>
    <xf numFmtId="0" fontId="20" fillId="0" borderId="207" xfId="0" applyFont="1" applyBorder="1" applyAlignment="1">
      <alignment horizontal="distributed" vertical="justify" indent="2"/>
    </xf>
    <xf numFmtId="0" fontId="0" fillId="69" borderId="50" xfId="0" applyFill="1" applyBorder="1" applyAlignment="1">
      <alignment horizontal="center" vertical="center"/>
    </xf>
    <xf numFmtId="0" fontId="0" fillId="64" borderId="39" xfId="0" applyFill="1" applyBorder="1" applyAlignment="1">
      <alignment horizontal="center" vertical="center"/>
    </xf>
    <xf numFmtId="0" fontId="0" fillId="60" borderId="40" xfId="0" applyFill="1" applyBorder="1" applyAlignment="1">
      <alignment horizontal="center" vertical="justify"/>
    </xf>
    <xf numFmtId="0" fontId="16" fillId="64" borderId="39" xfId="0" applyFont="1" applyFill="1" applyBorder="1" applyAlignment="1">
      <alignment horizontal="center" vertical="center"/>
    </xf>
    <xf numFmtId="0" fontId="0" fillId="69" borderId="216" xfId="0" applyFill="1" applyBorder="1" applyAlignment="1">
      <alignment horizontal="center" vertical="center"/>
    </xf>
    <xf numFmtId="0" fontId="0" fillId="69" borderId="39" xfId="0" applyFill="1" applyBorder="1" applyAlignment="1">
      <alignment horizontal="center" vertical="top"/>
    </xf>
    <xf numFmtId="0" fontId="0" fillId="69" borderId="34" xfId="0" applyFill="1" applyBorder="1" applyAlignment="1">
      <alignment horizontal="center" vertical="center"/>
    </xf>
    <xf numFmtId="0" fontId="0" fillId="69" borderId="40" xfId="0" applyFill="1" applyBorder="1" applyAlignment="1">
      <alignment horizontal="center" vertical="justify"/>
    </xf>
    <xf numFmtId="0" fontId="0" fillId="69" borderId="40" xfId="0" applyFill="1" applyBorder="1" applyAlignment="1">
      <alignment horizontal="center" vertical="distributed"/>
    </xf>
    <xf numFmtId="0" fontId="0" fillId="69" borderId="40" xfId="0" applyFill="1" applyBorder="1" applyAlignment="1">
      <alignment horizontal="center" vertical="center"/>
    </xf>
    <xf numFmtId="0" fontId="0" fillId="69" borderId="40" xfId="0" applyFill="1" applyBorder="1" applyAlignment="1">
      <alignment horizontal="center"/>
    </xf>
    <xf numFmtId="0" fontId="0" fillId="69" borderId="40" xfId="0" applyFill="1" applyBorder="1" applyAlignment="1">
      <alignment horizontal="center" vertical="top"/>
    </xf>
    <xf numFmtId="0" fontId="0" fillId="69" borderId="26" xfId="0" applyFill="1" applyBorder="1" applyAlignment="1">
      <alignment horizontal="center" vertical="justify"/>
    </xf>
    <xf numFmtId="0" fontId="0" fillId="69" borderId="91" xfId="0" applyFill="1" applyBorder="1" applyAlignment="1">
      <alignment horizontal="center" vertical="center"/>
    </xf>
    <xf numFmtId="0" fontId="0" fillId="69" borderId="26" xfId="0" applyFill="1" applyBorder="1" applyAlignment="1">
      <alignment horizontal="center" vertical="top"/>
    </xf>
    <xf numFmtId="0" fontId="0" fillId="60" borderId="75" xfId="0" applyFill="1" applyBorder="1" applyAlignment="1">
      <alignment horizontal="center" vertical="justify"/>
    </xf>
    <xf numFmtId="0" fontId="0" fillId="60" borderId="57" xfId="0" applyFill="1" applyBorder="1" applyAlignment="1">
      <alignment horizontal="center" vertical="justify"/>
    </xf>
    <xf numFmtId="0" fontId="0" fillId="60" borderId="197" xfId="0" applyFill="1" applyBorder="1" applyAlignment="1">
      <alignment horizontal="center" vertical="justify"/>
    </xf>
    <xf numFmtId="0" fontId="0" fillId="60" borderId="197" xfId="0" applyFill="1" applyBorder="1" applyAlignment="1">
      <alignment horizontal="center" vertical="center"/>
    </xf>
    <xf numFmtId="0" fontId="0" fillId="60" borderId="217" xfId="0" applyFill="1" applyBorder="1" applyAlignment="1">
      <alignment horizontal="center" vertical="center"/>
    </xf>
    <xf numFmtId="0" fontId="0" fillId="60" borderId="218" xfId="0" applyFill="1" applyBorder="1" applyAlignment="1">
      <alignment horizontal="center" vertical="center"/>
    </xf>
    <xf numFmtId="0" fontId="0" fillId="0" borderId="39" xfId="0" applyBorder="1" applyAlignment="1"/>
    <xf numFmtId="0" fontId="0" fillId="1" borderId="219" xfId="0" applyFill="1" applyBorder="1" applyAlignment="1">
      <alignment horizontal="center" vertical="center"/>
    </xf>
    <xf numFmtId="0" fontId="0" fillId="60" borderId="220" xfId="0" applyFill="1" applyBorder="1" applyAlignment="1">
      <alignment horizontal="center" vertical="distributed"/>
    </xf>
    <xf numFmtId="0" fontId="0" fillId="60" borderId="57" xfId="0" applyFill="1" applyBorder="1" applyAlignment="1">
      <alignment horizontal="center" vertical="distributed"/>
    </xf>
    <xf numFmtId="0" fontId="0" fillId="60" borderId="197" xfId="0" applyFill="1" applyBorder="1" applyAlignment="1">
      <alignment horizontal="center" vertical="distributed"/>
    </xf>
    <xf numFmtId="0" fontId="0" fillId="62" borderId="19" xfId="0" applyFill="1" applyBorder="1" applyAlignment="1">
      <alignment horizontal="center" vertical="distributed"/>
    </xf>
    <xf numFmtId="0" fontId="0" fillId="62" borderId="19" xfId="0" applyFill="1" applyBorder="1" applyAlignment="1">
      <alignment horizontal="center"/>
    </xf>
    <xf numFmtId="0" fontId="0" fillId="62" borderId="39" xfId="0" applyFill="1" applyBorder="1" applyAlignment="1">
      <alignment horizontal="center" vertical="center"/>
    </xf>
    <xf numFmtId="0" fontId="0" fillId="62" borderId="48" xfId="0" applyFill="1" applyBorder="1" applyAlignment="1">
      <alignment horizontal="center" vertical="top"/>
    </xf>
    <xf numFmtId="0" fontId="0" fillId="62" borderId="93" xfId="0" applyFill="1" applyBorder="1" applyAlignment="1">
      <alignment horizontal="center" vertical="justify"/>
    </xf>
    <xf numFmtId="0" fontId="0" fillId="69" borderId="0" xfId="0" applyFill="1" applyAlignment="1">
      <alignment horizontal="center"/>
    </xf>
    <xf numFmtId="0" fontId="0" fillId="60" borderId="106" xfId="0" applyFill="1" applyBorder="1" applyAlignment="1">
      <alignment horizontal="center" vertical="justify"/>
    </xf>
    <xf numFmtId="0" fontId="0" fillId="60" borderId="221" xfId="0" applyFill="1" applyBorder="1" applyAlignment="1">
      <alignment horizontal="center" vertical="center"/>
    </xf>
    <xf numFmtId="0" fontId="0" fillId="0" borderId="0" xfId="0" applyAlignment="1">
      <alignment horizontal="center" vertical="top"/>
    </xf>
    <xf numFmtId="0" fontId="0" fillId="1" borderId="28" xfId="0" applyFill="1" applyBorder="1" applyAlignment="1">
      <alignment horizontal="center"/>
    </xf>
    <xf numFmtId="0" fontId="0" fillId="62" borderId="222" xfId="0" applyFill="1" applyBorder="1" applyAlignment="1">
      <alignment horizontal="center" vertical="justify"/>
    </xf>
    <xf numFmtId="0" fontId="0" fillId="60" borderId="197" xfId="0" applyFill="1" applyBorder="1" applyAlignment="1">
      <alignment horizontal="center" vertical="top"/>
    </xf>
    <xf numFmtId="0" fontId="64" fillId="62" borderId="19" xfId="0" applyFont="1" applyFill="1" applyBorder="1" applyAlignment="1">
      <alignment horizontal="center"/>
    </xf>
    <xf numFmtId="0" fontId="21" fillId="60" borderId="0" xfId="0" applyFont="1" applyFill="1" applyBorder="1" applyAlignment="1">
      <alignment horizontal="center"/>
    </xf>
    <xf numFmtId="0" fontId="21" fillId="58" borderId="0" xfId="0" applyFont="1" applyFill="1" applyBorder="1" applyAlignment="1">
      <alignment horizontal="center"/>
    </xf>
    <xf numFmtId="0" fontId="0" fillId="0" borderId="0" xfId="0" applyAlignment="1">
      <alignment horizontal="center" vertical="justify"/>
    </xf>
    <xf numFmtId="0" fontId="0" fillId="60" borderId="40" xfId="0" applyFill="1" applyBorder="1" applyAlignment="1">
      <alignment horizontal="center" vertical="top"/>
    </xf>
    <xf numFmtId="0" fontId="0" fillId="1" borderId="223" xfId="0" applyFill="1" applyBorder="1" applyAlignment="1">
      <alignment horizontal="center" vertical="center"/>
    </xf>
    <xf numFmtId="0" fontId="0" fillId="1" borderId="224" xfId="0" applyFill="1" applyBorder="1" applyAlignment="1">
      <alignment horizontal="center" vertical="center"/>
    </xf>
    <xf numFmtId="0" fontId="0" fillId="1" borderId="225" xfId="0" applyFill="1" applyBorder="1" applyAlignment="1">
      <alignment horizontal="center" vertical="center"/>
    </xf>
    <xf numFmtId="0" fontId="0" fillId="58" borderId="47" xfId="0" applyFill="1" applyBorder="1" applyAlignment="1">
      <alignment horizontal="center" vertical="center"/>
    </xf>
    <xf numFmtId="0" fontId="0" fillId="58" borderId="199" xfId="0" applyFill="1" applyBorder="1" applyAlignment="1">
      <alignment horizontal="center" vertical="center"/>
    </xf>
    <xf numFmtId="0" fontId="0" fillId="1" borderId="226" xfId="0" applyFill="1" applyBorder="1" applyAlignment="1">
      <alignment horizontal="center" vertical="center"/>
    </xf>
    <xf numFmtId="0" fontId="9" fillId="0" borderId="0" xfId="0" applyFont="1" applyBorder="1"/>
    <xf numFmtId="0" fontId="0" fillId="0" borderId="0" xfId="0" applyBorder="1" applyAlignment="1">
      <alignment horizontal="center" vertical="top"/>
    </xf>
    <xf numFmtId="0" fontId="0" fillId="0" borderId="25" xfId="0" applyBorder="1" applyAlignment="1">
      <alignment horizontal="center" vertical="top"/>
    </xf>
    <xf numFmtId="0" fontId="0" fillId="60" borderId="227" xfId="0" applyFill="1" applyBorder="1" applyAlignment="1">
      <alignment horizontal="center" vertical="center"/>
    </xf>
    <xf numFmtId="0" fontId="0" fillId="0" borderId="39" xfId="0" applyBorder="1" applyAlignment="1">
      <alignment horizontal="center" vertical="center"/>
    </xf>
    <xf numFmtId="0" fontId="64" fillId="58" borderId="57" xfId="0" applyFont="1" applyFill="1" applyBorder="1" applyAlignment="1">
      <alignment horizontal="center" vertical="center"/>
    </xf>
    <xf numFmtId="0" fontId="0" fillId="58" borderId="221" xfId="0" applyFill="1" applyBorder="1" applyAlignment="1">
      <alignment horizontal="center" vertical="center"/>
    </xf>
    <xf numFmtId="0" fontId="0" fillId="58" borderId="228" xfId="0" applyFill="1" applyBorder="1" applyAlignment="1">
      <alignment horizontal="center" vertical="center"/>
    </xf>
    <xf numFmtId="0" fontId="0" fillId="60" borderId="193" xfId="0" applyFill="1" applyBorder="1" applyAlignment="1">
      <alignment horizontal="center" vertical="center"/>
    </xf>
    <xf numFmtId="0" fontId="0" fillId="60" borderId="229" xfId="0" applyFill="1" applyBorder="1" applyAlignment="1">
      <alignment horizontal="center" vertical="center"/>
    </xf>
    <xf numFmtId="0" fontId="0" fillId="60" borderId="230" xfId="0" applyFill="1" applyBorder="1" applyAlignment="1">
      <alignment horizontal="center" vertical="center"/>
    </xf>
    <xf numFmtId="0" fontId="0" fillId="58" borderId="231" xfId="0" applyFill="1" applyBorder="1" applyAlignment="1">
      <alignment horizontal="center" vertical="top"/>
    </xf>
    <xf numFmtId="0" fontId="0" fillId="60" borderId="232" xfId="0" applyFill="1" applyBorder="1" applyAlignment="1">
      <alignment horizontal="center" vertical="center"/>
    </xf>
    <xf numFmtId="0" fontId="0" fillId="58" borderId="233" xfId="0" applyFill="1" applyBorder="1" applyAlignment="1">
      <alignment horizontal="center" vertical="top"/>
    </xf>
    <xf numFmtId="0" fontId="64" fillId="58" borderId="234" xfId="0" applyFont="1" applyFill="1" applyBorder="1" applyAlignment="1">
      <alignment horizontal="center" vertical="center"/>
    </xf>
    <xf numFmtId="0" fontId="0" fillId="60" borderId="235" xfId="0" applyFill="1" applyBorder="1" applyAlignment="1">
      <alignment horizontal="center" vertical="center"/>
    </xf>
    <xf numFmtId="0" fontId="0" fillId="0" borderId="0" xfId="0" applyBorder="1" applyAlignment="1">
      <alignment horizontal="center" vertical="distributed"/>
    </xf>
    <xf numFmtId="0" fontId="0" fillId="0" borderId="221" xfId="0" applyBorder="1" applyAlignment="1">
      <alignment horizontal="distributed" vertical="center"/>
    </xf>
    <xf numFmtId="0" fontId="0" fillId="60" borderId="236" xfId="0" applyFill="1" applyBorder="1" applyAlignment="1">
      <alignment horizontal="center" vertical="center"/>
    </xf>
    <xf numFmtId="0" fontId="0" fillId="60" borderId="237" xfId="0" applyFill="1" applyBorder="1" applyAlignment="1">
      <alignment horizontal="center" vertical="center"/>
    </xf>
    <xf numFmtId="0" fontId="0" fillId="60" borderId="238" xfId="0" applyFill="1" applyBorder="1" applyAlignment="1">
      <alignment horizontal="center" vertical="center"/>
    </xf>
    <xf numFmtId="0" fontId="0" fillId="58" borderId="221" xfId="0" applyFill="1" applyBorder="1" applyAlignment="1">
      <alignment horizontal="center" vertical="top"/>
    </xf>
    <xf numFmtId="0" fontId="0" fillId="60" borderId="239" xfId="0" applyFill="1" applyBorder="1" applyAlignment="1">
      <alignment horizontal="center" vertical="center"/>
    </xf>
    <xf numFmtId="0" fontId="9" fillId="69" borderId="102" xfId="0" applyFont="1" applyFill="1" applyBorder="1" applyAlignment="1">
      <alignment horizontal="center" vertical="center"/>
    </xf>
    <xf numFmtId="0" fontId="0" fillId="60" borderId="193" xfId="0" applyFill="1" applyBorder="1" applyAlignment="1">
      <alignment horizontal="distributed" vertical="justify" indent="4"/>
    </xf>
    <xf numFmtId="0" fontId="0" fillId="60" borderId="231" xfId="0" applyFill="1" applyBorder="1" applyAlignment="1">
      <alignment horizontal="center" vertical="center"/>
    </xf>
    <xf numFmtId="0" fontId="0" fillId="60" borderId="240" xfId="0" applyFill="1" applyBorder="1" applyAlignment="1">
      <alignment horizontal="center" vertical="center"/>
    </xf>
    <xf numFmtId="0" fontId="64" fillId="58" borderId="241" xfId="0" applyFont="1" applyFill="1" applyBorder="1" applyAlignment="1">
      <alignment horizontal="center" vertical="center"/>
    </xf>
    <xf numFmtId="0" fontId="0" fillId="60" borderId="229" xfId="0" applyFill="1" applyBorder="1" applyAlignment="1">
      <alignment horizontal="distributed" vertical="top" indent="8"/>
    </xf>
    <xf numFmtId="0" fontId="81" fillId="58" borderId="234" xfId="0" applyFont="1" applyFill="1" applyBorder="1" applyAlignment="1">
      <alignment horizontal="distributed" vertical="distributed" indent="4"/>
    </xf>
    <xf numFmtId="0" fontId="23" fillId="60" borderId="39" xfId="0" applyFont="1" applyFill="1" applyBorder="1" applyAlignment="1">
      <alignment horizontal="center"/>
    </xf>
    <xf numFmtId="0" fontId="0" fillId="58" borderId="153" xfId="0" applyFill="1" applyBorder="1" applyAlignment="1">
      <alignment horizontal="center" vertical="justify"/>
    </xf>
    <xf numFmtId="0" fontId="0" fillId="58" borderId="242" xfId="0" applyFill="1" applyBorder="1" applyAlignment="1">
      <alignment horizontal="center" vertical="center"/>
    </xf>
    <xf numFmtId="0" fontId="0" fillId="58" borderId="150" xfId="0" applyFill="1" applyBorder="1" applyAlignment="1">
      <alignment horizontal="center" vertical="center"/>
    </xf>
    <xf numFmtId="0" fontId="0" fillId="60" borderId="75" xfId="0" applyFill="1" applyBorder="1" applyAlignment="1">
      <alignment horizontal="center"/>
    </xf>
    <xf numFmtId="0" fontId="0" fillId="64" borderId="151" xfId="0" applyFill="1" applyBorder="1" applyAlignment="1">
      <alignment horizontal="center" vertical="center"/>
    </xf>
    <xf numFmtId="0" fontId="67" fillId="58" borderId="39" xfId="0" applyFont="1" applyFill="1" applyBorder="1" applyAlignment="1">
      <alignment horizontal="right" vertical="top" indent="2"/>
    </xf>
    <xf numFmtId="0" fontId="0" fillId="64" borderId="34" xfId="0" applyFill="1" applyBorder="1" applyAlignment="1">
      <alignment horizontal="center" vertical="center"/>
    </xf>
    <xf numFmtId="0" fontId="82" fillId="67" borderId="25" xfId="0" applyFont="1" applyFill="1" applyBorder="1" applyAlignment="1">
      <alignment horizontal="center" vertical="distributed"/>
    </xf>
    <xf numFmtId="0" fontId="2" fillId="58" borderId="39" xfId="0" applyFont="1" applyFill="1" applyBorder="1" applyAlignment="1">
      <alignment horizontal="right" vertical="justify" indent="2"/>
    </xf>
    <xf numFmtId="0" fontId="83" fillId="60" borderId="25" xfId="0" applyFont="1" applyFill="1" applyBorder="1" applyAlignment="1">
      <alignment horizontal="center"/>
    </xf>
    <xf numFmtId="0" fontId="64" fillId="58" borderId="21" xfId="0" applyFont="1" applyFill="1" applyBorder="1" applyAlignment="1">
      <alignment horizontal="center" vertical="distributed"/>
    </xf>
    <xf numFmtId="0" fontId="64" fillId="58" borderId="21" xfId="0" applyFont="1" applyFill="1" applyBorder="1" applyAlignment="1">
      <alignment horizontal="center" vertical="justify"/>
    </xf>
    <xf numFmtId="0" fontId="64" fillId="58" borderId="22" xfId="0" applyFont="1" applyFill="1" applyBorder="1" applyAlignment="1">
      <alignment horizontal="center" vertical="justify"/>
    </xf>
    <xf numFmtId="0" fontId="40" fillId="69" borderId="0" xfId="0" applyFont="1" applyFill="1" applyBorder="1" applyAlignment="1">
      <alignment horizontal="center" vertical="center"/>
    </xf>
    <xf numFmtId="0" fontId="82" fillId="67" borderId="25" xfId="0" applyFont="1" applyFill="1" applyBorder="1" applyAlignment="1">
      <alignment horizontal="center" vertical="top"/>
    </xf>
    <xf numFmtId="0" fontId="82" fillId="67" borderId="25" xfId="0" applyFont="1" applyFill="1" applyBorder="1" applyAlignment="1">
      <alignment horizontal="center"/>
    </xf>
    <xf numFmtId="0" fontId="0" fillId="58" borderId="21" xfId="0" applyFont="1" applyFill="1" applyBorder="1" applyAlignment="1">
      <alignment horizontal="center" vertical="distributed"/>
    </xf>
    <xf numFmtId="0" fontId="0" fillId="58" borderId="22" xfId="0" applyFont="1" applyFill="1" applyBorder="1" applyAlignment="1">
      <alignment horizontal="center" vertical="justify"/>
    </xf>
    <xf numFmtId="0" fontId="0" fillId="58" borderId="21" xfId="0" applyFont="1" applyFill="1" applyBorder="1" applyAlignment="1">
      <alignment horizontal="center" vertical="justify"/>
    </xf>
    <xf numFmtId="0" fontId="64" fillId="58" borderId="20" xfId="0" applyFont="1" applyFill="1" applyBorder="1" applyAlignment="1">
      <alignment horizontal="center" vertical="distributed"/>
    </xf>
    <xf numFmtId="0" fontId="0" fillId="58" borderId="20" xfId="0" applyFont="1" applyFill="1" applyBorder="1" applyAlignment="1">
      <alignment horizontal="center" vertical="distributed"/>
    </xf>
    <xf numFmtId="0" fontId="1" fillId="67" borderId="0" xfId="0" applyFont="1" applyFill="1" applyBorder="1" applyAlignment="1">
      <alignment horizontal="center" vertical="center"/>
    </xf>
    <xf numFmtId="0" fontId="1" fillId="67" borderId="0" xfId="0" applyFont="1" applyFill="1" applyBorder="1" applyAlignment="1">
      <alignment horizontal="center" vertical="justify"/>
    </xf>
    <xf numFmtId="0" fontId="1" fillId="67" borderId="0" xfId="0" applyFont="1" applyFill="1" applyBorder="1" applyAlignment="1">
      <alignment horizontal="center" vertical="top"/>
    </xf>
    <xf numFmtId="0" fontId="64" fillId="67" borderId="0" xfId="0" applyFont="1" applyFill="1" applyBorder="1" applyAlignment="1">
      <alignment horizontal="center" vertical="top"/>
    </xf>
    <xf numFmtId="0" fontId="84" fillId="68" borderId="187" xfId="0" applyFont="1" applyFill="1" applyBorder="1" applyAlignment="1">
      <alignment horizontal="center" vertical="center"/>
    </xf>
    <xf numFmtId="0" fontId="64" fillId="0" borderId="0" xfId="0" applyFont="1" applyAlignment="1">
      <alignment horizontal="center" vertical="top"/>
    </xf>
    <xf numFmtId="0" fontId="64" fillId="0" borderId="0" xfId="0" applyFont="1" applyAlignment="1">
      <alignment horizontal="center" vertical="distributed"/>
    </xf>
    <xf numFmtId="0" fontId="0" fillId="60" borderId="116" xfId="0" applyFill="1" applyBorder="1" applyAlignment="1">
      <alignment horizontal="center" vertical="justify"/>
    </xf>
    <xf numFmtId="0" fontId="0" fillId="60" borderId="116" xfId="0" applyFill="1" applyBorder="1" applyAlignment="1">
      <alignment horizontal="center" vertical="justify" wrapText="1"/>
    </xf>
    <xf numFmtId="0" fontId="0" fillId="60" borderId="116" xfId="0" applyFill="1" applyBorder="1" applyAlignment="1">
      <alignment horizontal="center" vertical="center" wrapText="1"/>
    </xf>
    <xf numFmtId="0" fontId="10" fillId="69" borderId="25" xfId="0" applyFont="1" applyFill="1" applyBorder="1" applyAlignment="1">
      <alignment horizontal="right" vertical="distributed" indent="2"/>
    </xf>
    <xf numFmtId="0" fontId="67" fillId="58" borderId="39" xfId="0" applyFont="1" applyFill="1" applyBorder="1" applyAlignment="1">
      <alignment horizontal="right" vertical="top" indent="4"/>
    </xf>
    <xf numFmtId="0" fontId="47" fillId="58" borderId="0" xfId="0" applyFont="1" applyFill="1" applyBorder="1" applyAlignment="1">
      <alignment horizontal="center" vertical="center"/>
    </xf>
    <xf numFmtId="0" fontId="10" fillId="69" borderId="25" xfId="0" applyFont="1" applyFill="1" applyBorder="1" applyAlignment="1">
      <alignment horizontal="center" vertical="distributed"/>
    </xf>
    <xf numFmtId="0" fontId="2" fillId="69" borderId="39" xfId="0" applyFont="1" applyFill="1" applyBorder="1" applyAlignment="1">
      <alignment horizontal="center" vertical="distributed"/>
    </xf>
    <xf numFmtId="0" fontId="2" fillId="69" borderId="39" xfId="0" applyFont="1" applyFill="1" applyBorder="1" applyAlignment="1">
      <alignment horizontal="distributed" vertical="distributed" indent="2"/>
    </xf>
    <xf numFmtId="0" fontId="64" fillId="74" borderId="0" xfId="0" applyFont="1" applyFill="1" applyBorder="1" applyAlignment="1">
      <alignment horizontal="center" vertical="center"/>
    </xf>
    <xf numFmtId="0" fontId="64" fillId="73" borderId="0" xfId="0" applyFont="1" applyFill="1" applyBorder="1" applyAlignment="1">
      <alignment horizontal="center" vertical="center"/>
    </xf>
    <xf numFmtId="0" fontId="51" fillId="60" borderId="0" xfId="0" applyFont="1" applyFill="1" applyBorder="1" applyAlignment="1">
      <alignment horizontal="center"/>
    </xf>
    <xf numFmtId="0" fontId="64" fillId="73" borderId="0" xfId="0" applyFont="1" applyFill="1" applyBorder="1" applyAlignment="1">
      <alignment horizontal="center" vertical="distributed"/>
    </xf>
    <xf numFmtId="0" fontId="75" fillId="58" borderId="39" xfId="0" applyFont="1" applyFill="1" applyBorder="1" applyAlignment="1">
      <alignment horizontal="right" indent="3"/>
    </xf>
    <xf numFmtId="0" fontId="64" fillId="74" borderId="0" xfId="0" applyFont="1" applyFill="1" applyBorder="1" applyAlignment="1">
      <alignment horizontal="center" vertical="distributed"/>
    </xf>
    <xf numFmtId="0" fontId="64" fillId="74" borderId="0" xfId="0" applyFont="1" applyFill="1" applyBorder="1" applyAlignment="1">
      <alignment horizontal="center" vertical="justify"/>
    </xf>
    <xf numFmtId="0" fontId="0" fillId="74" borderId="0" xfId="0" applyFont="1" applyFill="1" applyBorder="1" applyAlignment="1">
      <alignment horizontal="center" vertical="distributed"/>
    </xf>
    <xf numFmtId="0" fontId="71" fillId="74" borderId="0" xfId="0" applyFont="1" applyFill="1" applyBorder="1" applyAlignment="1">
      <alignment horizontal="center" vertical="center"/>
    </xf>
    <xf numFmtId="0" fontId="64" fillId="74" borderId="0" xfId="0" applyFont="1" applyFill="1" applyBorder="1" applyAlignment="1">
      <alignment horizontal="center"/>
    </xf>
    <xf numFmtId="0" fontId="83" fillId="64" borderId="20" xfId="0" applyFont="1" applyFill="1" applyBorder="1" applyAlignment="1">
      <alignment horizontal="center" vertical="distributed"/>
    </xf>
    <xf numFmtId="0" fontId="83" fillId="64" borderId="25" xfId="0" applyFont="1" applyFill="1" applyBorder="1" applyAlignment="1">
      <alignment horizontal="center"/>
    </xf>
    <xf numFmtId="0" fontId="83" fillId="64" borderId="25" xfId="0" applyFont="1" applyFill="1" applyBorder="1" applyAlignment="1">
      <alignment horizontal="center" vertical="top"/>
    </xf>
    <xf numFmtId="0" fontId="86" fillId="74" borderId="0" xfId="0" applyFont="1" applyFill="1" applyBorder="1" applyAlignment="1">
      <alignment horizontal="center" vertical="center"/>
    </xf>
    <xf numFmtId="0" fontId="86" fillId="74" borderId="0" xfId="0" applyFont="1" applyFill="1" applyBorder="1" applyAlignment="1">
      <alignment horizontal="center" vertical="top"/>
    </xf>
    <xf numFmtId="0" fontId="86" fillId="74" borderId="0" xfId="0" applyFont="1" applyFill="1" applyBorder="1" applyAlignment="1">
      <alignment horizontal="center"/>
    </xf>
    <xf numFmtId="0" fontId="86" fillId="74" borderId="0" xfId="0" applyFont="1" applyFill="1" applyBorder="1" applyAlignment="1">
      <alignment horizontal="center" vertical="distributed"/>
    </xf>
    <xf numFmtId="0" fontId="1" fillId="74" borderId="0" xfId="0" applyFont="1" applyFill="1" applyBorder="1" applyAlignment="1">
      <alignment horizontal="center" vertical="center"/>
    </xf>
    <xf numFmtId="0" fontId="1" fillId="74" borderId="0" xfId="0" applyFont="1" applyFill="1" applyBorder="1" applyAlignment="1">
      <alignment horizontal="center" vertical="top"/>
    </xf>
    <xf numFmtId="0" fontId="1" fillId="74" borderId="0" xfId="0" applyFont="1" applyFill="1" applyBorder="1" applyAlignment="1">
      <alignment horizontal="center"/>
    </xf>
    <xf numFmtId="0" fontId="85" fillId="60" borderId="25" xfId="0" applyFont="1" applyFill="1" applyBorder="1" applyAlignment="1">
      <alignment horizontal="center" vertical="distributed"/>
    </xf>
    <xf numFmtId="0" fontId="86" fillId="67" borderId="0" xfId="0" applyFont="1" applyFill="1" applyBorder="1" applyAlignment="1">
      <alignment horizontal="center" vertical="justify"/>
    </xf>
    <xf numFmtId="0" fontId="86" fillId="67" borderId="0" xfId="0" applyFont="1" applyFill="1" applyBorder="1" applyAlignment="1">
      <alignment horizontal="center"/>
    </xf>
    <xf numFmtId="0" fontId="86" fillId="67" borderId="0" xfId="0" applyFont="1" applyFill="1" applyBorder="1" applyAlignment="1">
      <alignment horizontal="center" vertical="distributed"/>
    </xf>
    <xf numFmtId="0" fontId="86" fillId="67" borderId="0" xfId="0" applyFont="1" applyFill="1" applyBorder="1" applyAlignment="1">
      <alignment horizontal="center" vertical="center"/>
    </xf>
    <xf numFmtId="0" fontId="85" fillId="67" borderId="0" xfId="0" applyFont="1" applyFill="1" applyBorder="1" applyAlignment="1">
      <alignment horizontal="center" vertical="justify"/>
    </xf>
    <xf numFmtId="0" fontId="0" fillId="59" borderId="46" xfId="0" applyFill="1" applyBorder="1" applyAlignment="1">
      <alignment horizontal="center" vertical="distributed"/>
    </xf>
    <xf numFmtId="0" fontId="52" fillId="59" borderId="0" xfId="0" applyFont="1" applyFill="1" applyBorder="1" applyAlignment="1">
      <alignment horizontal="center" vertical="center"/>
    </xf>
    <xf numFmtId="0" fontId="0" fillId="59" borderId="25" xfId="0" applyFill="1" applyBorder="1" applyAlignment="1">
      <alignment horizontal="center" vertical="center"/>
    </xf>
    <xf numFmtId="0" fontId="1" fillId="74" borderId="0" xfId="0" applyFont="1" applyFill="1" applyBorder="1" applyAlignment="1">
      <alignment horizontal="center" vertical="distributed"/>
    </xf>
    <xf numFmtId="0" fontId="0" fillId="59" borderId="25" xfId="0" applyFill="1" applyBorder="1" applyAlignment="1">
      <alignment horizontal="center" vertical="justify"/>
    </xf>
    <xf numFmtId="0" fontId="0" fillId="60" borderId="141" xfId="0" applyFill="1" applyBorder="1" applyAlignment="1">
      <alignment horizontal="center" vertical="top"/>
    </xf>
    <xf numFmtId="0" fontId="1" fillId="60" borderId="40" xfId="0" applyFont="1" applyFill="1" applyBorder="1" applyAlignment="1">
      <alignment horizontal="center" vertical="top"/>
    </xf>
    <xf numFmtId="0" fontId="46" fillId="69" borderId="25" xfId="0" applyFont="1" applyFill="1" applyBorder="1" applyAlignment="1">
      <alignment horizontal="center" vertical="center"/>
    </xf>
    <xf numFmtId="0" fontId="35" fillId="69" borderId="0" xfId="0" applyFont="1" applyFill="1" applyBorder="1"/>
    <xf numFmtId="0" fontId="35" fillId="59" borderId="0" xfId="0" applyFont="1" applyFill="1" applyBorder="1"/>
    <xf numFmtId="0" fontId="1" fillId="60" borderId="34" xfId="0" applyFont="1" applyFill="1" applyBorder="1" applyAlignment="1">
      <alignment horizontal="center" vertical="center"/>
    </xf>
    <xf numFmtId="0" fontId="64" fillId="67" borderId="0" xfId="0" applyFont="1" applyFill="1" applyBorder="1" applyAlignment="1">
      <alignment horizontal="distributed" vertical="center" indent="3"/>
    </xf>
    <xf numFmtId="0" fontId="1" fillId="70" borderId="0" xfId="0" applyFont="1" applyFill="1" applyBorder="1" applyAlignment="1">
      <alignment horizontal="center" vertical="justify"/>
    </xf>
    <xf numFmtId="0" fontId="64" fillId="67" borderId="0" xfId="0" applyFont="1" applyFill="1" applyBorder="1" applyAlignment="1">
      <alignment horizontal="left" vertical="center" indent="2"/>
    </xf>
    <xf numFmtId="0" fontId="0" fillId="0" borderId="0" xfId="0" applyNumberFormat="1"/>
    <xf numFmtId="0" fontId="64" fillId="68" borderId="0" xfId="0" applyFont="1" applyFill="1" applyBorder="1" applyAlignment="1">
      <alignment horizontal="center"/>
    </xf>
    <xf numFmtId="0" fontId="1" fillId="58" borderId="0" xfId="0" applyFont="1" applyFill="1" applyBorder="1" applyAlignment="1">
      <alignment horizontal="center" vertical="top"/>
    </xf>
    <xf numFmtId="0" fontId="1" fillId="60" borderId="33" xfId="0" applyFont="1" applyFill="1" applyBorder="1" applyAlignment="1">
      <alignment horizontal="center" vertical="center"/>
    </xf>
    <xf numFmtId="0" fontId="71" fillId="68" borderId="187" xfId="0" applyFont="1" applyFill="1" applyBorder="1" applyAlignment="1">
      <alignment horizontal="center" vertical="top"/>
    </xf>
    <xf numFmtId="0" fontId="71" fillId="68" borderId="187" xfId="0" applyFont="1" applyFill="1" applyBorder="1" applyAlignment="1">
      <alignment horizontal="center"/>
    </xf>
    <xf numFmtId="0" fontId="1" fillId="1" borderId="115" xfId="0" applyFont="1" applyFill="1" applyBorder="1" applyAlignment="1">
      <alignment horizontal="center" vertical="justify"/>
    </xf>
    <xf numFmtId="0" fontId="64" fillId="67" borderId="25" xfId="0" applyFont="1" applyFill="1" applyBorder="1" applyAlignment="1">
      <alignment horizontal="center" vertical="center"/>
    </xf>
    <xf numFmtId="0" fontId="64" fillId="62" borderId="0" xfId="0" applyFont="1" applyFill="1" applyBorder="1" applyAlignment="1">
      <alignment horizontal="center" vertical="center"/>
    </xf>
    <xf numFmtId="0" fontId="64" fillId="62" borderId="0" xfId="0" applyFont="1" applyFill="1" applyBorder="1" applyAlignment="1">
      <alignment horizontal="distributed" vertical="center" indent="3"/>
    </xf>
    <xf numFmtId="0" fontId="87" fillId="62" borderId="0" xfId="0" applyFont="1" applyFill="1" applyBorder="1" applyAlignment="1">
      <alignment horizontal="center" vertical="center"/>
    </xf>
    <xf numFmtId="0" fontId="64" fillId="62" borderId="0" xfId="0" applyFont="1" applyFill="1" applyBorder="1" applyAlignment="1">
      <alignment horizontal="center" vertical="justify"/>
    </xf>
    <xf numFmtId="0" fontId="0" fillId="60" borderId="243" xfId="0" applyFill="1" applyBorder="1" applyAlignment="1">
      <alignment horizontal="center" vertical="center"/>
    </xf>
    <xf numFmtId="0" fontId="0" fillId="60" borderId="244" xfId="0" applyFill="1" applyBorder="1" applyAlignment="1">
      <alignment horizontal="center" vertical="center"/>
    </xf>
    <xf numFmtId="0" fontId="0" fillId="59" borderId="119" xfId="0" applyFill="1" applyBorder="1" applyAlignment="1">
      <alignment horizontal="center" vertical="center"/>
    </xf>
    <xf numFmtId="0" fontId="47" fillId="59" borderId="54" xfId="0" applyFont="1" applyFill="1" applyBorder="1" applyAlignment="1">
      <alignment horizontal="center" vertical="center"/>
    </xf>
    <xf numFmtId="0" fontId="1" fillId="62" borderId="53" xfId="0" applyFont="1" applyFill="1" applyBorder="1" applyAlignment="1">
      <alignment horizontal="center" vertical="distributed"/>
    </xf>
    <xf numFmtId="0" fontId="1" fillId="62" borderId="0" xfId="0" applyFont="1" applyFill="1" applyBorder="1" applyAlignment="1">
      <alignment horizontal="center" vertical="distributed"/>
    </xf>
    <xf numFmtId="0" fontId="1" fillId="62" borderId="0" xfId="0" applyFont="1" applyFill="1" applyBorder="1" applyAlignment="1">
      <alignment horizontal="center" vertical="center"/>
    </xf>
    <xf numFmtId="0" fontId="1" fillId="62" borderId="0" xfId="0" applyFont="1" applyFill="1" applyBorder="1" applyAlignment="1">
      <alignment horizontal="left" vertical="center" indent="2"/>
    </xf>
    <xf numFmtId="0" fontId="0" fillId="60" borderId="25" xfId="0" applyFill="1" applyBorder="1" applyAlignment="1">
      <alignment horizontal="distributed" vertical="center" indent="1"/>
    </xf>
    <xf numFmtId="0" fontId="1" fillId="62" borderId="78" xfId="0" applyFont="1" applyFill="1" applyBorder="1" applyAlignment="1">
      <alignment horizontal="center" vertical="distributed"/>
    </xf>
    <xf numFmtId="0" fontId="1" fillId="67" borderId="0" xfId="0" applyFont="1" applyFill="1" applyBorder="1" applyAlignment="1">
      <alignment horizontal="center" vertical="distributed"/>
    </xf>
    <xf numFmtId="0" fontId="69" fillId="58" borderId="25" xfId="0" applyFont="1" applyFill="1" applyBorder="1" applyAlignment="1">
      <alignment horizontal="right" indent="2"/>
    </xf>
    <xf numFmtId="0" fontId="89" fillId="60" borderId="0" xfId="0" applyFont="1" applyFill="1" applyBorder="1" applyAlignment="1">
      <alignment horizontal="center" vertical="center"/>
    </xf>
    <xf numFmtId="0" fontId="0" fillId="60" borderId="25" xfId="0" applyFont="1" applyFill="1" applyBorder="1" applyAlignment="1">
      <alignment horizontal="center"/>
    </xf>
    <xf numFmtId="0" fontId="89" fillId="60" borderId="25" xfId="0" applyFont="1" applyFill="1" applyBorder="1" applyAlignment="1">
      <alignment horizontal="center" vertical="distributed"/>
    </xf>
    <xf numFmtId="0" fontId="1" fillId="1" borderId="81" xfId="0" applyFont="1" applyFill="1" applyBorder="1" applyAlignment="1">
      <alignment horizontal="center" vertical="justify"/>
    </xf>
    <xf numFmtId="0" fontId="0" fillId="60" borderId="40" xfId="0" applyFill="1" applyBorder="1" applyAlignment="1">
      <alignment horizontal="center" vertical="top" wrapText="1"/>
    </xf>
    <xf numFmtId="0" fontId="0" fillId="58" borderId="134" xfId="0" applyFill="1" applyBorder="1" applyAlignment="1">
      <alignment vertical="distributed"/>
    </xf>
    <xf numFmtId="0" fontId="0" fillId="62" borderId="245" xfId="0" applyFill="1" applyBorder="1" applyAlignment="1">
      <alignment horizontal="center" vertical="center"/>
    </xf>
    <xf numFmtId="0" fontId="0" fillId="60" borderId="25" xfId="0" applyFill="1" applyBorder="1" applyAlignment="1">
      <alignment horizontal="right" vertical="center" indent="1"/>
    </xf>
    <xf numFmtId="0" fontId="0" fillId="71" borderId="0" xfId="0" applyFont="1" applyFill="1" applyBorder="1" applyAlignment="1">
      <alignment horizontal="center" vertical="center"/>
    </xf>
    <xf numFmtId="0" fontId="64" fillId="62" borderId="34" xfId="0" applyFont="1" applyFill="1" applyBorder="1" applyAlignment="1">
      <alignment horizontal="center" vertical="center"/>
    </xf>
    <xf numFmtId="0" fontId="64" fillId="69" borderId="40" xfId="0" applyFont="1" applyFill="1" applyBorder="1" applyAlignment="1">
      <alignment horizontal="center" vertical="center"/>
    </xf>
    <xf numFmtId="0" fontId="64" fillId="60" borderId="41" xfId="0" applyFont="1" applyFill="1" applyBorder="1" applyAlignment="1">
      <alignment horizontal="center" vertical="center"/>
    </xf>
    <xf numFmtId="0" fontId="64" fillId="60" borderId="221" xfId="0" applyFont="1" applyFill="1" applyBorder="1" applyAlignment="1">
      <alignment horizontal="center" vertical="center"/>
    </xf>
    <xf numFmtId="0" fontId="64" fillId="60" borderId="0" xfId="0" applyFont="1" applyFill="1" applyBorder="1" applyAlignment="1">
      <alignment horizontal="center" vertical="center"/>
    </xf>
    <xf numFmtId="0" fontId="64" fillId="60" borderId="40" xfId="0" applyFont="1" applyFill="1" applyBorder="1" applyAlignment="1">
      <alignment horizontal="center" vertical="center"/>
    </xf>
    <xf numFmtId="0" fontId="90" fillId="65" borderId="25" xfId="0" applyFont="1" applyFill="1" applyBorder="1" applyAlignment="1">
      <alignment horizontal="center" vertical="center"/>
    </xf>
    <xf numFmtId="0" fontId="1" fillId="65" borderId="25" xfId="0" applyFont="1" applyFill="1" applyBorder="1" applyAlignment="1">
      <alignment horizontal="center" vertical="center"/>
    </xf>
    <xf numFmtId="0" fontId="90" fillId="60" borderId="25" xfId="0" applyFont="1" applyFill="1" applyBorder="1" applyAlignment="1">
      <alignment horizontal="center" vertical="center"/>
    </xf>
    <xf numFmtId="0" fontId="91" fillId="0" borderId="0" xfId="0" applyFont="1" applyAlignment="1">
      <alignment horizontal="center" vertical="center"/>
    </xf>
    <xf numFmtId="0" fontId="90" fillId="0" borderId="0" xfId="0" applyFont="1" applyAlignment="1">
      <alignment horizontal="center" vertical="center"/>
    </xf>
    <xf numFmtId="0" fontId="90" fillId="60" borderId="39" xfId="0" applyFont="1" applyFill="1" applyBorder="1" applyAlignment="1">
      <alignment horizontal="center" vertical="center"/>
    </xf>
    <xf numFmtId="0" fontId="90" fillId="60" borderId="0" xfId="0" applyFont="1" applyFill="1" applyBorder="1" applyAlignment="1">
      <alignment horizontal="center" vertical="center"/>
    </xf>
    <xf numFmtId="0" fontId="0" fillId="41" borderId="3" xfId="0" applyFill="1" applyBorder="1"/>
    <xf numFmtId="0" fontId="0" fillId="41" borderId="4" xfId="0" applyFill="1" applyBorder="1"/>
    <xf numFmtId="0" fontId="0" fillId="43" borderId="4" xfId="0" applyFill="1" applyBorder="1"/>
    <xf numFmtId="0" fontId="0" fillId="42" borderId="4" xfId="0" applyFill="1" applyBorder="1"/>
    <xf numFmtId="0" fontId="0" fillId="40" borderId="4" xfId="0" applyFill="1" applyBorder="1"/>
    <xf numFmtId="0" fontId="0" fillId="41" borderId="6" xfId="0" applyFill="1" applyBorder="1"/>
    <xf numFmtId="0" fontId="0" fillId="40" borderId="2" xfId="0" applyFill="1" applyBorder="1"/>
    <xf numFmtId="0" fontId="0" fillId="40" borderId="6" xfId="0" applyFill="1" applyBorder="1"/>
    <xf numFmtId="0" fontId="0" fillId="43" borderId="6" xfId="0" applyFill="1" applyBorder="1"/>
    <xf numFmtId="0" fontId="0" fillId="41" borderId="2" xfId="0" applyFill="1" applyBorder="1"/>
    <xf numFmtId="0" fontId="0" fillId="40" borderId="7" xfId="0" applyFill="1" applyBorder="1"/>
    <xf numFmtId="0" fontId="0" fillId="40" borderId="1" xfId="0" applyFill="1" applyBorder="1"/>
    <xf numFmtId="0" fontId="0" fillId="40" borderId="8" xfId="0" applyFill="1" applyBorder="1"/>
    <xf numFmtId="0" fontId="0" fillId="68" borderId="25" xfId="0" applyFill="1" applyBorder="1" applyAlignment="1">
      <alignment horizontal="center" vertical="center"/>
    </xf>
    <xf numFmtId="0" fontId="0" fillId="68" borderId="44" xfId="0" applyFill="1" applyBorder="1" applyAlignment="1">
      <alignment horizontal="center" vertical="center"/>
    </xf>
    <xf numFmtId="0" fontId="0" fillId="68" borderId="41" xfId="0" applyFill="1" applyBorder="1" applyAlignment="1">
      <alignment horizontal="center" vertical="center"/>
    </xf>
    <xf numFmtId="0" fontId="0" fillId="68" borderId="37" xfId="0" applyFill="1" applyBorder="1" applyAlignment="1">
      <alignment horizontal="center" vertical="center"/>
    </xf>
    <xf numFmtId="0" fontId="0" fillId="68" borderId="246" xfId="0" applyFill="1" applyBorder="1" applyAlignment="1">
      <alignment horizontal="center" vertical="center"/>
    </xf>
    <xf numFmtId="0" fontId="0" fillId="68" borderId="39" xfId="0" applyFill="1" applyBorder="1" applyAlignment="1">
      <alignment horizontal="center" vertical="center"/>
    </xf>
    <xf numFmtId="0" fontId="0" fillId="68" borderId="37" xfId="0" applyFill="1" applyBorder="1" applyAlignment="1">
      <alignment horizontal="center"/>
    </xf>
    <xf numFmtId="0" fontId="0" fillId="68" borderId="25" xfId="0" applyFill="1" applyBorder="1" applyAlignment="1">
      <alignment horizontal="center" vertical="top"/>
    </xf>
    <xf numFmtId="0" fontId="0" fillId="68" borderId="160" xfId="0" applyFill="1" applyBorder="1" applyAlignment="1">
      <alignment horizontal="center"/>
    </xf>
    <xf numFmtId="0" fontId="7" fillId="29" borderId="0" xfId="0" applyFont="1" applyFill="1" applyBorder="1" applyAlignment="1">
      <alignment vertical="center"/>
    </xf>
    <xf numFmtId="0" fontId="0" fillId="68" borderId="39" xfId="0" applyFill="1" applyBorder="1" applyAlignment="1">
      <alignment horizontal="center" vertical="top"/>
    </xf>
    <xf numFmtId="0" fontId="0" fillId="68" borderId="246" xfId="0" applyFill="1" applyBorder="1" applyAlignment="1">
      <alignment horizontal="center" vertical="top"/>
    </xf>
    <xf numFmtId="0" fontId="0" fillId="60" borderId="78" xfId="0" applyFill="1" applyBorder="1" applyAlignment="1">
      <alignment horizontal="center" vertical="center"/>
    </xf>
    <xf numFmtId="0" fontId="0" fillId="62" borderId="76" xfId="0" applyFill="1" applyBorder="1" applyAlignment="1">
      <alignment horizontal="center" vertical="center"/>
    </xf>
    <xf numFmtId="0" fontId="0" fillId="62" borderId="71" xfId="0" applyFill="1" applyBorder="1" applyAlignment="1">
      <alignment horizontal="center" vertical="center"/>
    </xf>
    <xf numFmtId="0" fontId="0" fillId="62" borderId="34" xfId="0" applyFill="1" applyBorder="1" applyAlignment="1">
      <alignment horizontal="center" vertical="justify"/>
    </xf>
    <xf numFmtId="0" fontId="0" fillId="62" borderId="34" xfId="0" applyFill="1" applyBorder="1" applyAlignment="1">
      <alignment horizontal="center" vertical="distributed"/>
    </xf>
    <xf numFmtId="0" fontId="64" fillId="62" borderId="160" xfId="0" applyFont="1" applyFill="1" applyBorder="1" applyAlignment="1">
      <alignment horizontal="center" vertical="center"/>
    </xf>
    <xf numFmtId="0" fontId="64" fillId="62" borderId="26" xfId="0" applyFont="1" applyFill="1" applyBorder="1" applyAlignment="1">
      <alignment horizontal="center" vertical="center"/>
    </xf>
    <xf numFmtId="0" fontId="64" fillId="62" borderId="243" xfId="0" applyFont="1" applyFill="1" applyBorder="1" applyAlignment="1">
      <alignment horizontal="center" vertical="center"/>
    </xf>
    <xf numFmtId="0" fontId="64" fillId="62" borderId="247" xfId="0" applyFont="1" applyFill="1" applyBorder="1" applyAlignment="1">
      <alignment horizontal="center" vertical="center" wrapText="1"/>
    </xf>
    <xf numFmtId="0" fontId="0" fillId="60" borderId="246" xfId="0" applyFill="1" applyBorder="1" applyAlignment="1">
      <alignment horizontal="center" vertical="center"/>
    </xf>
    <xf numFmtId="0" fontId="64" fillId="66" borderId="34" xfId="0" applyFont="1" applyFill="1" applyBorder="1" applyAlignment="1">
      <alignment horizontal="center" vertical="center"/>
    </xf>
    <xf numFmtId="0" fontId="64" fillId="66" borderId="31" xfId="0" applyFont="1" applyFill="1" applyBorder="1" applyAlignment="1">
      <alignment horizontal="center" vertical="center"/>
    </xf>
    <xf numFmtId="0" fontId="64" fillId="66" borderId="42" xfId="0" applyFont="1" applyFill="1" applyBorder="1" applyAlignment="1">
      <alignment horizontal="center" vertical="center"/>
    </xf>
    <xf numFmtId="0" fontId="64" fillId="66" borderId="55" xfId="0" applyFont="1" applyFill="1" applyBorder="1" applyAlignment="1">
      <alignment horizontal="center" vertical="center"/>
    </xf>
    <xf numFmtId="0" fontId="64" fillId="66" borderId="62" xfId="0" applyFont="1" applyFill="1" applyBorder="1" applyAlignment="1">
      <alignment horizontal="center" vertical="center"/>
    </xf>
    <xf numFmtId="0" fontId="0" fillId="66" borderId="35" xfId="0" applyFont="1" applyFill="1" applyBorder="1" applyAlignment="1">
      <alignment horizontal="center" vertical="justify"/>
    </xf>
    <xf numFmtId="0" fontId="64" fillId="66" borderId="39" xfId="0" applyFont="1" applyFill="1" applyBorder="1" applyAlignment="1">
      <alignment horizontal="center" vertical="center"/>
    </xf>
    <xf numFmtId="0" fontId="64" fillId="66" borderId="53" xfId="0" applyFont="1" applyFill="1" applyBorder="1" applyAlignment="1">
      <alignment horizontal="center" vertical="center"/>
    </xf>
    <xf numFmtId="0" fontId="64" fillId="66" borderId="30" xfId="0" applyFont="1" applyFill="1" applyBorder="1" applyAlignment="1">
      <alignment horizontal="center" vertical="center"/>
    </xf>
    <xf numFmtId="0" fontId="64" fillId="72" borderId="0" xfId="0" applyFont="1" applyFill="1" applyBorder="1" applyAlignment="1">
      <alignment horizontal="center" vertical="center"/>
    </xf>
    <xf numFmtId="0" fontId="0" fillId="71" borderId="39" xfId="0" applyFill="1" applyBorder="1" applyAlignment="1">
      <alignment horizontal="center" vertical="center"/>
    </xf>
    <xf numFmtId="0" fontId="0" fillId="72" borderId="63" xfId="0" applyFill="1" applyBorder="1" applyAlignment="1">
      <alignment horizontal="center" vertical="center"/>
    </xf>
    <xf numFmtId="0" fontId="0" fillId="72" borderId="25" xfId="0" applyFill="1" applyBorder="1" applyAlignment="1">
      <alignment horizontal="center" vertical="center"/>
    </xf>
    <xf numFmtId="0" fontId="0" fillId="72" borderId="39" xfId="0" applyFill="1" applyBorder="1" applyAlignment="1">
      <alignment horizontal="center" vertical="center"/>
    </xf>
    <xf numFmtId="0" fontId="64" fillId="66" borderId="47" xfId="0" applyFont="1" applyFill="1" applyBorder="1" applyAlignment="1">
      <alignment horizontal="center" vertical="center"/>
    </xf>
    <xf numFmtId="0" fontId="3" fillId="0" borderId="4" xfId="0" applyNumberFormat="1" applyFont="1" applyFill="1" applyBorder="1" applyAlignment="1" applyProtection="1"/>
    <xf numFmtId="0" fontId="3" fillId="0" borderId="0" xfId="0" applyNumberFormat="1" applyFont="1" applyFill="1" applyBorder="1" applyAlignment="1" applyProtection="1"/>
    <xf numFmtId="0" fontId="3" fillId="10" borderId="0" xfId="0" applyNumberFormat="1" applyFont="1" applyFill="1" applyBorder="1" applyAlignment="1" applyProtection="1"/>
    <xf numFmtId="0" fontId="3" fillId="8" borderId="0" xfId="0" applyNumberFormat="1" applyFont="1" applyFill="1" applyBorder="1" applyAlignment="1" applyProtection="1"/>
    <xf numFmtId="0" fontId="3" fillId="0" borderId="1" xfId="0" applyNumberFormat="1" applyFont="1" applyFill="1" applyBorder="1" applyAlignment="1" applyProtection="1"/>
    <xf numFmtId="0" fontId="3" fillId="7" borderId="0" xfId="0" applyNumberFormat="1" applyFont="1" applyFill="1" applyBorder="1" applyAlignment="1" applyProtection="1"/>
    <xf numFmtId="0" fontId="3" fillId="9" borderId="0" xfId="0" applyNumberFormat="1" applyFont="1" applyFill="1" applyBorder="1" applyAlignment="1" applyProtection="1"/>
    <xf numFmtId="0" fontId="3" fillId="12" borderId="0" xfId="0" applyNumberFormat="1" applyFont="1" applyFill="1" applyBorder="1" applyAlignment="1" applyProtection="1"/>
    <xf numFmtId="0" fontId="3" fillId="2" borderId="0" xfId="0" applyNumberFormat="1" applyFont="1" applyFill="1" applyBorder="1" applyAlignment="1" applyProtection="1"/>
    <xf numFmtId="0" fontId="3" fillId="11" borderId="0" xfId="0" applyNumberFormat="1" applyFont="1" applyFill="1" applyBorder="1" applyAlignment="1" applyProtection="1"/>
    <xf numFmtId="0" fontId="3" fillId="33" borderId="0" xfId="0" applyNumberFormat="1" applyFont="1" applyFill="1" applyBorder="1" applyAlignment="1" applyProtection="1"/>
    <xf numFmtId="0" fontId="3" fillId="31" borderId="0" xfId="0" applyNumberFormat="1" applyFont="1" applyFill="1" applyBorder="1" applyAlignment="1" applyProtection="1"/>
    <xf numFmtId="0" fontId="3" fillId="2" borderId="1" xfId="0" applyNumberFormat="1" applyFont="1" applyFill="1" applyBorder="1" applyAlignment="1" applyProtection="1"/>
    <xf numFmtId="0" fontId="3" fillId="14" borderId="0" xfId="0" applyNumberFormat="1" applyFont="1" applyFill="1" applyBorder="1" applyAlignment="1" applyProtection="1"/>
    <xf numFmtId="0" fontId="3" fillId="36" borderId="0" xfId="0" applyNumberFormat="1" applyFont="1" applyFill="1" applyBorder="1" applyAlignment="1" applyProtection="1"/>
    <xf numFmtId="0" fontId="0" fillId="72" borderId="62" xfId="0" applyFill="1" applyBorder="1" applyAlignment="1">
      <alignment horizontal="center" vertical="center"/>
    </xf>
    <xf numFmtId="0" fontId="64" fillId="71" borderId="39" xfId="0" applyFont="1" applyFill="1" applyBorder="1" applyAlignment="1">
      <alignment horizontal="center" vertical="center"/>
    </xf>
    <xf numFmtId="0" fontId="7" fillId="30" borderId="6" xfId="0" applyFont="1" applyFill="1" applyBorder="1"/>
    <xf numFmtId="0" fontId="64" fillId="66" borderId="54" xfId="0" applyFont="1" applyFill="1" applyBorder="1" applyAlignment="1">
      <alignment horizontal="center" vertical="center"/>
    </xf>
    <xf numFmtId="0" fontId="0" fillId="70" borderId="0" xfId="0" applyFill="1"/>
    <xf numFmtId="0" fontId="0" fillId="60" borderId="248" xfId="0" applyFill="1" applyBorder="1" applyAlignment="1">
      <alignment horizontal="center" vertical="center"/>
    </xf>
    <xf numFmtId="0" fontId="0" fillId="69" borderId="249" xfId="0" applyFill="1" applyBorder="1" applyAlignment="1">
      <alignment horizontal="center" vertical="center"/>
    </xf>
    <xf numFmtId="0" fontId="0" fillId="58" borderId="250" xfId="0" applyFill="1" applyBorder="1" applyAlignment="1">
      <alignment horizontal="center" vertical="center"/>
    </xf>
    <xf numFmtId="0" fontId="0" fillId="60" borderId="251" xfId="0" applyFill="1" applyBorder="1" applyAlignment="1">
      <alignment horizontal="center" vertical="center"/>
    </xf>
    <xf numFmtId="0" fontId="0" fillId="58" borderId="160" xfId="0" applyFill="1" applyBorder="1" applyAlignment="1">
      <alignment horizontal="center" vertical="center"/>
    </xf>
    <xf numFmtId="0" fontId="0" fillId="58" borderId="40" xfId="0" applyFill="1" applyBorder="1" applyAlignment="1">
      <alignment horizontal="center" vertical="center"/>
    </xf>
    <xf numFmtId="0" fontId="64" fillId="60" borderId="34" xfId="0" applyFont="1" applyFill="1" applyBorder="1" applyAlignment="1">
      <alignment horizontal="center" vertical="center"/>
    </xf>
    <xf numFmtId="0" fontId="64" fillId="62" borderId="34" xfId="0" applyFont="1" applyFill="1" applyBorder="1" applyAlignment="1">
      <alignment horizontal="left" vertical="center" indent="1"/>
    </xf>
    <xf numFmtId="0" fontId="0" fillId="58" borderId="154" xfId="0" applyFill="1" applyBorder="1" applyAlignment="1">
      <alignment horizontal="center" vertical="center"/>
    </xf>
    <xf numFmtId="0" fontId="0" fillId="58" borderId="35" xfId="0" applyFill="1" applyBorder="1" applyAlignment="1">
      <alignment horizontal="center" vertical="center"/>
    </xf>
    <xf numFmtId="0" fontId="0" fillId="69" borderId="204" xfId="0" applyFill="1" applyBorder="1" applyAlignment="1">
      <alignment horizontal="center" vertical="center"/>
    </xf>
    <xf numFmtId="0" fontId="0" fillId="58" borderId="35" xfId="0" applyFont="1" applyFill="1" applyBorder="1" applyAlignment="1">
      <alignment horizontal="center" vertical="center"/>
    </xf>
    <xf numFmtId="0" fontId="0" fillId="62" borderId="53" xfId="0" applyFont="1" applyFill="1" applyBorder="1" applyAlignment="1">
      <alignment horizontal="center" vertical="center"/>
    </xf>
    <xf numFmtId="0" fontId="0" fillId="62" borderId="82" xfId="0" applyFill="1" applyBorder="1" applyAlignment="1">
      <alignment horizontal="center" vertical="center"/>
    </xf>
    <xf numFmtId="0" fontId="0" fillId="62" borderId="72" xfId="0" applyFill="1" applyBorder="1" applyAlignment="1">
      <alignment horizontal="center" vertical="center"/>
    </xf>
    <xf numFmtId="0" fontId="0" fillId="71" borderId="78" xfId="0" applyFont="1" applyFill="1" applyBorder="1" applyAlignment="1">
      <alignment horizontal="distributed" vertical="center"/>
    </xf>
    <xf numFmtId="0" fontId="64" fillId="62" borderId="78" xfId="0" applyFont="1" applyFill="1" applyBorder="1" applyAlignment="1">
      <alignment horizontal="center" vertical="center"/>
    </xf>
    <xf numFmtId="0" fontId="64" fillId="62" borderId="252" xfId="0" applyFont="1" applyFill="1" applyBorder="1" applyAlignment="1">
      <alignment horizontal="center" vertical="center"/>
    </xf>
    <xf numFmtId="0" fontId="64" fillId="62" borderId="253" xfId="0" applyFont="1" applyFill="1" applyBorder="1" applyAlignment="1">
      <alignment horizontal="center" vertical="center"/>
    </xf>
    <xf numFmtId="0" fontId="0" fillId="71" borderId="0" xfId="0" applyFill="1" applyAlignment="1">
      <alignment horizontal="center" vertical="center"/>
    </xf>
    <xf numFmtId="0" fontId="0" fillId="62" borderId="34" xfId="0" applyFill="1" applyBorder="1" applyAlignment="1">
      <alignment horizontal="distributed" vertical="center" indent="1"/>
    </xf>
    <xf numFmtId="0" fontId="0" fillId="62" borderId="53" xfId="0" applyFill="1" applyBorder="1" applyAlignment="1">
      <alignment horizontal="center" vertical="center"/>
    </xf>
    <xf numFmtId="0" fontId="64" fillId="72" borderId="25" xfId="0" applyFont="1" applyFill="1" applyBorder="1" applyAlignment="1">
      <alignment horizontal="center" vertical="center"/>
    </xf>
    <xf numFmtId="0" fontId="67" fillId="66" borderId="0" xfId="0" applyFont="1" applyFill="1" applyBorder="1" applyAlignment="1">
      <alignment horizontal="distributed" vertical="justify" indent="2"/>
    </xf>
    <xf numFmtId="0" fontId="64" fillId="66" borderId="34" xfId="0" applyFont="1" applyFill="1" applyBorder="1" applyAlignment="1">
      <alignment horizontal="distributed" vertical="distributed" indent="2"/>
    </xf>
    <xf numFmtId="0" fontId="0" fillId="72" borderId="47" xfId="0" applyFill="1" applyBorder="1" applyAlignment="1">
      <alignment horizontal="center" vertical="center"/>
    </xf>
    <xf numFmtId="0" fontId="67" fillId="72" borderId="0" xfId="0" applyFont="1" applyFill="1" applyBorder="1" applyAlignment="1">
      <alignment horizontal="distributed" vertical="justify" indent="2"/>
    </xf>
    <xf numFmtId="0" fontId="64" fillId="71" borderId="63" xfId="0" applyFont="1" applyFill="1" applyBorder="1" applyAlignment="1">
      <alignment horizontal="center" vertical="center"/>
    </xf>
    <xf numFmtId="0" fontId="0" fillId="62" borderId="254" xfId="0" applyFill="1" applyBorder="1" applyAlignment="1">
      <alignment horizontal="center" vertical="center"/>
    </xf>
    <xf numFmtId="0" fontId="0" fillId="62" borderId="34" xfId="0" applyFill="1" applyBorder="1" applyAlignment="1">
      <alignment horizontal="center"/>
    </xf>
    <xf numFmtId="0" fontId="0" fillId="60" borderId="39" xfId="0" applyFont="1" applyFill="1" applyBorder="1" applyAlignment="1">
      <alignment horizontal="center" vertical="center"/>
    </xf>
    <xf numFmtId="0" fontId="0" fillId="62" borderId="34" xfId="0" applyFont="1" applyFill="1" applyBorder="1" applyAlignment="1">
      <alignment horizontal="left" vertical="center" indent="1"/>
    </xf>
    <xf numFmtId="0" fontId="0" fillId="62" borderId="34" xfId="0" applyFont="1" applyFill="1" applyBorder="1" applyAlignment="1">
      <alignment horizontal="right" vertical="center" indent="1"/>
    </xf>
    <xf numFmtId="0" fontId="64" fillId="60" borderId="39" xfId="0" applyFont="1" applyFill="1" applyBorder="1" applyAlignment="1">
      <alignment horizontal="center" vertical="center"/>
    </xf>
    <xf numFmtId="0" fontId="0" fillId="71" borderId="34" xfId="0" applyFont="1" applyFill="1" applyBorder="1" applyAlignment="1">
      <alignment horizontal="center" vertical="center"/>
    </xf>
    <xf numFmtId="0" fontId="64" fillId="66" borderId="25" xfId="0" applyFont="1" applyFill="1" applyBorder="1" applyAlignment="1">
      <alignment horizontal="center" vertical="distributed"/>
    </xf>
    <xf numFmtId="0" fontId="64" fillId="66" borderId="114" xfId="0" applyFont="1" applyFill="1" applyBorder="1" applyAlignment="1">
      <alignment horizontal="center"/>
    </xf>
    <xf numFmtId="0" fontId="0" fillId="60" borderId="160" xfId="0" applyFont="1" applyFill="1" applyBorder="1" applyAlignment="1">
      <alignment horizontal="center" vertical="center"/>
    </xf>
    <xf numFmtId="0" fontId="0" fillId="60" borderId="26" xfId="0" applyFont="1" applyFill="1" applyBorder="1" applyAlignment="1">
      <alignment horizontal="center" vertical="center"/>
    </xf>
    <xf numFmtId="0" fontId="0" fillId="60" borderId="44" xfId="0" applyFont="1" applyFill="1" applyBorder="1" applyAlignment="1">
      <alignment horizontal="center" vertical="center"/>
    </xf>
    <xf numFmtId="0" fontId="0" fillId="60" borderId="190" xfId="0" applyFont="1" applyFill="1" applyBorder="1" applyAlignment="1">
      <alignment horizontal="center" vertical="center"/>
    </xf>
    <xf numFmtId="0" fontId="0" fillId="69" borderId="25" xfId="0" applyFont="1" applyFill="1" applyBorder="1" applyAlignment="1">
      <alignment horizontal="center" vertical="center"/>
    </xf>
    <xf numFmtId="0" fontId="0" fillId="60" borderId="34" xfId="0" applyFont="1" applyFill="1" applyBorder="1" applyAlignment="1">
      <alignment horizontal="center" vertical="center"/>
    </xf>
    <xf numFmtId="0" fontId="34" fillId="60" borderId="25" xfId="0" applyFont="1" applyFill="1" applyBorder="1" applyAlignment="1">
      <alignment horizontal="center" vertical="center"/>
    </xf>
    <xf numFmtId="0" fontId="34" fillId="60" borderId="53" xfId="0" applyFont="1" applyFill="1" applyBorder="1" applyAlignment="1">
      <alignment horizontal="center" vertical="center"/>
    </xf>
    <xf numFmtId="0" fontId="34" fillId="60" borderId="78" xfId="0" applyFont="1" applyFill="1" applyBorder="1" applyAlignment="1">
      <alignment horizontal="center" vertical="center"/>
    </xf>
    <xf numFmtId="0" fontId="0" fillId="60" borderId="37" xfId="0" applyFont="1" applyFill="1" applyBorder="1" applyAlignment="1">
      <alignment horizontal="center" vertical="center"/>
    </xf>
    <xf numFmtId="0" fontId="34" fillId="60" borderId="251" xfId="0" applyFont="1" applyFill="1" applyBorder="1" applyAlignment="1">
      <alignment horizontal="center" vertical="center"/>
    </xf>
    <xf numFmtId="0" fontId="34" fillId="60" borderId="37" xfId="0" applyFont="1" applyFill="1" applyBorder="1" applyAlignment="1">
      <alignment horizontal="center" vertical="center"/>
    </xf>
    <xf numFmtId="0" fontId="64" fillId="69" borderId="0" xfId="0" applyFont="1" applyFill="1" applyBorder="1" applyAlignment="1">
      <alignment horizontal="center" vertical="center"/>
    </xf>
    <xf numFmtId="0" fontId="64" fillId="69" borderId="47" xfId="0" applyFont="1" applyFill="1" applyBorder="1" applyAlignment="1">
      <alignment horizontal="center" vertical="center"/>
    </xf>
    <xf numFmtId="0" fontId="64" fillId="69" borderId="0" xfId="0" applyFont="1" applyFill="1" applyBorder="1" applyAlignment="1">
      <alignment horizontal="center" vertical="top"/>
    </xf>
    <xf numFmtId="0" fontId="64" fillId="72" borderId="47" xfId="0" applyFont="1" applyFill="1" applyBorder="1" applyAlignment="1">
      <alignment horizontal="center" vertical="center"/>
    </xf>
    <xf numFmtId="0" fontId="0" fillId="69" borderId="246" xfId="0" applyFont="1" applyFill="1" applyBorder="1" applyAlignment="1">
      <alignment horizontal="center" vertical="center"/>
    </xf>
    <xf numFmtId="0" fontId="64" fillId="70" borderId="0" xfId="0" applyFont="1" applyFill="1" applyBorder="1" applyAlignment="1">
      <alignment horizontal="center" vertical="center"/>
    </xf>
    <xf numFmtId="0" fontId="34" fillId="60" borderId="34" xfId="0" applyFont="1" applyFill="1" applyBorder="1" applyAlignment="1">
      <alignment horizontal="center" vertical="center"/>
    </xf>
    <xf numFmtId="0" fontId="34" fillId="60" borderId="31" xfId="0" applyFont="1" applyFill="1" applyBorder="1" applyAlignment="1">
      <alignment horizontal="center" vertical="center"/>
    </xf>
    <xf numFmtId="0" fontId="34" fillId="60" borderId="54" xfId="0" applyFont="1" applyFill="1" applyBorder="1" applyAlignment="1">
      <alignment horizontal="center" vertical="center"/>
    </xf>
    <xf numFmtId="0" fontId="34" fillId="60" borderId="44" xfId="0" applyFont="1" applyFill="1" applyBorder="1" applyAlignment="1">
      <alignment horizontal="center" vertical="center"/>
    </xf>
    <xf numFmtId="0" fontId="64" fillId="66" borderId="255" xfId="0" applyFont="1" applyFill="1" applyBorder="1" applyAlignment="1">
      <alignment horizontal="center" vertical="center"/>
    </xf>
    <xf numFmtId="0" fontId="64" fillId="64" borderId="34" xfId="0" applyFont="1" applyFill="1" applyBorder="1" applyAlignment="1">
      <alignment horizontal="center" vertical="center"/>
    </xf>
    <xf numFmtId="0" fontId="64" fillId="66" borderId="31" xfId="0" applyFont="1" applyFill="1" applyBorder="1" applyAlignment="1">
      <alignment horizontal="center"/>
    </xf>
    <xf numFmtId="0" fontId="76" fillId="1" borderId="161" xfId="0" applyFont="1" applyFill="1" applyBorder="1" applyAlignment="1">
      <alignment horizontal="center"/>
    </xf>
    <xf numFmtId="0" fontId="76" fillId="1" borderId="161" xfId="0" applyFont="1" applyFill="1" applyBorder="1" applyAlignment="1">
      <alignment horizontal="center" vertical="center"/>
    </xf>
    <xf numFmtId="0" fontId="0" fillId="63" borderId="0" xfId="0" applyFont="1" applyFill="1" applyBorder="1" applyAlignment="1">
      <alignment horizontal="center" vertical="center"/>
    </xf>
    <xf numFmtId="0" fontId="0" fillId="60" borderId="31" xfId="0" applyFont="1" applyFill="1" applyBorder="1" applyAlignment="1">
      <alignment horizontal="center" vertical="center"/>
    </xf>
    <xf numFmtId="0" fontId="76" fillId="1" borderId="122" xfId="0" applyFont="1" applyFill="1" applyBorder="1" applyAlignment="1">
      <alignment horizontal="center"/>
    </xf>
    <xf numFmtId="0" fontId="76" fillId="1" borderId="122" xfId="0" applyFont="1" applyFill="1" applyBorder="1" applyAlignment="1">
      <alignment horizontal="center" vertical="center"/>
    </xf>
    <xf numFmtId="0" fontId="17" fillId="63" borderId="154" xfId="0" applyFont="1" applyFill="1" applyBorder="1" applyAlignment="1">
      <alignment horizontal="center" vertical="center"/>
    </xf>
    <xf numFmtId="0" fontId="17" fillId="63" borderId="0" xfId="0" applyFont="1" applyFill="1" applyBorder="1" applyAlignment="1">
      <alignment horizontal="center" vertical="center"/>
    </xf>
    <xf numFmtId="0" fontId="0" fillId="63" borderId="154" xfId="0" applyFont="1" applyFill="1" applyBorder="1" applyAlignment="1">
      <alignment horizontal="center" vertical="center"/>
    </xf>
    <xf numFmtId="0" fontId="64" fillId="66" borderId="0" xfId="0" applyFont="1" applyFill="1" applyBorder="1" applyAlignment="1">
      <alignment horizontal="center" vertical="distributed"/>
    </xf>
    <xf numFmtId="0" fontId="64" fillId="66" borderId="0" xfId="0" applyFont="1" applyFill="1" applyBorder="1" applyAlignment="1">
      <alignment horizontal="center" vertical="top"/>
    </xf>
    <xf numFmtId="0" fontId="0" fillId="69" borderId="0" xfId="0" applyFont="1" applyFill="1" applyBorder="1" applyAlignment="1">
      <alignment horizontal="center" vertical="center"/>
    </xf>
    <xf numFmtId="0" fontId="67" fillId="66" borderId="246" xfId="0" applyFont="1" applyFill="1" applyBorder="1" applyAlignment="1">
      <alignment horizontal="center" vertical="center"/>
    </xf>
    <xf numFmtId="0" fontId="64" fillId="66" borderId="35" xfId="0" applyFont="1" applyFill="1" applyBorder="1" applyAlignment="1">
      <alignment horizontal="center" vertical="center"/>
    </xf>
    <xf numFmtId="0" fontId="2" fillId="60" borderId="44" xfId="0" applyFont="1" applyFill="1" applyBorder="1" applyAlignment="1">
      <alignment horizontal="center" vertical="center"/>
    </xf>
    <xf numFmtId="0" fontId="2" fillId="60" borderId="0" xfId="0" applyFont="1" applyFill="1" applyBorder="1" applyAlignment="1">
      <alignment horizontal="distributed" vertical="justify"/>
    </xf>
    <xf numFmtId="0" fontId="94" fillId="60" borderId="37" xfId="0" applyFont="1" applyFill="1" applyBorder="1" applyAlignment="1">
      <alignment horizontal="distributed" vertical="distributed"/>
    </xf>
    <xf numFmtId="0" fontId="67" fillId="63" borderId="246" xfId="0" applyFont="1" applyFill="1" applyBorder="1" applyAlignment="1">
      <alignment horizontal="center" vertical="center"/>
    </xf>
    <xf numFmtId="0" fontId="67" fillId="63" borderId="25" xfId="0" applyFont="1" applyFill="1" applyBorder="1" applyAlignment="1">
      <alignment horizontal="center" vertical="center"/>
    </xf>
    <xf numFmtId="0" fontId="76" fillId="60" borderId="25" xfId="0" applyFont="1" applyFill="1" applyBorder="1" applyAlignment="1">
      <alignment horizontal="center" vertical="center"/>
    </xf>
    <xf numFmtId="0" fontId="76" fillId="60" borderId="251" xfId="0" applyFont="1" applyFill="1" applyBorder="1" applyAlignment="1">
      <alignment horizontal="center" vertical="center"/>
    </xf>
    <xf numFmtId="0" fontId="0" fillId="60" borderId="41" xfId="0" applyFont="1" applyFill="1" applyBorder="1" applyAlignment="1">
      <alignment horizontal="center" vertical="center"/>
    </xf>
    <xf numFmtId="0" fontId="76" fillId="60" borderId="34" xfId="0" applyFont="1" applyFill="1" applyBorder="1" applyAlignment="1">
      <alignment horizontal="center" vertical="center"/>
    </xf>
    <xf numFmtId="0" fontId="0" fillId="60" borderId="251" xfId="0" applyFont="1" applyFill="1" applyBorder="1" applyAlignment="1">
      <alignment horizontal="center" vertical="center"/>
    </xf>
    <xf numFmtId="0" fontId="64" fillId="60" borderId="31" xfId="0" applyFont="1" applyFill="1" applyBorder="1" applyAlignment="1">
      <alignment horizontal="center" vertical="center"/>
    </xf>
    <xf numFmtId="0" fontId="64" fillId="60" borderId="37" xfId="0" applyFont="1" applyFill="1" applyBorder="1" applyAlignment="1">
      <alignment horizontal="center" vertical="center"/>
    </xf>
    <xf numFmtId="0" fontId="90" fillId="60" borderId="26" xfId="0" applyFont="1" applyFill="1" applyBorder="1" applyAlignment="1">
      <alignment horizontal="center" vertical="center"/>
    </xf>
    <xf numFmtId="0" fontId="67" fillId="60" borderId="37" xfId="0" applyFont="1" applyFill="1" applyBorder="1" applyAlignment="1">
      <alignment horizontal="center" vertical="justify"/>
    </xf>
    <xf numFmtId="0" fontId="64" fillId="62" borderId="37" xfId="0" applyFont="1" applyFill="1" applyBorder="1" applyAlignment="1">
      <alignment horizontal="center" vertical="center"/>
    </xf>
    <xf numFmtId="0" fontId="0" fillId="66" borderId="256" xfId="0" applyFont="1" applyFill="1" applyBorder="1" applyAlignment="1">
      <alignment horizontal="center" vertical="center"/>
    </xf>
    <xf numFmtId="0" fontId="0" fillId="66" borderId="257" xfId="0" applyFont="1" applyFill="1" applyBorder="1" applyAlignment="1">
      <alignment horizontal="center" vertical="center"/>
    </xf>
    <xf numFmtId="0" fontId="64" fillId="62" borderId="250" xfId="0" applyFont="1" applyFill="1" applyBorder="1" applyAlignment="1">
      <alignment horizontal="center" vertical="center"/>
    </xf>
    <xf numFmtId="0" fontId="34" fillId="71" borderId="26" xfId="0" applyFont="1" applyFill="1" applyBorder="1" applyAlignment="1">
      <alignment horizontal="center" vertical="center"/>
    </xf>
    <xf numFmtId="0" fontId="34" fillId="71" borderId="26" xfId="0" applyFont="1" applyFill="1" applyBorder="1" applyAlignment="1">
      <alignment horizontal="center" vertical="distributed"/>
    </xf>
    <xf numFmtId="0" fontId="34" fillId="60" borderId="39" xfId="0" applyFont="1" applyFill="1" applyBorder="1" applyAlignment="1">
      <alignment horizontal="right" vertical="top" indent="1"/>
    </xf>
    <xf numFmtId="0" fontId="34" fillId="71" borderId="39" xfId="0" applyFont="1" applyFill="1" applyBorder="1" applyAlignment="1">
      <alignment horizontal="center" vertical="center"/>
    </xf>
    <xf numFmtId="0" fontId="67" fillId="71" borderId="39" xfId="0" applyFont="1" applyFill="1" applyBorder="1" applyAlignment="1">
      <alignment horizontal="center" vertical="center"/>
    </xf>
    <xf numFmtId="0" fontId="67" fillId="71" borderId="25" xfId="0" applyFont="1" applyFill="1" applyBorder="1" applyAlignment="1">
      <alignment horizontal="center" vertical="center"/>
    </xf>
    <xf numFmtId="0" fontId="67" fillId="63" borderId="39" xfId="0" applyFont="1" applyFill="1" applyBorder="1" applyAlignment="1">
      <alignment horizontal="center" vertical="center"/>
    </xf>
    <xf numFmtId="0" fontId="34" fillId="62" borderId="39" xfId="0" applyFont="1" applyFill="1" applyBorder="1" applyAlignment="1">
      <alignment horizontal="right" vertical="top" indent="1"/>
    </xf>
    <xf numFmtId="0" fontId="90" fillId="60" borderId="37" xfId="0" applyFont="1" applyFill="1" applyBorder="1" applyAlignment="1">
      <alignment horizontal="center" vertical="top"/>
    </xf>
    <xf numFmtId="0" fontId="90" fillId="62" borderId="26" xfId="0" applyFont="1" applyFill="1" applyBorder="1" applyAlignment="1">
      <alignment horizontal="center" vertical="center"/>
    </xf>
    <xf numFmtId="0" fontId="90" fillId="60" borderId="37" xfId="0" applyFont="1" applyFill="1" applyBorder="1" applyAlignment="1">
      <alignment horizontal="center" vertical="justify"/>
    </xf>
    <xf numFmtId="0" fontId="34" fillId="71" borderId="258" xfId="0" applyFont="1" applyFill="1" applyBorder="1" applyAlignment="1">
      <alignment horizontal="center" vertical="center"/>
    </xf>
    <xf numFmtId="0" fontId="0" fillId="72" borderId="34" xfId="0" applyFont="1" applyFill="1" applyBorder="1" applyAlignment="1">
      <alignment horizontal="left" vertical="center" indent="1"/>
    </xf>
    <xf numFmtId="0" fontId="0" fillId="72" borderId="34" xfId="0" applyFont="1" applyFill="1" applyBorder="1" applyAlignment="1">
      <alignment horizontal="right" vertical="center" indent="1"/>
    </xf>
    <xf numFmtId="0" fontId="0" fillId="72" borderId="34" xfId="0" applyFont="1" applyFill="1" applyBorder="1" applyAlignment="1">
      <alignment horizontal="center" vertical="center"/>
    </xf>
    <xf numFmtId="0" fontId="0" fillId="71" borderId="259" xfId="0" applyFont="1" applyFill="1" applyBorder="1" applyAlignment="1">
      <alignment horizontal="center" vertical="center"/>
    </xf>
    <xf numFmtId="0" fontId="2" fillId="71" borderId="26" xfId="0" applyFont="1" applyFill="1" applyBorder="1" applyAlignment="1">
      <alignment horizontal="center" vertical="center"/>
    </xf>
    <xf numFmtId="0" fontId="67" fillId="71" borderId="26" xfId="0" applyFont="1" applyFill="1" applyBorder="1" applyAlignment="1">
      <alignment horizontal="center" vertical="center"/>
    </xf>
    <xf numFmtId="0" fontId="2" fillId="72" borderId="26" xfId="0" applyFont="1" applyFill="1" applyBorder="1" applyAlignment="1">
      <alignment horizontal="center" vertical="center"/>
    </xf>
    <xf numFmtId="0" fontId="0" fillId="72" borderId="82" xfId="0" applyFont="1" applyFill="1" applyBorder="1" applyAlignment="1">
      <alignment horizontal="center" vertical="center"/>
    </xf>
    <xf numFmtId="0" fontId="2" fillId="72" borderId="72" xfId="0" applyFont="1" applyFill="1" applyBorder="1" applyAlignment="1">
      <alignment horizontal="center" vertical="top"/>
    </xf>
    <xf numFmtId="0" fontId="0" fillId="72" borderId="72" xfId="0" applyFont="1" applyFill="1" applyBorder="1" applyAlignment="1">
      <alignment horizontal="center" vertical="center"/>
    </xf>
    <xf numFmtId="0" fontId="0" fillId="71" borderId="26" xfId="0" applyFont="1" applyFill="1" applyBorder="1" applyAlignment="1">
      <alignment horizontal="center" vertical="center"/>
    </xf>
    <xf numFmtId="0" fontId="90" fillId="62" borderId="31" xfId="0" applyFont="1" applyFill="1" applyBorder="1" applyAlignment="1">
      <alignment horizontal="center" vertical="center"/>
    </xf>
    <xf numFmtId="0" fontId="90" fillId="62" borderId="37" xfId="0" applyFont="1" applyFill="1" applyBorder="1" applyAlignment="1">
      <alignment horizontal="distributed" vertical="justify"/>
    </xf>
    <xf numFmtId="0" fontId="90" fillId="62" borderId="0" xfId="0" applyFont="1" applyFill="1" applyBorder="1" applyAlignment="1">
      <alignment horizontal="distributed" vertical="justify"/>
    </xf>
    <xf numFmtId="0" fontId="34" fillId="71" borderId="0" xfId="0" applyFont="1" applyFill="1" applyBorder="1" applyAlignment="1">
      <alignment horizontal="center" vertical="center"/>
    </xf>
    <xf numFmtId="0" fontId="34" fillId="71" borderId="39" xfId="0" applyFont="1" applyFill="1" applyBorder="1" applyAlignment="1">
      <alignment horizontal="right" vertical="top" indent="1"/>
    </xf>
    <xf numFmtId="0" fontId="64" fillId="71" borderId="260" xfId="0" applyFont="1" applyFill="1" applyBorder="1" applyAlignment="1">
      <alignment horizontal="center" vertical="center"/>
    </xf>
    <xf numFmtId="0" fontId="34" fillId="71" borderId="106" xfId="0" applyFont="1" applyFill="1" applyBorder="1" applyAlignment="1">
      <alignment horizontal="center" vertical="center"/>
    </xf>
    <xf numFmtId="0" fontId="90" fillId="62" borderId="37" xfId="0" applyFont="1" applyFill="1" applyBorder="1" applyAlignment="1">
      <alignment horizontal="center" vertical="center"/>
    </xf>
    <xf numFmtId="0" fontId="64" fillId="62" borderId="31" xfId="0" applyFont="1" applyFill="1" applyBorder="1" applyAlignment="1">
      <alignment horizontal="center" vertical="center"/>
    </xf>
    <xf numFmtId="0" fontId="94" fillId="60" borderId="37" xfId="0" applyFont="1" applyFill="1" applyBorder="1" applyAlignment="1">
      <alignment horizontal="center" vertical="center"/>
    </xf>
    <xf numFmtId="0" fontId="0" fillId="62" borderId="26" xfId="0" applyFont="1" applyFill="1" applyBorder="1" applyAlignment="1">
      <alignment horizontal="center" vertical="justify"/>
    </xf>
    <xf numFmtId="0" fontId="64" fillId="62" borderId="37" xfId="0" applyFont="1" applyFill="1" applyBorder="1" applyAlignment="1">
      <alignment horizontal="right" vertical="center" indent="6"/>
    </xf>
    <xf numFmtId="0" fontId="67" fillId="71" borderId="39" xfId="0" applyFont="1" applyFill="1" applyBorder="1" applyAlignment="1">
      <alignment horizontal="right" vertical="center" indent="6"/>
    </xf>
    <xf numFmtId="0" fontId="34" fillId="71" borderId="48" xfId="0" applyFont="1" applyFill="1" applyBorder="1" applyAlignment="1">
      <alignment horizontal="center" vertical="center"/>
    </xf>
    <xf numFmtId="0" fontId="76" fillId="71" borderId="48" xfId="0" applyFont="1" applyFill="1" applyBorder="1" applyAlignment="1">
      <alignment horizontal="center" vertical="center"/>
    </xf>
    <xf numFmtId="0" fontId="93" fillId="71" borderId="39" xfId="0" applyFont="1" applyFill="1" applyBorder="1" applyAlignment="1">
      <alignment horizontal="center" vertical="distributed"/>
    </xf>
    <xf numFmtId="0" fontId="76" fillId="71" borderId="261" xfId="0" applyFont="1" applyFill="1" applyBorder="1" applyAlignment="1">
      <alignment horizontal="center" vertical="center"/>
    </xf>
    <xf numFmtId="0" fontId="34" fillId="71" borderId="48" xfId="0" applyFont="1" applyFill="1" applyBorder="1" applyAlignment="1">
      <alignment horizontal="center"/>
    </xf>
    <xf numFmtId="0" fontId="90" fillId="62" borderId="262" xfId="0" applyFont="1" applyFill="1" applyBorder="1" applyAlignment="1">
      <alignment horizontal="center" vertical="top"/>
    </xf>
    <xf numFmtId="0" fontId="0" fillId="69" borderId="53" xfId="0" applyFill="1" applyBorder="1" applyAlignment="1">
      <alignment horizontal="center" vertical="center"/>
    </xf>
    <xf numFmtId="0" fontId="94" fillId="62" borderId="250" xfId="0" applyFont="1" applyFill="1" applyBorder="1" applyAlignment="1">
      <alignment horizontal="center"/>
    </xf>
    <xf numFmtId="0" fontId="0" fillId="72" borderId="53" xfId="0" applyFill="1" applyBorder="1" applyAlignment="1">
      <alignment horizontal="center" vertical="center"/>
    </xf>
    <xf numFmtId="0" fontId="0" fillId="60" borderId="53" xfId="0" applyFill="1" applyBorder="1" applyAlignment="1">
      <alignment horizontal="center" vertical="justify"/>
    </xf>
    <xf numFmtId="0" fontId="34" fillId="71" borderId="263" xfId="0" applyFont="1" applyFill="1" applyBorder="1" applyAlignment="1">
      <alignment horizontal="center" vertical="center"/>
    </xf>
    <xf numFmtId="0" fontId="90" fillId="60" borderId="264" xfId="0" applyFont="1" applyFill="1" applyBorder="1" applyAlignment="1">
      <alignment horizontal="center" vertical="center"/>
    </xf>
    <xf numFmtId="0" fontId="64" fillId="60" borderId="265" xfId="0" applyFont="1" applyFill="1" applyBorder="1" applyAlignment="1">
      <alignment horizontal="center" vertical="center"/>
    </xf>
    <xf numFmtId="0" fontId="94" fillId="60" borderId="265" xfId="0" applyFont="1" applyFill="1" applyBorder="1" applyAlignment="1">
      <alignment horizontal="center" vertical="center"/>
    </xf>
    <xf numFmtId="0" fontId="34" fillId="71" borderId="266" xfId="0" applyFont="1" applyFill="1" applyBorder="1" applyAlignment="1">
      <alignment horizontal="center" vertical="center"/>
    </xf>
    <xf numFmtId="0" fontId="90" fillId="60" borderId="267" xfId="0" applyFont="1" applyFill="1" applyBorder="1" applyAlignment="1">
      <alignment horizontal="center" vertical="center"/>
    </xf>
    <xf numFmtId="0" fontId="0" fillId="60" borderId="35" xfId="0" applyFill="1" applyBorder="1" applyAlignment="1">
      <alignment horizontal="center" vertical="justify"/>
    </xf>
    <xf numFmtId="0" fontId="0" fillId="60" borderId="243" xfId="0" applyFill="1" applyBorder="1" applyAlignment="1">
      <alignment horizontal="center" vertical="justify"/>
    </xf>
    <xf numFmtId="0" fontId="0" fillId="60" borderId="40" xfId="0" applyFill="1" applyBorder="1" applyAlignment="1">
      <alignment horizontal="center" vertical="distributed"/>
    </xf>
    <xf numFmtId="0" fontId="0" fillId="69" borderId="81" xfId="0" applyFill="1" applyBorder="1" applyAlignment="1">
      <alignment horizontal="center" vertical="center"/>
    </xf>
    <xf numFmtId="0" fontId="0" fillId="69" borderId="262" xfId="0" applyFill="1" applyBorder="1" applyAlignment="1">
      <alignment horizontal="center" vertical="center"/>
    </xf>
    <xf numFmtId="0" fontId="0" fillId="69" borderId="266" xfId="0" applyFill="1" applyBorder="1" applyAlignment="1">
      <alignment horizontal="center" vertical="center"/>
    </xf>
    <xf numFmtId="0" fontId="0" fillId="69" borderId="102" xfId="0" applyFill="1" applyBorder="1" applyAlignment="1">
      <alignment horizontal="center" vertical="distributed"/>
    </xf>
    <xf numFmtId="0" fontId="64" fillId="66" borderId="39" xfId="0" applyFont="1" applyFill="1" applyBorder="1" applyAlignment="1">
      <alignment horizontal="center"/>
    </xf>
    <xf numFmtId="0" fontId="0" fillId="72" borderId="62" xfId="0" applyFill="1" applyBorder="1" applyAlignment="1">
      <alignment horizontal="center" vertical="justify"/>
    </xf>
    <xf numFmtId="0" fontId="0" fillId="72" borderId="63" xfId="0" applyFill="1" applyBorder="1" applyAlignment="1">
      <alignment horizontal="center" vertical="justify"/>
    </xf>
    <xf numFmtId="0" fontId="0" fillId="72" borderId="47" xfId="0" applyFill="1" applyBorder="1" applyAlignment="1">
      <alignment horizontal="center" vertical="justify"/>
    </xf>
    <xf numFmtId="0" fontId="67" fillId="69" borderId="0" xfId="0" applyFont="1" applyFill="1" applyBorder="1" applyAlignment="1">
      <alignment horizontal="center" vertical="top"/>
    </xf>
    <xf numFmtId="0" fontId="64" fillId="69" borderId="0" xfId="0" applyFont="1" applyFill="1" applyBorder="1" applyAlignment="1">
      <alignment horizontal="right" vertical="top" indent="2"/>
    </xf>
    <xf numFmtId="0" fontId="64" fillId="60" borderId="25" xfId="0" applyFont="1" applyFill="1" applyBorder="1" applyAlignment="1">
      <alignment horizontal="center"/>
    </xf>
    <xf numFmtId="0" fontId="0" fillId="71" borderId="268" xfId="0" applyFont="1" applyFill="1" applyBorder="1" applyAlignment="1">
      <alignment horizontal="center" vertical="center"/>
    </xf>
    <xf numFmtId="0" fontId="0" fillId="72" borderId="269" xfId="0" applyFill="1" applyBorder="1" applyAlignment="1">
      <alignment horizontal="center" vertical="justify"/>
    </xf>
    <xf numFmtId="0" fontId="0" fillId="72" borderId="270" xfId="0" applyFill="1" applyBorder="1" applyAlignment="1">
      <alignment horizontal="center" vertical="justify"/>
    </xf>
    <xf numFmtId="0" fontId="0" fillId="69" borderId="150" xfId="0" applyFill="1" applyBorder="1" applyAlignment="1">
      <alignment horizontal="center" vertical="center"/>
    </xf>
    <xf numFmtId="0" fontId="64" fillId="72" borderId="0" xfId="0" applyFont="1" applyFill="1" applyBorder="1" applyAlignment="1">
      <alignment horizontal="center" vertical="justify"/>
    </xf>
    <xf numFmtId="0" fontId="67" fillId="72" borderId="0" xfId="0" applyFont="1" applyFill="1" applyBorder="1" applyAlignment="1">
      <alignment horizontal="center" vertical="distributed"/>
    </xf>
    <xf numFmtId="0" fontId="64" fillId="72" borderId="34" xfId="0" applyFont="1" applyFill="1" applyBorder="1" applyAlignment="1">
      <alignment horizontal="center" vertical="justify"/>
    </xf>
    <xf numFmtId="0" fontId="67" fillId="72" borderId="0" xfId="0" applyFont="1" applyFill="1" applyBorder="1" applyAlignment="1">
      <alignment horizontal="center" vertical="center"/>
    </xf>
    <xf numFmtId="0" fontId="64" fillId="60" borderId="63" xfId="0" applyFont="1" applyFill="1" applyBorder="1" applyAlignment="1">
      <alignment horizontal="center" vertical="center"/>
    </xf>
    <xf numFmtId="0" fontId="0" fillId="60" borderId="39" xfId="0" applyFont="1" applyFill="1" applyBorder="1" applyAlignment="1">
      <alignment horizontal="center"/>
    </xf>
    <xf numFmtId="0" fontId="0" fillId="72" borderId="39" xfId="0" applyFont="1" applyFill="1" applyBorder="1" applyAlignment="1">
      <alignment horizontal="center"/>
    </xf>
    <xf numFmtId="0" fontId="0" fillId="72" borderId="25" xfId="0" applyFont="1" applyFill="1" applyBorder="1" applyAlignment="1">
      <alignment horizontal="center"/>
    </xf>
    <xf numFmtId="0" fontId="0" fillId="72" borderId="53" xfId="0" applyFont="1" applyFill="1" applyBorder="1" applyAlignment="1">
      <alignment horizontal="center"/>
    </xf>
    <xf numFmtId="0" fontId="2" fillId="72" borderId="0" xfId="0" applyFont="1" applyFill="1" applyBorder="1" applyAlignment="1">
      <alignment horizontal="distributed" vertical="distributed"/>
    </xf>
    <xf numFmtId="0" fontId="67" fillId="72" borderId="25" xfId="0" applyFont="1" applyFill="1" applyBorder="1" applyAlignment="1">
      <alignment horizontal="center" vertical="distributed"/>
    </xf>
    <xf numFmtId="0" fontId="64" fillId="72" borderId="39" xfId="0" applyFont="1" applyFill="1" applyBorder="1" applyAlignment="1">
      <alignment horizontal="center" vertical="center"/>
    </xf>
    <xf numFmtId="0" fontId="64" fillId="69" borderId="0" xfId="0" applyFont="1" applyFill="1" applyBorder="1" applyAlignment="1">
      <alignment horizontal="center"/>
    </xf>
    <xf numFmtId="0" fontId="10" fillId="69" borderId="0" xfId="0" applyFont="1" applyFill="1" applyBorder="1" applyAlignment="1">
      <alignment horizontal="center" vertical="center"/>
    </xf>
    <xf numFmtId="0" fontId="64" fillId="72" borderId="55" xfId="0" applyFont="1" applyFill="1" applyBorder="1" applyAlignment="1">
      <alignment horizontal="center" vertical="justify"/>
    </xf>
    <xf numFmtId="0" fontId="64" fillId="72" borderId="53" xfId="0" applyFont="1" applyFill="1" applyBorder="1" applyAlignment="1">
      <alignment horizontal="center" vertical="center"/>
    </xf>
    <xf numFmtId="0" fontId="64" fillId="72" borderId="61" xfId="0" applyFont="1" applyFill="1" applyBorder="1" applyAlignment="1">
      <alignment horizontal="center" vertical="center"/>
    </xf>
    <xf numFmtId="0" fontId="0" fillId="58" borderId="39" xfId="0" applyFill="1" applyBorder="1"/>
    <xf numFmtId="0" fontId="67" fillId="72" borderId="39" xfId="0" applyFont="1" applyFill="1" applyBorder="1" applyAlignment="1">
      <alignment horizontal="center" vertical="center"/>
    </xf>
    <xf numFmtId="0" fontId="2" fillId="72" borderId="39" xfId="0" applyFont="1" applyFill="1" applyBorder="1" applyAlignment="1">
      <alignment horizontal="distributed" vertical="justify"/>
    </xf>
    <xf numFmtId="0" fontId="64" fillId="72" borderId="39" xfId="0" applyFont="1" applyFill="1" applyBorder="1" applyAlignment="1">
      <alignment horizontal="center" vertical="justify"/>
    </xf>
    <xf numFmtId="0" fontId="69" fillId="60" borderId="37" xfId="0" applyFont="1" applyFill="1" applyBorder="1" applyAlignment="1">
      <alignment horizontal="center" vertical="center"/>
    </xf>
    <xf numFmtId="0" fontId="0" fillId="72" borderId="63" xfId="0" applyFill="1" applyBorder="1" applyAlignment="1">
      <alignment horizontal="center"/>
    </xf>
    <xf numFmtId="0" fontId="0" fillId="72" borderId="62" xfId="0" applyFill="1" applyBorder="1" applyAlignment="1">
      <alignment horizontal="center"/>
    </xf>
    <xf numFmtId="0" fontId="0" fillId="72" borderId="271" xfId="0" applyFill="1" applyBorder="1" applyAlignment="1">
      <alignment horizontal="center" vertical="justify"/>
    </xf>
    <xf numFmtId="0" fontId="0" fillId="72" borderId="272" xfId="0" applyFill="1" applyBorder="1" applyAlignment="1">
      <alignment horizontal="center" vertical="justify"/>
    </xf>
    <xf numFmtId="0" fontId="0" fillId="62" borderId="273" xfId="0" applyFill="1" applyBorder="1" applyAlignment="1">
      <alignment horizontal="center" vertical="center"/>
    </xf>
    <xf numFmtId="0" fontId="0" fillId="62" borderId="274" xfId="0" applyFill="1" applyBorder="1" applyAlignment="1">
      <alignment horizontal="center" vertical="center"/>
    </xf>
    <xf numFmtId="0" fontId="68" fillId="66" borderId="37" xfId="0" applyFont="1" applyFill="1" applyBorder="1" applyAlignment="1">
      <alignment horizontal="right" vertical="justify" indent="1"/>
    </xf>
    <xf numFmtId="0" fontId="68" fillId="66" borderId="25" xfId="0" applyFont="1" applyFill="1" applyBorder="1" applyAlignment="1">
      <alignment horizontal="right" vertical="justify" indent="1"/>
    </xf>
    <xf numFmtId="0" fontId="34" fillId="62" borderId="34" xfId="0" applyFont="1" applyFill="1" applyBorder="1" applyAlignment="1">
      <alignment horizontal="center" vertical="center"/>
    </xf>
    <xf numFmtId="0" fontId="34" fillId="60" borderId="246" xfId="0" applyFont="1" applyFill="1" applyBorder="1" applyAlignment="1">
      <alignment horizontal="center" vertical="center"/>
    </xf>
    <xf numFmtId="0" fontId="2" fillId="60" borderId="54" xfId="0" applyFont="1" applyFill="1" applyBorder="1" applyAlignment="1">
      <alignment horizontal="center" vertical="center"/>
    </xf>
    <xf numFmtId="0" fontId="95" fillId="62" borderId="0" xfId="0" applyFont="1" applyFill="1" applyBorder="1" applyAlignment="1">
      <alignment horizontal="center" vertical="center"/>
    </xf>
    <xf numFmtId="0" fontId="95" fillId="62" borderId="0" xfId="0" applyFont="1" applyFill="1" applyBorder="1" applyAlignment="1">
      <alignment horizontal="center" vertical="distributed"/>
    </xf>
    <xf numFmtId="0" fontId="67" fillId="62" borderId="39" xfId="0" applyFont="1" applyFill="1" applyBorder="1" applyAlignment="1">
      <alignment horizontal="center" vertical="justify"/>
    </xf>
    <xf numFmtId="0" fontId="95" fillId="62" borderId="44" xfId="0" applyFont="1" applyFill="1" applyBorder="1" applyAlignment="1">
      <alignment horizontal="center" vertical="center"/>
    </xf>
    <xf numFmtId="0" fontId="0" fillId="71" borderId="25" xfId="0" applyFont="1" applyFill="1" applyBorder="1" applyAlignment="1">
      <alignment horizontal="center" vertical="center"/>
    </xf>
    <xf numFmtId="0" fontId="64" fillId="72" borderId="0" xfId="0" applyFont="1" applyFill="1" applyBorder="1" applyAlignment="1">
      <alignment horizontal="distributed" vertical="center"/>
    </xf>
    <xf numFmtId="0" fontId="0" fillId="62" borderId="36" xfId="0" applyFill="1" applyBorder="1" applyAlignment="1">
      <alignment horizontal="center" vertical="center"/>
    </xf>
    <xf numFmtId="0" fontId="0" fillId="60" borderId="0" xfId="0" applyFill="1" applyBorder="1" applyAlignment="1">
      <alignment horizontal="left" vertical="center" indent="1"/>
    </xf>
    <xf numFmtId="0" fontId="0" fillId="60" borderId="0" xfId="0" applyFill="1" applyBorder="1" applyAlignment="1">
      <alignment horizontal="right" vertical="center" indent="2"/>
    </xf>
    <xf numFmtId="0" fontId="0" fillId="60" borderId="0" xfId="0" applyFill="1" applyBorder="1" applyAlignment="1">
      <alignment horizontal="left" vertical="center" indent="2"/>
    </xf>
    <xf numFmtId="0" fontId="0" fillId="60" borderId="0" xfId="0" applyFill="1" applyBorder="1" applyAlignment="1">
      <alignment horizontal="right" vertical="center" indent="1"/>
    </xf>
    <xf numFmtId="0" fontId="64" fillId="62" borderId="0" xfId="0" applyFont="1" applyFill="1" applyBorder="1" applyAlignment="1">
      <alignment horizontal="center" vertical="center" wrapText="1"/>
    </xf>
    <xf numFmtId="0" fontId="0" fillId="62" borderId="57" xfId="0" applyFill="1" applyBorder="1" applyAlignment="1">
      <alignment horizontal="center" vertical="center"/>
    </xf>
    <xf numFmtId="0" fontId="0" fillId="62" borderId="197" xfId="0" applyFill="1" applyBorder="1" applyAlignment="1">
      <alignment horizontal="center" vertical="center"/>
    </xf>
    <xf numFmtId="0" fontId="0" fillId="62" borderId="275" xfId="0" applyFill="1" applyBorder="1" applyAlignment="1">
      <alignment horizontal="center" vertical="center"/>
    </xf>
    <xf numFmtId="0" fontId="0" fillId="62" borderId="0" xfId="0" applyFill="1" applyBorder="1" applyAlignment="1">
      <alignment horizontal="center" vertical="center" wrapText="1"/>
    </xf>
    <xf numFmtId="0" fontId="0" fillId="62" borderId="33" xfId="0" applyFill="1" applyBorder="1" applyAlignment="1">
      <alignment horizontal="center" vertical="center"/>
    </xf>
    <xf numFmtId="0" fontId="67" fillId="60" borderId="0" xfId="0" applyFont="1" applyFill="1" applyBorder="1" applyAlignment="1">
      <alignment horizontal="center" vertical="justify"/>
    </xf>
    <xf numFmtId="0" fontId="0" fillId="62" borderId="276" xfId="0" applyFill="1" applyBorder="1" applyAlignment="1">
      <alignment horizontal="center" vertical="center"/>
    </xf>
    <xf numFmtId="0" fontId="34" fillId="60" borderId="25" xfId="0" applyFont="1" applyFill="1" applyBorder="1" applyAlignment="1">
      <alignment horizontal="center" vertical="center" wrapText="1"/>
    </xf>
    <xf numFmtId="0" fontId="0" fillId="62" borderId="22" xfId="0" applyFill="1" applyBorder="1" applyAlignment="1">
      <alignment horizontal="center" vertical="center"/>
    </xf>
    <xf numFmtId="0" fontId="0" fillId="62" borderId="275" xfId="0" applyFill="1" applyBorder="1" applyAlignment="1">
      <alignment horizontal="center" vertical="justify"/>
    </xf>
    <xf numFmtId="0" fontId="64" fillId="62" borderId="0" xfId="0" applyFont="1" applyFill="1" applyBorder="1" applyAlignment="1">
      <alignment horizontal="center" vertical="distributed"/>
    </xf>
    <xf numFmtId="0" fontId="2" fillId="71" borderId="47" xfId="0" applyFont="1" applyFill="1" applyBorder="1" applyAlignment="1">
      <alignment horizontal="center" vertical="center"/>
    </xf>
    <xf numFmtId="0" fontId="2" fillId="72" borderId="47" xfId="0" applyFont="1" applyFill="1" applyBorder="1" applyAlignment="1">
      <alignment horizontal="distributed" vertical="distributed" indent="2"/>
    </xf>
    <xf numFmtId="0" fontId="34" fillId="62" borderId="39" xfId="0" applyFont="1" applyFill="1" applyBorder="1" applyAlignment="1">
      <alignment horizontal="center" vertical="center"/>
    </xf>
    <xf numFmtId="0" fontId="34" fillId="62" borderId="25" xfId="0" applyFont="1" applyFill="1" applyBorder="1" applyAlignment="1">
      <alignment horizontal="center" vertical="center"/>
    </xf>
    <xf numFmtId="0" fontId="34" fillId="62" borderId="53" xfId="0" applyFont="1" applyFill="1" applyBorder="1" applyAlignment="1">
      <alignment horizontal="center" vertical="center"/>
    </xf>
    <xf numFmtId="0" fontId="0" fillId="62" borderId="31" xfId="0" applyFill="1" applyBorder="1" applyAlignment="1">
      <alignment horizontal="center"/>
    </xf>
    <xf numFmtId="0" fontId="11" fillId="71" borderId="119" xfId="0" applyFont="1" applyFill="1" applyBorder="1" applyAlignment="1">
      <alignment horizontal="center" vertical="center"/>
    </xf>
    <xf numFmtId="0" fontId="64" fillId="69" borderId="0" xfId="0" applyFont="1" applyFill="1" applyBorder="1" applyAlignment="1">
      <alignment horizontal="distributed" vertical="distributed"/>
    </xf>
    <xf numFmtId="0" fontId="67" fillId="69" borderId="0" xfId="0" applyFont="1" applyFill="1" applyBorder="1" applyAlignment="1">
      <alignment horizontal="distributed" vertical="justify"/>
    </xf>
    <xf numFmtId="0" fontId="0" fillId="69" borderId="39" xfId="0" applyFont="1" applyFill="1" applyBorder="1" applyAlignment="1">
      <alignment horizontal="center" vertical="center"/>
    </xf>
    <xf numFmtId="0" fontId="0" fillId="69" borderId="31" xfId="0" applyFont="1" applyFill="1" applyBorder="1" applyAlignment="1">
      <alignment horizontal="center" vertical="center"/>
    </xf>
    <xf numFmtId="0" fontId="67" fillId="72" borderId="39" xfId="0" applyFont="1" applyFill="1" applyBorder="1" applyAlignment="1">
      <alignment horizontal="center" vertical="top"/>
    </xf>
    <xf numFmtId="0" fontId="64" fillId="69" borderId="25" xfId="0" applyFont="1" applyFill="1" applyBorder="1" applyAlignment="1">
      <alignment horizontal="center" vertical="center"/>
    </xf>
    <xf numFmtId="0" fontId="64" fillId="69" borderId="53" xfId="0" applyFont="1" applyFill="1" applyBorder="1" applyAlignment="1">
      <alignment horizontal="center" vertical="center"/>
    </xf>
    <xf numFmtId="0" fontId="0" fillId="72" borderId="0" xfId="0" applyFont="1" applyFill="1" applyBorder="1" applyAlignment="1">
      <alignment horizontal="center" vertical="center"/>
    </xf>
    <xf numFmtId="0" fontId="48" fillId="72" borderId="0" xfId="0" applyFont="1" applyFill="1" applyBorder="1" applyAlignment="1">
      <alignment horizontal="center" vertical="distributed"/>
    </xf>
    <xf numFmtId="0" fontId="64" fillId="62" borderId="47" xfId="0" applyFont="1" applyFill="1" applyBorder="1" applyAlignment="1">
      <alignment horizontal="center" vertical="center"/>
    </xf>
    <xf numFmtId="0" fontId="64" fillId="62" borderId="47" xfId="0" applyFont="1" applyFill="1" applyBorder="1" applyAlignment="1">
      <alignment horizontal="center"/>
    </xf>
    <xf numFmtId="0" fontId="80" fillId="69" borderId="25" xfId="0" applyFont="1" applyFill="1" applyBorder="1" applyAlignment="1">
      <alignment horizontal="center" vertical="distributed"/>
    </xf>
    <xf numFmtId="0" fontId="67" fillId="69" borderId="0" xfId="0" applyFont="1" applyFill="1" applyBorder="1" applyAlignment="1">
      <alignment horizontal="center" vertical="justify"/>
    </xf>
    <xf numFmtId="0" fontId="67" fillId="69" borderId="0" xfId="0" applyFont="1" applyFill="1" applyBorder="1" applyAlignment="1">
      <alignment horizontal="center"/>
    </xf>
    <xf numFmtId="0" fontId="67" fillId="69" borderId="25" xfId="0" applyFont="1" applyFill="1" applyBorder="1" applyAlignment="1">
      <alignment horizontal="distributed" vertical="top"/>
    </xf>
    <xf numFmtId="0" fontId="64" fillId="69" borderId="39" xfId="0" applyFont="1" applyFill="1" applyBorder="1" applyAlignment="1">
      <alignment horizontal="center" vertical="center"/>
    </xf>
    <xf numFmtId="0" fontId="0" fillId="69" borderId="39" xfId="0" applyFont="1" applyFill="1" applyBorder="1" applyAlignment="1">
      <alignment horizontal="distributed" vertical="justify"/>
    </xf>
    <xf numFmtId="0" fontId="64" fillId="69" borderId="33" xfId="0" applyFont="1" applyFill="1" applyBorder="1" applyAlignment="1">
      <alignment horizontal="distributed"/>
    </xf>
    <xf numFmtId="0" fontId="34" fillId="60" borderId="174" xfId="0" applyFont="1" applyFill="1" applyBorder="1" applyAlignment="1">
      <alignment horizontal="center" vertical="center"/>
    </xf>
    <xf numFmtId="0" fontId="64" fillId="69" borderId="33" xfId="0" applyFont="1" applyFill="1" applyBorder="1" applyAlignment="1">
      <alignment horizontal="center" vertical="center"/>
    </xf>
    <xf numFmtId="0" fontId="64" fillId="69" borderId="55" xfId="0" applyFont="1" applyFill="1" applyBorder="1" applyAlignment="1">
      <alignment horizontal="center" vertical="center"/>
    </xf>
    <xf numFmtId="0" fontId="67" fillId="60" borderId="25" xfId="0" applyFont="1" applyFill="1" applyBorder="1" applyAlignment="1">
      <alignment horizontal="center" vertical="center"/>
    </xf>
    <xf numFmtId="0" fontId="67" fillId="60" borderId="39" xfId="0" applyFont="1" applyFill="1" applyBorder="1" applyAlignment="1">
      <alignment horizontal="center" vertical="center"/>
    </xf>
    <xf numFmtId="0" fontId="64" fillId="69" borderId="106" xfId="0" applyFont="1" applyFill="1" applyBorder="1" applyAlignment="1">
      <alignment horizontal="center" vertical="center"/>
    </xf>
    <xf numFmtId="0" fontId="0" fillId="69" borderId="33" xfId="0" applyFill="1" applyBorder="1" applyAlignment="1">
      <alignment horizontal="center" vertical="center"/>
    </xf>
    <xf numFmtId="0" fontId="64" fillId="69" borderId="31" xfId="0" applyFont="1" applyFill="1" applyBorder="1" applyAlignment="1">
      <alignment horizontal="center" vertical="center"/>
    </xf>
    <xf numFmtId="0" fontId="0" fillId="69" borderId="115" xfId="0" applyFill="1" applyBorder="1" applyAlignment="1">
      <alignment horizontal="center" vertical="center"/>
    </xf>
    <xf numFmtId="0" fontId="0" fillId="69" borderId="277" xfId="0" applyFill="1" applyBorder="1" applyAlignment="1">
      <alignment horizontal="center" vertical="center"/>
    </xf>
    <xf numFmtId="0" fontId="0" fillId="60" borderId="277" xfId="0" applyFont="1" applyFill="1" applyBorder="1" applyAlignment="1">
      <alignment horizontal="center" vertical="center"/>
    </xf>
    <xf numFmtId="0" fontId="64" fillId="60" borderId="277" xfId="0" applyFont="1" applyFill="1" applyBorder="1" applyAlignment="1">
      <alignment horizontal="center" vertical="center"/>
    </xf>
    <xf numFmtId="0" fontId="67" fillId="60" borderId="278" xfId="0" applyFont="1" applyFill="1" applyBorder="1" applyAlignment="1">
      <alignment horizontal="center" vertical="center"/>
    </xf>
    <xf numFmtId="0" fontId="67" fillId="60" borderId="106" xfId="0" applyFont="1" applyFill="1" applyBorder="1" applyAlignment="1">
      <alignment horizontal="center" vertical="center"/>
    </xf>
    <xf numFmtId="0" fontId="67" fillId="60" borderId="279" xfId="0" applyFont="1" applyFill="1" applyBorder="1" applyAlignment="1">
      <alignment horizontal="center" vertical="center"/>
    </xf>
    <xf numFmtId="0" fontId="34" fillId="60" borderId="104" xfId="0" applyFont="1" applyFill="1" applyBorder="1" applyAlignment="1">
      <alignment horizontal="center" vertical="center"/>
    </xf>
    <xf numFmtId="0" fontId="67" fillId="60" borderId="277" xfId="0" applyFont="1" applyFill="1" applyBorder="1" applyAlignment="1">
      <alignment horizontal="center" vertical="center"/>
    </xf>
    <xf numFmtId="0" fontId="67" fillId="60" borderId="280" xfId="0" applyFont="1" applyFill="1" applyBorder="1" applyAlignment="1">
      <alignment horizontal="center" vertical="center"/>
    </xf>
    <xf numFmtId="0" fontId="64" fillId="60" borderId="106" xfId="0" applyFont="1" applyFill="1" applyBorder="1" applyAlignment="1">
      <alignment horizontal="center" vertical="center"/>
    </xf>
    <xf numFmtId="0" fontId="64" fillId="72" borderId="281" xfId="0" applyFont="1" applyFill="1" applyBorder="1" applyAlignment="1">
      <alignment horizontal="center" vertical="center"/>
    </xf>
    <xf numFmtId="0" fontId="64" fillId="60" borderId="53" xfId="0" applyFont="1" applyFill="1" applyBorder="1" applyAlignment="1">
      <alignment horizontal="center" vertical="center"/>
    </xf>
    <xf numFmtId="0" fontId="67" fillId="60" borderId="174" xfId="0" applyFont="1" applyFill="1" applyBorder="1" applyAlignment="1">
      <alignment horizontal="center" vertical="center"/>
    </xf>
    <xf numFmtId="0" fontId="34" fillId="60" borderId="282" xfId="0" applyFont="1" applyFill="1" applyBorder="1" applyAlignment="1">
      <alignment horizontal="center" vertical="center"/>
    </xf>
    <xf numFmtId="0" fontId="64" fillId="69" borderId="54" xfId="0" applyFont="1" applyFill="1" applyBorder="1" applyAlignment="1">
      <alignment horizontal="center" vertical="center"/>
    </xf>
    <xf numFmtId="0" fontId="64" fillId="69" borderId="283" xfId="0" applyFont="1" applyFill="1" applyBorder="1" applyAlignment="1">
      <alignment horizontal="center" vertical="center"/>
    </xf>
    <xf numFmtId="0" fontId="64" fillId="69" borderId="104" xfId="0" applyFont="1" applyFill="1" applyBorder="1" applyAlignment="1">
      <alignment horizontal="center" vertical="center"/>
    </xf>
    <xf numFmtId="0" fontId="64" fillId="66" borderId="284" xfId="0" applyFont="1" applyFill="1" applyBorder="1" applyAlignment="1">
      <alignment horizontal="center" vertical="center"/>
    </xf>
    <xf numFmtId="0" fontId="64" fillId="69" borderId="39" xfId="0" applyFont="1" applyFill="1" applyBorder="1" applyAlignment="1">
      <alignment horizontal="center" vertical="distributed"/>
    </xf>
    <xf numFmtId="0" fontId="64" fillId="69" borderId="39" xfId="0" applyFont="1" applyFill="1" applyBorder="1" applyAlignment="1">
      <alignment horizontal="center" vertical="top"/>
    </xf>
    <xf numFmtId="0" fontId="64" fillId="66" borderId="106" xfId="0" applyFont="1" applyFill="1" applyBorder="1" applyAlignment="1">
      <alignment horizontal="center" vertical="center"/>
    </xf>
    <xf numFmtId="0" fontId="64" fillId="60" borderId="280" xfId="0" applyFont="1" applyFill="1" applyBorder="1" applyAlignment="1">
      <alignment horizontal="center" vertical="center"/>
    </xf>
    <xf numFmtId="0" fontId="64" fillId="69" borderId="174" xfId="0" applyFont="1" applyFill="1" applyBorder="1" applyAlignment="1">
      <alignment horizontal="center" vertical="center"/>
    </xf>
    <xf numFmtId="0" fontId="64" fillId="69" borderId="59" xfId="0" applyFont="1" applyFill="1" applyBorder="1" applyAlignment="1">
      <alignment horizontal="center" vertical="center"/>
    </xf>
    <xf numFmtId="0" fontId="64" fillId="69" borderId="285" xfId="0" applyFont="1" applyFill="1" applyBorder="1" applyAlignment="1">
      <alignment horizontal="center" vertical="center"/>
    </xf>
    <xf numFmtId="0" fontId="64" fillId="60" borderId="281" xfId="0" applyFont="1" applyFill="1" applyBorder="1" applyAlignment="1">
      <alignment horizontal="center" vertical="center"/>
    </xf>
    <xf numFmtId="0" fontId="64" fillId="60" borderId="47" xfId="0" applyFont="1" applyFill="1" applyBorder="1" applyAlignment="1">
      <alignment horizontal="center" vertical="center"/>
    </xf>
    <xf numFmtId="0" fontId="64" fillId="69" borderId="39" xfId="0" applyFont="1" applyFill="1" applyBorder="1" applyAlignment="1">
      <alignment horizontal="center"/>
    </xf>
    <xf numFmtId="0" fontId="64" fillId="66" borderId="286" xfId="0" applyFont="1" applyFill="1" applyBorder="1" applyAlignment="1">
      <alignment horizontal="center" vertical="center"/>
    </xf>
    <xf numFmtId="0" fontId="34" fillId="66" borderId="25" xfId="0" applyFont="1" applyFill="1" applyBorder="1" applyAlignment="1">
      <alignment horizontal="center" vertical="center"/>
    </xf>
    <xf numFmtId="0" fontId="64" fillId="70" borderId="54" xfId="0" applyFont="1" applyFill="1" applyBorder="1" applyAlignment="1">
      <alignment horizontal="center" vertical="center"/>
    </xf>
    <xf numFmtId="0" fontId="34" fillId="60" borderId="106" xfId="0" applyFont="1" applyFill="1" applyBorder="1" applyAlignment="1">
      <alignment horizontal="center" vertical="center"/>
    </xf>
    <xf numFmtId="0" fontId="34" fillId="60" borderId="277" xfId="0" applyFont="1" applyFill="1" applyBorder="1" applyAlignment="1">
      <alignment horizontal="center" vertical="center"/>
    </xf>
    <xf numFmtId="0" fontId="34" fillId="60" borderId="280" xfId="0" applyFont="1" applyFill="1" applyBorder="1" applyAlignment="1">
      <alignment horizontal="center" vertical="center"/>
    </xf>
    <xf numFmtId="0" fontId="64" fillId="66" borderId="31" xfId="0" applyFont="1" applyFill="1" applyBorder="1" applyAlignment="1">
      <alignment horizontal="center" vertical="top"/>
    </xf>
    <xf numFmtId="0" fontId="64" fillId="66" borderId="39" xfId="0" applyFont="1" applyFill="1" applyBorder="1" applyAlignment="1">
      <alignment horizontal="center" vertical="distributed"/>
    </xf>
    <xf numFmtId="0" fontId="34" fillId="60" borderId="47" xfId="0" applyFont="1" applyFill="1" applyBorder="1" applyAlignment="1">
      <alignment horizontal="center" vertical="center"/>
    </xf>
    <xf numFmtId="0" fontId="64" fillId="69" borderId="36" xfId="0" applyFont="1" applyFill="1" applyBorder="1" applyAlignment="1">
      <alignment horizontal="center" vertical="center"/>
    </xf>
    <xf numFmtId="0" fontId="64" fillId="69" borderId="38" xfId="0" applyFont="1" applyFill="1" applyBorder="1" applyAlignment="1">
      <alignment horizontal="center" vertical="center"/>
    </xf>
    <xf numFmtId="0" fontId="97" fillId="60" borderId="39" xfId="0" applyFont="1" applyFill="1" applyBorder="1" applyAlignment="1">
      <alignment horizontal="center" vertical="center"/>
    </xf>
    <xf numFmtId="0" fontId="64" fillId="63" borderId="25" xfId="0" applyFont="1" applyFill="1" applyBorder="1" applyAlignment="1">
      <alignment horizontal="center" vertical="center"/>
    </xf>
    <xf numFmtId="0" fontId="64" fillId="72" borderId="50" xfId="0" applyFont="1" applyFill="1" applyBorder="1" applyAlignment="1">
      <alignment horizontal="center" vertical="center"/>
    </xf>
    <xf numFmtId="0" fontId="64" fillId="72" borderId="19" xfId="0" applyFont="1" applyFill="1" applyBorder="1" applyAlignment="1">
      <alignment horizontal="center" vertical="center"/>
    </xf>
    <xf numFmtId="0" fontId="64" fillId="72" borderId="276" xfId="0" applyFont="1" applyFill="1" applyBorder="1" applyAlignment="1">
      <alignment horizontal="center" vertical="center"/>
    </xf>
    <xf numFmtId="0" fontId="64" fillId="72" borderId="0" xfId="0" applyFont="1" applyFill="1" applyBorder="1" applyAlignment="1">
      <alignment horizontal="center"/>
    </xf>
    <xf numFmtId="0" fontId="95" fillId="72" borderId="47" xfId="0" applyFont="1" applyFill="1" applyBorder="1" applyAlignment="1">
      <alignment horizontal="center" vertical="center"/>
    </xf>
    <xf numFmtId="0" fontId="64" fillId="72" borderId="22" xfId="0" applyFont="1" applyFill="1" applyBorder="1" applyAlignment="1">
      <alignment horizontal="center" vertical="center"/>
    </xf>
    <xf numFmtId="0" fontId="64" fillId="72" borderId="36" xfId="0" applyFont="1" applyFill="1" applyBorder="1" applyAlignment="1">
      <alignment horizontal="center" vertical="center"/>
    </xf>
    <xf numFmtId="0" fontId="64" fillId="72" borderId="33" xfId="0" applyFont="1" applyFill="1" applyBorder="1" applyAlignment="1">
      <alignment horizontal="center" vertical="center"/>
    </xf>
    <xf numFmtId="0" fontId="64" fillId="72" borderId="59" xfId="0" applyFont="1" applyFill="1" applyBorder="1" applyAlignment="1">
      <alignment horizontal="center" vertical="center"/>
    </xf>
    <xf numFmtId="0" fontId="67" fillId="69" borderId="39" xfId="0" applyFont="1" applyFill="1" applyBorder="1" applyAlignment="1">
      <alignment horizontal="center" vertical="center"/>
    </xf>
    <xf numFmtId="0" fontId="98" fillId="69" borderId="25" xfId="0" applyFont="1" applyFill="1" applyBorder="1" applyAlignment="1">
      <alignment horizontal="center" vertical="justify"/>
    </xf>
    <xf numFmtId="0" fontId="34" fillId="71" borderId="25" xfId="0" applyFont="1" applyFill="1" applyBorder="1" applyAlignment="1">
      <alignment horizontal="center" vertical="center"/>
    </xf>
    <xf numFmtId="0" fontId="97" fillId="72" borderId="25" xfId="0" applyFont="1" applyFill="1" applyBorder="1" applyAlignment="1">
      <alignment horizontal="center" vertical="distributed"/>
    </xf>
    <xf numFmtId="0" fontId="0" fillId="62" borderId="287" xfId="0" applyFill="1" applyBorder="1" applyAlignment="1">
      <alignment horizontal="center" vertical="center"/>
    </xf>
    <xf numFmtId="0" fontId="0" fillId="62" borderId="288" xfId="0" applyFill="1" applyBorder="1" applyAlignment="1">
      <alignment horizontal="center" vertical="center"/>
    </xf>
    <xf numFmtId="0" fontId="0" fillId="62" borderId="289" xfId="0" applyFill="1" applyBorder="1" applyAlignment="1">
      <alignment horizontal="center" vertical="center"/>
    </xf>
    <xf numFmtId="0" fontId="0" fillId="62" borderId="289" xfId="0" applyFill="1" applyBorder="1" applyAlignment="1">
      <alignment horizontal="left" vertical="center" indent="2"/>
    </xf>
    <xf numFmtId="0" fontId="0" fillId="62" borderId="289" xfId="0" applyFill="1" applyBorder="1" applyAlignment="1">
      <alignment horizontal="left" vertical="center" indent="1"/>
    </xf>
    <xf numFmtId="0" fontId="0" fillId="62" borderId="289" xfId="0" applyFill="1" applyBorder="1" applyAlignment="1">
      <alignment horizontal="left" vertical="center" indent="3"/>
    </xf>
    <xf numFmtId="0" fontId="64" fillId="69" borderId="208" xfId="0" applyFont="1" applyFill="1" applyBorder="1" applyAlignment="1">
      <alignment horizontal="center" vertical="center"/>
    </xf>
    <xf numFmtId="0" fontId="0" fillId="62" borderId="289" xfId="0" applyFill="1" applyBorder="1" applyAlignment="1">
      <alignment horizontal="distributed" vertical="top" indent="2"/>
    </xf>
    <xf numFmtId="0" fontId="0" fillId="71" borderId="53" xfId="0" applyFill="1" applyBorder="1" applyAlignment="1">
      <alignment horizontal="center" vertical="center"/>
    </xf>
    <xf numFmtId="0" fontId="67" fillId="62" borderId="31" xfId="0" applyFont="1" applyFill="1" applyBorder="1" applyAlignment="1">
      <alignment horizontal="center" vertical="center"/>
    </xf>
    <xf numFmtId="0" fontId="67" fillId="62" borderId="31" xfId="0" applyFont="1" applyFill="1" applyBorder="1" applyAlignment="1">
      <alignment horizontal="distributed" vertical="justify"/>
    </xf>
    <xf numFmtId="0" fontId="0" fillId="62" borderId="39" xfId="0" applyFont="1" applyFill="1" applyBorder="1" applyAlignment="1">
      <alignment horizontal="distributed" vertical="distributed" indent="1"/>
    </xf>
    <xf numFmtId="0" fontId="0" fillId="62" borderId="39" xfId="0" applyFont="1" applyFill="1" applyBorder="1" applyAlignment="1">
      <alignment horizontal="center" vertical="center"/>
    </xf>
    <xf numFmtId="0" fontId="0" fillId="62" borderId="0" xfId="0" applyFill="1" applyBorder="1" applyAlignment="1">
      <alignment horizontal="center" vertical="justify"/>
    </xf>
    <xf numFmtId="0" fontId="0" fillId="62" borderId="134" xfId="0" applyFill="1" applyBorder="1" applyAlignment="1">
      <alignment horizontal="center" vertical="center"/>
    </xf>
    <xf numFmtId="0" fontId="0" fillId="62" borderId="201" xfId="0" applyFill="1" applyBorder="1" applyAlignment="1">
      <alignment horizontal="center" vertical="center"/>
    </xf>
    <xf numFmtId="0" fontId="34" fillId="69" borderId="0" xfId="0" applyFont="1" applyFill="1" applyBorder="1" applyAlignment="1">
      <alignment horizontal="center" vertical="center"/>
    </xf>
    <xf numFmtId="0" fontId="34" fillId="60" borderId="0" xfId="0" applyFont="1" applyFill="1" applyBorder="1" applyAlignment="1">
      <alignment horizontal="center" vertical="center"/>
    </xf>
    <xf numFmtId="0" fontId="34" fillId="60" borderId="35" xfId="0" applyFont="1" applyFill="1" applyBorder="1" applyAlignment="1">
      <alignment horizontal="center" vertical="center"/>
    </xf>
    <xf numFmtId="0" fontId="0" fillId="69" borderId="0" xfId="0" applyFill="1" applyBorder="1" applyAlignment="1">
      <alignment horizontal="distributed" vertical="distributed" indent="1"/>
    </xf>
    <xf numFmtId="0" fontId="0" fillId="69" borderId="82" xfId="0" applyFill="1" applyBorder="1" applyAlignment="1">
      <alignment horizontal="center" vertical="center"/>
    </xf>
    <xf numFmtId="0" fontId="64" fillId="69" borderId="76" xfId="0" applyFont="1" applyFill="1" applyBorder="1" applyAlignment="1">
      <alignment horizontal="center" vertical="center"/>
    </xf>
    <xf numFmtId="0" fontId="0" fillId="69" borderId="72" xfId="0" applyFill="1" applyBorder="1" applyAlignment="1">
      <alignment horizontal="center" vertical="center"/>
    </xf>
    <xf numFmtId="0" fontId="0" fillId="69" borderId="71" xfId="0" applyFill="1" applyBorder="1" applyAlignment="1">
      <alignment horizontal="center" vertical="center"/>
    </xf>
    <xf numFmtId="0" fontId="64" fillId="69" borderId="82" xfId="0" applyFont="1" applyFill="1" applyBorder="1" applyAlignment="1">
      <alignment horizontal="center" vertical="center"/>
    </xf>
    <xf numFmtId="0" fontId="0" fillId="70" borderId="36" xfId="0" applyFill="1" applyBorder="1" applyAlignment="1">
      <alignment horizontal="center" vertical="center"/>
    </xf>
    <xf numFmtId="0" fontId="67" fillId="69" borderId="0" xfId="0" applyFont="1" applyFill="1" applyBorder="1" applyAlignment="1">
      <alignment horizontal="center" vertical="distributed"/>
    </xf>
    <xf numFmtId="0" fontId="76" fillId="70" borderId="0" xfId="0" applyFont="1" applyFill="1" applyBorder="1" applyAlignment="1">
      <alignment horizontal="center" vertical="center"/>
    </xf>
    <xf numFmtId="0" fontId="0" fillId="70" borderId="290" xfId="0" applyFont="1" applyFill="1" applyBorder="1" applyAlignment="1">
      <alignment horizontal="center" vertical="center"/>
    </xf>
    <xf numFmtId="0" fontId="0" fillId="69" borderId="0" xfId="0" applyFill="1" applyBorder="1" applyAlignment="1">
      <alignment horizontal="distributed" vertical="top"/>
    </xf>
    <xf numFmtId="0" fontId="0" fillId="70" borderId="0" xfId="0" applyFont="1" applyFill="1" applyBorder="1" applyAlignment="1">
      <alignment horizontal="center" vertical="center"/>
    </xf>
    <xf numFmtId="0" fontId="64" fillId="63" borderId="0" xfId="0" applyFont="1" applyFill="1" applyBorder="1" applyAlignment="1">
      <alignment horizontal="center" vertical="center"/>
    </xf>
    <xf numFmtId="0" fontId="99" fillId="63" borderId="0" xfId="0" applyFont="1" applyFill="1" applyBorder="1" applyAlignment="1">
      <alignment horizontal="center" vertical="center"/>
    </xf>
    <xf numFmtId="0" fontId="0" fillId="69" borderId="101" xfId="0" applyFill="1" applyBorder="1" applyAlignment="1">
      <alignment horizontal="center" vertical="center"/>
    </xf>
    <xf numFmtId="0" fontId="0" fillId="69" borderId="103" xfId="0" applyFill="1" applyBorder="1" applyAlignment="1">
      <alignment horizontal="center"/>
    </xf>
    <xf numFmtId="0" fontId="0" fillId="60" borderId="201" xfId="0" applyFill="1" applyBorder="1" applyAlignment="1">
      <alignment horizontal="center" vertical="center"/>
    </xf>
    <xf numFmtId="0" fontId="0" fillId="63" borderId="291" xfId="0" applyFill="1" applyBorder="1" applyAlignment="1">
      <alignment horizontal="center" vertical="center"/>
    </xf>
    <xf numFmtId="0" fontId="0" fillId="71" borderId="292" xfId="0" applyFill="1" applyBorder="1" applyAlignment="1">
      <alignment horizontal="center" vertical="center"/>
    </xf>
    <xf numFmtId="0" fontId="76" fillId="63" borderId="50" xfId="0" applyFont="1" applyFill="1" applyBorder="1" applyAlignment="1">
      <alignment horizontal="center" vertical="center"/>
    </xf>
    <xf numFmtId="0" fontId="76" fillId="63" borderId="0" xfId="0" applyFont="1" applyFill="1" applyBorder="1" applyAlignment="1">
      <alignment horizontal="center" vertical="center"/>
    </xf>
    <xf numFmtId="0" fontId="0" fillId="1" borderId="293" xfId="0" applyFill="1" applyBorder="1" applyAlignment="1">
      <alignment horizontal="center" vertical="center"/>
    </xf>
    <xf numFmtId="0" fontId="64" fillId="72" borderId="92" xfId="0" applyFont="1" applyFill="1" applyBorder="1" applyAlignment="1">
      <alignment horizontal="center" vertical="center"/>
    </xf>
    <xf numFmtId="0" fontId="64" fillId="60" borderId="78" xfId="0" applyFont="1" applyFill="1" applyBorder="1" applyAlignment="1">
      <alignment horizontal="center" vertical="center"/>
    </xf>
    <xf numFmtId="0" fontId="9" fillId="69" borderId="53" xfId="0" applyFont="1" applyFill="1" applyBorder="1" applyAlignment="1">
      <alignment horizontal="center" vertical="center"/>
    </xf>
    <xf numFmtId="0" fontId="2" fillId="69" borderId="39" xfId="0" applyFont="1" applyFill="1" applyBorder="1" applyAlignment="1">
      <alignment horizontal="center" vertical="center"/>
    </xf>
    <xf numFmtId="0" fontId="2" fillId="69" borderId="25" xfId="0" applyFont="1" applyFill="1" applyBorder="1" applyAlignment="1">
      <alignment horizontal="center" vertical="center"/>
    </xf>
    <xf numFmtId="0" fontId="2" fillId="69" borderId="47" xfId="0" applyFont="1" applyFill="1" applyBorder="1" applyAlignment="1">
      <alignment horizontal="center" vertical="center"/>
    </xf>
    <xf numFmtId="0" fontId="0" fillId="60" borderId="254" xfId="0" applyFill="1" applyBorder="1" applyAlignment="1">
      <alignment horizontal="center" vertical="center"/>
    </xf>
    <xf numFmtId="0" fontId="0" fillId="72" borderId="246" xfId="0" applyFill="1" applyBorder="1" applyAlignment="1">
      <alignment horizontal="center" vertical="center"/>
    </xf>
    <xf numFmtId="0" fontId="0" fillId="72" borderId="35" xfId="0" applyFill="1" applyBorder="1" applyAlignment="1">
      <alignment horizontal="center" vertical="center"/>
    </xf>
    <xf numFmtId="0" fontId="0" fillId="60" borderId="44" xfId="0" applyFont="1" applyFill="1" applyBorder="1" applyAlignment="1">
      <alignment horizontal="right" vertical="center" indent="15"/>
    </xf>
    <xf numFmtId="0" fontId="34" fillId="0" borderId="0" xfId="0" applyFont="1" applyAlignment="1">
      <alignment horizontal="center" vertical="center"/>
    </xf>
    <xf numFmtId="0" fontId="34" fillId="63" borderId="25" xfId="0" applyFont="1" applyFill="1" applyBorder="1" applyAlignment="1">
      <alignment horizontal="right" vertical="center" indent="8"/>
    </xf>
    <xf numFmtId="0" fontId="0" fillId="72" borderId="294" xfId="0" applyFill="1" applyBorder="1" applyAlignment="1">
      <alignment horizontal="center" vertical="top"/>
    </xf>
    <xf numFmtId="0" fontId="0" fillId="72" borderId="294" xfId="0" applyFill="1" applyBorder="1" applyAlignment="1">
      <alignment horizontal="center"/>
    </xf>
    <xf numFmtId="0" fontId="0" fillId="72" borderId="199" xfId="0" applyFill="1" applyBorder="1" applyAlignment="1">
      <alignment horizontal="center" vertical="distributed"/>
    </xf>
    <xf numFmtId="0" fontId="0" fillId="72" borderId="21" xfId="0" applyFill="1" applyBorder="1" applyAlignment="1">
      <alignment horizontal="center" vertical="justify"/>
    </xf>
    <xf numFmtId="0" fontId="0" fillId="72" borderId="295" xfId="0" applyFill="1" applyBorder="1" applyAlignment="1">
      <alignment horizontal="right" vertical="center" indent="7"/>
    </xf>
    <xf numFmtId="0" fontId="0" fillId="72" borderId="119" xfId="0" applyFill="1" applyBorder="1" applyAlignment="1">
      <alignment horizontal="left" vertical="center" indent="5"/>
    </xf>
    <xf numFmtId="0" fontId="0" fillId="62" borderId="34" xfId="0" applyFill="1" applyBorder="1" applyAlignment="1">
      <alignment horizontal="distributed" vertical="center" indent="2"/>
    </xf>
    <xf numFmtId="0" fontId="0" fillId="59" borderId="0" xfId="0" applyFill="1" applyBorder="1" applyAlignment="1">
      <alignment horizontal="distributed" vertical="center" indent="1"/>
    </xf>
    <xf numFmtId="0" fontId="0" fillId="59" borderId="0" xfId="0" applyFill="1" applyBorder="1" applyAlignment="1">
      <alignment horizontal="distributed" vertical="center" indent="4"/>
    </xf>
    <xf numFmtId="0" fontId="0" fillId="59" borderId="0" xfId="0" applyFill="1" applyBorder="1" applyAlignment="1">
      <alignment horizontal="distributed" vertical="center" indent="3"/>
    </xf>
    <xf numFmtId="0" fontId="0" fillId="59" borderId="0" xfId="0" applyFill="1" applyBorder="1" applyAlignment="1">
      <alignment horizontal="distributed" vertical="center" indent="2"/>
    </xf>
    <xf numFmtId="0" fontId="0" fillId="64" borderId="31" xfId="0" applyFill="1" applyBorder="1" applyAlignment="1">
      <alignment horizontal="distributed" vertical="center" indent="1"/>
    </xf>
    <xf numFmtId="0" fontId="0" fillId="60" borderId="34" xfId="0" applyFill="1" applyBorder="1" applyAlignment="1">
      <alignment horizontal="distributed" vertical="center" indent="1"/>
    </xf>
    <xf numFmtId="0" fontId="76" fillId="60" borderId="31" xfId="0" applyFont="1" applyFill="1" applyBorder="1" applyAlignment="1">
      <alignment horizontal="center" vertical="center"/>
    </xf>
    <xf numFmtId="0" fontId="76" fillId="60" borderId="39" xfId="0" applyFont="1" applyFill="1" applyBorder="1" applyAlignment="1">
      <alignment horizontal="center" vertical="center"/>
    </xf>
    <xf numFmtId="0" fontId="76" fillId="60" borderId="53" xfId="0" applyFont="1" applyFill="1" applyBorder="1" applyAlignment="1">
      <alignment horizontal="center" vertical="center"/>
    </xf>
    <xf numFmtId="0" fontId="76" fillId="60" borderId="246" xfId="0" applyFont="1" applyFill="1" applyBorder="1" applyAlignment="1">
      <alignment horizontal="center" vertical="center"/>
    </xf>
    <xf numFmtId="0" fontId="76" fillId="60" borderId="58" xfId="0" applyFont="1" applyFill="1" applyBorder="1" applyAlignment="1">
      <alignment horizontal="center" vertical="center"/>
    </xf>
    <xf numFmtId="0" fontId="76" fillId="60" borderId="78" xfId="0" applyFont="1" applyFill="1" applyBorder="1" applyAlignment="1">
      <alignment horizontal="center" vertical="center"/>
    </xf>
    <xf numFmtId="0" fontId="0" fillId="62" borderId="31" xfId="0" applyFill="1" applyBorder="1" applyAlignment="1">
      <alignment horizontal="center" vertical="justify"/>
    </xf>
    <xf numFmtId="0" fontId="0" fillId="62" borderId="52" xfId="0" applyFill="1" applyBorder="1" applyAlignment="1">
      <alignment horizontal="center" vertical="center"/>
    </xf>
    <xf numFmtId="0" fontId="34" fillId="62" borderId="31" xfId="0" applyFont="1" applyFill="1" applyBorder="1" applyAlignment="1">
      <alignment horizontal="center"/>
    </xf>
    <xf numFmtId="0" fontId="78" fillId="62" borderId="39" xfId="0" applyFont="1" applyFill="1" applyBorder="1" applyAlignment="1">
      <alignment horizontal="center"/>
    </xf>
    <xf numFmtId="0" fontId="100" fillId="62" borderId="39" xfId="0" applyFont="1" applyFill="1" applyBorder="1" applyAlignment="1">
      <alignment horizontal="center" vertical="justify"/>
    </xf>
    <xf numFmtId="0" fontId="100" fillId="62" borderId="39" xfId="0" applyFont="1" applyFill="1" applyBorder="1" applyAlignment="1">
      <alignment horizontal="center" vertical="distributed"/>
    </xf>
    <xf numFmtId="0" fontId="100" fillId="62" borderId="39" xfId="0" applyFont="1" applyFill="1" applyBorder="1" applyAlignment="1">
      <alignment horizontal="center" vertical="top"/>
    </xf>
    <xf numFmtId="0" fontId="78" fillId="62" borderId="39" xfId="0" applyFont="1" applyFill="1" applyBorder="1" applyAlignment="1">
      <alignment horizontal="center" vertical="center"/>
    </xf>
    <xf numFmtId="0" fontId="99" fillId="62" borderId="53" xfId="0" applyFont="1" applyFill="1" applyBorder="1" applyAlignment="1">
      <alignment horizontal="center" vertical="center"/>
    </xf>
    <xf numFmtId="0" fontId="67" fillId="66" borderId="114" xfId="0" applyFont="1" applyFill="1" applyBorder="1" applyAlignment="1">
      <alignment horizontal="center" vertical="top"/>
    </xf>
    <xf numFmtId="0" fontId="68" fillId="66" borderId="33" xfId="0" applyFont="1" applyFill="1" applyBorder="1" applyAlignment="1">
      <alignment horizontal="center" vertical="center"/>
    </xf>
    <xf numFmtId="0" fontId="76" fillId="71" borderId="39" xfId="0" applyFont="1" applyFill="1" applyBorder="1" applyAlignment="1">
      <alignment horizontal="center" vertical="center"/>
    </xf>
    <xf numFmtId="0" fontId="99" fillId="71" borderId="39" xfId="0" applyFont="1" applyFill="1" applyBorder="1" applyAlignment="1">
      <alignment horizontal="center" vertical="center"/>
    </xf>
    <xf numFmtId="0" fontId="76" fillId="72" borderId="39" xfId="0" applyFont="1" applyFill="1" applyBorder="1" applyAlignment="1">
      <alignment horizontal="center" vertical="center"/>
    </xf>
    <xf numFmtId="0" fontId="99" fillId="66" borderId="25" xfId="0" applyFont="1" applyFill="1" applyBorder="1" applyAlignment="1">
      <alignment horizontal="center" vertical="center"/>
    </xf>
    <xf numFmtId="0" fontId="99" fillId="71" borderId="47" xfId="0" applyFont="1" applyFill="1" applyBorder="1" applyAlignment="1">
      <alignment horizontal="center" vertical="center"/>
    </xf>
    <xf numFmtId="0" fontId="99" fillId="71" borderId="62" xfId="0" applyFont="1" applyFill="1" applyBorder="1" applyAlignment="1">
      <alignment horizontal="center" vertical="center"/>
    </xf>
    <xf numFmtId="0" fontId="99" fillId="66" borderId="54" xfId="0" applyFont="1" applyFill="1" applyBorder="1" applyAlignment="1">
      <alignment horizontal="center" vertical="center"/>
    </xf>
    <xf numFmtId="0" fontId="95" fillId="66" borderId="54" xfId="0" applyFont="1" applyFill="1" applyBorder="1" applyAlignment="1">
      <alignment horizontal="center" vertical="center"/>
    </xf>
    <xf numFmtId="0" fontId="95" fillId="71" borderId="39" xfId="0" applyFont="1" applyFill="1" applyBorder="1" applyAlignment="1">
      <alignment horizontal="center" vertical="center"/>
    </xf>
    <xf numFmtId="0" fontId="2" fillId="71" borderId="39" xfId="0" applyFont="1" applyFill="1" applyBorder="1" applyAlignment="1">
      <alignment horizontal="center" vertical="center"/>
    </xf>
    <xf numFmtId="0" fontId="2" fillId="72" borderId="39" xfId="0" applyFont="1" applyFill="1" applyBorder="1" applyAlignment="1">
      <alignment horizontal="center"/>
    </xf>
    <xf numFmtId="0" fontId="0" fillId="71" borderId="39" xfId="0" applyFont="1" applyFill="1" applyBorder="1" applyAlignment="1">
      <alignment horizontal="center" vertical="center"/>
    </xf>
    <xf numFmtId="0" fontId="2" fillId="71" borderId="39" xfId="0" applyFont="1" applyFill="1" applyBorder="1" applyAlignment="1">
      <alignment horizontal="center"/>
    </xf>
    <xf numFmtId="0" fontId="34" fillId="71" borderId="39" xfId="0" applyFont="1" applyFill="1" applyBorder="1" applyAlignment="1">
      <alignment horizontal="distributed" vertical="center" indent="3"/>
    </xf>
    <xf numFmtId="0" fontId="34" fillId="71" borderId="48" xfId="0" applyFont="1" applyFill="1" applyBorder="1" applyAlignment="1">
      <alignment horizontal="distributed" vertical="center" indent="2"/>
    </xf>
    <xf numFmtId="0" fontId="34" fillId="71" borderId="48" xfId="0" applyFont="1" applyFill="1" applyBorder="1" applyAlignment="1">
      <alignment horizontal="distributed" vertical="center" indent="3"/>
    </xf>
    <xf numFmtId="0" fontId="34" fillId="71" borderId="48" xfId="0" applyFont="1" applyFill="1" applyBorder="1" applyAlignment="1">
      <alignment horizontal="distributed" vertical="center" indent="1"/>
    </xf>
    <xf numFmtId="0" fontId="67" fillId="62" borderId="39" xfId="0" applyFont="1" applyFill="1" applyBorder="1" applyAlignment="1">
      <alignment horizontal="center" vertical="center"/>
    </xf>
    <xf numFmtId="0" fontId="67" fillId="62" borderId="48" xfId="0" applyFont="1" applyFill="1" applyBorder="1" applyAlignment="1">
      <alignment horizontal="center" vertical="center"/>
    </xf>
    <xf numFmtId="0" fontId="34" fillId="71" borderId="296" xfId="0" applyFont="1" applyFill="1" applyBorder="1" applyAlignment="1">
      <alignment horizontal="center" vertical="center"/>
    </xf>
    <xf numFmtId="0" fontId="34" fillId="71" borderId="297" xfId="0" applyFont="1" applyFill="1" applyBorder="1" applyAlignment="1">
      <alignment horizontal="center" vertical="center"/>
    </xf>
    <xf numFmtId="0" fontId="34" fillId="71" borderId="234" xfId="0" applyFont="1" applyFill="1" applyBorder="1" applyAlignment="1">
      <alignment horizontal="center" vertical="center"/>
    </xf>
    <xf numFmtId="0" fontId="34" fillId="71" borderId="298" xfId="0" applyFont="1" applyFill="1" applyBorder="1" applyAlignment="1">
      <alignment horizontal="center" vertical="center"/>
    </xf>
    <xf numFmtId="0" fontId="95" fillId="62" borderId="299" xfId="0" applyFont="1" applyFill="1" applyBorder="1" applyAlignment="1">
      <alignment horizontal="center" vertical="distributed"/>
    </xf>
    <xf numFmtId="0" fontId="34" fillId="71" borderId="93" xfId="0" applyFont="1" applyFill="1" applyBorder="1" applyAlignment="1">
      <alignment horizontal="center" vertical="center"/>
    </xf>
    <xf numFmtId="0" fontId="34" fillId="71" borderId="275" xfId="0" applyFont="1" applyFill="1" applyBorder="1" applyAlignment="1">
      <alignment horizontal="center" vertical="center"/>
    </xf>
    <xf numFmtId="0" fontId="0" fillId="72" borderId="48" xfId="0" applyFill="1" applyBorder="1" applyAlignment="1">
      <alignment horizontal="left" vertical="center" indent="5"/>
    </xf>
    <xf numFmtId="0" fontId="34" fillId="71" borderId="300" xfId="0" applyFont="1" applyFill="1" applyBorder="1" applyAlignment="1">
      <alignment horizontal="center" vertical="center"/>
    </xf>
    <xf numFmtId="0" fontId="0" fillId="71" borderId="48" xfId="0" applyFill="1" applyBorder="1" applyAlignment="1">
      <alignment horizontal="left" vertical="center" indent="5"/>
    </xf>
    <xf numFmtId="0" fontId="34" fillId="71" borderId="155" xfId="0" applyFont="1" applyFill="1" applyBorder="1" applyAlignment="1">
      <alignment horizontal="center" vertical="center"/>
    </xf>
    <xf numFmtId="0" fontId="34" fillId="71" borderId="48" xfId="0" applyFont="1" applyFill="1" applyBorder="1" applyAlignment="1">
      <alignment horizontal="distributed" vertical="center" wrapText="1" indent="2"/>
    </xf>
    <xf numFmtId="0" fontId="34" fillId="71" borderId="48" xfId="0" applyFont="1" applyFill="1" applyBorder="1" applyAlignment="1">
      <alignment horizontal="center" vertical="center" wrapText="1"/>
    </xf>
    <xf numFmtId="0" fontId="0" fillId="60" borderId="25" xfId="0" applyFill="1" applyBorder="1" applyAlignment="1">
      <alignment horizontal="center" vertical="distributed" wrapText="1"/>
    </xf>
    <xf numFmtId="0" fontId="34" fillId="71" borderId="48" xfId="0" applyFont="1" applyFill="1" applyBorder="1" applyAlignment="1">
      <alignment horizontal="center" vertical="distributed"/>
    </xf>
    <xf numFmtId="0" fontId="34" fillId="71" borderId="48" xfId="0" applyFont="1" applyFill="1" applyBorder="1" applyAlignment="1">
      <alignment horizontal="distributed" vertical="center" wrapText="1" indent="4"/>
    </xf>
    <xf numFmtId="0" fontId="34" fillId="71" borderId="48" xfId="0" applyFont="1" applyFill="1" applyBorder="1" applyAlignment="1">
      <alignment horizontal="left" vertical="center" wrapText="1" indent="5"/>
    </xf>
    <xf numFmtId="0" fontId="34" fillId="71" borderId="48" xfId="0" applyFont="1" applyFill="1" applyBorder="1" applyAlignment="1">
      <alignment horizontal="distributed" vertical="center" wrapText="1" indent="6"/>
    </xf>
    <xf numFmtId="0" fontId="34" fillId="71" borderId="39" xfId="0" applyFont="1" applyFill="1" applyBorder="1" applyAlignment="1">
      <alignment horizontal="distributed" vertical="center" indent="2"/>
    </xf>
    <xf numFmtId="0" fontId="34" fillId="71" borderId="299" xfId="0" applyFont="1" applyFill="1" applyBorder="1" applyAlignment="1">
      <alignment horizontal="center"/>
    </xf>
    <xf numFmtId="0" fontId="34" fillId="71" borderId="299" xfId="0" applyFont="1" applyFill="1" applyBorder="1" applyAlignment="1">
      <alignment horizontal="center" vertical="top"/>
    </xf>
    <xf numFmtId="0" fontId="34" fillId="71" borderId="48" xfId="0" applyFont="1" applyFill="1" applyBorder="1" applyAlignment="1">
      <alignment horizontal="center" vertical="justify"/>
    </xf>
    <xf numFmtId="0" fontId="3" fillId="0" borderId="5" xfId="0" applyNumberFormat="1" applyFont="1" applyFill="1" applyBorder="1" applyAlignment="1" applyProtection="1"/>
    <xf numFmtId="0" fontId="3" fillId="0" borderId="2" xfId="0" applyNumberFormat="1" applyFont="1" applyFill="1" applyBorder="1" applyAlignment="1" applyProtection="1"/>
    <xf numFmtId="0" fontId="3" fillId="11" borderId="2" xfId="0" applyNumberFormat="1" applyFont="1" applyFill="1" applyBorder="1" applyAlignment="1" applyProtection="1"/>
    <xf numFmtId="0" fontId="3" fillId="0" borderId="8" xfId="0" applyNumberFormat="1" applyFont="1" applyFill="1" applyBorder="1" applyAlignment="1" applyProtection="1"/>
    <xf numFmtId="0" fontId="4" fillId="0" borderId="301" xfId="0" applyNumberFormat="1" applyFont="1" applyFill="1" applyBorder="1" applyAlignment="1" applyProtection="1"/>
    <xf numFmtId="0" fontId="4" fillId="0" borderId="302" xfId="0" applyNumberFormat="1" applyFont="1" applyFill="1" applyBorder="1" applyAlignment="1" applyProtection="1"/>
    <xf numFmtId="0" fontId="4" fillId="0" borderId="303" xfId="0" applyNumberFormat="1" applyFont="1" applyFill="1" applyBorder="1" applyAlignment="1" applyProtection="1"/>
    <xf numFmtId="0" fontId="64" fillId="66" borderId="33" xfId="0" applyFont="1" applyFill="1" applyBorder="1" applyAlignment="1">
      <alignment horizontal="center" vertical="distributed"/>
    </xf>
    <xf numFmtId="0" fontId="67" fillId="66" borderId="0" xfId="0" applyFont="1" applyFill="1" applyBorder="1" applyAlignment="1">
      <alignment horizontal="center" vertical="justify"/>
    </xf>
    <xf numFmtId="0" fontId="64" fillId="66" borderId="199" xfId="0" applyFont="1" applyFill="1" applyBorder="1" applyAlignment="1">
      <alignment horizontal="center" vertical="justify"/>
    </xf>
    <xf numFmtId="0" fontId="67" fillId="66" borderId="0" xfId="0" applyFont="1" applyFill="1" applyBorder="1" applyAlignment="1">
      <alignment horizontal="center"/>
    </xf>
    <xf numFmtId="0" fontId="10" fillId="71" borderId="155" xfId="0" applyFont="1" applyFill="1" applyBorder="1" applyAlignment="1">
      <alignment horizontal="center" vertical="distributed"/>
    </xf>
    <xf numFmtId="0" fontId="64" fillId="66" borderId="304" xfId="0" applyFont="1" applyFill="1" applyBorder="1" applyAlignment="1">
      <alignment horizontal="center" vertical="center"/>
    </xf>
    <xf numFmtId="0" fontId="99" fillId="71" borderId="0" xfId="0" applyFont="1" applyFill="1" applyBorder="1" applyAlignment="1">
      <alignment horizontal="center" vertical="center"/>
    </xf>
    <xf numFmtId="0" fontId="0" fillId="69" borderId="50" xfId="0" applyFont="1" applyFill="1" applyBorder="1" applyAlignment="1">
      <alignment horizontal="center" vertical="center"/>
    </xf>
    <xf numFmtId="0" fontId="2" fillId="72" borderId="0" xfId="0" applyFont="1" applyFill="1" applyBorder="1" applyAlignment="1">
      <alignment horizontal="center" vertical="top"/>
    </xf>
    <xf numFmtId="0" fontId="76" fillId="71" borderId="43" xfId="0" applyFont="1" applyFill="1" applyBorder="1" applyAlignment="1">
      <alignment horizontal="center" vertical="justify"/>
    </xf>
    <xf numFmtId="0" fontId="76" fillId="71" borderId="171" xfId="0" applyFont="1" applyFill="1" applyBorder="1" applyAlignment="1">
      <alignment horizontal="center"/>
    </xf>
    <xf numFmtId="0" fontId="76" fillId="71" borderId="75" xfId="0" applyFont="1" applyFill="1" applyBorder="1" applyAlignment="1">
      <alignment horizontal="center" vertical="distributed"/>
    </xf>
    <xf numFmtId="0" fontId="76" fillId="71" borderId="75" xfId="0" applyFont="1" applyFill="1" applyBorder="1" applyAlignment="1">
      <alignment horizontal="center" vertical="top"/>
    </xf>
    <xf numFmtId="0" fontId="0" fillId="72" borderId="33" xfId="0" applyFont="1" applyFill="1" applyBorder="1" applyAlignment="1">
      <alignment horizontal="center" vertical="center"/>
    </xf>
    <xf numFmtId="0" fontId="0" fillId="72" borderId="59" xfId="0" applyFont="1" applyFill="1" applyBorder="1" applyAlignment="1">
      <alignment horizontal="center" vertical="center"/>
    </xf>
    <xf numFmtId="0" fontId="0" fillId="69" borderId="33" xfId="0" applyFont="1" applyFill="1" applyBorder="1" applyAlignment="1">
      <alignment horizontal="center" vertical="center"/>
    </xf>
    <xf numFmtId="0" fontId="0" fillId="69" borderId="59" xfId="0" applyFont="1" applyFill="1" applyBorder="1" applyAlignment="1">
      <alignment horizontal="center" vertical="center"/>
    </xf>
    <xf numFmtId="0" fontId="11" fillId="71" borderId="86" xfId="0" applyFont="1" applyFill="1" applyBorder="1" applyAlignment="1">
      <alignment horizontal="center" vertical="distributed"/>
    </xf>
    <xf numFmtId="0" fontId="0" fillId="72" borderId="120" xfId="0" applyFill="1" applyBorder="1" applyAlignment="1">
      <alignment horizontal="left" vertical="center" indent="5"/>
    </xf>
    <xf numFmtId="0" fontId="0" fillId="72" borderId="305" xfId="0" applyFill="1" applyBorder="1" applyAlignment="1">
      <alignment horizontal="left" vertical="center" indent="5"/>
    </xf>
    <xf numFmtId="0" fontId="76" fillId="71" borderId="25" xfId="0" applyFont="1" applyFill="1" applyBorder="1" applyAlignment="1">
      <alignment horizontal="center" vertical="center"/>
    </xf>
    <xf numFmtId="0" fontId="2" fillId="72" borderId="0" xfId="0" applyFont="1" applyFill="1" applyBorder="1" applyAlignment="1">
      <alignment horizontal="center"/>
    </xf>
    <xf numFmtId="0" fontId="67" fillId="67" borderId="0" xfId="0" applyFont="1" applyFill="1" applyBorder="1" applyAlignment="1">
      <alignment horizontal="left" vertical="center" indent="4"/>
    </xf>
    <xf numFmtId="0" fontId="92" fillId="66" borderId="25" xfId="0" applyFont="1" applyFill="1" applyBorder="1" applyAlignment="1">
      <alignment horizontal="right" vertical="center" indent="2"/>
    </xf>
    <xf numFmtId="0" fontId="65" fillId="66" borderId="39" xfId="0" applyFont="1" applyFill="1" applyBorder="1" applyAlignment="1">
      <alignment horizontal="right" vertical="center" indent="2"/>
    </xf>
    <xf numFmtId="0" fontId="79" fillId="69" borderId="47" xfId="0" applyFont="1" applyFill="1" applyBorder="1" applyAlignment="1">
      <alignment horizontal="right" vertical="center" indent="6"/>
    </xf>
    <xf numFmtId="0" fontId="80" fillId="69" borderId="0" xfId="0" applyFont="1" applyFill="1" applyBorder="1" applyAlignment="1">
      <alignment horizontal="right" vertical="center" indent="6"/>
    </xf>
    <xf numFmtId="0" fontId="96" fillId="69" borderId="0" xfId="0" applyFont="1" applyFill="1" applyBorder="1" applyAlignment="1">
      <alignment horizontal="right" vertical="center" indent="6"/>
    </xf>
    <xf numFmtId="0" fontId="101" fillId="66" borderId="39" xfId="0" applyFont="1" applyFill="1" applyBorder="1" applyAlignment="1">
      <alignment horizontal="right" vertical="center" indent="7"/>
    </xf>
    <xf numFmtId="0" fontId="92" fillId="69" borderId="39" xfId="0" applyFont="1" applyFill="1" applyBorder="1" applyAlignment="1">
      <alignment horizontal="right" vertical="center" indent="2"/>
    </xf>
    <xf numFmtId="0" fontId="0" fillId="69" borderId="105" xfId="0" applyFill="1" applyBorder="1" applyAlignment="1">
      <alignment horizontal="left" vertical="center" indent="4"/>
    </xf>
    <xf numFmtId="0" fontId="0" fillId="65" borderId="259" xfId="0" applyFill="1" applyBorder="1" applyAlignment="1">
      <alignment horizontal="center" vertical="center"/>
    </xf>
    <xf numFmtId="0" fontId="76" fillId="71" borderId="41" xfId="0" applyFont="1" applyFill="1" applyBorder="1" applyAlignment="1">
      <alignment horizontal="center" vertical="center"/>
    </xf>
    <xf numFmtId="0" fontId="76" fillId="71" borderId="44" xfId="0" applyFont="1" applyFill="1" applyBorder="1" applyAlignment="1">
      <alignment horizontal="center" vertical="center"/>
    </xf>
    <xf numFmtId="0" fontId="76" fillId="71" borderId="78" xfId="0" applyFont="1" applyFill="1" applyBorder="1" applyAlignment="1">
      <alignment horizontal="center" vertical="center"/>
    </xf>
    <xf numFmtId="0" fontId="0" fillId="71" borderId="31" xfId="0" applyFont="1" applyFill="1" applyBorder="1" applyAlignment="1">
      <alignment horizontal="center" vertical="center"/>
    </xf>
    <xf numFmtId="0" fontId="0" fillId="0" borderId="0" xfId="0" applyFont="1" applyAlignment="1">
      <alignment vertical="center"/>
    </xf>
    <xf numFmtId="0" fontId="0" fillId="0" borderId="51" xfId="0" applyBorder="1" applyAlignment="1">
      <alignment vertical="center" shrinkToFit="1"/>
    </xf>
    <xf numFmtId="0" fontId="3" fillId="71" borderId="119" xfId="0" applyFont="1" applyFill="1" applyBorder="1" applyAlignment="1">
      <alignment horizontal="center" vertical="center"/>
    </xf>
    <xf numFmtId="0" fontId="3" fillId="71" borderId="120" xfId="0" applyFont="1" applyFill="1" applyBorder="1" applyAlignment="1">
      <alignment horizontal="center" vertical="center"/>
    </xf>
    <xf numFmtId="0" fontId="64" fillId="60" borderId="25" xfId="0" applyFont="1" applyFill="1" applyBorder="1" applyAlignment="1">
      <alignment horizontal="center" vertical="center" shrinkToFit="1"/>
    </xf>
    <xf numFmtId="0" fontId="76" fillId="60" borderId="25" xfId="0" applyFont="1" applyFill="1" applyBorder="1" applyAlignment="1">
      <alignment horizontal="center" vertical="center" shrinkToFit="1"/>
    </xf>
    <xf numFmtId="0" fontId="64" fillId="72" borderId="25" xfId="0" applyFont="1" applyFill="1" applyBorder="1" applyAlignment="1">
      <alignment horizontal="center" vertical="justify" shrinkToFit="1"/>
    </xf>
    <xf numFmtId="0" fontId="64" fillId="60" borderId="25" xfId="0" applyFont="1" applyFill="1" applyBorder="1" applyAlignment="1">
      <alignment horizontal="center" vertical="distributed" shrinkToFit="1"/>
    </xf>
    <xf numFmtId="0" fontId="64" fillId="60" borderId="25" xfId="0" applyFont="1" applyFill="1" applyBorder="1" applyAlignment="1">
      <alignment horizontal="center" shrinkToFit="1"/>
    </xf>
    <xf numFmtId="0" fontId="64" fillId="72" borderId="25" xfId="0" applyFont="1" applyFill="1" applyBorder="1" applyAlignment="1">
      <alignment horizontal="center" vertical="center" shrinkToFit="1"/>
    </xf>
    <xf numFmtId="0" fontId="64" fillId="60" borderId="25" xfId="0" applyFont="1" applyFill="1" applyBorder="1" applyAlignment="1">
      <alignment horizontal="center" vertical="justify" shrinkToFit="1"/>
    </xf>
    <xf numFmtId="0" fontId="64" fillId="60" borderId="25" xfId="0" applyFont="1" applyFill="1" applyBorder="1" applyAlignment="1">
      <alignment horizontal="center" vertical="top" shrinkToFit="1"/>
    </xf>
    <xf numFmtId="0" fontId="102" fillId="71" borderId="42" xfId="0" applyFont="1" applyFill="1" applyBorder="1" applyAlignment="1">
      <alignment horizontal="center" vertical="center" shrinkToFit="1"/>
    </xf>
    <xf numFmtId="0" fontId="102" fillId="71" borderId="30" xfId="0" applyFont="1" applyFill="1" applyBorder="1" applyAlignment="1">
      <alignment horizontal="center" vertical="center" shrinkToFit="1"/>
    </xf>
    <xf numFmtId="0" fontId="0" fillId="72" borderId="63" xfId="0" applyFont="1" applyFill="1" applyBorder="1" applyAlignment="1">
      <alignment shrinkToFit="1"/>
    </xf>
    <xf numFmtId="0" fontId="0" fillId="60" borderId="51" xfId="0" applyFill="1" applyBorder="1" applyAlignment="1">
      <alignment shrinkToFit="1"/>
    </xf>
    <xf numFmtId="0" fontId="0" fillId="60" borderId="61" xfId="0" applyFill="1" applyBorder="1" applyAlignment="1">
      <alignment shrinkToFit="1"/>
    </xf>
    <xf numFmtId="0" fontId="0" fillId="60" borderId="60" xfId="0" applyFill="1" applyBorder="1" applyAlignment="1">
      <alignment shrinkToFit="1"/>
    </xf>
    <xf numFmtId="0" fontId="64" fillId="72" borderId="63" xfId="0" applyFont="1" applyFill="1" applyBorder="1" applyAlignment="1">
      <alignment horizontal="center" vertical="center" shrinkToFit="1"/>
    </xf>
    <xf numFmtId="0" fontId="0" fillId="72" borderId="63" xfId="0" applyFont="1" applyFill="1" applyBorder="1" applyAlignment="1">
      <alignment horizontal="center" vertical="center" shrinkToFit="1"/>
    </xf>
    <xf numFmtId="0" fontId="0" fillId="72" borderId="63" xfId="0" applyFont="1" applyFill="1" applyBorder="1" applyAlignment="1">
      <alignment horizontal="center" vertical="justify" shrinkToFit="1"/>
    </xf>
    <xf numFmtId="0" fontId="67" fillId="65" borderId="0" xfId="0" applyFont="1" applyFill="1" applyBorder="1" applyAlignment="1">
      <alignment horizontal="center" vertical="top"/>
    </xf>
    <xf numFmtId="0" fontId="64" fillId="66" borderId="55" xfId="0" applyFont="1" applyFill="1" applyBorder="1" applyAlignment="1">
      <alignment horizontal="center" vertical="center" shrinkToFit="1"/>
    </xf>
    <xf numFmtId="0" fontId="64" fillId="66" borderId="62" xfId="0" applyFont="1" applyFill="1" applyBorder="1" applyAlignment="1">
      <alignment horizontal="center" vertical="center" shrinkToFit="1"/>
    </xf>
    <xf numFmtId="0" fontId="64" fillId="66" borderId="63" xfId="0" applyFont="1" applyFill="1" applyBorder="1" applyAlignment="1">
      <alignment horizontal="center" vertical="center" shrinkToFit="1"/>
    </xf>
    <xf numFmtId="0" fontId="64" fillId="66" borderId="55" xfId="0" applyFont="1" applyFill="1" applyBorder="1" applyAlignment="1">
      <alignment horizontal="center" vertical="justify" shrinkToFit="1"/>
    </xf>
    <xf numFmtId="0" fontId="64" fillId="66" borderId="55" xfId="0" applyFont="1" applyFill="1" applyBorder="1" applyAlignment="1">
      <alignment horizontal="center" vertical="distributed" shrinkToFit="1"/>
    </xf>
    <xf numFmtId="0" fontId="64" fillId="66" borderId="55" xfId="0" applyFont="1" applyFill="1" applyBorder="1" applyAlignment="1">
      <alignment horizontal="center" shrinkToFit="1"/>
    </xf>
    <xf numFmtId="0" fontId="64" fillId="66" borderId="0" xfId="0" applyFont="1" applyFill="1" applyBorder="1" applyAlignment="1">
      <alignment horizontal="distributed" vertical="distributed" indent="2"/>
    </xf>
    <xf numFmtId="0" fontId="64" fillId="71" borderId="25" xfId="0" applyFont="1" applyFill="1" applyBorder="1" applyAlignment="1">
      <alignment horizontal="center" vertical="center"/>
    </xf>
    <xf numFmtId="0" fontId="0" fillId="60" borderId="42" xfId="0" applyFill="1" applyBorder="1" applyAlignment="1">
      <alignment horizontal="center" vertical="center" shrinkToFit="1"/>
    </xf>
    <xf numFmtId="0" fontId="0" fillId="60" borderId="30" xfId="0" applyFill="1" applyBorder="1" applyAlignment="1">
      <alignment horizontal="center" vertical="center" shrinkToFit="1"/>
    </xf>
    <xf numFmtId="0" fontId="0" fillId="60" borderId="114" xfId="0" applyFill="1" applyBorder="1" applyAlignment="1">
      <alignment horizontal="center" vertical="center" shrinkToFit="1"/>
    </xf>
    <xf numFmtId="0" fontId="0" fillId="61" borderId="30" xfId="0" applyFill="1" applyBorder="1" applyAlignment="1">
      <alignment horizontal="left" vertical="center" indent="5" shrinkToFit="1"/>
    </xf>
    <xf numFmtId="0" fontId="0" fillId="61" borderId="42" xfId="0" applyFill="1" applyBorder="1" applyAlignment="1">
      <alignment horizontal="left" vertical="center" indent="5" shrinkToFit="1"/>
    </xf>
    <xf numFmtId="0" fontId="0" fillId="61" borderId="55" xfId="0" applyFill="1" applyBorder="1" applyAlignment="1">
      <alignment horizontal="left" vertical="center" indent="5" shrinkToFit="1"/>
    </xf>
    <xf numFmtId="0" fontId="0" fillId="58" borderId="42" xfId="0" applyFill="1" applyBorder="1" applyAlignment="1">
      <alignment horizontal="center"/>
    </xf>
    <xf numFmtId="0" fontId="0" fillId="71" borderId="30" xfId="0" applyFill="1" applyBorder="1" applyAlignment="1">
      <alignment horizontal="center" vertical="center" shrinkToFit="1"/>
    </xf>
    <xf numFmtId="0" fontId="0" fillId="71" borderId="30" xfId="0" applyFill="1" applyBorder="1" applyAlignment="1">
      <alignment horizontal="right" vertical="center" shrinkToFit="1"/>
    </xf>
    <xf numFmtId="0" fontId="0" fillId="71" borderId="114" xfId="0" applyFill="1" applyBorder="1" applyAlignment="1">
      <alignment horizontal="center" vertical="center" shrinkToFit="1"/>
    </xf>
    <xf numFmtId="0" fontId="0" fillId="71" borderId="55" xfId="0" applyFill="1" applyBorder="1" applyAlignment="1">
      <alignment horizontal="right" vertical="center" shrinkToFit="1"/>
    </xf>
    <xf numFmtId="0" fontId="0" fillId="71" borderId="34" xfId="0" applyFill="1" applyBorder="1" applyAlignment="1">
      <alignment horizontal="right" vertical="center" indent="3"/>
    </xf>
    <xf numFmtId="0" fontId="0" fillId="71" borderId="31" xfId="0" applyFill="1" applyBorder="1" applyAlignment="1">
      <alignment horizontal="right" vertical="center" wrapText="1" indent="3"/>
    </xf>
    <xf numFmtId="0" fontId="0" fillId="71" borderId="35" xfId="0" applyFill="1" applyBorder="1" applyAlignment="1">
      <alignment horizontal="center" vertical="center"/>
    </xf>
    <xf numFmtId="0" fontId="0" fillId="71" borderId="120" xfId="0" applyFill="1" applyBorder="1" applyAlignment="1">
      <alignment horizontal="center" vertical="center"/>
    </xf>
    <xf numFmtId="0" fontId="0" fillId="71" borderId="55" xfId="0" applyFill="1" applyBorder="1" applyAlignment="1">
      <alignment horizontal="center" vertical="center" shrinkToFit="1"/>
    </xf>
    <xf numFmtId="0" fontId="0" fillId="71" borderId="31" xfId="0" applyFill="1" applyBorder="1" applyAlignment="1">
      <alignment horizontal="right" vertical="center" indent="3"/>
    </xf>
    <xf numFmtId="0" fontId="64" fillId="69" borderId="306" xfId="0" applyFont="1" applyFill="1" applyBorder="1" applyAlignment="1">
      <alignment horizontal="center" vertical="center" shrinkToFit="1"/>
    </xf>
    <xf numFmtId="0" fontId="64" fillId="69" borderId="55" xfId="0" applyFont="1" applyFill="1" applyBorder="1" applyAlignment="1">
      <alignment horizontal="center" vertical="center" shrinkToFit="1"/>
    </xf>
    <xf numFmtId="0" fontId="64" fillId="60" borderId="63" xfId="0" applyFont="1" applyFill="1" applyBorder="1" applyAlignment="1">
      <alignment horizontal="center" vertical="center" shrinkToFit="1"/>
    </xf>
    <xf numFmtId="0" fontId="64" fillId="66" borderId="114" xfId="0" applyFont="1" applyFill="1" applyBorder="1" applyAlignment="1">
      <alignment horizontal="center" vertical="center" shrinkToFit="1"/>
    </xf>
    <xf numFmtId="0" fontId="64" fillId="69" borderId="114" xfId="0" applyFont="1" applyFill="1" applyBorder="1" applyAlignment="1">
      <alignment horizontal="center" vertical="center" shrinkToFit="1"/>
    </xf>
    <xf numFmtId="0" fontId="64" fillId="69" borderId="62" xfId="0" applyFont="1" applyFill="1" applyBorder="1" applyAlignment="1">
      <alignment horizontal="center" vertical="center" shrinkToFit="1"/>
    </xf>
    <xf numFmtId="0" fontId="64" fillId="69" borderId="25" xfId="0" applyFont="1" applyFill="1" applyBorder="1" applyAlignment="1">
      <alignment horizontal="center" vertical="top"/>
    </xf>
    <xf numFmtId="0" fontId="0" fillId="69" borderId="42" xfId="0" applyFont="1" applyFill="1" applyBorder="1" applyAlignment="1">
      <alignment horizontal="center" vertical="center" shrinkToFit="1"/>
    </xf>
    <xf numFmtId="0" fontId="0" fillId="69" borderId="55" xfId="0" applyFont="1" applyFill="1" applyBorder="1" applyAlignment="1">
      <alignment horizontal="center" vertical="center" shrinkToFit="1"/>
    </xf>
    <xf numFmtId="0" fontId="0" fillId="69" borderId="30" xfId="0" applyFont="1" applyFill="1" applyBorder="1" applyAlignment="1">
      <alignment horizontal="center" vertical="center" shrinkToFit="1"/>
    </xf>
    <xf numFmtId="0" fontId="67" fillId="60" borderId="62" xfId="0" applyFont="1" applyFill="1" applyBorder="1" applyAlignment="1">
      <alignment horizontal="center" vertical="center" shrinkToFit="1"/>
    </xf>
    <xf numFmtId="0" fontId="67" fillId="60" borderId="63" xfId="0" applyFont="1" applyFill="1" applyBorder="1" applyAlignment="1">
      <alignment horizontal="center" vertical="center" shrinkToFit="1"/>
    </xf>
    <xf numFmtId="0" fontId="64" fillId="69" borderId="30" xfId="0" applyFont="1" applyFill="1" applyBorder="1" applyAlignment="1">
      <alignment horizontal="center" vertical="center" shrinkToFit="1"/>
    </xf>
    <xf numFmtId="0" fontId="64" fillId="70" borderId="55" xfId="0" applyFont="1" applyFill="1" applyBorder="1" applyAlignment="1">
      <alignment horizontal="center" vertical="center" shrinkToFit="1"/>
    </xf>
    <xf numFmtId="0" fontId="64" fillId="70" borderId="42" xfId="0" applyFont="1" applyFill="1" applyBorder="1" applyAlignment="1">
      <alignment horizontal="center" vertical="center" shrinkToFit="1"/>
    </xf>
    <xf numFmtId="0" fontId="67" fillId="69" borderId="63" xfId="0" applyFont="1" applyFill="1" applyBorder="1" applyAlignment="1">
      <alignment horizontal="center" vertical="justify" shrinkToFit="1"/>
    </xf>
    <xf numFmtId="0" fontId="34" fillId="69" borderId="55" xfId="0" applyFont="1" applyFill="1" applyBorder="1" applyAlignment="1">
      <alignment horizontal="center" vertical="center" shrinkToFit="1"/>
    </xf>
    <xf numFmtId="0" fontId="64" fillId="69" borderId="42" xfId="0" applyFont="1" applyFill="1" applyBorder="1" applyAlignment="1">
      <alignment horizontal="center" vertical="center" shrinkToFit="1"/>
    </xf>
    <xf numFmtId="0" fontId="64" fillId="66" borderId="307" xfId="0" applyFont="1" applyFill="1" applyBorder="1" applyAlignment="1">
      <alignment horizontal="left" vertical="center" indent="2"/>
    </xf>
    <xf numFmtId="0" fontId="64" fillId="66" borderId="307" xfId="0" applyFont="1" applyFill="1" applyBorder="1" applyAlignment="1">
      <alignment horizontal="center" vertical="center"/>
    </xf>
    <xf numFmtId="0" fontId="64" fillId="66" borderId="308" xfId="0" applyFont="1" applyFill="1" applyBorder="1" applyAlignment="1">
      <alignment horizontal="center" vertical="center"/>
    </xf>
    <xf numFmtId="0" fontId="64" fillId="66" borderId="309" xfId="0" applyFont="1" applyFill="1" applyBorder="1" applyAlignment="1">
      <alignment horizontal="center" vertical="center"/>
    </xf>
    <xf numFmtId="0" fontId="64" fillId="66" borderId="307" xfId="0" applyFont="1" applyFill="1" applyBorder="1" applyAlignment="1">
      <alignment horizontal="left" vertical="center" indent="3"/>
    </xf>
    <xf numFmtId="0" fontId="64" fillId="66" borderId="310" xfId="0" applyFont="1" applyFill="1" applyBorder="1" applyAlignment="1">
      <alignment horizontal="center" vertical="center" shrinkToFit="1"/>
    </xf>
    <xf numFmtId="0" fontId="46" fillId="72" borderId="30" xfId="0" applyFont="1" applyFill="1" applyBorder="1" applyAlignment="1">
      <alignment horizontal="center" vertical="center" shrinkToFit="1"/>
    </xf>
    <xf numFmtId="0" fontId="64" fillId="66" borderId="311" xfId="0" applyFont="1" applyFill="1" applyBorder="1" applyAlignment="1">
      <alignment horizontal="center" vertical="center" shrinkToFit="1"/>
    </xf>
    <xf numFmtId="0" fontId="64" fillId="66" borderId="268" xfId="0" applyFont="1" applyFill="1" applyBorder="1" applyAlignment="1">
      <alignment horizontal="center" vertical="center" shrinkToFit="1"/>
    </xf>
    <xf numFmtId="0" fontId="0" fillId="61" borderId="30" xfId="0" applyFill="1" applyBorder="1" applyAlignment="1">
      <alignment horizontal="left" vertical="center" indent="6" shrinkToFit="1"/>
    </xf>
    <xf numFmtId="0" fontId="0" fillId="60" borderId="29" xfId="0" applyFill="1" applyBorder="1" applyAlignment="1">
      <alignment horizontal="center" vertical="center" shrinkToFit="1"/>
    </xf>
    <xf numFmtId="0" fontId="21" fillId="60" borderId="312" xfId="0" applyFont="1" applyFill="1" applyBorder="1" applyAlignment="1">
      <alignment horizontal="center" vertical="justify" shrinkToFit="1"/>
    </xf>
    <xf numFmtId="0" fontId="0" fillId="60" borderId="30" xfId="0" applyFill="1" applyBorder="1" applyAlignment="1">
      <alignment horizontal="center" vertical="distributed" shrinkToFit="1"/>
    </xf>
    <xf numFmtId="0" fontId="0" fillId="70" borderId="51" xfId="0" applyFill="1" applyBorder="1" applyAlignment="1">
      <alignment horizontal="center" vertical="center" shrinkToFit="1"/>
    </xf>
    <xf numFmtId="0" fontId="0" fillId="69" borderId="51" xfId="0" applyFill="1" applyBorder="1" applyAlignment="1">
      <alignment horizontal="center" vertical="center" shrinkToFit="1"/>
    </xf>
    <xf numFmtId="0" fontId="21" fillId="60" borderId="29" xfId="0" applyFont="1" applyFill="1" applyBorder="1" applyAlignment="1">
      <alignment horizontal="center" vertical="top" shrinkToFit="1"/>
    </xf>
    <xf numFmtId="0" fontId="21" fillId="64" borderId="32" xfId="0" applyFont="1" applyFill="1" applyBorder="1" applyAlignment="1">
      <alignment horizontal="center" vertical="center" shrinkToFit="1"/>
    </xf>
    <xf numFmtId="0" fontId="0" fillId="64" borderId="32" xfId="0" applyFill="1" applyBorder="1" applyAlignment="1">
      <alignment horizontal="center" vertical="center" shrinkToFit="1"/>
    </xf>
    <xf numFmtId="0" fontId="104" fillId="64" borderId="0" xfId="0" applyFont="1" applyFill="1" applyBorder="1" applyAlignment="1">
      <alignment vertical="center"/>
    </xf>
    <xf numFmtId="0" fontId="76" fillId="64" borderId="23" xfId="0" applyFont="1" applyFill="1" applyBorder="1" applyAlignment="1">
      <alignment horizontal="center" vertical="center"/>
    </xf>
    <xf numFmtId="0" fontId="64" fillId="60" borderId="42" xfId="0" applyFont="1" applyFill="1" applyBorder="1" applyAlignment="1">
      <alignment horizontal="center" vertical="center" shrinkToFit="1"/>
    </xf>
    <xf numFmtId="0" fontId="64" fillId="60" borderId="30" xfId="0" applyFont="1" applyFill="1" applyBorder="1" applyAlignment="1">
      <alignment horizontal="center" vertical="center" shrinkToFit="1"/>
    </xf>
    <xf numFmtId="0" fontId="64" fillId="60" borderId="55" xfId="0" applyFont="1" applyFill="1" applyBorder="1" applyAlignment="1">
      <alignment horizontal="center" vertical="center" shrinkToFit="1"/>
    </xf>
    <xf numFmtId="0" fontId="16" fillId="58" borderId="42" xfId="0" applyFont="1" applyFill="1" applyBorder="1" applyAlignment="1">
      <alignment horizontal="center" vertical="center" shrinkToFit="1"/>
    </xf>
    <xf numFmtId="0" fontId="16" fillId="58" borderId="30" xfId="0" applyFont="1" applyFill="1" applyBorder="1" applyAlignment="1">
      <alignment horizontal="center" vertical="center" shrinkToFit="1"/>
    </xf>
    <xf numFmtId="0" fontId="0" fillId="64" borderId="53" xfId="0" applyFill="1" applyBorder="1" applyAlignment="1">
      <alignment horizontal="center" vertical="center"/>
    </xf>
    <xf numFmtId="0" fontId="16" fillId="58" borderId="55" xfId="0" applyFont="1" applyFill="1" applyBorder="1" applyAlignment="1">
      <alignment horizontal="center" vertical="center" shrinkToFit="1"/>
    </xf>
    <xf numFmtId="0" fontId="0" fillId="60" borderId="313" xfId="0" applyFill="1" applyBorder="1" applyAlignment="1">
      <alignment horizontal="center" vertical="center" shrinkToFit="1"/>
    </xf>
    <xf numFmtId="0" fontId="0" fillId="1" borderId="69" xfId="0" applyFill="1" applyBorder="1" applyAlignment="1">
      <alignment horizontal="center" vertical="center" shrinkToFit="1"/>
    </xf>
    <xf numFmtId="0" fontId="0" fillId="60" borderId="314" xfId="0" applyFill="1" applyBorder="1" applyAlignment="1">
      <alignment horizontal="center" vertical="center" shrinkToFit="1"/>
    </xf>
    <xf numFmtId="0" fontId="0" fillId="60" borderId="84" xfId="0" applyFill="1" applyBorder="1" applyAlignment="1">
      <alignment horizontal="center" vertical="center" shrinkToFit="1"/>
    </xf>
    <xf numFmtId="0" fontId="0" fillId="1" borderId="315" xfId="0" applyFill="1" applyBorder="1" applyAlignment="1">
      <alignment horizontal="center" vertical="center" shrinkToFit="1"/>
    </xf>
    <xf numFmtId="0" fontId="0" fillId="60" borderId="316" xfId="0" applyFill="1" applyBorder="1" applyAlignment="1">
      <alignment horizontal="center" vertical="center" shrinkToFit="1"/>
    </xf>
    <xf numFmtId="0" fontId="0" fillId="72" borderId="317" xfId="0" applyFill="1" applyBorder="1" applyAlignment="1">
      <alignment horizontal="right" indent="4"/>
    </xf>
    <xf numFmtId="0" fontId="0" fillId="72" borderId="317" xfId="0" applyFill="1" applyBorder="1" applyAlignment="1">
      <alignment horizontal="right" vertical="top" indent="4"/>
    </xf>
    <xf numFmtId="0" fontId="0" fillId="58" borderId="32" xfId="0" applyFont="1" applyFill="1" applyBorder="1" applyAlignment="1">
      <alignment horizontal="center" vertical="center" shrinkToFit="1"/>
    </xf>
    <xf numFmtId="0" fontId="0" fillId="58" borderId="318" xfId="0" applyFont="1" applyFill="1" applyBorder="1" applyAlignment="1">
      <alignment horizontal="center" vertical="center" shrinkToFit="1"/>
    </xf>
    <xf numFmtId="0" fontId="0" fillId="58" borderId="29" xfId="0" applyFont="1" applyFill="1" applyBorder="1" applyAlignment="1">
      <alignment horizontal="center" vertical="center" shrinkToFit="1"/>
    </xf>
    <xf numFmtId="0" fontId="0" fillId="58" borderId="319" xfId="0" applyFont="1" applyFill="1" applyBorder="1" applyAlignment="1">
      <alignment horizontal="center" vertical="center" shrinkToFit="1"/>
    </xf>
    <xf numFmtId="0" fontId="16" fillId="60" borderId="62" xfId="0" applyFont="1" applyFill="1" applyBorder="1" applyAlignment="1">
      <alignment horizontal="center" vertical="distributed" shrinkToFit="1"/>
    </xf>
    <xf numFmtId="0" fontId="16" fillId="60" borderId="62" xfId="0" applyFont="1" applyFill="1" applyBorder="1" applyAlignment="1">
      <alignment horizontal="center" shrinkToFit="1"/>
    </xf>
    <xf numFmtId="0" fontId="16" fillId="60" borderId="63" xfId="0" applyFont="1" applyFill="1" applyBorder="1" applyAlignment="1">
      <alignment horizontal="center" shrinkToFit="1"/>
    </xf>
    <xf numFmtId="0" fontId="16" fillId="60" borderId="63" xfId="0" applyFont="1" applyFill="1" applyBorder="1" applyAlignment="1">
      <alignment horizontal="center" vertical="distributed" shrinkToFit="1"/>
    </xf>
    <xf numFmtId="0" fontId="16" fillId="60" borderId="62" xfId="0" applyFont="1" applyFill="1" applyBorder="1" applyAlignment="1">
      <alignment horizontal="center" vertical="top" shrinkToFit="1"/>
    </xf>
    <xf numFmtId="0" fontId="16" fillId="60" borderId="62" xfId="0" applyFont="1" applyFill="1" applyBorder="1" applyAlignment="1">
      <alignment horizontal="center" vertical="justify" shrinkToFit="1"/>
    </xf>
    <xf numFmtId="0" fontId="16" fillId="60" borderId="62" xfId="0" applyFont="1" applyFill="1" applyBorder="1" applyAlignment="1">
      <alignment horizontal="center" vertical="center" shrinkToFit="1"/>
    </xf>
    <xf numFmtId="0" fontId="0" fillId="64" borderId="320" xfId="0" applyFill="1" applyBorder="1" applyAlignment="1">
      <alignment horizontal="center" vertical="center" shrinkToFit="1"/>
    </xf>
    <xf numFmtId="0" fontId="0" fillId="60" borderId="30" xfId="0" applyFont="1" applyFill="1" applyBorder="1" applyAlignment="1">
      <alignment horizontal="center" vertical="center" shrinkToFit="1"/>
    </xf>
    <xf numFmtId="0" fontId="0" fillId="60" borderId="30" xfId="0" applyFont="1" applyFill="1" applyBorder="1" applyAlignment="1">
      <alignment horizontal="center" vertical="distributed" shrinkToFit="1"/>
    </xf>
    <xf numFmtId="0" fontId="0" fillId="60" borderId="42" xfId="0" applyFont="1" applyFill="1" applyBorder="1" applyAlignment="1">
      <alignment horizontal="center" vertical="center" shrinkToFit="1"/>
    </xf>
    <xf numFmtId="0" fontId="0" fillId="60" borderId="171" xfId="0" applyFill="1" applyBorder="1" applyAlignment="1">
      <alignment horizontal="center" vertical="distributed"/>
    </xf>
    <xf numFmtId="0" fontId="95" fillId="62" borderId="155" xfId="0" applyFont="1" applyFill="1" applyBorder="1" applyAlignment="1">
      <alignment horizontal="center" vertical="distributed"/>
    </xf>
    <xf numFmtId="0" fontId="105" fillId="62" borderId="39" xfId="0" applyFont="1" applyFill="1" applyBorder="1" applyAlignment="1">
      <alignment horizontal="center" vertical="distributed"/>
    </xf>
    <xf numFmtId="0" fontId="105" fillId="62" borderId="39" xfId="0" applyFont="1" applyFill="1" applyBorder="1" applyAlignment="1">
      <alignment horizontal="center"/>
    </xf>
    <xf numFmtId="0" fontId="34" fillId="71" borderId="39" xfId="0" applyFont="1" applyFill="1" applyBorder="1" applyAlignment="1">
      <alignment horizontal="center" vertical="distributed"/>
    </xf>
    <xf numFmtId="0" fontId="34" fillId="71" borderId="39" xfId="0" applyFont="1" applyFill="1" applyBorder="1" applyAlignment="1">
      <alignment horizontal="center"/>
    </xf>
    <xf numFmtId="0" fontId="10" fillId="72" borderId="39" xfId="0" applyFont="1" applyFill="1" applyBorder="1" applyAlignment="1">
      <alignment horizontal="right" vertical="distributed" indent="5"/>
    </xf>
    <xf numFmtId="0" fontId="76" fillId="71" borderId="37" xfId="0" applyFont="1" applyFill="1" applyBorder="1" applyAlignment="1">
      <alignment horizontal="center" vertical="center"/>
    </xf>
    <xf numFmtId="0" fontId="103" fillId="69" borderId="42" xfId="0" applyFont="1" applyFill="1" applyBorder="1" applyAlignment="1">
      <alignment horizontal="center" vertical="center" shrinkToFit="1"/>
    </xf>
    <xf numFmtId="0" fontId="103" fillId="69" borderId="30" xfId="0" applyFont="1" applyFill="1" applyBorder="1" applyAlignment="1">
      <alignment horizontal="center" vertical="center" shrinkToFit="1"/>
    </xf>
    <xf numFmtId="0" fontId="0" fillId="67" borderId="42" xfId="0" applyFill="1" applyBorder="1" applyAlignment="1">
      <alignment horizontal="center" vertical="center" shrinkToFit="1"/>
    </xf>
    <xf numFmtId="0" fontId="0" fillId="67" borderId="30" xfId="0" applyFill="1" applyBorder="1" applyAlignment="1">
      <alignment horizontal="center" vertical="center" shrinkToFit="1"/>
    </xf>
    <xf numFmtId="0" fontId="0" fillId="67" borderId="35" xfId="0" applyFill="1" applyBorder="1" applyAlignment="1">
      <alignment horizontal="center" vertical="center"/>
    </xf>
    <xf numFmtId="0" fontId="35" fillId="67" borderId="42" xfId="0" applyFont="1" applyFill="1" applyBorder="1" applyAlignment="1">
      <alignment horizontal="center" vertical="center" shrinkToFit="1"/>
    </xf>
    <xf numFmtId="0" fontId="35" fillId="67" borderId="55" xfId="0" applyFont="1" applyFill="1" applyBorder="1" applyAlignment="1">
      <alignment horizontal="center" vertical="center" shrinkToFit="1"/>
    </xf>
    <xf numFmtId="0" fontId="37" fillId="67" borderId="42" xfId="0" applyFont="1" applyFill="1" applyBorder="1" applyAlignment="1">
      <alignment horizontal="center" vertical="top" shrinkToFit="1"/>
    </xf>
    <xf numFmtId="0" fontId="37" fillId="67" borderId="42" xfId="0" applyFont="1" applyFill="1" applyBorder="1" applyAlignment="1">
      <alignment horizontal="center" vertical="justify" shrinkToFit="1"/>
    </xf>
    <xf numFmtId="0" fontId="11" fillId="60" borderId="26" xfId="0" applyFont="1" applyFill="1" applyBorder="1" applyAlignment="1">
      <alignment horizontal="right" vertical="justify" indent="1"/>
    </xf>
    <xf numFmtId="0" fontId="9" fillId="71" borderId="31" xfId="0" applyFont="1" applyFill="1" applyBorder="1" applyAlignment="1">
      <alignment horizontal="center" vertical="distributed"/>
    </xf>
    <xf numFmtId="0" fontId="23" fillId="71" borderId="31" xfId="0" applyFont="1" applyFill="1" applyBorder="1" applyAlignment="1">
      <alignment horizontal="center" vertical="justify"/>
    </xf>
    <xf numFmtId="0" fontId="36" fillId="72" borderId="39" xfId="0" applyFont="1" applyFill="1" applyBorder="1" applyAlignment="1">
      <alignment horizontal="right" vertical="center" indent="7"/>
    </xf>
    <xf numFmtId="0" fontId="11" fillId="69" borderId="0" xfId="0" applyFont="1" applyFill="1" applyBorder="1" applyAlignment="1">
      <alignment horizontal="right" indent="2"/>
    </xf>
    <xf numFmtId="0" fontId="9" fillId="58" borderId="58" xfId="0" applyFont="1" applyFill="1" applyBorder="1" applyAlignment="1">
      <alignment horizontal="right" vertical="center" indent="7"/>
    </xf>
    <xf numFmtId="0" fontId="36" fillId="58" borderId="58" xfId="0" applyFont="1" applyFill="1" applyBorder="1" applyAlignment="1">
      <alignment horizontal="right" vertical="center" indent="7"/>
    </xf>
    <xf numFmtId="0" fontId="9" fillId="60" borderId="25" xfId="0" applyFont="1" applyFill="1" applyBorder="1" applyAlignment="1">
      <alignment horizontal="right" vertical="center" indent="7"/>
    </xf>
    <xf numFmtId="0" fontId="0" fillId="69" borderId="25" xfId="0" applyFill="1" applyBorder="1" applyAlignment="1">
      <alignment horizontal="right" vertical="center" indent="5"/>
    </xf>
    <xf numFmtId="0" fontId="23" fillId="67" borderId="0" xfId="0" applyFont="1" applyFill="1" applyBorder="1" applyAlignment="1">
      <alignment horizontal="right" vertical="center" indent="5"/>
    </xf>
    <xf numFmtId="0" fontId="0" fillId="60" borderId="26" xfId="0" applyFill="1" applyBorder="1" applyAlignment="1">
      <alignment horizontal="right" vertical="center" indent="5"/>
    </xf>
    <xf numFmtId="0" fontId="2" fillId="69" borderId="0" xfId="0" applyFont="1" applyFill="1" applyAlignment="1">
      <alignment horizontal="right" vertical="center" indent="5"/>
    </xf>
    <xf numFmtId="0" fontId="2" fillId="60" borderId="0" xfId="0" applyFont="1" applyFill="1" applyAlignment="1">
      <alignment horizontal="right" vertical="center" indent="5"/>
    </xf>
    <xf numFmtId="0" fontId="0" fillId="72" borderId="25" xfId="0" applyFill="1" applyBorder="1" applyAlignment="1">
      <alignment horizontal="center" vertical="justify"/>
    </xf>
    <xf numFmtId="0" fontId="0" fillId="72" borderId="321" xfId="0" applyFill="1" applyBorder="1" applyAlignment="1">
      <alignment horizontal="center" vertical="center"/>
    </xf>
    <xf numFmtId="0" fontId="0" fillId="70" borderId="190" xfId="0" applyFill="1" applyBorder="1" applyAlignment="1">
      <alignment horizontal="center" vertical="center"/>
    </xf>
    <xf numFmtId="0" fontId="0" fillId="70" borderId="44" xfId="0" applyFill="1" applyBorder="1" applyAlignment="1">
      <alignment horizontal="center" vertical="center"/>
    </xf>
    <xf numFmtId="0" fontId="0" fillId="71" borderId="44" xfId="0" applyFill="1" applyBorder="1" applyAlignment="1">
      <alignment horizontal="center" vertical="justify"/>
    </xf>
    <xf numFmtId="0" fontId="64" fillId="64" borderId="31" xfId="0" applyFont="1" applyFill="1" applyBorder="1" applyAlignment="1">
      <alignment horizontal="center" vertical="center"/>
    </xf>
    <xf numFmtId="0" fontId="67" fillId="66" borderId="322" xfId="0" applyFont="1" applyFill="1" applyBorder="1" applyAlignment="1">
      <alignment horizontal="right" vertical="center" indent="2" shrinkToFit="1"/>
    </xf>
    <xf numFmtId="0" fontId="67" fillId="66" borderId="322" xfId="0" applyFont="1" applyFill="1" applyBorder="1" applyAlignment="1">
      <alignment horizontal="left" vertical="center" indent="1" shrinkToFit="1"/>
    </xf>
    <xf numFmtId="0" fontId="23" fillId="72" borderId="289" xfId="0" applyFont="1" applyFill="1" applyBorder="1" applyAlignment="1">
      <alignment horizontal="center" vertical="center"/>
    </xf>
    <xf numFmtId="0" fontId="23" fillId="72" borderId="288" xfId="0" applyFont="1" applyFill="1" applyBorder="1" applyAlignment="1">
      <alignment horizontal="center" vertical="center"/>
    </xf>
    <xf numFmtId="0" fontId="23" fillId="72" borderId="287" xfId="0" applyFont="1" applyFill="1" applyBorder="1" applyAlignment="1">
      <alignment horizontal="center" vertical="center"/>
    </xf>
    <xf numFmtId="0" fontId="23" fillId="72" borderId="323" xfId="0" applyFont="1" applyFill="1" applyBorder="1" applyAlignment="1">
      <alignment horizontal="center" vertical="center"/>
    </xf>
    <xf numFmtId="0" fontId="76" fillId="71" borderId="27" xfId="0" applyFont="1" applyFill="1" applyBorder="1" applyAlignment="1">
      <alignment horizontal="center" vertical="center"/>
    </xf>
    <xf numFmtId="0" fontId="2" fillId="1" borderId="27" xfId="0" applyFont="1" applyFill="1" applyBorder="1" applyAlignment="1">
      <alignment horizontal="center" vertical="center"/>
    </xf>
    <xf numFmtId="0" fontId="34" fillId="1" borderId="36" xfId="0" applyFont="1" applyFill="1" applyBorder="1" applyAlignment="1">
      <alignment horizontal="center" vertical="center"/>
    </xf>
    <xf numFmtId="0" fontId="34" fillId="1" borderId="27" xfId="0" applyFont="1" applyFill="1" applyBorder="1" applyAlignment="1">
      <alignment horizontal="center" vertical="center"/>
    </xf>
    <xf numFmtId="0" fontId="34" fillId="1" borderId="324" xfId="0" applyFont="1" applyFill="1" applyBorder="1" applyAlignment="1">
      <alignment horizontal="center" vertical="center"/>
    </xf>
    <xf numFmtId="0" fontId="106" fillId="1" borderId="325" xfId="0" applyFont="1" applyFill="1" applyBorder="1" applyAlignment="1">
      <alignment horizontal="center" vertical="center" shrinkToFit="1"/>
    </xf>
    <xf numFmtId="0" fontId="106" fillId="1" borderId="326" xfId="0" applyFont="1" applyFill="1" applyBorder="1" applyAlignment="1">
      <alignment horizontal="center" vertical="center" shrinkToFit="1"/>
    </xf>
    <xf numFmtId="0" fontId="106" fillId="1" borderId="327" xfId="0" applyFont="1" applyFill="1" applyBorder="1" applyAlignment="1">
      <alignment horizontal="center" vertical="center" shrinkToFit="1"/>
    </xf>
    <xf numFmtId="0" fontId="34" fillId="1" borderId="328" xfId="0" applyFont="1" applyFill="1" applyBorder="1" applyAlignment="1">
      <alignment horizontal="center" vertical="center"/>
    </xf>
    <xf numFmtId="0" fontId="34" fillId="1" borderId="329" xfId="0" applyFont="1" applyFill="1" applyBorder="1" applyAlignment="1">
      <alignment horizontal="center" vertical="center"/>
    </xf>
    <xf numFmtId="0" fontId="106" fillId="1" borderId="330" xfId="0" applyFont="1" applyFill="1" applyBorder="1" applyAlignment="1">
      <alignment horizontal="center" vertical="center" shrinkToFit="1"/>
    </xf>
    <xf numFmtId="0" fontId="34" fillId="1" borderId="72" xfId="0" applyFont="1" applyFill="1" applyBorder="1" applyAlignment="1">
      <alignment horizontal="center" vertical="center"/>
    </xf>
    <xf numFmtId="0" fontId="34" fillId="1" borderId="80" xfId="0" applyFont="1" applyFill="1" applyBorder="1" applyAlignment="1">
      <alignment horizontal="center" vertical="center"/>
    </xf>
    <xf numFmtId="0" fontId="106" fillId="1" borderId="331" xfId="0" applyFont="1" applyFill="1" applyBorder="1" applyAlignment="1">
      <alignment horizontal="center" vertical="center" shrinkToFit="1"/>
    </xf>
    <xf numFmtId="0" fontId="106" fillId="1" borderId="332" xfId="0" applyFont="1" applyFill="1" applyBorder="1" applyAlignment="1">
      <alignment horizontal="center" vertical="center" shrinkToFit="1"/>
    </xf>
    <xf numFmtId="0" fontId="34" fillId="1" borderId="82" xfId="0" applyFont="1" applyFill="1" applyBorder="1" applyAlignment="1">
      <alignment horizontal="center" vertical="center"/>
    </xf>
    <xf numFmtId="0" fontId="34" fillId="1" borderId="38" xfId="0" applyFont="1" applyFill="1" applyBorder="1" applyAlignment="1">
      <alignment horizontal="center" vertical="center"/>
    </xf>
    <xf numFmtId="0" fontId="106" fillId="1" borderId="69" xfId="0" applyFont="1" applyFill="1" applyBorder="1" applyAlignment="1">
      <alignment horizontal="center" vertical="center" shrinkToFit="1"/>
    </xf>
    <xf numFmtId="0" fontId="106" fillId="1" borderId="333" xfId="0" applyFont="1" applyFill="1" applyBorder="1" applyAlignment="1">
      <alignment horizontal="center" vertical="center" shrinkToFit="1"/>
    </xf>
    <xf numFmtId="0" fontId="34" fillId="1" borderId="334" xfId="0" applyFont="1" applyFill="1" applyBorder="1" applyAlignment="1">
      <alignment horizontal="center" vertical="center"/>
    </xf>
    <xf numFmtId="0" fontId="49" fillId="72" borderId="287" xfId="0" applyFont="1" applyFill="1" applyBorder="1" applyAlignment="1">
      <alignment horizontal="right" vertical="center" indent="2"/>
    </xf>
    <xf numFmtId="0" fontId="49" fillId="72" borderId="323" xfId="0" applyFont="1" applyFill="1" applyBorder="1" applyAlignment="1">
      <alignment horizontal="left" vertical="center" indent="2"/>
    </xf>
    <xf numFmtId="0" fontId="49" fillId="72" borderId="323" xfId="0" applyFont="1" applyFill="1" applyBorder="1" applyAlignment="1">
      <alignment horizontal="left" vertical="center" indent="1"/>
    </xf>
    <xf numFmtId="0" fontId="49" fillId="72" borderId="323" xfId="0" applyFont="1" applyFill="1" applyBorder="1" applyAlignment="1">
      <alignment horizontal="left" vertical="distributed" indent="3"/>
    </xf>
    <xf numFmtId="0" fontId="49" fillId="72" borderId="323" xfId="0" applyFont="1" applyFill="1" applyBorder="1" applyAlignment="1">
      <alignment horizontal="right" vertical="center" indent="2"/>
    </xf>
    <xf numFmtId="0" fontId="49" fillId="72" borderId="323" xfId="0" applyFont="1" applyFill="1" applyBorder="1" applyAlignment="1">
      <alignment horizontal="left" vertical="center" indent="3"/>
    </xf>
    <xf numFmtId="0" fontId="49" fillId="72" borderId="323" xfId="0" applyFont="1" applyFill="1" applyBorder="1" applyAlignment="1">
      <alignment horizontal="left" vertical="center" indent="4"/>
    </xf>
    <xf numFmtId="0" fontId="99" fillId="71" borderId="25" xfId="0" applyFont="1" applyFill="1" applyBorder="1" applyAlignment="1">
      <alignment horizontal="center" vertical="center"/>
    </xf>
    <xf numFmtId="0" fontId="23" fillId="72" borderId="176" xfId="0" applyFont="1" applyFill="1" applyBorder="1" applyAlignment="1">
      <alignment horizontal="center" vertical="center"/>
    </xf>
    <xf numFmtId="0" fontId="107" fillId="71" borderId="0" xfId="0" applyFont="1" applyFill="1" applyBorder="1" applyAlignment="1">
      <alignment horizontal="center"/>
    </xf>
    <xf numFmtId="0" fontId="49" fillId="72" borderId="288" xfId="0" applyFont="1" applyFill="1" applyBorder="1" applyAlignment="1">
      <alignment horizontal="left" indent="2"/>
    </xf>
    <xf numFmtId="0" fontId="49" fillId="72" borderId="288" xfId="0" applyFont="1" applyFill="1" applyBorder="1" applyAlignment="1">
      <alignment horizontal="right" vertical="top" indent="3"/>
    </xf>
    <xf numFmtId="0" fontId="37" fillId="60" borderId="25" xfId="0" applyFont="1" applyFill="1" applyBorder="1" applyAlignment="1">
      <alignment horizontal="center"/>
    </xf>
    <xf numFmtId="0" fontId="51" fillId="63" borderId="0" xfId="0" applyFont="1" applyFill="1" applyBorder="1" applyAlignment="1">
      <alignment horizontal="center" vertical="justify"/>
    </xf>
    <xf numFmtId="0" fontId="0" fillId="0" borderId="0" xfId="0" applyFill="1" applyAlignment="1">
      <alignment horizontal="left" readingOrder="1"/>
    </xf>
    <xf numFmtId="0" fontId="0" fillId="0" borderId="0" xfId="0" applyFill="1" applyAlignment="1">
      <alignment readingOrder="1"/>
    </xf>
    <xf numFmtId="0" fontId="0" fillId="0" borderId="0" xfId="0" applyFill="1" applyAlignment="1">
      <alignment horizontal="left" vertical="top" readingOrder="1"/>
    </xf>
    <xf numFmtId="0" fontId="0" fillId="0" borderId="0" xfId="0" applyAlignment="1">
      <alignment horizontal="left" vertical="top" wrapText="1" readingOrder="1"/>
    </xf>
    <xf numFmtId="0" fontId="64" fillId="66" borderId="245" xfId="0" applyFont="1" applyFill="1" applyBorder="1" applyAlignment="1">
      <alignment horizontal="center" vertical="center"/>
    </xf>
    <xf numFmtId="0" fontId="64" fillId="66" borderId="34" xfId="0" applyFont="1" applyFill="1" applyBorder="1" applyAlignment="1">
      <alignment horizontal="center" vertical="distributed"/>
    </xf>
    <xf numFmtId="0" fontId="64" fillId="66" borderId="34" xfId="0" applyFont="1" applyFill="1" applyBorder="1" applyAlignment="1">
      <alignment horizontal="center"/>
    </xf>
    <xf numFmtId="0" fontId="64" fillId="66" borderId="82" xfId="0" applyFont="1" applyFill="1" applyBorder="1" applyAlignment="1">
      <alignment horizontal="left" vertical="center" indent="1"/>
    </xf>
    <xf numFmtId="0" fontId="64" fillId="66" borderId="82" xfId="0" applyFont="1" applyFill="1" applyBorder="1" applyAlignment="1">
      <alignment horizontal="left" vertical="center" indent="2"/>
    </xf>
    <xf numFmtId="0" fontId="64" fillId="66" borderId="82" xfId="0" applyFont="1" applyFill="1" applyBorder="1" applyAlignment="1">
      <alignment horizontal="left" vertical="center" indent="3"/>
    </xf>
    <xf numFmtId="0" fontId="64" fillId="66" borderId="82" xfId="0" applyFont="1" applyFill="1" applyBorder="1" applyAlignment="1">
      <alignment horizontal="left" vertical="center" indent="4"/>
    </xf>
    <xf numFmtId="0" fontId="64" fillId="66" borderId="82" xfId="0" applyFont="1" applyFill="1" applyBorder="1" applyAlignment="1">
      <alignment horizontal="left" vertical="center" indent="7"/>
    </xf>
    <xf numFmtId="0" fontId="64" fillId="66" borderId="82" xfId="0" applyFont="1" applyFill="1" applyBorder="1" applyAlignment="1">
      <alignment horizontal="left" vertical="center" indent="8"/>
    </xf>
    <xf numFmtId="0" fontId="64" fillId="66" borderId="72" xfId="0" applyFont="1" applyFill="1" applyBorder="1" applyAlignment="1">
      <alignment horizontal="left" vertical="center" indent="9"/>
    </xf>
    <xf numFmtId="0" fontId="64" fillId="66" borderId="335" xfId="0" applyFont="1" applyFill="1" applyBorder="1" applyAlignment="1">
      <alignment horizontal="distributed" vertical="center" indent="12" shrinkToFit="1"/>
    </xf>
    <xf numFmtId="0" fontId="64" fillId="66" borderId="336" xfId="0" applyFont="1" applyFill="1" applyBorder="1" applyAlignment="1">
      <alignment horizontal="distributed" vertical="center" indent="12" shrinkToFit="1"/>
    </xf>
    <xf numFmtId="0" fontId="64" fillId="66" borderId="337" xfId="0" applyFont="1" applyFill="1" applyBorder="1" applyAlignment="1">
      <alignment horizontal="distributed" vertical="center" indent="12" shrinkToFit="1"/>
    </xf>
    <xf numFmtId="0" fontId="64" fillId="66" borderId="338" xfId="0" applyFont="1" applyFill="1" applyBorder="1" applyAlignment="1">
      <alignment horizontal="distributed" vertical="center" indent="12" shrinkToFit="1"/>
    </xf>
    <xf numFmtId="0" fontId="64" fillId="66" borderId="20" xfId="0" applyFont="1" applyFill="1" applyBorder="1" applyAlignment="1">
      <alignment horizontal="center" vertical="center"/>
    </xf>
    <xf numFmtId="0" fontId="64" fillId="66" borderId="152" xfId="0" applyFont="1" applyFill="1" applyBorder="1" applyAlignment="1">
      <alignment horizontal="center" vertical="center"/>
    </xf>
    <xf numFmtId="0" fontId="68" fillId="66" borderId="0" xfId="0" applyFont="1" applyFill="1" applyBorder="1" applyAlignment="1">
      <alignment horizontal="right" vertical="center" indent="4"/>
    </xf>
    <xf numFmtId="0" fontId="68" fillId="66" borderId="20" xfId="0" applyFont="1" applyFill="1" applyBorder="1" applyAlignment="1">
      <alignment horizontal="center"/>
    </xf>
    <xf numFmtId="0" fontId="2" fillId="60" borderId="25" xfId="0" applyFont="1" applyFill="1" applyBorder="1" applyAlignment="1">
      <alignment horizontal="center" vertical="center"/>
    </xf>
    <xf numFmtId="0" fontId="64" fillId="66" borderId="0" xfId="0" applyFont="1" applyFill="1" applyBorder="1" applyAlignment="1">
      <alignment horizontal="right" vertical="center" indent="6"/>
    </xf>
    <xf numFmtId="0" fontId="64" fillId="69" borderId="0" xfId="0" applyFont="1" applyFill="1" applyBorder="1" applyAlignment="1">
      <alignment horizontal="center" vertical="distributed"/>
    </xf>
    <xf numFmtId="0" fontId="67" fillId="66" borderId="0" xfId="0" applyFont="1" applyFill="1" applyBorder="1" applyAlignment="1">
      <alignment horizontal="center" vertical="distributed"/>
    </xf>
    <xf numFmtId="0" fontId="2" fillId="60" borderId="39" xfId="0" applyFont="1" applyFill="1" applyBorder="1" applyAlignment="1">
      <alignment horizontal="center" vertical="center"/>
    </xf>
    <xf numFmtId="0" fontId="67" fillId="66" borderId="39" xfId="0" applyFont="1" applyFill="1" applyBorder="1" applyAlignment="1">
      <alignment horizontal="center"/>
    </xf>
    <xf numFmtId="0" fontId="67" fillId="66" borderId="25" xfId="0" applyFont="1" applyFill="1" applyBorder="1" applyAlignment="1">
      <alignment horizontal="center"/>
    </xf>
    <xf numFmtId="0" fontId="67" fillId="66" borderId="25" xfId="0" applyFont="1" applyFill="1" applyBorder="1" applyAlignment="1">
      <alignment horizontal="center" vertical="top"/>
    </xf>
    <xf numFmtId="0" fontId="64" fillId="62" borderId="31" xfId="0" applyFont="1" applyFill="1" applyBorder="1" applyAlignment="1">
      <alignment horizontal="center"/>
    </xf>
    <xf numFmtId="0" fontId="110" fillId="66" borderId="152" xfId="0" applyFont="1" applyFill="1" applyBorder="1" applyAlignment="1">
      <alignment horizontal="center" vertical="justify"/>
    </xf>
    <xf numFmtId="0" fontId="110" fillId="66" borderId="152" xfId="0" applyFont="1" applyFill="1" applyBorder="1" applyAlignment="1">
      <alignment horizontal="center" vertical="top"/>
    </xf>
    <xf numFmtId="0" fontId="84" fillId="66" borderId="54" xfId="0" applyFont="1" applyFill="1" applyBorder="1" applyAlignment="1">
      <alignment horizontal="center"/>
    </xf>
    <xf numFmtId="0" fontId="84" fillId="66" borderId="34" xfId="0" applyFont="1" applyFill="1" applyBorder="1" applyAlignment="1">
      <alignment horizontal="center"/>
    </xf>
    <xf numFmtId="0" fontId="84" fillId="66" borderId="248" xfId="0" applyFont="1" applyFill="1" applyBorder="1" applyAlignment="1">
      <alignment horizontal="center" vertical="top"/>
    </xf>
    <xf numFmtId="0" fontId="56" fillId="69" borderId="78" xfId="0" applyFont="1" applyFill="1" applyBorder="1" applyAlignment="1">
      <alignment horizontal="right" vertical="center" indent="1"/>
    </xf>
    <xf numFmtId="0" fontId="56" fillId="62" borderId="34" xfId="0" applyFont="1" applyFill="1" applyBorder="1" applyAlignment="1">
      <alignment horizontal="center" vertical="top"/>
    </xf>
    <xf numFmtId="0" fontId="56" fillId="62" borderId="34" xfId="0" applyFont="1" applyFill="1" applyBorder="1" applyAlignment="1">
      <alignment horizontal="center" vertical="justify"/>
    </xf>
    <xf numFmtId="0" fontId="56" fillId="62" borderId="34" xfId="0" applyFont="1" applyFill="1" applyBorder="1" applyAlignment="1">
      <alignment horizontal="center" vertical="distributed"/>
    </xf>
    <xf numFmtId="0" fontId="56" fillId="69" borderId="0" xfId="0" applyFont="1" applyFill="1" applyBorder="1" applyAlignment="1">
      <alignment horizontal="center" vertical="center"/>
    </xf>
    <xf numFmtId="0" fontId="55" fillId="62" borderId="19" xfId="0" applyFont="1" applyFill="1" applyBorder="1" applyAlignment="1">
      <alignment horizontal="center" vertical="justify"/>
    </xf>
    <xf numFmtId="0" fontId="2" fillId="71" borderId="26" xfId="0" applyFont="1" applyFill="1" applyBorder="1" applyAlignment="1">
      <alignment horizontal="left" vertical="center" indent="1"/>
    </xf>
    <xf numFmtId="0" fontId="2" fillId="71" borderId="26" xfId="0" applyFont="1" applyFill="1" applyBorder="1" applyAlignment="1">
      <alignment horizontal="right" vertical="center" indent="1"/>
    </xf>
    <xf numFmtId="0" fontId="2" fillId="71" borderId="339" xfId="0" applyFont="1" applyFill="1" applyBorder="1" applyAlignment="1">
      <alignment horizontal="center" vertical="center"/>
    </xf>
    <xf numFmtId="0" fontId="0" fillId="72" borderId="31" xfId="0" applyFont="1" applyFill="1" applyBorder="1" applyAlignment="1">
      <alignment horizontal="center" vertical="distributed"/>
    </xf>
    <xf numFmtId="0" fontId="64" fillId="66" borderId="0" xfId="0" applyFont="1" applyFill="1" applyBorder="1" applyAlignment="1">
      <alignment horizontal="right" vertical="center" indent="7"/>
    </xf>
    <xf numFmtId="0" fontId="84" fillId="67" borderId="34" xfId="0" applyFont="1" applyFill="1" applyBorder="1" applyAlignment="1">
      <alignment horizontal="center" vertical="distributed"/>
    </xf>
    <xf numFmtId="0" fontId="110" fillId="66" borderId="34" xfId="0" applyFont="1" applyFill="1" applyBorder="1" applyAlignment="1">
      <alignment horizontal="center" vertical="top"/>
    </xf>
    <xf numFmtId="0" fontId="76" fillId="71" borderId="216" xfId="0" applyFont="1" applyFill="1" applyBorder="1" applyAlignment="1">
      <alignment horizontal="center" vertical="center"/>
    </xf>
    <xf numFmtId="0" fontId="67" fillId="71" borderId="39" xfId="0" applyFont="1" applyFill="1" applyBorder="1" applyAlignment="1">
      <alignment horizontal="right" vertical="top" indent="1"/>
    </xf>
    <xf numFmtId="0" fontId="51" fillId="62" borderId="31" xfId="0" applyFont="1" applyFill="1" applyBorder="1" applyAlignment="1">
      <alignment horizontal="center" vertical="center"/>
    </xf>
    <xf numFmtId="0" fontId="51" fillId="68" borderId="0" xfId="0" applyFont="1" applyFill="1" applyBorder="1" applyAlignment="1">
      <alignment horizontal="center" vertical="center"/>
    </xf>
    <xf numFmtId="0" fontId="51" fillId="58" borderId="0" xfId="0" applyFont="1" applyFill="1" applyBorder="1" applyAlignment="1">
      <alignment horizontal="center" vertical="distributed"/>
    </xf>
    <xf numFmtId="0" fontId="12" fillId="69" borderId="0" xfId="0" applyFont="1" applyFill="1" applyBorder="1" applyAlignment="1">
      <alignment horizontal="center" vertical="justify"/>
    </xf>
    <xf numFmtId="0" fontId="1" fillId="60" borderId="31" xfId="0" applyFont="1" applyFill="1" applyBorder="1" applyAlignment="1">
      <alignment horizontal="center" vertical="center"/>
    </xf>
    <xf numFmtId="0" fontId="3" fillId="60" borderId="31" xfId="0" applyFont="1" applyFill="1" applyBorder="1" applyAlignment="1">
      <alignment horizontal="center" vertical="center"/>
    </xf>
    <xf numFmtId="0" fontId="3" fillId="60" borderId="34" xfId="0" applyFont="1" applyFill="1" applyBorder="1" applyAlignment="1">
      <alignment horizontal="center" vertical="center"/>
    </xf>
    <xf numFmtId="0" fontId="3" fillId="60" borderId="34" xfId="0" applyFont="1" applyFill="1" applyBorder="1" applyAlignment="1">
      <alignment horizontal="center" vertical="distributed"/>
    </xf>
    <xf numFmtId="0" fontId="3" fillId="60" borderId="0" xfId="0" applyFont="1" applyFill="1" applyBorder="1" applyAlignment="1">
      <alignment horizontal="center" vertical="center"/>
    </xf>
    <xf numFmtId="0" fontId="40" fillId="71" borderId="339" xfId="0" applyFont="1" applyFill="1" applyBorder="1" applyAlignment="1">
      <alignment horizontal="center" vertical="center"/>
    </xf>
    <xf numFmtId="0" fontId="40" fillId="71" borderId="37" xfId="0" applyFont="1" applyFill="1" applyBorder="1" applyAlignment="1">
      <alignment horizontal="center" vertical="center"/>
    </xf>
    <xf numFmtId="0" fontId="40" fillId="71" borderId="44" xfId="0" applyFont="1" applyFill="1" applyBorder="1" applyAlignment="1">
      <alignment horizontal="center" vertical="center"/>
    </xf>
    <xf numFmtId="0" fontId="40" fillId="71" borderId="160" xfId="0" applyFont="1" applyFill="1" applyBorder="1" applyAlignment="1">
      <alignment horizontal="center" vertical="center"/>
    </xf>
    <xf numFmtId="0" fontId="40" fillId="71" borderId="26" xfId="0" applyFont="1" applyFill="1" applyBorder="1" applyAlignment="1">
      <alignment horizontal="center" vertical="center"/>
    </xf>
    <xf numFmtId="0" fontId="40" fillId="71" borderId="39" xfId="0" applyFont="1" applyFill="1" applyBorder="1" applyAlignment="1">
      <alignment horizontal="center" vertical="center"/>
    </xf>
    <xf numFmtId="0" fontId="40" fillId="71" borderId="25" xfId="0" applyFont="1" applyFill="1" applyBorder="1" applyAlignment="1">
      <alignment horizontal="center" vertical="center"/>
    </xf>
    <xf numFmtId="0" fontId="40" fillId="71" borderId="25" xfId="0" applyFont="1" applyFill="1" applyBorder="1" applyAlignment="1">
      <alignment horizontal="center" vertical="distributed"/>
    </xf>
    <xf numFmtId="0" fontId="12" fillId="62" borderId="34" xfId="0" applyFont="1" applyFill="1" applyBorder="1" applyAlignment="1">
      <alignment vertical="justify"/>
    </xf>
    <xf numFmtId="0" fontId="0" fillId="62" borderId="34" xfId="0" applyFill="1" applyBorder="1" applyAlignment="1">
      <alignment horizontal="distributed" wrapText="1" indent="3"/>
    </xf>
    <xf numFmtId="0" fontId="47" fillId="58" borderId="25" xfId="0" applyFont="1" applyFill="1" applyBorder="1" applyAlignment="1">
      <alignment horizontal="center" vertical="center"/>
    </xf>
    <xf numFmtId="0" fontId="1" fillId="69" borderId="47" xfId="0" applyFont="1" applyFill="1" applyBorder="1" applyAlignment="1">
      <alignment horizontal="center"/>
    </xf>
    <xf numFmtId="0" fontId="0" fillId="58" borderId="20" xfId="0" applyFill="1" applyBorder="1" applyAlignment="1">
      <alignment horizontal="center" vertical="top"/>
    </xf>
    <xf numFmtId="0" fontId="47" fillId="58" borderId="20" xfId="0" applyFont="1" applyFill="1" applyBorder="1" applyAlignment="1">
      <alignment horizontal="center" vertical="center"/>
    </xf>
    <xf numFmtId="0" fontId="0" fillId="60" borderId="37" xfId="0" applyFill="1" applyBorder="1" applyAlignment="1">
      <alignment horizontal="center"/>
    </xf>
    <xf numFmtId="0" fontId="9" fillId="60" borderId="34" xfId="0" applyFont="1" applyFill="1" applyBorder="1" applyAlignment="1">
      <alignment horizontal="center" vertical="center"/>
    </xf>
    <xf numFmtId="0" fontId="47" fillId="60" borderId="34" xfId="0" applyFont="1" applyFill="1" applyBorder="1" applyAlignment="1">
      <alignment horizontal="center" vertical="center"/>
    </xf>
    <xf numFmtId="0" fontId="46" fillId="60" borderId="34" xfId="0" applyFont="1" applyFill="1" applyBorder="1" applyAlignment="1">
      <alignment horizontal="center" vertical="center"/>
    </xf>
    <xf numFmtId="0" fontId="0" fillId="58" borderId="114" xfId="0" applyFill="1" applyBorder="1" applyAlignment="1">
      <alignment horizontal="distributed" vertical="distributed" indent="5"/>
    </xf>
    <xf numFmtId="0" fontId="61" fillId="0" borderId="0" xfId="0" applyFont="1"/>
    <xf numFmtId="0" fontId="0" fillId="68" borderId="42" xfId="0" applyFill="1" applyBorder="1" applyAlignment="1">
      <alignment horizontal="center" vertical="center" shrinkToFit="1"/>
    </xf>
    <xf numFmtId="0" fontId="0" fillId="68" borderId="30" xfId="0" applyFill="1" applyBorder="1" applyAlignment="1">
      <alignment horizontal="center" vertical="center" shrinkToFit="1"/>
    </xf>
    <xf numFmtId="0" fontId="9" fillId="69" borderId="47" xfId="0" applyFont="1" applyFill="1" applyBorder="1" applyAlignment="1">
      <alignment horizontal="right" indent="4"/>
    </xf>
    <xf numFmtId="0" fontId="10" fillId="69" borderId="47" xfId="0" applyFont="1" applyFill="1" applyBorder="1" applyAlignment="1">
      <alignment horizontal="right" indent="5"/>
    </xf>
    <xf numFmtId="0" fontId="0" fillId="69" borderId="140" xfId="0" applyFont="1" applyFill="1" applyBorder="1" applyAlignment="1">
      <alignment horizontal="center"/>
    </xf>
    <xf numFmtId="0" fontId="0" fillId="58" borderId="140" xfId="0" applyFont="1" applyFill="1" applyBorder="1" applyAlignment="1">
      <alignment horizontal="center"/>
    </xf>
    <xf numFmtId="0" fontId="0" fillId="58" borderId="140" xfId="0" applyFont="1" applyFill="1" applyBorder="1" applyAlignment="1">
      <alignment horizontal="center" vertical="center"/>
    </xf>
    <xf numFmtId="0" fontId="0" fillId="69" borderId="140" xfId="0" applyFont="1" applyFill="1" applyBorder="1" applyAlignment="1">
      <alignment horizontal="center" vertical="top"/>
    </xf>
    <xf numFmtId="0" fontId="0" fillId="69" borderId="143" xfId="0" applyFont="1" applyFill="1" applyBorder="1" applyAlignment="1">
      <alignment horizontal="center" vertical="top"/>
    </xf>
    <xf numFmtId="0" fontId="0" fillId="67" borderId="0" xfId="0" applyFill="1"/>
    <xf numFmtId="0" fontId="0" fillId="67" borderId="0" xfId="0" applyFill="1" applyAlignment="1">
      <alignment vertical="center"/>
    </xf>
    <xf numFmtId="0" fontId="0" fillId="67" borderId="0" xfId="0" applyFill="1" applyAlignment="1">
      <alignment horizontal="center" vertical="center"/>
    </xf>
    <xf numFmtId="0" fontId="0" fillId="67" borderId="26" xfId="0" applyFill="1" applyBorder="1" applyAlignment="1">
      <alignment horizontal="right" vertical="center" indent="7"/>
    </xf>
    <xf numFmtId="0" fontId="0" fillId="67" borderId="0" xfId="0" applyFill="1" applyBorder="1" applyAlignment="1">
      <alignment horizontal="right" vertical="center" indent="7"/>
    </xf>
    <xf numFmtId="0" fontId="64" fillId="67" borderId="0" xfId="0" applyFont="1" applyFill="1" applyAlignment="1">
      <alignment horizontal="center" vertical="center"/>
    </xf>
    <xf numFmtId="0" fontId="1" fillId="67" borderId="0" xfId="0" applyFont="1" applyFill="1" applyAlignment="1">
      <alignment vertical="center"/>
    </xf>
    <xf numFmtId="0" fontId="73" fillId="67" borderId="0" xfId="0" applyFont="1" applyFill="1" applyAlignment="1">
      <alignment vertical="center"/>
    </xf>
    <xf numFmtId="0" fontId="73" fillId="67" borderId="0" xfId="0" applyFont="1" applyFill="1" applyBorder="1" applyAlignment="1">
      <alignment horizontal="center" vertical="center"/>
    </xf>
    <xf numFmtId="0" fontId="1" fillId="67" borderId="0" xfId="0" applyFont="1" applyFill="1" applyBorder="1" applyAlignment="1">
      <alignment horizontal="right" vertical="center" indent="7"/>
    </xf>
    <xf numFmtId="0" fontId="47" fillId="60" borderId="0" xfId="0" applyFont="1" applyFill="1" applyBorder="1" applyAlignment="1">
      <alignment horizontal="center" vertical="top"/>
    </xf>
    <xf numFmtId="0" fontId="51" fillId="60" borderId="34" xfId="0" applyFont="1" applyFill="1" applyBorder="1" applyAlignment="1">
      <alignment horizontal="center" vertical="top"/>
    </xf>
    <xf numFmtId="0" fontId="89" fillId="59" borderId="0" xfId="0" applyFont="1" applyFill="1" applyBorder="1" applyAlignment="1">
      <alignment horizontal="center" vertical="center"/>
    </xf>
    <xf numFmtId="0" fontId="89" fillId="59" borderId="0" xfId="0" applyFont="1" applyFill="1" applyBorder="1" applyAlignment="1">
      <alignment horizontal="center" vertical="distributed"/>
    </xf>
    <xf numFmtId="0" fontId="85" fillId="60" borderId="34" xfId="0" applyFont="1" applyFill="1" applyBorder="1" applyAlignment="1">
      <alignment horizontal="center" vertical="center"/>
    </xf>
    <xf numFmtId="0" fontId="19" fillId="69" borderId="0" xfId="0" applyFont="1" applyFill="1" applyBorder="1" applyAlignment="1">
      <alignment vertical="distributed"/>
    </xf>
    <xf numFmtId="0" fontId="19" fillId="69" borderId="0" xfId="0" applyFont="1" applyFill="1" applyBorder="1" applyAlignment="1">
      <alignment vertical="justify"/>
    </xf>
    <xf numFmtId="0" fontId="85" fillId="60" borderId="34" xfId="0" applyFont="1" applyFill="1" applyBorder="1" applyAlignment="1">
      <alignment horizontal="center" vertical="distributed"/>
    </xf>
    <xf numFmtId="0" fontId="0" fillId="59" borderId="0" xfId="0" applyFill="1" applyBorder="1" applyAlignment="1">
      <alignment horizontal="left" vertical="justify" indent="7"/>
    </xf>
    <xf numFmtId="0" fontId="111" fillId="0" borderId="6" xfId="0" applyFont="1" applyFill="1" applyBorder="1"/>
    <xf numFmtId="0" fontId="12" fillId="69" borderId="0" xfId="0" applyFont="1" applyFill="1" applyBorder="1" applyAlignment="1">
      <alignment horizontal="center" vertical="center"/>
    </xf>
    <xf numFmtId="0" fontId="53" fillId="1" borderId="81" xfId="0" applyFont="1" applyFill="1" applyBorder="1" applyAlignment="1">
      <alignment horizontal="center" vertical="distributed"/>
    </xf>
    <xf numFmtId="0" fontId="21" fillId="69" borderId="0" xfId="0" applyFont="1" applyFill="1" applyBorder="1" applyAlignment="1">
      <alignment horizontal="center"/>
    </xf>
    <xf numFmtId="0" fontId="0" fillId="69" borderId="47" xfId="0" applyFill="1" applyBorder="1" applyAlignment="1">
      <alignment vertical="center"/>
    </xf>
    <xf numFmtId="0" fontId="0" fillId="69" borderId="47" xfId="0" applyFill="1" applyBorder="1" applyAlignment="1">
      <alignment horizontal="center" vertical="center"/>
    </xf>
    <xf numFmtId="0" fontId="0" fillId="69" borderId="47" xfId="0" applyFill="1" applyBorder="1" applyAlignment="1">
      <alignment horizontal="center" vertical="justify"/>
    </xf>
    <xf numFmtId="0" fontId="18" fillId="69" borderId="0" xfId="0" applyFont="1" applyFill="1" applyBorder="1" applyAlignment="1">
      <alignment vertical="justify"/>
    </xf>
    <xf numFmtId="0" fontId="0" fillId="60" borderId="37" xfId="0" applyFill="1" applyBorder="1" applyAlignment="1">
      <alignment horizontal="distributed" vertical="center"/>
    </xf>
    <xf numFmtId="0" fontId="51" fillId="62" borderId="34" xfId="0" applyFont="1" applyFill="1" applyBorder="1" applyAlignment="1">
      <alignment horizontal="center"/>
    </xf>
    <xf numFmtId="0" fontId="52" fillId="59" borderId="54" xfId="0" applyFont="1" applyFill="1" applyBorder="1" applyAlignment="1">
      <alignment horizontal="center" vertical="justify"/>
    </xf>
    <xf numFmtId="0" fontId="87" fillId="62" borderId="37" xfId="0" applyFont="1" applyFill="1" applyBorder="1" applyAlignment="1">
      <alignment horizontal="center" vertical="distributed"/>
    </xf>
    <xf numFmtId="0" fontId="55" fillId="62" borderId="19" xfId="0" applyFont="1" applyFill="1" applyBorder="1" applyAlignment="1">
      <alignment horizontal="center"/>
    </xf>
    <xf numFmtId="0" fontId="55" fillId="62" borderId="19" xfId="0" applyFont="1" applyFill="1" applyBorder="1" applyAlignment="1">
      <alignment horizontal="center" vertical="top"/>
    </xf>
    <xf numFmtId="0" fontId="0" fillId="62" borderId="34" xfId="0" applyFill="1" applyBorder="1" applyAlignment="1">
      <alignment horizontal="distributed" wrapText="1" indent="2"/>
    </xf>
    <xf numFmtId="0" fontId="0" fillId="62" borderId="34" xfId="0" applyFill="1" applyBorder="1" applyAlignment="1">
      <alignment horizontal="distributed" wrapText="1" indent="5"/>
    </xf>
    <xf numFmtId="0" fontId="0" fillId="67" borderId="0" xfId="0" applyFill="1" applyAlignment="1">
      <alignment horizontal="distributed" vertical="center"/>
    </xf>
    <xf numFmtId="0" fontId="76" fillId="67" borderId="0" xfId="0" applyFont="1" applyFill="1" applyAlignment="1">
      <alignment vertical="justify"/>
    </xf>
    <xf numFmtId="0" fontId="76" fillId="67" borderId="0" xfId="0" applyFont="1" applyFill="1" applyAlignment="1">
      <alignment vertical="distributed"/>
    </xf>
    <xf numFmtId="0" fontId="76" fillId="67" borderId="0" xfId="0" applyFont="1" applyFill="1" applyAlignment="1"/>
    <xf numFmtId="0" fontId="76" fillId="67" borderId="0" xfId="0" applyFont="1" applyFill="1" applyAlignment="1">
      <alignment vertical="top"/>
    </xf>
    <xf numFmtId="0" fontId="76" fillId="67" borderId="0" xfId="0" applyFont="1" applyFill="1" applyAlignment="1">
      <alignment horizontal="center" vertical="top"/>
    </xf>
    <xf numFmtId="0" fontId="0" fillId="70" borderId="154" xfId="0" applyFill="1" applyBorder="1" applyAlignment="1">
      <alignment horizontal="center" vertical="center"/>
    </xf>
    <xf numFmtId="0" fontId="0" fillId="60" borderId="0" xfId="0" applyFill="1" applyBorder="1" applyAlignment="1">
      <alignment vertical="distributed"/>
    </xf>
    <xf numFmtId="0" fontId="64" fillId="72" borderId="185" xfId="0" applyFont="1" applyFill="1" applyBorder="1" applyAlignment="1">
      <alignment horizontal="center" vertical="center" shrinkToFit="1"/>
    </xf>
    <xf numFmtId="0" fontId="0" fillId="59" borderId="0" xfId="0" applyFill="1" applyBorder="1" applyAlignment="1">
      <alignment horizontal="left" vertical="center" indent="8"/>
    </xf>
    <xf numFmtId="0" fontId="0" fillId="69" borderId="42" xfId="0" applyFill="1" applyBorder="1" applyAlignment="1">
      <alignment horizontal="center" vertical="center" shrinkToFit="1"/>
    </xf>
    <xf numFmtId="0" fontId="0" fillId="69" borderId="30" xfId="0" applyFill="1" applyBorder="1" applyAlignment="1">
      <alignment horizontal="center" vertical="center" shrinkToFit="1"/>
    </xf>
    <xf numFmtId="0" fontId="0" fillId="69" borderId="31" xfId="0" applyFill="1" applyBorder="1" applyAlignment="1">
      <alignment horizontal="center" vertical="center" shrinkToFit="1"/>
    </xf>
    <xf numFmtId="0" fontId="0" fillId="69" borderId="243" xfId="0" applyFill="1" applyBorder="1" applyAlignment="1">
      <alignment horizontal="center" vertical="justify"/>
    </xf>
    <xf numFmtId="0" fontId="2" fillId="69" borderId="42" xfId="0" applyFont="1" applyFill="1" applyBorder="1" applyAlignment="1">
      <alignment horizontal="center" vertical="center" shrinkToFit="1"/>
    </xf>
    <xf numFmtId="0" fontId="0" fillId="63" borderId="31" xfId="0" applyFill="1" applyBorder="1" applyAlignment="1">
      <alignment horizontal="center" vertical="center" shrinkToFit="1"/>
    </xf>
    <xf numFmtId="0" fontId="0" fillId="63" borderId="42" xfId="0" applyFill="1" applyBorder="1" applyAlignment="1">
      <alignment horizontal="center" vertical="center" shrinkToFit="1"/>
    </xf>
    <xf numFmtId="0" fontId="0" fillId="69" borderId="42" xfId="0" applyFill="1" applyBorder="1" applyAlignment="1">
      <alignment horizontal="center" vertical="justify" shrinkToFit="1"/>
    </xf>
    <xf numFmtId="0" fontId="0" fillId="71" borderId="26" xfId="0" applyFont="1" applyFill="1" applyBorder="1" applyAlignment="1">
      <alignment horizontal="center" vertical="justify"/>
    </xf>
    <xf numFmtId="0" fontId="0" fillId="64" borderId="114" xfId="0" applyFill="1" applyBorder="1" applyAlignment="1">
      <alignment horizontal="center" vertical="center"/>
    </xf>
    <xf numFmtId="0" fontId="0" fillId="58" borderId="0" xfId="0" applyFill="1" applyBorder="1" applyAlignment="1">
      <alignment horizontal="right" vertical="center" indent="7"/>
    </xf>
    <xf numFmtId="0" fontId="16" fillId="64" borderId="190" xfId="0" applyFont="1" applyFill="1" applyBorder="1" applyAlignment="1">
      <alignment horizontal="center" vertical="top"/>
    </xf>
    <xf numFmtId="0" fontId="0" fillId="60" borderId="26" xfId="0" applyFill="1" applyBorder="1" applyAlignment="1">
      <alignment horizontal="distributed" vertical="center"/>
    </xf>
    <xf numFmtId="0" fontId="12" fillId="60" borderId="25" xfId="0" applyFont="1" applyFill="1" applyBorder="1" applyAlignment="1">
      <alignment horizontal="center"/>
    </xf>
    <xf numFmtId="0" fontId="53" fillId="60" borderId="25" xfId="0" applyFont="1" applyFill="1" applyBorder="1" applyAlignment="1">
      <alignment horizontal="center" vertical="distributed"/>
    </xf>
    <xf numFmtId="0" fontId="2" fillId="60" borderId="25" xfId="0" applyFont="1" applyFill="1" applyBorder="1" applyAlignment="1">
      <alignment horizontal="center" vertical="justify"/>
    </xf>
    <xf numFmtId="0" fontId="54" fillId="67" borderId="0" xfId="0" applyFont="1" applyFill="1" applyBorder="1" applyAlignment="1">
      <alignment horizontal="center"/>
    </xf>
    <xf numFmtId="0" fontId="54" fillId="67" borderId="0" xfId="0" applyFont="1" applyFill="1" applyBorder="1" applyAlignment="1">
      <alignment horizontal="center" vertical="distributed"/>
    </xf>
    <xf numFmtId="0" fontId="54" fillId="67" borderId="0" xfId="0" applyFont="1" applyFill="1" applyBorder="1" applyAlignment="1">
      <alignment horizontal="center" vertical="center"/>
    </xf>
    <xf numFmtId="0" fontId="54" fillId="60" borderId="0" xfId="0" applyFont="1" applyFill="1" applyBorder="1" applyAlignment="1">
      <alignment horizontal="center" vertical="distributed"/>
    </xf>
    <xf numFmtId="0" fontId="54" fillId="67" borderId="0" xfId="0" applyFont="1" applyFill="1" applyBorder="1" applyAlignment="1">
      <alignment horizontal="center" vertical="justify"/>
    </xf>
    <xf numFmtId="0" fontId="54" fillId="67" borderId="0" xfId="0" applyFont="1" applyFill="1" applyBorder="1" applyAlignment="1">
      <alignment horizontal="center" vertical="top"/>
    </xf>
    <xf numFmtId="0" fontId="67" fillId="67" borderId="0" xfId="0" applyFont="1" applyFill="1" applyBorder="1" applyAlignment="1">
      <alignment horizontal="distributed" vertical="top" indent="5"/>
    </xf>
    <xf numFmtId="0" fontId="53" fillId="67" borderId="0" xfId="0" applyFont="1" applyFill="1" applyBorder="1" applyAlignment="1">
      <alignment horizontal="center" vertical="center"/>
    </xf>
    <xf numFmtId="0" fontId="53" fillId="67" borderId="0" xfId="0" applyFont="1" applyFill="1" applyBorder="1" applyAlignment="1">
      <alignment horizontal="center" vertical="justify"/>
    </xf>
    <xf numFmtId="0" fontId="53" fillId="67" borderId="0" xfId="0" applyFont="1" applyFill="1" applyBorder="1" applyAlignment="1">
      <alignment horizontal="center" vertical="top"/>
    </xf>
    <xf numFmtId="0" fontId="53" fillId="60" borderId="0" xfId="0" applyFont="1" applyFill="1" applyBorder="1" applyAlignment="1">
      <alignment horizontal="center" vertical="distributed"/>
    </xf>
    <xf numFmtId="0" fontId="67" fillId="67" borderId="0" xfId="0" applyFont="1" applyFill="1" applyBorder="1" applyAlignment="1">
      <alignment vertical="top"/>
    </xf>
    <xf numFmtId="0" fontId="76" fillId="67" borderId="0" xfId="0" applyFont="1" applyFill="1" applyBorder="1" applyAlignment="1">
      <alignment horizontal="center" vertical="center"/>
    </xf>
    <xf numFmtId="0" fontId="34" fillId="67" borderId="0" xfId="0" applyFont="1" applyFill="1" applyBorder="1" applyAlignment="1">
      <alignment horizontal="center"/>
    </xf>
    <xf numFmtId="0" fontId="99" fillId="67" borderId="0" xfId="0" applyFont="1" applyFill="1" applyBorder="1" applyAlignment="1">
      <alignment horizontal="center" vertical="center"/>
    </xf>
    <xf numFmtId="0" fontId="2" fillId="67" borderId="0" xfId="0" applyFont="1" applyFill="1" applyBorder="1" applyAlignment="1">
      <alignment horizontal="center"/>
    </xf>
    <xf numFmtId="0" fontId="34" fillId="67" borderId="0" xfId="0" applyFont="1" applyFill="1" applyBorder="1" applyAlignment="1">
      <alignment horizontal="center" vertical="justify"/>
    </xf>
    <xf numFmtId="0" fontId="34" fillId="67" borderId="0" xfId="0" applyFont="1" applyFill="1" applyBorder="1" applyAlignment="1">
      <alignment horizontal="center" vertical="center"/>
    </xf>
    <xf numFmtId="0" fontId="34" fillId="67" borderId="0" xfId="0" applyFont="1" applyFill="1" applyBorder="1" applyAlignment="1">
      <alignment horizontal="center" vertical="top"/>
    </xf>
    <xf numFmtId="0" fontId="95" fillId="67" borderId="0" xfId="0" applyFont="1" applyFill="1" applyBorder="1" applyAlignment="1">
      <alignment horizontal="center" vertical="top"/>
    </xf>
    <xf numFmtId="0" fontId="34" fillId="67" borderId="0" xfId="0" applyFont="1" applyFill="1" applyBorder="1" applyAlignment="1">
      <alignment horizontal="center" vertical="distributed"/>
    </xf>
    <xf numFmtId="0" fontId="23" fillId="74" borderId="0" xfId="0" applyFont="1" applyFill="1" applyBorder="1" applyAlignment="1">
      <alignment vertical="justify"/>
    </xf>
    <xf numFmtId="0" fontId="2" fillId="58" borderId="0" xfId="0" applyFont="1" applyFill="1" applyBorder="1" applyAlignment="1">
      <alignment horizontal="center" vertical="top"/>
    </xf>
    <xf numFmtId="0" fontId="37" fillId="60" borderId="0" xfId="0" applyFont="1" applyFill="1" applyBorder="1" applyAlignment="1">
      <alignment horizontal="center" vertical="distributed"/>
    </xf>
    <xf numFmtId="0" fontId="67" fillId="67" borderId="0" xfId="0" applyFont="1" applyFill="1" applyBorder="1" applyAlignment="1">
      <alignment horizontal="center" vertical="center"/>
    </xf>
    <xf numFmtId="0" fontId="7" fillId="0" borderId="46" xfId="0" applyFont="1" applyBorder="1"/>
    <xf numFmtId="0" fontId="0" fillId="58" borderId="46" xfId="0" applyFont="1" applyFill="1" applyBorder="1" applyAlignment="1">
      <alignment horizontal="center" vertical="distributed"/>
    </xf>
    <xf numFmtId="0" fontId="55" fillId="60" borderId="0" xfId="0" applyFont="1" applyFill="1" applyBorder="1" applyAlignment="1">
      <alignment horizontal="center" vertical="justify"/>
    </xf>
    <xf numFmtId="0" fontId="0" fillId="58" borderId="46" xfId="0" applyFont="1" applyFill="1" applyBorder="1" applyAlignment="1">
      <alignment horizontal="center" vertical="top"/>
    </xf>
    <xf numFmtId="0" fontId="0" fillId="58" borderId="46" xfId="0" applyFont="1" applyFill="1" applyBorder="1" applyAlignment="1">
      <alignment horizontal="center"/>
    </xf>
    <xf numFmtId="0" fontId="0" fillId="58" borderId="21" xfId="0" applyFont="1" applyFill="1" applyBorder="1" applyAlignment="1">
      <alignment horizontal="center"/>
    </xf>
    <xf numFmtId="0" fontId="0" fillId="58" borderId="21" xfId="0" applyFont="1" applyFill="1" applyBorder="1" applyAlignment="1">
      <alignment horizontal="center" vertical="top"/>
    </xf>
    <xf numFmtId="0" fontId="55" fillId="58" borderId="0" xfId="0" applyFont="1" applyFill="1" applyBorder="1" applyAlignment="1">
      <alignment horizontal="center" vertical="center"/>
    </xf>
    <xf numFmtId="0" fontId="11" fillId="58" borderId="0" xfId="0" applyFont="1" applyFill="1" applyBorder="1" applyAlignment="1">
      <alignment horizontal="right" vertical="center" indent="2"/>
    </xf>
    <xf numFmtId="0" fontId="11" fillId="58" borderId="0" xfId="0" applyFont="1" applyFill="1" applyBorder="1" applyAlignment="1">
      <alignment horizontal="center" vertical="distributed"/>
    </xf>
    <xf numFmtId="0" fontId="2" fillId="71" borderId="340" xfId="0" applyFont="1" applyFill="1" applyBorder="1" applyAlignment="1">
      <alignment horizontal="distributed" vertical="center" indent="15"/>
    </xf>
    <xf numFmtId="0" fontId="0" fillId="0" borderId="47" xfId="0" applyBorder="1" applyAlignment="1">
      <alignment horizontal="center" vertical="center"/>
    </xf>
    <xf numFmtId="0" fontId="0" fillId="0" borderId="102" xfId="0" applyBorder="1" applyAlignment="1">
      <alignment horizontal="center" vertical="center"/>
    </xf>
    <xf numFmtId="0" fontId="11" fillId="1" borderId="80" xfId="0" applyFont="1" applyFill="1" applyBorder="1" applyAlignment="1">
      <alignment horizontal="center" vertical="distributed"/>
    </xf>
    <xf numFmtId="0" fontId="16" fillId="64" borderId="341" xfId="0" applyFont="1" applyFill="1" applyBorder="1" applyAlignment="1">
      <alignment horizontal="center" vertical="center" shrinkToFit="1"/>
    </xf>
    <xf numFmtId="0" fontId="16" fillId="64" borderId="342" xfId="0" applyFont="1" applyFill="1" applyBorder="1" applyAlignment="1">
      <alignment horizontal="center" vertical="center" shrinkToFit="1"/>
    </xf>
    <xf numFmtId="0" fontId="10" fillId="60" borderId="26" xfId="0" applyFont="1" applyFill="1" applyBorder="1" applyAlignment="1">
      <alignment horizontal="right" vertical="center" indent="5"/>
    </xf>
    <xf numFmtId="0" fontId="0" fillId="69" borderId="0" xfId="0" applyFill="1" applyBorder="1" applyAlignment="1">
      <alignment horizontal="center" vertical="center" shrinkToFit="1"/>
    </xf>
    <xf numFmtId="0" fontId="64" fillId="67" borderId="47" xfId="0" applyFont="1" applyFill="1" applyBorder="1" applyAlignment="1">
      <alignment horizontal="center" vertical="distributed"/>
    </xf>
    <xf numFmtId="0" fontId="0" fillId="69" borderId="0" xfId="0" applyFill="1" applyBorder="1" applyAlignment="1">
      <alignment horizontal="center" shrinkToFit="1"/>
    </xf>
    <xf numFmtId="0" fontId="0" fillId="69" borderId="0" xfId="0" applyFill="1" applyBorder="1" applyAlignment="1">
      <alignment horizontal="center" vertical="justify" shrinkToFit="1"/>
    </xf>
    <xf numFmtId="0" fontId="0" fillId="62" borderId="78" xfId="0" applyFill="1" applyBorder="1" applyAlignment="1">
      <alignment horizontal="center" vertical="center"/>
    </xf>
    <xf numFmtId="0" fontId="0" fillId="62" borderId="58" xfId="0" applyFill="1" applyBorder="1" applyAlignment="1">
      <alignment horizontal="center" vertical="center"/>
    </xf>
    <xf numFmtId="0" fontId="0" fillId="62" borderId="251" xfId="0" applyFill="1" applyBorder="1" applyAlignment="1">
      <alignment horizontal="center" vertical="center"/>
    </xf>
    <xf numFmtId="0" fontId="64" fillId="62" borderId="53" xfId="0" applyFont="1" applyFill="1" applyBorder="1" applyAlignment="1">
      <alignment horizontal="center" vertical="center"/>
    </xf>
    <xf numFmtId="0" fontId="64" fillId="62" borderId="35" xfId="0" applyFont="1" applyFill="1" applyBorder="1" applyAlignment="1">
      <alignment horizontal="center" vertical="center"/>
    </xf>
    <xf numFmtId="0" fontId="64" fillId="62" borderId="190" xfId="0" applyFont="1" applyFill="1" applyBorder="1" applyAlignment="1">
      <alignment horizontal="center" vertical="center"/>
    </xf>
    <xf numFmtId="0" fontId="64" fillId="62" borderId="343" xfId="0" applyFont="1" applyFill="1" applyBorder="1" applyAlignment="1">
      <alignment horizontal="center" vertical="center"/>
    </xf>
    <xf numFmtId="0" fontId="0" fillId="72" borderId="344" xfId="0" applyFill="1" applyBorder="1" applyAlignment="1">
      <alignment horizontal="left" vertical="center" indent="5"/>
    </xf>
    <xf numFmtId="0" fontId="90" fillId="64" borderId="345" xfId="0" applyFont="1" applyFill="1" applyBorder="1" applyAlignment="1">
      <alignment horizontal="center" vertical="center"/>
    </xf>
    <xf numFmtId="0" fontId="0" fillId="69" borderId="0" xfId="0" applyFill="1" applyBorder="1" applyAlignment="1">
      <alignment horizontal="center" vertical="top" shrinkToFit="1"/>
    </xf>
    <xf numFmtId="0" fontId="2" fillId="58" borderId="39" xfId="0" applyFont="1" applyFill="1" applyBorder="1" applyAlignment="1">
      <alignment horizontal="right" vertical="top" indent="2" shrinkToFit="1"/>
    </xf>
    <xf numFmtId="0" fontId="0" fillId="58" borderId="155" xfId="0" applyFill="1" applyBorder="1" applyAlignment="1">
      <alignment horizontal="center" vertical="center"/>
    </xf>
    <xf numFmtId="0" fontId="0" fillId="68" borderId="54" xfId="0" applyFill="1" applyBorder="1" applyAlignment="1">
      <alignment horizontal="center"/>
    </xf>
    <xf numFmtId="0" fontId="0" fillId="68" borderId="248" xfId="0" applyFill="1" applyBorder="1" applyAlignment="1">
      <alignment horizontal="center" vertical="center"/>
    </xf>
    <xf numFmtId="0" fontId="0" fillId="67" borderId="39" xfId="0" applyFill="1" applyBorder="1" applyAlignment="1">
      <alignment horizontal="center" vertical="center"/>
    </xf>
    <xf numFmtId="0" fontId="0" fillId="68" borderId="0" xfId="0" applyFill="1" applyBorder="1" applyAlignment="1">
      <alignment horizontal="center" vertical="justify"/>
    </xf>
    <xf numFmtId="0" fontId="0" fillId="68" borderId="0" xfId="0" applyFill="1" applyBorder="1" applyAlignment="1">
      <alignment horizontal="center" vertical="distributed"/>
    </xf>
    <xf numFmtId="0" fontId="64" fillId="58" borderId="0" xfId="0" applyFont="1" applyFill="1" applyBorder="1" applyAlignment="1">
      <alignment horizontal="right" vertical="top" indent="3"/>
    </xf>
    <xf numFmtId="0" fontId="0" fillId="68" borderId="0" xfId="0" applyFill="1" applyBorder="1" applyAlignment="1">
      <alignment horizontal="center" vertical="top"/>
    </xf>
    <xf numFmtId="0" fontId="16" fillId="64" borderId="257" xfId="0" applyFont="1" applyFill="1" applyBorder="1" applyAlignment="1">
      <alignment horizontal="center" shrinkToFit="1"/>
    </xf>
    <xf numFmtId="0" fontId="64" fillId="62" borderId="0" xfId="0" applyFont="1" applyFill="1" applyBorder="1" applyAlignment="1">
      <alignment horizontal="distributed" vertical="justify"/>
    </xf>
    <xf numFmtId="0" fontId="0" fillId="62" borderId="0" xfId="0" applyFont="1" applyFill="1" applyBorder="1" applyAlignment="1">
      <alignment horizontal="center" vertical="center"/>
    </xf>
    <xf numFmtId="0" fontId="88" fillId="60" borderId="35" xfId="0" applyFont="1" applyFill="1" applyBorder="1" applyAlignment="1">
      <alignment horizontal="center" vertical="distributed"/>
    </xf>
    <xf numFmtId="0" fontId="64" fillId="67" borderId="0" xfId="0" applyFont="1" applyFill="1" applyBorder="1" applyAlignment="1">
      <alignment horizontal="distributed" vertical="top"/>
    </xf>
    <xf numFmtId="0" fontId="1" fillId="67" borderId="0" xfId="0" applyFont="1" applyFill="1" applyBorder="1" applyAlignment="1">
      <alignment horizontal="distributed" vertical="top"/>
    </xf>
    <xf numFmtId="0" fontId="67" fillId="58" borderId="39" xfId="0" applyFont="1" applyFill="1" applyBorder="1" applyAlignment="1">
      <alignment horizontal="right" vertical="top"/>
    </xf>
    <xf numFmtId="0" fontId="0" fillId="68" borderId="0" xfId="0" applyFill="1" applyBorder="1" applyAlignment="1">
      <alignment horizontal="center"/>
    </xf>
    <xf numFmtId="0" fontId="0" fillId="68" borderId="91" xfId="0" applyFill="1" applyBorder="1" applyAlignment="1">
      <alignment horizontal="center" vertical="center"/>
    </xf>
    <xf numFmtId="0" fontId="0" fillId="68" borderId="102" xfId="0" applyFill="1" applyBorder="1" applyAlignment="1">
      <alignment horizontal="center" vertical="center"/>
    </xf>
    <xf numFmtId="0" fontId="0" fillId="68" borderId="40" xfId="0" applyFill="1" applyBorder="1" applyAlignment="1">
      <alignment horizontal="center" vertical="top"/>
    </xf>
    <xf numFmtId="0" fontId="0" fillId="68" borderId="40" xfId="0" applyFill="1" applyBorder="1" applyAlignment="1">
      <alignment horizontal="center" vertical="distributed"/>
    </xf>
    <xf numFmtId="0" fontId="0" fillId="68" borderId="40" xfId="0" applyFill="1" applyBorder="1" applyAlignment="1">
      <alignment horizontal="center" vertical="justify"/>
    </xf>
    <xf numFmtId="0" fontId="0" fillId="68" borderId="40" xfId="0" applyFill="1" applyBorder="1" applyAlignment="1">
      <alignment horizontal="center"/>
    </xf>
    <xf numFmtId="0" fontId="0" fillId="68" borderId="346" xfId="0" applyFill="1" applyBorder="1" applyAlignment="1">
      <alignment horizontal="center" vertical="center"/>
    </xf>
    <xf numFmtId="0" fontId="0" fillId="68" borderId="26" xfId="0" applyFill="1" applyBorder="1" applyAlignment="1">
      <alignment horizontal="center" vertical="justify"/>
    </xf>
    <xf numFmtId="0" fontId="0" fillId="68" borderId="266" xfId="0" applyFill="1" applyBorder="1" applyAlignment="1">
      <alignment horizontal="center" vertical="justify"/>
    </xf>
    <xf numFmtId="0" fontId="0" fillId="60" borderId="49" xfId="0" applyFill="1" applyBorder="1" applyAlignment="1">
      <alignment horizontal="center"/>
    </xf>
    <xf numFmtId="0" fontId="9" fillId="58" borderId="347" xfId="0" applyFont="1" applyFill="1" applyBorder="1" applyAlignment="1">
      <alignment horizontal="center"/>
    </xf>
    <xf numFmtId="0" fontId="0" fillId="58" borderId="348" xfId="0" applyFont="1" applyFill="1" applyBorder="1" applyAlignment="1">
      <alignment horizontal="center" vertical="top"/>
    </xf>
    <xf numFmtId="0" fontId="0" fillId="60" borderId="34" xfId="0" applyFill="1" applyBorder="1" applyAlignment="1">
      <alignment horizontal="distributed" vertical="center" indent="4"/>
    </xf>
    <xf numFmtId="0" fontId="9" fillId="60" borderId="53" xfId="0" applyFont="1" applyFill="1" applyBorder="1" applyAlignment="1">
      <alignment horizontal="right" vertical="distributed" indent="1"/>
    </xf>
    <xf numFmtId="0" fontId="0" fillId="68" borderId="31" xfId="0" applyFill="1" applyBorder="1" applyAlignment="1">
      <alignment horizontal="right" indent="6"/>
    </xf>
    <xf numFmtId="0" fontId="0" fillId="68" borderId="31" xfId="0" applyFill="1" applyBorder="1" applyAlignment="1">
      <alignment horizontal="right" indent="5"/>
    </xf>
    <xf numFmtId="0" fontId="0" fillId="68" borderId="31" xfId="0" applyFill="1" applyBorder="1" applyAlignment="1">
      <alignment horizontal="right" indent="4"/>
    </xf>
    <xf numFmtId="0" fontId="0" fillId="67" borderId="39" xfId="0" applyFill="1" applyBorder="1" applyAlignment="1">
      <alignment horizontal="right" vertical="justify" indent="2"/>
    </xf>
    <xf numFmtId="0" fontId="0" fillId="62" borderId="349" xfId="0" applyFill="1" applyBorder="1" applyAlignment="1">
      <alignment horizontal="center" vertical="center"/>
    </xf>
    <xf numFmtId="0" fontId="64" fillId="72" borderId="343" xfId="0" applyFont="1" applyFill="1" applyBorder="1" applyAlignment="1">
      <alignment horizontal="center" vertical="center"/>
    </xf>
    <xf numFmtId="0" fontId="0" fillId="71" borderId="37" xfId="0" applyFill="1" applyBorder="1" applyAlignment="1">
      <alignment horizontal="center" vertical="top"/>
    </xf>
    <xf numFmtId="0" fontId="99" fillId="66" borderId="0" xfId="0" applyFont="1" applyFill="1" applyBorder="1" applyAlignment="1">
      <alignment horizontal="center" vertical="center"/>
    </xf>
    <xf numFmtId="0" fontId="64" fillId="71" borderId="47" xfId="0" applyFont="1" applyFill="1" applyBorder="1" applyAlignment="1">
      <alignment horizontal="center" vertical="center"/>
    </xf>
    <xf numFmtId="0" fontId="3" fillId="69" borderId="150" xfId="0" applyFont="1" applyFill="1" applyBorder="1" applyAlignment="1">
      <alignment horizontal="center" vertical="center"/>
    </xf>
    <xf numFmtId="0" fontId="0" fillId="69" borderId="76" xfId="0" applyFill="1" applyBorder="1" applyAlignment="1">
      <alignment horizontal="center" vertical="center"/>
    </xf>
    <xf numFmtId="0" fontId="76" fillId="70" borderId="0" xfId="0" applyFont="1" applyFill="1" applyBorder="1" applyAlignment="1">
      <alignment horizontal="center" vertical="justify"/>
    </xf>
    <xf numFmtId="0" fontId="76" fillId="70" borderId="0" xfId="0" applyFont="1" applyFill="1" applyBorder="1" applyAlignment="1">
      <alignment horizontal="center" vertical="distributed"/>
    </xf>
    <xf numFmtId="0" fontId="0" fillId="63" borderId="0" xfId="0" applyFill="1" applyBorder="1" applyAlignment="1">
      <alignment horizontal="center" vertical="top"/>
    </xf>
    <xf numFmtId="0" fontId="35" fillId="62" borderId="34" xfId="0" applyFont="1" applyFill="1" applyBorder="1" applyAlignment="1">
      <alignment horizontal="center" vertical="distributed"/>
    </xf>
    <xf numFmtId="0" fontId="35" fillId="62" borderId="34" xfId="0" applyFont="1" applyFill="1" applyBorder="1" applyAlignment="1">
      <alignment horizontal="center" vertical="top"/>
    </xf>
    <xf numFmtId="0" fontId="35" fillId="62" borderId="34" xfId="0" applyFont="1" applyFill="1" applyBorder="1" applyAlignment="1">
      <alignment horizontal="center"/>
    </xf>
    <xf numFmtId="0" fontId="35" fillId="62" borderId="34" xfId="0" applyFont="1" applyFill="1" applyBorder="1" applyAlignment="1">
      <alignment horizontal="center" vertical="justify"/>
    </xf>
    <xf numFmtId="0" fontId="0" fillId="62" borderId="82" xfId="0" applyFill="1" applyBorder="1" applyAlignment="1">
      <alignment horizontal="distributed" vertical="center" indent="15"/>
    </xf>
    <xf numFmtId="0" fontId="106" fillId="1" borderId="313" xfId="0" applyFont="1" applyFill="1" applyBorder="1" applyAlignment="1">
      <alignment horizontal="distributed" vertical="center" indent="5" shrinkToFit="1"/>
    </xf>
    <xf numFmtId="0" fontId="0" fillId="62" borderId="19" xfId="0" applyFill="1" applyBorder="1" applyAlignment="1">
      <alignment horizontal="distributed" vertical="center" wrapText="1" indent="10"/>
    </xf>
    <xf numFmtId="0" fontId="0" fillId="62" borderId="19" xfId="0" applyFill="1" applyBorder="1" applyAlignment="1">
      <alignment horizontal="distributed" vertical="center" indent="6"/>
    </xf>
    <xf numFmtId="0" fontId="0" fillId="62" borderId="350" xfId="0" applyFill="1" applyBorder="1" applyAlignment="1">
      <alignment horizontal="distributed" vertical="center" indent="15"/>
    </xf>
    <xf numFmtId="0" fontId="34" fillId="71" borderId="39" xfId="0" applyFont="1" applyFill="1" applyBorder="1" applyAlignment="1">
      <alignment horizontal="distributed" vertical="center" indent="4"/>
    </xf>
    <xf numFmtId="0" fontId="76" fillId="71" borderId="258" xfId="0" applyFont="1" applyFill="1" applyBorder="1" applyAlignment="1">
      <alignment horizontal="distributed" vertical="center" indent="4"/>
    </xf>
    <xf numFmtId="0" fontId="0" fillId="62" borderId="119" xfId="0" applyFill="1" applyBorder="1" applyAlignment="1">
      <alignment horizontal="distributed" vertical="center" indent="4"/>
    </xf>
    <xf numFmtId="0" fontId="34" fillId="1" borderId="82" xfId="0" applyFont="1" applyFill="1" applyBorder="1" applyAlignment="1">
      <alignment horizontal="distributed" vertical="center" indent="6"/>
    </xf>
    <xf numFmtId="0" fontId="76" fillId="71" borderId="258" xfId="0" applyFont="1" applyFill="1" applyBorder="1" applyAlignment="1">
      <alignment horizontal="distributed" vertical="center" indent="2"/>
    </xf>
    <xf numFmtId="0" fontId="0" fillId="59" borderId="119" xfId="0" applyFill="1" applyBorder="1" applyAlignment="1">
      <alignment horizontal="distributed" vertical="center" indent="2"/>
    </xf>
    <xf numFmtId="0" fontId="0" fillId="59" borderId="119" xfId="0" applyFill="1" applyBorder="1" applyAlignment="1">
      <alignment horizontal="distributed" vertical="center" indent="8"/>
    </xf>
    <xf numFmtId="0" fontId="34" fillId="72" borderId="44" xfId="0" applyFont="1" applyFill="1" applyBorder="1" applyAlignment="1">
      <alignment horizontal="center" vertical="center"/>
    </xf>
    <xf numFmtId="0" fontId="0" fillId="61" borderId="119" xfId="0" applyFill="1" applyBorder="1" applyAlignment="1">
      <alignment horizontal="distributed" vertical="center" indent="4"/>
    </xf>
    <xf numFmtId="0" fontId="0" fillId="61" borderId="119" xfId="0" applyFill="1" applyBorder="1" applyAlignment="1">
      <alignment horizontal="center" vertical="center"/>
    </xf>
    <xf numFmtId="0" fontId="0" fillId="61" borderId="119" xfId="0" applyFill="1" applyBorder="1" applyAlignment="1">
      <alignment horizontal="distributed" vertical="center" indent="5"/>
    </xf>
    <xf numFmtId="0" fontId="0" fillId="61" borderId="119" xfId="0" applyFill="1" applyBorder="1" applyAlignment="1">
      <alignment horizontal="distributed" vertical="center" indent="2"/>
    </xf>
    <xf numFmtId="0" fontId="0" fillId="72" borderId="25" xfId="0" applyFont="1" applyFill="1" applyBorder="1" applyAlignment="1">
      <alignment horizontal="center" vertical="distributed"/>
    </xf>
    <xf numFmtId="0" fontId="0" fillId="61" borderId="119" xfId="0" applyFill="1" applyBorder="1" applyAlignment="1">
      <alignment horizontal="center" vertical="justify"/>
    </xf>
    <xf numFmtId="0" fontId="112" fillId="72" borderId="25" xfId="0" applyFont="1" applyFill="1" applyBorder="1" applyAlignment="1">
      <alignment horizontal="center" vertical="justify"/>
    </xf>
    <xf numFmtId="0" fontId="0" fillId="69" borderId="0" xfId="0" applyFill="1" applyBorder="1" applyAlignment="1">
      <alignment horizontal="distributed" vertical="center" indent="2"/>
    </xf>
    <xf numFmtId="0" fontId="0" fillId="60" borderId="0" xfId="0" applyFill="1" applyBorder="1" applyAlignment="1">
      <alignment horizontal="right" vertical="distributed" indent="1"/>
    </xf>
    <xf numFmtId="0" fontId="0" fillId="60" borderId="0" xfId="0" applyFill="1" applyBorder="1" applyAlignment="1">
      <alignment horizontal="distributed" vertical="center"/>
    </xf>
    <xf numFmtId="0" fontId="0" fillId="59" borderId="59" xfId="0" applyFill="1" applyBorder="1" applyAlignment="1">
      <alignment horizontal="center" vertical="center"/>
    </xf>
    <xf numFmtId="0" fontId="0" fillId="60" borderId="190" xfId="0" applyFill="1" applyBorder="1" applyAlignment="1">
      <alignment horizontal="center"/>
    </xf>
    <xf numFmtId="0" fontId="106" fillId="64" borderId="190" xfId="0" applyFont="1" applyFill="1" applyBorder="1" applyAlignment="1">
      <alignment horizontal="center" vertical="top"/>
    </xf>
    <xf numFmtId="0" fontId="0" fillId="65" borderId="104" xfId="0" applyFill="1" applyBorder="1" applyAlignment="1">
      <alignment horizontal="center" vertical="center"/>
    </xf>
    <xf numFmtId="0" fontId="0" fillId="62" borderId="43" xfId="0" applyFill="1" applyBorder="1" applyAlignment="1">
      <alignment horizontal="center" vertical="distributed"/>
    </xf>
    <xf numFmtId="0" fontId="0" fillId="59" borderId="0" xfId="0" applyFill="1" applyBorder="1" applyAlignment="1">
      <alignment horizontal="distributed" vertical="center" indent="6"/>
    </xf>
    <xf numFmtId="0" fontId="0" fillId="69" borderId="0" xfId="0" applyFill="1" applyBorder="1" applyAlignment="1">
      <alignment horizontal="distributed" vertical="center" indent="5"/>
    </xf>
    <xf numFmtId="0" fontId="0" fillId="62" borderId="134" xfId="0" applyFill="1" applyBorder="1" applyAlignment="1">
      <alignment horizontal="center"/>
    </xf>
    <xf numFmtId="0" fontId="0" fillId="59" borderId="150" xfId="0" applyFill="1" applyBorder="1" applyAlignment="1">
      <alignment horizontal="center" vertical="center"/>
    </xf>
    <xf numFmtId="0" fontId="12" fillId="58" borderId="26" xfId="0" applyFont="1" applyFill="1" applyBorder="1" applyAlignment="1">
      <alignment horizontal="center" vertical="distributed"/>
    </xf>
    <xf numFmtId="0" fontId="12" fillId="58" borderId="26" xfId="0" applyFont="1" applyFill="1" applyBorder="1" applyAlignment="1">
      <alignment horizontal="center" vertical="justify"/>
    </xf>
    <xf numFmtId="0" fontId="0" fillId="58" borderId="31" xfId="0" applyFont="1" applyFill="1" applyBorder="1" applyAlignment="1">
      <alignment horizontal="center" vertical="center"/>
    </xf>
    <xf numFmtId="0" fontId="2" fillId="58" borderId="0" xfId="0" applyFont="1" applyFill="1" applyBorder="1" applyAlignment="1">
      <alignment horizontal="left" vertical="center" indent="15"/>
    </xf>
    <xf numFmtId="0" fontId="0" fillId="72" borderId="317" xfId="0" applyFill="1" applyBorder="1" applyAlignment="1">
      <alignment horizontal="right" vertical="justify" indent="4"/>
    </xf>
    <xf numFmtId="0" fontId="0" fillId="58" borderId="31" xfId="0" applyFill="1" applyBorder="1" applyAlignment="1">
      <alignment horizontal="center" vertical="top"/>
    </xf>
    <xf numFmtId="0" fontId="16" fillId="58" borderId="87" xfId="0" applyFont="1" applyFill="1" applyBorder="1" applyAlignment="1">
      <alignment horizontal="center" vertical="center" shrinkToFit="1"/>
    </xf>
    <xf numFmtId="0" fontId="16" fillId="58" borderId="87" xfId="0" applyFont="1" applyFill="1" applyBorder="1" applyAlignment="1">
      <alignment horizontal="center" shrinkToFit="1"/>
    </xf>
    <xf numFmtId="0" fontId="0" fillId="58" borderId="29" xfId="0" applyFont="1" applyFill="1" applyBorder="1" applyAlignment="1">
      <alignment horizontal="center" vertical="center"/>
    </xf>
    <xf numFmtId="0" fontId="0" fillId="58" borderId="318" xfId="0" applyFont="1" applyFill="1" applyBorder="1" applyAlignment="1">
      <alignment horizontal="center" vertical="center"/>
    </xf>
    <xf numFmtId="0" fontId="16" fillId="58" borderId="351" xfId="0" applyFont="1" applyFill="1" applyBorder="1" applyAlignment="1">
      <alignment horizontal="center" vertical="center" shrinkToFit="1"/>
    </xf>
    <xf numFmtId="0" fontId="0" fillId="58" borderId="288" xfId="0" applyFill="1" applyBorder="1" applyAlignment="1">
      <alignment horizontal="center" vertical="center"/>
    </xf>
    <xf numFmtId="0" fontId="16" fillId="58" borderId="352" xfId="0" applyFont="1" applyFill="1" applyBorder="1" applyAlignment="1">
      <alignment horizontal="center" vertical="center" shrinkToFit="1"/>
    </xf>
    <xf numFmtId="0" fontId="0" fillId="58" borderId="288" xfId="0" applyFill="1" applyBorder="1" applyAlignment="1">
      <alignment horizontal="center" vertical="distributed"/>
    </xf>
    <xf numFmtId="0" fontId="16" fillId="58" borderId="353" xfId="0" applyFont="1" applyFill="1" applyBorder="1" applyAlignment="1">
      <alignment horizontal="center" vertical="center" shrinkToFit="1"/>
    </xf>
    <xf numFmtId="0" fontId="0" fillId="58" borderId="289" xfId="0" applyFill="1" applyBorder="1" applyAlignment="1">
      <alignment horizontal="center" vertical="center"/>
    </xf>
    <xf numFmtId="0" fontId="0" fillId="58" borderId="288" xfId="0" applyFill="1" applyBorder="1" applyAlignment="1">
      <alignment horizontal="center" vertical="justify"/>
    </xf>
    <xf numFmtId="0" fontId="0" fillId="60" borderId="282" xfId="0" applyFill="1" applyBorder="1" applyAlignment="1">
      <alignment horizontal="center" vertical="center"/>
    </xf>
    <xf numFmtId="0" fontId="2" fillId="58" borderId="102" xfId="0" applyFont="1" applyFill="1" applyBorder="1" applyAlignment="1">
      <alignment horizontal="center" vertical="center"/>
    </xf>
    <xf numFmtId="0" fontId="2" fillId="58" borderId="102" xfId="0" applyFont="1" applyFill="1" applyBorder="1" applyAlignment="1">
      <alignment horizontal="center"/>
    </xf>
    <xf numFmtId="0" fontId="16" fillId="58" borderId="32" xfId="0" applyFont="1" applyFill="1" applyBorder="1" applyAlignment="1">
      <alignment horizontal="center" vertical="center" shrinkToFit="1"/>
    </xf>
    <xf numFmtId="0" fontId="16" fillId="58" borderId="319" xfId="0" applyFont="1" applyFill="1" applyBorder="1" applyAlignment="1">
      <alignment horizontal="center" vertical="center" shrinkToFit="1"/>
    </xf>
    <xf numFmtId="0" fontId="16" fillId="58" borderId="29" xfId="0" applyFont="1" applyFill="1" applyBorder="1" applyAlignment="1">
      <alignment horizontal="center" vertical="center" shrinkToFit="1"/>
    </xf>
    <xf numFmtId="0" fontId="0" fillId="58" borderId="288" xfId="0" applyFont="1" applyFill="1" applyBorder="1" applyAlignment="1">
      <alignment horizontal="center" vertical="center"/>
    </xf>
    <xf numFmtId="0" fontId="0" fillId="68" borderId="34" xfId="0" applyFill="1" applyBorder="1" applyAlignment="1">
      <alignment horizontal="center" vertical="top"/>
    </xf>
    <xf numFmtId="0" fontId="0" fillId="60" borderId="282" xfId="0" applyFill="1" applyBorder="1" applyAlignment="1">
      <alignment horizontal="distributed" vertical="top" indent="4"/>
    </xf>
    <xf numFmtId="0" fontId="0" fillId="60" borderId="282" xfId="0" applyFill="1" applyBorder="1" applyAlignment="1">
      <alignment horizontal="center" vertical="distributed"/>
    </xf>
    <xf numFmtId="0" fontId="0" fillId="60" borderId="282" xfId="0" applyFill="1" applyBorder="1" applyAlignment="1">
      <alignment horizontal="distributed" vertical="distributed" indent="4"/>
    </xf>
    <xf numFmtId="0" fontId="0" fillId="60" borderId="282" xfId="0" applyFill="1" applyBorder="1" applyAlignment="1">
      <alignment horizontal="distributed" indent="4"/>
    </xf>
    <xf numFmtId="0" fontId="0" fillId="60" borderId="282" xfId="0" applyFill="1" applyBorder="1" applyAlignment="1">
      <alignment horizontal="distributed" vertical="justify" indent="4"/>
    </xf>
    <xf numFmtId="0" fontId="0" fillId="60" borderId="282" xfId="0" applyFill="1" applyBorder="1" applyAlignment="1">
      <alignment horizontal="distributed" vertical="center" indent="3"/>
    </xf>
    <xf numFmtId="0" fontId="0" fillId="60" borderId="282" xfId="0" applyFill="1" applyBorder="1" applyAlignment="1">
      <alignment horizontal="distributed" vertical="center" indent="2"/>
    </xf>
    <xf numFmtId="0" fontId="0" fillId="60" borderId="282" xfId="0" applyFill="1" applyBorder="1" applyAlignment="1">
      <alignment horizontal="distributed" vertical="center" indent="15"/>
    </xf>
    <xf numFmtId="0" fontId="0" fillId="60" borderId="354" xfId="0" applyFill="1" applyBorder="1" applyAlignment="1">
      <alignment horizontal="center" vertical="center"/>
    </xf>
    <xf numFmtId="0" fontId="0" fillId="60" borderId="355" xfId="0" applyFill="1" applyBorder="1" applyAlignment="1">
      <alignment horizontal="center" vertical="center"/>
    </xf>
    <xf numFmtId="0" fontId="0" fillId="60" borderId="356" xfId="0" applyFill="1" applyBorder="1" applyAlignment="1">
      <alignment horizontal="center" vertical="center"/>
    </xf>
    <xf numFmtId="0" fontId="0" fillId="60" borderId="357" xfId="0" applyFill="1" applyBorder="1" applyAlignment="1">
      <alignment horizontal="center" vertical="center"/>
    </xf>
    <xf numFmtId="0" fontId="0" fillId="60" borderId="358" xfId="0" applyFill="1" applyBorder="1" applyAlignment="1">
      <alignment horizontal="center" vertical="center"/>
    </xf>
    <xf numFmtId="0" fontId="16" fillId="58" borderId="42" xfId="0" applyFont="1" applyFill="1" applyBorder="1" applyAlignment="1">
      <alignment horizontal="center" shrinkToFit="1"/>
    </xf>
    <xf numFmtId="0" fontId="9" fillId="68" borderId="34" xfId="0" applyFont="1" applyFill="1" applyBorder="1" applyAlignment="1">
      <alignment horizontal="center" vertical="top"/>
    </xf>
    <xf numFmtId="0" fontId="0" fillId="59" borderId="33" xfId="0" applyFill="1" applyBorder="1" applyAlignment="1">
      <alignment horizontal="distributed" vertical="top" indent="4"/>
    </xf>
    <xf numFmtId="0" fontId="9" fillId="58" borderId="39" xfId="0" applyFont="1" applyFill="1" applyBorder="1" applyAlignment="1">
      <alignment horizontal="right" vertical="top" indent="2"/>
    </xf>
    <xf numFmtId="0" fontId="0" fillId="60" borderId="106" xfId="0" applyFill="1" applyBorder="1" applyAlignment="1">
      <alignment horizontal="center" vertical="center"/>
    </xf>
    <xf numFmtId="0" fontId="0" fillId="60" borderId="174" xfId="0" applyFill="1" applyBorder="1" applyAlignment="1">
      <alignment horizontal="center" vertical="center"/>
    </xf>
    <xf numFmtId="0" fontId="0" fillId="60" borderId="33" xfId="0" applyFill="1" applyBorder="1" applyAlignment="1">
      <alignment horizontal="distributed" vertical="center" indent="8"/>
    </xf>
    <xf numFmtId="0" fontId="100" fillId="58" borderId="33" xfId="0" applyFont="1" applyFill="1" applyBorder="1" applyAlignment="1">
      <alignment horizontal="distributed" vertical="justify" indent="4"/>
    </xf>
    <xf numFmtId="0" fontId="0" fillId="59" borderId="359" xfId="0" applyFill="1" applyBorder="1" applyAlignment="1">
      <alignment horizontal="center" vertical="top"/>
    </xf>
    <xf numFmtId="0" fontId="0" fillId="60" borderId="290" xfId="0" applyFill="1" applyBorder="1" applyAlignment="1">
      <alignment horizontal="center" vertical="center"/>
    </xf>
    <xf numFmtId="0" fontId="0" fillId="72" borderId="357" xfId="0" applyFill="1" applyBorder="1" applyAlignment="1">
      <alignment horizontal="distributed" vertical="center"/>
    </xf>
    <xf numFmtId="0" fontId="0" fillId="58" borderId="53" xfId="0" applyFill="1" applyBorder="1" applyAlignment="1">
      <alignment horizontal="center"/>
    </xf>
    <xf numFmtId="0" fontId="0" fillId="69" borderId="31" xfId="0" applyFill="1" applyBorder="1" applyAlignment="1">
      <alignment horizontal="center" vertical="center"/>
    </xf>
    <xf numFmtId="0" fontId="0" fillId="58" borderId="41" xfId="0" applyFill="1" applyBorder="1" applyAlignment="1">
      <alignment horizontal="center" vertical="center"/>
    </xf>
    <xf numFmtId="0" fontId="0" fillId="58" borderId="41" xfId="0" applyFill="1" applyBorder="1" applyAlignment="1">
      <alignment horizontal="center"/>
    </xf>
    <xf numFmtId="0" fontId="0" fillId="58" borderId="41" xfId="0" applyFill="1" applyBorder="1" applyAlignment="1">
      <alignment horizontal="center" vertical="justify"/>
    </xf>
    <xf numFmtId="0" fontId="46" fillId="64" borderId="360" xfId="0" applyFont="1" applyFill="1" applyBorder="1" applyAlignment="1">
      <alignment horizontal="distributed" vertical="center" indent="15"/>
    </xf>
    <xf numFmtId="0" fontId="17" fillId="60" borderId="41" xfId="0" applyFont="1" applyFill="1" applyBorder="1" applyAlignment="1">
      <alignment horizontal="center" vertical="top"/>
    </xf>
    <xf numFmtId="0" fontId="17" fillId="69" borderId="42" xfId="0" applyFont="1" applyFill="1" applyBorder="1" applyAlignment="1">
      <alignment horizontal="center" vertical="center" shrinkToFit="1"/>
    </xf>
    <xf numFmtId="0" fontId="85" fillId="64" borderId="0" xfId="0" applyFont="1" applyFill="1" applyBorder="1" applyAlignment="1">
      <alignment horizontal="center" vertical="center"/>
    </xf>
    <xf numFmtId="0" fontId="18" fillId="60" borderId="37" xfId="0" applyFont="1" applyFill="1" applyBorder="1" applyAlignment="1">
      <alignment horizontal="center" vertical="distributed"/>
    </xf>
    <xf numFmtId="0" fontId="18" fillId="58" borderId="37" xfId="0" applyFont="1" applyFill="1" applyBorder="1" applyAlignment="1">
      <alignment horizontal="center" vertical="center"/>
    </xf>
    <xf numFmtId="0" fontId="16" fillId="64" borderId="37" xfId="0" applyFont="1" applyFill="1" applyBorder="1" applyAlignment="1">
      <alignment horizontal="center" vertical="justify"/>
    </xf>
    <xf numFmtId="0" fontId="93" fillId="58" borderId="25" xfId="0" applyFont="1" applyFill="1" applyBorder="1" applyAlignment="1">
      <alignment horizontal="center"/>
    </xf>
    <xf numFmtId="0" fontId="19" fillId="60" borderId="37" xfId="0" applyFont="1" applyFill="1" applyBorder="1" applyAlignment="1">
      <alignment horizontal="center" vertical="top"/>
    </xf>
    <xf numFmtId="0" fontId="2" fillId="0" borderId="0" xfId="0" applyFont="1" applyAlignment="1">
      <alignment vertical="center"/>
    </xf>
    <xf numFmtId="0" fontId="18" fillId="58" borderId="41" xfId="0" applyFont="1" applyFill="1" applyBorder="1" applyAlignment="1">
      <alignment horizontal="center" vertical="top"/>
    </xf>
    <xf numFmtId="0" fontId="11" fillId="60" borderId="41" xfId="0" applyFont="1" applyFill="1" applyBorder="1" applyAlignment="1">
      <alignment horizontal="right" vertical="top" indent="4"/>
    </xf>
    <xf numFmtId="0" fontId="33" fillId="69" borderId="0" xfId="0" applyFont="1" applyFill="1" applyBorder="1" applyAlignment="1">
      <alignment horizontal="center" vertical="justify"/>
    </xf>
    <xf numFmtId="0" fontId="67" fillId="67" borderId="0" xfId="0" applyFont="1" applyFill="1" applyBorder="1" applyAlignment="1">
      <alignment horizontal="center"/>
    </xf>
    <xf numFmtId="0" fontId="0" fillId="69" borderId="41" xfId="0" applyFill="1" applyBorder="1" applyAlignment="1">
      <alignment horizontal="right"/>
    </xf>
    <xf numFmtId="0" fontId="0" fillId="69" borderId="40" xfId="0" applyFill="1" applyBorder="1" applyAlignment="1">
      <alignment horizontal="distributed" vertical="center" indent="2"/>
    </xf>
    <xf numFmtId="0" fontId="11" fillId="69" borderId="0" xfId="0" applyFont="1" applyFill="1" applyBorder="1" applyAlignment="1">
      <alignment horizontal="center" vertical="justify"/>
    </xf>
    <xf numFmtId="0" fontId="0" fillId="69" borderId="31" xfId="0" applyFill="1" applyBorder="1" applyAlignment="1">
      <alignment horizontal="distributed" vertical="center" indent="3"/>
    </xf>
    <xf numFmtId="0" fontId="64" fillId="72" borderId="185" xfId="0" applyFont="1" applyFill="1" applyBorder="1" applyAlignment="1">
      <alignment horizontal="center" shrinkToFit="1"/>
    </xf>
    <xf numFmtId="0" fontId="0" fillId="60" borderId="255" xfId="0" applyFill="1" applyBorder="1" applyAlignment="1">
      <alignment horizontal="center" vertical="center"/>
    </xf>
    <xf numFmtId="0" fontId="0" fillId="64" borderId="134" xfId="0" applyFont="1" applyFill="1" applyBorder="1" applyAlignment="1">
      <alignment horizontal="center" vertical="center"/>
    </xf>
    <xf numFmtId="0" fontId="0" fillId="72" borderId="0" xfId="0" applyFill="1" applyBorder="1" applyAlignment="1">
      <alignment horizontal="center" vertical="distributed"/>
    </xf>
    <xf numFmtId="0" fontId="0" fillId="58" borderId="20" xfId="0" applyFill="1" applyBorder="1" applyAlignment="1">
      <alignment horizontal="center" vertical="center"/>
    </xf>
    <xf numFmtId="0" fontId="20" fillId="60" borderId="50" xfId="0" applyFont="1" applyFill="1" applyBorder="1" applyAlignment="1">
      <alignment horizontal="center" vertical="top"/>
    </xf>
    <xf numFmtId="0" fontId="98" fillId="58" borderId="33" xfId="0" applyFont="1" applyFill="1" applyBorder="1" applyAlignment="1">
      <alignment horizontal="distributed" vertical="distributed" indent="4"/>
    </xf>
    <xf numFmtId="0" fontId="0" fillId="1" borderId="50" xfId="0" applyFont="1" applyFill="1" applyBorder="1" applyAlignment="1">
      <alignment horizontal="center" vertical="center"/>
    </xf>
    <xf numFmtId="0" fontId="64" fillId="58" borderId="141" xfId="0" applyFont="1" applyFill="1" applyBorder="1" applyAlignment="1">
      <alignment horizontal="center" vertical="justify"/>
    </xf>
    <xf numFmtId="0" fontId="0" fillId="62" borderId="206" xfId="0" applyFill="1" applyBorder="1" applyAlignment="1">
      <alignment horizontal="center" vertical="distributed"/>
    </xf>
    <xf numFmtId="0" fontId="64" fillId="58" borderId="59" xfId="0" applyFont="1" applyFill="1" applyBorder="1" applyAlignment="1">
      <alignment horizontal="center" vertical="center"/>
    </xf>
    <xf numFmtId="0" fontId="10" fillId="60" borderId="83" xfId="0" applyFont="1" applyFill="1" applyBorder="1" applyAlignment="1">
      <alignment horizontal="distributed" vertical="center" indent="8"/>
    </xf>
    <xf numFmtId="0" fontId="74" fillId="60" borderId="41" xfId="0" applyFont="1" applyFill="1" applyBorder="1" applyAlignment="1">
      <alignment horizontal="right" vertical="top" indent="2"/>
    </xf>
    <xf numFmtId="0" fontId="0" fillId="60" borderId="361" xfId="0" applyFill="1" applyBorder="1" applyAlignment="1">
      <alignment horizontal="center" vertical="center"/>
    </xf>
    <xf numFmtId="0" fontId="0" fillId="60" borderId="362" xfId="0" applyFill="1" applyBorder="1" applyAlignment="1">
      <alignment horizontal="center" vertical="top"/>
    </xf>
    <xf numFmtId="0" fontId="0" fillId="60" borderId="363" xfId="0" applyFill="1" applyBorder="1" applyAlignment="1">
      <alignment horizontal="center"/>
    </xf>
    <xf numFmtId="0" fontId="0" fillId="60" borderId="364" xfId="0" applyFill="1" applyBorder="1" applyAlignment="1">
      <alignment horizontal="center" vertical="center"/>
    </xf>
    <xf numFmtId="0" fontId="0" fillId="58" borderId="102" xfId="0" applyFill="1" applyBorder="1" applyAlignment="1">
      <alignment horizontal="center" vertical="distributed"/>
    </xf>
    <xf numFmtId="0" fontId="0" fillId="59" borderId="33" xfId="0" applyFill="1" applyBorder="1" applyAlignment="1">
      <alignment horizontal="distributed" vertical="center" indent="7"/>
    </xf>
    <xf numFmtId="0" fontId="0" fillId="60" borderId="365" xfId="0" applyFill="1" applyBorder="1" applyAlignment="1">
      <alignment horizontal="center" vertical="center"/>
    </xf>
    <xf numFmtId="0" fontId="0" fillId="60" borderId="366" xfId="0" applyFill="1" applyBorder="1" applyAlignment="1">
      <alignment horizontal="center" vertical="center"/>
    </xf>
    <xf numFmtId="0" fontId="0" fillId="60" borderId="367" xfId="0" applyFill="1" applyBorder="1" applyAlignment="1">
      <alignment horizontal="center" vertical="center"/>
    </xf>
    <xf numFmtId="0" fontId="0" fillId="60" borderId="81" xfId="0" applyFill="1" applyBorder="1" applyAlignment="1">
      <alignment horizontal="center"/>
    </xf>
    <xf numFmtId="0" fontId="0" fillId="60" borderId="81" xfId="0" applyFill="1" applyBorder="1" applyAlignment="1">
      <alignment horizontal="center" vertical="top"/>
    </xf>
    <xf numFmtId="0" fontId="0" fillId="64" borderId="206" xfId="0" applyFont="1" applyFill="1" applyBorder="1" applyAlignment="1">
      <alignment horizontal="center" vertical="distributed"/>
    </xf>
    <xf numFmtId="0" fontId="0" fillId="58" borderId="21" xfId="0" applyFill="1" applyBorder="1" applyAlignment="1">
      <alignment horizontal="center" vertical="justify"/>
    </xf>
    <xf numFmtId="0" fontId="0" fillId="68" borderId="368" xfId="0" applyFill="1" applyBorder="1" applyAlignment="1">
      <alignment horizontal="center"/>
    </xf>
    <xf numFmtId="0" fontId="0" fillId="68" borderId="369" xfId="0" applyFill="1" applyBorder="1" applyAlignment="1">
      <alignment horizontal="center" vertical="justify"/>
    </xf>
    <xf numFmtId="0" fontId="0" fillId="68" borderId="368" xfId="0" applyFill="1" applyBorder="1" applyAlignment="1">
      <alignment horizontal="center" vertical="top"/>
    </xf>
    <xf numFmtId="0" fontId="2" fillId="69" borderId="34" xfId="0" applyFont="1" applyFill="1" applyBorder="1" applyAlignment="1">
      <alignment horizontal="center" vertical="distributed"/>
    </xf>
    <xf numFmtId="0" fontId="0" fillId="58" borderId="161" xfId="0" applyFill="1" applyBorder="1" applyAlignment="1">
      <alignment horizontal="center" vertical="center"/>
    </xf>
    <xf numFmtId="0" fontId="0" fillId="60" borderId="59" xfId="0" applyFill="1" applyBorder="1" applyAlignment="1">
      <alignment horizontal="center" vertical="distributed"/>
    </xf>
    <xf numFmtId="0" fontId="0" fillId="60" borderId="59" xfId="0" applyFill="1" applyBorder="1" applyAlignment="1">
      <alignment horizontal="center" vertical="center"/>
    </xf>
    <xf numFmtId="0" fontId="0" fillId="60" borderId="370" xfId="0" applyFill="1" applyBorder="1" applyAlignment="1">
      <alignment horizontal="center" vertical="center"/>
    </xf>
    <xf numFmtId="0" fontId="0" fillId="60" borderId="266" xfId="0" applyFill="1" applyBorder="1" applyAlignment="1">
      <alignment horizontal="center" vertical="center"/>
    </xf>
    <xf numFmtId="0" fontId="0" fillId="60" borderId="263" xfId="0" applyFill="1" applyBorder="1" applyAlignment="1">
      <alignment horizontal="center" vertical="center"/>
    </xf>
    <xf numFmtId="0" fontId="0" fillId="60" borderId="123" xfId="0" applyFill="1" applyBorder="1" applyAlignment="1">
      <alignment horizontal="center" vertical="center"/>
    </xf>
    <xf numFmtId="0" fontId="0" fillId="60" borderId="264" xfId="0" applyFill="1" applyBorder="1" applyAlignment="1">
      <alignment horizontal="center" vertical="center"/>
    </xf>
    <xf numFmtId="0" fontId="0" fillId="60" borderId="371" xfId="0" applyFill="1" applyBorder="1" applyAlignment="1">
      <alignment horizontal="center" vertical="justify"/>
    </xf>
    <xf numFmtId="0" fontId="0" fillId="69" borderId="170" xfId="0" applyFill="1" applyBorder="1" applyAlignment="1">
      <alignment horizontal="center" vertical="center"/>
    </xf>
    <xf numFmtId="0" fontId="0" fillId="60" borderId="372" xfId="0" applyFill="1" applyBorder="1" applyAlignment="1">
      <alignment horizontal="center" vertical="justify"/>
    </xf>
    <xf numFmtId="0" fontId="0" fillId="58" borderId="123" xfId="0" applyFill="1" applyBorder="1" applyAlignment="1">
      <alignment horizontal="center" vertical="center"/>
    </xf>
    <xf numFmtId="0" fontId="0" fillId="68" borderId="20" xfId="0" applyFill="1" applyBorder="1" applyAlignment="1">
      <alignment horizontal="center"/>
    </xf>
    <xf numFmtId="0" fontId="0" fillId="58" borderId="21" xfId="0" applyFill="1" applyBorder="1" applyAlignment="1">
      <alignment horizontal="center"/>
    </xf>
    <xf numFmtId="0" fontId="0" fillId="59" borderId="33" xfId="0" applyFill="1" applyBorder="1" applyAlignment="1">
      <alignment horizontal="distributed" vertical="center" indent="12"/>
    </xf>
    <xf numFmtId="0" fontId="0" fillId="58" borderId="33" xfId="0" applyFill="1" applyBorder="1" applyAlignment="1">
      <alignment horizontal="distributed" vertical="center"/>
    </xf>
    <xf numFmtId="0" fontId="0" fillId="60" borderId="174" xfId="0" applyFill="1" applyBorder="1" applyAlignment="1">
      <alignment horizontal="center" vertical="distributed"/>
    </xf>
    <xf numFmtId="0" fontId="0" fillId="58" borderId="282" xfId="0" applyFill="1" applyBorder="1" applyAlignment="1">
      <alignment horizontal="distributed" vertical="center"/>
    </xf>
    <xf numFmtId="0" fontId="0" fillId="60" borderId="373" xfId="0" applyFill="1" applyBorder="1" applyAlignment="1">
      <alignment horizontal="center" vertical="center"/>
    </xf>
    <xf numFmtId="0" fontId="16" fillId="58" borderId="42" xfId="0" applyFont="1" applyFill="1" applyBorder="1" applyAlignment="1">
      <alignment horizontal="center" vertical="top" shrinkToFit="1"/>
    </xf>
    <xf numFmtId="0" fontId="0" fillId="58" borderId="374" xfId="0" applyFill="1" applyBorder="1" applyAlignment="1">
      <alignment horizontal="center" vertical="distributed"/>
    </xf>
    <xf numFmtId="0" fontId="64" fillId="67" borderId="243" xfId="0" applyFont="1" applyFill="1" applyBorder="1" applyAlignment="1">
      <alignment horizontal="center" vertical="center"/>
    </xf>
    <xf numFmtId="0" fontId="67" fillId="67" borderId="243" xfId="0" applyFont="1" applyFill="1" applyBorder="1" applyAlignment="1">
      <alignment horizontal="center" vertical="top"/>
    </xf>
    <xf numFmtId="0" fontId="16" fillId="58" borderId="42" xfId="0" applyFont="1" applyFill="1" applyBorder="1" applyAlignment="1">
      <alignment horizontal="center" vertical="justify" shrinkToFit="1"/>
    </xf>
    <xf numFmtId="0" fontId="0" fillId="58" borderId="81" xfId="0" applyFill="1" applyBorder="1" applyAlignment="1">
      <alignment horizontal="center" vertical="center"/>
    </xf>
    <xf numFmtId="0" fontId="0" fillId="59" borderId="33" xfId="0" applyFill="1" applyBorder="1" applyAlignment="1">
      <alignment horizontal="distributed"/>
    </xf>
    <xf numFmtId="0" fontId="0" fillId="59" borderId="33" xfId="0" applyFill="1" applyBorder="1" applyAlignment="1">
      <alignment horizontal="distributed" vertical="center"/>
    </xf>
    <xf numFmtId="0" fontId="0" fillId="63" borderId="34" xfId="0" applyFill="1" applyBorder="1" applyAlignment="1">
      <alignment horizontal="center" vertical="center"/>
    </xf>
    <xf numFmtId="0" fontId="0" fillId="67" borderId="155" xfId="0" applyFill="1" applyBorder="1" applyAlignment="1">
      <alignment horizontal="center" vertical="top"/>
    </xf>
    <xf numFmtId="0" fontId="0" fillId="67" borderId="155" xfId="0" applyFill="1" applyBorder="1" applyAlignment="1">
      <alignment horizontal="center"/>
    </xf>
    <xf numFmtId="0" fontId="0" fillId="68" borderId="155" xfId="0" applyFill="1" applyBorder="1" applyAlignment="1">
      <alignment horizontal="center" vertical="top"/>
    </xf>
    <xf numFmtId="0" fontId="0" fillId="62" borderId="31" xfId="0" applyFill="1" applyBorder="1" applyAlignment="1">
      <alignment horizontal="center" vertical="top"/>
    </xf>
    <xf numFmtId="0" fontId="11" fillId="60" borderId="34" xfId="0" applyFont="1" applyFill="1" applyBorder="1" applyAlignment="1">
      <alignment horizontal="right" vertical="top" indent="2"/>
    </xf>
    <xf numFmtId="0" fontId="21" fillId="69" borderId="0" xfId="0" applyFont="1" applyFill="1" applyBorder="1" applyAlignment="1">
      <alignment horizontal="right" vertical="distributed" indent="7"/>
    </xf>
    <xf numFmtId="0" fontId="21" fillId="60" borderId="0" xfId="0" applyFont="1" applyFill="1" applyBorder="1" applyAlignment="1">
      <alignment horizontal="right" vertical="center" indent="7"/>
    </xf>
    <xf numFmtId="0" fontId="9" fillId="69" borderId="0" xfId="0" applyFont="1" applyFill="1" applyBorder="1" applyAlignment="1">
      <alignment horizontal="center" vertical="center"/>
    </xf>
    <xf numFmtId="0" fontId="9" fillId="69" borderId="0" xfId="0" applyFont="1" applyFill="1" applyBorder="1" applyAlignment="1">
      <alignment horizontal="right" vertical="center" indent="7"/>
    </xf>
    <xf numFmtId="0" fontId="11" fillId="69" borderId="0" xfId="0" applyFont="1" applyFill="1" applyBorder="1" applyAlignment="1">
      <alignment horizontal="center" vertical="center"/>
    </xf>
    <xf numFmtId="0" fontId="0" fillId="74" borderId="37" xfId="0" applyFill="1" applyBorder="1" applyAlignment="1">
      <alignment horizontal="center" vertical="center"/>
    </xf>
    <xf numFmtId="0" fontId="2" fillId="59" borderId="0" xfId="0" applyFont="1" applyFill="1" applyBorder="1" applyAlignment="1">
      <alignment horizontal="center" vertical="distributed"/>
    </xf>
    <xf numFmtId="0" fontId="0" fillId="67" borderId="155" xfId="0" applyFill="1" applyBorder="1" applyAlignment="1">
      <alignment horizontal="center" vertical="center"/>
    </xf>
    <xf numFmtId="0" fontId="0" fillId="58" borderId="0" xfId="0" applyFill="1" applyAlignment="1">
      <alignment vertical="justify"/>
    </xf>
    <xf numFmtId="0" fontId="0" fillId="58" borderId="0" xfId="0" applyFill="1" applyAlignment="1">
      <alignment vertical="center"/>
    </xf>
    <xf numFmtId="0" fontId="0" fillId="58" borderId="0" xfId="0" applyFill="1" applyAlignment="1"/>
    <xf numFmtId="0" fontId="0" fillId="58" borderId="0" xfId="0" applyFill="1" applyAlignment="1">
      <alignment horizontal="center" vertical="center"/>
    </xf>
    <xf numFmtId="0" fontId="64" fillId="65" borderId="75" xfId="0" applyFont="1" applyFill="1" applyBorder="1" applyAlignment="1">
      <alignment horizontal="center"/>
    </xf>
    <xf numFmtId="0" fontId="64" fillId="65" borderId="375" xfId="0" applyFont="1" applyFill="1" applyBorder="1" applyAlignment="1">
      <alignment horizontal="center"/>
    </xf>
    <xf numFmtId="0" fontId="0" fillId="69" borderId="136" xfId="0" applyFont="1" applyFill="1" applyBorder="1" applyAlignment="1">
      <alignment horizontal="center" vertical="distributed"/>
    </xf>
    <xf numFmtId="0" fontId="0" fillId="69" borderId="133" xfId="0" applyFont="1" applyFill="1" applyBorder="1" applyAlignment="1">
      <alignment horizontal="center" vertical="distributed"/>
    </xf>
    <xf numFmtId="0" fontId="0" fillId="62" borderId="94" xfId="0" applyFont="1" applyFill="1" applyBorder="1" applyAlignment="1">
      <alignment horizontal="center" vertical="distributed"/>
    </xf>
    <xf numFmtId="0" fontId="0" fillId="62" borderId="90" xfId="0" applyFont="1" applyFill="1" applyBorder="1" applyAlignment="1">
      <alignment horizontal="center" vertical="distributed"/>
    </xf>
    <xf numFmtId="0" fontId="0" fillId="60" borderId="31" xfId="0" applyFont="1" applyFill="1" applyBorder="1" applyAlignment="1">
      <alignment horizontal="center" vertical="justify"/>
    </xf>
    <xf numFmtId="0" fontId="0" fillId="60" borderId="248" xfId="0" applyFont="1" applyFill="1" applyBorder="1" applyAlignment="1">
      <alignment horizontal="center" vertical="center"/>
    </xf>
    <xf numFmtId="0" fontId="0" fillId="62" borderId="94" xfId="0" applyFont="1" applyFill="1" applyBorder="1" applyAlignment="1">
      <alignment horizontal="center" vertical="justify"/>
    </xf>
    <xf numFmtId="0" fontId="0" fillId="59" borderId="0" xfId="0" applyFont="1" applyFill="1" applyBorder="1" applyAlignment="1">
      <alignment horizontal="center" vertical="justify"/>
    </xf>
    <xf numFmtId="0" fontId="0" fillId="59" borderId="0" xfId="0" applyFont="1" applyFill="1" applyBorder="1" applyAlignment="1">
      <alignment horizontal="center" vertical="center"/>
    </xf>
    <xf numFmtId="0" fontId="0" fillId="62" borderId="94" xfId="0" applyFont="1" applyFill="1" applyBorder="1" applyAlignment="1">
      <alignment horizontal="distributed" vertical="distributed" indent="4"/>
    </xf>
    <xf numFmtId="0" fontId="0" fillId="72" borderId="134" xfId="0" applyFont="1" applyFill="1" applyBorder="1" applyAlignment="1">
      <alignment horizontal="center" vertical="center"/>
    </xf>
    <xf numFmtId="0" fontId="64" fillId="65" borderId="86" xfId="0" applyFont="1" applyFill="1" applyBorder="1" applyAlignment="1">
      <alignment horizontal="center" vertical="center"/>
    </xf>
    <xf numFmtId="0" fontId="0" fillId="60" borderId="25" xfId="0" applyFont="1" applyFill="1" applyBorder="1" applyAlignment="1">
      <alignment horizontal="center" vertical="justify"/>
    </xf>
    <xf numFmtId="0" fontId="67" fillId="67" borderId="0" xfId="0" applyFont="1" applyFill="1" applyBorder="1" applyAlignment="1">
      <alignment horizontal="distributed" vertical="center" indent="3"/>
    </xf>
    <xf numFmtId="0" fontId="2" fillId="59" borderId="0" xfId="0" applyFont="1" applyFill="1" applyBorder="1" applyAlignment="1">
      <alignment horizontal="center" vertical="center"/>
    </xf>
    <xf numFmtId="0" fontId="10" fillId="67" borderId="155" xfId="0" applyFont="1" applyFill="1" applyBorder="1" applyAlignment="1">
      <alignment horizontal="center" vertical="justify"/>
    </xf>
    <xf numFmtId="0" fontId="64" fillId="65" borderId="86" xfId="0" applyFont="1" applyFill="1" applyBorder="1" applyAlignment="1">
      <alignment horizontal="center" vertical="top" wrapText="1"/>
    </xf>
    <xf numFmtId="0" fontId="64" fillId="65" borderId="86" xfId="0" applyFont="1" applyFill="1" applyBorder="1" applyAlignment="1">
      <alignment horizontal="center" wrapText="1"/>
    </xf>
    <xf numFmtId="0" fontId="0" fillId="67" borderId="155" xfId="0" applyFill="1" applyBorder="1" applyAlignment="1">
      <alignment horizontal="center" vertical="top" wrapText="1"/>
    </xf>
    <xf numFmtId="0" fontId="0" fillId="67" borderId="155" xfId="0" applyFill="1" applyBorder="1" applyAlignment="1">
      <alignment horizontal="center" wrapText="1"/>
    </xf>
    <xf numFmtId="0" fontId="0" fillId="67" borderId="134" xfId="0" applyFont="1" applyFill="1" applyBorder="1" applyAlignment="1">
      <alignment horizontal="center" vertical="center"/>
    </xf>
    <xf numFmtId="0" fontId="0" fillId="67" borderId="50" xfId="0" applyFont="1" applyFill="1" applyBorder="1" applyAlignment="1">
      <alignment horizontal="center" vertical="center"/>
    </xf>
    <xf numFmtId="0" fontId="0" fillId="67" borderId="212" xfId="0" applyFont="1" applyFill="1" applyBorder="1" applyAlignment="1">
      <alignment horizontal="center" vertical="center"/>
    </xf>
    <xf numFmtId="0" fontId="0" fillId="59" borderId="19" xfId="0" applyFill="1" applyBorder="1" applyAlignment="1">
      <alignment horizontal="center"/>
    </xf>
    <xf numFmtId="0" fontId="0" fillId="62" borderId="119" xfId="0" applyFill="1" applyBorder="1" applyAlignment="1">
      <alignment horizontal="center" vertical="top"/>
    </xf>
    <xf numFmtId="0" fontId="0" fillId="62" borderId="119" xfId="0" applyFill="1" applyBorder="1" applyAlignment="1">
      <alignment horizontal="center"/>
    </xf>
    <xf numFmtId="0" fontId="64" fillId="62" borderId="120" xfId="0" applyFont="1" applyFill="1" applyBorder="1" applyAlignment="1">
      <alignment horizontal="center" vertical="center"/>
    </xf>
    <xf numFmtId="0" fontId="0" fillId="59" borderId="35" xfId="0" applyFill="1" applyBorder="1" applyAlignment="1">
      <alignment horizontal="center"/>
    </xf>
    <xf numFmtId="0" fontId="0" fillId="59" borderId="34" xfId="0" applyFill="1" applyBorder="1" applyAlignment="1">
      <alignment horizontal="center"/>
    </xf>
    <xf numFmtId="0" fontId="2" fillId="59" borderId="24" xfId="0" applyFont="1" applyFill="1" applyBorder="1" applyAlignment="1">
      <alignment horizontal="center" vertical="distributed"/>
    </xf>
    <xf numFmtId="0" fontId="2" fillId="59" borderId="376" xfId="0" applyFont="1" applyFill="1" applyBorder="1" applyAlignment="1">
      <alignment horizontal="center" vertical="distributed"/>
    </xf>
    <xf numFmtId="0" fontId="56" fillId="60" borderId="25" xfId="0" applyFont="1" applyFill="1" applyBorder="1" applyAlignment="1">
      <alignment horizontal="center" vertical="justify"/>
    </xf>
    <xf numFmtId="0" fontId="56" fillId="69" borderId="25" xfId="0" applyFont="1" applyFill="1" applyBorder="1" applyAlignment="1">
      <alignment horizontal="center" vertical="top"/>
    </xf>
    <xf numFmtId="0" fontId="0" fillId="60" borderId="49" xfId="0" applyFont="1" applyFill="1" applyBorder="1" applyAlignment="1">
      <alignment horizontal="center" vertical="distributed"/>
    </xf>
    <xf numFmtId="0" fontId="0" fillId="60" borderId="49" xfId="0" applyFont="1" applyFill="1" applyBorder="1" applyAlignment="1">
      <alignment horizontal="center" vertical="top"/>
    </xf>
    <xf numFmtId="0" fontId="10" fillId="69" borderId="0" xfId="0" applyFont="1" applyFill="1" applyBorder="1" applyAlignment="1">
      <alignment horizontal="right" vertical="top" indent="5"/>
    </xf>
    <xf numFmtId="0" fontId="51" fillId="64" borderId="0" xfId="0" applyFont="1" applyFill="1" applyBorder="1" applyAlignment="1">
      <alignment horizontal="center" vertical="center"/>
    </xf>
    <xf numFmtId="0" fontId="51" fillId="59" borderId="0" xfId="0" applyFont="1" applyFill="1" applyBorder="1" applyAlignment="1">
      <alignment horizontal="center"/>
    </xf>
    <xf numFmtId="0" fontId="51" fillId="62" borderId="94" xfId="0" applyFont="1" applyFill="1" applyBorder="1" applyAlignment="1">
      <alignment horizontal="center" vertical="distributed"/>
    </xf>
    <xf numFmtId="0" fontId="51" fillId="62" borderId="90" xfId="0" applyFont="1" applyFill="1" applyBorder="1" applyAlignment="1">
      <alignment horizontal="center" vertical="distributed"/>
    </xf>
    <xf numFmtId="0" fontId="0" fillId="69" borderId="299" xfId="0" applyFill="1" applyBorder="1" applyAlignment="1">
      <alignment horizontal="center" vertical="top"/>
    </xf>
    <xf numFmtId="0" fontId="0" fillId="67" borderId="31" xfId="0" applyFill="1" applyBorder="1" applyAlignment="1">
      <alignment horizontal="center" vertical="center"/>
    </xf>
    <xf numFmtId="0" fontId="0" fillId="67" borderId="31" xfId="0" applyFill="1" applyBorder="1" applyAlignment="1">
      <alignment horizontal="center" vertical="top"/>
    </xf>
    <xf numFmtId="0" fontId="0" fillId="67" borderId="377" xfId="0" applyFill="1" applyBorder="1" applyAlignment="1">
      <alignment horizontal="center" vertical="center" shrinkToFit="1"/>
    </xf>
    <xf numFmtId="0" fontId="0" fillId="60" borderId="378" xfId="0" applyFill="1" applyBorder="1" applyAlignment="1">
      <alignment horizontal="center" vertical="center" shrinkToFit="1"/>
    </xf>
    <xf numFmtId="0" fontId="0" fillId="67" borderId="31" xfId="0" applyFill="1" applyBorder="1" applyAlignment="1">
      <alignment horizontal="center" vertical="justify"/>
    </xf>
    <xf numFmtId="0" fontId="0" fillId="67" borderId="31" xfId="0" applyFill="1" applyBorder="1" applyAlignment="1">
      <alignment horizontal="center" vertical="distributed"/>
    </xf>
    <xf numFmtId="0" fontId="0" fillId="67" borderId="0" xfId="0" applyFill="1" applyBorder="1" applyAlignment="1">
      <alignment horizontal="distributed" vertical="top" indent="3"/>
    </xf>
    <xf numFmtId="0" fontId="0" fillId="67" borderId="37" xfId="0" applyFont="1" applyFill="1" applyBorder="1" applyAlignment="1">
      <alignment horizontal="center" vertical="center"/>
    </xf>
    <xf numFmtId="0" fontId="67" fillId="67" borderId="0" xfId="0" applyFont="1" applyFill="1" applyBorder="1" applyAlignment="1">
      <alignment horizontal="distributed" vertical="justify" indent="2"/>
    </xf>
    <xf numFmtId="0" fontId="0" fillId="67" borderId="379" xfId="0" applyFill="1" applyBorder="1" applyAlignment="1">
      <alignment horizontal="center" shrinkToFit="1"/>
    </xf>
    <xf numFmtId="0" fontId="37" fillId="60" borderId="37" xfId="0" applyFont="1" applyFill="1" applyBorder="1" applyAlignment="1">
      <alignment horizontal="center" vertical="center"/>
    </xf>
    <xf numFmtId="0" fontId="67" fillId="67" borderId="0" xfId="0" applyFont="1" applyFill="1" applyBorder="1" applyAlignment="1">
      <alignment horizontal="center" vertical="distributed"/>
    </xf>
    <xf numFmtId="0" fontId="0" fillId="67" borderId="31" xfId="0" applyFill="1" applyBorder="1" applyAlignment="1">
      <alignment horizontal="center"/>
    </xf>
    <xf numFmtId="0" fontId="69" fillId="67" borderId="37" xfId="0" applyFont="1" applyFill="1" applyBorder="1" applyAlignment="1">
      <alignment horizontal="right" vertical="center" indent="5"/>
    </xf>
    <xf numFmtId="0" fontId="74" fillId="67" borderId="0" xfId="0" applyFont="1" applyFill="1" applyBorder="1" applyAlignment="1">
      <alignment horizontal="center" vertical="center"/>
    </xf>
    <xf numFmtId="0" fontId="49" fillId="60" borderId="37" xfId="0" applyFont="1" applyFill="1" applyBorder="1" applyAlignment="1">
      <alignment horizontal="center" vertical="center"/>
    </xf>
    <xf numFmtId="0" fontId="16" fillId="60" borderId="42" xfId="0" applyFont="1" applyFill="1" applyBorder="1" applyAlignment="1">
      <alignment horizontal="center" vertical="center" shrinkToFit="1"/>
    </xf>
    <xf numFmtId="0" fontId="16" fillId="60" borderId="377" xfId="0" applyFont="1" applyFill="1" applyBorder="1" applyAlignment="1">
      <alignment horizontal="center" vertical="center" shrinkToFit="1"/>
    </xf>
    <xf numFmtId="0" fontId="0" fillId="60" borderId="94" xfId="0" applyFont="1" applyFill="1" applyBorder="1" applyAlignment="1">
      <alignment horizontal="center" vertical="distributed"/>
    </xf>
    <xf numFmtId="0" fontId="16" fillId="60" borderId="204" xfId="0" applyFont="1" applyFill="1" applyBorder="1" applyAlignment="1">
      <alignment horizontal="center" vertical="justify" shrinkToFit="1"/>
    </xf>
    <xf numFmtId="0" fontId="16" fillId="60" borderId="203" xfId="0" applyFont="1" applyFill="1" applyBorder="1" applyAlignment="1">
      <alignment horizontal="center" vertical="justify" shrinkToFit="1"/>
    </xf>
    <xf numFmtId="0" fontId="16" fillId="60" borderId="377" xfId="0" applyFont="1" applyFill="1" applyBorder="1" applyAlignment="1">
      <alignment horizontal="center" shrinkToFit="1"/>
    </xf>
    <xf numFmtId="0" fontId="49" fillId="60" borderId="37" xfId="0" applyFont="1" applyFill="1" applyBorder="1" applyAlignment="1">
      <alignment horizontal="right" vertical="center" indent="7"/>
    </xf>
    <xf numFmtId="0" fontId="0" fillId="60" borderId="94" xfId="0" applyFont="1" applyFill="1" applyBorder="1" applyAlignment="1">
      <alignment horizontal="distributed" vertical="distributed" indent="4"/>
    </xf>
    <xf numFmtId="0" fontId="0" fillId="60" borderId="31" xfId="0" applyFont="1" applyFill="1" applyBorder="1" applyAlignment="1">
      <alignment horizontal="center" vertical="distributed"/>
    </xf>
    <xf numFmtId="0" fontId="0" fillId="58" borderId="82" xfId="0" applyFont="1" applyFill="1" applyBorder="1" applyAlignment="1">
      <alignment horizontal="distributed" vertical="center" indent="11"/>
    </xf>
    <xf numFmtId="0" fontId="16" fillId="60" borderId="42" xfId="0" applyFont="1" applyFill="1" applyBorder="1" applyAlignment="1">
      <alignment horizontal="distributed" vertical="justify" indent="2" shrinkToFit="1"/>
    </xf>
    <xf numFmtId="0" fontId="0" fillId="64" borderId="31" xfId="0" applyFill="1" applyBorder="1" applyAlignment="1">
      <alignment horizontal="center" vertical="center"/>
    </xf>
    <xf numFmtId="0" fontId="16" fillId="60" borderId="377" xfId="0" applyFont="1" applyFill="1" applyBorder="1" applyAlignment="1">
      <alignment horizontal="center" vertical="justify" shrinkToFit="1"/>
    </xf>
    <xf numFmtId="0" fontId="16" fillId="60" borderId="42" xfId="0" applyFont="1" applyFill="1" applyBorder="1" applyAlignment="1">
      <alignment horizontal="center" vertical="distributed" shrinkToFit="1"/>
    </xf>
    <xf numFmtId="0" fontId="0" fillId="60" borderId="245" xfId="0" applyFont="1" applyFill="1" applyBorder="1" applyAlignment="1">
      <alignment horizontal="distributed" vertical="distributed" indent="4"/>
    </xf>
    <xf numFmtId="0" fontId="0" fillId="60" borderId="245" xfId="0" applyFont="1" applyFill="1" applyBorder="1" applyAlignment="1">
      <alignment horizontal="center" vertical="distributed"/>
    </xf>
    <xf numFmtId="0" fontId="0" fillId="58" borderId="31" xfId="0" applyFill="1" applyBorder="1" applyAlignment="1">
      <alignment horizontal="right" vertical="top" indent="2"/>
    </xf>
    <xf numFmtId="0" fontId="0" fillId="58" borderId="31" xfId="0" applyFont="1" applyFill="1" applyBorder="1" applyAlignment="1">
      <alignment horizontal="distributed" vertical="center" indent="9"/>
    </xf>
    <xf numFmtId="0" fontId="0" fillId="58" borderId="31" xfId="0" applyFill="1" applyBorder="1" applyAlignment="1">
      <alignment horizontal="right" indent="1"/>
    </xf>
    <xf numFmtId="0" fontId="11" fillId="64" borderId="31" xfId="0" applyFont="1" applyFill="1" applyBorder="1" applyAlignment="1">
      <alignment horizontal="center" vertical="center"/>
    </xf>
    <xf numFmtId="0" fontId="11" fillId="69" borderId="37" xfId="0" applyFont="1" applyFill="1" applyBorder="1" applyAlignment="1">
      <alignment horizontal="right" vertical="center" indent="2"/>
    </xf>
    <xf numFmtId="0" fontId="16" fillId="60" borderId="203" xfId="0" applyFont="1" applyFill="1" applyBorder="1" applyAlignment="1">
      <alignment horizontal="center" vertical="distributed" shrinkToFit="1"/>
    </xf>
    <xf numFmtId="0" fontId="16" fillId="60" borderId="42" xfId="0" applyFont="1" applyFill="1" applyBorder="1" applyAlignment="1">
      <alignment horizontal="distributed" vertical="distributed" indent="2" shrinkToFit="1"/>
    </xf>
    <xf numFmtId="0" fontId="0" fillId="58" borderId="82" xfId="0" applyFill="1" applyBorder="1" applyAlignment="1">
      <alignment horizontal="center" vertical="center"/>
    </xf>
    <xf numFmtId="0" fontId="113" fillId="60" borderId="42" xfId="0" applyFont="1" applyFill="1" applyBorder="1" applyAlignment="1">
      <alignment horizontal="distributed" vertical="center" indent="7" shrinkToFit="1"/>
    </xf>
    <xf numFmtId="0" fontId="0" fillId="64" borderId="105" xfId="0" applyFill="1" applyBorder="1" applyAlignment="1">
      <alignment horizontal="left" vertical="top" indent="1"/>
    </xf>
    <xf numFmtId="0" fontId="0" fillId="67" borderId="377" xfId="0" applyFill="1" applyBorder="1" applyAlignment="1">
      <alignment horizontal="center" vertical="justify" shrinkToFit="1"/>
    </xf>
    <xf numFmtId="0" fontId="0" fillId="67" borderId="42" xfId="0" applyFill="1" applyBorder="1" applyAlignment="1">
      <alignment horizontal="center" shrinkToFit="1"/>
    </xf>
    <xf numFmtId="0" fontId="0" fillId="67" borderId="377" xfId="0" applyFill="1" applyBorder="1" applyAlignment="1">
      <alignment horizontal="center" shrinkToFit="1"/>
    </xf>
    <xf numFmtId="0" fontId="0" fillId="67" borderId="42" xfId="0" applyFill="1" applyBorder="1" applyAlignment="1">
      <alignment horizontal="center" vertical="top" shrinkToFit="1"/>
    </xf>
    <xf numFmtId="0" fontId="49" fillId="58" borderId="31" xfId="0" applyFont="1" applyFill="1" applyBorder="1" applyAlignment="1">
      <alignment horizontal="center" vertical="distributed"/>
    </xf>
    <xf numFmtId="0" fontId="16" fillId="60" borderId="42" xfId="0" applyFont="1" applyFill="1" applyBorder="1" applyAlignment="1">
      <alignment horizontal="distributed" vertical="center" indent="1" shrinkToFit="1"/>
    </xf>
    <xf numFmtId="0" fontId="11" fillId="62" borderId="25" xfId="0" applyFont="1" applyFill="1" applyBorder="1"/>
    <xf numFmtId="0" fontId="0" fillId="59" borderId="154" xfId="0" applyFill="1" applyBorder="1" applyAlignment="1">
      <alignment horizontal="center" vertical="center"/>
    </xf>
    <xf numFmtId="0" fontId="0" fillId="59" borderId="380" xfId="0" applyFill="1" applyBorder="1" applyAlignment="1">
      <alignment horizontal="center" vertical="center"/>
    </xf>
    <xf numFmtId="0" fontId="67" fillId="67" borderId="39" xfId="0" applyFont="1" applyFill="1" applyBorder="1" applyAlignment="1">
      <alignment horizontal="right" vertical="justify" indent="2"/>
    </xf>
    <xf numFmtId="0" fontId="64" fillId="67" borderId="39" xfId="0" applyFont="1" applyFill="1" applyBorder="1" applyAlignment="1">
      <alignment horizontal="center" vertical="center"/>
    </xf>
    <xf numFmtId="0" fontId="0" fillId="68" borderId="106" xfId="0" applyFill="1" applyBorder="1" applyAlignment="1">
      <alignment horizontal="center" vertical="center"/>
    </xf>
    <xf numFmtId="0" fontId="0" fillId="58" borderId="123" xfId="0" applyFill="1" applyBorder="1" applyAlignment="1">
      <alignment horizontal="center"/>
    </xf>
    <xf numFmtId="0" fontId="0" fillId="58" borderId="381" xfId="0" applyFill="1" applyBorder="1" applyAlignment="1">
      <alignment horizontal="center" vertical="center"/>
    </xf>
    <xf numFmtId="0" fontId="0" fillId="58" borderId="81" xfId="0" applyFill="1" applyBorder="1" applyAlignment="1">
      <alignment horizontal="center"/>
    </xf>
    <xf numFmtId="0" fontId="64" fillId="68" borderId="34" xfId="0" applyFont="1" applyFill="1" applyBorder="1" applyAlignment="1">
      <alignment horizontal="center" vertical="center"/>
    </xf>
    <xf numFmtId="0" fontId="64" fillId="67" borderId="47" xfId="0" applyFont="1" applyFill="1" applyBorder="1" applyAlignment="1">
      <alignment horizontal="center" vertical="center"/>
    </xf>
    <xf numFmtId="0" fontId="64" fillId="67" borderId="33" xfId="0" applyFont="1" applyFill="1" applyBorder="1" applyAlignment="1">
      <alignment horizontal="center" vertical="center"/>
    </xf>
    <xf numFmtId="0" fontId="9" fillId="68" borderId="31" xfId="0" applyFont="1" applyFill="1" applyBorder="1" applyAlignment="1">
      <alignment horizontal="right" indent="5"/>
    </xf>
    <xf numFmtId="0" fontId="0" fillId="67" borderId="47" xfId="0" applyFont="1" applyFill="1" applyBorder="1" applyAlignment="1">
      <alignment horizontal="center" vertical="distributed"/>
    </xf>
    <xf numFmtId="0" fontId="9" fillId="67" borderId="62" xfId="0" applyFont="1" applyFill="1" applyBorder="1" applyAlignment="1">
      <alignment horizontal="right" vertical="center" indent="4"/>
    </xf>
    <xf numFmtId="0" fontId="23" fillId="60" borderId="25" xfId="0" applyFont="1" applyFill="1" applyBorder="1" applyAlignment="1">
      <alignment horizontal="center" vertical="top"/>
    </xf>
    <xf numFmtId="0" fontId="23" fillId="60" borderId="25" xfId="0" applyFont="1" applyFill="1" applyBorder="1" applyAlignment="1">
      <alignment horizontal="center" vertical="justify"/>
    </xf>
    <xf numFmtId="0" fontId="68" fillId="67" borderId="39" xfId="0" applyFont="1" applyFill="1" applyBorder="1" applyAlignment="1">
      <alignment horizontal="center" vertical="center"/>
    </xf>
    <xf numFmtId="0" fontId="92" fillId="67" borderId="39" xfId="0" applyFont="1" applyFill="1" applyBorder="1" applyAlignment="1">
      <alignment horizontal="center" vertical="center"/>
    </xf>
    <xf numFmtId="0" fontId="64" fillId="67" borderId="39" xfId="0" applyFont="1" applyFill="1" applyBorder="1" applyAlignment="1">
      <alignment horizontal="center" vertical="distributed"/>
    </xf>
    <xf numFmtId="0" fontId="81" fillId="67" borderId="39" xfId="0" applyFont="1" applyFill="1" applyBorder="1" applyAlignment="1">
      <alignment horizontal="right" vertical="justify" indent="2"/>
    </xf>
    <xf numFmtId="0" fontId="0" fillId="67" borderId="39" xfId="0" applyFill="1" applyBorder="1" applyAlignment="1">
      <alignment horizontal="center"/>
    </xf>
    <xf numFmtId="0" fontId="0" fillId="60" borderId="25" xfId="0" applyFill="1" applyBorder="1" applyAlignment="1">
      <alignment horizontal="distributed" vertical="center"/>
    </xf>
    <xf numFmtId="0" fontId="0" fillId="68" borderId="118" xfId="0" applyFill="1" applyBorder="1" applyAlignment="1">
      <alignment horizontal="right" vertical="distributed" indent="4"/>
    </xf>
    <xf numFmtId="0" fontId="0" fillId="68" borderId="118" xfId="0" applyFill="1" applyBorder="1" applyAlignment="1">
      <alignment horizontal="right" vertical="justify" indent="4"/>
    </xf>
    <xf numFmtId="0" fontId="101" fillId="58" borderId="0" xfId="0" applyFont="1" applyFill="1" applyBorder="1" applyAlignment="1">
      <alignment horizontal="right" vertical="top" indent="3"/>
    </xf>
    <xf numFmtId="0" fontId="0" fillId="58" borderId="26" xfId="0" applyFill="1" applyBorder="1" applyAlignment="1">
      <alignment horizontal="center"/>
    </xf>
    <xf numFmtId="0" fontId="10" fillId="58" borderId="382" xfId="0" applyFont="1" applyFill="1" applyBorder="1" applyAlignment="1">
      <alignment horizontal="center" vertical="center"/>
    </xf>
    <xf numFmtId="0" fontId="23" fillId="58" borderId="21" xfId="0" applyFont="1" applyFill="1" applyBorder="1" applyAlignment="1">
      <alignment horizontal="center" vertical="justify"/>
    </xf>
    <xf numFmtId="0" fontId="23" fillId="58" borderId="383" xfId="0" applyFont="1" applyFill="1" applyBorder="1" applyAlignment="1">
      <alignment horizontal="center" vertical="distributed"/>
    </xf>
    <xf numFmtId="0" fontId="10" fillId="60" borderId="243" xfId="0" applyFont="1" applyFill="1" applyBorder="1" applyAlignment="1">
      <alignment horizontal="right" vertical="justify" indent="1"/>
    </xf>
    <xf numFmtId="0" fontId="10" fillId="72" borderId="384" xfId="0" applyFont="1" applyFill="1" applyBorder="1" applyAlignment="1">
      <alignment horizontal="center" vertical="center" shrinkToFit="1"/>
    </xf>
    <xf numFmtId="0" fontId="0" fillId="69" borderId="41" xfId="0" applyFill="1" applyBorder="1" applyAlignment="1">
      <alignment horizontal="center" vertical="top"/>
    </xf>
    <xf numFmtId="0" fontId="20" fillId="60" borderId="0" xfId="0" applyFont="1" applyFill="1" applyBorder="1" applyAlignment="1">
      <alignment horizontal="center" vertical="top"/>
    </xf>
    <xf numFmtId="0" fontId="0" fillId="72" borderId="0" xfId="0" applyFill="1" applyBorder="1" applyAlignment="1">
      <alignment horizontal="center"/>
    </xf>
    <xf numFmtId="0" fontId="0" fillId="72" borderId="0" xfId="0" applyFill="1" applyBorder="1" applyAlignment="1">
      <alignment horizontal="center" vertical="top"/>
    </xf>
    <xf numFmtId="0" fontId="0" fillId="1" borderId="81" xfId="0" applyFill="1" applyBorder="1" applyAlignment="1">
      <alignment horizontal="center"/>
    </xf>
    <xf numFmtId="0" fontId="0" fillId="72" borderId="0" xfId="0" applyFill="1" applyBorder="1" applyAlignment="1">
      <alignment horizontal="center" vertical="justify"/>
    </xf>
    <xf numFmtId="0" fontId="20" fillId="58" borderId="34" xfId="0" applyFont="1" applyFill="1" applyBorder="1" applyAlignment="1">
      <alignment horizontal="center" vertical="justify"/>
    </xf>
    <xf numFmtId="0" fontId="20" fillId="58" borderId="0" xfId="0" applyFont="1" applyFill="1" applyBorder="1" applyAlignment="1">
      <alignment horizontal="center" vertical="distributed"/>
    </xf>
    <xf numFmtId="0" fontId="20" fillId="59" borderId="0" xfId="0" applyFont="1" applyFill="1" applyBorder="1" applyAlignment="1">
      <alignment horizontal="center" vertical="justify"/>
    </xf>
    <xf numFmtId="0" fontId="0" fillId="60" borderId="245" xfId="0" applyFont="1" applyFill="1" applyBorder="1" applyAlignment="1">
      <alignment horizontal="center" vertical="justify"/>
    </xf>
    <xf numFmtId="0" fontId="2" fillId="62" borderId="31" xfId="0" applyFont="1" applyFill="1" applyBorder="1" applyAlignment="1">
      <alignment horizontal="center" vertical="center"/>
    </xf>
    <xf numFmtId="0" fontId="51" fillId="59" borderId="0" xfId="0" applyFont="1" applyFill="1" applyBorder="1" applyAlignment="1">
      <alignment horizontal="center" vertical="justify"/>
    </xf>
    <xf numFmtId="0" fontId="51" fillId="59" borderId="0" xfId="0" applyFont="1" applyFill="1" applyBorder="1" applyAlignment="1">
      <alignment horizontal="center" vertical="distributed"/>
    </xf>
    <xf numFmtId="0" fontId="51" fillId="59" borderId="0" xfId="0" applyFont="1" applyFill="1" applyBorder="1" applyAlignment="1">
      <alignment horizontal="center" vertical="top"/>
    </xf>
    <xf numFmtId="0" fontId="0" fillId="67" borderId="39" xfId="0" applyFont="1" applyFill="1" applyBorder="1" applyAlignment="1">
      <alignment horizontal="center" vertical="distributed"/>
    </xf>
    <xf numFmtId="0" fontId="0" fillId="62" borderId="120" xfId="0" applyFill="1" applyBorder="1" applyAlignment="1">
      <alignment horizontal="distributed" vertical="center" indent="3"/>
    </xf>
    <xf numFmtId="0" fontId="52" fillId="67" borderId="39" xfId="0" applyFont="1" applyFill="1" applyBorder="1" applyAlignment="1">
      <alignment horizontal="center" vertical="top"/>
    </xf>
    <xf numFmtId="0" fontId="63" fillId="68" borderId="0" xfId="0" applyFont="1" applyFill="1" applyBorder="1" applyAlignment="1">
      <alignment horizontal="center" vertical="justify"/>
    </xf>
    <xf numFmtId="0" fontId="63" fillId="59" borderId="0" xfId="0" applyFont="1" applyFill="1" applyBorder="1" applyAlignment="1">
      <alignment horizontal="center" vertical="justify"/>
    </xf>
    <xf numFmtId="0" fontId="51" fillId="67" borderId="39" xfId="0" applyFont="1" applyFill="1" applyBorder="1" applyAlignment="1">
      <alignment horizontal="center" vertical="top"/>
    </xf>
    <xf numFmtId="0" fontId="0" fillId="67" borderId="39" xfId="0" applyFill="1" applyBorder="1" applyAlignment="1">
      <alignment horizontal="center" vertical="top"/>
    </xf>
    <xf numFmtId="0" fontId="0" fillId="60" borderId="63" xfId="0" applyFill="1" applyBorder="1" applyAlignment="1">
      <alignment horizontal="center" vertical="top"/>
    </xf>
    <xf numFmtId="0" fontId="0" fillId="62" borderId="54" xfId="0" applyFill="1" applyBorder="1" applyAlignment="1">
      <alignment vertical="center"/>
    </xf>
    <xf numFmtId="0" fontId="0" fillId="62" borderId="118" xfId="0" applyFill="1" applyBorder="1" applyAlignment="1">
      <alignment vertical="center"/>
    </xf>
    <xf numFmtId="0" fontId="0" fillId="62" borderId="105" xfId="0" applyFill="1" applyBorder="1" applyAlignment="1">
      <alignment vertical="center"/>
    </xf>
    <xf numFmtId="0" fontId="0" fillId="62" borderId="101" xfId="0" applyFill="1" applyBorder="1" applyAlignment="1">
      <alignment vertical="center"/>
    </xf>
    <xf numFmtId="0" fontId="0" fillId="62" borderId="31" xfId="0" applyFont="1" applyFill="1" applyBorder="1" applyAlignment="1">
      <alignment vertical="center"/>
    </xf>
    <xf numFmtId="0" fontId="0" fillId="72" borderId="86" xfId="0" applyFill="1" applyBorder="1" applyAlignment="1">
      <alignment horizontal="left" vertical="center" indent="8"/>
    </xf>
    <xf numFmtId="0" fontId="0" fillId="72" borderId="86" xfId="0" applyFill="1" applyBorder="1" applyAlignment="1">
      <alignment horizontal="right" vertical="center" indent="8"/>
    </xf>
    <xf numFmtId="0" fontId="0" fillId="72" borderId="86" xfId="0" applyFill="1" applyBorder="1" applyAlignment="1">
      <alignment horizontal="distributed" vertical="center" indent="8"/>
    </xf>
    <xf numFmtId="0" fontId="0" fillId="58" borderId="86" xfId="0" applyFill="1" applyBorder="1" applyAlignment="1">
      <alignment horizontal="left" vertical="center" indent="15"/>
    </xf>
    <xf numFmtId="0" fontId="0" fillId="58" borderId="86" xfId="0" applyFill="1" applyBorder="1" applyAlignment="1">
      <alignment horizontal="right" vertical="center" indent="8"/>
    </xf>
    <xf numFmtId="0" fontId="0" fillId="62" borderId="34" xfId="0" applyFill="1" applyBorder="1" applyAlignment="1">
      <alignment vertical="center"/>
    </xf>
    <xf numFmtId="0" fontId="0" fillId="72" borderId="52" xfId="0" applyFill="1" applyBorder="1" applyAlignment="1">
      <alignment horizontal="distributed" vertical="center" indent="14"/>
    </xf>
    <xf numFmtId="0" fontId="0" fillId="62" borderId="75" xfId="0" applyFill="1" applyBorder="1" applyAlignment="1">
      <alignment vertical="distributed"/>
    </xf>
    <xf numFmtId="0" fontId="0" fillId="62" borderId="385" xfId="0" applyFill="1" applyBorder="1" applyAlignment="1"/>
    <xf numFmtId="0" fontId="0" fillId="58" borderId="39" xfId="0" applyFill="1" applyBorder="1" applyAlignment="1">
      <alignment vertical="center"/>
    </xf>
    <xf numFmtId="0" fontId="16" fillId="58" borderId="195" xfId="0" applyFont="1" applyFill="1" applyBorder="1" applyAlignment="1">
      <alignment vertical="center" shrinkToFit="1"/>
    </xf>
    <xf numFmtId="0" fontId="16" fillId="58" borderId="196" xfId="0" applyFont="1" applyFill="1" applyBorder="1" applyAlignment="1">
      <alignment vertical="center" shrinkToFit="1"/>
    </xf>
    <xf numFmtId="0" fontId="0" fillId="59" borderId="191" xfId="0" applyFill="1" applyBorder="1" applyAlignment="1">
      <alignment horizontal="center" vertical="center"/>
    </xf>
    <xf numFmtId="0" fontId="12" fillId="59" borderId="0" xfId="0" applyFont="1" applyFill="1" applyBorder="1" applyAlignment="1">
      <alignment vertical="top"/>
    </xf>
    <xf numFmtId="0" fontId="12" fillId="59" borderId="0" xfId="0" applyFont="1" applyFill="1" applyBorder="1" applyAlignment="1"/>
    <xf numFmtId="0" fontId="0" fillId="59" borderId="19" xfId="0" applyFill="1" applyBorder="1" applyAlignment="1">
      <alignment horizontal="distributed" vertical="center" indent="1"/>
    </xf>
    <xf numFmtId="0" fontId="0" fillId="59" borderId="154" xfId="0" applyFill="1" applyBorder="1" applyAlignment="1">
      <alignment horizontal="distributed" vertical="center" indent="4"/>
    </xf>
    <xf numFmtId="0" fontId="0" fillId="59" borderId="386" xfId="0" applyFill="1" applyBorder="1" applyAlignment="1">
      <alignment horizontal="distributed" vertical="center" indent="1"/>
    </xf>
    <xf numFmtId="0" fontId="0" fillId="69" borderId="21" xfId="0" applyFill="1" applyBorder="1" applyAlignment="1">
      <alignment horizontal="left" vertical="justify" indent="15"/>
    </xf>
    <xf numFmtId="0" fontId="0" fillId="69" borderId="21" xfId="0" applyFill="1" applyBorder="1" applyAlignment="1">
      <alignment horizontal="left" vertical="distributed" indent="15"/>
    </xf>
    <xf numFmtId="0" fontId="0" fillId="69" borderId="21" xfId="0" applyFill="1" applyBorder="1" applyAlignment="1">
      <alignment horizontal="left" indent="15"/>
    </xf>
    <xf numFmtId="0" fontId="0" fillId="69" borderId="21" xfId="0" applyFill="1" applyBorder="1" applyAlignment="1">
      <alignment horizontal="left" vertical="top" indent="15"/>
    </xf>
    <xf numFmtId="0" fontId="76" fillId="64" borderId="0" xfId="0" applyFont="1" applyFill="1" applyBorder="1" applyAlignment="1">
      <alignment horizontal="center" vertical="distributed"/>
    </xf>
    <xf numFmtId="0" fontId="2" fillId="58" borderId="0" xfId="0" applyFont="1" applyFill="1" applyBorder="1" applyAlignment="1">
      <alignment horizontal="distributed" vertical="center" indent="3"/>
    </xf>
    <xf numFmtId="0" fontId="19" fillId="58" borderId="25" xfId="0" applyFont="1" applyFill="1" applyBorder="1" applyAlignment="1">
      <alignment horizontal="center" vertical="top"/>
    </xf>
    <xf numFmtId="0" fontId="12" fillId="60" borderId="25" xfId="0" applyFont="1" applyFill="1" applyBorder="1" applyAlignment="1">
      <alignment horizontal="center" vertical="top"/>
    </xf>
    <xf numFmtId="0" fontId="78" fillId="60" borderId="25" xfId="0" applyFont="1" applyFill="1" applyBorder="1" applyAlignment="1">
      <alignment horizontal="center" vertical="center"/>
    </xf>
    <xf numFmtId="0" fontId="114" fillId="58" borderId="39" xfId="0" applyFont="1" applyFill="1" applyBorder="1" applyAlignment="1">
      <alignment horizontal="right" vertical="top" indent="2"/>
    </xf>
    <xf numFmtId="0" fontId="115" fillId="58" borderId="39" xfId="0" applyFont="1" applyFill="1" applyBorder="1" applyAlignment="1">
      <alignment vertical="top"/>
    </xf>
    <xf numFmtId="0" fontId="0" fillId="58" borderId="171" xfId="0" applyFont="1" applyFill="1" applyBorder="1" applyAlignment="1">
      <alignment horizontal="center" vertical="distributed"/>
    </xf>
    <xf numFmtId="0" fontId="0" fillId="58" borderId="171" xfId="0" applyFont="1" applyFill="1" applyBorder="1" applyAlignment="1">
      <alignment horizontal="center" vertical="justify"/>
    </xf>
    <xf numFmtId="0" fontId="0" fillId="58" borderId="363" xfId="0" applyFont="1" applyFill="1" applyBorder="1" applyAlignment="1">
      <alignment horizontal="center" vertical="justify"/>
    </xf>
    <xf numFmtId="0" fontId="18" fillId="60" borderId="25" xfId="0" applyFont="1" applyFill="1" applyBorder="1" applyAlignment="1">
      <alignment horizontal="center" vertical="justify"/>
    </xf>
    <xf numFmtId="0" fontId="18" fillId="60" borderId="25" xfId="0" applyFont="1" applyFill="1" applyBorder="1" applyAlignment="1">
      <alignment horizontal="center" vertical="distributed"/>
    </xf>
    <xf numFmtId="0" fontId="17" fillId="60" borderId="25" xfId="0" applyFont="1" applyFill="1" applyBorder="1" applyAlignment="1">
      <alignment horizontal="center" vertical="distributed"/>
    </xf>
    <xf numFmtId="0" fontId="17" fillId="60" borderId="25" xfId="0" applyFont="1" applyFill="1" applyBorder="1" applyAlignment="1">
      <alignment horizontal="center" vertical="justify"/>
    </xf>
    <xf numFmtId="0" fontId="0" fillId="58" borderId="139" xfId="0" applyFill="1" applyBorder="1" applyAlignment="1"/>
    <xf numFmtId="0" fontId="0" fillId="58" borderId="46" xfId="0" applyFill="1" applyBorder="1" applyAlignment="1">
      <alignment vertical="distributed"/>
    </xf>
    <xf numFmtId="0" fontId="0" fillId="60" borderId="387" xfId="0" applyFill="1" applyBorder="1" applyAlignment="1">
      <alignment horizontal="center" vertical="center"/>
    </xf>
    <xf numFmtId="0" fontId="0" fillId="72" borderId="195" xfId="0" applyFont="1" applyFill="1" applyBorder="1" applyAlignment="1">
      <alignment horizontal="center" vertical="center" shrinkToFit="1"/>
    </xf>
    <xf numFmtId="0" fontId="0" fillId="72" borderId="196" xfId="0" applyFont="1" applyFill="1" applyBorder="1" applyAlignment="1">
      <alignment horizontal="center" vertical="center" shrinkToFit="1"/>
    </xf>
    <xf numFmtId="0" fontId="0" fillId="72" borderId="185" xfId="0" applyFont="1" applyFill="1" applyBorder="1" applyAlignment="1">
      <alignment horizontal="center" vertical="center" shrinkToFit="1"/>
    </xf>
    <xf numFmtId="0" fontId="16" fillId="64" borderId="25" xfId="0" applyFont="1" applyFill="1" applyBorder="1" applyAlignment="1">
      <alignment horizontal="center" vertical="center"/>
    </xf>
    <xf numFmtId="0" fontId="0" fillId="64" borderId="0" xfId="0" applyFont="1" applyFill="1" applyBorder="1" applyAlignment="1">
      <alignment horizontal="center" vertical="center"/>
    </xf>
    <xf numFmtId="0" fontId="0" fillId="64" borderId="109" xfId="0" applyFill="1" applyBorder="1" applyAlignment="1">
      <alignment horizontal="center" vertical="distributed"/>
    </xf>
    <xf numFmtId="0" fontId="16" fillId="58" borderId="30" xfId="0" applyFont="1" applyFill="1" applyBorder="1" applyAlignment="1">
      <alignment horizontal="center" vertical="justify" shrinkToFit="1"/>
    </xf>
    <xf numFmtId="0" fontId="51" fillId="60" borderId="31" xfId="0" applyFont="1" applyFill="1" applyBorder="1" applyAlignment="1">
      <alignment horizontal="center" vertical="distributed"/>
    </xf>
    <xf numFmtId="0" fontId="0" fillId="64" borderId="31" xfId="0" applyFont="1" applyFill="1" applyBorder="1" applyAlignment="1">
      <alignment horizontal="distributed" vertical="center" indent="1"/>
    </xf>
    <xf numFmtId="0" fontId="0" fillId="58" borderId="75" xfId="0" applyFont="1" applyFill="1" applyBorder="1" applyAlignment="1">
      <alignment horizontal="center" vertical="top"/>
    </xf>
    <xf numFmtId="0" fontId="0" fillId="58" borderId="201" xfId="0" applyFill="1" applyBorder="1" applyAlignment="1">
      <alignment horizontal="center"/>
    </xf>
    <xf numFmtId="0" fontId="0" fillId="58" borderId="49" xfId="0" applyFill="1" applyBorder="1" applyAlignment="1">
      <alignment horizontal="center"/>
    </xf>
    <xf numFmtId="0" fontId="12" fillId="60" borderId="0" xfId="0" applyFont="1" applyFill="1" applyBorder="1" applyAlignment="1">
      <alignment horizontal="center" vertical="distributed"/>
    </xf>
    <xf numFmtId="0" fontId="64" fillId="67" borderId="39" xfId="0" applyFont="1" applyFill="1" applyBorder="1" applyAlignment="1">
      <alignment horizontal="distributed" vertical="center" indent="14"/>
    </xf>
    <xf numFmtId="0" fontId="78" fillId="60" borderId="25" xfId="0" applyFont="1" applyFill="1" applyBorder="1" applyAlignment="1">
      <alignment horizontal="center" vertical="distributed"/>
    </xf>
    <xf numFmtId="0" fontId="12" fillId="58" borderId="0" xfId="0" applyFont="1" applyFill="1" applyAlignment="1">
      <alignment horizontal="right" vertical="distributed" indent="2"/>
    </xf>
    <xf numFmtId="0" fontId="0" fillId="58" borderId="182" xfId="0" applyFill="1" applyBorder="1" applyAlignment="1">
      <alignment vertical="center"/>
    </xf>
    <xf numFmtId="0" fontId="0" fillId="58" borderId="25" xfId="0" applyFill="1" applyBorder="1" applyAlignment="1">
      <alignment vertical="center"/>
    </xf>
    <xf numFmtId="0" fontId="0" fillId="58" borderId="55" xfId="0" applyFill="1" applyBorder="1" applyAlignment="1">
      <alignment vertical="center"/>
    </xf>
    <xf numFmtId="0" fontId="0" fillId="60" borderId="30" xfId="0" applyFill="1" applyBorder="1" applyAlignment="1">
      <alignment vertical="center"/>
    </xf>
    <xf numFmtId="0" fontId="0" fillId="58" borderId="25" xfId="0" applyFill="1" applyBorder="1" applyAlignment="1">
      <alignment horizontal="left" vertical="center" indent="5"/>
    </xf>
    <xf numFmtId="0" fontId="0" fillId="58" borderId="86" xfId="0" applyFill="1" applyBorder="1" applyAlignment="1">
      <alignment horizontal="left" vertical="center" indent="12"/>
    </xf>
    <xf numFmtId="0" fontId="0" fillId="58" borderId="142" xfId="0" applyFill="1" applyBorder="1" applyAlignment="1">
      <alignment horizontal="center"/>
    </xf>
    <xf numFmtId="0" fontId="0" fillId="59" borderId="19" xfId="0" applyFill="1" applyBorder="1" applyAlignment="1">
      <alignment horizontal="distributed" vertical="center" indent="2"/>
    </xf>
    <xf numFmtId="0" fontId="0" fillId="71" borderId="33" xfId="0" applyFill="1" applyBorder="1" applyAlignment="1">
      <alignment vertical="center"/>
    </xf>
    <xf numFmtId="0" fontId="64" fillId="60" borderId="0" xfId="0" applyFont="1" applyFill="1" applyBorder="1" applyAlignment="1">
      <alignment horizontal="center" vertical="justify"/>
    </xf>
    <xf numFmtId="0" fontId="64" fillId="60" borderId="0" xfId="0" applyFont="1" applyFill="1" applyBorder="1" applyAlignment="1">
      <alignment horizontal="center" vertical="top"/>
    </xf>
    <xf numFmtId="0" fontId="64" fillId="60" borderId="0" xfId="0" applyFont="1" applyFill="1" applyBorder="1" applyAlignment="1">
      <alignment horizontal="center" vertical="distributed"/>
    </xf>
    <xf numFmtId="0" fontId="76" fillId="71" borderId="19" xfId="0" applyFont="1" applyFill="1" applyBorder="1" applyAlignment="1">
      <alignment horizontal="center" vertical="center"/>
    </xf>
    <xf numFmtId="0" fontId="0" fillId="59" borderId="19" xfId="0" applyFill="1" applyBorder="1" applyAlignment="1">
      <alignment horizontal="center" vertical="justify"/>
    </xf>
    <xf numFmtId="0" fontId="0" fillId="58" borderId="50" xfId="0" applyFill="1" applyBorder="1" applyAlignment="1">
      <alignment horizontal="distributed" vertical="center"/>
    </xf>
    <xf numFmtId="20" fontId="0" fillId="0" borderId="0" xfId="0" applyNumberFormat="1"/>
    <xf numFmtId="0" fontId="0" fillId="71" borderId="369" xfId="0" applyFill="1" applyBorder="1" applyAlignment="1">
      <alignment vertical="center" wrapText="1"/>
    </xf>
    <xf numFmtId="0" fontId="0" fillId="69" borderId="47" xfId="0" applyFill="1" applyBorder="1" applyAlignment="1">
      <alignment vertical="justify"/>
    </xf>
    <xf numFmtId="0" fontId="0" fillId="58" borderId="153" xfId="0" applyFill="1" applyBorder="1" applyAlignment="1">
      <alignment horizontal="left" vertical="top" indent="8"/>
    </xf>
    <xf numFmtId="0" fontId="64" fillId="62" borderId="31" xfId="0" applyFont="1" applyFill="1" applyBorder="1" applyAlignment="1">
      <alignment horizontal="left" vertical="center" indent="1"/>
    </xf>
    <xf numFmtId="0" fontId="0" fillId="69" borderId="0" xfId="0" applyFill="1" applyBorder="1" applyAlignment="1">
      <alignment vertical="top"/>
    </xf>
    <xf numFmtId="0" fontId="0" fillId="62" borderId="31" xfId="0" applyFill="1" applyBorder="1" applyAlignment="1">
      <alignment horizontal="right" vertical="center" indent="1"/>
    </xf>
    <xf numFmtId="0" fontId="64" fillId="62" borderId="31" xfId="0" applyFont="1" applyFill="1" applyBorder="1" applyAlignment="1">
      <alignment vertical="center"/>
    </xf>
    <xf numFmtId="0" fontId="0" fillId="60" borderId="388" xfId="0" applyFill="1" applyBorder="1" applyAlignment="1">
      <alignment horizontal="center" vertical="top"/>
    </xf>
    <xf numFmtId="0" fontId="0" fillId="58" borderId="153" xfId="0" applyFill="1" applyBorder="1" applyAlignment="1">
      <alignment horizontal="left" indent="10"/>
    </xf>
    <xf numFmtId="0" fontId="0" fillId="58" borderId="360" xfId="0" applyFill="1" applyBorder="1" applyAlignment="1">
      <alignment vertical="center"/>
    </xf>
    <xf numFmtId="0" fontId="0" fillId="72" borderId="52" xfId="0" applyFill="1" applyBorder="1" applyAlignment="1">
      <alignment horizontal="left" vertical="center" indent="8"/>
    </xf>
    <xf numFmtId="0" fontId="37" fillId="60" borderId="25" xfId="0" applyFont="1" applyFill="1" applyBorder="1" applyAlignment="1">
      <alignment horizontal="center" vertical="distributed"/>
    </xf>
    <xf numFmtId="0" fontId="0" fillId="62" borderId="119" xfId="0" applyFill="1" applyBorder="1" applyAlignment="1">
      <alignment horizontal="distributed" vertical="center" indent="3"/>
    </xf>
    <xf numFmtId="0" fontId="0" fillId="58" borderId="299" xfId="0" applyFill="1" applyBorder="1" applyAlignment="1">
      <alignment horizontal="right" vertical="distributed" indent="15"/>
    </xf>
    <xf numFmtId="0" fontId="0" fillId="58" borderId="86" xfId="0" applyFill="1" applyBorder="1" applyAlignment="1">
      <alignment horizontal="left" vertical="center" indent="14"/>
    </xf>
    <xf numFmtId="0" fontId="0" fillId="69" borderId="0" xfId="0" applyFill="1" applyAlignment="1">
      <alignment horizontal="distributed" vertical="center" indent="6"/>
    </xf>
    <xf numFmtId="0" fontId="0" fillId="72" borderId="321" xfId="0" applyFill="1" applyBorder="1" applyAlignment="1">
      <alignment horizontal="left" vertical="center" indent="5"/>
    </xf>
    <xf numFmtId="0" fontId="0" fillId="72" borderId="321" xfId="0" applyFill="1" applyBorder="1" applyAlignment="1">
      <alignment horizontal="left" vertical="center" wrapText="1" indent="5"/>
    </xf>
    <xf numFmtId="0" fontId="64" fillId="67" borderId="0" xfId="0" applyFont="1" applyFill="1" applyAlignment="1"/>
    <xf numFmtId="0" fontId="67" fillId="67" borderId="0" xfId="0" applyFont="1" applyFill="1" applyAlignment="1">
      <alignment vertical="top"/>
    </xf>
    <xf numFmtId="0" fontId="64" fillId="67" borderId="0" xfId="0" applyFont="1" applyFill="1" applyAlignment="1">
      <alignment vertical="distributed"/>
    </xf>
    <xf numFmtId="0" fontId="64" fillId="67" borderId="25" xfId="0" applyFont="1" applyFill="1" applyBorder="1" applyAlignment="1">
      <alignment horizontal="center" vertical="distributed"/>
    </xf>
    <xf numFmtId="0" fontId="76" fillId="58" borderId="23" xfId="0" applyFont="1" applyFill="1" applyBorder="1" applyAlignment="1">
      <alignment vertical="center"/>
    </xf>
    <xf numFmtId="0" fontId="0" fillId="58" borderId="46" xfId="0" applyFill="1" applyBorder="1" applyAlignment="1">
      <alignment vertical="justify"/>
    </xf>
    <xf numFmtId="0" fontId="0" fillId="62" borderId="188" xfId="0" applyFill="1" applyBorder="1" applyAlignment="1">
      <alignment vertical="center"/>
    </xf>
    <xf numFmtId="0" fontId="0" fillId="1" borderId="73" xfId="0" applyFill="1" applyBorder="1" applyAlignment="1">
      <alignment horizontal="left" vertical="center" indent="8"/>
    </xf>
    <xf numFmtId="0" fontId="0" fillId="1" borderId="389" xfId="0" applyFill="1" applyBorder="1" applyAlignment="1">
      <alignment horizontal="left" vertical="center" indent="12"/>
    </xf>
    <xf numFmtId="0" fontId="11" fillId="68" borderId="0" xfId="0" applyFont="1" applyFill="1" applyBorder="1" applyAlignment="1">
      <alignment horizontal="center" vertical="justify"/>
    </xf>
    <xf numFmtId="0" fontId="0" fillId="62" borderId="119" xfId="0" applyFill="1" applyBorder="1" applyAlignment="1">
      <alignment vertical="center"/>
    </xf>
    <xf numFmtId="0" fontId="0" fillId="62" borderId="390" xfId="0" applyFill="1" applyBorder="1" applyAlignment="1">
      <alignment vertical="center"/>
    </xf>
    <xf numFmtId="0" fontId="0" fillId="58" borderId="25" xfId="0" applyFont="1" applyFill="1" applyBorder="1" applyAlignment="1">
      <alignment horizontal="center" vertical="top"/>
    </xf>
    <xf numFmtId="0" fontId="10" fillId="68" borderId="31" xfId="0" applyFont="1" applyFill="1" applyBorder="1" applyAlignment="1">
      <alignment horizontal="center" vertical="center"/>
    </xf>
    <xf numFmtId="0" fontId="0" fillId="58" borderId="0" xfId="0" applyFill="1"/>
    <xf numFmtId="0" fontId="0" fillId="58" borderId="23" xfId="0" applyFill="1" applyBorder="1"/>
    <xf numFmtId="0" fontId="0" fillId="64" borderId="29" xfId="0" applyFill="1" applyBorder="1" applyAlignment="1">
      <alignment horizontal="center" vertical="center"/>
    </xf>
    <xf numFmtId="0" fontId="0" fillId="75" borderId="38" xfId="0" applyFill="1" applyBorder="1" applyAlignment="1">
      <alignment horizontal="center" vertical="center"/>
    </xf>
    <xf numFmtId="0" fontId="0" fillId="62" borderId="31" xfId="0" applyFill="1" applyBorder="1" applyAlignment="1">
      <alignment vertical="top"/>
    </xf>
    <xf numFmtId="0" fontId="10" fillId="69" borderId="35" xfId="0" applyFont="1" applyFill="1" applyBorder="1" applyAlignment="1">
      <alignment horizontal="right" vertical="center" indent="5"/>
    </xf>
    <xf numFmtId="0" fontId="0" fillId="62" borderId="119" xfId="0" applyFill="1" applyBorder="1" applyAlignment="1">
      <alignment horizontal="left" vertical="center" indent="4"/>
    </xf>
    <xf numFmtId="0" fontId="0" fillId="62" borderId="120" xfId="0" applyFill="1" applyBorder="1" applyAlignment="1">
      <alignment vertical="center"/>
    </xf>
    <xf numFmtId="0" fontId="0" fillId="62" borderId="120" xfId="0" applyFill="1" applyBorder="1" applyAlignment="1">
      <alignment horizontal="distributed" vertical="center" indent="8"/>
    </xf>
    <xf numFmtId="0" fontId="0" fillId="62" borderId="120" xfId="0" applyFill="1" applyBorder="1" applyAlignment="1">
      <alignment horizontal="distributed" vertical="center" indent="12"/>
    </xf>
    <xf numFmtId="0" fontId="0" fillId="69" borderId="151" xfId="0" applyFill="1" applyBorder="1" applyAlignment="1">
      <alignment vertical="distributed"/>
    </xf>
    <xf numFmtId="0" fontId="0" fillId="69" borderId="0" xfId="0" applyFill="1" applyBorder="1" applyAlignment="1">
      <alignment horizontal="distributed"/>
    </xf>
    <xf numFmtId="0" fontId="0" fillId="69" borderId="0" xfId="0" applyFill="1" applyBorder="1" applyAlignment="1">
      <alignment horizontal="distributed" vertical="center" indent="14"/>
    </xf>
    <xf numFmtId="0" fontId="0" fillId="58" borderId="0" xfId="0" applyFill="1" applyBorder="1" applyAlignment="1">
      <alignment horizontal="distributed" vertical="center" indent="14"/>
    </xf>
    <xf numFmtId="0" fontId="0" fillId="71" borderId="0" xfId="0" applyFill="1" applyBorder="1" applyAlignment="1">
      <alignment vertical="distributed"/>
    </xf>
    <xf numFmtId="0" fontId="0" fillId="71" borderId="20" xfId="0" applyFill="1" applyBorder="1" applyAlignment="1">
      <alignment vertical="center"/>
    </xf>
    <xf numFmtId="0" fontId="116" fillId="0" borderId="0" xfId="0" applyFont="1"/>
    <xf numFmtId="0" fontId="60" fillId="0" borderId="0" xfId="0" applyFont="1"/>
    <xf numFmtId="0" fontId="117" fillId="19" borderId="6" xfId="0" applyNumberFormat="1" applyFont="1" applyFill="1" applyBorder="1" applyAlignment="1" applyProtection="1"/>
    <xf numFmtId="0" fontId="14" fillId="62" borderId="34" xfId="0" applyFont="1" applyFill="1" applyBorder="1" applyAlignment="1">
      <alignment vertical="center"/>
    </xf>
    <xf numFmtId="0" fontId="10" fillId="71" borderId="243" xfId="0" applyFont="1" applyFill="1" applyBorder="1" applyAlignment="1">
      <alignment horizontal="center" vertical="distributed"/>
    </xf>
    <xf numFmtId="0" fontId="0" fillId="69" borderId="391" xfId="0" applyFill="1" applyBorder="1" applyAlignment="1">
      <alignment horizontal="center" vertical="center"/>
    </xf>
    <xf numFmtId="0" fontId="2" fillId="70" borderId="0" xfId="0" applyFont="1" applyFill="1" applyBorder="1" applyAlignment="1">
      <alignment horizontal="distributed"/>
    </xf>
    <xf numFmtId="0" fontId="0" fillId="1" borderId="73" xfId="0" applyFill="1" applyBorder="1" applyAlignment="1">
      <alignment horizontal="distributed" vertical="center" indent="2"/>
    </xf>
    <xf numFmtId="0" fontId="64" fillId="0" borderId="0" xfId="0" applyFont="1" applyAlignment="1">
      <alignment horizontal="center" vertical="center"/>
    </xf>
    <xf numFmtId="0" fontId="64" fillId="71" borderId="34" xfId="0" applyFont="1" applyFill="1" applyBorder="1" applyAlignment="1">
      <alignment horizontal="center" vertical="center"/>
    </xf>
    <xf numFmtId="0" fontId="2" fillId="62" borderId="34" xfId="0" applyFont="1" applyFill="1" applyBorder="1" applyAlignment="1">
      <alignment horizontal="center" vertical="center"/>
    </xf>
    <xf numFmtId="0" fontId="76" fillId="62" borderId="34" xfId="0" applyFont="1" applyFill="1" applyBorder="1" applyAlignment="1">
      <alignment horizontal="center" vertical="center"/>
    </xf>
    <xf numFmtId="0" fontId="76" fillId="62" borderId="31" xfId="0" applyFont="1" applyFill="1" applyBorder="1" applyAlignment="1">
      <alignment horizontal="center" vertical="center"/>
    </xf>
    <xf numFmtId="0" fontId="76" fillId="0" borderId="0" xfId="0" applyFont="1" applyAlignment="1">
      <alignment horizontal="center" vertical="center"/>
    </xf>
    <xf numFmtId="0" fontId="0" fillId="62" borderId="71" xfId="0" applyFill="1" applyBorder="1" applyAlignment="1">
      <alignment horizontal="center" vertical="distributed"/>
    </xf>
    <xf numFmtId="0" fontId="64" fillId="62" borderId="44" xfId="0" applyFont="1" applyFill="1" applyBorder="1" applyAlignment="1">
      <alignment horizontal="right" vertical="center" indent="7"/>
    </xf>
    <xf numFmtId="0" fontId="103" fillId="69" borderId="42" xfId="0" applyFont="1" applyFill="1" applyBorder="1" applyAlignment="1">
      <alignment horizontal="left" vertical="center" indent="5" shrinkToFit="1"/>
    </xf>
    <xf numFmtId="0" fontId="103" fillId="69" borderId="30" xfId="0" applyFont="1" applyFill="1" applyBorder="1" applyAlignment="1">
      <alignment horizontal="left" vertical="center" indent="5" shrinkToFit="1"/>
    </xf>
    <xf numFmtId="0" fontId="64" fillId="66" borderId="101" xfId="0" applyFont="1" applyFill="1" applyBorder="1" applyAlignment="1">
      <alignment horizontal="distributed" vertical="center" indent="6" shrinkToFit="1"/>
    </xf>
    <xf numFmtId="0" fontId="0" fillId="62" borderId="72" xfId="0" applyFill="1" applyBorder="1" applyAlignment="1">
      <alignment horizontal="center" vertical="justify"/>
    </xf>
    <xf numFmtId="0" fontId="34" fillId="60" borderId="39" xfId="0" applyFont="1" applyFill="1" applyBorder="1" applyAlignment="1">
      <alignment horizontal="right" vertical="center" indent="8"/>
    </xf>
    <xf numFmtId="0" fontId="0" fillId="67" borderId="0" xfId="0" applyFill="1" applyBorder="1" applyAlignment="1">
      <alignment horizontal="center" wrapText="1"/>
    </xf>
    <xf numFmtId="0" fontId="0" fillId="58" borderId="0" xfId="0" applyFill="1" applyAlignment="1">
      <alignment vertical="top" wrapText="1"/>
    </xf>
    <xf numFmtId="0" fontId="19" fillId="60" borderId="25" xfId="0" applyFont="1" applyFill="1" applyBorder="1" applyAlignment="1">
      <alignment horizontal="center"/>
    </xf>
    <xf numFmtId="0" fontId="0" fillId="58" borderId="134" xfId="0" applyFill="1" applyBorder="1" applyAlignment="1"/>
    <xf numFmtId="0" fontId="0" fillId="1" borderId="81" xfId="0" applyFill="1" applyBorder="1" applyAlignment="1"/>
    <xf numFmtId="0" fontId="0" fillId="1" borderId="81" xfId="0" applyFill="1" applyBorder="1" applyAlignment="1">
      <alignment vertical="justify"/>
    </xf>
    <xf numFmtId="0" fontId="67" fillId="69" borderId="24" xfId="0" applyFont="1" applyFill="1" applyBorder="1" applyAlignment="1">
      <alignment horizontal="center" vertical="justify"/>
    </xf>
    <xf numFmtId="0" fontId="0" fillId="69" borderId="24" xfId="0" applyFont="1" applyFill="1" applyBorder="1" applyAlignment="1">
      <alignment horizontal="center" vertical="distributed"/>
    </xf>
    <xf numFmtId="0" fontId="0" fillId="69" borderId="130" xfId="0" applyFont="1" applyFill="1" applyBorder="1" applyAlignment="1">
      <alignment horizontal="center" vertical="distributed"/>
    </xf>
    <xf numFmtId="0" fontId="2" fillId="69" borderId="24" xfId="0" applyFont="1" applyFill="1" applyBorder="1" applyAlignment="1">
      <alignment horizontal="center" vertical="justify"/>
    </xf>
    <xf numFmtId="0" fontId="67" fillId="69" borderId="24" xfId="0" applyFont="1" applyFill="1" applyBorder="1" applyAlignment="1">
      <alignment horizontal="center" vertical="distributed"/>
    </xf>
    <xf numFmtId="0" fontId="67" fillId="69" borderId="130" xfId="0" applyFont="1" applyFill="1" applyBorder="1" applyAlignment="1">
      <alignment horizontal="center" vertical="justify"/>
    </xf>
    <xf numFmtId="0" fontId="0" fillId="58" borderId="299" xfId="0" applyFill="1" applyBorder="1" applyAlignment="1">
      <alignment horizontal="center" vertical="top"/>
    </xf>
    <xf numFmtId="0" fontId="64" fillId="69" borderId="35" xfId="0" applyFont="1" applyFill="1" applyBorder="1" applyAlignment="1">
      <alignment horizontal="center" vertical="center"/>
    </xf>
    <xf numFmtId="0" fontId="0" fillId="30" borderId="0" xfId="0" applyFont="1" applyFill="1" applyBorder="1"/>
    <xf numFmtId="0" fontId="0" fillId="24" borderId="0" xfId="0" applyFont="1" applyFill="1" applyBorder="1"/>
    <xf numFmtId="0" fontId="0" fillId="31" borderId="0" xfId="0" applyFont="1" applyFill="1" applyBorder="1"/>
    <xf numFmtId="0" fontId="0" fillId="32" borderId="0" xfId="0" applyFont="1" applyFill="1" applyBorder="1"/>
    <xf numFmtId="0" fontId="0" fillId="35" borderId="0" xfId="0" applyFont="1" applyFill="1" applyBorder="1"/>
    <xf numFmtId="0" fontId="0" fillId="28" borderId="0" xfId="0" applyFont="1" applyFill="1" applyBorder="1"/>
    <xf numFmtId="0" fontId="0" fillId="37" borderId="0" xfId="0" applyFont="1" applyFill="1" applyBorder="1"/>
    <xf numFmtId="0" fontId="0" fillId="33" borderId="0" xfId="0" applyFont="1" applyFill="1" applyBorder="1"/>
    <xf numFmtId="0" fontId="0" fillId="0" borderId="0" xfId="0" applyFont="1" applyFill="1" applyBorder="1"/>
    <xf numFmtId="0" fontId="0" fillId="34" borderId="0" xfId="0" applyFont="1" applyFill="1" applyBorder="1"/>
    <xf numFmtId="0" fontId="0" fillId="47" borderId="0" xfId="0" applyFont="1" applyFill="1" applyBorder="1"/>
    <xf numFmtId="0" fontId="0" fillId="0" borderId="6" xfId="0" applyFont="1" applyFill="1" applyBorder="1"/>
    <xf numFmtId="0" fontId="0" fillId="52" borderId="0" xfId="0" applyFont="1" applyFill="1" applyBorder="1"/>
    <xf numFmtId="0" fontId="0" fillId="12" borderId="0" xfId="0" applyFont="1" applyFill="1" applyBorder="1"/>
    <xf numFmtId="0" fontId="0" fillId="25" borderId="0" xfId="0" applyFont="1" applyFill="1" applyBorder="1"/>
    <xf numFmtId="0" fontId="0" fillId="29" borderId="0" xfId="0" applyFont="1" applyFill="1" applyBorder="1"/>
    <xf numFmtId="0" fontId="0" fillId="54" borderId="0" xfId="0" applyFont="1" applyFill="1" applyBorder="1"/>
    <xf numFmtId="0" fontId="0" fillId="36" borderId="0" xfId="0" applyFont="1" applyFill="1" applyBorder="1"/>
    <xf numFmtId="0" fontId="0" fillId="0" borderId="2" xfId="0" applyFont="1" applyFill="1" applyBorder="1"/>
    <xf numFmtId="0" fontId="0" fillId="23" borderId="0" xfId="0" applyFont="1" applyFill="1" applyBorder="1"/>
    <xf numFmtId="0" fontId="0" fillId="8" borderId="0" xfId="0" applyFont="1" applyFill="1" applyBorder="1"/>
    <xf numFmtId="0" fontId="0" fillId="7" borderId="0" xfId="0" applyFont="1" applyFill="1" applyBorder="1"/>
    <xf numFmtId="0" fontId="0" fillId="9" borderId="0" xfId="0" applyFont="1" applyFill="1" applyBorder="1"/>
    <xf numFmtId="0" fontId="0" fillId="8" borderId="2" xfId="0" applyFont="1" applyFill="1" applyBorder="1"/>
    <xf numFmtId="0" fontId="0" fillId="35" borderId="2" xfId="0" applyFont="1" applyFill="1" applyBorder="1"/>
    <xf numFmtId="0" fontId="0" fillId="32" borderId="6" xfId="0" applyFont="1" applyFill="1" applyBorder="1"/>
    <xf numFmtId="0" fontId="0" fillId="29" borderId="6" xfId="0" applyFont="1" applyFill="1" applyBorder="1"/>
    <xf numFmtId="0" fontId="0" fillId="54" borderId="6" xfId="0" applyFont="1" applyFill="1" applyBorder="1"/>
    <xf numFmtId="0" fontId="0" fillId="35" borderId="6" xfId="0" applyFont="1" applyFill="1" applyBorder="1"/>
    <xf numFmtId="0" fontId="0" fillId="37" borderId="2" xfId="0" applyFont="1" applyFill="1" applyBorder="1"/>
    <xf numFmtId="0" fontId="0" fillId="0" borderId="2" xfId="0" applyFont="1" applyBorder="1"/>
    <xf numFmtId="0" fontId="0" fillId="27" borderId="0" xfId="0" applyFont="1" applyFill="1" applyBorder="1"/>
    <xf numFmtId="0" fontId="0" fillId="56" borderId="0" xfId="0" applyFont="1" applyFill="1" applyBorder="1"/>
    <xf numFmtId="0" fontId="0" fillId="31" borderId="1" xfId="0" applyFont="1" applyFill="1" applyBorder="1"/>
    <xf numFmtId="0" fontId="0" fillId="55" borderId="0" xfId="0" applyFont="1" applyFill="1" applyBorder="1"/>
    <xf numFmtId="0" fontId="0" fillId="31" borderId="6" xfId="0" applyFont="1" applyFill="1" applyBorder="1"/>
    <xf numFmtId="0" fontId="0" fillId="56" borderId="1" xfId="0" applyFont="1" applyFill="1" applyBorder="1"/>
    <xf numFmtId="0" fontId="0" fillId="52" borderId="1" xfId="0" applyFont="1" applyFill="1" applyBorder="1"/>
    <xf numFmtId="0" fontId="0" fillId="54" borderId="1" xfId="0" applyFont="1" applyFill="1" applyBorder="1"/>
    <xf numFmtId="0" fontId="0" fillId="33" borderId="1" xfId="0" applyFont="1" applyFill="1" applyBorder="1"/>
    <xf numFmtId="0" fontId="0" fillId="35" borderId="1" xfId="0" applyFont="1" applyFill="1" applyBorder="1"/>
    <xf numFmtId="0" fontId="0" fillId="34" borderId="1" xfId="0" applyFont="1" applyFill="1" applyBorder="1"/>
    <xf numFmtId="0" fontId="0" fillId="37" borderId="1" xfId="0" applyFont="1" applyFill="1" applyBorder="1"/>
    <xf numFmtId="0" fontId="0" fillId="54" borderId="7" xfId="0" applyFont="1" applyFill="1" applyBorder="1"/>
    <xf numFmtId="0" fontId="0" fillId="0" borderId="8" xfId="0" applyFont="1" applyBorder="1"/>
    <xf numFmtId="0" fontId="0" fillId="24" borderId="1" xfId="0" applyFont="1" applyFill="1" applyBorder="1"/>
    <xf numFmtId="0" fontId="0" fillId="0" borderId="1" xfId="0" applyFont="1" applyBorder="1"/>
    <xf numFmtId="0" fontId="0" fillId="0" borderId="5" xfId="0" applyFont="1" applyBorder="1"/>
    <xf numFmtId="0" fontId="0" fillId="14" borderId="0" xfId="0" applyFont="1" applyFill="1" applyBorder="1"/>
    <xf numFmtId="0" fontId="0" fillId="11" borderId="0" xfId="0" applyFont="1" applyFill="1" applyBorder="1"/>
    <xf numFmtId="0" fontId="0" fillId="14" borderId="2" xfId="0" applyFont="1" applyFill="1" applyBorder="1"/>
    <xf numFmtId="0" fontId="0" fillId="27" borderId="2" xfId="0" applyFont="1" applyFill="1" applyBorder="1"/>
    <xf numFmtId="0" fontId="0" fillId="31" borderId="2" xfId="0" applyFont="1" applyFill="1" applyBorder="1"/>
    <xf numFmtId="0" fontId="0" fillId="10" borderId="0" xfId="0" applyFont="1" applyFill="1" applyBorder="1"/>
    <xf numFmtId="0" fontId="0" fillId="54" borderId="2" xfId="0" applyFont="1" applyFill="1" applyBorder="1"/>
    <xf numFmtId="0" fontId="0" fillId="32" borderId="2" xfId="0" applyFont="1" applyFill="1" applyBorder="1"/>
    <xf numFmtId="0" fontId="0" fillId="12" borderId="1" xfId="0" applyFont="1" applyFill="1" applyBorder="1"/>
    <xf numFmtId="0" fontId="0" fillId="8" borderId="1" xfId="0" applyFont="1" applyFill="1" applyBorder="1"/>
    <xf numFmtId="0" fontId="0" fillId="9" borderId="1" xfId="0" applyFont="1" applyFill="1" applyBorder="1"/>
    <xf numFmtId="0" fontId="0" fillId="25" borderId="1" xfId="0" applyFont="1" applyFill="1" applyBorder="1"/>
    <xf numFmtId="0" fontId="0" fillId="29" borderId="1" xfId="0" applyFont="1" applyFill="1" applyBorder="1"/>
    <xf numFmtId="0" fontId="0" fillId="30" borderId="1" xfId="0" applyFont="1" applyFill="1" applyBorder="1"/>
    <xf numFmtId="0" fontId="0" fillId="28" borderId="1" xfId="0" applyFont="1" applyFill="1" applyBorder="1"/>
    <xf numFmtId="0" fontId="0" fillId="35" borderId="7" xfId="0" applyFont="1" applyFill="1" applyBorder="1"/>
    <xf numFmtId="0" fontId="0" fillId="32" borderId="1" xfId="0" applyFont="1" applyFill="1" applyBorder="1"/>
    <xf numFmtId="0" fontId="0" fillId="10" borderId="1" xfId="0" applyFont="1" applyFill="1" applyBorder="1"/>
    <xf numFmtId="0" fontId="0" fillId="29" borderId="8" xfId="0" applyFont="1" applyFill="1" applyBorder="1"/>
    <xf numFmtId="0" fontId="0" fillId="20" borderId="0" xfId="0" applyFont="1" applyFill="1" applyBorder="1"/>
    <xf numFmtId="0" fontId="0" fillId="38" borderId="0" xfId="0" applyFont="1" applyFill="1" applyBorder="1"/>
    <xf numFmtId="0" fontId="0" fillId="19" borderId="0" xfId="0" applyFont="1" applyFill="1" applyBorder="1"/>
    <xf numFmtId="0" fontId="0" fillId="57" borderId="0" xfId="0" applyFont="1" applyFill="1" applyBorder="1"/>
    <xf numFmtId="0" fontId="0" fillId="22" borderId="0" xfId="0" applyFont="1" applyFill="1" applyBorder="1"/>
    <xf numFmtId="0" fontId="0" fillId="39" borderId="0" xfId="0" applyFont="1" applyFill="1" applyBorder="1"/>
    <xf numFmtId="0" fontId="0" fillId="53" borderId="0" xfId="0" applyFont="1" applyFill="1" applyBorder="1"/>
    <xf numFmtId="0" fontId="0" fillId="51" borderId="0" xfId="0" applyFont="1" applyFill="1" applyBorder="1"/>
    <xf numFmtId="0" fontId="0" fillId="13" borderId="0" xfId="0" applyFont="1" applyFill="1" applyBorder="1"/>
    <xf numFmtId="0" fontId="0" fillId="3" borderId="0" xfId="0" applyFont="1" applyFill="1" applyBorder="1"/>
    <xf numFmtId="0" fontId="0" fillId="4" borderId="0" xfId="0" applyFont="1" applyFill="1" applyBorder="1"/>
    <xf numFmtId="0" fontId="0" fillId="5" borderId="0" xfId="0" applyFont="1" applyFill="1" applyBorder="1"/>
    <xf numFmtId="0" fontId="0" fillId="20" borderId="6" xfId="0" applyFont="1" applyFill="1" applyBorder="1"/>
    <xf numFmtId="0" fontId="0" fillId="6" borderId="0" xfId="0" applyFont="1" applyFill="1" applyBorder="1"/>
    <xf numFmtId="0" fontId="0" fillId="15" borderId="0" xfId="0" applyFont="1" applyFill="1" applyBorder="1"/>
    <xf numFmtId="0" fontId="0" fillId="17" borderId="0" xfId="0" applyFont="1" applyFill="1" applyBorder="1"/>
    <xf numFmtId="0" fontId="0" fillId="38" borderId="1" xfId="0" applyFont="1" applyFill="1" applyBorder="1"/>
    <xf numFmtId="0" fontId="0" fillId="19" borderId="1" xfId="0" applyFont="1" applyFill="1" applyBorder="1"/>
    <xf numFmtId="0" fontId="0" fillId="22" borderId="1" xfId="0" applyFont="1" applyFill="1" applyBorder="1"/>
    <xf numFmtId="0" fontId="0" fillId="23" borderId="1" xfId="0" applyFont="1" applyFill="1" applyBorder="1"/>
    <xf numFmtId="0" fontId="0" fillId="0" borderId="1" xfId="0" applyFont="1" applyFill="1" applyBorder="1"/>
    <xf numFmtId="0" fontId="7" fillId="12" borderId="5" xfId="0" applyFont="1" applyFill="1" applyBorder="1"/>
    <xf numFmtId="0" fontId="7" fillId="36" borderId="5" xfId="0" applyFont="1" applyFill="1" applyBorder="1"/>
    <xf numFmtId="0" fontId="7" fillId="52" borderId="5" xfId="0" applyFont="1" applyFill="1" applyBorder="1"/>
    <xf numFmtId="0" fontId="7" fillId="31" borderId="7" xfId="0" applyFont="1" applyFill="1" applyBorder="1"/>
    <xf numFmtId="0" fontId="0" fillId="0" borderId="6" xfId="0" applyFont="1" applyBorder="1"/>
    <xf numFmtId="0" fontId="0" fillId="0" borderId="7" xfId="0" applyFont="1" applyBorder="1"/>
    <xf numFmtId="0" fontId="0" fillId="69" borderId="39" xfId="0" applyFill="1" applyBorder="1" applyAlignment="1">
      <alignment horizontal="distributed" vertical="center" indent="2"/>
    </xf>
    <xf numFmtId="0" fontId="64" fillId="65" borderId="25" xfId="0" applyFont="1" applyFill="1" applyBorder="1" applyAlignment="1">
      <alignment horizontal="distributed" vertical="center" indent="5"/>
    </xf>
    <xf numFmtId="0" fontId="0" fillId="65" borderId="0" xfId="0" applyFill="1" applyBorder="1" applyAlignment="1">
      <alignment vertical="center"/>
    </xf>
    <xf numFmtId="0" fontId="0" fillId="60" borderId="0" xfId="0" applyFill="1" applyAlignment="1">
      <alignment horizontal="center" vertical="center"/>
    </xf>
    <xf numFmtId="0" fontId="34" fillId="60" borderId="392" xfId="0" applyFont="1" applyFill="1" applyBorder="1" applyAlignment="1">
      <alignment horizontal="center" vertical="center"/>
    </xf>
    <xf numFmtId="0" fontId="109" fillId="55" borderId="0" xfId="0" applyNumberFormat="1" applyFont="1" applyFill="1" applyAlignment="1">
      <alignment vertical="top" wrapText="1"/>
    </xf>
    <xf numFmtId="0" fontId="109" fillId="55" borderId="0" xfId="0" applyFont="1" applyFill="1" applyAlignment="1">
      <alignment vertical="top" wrapText="1"/>
    </xf>
    <xf numFmtId="0" fontId="108" fillId="0" borderId="0" xfId="0" applyFont="1" applyFill="1" applyAlignment="1">
      <alignment horizontal="left" vertical="top" wrapText="1" readingOrder="1"/>
    </xf>
    <xf numFmtId="0" fontId="0" fillId="0" borderId="0" xfId="0" applyAlignment="1">
      <alignment wrapText="1"/>
    </xf>
    <xf numFmtId="0" fontId="109" fillId="55" borderId="0" xfId="0" applyNumberFormat="1" applyFont="1" applyFill="1" applyAlignment="1">
      <alignment wrapText="1"/>
    </xf>
    <xf numFmtId="0" fontId="109" fillId="55" borderId="0" xfId="0" applyFont="1" applyFill="1" applyAlignment="1">
      <alignment wrapText="1"/>
    </xf>
    <xf numFmtId="0" fontId="0" fillId="0" borderId="0" xfId="0" applyAlignment="1">
      <alignment horizontal="left" vertical="top" wrapText="1" readingOrder="1"/>
    </xf>
    <xf numFmtId="0" fontId="108" fillId="0" borderId="0" xfId="0" applyNumberFormat="1" applyFont="1" applyFill="1" applyAlignment="1">
      <alignment horizontal="left" vertical="top" wrapText="1" readingOrder="1"/>
    </xf>
    <xf numFmtId="0" fontId="0" fillId="0" borderId="0" xfId="0" applyAlignment="1">
      <alignment vertical="top" wrapText="1"/>
    </xf>
    <xf numFmtId="0" fontId="0" fillId="0" borderId="0" xfId="0" applyNumberFormat="1" applyFill="1" applyAlignment="1">
      <alignment horizontal="left" vertical="top" wrapText="1" readingOrder="1"/>
    </xf>
    <xf numFmtId="0" fontId="108" fillId="0" borderId="0" xfId="0" applyFont="1" applyAlignment="1">
      <alignment horizontal="left" vertical="top" wrapText="1" readingOrder="1"/>
    </xf>
    <xf numFmtId="0" fontId="108" fillId="0" borderId="0" xfId="0" applyNumberFormat="1" applyFont="1" applyAlignment="1">
      <alignment vertical="top" wrapText="1"/>
    </xf>
  </cellXfs>
  <cellStyles count="1">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80808"/>
      <rgbColor rgb="002E1E1E"/>
      <rgbColor rgb="00401A1A"/>
      <rgbColor rgb="00601010"/>
      <rgbColor rgb="00800808"/>
      <rgbColor rgb="00A00404"/>
      <rgbColor rgb="00C00202"/>
      <rgbColor rgb="00D70101"/>
      <rgbColor rgb="00FE0000"/>
      <rgbColor rgb="001D2C1D"/>
      <rgbColor rgb="001A401A"/>
      <rgbColor rgb="00106010"/>
      <rgbColor rgb="00088008"/>
      <rgbColor rgb="0004A004"/>
      <rgbColor rgb="0002C002"/>
      <rgbColor rgb="0001D701"/>
      <rgbColor rgb="0000FE00"/>
      <rgbColor rgb="001A1A40"/>
      <rgbColor rgb="00141450"/>
      <rgbColor rgb="00121270"/>
      <rgbColor rgb="000E0E8C"/>
      <rgbColor rgb="000A0AB0"/>
      <rgbColor rgb="001212C8"/>
      <rgbColor rgb="001A1ADC"/>
      <rgbColor rgb="002424FE"/>
      <rgbColor rgb="002A2724"/>
      <rgbColor rgb="003F3B1A"/>
      <rgbColor rgb="00605A10"/>
      <rgbColor rgb="00867C08"/>
      <rgbColor rgb="00A89E04"/>
      <rgbColor rgb="00C6BF02"/>
      <rgbColor rgb="00DAD701"/>
      <rgbColor rgb="00FEFE00"/>
      <rgbColor rgb="00262326"/>
      <rgbColor rgb="003D2A3D"/>
      <rgbColor rgb="00543654"/>
      <rgbColor rgb="00684268"/>
      <rgbColor rgb="007C4E7C"/>
      <rgbColor rgb="00905A90"/>
      <rgbColor rgb="00A466A4"/>
      <rgbColor rgb="00B872B8"/>
      <rgbColor rgb="00262C2C"/>
      <rgbColor rgb="001A3D3D"/>
      <rgbColor rgb="00105C5C"/>
      <rgbColor rgb="00088080"/>
      <rgbColor rgb="0004A0A0"/>
      <rgbColor rgb="0002C0C0"/>
      <rgbColor rgb="0001D7D7"/>
      <rgbColor rgb="0000FEFE"/>
      <rgbColor rgb="00181818"/>
      <rgbColor rgb="001E1E1E"/>
      <rgbColor rgb="00404040"/>
      <rgbColor rgb="006F6F6F"/>
      <rgbColor rgb="009E9E9E"/>
      <rgbColor rgb="00D2D2D2"/>
      <rgbColor rgb="00FAFAFA"/>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W1696"/>
  <sheetViews>
    <sheetView topLeftCell="A248" zoomScale="60" zoomScaleNormal="60" workbookViewId="0">
      <selection activeCell="CC655" sqref="CC655"/>
    </sheetView>
  </sheetViews>
  <sheetFormatPr defaultRowHeight="12.75"/>
  <cols>
    <col min="1" max="97" width="2.5703125" customWidth="1"/>
    <col min="98" max="98" width="5.5703125" customWidth="1"/>
    <col min="99" max="99" width="5.85546875" customWidth="1"/>
    <col min="100" max="100" width="5.5703125" customWidth="1"/>
  </cols>
  <sheetData>
    <row r="1" spans="1:101">
      <c r="A1" s="436"/>
      <c r="B1" s="436"/>
      <c r="C1" s="436"/>
      <c r="D1" s="436"/>
      <c r="E1" s="436"/>
      <c r="F1" s="436"/>
      <c r="G1" s="436"/>
      <c r="H1" s="436"/>
      <c r="I1" s="436"/>
      <c r="J1" s="436"/>
      <c r="K1" s="436"/>
      <c r="L1" s="436"/>
      <c r="M1" s="436"/>
      <c r="N1" s="436"/>
      <c r="O1" s="436"/>
      <c r="P1" s="436"/>
      <c r="Q1" s="436"/>
      <c r="R1" s="436"/>
      <c r="S1" s="436"/>
      <c r="T1" s="436"/>
      <c r="U1" s="436"/>
      <c r="V1" s="436"/>
      <c r="W1" s="436"/>
      <c r="X1" s="436"/>
      <c r="Y1" s="436"/>
      <c r="Z1" s="436"/>
      <c r="AA1" s="436"/>
      <c r="AB1" s="436"/>
      <c r="AC1" s="436"/>
      <c r="AD1" s="436"/>
      <c r="AE1" s="436"/>
      <c r="AF1" s="436"/>
      <c r="AG1" s="552"/>
      <c r="AH1" s="552"/>
      <c r="AI1" s="552"/>
      <c r="AJ1" s="552"/>
      <c r="AK1" s="552"/>
      <c r="AL1" s="552"/>
      <c r="AM1" s="552"/>
      <c r="AN1" s="552"/>
      <c r="AO1" s="552"/>
      <c r="AP1" s="552"/>
      <c r="AQ1" s="552"/>
      <c r="AR1" s="552"/>
      <c r="AS1" s="552"/>
      <c r="AT1" s="552"/>
      <c r="AU1" s="552"/>
      <c r="AV1" s="553"/>
      <c r="AW1" s="552"/>
      <c r="AX1" s="552"/>
      <c r="AY1" s="552"/>
      <c r="AZ1" s="552"/>
      <c r="BA1" s="552"/>
      <c r="BB1" s="552"/>
      <c r="BC1" s="552"/>
      <c r="BD1" s="552"/>
      <c r="BE1" s="552"/>
      <c r="BF1" s="552"/>
      <c r="BG1" s="552"/>
      <c r="BH1" s="552"/>
      <c r="BI1" s="552"/>
      <c r="BJ1" s="552"/>
      <c r="BK1" s="552"/>
      <c r="BL1" s="554"/>
      <c r="BM1" s="298">
        <v>1</v>
      </c>
      <c r="BN1" s="51"/>
    </row>
    <row r="2" spans="1:101">
      <c r="A2" s="436"/>
      <c r="B2" s="417"/>
      <c r="C2" s="417"/>
      <c r="D2" s="417"/>
      <c r="E2" s="417"/>
      <c r="F2" s="417"/>
      <c r="G2" s="417"/>
      <c r="H2" s="417"/>
      <c r="I2" s="417"/>
      <c r="J2" s="417"/>
      <c r="K2" s="417"/>
      <c r="L2" s="417"/>
      <c r="M2" s="417"/>
      <c r="N2" s="417"/>
      <c r="O2" s="417"/>
      <c r="P2" s="417"/>
      <c r="Q2" s="417"/>
      <c r="R2" s="417"/>
      <c r="S2" s="417"/>
      <c r="T2" s="417"/>
      <c r="U2" s="417"/>
      <c r="V2" s="417"/>
      <c r="W2" s="417"/>
      <c r="X2" s="417"/>
      <c r="Y2" s="417"/>
      <c r="Z2" s="417"/>
      <c r="AA2" s="417"/>
      <c r="AB2" s="417"/>
      <c r="AC2" s="417"/>
      <c r="AD2" s="417"/>
      <c r="AE2" s="417"/>
      <c r="AF2" s="409"/>
      <c r="AG2" s="552"/>
      <c r="AH2" s="452"/>
      <c r="AI2" s="452"/>
      <c r="AJ2" s="452"/>
      <c r="AK2" s="452"/>
      <c r="AL2" s="452"/>
      <c r="AM2" s="452"/>
      <c r="AN2" s="452"/>
      <c r="AO2" s="452"/>
      <c r="AP2" s="452"/>
      <c r="AQ2" s="452"/>
      <c r="AR2" s="452"/>
      <c r="AS2" s="452"/>
      <c r="AT2" s="452"/>
      <c r="AU2" s="452"/>
      <c r="AV2" s="555"/>
      <c r="AW2" s="552"/>
      <c r="AX2" s="452"/>
      <c r="AY2" s="452"/>
      <c r="AZ2" s="452"/>
      <c r="BA2" s="452"/>
      <c r="BB2" s="452"/>
      <c r="BC2" s="452"/>
      <c r="BD2" s="452"/>
      <c r="BE2" s="452"/>
      <c r="BF2" s="452"/>
      <c r="BG2" s="452"/>
      <c r="BH2" s="452"/>
      <c r="BI2" s="452"/>
      <c r="BJ2" s="452"/>
      <c r="BK2" s="452"/>
      <c r="BL2" s="556"/>
      <c r="BM2" s="189"/>
      <c r="BN2" s="51"/>
      <c r="CW2" t="s">
        <v>742</v>
      </c>
    </row>
    <row r="3" spans="1:101">
      <c r="A3" s="436"/>
      <c r="B3" s="417"/>
      <c r="C3" s="417"/>
      <c r="D3" s="417"/>
      <c r="E3" s="417"/>
      <c r="F3" s="417"/>
      <c r="G3" s="417"/>
      <c r="H3" s="417"/>
      <c r="I3" s="417"/>
      <c r="J3" s="417"/>
      <c r="K3" s="294"/>
      <c r="L3" s="294"/>
      <c r="M3" s="294"/>
      <c r="N3" s="294"/>
      <c r="O3" s="294"/>
      <c r="P3" s="294"/>
      <c r="Q3" s="294"/>
      <c r="R3" s="294"/>
      <c r="S3" s="294"/>
      <c r="T3" s="294"/>
      <c r="U3" s="294"/>
      <c r="V3" s="294"/>
      <c r="W3" s="417"/>
      <c r="X3" s="417"/>
      <c r="Y3" s="417"/>
      <c r="Z3" s="417"/>
      <c r="AA3" s="417"/>
      <c r="AB3" s="417"/>
      <c r="AC3" s="417"/>
      <c r="AD3" s="417"/>
      <c r="AE3" s="417"/>
      <c r="AF3" s="409"/>
      <c r="BM3" s="345"/>
      <c r="BN3" s="51"/>
      <c r="CU3">
        <v>2</v>
      </c>
      <c r="CW3" t="s">
        <v>743</v>
      </c>
    </row>
    <row r="4" spans="1:101">
      <c r="A4" s="436"/>
      <c r="B4" s="417"/>
      <c r="C4" s="417"/>
      <c r="D4" s="417"/>
      <c r="E4" s="417"/>
      <c r="F4" s="436"/>
      <c r="G4" s="417"/>
      <c r="H4" s="417"/>
      <c r="I4" s="417"/>
      <c r="J4" s="294"/>
      <c r="K4" s="433"/>
      <c r="L4" s="433"/>
      <c r="M4" s="433"/>
      <c r="N4" s="433"/>
      <c r="O4" s="433"/>
      <c r="P4" s="433"/>
      <c r="Q4" s="433"/>
      <c r="R4" s="433"/>
      <c r="S4" s="433"/>
      <c r="T4" s="433"/>
      <c r="U4" s="433"/>
      <c r="V4" s="433"/>
      <c r="W4" s="294"/>
      <c r="X4" s="417"/>
      <c r="Y4" s="417"/>
      <c r="Z4" s="417"/>
      <c r="AA4" s="436"/>
      <c r="AB4" s="417"/>
      <c r="AC4" s="417"/>
      <c r="AD4" s="417"/>
      <c r="AE4" s="417"/>
      <c r="AF4" s="409"/>
      <c r="BM4" s="1">
        <v>400</v>
      </c>
      <c r="BN4" s="51"/>
      <c r="CU4">
        <v>2</v>
      </c>
      <c r="CW4" t="s">
        <v>265</v>
      </c>
    </row>
    <row r="5" spans="1:101">
      <c r="A5" s="436"/>
      <c r="B5" s="417"/>
      <c r="C5" s="417"/>
      <c r="D5" s="417"/>
      <c r="E5" s="436"/>
      <c r="F5" s="453"/>
      <c r="G5" s="436"/>
      <c r="H5" s="417"/>
      <c r="I5" s="417"/>
      <c r="J5" s="417"/>
      <c r="K5" s="417"/>
      <c r="L5" s="417"/>
      <c r="M5" s="417"/>
      <c r="N5" s="417"/>
      <c r="O5" s="417"/>
      <c r="P5" s="417"/>
      <c r="Q5" s="417"/>
      <c r="R5" s="417"/>
      <c r="S5" s="417"/>
      <c r="T5" s="417"/>
      <c r="U5" s="417"/>
      <c r="V5" s="417"/>
      <c r="W5" s="417"/>
      <c r="X5" s="417"/>
      <c r="Y5" s="417"/>
      <c r="Z5" s="436"/>
      <c r="AA5" s="453"/>
      <c r="AB5" s="436"/>
      <c r="AC5" s="417"/>
      <c r="AD5" s="417"/>
      <c r="AE5" s="417"/>
      <c r="AF5" s="409"/>
      <c r="BM5" s="1"/>
      <c r="BN5" s="51"/>
      <c r="CU5">
        <v>2</v>
      </c>
      <c r="CW5" t="s">
        <v>744</v>
      </c>
    </row>
    <row r="6" spans="1:101">
      <c r="A6" s="436"/>
      <c r="B6" s="417"/>
      <c r="C6" s="417"/>
      <c r="D6" s="436"/>
      <c r="E6" s="453"/>
      <c r="F6" s="453"/>
      <c r="G6" s="453"/>
      <c r="H6" s="436"/>
      <c r="I6" s="417"/>
      <c r="J6" s="417"/>
      <c r="K6" s="417"/>
      <c r="L6" s="417"/>
      <c r="M6" s="298"/>
      <c r="N6" s="298"/>
      <c r="O6" s="298"/>
      <c r="P6" s="298"/>
      <c r="Q6" s="298"/>
      <c r="R6" s="298"/>
      <c r="S6" s="298"/>
      <c r="T6" s="298"/>
      <c r="U6" s="417"/>
      <c r="V6" s="417"/>
      <c r="W6" s="417"/>
      <c r="X6" s="417"/>
      <c r="Y6" s="436"/>
      <c r="Z6" s="453"/>
      <c r="AA6" s="453"/>
      <c r="AB6" s="453"/>
      <c r="AC6" s="436"/>
      <c r="AD6" s="417"/>
      <c r="AE6" s="417"/>
      <c r="AF6" s="409"/>
      <c r="BM6" s="1">
        <v>5</v>
      </c>
      <c r="BN6" s="51"/>
      <c r="CU6">
        <v>2</v>
      </c>
      <c r="CW6" t="s">
        <v>996</v>
      </c>
    </row>
    <row r="7" spans="1:101">
      <c r="A7" s="436"/>
      <c r="B7" s="417"/>
      <c r="C7" s="417"/>
      <c r="D7" s="417"/>
      <c r="E7" s="436"/>
      <c r="F7" s="453"/>
      <c r="G7" s="453"/>
      <c r="H7" s="453"/>
      <c r="I7" s="436"/>
      <c r="J7" s="417"/>
      <c r="K7" s="417"/>
      <c r="L7" s="417"/>
      <c r="M7" s="298"/>
      <c r="N7" s="440"/>
      <c r="O7" s="440"/>
      <c r="P7" s="440"/>
      <c r="Q7" s="440"/>
      <c r="R7" s="440"/>
      <c r="S7" s="440"/>
      <c r="T7" s="298"/>
      <c r="U7" s="417"/>
      <c r="V7" s="417"/>
      <c r="W7" s="417"/>
      <c r="X7" s="436"/>
      <c r="Y7" s="453"/>
      <c r="Z7" s="453"/>
      <c r="AA7" s="453"/>
      <c r="AB7" s="436"/>
      <c r="AC7" s="417"/>
      <c r="AD7" s="417"/>
      <c r="AE7" s="417"/>
      <c r="AF7" s="409"/>
      <c r="BM7" s="1"/>
      <c r="BN7" s="51"/>
      <c r="CU7">
        <v>2</v>
      </c>
      <c r="CW7" t="s">
        <v>266</v>
      </c>
    </row>
    <row r="8" spans="1:101">
      <c r="A8" s="436"/>
      <c r="B8" s="417"/>
      <c r="C8" s="417"/>
      <c r="D8" s="417"/>
      <c r="E8" s="417"/>
      <c r="F8" s="436"/>
      <c r="G8" s="453"/>
      <c r="H8" s="453"/>
      <c r="I8" s="453"/>
      <c r="J8" s="443"/>
      <c r="K8" s="417"/>
      <c r="L8" s="417"/>
      <c r="M8" s="417"/>
      <c r="N8" s="417"/>
      <c r="O8" s="417"/>
      <c r="P8" s="417"/>
      <c r="Q8" s="417"/>
      <c r="R8" s="417"/>
      <c r="S8" s="417"/>
      <c r="T8" s="417"/>
      <c r="U8" s="417"/>
      <c r="V8" s="417"/>
      <c r="W8" s="443"/>
      <c r="X8" s="453"/>
      <c r="Y8" s="453"/>
      <c r="Z8" s="453"/>
      <c r="AA8" s="436"/>
      <c r="AB8" s="417"/>
      <c r="AC8" s="417"/>
      <c r="AD8" s="417"/>
      <c r="AE8" s="417"/>
      <c r="AF8" s="409"/>
      <c r="BM8" s="1"/>
      <c r="BN8" s="51"/>
      <c r="CU8">
        <v>2</v>
      </c>
      <c r="CW8" t="s">
        <v>267</v>
      </c>
    </row>
    <row r="9" spans="1:101">
      <c r="A9" s="436"/>
      <c r="B9" s="417"/>
      <c r="C9" s="417"/>
      <c r="D9" s="417"/>
      <c r="E9" s="417"/>
      <c r="F9" s="417"/>
      <c r="G9" s="436"/>
      <c r="H9" s="453"/>
      <c r="I9" s="453"/>
      <c r="J9" s="453"/>
      <c r="K9" s="443"/>
      <c r="L9" s="417"/>
      <c r="M9" s="417"/>
      <c r="N9" s="417"/>
      <c r="O9" s="417"/>
      <c r="P9" s="417"/>
      <c r="Q9" s="417"/>
      <c r="R9" s="417"/>
      <c r="S9" s="417"/>
      <c r="T9" s="417"/>
      <c r="U9" s="417"/>
      <c r="V9" s="443"/>
      <c r="W9" s="453"/>
      <c r="X9" s="453"/>
      <c r="Y9" s="453"/>
      <c r="Z9" s="436"/>
      <c r="AA9" s="417"/>
      <c r="AB9" s="417"/>
      <c r="AC9" s="417"/>
      <c r="AD9" s="417"/>
      <c r="AE9" s="417"/>
      <c r="AF9" s="409"/>
      <c r="BM9" s="1"/>
      <c r="BN9" s="51"/>
      <c r="CU9">
        <v>2</v>
      </c>
      <c r="CW9" t="s">
        <v>569</v>
      </c>
    </row>
    <row r="10" spans="1:101">
      <c r="A10" s="436"/>
      <c r="B10" s="417"/>
      <c r="C10" s="417"/>
      <c r="D10" s="294"/>
      <c r="E10" s="417"/>
      <c r="F10" s="417"/>
      <c r="G10" s="417"/>
      <c r="H10" s="443"/>
      <c r="I10" s="453"/>
      <c r="J10" s="453"/>
      <c r="K10" s="453"/>
      <c r="L10" s="443"/>
      <c r="M10" s="417"/>
      <c r="N10" s="417"/>
      <c r="O10" s="433"/>
      <c r="P10" s="433"/>
      <c r="Q10" s="433"/>
      <c r="R10" s="433"/>
      <c r="S10" s="417"/>
      <c r="T10" s="417"/>
      <c r="U10" s="443"/>
      <c r="V10" s="453"/>
      <c r="W10" s="453"/>
      <c r="X10" s="453"/>
      <c r="Y10" s="443"/>
      <c r="Z10" s="417"/>
      <c r="AA10" s="417"/>
      <c r="AB10" s="417"/>
      <c r="AC10" s="294"/>
      <c r="AD10" s="417"/>
      <c r="AE10" s="417"/>
      <c r="AF10" s="409"/>
      <c r="BM10" s="1"/>
      <c r="BN10" s="51"/>
      <c r="CU10">
        <v>2</v>
      </c>
      <c r="CW10" t="s">
        <v>160</v>
      </c>
    </row>
    <row r="11" spans="1:101">
      <c r="A11" s="436"/>
      <c r="B11" s="417"/>
      <c r="C11" s="294"/>
      <c r="D11" s="433"/>
      <c r="E11" s="417"/>
      <c r="F11" s="417"/>
      <c r="G11" s="417"/>
      <c r="H11" s="417"/>
      <c r="I11" s="443"/>
      <c r="J11" s="453"/>
      <c r="K11" s="453"/>
      <c r="L11" s="453"/>
      <c r="M11" s="449"/>
      <c r="N11" s="417"/>
      <c r="O11" s="433"/>
      <c r="P11" s="312"/>
      <c r="Q11" s="312"/>
      <c r="R11" s="433"/>
      <c r="S11" s="417"/>
      <c r="T11" s="449"/>
      <c r="U11" s="453"/>
      <c r="V11" s="453"/>
      <c r="W11" s="453"/>
      <c r="X11" s="443"/>
      <c r="Y11" s="417"/>
      <c r="Z11" s="417"/>
      <c r="AA11" s="417"/>
      <c r="AB11" s="417"/>
      <c r="AC11" s="433"/>
      <c r="AD11" s="294"/>
      <c r="AE11" s="417"/>
      <c r="AF11" s="409"/>
      <c r="BM11" s="1"/>
      <c r="BN11" s="51"/>
      <c r="CU11">
        <v>2</v>
      </c>
    </row>
    <row r="12" spans="1:101">
      <c r="A12" s="436"/>
      <c r="B12" s="417"/>
      <c r="C12" s="294"/>
      <c r="D12" s="433"/>
      <c r="E12" s="417"/>
      <c r="F12" s="417"/>
      <c r="G12" s="417"/>
      <c r="H12" s="417"/>
      <c r="I12" s="417"/>
      <c r="J12" s="443"/>
      <c r="K12" s="453"/>
      <c r="L12" s="453"/>
      <c r="M12" s="453"/>
      <c r="N12" s="449"/>
      <c r="O12" s="417"/>
      <c r="P12" s="417"/>
      <c r="Q12" s="417"/>
      <c r="R12" s="417"/>
      <c r="S12" s="449"/>
      <c r="T12" s="453"/>
      <c r="U12" s="453"/>
      <c r="V12" s="453"/>
      <c r="W12" s="443"/>
      <c r="X12" s="417"/>
      <c r="Y12" s="417"/>
      <c r="Z12" s="417"/>
      <c r="AA12" s="417"/>
      <c r="AB12" s="417"/>
      <c r="AC12" s="433"/>
      <c r="AD12" s="294"/>
      <c r="AE12" s="417"/>
      <c r="AF12" s="409"/>
      <c r="BM12" s="1"/>
      <c r="BN12" s="51"/>
      <c r="CU12">
        <v>2</v>
      </c>
    </row>
    <row r="13" spans="1:101">
      <c r="A13" s="436"/>
      <c r="B13" s="417"/>
      <c r="C13" s="294"/>
      <c r="D13" s="433"/>
      <c r="E13" s="417"/>
      <c r="F13" s="298"/>
      <c r="G13" s="298"/>
      <c r="H13" s="417"/>
      <c r="I13" s="417"/>
      <c r="J13" s="417"/>
      <c r="K13" s="449"/>
      <c r="L13" s="453"/>
      <c r="M13" s="453"/>
      <c r="N13" s="453"/>
      <c r="O13" s="456"/>
      <c r="P13" s="417"/>
      <c r="Q13" s="417"/>
      <c r="R13" s="456"/>
      <c r="S13" s="453"/>
      <c r="T13" s="453"/>
      <c r="U13" s="453"/>
      <c r="V13" s="449"/>
      <c r="W13" s="417"/>
      <c r="X13" s="417"/>
      <c r="Y13" s="417"/>
      <c r="Z13" s="298"/>
      <c r="AA13" s="298"/>
      <c r="AB13" s="417"/>
      <c r="AC13" s="433"/>
      <c r="AD13" s="294"/>
      <c r="AE13" s="417"/>
      <c r="AF13" s="409"/>
      <c r="BM13" s="1"/>
      <c r="BN13" s="51"/>
      <c r="CU13">
        <v>2</v>
      </c>
    </row>
    <row r="14" spans="1:101">
      <c r="A14" s="436"/>
      <c r="B14" s="417"/>
      <c r="C14" s="294"/>
      <c r="D14" s="433"/>
      <c r="E14" s="417"/>
      <c r="F14" s="298"/>
      <c r="G14" s="440"/>
      <c r="H14" s="417"/>
      <c r="I14" s="417"/>
      <c r="J14" s="417"/>
      <c r="K14" s="417"/>
      <c r="L14" s="449"/>
      <c r="M14" s="453"/>
      <c r="N14" s="453"/>
      <c r="O14" s="453"/>
      <c r="P14" s="314"/>
      <c r="Q14" s="314"/>
      <c r="R14" s="453"/>
      <c r="S14" s="453"/>
      <c r="T14" s="453"/>
      <c r="U14" s="449"/>
      <c r="V14" s="417"/>
      <c r="W14" s="417"/>
      <c r="X14" s="417"/>
      <c r="Y14" s="417"/>
      <c r="Z14" s="440"/>
      <c r="AA14" s="298"/>
      <c r="AB14" s="417"/>
      <c r="AC14" s="433"/>
      <c r="AD14" s="294"/>
      <c r="AE14" s="417"/>
      <c r="AF14" s="409"/>
      <c r="BM14" s="1"/>
      <c r="BN14" s="51"/>
      <c r="CU14">
        <v>2</v>
      </c>
    </row>
    <row r="15" spans="1:101">
      <c r="A15" s="436"/>
      <c r="B15" s="417"/>
      <c r="C15" s="294"/>
      <c r="D15" s="433"/>
      <c r="E15" s="417"/>
      <c r="F15" s="298"/>
      <c r="G15" s="440"/>
      <c r="H15" s="417"/>
      <c r="I15" s="417"/>
      <c r="J15" s="433"/>
      <c r="K15" s="433"/>
      <c r="L15" s="417"/>
      <c r="M15" s="456"/>
      <c r="N15" s="453"/>
      <c r="O15" s="453"/>
      <c r="P15" s="453"/>
      <c r="Q15" s="453"/>
      <c r="R15" s="453"/>
      <c r="S15" s="453"/>
      <c r="T15" s="456"/>
      <c r="U15" s="417"/>
      <c r="V15" s="433"/>
      <c r="W15" s="433"/>
      <c r="X15" s="417"/>
      <c r="Y15" s="417"/>
      <c r="Z15" s="440"/>
      <c r="AA15" s="298"/>
      <c r="AB15" s="417"/>
      <c r="AC15" s="433"/>
      <c r="AD15" s="294"/>
      <c r="AE15" s="417"/>
      <c r="AF15" s="409"/>
      <c r="BM15" s="1"/>
      <c r="BN15" s="51"/>
      <c r="CU15">
        <v>2</v>
      </c>
    </row>
    <row r="16" spans="1:101">
      <c r="A16" s="436"/>
      <c r="B16" s="417"/>
      <c r="C16" s="294"/>
      <c r="D16" s="433"/>
      <c r="E16" s="417"/>
      <c r="F16" s="298"/>
      <c r="G16" s="440"/>
      <c r="H16" s="417"/>
      <c r="I16" s="417"/>
      <c r="J16" s="433"/>
      <c r="K16" s="312"/>
      <c r="L16" s="417"/>
      <c r="M16" s="417"/>
      <c r="N16" s="314"/>
      <c r="O16" s="453"/>
      <c r="P16" s="481"/>
      <c r="Q16" s="481"/>
      <c r="R16" s="453"/>
      <c r="S16" s="314"/>
      <c r="T16" s="417"/>
      <c r="U16" s="417"/>
      <c r="V16" s="312"/>
      <c r="W16" s="433"/>
      <c r="X16" s="417"/>
      <c r="Y16" s="417"/>
      <c r="Z16" s="440"/>
      <c r="AA16" s="298"/>
      <c r="AB16" s="417"/>
      <c r="AC16" s="433"/>
      <c r="AD16" s="294"/>
      <c r="AE16" s="417"/>
      <c r="AF16" s="409"/>
      <c r="AG16" s="553"/>
      <c r="AH16" s="555"/>
      <c r="AI16" s="555"/>
      <c r="AJ16" s="555"/>
      <c r="AK16" s="555"/>
      <c r="AL16" s="555"/>
      <c r="AM16" s="555"/>
      <c r="AN16" s="555"/>
      <c r="AO16" s="555"/>
      <c r="AP16" s="555"/>
      <c r="AQ16" s="555"/>
      <c r="AR16" s="555"/>
      <c r="AS16" s="555"/>
      <c r="AT16" s="555"/>
      <c r="AU16" s="555"/>
      <c r="AV16" s="555"/>
      <c r="AW16" s="553"/>
      <c r="AX16" s="555"/>
      <c r="AY16" s="555"/>
      <c r="AZ16" s="555"/>
      <c r="BA16" s="555"/>
      <c r="BB16" s="555"/>
      <c r="BC16" s="555"/>
      <c r="BD16" s="555"/>
      <c r="BE16" s="555"/>
      <c r="BF16" s="555"/>
      <c r="BG16" s="555"/>
      <c r="BH16" s="555"/>
      <c r="BI16" s="555"/>
      <c r="BJ16" s="555"/>
      <c r="BK16" s="555"/>
      <c r="BL16" s="556"/>
      <c r="BM16" s="1"/>
      <c r="BN16" s="51"/>
    </row>
    <row r="17" spans="1:99">
      <c r="AG17" s="552"/>
      <c r="AH17" s="552"/>
      <c r="AI17" s="552"/>
      <c r="AJ17" s="552"/>
      <c r="AK17" s="552"/>
      <c r="AL17" s="552"/>
      <c r="AM17" s="552"/>
      <c r="AN17" s="552"/>
      <c r="AO17" s="552"/>
      <c r="AP17" s="552"/>
      <c r="AQ17" s="552"/>
      <c r="AR17" s="552"/>
      <c r="AS17" s="552"/>
      <c r="AT17" s="552"/>
      <c r="AU17" s="552"/>
      <c r="AV17" s="557"/>
      <c r="AW17" s="552"/>
      <c r="AX17" s="552"/>
      <c r="AY17" s="552"/>
      <c r="AZ17" s="552"/>
      <c r="BA17" s="552"/>
      <c r="BB17" s="552"/>
      <c r="BC17" s="552"/>
      <c r="BD17" s="552"/>
      <c r="BE17" s="552"/>
      <c r="BF17" s="552"/>
      <c r="BG17" s="552"/>
      <c r="BH17" s="552"/>
      <c r="BI17" s="552"/>
      <c r="BJ17" s="552"/>
      <c r="BK17" s="552"/>
      <c r="BL17" s="554"/>
      <c r="BM17" s="1"/>
      <c r="BN17" s="51"/>
      <c r="CT17">
        <v>16</v>
      </c>
    </row>
    <row r="18" spans="1:99">
      <c r="BM18" s="1"/>
      <c r="BN18" s="51"/>
      <c r="CT18">
        <v>15</v>
      </c>
      <c r="CU18">
        <v>2</v>
      </c>
    </row>
    <row r="19" spans="1:99">
      <c r="BM19" s="1"/>
      <c r="BN19" s="51"/>
      <c r="CT19">
        <v>14</v>
      </c>
      <c r="CU19">
        <v>2</v>
      </c>
    </row>
    <row r="20" spans="1:99">
      <c r="BM20" s="1"/>
      <c r="BN20" s="51"/>
      <c r="CT20">
        <v>13</v>
      </c>
      <c r="CU20">
        <v>2</v>
      </c>
    </row>
    <row r="21" spans="1:99">
      <c r="BM21" s="1"/>
      <c r="BN21" s="51"/>
      <c r="CT21">
        <v>12</v>
      </c>
      <c r="CU21">
        <v>2</v>
      </c>
    </row>
    <row r="22" spans="1:99">
      <c r="BM22" s="1"/>
      <c r="BN22" s="51"/>
      <c r="CT22">
        <v>11</v>
      </c>
      <c r="CU22">
        <v>2</v>
      </c>
    </row>
    <row r="23" spans="1:99">
      <c r="BM23" s="1"/>
      <c r="BN23" s="52"/>
      <c r="CT23">
        <v>10</v>
      </c>
      <c r="CU23">
        <v>2</v>
      </c>
    </row>
    <row r="24" spans="1:99">
      <c r="BM24" s="1"/>
      <c r="BN24" s="52"/>
      <c r="CT24">
        <v>9</v>
      </c>
      <c r="CU24">
        <v>2</v>
      </c>
    </row>
    <row r="25" spans="1:99">
      <c r="BM25" s="1"/>
      <c r="BN25" s="52"/>
      <c r="CT25">
        <v>8</v>
      </c>
      <c r="CU25">
        <v>2</v>
      </c>
    </row>
    <row r="26" spans="1:99">
      <c r="BM26" s="1"/>
      <c r="BN26" s="52"/>
      <c r="CT26">
        <v>7</v>
      </c>
      <c r="CU26">
        <v>2</v>
      </c>
    </row>
    <row r="27" spans="1:99">
      <c r="BM27" s="1"/>
      <c r="BN27" s="52"/>
      <c r="CT27">
        <v>6</v>
      </c>
      <c r="CU27">
        <v>2</v>
      </c>
    </row>
    <row r="28" spans="1:99">
      <c r="BM28" s="1"/>
      <c r="BN28" s="52"/>
      <c r="CT28">
        <v>5</v>
      </c>
      <c r="CU28">
        <v>2</v>
      </c>
    </row>
    <row r="29" spans="1:99">
      <c r="BM29" s="1"/>
      <c r="BN29" s="52"/>
      <c r="CT29">
        <v>4</v>
      </c>
      <c r="CU29">
        <v>2</v>
      </c>
    </row>
    <row r="30" spans="1:99">
      <c r="BM30" s="1"/>
      <c r="BN30" s="52"/>
      <c r="CT30">
        <v>3</v>
      </c>
      <c r="CU30">
        <v>2</v>
      </c>
    </row>
    <row r="31" spans="1:99">
      <c r="BM31" s="1"/>
      <c r="BN31" s="52"/>
      <c r="CT31">
        <v>2</v>
      </c>
      <c r="CU31">
        <v>2</v>
      </c>
    </row>
    <row r="32" spans="1:99">
      <c r="A32" s="409"/>
      <c r="B32" s="409"/>
      <c r="C32" s="409"/>
      <c r="D32" s="409"/>
      <c r="E32" s="409"/>
      <c r="F32" s="409"/>
      <c r="G32" s="409"/>
      <c r="H32" s="409"/>
      <c r="I32" s="409"/>
      <c r="J32" s="409"/>
      <c r="K32" s="409"/>
      <c r="L32" s="409"/>
      <c r="M32" s="409"/>
      <c r="N32" s="409"/>
      <c r="O32" s="409"/>
      <c r="P32" s="409"/>
      <c r="Q32" s="409"/>
      <c r="R32" s="409"/>
      <c r="S32" s="409"/>
      <c r="T32" s="409"/>
      <c r="U32" s="409"/>
      <c r="V32" s="409"/>
      <c r="W32" s="409"/>
      <c r="X32" s="409"/>
      <c r="Y32" s="409"/>
      <c r="Z32" s="409"/>
      <c r="AA32" s="409"/>
      <c r="AB32" s="409"/>
      <c r="AC32" s="409"/>
      <c r="AD32" s="409"/>
      <c r="AE32" s="409"/>
      <c r="AF32" s="409"/>
      <c r="BM32" s="176"/>
      <c r="BN32" s="74"/>
      <c r="CU32">
        <v>16</v>
      </c>
    </row>
    <row r="33" spans="1:100">
      <c r="A33" s="563"/>
      <c r="B33" s="563"/>
      <c r="C33" s="563"/>
      <c r="D33" s="563"/>
      <c r="E33" s="563"/>
      <c r="F33" s="563"/>
      <c r="G33" s="563"/>
      <c r="H33" s="563"/>
      <c r="I33" s="563"/>
      <c r="J33" s="563"/>
      <c r="K33" s="563"/>
      <c r="L33" s="563"/>
      <c r="M33" s="563"/>
      <c r="N33" s="563"/>
      <c r="O33" s="563"/>
      <c r="P33" s="563"/>
      <c r="Q33" s="563"/>
      <c r="R33" s="563"/>
      <c r="S33" s="563"/>
      <c r="T33" s="563"/>
      <c r="U33" s="563"/>
      <c r="V33" s="563"/>
      <c r="W33" s="563"/>
      <c r="X33" s="563"/>
      <c r="Y33" s="563"/>
      <c r="Z33" s="563"/>
      <c r="AA33" s="563"/>
      <c r="AB33" s="563"/>
      <c r="AC33" s="563"/>
      <c r="AD33" s="563"/>
      <c r="AE33" s="563"/>
      <c r="AF33" s="563"/>
      <c r="AG33" s="427"/>
      <c r="AH33" s="427"/>
      <c r="AI33" s="434"/>
      <c r="AJ33" s="427"/>
      <c r="AK33" s="427"/>
      <c r="AL33" s="434"/>
      <c r="AM33" s="434"/>
      <c r="AN33" s="427"/>
      <c r="AO33" s="427"/>
      <c r="AP33" s="434"/>
      <c r="AQ33" s="434"/>
      <c r="AR33" s="441"/>
      <c r="AS33" s="441"/>
      <c r="AT33" s="434"/>
      <c r="AU33" s="434"/>
      <c r="AV33" s="434"/>
      <c r="AW33" s="427"/>
      <c r="AX33" s="427"/>
      <c r="AY33" s="434"/>
      <c r="AZ33" s="441"/>
      <c r="BA33" s="441"/>
      <c r="BB33" s="434"/>
      <c r="BC33" s="434"/>
      <c r="BD33" s="427"/>
      <c r="BE33" s="427"/>
      <c r="BF33" s="434"/>
      <c r="BG33" s="434"/>
      <c r="BH33" s="427"/>
      <c r="BI33" s="427"/>
      <c r="BJ33" s="434"/>
      <c r="BK33" s="427"/>
      <c r="BL33" s="427"/>
      <c r="BM33" s="565">
        <v>2</v>
      </c>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row>
    <row r="34" spans="1:100">
      <c r="BM34" s="418"/>
      <c r="CT34">
        <v>1</v>
      </c>
      <c r="CU34">
        <v>1</v>
      </c>
      <c r="CV34">
        <v>1</v>
      </c>
    </row>
    <row r="35" spans="1:100">
      <c r="A35" s="563"/>
      <c r="B35" s="563"/>
      <c r="C35" s="563"/>
      <c r="D35" s="563"/>
      <c r="E35" s="563"/>
      <c r="F35" s="563"/>
      <c r="G35" s="563"/>
      <c r="H35" s="563"/>
      <c r="I35" s="205"/>
      <c r="J35" s="206"/>
      <c r="K35" s="563"/>
      <c r="L35" s="563"/>
      <c r="M35" s="563"/>
      <c r="N35" s="563"/>
      <c r="O35" s="563"/>
      <c r="P35" s="563"/>
      <c r="Q35" s="563"/>
      <c r="R35" s="418"/>
      <c r="S35" s="563"/>
      <c r="T35" s="563"/>
      <c r="U35" s="563"/>
      <c r="V35" s="563"/>
      <c r="W35" s="563"/>
      <c r="X35" s="563"/>
      <c r="Y35" s="563"/>
      <c r="Z35" s="565"/>
      <c r="AA35" s="563"/>
      <c r="AB35" s="563"/>
      <c r="AC35" s="563"/>
      <c r="AD35" s="563"/>
      <c r="AE35" s="563"/>
      <c r="AF35" s="563"/>
      <c r="AG35" s="434"/>
      <c r="AH35" s="434"/>
      <c r="AI35" s="434"/>
      <c r="AJ35" s="434"/>
      <c r="AK35" s="434"/>
      <c r="AL35" s="434"/>
      <c r="AM35" s="434"/>
      <c r="AN35" s="434"/>
      <c r="AO35" s="434"/>
      <c r="AP35" s="434"/>
      <c r="AQ35" s="434"/>
      <c r="AR35" s="434"/>
      <c r="AS35" s="434"/>
      <c r="AT35" s="427"/>
      <c r="AU35" s="427"/>
      <c r="AV35" s="434"/>
      <c r="AW35" s="434"/>
      <c r="AX35" s="434"/>
      <c r="AY35" s="434"/>
      <c r="AZ35" s="434"/>
      <c r="BA35" s="434"/>
      <c r="BB35" s="434"/>
      <c r="BC35" s="434"/>
      <c r="BD35" s="434"/>
      <c r="BE35" s="434"/>
      <c r="BF35" s="434"/>
      <c r="BG35" s="434"/>
      <c r="BH35" s="434"/>
      <c r="BI35" s="434"/>
      <c r="BJ35" s="434"/>
      <c r="BK35" s="434"/>
      <c r="BL35" s="434"/>
      <c r="BM35" s="346"/>
      <c r="BN35" s="206"/>
      <c r="BO35" s="206"/>
      <c r="BP35" s="206"/>
      <c r="BQ35" s="206"/>
      <c r="BR35" s="206"/>
      <c r="BS35" s="206"/>
      <c r="BT35" s="206"/>
      <c r="BU35" s="206"/>
      <c r="BV35" s="206"/>
      <c r="BW35" s="206"/>
      <c r="BX35" s="206"/>
      <c r="BY35" s="206"/>
      <c r="BZ35" s="205"/>
      <c r="CA35" s="205"/>
      <c r="CB35" s="206"/>
      <c r="CC35" s="206"/>
      <c r="CD35" s="206"/>
      <c r="CE35" s="563"/>
      <c r="CF35" s="206"/>
      <c r="CG35" s="206"/>
      <c r="CH35" s="206"/>
      <c r="CI35" s="206"/>
      <c r="CJ35" s="206"/>
      <c r="CK35" s="206"/>
      <c r="CL35" s="206"/>
      <c r="CM35" s="206"/>
      <c r="CN35" s="206"/>
      <c r="CO35" s="563"/>
      <c r="CP35" s="206"/>
      <c r="CQ35" s="206"/>
      <c r="CR35" s="206"/>
      <c r="CS35" s="206"/>
    </row>
    <row r="36" spans="1:100">
      <c r="A36" s="563"/>
      <c r="B36" s="563"/>
      <c r="C36" s="563"/>
      <c r="D36" s="563"/>
      <c r="E36" s="563"/>
      <c r="F36" s="563"/>
      <c r="G36" s="563"/>
      <c r="H36" s="563"/>
      <c r="I36" s="205"/>
      <c r="J36" s="563"/>
      <c r="K36" s="563"/>
      <c r="L36" s="563"/>
      <c r="M36" s="563"/>
      <c r="N36" s="563"/>
      <c r="O36" s="563"/>
      <c r="P36" s="563"/>
      <c r="Q36" s="563"/>
      <c r="R36" s="418"/>
      <c r="S36" s="563"/>
      <c r="T36" s="563"/>
      <c r="U36" s="563"/>
      <c r="V36" s="563"/>
      <c r="W36" s="563"/>
      <c r="X36" s="563"/>
      <c r="Y36" s="563"/>
      <c r="Z36" s="565"/>
      <c r="AA36" s="565"/>
      <c r="AB36" s="563"/>
      <c r="AC36" s="563"/>
      <c r="AD36" s="563"/>
      <c r="AE36" s="563"/>
      <c r="AF36" s="563"/>
      <c r="BM36" s="1"/>
      <c r="BN36" s="206"/>
      <c r="BO36" s="206"/>
      <c r="BP36" s="206"/>
      <c r="BQ36" s="206"/>
      <c r="BR36" s="206"/>
      <c r="BS36" s="206"/>
      <c r="BT36" s="206"/>
      <c r="BU36" s="206"/>
      <c r="BV36" s="206"/>
      <c r="BW36" s="563"/>
      <c r="BX36" s="206"/>
      <c r="BY36" s="206"/>
      <c r="BZ36" s="206"/>
      <c r="CA36" s="205"/>
      <c r="CB36" s="206"/>
      <c r="CC36" s="206"/>
      <c r="CD36" s="206"/>
      <c r="CE36" s="563"/>
      <c r="CF36" s="563"/>
      <c r="CG36" s="206"/>
      <c r="CH36" s="206"/>
      <c r="CI36" s="206"/>
      <c r="CJ36" s="206"/>
      <c r="CK36" s="206"/>
      <c r="CL36" s="206"/>
      <c r="CM36" s="206"/>
      <c r="CN36" s="206"/>
      <c r="CO36" s="563"/>
      <c r="CP36" s="206"/>
      <c r="CQ36" s="206"/>
      <c r="CR36" s="206"/>
      <c r="CS36" s="206"/>
      <c r="CU36">
        <v>3</v>
      </c>
    </row>
    <row r="37" spans="1:100">
      <c r="A37" s="563"/>
      <c r="B37" s="563"/>
      <c r="C37" s="563"/>
      <c r="D37" s="565"/>
      <c r="E37" s="418"/>
      <c r="F37" s="563"/>
      <c r="G37" s="563"/>
      <c r="H37" s="563"/>
      <c r="I37" s="563"/>
      <c r="J37" s="563"/>
      <c r="K37" s="563"/>
      <c r="L37" s="563"/>
      <c r="M37" s="563"/>
      <c r="N37" s="563"/>
      <c r="O37" s="563"/>
      <c r="P37" s="563"/>
      <c r="Q37" s="563"/>
      <c r="R37" s="563"/>
      <c r="S37" s="563"/>
      <c r="T37" s="563"/>
      <c r="U37" s="563"/>
      <c r="V37" s="563"/>
      <c r="W37" s="563"/>
      <c r="X37" s="563"/>
      <c r="Y37" s="563"/>
      <c r="Z37" s="565"/>
      <c r="AA37" s="418"/>
      <c r="AB37" s="563"/>
      <c r="AC37" s="563"/>
      <c r="AD37" s="563"/>
      <c r="AE37" s="563"/>
      <c r="AF37" s="563"/>
      <c r="AG37" s="427"/>
      <c r="AH37" s="427"/>
      <c r="AI37" s="434"/>
      <c r="AJ37" s="434"/>
      <c r="AK37" s="434"/>
      <c r="AL37" s="427"/>
      <c r="AM37" s="434"/>
      <c r="AN37" s="434"/>
      <c r="AO37" s="427"/>
      <c r="AP37" s="427"/>
      <c r="AQ37" s="434"/>
      <c r="AR37" s="434"/>
      <c r="AS37" s="434"/>
      <c r="AT37" s="434"/>
      <c r="AU37" s="434"/>
      <c r="AV37" s="434"/>
      <c r="AW37" s="434"/>
      <c r="AX37" s="441"/>
      <c r="AY37" s="441"/>
      <c r="AZ37" s="434"/>
      <c r="BA37" s="434"/>
      <c r="BB37" s="434"/>
      <c r="BC37" s="434"/>
      <c r="BD37" s="427"/>
      <c r="BE37" s="434"/>
      <c r="BF37" s="434"/>
      <c r="BG37" s="427"/>
      <c r="BH37" s="427"/>
      <c r="BI37" s="434"/>
      <c r="BJ37" s="434"/>
      <c r="BK37" s="427"/>
      <c r="BL37" s="427"/>
      <c r="BM37" s="1"/>
      <c r="BN37" s="206"/>
      <c r="BO37" s="206"/>
      <c r="BP37" s="206"/>
      <c r="BQ37" s="206"/>
      <c r="BR37" s="206"/>
      <c r="BS37" s="206"/>
      <c r="BT37" s="206"/>
      <c r="BU37" s="206"/>
      <c r="BV37" s="206"/>
      <c r="BW37" s="563"/>
      <c r="BX37" s="206"/>
      <c r="BY37" s="206"/>
      <c r="BZ37" s="206"/>
      <c r="CA37" s="206"/>
      <c r="CB37" s="206"/>
      <c r="CC37" s="206"/>
      <c r="CD37" s="206"/>
      <c r="CE37" s="418"/>
      <c r="CF37" s="418"/>
      <c r="CG37" s="206"/>
      <c r="CH37" s="206"/>
      <c r="CI37" s="206"/>
      <c r="CJ37" s="206"/>
      <c r="CK37" s="206"/>
      <c r="CL37" s="206"/>
      <c r="CM37" s="206"/>
      <c r="CN37" s="206"/>
      <c r="CO37" s="563"/>
      <c r="CP37" s="206"/>
      <c r="CQ37" s="206"/>
      <c r="CR37" s="206"/>
      <c r="CS37" s="206"/>
    </row>
    <row r="38" spans="1:100">
      <c r="A38" s="563"/>
      <c r="B38" s="563"/>
      <c r="C38" s="563"/>
      <c r="D38" s="565"/>
      <c r="E38" s="565"/>
      <c r="F38" s="563"/>
      <c r="G38" s="563"/>
      <c r="H38" s="563"/>
      <c r="I38" s="563"/>
      <c r="J38" s="563"/>
      <c r="K38" s="563"/>
      <c r="L38" s="563"/>
      <c r="M38" s="563"/>
      <c r="N38" s="563"/>
      <c r="O38" s="563"/>
      <c r="P38" s="563"/>
      <c r="Q38" s="563"/>
      <c r="R38" s="563"/>
      <c r="S38" s="563"/>
      <c r="T38" s="563"/>
      <c r="U38" s="563"/>
      <c r="V38" s="563"/>
      <c r="W38" s="563"/>
      <c r="X38" s="563"/>
      <c r="Y38" s="563"/>
      <c r="Z38" s="565"/>
      <c r="AA38" s="563"/>
      <c r="AB38" s="563"/>
      <c r="AC38" s="563"/>
      <c r="AD38" s="563"/>
      <c r="AE38" s="563"/>
      <c r="AF38" s="563"/>
      <c r="BM38" s="1"/>
      <c r="BN38" s="206"/>
      <c r="BO38" s="206"/>
      <c r="BP38" s="206"/>
      <c r="BQ38" s="206"/>
      <c r="BR38" s="206"/>
      <c r="BS38" s="206"/>
      <c r="BT38" s="206"/>
      <c r="BU38" s="206"/>
      <c r="BV38" s="206"/>
      <c r="BW38" s="563"/>
      <c r="BX38" s="206"/>
      <c r="BY38" s="206"/>
      <c r="BZ38" s="206"/>
      <c r="CA38" s="206"/>
      <c r="CB38" s="206"/>
      <c r="CC38" s="206"/>
      <c r="CD38" s="206"/>
      <c r="CE38" s="206"/>
      <c r="CF38" s="206"/>
      <c r="CG38" s="206"/>
      <c r="CH38" s="206"/>
      <c r="CI38" s="206"/>
      <c r="CJ38" s="206"/>
      <c r="CK38" s="206"/>
      <c r="CL38" s="206"/>
      <c r="CM38" s="206"/>
      <c r="CN38" s="206"/>
      <c r="CO38" s="563"/>
      <c r="CP38" s="206"/>
      <c r="CQ38" s="206"/>
      <c r="CR38" s="206"/>
      <c r="CS38" s="290"/>
      <c r="CU38">
        <v>5</v>
      </c>
    </row>
    <row r="39" spans="1:100">
      <c r="AG39" s="434"/>
      <c r="AH39" s="434"/>
      <c r="AI39" s="434"/>
      <c r="AJ39" s="434"/>
      <c r="AK39" s="434"/>
      <c r="AL39" s="434"/>
      <c r="AM39" s="434"/>
      <c r="AN39" s="434"/>
      <c r="AO39" s="434"/>
      <c r="AP39" s="434"/>
      <c r="AQ39" s="434"/>
      <c r="AR39" s="434"/>
      <c r="AS39" s="434"/>
      <c r="AT39" s="434"/>
      <c r="AU39" s="427"/>
      <c r="AV39" s="434"/>
      <c r="AW39" s="434"/>
      <c r="AX39" s="434"/>
      <c r="AY39" s="434"/>
      <c r="AZ39" s="434"/>
      <c r="BA39" s="434"/>
      <c r="BB39" s="427"/>
      <c r="BC39" s="427"/>
      <c r="BD39" s="434"/>
      <c r="BE39" s="434"/>
      <c r="BF39" s="434"/>
      <c r="BG39" s="434"/>
      <c r="BH39" s="434"/>
      <c r="BI39" s="434"/>
      <c r="BJ39" s="434"/>
      <c r="BK39" s="434"/>
      <c r="BL39" s="434"/>
      <c r="BM39" s="1"/>
      <c r="CT39">
        <v>1</v>
      </c>
      <c r="CV39">
        <v>6</v>
      </c>
    </row>
    <row r="40" spans="1:100">
      <c r="AG40" s="434"/>
      <c r="AH40" s="434"/>
      <c r="AI40" s="427"/>
      <c r="AJ40" s="427"/>
      <c r="AK40" s="434"/>
      <c r="AL40" s="434"/>
      <c r="AM40" s="441"/>
      <c r="AN40" s="441"/>
      <c r="AO40" s="434"/>
      <c r="AP40" s="434"/>
      <c r="AQ40" s="434"/>
      <c r="AR40" s="441"/>
      <c r="AS40" s="441"/>
      <c r="AT40" s="434"/>
      <c r="AU40" s="434"/>
      <c r="AV40" s="434"/>
      <c r="AW40" s="434"/>
      <c r="AX40" s="434"/>
      <c r="AY40" s="434"/>
      <c r="AZ40" s="434"/>
      <c r="BA40" s="434"/>
      <c r="BB40" s="427"/>
      <c r="BC40" s="427"/>
      <c r="BD40" s="434"/>
      <c r="BE40" s="434"/>
      <c r="BF40" s="434"/>
      <c r="BG40" s="434"/>
      <c r="BH40" s="434"/>
      <c r="BI40" s="434"/>
      <c r="BJ40" s="434"/>
      <c r="BK40" s="427"/>
      <c r="BL40" s="427"/>
      <c r="BM40" s="1"/>
      <c r="BN40" s="206"/>
      <c r="BO40" s="206"/>
      <c r="BP40" s="206"/>
      <c r="BQ40" s="206"/>
      <c r="BR40" s="418"/>
      <c r="BS40" s="206"/>
      <c r="BT40" s="206"/>
      <c r="BU40" s="206"/>
      <c r="BV40" s="206"/>
      <c r="BW40" s="563"/>
      <c r="BX40" s="206"/>
      <c r="BY40" s="206"/>
      <c r="BZ40" s="206"/>
      <c r="CA40" s="206"/>
      <c r="CB40" s="206"/>
      <c r="CC40" s="206"/>
      <c r="CD40" s="206"/>
      <c r="CE40" s="206"/>
      <c r="CF40" s="206"/>
      <c r="CG40" s="206"/>
      <c r="CH40" s="206"/>
      <c r="CI40" s="206"/>
      <c r="CJ40" s="206"/>
      <c r="CK40" s="206"/>
      <c r="CL40" s="206"/>
      <c r="CM40" s="206"/>
      <c r="CN40" s="206"/>
      <c r="CO40" s="206"/>
      <c r="CP40" s="206"/>
      <c r="CQ40" s="206"/>
      <c r="CR40" s="206"/>
      <c r="CS40" s="206"/>
      <c r="CT40">
        <v>1</v>
      </c>
    </row>
    <row r="41" spans="1:100">
      <c r="A41" s="563"/>
      <c r="B41" s="563"/>
      <c r="C41" s="563"/>
      <c r="D41" s="563"/>
      <c r="E41" s="563"/>
      <c r="F41" s="563"/>
      <c r="G41" s="563"/>
      <c r="H41" s="563"/>
      <c r="I41" s="563"/>
      <c r="J41" s="563"/>
      <c r="K41" s="565"/>
      <c r="L41" s="563"/>
      <c r="M41" s="563"/>
      <c r="N41" s="563"/>
      <c r="O41" s="563"/>
      <c r="P41" s="563"/>
      <c r="Q41" s="563"/>
      <c r="R41" s="563"/>
      <c r="S41" s="563"/>
      <c r="T41" s="563"/>
      <c r="U41" s="563"/>
      <c r="V41" s="563"/>
      <c r="W41" s="563"/>
      <c r="X41" s="563"/>
      <c r="Y41" s="563"/>
      <c r="Z41" s="563"/>
      <c r="AA41" s="563"/>
      <c r="AB41" s="563"/>
      <c r="AC41" s="563"/>
      <c r="AD41" s="563"/>
      <c r="AE41" s="563"/>
      <c r="AF41" s="563"/>
      <c r="AG41" s="427"/>
      <c r="AH41" s="427"/>
      <c r="AI41" s="427"/>
      <c r="AJ41" s="427"/>
      <c r="AK41" s="434"/>
      <c r="AL41" s="434"/>
      <c r="AM41" s="441"/>
      <c r="AN41" s="441"/>
      <c r="AO41" s="434"/>
      <c r="AP41" s="434"/>
      <c r="AQ41" s="434"/>
      <c r="AR41" s="441"/>
      <c r="AS41" s="441"/>
      <c r="AT41" s="434"/>
      <c r="AU41" s="427"/>
      <c r="AV41" s="427"/>
      <c r="AW41" s="434"/>
      <c r="AX41" s="434"/>
      <c r="AY41" s="434"/>
      <c r="AZ41" s="434"/>
      <c r="BA41" s="434"/>
      <c r="BB41" s="434"/>
      <c r="BC41" s="434"/>
      <c r="BD41" s="434"/>
      <c r="BE41" s="441"/>
      <c r="BF41" s="441"/>
      <c r="BG41" s="434"/>
      <c r="BH41" s="434"/>
      <c r="BI41" s="427"/>
      <c r="BJ41" s="427"/>
      <c r="BK41" s="427"/>
      <c r="BL41" s="427"/>
      <c r="BM41" s="1"/>
      <c r="CV41">
        <v>8</v>
      </c>
    </row>
    <row r="42" spans="1:100">
      <c r="AG42" s="427"/>
      <c r="AH42" s="427"/>
      <c r="AI42" s="434"/>
      <c r="AJ42" s="434"/>
      <c r="AK42" s="434"/>
      <c r="AL42" s="434"/>
      <c r="AM42" s="434"/>
      <c r="AN42" s="434"/>
      <c r="AO42" s="434"/>
      <c r="AP42" s="434"/>
      <c r="AQ42" s="434"/>
      <c r="AR42" s="434"/>
      <c r="AS42" s="434"/>
      <c r="AT42" s="434"/>
      <c r="AU42" s="427"/>
      <c r="AV42" s="427"/>
      <c r="AW42" s="434"/>
      <c r="AX42" s="434"/>
      <c r="AY42" s="434"/>
      <c r="AZ42" s="434"/>
      <c r="BA42" s="434"/>
      <c r="BB42" s="434"/>
      <c r="BC42" s="434"/>
      <c r="BD42" s="434"/>
      <c r="BE42" s="441"/>
      <c r="BF42" s="441"/>
      <c r="BG42" s="434"/>
      <c r="BH42" s="434"/>
      <c r="BI42" s="427"/>
      <c r="BJ42" s="427"/>
      <c r="BK42" s="434"/>
      <c r="BL42" s="434"/>
      <c r="BM42" s="1"/>
      <c r="BN42" s="206"/>
      <c r="BO42" s="206"/>
      <c r="BP42" s="206"/>
      <c r="BQ42" s="206"/>
      <c r="BR42" s="206"/>
      <c r="BS42" s="206"/>
      <c r="BT42" s="206"/>
      <c r="BU42" s="206"/>
      <c r="BV42" s="206"/>
      <c r="BW42" s="206"/>
      <c r="BX42" s="206"/>
      <c r="BY42" s="206"/>
      <c r="BZ42" s="206"/>
      <c r="CA42" s="290"/>
      <c r="CB42" s="206"/>
      <c r="CC42" s="206"/>
      <c r="CD42" s="206"/>
      <c r="CE42" s="206"/>
      <c r="CF42" s="206"/>
      <c r="CG42" s="206"/>
      <c r="CH42" s="206"/>
      <c r="CI42" s="206"/>
      <c r="CJ42" s="206"/>
      <c r="CK42" s="206"/>
      <c r="CL42" s="206"/>
      <c r="CM42" s="206"/>
      <c r="CN42" s="206"/>
      <c r="CO42" s="206"/>
      <c r="CP42" s="206"/>
      <c r="CQ42" s="206"/>
      <c r="CR42" s="206"/>
      <c r="CS42" s="206"/>
      <c r="CT42">
        <v>9</v>
      </c>
    </row>
    <row r="43" spans="1:100">
      <c r="A43" s="563"/>
      <c r="B43" s="563"/>
      <c r="C43" s="563"/>
      <c r="D43" s="563"/>
      <c r="E43" s="563"/>
      <c r="F43" s="563"/>
      <c r="G43" s="563"/>
      <c r="H43" s="563"/>
      <c r="I43" s="563"/>
      <c r="J43" s="563"/>
      <c r="K43" s="565"/>
      <c r="L43" s="563"/>
      <c r="M43" s="563"/>
      <c r="N43" s="563"/>
      <c r="O43" s="563"/>
      <c r="P43" s="566"/>
      <c r="Q43" s="418"/>
      <c r="R43" s="563"/>
      <c r="S43" s="563"/>
      <c r="T43" s="563"/>
      <c r="U43" s="563"/>
      <c r="V43" s="565"/>
      <c r="W43" s="563"/>
      <c r="X43" s="563"/>
      <c r="Y43" s="563"/>
      <c r="Z43" s="563"/>
      <c r="AA43" s="563"/>
      <c r="AB43" s="563"/>
      <c r="AC43" s="205"/>
      <c r="AD43" s="563"/>
      <c r="AE43" s="563"/>
      <c r="AF43" s="563"/>
      <c r="AG43" s="434"/>
      <c r="AH43" s="434"/>
      <c r="AI43" s="434"/>
      <c r="AJ43" s="427"/>
      <c r="AK43" s="427"/>
      <c r="AL43" s="434"/>
      <c r="AM43" s="434"/>
      <c r="AN43" s="434"/>
      <c r="AO43" s="434"/>
      <c r="AP43" s="434"/>
      <c r="AQ43" s="434"/>
      <c r="AR43" s="434"/>
      <c r="AS43" s="434"/>
      <c r="AT43" s="434"/>
      <c r="AU43" s="434"/>
      <c r="AV43" s="434"/>
      <c r="AW43" s="434"/>
      <c r="AX43" s="434"/>
      <c r="AY43" s="434"/>
      <c r="AZ43" s="427"/>
      <c r="BA43" s="427"/>
      <c r="BB43" s="434"/>
      <c r="BC43" s="434"/>
      <c r="BD43" s="434"/>
      <c r="BE43" s="434"/>
      <c r="BF43" s="434"/>
      <c r="BG43" s="434"/>
      <c r="BH43" s="434"/>
      <c r="BI43" s="434"/>
      <c r="BJ43" s="434"/>
      <c r="BK43" s="434"/>
      <c r="BL43" s="434"/>
      <c r="BM43" s="1"/>
      <c r="CV43">
        <v>10</v>
      </c>
    </row>
    <row r="44" spans="1:100">
      <c r="A44" s="563"/>
      <c r="B44" s="563"/>
      <c r="C44" s="563"/>
      <c r="D44" s="563"/>
      <c r="E44" s="563"/>
      <c r="F44" s="563"/>
      <c r="G44" s="563"/>
      <c r="H44" s="563"/>
      <c r="I44" s="563"/>
      <c r="J44" s="563"/>
      <c r="K44" s="563"/>
      <c r="L44" s="563"/>
      <c r="M44" s="563"/>
      <c r="N44" s="563"/>
      <c r="O44" s="563"/>
      <c r="P44" s="418"/>
      <c r="Q44" s="418"/>
      <c r="R44" s="563"/>
      <c r="S44" s="563"/>
      <c r="T44" s="563"/>
      <c r="U44" s="563"/>
      <c r="V44" s="565"/>
      <c r="W44" s="565"/>
      <c r="X44" s="563"/>
      <c r="Y44" s="563"/>
      <c r="Z44" s="563"/>
      <c r="AA44" s="563"/>
      <c r="AB44" s="563"/>
      <c r="AC44" s="206"/>
      <c r="AD44" s="205"/>
      <c r="AE44" s="563"/>
      <c r="AF44" s="563"/>
      <c r="BM44" s="1"/>
      <c r="BN44" s="206"/>
      <c r="BO44" s="206"/>
      <c r="BP44" s="206"/>
      <c r="BQ44" s="206"/>
      <c r="BR44" s="206"/>
      <c r="BS44" s="206"/>
      <c r="BT44" s="206"/>
      <c r="BU44" s="206"/>
      <c r="BV44" s="206"/>
      <c r="BW44" s="206"/>
      <c r="BX44" s="206"/>
      <c r="BY44" s="206"/>
      <c r="BZ44" s="206"/>
      <c r="CA44" s="206"/>
      <c r="CB44" s="206"/>
      <c r="CC44" s="206"/>
      <c r="CD44" s="206"/>
      <c r="CE44" s="206"/>
      <c r="CF44" s="206"/>
      <c r="CG44" s="206"/>
      <c r="CH44" s="206"/>
      <c r="CI44" s="206"/>
      <c r="CJ44" s="206"/>
      <c r="CK44" s="563"/>
      <c r="CL44" s="565"/>
      <c r="CM44" s="206"/>
      <c r="CN44" s="206"/>
      <c r="CO44" s="206"/>
      <c r="CP44" s="206"/>
      <c r="CQ44" s="206"/>
      <c r="CR44" s="206"/>
      <c r="CS44" s="206"/>
      <c r="CU44">
        <v>11</v>
      </c>
    </row>
    <row r="45" spans="1:100">
      <c r="A45" s="563"/>
      <c r="B45" s="563"/>
      <c r="C45" s="563"/>
      <c r="D45" s="563"/>
      <c r="E45" s="563"/>
      <c r="F45" s="563"/>
      <c r="G45" s="563"/>
      <c r="H45" s="563"/>
      <c r="I45" s="563"/>
      <c r="J45" s="563"/>
      <c r="K45" s="563"/>
      <c r="L45" s="563"/>
      <c r="M45" s="563"/>
      <c r="N45" s="563"/>
      <c r="O45" s="563"/>
      <c r="P45" s="563"/>
      <c r="Q45" s="563"/>
      <c r="R45" s="563"/>
      <c r="S45" s="563"/>
      <c r="T45" s="563"/>
      <c r="U45" s="563"/>
      <c r="V45" s="565"/>
      <c r="W45" s="563"/>
      <c r="X45" s="563"/>
      <c r="Y45" s="563"/>
      <c r="Z45" s="563"/>
      <c r="AA45" s="563"/>
      <c r="AB45" s="563"/>
      <c r="AC45" s="563"/>
      <c r="AD45" s="563"/>
      <c r="AE45" s="563"/>
      <c r="AF45" s="563"/>
      <c r="AG45" s="441"/>
      <c r="AH45" s="441"/>
      <c r="AI45" s="434"/>
      <c r="AJ45" s="434"/>
      <c r="AK45" s="434"/>
      <c r="AL45" s="434"/>
      <c r="AM45" s="434"/>
      <c r="AN45" s="434"/>
      <c r="AO45" s="427"/>
      <c r="AP45" s="427"/>
      <c r="AQ45" s="434"/>
      <c r="AR45" s="434"/>
      <c r="AS45" s="434"/>
      <c r="AT45" s="434"/>
      <c r="AU45" s="434"/>
      <c r="AV45" s="441"/>
      <c r="AW45" s="441"/>
      <c r="AX45" s="434"/>
      <c r="AY45" s="434"/>
      <c r="AZ45" s="434"/>
      <c r="BA45" s="434"/>
      <c r="BB45" s="434"/>
      <c r="BC45" s="434"/>
      <c r="BD45" s="434"/>
      <c r="BE45" s="434"/>
      <c r="BF45" s="427"/>
      <c r="BG45" s="427"/>
      <c r="BH45" s="434"/>
      <c r="BI45" s="434"/>
      <c r="BJ45" s="434"/>
      <c r="BK45" s="441"/>
      <c r="BL45" s="441"/>
      <c r="BM45" s="1"/>
      <c r="BN45" s="206"/>
      <c r="BO45" s="206"/>
      <c r="BP45" s="206"/>
      <c r="BQ45" s="206"/>
      <c r="BR45" s="206"/>
      <c r="BS45" s="206"/>
      <c r="BT45" s="206"/>
      <c r="BU45" s="206"/>
      <c r="BV45" s="206"/>
      <c r="BW45" s="206"/>
      <c r="BX45" s="206"/>
      <c r="BY45" s="206"/>
      <c r="BZ45" s="206"/>
      <c r="CA45" s="206"/>
      <c r="CB45" s="206"/>
      <c r="CC45" s="206"/>
      <c r="CD45" s="206"/>
      <c r="CE45" s="206"/>
      <c r="CF45" s="205"/>
      <c r="CG45" s="206"/>
      <c r="CH45" s="206"/>
      <c r="CI45" s="206"/>
      <c r="CJ45" s="206"/>
      <c r="CK45" s="563"/>
      <c r="CL45" s="206"/>
      <c r="CM45" s="206"/>
      <c r="CN45" s="206"/>
      <c r="CO45" s="206"/>
      <c r="CP45" s="206"/>
      <c r="CQ45" s="206"/>
      <c r="CR45" s="206"/>
      <c r="CS45" s="206"/>
    </row>
    <row r="46" spans="1:100">
      <c r="AG46" s="441"/>
      <c r="AH46" s="441"/>
      <c r="AI46" s="434"/>
      <c r="AJ46" s="434"/>
      <c r="AK46" s="434"/>
      <c r="AL46" s="434"/>
      <c r="AM46" s="434"/>
      <c r="AN46" s="434"/>
      <c r="AO46" s="427"/>
      <c r="AP46" s="427"/>
      <c r="AQ46" s="434"/>
      <c r="AR46" s="434"/>
      <c r="AS46" s="434"/>
      <c r="AT46" s="434"/>
      <c r="AU46" s="434"/>
      <c r="AV46" s="441"/>
      <c r="AW46" s="441"/>
      <c r="AX46" s="434"/>
      <c r="AY46" s="434"/>
      <c r="AZ46" s="434"/>
      <c r="BA46" s="434"/>
      <c r="BB46" s="434"/>
      <c r="BC46" s="434"/>
      <c r="BD46" s="434"/>
      <c r="BE46" s="434"/>
      <c r="BF46" s="427"/>
      <c r="BG46" s="427"/>
      <c r="BH46" s="434"/>
      <c r="BI46" s="434"/>
      <c r="BJ46" s="434"/>
      <c r="BK46" s="441"/>
      <c r="BL46" s="441"/>
      <c r="BM46" s="1"/>
      <c r="CT46">
        <v>13</v>
      </c>
      <c r="CV46">
        <v>13</v>
      </c>
    </row>
    <row r="47" spans="1:100">
      <c r="AG47" s="427"/>
      <c r="AH47" s="427"/>
      <c r="AI47" s="434"/>
      <c r="AJ47" s="434"/>
      <c r="AK47" s="434"/>
      <c r="AL47" s="434"/>
      <c r="AM47" s="434"/>
      <c r="AN47" s="434"/>
      <c r="AO47" s="434"/>
      <c r="AP47" s="434"/>
      <c r="AQ47" s="434"/>
      <c r="AR47" s="434"/>
      <c r="AS47" s="427"/>
      <c r="AT47" s="427"/>
      <c r="AU47" s="434"/>
      <c r="AV47" s="434"/>
      <c r="AW47" s="434"/>
      <c r="AX47" s="434"/>
      <c r="AY47" s="434"/>
      <c r="AZ47" s="434"/>
      <c r="BA47" s="434"/>
      <c r="BB47" s="441"/>
      <c r="BC47" s="441"/>
      <c r="BD47" s="434"/>
      <c r="BE47" s="434"/>
      <c r="BF47" s="434"/>
      <c r="BG47" s="434"/>
      <c r="BH47" s="434"/>
      <c r="BI47" s="434"/>
      <c r="BJ47" s="434"/>
      <c r="BK47" s="434"/>
      <c r="BL47" s="434"/>
      <c r="BM47" s="1"/>
      <c r="BN47" s="206"/>
      <c r="BO47" s="206"/>
      <c r="BP47" s="206"/>
      <c r="BQ47" s="206"/>
      <c r="BR47" s="206"/>
      <c r="BS47" s="206"/>
      <c r="BT47" s="206"/>
      <c r="BU47" s="565"/>
      <c r="BV47" s="206"/>
      <c r="BW47" s="206"/>
      <c r="BX47" s="206"/>
      <c r="BY47" s="206"/>
      <c r="BZ47" s="206"/>
      <c r="CA47" s="206"/>
      <c r="CB47" s="206"/>
      <c r="CC47" s="206"/>
      <c r="CD47" s="206"/>
      <c r="CE47" s="206"/>
      <c r="CF47" s="206"/>
      <c r="CG47" s="206"/>
      <c r="CH47" s="206"/>
      <c r="CI47" s="206"/>
      <c r="CJ47" s="206"/>
      <c r="CK47" s="206"/>
      <c r="CL47" s="206"/>
      <c r="CM47" s="206"/>
      <c r="CN47" s="206"/>
      <c r="CO47" s="206"/>
      <c r="CP47" s="206"/>
      <c r="CQ47" s="206"/>
      <c r="CR47" s="206"/>
      <c r="CS47" s="206"/>
      <c r="CT47">
        <v>1</v>
      </c>
    </row>
    <row r="48" spans="1:100">
      <c r="BM48" s="1"/>
      <c r="BN48" s="206"/>
      <c r="BO48" s="206"/>
      <c r="BP48" s="206"/>
      <c r="BQ48" s="206"/>
      <c r="BR48" s="206"/>
      <c r="BS48" s="206"/>
      <c r="BT48" s="206"/>
      <c r="BU48" s="563"/>
      <c r="BV48" s="206"/>
      <c r="BW48" s="206"/>
      <c r="BX48" s="206"/>
      <c r="BY48" s="206"/>
      <c r="BZ48" s="206"/>
      <c r="CA48" s="563"/>
      <c r="CB48" s="206"/>
      <c r="CC48" s="206"/>
      <c r="CD48" s="206"/>
      <c r="CE48" s="206"/>
      <c r="CF48" s="206"/>
      <c r="CG48" s="206"/>
      <c r="CH48" s="206"/>
      <c r="CI48" s="206"/>
      <c r="CJ48" s="206"/>
      <c r="CK48" s="206"/>
      <c r="CL48" s="206"/>
      <c r="CM48" s="206"/>
      <c r="CN48" s="206"/>
      <c r="CO48" s="206"/>
      <c r="CP48" s="206"/>
      <c r="CQ48" s="206"/>
      <c r="CR48" s="206"/>
      <c r="CS48" s="206"/>
      <c r="CT48">
        <v>1</v>
      </c>
      <c r="CU48">
        <v>15</v>
      </c>
    </row>
    <row r="49" spans="1:100">
      <c r="A49" s="563"/>
      <c r="B49" s="563"/>
      <c r="C49" s="563"/>
      <c r="D49" s="418"/>
      <c r="E49" s="565"/>
      <c r="F49" s="563"/>
      <c r="G49" s="563"/>
      <c r="H49" s="563"/>
      <c r="I49" s="563"/>
      <c r="J49" s="563"/>
      <c r="K49" s="563"/>
      <c r="L49" s="563"/>
      <c r="M49" s="563"/>
      <c r="N49" s="563"/>
      <c r="O49" s="563"/>
      <c r="P49" s="563"/>
      <c r="Q49" s="565"/>
      <c r="R49" s="565"/>
      <c r="S49" s="563"/>
      <c r="T49" s="563"/>
      <c r="U49" s="563"/>
      <c r="V49" s="563"/>
      <c r="W49" s="563"/>
      <c r="X49" s="563"/>
      <c r="Y49" s="563"/>
      <c r="Z49" s="563"/>
      <c r="AA49" s="563"/>
      <c r="AB49" s="563"/>
      <c r="AC49" s="563"/>
      <c r="AD49" s="563"/>
      <c r="AE49" s="563"/>
      <c r="AF49" s="563"/>
      <c r="AG49" s="434"/>
      <c r="AH49" s="434"/>
      <c r="AI49" s="434"/>
      <c r="AJ49" s="434"/>
      <c r="AK49" s="434"/>
      <c r="AL49" s="434"/>
      <c r="AM49" s="427"/>
      <c r="AN49" s="427"/>
      <c r="AO49" s="434"/>
      <c r="AP49" s="434"/>
      <c r="AQ49" s="434"/>
      <c r="AR49" s="434"/>
      <c r="AS49" s="434"/>
      <c r="AT49" s="434"/>
      <c r="AU49" s="434"/>
      <c r="AV49" s="434"/>
      <c r="AW49" s="434"/>
      <c r="AX49" s="427"/>
      <c r="AY49" s="427"/>
      <c r="AZ49" s="434"/>
      <c r="BA49" s="434"/>
      <c r="BB49" s="434"/>
      <c r="BC49" s="434"/>
      <c r="BD49" s="434"/>
      <c r="BE49" s="434"/>
      <c r="BF49" s="434"/>
      <c r="BG49" s="441"/>
      <c r="BH49" s="441"/>
      <c r="BI49" s="434"/>
      <c r="BJ49" s="427"/>
      <c r="BK49" s="427"/>
      <c r="BL49" s="434"/>
      <c r="BM49" s="1"/>
      <c r="BN49" s="206"/>
      <c r="BO49" s="206"/>
      <c r="BP49" s="206"/>
      <c r="BQ49" s="206"/>
      <c r="BR49" s="206"/>
      <c r="BS49" s="206"/>
      <c r="BT49" s="206"/>
      <c r="BU49" s="563"/>
      <c r="BV49" s="206"/>
      <c r="BW49" s="206"/>
      <c r="BX49" s="206"/>
      <c r="BY49" s="206"/>
      <c r="BZ49" s="206"/>
      <c r="CA49" s="565"/>
      <c r="CB49" s="206"/>
      <c r="CC49" s="206"/>
      <c r="CD49" s="206"/>
      <c r="CE49" s="206"/>
      <c r="CF49" s="206"/>
      <c r="CG49" s="206"/>
      <c r="CH49" s="206"/>
      <c r="CI49" s="206"/>
      <c r="CJ49" s="206"/>
      <c r="CK49" s="206"/>
      <c r="CL49" s="206"/>
      <c r="CM49" s="206"/>
      <c r="CN49" s="206"/>
      <c r="CO49" s="206"/>
      <c r="CP49" s="206"/>
      <c r="CQ49" s="206"/>
      <c r="CR49" s="206"/>
      <c r="CS49" s="206"/>
    </row>
    <row r="50" spans="1:100">
      <c r="A50" s="563"/>
      <c r="B50" s="563"/>
      <c r="C50" s="563"/>
      <c r="D50" s="566"/>
      <c r="E50" s="565"/>
      <c r="F50" s="563"/>
      <c r="G50" s="563"/>
      <c r="H50" s="563"/>
      <c r="I50" s="563"/>
      <c r="J50" s="563"/>
      <c r="K50" s="563"/>
      <c r="L50" s="563"/>
      <c r="M50" s="563"/>
      <c r="N50" s="563"/>
      <c r="O50" s="563"/>
      <c r="P50" s="563"/>
      <c r="Q50" s="567"/>
      <c r="R50" s="418"/>
      <c r="S50" s="563"/>
      <c r="T50" s="563"/>
      <c r="U50" s="563"/>
      <c r="V50" s="563"/>
      <c r="W50" s="563"/>
      <c r="X50" s="563"/>
      <c r="Y50" s="563"/>
      <c r="Z50" s="563"/>
      <c r="AA50" s="563"/>
      <c r="AB50" s="563"/>
      <c r="AC50" s="563"/>
      <c r="AD50" s="563"/>
      <c r="AE50" s="563"/>
      <c r="AF50" s="563"/>
      <c r="BM50" s="1"/>
      <c r="BN50" s="206"/>
      <c r="BO50" s="206"/>
      <c r="BP50" s="206"/>
      <c r="BQ50" s="206"/>
      <c r="BR50" s="206"/>
      <c r="BS50" s="206"/>
      <c r="BT50" s="206"/>
      <c r="BU50" s="563"/>
      <c r="BV50" s="206"/>
      <c r="BW50" s="206"/>
      <c r="BX50" s="206"/>
      <c r="BY50" s="206"/>
      <c r="BZ50" s="206"/>
      <c r="CA50" s="206"/>
      <c r="CB50" s="206"/>
      <c r="CC50" s="206"/>
      <c r="CD50" s="206"/>
      <c r="CE50" s="206"/>
      <c r="CF50" s="206"/>
      <c r="CG50" s="206"/>
      <c r="CH50" s="206"/>
      <c r="CI50" s="206"/>
      <c r="CJ50" s="206"/>
      <c r="CK50" s="206"/>
      <c r="CL50" s="206"/>
      <c r="CM50" s="205"/>
      <c r="CN50" s="206"/>
      <c r="CO50" s="206"/>
      <c r="CP50" s="206"/>
      <c r="CQ50" s="206"/>
      <c r="CR50" s="418"/>
      <c r="CS50" s="206"/>
      <c r="CU50">
        <v>17</v>
      </c>
    </row>
    <row r="51" spans="1:100">
      <c r="A51" s="563"/>
      <c r="B51" s="563"/>
      <c r="C51" s="563"/>
      <c r="D51" s="418"/>
      <c r="E51" s="565"/>
      <c r="F51" s="563"/>
      <c r="G51" s="563"/>
      <c r="H51" s="563"/>
      <c r="I51" s="563"/>
      <c r="J51" s="563"/>
      <c r="K51" s="563"/>
      <c r="L51" s="563"/>
      <c r="M51" s="563"/>
      <c r="N51" s="563"/>
      <c r="O51" s="563"/>
      <c r="P51" s="563"/>
      <c r="Q51" s="563"/>
      <c r="R51" s="563"/>
      <c r="S51" s="563"/>
      <c r="T51" s="563"/>
      <c r="U51" s="563"/>
      <c r="V51" s="563"/>
      <c r="W51" s="563"/>
      <c r="X51" s="563"/>
      <c r="Y51" s="418"/>
      <c r="Z51" s="563"/>
      <c r="AA51" s="563"/>
      <c r="AB51" s="563"/>
      <c r="AC51" s="563"/>
      <c r="AD51" s="563"/>
      <c r="AE51" s="563"/>
      <c r="AF51" s="563"/>
      <c r="AG51" s="441"/>
      <c r="AH51" s="441"/>
      <c r="AI51" s="434"/>
      <c r="AJ51" s="434"/>
      <c r="AK51" s="434"/>
      <c r="AL51" s="434"/>
      <c r="AM51" s="434"/>
      <c r="AN51" s="434"/>
      <c r="AO51" s="434"/>
      <c r="AP51" s="427"/>
      <c r="AQ51" s="434"/>
      <c r="AR51" s="434"/>
      <c r="AS51" s="434"/>
      <c r="AT51" s="434"/>
      <c r="AU51" s="434"/>
      <c r="AV51" s="434"/>
      <c r="AW51" s="434"/>
      <c r="AX51" s="434"/>
      <c r="AY51" s="434"/>
      <c r="AZ51" s="434"/>
      <c r="BA51" s="434"/>
      <c r="BB51" s="434"/>
      <c r="BC51" s="434"/>
      <c r="BD51" s="427"/>
      <c r="BE51" s="427"/>
      <c r="BF51" s="434"/>
      <c r="BG51" s="434"/>
      <c r="BH51" s="434"/>
      <c r="BI51" s="434"/>
      <c r="BJ51" s="434"/>
      <c r="BK51" s="434"/>
      <c r="BL51" s="434"/>
      <c r="BM51" s="1"/>
      <c r="CV51">
        <v>18</v>
      </c>
    </row>
    <row r="52" spans="1:100">
      <c r="AG52" s="441"/>
      <c r="AH52" s="441"/>
      <c r="AI52" s="434"/>
      <c r="AJ52" s="427"/>
      <c r="AK52" s="434"/>
      <c r="AL52" s="434"/>
      <c r="AM52" s="434"/>
      <c r="AN52" s="434"/>
      <c r="AO52" s="434"/>
      <c r="AP52" s="434"/>
      <c r="AQ52" s="434"/>
      <c r="AR52" s="434"/>
      <c r="AS52" s="427"/>
      <c r="AT52" s="427"/>
      <c r="AU52" s="434"/>
      <c r="AV52" s="434"/>
      <c r="AW52" s="434"/>
      <c r="AX52" s="434"/>
      <c r="AY52" s="434"/>
      <c r="AZ52" s="434"/>
      <c r="BA52" s="427"/>
      <c r="BB52" s="434"/>
      <c r="BC52" s="434"/>
      <c r="BD52" s="427"/>
      <c r="BE52" s="427"/>
      <c r="BF52" s="434"/>
      <c r="BG52" s="434"/>
      <c r="BH52" s="427"/>
      <c r="BI52" s="434"/>
      <c r="BJ52" s="434"/>
      <c r="BK52" s="441"/>
      <c r="BL52" s="441"/>
      <c r="BM52" s="1"/>
      <c r="BN52" s="206"/>
      <c r="BO52" s="206"/>
      <c r="BP52" s="206"/>
      <c r="BQ52" s="206"/>
      <c r="BR52" s="206"/>
      <c r="BS52" s="206"/>
      <c r="BT52" s="206"/>
      <c r="BU52" s="206"/>
      <c r="BV52" s="206"/>
      <c r="BW52" s="206"/>
      <c r="BX52" s="206"/>
      <c r="BY52" s="206"/>
      <c r="BZ52" s="206"/>
      <c r="CA52" s="206"/>
      <c r="CB52" s="206"/>
      <c r="CC52" s="206"/>
      <c r="CD52" s="206"/>
      <c r="CE52" s="206"/>
      <c r="CF52" s="206"/>
      <c r="CG52" s="563"/>
      <c r="CH52" s="206"/>
      <c r="CI52" s="206"/>
      <c r="CJ52" s="206"/>
      <c r="CK52" s="206"/>
      <c r="CL52" s="206"/>
      <c r="CM52" s="206"/>
      <c r="CN52" s="206"/>
      <c r="CO52" s="206"/>
      <c r="CP52" s="206"/>
      <c r="CQ52" s="206"/>
      <c r="CR52" s="206"/>
      <c r="CS52" s="206"/>
      <c r="CT52">
        <v>19</v>
      </c>
    </row>
    <row r="53" spans="1:100">
      <c r="A53" s="563"/>
      <c r="B53" s="563"/>
      <c r="C53" s="563"/>
      <c r="D53" s="563"/>
      <c r="E53" s="563"/>
      <c r="F53" s="563"/>
      <c r="G53" s="563"/>
      <c r="H53" s="563"/>
      <c r="I53" s="563"/>
      <c r="J53" s="563"/>
      <c r="K53" s="563"/>
      <c r="L53" s="563"/>
      <c r="M53" s="418"/>
      <c r="N53" s="563"/>
      <c r="O53" s="563"/>
      <c r="P53" s="563"/>
      <c r="Q53" s="563"/>
      <c r="R53" s="563"/>
      <c r="S53" s="563"/>
      <c r="T53" s="563"/>
      <c r="U53" s="563"/>
      <c r="V53" s="563"/>
      <c r="W53" s="563"/>
      <c r="X53" s="563"/>
      <c r="Y53" s="566"/>
      <c r="Z53" s="418"/>
      <c r="AA53" s="563"/>
      <c r="AB53" s="563"/>
      <c r="AC53" s="563"/>
      <c r="AD53" s="563"/>
      <c r="AE53" s="563"/>
      <c r="AF53" s="563"/>
      <c r="AG53" s="434"/>
      <c r="AH53" s="434"/>
      <c r="AI53" s="434"/>
      <c r="AJ53" s="434"/>
      <c r="AK53" s="434"/>
      <c r="AL53" s="434"/>
      <c r="AM53" s="434"/>
      <c r="AN53" s="434"/>
      <c r="AO53" s="434"/>
      <c r="AP53" s="434"/>
      <c r="AQ53" s="434"/>
      <c r="AR53" s="434"/>
      <c r="AS53" s="427"/>
      <c r="AT53" s="427"/>
      <c r="AU53" s="434"/>
      <c r="AV53" s="434"/>
      <c r="AW53" s="434"/>
      <c r="AX53" s="434"/>
      <c r="AY53" s="434"/>
      <c r="AZ53" s="434"/>
      <c r="BA53" s="434"/>
      <c r="BB53" s="434"/>
      <c r="BC53" s="434"/>
      <c r="BD53" s="434"/>
      <c r="BE53" s="434"/>
      <c r="BF53" s="434"/>
      <c r="BG53" s="434"/>
      <c r="BH53" s="434"/>
      <c r="BI53" s="434"/>
      <c r="BJ53" s="434"/>
      <c r="BK53" s="441"/>
      <c r="BL53" s="441"/>
      <c r="BM53" s="1"/>
      <c r="CV53">
        <v>20</v>
      </c>
    </row>
    <row r="54" spans="1:100">
      <c r="A54" s="563"/>
      <c r="B54" s="563"/>
      <c r="C54" s="563"/>
      <c r="D54" s="563"/>
      <c r="E54" s="563"/>
      <c r="F54" s="563"/>
      <c r="G54" s="563"/>
      <c r="H54" s="563"/>
      <c r="I54" s="563"/>
      <c r="J54" s="563"/>
      <c r="K54" s="563"/>
      <c r="L54" s="563"/>
      <c r="M54" s="418"/>
      <c r="N54" s="565"/>
      <c r="O54" s="563"/>
      <c r="P54" s="563"/>
      <c r="Q54" s="563"/>
      <c r="R54" s="563"/>
      <c r="S54" s="563"/>
      <c r="T54" s="563"/>
      <c r="U54" s="563"/>
      <c r="V54" s="563"/>
      <c r="W54" s="563"/>
      <c r="X54" s="563"/>
      <c r="Y54" s="418"/>
      <c r="Z54" s="563"/>
      <c r="AA54" s="563"/>
      <c r="AB54" s="563"/>
      <c r="AC54" s="563"/>
      <c r="AD54" s="563"/>
      <c r="AE54" s="563"/>
      <c r="AF54" s="563"/>
      <c r="AG54" s="427"/>
      <c r="AH54" s="427"/>
      <c r="AI54" s="434"/>
      <c r="AJ54" s="427"/>
      <c r="AK54" s="427"/>
      <c r="AL54" s="434"/>
      <c r="AM54" s="434"/>
      <c r="AN54" s="434"/>
      <c r="AO54" s="427"/>
      <c r="AP54" s="427"/>
      <c r="AQ54" s="434"/>
      <c r="AR54" s="434"/>
      <c r="AS54" s="434"/>
      <c r="AT54" s="434"/>
      <c r="AU54" s="434"/>
      <c r="AV54" s="441"/>
      <c r="AW54" s="441"/>
      <c r="AX54" s="434"/>
      <c r="AY54" s="434"/>
      <c r="AZ54" s="427"/>
      <c r="BA54" s="427"/>
      <c r="BB54" s="434"/>
      <c r="BC54" s="434"/>
      <c r="BD54" s="434"/>
      <c r="BE54" s="434"/>
      <c r="BF54" s="441"/>
      <c r="BG54" s="441"/>
      <c r="BH54" s="434"/>
      <c r="BI54" s="434"/>
      <c r="BJ54" s="434"/>
      <c r="BK54" s="434"/>
      <c r="BL54" s="434"/>
      <c r="BM54" s="1"/>
      <c r="BN54" s="206"/>
      <c r="BO54" s="206"/>
      <c r="BP54" s="206"/>
      <c r="BQ54" s="206"/>
      <c r="BR54" s="206"/>
      <c r="BS54" s="206"/>
      <c r="BT54" s="206"/>
      <c r="BU54" s="206"/>
      <c r="BV54" s="206"/>
      <c r="BW54" s="206"/>
      <c r="BX54" s="205"/>
      <c r="BY54" s="205"/>
      <c r="BZ54" s="206"/>
      <c r="CA54" s="206"/>
      <c r="CB54" s="206"/>
      <c r="CC54" s="206"/>
      <c r="CD54" s="206"/>
      <c r="CE54" s="206"/>
      <c r="CF54" s="206"/>
      <c r="CG54" s="565"/>
      <c r="CH54" s="206"/>
      <c r="CI54" s="206"/>
      <c r="CJ54" s="206"/>
      <c r="CK54" s="206"/>
      <c r="CL54" s="206"/>
      <c r="CM54" s="206"/>
      <c r="CN54" s="206"/>
      <c r="CO54" s="206"/>
      <c r="CP54" s="206"/>
      <c r="CQ54" s="206"/>
      <c r="CR54" s="206"/>
      <c r="CS54" s="206"/>
    </row>
    <row r="55" spans="1:100">
      <c r="A55" s="563"/>
      <c r="B55" s="563"/>
      <c r="C55" s="563"/>
      <c r="D55" s="563"/>
      <c r="E55" s="563"/>
      <c r="F55" s="563"/>
      <c r="G55" s="563"/>
      <c r="H55" s="563"/>
      <c r="I55" s="563"/>
      <c r="J55" s="563"/>
      <c r="K55" s="563"/>
      <c r="L55" s="563"/>
      <c r="M55" s="418"/>
      <c r="N55" s="563"/>
      <c r="O55" s="563"/>
      <c r="P55" s="563"/>
      <c r="Q55" s="563"/>
      <c r="R55" s="563"/>
      <c r="S55" s="563"/>
      <c r="T55" s="565"/>
      <c r="U55" s="563"/>
      <c r="V55" s="563"/>
      <c r="W55" s="563"/>
      <c r="X55" s="563"/>
      <c r="Y55" s="565"/>
      <c r="Z55" s="563"/>
      <c r="AA55" s="563"/>
      <c r="AB55" s="563"/>
      <c r="AC55" s="563"/>
      <c r="AD55" s="563"/>
      <c r="AE55" s="563"/>
      <c r="AF55" s="563"/>
      <c r="BM55" s="1"/>
      <c r="BN55" s="206"/>
      <c r="BO55" s="206"/>
      <c r="BP55" s="418"/>
      <c r="BQ55" s="206"/>
      <c r="BR55" s="206"/>
      <c r="BS55" s="206"/>
      <c r="BT55" s="206"/>
      <c r="BU55" s="206"/>
      <c r="BV55" s="206"/>
      <c r="BW55" s="206"/>
      <c r="BX55" s="205"/>
      <c r="BY55" s="206"/>
      <c r="BZ55" s="206"/>
      <c r="CA55" s="206"/>
      <c r="CB55" s="206"/>
      <c r="CC55" s="206"/>
      <c r="CD55" s="206"/>
      <c r="CE55" s="206"/>
      <c r="CF55" s="206"/>
      <c r="CG55" s="563"/>
      <c r="CH55" s="206"/>
      <c r="CI55" s="206"/>
      <c r="CJ55" s="206"/>
      <c r="CK55" s="206"/>
      <c r="CL55" s="206"/>
      <c r="CM55" s="206"/>
      <c r="CN55" s="563"/>
      <c r="CO55" s="206"/>
      <c r="CP55" s="206"/>
      <c r="CQ55" s="206"/>
      <c r="CR55" s="206"/>
      <c r="CS55" s="206"/>
      <c r="CU55">
        <v>22</v>
      </c>
    </row>
    <row r="56" spans="1:100">
      <c r="AG56" s="434"/>
      <c r="AH56" s="434"/>
      <c r="AI56" s="434"/>
      <c r="AJ56" s="434"/>
      <c r="AK56" s="434"/>
      <c r="AL56" s="434"/>
      <c r="AM56" s="427"/>
      <c r="AN56" s="434"/>
      <c r="AO56" s="434"/>
      <c r="AP56" s="434"/>
      <c r="AQ56" s="434"/>
      <c r="AR56" s="434"/>
      <c r="AS56" s="434"/>
      <c r="AT56" s="434"/>
      <c r="AU56" s="434"/>
      <c r="AV56" s="434"/>
      <c r="AW56" s="434"/>
      <c r="AX56" s="434"/>
      <c r="AY56" s="434"/>
      <c r="AZ56" s="434"/>
      <c r="BA56" s="434"/>
      <c r="BB56" s="434"/>
      <c r="BC56" s="434"/>
      <c r="BD56" s="434"/>
      <c r="BE56" s="434"/>
      <c r="BF56" s="434"/>
      <c r="BG56" s="434"/>
      <c r="BH56" s="434"/>
      <c r="BI56" s="427"/>
      <c r="BJ56" s="434"/>
      <c r="BK56" s="427"/>
      <c r="BL56" s="427"/>
      <c r="BM56" s="1"/>
      <c r="BN56" s="206"/>
      <c r="BO56" s="206"/>
      <c r="BP56" s="563"/>
      <c r="BQ56" s="206"/>
      <c r="BR56" s="206"/>
      <c r="BS56" s="206"/>
      <c r="BT56" s="290"/>
      <c r="BU56" s="206"/>
      <c r="BV56" s="206"/>
      <c r="BW56" s="206"/>
      <c r="BX56" s="206"/>
      <c r="BY56" s="206"/>
      <c r="BZ56" s="206"/>
      <c r="CA56" s="206"/>
      <c r="CB56" s="206"/>
      <c r="CC56" s="206"/>
      <c r="CD56" s="206"/>
      <c r="CE56" s="206"/>
      <c r="CF56" s="206"/>
      <c r="CG56" s="206"/>
      <c r="CH56" s="206"/>
      <c r="CI56" s="206"/>
      <c r="CJ56" s="206"/>
      <c r="CK56" s="206"/>
      <c r="CL56" s="206"/>
      <c r="CM56" s="206"/>
      <c r="CN56" s="418"/>
      <c r="CO56" s="206"/>
      <c r="CP56" s="206"/>
      <c r="CQ56" s="206"/>
      <c r="CR56" s="206"/>
      <c r="CS56" s="206"/>
      <c r="CT56">
        <v>23</v>
      </c>
    </row>
    <row r="57" spans="1:100">
      <c r="A57" s="563"/>
      <c r="B57" s="563"/>
      <c r="C57" s="563"/>
      <c r="D57" s="563"/>
      <c r="E57" s="563"/>
      <c r="F57" s="563"/>
      <c r="G57" s="563"/>
      <c r="H57" s="563"/>
      <c r="I57" s="563"/>
      <c r="J57" s="563"/>
      <c r="K57" s="563"/>
      <c r="L57" s="563"/>
      <c r="M57" s="563"/>
      <c r="N57" s="563"/>
      <c r="O57" s="563"/>
      <c r="P57" s="563"/>
      <c r="Q57" s="563"/>
      <c r="R57" s="563"/>
      <c r="S57" s="563"/>
      <c r="T57" s="567"/>
      <c r="U57" s="563"/>
      <c r="V57" s="563"/>
      <c r="W57" s="563"/>
      <c r="X57" s="563"/>
      <c r="Y57" s="563"/>
      <c r="Z57" s="563"/>
      <c r="AA57" s="563"/>
      <c r="AB57" s="563"/>
      <c r="AC57" s="563"/>
      <c r="AD57" s="563"/>
      <c r="AE57" s="563"/>
      <c r="AF57" s="563"/>
      <c r="AG57" s="434"/>
      <c r="AH57" s="434"/>
      <c r="AI57" s="434"/>
      <c r="AJ57" s="434"/>
      <c r="AK57" s="434"/>
      <c r="AL57" s="434"/>
      <c r="AM57" s="434"/>
      <c r="AN57" s="434"/>
      <c r="AO57" s="434"/>
      <c r="AP57" s="434"/>
      <c r="AQ57" s="434"/>
      <c r="AR57" s="434"/>
      <c r="AS57" s="427"/>
      <c r="AT57" s="427"/>
      <c r="AU57" s="434"/>
      <c r="AV57" s="434"/>
      <c r="AW57" s="434"/>
      <c r="AX57" s="434"/>
      <c r="AY57" s="434"/>
      <c r="AZ57" s="434"/>
      <c r="BA57" s="434"/>
      <c r="BB57" s="434"/>
      <c r="BC57" s="434"/>
      <c r="BD57" s="427"/>
      <c r="BE57" s="427"/>
      <c r="BF57" s="434"/>
      <c r="BG57" s="434"/>
      <c r="BH57" s="434"/>
      <c r="BI57" s="434"/>
      <c r="BJ57" s="434"/>
      <c r="BK57" s="434"/>
      <c r="BL57" s="434"/>
      <c r="BM57" s="1"/>
      <c r="CV57">
        <v>24</v>
      </c>
    </row>
    <row r="58" spans="1:100">
      <c r="A58" s="563"/>
      <c r="B58" s="563"/>
      <c r="C58" s="563"/>
      <c r="D58" s="563"/>
      <c r="E58" s="563"/>
      <c r="F58" s="563"/>
      <c r="G58" s="563"/>
      <c r="H58" s="565"/>
      <c r="I58" s="563"/>
      <c r="J58" s="563"/>
      <c r="K58" s="563"/>
      <c r="L58" s="563"/>
      <c r="M58" s="563"/>
      <c r="N58" s="563"/>
      <c r="O58" s="563"/>
      <c r="P58" s="563"/>
      <c r="Q58" s="563"/>
      <c r="R58" s="563"/>
      <c r="S58" s="563"/>
      <c r="T58" s="565"/>
      <c r="U58" s="563"/>
      <c r="V58" s="563"/>
      <c r="W58" s="563"/>
      <c r="X58" s="563"/>
      <c r="Y58" s="563"/>
      <c r="Z58" s="563"/>
      <c r="AA58" s="563"/>
      <c r="AB58" s="563"/>
      <c r="AC58" s="563"/>
      <c r="AD58" s="563"/>
      <c r="AE58" s="563"/>
      <c r="AF58" s="563"/>
      <c r="BM58" s="1"/>
      <c r="BN58" s="206"/>
      <c r="BO58" s="206"/>
      <c r="BP58" s="206"/>
      <c r="BQ58" s="206"/>
      <c r="BR58" s="206"/>
      <c r="BS58" s="206"/>
      <c r="BT58" s="206"/>
      <c r="BU58" s="206"/>
      <c r="BV58" s="206"/>
      <c r="BW58" s="206"/>
      <c r="BX58" s="206"/>
      <c r="BY58" s="206"/>
      <c r="BZ58" s="206"/>
      <c r="CA58" s="206"/>
      <c r="CB58" s="206"/>
      <c r="CC58" s="206"/>
      <c r="CD58" s="206"/>
      <c r="CE58" s="206"/>
      <c r="CF58" s="206"/>
      <c r="CG58" s="206"/>
      <c r="CH58" s="206"/>
      <c r="CI58" s="206"/>
      <c r="CJ58" s="206"/>
      <c r="CK58" s="206"/>
      <c r="CL58" s="206"/>
      <c r="CM58" s="206"/>
      <c r="CN58" s="563"/>
      <c r="CO58" s="206"/>
      <c r="CP58" s="206"/>
      <c r="CQ58" s="206"/>
      <c r="CR58" s="206"/>
      <c r="CS58" s="206"/>
      <c r="CU58">
        <v>25</v>
      </c>
    </row>
    <row r="59" spans="1:100">
      <c r="AG59" s="427"/>
      <c r="AH59" s="427"/>
      <c r="AI59" s="434"/>
      <c r="AJ59" s="434"/>
      <c r="AK59" s="434"/>
      <c r="AL59" s="441"/>
      <c r="AM59" s="441"/>
      <c r="AN59" s="434"/>
      <c r="AO59" s="434"/>
      <c r="AP59" s="441"/>
      <c r="AQ59" s="441"/>
      <c r="AR59" s="434"/>
      <c r="AS59" s="434"/>
      <c r="AT59" s="434"/>
      <c r="AU59" s="434"/>
      <c r="AV59" s="434"/>
      <c r="AW59" s="427"/>
      <c r="AX59" s="427"/>
      <c r="AY59" s="434"/>
      <c r="AZ59" s="441"/>
      <c r="BA59" s="441"/>
      <c r="BB59" s="434"/>
      <c r="BC59" s="434"/>
      <c r="BD59" s="434"/>
      <c r="BE59" s="434"/>
      <c r="BF59" s="434"/>
      <c r="BG59" s="427"/>
      <c r="BH59" s="427"/>
      <c r="BI59" s="434"/>
      <c r="BJ59" s="434"/>
      <c r="BK59" s="427"/>
      <c r="BL59" s="427"/>
      <c r="BM59" s="1"/>
      <c r="BN59" s="206"/>
      <c r="BO59" s="206"/>
      <c r="BP59" s="206"/>
      <c r="BQ59" s="206"/>
      <c r="BR59" s="206"/>
      <c r="BS59" s="206"/>
      <c r="BT59" s="206"/>
      <c r="BU59" s="206"/>
      <c r="BV59" s="206"/>
      <c r="BW59" s="206"/>
      <c r="BX59" s="206"/>
      <c r="BY59" s="206"/>
      <c r="BZ59" s="206"/>
      <c r="CA59" s="206"/>
      <c r="CB59" s="206"/>
      <c r="CC59" s="206"/>
      <c r="CD59" s="418"/>
      <c r="CE59" s="206"/>
      <c r="CF59" s="206"/>
      <c r="CG59" s="206"/>
      <c r="CH59" s="206"/>
      <c r="CI59" s="206"/>
      <c r="CJ59" s="205"/>
      <c r="CK59" s="206"/>
      <c r="CL59" s="206"/>
      <c r="CM59" s="206"/>
      <c r="CN59" s="206"/>
      <c r="CO59" s="206"/>
      <c r="CP59" s="206"/>
      <c r="CQ59" s="206"/>
      <c r="CR59" s="206"/>
      <c r="CS59" s="206"/>
      <c r="CT59">
        <v>26</v>
      </c>
    </row>
    <row r="60" spans="1:100">
      <c r="A60" s="563"/>
      <c r="B60" s="563"/>
      <c r="C60" s="563"/>
      <c r="D60" s="563"/>
      <c r="E60" s="563"/>
      <c r="F60" s="563"/>
      <c r="G60" s="418"/>
      <c r="H60" s="565"/>
      <c r="I60" s="563"/>
      <c r="J60" s="563"/>
      <c r="K60" s="563"/>
      <c r="L60" s="563"/>
      <c r="M60" s="563"/>
      <c r="N60" s="206"/>
      <c r="O60" s="205"/>
      <c r="P60" s="563"/>
      <c r="Q60" s="563"/>
      <c r="R60" s="563"/>
      <c r="S60" s="563"/>
      <c r="T60" s="563"/>
      <c r="U60" s="563"/>
      <c r="V60" s="563"/>
      <c r="W60" s="563"/>
      <c r="X60" s="563"/>
      <c r="Y60" s="563"/>
      <c r="Z60" s="563"/>
      <c r="AA60" s="565"/>
      <c r="AB60" s="563"/>
      <c r="AC60" s="563"/>
      <c r="AD60" s="563"/>
      <c r="AE60" s="563"/>
      <c r="AF60" s="563"/>
      <c r="BM60" s="1"/>
      <c r="CU60">
        <v>27</v>
      </c>
      <c r="CV60">
        <v>27</v>
      </c>
    </row>
    <row r="61" spans="1:100">
      <c r="A61" s="563"/>
      <c r="B61" s="563"/>
      <c r="C61" s="563"/>
      <c r="D61" s="563"/>
      <c r="E61" s="563"/>
      <c r="F61" s="563"/>
      <c r="G61" s="563"/>
      <c r="H61" s="565"/>
      <c r="I61" s="563"/>
      <c r="J61" s="563"/>
      <c r="K61" s="563"/>
      <c r="L61" s="563"/>
      <c r="M61" s="563"/>
      <c r="N61" s="205"/>
      <c r="O61" s="563"/>
      <c r="P61" s="563"/>
      <c r="Q61" s="563"/>
      <c r="R61" s="563"/>
      <c r="S61" s="563"/>
      <c r="T61" s="563"/>
      <c r="U61" s="563"/>
      <c r="V61" s="563"/>
      <c r="W61" s="563"/>
      <c r="X61" s="563"/>
      <c r="Y61" s="563"/>
      <c r="Z61" s="563"/>
      <c r="AA61" s="418"/>
      <c r="AB61" s="565"/>
      <c r="AC61" s="563"/>
      <c r="AD61" s="563"/>
      <c r="AE61" s="563"/>
      <c r="AF61" s="563"/>
      <c r="AG61" s="434"/>
      <c r="AH61" s="427"/>
      <c r="AI61" s="427"/>
      <c r="AJ61" s="434"/>
      <c r="AK61" s="434"/>
      <c r="AL61" s="434"/>
      <c r="AM61" s="434"/>
      <c r="AN61" s="434"/>
      <c r="AO61" s="434"/>
      <c r="AP61" s="434"/>
      <c r="AQ61" s="434"/>
      <c r="AR61" s="434"/>
      <c r="AS61" s="427"/>
      <c r="AT61" s="427"/>
      <c r="AU61" s="434"/>
      <c r="AV61" s="434"/>
      <c r="AW61" s="434"/>
      <c r="AX61" s="434"/>
      <c r="AY61" s="434"/>
      <c r="AZ61" s="434"/>
      <c r="BA61" s="434"/>
      <c r="BB61" s="434"/>
      <c r="BC61" s="434"/>
      <c r="BD61" s="434"/>
      <c r="BE61" s="434"/>
      <c r="BF61" s="434"/>
      <c r="BG61" s="434"/>
      <c r="BH61" s="434"/>
      <c r="BI61" s="434"/>
      <c r="BJ61" s="434"/>
      <c r="BK61" s="434"/>
      <c r="BL61" s="434"/>
      <c r="BM61" s="1"/>
      <c r="CV61">
        <v>27</v>
      </c>
    </row>
    <row r="62" spans="1:100">
      <c r="A62" s="563"/>
      <c r="B62" s="563"/>
      <c r="C62" s="563"/>
      <c r="D62" s="563"/>
      <c r="E62" s="563"/>
      <c r="F62" s="563"/>
      <c r="G62" s="563"/>
      <c r="H62" s="565"/>
      <c r="I62" s="563"/>
      <c r="J62" s="563"/>
      <c r="K62" s="563"/>
      <c r="L62" s="563"/>
      <c r="M62" s="563"/>
      <c r="N62" s="563"/>
      <c r="O62" s="563"/>
      <c r="P62" s="563"/>
      <c r="Q62" s="563"/>
      <c r="R62" s="563"/>
      <c r="S62" s="563"/>
      <c r="T62" s="563"/>
      <c r="U62" s="563"/>
      <c r="V62" s="563"/>
      <c r="W62" s="563"/>
      <c r="X62" s="563"/>
      <c r="Y62" s="563"/>
      <c r="Z62" s="563"/>
      <c r="AA62" s="563"/>
      <c r="AB62" s="565"/>
      <c r="AC62" s="563"/>
      <c r="AD62" s="563"/>
      <c r="AE62" s="563"/>
      <c r="AF62" s="563"/>
      <c r="BM62" s="1"/>
      <c r="BN62" s="206"/>
      <c r="BO62" s="206"/>
      <c r="BP62" s="206"/>
      <c r="BQ62" s="205"/>
      <c r="BR62" s="206"/>
      <c r="BS62" s="206"/>
      <c r="BT62" s="206"/>
      <c r="BU62" s="206"/>
      <c r="BV62" s="206"/>
      <c r="BW62" s="206"/>
      <c r="BX62" s="206"/>
      <c r="BY62" s="206"/>
      <c r="BZ62" s="563"/>
      <c r="CA62" s="206"/>
      <c r="CB62" s="206"/>
      <c r="CC62" s="206"/>
      <c r="CD62" s="206"/>
      <c r="CE62" s="206"/>
      <c r="CF62" s="206"/>
      <c r="CG62" s="206"/>
      <c r="CH62" s="206"/>
      <c r="CI62" s="206"/>
      <c r="CJ62" s="206"/>
      <c r="CK62" s="206"/>
      <c r="CL62" s="206"/>
      <c r="CM62" s="206"/>
      <c r="CN62" s="206"/>
      <c r="CO62" s="206"/>
      <c r="CP62" s="206"/>
      <c r="CQ62" s="206"/>
      <c r="CR62" s="206"/>
      <c r="CS62" s="206"/>
      <c r="CU62">
        <v>29</v>
      </c>
    </row>
    <row r="63" spans="1:100">
      <c r="AG63" s="427"/>
      <c r="AH63" s="427"/>
      <c r="AI63" s="434"/>
      <c r="AJ63" s="427"/>
      <c r="AK63" s="427"/>
      <c r="AL63" s="434"/>
      <c r="AM63" s="434"/>
      <c r="AN63" s="427"/>
      <c r="AO63" s="427"/>
      <c r="AP63" s="434"/>
      <c r="AQ63" s="427"/>
      <c r="AR63" s="434"/>
      <c r="AS63" s="434"/>
      <c r="AT63" s="434"/>
      <c r="AU63" s="441"/>
      <c r="AV63" s="441"/>
      <c r="AW63" s="434"/>
      <c r="AX63" s="434"/>
      <c r="AY63" s="434"/>
      <c r="AZ63" s="427"/>
      <c r="BA63" s="427"/>
      <c r="BB63" s="434"/>
      <c r="BC63" s="434"/>
      <c r="BD63" s="427"/>
      <c r="BE63" s="427"/>
      <c r="BF63" s="434"/>
      <c r="BG63" s="434"/>
      <c r="BH63" s="427"/>
      <c r="BI63" s="427"/>
      <c r="BJ63" s="434"/>
      <c r="BK63" s="427"/>
      <c r="BL63" s="427"/>
      <c r="BM63" s="1"/>
      <c r="BN63" s="206"/>
      <c r="BO63" s="206"/>
      <c r="BP63" s="206"/>
      <c r="BQ63" s="205"/>
      <c r="BR63" s="206"/>
      <c r="BS63" s="206"/>
      <c r="BT63" s="206"/>
      <c r="BU63" s="206"/>
      <c r="BV63" s="206"/>
      <c r="BW63" s="206"/>
      <c r="BX63" s="206"/>
      <c r="BY63" s="206"/>
      <c r="BZ63" s="565"/>
      <c r="CA63" s="206"/>
      <c r="CB63" s="206"/>
      <c r="CC63" s="206"/>
      <c r="CD63" s="206"/>
      <c r="CE63" s="206"/>
      <c r="CF63" s="206"/>
      <c r="CG63" s="206"/>
      <c r="CH63" s="206"/>
      <c r="CI63" s="206"/>
      <c r="CJ63" s="206"/>
      <c r="CK63" s="206"/>
      <c r="CL63" s="206"/>
      <c r="CM63" s="206"/>
      <c r="CN63" s="206"/>
      <c r="CO63" s="206"/>
      <c r="CP63" s="206"/>
      <c r="CQ63" s="206"/>
      <c r="CR63" s="206"/>
      <c r="CS63" s="206"/>
      <c r="CT63">
        <v>30</v>
      </c>
    </row>
    <row r="64" spans="1:100">
      <c r="A64" s="568"/>
      <c r="B64" s="568"/>
      <c r="C64" s="568"/>
      <c r="D64" s="568"/>
      <c r="E64" s="568"/>
      <c r="F64" s="568"/>
      <c r="G64" s="568"/>
      <c r="H64" s="568"/>
      <c r="I64" s="568"/>
      <c r="J64" s="568"/>
      <c r="K64" s="568"/>
      <c r="L64" s="568"/>
      <c r="M64" s="568"/>
      <c r="N64" s="568"/>
      <c r="O64" s="568"/>
      <c r="P64" s="568"/>
      <c r="Q64" s="568"/>
      <c r="R64" s="568"/>
      <c r="S64" s="568"/>
      <c r="T64" s="568"/>
      <c r="U64" s="568"/>
      <c r="V64" s="568"/>
      <c r="W64" s="568"/>
      <c r="X64" s="568"/>
      <c r="Y64" s="559"/>
      <c r="Z64" s="568"/>
      <c r="AA64" s="568"/>
      <c r="AB64" s="568"/>
      <c r="AC64" s="568"/>
      <c r="AD64" s="568"/>
      <c r="AE64" s="568"/>
      <c r="AF64" s="568"/>
      <c r="BM64" s="176"/>
      <c r="BN64" s="206"/>
      <c r="BO64" s="206"/>
      <c r="BP64" s="206"/>
      <c r="BQ64" s="206"/>
      <c r="BR64" s="206"/>
      <c r="BS64" s="206"/>
      <c r="BT64" s="206"/>
      <c r="BU64" s="206"/>
      <c r="BV64" s="206"/>
      <c r="BW64" s="206"/>
      <c r="BX64" s="206"/>
      <c r="BY64" s="206"/>
      <c r="BZ64" s="563"/>
      <c r="CA64" s="206"/>
      <c r="CB64" s="206"/>
      <c r="CC64" s="206"/>
      <c r="CD64" s="206"/>
      <c r="CE64" s="206"/>
      <c r="CF64" s="206"/>
      <c r="CG64" s="206"/>
      <c r="CH64" s="206"/>
      <c r="CI64" s="206"/>
      <c r="CJ64" s="206"/>
      <c r="CK64" s="206"/>
      <c r="CL64" s="206"/>
      <c r="CM64" s="206"/>
      <c r="CN64" s="206"/>
      <c r="CO64" s="206"/>
      <c r="CP64" s="206"/>
      <c r="CQ64" s="206"/>
      <c r="CR64" s="206"/>
      <c r="CS64" s="206"/>
      <c r="CU64">
        <v>31</v>
      </c>
    </row>
    <row r="65" spans="1:98">
      <c r="A65" s="427"/>
      <c r="B65" s="427"/>
      <c r="C65" s="427"/>
      <c r="D65" s="427"/>
      <c r="E65" s="427"/>
      <c r="F65" s="427"/>
      <c r="G65" s="427"/>
      <c r="H65" s="427"/>
      <c r="I65" s="427"/>
      <c r="J65" s="427"/>
      <c r="K65" s="427"/>
      <c r="L65" s="427"/>
      <c r="M65" s="427"/>
      <c r="N65" s="427"/>
      <c r="O65" s="427"/>
      <c r="P65" s="427"/>
      <c r="Q65" s="434"/>
      <c r="R65" s="434"/>
      <c r="S65" s="434"/>
      <c r="T65" s="434"/>
      <c r="U65" s="434"/>
      <c r="V65" s="434"/>
      <c r="W65" s="434"/>
      <c r="X65" s="434"/>
      <c r="Y65" s="434"/>
      <c r="Z65" s="434"/>
      <c r="AA65" s="434"/>
      <c r="AB65" s="434"/>
      <c r="AC65" s="434"/>
      <c r="AD65" s="434"/>
      <c r="AE65" s="434"/>
      <c r="AF65" s="434"/>
      <c r="BM65" s="192">
        <v>3</v>
      </c>
    </row>
    <row r="66" spans="1:98">
      <c r="BM66" s="191"/>
      <c r="CT66">
        <v>1</v>
      </c>
    </row>
    <row r="67" spans="1:98">
      <c r="A67" s="427"/>
      <c r="B67" s="427"/>
      <c r="C67" s="427"/>
      <c r="D67" s="427"/>
      <c r="E67" s="427"/>
      <c r="F67" s="427"/>
      <c r="G67" s="427"/>
      <c r="H67" s="427"/>
      <c r="I67" s="427"/>
      <c r="J67" s="427"/>
      <c r="K67" s="427"/>
      <c r="L67" s="427"/>
      <c r="M67" s="427"/>
      <c r="N67" s="427"/>
      <c r="O67" s="427"/>
      <c r="P67" s="427"/>
      <c r="Q67" s="434"/>
      <c r="R67" s="434"/>
      <c r="S67" s="434"/>
      <c r="T67" s="434"/>
      <c r="U67" s="434"/>
      <c r="V67" s="434"/>
      <c r="W67" s="434"/>
      <c r="X67" s="434"/>
      <c r="Y67" s="434"/>
      <c r="Z67" s="434"/>
      <c r="AA67" s="427"/>
      <c r="AB67" s="427"/>
      <c r="AC67" s="427"/>
      <c r="AD67" s="434"/>
      <c r="AE67" s="434"/>
      <c r="AF67" s="434"/>
      <c r="BM67" s="342"/>
    </row>
    <row r="68" spans="1:98">
      <c r="BM68" s="1"/>
      <c r="CT68">
        <v>3</v>
      </c>
    </row>
    <row r="69" spans="1:98">
      <c r="BM69" s="1"/>
      <c r="CT69">
        <v>3</v>
      </c>
    </row>
    <row r="70" spans="1:98">
      <c r="A70" s="427"/>
      <c r="B70" s="427"/>
      <c r="C70" s="427"/>
      <c r="D70" s="434"/>
      <c r="E70" s="434"/>
      <c r="F70" s="434"/>
      <c r="G70" s="427"/>
      <c r="H70" s="427"/>
      <c r="I70" s="427"/>
      <c r="J70" s="427"/>
      <c r="K70" s="427"/>
      <c r="L70" s="427"/>
      <c r="M70" s="427"/>
      <c r="N70" s="427"/>
      <c r="O70" s="427"/>
      <c r="P70" s="427"/>
      <c r="Q70" s="434"/>
      <c r="R70" s="434"/>
      <c r="S70" s="434"/>
      <c r="T70" s="434"/>
      <c r="U70" s="434"/>
      <c r="V70" s="434"/>
      <c r="W70" s="434"/>
      <c r="X70" s="434"/>
      <c r="Y70" s="434"/>
      <c r="Z70" s="434"/>
      <c r="AA70" s="434"/>
      <c r="AB70" s="434"/>
      <c r="AC70" s="434"/>
      <c r="AD70" s="434"/>
      <c r="AE70" s="434"/>
      <c r="AF70" s="434"/>
      <c r="BM70" s="1"/>
    </row>
    <row r="71" spans="1:98">
      <c r="BM71" s="1"/>
      <c r="CT71">
        <v>6</v>
      </c>
    </row>
    <row r="72" spans="1:98">
      <c r="BM72" s="1"/>
      <c r="CT72">
        <v>6</v>
      </c>
    </row>
    <row r="73" spans="1:98">
      <c r="A73" s="427"/>
      <c r="B73" s="427"/>
      <c r="C73" s="427"/>
      <c r="D73" s="427"/>
      <c r="E73" s="427"/>
      <c r="F73" s="427"/>
      <c r="G73" s="427"/>
      <c r="H73" s="427"/>
      <c r="I73" s="427"/>
      <c r="J73" s="427"/>
      <c r="K73" s="427"/>
      <c r="L73" s="427"/>
      <c r="M73" s="427"/>
      <c r="N73" s="427"/>
      <c r="O73" s="427"/>
      <c r="P73" s="427"/>
      <c r="Q73" s="434"/>
      <c r="R73" s="441"/>
      <c r="S73" s="441"/>
      <c r="T73" s="441"/>
      <c r="U73" s="434"/>
      <c r="V73" s="434"/>
      <c r="W73" s="434"/>
      <c r="X73" s="434"/>
      <c r="Y73" s="434"/>
      <c r="Z73" s="434"/>
      <c r="AA73" s="434"/>
      <c r="AB73" s="434"/>
      <c r="AC73" s="434"/>
      <c r="AD73" s="434"/>
      <c r="AE73" s="434"/>
      <c r="AF73" s="434"/>
      <c r="BM73" s="1"/>
    </row>
    <row r="74" spans="1:98">
      <c r="BM74" s="1"/>
      <c r="CT74">
        <v>9</v>
      </c>
    </row>
    <row r="75" spans="1:98">
      <c r="BM75" s="1"/>
      <c r="CT75">
        <v>9</v>
      </c>
    </row>
    <row r="76" spans="1:98">
      <c r="BM76" s="1"/>
      <c r="CT76">
        <v>1</v>
      </c>
    </row>
    <row r="77" spans="1:98">
      <c r="BM77" s="1"/>
      <c r="CT77">
        <v>1</v>
      </c>
    </row>
    <row r="78" spans="1:98">
      <c r="BM78" s="1"/>
      <c r="CT78">
        <v>1</v>
      </c>
    </row>
    <row r="79" spans="1:98">
      <c r="BM79" s="1"/>
      <c r="CT79">
        <v>1</v>
      </c>
    </row>
    <row r="80" spans="1:98">
      <c r="BM80" s="1"/>
      <c r="CT80">
        <v>1</v>
      </c>
    </row>
    <row r="81" spans="1:98">
      <c r="A81" s="434"/>
      <c r="B81" s="434"/>
      <c r="C81" s="434"/>
      <c r="D81" s="434"/>
      <c r="E81" s="434"/>
      <c r="F81" s="434"/>
      <c r="G81" s="434"/>
      <c r="H81" s="434"/>
      <c r="I81" s="434"/>
      <c r="J81" s="434"/>
      <c r="K81" s="434"/>
      <c r="L81" s="434"/>
      <c r="M81" s="434"/>
      <c r="N81" s="434"/>
      <c r="O81" s="434"/>
      <c r="P81" s="434"/>
      <c r="Q81" s="427"/>
      <c r="R81" s="427"/>
      <c r="S81" s="427"/>
      <c r="T81" s="427"/>
      <c r="U81" s="427"/>
      <c r="V81" s="427"/>
      <c r="W81" s="427"/>
      <c r="X81" s="427"/>
      <c r="Y81" s="427"/>
      <c r="Z81" s="427"/>
      <c r="AA81" s="427"/>
      <c r="AB81" s="427"/>
      <c r="AC81" s="427"/>
      <c r="AD81" s="427"/>
      <c r="AE81" s="427"/>
      <c r="AF81" s="427"/>
      <c r="BM81" s="1"/>
    </row>
    <row r="82" spans="1:98">
      <c r="BM82" s="1"/>
      <c r="CT82">
        <v>17</v>
      </c>
    </row>
    <row r="83" spans="1:98">
      <c r="A83" s="434"/>
      <c r="B83" s="427"/>
      <c r="C83" s="427"/>
      <c r="D83" s="427"/>
      <c r="E83" s="434"/>
      <c r="F83" s="434"/>
      <c r="G83" s="434"/>
      <c r="H83" s="434"/>
      <c r="I83" s="434"/>
      <c r="J83" s="434"/>
      <c r="K83" s="434"/>
      <c r="L83" s="434"/>
      <c r="M83" s="434"/>
      <c r="N83" s="434"/>
      <c r="O83" s="434"/>
      <c r="P83" s="434"/>
      <c r="Q83" s="427"/>
      <c r="R83" s="427"/>
      <c r="S83" s="427"/>
      <c r="T83" s="427"/>
      <c r="U83" s="427"/>
      <c r="V83" s="427"/>
      <c r="W83" s="427"/>
      <c r="X83" s="427"/>
      <c r="Y83" s="427"/>
      <c r="Z83" s="427"/>
      <c r="AA83" s="427"/>
      <c r="AB83" s="427"/>
      <c r="AC83" s="427"/>
      <c r="AD83" s="427"/>
      <c r="AE83" s="427"/>
      <c r="AF83" s="427"/>
      <c r="BM83" s="1"/>
    </row>
    <row r="84" spans="1:98">
      <c r="BM84" s="1"/>
      <c r="CT84">
        <v>19</v>
      </c>
    </row>
    <row r="85" spans="1:98">
      <c r="BM85" s="1"/>
      <c r="CT85">
        <v>19</v>
      </c>
    </row>
    <row r="86" spans="1:98">
      <c r="A86" s="434"/>
      <c r="B86" s="434"/>
      <c r="C86" s="434"/>
      <c r="D86" s="434"/>
      <c r="E86" s="434"/>
      <c r="F86" s="434"/>
      <c r="G86" s="434"/>
      <c r="H86" s="434"/>
      <c r="I86" s="434"/>
      <c r="J86" s="434"/>
      <c r="K86" s="434"/>
      <c r="L86" s="434"/>
      <c r="M86" s="434"/>
      <c r="N86" s="434"/>
      <c r="O86" s="434"/>
      <c r="P86" s="434"/>
      <c r="Q86" s="427"/>
      <c r="R86" s="427"/>
      <c r="S86" s="427"/>
      <c r="T86" s="427"/>
      <c r="U86" s="427"/>
      <c r="V86" s="566"/>
      <c r="W86" s="566"/>
      <c r="X86" s="566"/>
      <c r="Y86" s="427"/>
      <c r="Z86" s="427"/>
      <c r="AA86" s="427"/>
      <c r="AB86" s="427"/>
      <c r="AC86" s="427"/>
      <c r="AD86" s="427"/>
      <c r="AE86" s="427"/>
      <c r="AF86" s="427"/>
      <c r="BM86" s="1"/>
    </row>
    <row r="87" spans="1:98">
      <c r="BM87" s="1"/>
      <c r="CT87">
        <v>22</v>
      </c>
    </row>
    <row r="88" spans="1:98">
      <c r="BM88" s="1"/>
      <c r="CT88">
        <v>22</v>
      </c>
    </row>
    <row r="89" spans="1:98">
      <c r="BM89" s="1"/>
      <c r="CT89">
        <v>17</v>
      </c>
    </row>
    <row r="90" spans="1:98">
      <c r="A90" s="434"/>
      <c r="B90" s="434"/>
      <c r="C90" s="434"/>
      <c r="D90" s="434"/>
      <c r="E90" s="434"/>
      <c r="F90" s="434"/>
      <c r="G90" s="434"/>
      <c r="H90" s="567"/>
      <c r="I90" s="567"/>
      <c r="J90" s="567"/>
      <c r="K90" s="434"/>
      <c r="L90" s="434"/>
      <c r="M90" s="434"/>
      <c r="N90" s="434"/>
      <c r="O90" s="434"/>
      <c r="P90" s="434"/>
      <c r="Q90" s="427"/>
      <c r="R90" s="427"/>
      <c r="S90" s="427"/>
      <c r="T90" s="427"/>
      <c r="U90" s="427"/>
      <c r="V90" s="427"/>
      <c r="W90" s="427"/>
      <c r="X90" s="427"/>
      <c r="Y90" s="427"/>
      <c r="Z90" s="427"/>
      <c r="AA90" s="427"/>
      <c r="AB90" s="427"/>
      <c r="AC90" s="427"/>
      <c r="AD90" s="427"/>
      <c r="AE90" s="427"/>
      <c r="AF90" s="427"/>
      <c r="BM90" s="1"/>
    </row>
    <row r="91" spans="1:98">
      <c r="BM91" s="1"/>
      <c r="CT91">
        <v>26</v>
      </c>
    </row>
    <row r="92" spans="1:98">
      <c r="BM92" s="1"/>
      <c r="CT92">
        <v>26</v>
      </c>
    </row>
    <row r="93" spans="1:98">
      <c r="BM93" s="1"/>
      <c r="CT93">
        <v>17</v>
      </c>
    </row>
    <row r="94" spans="1:98">
      <c r="BM94" s="1"/>
      <c r="CT94">
        <v>17</v>
      </c>
    </row>
    <row r="95" spans="1:98">
      <c r="BM95" s="1"/>
      <c r="CT95">
        <v>17</v>
      </c>
    </row>
    <row r="96" spans="1:98">
      <c r="BM96" s="176"/>
      <c r="CT96">
        <v>17</v>
      </c>
    </row>
    <row r="97" spans="1:99">
      <c r="A97" s="452"/>
      <c r="B97" s="452"/>
      <c r="C97" s="452"/>
      <c r="D97" s="452"/>
      <c r="E97" s="452"/>
      <c r="F97" s="452"/>
      <c r="G97" s="452"/>
      <c r="H97" s="452"/>
      <c r="I97" s="452"/>
      <c r="J97" s="452"/>
      <c r="K97" s="452"/>
      <c r="L97" s="452"/>
      <c r="M97" s="452"/>
      <c r="N97" s="452"/>
      <c r="O97" s="452"/>
      <c r="P97" s="553"/>
      <c r="Q97" s="452"/>
      <c r="R97" s="452"/>
      <c r="S97" s="452"/>
      <c r="T97" s="452"/>
      <c r="U97" s="452"/>
      <c r="V97" s="452"/>
      <c r="W97" s="452"/>
      <c r="X97" s="452"/>
      <c r="Y97" s="452"/>
      <c r="Z97" s="452"/>
      <c r="AA97" s="452"/>
      <c r="AB97" s="452"/>
      <c r="AC97" s="452"/>
      <c r="AD97" s="452"/>
      <c r="AE97" s="452"/>
      <c r="AF97" s="553"/>
      <c r="AG97" s="552"/>
      <c r="AH97" s="552"/>
      <c r="AI97" s="552"/>
      <c r="AJ97" s="552"/>
      <c r="AK97" s="552"/>
      <c r="AL97" s="552"/>
      <c r="AM97" s="552"/>
      <c r="AN97" s="552"/>
      <c r="AO97" s="552"/>
      <c r="AP97" s="552"/>
      <c r="AQ97" s="552"/>
      <c r="AR97" s="552"/>
      <c r="AS97" s="552"/>
      <c r="AT97" s="552"/>
      <c r="AU97" s="552"/>
      <c r="AV97" s="553"/>
      <c r="AW97" s="552"/>
      <c r="AX97" s="552"/>
      <c r="AY97" s="552"/>
      <c r="AZ97" s="552"/>
      <c r="BA97" s="552"/>
      <c r="BB97" s="552"/>
      <c r="BC97" s="552"/>
      <c r="BD97" s="552"/>
      <c r="BE97" s="552"/>
      <c r="BF97" s="552"/>
      <c r="BG97" s="552"/>
      <c r="BH97" s="552"/>
      <c r="BI97" s="552"/>
      <c r="BJ97" s="552"/>
      <c r="BK97" s="552"/>
      <c r="BL97" s="554"/>
      <c r="BM97" s="557">
        <v>4</v>
      </c>
    </row>
    <row r="98" spans="1:99">
      <c r="A98" s="452"/>
      <c r="B98" s="557"/>
      <c r="C98" s="557"/>
      <c r="D98" s="557"/>
      <c r="E98" s="557"/>
      <c r="F98" s="557"/>
      <c r="G98" s="557"/>
      <c r="H98" s="557"/>
      <c r="I98" s="557"/>
      <c r="J98" s="557"/>
      <c r="K98" s="557"/>
      <c r="L98" s="557"/>
      <c r="M98" s="557"/>
      <c r="N98" s="557"/>
      <c r="O98" s="557"/>
      <c r="P98" s="555"/>
      <c r="Q98" s="452"/>
      <c r="R98" s="557"/>
      <c r="S98" s="557"/>
      <c r="T98" s="557"/>
      <c r="U98" s="557"/>
      <c r="V98" s="557"/>
      <c r="W98" s="557"/>
      <c r="X98" s="557"/>
      <c r="Y98" s="557"/>
      <c r="Z98" s="557"/>
      <c r="AA98" s="557"/>
      <c r="AB98" s="557"/>
      <c r="AC98" s="557"/>
      <c r="AD98" s="557"/>
      <c r="AE98" s="557"/>
      <c r="AF98" s="555"/>
      <c r="AG98" s="552"/>
      <c r="AH98" s="452"/>
      <c r="AI98" s="452"/>
      <c r="AJ98" s="452"/>
      <c r="AK98" s="452"/>
      <c r="AL98" s="452"/>
      <c r="AM98" s="452"/>
      <c r="AN98" s="452"/>
      <c r="AO98" s="452"/>
      <c r="AP98" s="452"/>
      <c r="AQ98" s="452"/>
      <c r="AR98" s="452"/>
      <c r="AS98" s="452"/>
      <c r="AT98" s="452"/>
      <c r="AU98" s="452"/>
      <c r="AV98" s="555"/>
      <c r="AW98" s="552"/>
      <c r="AX98" s="452"/>
      <c r="AY98" s="452"/>
      <c r="AZ98" s="452"/>
      <c r="BA98" s="452"/>
      <c r="BB98" s="452"/>
      <c r="BC98" s="452"/>
      <c r="BD98" s="452"/>
      <c r="BE98" s="452"/>
      <c r="BF98" s="452"/>
      <c r="BG98" s="452"/>
      <c r="BH98" s="452"/>
      <c r="BI98" s="452"/>
      <c r="BJ98" s="452"/>
      <c r="BK98" s="452"/>
      <c r="BL98" s="556"/>
      <c r="BM98" s="452"/>
    </row>
    <row r="99" spans="1:99">
      <c r="BM99" s="343"/>
      <c r="CT99">
        <v>2</v>
      </c>
      <c r="CU99">
        <v>2</v>
      </c>
    </row>
    <row r="100" spans="1:99">
      <c r="CT100">
        <v>2</v>
      </c>
      <c r="CU100">
        <v>2</v>
      </c>
    </row>
    <row r="101" spans="1:99">
      <c r="BM101" s="1"/>
      <c r="CT101">
        <v>2</v>
      </c>
      <c r="CU101">
        <v>2</v>
      </c>
    </row>
    <row r="102" spans="1:99">
      <c r="BM102" s="1"/>
      <c r="CT102">
        <v>2</v>
      </c>
      <c r="CU102">
        <v>2</v>
      </c>
    </row>
    <row r="103" spans="1:99">
      <c r="BM103" s="1"/>
      <c r="CT103">
        <v>2</v>
      </c>
      <c r="CU103">
        <v>2</v>
      </c>
    </row>
    <row r="104" spans="1:99">
      <c r="BM104" s="1"/>
      <c r="CT104">
        <v>2</v>
      </c>
      <c r="CU104">
        <v>2</v>
      </c>
    </row>
    <row r="105" spans="1:99">
      <c r="BM105" s="1"/>
      <c r="CT105">
        <v>2</v>
      </c>
      <c r="CU105">
        <v>2</v>
      </c>
    </row>
    <row r="106" spans="1:99">
      <c r="BM106" s="1"/>
      <c r="CT106">
        <v>2</v>
      </c>
      <c r="CU106">
        <v>2</v>
      </c>
    </row>
    <row r="107" spans="1:99">
      <c r="BM107" s="1"/>
      <c r="CT107">
        <v>2</v>
      </c>
      <c r="CU107">
        <v>2</v>
      </c>
    </row>
    <row r="108" spans="1:99">
      <c r="BM108" s="1"/>
      <c r="CT108">
        <v>2</v>
      </c>
      <c r="CU108">
        <v>2</v>
      </c>
    </row>
    <row r="109" spans="1:99">
      <c r="BM109" s="1"/>
      <c r="CT109">
        <v>2</v>
      </c>
      <c r="CU109">
        <v>2</v>
      </c>
    </row>
    <row r="110" spans="1:99">
      <c r="BM110" s="1"/>
      <c r="CT110">
        <v>2</v>
      </c>
      <c r="CU110">
        <v>2</v>
      </c>
    </row>
    <row r="111" spans="1:99">
      <c r="BM111" s="1"/>
      <c r="CT111">
        <v>2</v>
      </c>
      <c r="CU111">
        <v>2</v>
      </c>
    </row>
    <row r="112" spans="1:99">
      <c r="A112" s="553"/>
      <c r="B112" s="555"/>
      <c r="C112" s="555"/>
      <c r="D112" s="555"/>
      <c r="E112" s="555"/>
      <c r="F112" s="555"/>
      <c r="G112" s="555"/>
      <c r="H112" s="555"/>
      <c r="I112" s="555"/>
      <c r="J112" s="555"/>
      <c r="K112" s="555"/>
      <c r="L112" s="555"/>
      <c r="M112" s="555"/>
      <c r="N112" s="555"/>
      <c r="O112" s="555"/>
      <c r="P112" s="555"/>
      <c r="Q112" s="553"/>
      <c r="R112" s="555"/>
      <c r="S112" s="555"/>
      <c r="T112" s="555"/>
      <c r="U112" s="555"/>
      <c r="V112" s="555"/>
      <c r="W112" s="555"/>
      <c r="X112" s="555"/>
      <c r="Y112" s="555"/>
      <c r="Z112" s="555"/>
      <c r="AA112" s="555"/>
      <c r="AB112" s="555"/>
      <c r="AC112" s="555"/>
      <c r="AD112" s="555"/>
      <c r="AE112" s="555"/>
      <c r="AF112" s="555"/>
      <c r="AG112" s="553"/>
      <c r="AH112" s="555"/>
      <c r="AI112" s="555"/>
      <c r="AJ112" s="555"/>
      <c r="AK112" s="555"/>
      <c r="AL112" s="555"/>
      <c r="AM112" s="555"/>
      <c r="AN112" s="555"/>
      <c r="AO112" s="555"/>
      <c r="AP112" s="555"/>
      <c r="AQ112" s="555"/>
      <c r="AR112" s="555"/>
      <c r="AS112" s="555"/>
      <c r="AT112" s="555"/>
      <c r="AU112" s="555"/>
      <c r="AV112" s="555"/>
      <c r="AW112" s="553"/>
      <c r="AX112" s="555"/>
      <c r="AY112" s="555"/>
      <c r="AZ112" s="555"/>
      <c r="BA112" s="555"/>
      <c r="BB112" s="555"/>
      <c r="BC112" s="555"/>
      <c r="BD112" s="555"/>
      <c r="BE112" s="555"/>
      <c r="BF112" s="555"/>
      <c r="BG112" s="555"/>
      <c r="BH112" s="555"/>
      <c r="BI112" s="555"/>
      <c r="BJ112" s="555"/>
      <c r="BK112" s="555"/>
      <c r="BL112" s="556"/>
      <c r="BM112" s="1"/>
    </row>
    <row r="113" spans="1:99">
      <c r="A113" s="452"/>
      <c r="B113" s="452"/>
      <c r="C113" s="452"/>
      <c r="D113" s="452"/>
      <c r="E113" s="452"/>
      <c r="F113" s="452"/>
      <c r="G113" s="452"/>
      <c r="H113" s="452"/>
      <c r="I113" s="452"/>
      <c r="J113" s="452"/>
      <c r="K113" s="452"/>
      <c r="L113" s="452"/>
      <c r="M113" s="452"/>
      <c r="N113" s="452"/>
      <c r="O113" s="452"/>
      <c r="P113" s="557"/>
      <c r="Q113" s="571"/>
      <c r="R113" s="452"/>
      <c r="S113" s="452"/>
      <c r="T113" s="452"/>
      <c r="U113" s="452"/>
      <c r="V113" s="452"/>
      <c r="W113" s="452"/>
      <c r="X113" s="452"/>
      <c r="Y113" s="452"/>
      <c r="Z113" s="452"/>
      <c r="AA113" s="452"/>
      <c r="AB113" s="452"/>
      <c r="AC113" s="452"/>
      <c r="AD113" s="452"/>
      <c r="AE113" s="452"/>
      <c r="AF113" s="553"/>
      <c r="AG113" s="552"/>
      <c r="AH113" s="552"/>
      <c r="AI113" s="552"/>
      <c r="AJ113" s="552"/>
      <c r="AK113" s="552"/>
      <c r="AL113" s="552"/>
      <c r="AM113" s="552"/>
      <c r="AN113" s="552"/>
      <c r="AO113" s="552"/>
      <c r="AP113" s="552"/>
      <c r="AQ113" s="552"/>
      <c r="AR113" s="552"/>
      <c r="AS113" s="552"/>
      <c r="AT113" s="552"/>
      <c r="AU113" s="552"/>
      <c r="AV113" s="557"/>
      <c r="AW113" s="552"/>
      <c r="AX113" s="552"/>
      <c r="AY113" s="552"/>
      <c r="AZ113" s="552"/>
      <c r="BA113" s="552"/>
      <c r="BB113" s="552"/>
      <c r="BC113" s="552"/>
      <c r="BD113" s="552"/>
      <c r="BE113" s="552"/>
      <c r="BF113" s="552"/>
      <c r="BG113" s="552"/>
      <c r="BH113" s="552"/>
      <c r="BI113" s="552"/>
      <c r="BJ113" s="552"/>
      <c r="BK113" s="552"/>
      <c r="BL113" s="554"/>
      <c r="BM113" s="1"/>
    </row>
    <row r="114" spans="1:99">
      <c r="BM114" s="1"/>
      <c r="CT114">
        <v>2</v>
      </c>
      <c r="CU114">
        <v>2</v>
      </c>
    </row>
    <row r="115" spans="1:99">
      <c r="BM115" s="1"/>
      <c r="CT115">
        <v>2</v>
      </c>
      <c r="CU115">
        <v>2</v>
      </c>
    </row>
    <row r="116" spans="1:99">
      <c r="BM116" s="1"/>
      <c r="CT116">
        <v>2</v>
      </c>
      <c r="CU116">
        <v>2</v>
      </c>
    </row>
    <row r="117" spans="1:99">
      <c r="BM117" s="1"/>
      <c r="CT117">
        <v>2</v>
      </c>
      <c r="CU117">
        <v>2</v>
      </c>
    </row>
    <row r="118" spans="1:99">
      <c r="BM118" s="1"/>
      <c r="CT118">
        <v>2</v>
      </c>
      <c r="CU118">
        <v>2</v>
      </c>
    </row>
    <row r="119" spans="1:99">
      <c r="BM119" s="1"/>
      <c r="CT119">
        <v>2</v>
      </c>
      <c r="CU119">
        <v>2</v>
      </c>
    </row>
    <row r="120" spans="1:99">
      <c r="BM120" s="1"/>
      <c r="CT120">
        <v>2</v>
      </c>
      <c r="CU120">
        <v>2</v>
      </c>
    </row>
    <row r="121" spans="1:99">
      <c r="BM121" s="1"/>
      <c r="CT121">
        <v>2</v>
      </c>
      <c r="CU121">
        <v>2</v>
      </c>
    </row>
    <row r="122" spans="1:99">
      <c r="BM122" s="1"/>
      <c r="CT122">
        <v>2</v>
      </c>
      <c r="CU122">
        <v>2</v>
      </c>
    </row>
    <row r="123" spans="1:99">
      <c r="BM123" s="1"/>
      <c r="CT123">
        <v>2</v>
      </c>
      <c r="CU123">
        <v>2</v>
      </c>
    </row>
    <row r="124" spans="1:99">
      <c r="BM124" s="1"/>
      <c r="CT124">
        <v>2</v>
      </c>
      <c r="CU124">
        <v>2</v>
      </c>
    </row>
    <row r="125" spans="1:99">
      <c r="BM125" s="1"/>
      <c r="CT125">
        <v>2</v>
      </c>
      <c r="CU125">
        <v>2</v>
      </c>
    </row>
    <row r="126" spans="1:99">
      <c r="BM126" s="1"/>
      <c r="CT126">
        <v>2</v>
      </c>
      <c r="CU126">
        <v>2</v>
      </c>
    </row>
    <row r="127" spans="1:99">
      <c r="BM127" s="1"/>
      <c r="CT127">
        <v>2</v>
      </c>
      <c r="CU127">
        <v>2</v>
      </c>
    </row>
    <row r="128" spans="1:99">
      <c r="BM128" s="176"/>
      <c r="BN128" s="73"/>
      <c r="CT128">
        <v>16</v>
      </c>
      <c r="CU128">
        <v>16</v>
      </c>
    </row>
    <row r="129" spans="1:100">
      <c r="A129" s="429"/>
      <c r="B129" s="429"/>
      <c r="C129" s="429"/>
      <c r="D129" s="429"/>
      <c r="E129" s="429"/>
      <c r="F129" s="429"/>
      <c r="G129" s="429"/>
      <c r="H129" s="429"/>
      <c r="I129" s="429"/>
      <c r="J129" s="429"/>
      <c r="K129" s="429"/>
      <c r="L129" s="429"/>
      <c r="M129" s="429"/>
      <c r="N129" s="429"/>
      <c r="O129" s="429"/>
      <c r="P129" s="429"/>
      <c r="Q129" s="429"/>
      <c r="R129" s="429"/>
      <c r="S129" s="429"/>
      <c r="T129" s="429"/>
      <c r="U129" s="429"/>
      <c r="V129" s="429"/>
      <c r="W129" s="429"/>
      <c r="X129" s="429"/>
      <c r="Y129" s="429"/>
      <c r="Z129" s="429"/>
      <c r="AA129" s="429"/>
      <c r="AB129" s="429"/>
      <c r="AC129" s="429"/>
      <c r="AD129" s="429"/>
      <c r="AE129" s="429"/>
      <c r="AF129" s="429"/>
      <c r="AG129" s="552"/>
      <c r="AH129" s="552"/>
      <c r="AI129" s="552"/>
      <c r="AJ129" s="552"/>
      <c r="AK129" s="552"/>
      <c r="AL129" s="552"/>
      <c r="AM129" s="552"/>
      <c r="AN129" s="552"/>
      <c r="AO129" s="552"/>
      <c r="AP129" s="552"/>
      <c r="AQ129" s="552"/>
      <c r="AR129" s="552"/>
      <c r="AS129" s="552"/>
      <c r="AT129" s="552"/>
      <c r="AU129" s="552"/>
      <c r="AV129" s="553"/>
      <c r="AW129" s="552"/>
      <c r="AX129" s="552"/>
      <c r="AY129" s="552"/>
      <c r="AZ129" s="552"/>
      <c r="BA129" s="552"/>
      <c r="BB129" s="552"/>
      <c r="BC129" s="552"/>
      <c r="BD129" s="552"/>
      <c r="BE129" s="552"/>
      <c r="BF129" s="552"/>
      <c r="BG129" s="552"/>
      <c r="BH129" s="552"/>
      <c r="BI129" s="552"/>
      <c r="BJ129" s="552"/>
      <c r="BK129" s="552"/>
      <c r="BL129" s="554"/>
      <c r="BM129" s="565">
        <v>5</v>
      </c>
      <c r="BN129" s="180"/>
      <c r="BO129" s="199"/>
      <c r="BP129" s="199"/>
      <c r="BQ129" s="178"/>
    </row>
    <row r="130" spans="1:100">
      <c r="A130" s="429"/>
      <c r="B130" s="557"/>
      <c r="C130" s="429"/>
      <c r="D130" s="565"/>
      <c r="E130" s="565"/>
      <c r="F130" s="565"/>
      <c r="G130" s="565"/>
      <c r="H130" s="565"/>
      <c r="I130" s="565"/>
      <c r="J130" s="565"/>
      <c r="K130" s="565"/>
      <c r="L130" s="565"/>
      <c r="M130" s="565"/>
      <c r="N130" s="565"/>
      <c r="O130" s="565"/>
      <c r="P130" s="557"/>
      <c r="Q130" s="429"/>
      <c r="R130" s="565"/>
      <c r="S130" s="565"/>
      <c r="T130" s="565"/>
      <c r="U130" s="565"/>
      <c r="V130" s="565"/>
      <c r="W130" s="565"/>
      <c r="X130" s="565"/>
      <c r="Y130" s="565"/>
      <c r="Z130" s="565"/>
      <c r="AA130" s="565"/>
      <c r="AB130" s="565"/>
      <c r="AC130" s="565"/>
      <c r="AD130" s="557"/>
      <c r="AE130" s="429"/>
      <c r="AF130" s="420"/>
      <c r="AG130" s="552"/>
      <c r="AH130" s="452"/>
      <c r="AI130" s="452"/>
      <c r="AJ130" s="452"/>
      <c r="AK130" s="452"/>
      <c r="AL130" s="452"/>
      <c r="AM130" s="452"/>
      <c r="AN130" s="452"/>
      <c r="AO130" s="452"/>
      <c r="AP130" s="452"/>
      <c r="AQ130" s="452"/>
      <c r="AR130" s="452"/>
      <c r="AS130" s="452"/>
      <c r="AT130" s="452"/>
      <c r="AU130" s="452"/>
      <c r="AV130" s="555"/>
      <c r="AW130" s="552"/>
      <c r="AX130" s="452"/>
      <c r="AY130" s="452"/>
      <c r="AZ130" s="452"/>
      <c r="BA130" s="452"/>
      <c r="BB130" s="452"/>
      <c r="BC130" s="452"/>
      <c r="BD130" s="452"/>
      <c r="BE130" s="452"/>
      <c r="BF130" s="452"/>
      <c r="BG130" s="452"/>
      <c r="BH130" s="452"/>
      <c r="BI130" s="452"/>
      <c r="BJ130" s="452"/>
      <c r="BK130" s="452"/>
      <c r="BL130" s="556"/>
      <c r="BM130" s="452"/>
      <c r="BN130" s="199"/>
      <c r="BO130" s="557"/>
      <c r="BP130" s="565"/>
      <c r="BQ130" s="291"/>
    </row>
    <row r="131" spans="1:100">
      <c r="A131" s="429"/>
      <c r="B131" s="555"/>
      <c r="C131" s="420"/>
      <c r="D131" s="565"/>
      <c r="E131" s="565"/>
      <c r="F131" s="565"/>
      <c r="G131" s="565"/>
      <c r="H131" s="565"/>
      <c r="I131" s="565"/>
      <c r="J131" s="565"/>
      <c r="K131" s="565"/>
      <c r="L131" s="565"/>
      <c r="M131" s="565"/>
      <c r="N131" s="565"/>
      <c r="O131" s="565"/>
      <c r="P131" s="555"/>
      <c r="Q131" s="420"/>
      <c r="R131" s="565"/>
      <c r="S131" s="565"/>
      <c r="T131" s="565"/>
      <c r="U131" s="565"/>
      <c r="V131" s="565"/>
      <c r="W131" s="565"/>
      <c r="X131" s="565"/>
      <c r="Y131" s="565"/>
      <c r="Z131" s="565"/>
      <c r="AA131" s="565"/>
      <c r="AB131" s="565"/>
      <c r="AC131" s="565"/>
      <c r="AD131" s="555"/>
      <c r="AE131" s="420"/>
      <c r="AF131" s="420"/>
      <c r="BM131" s="344"/>
      <c r="BN131" s="199"/>
      <c r="BO131" s="555"/>
      <c r="BP131" s="206"/>
      <c r="BQ131" s="291"/>
      <c r="CU131">
        <v>2</v>
      </c>
    </row>
    <row r="132" spans="1:100">
      <c r="A132" s="429"/>
      <c r="B132" s="565"/>
      <c r="C132" s="565"/>
      <c r="D132" s="420"/>
      <c r="E132" s="420"/>
      <c r="F132" s="420"/>
      <c r="G132" s="420"/>
      <c r="H132" s="429"/>
      <c r="I132" s="565"/>
      <c r="J132" s="565"/>
      <c r="K132" s="420"/>
      <c r="L132" s="420"/>
      <c r="M132" s="420"/>
      <c r="N132" s="420"/>
      <c r="O132" s="429"/>
      <c r="P132" s="565"/>
      <c r="Q132" s="565"/>
      <c r="R132" s="420"/>
      <c r="S132" s="420"/>
      <c r="T132" s="420"/>
      <c r="U132" s="420"/>
      <c r="V132" s="429"/>
      <c r="W132" s="565"/>
      <c r="X132" s="565"/>
      <c r="Y132" s="420"/>
      <c r="Z132" s="420"/>
      <c r="AA132" s="420"/>
      <c r="AB132" s="420"/>
      <c r="AC132" s="429"/>
      <c r="AD132" s="565"/>
      <c r="AE132" s="565"/>
      <c r="AF132" s="420"/>
      <c r="BM132" s="1">
        <v>60</v>
      </c>
      <c r="BN132" s="199"/>
      <c r="BO132" s="199"/>
      <c r="BP132" s="199"/>
      <c r="BQ132" s="291"/>
      <c r="CU132">
        <v>2</v>
      </c>
    </row>
    <row r="133" spans="1:100">
      <c r="A133" s="429"/>
      <c r="B133" s="565"/>
      <c r="C133" s="565"/>
      <c r="D133" s="420"/>
      <c r="E133" s="322"/>
      <c r="F133" s="322"/>
      <c r="G133" s="322"/>
      <c r="H133" s="429"/>
      <c r="I133" s="565"/>
      <c r="J133" s="565"/>
      <c r="K133" s="420"/>
      <c r="L133" s="322"/>
      <c r="M133" s="322"/>
      <c r="N133" s="322"/>
      <c r="O133" s="429"/>
      <c r="P133" s="565"/>
      <c r="Q133" s="565"/>
      <c r="R133" s="420"/>
      <c r="S133" s="322"/>
      <c r="T133" s="322"/>
      <c r="U133" s="322"/>
      <c r="V133" s="429"/>
      <c r="W133" s="565"/>
      <c r="X133" s="565"/>
      <c r="Y133" s="420"/>
      <c r="Z133" s="322"/>
      <c r="AA133" s="322"/>
      <c r="AB133" s="322"/>
      <c r="AC133" s="429"/>
      <c r="AD133" s="565"/>
      <c r="AE133" s="565"/>
      <c r="AF133" s="420"/>
      <c r="BM133" s="1"/>
      <c r="BN133" s="199"/>
      <c r="BO133" s="191"/>
      <c r="BP133" s="191"/>
      <c r="BQ133" s="291"/>
      <c r="CU133">
        <v>2</v>
      </c>
    </row>
    <row r="134" spans="1:100">
      <c r="BM134" s="1">
        <v>2</v>
      </c>
      <c r="CT134">
        <v>5</v>
      </c>
      <c r="CU134">
        <v>2</v>
      </c>
      <c r="CV134">
        <v>5</v>
      </c>
    </row>
    <row r="135" spans="1:100">
      <c r="BM135" s="1"/>
      <c r="CT135">
        <v>5</v>
      </c>
      <c r="CU135">
        <v>2</v>
      </c>
      <c r="CV135">
        <v>5</v>
      </c>
    </row>
    <row r="136" spans="1:100">
      <c r="BM136" s="1"/>
      <c r="CT136">
        <v>5</v>
      </c>
      <c r="CU136">
        <v>2</v>
      </c>
      <c r="CV136">
        <v>5</v>
      </c>
    </row>
    <row r="137" spans="1:100">
      <c r="BM137" s="1"/>
      <c r="CT137">
        <v>5</v>
      </c>
      <c r="CU137">
        <v>2</v>
      </c>
      <c r="CV137">
        <v>5</v>
      </c>
    </row>
    <row r="138" spans="1:100">
      <c r="BM138" s="1">
        <v>2</v>
      </c>
      <c r="CT138">
        <v>5</v>
      </c>
      <c r="CU138">
        <v>2</v>
      </c>
      <c r="CV138">
        <v>5</v>
      </c>
    </row>
    <row r="139" spans="1:100">
      <c r="BM139" s="1"/>
      <c r="CT139">
        <v>5</v>
      </c>
      <c r="CU139">
        <v>2</v>
      </c>
      <c r="CV139">
        <v>5</v>
      </c>
    </row>
    <row r="140" spans="1:100">
      <c r="BM140" s="1"/>
      <c r="CT140">
        <v>5</v>
      </c>
      <c r="CU140">
        <v>2</v>
      </c>
      <c r="CV140">
        <v>5</v>
      </c>
    </row>
    <row r="141" spans="1:100">
      <c r="BM141" s="1"/>
      <c r="CT141">
        <v>5</v>
      </c>
      <c r="CU141">
        <v>2</v>
      </c>
      <c r="CV141">
        <v>5</v>
      </c>
    </row>
    <row r="142" spans="1:100">
      <c r="BM142" s="1"/>
      <c r="CT142">
        <v>5</v>
      </c>
      <c r="CU142">
        <v>2</v>
      </c>
      <c r="CV142">
        <v>5</v>
      </c>
    </row>
    <row r="143" spans="1:100">
      <c r="BM143" s="1"/>
      <c r="BN143" s="199"/>
      <c r="BO143" s="291"/>
      <c r="BP143" s="291"/>
      <c r="BQ143" s="291"/>
      <c r="CT143">
        <v>5</v>
      </c>
      <c r="CU143">
        <v>2</v>
      </c>
    </row>
    <row r="144" spans="1:100">
      <c r="A144" s="429"/>
      <c r="B144" s="557"/>
      <c r="C144" s="429"/>
      <c r="D144" s="420"/>
      <c r="E144" s="322"/>
      <c r="F144" s="322"/>
      <c r="G144" s="322"/>
      <c r="H144" s="429"/>
      <c r="I144" s="565"/>
      <c r="J144" s="565"/>
      <c r="K144" s="420"/>
      <c r="L144" s="322"/>
      <c r="M144" s="322"/>
      <c r="N144" s="322"/>
      <c r="O144" s="429"/>
      <c r="P144" s="565"/>
      <c r="Q144" s="565"/>
      <c r="R144" s="420"/>
      <c r="S144" s="322"/>
      <c r="T144" s="322"/>
      <c r="U144" s="322"/>
      <c r="V144" s="429"/>
      <c r="W144" s="565"/>
      <c r="X144" s="565"/>
      <c r="Y144" s="420"/>
      <c r="Z144" s="322"/>
      <c r="AA144" s="322"/>
      <c r="AB144" s="322"/>
      <c r="AC144" s="429"/>
      <c r="AD144" s="557"/>
      <c r="AE144" s="429"/>
      <c r="AF144" s="420"/>
      <c r="AG144" s="553"/>
      <c r="AH144" s="555"/>
      <c r="AI144" s="555"/>
      <c r="AJ144" s="555"/>
      <c r="AK144" s="555"/>
      <c r="AL144" s="555"/>
      <c r="AM144" s="555"/>
      <c r="AN144" s="555"/>
      <c r="AO144" s="555"/>
      <c r="AP144" s="555"/>
      <c r="AQ144" s="555"/>
      <c r="AR144" s="555"/>
      <c r="AS144" s="555"/>
      <c r="AT144" s="555"/>
      <c r="AU144" s="555"/>
      <c r="AV144" s="555"/>
      <c r="AW144" s="553"/>
      <c r="AX144" s="555"/>
      <c r="AY144" s="555"/>
      <c r="AZ144" s="555"/>
      <c r="BA144" s="555"/>
      <c r="BB144" s="555"/>
      <c r="BC144" s="555"/>
      <c r="BD144" s="555"/>
      <c r="BE144" s="555"/>
      <c r="BF144" s="555"/>
      <c r="BG144" s="555"/>
      <c r="BH144" s="555"/>
      <c r="BI144" s="555"/>
      <c r="BJ144" s="555"/>
      <c r="BK144" s="555"/>
      <c r="BL144" s="556"/>
      <c r="BM144" s="1"/>
      <c r="CV144">
        <v>2</v>
      </c>
    </row>
    <row r="145" spans="1:100">
      <c r="A145" s="429"/>
      <c r="B145" s="555"/>
      <c r="C145" s="420"/>
      <c r="D145" s="420"/>
      <c r="E145" s="322"/>
      <c r="F145" s="322"/>
      <c r="G145" s="322"/>
      <c r="H145" s="429"/>
      <c r="I145" s="565"/>
      <c r="J145" s="565"/>
      <c r="K145" s="420"/>
      <c r="L145" s="322"/>
      <c r="M145" s="322"/>
      <c r="N145" s="322"/>
      <c r="O145" s="429"/>
      <c r="P145" s="565"/>
      <c r="Q145" s="565"/>
      <c r="R145" s="420"/>
      <c r="S145" s="322"/>
      <c r="T145" s="322"/>
      <c r="U145" s="322"/>
      <c r="V145" s="429"/>
      <c r="W145" s="565"/>
      <c r="X145" s="565"/>
      <c r="Y145" s="420"/>
      <c r="Z145" s="322"/>
      <c r="AA145" s="322"/>
      <c r="AB145" s="322"/>
      <c r="AC145" s="429"/>
      <c r="AD145" s="555"/>
      <c r="AE145" s="420"/>
      <c r="AF145" s="420"/>
      <c r="AG145" s="552"/>
      <c r="AH145" s="552"/>
      <c r="AI145" s="552"/>
      <c r="AJ145" s="552"/>
      <c r="AK145" s="552"/>
      <c r="AL145" s="552"/>
      <c r="AM145" s="552"/>
      <c r="AN145" s="552"/>
      <c r="AO145" s="552"/>
      <c r="AP145" s="552"/>
      <c r="AQ145" s="552"/>
      <c r="AR145" s="552"/>
      <c r="AS145" s="552"/>
      <c r="AT145" s="552"/>
      <c r="AU145" s="552"/>
      <c r="AV145" s="557"/>
      <c r="AW145" s="552"/>
      <c r="AX145" s="552"/>
      <c r="AY145" s="552"/>
      <c r="AZ145" s="552"/>
      <c r="BA145" s="552"/>
      <c r="BB145" s="552"/>
      <c r="BC145" s="552"/>
      <c r="BD145" s="552"/>
      <c r="BE145" s="552"/>
      <c r="BF145" s="552"/>
      <c r="BG145" s="552"/>
      <c r="BH145" s="552"/>
      <c r="BI145" s="552"/>
      <c r="BJ145" s="552"/>
      <c r="BK145" s="552"/>
      <c r="BL145" s="554"/>
      <c r="BM145" s="1"/>
      <c r="CV145">
        <v>3</v>
      </c>
    </row>
    <row r="146" spans="1:100">
      <c r="BM146" s="1"/>
      <c r="CT146">
        <v>5</v>
      </c>
      <c r="CU146">
        <v>2</v>
      </c>
      <c r="CV146">
        <v>4</v>
      </c>
    </row>
    <row r="147" spans="1:100">
      <c r="BM147" s="1"/>
      <c r="CT147">
        <v>5</v>
      </c>
      <c r="CU147">
        <v>2</v>
      </c>
      <c r="CV147">
        <v>5</v>
      </c>
    </row>
    <row r="148" spans="1:100">
      <c r="BM148" s="1"/>
      <c r="CT148">
        <v>5</v>
      </c>
      <c r="CU148">
        <v>2</v>
      </c>
      <c r="CV148">
        <v>5</v>
      </c>
    </row>
    <row r="149" spans="1:100">
      <c r="BM149" s="1"/>
      <c r="CT149">
        <v>5</v>
      </c>
      <c r="CU149">
        <v>2</v>
      </c>
      <c r="CV149">
        <v>5</v>
      </c>
    </row>
    <row r="150" spans="1:100">
      <c r="BM150" s="1"/>
      <c r="CT150">
        <v>5</v>
      </c>
      <c r="CU150">
        <v>2</v>
      </c>
      <c r="CV150">
        <v>5</v>
      </c>
    </row>
    <row r="151" spans="1:100">
      <c r="BM151" s="1"/>
      <c r="CT151">
        <v>5</v>
      </c>
      <c r="CU151">
        <v>2</v>
      </c>
      <c r="CV151">
        <v>5</v>
      </c>
    </row>
    <row r="152" spans="1:100">
      <c r="BM152" s="1"/>
      <c r="CT152">
        <v>5</v>
      </c>
      <c r="CU152">
        <v>2</v>
      </c>
      <c r="CV152">
        <v>5</v>
      </c>
    </row>
    <row r="153" spans="1:100">
      <c r="BM153" s="1"/>
      <c r="CT153">
        <v>5</v>
      </c>
      <c r="CU153">
        <v>2</v>
      </c>
      <c r="CV153">
        <v>5</v>
      </c>
    </row>
    <row r="154" spans="1:100">
      <c r="BM154" s="1"/>
      <c r="CT154">
        <v>5</v>
      </c>
      <c r="CU154">
        <v>2</v>
      </c>
      <c r="CV154">
        <v>5</v>
      </c>
    </row>
    <row r="155" spans="1:100">
      <c r="BM155" s="1"/>
      <c r="CT155">
        <v>5</v>
      </c>
      <c r="CU155">
        <v>2</v>
      </c>
      <c r="CV155">
        <v>5</v>
      </c>
    </row>
    <row r="156" spans="1:100">
      <c r="BM156" s="1"/>
      <c r="CT156">
        <v>5</v>
      </c>
      <c r="CU156">
        <v>2</v>
      </c>
      <c r="CV156">
        <v>5</v>
      </c>
    </row>
    <row r="157" spans="1:100">
      <c r="A157" s="429"/>
      <c r="B157" s="565"/>
      <c r="C157" s="565"/>
      <c r="D157" s="420"/>
      <c r="E157" s="429"/>
      <c r="F157" s="429"/>
      <c r="G157" s="429"/>
      <c r="H157" s="429"/>
      <c r="I157" s="565"/>
      <c r="J157" s="565"/>
      <c r="K157" s="420"/>
      <c r="L157" s="429"/>
      <c r="M157" s="429"/>
      <c r="N157" s="429"/>
      <c r="O157" s="429"/>
      <c r="P157" s="565"/>
      <c r="Q157" s="565"/>
      <c r="R157" s="420"/>
      <c r="S157" s="429"/>
      <c r="T157" s="429"/>
      <c r="U157" s="429"/>
      <c r="V157" s="429"/>
      <c r="W157" s="565"/>
      <c r="X157" s="565"/>
      <c r="Y157" s="420"/>
      <c r="Z157" s="429"/>
      <c r="AA157" s="429"/>
      <c r="AB157" s="429"/>
      <c r="AC157" s="429"/>
      <c r="AD157" s="565"/>
      <c r="AE157" s="565"/>
      <c r="AF157" s="420"/>
      <c r="BM157" s="1"/>
      <c r="CU157">
        <v>2</v>
      </c>
      <c r="CV157">
        <v>15</v>
      </c>
    </row>
    <row r="158" spans="1:100">
      <c r="BM158" s="1"/>
      <c r="CT158">
        <v>2</v>
      </c>
      <c r="CU158">
        <v>2</v>
      </c>
      <c r="CV158">
        <v>2</v>
      </c>
    </row>
    <row r="159" spans="1:100">
      <c r="BM159" s="1"/>
      <c r="CT159">
        <v>3</v>
      </c>
      <c r="CU159">
        <v>2</v>
      </c>
      <c r="CV159">
        <v>3</v>
      </c>
    </row>
    <row r="160" spans="1:100">
      <c r="A160" s="572"/>
      <c r="B160" s="572"/>
      <c r="C160" s="572"/>
      <c r="D160" s="572"/>
      <c r="E160" s="572"/>
      <c r="F160" s="572"/>
      <c r="G160" s="572"/>
      <c r="H160" s="572"/>
      <c r="I160" s="572"/>
      <c r="J160" s="572"/>
      <c r="K160" s="572"/>
      <c r="L160" s="572"/>
      <c r="M160" s="572"/>
      <c r="N160" s="572"/>
      <c r="O160" s="572"/>
      <c r="P160" s="572"/>
      <c r="Q160" s="572"/>
      <c r="R160" s="572"/>
      <c r="S160" s="572"/>
      <c r="T160" s="572"/>
      <c r="U160" s="572"/>
      <c r="V160" s="572"/>
      <c r="W160" s="572"/>
      <c r="X160" s="572"/>
      <c r="Y160" s="572"/>
      <c r="Z160" s="572"/>
      <c r="AA160" s="572"/>
      <c r="AB160" s="572"/>
      <c r="AC160" s="572"/>
      <c r="AD160" s="572"/>
      <c r="AE160" s="572"/>
      <c r="AF160" s="572"/>
      <c r="BM160" s="176"/>
      <c r="BN160" s="178"/>
      <c r="BO160" s="81"/>
      <c r="BP160" s="81"/>
      <c r="BQ160" s="179"/>
      <c r="CU160">
        <v>16</v>
      </c>
    </row>
    <row r="161" spans="1:99">
      <c r="A161" s="452"/>
      <c r="B161" s="557"/>
      <c r="C161" s="557"/>
      <c r="D161" s="557"/>
      <c r="E161" s="557"/>
      <c r="F161" s="557"/>
      <c r="G161" s="557"/>
      <c r="H161" s="557"/>
      <c r="I161" s="557"/>
      <c r="J161" s="557"/>
      <c r="K161" s="557"/>
      <c r="L161" s="557"/>
      <c r="M161" s="557"/>
      <c r="N161" s="557"/>
      <c r="O161" s="557"/>
      <c r="P161" s="553"/>
      <c r="Q161" s="452"/>
      <c r="R161" s="557"/>
      <c r="S161" s="557"/>
      <c r="T161" s="557"/>
      <c r="U161" s="557"/>
      <c r="V161" s="557"/>
      <c r="W161" s="557"/>
      <c r="X161" s="557"/>
      <c r="Y161" s="557"/>
      <c r="Z161" s="557"/>
      <c r="AA161" s="557"/>
      <c r="AB161" s="557"/>
      <c r="AC161" s="557"/>
      <c r="AD161" s="557"/>
      <c r="AE161" s="557"/>
      <c r="AF161" s="554"/>
      <c r="AG161" s="552"/>
      <c r="AH161" s="552"/>
      <c r="AI161" s="552"/>
      <c r="AJ161" s="552"/>
      <c r="AK161" s="552"/>
      <c r="AL161" s="552"/>
      <c r="AM161" s="552"/>
      <c r="AN161" s="552"/>
      <c r="AO161" s="552"/>
      <c r="AP161" s="552"/>
      <c r="AQ161" s="552"/>
      <c r="AR161" s="552"/>
      <c r="AS161" s="552"/>
      <c r="AT161" s="552"/>
      <c r="AU161" s="552"/>
      <c r="AV161" s="553"/>
      <c r="AW161" s="552"/>
      <c r="AX161" s="552"/>
      <c r="AY161" s="552"/>
      <c r="AZ161" s="552"/>
      <c r="BA161" s="552"/>
      <c r="BB161" s="552"/>
      <c r="BC161" s="552"/>
      <c r="BD161" s="552"/>
      <c r="BE161" s="552"/>
      <c r="BF161" s="552"/>
      <c r="BG161" s="552"/>
      <c r="BH161" s="552"/>
      <c r="BI161" s="552"/>
      <c r="BJ161" s="552"/>
      <c r="BK161" s="552"/>
      <c r="BL161" s="554"/>
      <c r="BM161" s="557">
        <v>6</v>
      </c>
    </row>
    <row r="162" spans="1:99">
      <c r="A162" s="452"/>
      <c r="B162" s="557"/>
      <c r="C162" s="557"/>
      <c r="D162" s="557"/>
      <c r="E162" s="557"/>
      <c r="F162" s="557"/>
      <c r="G162" s="557"/>
      <c r="H162" s="557"/>
      <c r="I162" s="557"/>
      <c r="J162" s="557"/>
      <c r="K162" s="557"/>
      <c r="L162" s="557"/>
      <c r="M162" s="557"/>
      <c r="N162" s="557"/>
      <c r="O162" s="557"/>
      <c r="P162" s="555"/>
      <c r="Q162" s="452"/>
      <c r="R162" s="557"/>
      <c r="S162" s="557"/>
      <c r="T162" s="557"/>
      <c r="U162" s="557"/>
      <c r="V162" s="557"/>
      <c r="W162" s="557"/>
      <c r="X162" s="557"/>
      <c r="Y162" s="557"/>
      <c r="Z162" s="557"/>
      <c r="AA162" s="557"/>
      <c r="AB162" s="557"/>
      <c r="AC162" s="557"/>
      <c r="AD162" s="557"/>
      <c r="AE162" s="557"/>
      <c r="AF162" s="555"/>
      <c r="AG162" s="552"/>
      <c r="AH162" s="452"/>
      <c r="AI162" s="452"/>
      <c r="AJ162" s="452"/>
      <c r="AK162" s="452"/>
      <c r="AL162" s="452"/>
      <c r="AM162" s="452"/>
      <c r="AN162" s="452"/>
      <c r="AO162" s="452"/>
      <c r="AP162" s="452"/>
      <c r="AQ162" s="452"/>
      <c r="AR162" s="452"/>
      <c r="AS162" s="452"/>
      <c r="AT162" s="452"/>
      <c r="AU162" s="452"/>
      <c r="AV162" s="555"/>
      <c r="AW162" s="552"/>
      <c r="AX162" s="452"/>
      <c r="AY162" s="452"/>
      <c r="AZ162" s="452"/>
      <c r="BA162" s="452"/>
      <c r="BB162" s="452"/>
      <c r="BC162" s="452"/>
      <c r="BD162" s="452"/>
      <c r="BE162" s="452"/>
      <c r="BF162" s="452"/>
      <c r="BG162" s="452"/>
      <c r="BH162" s="452"/>
      <c r="BI162" s="452"/>
      <c r="BJ162" s="452"/>
      <c r="BK162" s="452"/>
      <c r="BL162" s="556"/>
      <c r="BM162" s="204"/>
    </row>
    <row r="163" spans="1:99">
      <c r="BM163" s="347"/>
      <c r="CT163">
        <v>2</v>
      </c>
      <c r="CU163">
        <v>2</v>
      </c>
    </row>
    <row r="164" spans="1:99">
      <c r="BM164" s="1">
        <v>100</v>
      </c>
      <c r="CT164">
        <v>2</v>
      </c>
      <c r="CU164">
        <v>2</v>
      </c>
    </row>
    <row r="165" spans="1:99">
      <c r="A165" s="452"/>
      <c r="B165" s="557"/>
      <c r="C165" s="557"/>
      <c r="D165" s="557"/>
      <c r="E165" s="557"/>
      <c r="F165" s="557"/>
      <c r="G165" s="557"/>
      <c r="H165" s="557"/>
      <c r="I165" s="557"/>
      <c r="J165" s="557"/>
      <c r="K165" s="553"/>
      <c r="L165" s="553"/>
      <c r="M165" s="553"/>
      <c r="N165" s="553"/>
      <c r="O165" s="553"/>
      <c r="P165" s="555"/>
      <c r="Q165" s="452"/>
      <c r="R165" s="553"/>
      <c r="S165" s="553"/>
      <c r="T165" s="553"/>
      <c r="U165" s="553"/>
      <c r="V165" s="553"/>
      <c r="W165" s="557"/>
      <c r="X165" s="557"/>
      <c r="Y165" s="557"/>
      <c r="Z165" s="557"/>
      <c r="AA165" s="557"/>
      <c r="AB165" s="557"/>
      <c r="AC165" s="557"/>
      <c r="AD165" s="557"/>
      <c r="AE165" s="557"/>
      <c r="AF165" s="555"/>
      <c r="AG165" s="552"/>
      <c r="AH165" s="452"/>
      <c r="AI165" s="452"/>
      <c r="AJ165" s="452"/>
      <c r="AK165" s="452"/>
      <c r="AL165" s="452"/>
      <c r="AM165" s="452"/>
      <c r="AN165" s="452"/>
      <c r="AO165" s="452"/>
      <c r="AP165" s="555"/>
      <c r="AQ165" s="555"/>
      <c r="AR165" s="555"/>
      <c r="AS165" s="555"/>
      <c r="AT165" s="555"/>
      <c r="AU165" s="555"/>
      <c r="AV165" s="555"/>
      <c r="AW165" s="555"/>
      <c r="AX165" s="555"/>
      <c r="AY165" s="555"/>
      <c r="AZ165" s="555"/>
      <c r="BA165" s="555"/>
      <c r="BB165" s="555"/>
      <c r="BC165" s="452"/>
      <c r="BD165" s="452"/>
      <c r="BE165" s="452"/>
      <c r="BF165" s="452"/>
      <c r="BG165" s="452"/>
      <c r="BH165" s="452"/>
      <c r="BI165" s="452"/>
      <c r="BJ165" s="452"/>
      <c r="BK165" s="452"/>
      <c r="BL165" s="556"/>
      <c r="BM165" s="1"/>
    </row>
    <row r="166" spans="1:99">
      <c r="AG166" s="552"/>
      <c r="AH166" s="452"/>
      <c r="AI166" s="452"/>
      <c r="AJ166" s="452"/>
      <c r="AK166" s="452"/>
      <c r="AL166" s="452"/>
      <c r="AM166" s="452"/>
      <c r="AN166" s="452"/>
      <c r="AO166" s="452"/>
      <c r="AP166" s="555"/>
      <c r="AQ166" s="321"/>
      <c r="AR166" s="321"/>
      <c r="AS166" s="321"/>
      <c r="AT166" s="321"/>
      <c r="AU166" s="321"/>
      <c r="AV166" s="322"/>
      <c r="AW166" s="322"/>
      <c r="AX166" s="321"/>
      <c r="AY166" s="321"/>
      <c r="AZ166" s="321"/>
      <c r="BA166" s="321"/>
      <c r="BB166" s="555"/>
      <c r="BC166" s="452"/>
      <c r="BD166" s="452"/>
      <c r="BE166" s="452"/>
      <c r="BF166" s="452"/>
      <c r="BG166" s="452"/>
      <c r="BH166" s="452"/>
      <c r="BI166" s="452"/>
      <c r="BJ166" s="452"/>
      <c r="BK166" s="452"/>
      <c r="BL166" s="556"/>
      <c r="BM166" s="1"/>
      <c r="CT166">
        <v>5</v>
      </c>
    </row>
    <row r="167" spans="1:99">
      <c r="BM167" s="1"/>
      <c r="CT167">
        <v>5</v>
      </c>
      <c r="CU167">
        <v>6</v>
      </c>
    </row>
    <row r="168" spans="1:99">
      <c r="BM168" s="1"/>
      <c r="CT168">
        <v>5</v>
      </c>
      <c r="CU168">
        <v>6</v>
      </c>
    </row>
    <row r="169" spans="1:99">
      <c r="BM169" s="1"/>
      <c r="CT169">
        <v>5</v>
      </c>
      <c r="CU169">
        <v>6</v>
      </c>
    </row>
    <row r="170" spans="1:99">
      <c r="BM170" s="1"/>
      <c r="CT170">
        <v>5</v>
      </c>
      <c r="CU170">
        <v>6</v>
      </c>
    </row>
    <row r="171" spans="1:99">
      <c r="A171" s="452"/>
      <c r="B171" s="557"/>
      <c r="C171" s="557"/>
      <c r="D171" s="557"/>
      <c r="E171" s="553"/>
      <c r="F171" s="553"/>
      <c r="G171" s="553"/>
      <c r="H171" s="553"/>
      <c r="I171" s="553"/>
      <c r="J171" s="553"/>
      <c r="K171" s="553"/>
      <c r="L171" s="553"/>
      <c r="M171" s="553"/>
      <c r="N171" s="553"/>
      <c r="O171" s="553"/>
      <c r="P171" s="555"/>
      <c r="Q171" s="452"/>
      <c r="R171" s="553"/>
      <c r="S171" s="553"/>
      <c r="T171" s="553"/>
      <c r="U171" s="553"/>
      <c r="V171" s="553"/>
      <c r="W171" s="553"/>
      <c r="X171" s="553"/>
      <c r="Y171" s="553"/>
      <c r="Z171" s="553"/>
      <c r="AA171" s="553"/>
      <c r="AB171" s="553"/>
      <c r="AC171" s="557"/>
      <c r="AD171" s="557"/>
      <c r="AE171" s="557"/>
      <c r="AF171" s="555"/>
      <c r="AG171" s="552"/>
      <c r="AH171" s="452"/>
      <c r="AI171" s="452"/>
      <c r="AJ171" s="555"/>
      <c r="AK171" s="555"/>
      <c r="AL171" s="555"/>
      <c r="AM171" s="555"/>
      <c r="AN171" s="555"/>
      <c r="AO171" s="555"/>
      <c r="AP171" s="555"/>
      <c r="AQ171" s="321"/>
      <c r="AR171" s="321"/>
      <c r="AS171" s="321"/>
      <c r="AT171" s="321"/>
      <c r="AU171" s="321"/>
      <c r="AV171" s="322"/>
      <c r="AW171" s="322"/>
      <c r="AX171" s="321"/>
      <c r="AY171" s="321"/>
      <c r="AZ171" s="321"/>
      <c r="BA171" s="321"/>
      <c r="BB171" s="555"/>
      <c r="BC171" s="555"/>
      <c r="BD171" s="555"/>
      <c r="BE171" s="555"/>
      <c r="BF171" s="555"/>
      <c r="BG171" s="555"/>
      <c r="BH171" s="555"/>
      <c r="BI171" s="452"/>
      <c r="BJ171" s="452"/>
      <c r="BK171" s="452"/>
      <c r="BL171" s="556"/>
      <c r="BM171" s="1"/>
    </row>
    <row r="172" spans="1:99">
      <c r="AG172" s="552"/>
      <c r="AH172" s="452"/>
      <c r="AI172" s="452"/>
      <c r="AJ172" s="555"/>
      <c r="AK172" s="321"/>
      <c r="AL172" s="321"/>
      <c r="AM172" s="321"/>
      <c r="AN172" s="321"/>
      <c r="AO172" s="321"/>
      <c r="AP172" s="321"/>
      <c r="AQ172" s="321"/>
      <c r="AR172" s="321"/>
      <c r="AS172" s="321"/>
      <c r="AT172" s="321"/>
      <c r="AU172" s="321"/>
      <c r="AV172" s="322"/>
      <c r="AW172" s="322"/>
      <c r="AX172" s="321"/>
      <c r="AY172" s="321"/>
      <c r="AZ172" s="321"/>
      <c r="BA172" s="321"/>
      <c r="BB172" s="321"/>
      <c r="BC172" s="321"/>
      <c r="BD172" s="321"/>
      <c r="BE172" s="321"/>
      <c r="BF172" s="321"/>
      <c r="BG172" s="321"/>
      <c r="BH172" s="555"/>
      <c r="BI172" s="452"/>
      <c r="BJ172" s="452"/>
      <c r="BK172" s="452"/>
      <c r="BL172" s="556"/>
      <c r="BM172" s="1"/>
      <c r="CT172">
        <v>11</v>
      </c>
    </row>
    <row r="173" spans="1:99">
      <c r="BM173" s="1"/>
      <c r="CT173">
        <v>11</v>
      </c>
      <c r="CU173">
        <v>12</v>
      </c>
    </row>
    <row r="174" spans="1:99">
      <c r="BM174" s="1"/>
      <c r="CT174">
        <v>11</v>
      </c>
      <c r="CU174">
        <v>12</v>
      </c>
    </row>
    <row r="175" spans="1:99">
      <c r="BM175" s="1"/>
      <c r="CT175">
        <v>11</v>
      </c>
      <c r="CU175">
        <v>12</v>
      </c>
    </row>
    <row r="176" spans="1:99">
      <c r="A176" s="553"/>
      <c r="B176" s="555"/>
      <c r="C176" s="555"/>
      <c r="D176" s="555"/>
      <c r="E176" s="555"/>
      <c r="F176" s="555"/>
      <c r="G176" s="555"/>
      <c r="H176" s="555"/>
      <c r="I176" s="555"/>
      <c r="J176" s="555"/>
      <c r="K176" s="555"/>
      <c r="L176" s="555"/>
      <c r="M176" s="555"/>
      <c r="N176" s="555"/>
      <c r="O176" s="555"/>
      <c r="P176" s="555"/>
      <c r="Q176" s="553"/>
      <c r="R176" s="555"/>
      <c r="S176" s="555"/>
      <c r="T176" s="555"/>
      <c r="U176" s="555"/>
      <c r="V176" s="555"/>
      <c r="W176" s="555"/>
      <c r="X176" s="555"/>
      <c r="Y176" s="555"/>
      <c r="Z176" s="555"/>
      <c r="AA176" s="555"/>
      <c r="AB176" s="555"/>
      <c r="AC176" s="555"/>
      <c r="AD176" s="555"/>
      <c r="AE176" s="555"/>
      <c r="AF176" s="555"/>
      <c r="AG176" s="553"/>
      <c r="AH176" s="555"/>
      <c r="AI176" s="555"/>
      <c r="AJ176" s="555"/>
      <c r="AK176" s="322"/>
      <c r="AL176" s="322"/>
      <c r="AM176" s="322"/>
      <c r="AN176" s="322"/>
      <c r="AO176" s="322"/>
      <c r="AP176" s="322"/>
      <c r="AQ176" s="322"/>
      <c r="AR176" s="322"/>
      <c r="AS176" s="322"/>
      <c r="AT176" s="322"/>
      <c r="AU176" s="322"/>
      <c r="AV176" s="322"/>
      <c r="AW176" s="319"/>
      <c r="AX176" s="322"/>
      <c r="AY176" s="322"/>
      <c r="AZ176" s="322"/>
      <c r="BA176" s="322"/>
      <c r="BB176" s="322"/>
      <c r="BC176" s="322"/>
      <c r="BD176" s="322"/>
      <c r="BE176" s="322"/>
      <c r="BF176" s="322"/>
      <c r="BG176" s="322"/>
      <c r="BH176" s="555"/>
      <c r="BI176" s="555"/>
      <c r="BJ176" s="555"/>
      <c r="BK176" s="555"/>
      <c r="BL176" s="556"/>
      <c r="BM176" s="1"/>
    </row>
    <row r="177" spans="1:99">
      <c r="A177" s="452"/>
      <c r="B177" s="452"/>
      <c r="C177" s="452"/>
      <c r="D177" s="452"/>
      <c r="E177" s="452"/>
      <c r="F177" s="452"/>
      <c r="G177" s="452"/>
      <c r="H177" s="452"/>
      <c r="I177" s="452"/>
      <c r="J177" s="452"/>
      <c r="K177" s="452"/>
      <c r="L177" s="452"/>
      <c r="M177" s="452"/>
      <c r="N177" s="452"/>
      <c r="O177" s="452"/>
      <c r="P177" s="557"/>
      <c r="Q177" s="571"/>
      <c r="R177" s="452"/>
      <c r="S177" s="452"/>
      <c r="T177" s="452"/>
      <c r="U177" s="452"/>
      <c r="V177" s="452"/>
      <c r="W177" s="452"/>
      <c r="X177" s="452"/>
      <c r="Y177" s="452"/>
      <c r="Z177" s="452"/>
      <c r="AA177" s="452"/>
      <c r="AB177" s="452"/>
      <c r="AC177" s="452"/>
      <c r="AD177" s="452"/>
      <c r="AE177" s="452"/>
      <c r="AF177" s="553"/>
      <c r="AG177" s="552"/>
      <c r="AH177" s="552"/>
      <c r="AI177" s="552"/>
      <c r="AJ177" s="555"/>
      <c r="AK177" s="322"/>
      <c r="AL177" s="322"/>
      <c r="AM177" s="322"/>
      <c r="AN177" s="322"/>
      <c r="AO177" s="322"/>
      <c r="AP177" s="322"/>
      <c r="AQ177" s="322"/>
      <c r="AR177" s="322"/>
      <c r="AS177" s="322"/>
      <c r="AT177" s="322"/>
      <c r="AU177" s="322"/>
      <c r="AV177" s="322"/>
      <c r="AW177" s="322"/>
      <c r="AX177" s="322"/>
      <c r="AY177" s="322"/>
      <c r="AZ177" s="322"/>
      <c r="BA177" s="322"/>
      <c r="BB177" s="322"/>
      <c r="BC177" s="322"/>
      <c r="BD177" s="322"/>
      <c r="BE177" s="322"/>
      <c r="BF177" s="322"/>
      <c r="BG177" s="322"/>
      <c r="BH177" s="555"/>
      <c r="BI177" s="552"/>
      <c r="BJ177" s="552"/>
      <c r="BK177" s="552"/>
      <c r="BL177" s="554"/>
      <c r="BM177" s="1"/>
    </row>
    <row r="178" spans="1:99">
      <c r="BM178" s="1"/>
      <c r="CT178">
        <v>11</v>
      </c>
      <c r="CU178">
        <v>12</v>
      </c>
    </row>
    <row r="179" spans="1:99">
      <c r="BM179" s="1"/>
      <c r="CT179">
        <v>11</v>
      </c>
      <c r="CU179">
        <v>12</v>
      </c>
    </row>
    <row r="180" spans="1:99">
      <c r="BM180" s="1"/>
      <c r="CT180">
        <v>11</v>
      </c>
      <c r="CU180">
        <v>12</v>
      </c>
    </row>
    <row r="181" spans="1:99">
      <c r="BM181" s="1"/>
      <c r="CT181">
        <v>11</v>
      </c>
      <c r="CU181">
        <v>12</v>
      </c>
    </row>
    <row r="182" spans="1:99">
      <c r="BM182" s="1"/>
      <c r="CT182">
        <v>11</v>
      </c>
      <c r="CU182">
        <v>11</v>
      </c>
    </row>
    <row r="183" spans="1:99">
      <c r="BM183" s="1"/>
      <c r="CT183">
        <v>5</v>
      </c>
      <c r="CU183">
        <v>6</v>
      </c>
    </row>
    <row r="184" spans="1:99">
      <c r="BM184" s="1"/>
      <c r="CT184">
        <v>5</v>
      </c>
      <c r="CU184">
        <v>6</v>
      </c>
    </row>
    <row r="185" spans="1:99">
      <c r="BM185" s="1"/>
      <c r="CT185">
        <v>5</v>
      </c>
      <c r="CU185">
        <v>6</v>
      </c>
    </row>
    <row r="186" spans="1:99">
      <c r="BM186" s="1"/>
      <c r="CT186">
        <v>5</v>
      </c>
      <c r="CU186">
        <v>6</v>
      </c>
    </row>
    <row r="187" spans="1:99">
      <c r="BM187" s="1"/>
      <c r="CT187">
        <v>5</v>
      </c>
      <c r="CU187">
        <v>6</v>
      </c>
    </row>
    <row r="188" spans="1:99">
      <c r="BM188" s="1"/>
      <c r="CT188">
        <v>5</v>
      </c>
      <c r="CU188">
        <v>5</v>
      </c>
    </row>
    <row r="189" spans="1:99">
      <c r="BM189" s="1"/>
      <c r="CT189">
        <v>2</v>
      </c>
      <c r="CU189">
        <v>2</v>
      </c>
    </row>
    <row r="190" spans="1:99">
      <c r="BM190" s="1"/>
      <c r="CT190">
        <v>2</v>
      </c>
      <c r="CU190">
        <v>2</v>
      </c>
    </row>
    <row r="191" spans="1:99">
      <c r="BM191" s="1"/>
      <c r="CT191">
        <v>2</v>
      </c>
      <c r="CU191">
        <v>2</v>
      </c>
    </row>
    <row r="192" spans="1:99">
      <c r="A192" s="560"/>
      <c r="B192" s="561"/>
      <c r="C192" s="561"/>
      <c r="D192" s="561"/>
      <c r="E192" s="561"/>
      <c r="F192" s="561"/>
      <c r="G192" s="561"/>
      <c r="H192" s="561"/>
      <c r="I192" s="561"/>
      <c r="J192" s="561"/>
      <c r="K192" s="561"/>
      <c r="L192" s="561"/>
      <c r="M192" s="561"/>
      <c r="N192" s="561"/>
      <c r="O192" s="561"/>
      <c r="P192" s="561"/>
      <c r="Q192" s="560"/>
      <c r="R192" s="561"/>
      <c r="S192" s="561"/>
      <c r="T192" s="561"/>
      <c r="U192" s="561"/>
      <c r="V192" s="561"/>
      <c r="W192" s="561"/>
      <c r="X192" s="561"/>
      <c r="Y192" s="561"/>
      <c r="Z192" s="561"/>
      <c r="AA192" s="561"/>
      <c r="AB192" s="561"/>
      <c r="AC192" s="561"/>
      <c r="AD192" s="561"/>
      <c r="AE192" s="561"/>
      <c r="AF192" s="561"/>
      <c r="AG192" s="560"/>
      <c r="AH192" s="561"/>
      <c r="AI192" s="561"/>
      <c r="AJ192" s="561"/>
      <c r="AK192" s="561"/>
      <c r="AL192" s="561"/>
      <c r="AM192" s="561"/>
      <c r="AN192" s="561"/>
      <c r="AO192" s="561"/>
      <c r="AP192" s="561"/>
      <c r="AQ192" s="561"/>
      <c r="AR192" s="561"/>
      <c r="AS192" s="561"/>
      <c r="AT192" s="561"/>
      <c r="AU192" s="561"/>
      <c r="AV192" s="561"/>
      <c r="AW192" s="560"/>
      <c r="AX192" s="561"/>
      <c r="AY192" s="561"/>
      <c r="AZ192" s="561"/>
      <c r="BA192" s="561"/>
      <c r="BB192" s="561"/>
      <c r="BC192" s="561"/>
      <c r="BD192" s="561"/>
      <c r="BE192" s="561"/>
      <c r="BF192" s="561"/>
      <c r="BG192" s="561"/>
      <c r="BH192" s="561"/>
      <c r="BI192" s="561"/>
      <c r="BJ192" s="561"/>
      <c r="BK192" s="561"/>
      <c r="BL192" s="562"/>
      <c r="BM192" s="176"/>
      <c r="BN192" s="73"/>
    </row>
    <row r="193" spans="1:100">
      <c r="A193" s="573"/>
      <c r="B193" s="573"/>
      <c r="C193" s="573"/>
      <c r="D193" s="573"/>
      <c r="E193" s="573"/>
      <c r="F193" s="573"/>
      <c r="G193" s="555"/>
      <c r="H193" s="555"/>
      <c r="I193" s="557"/>
      <c r="J193" s="557"/>
      <c r="K193" s="557"/>
      <c r="L193" s="553"/>
      <c r="M193" s="553"/>
      <c r="N193" s="553"/>
      <c r="O193" s="553"/>
      <c r="P193" s="553"/>
      <c r="Q193" s="452"/>
      <c r="R193" s="553"/>
      <c r="S193" s="553"/>
      <c r="T193" s="553"/>
      <c r="U193" s="553"/>
      <c r="V193" s="557"/>
      <c r="W193" s="557"/>
      <c r="X193" s="557"/>
      <c r="Y193" s="555"/>
      <c r="Z193" s="555"/>
      <c r="AA193" s="573"/>
      <c r="AB193" s="573"/>
      <c r="AC193" s="573"/>
      <c r="AD193" s="573"/>
      <c r="AE193" s="573"/>
      <c r="AF193" s="573"/>
      <c r="AG193" s="452"/>
      <c r="AH193" s="557"/>
      <c r="AI193" s="557"/>
      <c r="AJ193" s="557"/>
      <c r="AK193" s="557"/>
      <c r="AL193" s="557"/>
      <c r="AM193" s="557"/>
      <c r="AN193" s="557"/>
      <c r="AO193" s="557"/>
      <c r="AP193" s="557"/>
      <c r="AQ193" s="557"/>
      <c r="AR193" s="557"/>
      <c r="AS193" s="557"/>
      <c r="AT193" s="557"/>
      <c r="AU193" s="557"/>
      <c r="AV193" s="553"/>
      <c r="AW193" s="452"/>
      <c r="AX193" s="557"/>
      <c r="AY193" s="557"/>
      <c r="AZ193" s="557"/>
      <c r="BA193" s="557"/>
      <c r="BB193" s="557"/>
      <c r="BC193" s="557"/>
      <c r="BD193" s="557"/>
      <c r="BE193" s="557"/>
      <c r="BF193" s="557"/>
      <c r="BG193" s="557"/>
      <c r="BH193" s="557"/>
      <c r="BI193" s="557"/>
      <c r="BJ193" s="557"/>
      <c r="BK193" s="557"/>
      <c r="BL193" s="554"/>
      <c r="BM193" s="301">
        <v>7</v>
      </c>
      <c r="BN193" s="452"/>
      <c r="BO193" s="452"/>
      <c r="BP193" s="452"/>
      <c r="BQ193" s="452"/>
      <c r="BR193" s="452"/>
      <c r="BS193" s="452"/>
      <c r="BT193" s="452"/>
      <c r="BU193" s="552"/>
      <c r="BV193" s="552"/>
      <c r="BW193" s="552"/>
      <c r="BX193" s="552"/>
      <c r="BY193" s="552"/>
      <c r="BZ193" s="552"/>
      <c r="CA193" s="552"/>
      <c r="CB193" s="552"/>
      <c r="CC193" s="553"/>
      <c r="CD193" s="552"/>
      <c r="CE193" s="552"/>
      <c r="CF193" s="552"/>
      <c r="CG193" s="552"/>
      <c r="CH193" s="552"/>
      <c r="CI193" s="552"/>
      <c r="CJ193" s="552"/>
      <c r="CK193" s="552"/>
      <c r="CL193" s="552"/>
      <c r="CM193" s="452"/>
      <c r="CN193" s="452"/>
      <c r="CO193" s="452"/>
      <c r="CP193" s="452"/>
      <c r="CQ193" s="452"/>
      <c r="CR193" s="452"/>
      <c r="CS193" s="554"/>
    </row>
    <row r="194" spans="1:100">
      <c r="A194" s="573"/>
      <c r="B194" s="557"/>
      <c r="C194" s="557"/>
      <c r="D194" s="557"/>
      <c r="E194" s="557"/>
      <c r="F194" s="557"/>
      <c r="G194" s="557"/>
      <c r="H194" s="557"/>
      <c r="I194" s="557"/>
      <c r="J194" s="557"/>
      <c r="K194" s="557"/>
      <c r="L194" s="557"/>
      <c r="M194" s="557"/>
      <c r="N194" s="557"/>
      <c r="O194" s="557"/>
      <c r="P194" s="557"/>
      <c r="Q194" s="452"/>
      <c r="R194" s="557"/>
      <c r="S194" s="557"/>
      <c r="T194" s="557"/>
      <c r="U194" s="557"/>
      <c r="V194" s="557"/>
      <c r="W194" s="557"/>
      <c r="X194" s="557"/>
      <c r="Y194" s="557"/>
      <c r="Z194" s="557"/>
      <c r="AA194" s="557"/>
      <c r="AB194" s="557"/>
      <c r="AC194" s="557"/>
      <c r="AD194" s="557"/>
      <c r="AE194" s="557"/>
      <c r="AF194" s="573"/>
      <c r="AG194" s="557"/>
      <c r="AH194" s="452"/>
      <c r="AI194" s="452"/>
      <c r="AJ194" s="452"/>
      <c r="AK194" s="452"/>
      <c r="AL194" s="452"/>
      <c r="AM194" s="452"/>
      <c r="AN194" s="452"/>
      <c r="AO194" s="452"/>
      <c r="AP194" s="452"/>
      <c r="AQ194" s="452"/>
      <c r="AR194" s="452"/>
      <c r="AS194" s="452"/>
      <c r="AT194" s="452"/>
      <c r="AU194" s="452"/>
      <c r="AV194" s="555"/>
      <c r="AW194" s="452"/>
      <c r="AX194" s="452"/>
      <c r="AY194" s="452"/>
      <c r="AZ194" s="452"/>
      <c r="BA194" s="452"/>
      <c r="BB194" s="452"/>
      <c r="BC194" s="452"/>
      <c r="BD194" s="452"/>
      <c r="BE194" s="452"/>
      <c r="BF194" s="452"/>
      <c r="BG194" s="452"/>
      <c r="BH194" s="452"/>
      <c r="BI194" s="452"/>
      <c r="BJ194" s="452"/>
      <c r="BK194" s="452"/>
      <c r="BL194" s="556"/>
      <c r="BM194" s="452"/>
      <c r="BN194" s="452"/>
      <c r="BO194" s="553"/>
      <c r="BP194" s="553"/>
      <c r="BQ194" s="553"/>
      <c r="BR194" s="553"/>
      <c r="BS194" s="553"/>
      <c r="BT194" s="553"/>
      <c r="BU194" s="553"/>
      <c r="BV194" s="553"/>
      <c r="BW194" s="553"/>
      <c r="BX194" s="452"/>
      <c r="BY194" s="452"/>
      <c r="BZ194" s="452"/>
      <c r="CA194" s="452"/>
      <c r="CB194" s="553"/>
      <c r="CC194" s="555"/>
      <c r="CD194" s="552"/>
      <c r="CE194" s="452"/>
      <c r="CF194" s="452"/>
      <c r="CG194" s="452"/>
      <c r="CH194" s="452"/>
      <c r="CI194" s="452"/>
      <c r="CJ194" s="553"/>
      <c r="CK194" s="553"/>
      <c r="CL194" s="553"/>
      <c r="CM194" s="553"/>
      <c r="CN194" s="553"/>
      <c r="CO194" s="553"/>
      <c r="CP194" s="553"/>
      <c r="CQ194" s="553"/>
      <c r="CR194" s="553"/>
      <c r="CS194" s="556"/>
    </row>
    <row r="195" spans="1:100">
      <c r="BM195" s="348"/>
      <c r="BN195" s="452"/>
      <c r="BO195" s="553"/>
      <c r="BP195" s="553"/>
      <c r="BQ195" s="553"/>
      <c r="BR195" s="553"/>
      <c r="BS195" s="553"/>
      <c r="BT195" s="553"/>
      <c r="BU195" s="452"/>
      <c r="BV195" s="452"/>
      <c r="BW195" s="452"/>
      <c r="BX195" s="452"/>
      <c r="BY195" s="452"/>
      <c r="BZ195" s="452"/>
      <c r="CA195" s="452"/>
      <c r="CB195" s="452"/>
      <c r="CC195" s="555"/>
      <c r="CD195" s="552"/>
      <c r="CE195" s="452"/>
      <c r="CF195" s="452"/>
      <c r="CG195" s="452"/>
      <c r="CH195" s="452"/>
      <c r="CI195" s="452"/>
      <c r="CJ195" s="452"/>
      <c r="CK195" s="452"/>
      <c r="CL195" s="452"/>
      <c r="CM195" s="553"/>
      <c r="CN195" s="553"/>
      <c r="CO195" s="553"/>
      <c r="CP195" s="553"/>
      <c r="CQ195" s="553"/>
      <c r="CR195" s="553"/>
      <c r="CS195" s="432"/>
      <c r="CT195">
        <v>2</v>
      </c>
      <c r="CU195">
        <v>2</v>
      </c>
    </row>
    <row r="196" spans="1:100">
      <c r="BM196" s="177">
        <v>400</v>
      </c>
      <c r="BN196" s="452"/>
      <c r="BO196" s="553"/>
      <c r="BP196" s="553"/>
      <c r="BQ196" s="553"/>
      <c r="BR196" s="452"/>
      <c r="BS196" s="452"/>
      <c r="BT196" s="452"/>
      <c r="BU196" s="452"/>
      <c r="BV196" s="452"/>
      <c r="BW196" s="452"/>
      <c r="BX196" s="452"/>
      <c r="BY196" s="452"/>
      <c r="BZ196" s="452"/>
      <c r="CA196" s="452"/>
      <c r="CB196" s="452"/>
      <c r="CC196" s="555"/>
      <c r="CD196" s="552"/>
      <c r="CE196" s="452"/>
      <c r="CF196" s="452"/>
      <c r="CG196" s="452"/>
      <c r="CH196" s="452"/>
      <c r="CI196" s="452"/>
      <c r="CJ196" s="452"/>
      <c r="CK196" s="452"/>
      <c r="CL196" s="452"/>
      <c r="CM196" s="452"/>
      <c r="CN196" s="452"/>
      <c r="CO196" s="452"/>
      <c r="CP196" s="553"/>
      <c r="CQ196" s="553"/>
      <c r="CR196" s="553"/>
      <c r="CS196" s="556"/>
      <c r="CT196">
        <v>2</v>
      </c>
      <c r="CU196">
        <v>2</v>
      </c>
    </row>
    <row r="197" spans="1:100">
      <c r="A197" s="573"/>
      <c r="B197" s="557"/>
      <c r="C197" s="557"/>
      <c r="D197" s="557"/>
      <c r="E197" s="553"/>
      <c r="F197" s="553"/>
      <c r="G197" s="553"/>
      <c r="H197" s="553"/>
      <c r="I197" s="553"/>
      <c r="J197" s="553"/>
      <c r="K197" s="553"/>
      <c r="L197" s="553"/>
      <c r="M197" s="553"/>
      <c r="N197" s="553"/>
      <c r="O197" s="557"/>
      <c r="P197" s="557"/>
      <c r="Q197" s="452"/>
      <c r="R197" s="557"/>
      <c r="S197" s="553"/>
      <c r="T197" s="553"/>
      <c r="U197" s="553"/>
      <c r="V197" s="553"/>
      <c r="W197" s="553"/>
      <c r="X197" s="553"/>
      <c r="Y197" s="553"/>
      <c r="Z197" s="553"/>
      <c r="AA197" s="553"/>
      <c r="AB197" s="553"/>
      <c r="AC197" s="557"/>
      <c r="AD197" s="557"/>
      <c r="AE197" s="557"/>
      <c r="AF197" s="573"/>
      <c r="AG197" s="557"/>
      <c r="AH197" s="452"/>
      <c r="AI197" s="452"/>
      <c r="AJ197" s="452"/>
      <c r="AK197" s="557"/>
      <c r="AL197" s="557"/>
      <c r="AM197" s="557"/>
      <c r="AN197" s="557"/>
      <c r="AO197" s="557"/>
      <c r="AP197" s="557"/>
      <c r="AQ197" s="557"/>
      <c r="AR197" s="557"/>
      <c r="AS197" s="557"/>
      <c r="AT197" s="553"/>
      <c r="AU197" s="452"/>
      <c r="AV197" s="555"/>
      <c r="AW197" s="452"/>
      <c r="AX197" s="452"/>
      <c r="AY197" s="553"/>
      <c r="AZ197" s="557"/>
      <c r="BA197" s="557"/>
      <c r="BB197" s="557"/>
      <c r="BC197" s="557"/>
      <c r="BD197" s="557"/>
      <c r="BE197" s="557"/>
      <c r="BF197" s="557"/>
      <c r="BG197" s="557"/>
      <c r="BH197" s="557"/>
      <c r="BI197" s="452"/>
      <c r="BJ197" s="452"/>
      <c r="BK197" s="452"/>
      <c r="BL197" s="556"/>
      <c r="BM197" s="177">
        <v>50</v>
      </c>
      <c r="BN197" s="452"/>
      <c r="BO197" s="553"/>
      <c r="BP197" s="553"/>
      <c r="BQ197" s="452"/>
      <c r="BR197" s="452"/>
      <c r="BS197" s="452"/>
      <c r="BT197" s="452"/>
      <c r="BU197" s="452"/>
      <c r="BV197" s="452"/>
      <c r="BW197" s="452"/>
      <c r="BX197" s="452"/>
      <c r="BY197" s="452"/>
      <c r="BZ197" s="452"/>
      <c r="CA197" s="452"/>
      <c r="CB197" s="452"/>
      <c r="CC197" s="555"/>
      <c r="CD197" s="552"/>
      <c r="CE197" s="452"/>
      <c r="CF197" s="452"/>
      <c r="CG197" s="452"/>
      <c r="CH197" s="452"/>
      <c r="CI197" s="452"/>
      <c r="CJ197" s="452"/>
      <c r="CK197" s="452"/>
      <c r="CL197" s="452"/>
      <c r="CM197" s="452"/>
      <c r="CN197" s="452"/>
      <c r="CO197" s="452"/>
      <c r="CP197" s="452"/>
      <c r="CQ197" s="553"/>
      <c r="CR197" s="553"/>
      <c r="CS197" s="556"/>
    </row>
    <row r="198" spans="1:100">
      <c r="A198" s="573"/>
      <c r="B198" s="557"/>
      <c r="C198" s="557"/>
      <c r="D198" s="553"/>
      <c r="E198" s="553"/>
      <c r="F198" s="553"/>
      <c r="G198" s="553"/>
      <c r="H198" s="553"/>
      <c r="I198" s="553"/>
      <c r="J198" s="553"/>
      <c r="K198" s="553"/>
      <c r="L198" s="553"/>
      <c r="M198" s="553"/>
      <c r="N198" s="553"/>
      <c r="O198" s="553"/>
      <c r="P198" s="557"/>
      <c r="Q198" s="452"/>
      <c r="R198" s="553"/>
      <c r="S198" s="553"/>
      <c r="T198" s="553"/>
      <c r="U198" s="553"/>
      <c r="V198" s="553"/>
      <c r="W198" s="553"/>
      <c r="X198" s="553"/>
      <c r="Y198" s="553"/>
      <c r="Z198" s="553"/>
      <c r="AA198" s="553"/>
      <c r="AB198" s="553"/>
      <c r="AC198" s="553"/>
      <c r="AD198" s="557"/>
      <c r="AE198" s="557"/>
      <c r="AF198" s="573"/>
      <c r="AG198" s="557"/>
      <c r="AH198" s="452"/>
      <c r="AI198" s="452"/>
      <c r="AJ198" s="452"/>
      <c r="AK198" s="557"/>
      <c r="AL198" s="563"/>
      <c r="AM198" s="563"/>
      <c r="AN198" s="563"/>
      <c r="AO198" s="563"/>
      <c r="AP198" s="563"/>
      <c r="AQ198" s="563"/>
      <c r="AR198" s="563"/>
      <c r="AS198" s="563"/>
      <c r="AT198" s="563"/>
      <c r="AU198" s="563"/>
      <c r="AV198" s="563"/>
      <c r="AW198" s="563"/>
      <c r="AX198" s="563"/>
      <c r="AY198" s="563"/>
      <c r="AZ198" s="563"/>
      <c r="BA198" s="563"/>
      <c r="BB198" s="563"/>
      <c r="BC198" s="563"/>
      <c r="BD198" s="563"/>
      <c r="BE198" s="563"/>
      <c r="BF198" s="563"/>
      <c r="BG198" s="563"/>
      <c r="BH198" s="557"/>
      <c r="BI198" s="452"/>
      <c r="BJ198" s="452"/>
      <c r="BK198" s="452"/>
      <c r="BL198" s="556"/>
      <c r="BM198" s="177"/>
      <c r="CV198">
        <v>5</v>
      </c>
    </row>
    <row r="199" spans="1:100">
      <c r="AG199" s="557"/>
      <c r="AH199" s="452"/>
      <c r="AI199" s="452"/>
      <c r="AJ199" s="452"/>
      <c r="AK199" s="557"/>
      <c r="AL199" s="563"/>
      <c r="AM199" s="574"/>
      <c r="AN199" s="574"/>
      <c r="AO199" s="574"/>
      <c r="AP199" s="574"/>
      <c r="AQ199" s="574"/>
      <c r="AR199" s="574"/>
      <c r="AS199" s="574"/>
      <c r="AT199" s="574"/>
      <c r="AU199" s="574"/>
      <c r="AV199" s="574"/>
      <c r="AW199" s="574"/>
      <c r="AX199" s="574"/>
      <c r="AY199" s="574"/>
      <c r="AZ199" s="574"/>
      <c r="BA199" s="574"/>
      <c r="BB199" s="574"/>
      <c r="BC199" s="574"/>
      <c r="BD199" s="574"/>
      <c r="BE199" s="574"/>
      <c r="BF199" s="575"/>
      <c r="BG199" s="563"/>
      <c r="BH199" s="557"/>
      <c r="BI199" s="452"/>
      <c r="BJ199" s="452"/>
      <c r="BK199" s="452"/>
      <c r="BL199" s="556"/>
      <c r="BM199" s="177"/>
      <c r="CT199">
        <v>6</v>
      </c>
      <c r="CV199">
        <v>5</v>
      </c>
    </row>
    <row r="200" spans="1:100">
      <c r="A200" s="555"/>
      <c r="B200" s="557"/>
      <c r="C200" s="557"/>
      <c r="D200" s="553"/>
      <c r="E200" s="553"/>
      <c r="F200" s="553"/>
      <c r="G200" s="553"/>
      <c r="H200" s="553"/>
      <c r="I200" s="553"/>
      <c r="J200" s="553"/>
      <c r="K200" s="553"/>
      <c r="L200" s="553"/>
      <c r="M200" s="553"/>
      <c r="N200" s="553"/>
      <c r="O200" s="553"/>
      <c r="P200" s="557"/>
      <c r="Q200" s="452"/>
      <c r="R200" s="553"/>
      <c r="S200" s="553"/>
      <c r="T200" s="553"/>
      <c r="U200" s="553"/>
      <c r="V200" s="553"/>
      <c r="W200" s="553"/>
      <c r="X200" s="553"/>
      <c r="Y200" s="553"/>
      <c r="Z200" s="553"/>
      <c r="AA200" s="553"/>
      <c r="AB200" s="553"/>
      <c r="AC200" s="553"/>
      <c r="AD200" s="557"/>
      <c r="AE200" s="557"/>
      <c r="AF200" s="555"/>
      <c r="AG200" s="557"/>
      <c r="AH200" s="452"/>
      <c r="AI200" s="452"/>
      <c r="AJ200" s="452"/>
      <c r="AK200" s="557"/>
      <c r="AL200" s="563"/>
      <c r="AM200" s="574"/>
      <c r="AN200" s="576"/>
      <c r="AO200" s="576"/>
      <c r="AP200" s="576"/>
      <c r="AQ200" s="576"/>
      <c r="AR200" s="576"/>
      <c r="AS200" s="576"/>
      <c r="AT200" s="576"/>
      <c r="AU200" s="576"/>
      <c r="AV200" s="576"/>
      <c r="AW200" s="576"/>
      <c r="AX200" s="576"/>
      <c r="AY200" s="576"/>
      <c r="AZ200" s="576"/>
      <c r="BA200" s="576"/>
      <c r="BB200" s="576"/>
      <c r="BC200" s="576"/>
      <c r="BD200" s="576"/>
      <c r="BE200" s="456"/>
      <c r="BF200" s="575"/>
      <c r="BG200" s="563"/>
      <c r="BH200" s="557"/>
      <c r="BI200" s="452"/>
      <c r="BJ200" s="452"/>
      <c r="BK200" s="452"/>
      <c r="BL200" s="556"/>
      <c r="BM200" s="177"/>
      <c r="BN200" s="452"/>
      <c r="BO200" s="553"/>
      <c r="BP200" s="452"/>
      <c r="BQ200" s="452"/>
      <c r="BR200" s="452"/>
      <c r="BS200" s="452"/>
      <c r="BT200" s="452"/>
      <c r="BU200" s="452"/>
      <c r="BV200" s="452"/>
      <c r="BW200" s="452"/>
      <c r="BX200" s="452"/>
      <c r="BY200" s="452"/>
      <c r="BZ200" s="452"/>
      <c r="CA200" s="452"/>
      <c r="CB200" s="452"/>
      <c r="CC200" s="555"/>
      <c r="CD200" s="552"/>
      <c r="CE200" s="452"/>
      <c r="CF200" s="452"/>
      <c r="CG200" s="452"/>
      <c r="CH200" s="452"/>
      <c r="CI200" s="452"/>
      <c r="CJ200" s="452"/>
      <c r="CK200" s="452"/>
      <c r="CL200" s="452"/>
      <c r="CM200" s="452"/>
      <c r="CN200" s="452"/>
      <c r="CO200" s="452"/>
      <c r="CP200" s="452"/>
      <c r="CQ200" s="553"/>
      <c r="CR200" s="553"/>
      <c r="CS200" s="556"/>
    </row>
    <row r="201" spans="1:100">
      <c r="AG201" s="557"/>
      <c r="AH201" s="452"/>
      <c r="AI201" s="452"/>
      <c r="AJ201" s="452"/>
      <c r="AK201" s="557"/>
      <c r="AL201" s="563"/>
      <c r="AM201" s="574"/>
      <c r="AN201" s="576"/>
      <c r="AO201" s="552"/>
      <c r="AP201" s="577"/>
      <c r="AQ201" s="577"/>
      <c r="AR201" s="577"/>
      <c r="AS201" s="577"/>
      <c r="AT201" s="577"/>
      <c r="AU201" s="577"/>
      <c r="AV201" s="578"/>
      <c r="AW201" s="462"/>
      <c r="AX201" s="577"/>
      <c r="AY201" s="577"/>
      <c r="AZ201" s="577"/>
      <c r="BA201" s="577"/>
      <c r="BB201" s="577"/>
      <c r="BC201" s="577"/>
      <c r="BD201" s="552"/>
      <c r="BE201" s="456"/>
      <c r="BF201" s="575"/>
      <c r="BG201" s="563"/>
      <c r="BH201" s="557"/>
      <c r="BI201" s="452"/>
      <c r="BJ201" s="452"/>
      <c r="BK201" s="452"/>
      <c r="BL201" s="556"/>
      <c r="BM201" s="177"/>
      <c r="BN201" s="552"/>
      <c r="BO201" s="553"/>
      <c r="BP201" s="452"/>
      <c r="BQ201" s="452"/>
      <c r="BR201" s="452"/>
      <c r="BS201" s="452"/>
      <c r="BT201" s="452"/>
      <c r="BU201" s="452"/>
      <c r="BV201" s="452"/>
      <c r="BW201" s="452"/>
      <c r="BX201" s="452"/>
      <c r="BY201" s="452"/>
      <c r="BZ201" s="452"/>
      <c r="CA201" s="452"/>
      <c r="CB201" s="452"/>
      <c r="CC201" s="555"/>
      <c r="CD201" s="552"/>
      <c r="CE201" s="452"/>
      <c r="CF201" s="452"/>
      <c r="CG201" s="452"/>
      <c r="CH201" s="452"/>
      <c r="CI201" s="452"/>
      <c r="CJ201" s="452"/>
      <c r="CK201" s="452"/>
      <c r="CL201" s="452"/>
      <c r="CM201" s="452"/>
      <c r="CN201" s="452"/>
      <c r="CO201" s="452"/>
      <c r="CP201" s="452"/>
      <c r="CQ201" s="452"/>
      <c r="CR201" s="553"/>
      <c r="CS201" s="557"/>
      <c r="CT201">
        <v>8</v>
      </c>
    </row>
    <row r="202" spans="1:100">
      <c r="A202" s="557"/>
      <c r="B202" s="557"/>
      <c r="C202" s="557"/>
      <c r="D202" s="553"/>
      <c r="E202" s="553"/>
      <c r="F202" s="553"/>
      <c r="G202" s="553"/>
      <c r="H202" s="553"/>
      <c r="I202" s="553"/>
      <c r="J202" s="553"/>
      <c r="K202" s="553"/>
      <c r="L202" s="553"/>
      <c r="M202" s="553"/>
      <c r="N202" s="553"/>
      <c r="O202" s="452"/>
      <c r="P202" s="557"/>
      <c r="Q202" s="452"/>
      <c r="R202" s="452"/>
      <c r="S202" s="553"/>
      <c r="T202" s="553"/>
      <c r="U202" s="553"/>
      <c r="V202" s="553"/>
      <c r="W202" s="553"/>
      <c r="X202" s="553"/>
      <c r="Y202" s="553"/>
      <c r="Z202" s="553"/>
      <c r="AA202" s="553"/>
      <c r="AB202" s="553"/>
      <c r="AC202" s="553"/>
      <c r="AD202" s="557"/>
      <c r="AE202" s="557"/>
      <c r="AF202" s="557"/>
      <c r="AG202" s="557"/>
      <c r="AH202" s="452"/>
      <c r="AI202" s="452"/>
      <c r="AJ202" s="452"/>
      <c r="AK202" s="557"/>
      <c r="AL202" s="563"/>
      <c r="AM202" s="574"/>
      <c r="AN202" s="576"/>
      <c r="AO202" s="577"/>
      <c r="AP202" s="552"/>
      <c r="AQ202" s="577"/>
      <c r="AR202" s="577"/>
      <c r="AS202" s="578"/>
      <c r="AT202" s="577"/>
      <c r="AU202" s="577"/>
      <c r="AV202" s="578"/>
      <c r="AW202" s="462"/>
      <c r="AX202" s="577"/>
      <c r="AY202" s="577"/>
      <c r="AZ202" s="578"/>
      <c r="BA202" s="577"/>
      <c r="BB202" s="577"/>
      <c r="BC202" s="552"/>
      <c r="BD202" s="577"/>
      <c r="BE202" s="456"/>
      <c r="BF202" s="575"/>
      <c r="BG202" s="563"/>
      <c r="BH202" s="557"/>
      <c r="BI202" s="452"/>
      <c r="BJ202" s="452"/>
      <c r="BK202" s="452"/>
      <c r="BL202" s="556"/>
      <c r="BM202" s="177">
        <v>1</v>
      </c>
      <c r="CV202">
        <v>9</v>
      </c>
    </row>
    <row r="203" spans="1:100">
      <c r="A203" s="557"/>
      <c r="B203" s="557"/>
      <c r="C203" s="557"/>
      <c r="D203" s="553"/>
      <c r="E203" s="553"/>
      <c r="F203" s="553"/>
      <c r="G203" s="553"/>
      <c r="H203" s="553"/>
      <c r="I203" s="553"/>
      <c r="J203" s="553"/>
      <c r="K203" s="553"/>
      <c r="L203" s="553"/>
      <c r="M203" s="452"/>
      <c r="N203" s="452"/>
      <c r="O203" s="452"/>
      <c r="P203" s="557"/>
      <c r="Q203" s="452"/>
      <c r="R203" s="452"/>
      <c r="S203" s="452"/>
      <c r="T203" s="452"/>
      <c r="U203" s="553"/>
      <c r="V203" s="553"/>
      <c r="W203" s="553"/>
      <c r="X203" s="553"/>
      <c r="Y203" s="553"/>
      <c r="Z203" s="553"/>
      <c r="AA203" s="553"/>
      <c r="AB203" s="553"/>
      <c r="AC203" s="553"/>
      <c r="AD203" s="557"/>
      <c r="AE203" s="557"/>
      <c r="AF203" s="557"/>
      <c r="AG203" s="557"/>
      <c r="AH203" s="452"/>
      <c r="AI203" s="452"/>
      <c r="AJ203" s="452"/>
      <c r="AK203" s="557"/>
      <c r="AL203" s="563"/>
      <c r="AM203" s="574"/>
      <c r="AN203" s="576"/>
      <c r="AO203" s="577"/>
      <c r="AP203" s="577"/>
      <c r="AQ203" s="552"/>
      <c r="AR203" s="577"/>
      <c r="AS203" s="577"/>
      <c r="AT203" s="577"/>
      <c r="AU203" s="577"/>
      <c r="AV203" s="578"/>
      <c r="AW203" s="462"/>
      <c r="AX203" s="577"/>
      <c r="AY203" s="577"/>
      <c r="AZ203" s="577"/>
      <c r="BA203" s="577"/>
      <c r="BB203" s="552"/>
      <c r="BC203" s="577"/>
      <c r="BD203" s="577"/>
      <c r="BE203" s="456"/>
      <c r="BF203" s="575"/>
      <c r="BG203" s="563"/>
      <c r="BH203" s="557"/>
      <c r="BI203" s="452"/>
      <c r="BJ203" s="452"/>
      <c r="BK203" s="452"/>
      <c r="BL203" s="556"/>
      <c r="BM203" s="177"/>
      <c r="CV203">
        <v>9</v>
      </c>
    </row>
    <row r="204" spans="1:100">
      <c r="A204" s="553"/>
      <c r="B204" s="557"/>
      <c r="C204" s="557"/>
      <c r="D204" s="553"/>
      <c r="E204" s="553"/>
      <c r="F204" s="553"/>
      <c r="G204" s="553"/>
      <c r="H204" s="553"/>
      <c r="I204" s="553"/>
      <c r="J204" s="553"/>
      <c r="K204" s="553"/>
      <c r="L204" s="452"/>
      <c r="M204" s="452"/>
      <c r="N204" s="452"/>
      <c r="O204" s="452"/>
      <c r="P204" s="553"/>
      <c r="Q204" s="452"/>
      <c r="R204" s="452"/>
      <c r="S204" s="452"/>
      <c r="T204" s="452"/>
      <c r="U204" s="452"/>
      <c r="V204" s="553"/>
      <c r="W204" s="553"/>
      <c r="X204" s="553"/>
      <c r="Y204" s="553"/>
      <c r="Z204" s="553"/>
      <c r="AA204" s="553"/>
      <c r="AB204" s="553"/>
      <c r="AC204" s="553"/>
      <c r="AD204" s="557"/>
      <c r="AE204" s="557"/>
      <c r="AF204" s="553"/>
      <c r="AG204" s="557"/>
      <c r="AH204" s="452"/>
      <c r="AI204" s="452"/>
      <c r="AJ204" s="452"/>
      <c r="AK204" s="557"/>
      <c r="AL204" s="563"/>
      <c r="AM204" s="574"/>
      <c r="AN204" s="576"/>
      <c r="AO204" s="577"/>
      <c r="AP204" s="577"/>
      <c r="AQ204" s="577"/>
      <c r="AR204" s="552"/>
      <c r="AS204" s="577"/>
      <c r="AT204" s="577"/>
      <c r="AU204" s="577"/>
      <c r="AV204" s="578"/>
      <c r="AW204" s="462"/>
      <c r="AX204" s="577"/>
      <c r="AY204" s="577"/>
      <c r="AZ204" s="577"/>
      <c r="BA204" s="552"/>
      <c r="BB204" s="577"/>
      <c r="BC204" s="577"/>
      <c r="BD204" s="577"/>
      <c r="BE204" s="456"/>
      <c r="BF204" s="575"/>
      <c r="BG204" s="563"/>
      <c r="BH204" s="557"/>
      <c r="BI204" s="452"/>
      <c r="BJ204" s="452"/>
      <c r="BK204" s="452"/>
      <c r="BL204" s="556"/>
      <c r="BM204" s="177"/>
      <c r="BN204" s="552"/>
      <c r="BO204" s="452"/>
      <c r="BP204" s="452"/>
      <c r="BQ204" s="452"/>
      <c r="BR204" s="452"/>
      <c r="BS204" s="452"/>
      <c r="BT204" s="452"/>
      <c r="BU204" s="452"/>
      <c r="BV204" s="452"/>
      <c r="BW204" s="452"/>
      <c r="BX204" s="452"/>
      <c r="BY204" s="452"/>
      <c r="BZ204" s="452"/>
      <c r="CA204" s="452"/>
      <c r="CB204" s="452"/>
      <c r="CC204" s="555"/>
      <c r="CD204" s="552"/>
      <c r="CE204" s="452"/>
      <c r="CF204" s="452"/>
      <c r="CG204" s="452"/>
      <c r="CH204" s="452"/>
      <c r="CI204" s="452"/>
      <c r="CJ204" s="452"/>
      <c r="CK204" s="452"/>
      <c r="CL204" s="452"/>
      <c r="CM204" s="452"/>
      <c r="CN204" s="452"/>
      <c r="CO204" s="452"/>
      <c r="CP204" s="452"/>
      <c r="CQ204" s="452"/>
      <c r="CR204" s="452"/>
      <c r="CS204" s="557"/>
    </row>
    <row r="205" spans="1:100">
      <c r="A205" s="553"/>
      <c r="B205" s="557"/>
      <c r="C205" s="557"/>
      <c r="D205" s="553"/>
      <c r="E205" s="553"/>
      <c r="F205" s="553"/>
      <c r="G205" s="553"/>
      <c r="H205" s="553"/>
      <c r="I205" s="553"/>
      <c r="J205" s="553"/>
      <c r="K205" s="452"/>
      <c r="L205" s="452"/>
      <c r="M205" s="452"/>
      <c r="N205" s="452"/>
      <c r="O205" s="452"/>
      <c r="P205" s="553"/>
      <c r="Q205" s="452"/>
      <c r="R205" s="452"/>
      <c r="S205" s="452"/>
      <c r="T205" s="452"/>
      <c r="U205" s="452"/>
      <c r="V205" s="452"/>
      <c r="W205" s="553"/>
      <c r="X205" s="553"/>
      <c r="Y205" s="553"/>
      <c r="Z205" s="553"/>
      <c r="AA205" s="553"/>
      <c r="AB205" s="553"/>
      <c r="AC205" s="553"/>
      <c r="AD205" s="557"/>
      <c r="AE205" s="557"/>
      <c r="AF205" s="553"/>
      <c r="AG205" s="557"/>
      <c r="AH205" s="452"/>
      <c r="AI205" s="452"/>
      <c r="AJ205" s="452"/>
      <c r="AK205" s="557"/>
      <c r="AL205" s="563"/>
      <c r="AM205" s="574"/>
      <c r="AN205" s="576"/>
      <c r="AO205" s="577"/>
      <c r="AP205" s="578"/>
      <c r="AQ205" s="577"/>
      <c r="AR205" s="577"/>
      <c r="AS205" s="552"/>
      <c r="AT205" s="577"/>
      <c r="AU205" s="577"/>
      <c r="AV205" s="578"/>
      <c r="AW205" s="462"/>
      <c r="AX205" s="577"/>
      <c r="AY205" s="577"/>
      <c r="AZ205" s="552"/>
      <c r="BA205" s="577"/>
      <c r="BB205" s="577"/>
      <c r="BC205" s="578"/>
      <c r="BD205" s="577"/>
      <c r="BE205" s="456"/>
      <c r="BF205" s="575"/>
      <c r="BG205" s="563"/>
      <c r="BH205" s="557"/>
      <c r="BI205" s="452"/>
      <c r="BJ205" s="452"/>
      <c r="BK205" s="452"/>
      <c r="BL205" s="556"/>
      <c r="BM205" s="177"/>
      <c r="CV205">
        <v>12</v>
      </c>
    </row>
    <row r="206" spans="1:100">
      <c r="AG206" s="557"/>
      <c r="AH206" s="452"/>
      <c r="AI206" s="452"/>
      <c r="AJ206" s="452"/>
      <c r="AK206" s="553"/>
      <c r="AL206" s="563"/>
      <c r="AM206" s="574"/>
      <c r="AN206" s="576"/>
      <c r="AO206" s="577"/>
      <c r="AP206" s="577"/>
      <c r="AQ206" s="577"/>
      <c r="AR206" s="577"/>
      <c r="AS206" s="577"/>
      <c r="AT206" s="552"/>
      <c r="AU206" s="577"/>
      <c r="AV206" s="552"/>
      <c r="AW206" s="552"/>
      <c r="AX206" s="577"/>
      <c r="AY206" s="552"/>
      <c r="AZ206" s="577"/>
      <c r="BA206" s="577"/>
      <c r="BB206" s="577"/>
      <c r="BC206" s="577"/>
      <c r="BD206" s="577"/>
      <c r="BE206" s="456"/>
      <c r="BF206" s="575"/>
      <c r="BG206" s="563"/>
      <c r="BH206" s="553"/>
      <c r="BI206" s="452"/>
      <c r="BJ206" s="452"/>
      <c r="BK206" s="452"/>
      <c r="BL206" s="556"/>
      <c r="BM206" s="177"/>
      <c r="CT206">
        <v>13</v>
      </c>
      <c r="CV206">
        <v>12</v>
      </c>
    </row>
    <row r="207" spans="1:100">
      <c r="A207" s="553"/>
      <c r="B207" s="557"/>
      <c r="C207" s="557"/>
      <c r="D207" s="553"/>
      <c r="E207" s="553"/>
      <c r="F207" s="553"/>
      <c r="G207" s="553"/>
      <c r="H207" s="553"/>
      <c r="I207" s="553"/>
      <c r="J207" s="452"/>
      <c r="K207" s="452"/>
      <c r="L207" s="452"/>
      <c r="M207" s="452"/>
      <c r="N207" s="452"/>
      <c r="O207" s="452"/>
      <c r="P207" s="553"/>
      <c r="Q207" s="452"/>
      <c r="R207" s="452"/>
      <c r="S207" s="452"/>
      <c r="T207" s="452"/>
      <c r="U207" s="452"/>
      <c r="V207" s="452"/>
      <c r="W207" s="452"/>
      <c r="X207" s="553"/>
      <c r="Y207" s="553"/>
      <c r="Z207" s="553"/>
      <c r="AA207" s="553"/>
      <c r="AB207" s="553"/>
      <c r="AC207" s="557"/>
      <c r="AD207" s="557"/>
      <c r="AE207" s="557"/>
      <c r="AF207" s="553"/>
      <c r="AG207" s="557"/>
      <c r="AH207" s="452"/>
      <c r="AI207" s="452"/>
      <c r="AJ207" s="452"/>
      <c r="AK207" s="452"/>
      <c r="AL207" s="563"/>
      <c r="AM207" s="574"/>
      <c r="AN207" s="576"/>
      <c r="AO207" s="577"/>
      <c r="AP207" s="577"/>
      <c r="AQ207" s="577"/>
      <c r="AR207" s="577"/>
      <c r="AS207" s="577"/>
      <c r="AT207" s="577"/>
      <c r="AU207" s="552"/>
      <c r="AV207" s="552"/>
      <c r="AW207" s="552"/>
      <c r="AX207" s="552"/>
      <c r="AY207" s="577"/>
      <c r="AZ207" s="577"/>
      <c r="BA207" s="577"/>
      <c r="BB207" s="577"/>
      <c r="BC207" s="577"/>
      <c r="BD207" s="577"/>
      <c r="BE207" s="456"/>
      <c r="BF207" s="575"/>
      <c r="BG207" s="563"/>
      <c r="BH207" s="452"/>
      <c r="BI207" s="452"/>
      <c r="BJ207" s="452"/>
      <c r="BK207" s="452"/>
      <c r="BL207" s="556"/>
      <c r="BM207" s="177"/>
      <c r="CV207">
        <v>12</v>
      </c>
    </row>
    <row r="208" spans="1:100">
      <c r="A208" s="553"/>
      <c r="B208" s="575"/>
      <c r="C208" s="575"/>
      <c r="D208" s="557"/>
      <c r="E208" s="557"/>
      <c r="F208" s="557"/>
      <c r="G208" s="557"/>
      <c r="H208" s="557"/>
      <c r="I208" s="557"/>
      <c r="J208" s="557"/>
      <c r="K208" s="557"/>
      <c r="L208" s="553"/>
      <c r="M208" s="553"/>
      <c r="N208" s="553"/>
      <c r="O208" s="553"/>
      <c r="P208" s="557"/>
      <c r="Q208" s="553"/>
      <c r="R208" s="553"/>
      <c r="S208" s="553"/>
      <c r="T208" s="553"/>
      <c r="U208" s="571"/>
      <c r="V208" s="557"/>
      <c r="W208" s="557"/>
      <c r="X208" s="557"/>
      <c r="Y208" s="557"/>
      <c r="Z208" s="557"/>
      <c r="AA208" s="557"/>
      <c r="AB208" s="557"/>
      <c r="AC208" s="557"/>
      <c r="AD208" s="575"/>
      <c r="AE208" s="575"/>
      <c r="AF208" s="553"/>
      <c r="AG208" s="553"/>
      <c r="AH208" s="555"/>
      <c r="AI208" s="555"/>
      <c r="AJ208" s="555"/>
      <c r="AK208" s="555"/>
      <c r="AL208" s="563"/>
      <c r="AM208" s="574"/>
      <c r="AN208" s="576"/>
      <c r="AO208" s="577"/>
      <c r="AP208" s="578"/>
      <c r="AQ208" s="578"/>
      <c r="AR208" s="578"/>
      <c r="AS208" s="578"/>
      <c r="AT208" s="552"/>
      <c r="AU208" s="552"/>
      <c r="AV208" s="552"/>
      <c r="AW208" s="552"/>
      <c r="AX208" s="552"/>
      <c r="AY208" s="552"/>
      <c r="AZ208" s="578"/>
      <c r="BA208" s="578"/>
      <c r="BB208" s="578"/>
      <c r="BC208" s="578"/>
      <c r="BD208" s="578"/>
      <c r="BE208" s="456"/>
      <c r="BF208" s="575"/>
      <c r="BG208" s="563"/>
      <c r="BH208" s="555"/>
      <c r="BI208" s="555"/>
      <c r="BJ208" s="555"/>
      <c r="BK208" s="555"/>
      <c r="BL208" s="556"/>
      <c r="BM208" s="177"/>
      <c r="BN208" s="553"/>
      <c r="BO208" s="555"/>
      <c r="BP208" s="555"/>
      <c r="BQ208" s="555"/>
      <c r="BR208" s="555"/>
      <c r="BS208" s="555"/>
      <c r="BT208" s="555"/>
      <c r="BU208" s="555"/>
      <c r="BV208" s="555"/>
      <c r="BW208" s="555"/>
      <c r="BX208" s="555"/>
      <c r="BY208" s="555"/>
      <c r="BZ208" s="555"/>
      <c r="CA208" s="555"/>
      <c r="CB208" s="555"/>
      <c r="CC208" s="555"/>
      <c r="CD208" s="553"/>
      <c r="CE208" s="555"/>
      <c r="CF208" s="555"/>
      <c r="CG208" s="555"/>
      <c r="CH208" s="555"/>
      <c r="CI208" s="555"/>
      <c r="CJ208" s="555"/>
      <c r="CK208" s="555"/>
      <c r="CL208" s="555"/>
      <c r="CM208" s="555"/>
      <c r="CN208" s="555"/>
      <c r="CO208" s="555"/>
      <c r="CP208" s="555"/>
      <c r="CQ208" s="555"/>
      <c r="CR208" s="555"/>
      <c r="CS208" s="556"/>
    </row>
    <row r="209" spans="1:100">
      <c r="A209" s="553"/>
      <c r="B209" s="452"/>
      <c r="C209" s="452"/>
      <c r="D209" s="452"/>
      <c r="E209" s="452"/>
      <c r="F209" s="452"/>
      <c r="G209" s="452"/>
      <c r="H209" s="452"/>
      <c r="I209" s="452"/>
      <c r="J209" s="452"/>
      <c r="K209" s="452"/>
      <c r="L209" s="452"/>
      <c r="M209" s="452"/>
      <c r="N209" s="452"/>
      <c r="O209" s="452"/>
      <c r="P209" s="553"/>
      <c r="Q209" s="571"/>
      <c r="R209" s="452"/>
      <c r="S209" s="452"/>
      <c r="T209" s="452"/>
      <c r="U209" s="452"/>
      <c r="V209" s="452"/>
      <c r="W209" s="452"/>
      <c r="X209" s="452"/>
      <c r="Y209" s="452"/>
      <c r="Z209" s="452"/>
      <c r="AA209" s="452"/>
      <c r="AB209" s="452"/>
      <c r="AC209" s="452"/>
      <c r="AD209" s="452"/>
      <c r="AE209" s="452"/>
      <c r="AF209" s="553"/>
      <c r="AG209" s="557"/>
      <c r="AH209" s="452"/>
      <c r="AI209" s="452"/>
      <c r="AJ209" s="452"/>
      <c r="AK209" s="452"/>
      <c r="AL209" s="563"/>
      <c r="AM209" s="574"/>
      <c r="AN209" s="576"/>
      <c r="AO209" s="577"/>
      <c r="AP209" s="462"/>
      <c r="AQ209" s="462"/>
      <c r="AR209" s="462"/>
      <c r="AS209" s="462"/>
      <c r="AT209" s="552"/>
      <c r="AU209" s="552"/>
      <c r="AV209" s="552"/>
      <c r="AW209" s="552"/>
      <c r="AX209" s="552"/>
      <c r="AY209" s="552"/>
      <c r="AZ209" s="462"/>
      <c r="BA209" s="462"/>
      <c r="BB209" s="462"/>
      <c r="BC209" s="462"/>
      <c r="BD209" s="462"/>
      <c r="BE209" s="456"/>
      <c r="BF209" s="575"/>
      <c r="BG209" s="563"/>
      <c r="BH209" s="452"/>
      <c r="BI209" s="452"/>
      <c r="BJ209" s="452"/>
      <c r="BK209" s="452"/>
      <c r="BL209" s="554"/>
      <c r="BM209" s="177"/>
      <c r="BN209" s="552"/>
      <c r="BO209" s="552"/>
      <c r="BP209" s="552"/>
      <c r="BQ209" s="552"/>
      <c r="BR209" s="552"/>
      <c r="BS209" s="552"/>
      <c r="BT209" s="552"/>
      <c r="BU209" s="552"/>
      <c r="BV209" s="552"/>
      <c r="BW209" s="552"/>
      <c r="BX209" s="552"/>
      <c r="BY209" s="552"/>
      <c r="BZ209" s="552"/>
      <c r="CA209" s="552"/>
      <c r="CB209" s="552"/>
      <c r="CC209" s="557"/>
      <c r="CD209" s="552"/>
      <c r="CE209" s="552"/>
      <c r="CF209" s="552"/>
      <c r="CG209" s="552"/>
      <c r="CH209" s="552"/>
      <c r="CI209" s="552"/>
      <c r="CJ209" s="552"/>
      <c r="CK209" s="552"/>
      <c r="CL209" s="552"/>
      <c r="CM209" s="552"/>
      <c r="CN209" s="552"/>
      <c r="CO209" s="552"/>
      <c r="CP209" s="552"/>
      <c r="CQ209" s="552"/>
      <c r="CR209" s="552"/>
      <c r="CS209" s="554"/>
    </row>
    <row r="210" spans="1:100">
      <c r="A210" s="553"/>
      <c r="B210" s="557"/>
      <c r="C210" s="557"/>
      <c r="D210" s="557"/>
      <c r="E210" s="553"/>
      <c r="F210" s="553"/>
      <c r="G210" s="553"/>
      <c r="H210" s="553"/>
      <c r="I210" s="553"/>
      <c r="J210" s="452"/>
      <c r="K210" s="452"/>
      <c r="L210" s="452"/>
      <c r="M210" s="452"/>
      <c r="N210" s="452"/>
      <c r="O210" s="452"/>
      <c r="P210" s="553"/>
      <c r="Q210" s="452"/>
      <c r="R210" s="452"/>
      <c r="S210" s="452"/>
      <c r="T210" s="452"/>
      <c r="U210" s="452"/>
      <c r="V210" s="452"/>
      <c r="W210" s="452"/>
      <c r="X210" s="553"/>
      <c r="Y210" s="553"/>
      <c r="Z210" s="553"/>
      <c r="AA210" s="553"/>
      <c r="AB210" s="553"/>
      <c r="AC210" s="557"/>
      <c r="AD210" s="557"/>
      <c r="AE210" s="557"/>
      <c r="AF210" s="553"/>
      <c r="BM210" s="177"/>
      <c r="CU210">
        <v>15</v>
      </c>
      <c r="CV210">
        <v>12</v>
      </c>
    </row>
    <row r="211" spans="1:100">
      <c r="BM211" s="177"/>
      <c r="CT211">
        <v>13</v>
      </c>
      <c r="CU211">
        <v>14</v>
      </c>
      <c r="CV211">
        <v>12</v>
      </c>
    </row>
    <row r="212" spans="1:100">
      <c r="BM212" s="177"/>
      <c r="CT212">
        <v>13</v>
      </c>
      <c r="CU212">
        <v>13</v>
      </c>
      <c r="CV212">
        <v>12</v>
      </c>
    </row>
    <row r="213" spans="1:100">
      <c r="BM213" s="177"/>
      <c r="CT213">
        <v>12</v>
      </c>
      <c r="CU213">
        <v>12</v>
      </c>
      <c r="CV213">
        <v>12</v>
      </c>
    </row>
    <row r="214" spans="1:100">
      <c r="BM214" s="177"/>
      <c r="CT214">
        <v>11</v>
      </c>
      <c r="CU214">
        <v>11</v>
      </c>
      <c r="CV214">
        <v>12</v>
      </c>
    </row>
    <row r="215" spans="1:100">
      <c r="BM215" s="177"/>
      <c r="CT215">
        <v>10</v>
      </c>
      <c r="CU215">
        <v>10</v>
      </c>
      <c r="CV215">
        <v>9</v>
      </c>
    </row>
    <row r="216" spans="1:100">
      <c r="BM216" s="177"/>
      <c r="CT216">
        <v>8</v>
      </c>
      <c r="CU216">
        <v>9</v>
      </c>
      <c r="CV216">
        <v>9</v>
      </c>
    </row>
    <row r="217" spans="1:100">
      <c r="BM217" s="177"/>
      <c r="CT217">
        <v>8</v>
      </c>
      <c r="CU217">
        <v>8</v>
      </c>
      <c r="CV217">
        <v>9</v>
      </c>
    </row>
    <row r="218" spans="1:100">
      <c r="AG218" s="557"/>
      <c r="AH218" s="452"/>
      <c r="AI218" s="452"/>
      <c r="AJ218" s="452"/>
      <c r="AK218" s="557"/>
      <c r="AL218" s="563"/>
      <c r="AM218" s="575"/>
      <c r="AN218" s="575"/>
      <c r="AO218" s="575"/>
      <c r="AP218" s="575"/>
      <c r="AQ218" s="575"/>
      <c r="AR218" s="575"/>
      <c r="AS218" s="575"/>
      <c r="AT218" s="575"/>
      <c r="AU218" s="575"/>
      <c r="AV218" s="575"/>
      <c r="AW218" s="575"/>
      <c r="AX218" s="575"/>
      <c r="AY218" s="575"/>
      <c r="AZ218" s="575"/>
      <c r="BA218" s="575"/>
      <c r="BB218" s="575"/>
      <c r="BC218" s="575"/>
      <c r="BD218" s="575"/>
      <c r="BE218" s="575"/>
      <c r="BF218" s="575"/>
      <c r="BG218" s="563"/>
      <c r="BH218" s="557"/>
      <c r="BI218" s="452"/>
      <c r="BJ218" s="452"/>
      <c r="BK218" s="452"/>
      <c r="BL218" s="556"/>
      <c r="BM218" s="177"/>
      <c r="CT218">
        <v>6</v>
      </c>
      <c r="CV218">
        <v>8</v>
      </c>
    </row>
    <row r="219" spans="1:100">
      <c r="BM219" s="177"/>
      <c r="CT219">
        <v>6</v>
      </c>
      <c r="CU219">
        <v>6</v>
      </c>
      <c r="CV219">
        <v>5</v>
      </c>
    </row>
    <row r="220" spans="1:100">
      <c r="BM220" s="177"/>
      <c r="CT220">
        <v>6</v>
      </c>
      <c r="CU220">
        <v>5</v>
      </c>
      <c r="CV220">
        <v>5</v>
      </c>
    </row>
    <row r="221" spans="1:100">
      <c r="BM221" s="177"/>
      <c r="CT221">
        <v>5</v>
      </c>
      <c r="CU221">
        <v>2</v>
      </c>
      <c r="CV221">
        <v>4</v>
      </c>
    </row>
    <row r="222" spans="1:100">
      <c r="BM222" s="177"/>
      <c r="CT222">
        <v>2</v>
      </c>
      <c r="CU222">
        <v>2</v>
      </c>
      <c r="CV222">
        <v>3</v>
      </c>
    </row>
    <row r="223" spans="1:100">
      <c r="BM223" s="177"/>
      <c r="CT223">
        <v>2</v>
      </c>
      <c r="CU223">
        <v>2</v>
      </c>
      <c r="CV223">
        <v>2</v>
      </c>
    </row>
    <row r="224" spans="1:100">
      <c r="A224" s="579"/>
      <c r="B224" s="579"/>
      <c r="C224" s="579"/>
      <c r="D224" s="579"/>
      <c r="E224" s="579"/>
      <c r="F224" s="579"/>
      <c r="G224" s="561"/>
      <c r="H224" s="561"/>
      <c r="I224" s="580"/>
      <c r="J224" s="580"/>
      <c r="K224" s="580"/>
      <c r="L224" s="560"/>
      <c r="M224" s="560"/>
      <c r="N224" s="560"/>
      <c r="O224" s="560"/>
      <c r="P224" s="560"/>
      <c r="Q224" s="560"/>
      <c r="R224" s="560"/>
      <c r="S224" s="560"/>
      <c r="T224" s="560"/>
      <c r="U224" s="560"/>
      <c r="V224" s="580"/>
      <c r="W224" s="580"/>
      <c r="X224" s="561"/>
      <c r="Y224" s="561"/>
      <c r="Z224" s="561"/>
      <c r="AA224" s="579"/>
      <c r="AB224" s="579"/>
      <c r="AC224" s="579"/>
      <c r="AD224" s="579"/>
      <c r="AE224" s="579"/>
      <c r="AF224" s="579"/>
      <c r="AG224" s="560"/>
      <c r="AH224" s="561"/>
      <c r="AI224" s="561"/>
      <c r="AJ224" s="561"/>
      <c r="AK224" s="561"/>
      <c r="AL224" s="561"/>
      <c r="AM224" s="561"/>
      <c r="AN224" s="561"/>
      <c r="AO224" s="561"/>
      <c r="AP224" s="561"/>
      <c r="AQ224" s="561"/>
      <c r="AR224" s="561"/>
      <c r="AS224" s="561"/>
      <c r="AT224" s="561"/>
      <c r="AU224" s="561"/>
      <c r="AV224" s="561"/>
      <c r="AW224" s="560"/>
      <c r="AX224" s="561"/>
      <c r="AY224" s="561"/>
      <c r="AZ224" s="561"/>
      <c r="BA224" s="561"/>
      <c r="BB224" s="561"/>
      <c r="BC224" s="561"/>
      <c r="BD224" s="561"/>
      <c r="BE224" s="561"/>
      <c r="BF224" s="561"/>
      <c r="BG224" s="561"/>
      <c r="BH224" s="561"/>
      <c r="BI224" s="561"/>
      <c r="BJ224" s="561"/>
      <c r="BK224" s="561"/>
      <c r="BL224" s="562"/>
      <c r="BM224" s="74"/>
      <c r="BN224" s="560"/>
      <c r="BO224" s="561"/>
      <c r="BP224" s="561"/>
      <c r="BQ224" s="561"/>
      <c r="BR224" s="561"/>
      <c r="BS224" s="561"/>
      <c r="BT224" s="561"/>
      <c r="BU224" s="557"/>
      <c r="BV224" s="557"/>
      <c r="BW224" s="557"/>
      <c r="BX224" s="557"/>
      <c r="BY224" s="557"/>
      <c r="BZ224" s="557"/>
      <c r="CA224" s="557"/>
      <c r="CB224" s="557"/>
      <c r="CC224" s="561"/>
      <c r="CD224" s="560"/>
      <c r="CE224" s="557"/>
      <c r="CF224" s="557"/>
      <c r="CG224" s="557"/>
      <c r="CH224" s="557"/>
      <c r="CI224" s="557"/>
      <c r="CJ224" s="557"/>
      <c r="CK224" s="557"/>
      <c r="CL224" s="557"/>
      <c r="CM224" s="561"/>
      <c r="CN224" s="561"/>
      <c r="CO224" s="561"/>
      <c r="CP224" s="561"/>
      <c r="CQ224" s="561"/>
      <c r="CR224" s="561"/>
      <c r="CS224" s="562"/>
    </row>
    <row r="225" spans="1:100">
      <c r="A225" s="420"/>
      <c r="B225" s="417"/>
      <c r="C225" s="415"/>
      <c r="D225" s="417"/>
      <c r="E225" s="417"/>
      <c r="F225" s="417"/>
      <c r="G225" s="415"/>
      <c r="H225" s="417"/>
      <c r="I225" s="417"/>
      <c r="J225" s="417"/>
      <c r="K225" s="417"/>
      <c r="L225" s="417"/>
      <c r="M225" s="415"/>
      <c r="N225" s="417"/>
      <c r="O225" s="417"/>
      <c r="P225" s="417"/>
      <c r="Q225" s="417"/>
      <c r="R225" s="417"/>
      <c r="S225" s="415"/>
      <c r="T225" s="417"/>
      <c r="U225" s="417"/>
      <c r="V225" s="417"/>
      <c r="W225" s="417"/>
      <c r="X225" s="417"/>
      <c r="Y225" s="415"/>
      <c r="Z225" s="415"/>
      <c r="AA225" s="415"/>
      <c r="AB225" s="415"/>
      <c r="AC225" s="417"/>
      <c r="AD225" s="417"/>
      <c r="AE225" s="417"/>
      <c r="AF225" s="415"/>
      <c r="AG225" s="415"/>
      <c r="AH225" s="415"/>
      <c r="AI225" s="415"/>
      <c r="AJ225" s="415"/>
      <c r="AK225" s="415"/>
      <c r="AL225" s="420"/>
      <c r="AM225" s="415"/>
      <c r="AN225" s="420"/>
      <c r="AO225" s="415"/>
      <c r="AP225" s="420"/>
      <c r="AQ225" s="420"/>
      <c r="AR225" s="420"/>
      <c r="AS225" s="415"/>
      <c r="AT225" s="415"/>
      <c r="AU225" s="420"/>
      <c r="AV225" s="420"/>
      <c r="AW225" s="420"/>
      <c r="AX225" s="420"/>
      <c r="AY225" s="415"/>
      <c r="AZ225" s="420"/>
      <c r="BA225" s="415"/>
      <c r="BB225" s="420"/>
      <c r="BC225" s="420"/>
      <c r="BD225" s="420"/>
      <c r="BE225" s="415"/>
      <c r="BF225" s="415"/>
      <c r="BG225" s="420"/>
      <c r="BH225" s="420"/>
      <c r="BI225" s="415"/>
      <c r="BJ225" s="415"/>
      <c r="BK225" s="415"/>
      <c r="BL225" s="415"/>
      <c r="BM225" s="290">
        <v>8</v>
      </c>
      <c r="BN225" s="415"/>
      <c r="BO225" s="420"/>
      <c r="BP225" s="420"/>
      <c r="BQ225" s="420"/>
      <c r="BR225" s="415"/>
      <c r="BS225" s="420"/>
      <c r="BT225" s="415"/>
      <c r="BU225" s="420"/>
      <c r="BV225" s="415"/>
      <c r="BW225" s="420"/>
      <c r="BX225" s="420"/>
      <c r="BY225" s="420"/>
      <c r="BZ225" s="415"/>
      <c r="CA225" s="415"/>
      <c r="CB225" s="420"/>
      <c r="CC225" s="420"/>
      <c r="CD225" s="420"/>
      <c r="CE225" s="420"/>
      <c r="CF225" s="415"/>
      <c r="CG225" s="420"/>
      <c r="CH225" s="415"/>
      <c r="CI225" s="420"/>
      <c r="CJ225" s="420"/>
      <c r="CK225" s="420"/>
      <c r="CL225" s="415"/>
      <c r="CM225" s="420"/>
      <c r="CN225" s="420"/>
      <c r="CO225" s="420"/>
      <c r="CP225" s="420"/>
      <c r="CQ225" s="420"/>
      <c r="CR225" s="420"/>
      <c r="CS225" s="415"/>
    </row>
    <row r="226" spans="1:100">
      <c r="A226" s="420"/>
      <c r="B226" s="417"/>
      <c r="C226" s="415"/>
      <c r="D226" s="417"/>
      <c r="E226" s="417"/>
      <c r="F226" s="417"/>
      <c r="G226" s="415"/>
      <c r="H226" s="417"/>
      <c r="I226" s="417"/>
      <c r="J226" s="417"/>
      <c r="K226" s="417"/>
      <c r="L226" s="417"/>
      <c r="M226" s="415"/>
      <c r="N226" s="417"/>
      <c r="O226" s="415"/>
      <c r="P226" s="417"/>
      <c r="Q226" s="417"/>
      <c r="R226" s="417"/>
      <c r="S226" s="415"/>
      <c r="T226" s="417"/>
      <c r="U226" s="417"/>
      <c r="V226" s="415"/>
      <c r="W226" s="417"/>
      <c r="X226" s="417"/>
      <c r="Y226" s="415"/>
      <c r="Z226" s="417"/>
      <c r="AA226" s="420"/>
      <c r="AB226" s="420"/>
      <c r="AC226" s="415"/>
      <c r="AD226" s="415"/>
      <c r="AE226" s="415"/>
      <c r="AF226" s="415"/>
      <c r="AG226" s="415"/>
      <c r="AH226" s="420"/>
      <c r="AI226" s="415"/>
      <c r="AJ226" s="420"/>
      <c r="AK226" s="420"/>
      <c r="AL226" s="420"/>
      <c r="AM226" s="415"/>
      <c r="AN226" s="420"/>
      <c r="AO226" s="415"/>
      <c r="AP226" s="420"/>
      <c r="AQ226" s="420"/>
      <c r="AR226" s="420"/>
      <c r="AS226" s="415"/>
      <c r="AT226" s="415"/>
      <c r="AU226" s="420"/>
      <c r="AV226" s="420"/>
      <c r="AW226" s="420"/>
      <c r="AX226" s="420"/>
      <c r="AY226" s="415"/>
      <c r="AZ226" s="420"/>
      <c r="BA226" s="415"/>
      <c r="BB226" s="420"/>
      <c r="BC226" s="415"/>
      <c r="BD226" s="420"/>
      <c r="BE226" s="415"/>
      <c r="BF226" s="420"/>
      <c r="BG226" s="420"/>
      <c r="BH226" s="420"/>
      <c r="BI226" s="420"/>
      <c r="BJ226" s="420"/>
      <c r="BK226" s="420"/>
      <c r="BL226" s="415"/>
      <c r="BM226" s="420"/>
      <c r="BN226" s="415"/>
      <c r="BO226" s="420"/>
      <c r="BP226" s="420"/>
      <c r="BQ226" s="420"/>
      <c r="BR226" s="420"/>
      <c r="BS226" s="420"/>
      <c r="BT226" s="415"/>
      <c r="BU226" s="420"/>
      <c r="BV226" s="415"/>
      <c r="BW226" s="420"/>
      <c r="BX226" s="420"/>
      <c r="BY226" s="420"/>
      <c r="BZ226" s="415"/>
      <c r="CA226" s="415"/>
      <c r="CB226" s="420"/>
      <c r="CC226" s="420"/>
      <c r="CD226" s="420"/>
      <c r="CE226" s="420"/>
      <c r="CF226" s="415"/>
      <c r="CG226" s="420"/>
      <c r="CH226" s="420"/>
      <c r="CI226" s="420"/>
      <c r="CJ226" s="420"/>
      <c r="CK226" s="420"/>
      <c r="CL226" s="415"/>
      <c r="CM226" s="420"/>
      <c r="CN226" s="420"/>
      <c r="CO226" s="420"/>
      <c r="CP226" s="420"/>
      <c r="CQ226" s="420"/>
      <c r="CR226" s="420"/>
      <c r="CS226" s="415"/>
    </row>
    <row r="227" spans="1:100">
      <c r="A227" s="420"/>
      <c r="B227" s="417"/>
      <c r="C227" s="415"/>
      <c r="D227" s="417"/>
      <c r="E227" s="415"/>
      <c r="F227" s="417"/>
      <c r="G227" s="420"/>
      <c r="H227" s="415"/>
      <c r="I227" s="417"/>
      <c r="J227" s="417"/>
      <c r="K227" s="417"/>
      <c r="L227" s="417"/>
      <c r="M227" s="415"/>
      <c r="N227" s="417"/>
      <c r="O227" s="415"/>
      <c r="P227" s="417"/>
      <c r="Q227" s="417"/>
      <c r="R227" s="417"/>
      <c r="S227" s="415"/>
      <c r="T227" s="417"/>
      <c r="U227" s="417"/>
      <c r="V227" s="415"/>
      <c r="W227" s="417"/>
      <c r="X227" s="417"/>
      <c r="Y227" s="415"/>
      <c r="Z227" s="417"/>
      <c r="AA227" s="417"/>
      <c r="AB227" s="417"/>
      <c r="AC227" s="417"/>
      <c r="AD227" s="417"/>
      <c r="AE227" s="417"/>
      <c r="AF227" s="415"/>
      <c r="AG227" s="415"/>
      <c r="AH227" s="415"/>
      <c r="AI227" s="420"/>
      <c r="AJ227" s="420"/>
      <c r="AK227" s="415"/>
      <c r="AL227" s="420"/>
      <c r="AM227" s="415"/>
      <c r="AN227" s="420"/>
      <c r="AO227" s="415"/>
      <c r="AP227" s="420"/>
      <c r="AQ227" s="420"/>
      <c r="AR227" s="420"/>
      <c r="AS227" s="415"/>
      <c r="AT227" s="415"/>
      <c r="AU227" s="420"/>
      <c r="AV227" s="420"/>
      <c r="AW227" s="415"/>
      <c r="AX227" s="420"/>
      <c r="AY227" s="415"/>
      <c r="AZ227" s="420"/>
      <c r="BA227" s="409"/>
      <c r="BB227" s="420"/>
      <c r="BC227" s="420"/>
      <c r="BD227" s="420"/>
      <c r="BE227" s="415"/>
      <c r="BF227" s="420"/>
      <c r="BG227" s="420"/>
      <c r="BH227" s="415"/>
      <c r="BI227" s="420"/>
      <c r="BJ227" s="420"/>
      <c r="BK227" s="415"/>
      <c r="BL227" s="415"/>
      <c r="BM227" s="349"/>
      <c r="BN227" s="415"/>
      <c r="BO227" s="420"/>
      <c r="BP227" s="420"/>
      <c r="BQ227" s="420"/>
      <c r="BR227" s="420"/>
      <c r="BS227" s="420"/>
      <c r="BT227" s="415"/>
      <c r="BU227" s="420"/>
      <c r="BV227" s="415"/>
      <c r="BW227" s="420"/>
      <c r="BX227" s="420"/>
      <c r="BY227" s="420"/>
      <c r="BZ227" s="415"/>
      <c r="CA227" s="415"/>
      <c r="CB227" s="420"/>
      <c r="CC227" s="420"/>
      <c r="CD227" s="420"/>
      <c r="CE227" s="420"/>
      <c r="CF227" s="415"/>
      <c r="CG227" s="420"/>
      <c r="CH227" s="420"/>
      <c r="CI227" s="420"/>
      <c r="CJ227" s="420"/>
      <c r="CK227" s="420"/>
      <c r="CL227" s="415"/>
      <c r="CM227" s="420"/>
      <c r="CN227" s="420"/>
      <c r="CO227" s="420"/>
      <c r="CP227" s="420"/>
      <c r="CQ227" s="420"/>
      <c r="CR227" s="420"/>
      <c r="CS227" s="415"/>
    </row>
    <row r="228" spans="1:100">
      <c r="A228" s="420"/>
      <c r="B228" s="417"/>
      <c r="C228" s="415"/>
      <c r="D228" s="417"/>
      <c r="E228" s="415"/>
      <c r="F228" s="417"/>
      <c r="G228" s="417"/>
      <c r="H228" s="415"/>
      <c r="I228" s="417"/>
      <c r="J228" s="417"/>
      <c r="K228" s="417"/>
      <c r="L228" s="417"/>
      <c r="M228" s="415"/>
      <c r="N228" s="417"/>
      <c r="O228" s="415"/>
      <c r="P228" s="417"/>
      <c r="Q228" s="417"/>
      <c r="R228" s="417"/>
      <c r="S228" s="415"/>
      <c r="T228" s="417"/>
      <c r="U228" s="417"/>
      <c r="V228" s="415"/>
      <c r="W228" s="417"/>
      <c r="X228" s="417"/>
      <c r="Y228" s="415"/>
      <c r="Z228" s="417"/>
      <c r="AA228" s="420"/>
      <c r="AB228" s="417"/>
      <c r="AC228" s="417"/>
      <c r="AD228" s="417"/>
      <c r="AE228" s="417"/>
      <c r="AF228" s="415"/>
      <c r="AG228" s="415"/>
      <c r="AH228" s="420"/>
      <c r="AI228" s="420"/>
      <c r="AJ228" s="415"/>
      <c r="AK228" s="420"/>
      <c r="AL228" s="420"/>
      <c r="AM228" s="415"/>
      <c r="AN228" s="420"/>
      <c r="AO228" s="415"/>
      <c r="AP228" s="420"/>
      <c r="AQ228" s="420"/>
      <c r="AR228" s="420"/>
      <c r="AS228" s="415"/>
      <c r="AT228" s="415"/>
      <c r="AU228" s="420"/>
      <c r="AV228" s="420"/>
      <c r="AW228" s="415"/>
      <c r="AX228" s="420"/>
      <c r="AY228" s="415"/>
      <c r="AZ228" s="420"/>
      <c r="BA228" s="420"/>
      <c r="BB228" s="420"/>
      <c r="BC228" s="420"/>
      <c r="BD228" s="420"/>
      <c r="BE228" s="415"/>
      <c r="BF228" s="420"/>
      <c r="BG228" s="415"/>
      <c r="BH228" s="420"/>
      <c r="BI228" s="420"/>
      <c r="BJ228" s="420"/>
      <c r="BK228" s="420"/>
      <c r="BL228" s="415"/>
      <c r="BM228" s="177">
        <v>400</v>
      </c>
      <c r="BN228" s="415"/>
      <c r="BO228" s="420"/>
      <c r="BP228" s="420"/>
      <c r="BQ228" s="415"/>
      <c r="BR228" s="420"/>
      <c r="BS228" s="420"/>
      <c r="BT228" s="415"/>
      <c r="BU228" s="420"/>
      <c r="BV228" s="415"/>
      <c r="BW228" s="420"/>
      <c r="BX228" s="420"/>
      <c r="BY228" s="420"/>
      <c r="BZ228" s="415"/>
      <c r="CA228" s="415"/>
      <c r="CB228" s="420"/>
      <c r="CC228" s="420"/>
      <c r="CD228" s="415"/>
      <c r="CE228" s="420"/>
      <c r="CF228" s="415"/>
      <c r="CG228" s="420"/>
      <c r="CH228" s="420"/>
      <c r="CI228" s="420"/>
      <c r="CJ228" s="420"/>
      <c r="CK228" s="420"/>
      <c r="CL228" s="415"/>
      <c r="CM228" s="420"/>
      <c r="CN228" s="415"/>
      <c r="CO228" s="420"/>
      <c r="CP228" s="420"/>
      <c r="CQ228" s="420"/>
      <c r="CR228" s="420"/>
      <c r="CS228" s="415"/>
    </row>
    <row r="229" spans="1:100">
      <c r="A229" s="420"/>
      <c r="B229" s="417"/>
      <c r="C229" s="415"/>
      <c r="D229" s="417"/>
      <c r="E229" s="417"/>
      <c r="F229" s="415"/>
      <c r="G229" s="417"/>
      <c r="H229" s="415"/>
      <c r="I229" s="417"/>
      <c r="J229" s="417"/>
      <c r="K229" s="417"/>
      <c r="L229" s="417"/>
      <c r="M229" s="415"/>
      <c r="N229" s="417"/>
      <c r="O229" s="415"/>
      <c r="P229" s="417"/>
      <c r="Q229" s="417"/>
      <c r="R229" s="417"/>
      <c r="S229" s="415"/>
      <c r="T229" s="417"/>
      <c r="U229" s="417"/>
      <c r="V229" s="415"/>
      <c r="W229" s="417"/>
      <c r="X229" s="417"/>
      <c r="Y229" s="415"/>
      <c r="Z229" s="417"/>
      <c r="AA229" s="415"/>
      <c r="AB229" s="417"/>
      <c r="AC229" s="417"/>
      <c r="AD229" s="417"/>
      <c r="AE229" s="417"/>
      <c r="AF229" s="415"/>
      <c r="AG229" s="415"/>
      <c r="AH229" s="420"/>
      <c r="AI229" s="420"/>
      <c r="AJ229" s="420"/>
      <c r="AK229" s="420"/>
      <c r="AL229" s="420"/>
      <c r="AM229" s="415"/>
      <c r="AN229" s="420"/>
      <c r="AO229" s="415"/>
      <c r="AP229" s="420"/>
      <c r="AQ229" s="420"/>
      <c r="AR229" s="420"/>
      <c r="AS229" s="415"/>
      <c r="AT229" s="409"/>
      <c r="AU229" s="420"/>
      <c r="AV229" s="420"/>
      <c r="AW229" s="415"/>
      <c r="AX229" s="420"/>
      <c r="AY229" s="415"/>
      <c r="AZ229" s="420"/>
      <c r="BA229" s="420"/>
      <c r="BB229" s="420"/>
      <c r="BC229" s="420"/>
      <c r="BD229" s="420"/>
      <c r="BE229" s="415"/>
      <c r="BF229" s="420"/>
      <c r="BG229" s="415"/>
      <c r="BH229" s="420"/>
      <c r="BI229" s="420"/>
      <c r="BJ229" s="420"/>
      <c r="BK229" s="415"/>
      <c r="BL229" s="415"/>
      <c r="BM229" s="177"/>
      <c r="CV229">
        <v>4</v>
      </c>
    </row>
    <row r="230" spans="1:100">
      <c r="A230" s="420"/>
      <c r="B230" s="417"/>
      <c r="C230" s="417"/>
      <c r="D230" s="415"/>
      <c r="E230" s="417"/>
      <c r="F230" s="415"/>
      <c r="G230" s="417"/>
      <c r="H230" s="415"/>
      <c r="I230" s="417"/>
      <c r="J230" s="417"/>
      <c r="K230" s="417"/>
      <c r="L230" s="417"/>
      <c r="M230" s="420"/>
      <c r="N230" s="417"/>
      <c r="O230" s="415"/>
      <c r="P230" s="417"/>
      <c r="Q230" s="417"/>
      <c r="R230" s="417"/>
      <c r="S230" s="415"/>
      <c r="T230" s="417"/>
      <c r="U230" s="417"/>
      <c r="V230" s="420"/>
      <c r="W230" s="415"/>
      <c r="X230" s="417"/>
      <c r="Y230" s="415"/>
      <c r="Z230" s="417"/>
      <c r="AA230" s="415"/>
      <c r="AB230" s="417"/>
      <c r="AC230" s="417"/>
      <c r="AD230" s="417"/>
      <c r="AE230" s="417"/>
      <c r="AF230" s="415"/>
      <c r="AG230" s="415"/>
      <c r="AH230" s="415"/>
      <c r="AI230" s="420"/>
      <c r="AJ230" s="415"/>
      <c r="AK230" s="420"/>
      <c r="AL230" s="420"/>
      <c r="AM230" s="415"/>
      <c r="AN230" s="420"/>
      <c r="AO230" s="415"/>
      <c r="AP230" s="420"/>
      <c r="AQ230" s="420"/>
      <c r="AR230" s="420"/>
      <c r="AS230" s="415"/>
      <c r="AT230" s="409"/>
      <c r="AU230" s="420"/>
      <c r="AV230" s="420"/>
      <c r="AW230" s="415"/>
      <c r="AX230" s="420"/>
      <c r="AY230" s="415"/>
      <c r="AZ230" s="420"/>
      <c r="BA230" s="420"/>
      <c r="BB230" s="420"/>
      <c r="BC230" s="420"/>
      <c r="BD230" s="420"/>
      <c r="BE230" s="415"/>
      <c r="BF230" s="420"/>
      <c r="BG230" s="415"/>
      <c r="BH230" s="420"/>
      <c r="BI230" s="420"/>
      <c r="BJ230" s="420"/>
      <c r="BK230" s="420"/>
      <c r="BL230" s="415"/>
      <c r="BM230" s="177"/>
      <c r="CV230">
        <v>4</v>
      </c>
    </row>
    <row r="231" spans="1:100">
      <c r="A231" s="420"/>
      <c r="B231" s="417"/>
      <c r="C231" s="417"/>
      <c r="D231" s="415"/>
      <c r="E231" s="417"/>
      <c r="F231" s="415"/>
      <c r="G231" s="415"/>
      <c r="H231" s="415"/>
      <c r="I231" s="415"/>
      <c r="J231" s="415"/>
      <c r="K231" s="415"/>
      <c r="L231" s="415"/>
      <c r="M231" s="409"/>
      <c r="N231" s="417"/>
      <c r="O231" s="417"/>
      <c r="P231" s="417"/>
      <c r="Q231" s="415"/>
      <c r="R231" s="417"/>
      <c r="S231" s="415"/>
      <c r="T231" s="417"/>
      <c r="U231" s="417"/>
      <c r="V231" s="417"/>
      <c r="W231" s="415"/>
      <c r="X231" s="417"/>
      <c r="Y231" s="415"/>
      <c r="Z231" s="417"/>
      <c r="AA231" s="415"/>
      <c r="AB231" s="417"/>
      <c r="AC231" s="417"/>
      <c r="AD231" s="417"/>
      <c r="AE231" s="417"/>
      <c r="AF231" s="415"/>
      <c r="AG231" s="415"/>
      <c r="AH231" s="420"/>
      <c r="AI231" s="420"/>
      <c r="AJ231" s="415"/>
      <c r="AK231" s="420"/>
      <c r="AL231" s="420"/>
      <c r="AM231" s="415"/>
      <c r="AN231" s="420"/>
      <c r="AO231" s="409"/>
      <c r="AP231" s="420"/>
      <c r="AQ231" s="420"/>
      <c r="AR231" s="420"/>
      <c r="AS231" s="415"/>
      <c r="AT231" s="415"/>
      <c r="AU231" s="420"/>
      <c r="AV231" s="420"/>
      <c r="AW231" s="409"/>
      <c r="AX231" s="420"/>
      <c r="AY231" s="415"/>
      <c r="AZ231" s="420"/>
      <c r="BA231" s="420"/>
      <c r="BB231" s="420"/>
      <c r="BC231" s="420"/>
      <c r="BD231" s="420"/>
      <c r="BE231" s="415"/>
      <c r="BF231" s="420"/>
      <c r="BG231" s="409"/>
      <c r="BH231" s="420"/>
      <c r="BI231" s="415"/>
      <c r="BJ231" s="420"/>
      <c r="BK231" s="420"/>
      <c r="BL231" s="415"/>
      <c r="BM231" s="177"/>
      <c r="BN231" s="415"/>
      <c r="BO231" s="420"/>
      <c r="BP231" s="420"/>
      <c r="BQ231" s="415"/>
      <c r="BR231" s="420"/>
      <c r="BS231" s="420"/>
      <c r="BT231" s="415"/>
      <c r="BU231" s="420"/>
      <c r="BV231" s="420"/>
      <c r="BW231" s="420"/>
      <c r="BX231" s="420"/>
      <c r="BY231" s="420"/>
      <c r="BZ231" s="415"/>
      <c r="CA231" s="420"/>
      <c r="CB231" s="420"/>
      <c r="CC231" s="420"/>
      <c r="CD231" s="415"/>
      <c r="CE231" s="420"/>
      <c r="CF231" s="415"/>
      <c r="CG231" s="420"/>
      <c r="CH231" s="420"/>
      <c r="CI231" s="415"/>
      <c r="CJ231" s="420"/>
      <c r="CK231" s="420"/>
      <c r="CL231" s="415"/>
      <c r="CM231" s="420"/>
      <c r="CN231" s="415"/>
      <c r="CO231" s="420"/>
      <c r="CP231" s="420"/>
      <c r="CQ231" s="420"/>
      <c r="CR231" s="420"/>
      <c r="CS231" s="415"/>
    </row>
    <row r="232" spans="1:100">
      <c r="A232" s="420"/>
      <c r="B232" s="417"/>
      <c r="C232" s="417"/>
      <c r="D232" s="415"/>
      <c r="E232" s="417"/>
      <c r="F232" s="415"/>
      <c r="G232" s="420"/>
      <c r="H232" s="417"/>
      <c r="I232" s="417"/>
      <c r="J232" s="417"/>
      <c r="K232" s="417"/>
      <c r="L232" s="417"/>
      <c r="M232" s="420"/>
      <c r="N232" s="417"/>
      <c r="O232" s="417"/>
      <c r="P232" s="417"/>
      <c r="Q232" s="415"/>
      <c r="R232" s="417"/>
      <c r="S232" s="415"/>
      <c r="T232" s="417"/>
      <c r="U232" s="417"/>
      <c r="V232" s="417"/>
      <c r="W232" s="415"/>
      <c r="X232" s="417"/>
      <c r="Y232" s="415"/>
      <c r="Z232" s="417"/>
      <c r="AA232" s="415"/>
      <c r="AB232" s="417"/>
      <c r="AC232" s="417"/>
      <c r="AD232" s="417"/>
      <c r="AE232" s="417"/>
      <c r="AF232" s="415"/>
      <c r="AG232" s="415"/>
      <c r="AH232" s="420"/>
      <c r="AI232" s="420"/>
      <c r="AJ232" s="415"/>
      <c r="AK232" s="420"/>
      <c r="AL232" s="420"/>
      <c r="AM232" s="415"/>
      <c r="AN232" s="420"/>
      <c r="AO232" s="409"/>
      <c r="AP232" s="420"/>
      <c r="AQ232" s="420"/>
      <c r="AR232" s="420"/>
      <c r="AS232" s="415"/>
      <c r="AT232" s="415"/>
      <c r="AU232" s="420"/>
      <c r="AV232" s="420"/>
      <c r="AW232" s="409"/>
      <c r="AX232" s="420"/>
      <c r="AY232" s="415"/>
      <c r="AZ232" s="420"/>
      <c r="BA232" s="420"/>
      <c r="BB232" s="420"/>
      <c r="BC232" s="420"/>
      <c r="BD232" s="420"/>
      <c r="BE232" s="415"/>
      <c r="BF232" s="420"/>
      <c r="BG232" s="409"/>
      <c r="BH232" s="420"/>
      <c r="BI232" s="420"/>
      <c r="BJ232" s="420"/>
      <c r="BK232" s="420"/>
      <c r="BL232" s="415"/>
      <c r="BM232" s="177"/>
      <c r="BN232" s="415"/>
      <c r="BO232" s="420"/>
      <c r="BP232" s="420"/>
      <c r="BQ232" s="415"/>
      <c r="BR232" s="420"/>
      <c r="BS232" s="420"/>
      <c r="BT232" s="415"/>
      <c r="BU232" s="420"/>
      <c r="BV232" s="420"/>
      <c r="BW232" s="420"/>
      <c r="BX232" s="420"/>
      <c r="BY232" s="420"/>
      <c r="BZ232" s="415"/>
      <c r="CA232" s="420"/>
      <c r="CB232" s="420"/>
      <c r="CC232" s="420"/>
      <c r="CD232" s="415"/>
      <c r="CE232" s="420"/>
      <c r="CF232" s="415"/>
      <c r="CG232" s="420"/>
      <c r="CH232" s="420"/>
      <c r="CI232" s="415"/>
      <c r="CJ232" s="420"/>
      <c r="CK232" s="420"/>
      <c r="CL232" s="415"/>
      <c r="CM232" s="420"/>
      <c r="CN232" s="415"/>
      <c r="CO232" s="420"/>
      <c r="CP232" s="420"/>
      <c r="CQ232" s="420"/>
      <c r="CR232" s="420"/>
      <c r="CS232" s="415"/>
    </row>
    <row r="233" spans="1:100">
      <c r="A233" s="420"/>
      <c r="B233" s="417"/>
      <c r="C233" s="417"/>
      <c r="D233" s="415"/>
      <c r="E233" s="417"/>
      <c r="F233" s="415"/>
      <c r="G233" s="409"/>
      <c r="H233" s="417"/>
      <c r="I233" s="417"/>
      <c r="J233" s="417"/>
      <c r="K233" s="417"/>
      <c r="L233" s="417"/>
      <c r="M233" s="415"/>
      <c r="N233" s="417"/>
      <c r="O233" s="417"/>
      <c r="P233" s="417"/>
      <c r="Q233" s="415"/>
      <c r="R233" s="417"/>
      <c r="S233" s="415"/>
      <c r="T233" s="417"/>
      <c r="U233" s="417"/>
      <c r="V233" s="417"/>
      <c r="W233" s="415"/>
      <c r="X233" s="417"/>
      <c r="Y233" s="415"/>
      <c r="Z233" s="417"/>
      <c r="AA233" s="415"/>
      <c r="AB233" s="417"/>
      <c r="AC233" s="417"/>
      <c r="AD233" s="417"/>
      <c r="AE233" s="417"/>
      <c r="AF233" s="415"/>
      <c r="AG233" s="415"/>
      <c r="AH233" s="420"/>
      <c r="AI233" s="420"/>
      <c r="AJ233" s="415"/>
      <c r="AK233" s="420"/>
      <c r="AL233" s="420"/>
      <c r="AM233" s="415"/>
      <c r="AN233" s="420"/>
      <c r="AO233" s="409"/>
      <c r="AP233" s="420"/>
      <c r="AQ233" s="420"/>
      <c r="AR233" s="420"/>
      <c r="AS233" s="415"/>
      <c r="AT233" s="409"/>
      <c r="AU233" s="420"/>
      <c r="AV233" s="420"/>
      <c r="AW233" s="409"/>
      <c r="AX233" s="420"/>
      <c r="AY233" s="415"/>
      <c r="AZ233" s="420"/>
      <c r="BA233" s="420"/>
      <c r="BB233" s="420"/>
      <c r="BC233" s="420"/>
      <c r="BD233" s="420"/>
      <c r="BE233" s="415"/>
      <c r="BF233" s="420"/>
      <c r="BG233" s="420"/>
      <c r="BH233" s="420"/>
      <c r="BI233" s="420"/>
      <c r="BJ233" s="420"/>
      <c r="BK233" s="420"/>
      <c r="BL233" s="415"/>
      <c r="BM233" s="177"/>
      <c r="BN233" s="415"/>
      <c r="BO233" s="420"/>
      <c r="BP233" s="420"/>
      <c r="BQ233" s="415"/>
      <c r="BR233" s="420"/>
      <c r="BS233" s="420"/>
      <c r="BT233" s="415"/>
      <c r="BU233" s="420"/>
      <c r="BV233" s="420"/>
      <c r="BW233" s="420"/>
      <c r="BX233" s="415"/>
      <c r="BY233" s="420"/>
      <c r="BZ233" s="415"/>
      <c r="CA233" s="420"/>
      <c r="CB233" s="420"/>
      <c r="CC233" s="420"/>
      <c r="CD233" s="415"/>
      <c r="CE233" s="420"/>
      <c r="CF233" s="415"/>
      <c r="CG233" s="420"/>
      <c r="CH233" s="420"/>
      <c r="CI233" s="415"/>
      <c r="CJ233" s="420"/>
      <c r="CK233" s="420"/>
      <c r="CL233" s="415"/>
      <c r="CM233" s="420"/>
      <c r="CN233" s="420"/>
      <c r="CO233" s="420"/>
      <c r="CP233" s="420"/>
      <c r="CQ233" s="420"/>
      <c r="CR233" s="420"/>
      <c r="CS233" s="415"/>
    </row>
    <row r="234" spans="1:100">
      <c r="A234" s="420"/>
      <c r="B234" s="417"/>
      <c r="C234" s="415"/>
      <c r="D234" s="417"/>
      <c r="E234" s="417"/>
      <c r="F234" s="415"/>
      <c r="G234" s="420"/>
      <c r="H234" s="417"/>
      <c r="I234" s="417"/>
      <c r="J234" s="417"/>
      <c r="K234" s="415"/>
      <c r="L234" s="417"/>
      <c r="M234" s="415"/>
      <c r="N234" s="417"/>
      <c r="O234" s="417"/>
      <c r="P234" s="417"/>
      <c r="Q234" s="420"/>
      <c r="R234" s="417"/>
      <c r="S234" s="417"/>
      <c r="T234" s="415"/>
      <c r="U234" s="417"/>
      <c r="V234" s="417"/>
      <c r="W234" s="415"/>
      <c r="X234" s="417"/>
      <c r="Y234" s="415"/>
      <c r="Z234" s="417"/>
      <c r="AA234" s="415"/>
      <c r="AB234" s="417"/>
      <c r="AC234" s="417"/>
      <c r="AD234" s="417"/>
      <c r="AE234" s="417"/>
      <c r="AF234" s="415"/>
      <c r="AG234" s="415"/>
      <c r="AH234" s="420"/>
      <c r="AI234" s="420"/>
      <c r="AJ234" s="415"/>
      <c r="AK234" s="420"/>
      <c r="AL234" s="420"/>
      <c r="AM234" s="415"/>
      <c r="AN234" s="420"/>
      <c r="AO234" s="409"/>
      <c r="AP234" s="420"/>
      <c r="AQ234" s="420"/>
      <c r="AR234" s="420"/>
      <c r="AS234" s="415"/>
      <c r="AT234" s="436"/>
      <c r="AU234" s="449"/>
      <c r="AV234" s="415"/>
      <c r="AW234" s="449"/>
      <c r="AX234" s="436"/>
      <c r="AY234" s="415"/>
      <c r="AZ234" s="420"/>
      <c r="BA234" s="420"/>
      <c r="BB234" s="415"/>
      <c r="BC234" s="420"/>
      <c r="BD234" s="420"/>
      <c r="BE234" s="415"/>
      <c r="BF234" s="420"/>
      <c r="BG234" s="420"/>
      <c r="BH234" s="420"/>
      <c r="BI234" s="420"/>
      <c r="BJ234" s="420"/>
      <c r="BK234" s="420"/>
      <c r="BL234" s="415"/>
      <c r="BM234" s="177">
        <v>1</v>
      </c>
      <c r="BN234" s="415"/>
      <c r="BO234" s="420"/>
      <c r="BP234" s="420"/>
      <c r="BQ234" s="415"/>
      <c r="BR234" s="420"/>
      <c r="BS234" s="420"/>
      <c r="BT234" s="415"/>
      <c r="BU234" s="420"/>
      <c r="BV234" s="420"/>
      <c r="BW234" s="420"/>
      <c r="BX234" s="415"/>
      <c r="BY234" s="420"/>
      <c r="BZ234" s="415"/>
      <c r="CA234" s="420"/>
      <c r="CB234" s="420"/>
      <c r="CC234" s="420"/>
      <c r="CD234" s="420"/>
      <c r="CE234" s="420"/>
      <c r="CF234" s="415"/>
      <c r="CG234" s="420"/>
      <c r="CH234" s="420"/>
      <c r="CI234" s="415"/>
      <c r="CJ234" s="420"/>
      <c r="CK234" s="420"/>
      <c r="CL234" s="415"/>
      <c r="CM234" s="420"/>
      <c r="CN234" s="420"/>
      <c r="CO234" s="420"/>
      <c r="CP234" s="420"/>
      <c r="CQ234" s="420"/>
      <c r="CR234" s="420"/>
      <c r="CS234" s="415"/>
    </row>
    <row r="235" spans="1:100">
      <c r="A235" s="420"/>
      <c r="B235" s="417"/>
      <c r="C235" s="415"/>
      <c r="D235" s="417"/>
      <c r="E235" s="415"/>
      <c r="F235" s="417"/>
      <c r="G235" s="415"/>
      <c r="H235" s="417"/>
      <c r="I235" s="417"/>
      <c r="J235" s="417"/>
      <c r="K235" s="415"/>
      <c r="L235" s="417"/>
      <c r="M235" s="415"/>
      <c r="N235" s="417"/>
      <c r="O235" s="417"/>
      <c r="P235" s="417"/>
      <c r="Q235" s="409"/>
      <c r="R235" s="417"/>
      <c r="S235" s="417"/>
      <c r="T235" s="415"/>
      <c r="U235" s="417"/>
      <c r="V235" s="420"/>
      <c r="W235" s="415"/>
      <c r="X235" s="417"/>
      <c r="Y235" s="415"/>
      <c r="Z235" s="417"/>
      <c r="AA235" s="417"/>
      <c r="AB235" s="417"/>
      <c r="AC235" s="417"/>
      <c r="AD235" s="417"/>
      <c r="AE235" s="417"/>
      <c r="AF235" s="415"/>
      <c r="AG235" s="415"/>
      <c r="AH235" s="420"/>
      <c r="AI235" s="420"/>
      <c r="AJ235" s="409"/>
      <c r="AK235" s="420"/>
      <c r="AL235" s="420"/>
      <c r="AM235" s="415"/>
      <c r="AN235" s="420"/>
      <c r="AO235" s="420"/>
      <c r="AP235" s="420"/>
      <c r="AQ235" s="420"/>
      <c r="AR235" s="415"/>
      <c r="AS235" s="449"/>
      <c r="AT235" s="449"/>
      <c r="AU235" s="449"/>
      <c r="AV235" s="415"/>
      <c r="AW235" s="449"/>
      <c r="AX235" s="449"/>
      <c r="AY235" s="449"/>
      <c r="AZ235" s="420"/>
      <c r="BA235" s="420"/>
      <c r="BB235" s="409"/>
      <c r="BC235" s="420"/>
      <c r="BD235" s="420"/>
      <c r="BE235" s="409"/>
      <c r="BF235" s="420"/>
      <c r="BG235" s="420"/>
      <c r="BH235" s="420"/>
      <c r="BI235" s="420"/>
      <c r="BJ235" s="420"/>
      <c r="BK235" s="420"/>
      <c r="BL235" s="415"/>
      <c r="BM235" s="177"/>
      <c r="BN235" s="415"/>
      <c r="BO235" s="420"/>
      <c r="BP235" s="420"/>
      <c r="BQ235" s="420"/>
      <c r="BR235" s="420"/>
      <c r="BS235" s="420"/>
      <c r="BT235" s="415"/>
      <c r="BU235" s="420"/>
      <c r="BV235" s="420"/>
      <c r="BW235" s="420"/>
      <c r="BX235" s="415"/>
      <c r="BY235" s="420"/>
      <c r="BZ235" s="415"/>
      <c r="CA235" s="420"/>
      <c r="CB235" s="420"/>
      <c r="CC235" s="420"/>
      <c r="CD235" s="420"/>
      <c r="CE235" s="420"/>
      <c r="CF235" s="415"/>
      <c r="CG235" s="420"/>
      <c r="CH235" s="420"/>
      <c r="CI235" s="415"/>
      <c r="CJ235" s="420"/>
      <c r="CK235" s="420"/>
      <c r="CL235" s="415"/>
      <c r="CM235" s="420"/>
      <c r="CN235" s="420"/>
      <c r="CO235" s="420"/>
      <c r="CP235" s="420"/>
      <c r="CQ235" s="420"/>
      <c r="CR235" s="420"/>
      <c r="CS235" s="415"/>
    </row>
    <row r="236" spans="1:100">
      <c r="A236" s="420"/>
      <c r="B236" s="417"/>
      <c r="C236" s="415"/>
      <c r="D236" s="417"/>
      <c r="E236" s="415"/>
      <c r="F236" s="417"/>
      <c r="G236" s="415"/>
      <c r="H236" s="417"/>
      <c r="I236" s="417"/>
      <c r="J236" s="417"/>
      <c r="K236" s="415"/>
      <c r="L236" s="417"/>
      <c r="M236" s="415"/>
      <c r="N236" s="417"/>
      <c r="O236" s="417"/>
      <c r="P236" s="417"/>
      <c r="Q236" s="417"/>
      <c r="R236" s="417"/>
      <c r="S236" s="417"/>
      <c r="T236" s="415"/>
      <c r="U236" s="417"/>
      <c r="V236" s="415"/>
      <c r="W236" s="417"/>
      <c r="X236" s="417"/>
      <c r="Y236" s="415"/>
      <c r="Z236" s="417"/>
      <c r="AA236" s="417"/>
      <c r="AB236" s="417"/>
      <c r="AC236" s="417"/>
      <c r="AD236" s="417"/>
      <c r="AE236" s="417"/>
      <c r="AF236" s="415"/>
      <c r="AG236" s="415"/>
      <c r="AH236" s="420"/>
      <c r="AI236" s="420"/>
      <c r="AJ236" s="409"/>
      <c r="AK236" s="420"/>
      <c r="AL236" s="420"/>
      <c r="AM236" s="415"/>
      <c r="AN236" s="420"/>
      <c r="AO236" s="420"/>
      <c r="AP236" s="415"/>
      <c r="AQ236" s="415"/>
      <c r="AR236" s="415"/>
      <c r="AS236" s="415"/>
      <c r="AT236" s="415"/>
      <c r="AU236" s="415"/>
      <c r="AV236" s="415"/>
      <c r="AW236" s="415"/>
      <c r="AX236" s="415"/>
      <c r="AY236" s="415"/>
      <c r="AZ236" s="415"/>
      <c r="BA236" s="415"/>
      <c r="BB236" s="415"/>
      <c r="BC236" s="420"/>
      <c r="BD236" s="420"/>
      <c r="BE236" s="409"/>
      <c r="BF236" s="420"/>
      <c r="BG236" s="420"/>
      <c r="BH236" s="420"/>
      <c r="BI236" s="420"/>
      <c r="BJ236" s="415"/>
      <c r="BK236" s="420"/>
      <c r="BL236" s="415"/>
      <c r="BM236" s="177"/>
      <c r="CV236">
        <v>11</v>
      </c>
    </row>
    <row r="237" spans="1:100">
      <c r="A237" s="420"/>
      <c r="B237" s="417"/>
      <c r="C237" s="415"/>
      <c r="D237" s="417"/>
      <c r="E237" s="415"/>
      <c r="F237" s="417"/>
      <c r="G237" s="415"/>
      <c r="H237" s="417"/>
      <c r="I237" s="417"/>
      <c r="J237" s="417"/>
      <c r="K237" s="420"/>
      <c r="L237" s="417"/>
      <c r="M237" s="415"/>
      <c r="N237" s="417"/>
      <c r="O237" s="417"/>
      <c r="P237" s="417"/>
      <c r="Q237" s="417"/>
      <c r="R237" s="417"/>
      <c r="S237" s="417"/>
      <c r="T237" s="415"/>
      <c r="U237" s="417"/>
      <c r="V237" s="415"/>
      <c r="W237" s="417"/>
      <c r="X237" s="417"/>
      <c r="Y237" s="415"/>
      <c r="Z237" s="417"/>
      <c r="AA237" s="417"/>
      <c r="AB237" s="417"/>
      <c r="AC237" s="417"/>
      <c r="AD237" s="420"/>
      <c r="AE237" s="417"/>
      <c r="AF237" s="415"/>
      <c r="AG237" s="415"/>
      <c r="AH237" s="420"/>
      <c r="AI237" s="420"/>
      <c r="AJ237" s="409"/>
      <c r="AK237" s="420"/>
      <c r="AL237" s="420"/>
      <c r="AM237" s="409"/>
      <c r="AN237" s="420"/>
      <c r="AO237" s="420"/>
      <c r="AP237" s="409"/>
      <c r="AQ237" s="449"/>
      <c r="AR237" s="415"/>
      <c r="AS237" s="449"/>
      <c r="AT237" s="449"/>
      <c r="AU237" s="449"/>
      <c r="AV237" s="415"/>
      <c r="AW237" s="449"/>
      <c r="AX237" s="449"/>
      <c r="AY237" s="449"/>
      <c r="AZ237" s="415"/>
      <c r="BA237" s="449"/>
      <c r="BB237" s="409"/>
      <c r="BC237" s="420"/>
      <c r="BD237" s="420"/>
      <c r="BE237" s="409"/>
      <c r="BF237" s="420"/>
      <c r="BG237" s="420"/>
      <c r="BH237" s="420"/>
      <c r="BI237" s="420"/>
      <c r="BJ237" s="415"/>
      <c r="BK237" s="420"/>
      <c r="BL237" s="415"/>
      <c r="BM237" s="177"/>
      <c r="CV237">
        <v>11</v>
      </c>
    </row>
    <row r="238" spans="1:100">
      <c r="A238" s="420"/>
      <c r="B238" s="417"/>
      <c r="C238" s="417"/>
      <c r="D238" s="417"/>
      <c r="E238" s="415"/>
      <c r="F238" s="417"/>
      <c r="G238" s="415"/>
      <c r="H238" s="417"/>
      <c r="I238" s="417"/>
      <c r="J238" s="417"/>
      <c r="K238" s="420"/>
      <c r="L238" s="417"/>
      <c r="M238" s="415"/>
      <c r="N238" s="417"/>
      <c r="O238" s="417"/>
      <c r="P238" s="417"/>
      <c r="Q238" s="417"/>
      <c r="R238" s="417"/>
      <c r="S238" s="417"/>
      <c r="T238" s="415"/>
      <c r="U238" s="417"/>
      <c r="V238" s="415"/>
      <c r="W238" s="417"/>
      <c r="X238" s="417"/>
      <c r="Y238" s="420"/>
      <c r="Z238" s="417"/>
      <c r="AA238" s="417"/>
      <c r="AB238" s="417"/>
      <c r="AC238" s="417"/>
      <c r="AD238" s="415"/>
      <c r="AE238" s="417"/>
      <c r="AF238" s="415"/>
      <c r="AG238" s="415"/>
      <c r="AH238" s="420"/>
      <c r="AI238" s="420"/>
      <c r="AJ238" s="409"/>
      <c r="AK238" s="420"/>
      <c r="AL238" s="420"/>
      <c r="AM238" s="409"/>
      <c r="AN238" s="420"/>
      <c r="AO238" s="420"/>
      <c r="AP238" s="436"/>
      <c r="AQ238" s="456"/>
      <c r="AR238" s="415"/>
      <c r="AS238" s="456"/>
      <c r="AT238" s="462"/>
      <c r="AU238" s="410"/>
      <c r="AV238" s="415"/>
      <c r="AW238" s="410"/>
      <c r="AX238" s="462"/>
      <c r="AY238" s="456"/>
      <c r="AZ238" s="415"/>
      <c r="BA238" s="456"/>
      <c r="BB238" s="436"/>
      <c r="BC238" s="420"/>
      <c r="BD238" s="420"/>
      <c r="BE238" s="409"/>
      <c r="BF238" s="420"/>
      <c r="BG238" s="420"/>
      <c r="BH238" s="420"/>
      <c r="BI238" s="420"/>
      <c r="BJ238" s="415"/>
      <c r="BK238" s="420"/>
      <c r="BL238" s="415"/>
      <c r="BM238" s="177"/>
      <c r="CV238">
        <v>11</v>
      </c>
    </row>
    <row r="239" spans="1:100">
      <c r="A239" s="420"/>
      <c r="B239" s="417"/>
      <c r="C239" s="417"/>
      <c r="D239" s="417"/>
      <c r="E239" s="415"/>
      <c r="F239" s="417"/>
      <c r="G239" s="415"/>
      <c r="H239" s="417"/>
      <c r="I239" s="415"/>
      <c r="J239" s="417"/>
      <c r="K239" s="417"/>
      <c r="L239" s="417"/>
      <c r="M239" s="415"/>
      <c r="N239" s="417"/>
      <c r="O239" s="417"/>
      <c r="P239" s="415"/>
      <c r="Q239" s="417"/>
      <c r="R239" s="417"/>
      <c r="S239" s="417"/>
      <c r="T239" s="415"/>
      <c r="U239" s="417"/>
      <c r="V239" s="415"/>
      <c r="W239" s="417"/>
      <c r="X239" s="417"/>
      <c r="Y239" s="420"/>
      <c r="Z239" s="417"/>
      <c r="AA239" s="417"/>
      <c r="AB239" s="417"/>
      <c r="AC239" s="417"/>
      <c r="AD239" s="415"/>
      <c r="AE239" s="417"/>
      <c r="AF239" s="415"/>
      <c r="AG239" s="415"/>
      <c r="AH239" s="420"/>
      <c r="AI239" s="420"/>
      <c r="AJ239" s="420"/>
      <c r="AK239" s="420"/>
      <c r="AL239" s="420"/>
      <c r="AM239" s="409"/>
      <c r="AN239" s="420"/>
      <c r="AO239" s="420"/>
      <c r="AP239" s="449"/>
      <c r="AQ239" s="456"/>
      <c r="AR239" s="415"/>
      <c r="AS239" s="456"/>
      <c r="AT239" s="462"/>
      <c r="AU239" s="410"/>
      <c r="AV239" s="415"/>
      <c r="AW239" s="410"/>
      <c r="AX239" s="462"/>
      <c r="AY239" s="456"/>
      <c r="AZ239" s="415"/>
      <c r="BA239" s="456"/>
      <c r="BB239" s="449"/>
      <c r="BC239" s="420"/>
      <c r="BD239" s="420"/>
      <c r="BE239" s="409"/>
      <c r="BF239" s="420"/>
      <c r="BG239" s="420"/>
      <c r="BH239" s="420"/>
      <c r="BI239" s="420"/>
      <c r="BJ239" s="415"/>
      <c r="BK239" s="420"/>
      <c r="BL239" s="415"/>
      <c r="BM239" s="177"/>
      <c r="CV239">
        <v>11</v>
      </c>
    </row>
    <row r="240" spans="1:100">
      <c r="A240" s="420"/>
      <c r="B240" s="417"/>
      <c r="C240" s="417"/>
      <c r="D240" s="415"/>
      <c r="E240" s="417"/>
      <c r="F240" s="417"/>
      <c r="G240" s="415"/>
      <c r="H240" s="417"/>
      <c r="I240" s="415"/>
      <c r="J240" s="417"/>
      <c r="K240" s="417"/>
      <c r="L240" s="417"/>
      <c r="M240" s="420"/>
      <c r="N240" s="417"/>
      <c r="O240" s="417"/>
      <c r="P240" s="417"/>
      <c r="Q240" s="417"/>
      <c r="R240" s="417"/>
      <c r="S240" s="417"/>
      <c r="T240" s="415"/>
      <c r="U240" s="417"/>
      <c r="V240" s="417"/>
      <c r="W240" s="417"/>
      <c r="X240" s="417"/>
      <c r="Y240" s="415"/>
      <c r="Z240" s="417"/>
      <c r="AA240" s="417"/>
      <c r="AB240" s="417"/>
      <c r="AC240" s="417"/>
      <c r="AD240" s="415"/>
      <c r="AE240" s="417"/>
      <c r="AF240" s="415"/>
      <c r="AG240" s="415"/>
      <c r="AH240" s="420"/>
      <c r="AI240" s="420"/>
      <c r="AJ240" s="420"/>
      <c r="AK240" s="420"/>
      <c r="AL240" s="420"/>
      <c r="AM240" s="409"/>
      <c r="AN240" s="420"/>
      <c r="AO240" s="415"/>
      <c r="AP240" s="415"/>
      <c r="AQ240" s="415"/>
      <c r="AR240" s="415"/>
      <c r="AS240" s="415"/>
      <c r="AT240" s="415"/>
      <c r="AU240" s="415"/>
      <c r="AV240" s="415"/>
      <c r="AW240" s="415"/>
      <c r="AX240" s="415"/>
      <c r="AY240" s="415"/>
      <c r="AZ240" s="415"/>
      <c r="BA240" s="415"/>
      <c r="BB240" s="415"/>
      <c r="BC240" s="415"/>
      <c r="BD240" s="420"/>
      <c r="BE240" s="409"/>
      <c r="BF240" s="420"/>
      <c r="BG240" s="420"/>
      <c r="BH240" s="420"/>
      <c r="BI240" s="420"/>
      <c r="BJ240" s="409"/>
      <c r="BK240" s="420"/>
      <c r="BL240" s="415"/>
      <c r="BM240" s="177"/>
      <c r="CV240">
        <v>11</v>
      </c>
    </row>
    <row r="241" spans="1:100">
      <c r="AG241" s="415"/>
      <c r="AH241" s="420"/>
      <c r="AI241" s="420"/>
      <c r="AJ241" s="420"/>
      <c r="AK241" s="420"/>
      <c r="AL241" s="420"/>
      <c r="AM241" s="409"/>
      <c r="AN241" s="420"/>
      <c r="AO241" s="409"/>
      <c r="AP241" s="409"/>
      <c r="AQ241" s="409"/>
      <c r="AR241" s="415"/>
      <c r="AS241" s="409"/>
      <c r="AT241" s="409"/>
      <c r="AU241" s="409"/>
      <c r="AV241" s="415"/>
      <c r="AW241" s="409"/>
      <c r="AX241" s="409"/>
      <c r="AY241" s="409"/>
      <c r="AZ241" s="415"/>
      <c r="BA241" s="409"/>
      <c r="BB241" s="409"/>
      <c r="BC241" s="409"/>
      <c r="BD241" s="420"/>
      <c r="BE241" s="409"/>
      <c r="BF241" s="420"/>
      <c r="BG241" s="420"/>
      <c r="BH241" s="420"/>
      <c r="BI241" s="420"/>
      <c r="BJ241" s="409"/>
      <c r="BK241" s="420"/>
      <c r="BL241" s="415"/>
      <c r="BM241" s="177"/>
      <c r="BN241" s="415"/>
      <c r="BO241" s="420"/>
      <c r="BP241" s="420"/>
      <c r="BQ241" s="420"/>
      <c r="BR241" s="420"/>
      <c r="BS241" s="420"/>
      <c r="BT241" s="415"/>
      <c r="BU241" s="420"/>
      <c r="BV241" s="420"/>
      <c r="BW241" s="420"/>
      <c r="BX241" s="420"/>
      <c r="BY241" s="420"/>
      <c r="BZ241" s="415"/>
      <c r="CA241" s="420"/>
      <c r="CB241" s="415"/>
      <c r="CC241" s="420"/>
      <c r="CD241" s="420"/>
      <c r="CE241" s="420"/>
      <c r="CF241" s="415"/>
      <c r="CG241" s="420"/>
      <c r="CH241" s="420"/>
      <c r="CI241" s="420"/>
      <c r="CJ241" s="420"/>
      <c r="CK241" s="420"/>
      <c r="CL241" s="415"/>
      <c r="CM241" s="420"/>
      <c r="CN241" s="420"/>
      <c r="CO241" s="420"/>
      <c r="CP241" s="420"/>
      <c r="CQ241" s="415"/>
      <c r="CR241" s="420"/>
      <c r="CS241" s="415"/>
      <c r="CT241">
        <v>16</v>
      </c>
    </row>
    <row r="242" spans="1:100">
      <c r="A242" s="420"/>
      <c r="B242" s="417"/>
      <c r="C242" s="417"/>
      <c r="D242" s="420"/>
      <c r="E242" s="417"/>
      <c r="F242" s="417"/>
      <c r="G242" s="415"/>
      <c r="H242" s="417"/>
      <c r="I242" s="415"/>
      <c r="J242" s="417"/>
      <c r="K242" s="417"/>
      <c r="L242" s="417"/>
      <c r="M242" s="409"/>
      <c r="N242" s="415"/>
      <c r="O242" s="415"/>
      <c r="P242" s="420"/>
      <c r="Q242" s="420"/>
      <c r="R242" s="409"/>
      <c r="S242" s="420"/>
      <c r="T242" s="415"/>
      <c r="U242" s="417"/>
      <c r="V242" s="417"/>
      <c r="W242" s="417"/>
      <c r="X242" s="417"/>
      <c r="Y242" s="415"/>
      <c r="Z242" s="417"/>
      <c r="AA242" s="417"/>
      <c r="AB242" s="417"/>
      <c r="AC242" s="417"/>
      <c r="AD242" s="415"/>
      <c r="AE242" s="417"/>
      <c r="AF242" s="415"/>
      <c r="BM242" s="177"/>
      <c r="BN242" s="415"/>
      <c r="BO242" s="420"/>
      <c r="BP242" s="420"/>
      <c r="BQ242" s="420"/>
      <c r="BR242" s="420"/>
      <c r="BS242" s="420"/>
      <c r="BT242" s="415"/>
      <c r="BU242" s="420"/>
      <c r="BV242" s="420"/>
      <c r="BW242" s="420"/>
      <c r="BX242" s="420"/>
      <c r="BY242" s="420"/>
      <c r="BZ242" s="415"/>
      <c r="CA242" s="420"/>
      <c r="CB242" s="415"/>
      <c r="CC242" s="420"/>
      <c r="CD242" s="420"/>
      <c r="CE242" s="420"/>
      <c r="CF242" s="415"/>
      <c r="CG242" s="420"/>
      <c r="CH242" s="420"/>
      <c r="CI242" s="420"/>
      <c r="CJ242" s="420"/>
      <c r="CK242" s="420"/>
      <c r="CL242" s="415"/>
      <c r="CM242" s="420"/>
      <c r="CN242" s="420"/>
      <c r="CO242" s="420"/>
      <c r="CP242" s="420"/>
      <c r="CQ242" s="415"/>
      <c r="CR242" s="420"/>
      <c r="CS242" s="415"/>
      <c r="CU242">
        <v>15</v>
      </c>
    </row>
    <row r="243" spans="1:100">
      <c r="A243" s="420"/>
      <c r="B243" s="417"/>
      <c r="C243" s="417"/>
      <c r="D243" s="409"/>
      <c r="E243" s="417"/>
      <c r="F243" s="417"/>
      <c r="G243" s="415"/>
      <c r="H243" s="417"/>
      <c r="I243" s="415"/>
      <c r="J243" s="417"/>
      <c r="K243" s="417"/>
      <c r="L243" s="417"/>
      <c r="M243" s="420"/>
      <c r="N243" s="417"/>
      <c r="O243" s="417"/>
      <c r="P243" s="417"/>
      <c r="Q243" s="417"/>
      <c r="R243" s="420"/>
      <c r="S243" s="417"/>
      <c r="T243" s="417"/>
      <c r="U243" s="417"/>
      <c r="V243" s="417"/>
      <c r="W243" s="417"/>
      <c r="X243" s="417"/>
      <c r="Y243" s="415"/>
      <c r="Z243" s="417"/>
      <c r="AA243" s="417"/>
      <c r="AB243" s="409"/>
      <c r="AC243" s="417"/>
      <c r="AD243" s="415"/>
      <c r="AE243" s="417"/>
      <c r="AF243" s="415"/>
      <c r="BM243" s="177"/>
      <c r="BN243" s="415"/>
      <c r="BO243" s="420"/>
      <c r="BP243" s="420"/>
      <c r="BQ243" s="420"/>
      <c r="BR243" s="420"/>
      <c r="BS243" s="420"/>
      <c r="BT243" s="415"/>
      <c r="BU243" s="420"/>
      <c r="BV243" s="420"/>
      <c r="BW243" s="415"/>
      <c r="BX243" s="420"/>
      <c r="BY243" s="420"/>
      <c r="BZ243" s="415"/>
      <c r="CA243" s="420"/>
      <c r="CB243" s="415"/>
      <c r="CC243" s="420"/>
      <c r="CD243" s="420"/>
      <c r="CE243" s="420"/>
      <c r="CF243" s="415"/>
      <c r="CG243" s="420"/>
      <c r="CH243" s="420"/>
      <c r="CI243" s="420"/>
      <c r="CJ243" s="415"/>
      <c r="CK243" s="420"/>
      <c r="CL243" s="415"/>
      <c r="CM243" s="420"/>
      <c r="CN243" s="420"/>
      <c r="CO243" s="420"/>
      <c r="CP243" s="420"/>
      <c r="CQ243" s="415"/>
      <c r="CR243" s="420"/>
      <c r="CS243" s="415"/>
      <c r="CU243">
        <v>14</v>
      </c>
    </row>
    <row r="244" spans="1:100">
      <c r="A244" s="415"/>
      <c r="B244" s="417"/>
      <c r="C244" s="417"/>
      <c r="D244" s="420"/>
      <c r="E244" s="417"/>
      <c r="F244" s="417"/>
      <c r="G244" s="415"/>
      <c r="H244" s="417"/>
      <c r="I244" s="415"/>
      <c r="J244" s="417"/>
      <c r="K244" s="417"/>
      <c r="L244" s="417"/>
      <c r="M244" s="420"/>
      <c r="N244" s="417"/>
      <c r="O244" s="417"/>
      <c r="P244" s="417"/>
      <c r="Q244" s="417"/>
      <c r="R244" s="420"/>
      <c r="S244" s="417"/>
      <c r="T244" s="417"/>
      <c r="U244" s="415"/>
      <c r="V244" s="415"/>
      <c r="W244" s="417"/>
      <c r="X244" s="417"/>
      <c r="Y244" s="415"/>
      <c r="Z244" s="417"/>
      <c r="AA244" s="417"/>
      <c r="AB244" s="415"/>
      <c r="AC244" s="417"/>
      <c r="AD244" s="415"/>
      <c r="AE244" s="417"/>
      <c r="AF244" s="415"/>
      <c r="BM244" s="177"/>
      <c r="BN244" s="415"/>
      <c r="BO244" s="420"/>
      <c r="BP244" s="415"/>
      <c r="BQ244" s="420"/>
      <c r="BR244" s="420"/>
      <c r="BS244" s="420"/>
      <c r="BT244" s="415"/>
      <c r="BU244" s="420"/>
      <c r="BV244" s="420"/>
      <c r="BW244" s="415"/>
      <c r="BX244" s="420"/>
      <c r="BY244" s="420"/>
      <c r="BZ244" s="415"/>
      <c r="CA244" s="420"/>
      <c r="CB244" s="415"/>
      <c r="CC244" s="420"/>
      <c r="CD244" s="420"/>
      <c r="CE244" s="420"/>
      <c r="CF244" s="415"/>
      <c r="CG244" s="420"/>
      <c r="CH244" s="420"/>
      <c r="CI244" s="420"/>
      <c r="CJ244" s="415"/>
      <c r="CK244" s="420"/>
      <c r="CL244" s="415"/>
      <c r="CM244" s="420"/>
      <c r="CN244" s="420"/>
      <c r="CO244" s="420"/>
      <c r="CP244" s="420"/>
      <c r="CQ244" s="415"/>
      <c r="CR244" s="420"/>
      <c r="CS244" s="415"/>
      <c r="CU244">
        <v>13</v>
      </c>
    </row>
    <row r="245" spans="1:100">
      <c r="A245" s="415"/>
      <c r="B245" s="417"/>
      <c r="C245" s="417"/>
      <c r="D245" s="415"/>
      <c r="E245" s="417"/>
      <c r="F245" s="417"/>
      <c r="G245" s="415"/>
      <c r="H245" s="417"/>
      <c r="I245" s="417"/>
      <c r="J245" s="417"/>
      <c r="K245" s="417"/>
      <c r="L245" s="417"/>
      <c r="M245" s="415"/>
      <c r="N245" s="417"/>
      <c r="O245" s="417"/>
      <c r="P245" s="417"/>
      <c r="Q245" s="417"/>
      <c r="R245" s="420"/>
      <c r="S245" s="417"/>
      <c r="T245" s="415"/>
      <c r="U245" s="409"/>
      <c r="V245" s="415"/>
      <c r="W245" s="417"/>
      <c r="X245" s="417"/>
      <c r="Y245" s="415"/>
      <c r="Z245" s="417"/>
      <c r="AA245" s="417"/>
      <c r="AB245" s="415"/>
      <c r="AC245" s="417"/>
      <c r="AD245" s="415"/>
      <c r="AE245" s="417"/>
      <c r="AF245" s="415"/>
      <c r="BM245" s="177"/>
      <c r="CU245">
        <v>12</v>
      </c>
      <c r="CV245">
        <v>20</v>
      </c>
    </row>
    <row r="246" spans="1:100">
      <c r="A246" s="415"/>
      <c r="B246" s="417"/>
      <c r="C246" s="417"/>
      <c r="D246" s="417"/>
      <c r="E246" s="417"/>
      <c r="F246" s="417"/>
      <c r="G246" s="415"/>
      <c r="H246" s="417"/>
      <c r="I246" s="417"/>
      <c r="J246" s="417"/>
      <c r="K246" s="417"/>
      <c r="L246" s="417"/>
      <c r="M246" s="415"/>
      <c r="N246" s="417"/>
      <c r="O246" s="417"/>
      <c r="P246" s="417"/>
      <c r="Q246" s="417"/>
      <c r="R246" s="420"/>
      <c r="S246" s="417"/>
      <c r="T246" s="415"/>
      <c r="U246" s="420"/>
      <c r="V246" s="415"/>
      <c r="W246" s="417"/>
      <c r="X246" s="417"/>
      <c r="Y246" s="415"/>
      <c r="Z246" s="417"/>
      <c r="AA246" s="417"/>
      <c r="AB246" s="415"/>
      <c r="AC246" s="417"/>
      <c r="AD246" s="417"/>
      <c r="AE246" s="417"/>
      <c r="AF246" s="415"/>
      <c r="BM246" s="177"/>
      <c r="CU246">
        <v>11</v>
      </c>
      <c r="CV246">
        <v>20</v>
      </c>
    </row>
    <row r="247" spans="1:100">
      <c r="A247" s="415"/>
      <c r="B247" s="417"/>
      <c r="C247" s="417"/>
      <c r="D247" s="417"/>
      <c r="E247" s="417"/>
      <c r="F247" s="417"/>
      <c r="G247" s="415"/>
      <c r="H247" s="417"/>
      <c r="I247" s="417"/>
      <c r="J247" s="417"/>
      <c r="K247" s="417"/>
      <c r="L247" s="417"/>
      <c r="M247" s="415"/>
      <c r="N247" s="417"/>
      <c r="O247" s="417"/>
      <c r="P247" s="417"/>
      <c r="Q247" s="417"/>
      <c r="R247" s="415"/>
      <c r="S247" s="417"/>
      <c r="T247" s="417"/>
      <c r="U247" s="415"/>
      <c r="V247" s="415"/>
      <c r="W247" s="417"/>
      <c r="X247" s="417"/>
      <c r="Y247" s="415"/>
      <c r="Z247" s="417"/>
      <c r="AA247" s="417"/>
      <c r="AB247" s="415"/>
      <c r="AC247" s="417"/>
      <c r="AD247" s="417"/>
      <c r="AE247" s="417"/>
      <c r="AF247" s="415"/>
      <c r="BM247" s="177"/>
      <c r="BN247" s="415"/>
      <c r="BO247" s="420"/>
      <c r="BP247" s="415"/>
      <c r="BQ247" s="420"/>
      <c r="BR247" s="420"/>
      <c r="BS247" s="420"/>
      <c r="BT247" s="415"/>
      <c r="BU247" s="420"/>
      <c r="BV247" s="420"/>
      <c r="BW247" s="415"/>
      <c r="BX247" s="420"/>
      <c r="BY247" s="420"/>
      <c r="BZ247" s="415"/>
      <c r="CA247" s="420"/>
      <c r="CB247" s="415"/>
      <c r="CC247" s="420"/>
      <c r="CD247" s="420"/>
      <c r="CE247" s="420"/>
      <c r="CF247" s="415"/>
      <c r="CG247" s="420"/>
      <c r="CH247" s="420"/>
      <c r="CI247" s="420"/>
      <c r="CJ247" s="420"/>
      <c r="CK247" s="420"/>
      <c r="CL247" s="415"/>
      <c r="CM247" s="420"/>
      <c r="CN247" s="420"/>
      <c r="CO247" s="415"/>
      <c r="CP247" s="420"/>
      <c r="CQ247" s="420"/>
      <c r="CR247" s="420"/>
      <c r="CS247" s="415"/>
      <c r="CU247">
        <v>10</v>
      </c>
    </row>
    <row r="248" spans="1:100">
      <c r="A248" s="415"/>
      <c r="B248" s="417"/>
      <c r="C248" s="417"/>
      <c r="D248" s="417"/>
      <c r="E248" s="417"/>
      <c r="F248" s="417"/>
      <c r="G248" s="415"/>
      <c r="H248" s="417"/>
      <c r="I248" s="417"/>
      <c r="J248" s="417"/>
      <c r="K248" s="417"/>
      <c r="L248" s="417"/>
      <c r="M248" s="415"/>
      <c r="N248" s="417"/>
      <c r="O248" s="420"/>
      <c r="P248" s="417"/>
      <c r="Q248" s="417"/>
      <c r="R248" s="415"/>
      <c r="S248" s="417"/>
      <c r="T248" s="417"/>
      <c r="U248" s="417"/>
      <c r="V248" s="415"/>
      <c r="W248" s="417"/>
      <c r="X248" s="417"/>
      <c r="Y248" s="415"/>
      <c r="Z248" s="417"/>
      <c r="AA248" s="417"/>
      <c r="AB248" s="415"/>
      <c r="AC248" s="417"/>
      <c r="AD248" s="417"/>
      <c r="AE248" s="417"/>
      <c r="AF248" s="415"/>
      <c r="BM248" s="177"/>
      <c r="CU248">
        <v>9</v>
      </c>
      <c r="CV248">
        <v>23</v>
      </c>
    </row>
    <row r="249" spans="1:100">
      <c r="BM249" s="177"/>
      <c r="CT249">
        <v>24</v>
      </c>
      <c r="CU249">
        <v>8</v>
      </c>
      <c r="CV249">
        <v>23</v>
      </c>
    </row>
    <row r="250" spans="1:100">
      <c r="A250" s="415"/>
      <c r="B250" s="417"/>
      <c r="C250" s="417"/>
      <c r="D250" s="415"/>
      <c r="E250" s="415"/>
      <c r="F250" s="415"/>
      <c r="G250" s="420"/>
      <c r="H250" s="417"/>
      <c r="I250" s="417"/>
      <c r="J250" s="417"/>
      <c r="K250" s="417"/>
      <c r="L250" s="417"/>
      <c r="M250" s="415"/>
      <c r="N250" s="417"/>
      <c r="O250" s="415"/>
      <c r="P250" s="417"/>
      <c r="Q250" s="417"/>
      <c r="R250" s="417"/>
      <c r="S250" s="409"/>
      <c r="T250" s="417"/>
      <c r="U250" s="417"/>
      <c r="V250" s="417"/>
      <c r="W250" s="417"/>
      <c r="X250" s="417"/>
      <c r="Y250" s="415"/>
      <c r="Z250" s="417"/>
      <c r="AA250" s="417"/>
      <c r="AB250" s="415"/>
      <c r="AC250" s="417"/>
      <c r="AD250" s="417"/>
      <c r="AE250" s="417"/>
      <c r="AF250" s="415"/>
      <c r="BM250" s="177"/>
      <c r="CU250">
        <v>7</v>
      </c>
      <c r="CV250">
        <v>23</v>
      </c>
    </row>
    <row r="251" spans="1:100">
      <c r="A251" s="415"/>
      <c r="B251" s="415"/>
      <c r="C251" s="415"/>
      <c r="D251" s="417"/>
      <c r="E251" s="417"/>
      <c r="F251" s="417"/>
      <c r="G251" s="420"/>
      <c r="H251" s="417"/>
      <c r="I251" s="417"/>
      <c r="J251" s="417"/>
      <c r="K251" s="415"/>
      <c r="L251" s="417"/>
      <c r="M251" s="415"/>
      <c r="N251" s="417"/>
      <c r="O251" s="415"/>
      <c r="P251" s="417"/>
      <c r="Q251" s="417"/>
      <c r="R251" s="417"/>
      <c r="S251" s="409"/>
      <c r="T251" s="417"/>
      <c r="U251" s="417"/>
      <c r="V251" s="415"/>
      <c r="W251" s="417"/>
      <c r="X251" s="417"/>
      <c r="Y251" s="415"/>
      <c r="Z251" s="417"/>
      <c r="AA251" s="417"/>
      <c r="AB251" s="415"/>
      <c r="AC251" s="417"/>
      <c r="AD251" s="417"/>
      <c r="AE251" s="417"/>
      <c r="AF251" s="415"/>
      <c r="BM251" s="177"/>
      <c r="BN251" s="415"/>
      <c r="BO251" s="420"/>
      <c r="BP251" s="415"/>
      <c r="BQ251" s="420"/>
      <c r="BR251" s="420"/>
      <c r="BS251" s="420"/>
      <c r="BT251" s="415"/>
      <c r="BU251" s="420"/>
      <c r="BV251" s="420"/>
      <c r="BW251" s="420"/>
      <c r="BX251" s="420"/>
      <c r="BY251" s="420"/>
      <c r="BZ251" s="415"/>
      <c r="CA251" s="420"/>
      <c r="CB251" s="415"/>
      <c r="CC251" s="420"/>
      <c r="CD251" s="420"/>
      <c r="CE251" s="420"/>
      <c r="CF251" s="415"/>
      <c r="CG251" s="420"/>
      <c r="CH251" s="420"/>
      <c r="CI251" s="420"/>
      <c r="CJ251" s="420"/>
      <c r="CK251" s="420"/>
      <c r="CL251" s="415"/>
      <c r="CM251" s="420"/>
      <c r="CN251" s="420"/>
      <c r="CO251" s="415"/>
      <c r="CP251" s="420"/>
      <c r="CQ251" s="420"/>
      <c r="CR251" s="420"/>
      <c r="CS251" s="415"/>
      <c r="CU251">
        <v>6</v>
      </c>
    </row>
    <row r="252" spans="1:100">
      <c r="A252" s="415"/>
      <c r="B252" s="417"/>
      <c r="C252" s="417"/>
      <c r="D252" s="417"/>
      <c r="E252" s="417"/>
      <c r="F252" s="417"/>
      <c r="G252" s="409"/>
      <c r="H252" s="417"/>
      <c r="I252" s="417"/>
      <c r="J252" s="417"/>
      <c r="K252" s="415"/>
      <c r="L252" s="417"/>
      <c r="M252" s="415"/>
      <c r="N252" s="417"/>
      <c r="O252" s="415"/>
      <c r="P252" s="417"/>
      <c r="Q252" s="417"/>
      <c r="R252" s="417"/>
      <c r="S252" s="420"/>
      <c r="T252" s="417"/>
      <c r="U252" s="417"/>
      <c r="V252" s="417"/>
      <c r="W252" s="417"/>
      <c r="X252" s="417"/>
      <c r="Y252" s="415"/>
      <c r="Z252" s="417"/>
      <c r="AA252" s="417"/>
      <c r="AB252" s="417"/>
      <c r="AC252" s="417"/>
      <c r="AD252" s="417"/>
      <c r="AE252" s="417"/>
      <c r="AF252" s="415"/>
      <c r="BM252" s="177"/>
      <c r="BN252" s="415"/>
      <c r="BO252" s="420"/>
      <c r="BP252" s="415"/>
      <c r="BQ252" s="420"/>
      <c r="BR252" s="420"/>
      <c r="BS252" s="420"/>
      <c r="BT252" s="415"/>
      <c r="BU252" s="420"/>
      <c r="BV252" s="420"/>
      <c r="BW252" s="420"/>
      <c r="BX252" s="420"/>
      <c r="BY252" s="420"/>
      <c r="BZ252" s="415"/>
      <c r="CA252" s="420"/>
      <c r="CB252" s="420"/>
      <c r="CC252" s="420"/>
      <c r="CD252" s="420"/>
      <c r="CE252" s="420"/>
      <c r="CF252" s="415"/>
      <c r="CG252" s="420"/>
      <c r="CH252" s="420"/>
      <c r="CI252" s="420"/>
      <c r="CJ252" s="420"/>
      <c r="CK252" s="420"/>
      <c r="CL252" s="415"/>
      <c r="CM252" s="420"/>
      <c r="CN252" s="420"/>
      <c r="CO252" s="415"/>
      <c r="CP252" s="420"/>
      <c r="CQ252" s="420"/>
      <c r="CR252" s="420"/>
      <c r="CS252" s="415"/>
      <c r="CU252">
        <v>5</v>
      </c>
    </row>
    <row r="253" spans="1:100">
      <c r="A253" s="415"/>
      <c r="B253" s="417"/>
      <c r="C253" s="417"/>
      <c r="D253" s="417"/>
      <c r="E253" s="417"/>
      <c r="F253" s="417"/>
      <c r="G253" s="409"/>
      <c r="H253" s="417"/>
      <c r="I253" s="417"/>
      <c r="J253" s="417"/>
      <c r="K253" s="415"/>
      <c r="L253" s="417"/>
      <c r="M253" s="415"/>
      <c r="N253" s="417"/>
      <c r="O253" s="417"/>
      <c r="P253" s="415"/>
      <c r="Q253" s="417"/>
      <c r="R253" s="417"/>
      <c r="S253" s="420"/>
      <c r="T253" s="417"/>
      <c r="U253" s="417"/>
      <c r="V253" s="417"/>
      <c r="W253" s="417"/>
      <c r="X253" s="417"/>
      <c r="Y253" s="415"/>
      <c r="Z253" s="417"/>
      <c r="AA253" s="417"/>
      <c r="AB253" s="417"/>
      <c r="AC253" s="417"/>
      <c r="AD253" s="417"/>
      <c r="AE253" s="417"/>
      <c r="AF253" s="415"/>
      <c r="BM253" s="177"/>
      <c r="BN253" s="415"/>
      <c r="BO253" s="420"/>
      <c r="BP253" s="420"/>
      <c r="BQ253" s="420"/>
      <c r="BR253" s="420"/>
      <c r="BS253" s="420"/>
      <c r="BT253" s="415"/>
      <c r="BU253" s="420"/>
      <c r="BV253" s="420"/>
      <c r="BW253" s="420"/>
      <c r="BX253" s="420"/>
      <c r="BY253" s="420"/>
      <c r="BZ253" s="415"/>
      <c r="CA253" s="420"/>
      <c r="CB253" s="420"/>
      <c r="CC253" s="420"/>
      <c r="CD253" s="420"/>
      <c r="CE253" s="420"/>
      <c r="CF253" s="415"/>
      <c r="CG253" s="420"/>
      <c r="CH253" s="415"/>
      <c r="CI253" s="420"/>
      <c r="CJ253" s="420"/>
      <c r="CK253" s="420"/>
      <c r="CL253" s="415"/>
      <c r="CM253" s="420"/>
      <c r="CN253" s="420"/>
      <c r="CO253" s="415"/>
      <c r="CP253" s="420"/>
      <c r="CQ253" s="420"/>
      <c r="CR253" s="420"/>
      <c r="CS253" s="415"/>
      <c r="CU253">
        <v>4</v>
      </c>
    </row>
    <row r="254" spans="1:100">
      <c r="A254" s="415"/>
      <c r="B254" s="417"/>
      <c r="C254" s="415"/>
      <c r="D254" s="417"/>
      <c r="E254" s="417"/>
      <c r="F254" s="417"/>
      <c r="G254" s="420"/>
      <c r="H254" s="417"/>
      <c r="I254" s="417"/>
      <c r="J254" s="417"/>
      <c r="K254" s="415"/>
      <c r="L254" s="417"/>
      <c r="M254" s="415"/>
      <c r="N254" s="417"/>
      <c r="O254" s="417"/>
      <c r="P254" s="415"/>
      <c r="Q254" s="417"/>
      <c r="R254" s="417"/>
      <c r="S254" s="415"/>
      <c r="T254" s="417"/>
      <c r="U254" s="417"/>
      <c r="V254" s="417"/>
      <c r="W254" s="417"/>
      <c r="X254" s="417"/>
      <c r="Y254" s="415"/>
      <c r="Z254" s="417"/>
      <c r="AA254" s="417"/>
      <c r="AB254" s="417"/>
      <c r="AC254" s="417"/>
      <c r="AD254" s="417"/>
      <c r="AE254" s="417"/>
      <c r="AF254" s="415"/>
      <c r="BM254" s="177"/>
      <c r="BN254" s="415"/>
      <c r="BO254" s="420"/>
      <c r="BP254" s="420"/>
      <c r="BQ254" s="420"/>
      <c r="BR254" s="415"/>
      <c r="BS254" s="420"/>
      <c r="BT254" s="415"/>
      <c r="BU254" s="420"/>
      <c r="BV254" s="420"/>
      <c r="BW254" s="420"/>
      <c r="BX254" s="420"/>
      <c r="BY254" s="420"/>
      <c r="BZ254" s="415"/>
      <c r="CA254" s="420"/>
      <c r="CB254" s="420"/>
      <c r="CC254" s="420"/>
      <c r="CD254" s="420"/>
      <c r="CE254" s="420"/>
      <c r="CF254" s="415"/>
      <c r="CG254" s="420"/>
      <c r="CH254" s="415"/>
      <c r="CI254" s="420"/>
      <c r="CJ254" s="420"/>
      <c r="CK254" s="420"/>
      <c r="CL254" s="415"/>
      <c r="CM254" s="420"/>
      <c r="CN254" s="420"/>
      <c r="CO254" s="420"/>
      <c r="CP254" s="420"/>
      <c r="CQ254" s="420"/>
      <c r="CR254" s="420"/>
      <c r="CS254" s="415"/>
      <c r="CU254">
        <v>3</v>
      </c>
    </row>
    <row r="255" spans="1:100">
      <c r="A255" s="415"/>
      <c r="B255" s="417"/>
      <c r="C255" s="415"/>
      <c r="D255" s="417"/>
      <c r="E255" s="417"/>
      <c r="F255" s="417"/>
      <c r="G255" s="420"/>
      <c r="H255" s="417"/>
      <c r="I255" s="417"/>
      <c r="J255" s="417"/>
      <c r="K255" s="417"/>
      <c r="L255" s="417"/>
      <c r="M255" s="415"/>
      <c r="N255" s="417"/>
      <c r="O255" s="417"/>
      <c r="P255" s="417"/>
      <c r="Q255" s="417"/>
      <c r="R255" s="417"/>
      <c r="S255" s="415"/>
      <c r="T255" s="417"/>
      <c r="U255" s="417"/>
      <c r="V255" s="417"/>
      <c r="W255" s="417"/>
      <c r="X255" s="417"/>
      <c r="Y255" s="415"/>
      <c r="Z255" s="417"/>
      <c r="AA255" s="417"/>
      <c r="AB255" s="417"/>
      <c r="AC255" s="417"/>
      <c r="AD255" s="417"/>
      <c r="AE255" s="417"/>
      <c r="AF255" s="415"/>
      <c r="BM255" s="177"/>
      <c r="BN255" s="415"/>
      <c r="BO255" s="420"/>
      <c r="BP255" s="420"/>
      <c r="BQ255" s="420"/>
      <c r="BR255" s="415"/>
      <c r="BS255" s="420"/>
      <c r="BT255" s="415"/>
      <c r="BU255" s="420"/>
      <c r="BV255" s="415"/>
      <c r="BW255" s="420"/>
      <c r="BX255" s="420"/>
      <c r="BY255" s="420"/>
      <c r="BZ255" s="415"/>
      <c r="CA255" s="420"/>
      <c r="CB255" s="420"/>
      <c r="CC255" s="420"/>
      <c r="CD255" s="420"/>
      <c r="CE255" s="420"/>
      <c r="CF255" s="415"/>
      <c r="CG255" s="420"/>
      <c r="CH255" s="415"/>
      <c r="CI255" s="420"/>
      <c r="CJ255" s="420"/>
      <c r="CK255" s="420"/>
      <c r="CL255" s="415"/>
      <c r="CM255" s="420"/>
      <c r="CN255" s="420"/>
      <c r="CO255" s="420"/>
      <c r="CP255" s="420"/>
      <c r="CQ255" s="420"/>
      <c r="CR255" s="420"/>
      <c r="CS255" s="415"/>
      <c r="CU255">
        <v>2</v>
      </c>
    </row>
    <row r="256" spans="1:100">
      <c r="BM256" s="74"/>
      <c r="CT256">
        <v>31</v>
      </c>
      <c r="CU256">
        <v>1</v>
      </c>
      <c r="CV256">
        <v>31</v>
      </c>
    </row>
    <row r="257" spans="1:100">
      <c r="A257" s="292"/>
      <c r="B257" s="292"/>
      <c r="C257" s="292"/>
      <c r="D257" s="292"/>
      <c r="E257" s="292"/>
      <c r="F257" s="292"/>
      <c r="G257" s="292"/>
      <c r="H257" s="292"/>
      <c r="I257" s="292"/>
      <c r="J257" s="292"/>
      <c r="K257" s="292"/>
      <c r="L257" s="292"/>
      <c r="M257" s="292"/>
      <c r="N257" s="292"/>
      <c r="O257" s="292"/>
      <c r="P257" s="292"/>
      <c r="Q257" s="292"/>
      <c r="R257" s="292"/>
      <c r="S257" s="292"/>
      <c r="T257" s="292"/>
      <c r="U257" s="292"/>
      <c r="V257" s="292"/>
      <c r="W257" s="292"/>
      <c r="X257" s="292"/>
      <c r="Y257" s="292"/>
      <c r="Z257" s="292"/>
      <c r="AA257" s="292"/>
      <c r="AB257" s="292"/>
      <c r="AC257" s="292"/>
      <c r="AD257" s="292"/>
      <c r="AE257" s="292"/>
      <c r="AF257" s="292"/>
      <c r="AG257" s="291"/>
      <c r="AH257" s="291"/>
      <c r="AI257" s="291"/>
      <c r="AJ257" s="291"/>
      <c r="AK257" s="291"/>
      <c r="AL257" s="291"/>
      <c r="AM257" s="291"/>
      <c r="AN257" s="291"/>
      <c r="AO257" s="161"/>
      <c r="AP257" s="161"/>
      <c r="AQ257" s="161"/>
      <c r="AR257" s="161"/>
      <c r="AS257" s="161"/>
      <c r="AT257" s="161"/>
      <c r="AU257" s="161"/>
      <c r="AV257" s="161"/>
      <c r="AW257" s="161"/>
      <c r="AX257" s="161"/>
      <c r="AY257" s="161"/>
      <c r="AZ257" s="161"/>
      <c r="BA257" s="161"/>
      <c r="BB257" s="161"/>
      <c r="BC257" s="161"/>
      <c r="BD257" s="161"/>
      <c r="BE257" s="161"/>
      <c r="BF257" s="161"/>
      <c r="BG257" s="291"/>
      <c r="BH257" s="291"/>
      <c r="BI257" s="291"/>
      <c r="BJ257" s="291"/>
      <c r="BK257" s="291"/>
      <c r="BL257" s="291"/>
      <c r="BM257" s="292">
        <v>9</v>
      </c>
      <c r="BN257" s="291"/>
      <c r="BO257" s="291"/>
      <c r="BP257" s="291"/>
      <c r="BQ257" s="291"/>
      <c r="BR257" s="291"/>
      <c r="BS257" s="291"/>
      <c r="BT257" s="291"/>
      <c r="BU257" s="291"/>
      <c r="BV257" s="161"/>
      <c r="BW257" s="161"/>
      <c r="BX257" s="161"/>
      <c r="BY257" s="161"/>
      <c r="BZ257" s="161"/>
      <c r="CA257" s="161"/>
      <c r="CB257" s="161"/>
      <c r="CC257" s="161"/>
      <c r="CD257" s="161"/>
      <c r="CE257" s="161"/>
      <c r="CF257" s="161"/>
      <c r="CG257" s="161"/>
      <c r="CH257" s="161"/>
      <c r="CI257" s="161"/>
      <c r="CJ257" s="161"/>
      <c r="CK257" s="161"/>
      <c r="CL257" s="161"/>
      <c r="CM257" s="161"/>
      <c r="CN257" s="161"/>
      <c r="CO257" s="161"/>
      <c r="CP257" s="291"/>
      <c r="CQ257" s="291"/>
      <c r="CR257" s="291"/>
      <c r="CS257" s="291"/>
    </row>
    <row r="258" spans="1:100">
      <c r="A258" s="292"/>
      <c r="B258" s="292"/>
      <c r="C258" s="292"/>
      <c r="D258" s="161"/>
      <c r="E258" s="161"/>
      <c r="F258" s="161"/>
      <c r="G258" s="161"/>
      <c r="H258" s="292"/>
      <c r="I258" s="292"/>
      <c r="J258" s="193"/>
      <c r="K258" s="292"/>
      <c r="L258" s="292"/>
      <c r="M258" s="292"/>
      <c r="N258" s="292"/>
      <c r="O258" s="161"/>
      <c r="P258" s="161"/>
      <c r="Q258" s="161"/>
      <c r="R258" s="292"/>
      <c r="S258" s="292"/>
      <c r="T258" s="292"/>
      <c r="U258" s="193"/>
      <c r="V258" s="193"/>
      <c r="W258" s="292"/>
      <c r="X258" s="292"/>
      <c r="Y258" s="292"/>
      <c r="Z258" s="292"/>
      <c r="AA258" s="292"/>
      <c r="AB258" s="292"/>
      <c r="AC258" s="292"/>
      <c r="AD258" s="292"/>
      <c r="AE258" s="292"/>
      <c r="AF258" s="292"/>
      <c r="AG258" s="291"/>
      <c r="AH258" s="291"/>
      <c r="AI258" s="291"/>
      <c r="AJ258" s="291"/>
      <c r="AK258" s="291"/>
      <c r="AL258" s="291"/>
      <c r="AM258" s="161"/>
      <c r="AN258" s="291"/>
      <c r="AO258" s="161"/>
      <c r="AP258" s="161"/>
      <c r="AQ258" s="161"/>
      <c r="AR258" s="161"/>
      <c r="AS258" s="161"/>
      <c r="AT258" s="291"/>
      <c r="AU258" s="291"/>
      <c r="AV258" s="291"/>
      <c r="AW258" s="291"/>
      <c r="AX258" s="291"/>
      <c r="AY258" s="291"/>
      <c r="AZ258" s="161"/>
      <c r="BA258" s="161"/>
      <c r="BB258" s="161"/>
      <c r="BC258" s="161"/>
      <c r="BD258" s="161"/>
      <c r="BE258" s="161"/>
      <c r="BF258" s="161"/>
      <c r="BG258" s="291"/>
      <c r="BH258" s="291"/>
      <c r="BI258" s="291"/>
      <c r="BJ258" s="291"/>
      <c r="BK258" s="291"/>
      <c r="BL258" s="291"/>
      <c r="BM258" s="161"/>
      <c r="BN258" s="291"/>
      <c r="BO258" s="291"/>
      <c r="BP258" s="161"/>
      <c r="BQ258" s="161"/>
      <c r="BR258" s="161"/>
      <c r="BS258" s="161"/>
      <c r="BT258" s="161"/>
      <c r="BU258" s="291"/>
      <c r="BV258" s="161"/>
      <c r="BW258" s="161"/>
      <c r="BX258" s="161"/>
      <c r="BY258" s="161"/>
      <c r="BZ258" s="161"/>
      <c r="CA258" s="291"/>
      <c r="CB258" s="291"/>
      <c r="CC258" s="291"/>
      <c r="CD258" s="291"/>
      <c r="CE258" s="291"/>
      <c r="CF258" s="291"/>
      <c r="CG258" s="161"/>
      <c r="CH258" s="161"/>
      <c r="CI258" s="161"/>
      <c r="CJ258" s="161"/>
      <c r="CK258" s="161"/>
      <c r="CL258" s="161"/>
      <c r="CM258" s="161"/>
      <c r="CN258" s="291"/>
      <c r="CO258" s="161"/>
      <c r="CP258" s="161"/>
      <c r="CQ258" s="291"/>
      <c r="CR258" s="291"/>
      <c r="CS258" s="291"/>
    </row>
    <row r="259" spans="1:100">
      <c r="A259" s="161"/>
      <c r="B259" s="161"/>
      <c r="C259" s="161"/>
      <c r="D259" s="293"/>
      <c r="E259" s="293"/>
      <c r="F259" s="293"/>
      <c r="G259" s="292"/>
      <c r="H259" s="292"/>
      <c r="I259" s="292"/>
      <c r="J259" s="193"/>
      <c r="K259" s="292"/>
      <c r="L259" s="292"/>
      <c r="M259" s="161"/>
      <c r="N259" s="161"/>
      <c r="O259" s="293"/>
      <c r="P259" s="293"/>
      <c r="Q259" s="293"/>
      <c r="R259" s="161"/>
      <c r="S259" s="292"/>
      <c r="T259" s="292"/>
      <c r="U259" s="292"/>
      <c r="V259" s="292"/>
      <c r="W259" s="292"/>
      <c r="X259" s="292"/>
      <c r="Y259" s="161"/>
      <c r="Z259" s="161"/>
      <c r="AA259" s="161"/>
      <c r="AB259" s="161"/>
      <c r="AC259" s="292"/>
      <c r="AD259" s="292"/>
      <c r="AE259" s="292"/>
      <c r="AF259" s="292"/>
      <c r="AG259" s="291"/>
      <c r="AH259" s="291"/>
      <c r="AI259" s="161"/>
      <c r="AJ259" s="161"/>
      <c r="AK259" s="161"/>
      <c r="AL259" s="161"/>
      <c r="AM259" s="161"/>
      <c r="AN259" s="161"/>
      <c r="AO259" s="161"/>
      <c r="AP259" s="161"/>
      <c r="AQ259" s="161"/>
      <c r="AR259" s="161"/>
      <c r="AS259" s="161"/>
      <c r="AT259" s="161"/>
      <c r="AU259" s="291"/>
      <c r="AV259" s="291"/>
      <c r="AW259" s="291"/>
      <c r="AX259" s="291"/>
      <c r="AY259" s="161"/>
      <c r="AZ259" s="161"/>
      <c r="BA259" s="161"/>
      <c r="BB259" s="161"/>
      <c r="BC259" s="161"/>
      <c r="BD259" s="293"/>
      <c r="BE259" s="293"/>
      <c r="BF259" s="293"/>
      <c r="BG259" s="161"/>
      <c r="BH259" s="161"/>
      <c r="BI259" s="291"/>
      <c r="BJ259" s="291"/>
      <c r="BK259" s="291"/>
      <c r="BL259" s="291"/>
      <c r="BM259" s="350"/>
      <c r="BN259" s="291"/>
      <c r="BO259" s="161"/>
      <c r="BP259" s="161"/>
      <c r="BQ259" s="161"/>
      <c r="BR259" s="161"/>
      <c r="BS259" s="161"/>
      <c r="BT259" s="161"/>
      <c r="BU259" s="161"/>
      <c r="BV259" s="161"/>
      <c r="BW259" s="161"/>
      <c r="BX259" s="161"/>
      <c r="BY259" s="161"/>
      <c r="BZ259" s="161"/>
      <c r="CA259" s="161"/>
      <c r="CB259" s="291"/>
      <c r="CC259" s="291"/>
      <c r="CD259" s="291"/>
      <c r="CE259" s="291"/>
      <c r="CF259" s="161"/>
      <c r="CG259" s="161"/>
      <c r="CH259" s="161"/>
      <c r="CI259" s="161"/>
      <c r="CJ259" s="161"/>
      <c r="CK259" s="293"/>
      <c r="CL259" s="293"/>
      <c r="CM259" s="293"/>
      <c r="CN259" s="161"/>
      <c r="CO259" s="161"/>
      <c r="CP259" s="161"/>
      <c r="CQ259" s="161"/>
      <c r="CR259" s="291"/>
      <c r="CS259" s="291"/>
    </row>
    <row r="260" spans="1:100">
      <c r="A260" s="161"/>
      <c r="B260" s="293"/>
      <c r="C260" s="293"/>
      <c r="D260" s="293"/>
      <c r="E260" s="292"/>
      <c r="F260" s="292"/>
      <c r="G260" s="292"/>
      <c r="H260" s="206"/>
      <c r="I260" s="292"/>
      <c r="J260" s="292"/>
      <c r="K260" s="292"/>
      <c r="L260" s="161"/>
      <c r="M260" s="293"/>
      <c r="N260" s="297"/>
      <c r="O260" s="293"/>
      <c r="P260" s="293"/>
      <c r="Q260" s="292"/>
      <c r="R260" s="293"/>
      <c r="S260" s="161"/>
      <c r="T260" s="292"/>
      <c r="U260" s="292"/>
      <c r="V260" s="292"/>
      <c r="W260" s="161"/>
      <c r="X260" s="161"/>
      <c r="Y260" s="293"/>
      <c r="Z260" s="297"/>
      <c r="AA260" s="293"/>
      <c r="AB260" s="293"/>
      <c r="AC260" s="161"/>
      <c r="AD260" s="292"/>
      <c r="AE260" s="292"/>
      <c r="AF260" s="292"/>
      <c r="AG260" s="291"/>
      <c r="AH260" s="161"/>
      <c r="AI260" s="161"/>
      <c r="AJ260" s="293"/>
      <c r="AK260" s="293"/>
      <c r="AL260" s="293"/>
      <c r="AM260" s="293"/>
      <c r="AN260" s="293"/>
      <c r="AO260" s="293"/>
      <c r="AP260" s="161"/>
      <c r="AQ260" s="161"/>
      <c r="AR260" s="161"/>
      <c r="AS260" s="161"/>
      <c r="AT260" s="161"/>
      <c r="AU260" s="161"/>
      <c r="AV260" s="161"/>
      <c r="AW260" s="291"/>
      <c r="AX260" s="161"/>
      <c r="AY260" s="161"/>
      <c r="AZ260" s="161"/>
      <c r="BA260" s="161"/>
      <c r="BB260" s="161"/>
      <c r="BC260" s="293"/>
      <c r="BD260" s="293"/>
      <c r="BE260" s="161"/>
      <c r="BF260" s="161"/>
      <c r="BG260" s="293"/>
      <c r="BH260" s="161"/>
      <c r="BI260" s="161"/>
      <c r="BJ260" s="291"/>
      <c r="BK260" s="291"/>
      <c r="BL260" s="291"/>
      <c r="BM260" s="1">
        <v>400</v>
      </c>
      <c r="BN260" s="161"/>
      <c r="BO260" s="161"/>
      <c r="BP260" s="161"/>
      <c r="BQ260" s="293"/>
      <c r="BR260" s="293"/>
      <c r="BS260" s="293"/>
      <c r="BT260" s="293"/>
      <c r="BU260" s="293"/>
      <c r="BV260" s="293"/>
      <c r="BW260" s="161"/>
      <c r="BX260" s="161"/>
      <c r="BY260" s="161"/>
      <c r="BZ260" s="161"/>
      <c r="CA260" s="161"/>
      <c r="CB260" s="161"/>
      <c r="CC260" s="161"/>
      <c r="CD260" s="291"/>
      <c r="CE260" s="161"/>
      <c r="CF260" s="161"/>
      <c r="CG260" s="161"/>
      <c r="CH260" s="161"/>
      <c r="CI260" s="161"/>
      <c r="CJ260" s="293"/>
      <c r="CK260" s="293"/>
      <c r="CL260" s="161"/>
      <c r="CM260" s="161"/>
      <c r="CN260" s="293"/>
      <c r="CO260" s="161"/>
      <c r="CP260" s="161"/>
      <c r="CQ260" s="161"/>
      <c r="CR260" s="161"/>
      <c r="CS260" s="291"/>
    </row>
    <row r="261" spans="1:100">
      <c r="A261" s="161"/>
      <c r="B261" s="297"/>
      <c r="C261" s="293"/>
      <c r="D261" s="292"/>
      <c r="E261" s="292"/>
      <c r="F261" s="292"/>
      <c r="G261" s="206"/>
      <c r="H261" s="206"/>
      <c r="I261" s="292"/>
      <c r="J261" s="292"/>
      <c r="K261" s="292"/>
      <c r="L261" s="161"/>
      <c r="M261" s="297"/>
      <c r="N261" s="293"/>
      <c r="O261" s="292"/>
      <c r="P261" s="292"/>
      <c r="Q261" s="292"/>
      <c r="R261" s="292"/>
      <c r="S261" s="292"/>
      <c r="T261" s="292"/>
      <c r="U261" s="292"/>
      <c r="V261" s="161"/>
      <c r="W261" s="293"/>
      <c r="X261" s="293"/>
      <c r="Y261" s="297"/>
      <c r="Z261" s="293"/>
      <c r="AA261" s="293"/>
      <c r="AB261" s="292"/>
      <c r="AC261" s="292"/>
      <c r="AD261" s="161"/>
      <c r="AE261" s="292"/>
      <c r="AF261" s="292"/>
      <c r="AG261" s="291"/>
      <c r="AH261" s="161"/>
      <c r="AI261" s="293"/>
      <c r="AJ261" s="293"/>
      <c r="AK261" s="293"/>
      <c r="AL261" s="293"/>
      <c r="AM261" s="293"/>
      <c r="AN261" s="293"/>
      <c r="AO261" s="293"/>
      <c r="AP261" s="293"/>
      <c r="AQ261" s="293"/>
      <c r="AR261" s="293"/>
      <c r="AS261" s="161"/>
      <c r="AT261" s="161"/>
      <c r="AU261" s="161"/>
      <c r="AV261" s="161"/>
      <c r="AW261" s="161"/>
      <c r="AX261" s="161"/>
      <c r="AY261" s="161"/>
      <c r="AZ261" s="161"/>
      <c r="BA261" s="161"/>
      <c r="BB261" s="409"/>
      <c r="BC261" s="409"/>
      <c r="BD261" s="161"/>
      <c r="BE261" s="161"/>
      <c r="BF261" s="161"/>
      <c r="BG261" s="161"/>
      <c r="BH261" s="293"/>
      <c r="BI261" s="161"/>
      <c r="BJ261" s="161"/>
      <c r="BK261" s="291"/>
      <c r="BL261" s="161"/>
      <c r="BM261" s="1">
        <v>80</v>
      </c>
      <c r="BN261" s="161"/>
      <c r="BO261" s="161"/>
      <c r="BP261" s="293"/>
      <c r="BQ261" s="293"/>
      <c r="BR261" s="293"/>
      <c r="BS261" s="293"/>
      <c r="BT261" s="293"/>
      <c r="BU261" s="293"/>
      <c r="BV261" s="293"/>
      <c r="BW261" s="293"/>
      <c r="BX261" s="293"/>
      <c r="BY261" s="293"/>
      <c r="BZ261" s="161"/>
      <c r="CA261" s="161"/>
      <c r="CB261" s="161"/>
      <c r="CC261" s="161"/>
      <c r="CD261" s="161"/>
      <c r="CE261" s="161"/>
      <c r="CF261" s="161"/>
      <c r="CG261" s="161"/>
      <c r="CH261" s="161"/>
      <c r="CI261" s="293"/>
      <c r="CJ261" s="293"/>
      <c r="CK261" s="161"/>
      <c r="CL261" s="161"/>
      <c r="CM261" s="161"/>
      <c r="CN261" s="161"/>
      <c r="CO261" s="293"/>
      <c r="CP261" s="161"/>
      <c r="CQ261" s="161"/>
      <c r="CR261" s="161"/>
      <c r="CS261" s="161"/>
    </row>
    <row r="262" spans="1:100">
      <c r="A262" s="161"/>
      <c r="B262" s="293"/>
      <c r="C262" s="293"/>
      <c r="D262" s="292"/>
      <c r="E262" s="292"/>
      <c r="F262" s="206"/>
      <c r="G262" s="206"/>
      <c r="H262" s="292"/>
      <c r="I262" s="292"/>
      <c r="J262" s="292"/>
      <c r="K262" s="292"/>
      <c r="L262" s="161"/>
      <c r="M262" s="293"/>
      <c r="N262" s="292"/>
      <c r="O262" s="292"/>
      <c r="P262" s="292"/>
      <c r="Q262" s="292"/>
      <c r="R262" s="292"/>
      <c r="S262" s="206"/>
      <c r="T262" s="292"/>
      <c r="U262" s="292"/>
      <c r="V262" s="292"/>
      <c r="W262" s="292"/>
      <c r="X262" s="293"/>
      <c r="Y262" s="293"/>
      <c r="Z262" s="292"/>
      <c r="AA262" s="292"/>
      <c r="AB262" s="292"/>
      <c r="AC262" s="292"/>
      <c r="AD262" s="292"/>
      <c r="AE262" s="292"/>
      <c r="AF262" s="292"/>
      <c r="AG262" s="291"/>
      <c r="AH262" s="161"/>
      <c r="AI262" s="293"/>
      <c r="AJ262" s="293"/>
      <c r="AK262" s="293"/>
      <c r="AL262" s="161"/>
      <c r="AM262" s="161"/>
      <c r="AN262" s="161"/>
      <c r="AO262" s="161"/>
      <c r="AP262" s="161"/>
      <c r="AQ262" s="409"/>
      <c r="AR262" s="409"/>
      <c r="AS262" s="409"/>
      <c r="AT262" s="409"/>
      <c r="AU262" s="409"/>
      <c r="AV262" s="161"/>
      <c r="AW262" s="161"/>
      <c r="AX262" s="161"/>
      <c r="AY262" s="161"/>
      <c r="AZ262" s="161"/>
      <c r="BA262" s="409"/>
      <c r="BB262" s="409"/>
      <c r="BC262" s="161"/>
      <c r="BD262" s="161"/>
      <c r="BE262" s="161"/>
      <c r="BF262" s="291"/>
      <c r="BG262" s="291"/>
      <c r="BH262" s="161"/>
      <c r="BI262" s="293"/>
      <c r="BJ262" s="161"/>
      <c r="BK262" s="161"/>
      <c r="BL262" s="291"/>
      <c r="BM262" s="1">
        <v>1</v>
      </c>
      <c r="BN262" s="161"/>
      <c r="BO262" s="161"/>
      <c r="BP262" s="293"/>
      <c r="BQ262" s="293"/>
      <c r="BR262" s="293"/>
      <c r="BS262" s="161"/>
      <c r="BT262" s="161"/>
      <c r="BU262" s="161"/>
      <c r="BV262" s="161"/>
      <c r="BW262" s="161"/>
      <c r="BX262" s="293"/>
      <c r="BY262" s="293"/>
      <c r="BZ262" s="293"/>
      <c r="CA262" s="293"/>
      <c r="CB262" s="293"/>
      <c r="CC262" s="161"/>
      <c r="CD262" s="161"/>
      <c r="CE262" s="161"/>
      <c r="CF262" s="161"/>
      <c r="CG262" s="161"/>
      <c r="CH262" s="293"/>
      <c r="CI262" s="293"/>
      <c r="CJ262" s="161"/>
      <c r="CK262" s="161"/>
      <c r="CL262" s="161"/>
      <c r="CM262" s="291"/>
      <c r="CN262" s="291"/>
      <c r="CO262" s="161"/>
      <c r="CP262" s="293"/>
      <c r="CQ262" s="161"/>
      <c r="CR262" s="161"/>
      <c r="CS262" s="161"/>
    </row>
    <row r="263" spans="1:100">
      <c r="A263" s="161"/>
      <c r="B263" s="161"/>
      <c r="C263" s="292"/>
      <c r="D263" s="292"/>
      <c r="E263" s="206"/>
      <c r="F263" s="206"/>
      <c r="G263" s="206"/>
      <c r="H263" s="292"/>
      <c r="I263" s="292"/>
      <c r="J263" s="292"/>
      <c r="K263" s="161"/>
      <c r="L263" s="293"/>
      <c r="M263" s="292"/>
      <c r="N263" s="292"/>
      <c r="O263" s="292"/>
      <c r="P263" s="206"/>
      <c r="Q263" s="292"/>
      <c r="R263" s="292"/>
      <c r="S263" s="206"/>
      <c r="T263" s="292"/>
      <c r="U263" s="292"/>
      <c r="V263" s="292"/>
      <c r="W263" s="161"/>
      <c r="X263" s="292"/>
      <c r="Y263" s="292"/>
      <c r="Z263" s="292"/>
      <c r="AA263" s="292"/>
      <c r="AB263" s="292"/>
      <c r="AC263" s="206"/>
      <c r="AD263" s="206"/>
      <c r="AE263" s="292"/>
      <c r="AF263" s="292"/>
      <c r="AG263" s="291"/>
      <c r="AH263" s="161"/>
      <c r="AI263" s="293"/>
      <c r="AJ263" s="293"/>
      <c r="AK263" s="161"/>
      <c r="AL263" s="291"/>
      <c r="AM263" s="161"/>
      <c r="AN263" s="409"/>
      <c r="AO263" s="409"/>
      <c r="AP263" s="161"/>
      <c r="AQ263" s="161"/>
      <c r="AR263" s="161"/>
      <c r="AS263" s="291"/>
      <c r="AT263" s="291"/>
      <c r="AU263" s="291"/>
      <c r="AV263" s="291"/>
      <c r="AW263" s="291"/>
      <c r="AX263" s="291"/>
      <c r="AY263" s="291"/>
      <c r="AZ263" s="161"/>
      <c r="BA263" s="161"/>
      <c r="BB263" s="161"/>
      <c r="BC263" s="161"/>
      <c r="BD263" s="161"/>
      <c r="BE263" s="291"/>
      <c r="BF263" s="291"/>
      <c r="BG263" s="291"/>
      <c r="BH263" s="291"/>
      <c r="BI263" s="161"/>
      <c r="BJ263" s="293"/>
      <c r="BK263" s="161"/>
      <c r="BL263" s="291"/>
      <c r="BM263" s="1"/>
      <c r="BN263" s="161"/>
      <c r="BO263" s="161"/>
      <c r="BP263" s="293"/>
      <c r="BQ263" s="293"/>
      <c r="BR263" s="161"/>
      <c r="BS263" s="161"/>
      <c r="BT263" s="161"/>
      <c r="BU263" s="161"/>
      <c r="BV263" s="161"/>
      <c r="BW263" s="161"/>
      <c r="BX263" s="161"/>
      <c r="BY263" s="161"/>
      <c r="BZ263" s="161"/>
      <c r="CA263" s="161"/>
      <c r="CB263" s="161"/>
      <c r="CC263" s="161"/>
      <c r="CD263" s="161"/>
      <c r="CE263" s="161"/>
      <c r="CF263" s="161"/>
      <c r="CG263" s="293"/>
      <c r="CH263" s="293"/>
      <c r="CI263" s="161"/>
      <c r="CJ263" s="161"/>
      <c r="CK263" s="161"/>
      <c r="CL263" s="291"/>
      <c r="CM263" s="291"/>
      <c r="CN263" s="291"/>
      <c r="CO263" s="291"/>
      <c r="CP263" s="161"/>
      <c r="CQ263" s="293"/>
      <c r="CR263" s="161"/>
      <c r="CS263" s="161"/>
    </row>
    <row r="264" spans="1:100">
      <c r="A264" s="292"/>
      <c r="B264" s="292"/>
      <c r="C264" s="161"/>
      <c r="D264" s="292"/>
      <c r="E264" s="206"/>
      <c r="F264" s="292"/>
      <c r="G264" s="292"/>
      <c r="H264" s="161"/>
      <c r="I264" s="292"/>
      <c r="J264" s="292"/>
      <c r="K264" s="292"/>
      <c r="L264" s="292"/>
      <c r="M264" s="292"/>
      <c r="N264" s="206"/>
      <c r="O264" s="206"/>
      <c r="P264" s="206"/>
      <c r="Q264" s="292"/>
      <c r="R264" s="206"/>
      <c r="S264" s="206"/>
      <c r="T264" s="292"/>
      <c r="U264" s="292"/>
      <c r="V264" s="292"/>
      <c r="W264" s="292"/>
      <c r="X264" s="292"/>
      <c r="Y264" s="292"/>
      <c r="Z264" s="292"/>
      <c r="AA264" s="206"/>
      <c r="AB264" s="292"/>
      <c r="AC264" s="206"/>
      <c r="AD264" s="206"/>
      <c r="AE264" s="292"/>
      <c r="AF264" s="292"/>
      <c r="AG264" s="161"/>
      <c r="AH264" s="161"/>
      <c r="AI264" s="293"/>
      <c r="AJ264" s="293"/>
      <c r="AK264" s="161"/>
      <c r="AL264" s="161"/>
      <c r="AM264" s="409"/>
      <c r="AN264" s="409"/>
      <c r="AO264" s="161"/>
      <c r="AP264" s="291"/>
      <c r="AQ264" s="291"/>
      <c r="AR264" s="291"/>
      <c r="AS264" s="415"/>
      <c r="AT264" s="415"/>
      <c r="AU264" s="415"/>
      <c r="AV264" s="415"/>
      <c r="AW264" s="415"/>
      <c r="AX264" s="415"/>
      <c r="AY264" s="415"/>
      <c r="AZ264" s="291"/>
      <c r="BA264" s="291"/>
      <c r="BB264" s="161"/>
      <c r="BC264" s="161"/>
      <c r="BD264" s="291"/>
      <c r="BE264" s="291"/>
      <c r="BF264" s="291"/>
      <c r="BG264" s="291"/>
      <c r="BH264" s="291"/>
      <c r="BI264" s="291"/>
      <c r="BJ264" s="161"/>
      <c r="BK264" s="161"/>
      <c r="BL264" s="161"/>
      <c r="BM264" s="1"/>
      <c r="BN264" s="161"/>
      <c r="BO264" s="161"/>
      <c r="BP264" s="293"/>
      <c r="BQ264" s="293"/>
      <c r="BR264" s="161"/>
      <c r="BS264" s="161"/>
      <c r="BT264" s="161"/>
      <c r="BU264" s="291"/>
      <c r="BV264" s="291"/>
      <c r="BW264" s="161"/>
      <c r="BX264" s="161"/>
      <c r="BY264" s="161"/>
      <c r="BZ264" s="161"/>
      <c r="CA264" s="161"/>
      <c r="CB264" s="161"/>
      <c r="CC264" s="291"/>
      <c r="CD264" s="161"/>
      <c r="CE264" s="161"/>
      <c r="CF264" s="293"/>
      <c r="CG264" s="293"/>
      <c r="CH264" s="161"/>
      <c r="CI264" s="161"/>
      <c r="CJ264" s="161"/>
      <c r="CK264" s="291"/>
      <c r="CL264" s="291"/>
      <c r="CM264" s="291"/>
      <c r="CN264" s="291"/>
      <c r="CO264" s="291"/>
      <c r="CP264" s="291"/>
      <c r="CQ264" s="161"/>
      <c r="CR264" s="161"/>
      <c r="CS264" s="161"/>
    </row>
    <row r="265" spans="1:100">
      <c r="A265" s="292"/>
      <c r="B265" s="292"/>
      <c r="C265" s="292"/>
      <c r="D265" s="292"/>
      <c r="E265" s="206"/>
      <c r="F265" s="292"/>
      <c r="G265" s="161"/>
      <c r="H265" s="293"/>
      <c r="I265" s="161"/>
      <c r="J265" s="292"/>
      <c r="K265" s="292"/>
      <c r="L265" s="206"/>
      <c r="M265" s="292"/>
      <c r="N265" s="292"/>
      <c r="O265" s="206"/>
      <c r="P265" s="206"/>
      <c r="Q265" s="206"/>
      <c r="R265" s="205"/>
      <c r="S265" s="206"/>
      <c r="T265" s="292"/>
      <c r="U265" s="292"/>
      <c r="V265" s="193"/>
      <c r="W265" s="292"/>
      <c r="X265" s="292"/>
      <c r="Y265" s="206"/>
      <c r="Z265" s="292"/>
      <c r="AA265" s="206"/>
      <c r="AB265" s="206"/>
      <c r="AC265" s="206"/>
      <c r="AD265" s="206"/>
      <c r="AE265" s="292"/>
      <c r="AF265" s="292"/>
      <c r="AG265" s="161"/>
      <c r="AH265" s="293"/>
      <c r="AI265" s="293"/>
      <c r="AJ265" s="293"/>
      <c r="AK265" s="161"/>
      <c r="AL265" s="161"/>
      <c r="AM265" s="409"/>
      <c r="AN265" s="161"/>
      <c r="AO265" s="420"/>
      <c r="AP265" s="420"/>
      <c r="AQ265" s="415"/>
      <c r="AR265" s="415"/>
      <c r="AS265" s="436"/>
      <c r="AT265" s="449"/>
      <c r="AU265" s="449"/>
      <c r="AV265" s="409"/>
      <c r="AW265" s="449"/>
      <c r="AX265" s="449"/>
      <c r="AY265" s="436"/>
      <c r="AZ265" s="415"/>
      <c r="BA265" s="415"/>
      <c r="BB265" s="420"/>
      <c r="BC265" s="291"/>
      <c r="BD265" s="291"/>
      <c r="BE265" s="291"/>
      <c r="BF265" s="291"/>
      <c r="BG265" s="291"/>
      <c r="BH265" s="291"/>
      <c r="BI265" s="291"/>
      <c r="BJ265" s="291"/>
      <c r="BK265" s="161"/>
      <c r="BL265" s="161"/>
      <c r="BM265" s="1"/>
      <c r="BN265" s="161"/>
      <c r="BO265" s="293"/>
      <c r="BP265" s="293"/>
      <c r="BQ265" s="293"/>
      <c r="BR265" s="161"/>
      <c r="BS265" s="161"/>
      <c r="BT265" s="291"/>
      <c r="BU265" s="291"/>
      <c r="BV265" s="291"/>
      <c r="BW265" s="291"/>
      <c r="BX265" s="291"/>
      <c r="BY265" s="291"/>
      <c r="BZ265" s="291"/>
      <c r="CA265" s="291"/>
      <c r="CB265" s="291"/>
      <c r="CC265" s="291"/>
      <c r="CD265" s="291"/>
      <c r="CE265" s="293"/>
      <c r="CF265" s="293"/>
      <c r="CG265" s="161"/>
      <c r="CH265" s="161"/>
      <c r="CI265" s="161"/>
      <c r="CJ265" s="291"/>
      <c r="CK265" s="291"/>
      <c r="CL265" s="291"/>
      <c r="CM265" s="291"/>
      <c r="CN265" s="291"/>
      <c r="CO265" s="291"/>
      <c r="CP265" s="291"/>
      <c r="CQ265" s="291"/>
      <c r="CR265" s="161"/>
      <c r="CS265" s="161"/>
    </row>
    <row r="266" spans="1:100">
      <c r="A266" s="292"/>
      <c r="B266" s="292"/>
      <c r="C266" s="292"/>
      <c r="D266" s="292"/>
      <c r="E266" s="292"/>
      <c r="F266" s="292"/>
      <c r="G266" s="161"/>
      <c r="H266" s="297"/>
      <c r="I266" s="293"/>
      <c r="J266" s="161"/>
      <c r="K266" s="161"/>
      <c r="L266" s="292"/>
      <c r="M266" s="206"/>
      <c r="N266" s="292"/>
      <c r="O266" s="292"/>
      <c r="P266" s="206"/>
      <c r="Q266" s="206"/>
      <c r="R266" s="205"/>
      <c r="S266" s="206"/>
      <c r="T266" s="292"/>
      <c r="U266" s="292"/>
      <c r="V266" s="292"/>
      <c r="W266" s="193"/>
      <c r="X266" s="292"/>
      <c r="Y266" s="292"/>
      <c r="Z266" s="206"/>
      <c r="AA266" s="206"/>
      <c r="AB266" s="206"/>
      <c r="AC266" s="206"/>
      <c r="AD266" s="206"/>
      <c r="AE266" s="292"/>
      <c r="AF266" s="193"/>
      <c r="AG266" s="161"/>
      <c r="AH266" s="293"/>
      <c r="AI266" s="293"/>
      <c r="AJ266" s="161"/>
      <c r="AK266" s="291"/>
      <c r="AL266" s="161"/>
      <c r="AM266" s="161"/>
      <c r="AN266" s="291"/>
      <c r="AO266" s="420"/>
      <c r="AP266" s="415"/>
      <c r="AQ266" s="415"/>
      <c r="AR266" s="449"/>
      <c r="AS266" s="449"/>
      <c r="AT266" s="449"/>
      <c r="AU266" s="449"/>
      <c r="AV266" s="409"/>
      <c r="AW266" s="449"/>
      <c r="AX266" s="449"/>
      <c r="AY266" s="449"/>
      <c r="AZ266" s="449"/>
      <c r="BA266" s="415"/>
      <c r="BB266" s="415"/>
      <c r="BC266" s="291"/>
      <c r="BD266" s="291"/>
      <c r="BE266" s="291"/>
      <c r="BF266" s="291"/>
      <c r="BG266" s="291"/>
      <c r="BH266" s="291"/>
      <c r="BI266" s="291"/>
      <c r="BJ266" s="291"/>
      <c r="BK266" s="291"/>
      <c r="BL266" s="161"/>
      <c r="BM266" s="1">
        <v>1</v>
      </c>
      <c r="BN266" s="161"/>
      <c r="BO266" s="293"/>
      <c r="BP266" s="293"/>
      <c r="BQ266" s="161"/>
      <c r="BR266" s="161"/>
      <c r="BS266" s="161"/>
      <c r="BT266" s="291"/>
      <c r="BU266" s="291"/>
      <c r="BV266" s="291"/>
      <c r="BW266" s="291"/>
      <c r="BX266" s="291"/>
      <c r="BY266" s="291"/>
      <c r="BZ266" s="291"/>
      <c r="CA266" s="291"/>
      <c r="CB266" s="291"/>
      <c r="CC266" s="291"/>
      <c r="CD266" s="161"/>
      <c r="CE266" s="293"/>
      <c r="CF266" s="161"/>
      <c r="CG266" s="161"/>
      <c r="CH266" s="161"/>
      <c r="CI266" s="291"/>
      <c r="CJ266" s="291"/>
      <c r="CK266" s="291"/>
      <c r="CL266" s="291"/>
      <c r="CM266" s="291"/>
      <c r="CN266" s="291"/>
      <c r="CO266" s="291"/>
      <c r="CP266" s="291"/>
      <c r="CQ266" s="291"/>
      <c r="CR266" s="291"/>
      <c r="CS266" s="161"/>
    </row>
    <row r="267" spans="1:100">
      <c r="A267" s="292"/>
      <c r="B267" s="292"/>
      <c r="C267" s="292"/>
      <c r="D267" s="292"/>
      <c r="E267" s="292"/>
      <c r="F267" s="161"/>
      <c r="G267" s="293"/>
      <c r="H267" s="297"/>
      <c r="I267" s="293"/>
      <c r="J267" s="293"/>
      <c r="K267" s="161"/>
      <c r="L267" s="292"/>
      <c r="M267" s="292"/>
      <c r="N267" s="292"/>
      <c r="O267" s="206"/>
      <c r="P267" s="292"/>
      <c r="Q267" s="206"/>
      <c r="R267" s="206"/>
      <c r="S267" s="205"/>
      <c r="T267" s="206"/>
      <c r="U267" s="292"/>
      <c r="V267" s="292"/>
      <c r="W267" s="292"/>
      <c r="X267" s="292"/>
      <c r="Y267" s="292"/>
      <c r="Z267" s="292"/>
      <c r="AA267" s="292"/>
      <c r="AB267" s="292"/>
      <c r="AC267" s="292"/>
      <c r="AD267" s="292"/>
      <c r="AE267" s="292"/>
      <c r="AF267" s="193"/>
      <c r="AG267" s="161"/>
      <c r="AH267" s="293"/>
      <c r="AI267" s="293"/>
      <c r="AJ267" s="161"/>
      <c r="AK267" s="161"/>
      <c r="AL267" s="161"/>
      <c r="AM267" s="291"/>
      <c r="AN267" s="291"/>
      <c r="AO267" s="415"/>
      <c r="AP267" s="415"/>
      <c r="AQ267" s="415"/>
      <c r="AR267" s="415"/>
      <c r="AS267" s="415"/>
      <c r="AT267" s="415"/>
      <c r="AU267" s="415"/>
      <c r="AV267" s="409"/>
      <c r="AW267" s="415"/>
      <c r="AX267" s="415"/>
      <c r="AY267" s="415"/>
      <c r="AZ267" s="415"/>
      <c r="BA267" s="415"/>
      <c r="BB267" s="415"/>
      <c r="BC267" s="415"/>
      <c r="BD267" s="291"/>
      <c r="BE267" s="161"/>
      <c r="BF267" s="291"/>
      <c r="BG267" s="291"/>
      <c r="BH267" s="291"/>
      <c r="BI267" s="291"/>
      <c r="BJ267" s="291"/>
      <c r="BK267" s="161"/>
      <c r="BL267" s="161"/>
      <c r="BM267" s="1"/>
      <c r="CV267">
        <v>10</v>
      </c>
    </row>
    <row r="268" spans="1:100">
      <c r="A268" s="292"/>
      <c r="B268" s="292"/>
      <c r="C268" s="292"/>
      <c r="D268" s="292"/>
      <c r="E268" s="292"/>
      <c r="F268" s="161"/>
      <c r="G268" s="297"/>
      <c r="H268" s="293"/>
      <c r="I268" s="293"/>
      <c r="J268" s="293"/>
      <c r="K268" s="293"/>
      <c r="L268" s="161"/>
      <c r="M268" s="292"/>
      <c r="N268" s="292"/>
      <c r="O268" s="292"/>
      <c r="P268" s="206"/>
      <c r="Q268" s="206"/>
      <c r="R268" s="205"/>
      <c r="S268" s="206"/>
      <c r="T268" s="206"/>
      <c r="U268" s="292"/>
      <c r="V268" s="206"/>
      <c r="W268" s="292"/>
      <c r="X268" s="292"/>
      <c r="Y268" s="292"/>
      <c r="Z268" s="292"/>
      <c r="AA268" s="292"/>
      <c r="AB268" s="161"/>
      <c r="AC268" s="292"/>
      <c r="AD268" s="292"/>
      <c r="AE268" s="292"/>
      <c r="AF268" s="292"/>
      <c r="AG268" s="161"/>
      <c r="AH268" s="293"/>
      <c r="AI268" s="293"/>
      <c r="AJ268" s="161"/>
      <c r="AK268" s="161"/>
      <c r="AL268" s="161"/>
      <c r="AM268" s="291"/>
      <c r="AN268" s="291"/>
      <c r="AO268" s="415"/>
      <c r="AP268" s="449"/>
      <c r="AQ268" s="415"/>
      <c r="AR268" s="449"/>
      <c r="AS268" s="449"/>
      <c r="AT268" s="462"/>
      <c r="AU268" s="462"/>
      <c r="AV268" s="436"/>
      <c r="AW268" s="462"/>
      <c r="AX268" s="462"/>
      <c r="AY268" s="449"/>
      <c r="AZ268" s="449"/>
      <c r="BA268" s="415"/>
      <c r="BB268" s="449"/>
      <c r="BC268" s="415"/>
      <c r="BD268" s="291"/>
      <c r="BE268" s="291"/>
      <c r="BF268" s="161"/>
      <c r="BG268" s="161"/>
      <c r="BH268" s="161"/>
      <c r="BI268" s="161"/>
      <c r="BJ268" s="161"/>
      <c r="BK268" s="161"/>
      <c r="BL268" s="161"/>
      <c r="BM268" s="1"/>
      <c r="BN268" s="161"/>
      <c r="BO268" s="293"/>
      <c r="BP268" s="293"/>
      <c r="BQ268" s="161"/>
      <c r="BR268" s="161"/>
      <c r="BS268" s="291"/>
      <c r="BT268" s="291"/>
      <c r="BU268" s="291"/>
      <c r="BV268" s="291"/>
      <c r="BW268" s="291"/>
      <c r="BX268" s="291"/>
      <c r="BY268" s="291"/>
      <c r="BZ268" s="291"/>
      <c r="CA268" s="291"/>
      <c r="CB268" s="291"/>
      <c r="CC268" s="291"/>
      <c r="CD268" s="161"/>
      <c r="CE268" s="161"/>
      <c r="CF268" s="161"/>
      <c r="CG268" s="291"/>
      <c r="CH268" s="291"/>
      <c r="CI268" s="291"/>
      <c r="CJ268" s="291"/>
      <c r="CK268" s="161"/>
      <c r="CL268" s="161"/>
      <c r="CM268" s="161"/>
      <c r="CN268" s="161"/>
      <c r="CO268" s="161"/>
      <c r="CP268" s="161"/>
      <c r="CQ268" s="161"/>
      <c r="CR268" s="161"/>
      <c r="CS268" s="161"/>
    </row>
    <row r="269" spans="1:100">
      <c r="A269" s="292"/>
      <c r="B269" s="292"/>
      <c r="C269" s="292"/>
      <c r="D269" s="292"/>
      <c r="E269" s="161"/>
      <c r="F269" s="293"/>
      <c r="G269" s="293"/>
      <c r="H269" s="293"/>
      <c r="I269" s="292"/>
      <c r="J269" s="292"/>
      <c r="K269" s="292"/>
      <c r="L269" s="292"/>
      <c r="M269" s="292"/>
      <c r="N269" s="292"/>
      <c r="O269" s="292"/>
      <c r="P269" s="161"/>
      <c r="Q269" s="206"/>
      <c r="R269" s="206"/>
      <c r="S269" s="292"/>
      <c r="T269" s="292"/>
      <c r="U269" s="206"/>
      <c r="V269" s="206"/>
      <c r="W269" s="292"/>
      <c r="X269" s="292"/>
      <c r="Y269" s="292"/>
      <c r="Z269" s="292"/>
      <c r="AA269" s="161"/>
      <c r="AB269" s="293"/>
      <c r="AC269" s="161"/>
      <c r="AD269" s="161"/>
      <c r="AE269" s="292"/>
      <c r="AF269" s="292"/>
      <c r="AG269" s="161"/>
      <c r="AH269" s="293"/>
      <c r="AI269" s="293"/>
      <c r="AJ269" s="161"/>
      <c r="AK269" s="161"/>
      <c r="AL269" s="161"/>
      <c r="AM269" s="291"/>
      <c r="AN269" s="415"/>
      <c r="AO269" s="436"/>
      <c r="AP269" s="456"/>
      <c r="AQ269" s="415"/>
      <c r="AR269" s="456"/>
      <c r="AS269" s="462"/>
      <c r="AT269" s="410"/>
      <c r="AU269" s="410"/>
      <c r="AV269" s="410"/>
      <c r="AW269" s="410"/>
      <c r="AX269" s="410"/>
      <c r="AY269" s="462"/>
      <c r="AZ269" s="456"/>
      <c r="BA269" s="415"/>
      <c r="BB269" s="456"/>
      <c r="BC269" s="436"/>
      <c r="BD269" s="415"/>
      <c r="BE269" s="291"/>
      <c r="BF269" s="409"/>
      <c r="BG269" s="409"/>
      <c r="BH269" s="293"/>
      <c r="BI269" s="293"/>
      <c r="BJ269" s="293"/>
      <c r="BK269" s="161"/>
      <c r="BL269" s="161"/>
      <c r="BM269" s="1"/>
      <c r="BN269" s="161"/>
      <c r="BO269" s="293"/>
      <c r="BP269" s="293"/>
      <c r="BQ269" s="161"/>
      <c r="BR269" s="161"/>
      <c r="BS269" s="291"/>
      <c r="BT269" s="291"/>
      <c r="BU269" s="291"/>
      <c r="BV269" s="291"/>
      <c r="BW269" s="291"/>
      <c r="BX269" s="291"/>
      <c r="BY269" s="291"/>
      <c r="BZ269" s="291"/>
      <c r="CA269" s="291"/>
      <c r="CB269" s="291"/>
      <c r="CC269" s="291"/>
      <c r="CD269" s="291"/>
      <c r="CE269" s="161"/>
      <c r="CF269" s="291"/>
      <c r="CG269" s="291"/>
      <c r="CH269" s="291"/>
      <c r="CI269" s="291"/>
      <c r="CJ269" s="161"/>
      <c r="CK269" s="161"/>
      <c r="CL269" s="161"/>
      <c r="CM269" s="293"/>
      <c r="CN269" s="293"/>
      <c r="CO269" s="293"/>
      <c r="CP269" s="293"/>
      <c r="CQ269" s="293"/>
      <c r="CR269" s="161"/>
      <c r="CS269" s="161"/>
    </row>
    <row r="270" spans="1:100">
      <c r="A270" s="292"/>
      <c r="B270" s="292"/>
      <c r="C270" s="292"/>
      <c r="D270" s="161"/>
      <c r="E270" s="297"/>
      <c r="F270" s="293"/>
      <c r="G270" s="292"/>
      <c r="H270" s="292"/>
      <c r="I270" s="292"/>
      <c r="J270" s="206"/>
      <c r="K270" s="206"/>
      <c r="L270" s="292"/>
      <c r="M270" s="292"/>
      <c r="N270" s="206"/>
      <c r="O270" s="292"/>
      <c r="P270" s="292"/>
      <c r="Q270" s="292"/>
      <c r="R270" s="206"/>
      <c r="S270" s="206"/>
      <c r="T270" s="292"/>
      <c r="U270" s="292"/>
      <c r="V270" s="292"/>
      <c r="W270" s="292"/>
      <c r="X270" s="161"/>
      <c r="Y270" s="161"/>
      <c r="Z270" s="161"/>
      <c r="AA270" s="293"/>
      <c r="AB270" s="293"/>
      <c r="AC270" s="293"/>
      <c r="AD270" s="293"/>
      <c r="AE270" s="161"/>
      <c r="AF270" s="292"/>
      <c r="AG270" s="161"/>
      <c r="AH270" s="293"/>
      <c r="AI270" s="293"/>
      <c r="AJ270" s="161"/>
      <c r="AK270" s="161"/>
      <c r="AL270" s="161"/>
      <c r="AM270" s="291"/>
      <c r="AN270" s="415"/>
      <c r="AO270" s="449"/>
      <c r="AP270" s="456"/>
      <c r="AQ270" s="415"/>
      <c r="AR270" s="456"/>
      <c r="AS270" s="462"/>
      <c r="AT270" s="410"/>
      <c r="AU270" s="410"/>
      <c r="AV270" s="410"/>
      <c r="AW270" s="410"/>
      <c r="AX270" s="410"/>
      <c r="AY270" s="462"/>
      <c r="AZ270" s="456"/>
      <c r="BA270" s="415"/>
      <c r="BB270" s="456"/>
      <c r="BC270" s="449"/>
      <c r="BD270" s="415"/>
      <c r="BE270" s="291"/>
      <c r="BF270" s="409"/>
      <c r="BG270" s="409"/>
      <c r="BH270" s="161"/>
      <c r="BI270" s="161"/>
      <c r="BJ270" s="161"/>
      <c r="BK270" s="161"/>
      <c r="BL270" s="161"/>
      <c r="BM270" s="1"/>
      <c r="BN270" s="161"/>
      <c r="BO270" s="293"/>
      <c r="BP270" s="293"/>
      <c r="BQ270" s="161"/>
      <c r="BR270" s="161"/>
      <c r="BS270" s="291"/>
      <c r="BT270" s="291"/>
      <c r="BU270" s="291"/>
      <c r="BV270" s="291"/>
      <c r="BW270" s="291"/>
      <c r="BX270" s="291"/>
      <c r="BY270" s="291"/>
      <c r="BZ270" s="291"/>
      <c r="CA270" s="161"/>
      <c r="CB270" s="161"/>
      <c r="CC270" s="161"/>
      <c r="CD270" s="161"/>
      <c r="CE270" s="161"/>
      <c r="CF270" s="291"/>
      <c r="CG270" s="161"/>
      <c r="CH270" s="161"/>
      <c r="CI270" s="161"/>
      <c r="CJ270" s="161"/>
      <c r="CK270" s="161"/>
      <c r="CL270" s="293"/>
      <c r="CM270" s="293"/>
      <c r="CN270" s="293"/>
      <c r="CO270" s="161"/>
      <c r="CP270" s="161"/>
      <c r="CQ270" s="161"/>
      <c r="CR270" s="161"/>
      <c r="CS270" s="161"/>
    </row>
    <row r="271" spans="1:100">
      <c r="A271" s="292"/>
      <c r="B271" s="292"/>
      <c r="C271" s="161"/>
      <c r="D271" s="293"/>
      <c r="E271" s="293"/>
      <c r="F271" s="292"/>
      <c r="G271" s="292"/>
      <c r="H271" s="292"/>
      <c r="I271" s="292"/>
      <c r="J271" s="206"/>
      <c r="K271" s="206"/>
      <c r="L271" s="206"/>
      <c r="M271" s="292"/>
      <c r="N271" s="206"/>
      <c r="O271" s="292"/>
      <c r="P271" s="292"/>
      <c r="Q271" s="206"/>
      <c r="R271" s="206"/>
      <c r="S271" s="206"/>
      <c r="T271" s="292"/>
      <c r="U271" s="292"/>
      <c r="V271" s="292"/>
      <c r="W271" s="292"/>
      <c r="X271" s="161"/>
      <c r="Y271" s="293"/>
      <c r="Z271" s="297"/>
      <c r="AA271" s="293"/>
      <c r="AB271" s="293"/>
      <c r="AC271" s="292"/>
      <c r="AD271" s="292"/>
      <c r="AE271" s="292"/>
      <c r="AF271" s="292"/>
      <c r="AG271" s="161"/>
      <c r="AH271" s="161"/>
      <c r="AI271" s="293"/>
      <c r="AJ271" s="161"/>
      <c r="AK271" s="161"/>
      <c r="AL271" s="161"/>
      <c r="AM271" s="291"/>
      <c r="AN271" s="415"/>
      <c r="AO271" s="449"/>
      <c r="AP271" s="456"/>
      <c r="AQ271" s="415"/>
      <c r="AR271" s="462"/>
      <c r="AS271" s="462"/>
      <c r="AT271" s="410"/>
      <c r="AU271" s="410"/>
      <c r="AV271" s="410"/>
      <c r="AW271" s="410"/>
      <c r="AX271" s="410"/>
      <c r="AY271" s="462"/>
      <c r="AZ271" s="462"/>
      <c r="BA271" s="415"/>
      <c r="BB271" s="456"/>
      <c r="BC271" s="449"/>
      <c r="BD271" s="415"/>
      <c r="BE271" s="291"/>
      <c r="BF271" s="409"/>
      <c r="BG271" s="161"/>
      <c r="BH271" s="161"/>
      <c r="BI271" s="161"/>
      <c r="BJ271" s="291"/>
      <c r="BK271" s="291"/>
      <c r="BL271" s="291"/>
      <c r="BM271" s="1"/>
      <c r="BN271" s="161"/>
      <c r="BO271" s="161"/>
      <c r="BP271" s="293"/>
      <c r="BQ271" s="161"/>
      <c r="BR271" s="291"/>
      <c r="BS271" s="291"/>
      <c r="BT271" s="291"/>
      <c r="BU271" s="291"/>
      <c r="BV271" s="291"/>
      <c r="BW271" s="291"/>
      <c r="BX271" s="291"/>
      <c r="BY271" s="161"/>
      <c r="BZ271" s="161"/>
      <c r="CA271" s="161"/>
      <c r="CB271" s="293"/>
      <c r="CC271" s="293"/>
      <c r="CD271" s="293"/>
      <c r="CE271" s="293"/>
      <c r="CF271" s="161"/>
      <c r="CG271" s="161"/>
      <c r="CH271" s="161"/>
      <c r="CI271" s="161"/>
      <c r="CJ271" s="161"/>
      <c r="CK271" s="161"/>
      <c r="CL271" s="293"/>
      <c r="CM271" s="293"/>
      <c r="CN271" s="161"/>
      <c r="CO271" s="161"/>
      <c r="CP271" s="161"/>
      <c r="CQ271" s="161"/>
      <c r="CR271" s="291"/>
      <c r="CS271" s="291"/>
    </row>
    <row r="272" spans="1:100">
      <c r="A272" s="292"/>
      <c r="B272" s="292"/>
      <c r="C272" s="161"/>
      <c r="D272" s="293"/>
      <c r="E272" s="292"/>
      <c r="F272" s="292"/>
      <c r="G272" s="292"/>
      <c r="H272" s="292"/>
      <c r="I272" s="206"/>
      <c r="J272" s="206"/>
      <c r="K272" s="206"/>
      <c r="L272" s="206"/>
      <c r="M272" s="292"/>
      <c r="N272" s="206"/>
      <c r="O272" s="292"/>
      <c r="P272" s="292"/>
      <c r="Q272" s="292"/>
      <c r="R272" s="292"/>
      <c r="S272" s="292"/>
      <c r="T272" s="292"/>
      <c r="U272" s="292"/>
      <c r="V272" s="292"/>
      <c r="W272" s="292"/>
      <c r="X272" s="161"/>
      <c r="Y272" s="297"/>
      <c r="Z272" s="293"/>
      <c r="AA272" s="293"/>
      <c r="AB272" s="292"/>
      <c r="AC272" s="292"/>
      <c r="AD272" s="292"/>
      <c r="AE272" s="206"/>
      <c r="AF272" s="206"/>
      <c r="AG272" s="161"/>
      <c r="AH272" s="161"/>
      <c r="AI272" s="293"/>
      <c r="AJ272" s="161"/>
      <c r="AK272" s="161"/>
      <c r="AL272" s="161"/>
      <c r="AM272" s="291"/>
      <c r="AN272" s="415"/>
      <c r="AO272" s="415"/>
      <c r="AP272" s="415"/>
      <c r="AQ272" s="409"/>
      <c r="AR272" s="436"/>
      <c r="AS272" s="410"/>
      <c r="AT272" s="410"/>
      <c r="AU272" s="410"/>
      <c r="AV272" s="410"/>
      <c r="AW272" s="410"/>
      <c r="AX272" s="410"/>
      <c r="AY272" s="410"/>
      <c r="AZ272" s="436"/>
      <c r="BA272" s="409"/>
      <c r="BB272" s="415"/>
      <c r="BC272" s="415"/>
      <c r="BD272" s="415"/>
      <c r="BE272" s="291"/>
      <c r="BF272" s="161"/>
      <c r="BG272" s="161"/>
      <c r="BH272" s="291"/>
      <c r="BI272" s="291"/>
      <c r="BJ272" s="291"/>
      <c r="BK272" s="291"/>
      <c r="BL272" s="291"/>
      <c r="BM272" s="1"/>
      <c r="BN272" s="161"/>
      <c r="BO272" s="161"/>
      <c r="BP272" s="293"/>
      <c r="BQ272" s="161"/>
      <c r="BR272" s="291"/>
      <c r="BS272" s="291"/>
      <c r="BT272" s="291"/>
      <c r="BU272" s="291"/>
      <c r="BV272" s="291"/>
      <c r="BW272" s="161"/>
      <c r="BX272" s="161"/>
      <c r="BY272" s="161"/>
      <c r="BZ272" s="293"/>
      <c r="CA272" s="293"/>
      <c r="CB272" s="293"/>
      <c r="CC272" s="161"/>
      <c r="CD272" s="161"/>
      <c r="CE272" s="161"/>
      <c r="CF272" s="161"/>
      <c r="CG272" s="291"/>
      <c r="CH272" s="291"/>
      <c r="CI272" s="161"/>
      <c r="CJ272" s="161"/>
      <c r="CK272" s="293"/>
      <c r="CL272" s="293"/>
      <c r="CM272" s="161"/>
      <c r="CN272" s="161"/>
      <c r="CO272" s="161"/>
      <c r="CP272" s="161"/>
      <c r="CQ272" s="161"/>
      <c r="CR272" s="291"/>
      <c r="CS272" s="291"/>
    </row>
    <row r="273" spans="1:97">
      <c r="A273" s="292"/>
      <c r="B273" s="292"/>
      <c r="C273" s="161"/>
      <c r="D273" s="292"/>
      <c r="E273" s="292"/>
      <c r="F273" s="206"/>
      <c r="G273" s="292"/>
      <c r="H273" s="292"/>
      <c r="I273" s="206"/>
      <c r="J273" s="205"/>
      <c r="K273" s="206"/>
      <c r="L273" s="205"/>
      <c r="M273" s="206"/>
      <c r="N273" s="292"/>
      <c r="O273" s="292"/>
      <c r="P273" s="292"/>
      <c r="Q273" s="292"/>
      <c r="R273" s="292"/>
      <c r="S273" s="161"/>
      <c r="T273" s="292"/>
      <c r="U273" s="292"/>
      <c r="V273" s="292"/>
      <c r="W273" s="292"/>
      <c r="X273" s="161"/>
      <c r="Y273" s="293"/>
      <c r="Z273" s="293"/>
      <c r="AA273" s="292"/>
      <c r="AB273" s="292"/>
      <c r="AC273" s="292"/>
      <c r="AD273" s="206"/>
      <c r="AE273" s="206"/>
      <c r="AF273" s="206"/>
      <c r="AG273" s="161"/>
      <c r="AH273" s="161"/>
      <c r="AI273" s="161"/>
      <c r="AJ273" s="161"/>
      <c r="AK273" s="161"/>
      <c r="AL273" s="161"/>
      <c r="AM273" s="291"/>
      <c r="AN273" s="415"/>
      <c r="AO273" s="409"/>
      <c r="AP273" s="409"/>
      <c r="AQ273" s="409"/>
      <c r="AR273" s="436"/>
      <c r="AS273" s="410"/>
      <c r="AT273" s="410"/>
      <c r="AU273" s="410"/>
      <c r="AV273" s="410"/>
      <c r="AW273" s="410"/>
      <c r="AX273" s="410"/>
      <c r="AY273" s="410"/>
      <c r="AZ273" s="436"/>
      <c r="BA273" s="409"/>
      <c r="BB273" s="409"/>
      <c r="BC273" s="409"/>
      <c r="BD273" s="415"/>
      <c r="BE273" s="291"/>
      <c r="BF273" s="161"/>
      <c r="BG273" s="161"/>
      <c r="BH273" s="161"/>
      <c r="BI273" s="161"/>
      <c r="BJ273" s="291"/>
      <c r="BK273" s="291"/>
      <c r="BL273" s="291"/>
      <c r="BM273" s="1"/>
      <c r="BN273" s="161"/>
      <c r="BO273" s="161"/>
      <c r="BP273" s="161"/>
      <c r="BQ273" s="161"/>
      <c r="BR273" s="291"/>
      <c r="BS273" s="291"/>
      <c r="BT273" s="291"/>
      <c r="BU273" s="161"/>
      <c r="BV273" s="161"/>
      <c r="BW273" s="161"/>
      <c r="BX273" s="293"/>
      <c r="BY273" s="293"/>
      <c r="BZ273" s="293"/>
      <c r="CA273" s="161"/>
      <c r="CB273" s="161"/>
      <c r="CC273" s="161"/>
      <c r="CD273" s="161"/>
      <c r="CE273" s="291"/>
      <c r="CF273" s="291"/>
      <c r="CG273" s="291"/>
      <c r="CH273" s="291"/>
      <c r="CI273" s="291"/>
      <c r="CJ273" s="161"/>
      <c r="CK273" s="293"/>
      <c r="CL273" s="293"/>
      <c r="CM273" s="161"/>
      <c r="CN273" s="161"/>
      <c r="CO273" s="161"/>
      <c r="CP273" s="161"/>
      <c r="CQ273" s="291"/>
      <c r="CR273" s="291"/>
      <c r="CS273" s="291"/>
    </row>
    <row r="274" spans="1:97">
      <c r="A274" s="292"/>
      <c r="B274" s="292"/>
      <c r="C274" s="161"/>
      <c r="D274" s="292"/>
      <c r="E274" s="206"/>
      <c r="F274" s="206"/>
      <c r="G274" s="206"/>
      <c r="H274" s="292"/>
      <c r="I274" s="292"/>
      <c r="J274" s="206"/>
      <c r="K274" s="205"/>
      <c r="L274" s="206"/>
      <c r="M274" s="206"/>
      <c r="N274" s="292"/>
      <c r="O274" s="292"/>
      <c r="P274" s="292"/>
      <c r="Q274" s="161"/>
      <c r="R274" s="161"/>
      <c r="S274" s="293"/>
      <c r="T274" s="161"/>
      <c r="U274" s="292"/>
      <c r="V274" s="292"/>
      <c r="W274" s="292"/>
      <c r="X274" s="161"/>
      <c r="Y274" s="161"/>
      <c r="Z274" s="293"/>
      <c r="AA274" s="292"/>
      <c r="AB274" s="292"/>
      <c r="AC274" s="206"/>
      <c r="AD274" s="206"/>
      <c r="AE274" s="205"/>
      <c r="AF274" s="206"/>
      <c r="AG274" s="291"/>
      <c r="AH274" s="161"/>
      <c r="AI274" s="161"/>
      <c r="AJ274" s="161"/>
      <c r="AK274" s="161"/>
      <c r="AL274" s="291"/>
      <c r="AM274" s="291"/>
      <c r="AN274" s="415"/>
      <c r="AO274" s="449"/>
      <c r="AP274" s="456"/>
      <c r="AQ274" s="415"/>
      <c r="AR274" s="462"/>
      <c r="AS274" s="462"/>
      <c r="AT274" s="410"/>
      <c r="AU274" s="410"/>
      <c r="AV274" s="410"/>
      <c r="AW274" s="410"/>
      <c r="AX274" s="410"/>
      <c r="AY274" s="462"/>
      <c r="AZ274" s="462"/>
      <c r="BA274" s="415"/>
      <c r="BB274" s="456"/>
      <c r="BC274" s="449"/>
      <c r="BD274" s="415"/>
      <c r="BE274" s="291"/>
      <c r="BF274" s="161"/>
      <c r="BG274" s="161"/>
      <c r="BH274" s="161"/>
      <c r="BI274" s="161"/>
      <c r="BJ274" s="291"/>
      <c r="BK274" s="291"/>
      <c r="BL274" s="291"/>
      <c r="BM274" s="1"/>
      <c r="BN274" s="291"/>
      <c r="BO274" s="161"/>
      <c r="BP274" s="161"/>
      <c r="BQ274" s="161"/>
      <c r="BR274" s="291"/>
      <c r="BS274" s="291"/>
      <c r="BT274" s="161"/>
      <c r="BU274" s="161"/>
      <c r="BV274" s="293"/>
      <c r="BW274" s="293"/>
      <c r="BX274" s="293"/>
      <c r="BY274" s="161"/>
      <c r="BZ274" s="161"/>
      <c r="CA274" s="161"/>
      <c r="CB274" s="161"/>
      <c r="CC274" s="161"/>
      <c r="CD274" s="291"/>
      <c r="CE274" s="291"/>
      <c r="CF274" s="291"/>
      <c r="CG274" s="291"/>
      <c r="CH274" s="291"/>
      <c r="CI274" s="161"/>
      <c r="CJ274" s="293"/>
      <c r="CK274" s="293"/>
      <c r="CL274" s="293"/>
      <c r="CM274" s="161"/>
      <c r="CN274" s="161"/>
      <c r="CO274" s="161"/>
      <c r="CP274" s="161"/>
      <c r="CQ274" s="291"/>
      <c r="CR274" s="291"/>
      <c r="CS274" s="291"/>
    </row>
    <row r="275" spans="1:97">
      <c r="A275" s="292"/>
      <c r="B275" s="292"/>
      <c r="C275" s="292"/>
      <c r="D275" s="206"/>
      <c r="E275" s="206"/>
      <c r="F275" s="206"/>
      <c r="G275" s="206"/>
      <c r="H275" s="206"/>
      <c r="I275" s="292"/>
      <c r="J275" s="206"/>
      <c r="K275" s="205"/>
      <c r="L275" s="206"/>
      <c r="M275" s="292"/>
      <c r="N275" s="292"/>
      <c r="O275" s="161"/>
      <c r="P275" s="161"/>
      <c r="Q275" s="293"/>
      <c r="R275" s="293"/>
      <c r="S275" s="293"/>
      <c r="T275" s="293"/>
      <c r="U275" s="161"/>
      <c r="V275" s="292"/>
      <c r="W275" s="292"/>
      <c r="X275" s="292"/>
      <c r="Y275" s="292"/>
      <c r="Z275" s="161"/>
      <c r="AA275" s="292"/>
      <c r="AB275" s="206"/>
      <c r="AC275" s="205"/>
      <c r="AD275" s="205"/>
      <c r="AE275" s="206"/>
      <c r="AF275" s="292"/>
      <c r="AG275" s="291"/>
      <c r="AH275" s="291"/>
      <c r="AI275" s="161"/>
      <c r="AJ275" s="161"/>
      <c r="AK275" s="161"/>
      <c r="AL275" s="291"/>
      <c r="AM275" s="291"/>
      <c r="AN275" s="415"/>
      <c r="AO275" s="449"/>
      <c r="AP275" s="456"/>
      <c r="AQ275" s="415"/>
      <c r="AR275" s="462"/>
      <c r="AS275" s="462"/>
      <c r="AT275" s="410"/>
      <c r="AU275" s="410"/>
      <c r="AV275" s="410"/>
      <c r="AW275" s="410"/>
      <c r="AX275" s="410"/>
      <c r="AY275" s="462"/>
      <c r="AZ275" s="462"/>
      <c r="BA275" s="415"/>
      <c r="BB275" s="456"/>
      <c r="BC275" s="449"/>
      <c r="BD275" s="415"/>
      <c r="BE275" s="291"/>
      <c r="BF275" s="161"/>
      <c r="BG275" s="161"/>
      <c r="BH275" s="161"/>
      <c r="BI275" s="291"/>
      <c r="BJ275" s="291"/>
      <c r="BK275" s="291"/>
      <c r="BL275" s="291"/>
      <c r="BM275" s="1"/>
      <c r="BN275" s="291"/>
      <c r="BO275" s="291"/>
      <c r="BP275" s="161"/>
      <c r="BQ275" s="161"/>
      <c r="BR275" s="161"/>
      <c r="BS275" s="291"/>
      <c r="BT275" s="161"/>
      <c r="BU275" s="293"/>
      <c r="BV275" s="293"/>
      <c r="BW275" s="293"/>
      <c r="BX275" s="161"/>
      <c r="BY275" s="161"/>
      <c r="BZ275" s="161"/>
      <c r="CA275" s="161"/>
      <c r="CB275" s="161"/>
      <c r="CC275" s="291"/>
      <c r="CD275" s="291"/>
      <c r="CE275" s="291"/>
      <c r="CF275" s="291"/>
      <c r="CG275" s="291"/>
      <c r="CH275" s="291"/>
      <c r="CI275" s="161"/>
      <c r="CJ275" s="293"/>
      <c r="CK275" s="293"/>
      <c r="CL275" s="161"/>
      <c r="CM275" s="161"/>
      <c r="CN275" s="161"/>
      <c r="CO275" s="161"/>
      <c r="CP275" s="291"/>
      <c r="CQ275" s="291"/>
      <c r="CR275" s="291"/>
      <c r="CS275" s="291"/>
    </row>
    <row r="276" spans="1:97">
      <c r="A276" s="292"/>
      <c r="B276" s="292"/>
      <c r="C276" s="292"/>
      <c r="D276" s="292"/>
      <c r="E276" s="292"/>
      <c r="F276" s="292"/>
      <c r="G276" s="292"/>
      <c r="H276" s="206"/>
      <c r="I276" s="292"/>
      <c r="J276" s="206"/>
      <c r="K276" s="206"/>
      <c r="L276" s="206"/>
      <c r="M276" s="292"/>
      <c r="N276" s="161"/>
      <c r="O276" s="293"/>
      <c r="P276" s="297"/>
      <c r="Q276" s="293"/>
      <c r="R276" s="292"/>
      <c r="S276" s="292"/>
      <c r="T276" s="292"/>
      <c r="U276" s="292"/>
      <c r="V276" s="292"/>
      <c r="W276" s="292"/>
      <c r="X276" s="292"/>
      <c r="Y276" s="292"/>
      <c r="Z276" s="292"/>
      <c r="AA276" s="206"/>
      <c r="AB276" s="206"/>
      <c r="AC276" s="206"/>
      <c r="AD276" s="206"/>
      <c r="AE276" s="292"/>
      <c r="AF276" s="292"/>
      <c r="AG276" s="291"/>
      <c r="AH276" s="291"/>
      <c r="AI276" s="291"/>
      <c r="AJ276" s="161"/>
      <c r="AK276" s="161"/>
      <c r="AL276" s="291"/>
      <c r="AM276" s="291"/>
      <c r="AN276" s="415"/>
      <c r="AO276" s="436"/>
      <c r="AP276" s="456"/>
      <c r="AQ276" s="415"/>
      <c r="AR276" s="456"/>
      <c r="AS276" s="462"/>
      <c r="AT276" s="410"/>
      <c r="AU276" s="410"/>
      <c r="AV276" s="410"/>
      <c r="AW276" s="410"/>
      <c r="AX276" s="410"/>
      <c r="AY276" s="462"/>
      <c r="AZ276" s="456"/>
      <c r="BA276" s="415"/>
      <c r="BB276" s="456"/>
      <c r="BC276" s="436"/>
      <c r="BD276" s="415"/>
      <c r="BE276" s="291"/>
      <c r="BF276" s="161"/>
      <c r="BG276" s="161"/>
      <c r="BH276" s="161"/>
      <c r="BI276" s="291"/>
      <c r="BJ276" s="291"/>
      <c r="BK276" s="291"/>
      <c r="BL276" s="291"/>
      <c r="BM276" s="1"/>
      <c r="BN276" s="291"/>
      <c r="BO276" s="291"/>
      <c r="BP276" s="291"/>
      <c r="BQ276" s="161"/>
      <c r="BR276" s="161"/>
      <c r="BS276" s="161"/>
      <c r="BT276" s="161"/>
      <c r="BU276" s="293"/>
      <c r="BV276" s="293"/>
      <c r="BW276" s="161"/>
      <c r="BX276" s="161"/>
      <c r="BY276" s="161"/>
      <c r="BZ276" s="161"/>
      <c r="CA276" s="291"/>
      <c r="CB276" s="291"/>
      <c r="CC276" s="291"/>
      <c r="CD276" s="291"/>
      <c r="CE276" s="291"/>
      <c r="CF276" s="291"/>
      <c r="CG276" s="291"/>
      <c r="CH276" s="161"/>
      <c r="CI276" s="293"/>
      <c r="CJ276" s="293"/>
      <c r="CK276" s="293"/>
      <c r="CL276" s="161"/>
      <c r="CM276" s="161"/>
      <c r="CN276" s="161"/>
      <c r="CO276" s="161"/>
      <c r="CP276" s="291"/>
      <c r="CQ276" s="291"/>
      <c r="CR276" s="291"/>
      <c r="CS276" s="291"/>
    </row>
    <row r="277" spans="1:97">
      <c r="A277" s="292"/>
      <c r="B277" s="292"/>
      <c r="C277" s="292"/>
      <c r="D277" s="292"/>
      <c r="E277" s="292"/>
      <c r="F277" s="292"/>
      <c r="G277" s="292"/>
      <c r="H277" s="292"/>
      <c r="I277" s="206"/>
      <c r="J277" s="206"/>
      <c r="K277" s="206"/>
      <c r="L277" s="292"/>
      <c r="M277" s="161"/>
      <c r="N277" s="293"/>
      <c r="O277" s="297"/>
      <c r="P277" s="293"/>
      <c r="Q277" s="292"/>
      <c r="R277" s="292"/>
      <c r="S277" s="292"/>
      <c r="T277" s="292"/>
      <c r="U277" s="206"/>
      <c r="V277" s="206"/>
      <c r="W277" s="292"/>
      <c r="X277" s="193"/>
      <c r="Y277" s="292"/>
      <c r="Z277" s="292"/>
      <c r="AA277" s="292"/>
      <c r="AB277" s="292"/>
      <c r="AC277" s="292"/>
      <c r="AD277" s="292"/>
      <c r="AE277" s="292"/>
      <c r="AF277" s="292"/>
      <c r="AG277" s="291"/>
      <c r="AH277" s="161"/>
      <c r="AI277" s="161"/>
      <c r="AJ277" s="161"/>
      <c r="AK277" s="161"/>
      <c r="AL277" s="161"/>
      <c r="AM277" s="161"/>
      <c r="AN277" s="291"/>
      <c r="AO277" s="415"/>
      <c r="AP277" s="449"/>
      <c r="AQ277" s="415"/>
      <c r="AR277" s="449"/>
      <c r="AS277" s="449"/>
      <c r="AT277" s="462"/>
      <c r="AU277" s="462"/>
      <c r="AV277" s="436"/>
      <c r="AW277" s="462"/>
      <c r="AX277" s="462"/>
      <c r="AY277" s="449"/>
      <c r="AZ277" s="449"/>
      <c r="BA277" s="415"/>
      <c r="BB277" s="449"/>
      <c r="BC277" s="415"/>
      <c r="BD277" s="291"/>
      <c r="BE277" s="161"/>
      <c r="BF277" s="161"/>
      <c r="BG277" s="161"/>
      <c r="BH277" s="291"/>
      <c r="BI277" s="291"/>
      <c r="BJ277" s="291"/>
      <c r="BK277" s="291"/>
      <c r="BL277" s="291"/>
      <c r="BM277" s="1"/>
      <c r="BN277" s="291"/>
      <c r="BO277" s="161"/>
      <c r="BP277" s="161"/>
      <c r="BQ277" s="161"/>
      <c r="BR277" s="161"/>
      <c r="BS277" s="161"/>
      <c r="BT277" s="161"/>
      <c r="BU277" s="293"/>
      <c r="BV277" s="293"/>
      <c r="BW277" s="161"/>
      <c r="BX277" s="161"/>
      <c r="BY277" s="161"/>
      <c r="BZ277" s="291"/>
      <c r="CA277" s="291"/>
      <c r="CB277" s="291"/>
      <c r="CC277" s="291"/>
      <c r="CD277" s="291"/>
      <c r="CE277" s="291"/>
      <c r="CF277" s="291"/>
      <c r="CG277" s="161"/>
      <c r="CH277" s="161"/>
      <c r="CI277" s="293"/>
      <c r="CJ277" s="293"/>
      <c r="CK277" s="161"/>
      <c r="CL277" s="161"/>
      <c r="CM277" s="161"/>
      <c r="CN277" s="161"/>
      <c r="CO277" s="291"/>
      <c r="CP277" s="291"/>
      <c r="CQ277" s="291"/>
      <c r="CR277" s="291"/>
      <c r="CS277" s="291"/>
    </row>
    <row r="278" spans="1:97">
      <c r="A278" s="292"/>
      <c r="B278" s="292"/>
      <c r="C278" s="292"/>
      <c r="D278" s="161"/>
      <c r="E278" s="161"/>
      <c r="F278" s="292"/>
      <c r="G278" s="292"/>
      <c r="H278" s="292"/>
      <c r="I278" s="292"/>
      <c r="J278" s="206"/>
      <c r="K278" s="292"/>
      <c r="L278" s="292"/>
      <c r="M278" s="161"/>
      <c r="N278" s="297"/>
      <c r="O278" s="293"/>
      <c r="P278" s="292"/>
      <c r="Q278" s="292"/>
      <c r="R278" s="292"/>
      <c r="S278" s="292"/>
      <c r="T278" s="206"/>
      <c r="U278" s="205"/>
      <c r="V278" s="206"/>
      <c r="W278" s="292"/>
      <c r="X278" s="292"/>
      <c r="Y278" s="193"/>
      <c r="Z278" s="193"/>
      <c r="AA278" s="193"/>
      <c r="AB278" s="292"/>
      <c r="AC278" s="292"/>
      <c r="AD278" s="292"/>
      <c r="AE278" s="206"/>
      <c r="AF278" s="292"/>
      <c r="AG278" s="161"/>
      <c r="AH278" s="161"/>
      <c r="AI278" s="161"/>
      <c r="AJ278" s="161"/>
      <c r="AK278" s="161"/>
      <c r="AL278" s="161"/>
      <c r="AM278" s="161"/>
      <c r="AN278" s="291"/>
      <c r="AO278" s="415"/>
      <c r="AP278" s="415"/>
      <c r="AQ278" s="415"/>
      <c r="AR278" s="415"/>
      <c r="AS278" s="415"/>
      <c r="AT278" s="415"/>
      <c r="AU278" s="415"/>
      <c r="AV278" s="436"/>
      <c r="AW278" s="415"/>
      <c r="AX278" s="415"/>
      <c r="AY278" s="415"/>
      <c r="AZ278" s="415"/>
      <c r="BA278" s="415"/>
      <c r="BB278" s="415"/>
      <c r="BC278" s="415"/>
      <c r="BD278" s="161"/>
      <c r="BE278" s="161"/>
      <c r="BF278" s="161"/>
      <c r="BG278" s="161"/>
      <c r="BH278" s="291"/>
      <c r="BI278" s="291"/>
      <c r="BJ278" s="291"/>
      <c r="BK278" s="291"/>
      <c r="BL278" s="161"/>
      <c r="BM278" s="1"/>
      <c r="BN278" s="161"/>
      <c r="BO278" s="161"/>
      <c r="BP278" s="161"/>
      <c r="BQ278" s="161"/>
      <c r="BR278" s="161"/>
      <c r="BS278" s="161"/>
      <c r="BT278" s="161"/>
      <c r="BU278" s="293"/>
      <c r="BV278" s="293"/>
      <c r="BW278" s="161"/>
      <c r="BX278" s="161"/>
      <c r="BY278" s="161"/>
      <c r="BZ278" s="291"/>
      <c r="CA278" s="291"/>
      <c r="CB278" s="291"/>
      <c r="CC278" s="291"/>
      <c r="CD278" s="291"/>
      <c r="CE278" s="291"/>
      <c r="CF278" s="291"/>
      <c r="CG278" s="161"/>
      <c r="CH278" s="293"/>
      <c r="CI278" s="293"/>
      <c r="CJ278" s="293"/>
      <c r="CK278" s="161"/>
      <c r="CL278" s="161"/>
      <c r="CM278" s="161"/>
      <c r="CN278" s="161"/>
      <c r="CO278" s="291"/>
      <c r="CP278" s="291"/>
      <c r="CQ278" s="291"/>
      <c r="CR278" s="291"/>
      <c r="CS278" s="161"/>
    </row>
    <row r="279" spans="1:97">
      <c r="A279" s="292"/>
      <c r="B279" s="292"/>
      <c r="C279" s="161"/>
      <c r="D279" s="293"/>
      <c r="E279" s="293"/>
      <c r="F279" s="161"/>
      <c r="G279" s="292"/>
      <c r="H279" s="292"/>
      <c r="I279" s="292"/>
      <c r="J279" s="292"/>
      <c r="K279" s="292"/>
      <c r="L279" s="292"/>
      <c r="M279" s="161"/>
      <c r="N279" s="293"/>
      <c r="O279" s="292"/>
      <c r="P279" s="292"/>
      <c r="Q279" s="292"/>
      <c r="R279" s="292"/>
      <c r="S279" s="206"/>
      <c r="T279" s="206"/>
      <c r="U279" s="205"/>
      <c r="V279" s="206"/>
      <c r="W279" s="292"/>
      <c r="X279" s="292"/>
      <c r="Y279" s="292"/>
      <c r="Z279" s="292"/>
      <c r="AA279" s="292"/>
      <c r="AB279" s="292"/>
      <c r="AC279" s="292"/>
      <c r="AD279" s="206"/>
      <c r="AE279" s="206"/>
      <c r="AF279" s="292"/>
      <c r="AG279" s="161"/>
      <c r="AH279" s="161"/>
      <c r="AI279" s="161"/>
      <c r="AJ279" s="161"/>
      <c r="AK279" s="161"/>
      <c r="AL279" s="161"/>
      <c r="AM279" s="409"/>
      <c r="AN279" s="161"/>
      <c r="AO279" s="291"/>
      <c r="AP279" s="415"/>
      <c r="AQ279" s="420"/>
      <c r="AR279" s="449"/>
      <c r="AS279" s="449"/>
      <c r="AT279" s="449"/>
      <c r="AU279" s="449"/>
      <c r="AV279" s="409"/>
      <c r="AW279" s="449"/>
      <c r="AX279" s="449"/>
      <c r="AY279" s="449"/>
      <c r="AZ279" s="449"/>
      <c r="BA279" s="415"/>
      <c r="BB279" s="420"/>
      <c r="BC279" s="420"/>
      <c r="BD279" s="161"/>
      <c r="BE279" s="161"/>
      <c r="BF279" s="161"/>
      <c r="BG279" s="291"/>
      <c r="BH279" s="291"/>
      <c r="BI279" s="291"/>
      <c r="BJ279" s="161"/>
      <c r="BK279" s="161"/>
      <c r="BL279" s="161"/>
      <c r="BM279" s="1"/>
      <c r="BN279" s="161"/>
      <c r="BO279" s="161"/>
      <c r="BP279" s="161"/>
      <c r="BQ279" s="161"/>
      <c r="BR279" s="161"/>
      <c r="BS279" s="161"/>
      <c r="BT279" s="161"/>
      <c r="BU279" s="161"/>
      <c r="BV279" s="293"/>
      <c r="BW279" s="161"/>
      <c r="BX279" s="161"/>
      <c r="BY279" s="161"/>
      <c r="BZ279" s="291"/>
      <c r="CA279" s="291"/>
      <c r="CB279" s="291"/>
      <c r="CC279" s="291"/>
      <c r="CD279" s="291"/>
      <c r="CE279" s="291"/>
      <c r="CF279" s="291"/>
      <c r="CG279" s="161"/>
      <c r="CH279" s="293"/>
      <c r="CI279" s="293"/>
      <c r="CJ279" s="293"/>
      <c r="CK279" s="161"/>
      <c r="CL279" s="161"/>
      <c r="CM279" s="161"/>
      <c r="CN279" s="291"/>
      <c r="CO279" s="291"/>
      <c r="CP279" s="291"/>
      <c r="CQ279" s="161"/>
      <c r="CR279" s="161"/>
      <c r="CS279" s="161"/>
    </row>
    <row r="280" spans="1:97">
      <c r="A280" s="292"/>
      <c r="B280" s="161"/>
      <c r="C280" s="293"/>
      <c r="D280" s="297"/>
      <c r="E280" s="293"/>
      <c r="F280" s="161"/>
      <c r="G280" s="292"/>
      <c r="H280" s="292"/>
      <c r="I280" s="292"/>
      <c r="J280" s="292"/>
      <c r="K280" s="193"/>
      <c r="L280" s="292"/>
      <c r="M280" s="161"/>
      <c r="N280" s="292"/>
      <c r="O280" s="292"/>
      <c r="P280" s="292"/>
      <c r="Q280" s="206"/>
      <c r="R280" s="206"/>
      <c r="S280" s="206"/>
      <c r="T280" s="205"/>
      <c r="U280" s="206"/>
      <c r="V280" s="292"/>
      <c r="W280" s="292"/>
      <c r="X280" s="292"/>
      <c r="Y280" s="292"/>
      <c r="Z280" s="292"/>
      <c r="AA280" s="292"/>
      <c r="AB280" s="292"/>
      <c r="AC280" s="292"/>
      <c r="AD280" s="292"/>
      <c r="AE280" s="292"/>
      <c r="AF280" s="292"/>
      <c r="AG280" s="293"/>
      <c r="AH280" s="293"/>
      <c r="AI280" s="161"/>
      <c r="AJ280" s="161"/>
      <c r="AK280" s="161"/>
      <c r="AL280" s="161"/>
      <c r="AM280" s="161"/>
      <c r="AN280" s="161"/>
      <c r="AO280" s="161"/>
      <c r="AP280" s="291"/>
      <c r="AQ280" s="415"/>
      <c r="AR280" s="415"/>
      <c r="AS280" s="436"/>
      <c r="AT280" s="449"/>
      <c r="AU280" s="449"/>
      <c r="AV280" s="409"/>
      <c r="AW280" s="449"/>
      <c r="AX280" s="449"/>
      <c r="AY280" s="436"/>
      <c r="AZ280" s="415"/>
      <c r="BA280" s="415"/>
      <c r="BB280" s="161"/>
      <c r="BC280" s="161"/>
      <c r="BD280" s="409"/>
      <c r="BE280" s="161"/>
      <c r="BF280" s="291"/>
      <c r="BG280" s="291"/>
      <c r="BH280" s="291"/>
      <c r="BI280" s="291"/>
      <c r="BJ280" s="161"/>
      <c r="BK280" s="293"/>
      <c r="BL280" s="293"/>
      <c r="BM280" s="1"/>
      <c r="BN280" s="293"/>
      <c r="BO280" s="293"/>
      <c r="BP280" s="161"/>
      <c r="BQ280" s="161"/>
      <c r="BR280" s="161"/>
      <c r="BS280" s="161"/>
      <c r="BT280" s="161"/>
      <c r="BU280" s="161"/>
      <c r="BV280" s="293"/>
      <c r="BW280" s="161"/>
      <c r="BX280" s="161"/>
      <c r="BY280" s="161"/>
      <c r="BZ280" s="161"/>
      <c r="CA280" s="291"/>
      <c r="CB280" s="291"/>
      <c r="CC280" s="291"/>
      <c r="CD280" s="291"/>
      <c r="CE280" s="291"/>
      <c r="CF280" s="291"/>
      <c r="CG280" s="161"/>
      <c r="CH280" s="293"/>
      <c r="CI280" s="293"/>
      <c r="CJ280" s="161"/>
      <c r="CK280" s="161"/>
      <c r="CL280" s="161"/>
      <c r="CM280" s="291"/>
      <c r="CN280" s="291"/>
      <c r="CO280" s="291"/>
      <c r="CP280" s="291"/>
      <c r="CQ280" s="161"/>
      <c r="CR280" s="293"/>
      <c r="CS280" s="293"/>
    </row>
    <row r="281" spans="1:97">
      <c r="A281" s="292"/>
      <c r="B281" s="161"/>
      <c r="C281" s="297"/>
      <c r="D281" s="293"/>
      <c r="E281" s="292"/>
      <c r="F281" s="292"/>
      <c r="G281" s="161"/>
      <c r="H281" s="292"/>
      <c r="I281" s="292"/>
      <c r="J281" s="292"/>
      <c r="K281" s="193"/>
      <c r="L281" s="292"/>
      <c r="M281" s="292"/>
      <c r="N281" s="292"/>
      <c r="O281" s="292"/>
      <c r="P281" s="292"/>
      <c r="Q281" s="206"/>
      <c r="R281" s="205"/>
      <c r="S281" s="206"/>
      <c r="T281" s="206"/>
      <c r="U281" s="292"/>
      <c r="V281" s="161"/>
      <c r="W281" s="161"/>
      <c r="X281" s="161"/>
      <c r="Y281" s="161"/>
      <c r="Z281" s="161"/>
      <c r="AA281" s="161"/>
      <c r="AB281" s="292"/>
      <c r="AC281" s="292"/>
      <c r="AD281" s="292"/>
      <c r="AE281" s="292"/>
      <c r="AF281" s="292"/>
      <c r="AG281" s="293"/>
      <c r="AH281" s="293"/>
      <c r="AI281" s="293"/>
      <c r="AJ281" s="161"/>
      <c r="AK281" s="161"/>
      <c r="AL281" s="291"/>
      <c r="AM281" s="161"/>
      <c r="AN281" s="409"/>
      <c r="AO281" s="161"/>
      <c r="AP281" s="161"/>
      <c r="AQ281" s="291"/>
      <c r="AR281" s="291"/>
      <c r="AS281" s="415"/>
      <c r="AT281" s="415"/>
      <c r="AU281" s="415"/>
      <c r="AV281" s="415"/>
      <c r="AW281" s="415"/>
      <c r="AX281" s="415"/>
      <c r="AY281" s="415"/>
      <c r="AZ281" s="291"/>
      <c r="BA281" s="161"/>
      <c r="BB281" s="161"/>
      <c r="BC281" s="409"/>
      <c r="BD281" s="409"/>
      <c r="BE281" s="161"/>
      <c r="BF281" s="291"/>
      <c r="BG281" s="291"/>
      <c r="BH281" s="291"/>
      <c r="BI281" s="161"/>
      <c r="BJ281" s="293"/>
      <c r="BK281" s="293"/>
      <c r="BL281" s="293"/>
      <c r="BM281" s="1"/>
      <c r="BN281" s="293"/>
      <c r="BO281" s="293"/>
      <c r="BP281" s="293"/>
      <c r="BQ281" s="161"/>
      <c r="BR281" s="161"/>
      <c r="BS281" s="161"/>
      <c r="BT281" s="161"/>
      <c r="BU281" s="161"/>
      <c r="BV281" s="293"/>
      <c r="BW281" s="293"/>
      <c r="BX281" s="161"/>
      <c r="BY281" s="161"/>
      <c r="BZ281" s="161"/>
      <c r="CA281" s="291"/>
      <c r="CB281" s="291"/>
      <c r="CC281" s="291"/>
      <c r="CD281" s="291"/>
      <c r="CE281" s="291"/>
      <c r="CF281" s="291"/>
      <c r="CG281" s="161"/>
      <c r="CH281" s="293"/>
      <c r="CI281" s="293"/>
      <c r="CJ281" s="161"/>
      <c r="CK281" s="161"/>
      <c r="CL281" s="161"/>
      <c r="CM281" s="291"/>
      <c r="CN281" s="291"/>
      <c r="CO281" s="291"/>
      <c r="CP281" s="161"/>
      <c r="CQ281" s="293"/>
      <c r="CR281" s="293"/>
      <c r="CS281" s="293"/>
    </row>
    <row r="282" spans="1:97">
      <c r="A282" s="292"/>
      <c r="B282" s="161"/>
      <c r="C282" s="293"/>
      <c r="D282" s="292"/>
      <c r="E282" s="292"/>
      <c r="F282" s="206"/>
      <c r="G282" s="292"/>
      <c r="H282" s="292"/>
      <c r="I282" s="206"/>
      <c r="J282" s="292"/>
      <c r="K282" s="292"/>
      <c r="L282" s="292"/>
      <c r="M282" s="292"/>
      <c r="N282" s="292"/>
      <c r="O282" s="161"/>
      <c r="P282" s="292"/>
      <c r="Q282" s="205"/>
      <c r="R282" s="206"/>
      <c r="S282" s="206"/>
      <c r="T282" s="292"/>
      <c r="U282" s="292"/>
      <c r="V282" s="161"/>
      <c r="W282" s="293"/>
      <c r="X282" s="293"/>
      <c r="Y282" s="293"/>
      <c r="Z282" s="293"/>
      <c r="AA282" s="292"/>
      <c r="AB282" s="292"/>
      <c r="AC282" s="206"/>
      <c r="AD282" s="292"/>
      <c r="AE282" s="292"/>
      <c r="AF282" s="292"/>
      <c r="AG282" s="161"/>
      <c r="AH282" s="161"/>
      <c r="AI282" s="161"/>
      <c r="AJ282" s="293"/>
      <c r="AK282" s="161"/>
      <c r="AL282" s="291"/>
      <c r="AM282" s="161"/>
      <c r="AN282" s="409"/>
      <c r="AO282" s="409"/>
      <c r="AP282" s="161"/>
      <c r="AQ282" s="161"/>
      <c r="AR282" s="161"/>
      <c r="AS282" s="291"/>
      <c r="AT282" s="291"/>
      <c r="AU282" s="291"/>
      <c r="AV282" s="291"/>
      <c r="AW282" s="291"/>
      <c r="AX282" s="291"/>
      <c r="AY282" s="291"/>
      <c r="AZ282" s="291"/>
      <c r="BA282" s="161"/>
      <c r="BB282" s="409"/>
      <c r="BC282" s="409"/>
      <c r="BD282" s="161"/>
      <c r="BE282" s="161"/>
      <c r="BF282" s="291"/>
      <c r="BG282" s="291"/>
      <c r="BH282" s="161"/>
      <c r="BI282" s="293"/>
      <c r="BJ282" s="293"/>
      <c r="BK282" s="161"/>
      <c r="BL282" s="161"/>
      <c r="BM282" s="1"/>
      <c r="BN282" s="161"/>
      <c r="BO282" s="161"/>
      <c r="BP282" s="161"/>
      <c r="BQ282" s="293"/>
      <c r="BR282" s="161"/>
      <c r="BS282" s="161"/>
      <c r="BT282" s="161"/>
      <c r="BU282" s="161"/>
      <c r="BV282" s="293"/>
      <c r="BW282" s="293"/>
      <c r="BX282" s="161"/>
      <c r="BY282" s="161"/>
      <c r="BZ282" s="161"/>
      <c r="CA282" s="291"/>
      <c r="CB282" s="291"/>
      <c r="CC282" s="291"/>
      <c r="CD282" s="291"/>
      <c r="CE282" s="291"/>
      <c r="CF282" s="291"/>
      <c r="CG282" s="161"/>
      <c r="CH282" s="293"/>
      <c r="CI282" s="293"/>
      <c r="CJ282" s="161"/>
      <c r="CK282" s="161"/>
      <c r="CL282" s="291"/>
      <c r="CM282" s="291"/>
      <c r="CN282" s="291"/>
      <c r="CO282" s="161"/>
      <c r="CP282" s="293"/>
      <c r="CQ282" s="293"/>
      <c r="CR282" s="161"/>
      <c r="CS282" s="161"/>
    </row>
    <row r="283" spans="1:97">
      <c r="A283" s="292"/>
      <c r="B283" s="161"/>
      <c r="C283" s="292"/>
      <c r="D283" s="292"/>
      <c r="E283" s="292"/>
      <c r="F283" s="206"/>
      <c r="G283" s="292"/>
      <c r="H283" s="292"/>
      <c r="I283" s="206"/>
      <c r="J283" s="206"/>
      <c r="K283" s="292"/>
      <c r="L283" s="292"/>
      <c r="M283" s="292"/>
      <c r="N283" s="292"/>
      <c r="O283" s="161"/>
      <c r="P283" s="292"/>
      <c r="Q283" s="206"/>
      <c r="R283" s="206"/>
      <c r="S283" s="292"/>
      <c r="T283" s="292"/>
      <c r="U283" s="292"/>
      <c r="V283" s="161"/>
      <c r="W283" s="293"/>
      <c r="X283" s="297"/>
      <c r="Y283" s="293"/>
      <c r="Z283" s="292"/>
      <c r="AA283" s="292"/>
      <c r="AB283" s="292"/>
      <c r="AC283" s="206"/>
      <c r="AD283" s="206"/>
      <c r="AE283" s="292"/>
      <c r="AF283" s="292"/>
      <c r="AG283" s="161"/>
      <c r="AH283" s="161"/>
      <c r="AI283" s="161"/>
      <c r="AJ283" s="161"/>
      <c r="AK283" s="293"/>
      <c r="AL283" s="291"/>
      <c r="AM283" s="291"/>
      <c r="AN283" s="161"/>
      <c r="AO283" s="293"/>
      <c r="AP283" s="409"/>
      <c r="AQ283" s="161"/>
      <c r="AR283" s="161"/>
      <c r="AS283" s="161"/>
      <c r="AT283" s="291"/>
      <c r="AU283" s="291"/>
      <c r="AV283" s="291"/>
      <c r="AW283" s="291"/>
      <c r="AX283" s="291"/>
      <c r="AY283" s="291"/>
      <c r="AZ283" s="161"/>
      <c r="BA283" s="293"/>
      <c r="BB283" s="161"/>
      <c r="BC283" s="161"/>
      <c r="BD283" s="161"/>
      <c r="BE283" s="291"/>
      <c r="BF283" s="291"/>
      <c r="BG283" s="161"/>
      <c r="BH283" s="293"/>
      <c r="BI283" s="293"/>
      <c r="BJ283" s="161"/>
      <c r="BK283" s="161"/>
      <c r="BL283" s="161"/>
      <c r="BM283" s="1"/>
      <c r="BN283" s="161"/>
      <c r="BO283" s="161"/>
      <c r="BP283" s="161"/>
      <c r="BQ283" s="161"/>
      <c r="BR283" s="161"/>
      <c r="BS283" s="161"/>
      <c r="BT283" s="161"/>
      <c r="BU283" s="161"/>
      <c r="BV283" s="293"/>
      <c r="BW283" s="293"/>
      <c r="BX283" s="161"/>
      <c r="BY283" s="161"/>
      <c r="BZ283" s="161"/>
      <c r="CA283" s="291"/>
      <c r="CB283" s="291"/>
      <c r="CC283" s="291"/>
      <c r="CD283" s="291"/>
      <c r="CE283" s="291"/>
      <c r="CF283" s="291"/>
      <c r="CG283" s="161"/>
      <c r="CH283" s="293"/>
      <c r="CI283" s="161"/>
      <c r="CJ283" s="161"/>
      <c r="CK283" s="161"/>
      <c r="CL283" s="291"/>
      <c r="CM283" s="291"/>
      <c r="CN283" s="161"/>
      <c r="CO283" s="293"/>
      <c r="CP283" s="293"/>
      <c r="CQ283" s="161"/>
      <c r="CR283" s="161"/>
      <c r="CS283" s="161"/>
    </row>
    <row r="284" spans="1:97">
      <c r="A284" s="292"/>
      <c r="B284" s="161"/>
      <c r="C284" s="292"/>
      <c r="D284" s="206"/>
      <c r="E284" s="292"/>
      <c r="F284" s="292"/>
      <c r="G284" s="292"/>
      <c r="H284" s="206"/>
      <c r="I284" s="206"/>
      <c r="J284" s="206"/>
      <c r="K284" s="206"/>
      <c r="L284" s="292"/>
      <c r="M284" s="292"/>
      <c r="N284" s="292"/>
      <c r="O284" s="161"/>
      <c r="P284" s="292"/>
      <c r="Q284" s="206"/>
      <c r="R284" s="292"/>
      <c r="S284" s="292"/>
      <c r="T284" s="292"/>
      <c r="U284" s="161"/>
      <c r="V284" s="293"/>
      <c r="W284" s="293"/>
      <c r="X284" s="293"/>
      <c r="Y284" s="292"/>
      <c r="Z284" s="292"/>
      <c r="AA284" s="292"/>
      <c r="AB284" s="292"/>
      <c r="AC284" s="206"/>
      <c r="AD284" s="205"/>
      <c r="AE284" s="292"/>
      <c r="AF284" s="292"/>
      <c r="AG284" s="291"/>
      <c r="AH284" s="161"/>
      <c r="AI284" s="161"/>
      <c r="AJ284" s="161"/>
      <c r="AK284" s="293"/>
      <c r="AL284" s="291"/>
      <c r="AM284" s="291"/>
      <c r="AN284" s="161"/>
      <c r="AO284" s="293"/>
      <c r="AP284" s="293"/>
      <c r="AQ284" s="161"/>
      <c r="AR284" s="161"/>
      <c r="AS284" s="291"/>
      <c r="AT284" s="291"/>
      <c r="AU284" s="291"/>
      <c r="AV284" s="291"/>
      <c r="AW284" s="291"/>
      <c r="AX284" s="291"/>
      <c r="AY284" s="161"/>
      <c r="AZ284" s="161"/>
      <c r="BA284" s="293"/>
      <c r="BB284" s="161"/>
      <c r="BC284" s="161"/>
      <c r="BD284" s="291"/>
      <c r="BE284" s="291"/>
      <c r="BF284" s="291"/>
      <c r="BG284" s="161"/>
      <c r="BH284" s="293"/>
      <c r="BI284" s="161"/>
      <c r="BJ284" s="161"/>
      <c r="BK284" s="161"/>
      <c r="BL284" s="291"/>
      <c r="BM284" s="1"/>
      <c r="BN284" s="291"/>
      <c r="BO284" s="161"/>
      <c r="BP284" s="161"/>
      <c r="BQ284" s="161"/>
      <c r="BR284" s="291"/>
      <c r="BS284" s="161"/>
      <c r="BT284" s="161"/>
      <c r="BU284" s="161"/>
      <c r="BV284" s="293"/>
      <c r="BW284" s="293"/>
      <c r="BX284" s="161"/>
      <c r="BY284" s="161"/>
      <c r="BZ284" s="291"/>
      <c r="CA284" s="291"/>
      <c r="CB284" s="291"/>
      <c r="CC284" s="291"/>
      <c r="CD284" s="291"/>
      <c r="CE284" s="291"/>
      <c r="CF284" s="161"/>
      <c r="CG284" s="161"/>
      <c r="CH284" s="293"/>
      <c r="CI284" s="161"/>
      <c r="CJ284" s="161"/>
      <c r="CK284" s="291"/>
      <c r="CL284" s="291"/>
      <c r="CM284" s="291"/>
      <c r="CN284" s="161"/>
      <c r="CO284" s="293"/>
      <c r="CP284" s="161"/>
      <c r="CQ284" s="161"/>
      <c r="CR284" s="161"/>
      <c r="CS284" s="291"/>
    </row>
    <row r="285" spans="1:97">
      <c r="A285" s="292"/>
      <c r="B285" s="292"/>
      <c r="C285" s="292"/>
      <c r="D285" s="292"/>
      <c r="E285" s="292"/>
      <c r="F285" s="292"/>
      <c r="G285" s="292"/>
      <c r="H285" s="206"/>
      <c r="I285" s="206"/>
      <c r="J285" s="205"/>
      <c r="K285" s="206"/>
      <c r="L285" s="292"/>
      <c r="M285" s="292"/>
      <c r="N285" s="292"/>
      <c r="O285" s="292"/>
      <c r="P285" s="292"/>
      <c r="Q285" s="292"/>
      <c r="R285" s="292"/>
      <c r="S285" s="292"/>
      <c r="T285" s="161"/>
      <c r="U285" s="293"/>
      <c r="V285" s="293"/>
      <c r="W285" s="292"/>
      <c r="X285" s="292"/>
      <c r="Y285" s="206"/>
      <c r="Z285" s="292"/>
      <c r="AA285" s="292"/>
      <c r="AB285" s="206"/>
      <c r="AC285" s="206"/>
      <c r="AD285" s="206"/>
      <c r="AE285" s="292"/>
      <c r="AF285" s="292"/>
      <c r="AG285" s="291"/>
      <c r="AH285" s="291"/>
      <c r="AI285" s="161"/>
      <c r="AJ285" s="161"/>
      <c r="AK285" s="293"/>
      <c r="AL285" s="291"/>
      <c r="AM285" s="291"/>
      <c r="AN285" s="161"/>
      <c r="AO285" s="161"/>
      <c r="AP285" s="293"/>
      <c r="AQ285" s="161"/>
      <c r="AR285" s="161"/>
      <c r="AS285" s="291"/>
      <c r="AT285" s="291"/>
      <c r="AU285" s="291"/>
      <c r="AV285" s="291"/>
      <c r="AW285" s="291"/>
      <c r="AX285" s="291"/>
      <c r="AY285" s="161"/>
      <c r="AZ285" s="161"/>
      <c r="BA285" s="293"/>
      <c r="BB285" s="161"/>
      <c r="BC285" s="161"/>
      <c r="BD285" s="291"/>
      <c r="BE285" s="291"/>
      <c r="BF285" s="291"/>
      <c r="BG285" s="161"/>
      <c r="BH285" s="293"/>
      <c r="BI285" s="161"/>
      <c r="BJ285" s="161"/>
      <c r="BK285" s="161"/>
      <c r="BL285" s="291"/>
      <c r="BM285" s="1"/>
      <c r="BN285" s="291"/>
      <c r="BO285" s="291"/>
      <c r="BP285" s="291"/>
      <c r="BQ285" s="291"/>
      <c r="BR285" s="291"/>
      <c r="BS285" s="291"/>
      <c r="BT285" s="161"/>
      <c r="BU285" s="161"/>
      <c r="BV285" s="161"/>
      <c r="BW285" s="293"/>
      <c r="BX285" s="161"/>
      <c r="BY285" s="161"/>
      <c r="BZ285" s="291"/>
      <c r="CA285" s="291"/>
      <c r="CB285" s="291"/>
      <c r="CC285" s="291"/>
      <c r="CD285" s="291"/>
      <c r="CE285" s="291"/>
      <c r="CF285" s="161"/>
      <c r="CG285" s="161"/>
      <c r="CH285" s="293"/>
      <c r="CI285" s="161"/>
      <c r="CJ285" s="161"/>
      <c r="CK285" s="291"/>
      <c r="CL285" s="291"/>
      <c r="CM285" s="291"/>
      <c r="CN285" s="161"/>
      <c r="CO285" s="293"/>
      <c r="CP285" s="161"/>
      <c r="CQ285" s="161"/>
      <c r="CR285" s="161"/>
      <c r="CS285" s="291"/>
    </row>
    <row r="286" spans="1:97">
      <c r="A286" s="292"/>
      <c r="B286" s="161"/>
      <c r="C286" s="206"/>
      <c r="D286" s="206"/>
      <c r="E286" s="206"/>
      <c r="F286" s="292"/>
      <c r="G286" s="206"/>
      <c r="H286" s="206"/>
      <c r="I286" s="205"/>
      <c r="J286" s="206"/>
      <c r="K286" s="206"/>
      <c r="L286" s="292"/>
      <c r="M286" s="292"/>
      <c r="N286" s="292"/>
      <c r="O286" s="292"/>
      <c r="P286" s="292"/>
      <c r="Q286" s="292"/>
      <c r="R286" s="292"/>
      <c r="S286" s="292"/>
      <c r="T286" s="161"/>
      <c r="U286" s="293"/>
      <c r="V286" s="292"/>
      <c r="W286" s="292"/>
      <c r="X286" s="292"/>
      <c r="Y286" s="292"/>
      <c r="Z286" s="292"/>
      <c r="AA286" s="206"/>
      <c r="AB286" s="206"/>
      <c r="AC286" s="206"/>
      <c r="AD286" s="292"/>
      <c r="AE286" s="292"/>
      <c r="AF286" s="292"/>
      <c r="AG286" s="291"/>
      <c r="AH286" s="291"/>
      <c r="AI286" s="291"/>
      <c r="AJ286" s="161"/>
      <c r="AK286" s="291"/>
      <c r="AL286" s="291"/>
      <c r="AM286" s="291"/>
      <c r="AN286" s="161"/>
      <c r="AO286" s="161"/>
      <c r="AP286" s="293"/>
      <c r="AQ286" s="161"/>
      <c r="AR286" s="161"/>
      <c r="AS286" s="291"/>
      <c r="AT286" s="291"/>
      <c r="AU286" s="291"/>
      <c r="AV286" s="291"/>
      <c r="AW286" s="291"/>
      <c r="AX286" s="161"/>
      <c r="AY286" s="161"/>
      <c r="AZ286" s="161"/>
      <c r="BA286" s="293"/>
      <c r="BB286" s="161"/>
      <c r="BC286" s="291"/>
      <c r="BD286" s="291"/>
      <c r="BE286" s="291"/>
      <c r="BF286" s="161"/>
      <c r="BG286" s="161"/>
      <c r="BH286" s="293"/>
      <c r="BI286" s="161"/>
      <c r="BJ286" s="161"/>
      <c r="BK286" s="291"/>
      <c r="BL286" s="291"/>
      <c r="BM286" s="1"/>
      <c r="BN286" s="291"/>
      <c r="BO286" s="291"/>
      <c r="BP286" s="291"/>
      <c r="BQ286" s="291"/>
      <c r="BR286" s="291"/>
      <c r="BS286" s="291"/>
      <c r="BT286" s="291"/>
      <c r="BU286" s="161"/>
      <c r="BV286" s="161"/>
      <c r="BW286" s="293"/>
      <c r="BX286" s="161"/>
      <c r="BY286" s="161"/>
      <c r="BZ286" s="291"/>
      <c r="CA286" s="291"/>
      <c r="CB286" s="291"/>
      <c r="CC286" s="291"/>
      <c r="CD286" s="291"/>
      <c r="CE286" s="161"/>
      <c r="CF286" s="161"/>
      <c r="CG286" s="161"/>
      <c r="CH286" s="293"/>
      <c r="CI286" s="161"/>
      <c r="CJ286" s="291"/>
      <c r="CK286" s="291"/>
      <c r="CL286" s="291"/>
      <c r="CM286" s="161"/>
      <c r="CN286" s="161"/>
      <c r="CO286" s="293"/>
      <c r="CP286" s="161"/>
      <c r="CQ286" s="161"/>
      <c r="CR286" s="291"/>
      <c r="CS286" s="291"/>
    </row>
    <row r="287" spans="1:97">
      <c r="A287" s="292"/>
      <c r="B287" s="161"/>
      <c r="C287" s="206"/>
      <c r="D287" s="205"/>
      <c r="E287" s="206"/>
      <c r="F287" s="206"/>
      <c r="G287" s="206"/>
      <c r="H287" s="206"/>
      <c r="I287" s="206"/>
      <c r="J287" s="206"/>
      <c r="K287" s="292"/>
      <c r="L287" s="292"/>
      <c r="M287" s="292"/>
      <c r="N287" s="292"/>
      <c r="O287" s="193"/>
      <c r="P287" s="193"/>
      <c r="Q287" s="292"/>
      <c r="R287" s="292"/>
      <c r="S287" s="292"/>
      <c r="T287" s="161"/>
      <c r="U287" s="292"/>
      <c r="V287" s="292"/>
      <c r="W287" s="292"/>
      <c r="X287" s="292"/>
      <c r="Y287" s="206"/>
      <c r="Z287" s="206"/>
      <c r="AA287" s="205"/>
      <c r="AB287" s="206"/>
      <c r="AC287" s="206"/>
      <c r="AD287" s="292"/>
      <c r="AE287" s="292"/>
      <c r="AF287" s="292"/>
      <c r="AG287" s="291"/>
      <c r="AH287" s="291"/>
      <c r="AI287" s="291"/>
      <c r="AJ287" s="291"/>
      <c r="AK287" s="291"/>
      <c r="AL287" s="291"/>
      <c r="AM287" s="291"/>
      <c r="AN287" s="161"/>
      <c r="AO287" s="161"/>
      <c r="AP287" s="161"/>
      <c r="AQ287" s="291"/>
      <c r="AR287" s="161"/>
      <c r="AS287" s="291"/>
      <c r="AT287" s="291"/>
      <c r="AU287" s="291"/>
      <c r="AV287" s="291"/>
      <c r="AW287" s="161"/>
      <c r="AX287" s="161"/>
      <c r="AY287" s="161"/>
      <c r="AZ287" s="161"/>
      <c r="BA287" s="161"/>
      <c r="BB287" s="291"/>
      <c r="BC287" s="291"/>
      <c r="BD287" s="291"/>
      <c r="BE287" s="161"/>
      <c r="BF287" s="161"/>
      <c r="BG287" s="293"/>
      <c r="BH287" s="161"/>
      <c r="BI287" s="161"/>
      <c r="BJ287" s="161"/>
      <c r="BK287" s="291"/>
      <c r="BL287" s="291"/>
      <c r="BM287" s="1"/>
      <c r="BN287" s="291"/>
      <c r="BO287" s="291"/>
      <c r="BP287" s="291"/>
      <c r="BQ287" s="291"/>
      <c r="BR287" s="291"/>
      <c r="BS287" s="291"/>
      <c r="BT287" s="291"/>
      <c r="BU287" s="161"/>
      <c r="BV287" s="161"/>
      <c r="BW287" s="161"/>
      <c r="BX287" s="291"/>
      <c r="BY287" s="161"/>
      <c r="BZ287" s="291"/>
      <c r="CA287" s="291"/>
      <c r="CB287" s="291"/>
      <c r="CC287" s="291"/>
      <c r="CD287" s="161"/>
      <c r="CE287" s="161"/>
      <c r="CF287" s="161"/>
      <c r="CG287" s="161"/>
      <c r="CH287" s="161"/>
      <c r="CI287" s="291"/>
      <c r="CJ287" s="291"/>
      <c r="CK287" s="291"/>
      <c r="CL287" s="161"/>
      <c r="CM287" s="161"/>
      <c r="CN287" s="293"/>
      <c r="CO287" s="161"/>
      <c r="CP287" s="161"/>
      <c r="CQ287" s="161"/>
      <c r="CR287" s="291"/>
      <c r="CS287" s="291"/>
    </row>
    <row r="288" spans="1:97">
      <c r="A288" s="292"/>
      <c r="B288" s="292"/>
      <c r="C288" s="292"/>
      <c r="D288" s="292"/>
      <c r="E288" s="206"/>
      <c r="F288" s="206"/>
      <c r="G288" s="205"/>
      <c r="H288" s="205"/>
      <c r="I288" s="206"/>
      <c r="J288" s="292"/>
      <c r="K288" s="292"/>
      <c r="L288" s="292"/>
      <c r="M288" s="292"/>
      <c r="N288" s="292"/>
      <c r="O288" s="292"/>
      <c r="P288" s="292"/>
      <c r="Q288" s="292"/>
      <c r="R288" s="292"/>
      <c r="S288" s="292"/>
      <c r="T288" s="292"/>
      <c r="U288" s="292"/>
      <c r="V288" s="206"/>
      <c r="W288" s="206"/>
      <c r="X288" s="206"/>
      <c r="Y288" s="206"/>
      <c r="Z288" s="206"/>
      <c r="AA288" s="206"/>
      <c r="AB288" s="206"/>
      <c r="AC288" s="292"/>
      <c r="AD288" s="292"/>
      <c r="AE288" s="292"/>
      <c r="AF288" s="292"/>
      <c r="AG288" s="291"/>
      <c r="AH288" s="291"/>
      <c r="AI288" s="291"/>
      <c r="AJ288" s="291"/>
      <c r="AK288" s="291"/>
      <c r="AL288" s="291"/>
      <c r="AM288" s="291"/>
      <c r="AN288" s="161"/>
      <c r="AO288" s="161"/>
      <c r="AP288" s="161"/>
      <c r="AQ288" s="161"/>
      <c r="AR288" s="291"/>
      <c r="AS288" s="291"/>
      <c r="AT288" s="291"/>
      <c r="AU288" s="291"/>
      <c r="AV288" s="161"/>
      <c r="AW288" s="161"/>
      <c r="AX288" s="161"/>
      <c r="AY288" s="161"/>
      <c r="AZ288" s="161"/>
      <c r="BA288" s="161"/>
      <c r="BB288" s="161"/>
      <c r="BC288" s="161"/>
      <c r="BD288" s="161"/>
      <c r="BE288" s="161"/>
      <c r="BF288" s="161"/>
      <c r="BG288" s="293"/>
      <c r="BH288" s="161"/>
      <c r="BI288" s="161"/>
      <c r="BJ288" s="291"/>
      <c r="BK288" s="291"/>
      <c r="BL288" s="291"/>
      <c r="BM288" s="540"/>
      <c r="BN288" s="291"/>
      <c r="BO288" s="291"/>
      <c r="BP288" s="291"/>
      <c r="BQ288" s="291"/>
      <c r="BR288" s="291"/>
      <c r="BS288" s="291"/>
      <c r="BT288" s="291"/>
      <c r="BU288" s="161"/>
      <c r="BV288" s="161"/>
      <c r="BW288" s="161"/>
      <c r="BX288" s="161"/>
      <c r="BY288" s="291"/>
      <c r="BZ288" s="291"/>
      <c r="CA288" s="291"/>
      <c r="CB288" s="291"/>
      <c r="CC288" s="161"/>
      <c r="CD288" s="161"/>
      <c r="CE288" s="161"/>
      <c r="CF288" s="161"/>
      <c r="CG288" s="161"/>
      <c r="CH288" s="161"/>
      <c r="CI288" s="161"/>
      <c r="CJ288" s="161"/>
      <c r="CK288" s="161"/>
      <c r="CL288" s="161"/>
      <c r="CM288" s="161"/>
      <c r="CN288" s="293"/>
      <c r="CO288" s="161"/>
      <c r="CP288" s="161"/>
      <c r="CQ288" s="291"/>
      <c r="CR288" s="291"/>
      <c r="CS288" s="291"/>
    </row>
    <row r="289" spans="1:100">
      <c r="A289" s="431"/>
      <c r="B289" s="431"/>
      <c r="C289" s="431"/>
      <c r="D289" s="431"/>
      <c r="E289" s="431"/>
      <c r="F289" s="431"/>
      <c r="G289" s="431"/>
      <c r="H289" s="431"/>
      <c r="I289" s="431"/>
      <c r="J289" s="431"/>
      <c r="K289" s="431"/>
      <c r="L289" s="431"/>
      <c r="M289" s="431"/>
      <c r="N289" s="431"/>
      <c r="O289" s="431"/>
      <c r="P289" s="431"/>
      <c r="Q289" s="431"/>
      <c r="R289" s="431"/>
      <c r="S289" s="431"/>
      <c r="T289" s="431"/>
      <c r="U289" s="431"/>
      <c r="V289" s="431"/>
      <c r="W289" s="431"/>
      <c r="X289" s="431"/>
      <c r="Y289" s="431"/>
      <c r="Z289" s="431"/>
      <c r="AA289" s="431"/>
      <c r="AB289" s="431"/>
      <c r="AC289" s="431"/>
      <c r="AD289" s="431"/>
      <c r="AE289" s="431"/>
      <c r="AF289" s="412"/>
      <c r="AG289" s="552"/>
      <c r="AH289" s="552"/>
      <c r="AI289" s="552"/>
      <c r="AJ289" s="552"/>
      <c r="AK289" s="552"/>
      <c r="AL289" s="552"/>
      <c r="AM289" s="552"/>
      <c r="AN289" s="552"/>
      <c r="AO289" s="552"/>
      <c r="AP289" s="552"/>
      <c r="AQ289" s="552"/>
      <c r="AR289" s="552"/>
      <c r="AS289" s="552"/>
      <c r="AT289" s="552"/>
      <c r="AU289" s="552"/>
      <c r="AV289" s="552"/>
      <c r="AW289" s="552"/>
      <c r="AX289" s="552"/>
      <c r="AY289" s="552"/>
      <c r="AZ289" s="552"/>
      <c r="BA289" s="552"/>
      <c r="BB289" s="552"/>
      <c r="BC289" s="552"/>
      <c r="BD289" s="552"/>
      <c r="BE289" s="552"/>
      <c r="BF289" s="552"/>
      <c r="BG289" s="552"/>
      <c r="BH289" s="552"/>
      <c r="BI289" s="552"/>
      <c r="BJ289" s="552"/>
      <c r="BK289" s="552"/>
      <c r="BL289" s="411"/>
      <c r="BM289" s="301">
        <v>10</v>
      </c>
      <c r="BN289" s="552"/>
      <c r="BO289" s="552"/>
      <c r="BP289" s="552"/>
      <c r="BQ289" s="552"/>
      <c r="BR289" s="552"/>
      <c r="BS289" s="552"/>
      <c r="BT289" s="552"/>
      <c r="BU289" s="552"/>
      <c r="BV289" s="552"/>
      <c r="BW289" s="552"/>
      <c r="BX289" s="552"/>
      <c r="BY289" s="552"/>
      <c r="BZ289" s="552"/>
      <c r="CA289" s="552"/>
      <c r="CB289" s="552"/>
      <c r="CC289" s="552"/>
      <c r="CD289" s="552"/>
      <c r="CE289" s="552"/>
      <c r="CF289" s="552"/>
      <c r="CG289" s="552"/>
      <c r="CH289" s="552"/>
      <c r="CI289" s="552"/>
      <c r="CJ289" s="552"/>
      <c r="CK289" s="552"/>
      <c r="CL289" s="552"/>
      <c r="CM289" s="552"/>
      <c r="CN289" s="552"/>
      <c r="CO289" s="552"/>
      <c r="CP289" s="552"/>
      <c r="CQ289" s="552"/>
      <c r="CR289" s="552"/>
      <c r="CS289" s="411"/>
    </row>
    <row r="290" spans="1:100">
      <c r="AG290" s="552"/>
      <c r="AH290" s="452"/>
      <c r="AI290" s="452"/>
      <c r="AJ290" s="452"/>
      <c r="AK290" s="452"/>
      <c r="AL290" s="452"/>
      <c r="AM290" s="452"/>
      <c r="AN290" s="452"/>
      <c r="AO290" s="452"/>
      <c r="AP290" s="452"/>
      <c r="AQ290" s="452"/>
      <c r="AR290" s="452"/>
      <c r="AS290" s="452"/>
      <c r="AT290" s="452"/>
      <c r="AU290" s="452"/>
      <c r="AV290" s="452"/>
      <c r="AW290" s="452"/>
      <c r="AX290" s="452"/>
      <c r="AY290" s="452"/>
      <c r="AZ290" s="452"/>
      <c r="BA290" s="452"/>
      <c r="BB290" s="452"/>
      <c r="BC290" s="452"/>
      <c r="BD290" s="452"/>
      <c r="BE290" s="452"/>
      <c r="BF290" s="452"/>
      <c r="BG290" s="452"/>
      <c r="BH290" s="452"/>
      <c r="BI290" s="452"/>
      <c r="BJ290" s="452"/>
      <c r="BK290" s="452"/>
      <c r="BL290" s="411"/>
      <c r="BM290" s="452"/>
      <c r="BN290" s="552"/>
      <c r="BO290" s="452"/>
      <c r="BP290" s="452"/>
      <c r="BQ290" s="452"/>
      <c r="BR290" s="452"/>
      <c r="BS290" s="452"/>
      <c r="BT290" s="452"/>
      <c r="BU290" s="452"/>
      <c r="BV290" s="452"/>
      <c r="BW290" s="452"/>
      <c r="BX290" s="452"/>
      <c r="BY290" s="452"/>
      <c r="BZ290" s="452"/>
      <c r="CA290" s="452"/>
      <c r="CB290" s="452"/>
      <c r="CC290" s="452"/>
      <c r="CD290" s="452"/>
      <c r="CE290" s="452"/>
      <c r="CF290" s="452"/>
      <c r="CG290" s="452"/>
      <c r="CH290" s="452"/>
      <c r="CI290" s="452"/>
      <c r="CJ290" s="452"/>
      <c r="CK290" s="452"/>
      <c r="CL290" s="452"/>
      <c r="CM290" s="452"/>
      <c r="CN290" s="452"/>
      <c r="CO290" s="452"/>
      <c r="CP290" s="452"/>
      <c r="CQ290" s="452"/>
      <c r="CR290" s="452"/>
      <c r="CS290" s="411"/>
      <c r="CT290">
        <v>1</v>
      </c>
    </row>
    <row r="291" spans="1:100">
      <c r="A291" s="431"/>
      <c r="B291" s="431"/>
      <c r="C291" s="431"/>
      <c r="D291" s="431"/>
      <c r="E291" s="412"/>
      <c r="F291" s="431"/>
      <c r="G291" s="431"/>
      <c r="H291" s="431"/>
      <c r="I291" s="431"/>
      <c r="J291" s="431"/>
      <c r="K291" s="431"/>
      <c r="L291" s="431"/>
      <c r="M291" s="431"/>
      <c r="N291" s="431"/>
      <c r="O291" s="431"/>
      <c r="P291" s="431"/>
      <c r="Q291" s="431"/>
      <c r="R291" s="431"/>
      <c r="S291" s="431"/>
      <c r="T291" s="431"/>
      <c r="U291" s="431"/>
      <c r="V291" s="431"/>
      <c r="W291" s="431"/>
      <c r="X291" s="431"/>
      <c r="Y291" s="431"/>
      <c r="Z291" s="431"/>
      <c r="AA291" s="431"/>
      <c r="AB291" s="431"/>
      <c r="AC291" s="431"/>
      <c r="AD291" s="431"/>
      <c r="AE291" s="431"/>
      <c r="AF291" s="431"/>
      <c r="BM291" s="351"/>
      <c r="CU291">
        <v>2</v>
      </c>
      <c r="CV291">
        <v>2</v>
      </c>
    </row>
    <row r="292" spans="1:100">
      <c r="BM292" s="177">
        <v>230</v>
      </c>
      <c r="CT292">
        <v>1</v>
      </c>
      <c r="CU292">
        <v>2</v>
      </c>
      <c r="CV292">
        <v>2</v>
      </c>
    </row>
    <row r="293" spans="1:100">
      <c r="BM293" s="177">
        <v>60</v>
      </c>
      <c r="CT293">
        <v>1</v>
      </c>
      <c r="CU293">
        <v>2</v>
      </c>
      <c r="CV293">
        <v>2</v>
      </c>
    </row>
    <row r="294" spans="1:100">
      <c r="A294" s="431"/>
      <c r="B294" s="431"/>
      <c r="C294" s="431"/>
      <c r="D294" s="431"/>
      <c r="E294" s="431"/>
      <c r="F294" s="431"/>
      <c r="G294" s="431"/>
      <c r="H294" s="431"/>
      <c r="I294" s="431"/>
      <c r="J294" s="431"/>
      <c r="K294" s="431"/>
      <c r="L294" s="431"/>
      <c r="M294" s="431"/>
      <c r="N294" s="431"/>
      <c r="O294" s="431"/>
      <c r="P294" s="431"/>
      <c r="Q294" s="431"/>
      <c r="R294" s="431"/>
      <c r="S294" s="431"/>
      <c r="T294" s="431"/>
      <c r="U294" s="431"/>
      <c r="V294" s="431"/>
      <c r="W294" s="431"/>
      <c r="X294" s="431"/>
      <c r="Y294" s="431"/>
      <c r="Z294" s="412"/>
      <c r="AA294" s="431"/>
      <c r="AB294" s="431"/>
      <c r="AC294" s="431"/>
      <c r="AD294" s="431"/>
      <c r="AE294" s="431"/>
      <c r="AF294" s="412"/>
      <c r="BM294" s="177"/>
      <c r="CU294">
        <v>2</v>
      </c>
      <c r="CV294">
        <v>2</v>
      </c>
    </row>
    <row r="295" spans="1:100">
      <c r="A295" s="431"/>
      <c r="B295" s="431"/>
      <c r="C295" s="431"/>
      <c r="D295" s="431"/>
      <c r="E295" s="431"/>
      <c r="F295" s="431"/>
      <c r="G295" s="431"/>
      <c r="H295" s="431"/>
      <c r="I295" s="431"/>
      <c r="J295" s="431"/>
      <c r="K295" s="431"/>
      <c r="L295" s="431"/>
      <c r="M295" s="431"/>
      <c r="N295" s="431"/>
      <c r="O295" s="431"/>
      <c r="P295" s="431"/>
      <c r="Q295" s="431"/>
      <c r="R295" s="431"/>
      <c r="S295" s="431"/>
      <c r="T295" s="438"/>
      <c r="U295" s="431"/>
      <c r="V295" s="431"/>
      <c r="W295" s="431"/>
      <c r="X295" s="431"/>
      <c r="Y295" s="431"/>
      <c r="Z295" s="431"/>
      <c r="AA295" s="431"/>
      <c r="AB295" s="431"/>
      <c r="AC295" s="431"/>
      <c r="AD295" s="431"/>
      <c r="AE295" s="431"/>
      <c r="AF295" s="412"/>
      <c r="BM295" s="177"/>
      <c r="CU295">
        <v>2</v>
      </c>
      <c r="CV295">
        <v>2</v>
      </c>
    </row>
    <row r="296" spans="1:100">
      <c r="BM296" s="177"/>
      <c r="CT296">
        <v>1</v>
      </c>
      <c r="CU296">
        <v>2</v>
      </c>
      <c r="CV296">
        <v>2</v>
      </c>
    </row>
    <row r="297" spans="1:100">
      <c r="BM297" s="177"/>
      <c r="CT297">
        <v>1</v>
      </c>
      <c r="CU297">
        <v>2</v>
      </c>
      <c r="CV297">
        <v>2</v>
      </c>
    </row>
    <row r="298" spans="1:100">
      <c r="BM298" s="177">
        <v>2</v>
      </c>
      <c r="CT298">
        <v>1</v>
      </c>
      <c r="CU298">
        <v>2</v>
      </c>
      <c r="CV298">
        <v>2</v>
      </c>
    </row>
    <row r="299" spans="1:100">
      <c r="BM299" s="177"/>
      <c r="CT299">
        <v>1</v>
      </c>
      <c r="CU299">
        <v>2</v>
      </c>
      <c r="CV299">
        <v>2</v>
      </c>
    </row>
    <row r="300" spans="1:100">
      <c r="BM300" s="177"/>
      <c r="CT300">
        <v>1</v>
      </c>
      <c r="CU300">
        <v>2</v>
      </c>
      <c r="CV300">
        <v>2</v>
      </c>
    </row>
    <row r="301" spans="1:100">
      <c r="A301" s="431"/>
      <c r="B301" s="431"/>
      <c r="C301" s="431"/>
      <c r="D301" s="431"/>
      <c r="E301" s="431"/>
      <c r="F301" s="431"/>
      <c r="G301" s="431"/>
      <c r="H301" s="431"/>
      <c r="I301" s="431"/>
      <c r="J301" s="431"/>
      <c r="K301" s="431"/>
      <c r="L301" s="431"/>
      <c r="M301" s="431"/>
      <c r="N301" s="431"/>
      <c r="O301" s="431"/>
      <c r="P301" s="431"/>
      <c r="Q301" s="431"/>
      <c r="R301" s="431"/>
      <c r="S301" s="431"/>
      <c r="T301" s="431"/>
      <c r="U301" s="431"/>
      <c r="V301" s="431"/>
      <c r="W301" s="431"/>
      <c r="X301" s="431"/>
      <c r="Y301" s="431"/>
      <c r="Z301" s="431"/>
      <c r="AA301" s="431"/>
      <c r="AB301" s="431"/>
      <c r="AC301" s="431"/>
      <c r="AD301" s="431"/>
      <c r="AE301" s="431"/>
      <c r="AF301" s="431"/>
      <c r="BM301" s="177"/>
      <c r="CU301">
        <v>2</v>
      </c>
      <c r="CV301">
        <v>2</v>
      </c>
    </row>
    <row r="302" spans="1:100">
      <c r="A302" s="431"/>
      <c r="B302" s="431"/>
      <c r="C302" s="431"/>
      <c r="D302" s="431"/>
      <c r="E302" s="431"/>
      <c r="F302" s="431"/>
      <c r="G302" s="431"/>
      <c r="H302" s="431"/>
      <c r="I302" s="431"/>
      <c r="J302" s="431"/>
      <c r="K302" s="431"/>
      <c r="L302" s="412"/>
      <c r="M302" s="431"/>
      <c r="N302" s="431"/>
      <c r="O302" s="431"/>
      <c r="P302" s="431"/>
      <c r="Q302" s="431"/>
      <c r="R302" s="431"/>
      <c r="S302" s="431"/>
      <c r="T302" s="431"/>
      <c r="U302" s="431"/>
      <c r="V302" s="431"/>
      <c r="W302" s="431"/>
      <c r="X302" s="431"/>
      <c r="Y302" s="431"/>
      <c r="Z302" s="431"/>
      <c r="AA302" s="431"/>
      <c r="AB302" s="431"/>
      <c r="AC302" s="431"/>
      <c r="AD302" s="431"/>
      <c r="AE302" s="431"/>
      <c r="AF302" s="412"/>
      <c r="BM302" s="177"/>
      <c r="CU302">
        <v>2</v>
      </c>
      <c r="CV302">
        <v>2</v>
      </c>
    </row>
    <row r="303" spans="1:100">
      <c r="A303" s="431"/>
      <c r="B303" s="431"/>
      <c r="C303" s="431"/>
      <c r="D303" s="431"/>
      <c r="E303" s="431"/>
      <c r="F303" s="431"/>
      <c r="G303" s="431"/>
      <c r="H303" s="431"/>
      <c r="I303" s="431"/>
      <c r="J303" s="431"/>
      <c r="K303" s="431"/>
      <c r="L303" s="431"/>
      <c r="M303" s="431"/>
      <c r="N303" s="431"/>
      <c r="O303" s="431"/>
      <c r="P303" s="431"/>
      <c r="Q303" s="431"/>
      <c r="R303" s="431"/>
      <c r="S303" s="431"/>
      <c r="T303" s="431"/>
      <c r="U303" s="431"/>
      <c r="V303" s="431"/>
      <c r="W303" s="431"/>
      <c r="X303" s="431"/>
      <c r="Y303" s="438"/>
      <c r="Z303" s="431"/>
      <c r="AA303" s="431"/>
      <c r="AB303" s="431"/>
      <c r="AC303" s="431"/>
      <c r="AD303" s="431"/>
      <c r="AE303" s="431"/>
      <c r="AF303" s="412"/>
      <c r="BM303" s="177"/>
      <c r="CU303">
        <v>2</v>
      </c>
      <c r="CV303">
        <v>2</v>
      </c>
    </row>
    <row r="304" spans="1:100">
      <c r="BM304" s="177"/>
      <c r="CT304">
        <v>1</v>
      </c>
      <c r="CU304">
        <v>2</v>
      </c>
      <c r="CV304">
        <v>2</v>
      </c>
    </row>
    <row r="305" spans="1:100">
      <c r="A305" s="431"/>
      <c r="B305" s="431"/>
      <c r="C305" s="431"/>
      <c r="D305" s="438"/>
      <c r="E305" s="431"/>
      <c r="F305" s="431"/>
      <c r="G305" s="431"/>
      <c r="H305" s="431"/>
      <c r="I305" s="431"/>
      <c r="J305" s="431"/>
      <c r="K305" s="431"/>
      <c r="L305" s="431"/>
      <c r="M305" s="431"/>
      <c r="N305" s="431"/>
      <c r="O305" s="431"/>
      <c r="P305" s="431"/>
      <c r="Q305" s="431"/>
      <c r="R305" s="431"/>
      <c r="S305" s="431"/>
      <c r="T305" s="431"/>
      <c r="U305" s="431"/>
      <c r="V305" s="431"/>
      <c r="W305" s="431"/>
      <c r="X305" s="431"/>
      <c r="Y305" s="431"/>
      <c r="Z305" s="431"/>
      <c r="AA305" s="431"/>
      <c r="AB305" s="431"/>
      <c r="AC305" s="431"/>
      <c r="AD305" s="431"/>
      <c r="AE305" s="431"/>
      <c r="AF305" s="431"/>
      <c r="BM305" s="177"/>
      <c r="CU305">
        <v>2</v>
      </c>
      <c r="CV305">
        <v>2</v>
      </c>
    </row>
    <row r="306" spans="1:100">
      <c r="BM306" s="177"/>
      <c r="CT306">
        <v>1</v>
      </c>
      <c r="CU306">
        <v>2</v>
      </c>
      <c r="CV306">
        <v>2</v>
      </c>
    </row>
    <row r="307" spans="1:100">
      <c r="BM307" s="177"/>
      <c r="CT307">
        <v>1</v>
      </c>
      <c r="CU307">
        <v>2</v>
      </c>
      <c r="CV307">
        <v>2</v>
      </c>
    </row>
    <row r="308" spans="1:100">
      <c r="A308" s="431"/>
      <c r="B308" s="431"/>
      <c r="C308" s="431"/>
      <c r="D308" s="431"/>
      <c r="E308" s="431"/>
      <c r="F308" s="431"/>
      <c r="G308" s="431"/>
      <c r="H308" s="431"/>
      <c r="I308" s="431"/>
      <c r="J308" s="431"/>
      <c r="K308" s="431"/>
      <c r="L308" s="431"/>
      <c r="M308" s="431"/>
      <c r="N308" s="431"/>
      <c r="O308" s="431"/>
      <c r="P308" s="431"/>
      <c r="Q308" s="431"/>
      <c r="R308" s="431"/>
      <c r="S308" s="431"/>
      <c r="T308" s="412"/>
      <c r="U308" s="431"/>
      <c r="V308" s="431"/>
      <c r="W308" s="431"/>
      <c r="X308" s="431"/>
      <c r="Y308" s="431"/>
      <c r="Z308" s="431"/>
      <c r="AA308" s="431"/>
      <c r="AB308" s="431"/>
      <c r="AC308" s="431"/>
      <c r="AD308" s="431"/>
      <c r="AE308" s="431"/>
      <c r="AF308" s="412"/>
      <c r="BM308" s="177"/>
      <c r="CU308">
        <v>2</v>
      </c>
      <c r="CV308">
        <v>2</v>
      </c>
    </row>
    <row r="309" spans="1:100">
      <c r="BM309" s="177"/>
      <c r="CT309">
        <v>1</v>
      </c>
      <c r="CU309">
        <v>2</v>
      </c>
      <c r="CV309">
        <v>2</v>
      </c>
    </row>
    <row r="310" spans="1:100">
      <c r="BM310" s="177"/>
      <c r="CT310">
        <v>1</v>
      </c>
      <c r="CU310">
        <v>2</v>
      </c>
      <c r="CV310">
        <v>2</v>
      </c>
    </row>
    <row r="311" spans="1:100">
      <c r="BM311" s="177"/>
      <c r="CT311">
        <v>1</v>
      </c>
      <c r="CU311">
        <v>2</v>
      </c>
      <c r="CV311">
        <v>2</v>
      </c>
    </row>
    <row r="312" spans="1:100">
      <c r="BM312" s="177"/>
      <c r="CT312">
        <v>1</v>
      </c>
      <c r="CU312">
        <v>2</v>
      </c>
      <c r="CV312">
        <v>2</v>
      </c>
    </row>
    <row r="313" spans="1:100">
      <c r="BM313" s="177"/>
      <c r="CT313">
        <v>1</v>
      </c>
      <c r="CU313">
        <v>2</v>
      </c>
      <c r="CV313">
        <v>2</v>
      </c>
    </row>
    <row r="314" spans="1:100">
      <c r="A314" s="431"/>
      <c r="B314" s="431"/>
      <c r="C314" s="431"/>
      <c r="D314" s="431"/>
      <c r="E314" s="431"/>
      <c r="F314" s="431"/>
      <c r="G314" s="431"/>
      <c r="H314" s="431"/>
      <c r="I314" s="431"/>
      <c r="J314" s="431"/>
      <c r="K314" s="431"/>
      <c r="L314" s="438"/>
      <c r="M314" s="431"/>
      <c r="N314" s="431"/>
      <c r="O314" s="431"/>
      <c r="P314" s="431"/>
      <c r="Q314" s="431"/>
      <c r="R314" s="431"/>
      <c r="S314" s="431"/>
      <c r="T314" s="431"/>
      <c r="U314" s="431"/>
      <c r="V314" s="431"/>
      <c r="W314" s="431"/>
      <c r="X314" s="431"/>
      <c r="Y314" s="431"/>
      <c r="Z314" s="431"/>
      <c r="AA314" s="431"/>
      <c r="AB314" s="431"/>
      <c r="AC314" s="431"/>
      <c r="AD314" s="431"/>
      <c r="AE314" s="431"/>
      <c r="AF314" s="431"/>
      <c r="BM314" s="177"/>
      <c r="CU314">
        <v>2</v>
      </c>
      <c r="CV314">
        <v>2</v>
      </c>
    </row>
    <row r="315" spans="1:100">
      <c r="A315" s="431"/>
      <c r="B315" s="431"/>
      <c r="C315" s="412"/>
      <c r="D315" s="431"/>
      <c r="E315" s="431"/>
      <c r="F315" s="431"/>
      <c r="G315" s="431"/>
      <c r="H315" s="431"/>
      <c r="I315" s="431"/>
      <c r="J315" s="431"/>
      <c r="K315" s="431"/>
      <c r="L315" s="431"/>
      <c r="M315" s="431"/>
      <c r="N315" s="431"/>
      <c r="O315" s="431"/>
      <c r="P315" s="431"/>
      <c r="Q315" s="431"/>
      <c r="R315" s="431"/>
      <c r="S315" s="431"/>
      <c r="T315" s="431"/>
      <c r="U315" s="431"/>
      <c r="V315" s="431"/>
      <c r="W315" s="431"/>
      <c r="X315" s="431"/>
      <c r="Y315" s="431"/>
      <c r="Z315" s="431"/>
      <c r="AA315" s="431"/>
      <c r="AB315" s="431"/>
      <c r="AC315" s="431"/>
      <c r="AD315" s="431"/>
      <c r="AE315" s="431"/>
      <c r="AF315" s="412"/>
      <c r="BM315" s="177"/>
      <c r="CU315">
        <v>2</v>
      </c>
      <c r="CV315">
        <v>2</v>
      </c>
    </row>
    <row r="316" spans="1:100">
      <c r="A316" s="431"/>
      <c r="B316" s="431"/>
      <c r="C316" s="431"/>
      <c r="D316" s="431"/>
      <c r="E316" s="431"/>
      <c r="F316" s="431"/>
      <c r="G316" s="431"/>
      <c r="H316" s="431"/>
      <c r="I316" s="431"/>
      <c r="J316" s="431"/>
      <c r="K316" s="431"/>
      <c r="L316" s="431"/>
      <c r="M316" s="431"/>
      <c r="N316" s="431"/>
      <c r="O316" s="431"/>
      <c r="P316" s="431"/>
      <c r="Q316" s="431"/>
      <c r="R316" s="431"/>
      <c r="S316" s="431"/>
      <c r="T316" s="431"/>
      <c r="U316" s="431"/>
      <c r="V316" s="431"/>
      <c r="W316" s="431"/>
      <c r="X316" s="431"/>
      <c r="Y316" s="431"/>
      <c r="Z316" s="431"/>
      <c r="AA316" s="431"/>
      <c r="AB316" s="412"/>
      <c r="AC316" s="431"/>
      <c r="AD316" s="431"/>
      <c r="AE316" s="431"/>
      <c r="AF316" s="412"/>
      <c r="BM316" s="177"/>
      <c r="CU316">
        <v>2</v>
      </c>
      <c r="CV316">
        <v>2</v>
      </c>
    </row>
    <row r="317" spans="1:100">
      <c r="BM317" s="177"/>
      <c r="CT317">
        <v>1</v>
      </c>
      <c r="CU317">
        <v>2</v>
      </c>
      <c r="CV317">
        <v>2</v>
      </c>
    </row>
    <row r="318" spans="1:100">
      <c r="BM318" s="177"/>
      <c r="CT318">
        <v>1</v>
      </c>
      <c r="CU318">
        <v>2</v>
      </c>
      <c r="CV318">
        <v>2</v>
      </c>
    </row>
    <row r="319" spans="1:100">
      <c r="BM319" s="177"/>
      <c r="CT319">
        <v>1</v>
      </c>
      <c r="CU319">
        <v>2</v>
      </c>
      <c r="CV319">
        <v>2</v>
      </c>
    </row>
    <row r="320" spans="1:100">
      <c r="AG320" s="582"/>
      <c r="AH320" s="582"/>
      <c r="AI320" s="582"/>
      <c r="AJ320" s="582"/>
      <c r="AK320" s="582"/>
      <c r="AL320" s="582"/>
      <c r="AM320" s="582"/>
      <c r="AN320" s="582"/>
      <c r="AO320" s="582"/>
      <c r="AP320" s="582"/>
      <c r="AQ320" s="582"/>
      <c r="AR320" s="582"/>
      <c r="AS320" s="582"/>
      <c r="AT320" s="582"/>
      <c r="AU320" s="582"/>
      <c r="AV320" s="582"/>
      <c r="AW320" s="582"/>
      <c r="AX320" s="582"/>
      <c r="AY320" s="582"/>
      <c r="AZ320" s="582"/>
      <c r="BA320" s="582"/>
      <c r="BB320" s="582"/>
      <c r="BC320" s="582"/>
      <c r="BD320" s="582"/>
      <c r="BE320" s="582"/>
      <c r="BF320" s="582"/>
      <c r="BG320" s="582"/>
      <c r="BH320" s="582"/>
      <c r="BI320" s="582"/>
      <c r="BJ320" s="582"/>
      <c r="BK320" s="582"/>
      <c r="BL320" s="411"/>
      <c r="BM320" s="74"/>
      <c r="BN320" s="582"/>
      <c r="BO320" s="582"/>
      <c r="BP320" s="582"/>
      <c r="BQ320" s="582"/>
      <c r="BR320" s="582"/>
      <c r="BS320" s="582"/>
      <c r="BT320" s="582"/>
      <c r="BU320" s="582"/>
      <c r="BV320" s="582"/>
      <c r="BW320" s="582"/>
      <c r="BX320" s="582"/>
      <c r="BY320" s="582"/>
      <c r="BZ320" s="582"/>
      <c r="CA320" s="582"/>
      <c r="CB320" s="582"/>
      <c r="CC320" s="582"/>
      <c r="CD320" s="582"/>
      <c r="CE320" s="582"/>
      <c r="CF320" s="582"/>
      <c r="CG320" s="582"/>
      <c r="CH320" s="582"/>
      <c r="CI320" s="582"/>
      <c r="CJ320" s="582"/>
      <c r="CK320" s="582"/>
      <c r="CL320" s="582"/>
      <c r="CM320" s="582"/>
      <c r="CN320" s="582"/>
      <c r="CO320" s="582"/>
      <c r="CP320" s="582"/>
      <c r="CQ320" s="582"/>
      <c r="CR320" s="582"/>
      <c r="CS320" s="411"/>
      <c r="CT320">
        <v>1</v>
      </c>
    </row>
    <row r="321" spans="1:66">
      <c r="A321" s="439"/>
      <c r="B321" s="439"/>
      <c r="C321" s="439"/>
      <c r="D321" s="439"/>
      <c r="E321" s="439"/>
      <c r="F321" s="439"/>
      <c r="G321" s="439"/>
      <c r="H321" s="439"/>
      <c r="I321" s="439"/>
      <c r="J321" s="439"/>
      <c r="K321" s="439"/>
      <c r="L321" s="439"/>
      <c r="M321" s="439"/>
      <c r="N321" s="439"/>
      <c r="O321" s="452"/>
      <c r="P321" s="432"/>
      <c r="Q321" s="439"/>
      <c r="R321" s="439"/>
      <c r="S321" s="439"/>
      <c r="T321" s="439"/>
      <c r="U321" s="439"/>
      <c r="V321" s="439"/>
      <c r="W321" s="439"/>
      <c r="X321" s="439"/>
      <c r="Y321" s="439"/>
      <c r="Z321" s="439"/>
      <c r="AA321" s="439"/>
      <c r="AB321" s="439"/>
      <c r="AC321" s="452"/>
      <c r="AD321" s="439"/>
      <c r="AE321" s="439"/>
      <c r="AF321" s="439"/>
      <c r="AG321" s="411"/>
      <c r="AH321" s="411"/>
      <c r="AI321" s="411"/>
      <c r="AJ321" s="411"/>
      <c r="AK321" s="452"/>
      <c r="AL321" s="439"/>
      <c r="AM321" s="432"/>
      <c r="AN321" s="452"/>
      <c r="AO321" s="439"/>
      <c r="AP321" s="432"/>
      <c r="AQ321" s="411"/>
      <c r="AR321" s="411"/>
      <c r="AS321" s="411"/>
      <c r="AT321" s="411"/>
      <c r="AU321" s="411"/>
      <c r="AV321" s="452"/>
      <c r="AW321" s="439"/>
      <c r="AX321" s="411"/>
      <c r="AY321" s="411"/>
      <c r="AZ321" s="411"/>
      <c r="BA321" s="411"/>
      <c r="BB321" s="411"/>
      <c r="BC321" s="411"/>
      <c r="BD321" s="411"/>
      <c r="BE321" s="411"/>
      <c r="BF321" s="411"/>
      <c r="BG321" s="411"/>
      <c r="BH321" s="411"/>
      <c r="BI321" s="411"/>
      <c r="BJ321" s="411"/>
      <c r="BK321" s="411"/>
      <c r="BL321" s="411"/>
      <c r="BM321" s="439">
        <v>11</v>
      </c>
      <c r="BN321" s="92"/>
    </row>
    <row r="322" spans="1:66">
      <c r="A322" s="439"/>
      <c r="B322" s="439"/>
      <c r="C322" s="439"/>
      <c r="D322" s="439"/>
      <c r="E322" s="439"/>
      <c r="F322" s="452"/>
      <c r="G322" s="439"/>
      <c r="H322" s="439"/>
      <c r="I322" s="439"/>
      <c r="J322" s="439"/>
      <c r="K322" s="439"/>
      <c r="L322" s="439"/>
      <c r="M322" s="439"/>
      <c r="N322" s="439"/>
      <c r="O322" s="439"/>
      <c r="P322" s="439"/>
      <c r="Q322" s="439"/>
      <c r="R322" s="439"/>
      <c r="S322" s="439"/>
      <c r="T322" s="439"/>
      <c r="U322" s="439"/>
      <c r="V322" s="439"/>
      <c r="W322" s="439"/>
      <c r="X322" s="439"/>
      <c r="Y322" s="439"/>
      <c r="Z322" s="439"/>
      <c r="AA322" s="439"/>
      <c r="AB322" s="439"/>
      <c r="AC322" s="439"/>
      <c r="AD322" s="439"/>
      <c r="AE322" s="439"/>
      <c r="AF322" s="439"/>
      <c r="AG322" s="411"/>
      <c r="AH322" s="411"/>
      <c r="AI322" s="411"/>
      <c r="AJ322" s="411"/>
      <c r="AK322" s="452"/>
      <c r="AL322" s="439"/>
      <c r="AM322" s="432"/>
      <c r="AN322" s="452"/>
      <c r="AO322" s="439"/>
      <c r="AP322" s="432"/>
      <c r="AQ322" s="411"/>
      <c r="AR322" s="411"/>
      <c r="AS322" s="411"/>
      <c r="AT322" s="411"/>
      <c r="AU322" s="411"/>
      <c r="AV322" s="411"/>
      <c r="AW322" s="411"/>
      <c r="AX322" s="411"/>
      <c r="AY322" s="411"/>
      <c r="AZ322" s="411"/>
      <c r="BA322" s="411"/>
      <c r="BB322" s="411"/>
      <c r="BC322" s="411"/>
      <c r="BD322" s="411"/>
      <c r="BE322" s="411"/>
      <c r="BF322" s="411"/>
      <c r="BG322" s="411"/>
      <c r="BH322" s="439"/>
      <c r="BI322" s="411"/>
      <c r="BJ322" s="411"/>
      <c r="BK322" s="411"/>
      <c r="BL322" s="411"/>
      <c r="BM322" s="411"/>
      <c r="BN322" s="92"/>
    </row>
    <row r="323" spans="1:66">
      <c r="A323" s="439"/>
      <c r="B323" s="439"/>
      <c r="C323" s="439"/>
      <c r="D323" s="439"/>
      <c r="E323" s="452"/>
      <c r="F323" s="439"/>
      <c r="G323" s="439"/>
      <c r="H323" s="439"/>
      <c r="I323" s="439"/>
      <c r="J323" s="439"/>
      <c r="K323" s="439"/>
      <c r="L323" s="439"/>
      <c r="M323" s="439"/>
      <c r="N323" s="439"/>
      <c r="O323" s="439"/>
      <c r="P323" s="439"/>
      <c r="Q323" s="439"/>
      <c r="R323" s="439"/>
      <c r="S323" s="439"/>
      <c r="T323" s="439"/>
      <c r="U323" s="439"/>
      <c r="V323" s="439"/>
      <c r="W323" s="439"/>
      <c r="X323" s="439"/>
      <c r="Y323" s="452"/>
      <c r="Z323" s="439"/>
      <c r="AA323" s="439"/>
      <c r="AB323" s="439"/>
      <c r="AC323" s="439"/>
      <c r="AD323" s="439"/>
      <c r="AE323" s="439"/>
      <c r="AF323" s="439"/>
      <c r="AG323" s="411"/>
      <c r="AH323" s="411"/>
      <c r="AI323" s="411"/>
      <c r="AJ323" s="411"/>
      <c r="AK323" s="452"/>
      <c r="AL323" s="439"/>
      <c r="AM323" s="432"/>
      <c r="AN323" s="452"/>
      <c r="AO323" s="439"/>
      <c r="AP323" s="432"/>
      <c r="AQ323" s="411"/>
      <c r="AR323" s="411"/>
      <c r="AS323" s="411"/>
      <c r="AT323" s="411"/>
      <c r="AU323" s="411"/>
      <c r="AV323" s="411"/>
      <c r="AW323" s="411"/>
      <c r="AX323" s="411"/>
      <c r="AY323" s="411"/>
      <c r="AZ323" s="411"/>
      <c r="BA323" s="411"/>
      <c r="BB323" s="411"/>
      <c r="BC323" s="411"/>
      <c r="BD323" s="411"/>
      <c r="BE323" s="411"/>
      <c r="BF323" s="411"/>
      <c r="BG323" s="439"/>
      <c r="BH323" s="411"/>
      <c r="BI323" s="411"/>
      <c r="BJ323" s="411"/>
      <c r="BK323" s="411"/>
      <c r="BL323" s="411"/>
      <c r="BM323" s="352"/>
      <c r="BN323" s="92"/>
    </row>
    <row r="324" spans="1:66">
      <c r="A324" s="439"/>
      <c r="B324" s="439"/>
      <c r="C324" s="439"/>
      <c r="D324" s="452"/>
      <c r="E324" s="439"/>
      <c r="F324" s="439"/>
      <c r="G324" s="439"/>
      <c r="H324" s="439"/>
      <c r="I324" s="439"/>
      <c r="J324" s="439"/>
      <c r="K324" s="439"/>
      <c r="L324" s="439"/>
      <c r="M324" s="439"/>
      <c r="N324" s="439"/>
      <c r="O324" s="439"/>
      <c r="P324" s="439"/>
      <c r="Q324" s="439"/>
      <c r="R324" s="439"/>
      <c r="S324" s="439"/>
      <c r="T324" s="439"/>
      <c r="U324" s="439"/>
      <c r="V324" s="439"/>
      <c r="W324" s="439"/>
      <c r="X324" s="452"/>
      <c r="Y324" s="439"/>
      <c r="Z324" s="439"/>
      <c r="AA324" s="439"/>
      <c r="AB324" s="439"/>
      <c r="AC324" s="439"/>
      <c r="AD324" s="439"/>
      <c r="AE324" s="439"/>
      <c r="AF324" s="439"/>
      <c r="AG324" s="452"/>
      <c r="AH324" s="452"/>
      <c r="AI324" s="452"/>
      <c r="AJ324" s="452"/>
      <c r="AK324" s="452"/>
      <c r="AL324" s="439"/>
      <c r="AM324" s="432"/>
      <c r="AN324" s="452"/>
      <c r="AO324" s="439"/>
      <c r="AP324" s="432"/>
      <c r="AQ324" s="411"/>
      <c r="AR324" s="411"/>
      <c r="AS324" s="411"/>
      <c r="AT324" s="411"/>
      <c r="AU324" s="411"/>
      <c r="AV324" s="411"/>
      <c r="AW324" s="411"/>
      <c r="AX324" s="411"/>
      <c r="AY324" s="411"/>
      <c r="AZ324" s="411"/>
      <c r="BA324" s="411"/>
      <c r="BB324" s="411"/>
      <c r="BC324" s="411"/>
      <c r="BD324" s="411"/>
      <c r="BE324" s="411"/>
      <c r="BF324" s="439"/>
      <c r="BG324" s="452"/>
      <c r="BH324" s="452"/>
      <c r="BI324" s="452"/>
      <c r="BJ324" s="452"/>
      <c r="BK324" s="452"/>
      <c r="BL324" s="452"/>
      <c r="BM324" s="1"/>
      <c r="BN324" s="92"/>
    </row>
    <row r="325" spans="1:66">
      <c r="A325" s="439"/>
      <c r="B325" s="439"/>
      <c r="C325" s="439"/>
      <c r="D325" s="439"/>
      <c r="E325" s="439"/>
      <c r="F325" s="439"/>
      <c r="G325" s="439"/>
      <c r="H325" s="439"/>
      <c r="I325" s="439"/>
      <c r="J325" s="439"/>
      <c r="K325" s="439"/>
      <c r="L325" s="439"/>
      <c r="M325" s="439"/>
      <c r="N325" s="439"/>
      <c r="O325" s="452"/>
      <c r="P325" s="432"/>
      <c r="Q325" s="439"/>
      <c r="R325" s="439"/>
      <c r="S325" s="439"/>
      <c r="T325" s="439"/>
      <c r="U325" s="439"/>
      <c r="V325" s="439"/>
      <c r="W325" s="452"/>
      <c r="X325" s="439"/>
      <c r="Y325" s="439"/>
      <c r="Z325" s="439"/>
      <c r="AA325" s="439"/>
      <c r="AB325" s="439"/>
      <c r="AC325" s="439"/>
      <c r="AD325" s="439"/>
      <c r="AE325" s="439"/>
      <c r="AF325" s="439"/>
      <c r="AG325" s="439"/>
      <c r="AH325" s="439"/>
      <c r="AI325" s="439"/>
      <c r="AJ325" s="439"/>
      <c r="AK325" s="439"/>
      <c r="AL325" s="439"/>
      <c r="AM325" s="432"/>
      <c r="AN325" s="452"/>
      <c r="AO325" s="439"/>
      <c r="AP325" s="432"/>
      <c r="AQ325" s="411"/>
      <c r="AR325" s="411"/>
      <c r="AS325" s="411"/>
      <c r="AT325" s="411"/>
      <c r="AU325" s="411"/>
      <c r="AV325" s="452"/>
      <c r="AW325" s="439"/>
      <c r="AX325" s="411"/>
      <c r="AY325" s="411"/>
      <c r="AZ325" s="411"/>
      <c r="BA325" s="411"/>
      <c r="BB325" s="411"/>
      <c r="BC325" s="411"/>
      <c r="BD325" s="411"/>
      <c r="BE325" s="439"/>
      <c r="BF325" s="452"/>
      <c r="BG325" s="439"/>
      <c r="BH325" s="439"/>
      <c r="BI325" s="439"/>
      <c r="BJ325" s="439"/>
      <c r="BK325" s="439"/>
      <c r="BL325" s="439"/>
      <c r="BM325" s="1"/>
      <c r="BN325" s="92"/>
    </row>
    <row r="326" spans="1:66">
      <c r="A326" s="439"/>
      <c r="B326" s="439"/>
      <c r="C326" s="439"/>
      <c r="D326" s="439"/>
      <c r="E326" s="439"/>
      <c r="F326" s="439"/>
      <c r="G326" s="439"/>
      <c r="H326" s="439"/>
      <c r="I326" s="439"/>
      <c r="J326" s="439"/>
      <c r="K326" s="439"/>
      <c r="L326" s="439"/>
      <c r="M326" s="439"/>
      <c r="N326" s="439"/>
      <c r="O326" s="439"/>
      <c r="P326" s="439"/>
      <c r="Q326" s="439"/>
      <c r="R326" s="439"/>
      <c r="S326" s="439"/>
      <c r="T326" s="439"/>
      <c r="U326" s="439"/>
      <c r="V326" s="452"/>
      <c r="W326" s="439"/>
      <c r="X326" s="439"/>
      <c r="Y326" s="439"/>
      <c r="Z326" s="439"/>
      <c r="AA326" s="439"/>
      <c r="AB326" s="439"/>
      <c r="AC326" s="439"/>
      <c r="AD326" s="439"/>
      <c r="AE326" s="439"/>
      <c r="AF326" s="439"/>
      <c r="AG326" s="432"/>
      <c r="AH326" s="432"/>
      <c r="AI326" s="432"/>
      <c r="AJ326" s="432"/>
      <c r="AK326" s="432"/>
      <c r="AL326" s="432"/>
      <c r="AM326" s="439"/>
      <c r="AN326" s="452"/>
      <c r="AO326" s="439"/>
      <c r="AP326" s="432"/>
      <c r="AQ326" s="411"/>
      <c r="AR326" s="411"/>
      <c r="AS326" s="411"/>
      <c r="AT326" s="411"/>
      <c r="AU326" s="411"/>
      <c r="AV326" s="411"/>
      <c r="AW326" s="411"/>
      <c r="AX326" s="411"/>
      <c r="AY326" s="411"/>
      <c r="AZ326" s="411"/>
      <c r="BA326" s="411"/>
      <c r="BB326" s="411"/>
      <c r="BC326" s="411"/>
      <c r="BD326" s="411"/>
      <c r="BE326" s="452"/>
      <c r="BF326" s="439"/>
      <c r="BG326" s="432"/>
      <c r="BH326" s="432"/>
      <c r="BI326" s="432"/>
      <c r="BJ326" s="432"/>
      <c r="BK326" s="432"/>
      <c r="BL326" s="432"/>
      <c r="BM326" s="1">
        <v>4</v>
      </c>
      <c r="BN326" s="92"/>
    </row>
    <row r="327" spans="1:66">
      <c r="A327" s="439"/>
      <c r="B327" s="439"/>
      <c r="C327" s="439"/>
      <c r="D327" s="439"/>
      <c r="E327" s="439"/>
      <c r="F327" s="439"/>
      <c r="G327" s="439"/>
      <c r="H327" s="439"/>
      <c r="I327" s="439"/>
      <c r="J327" s="439"/>
      <c r="K327" s="439"/>
      <c r="L327" s="439"/>
      <c r="M327" s="452"/>
      <c r="N327" s="439"/>
      <c r="O327" s="439"/>
      <c r="P327" s="439"/>
      <c r="Q327" s="439"/>
      <c r="R327" s="439"/>
      <c r="S327" s="439"/>
      <c r="T327" s="439"/>
      <c r="U327" s="439"/>
      <c r="V327" s="439"/>
      <c r="W327" s="439"/>
      <c r="X327" s="439"/>
      <c r="Y327" s="439"/>
      <c r="Z327" s="439"/>
      <c r="AA327" s="439"/>
      <c r="AB327" s="439"/>
      <c r="AC327" s="439"/>
      <c r="AD327" s="439"/>
      <c r="AE327" s="439"/>
      <c r="AF327" s="439"/>
      <c r="AG327" s="452"/>
      <c r="AH327" s="452"/>
      <c r="AI327" s="452"/>
      <c r="AJ327" s="452"/>
      <c r="AK327" s="452"/>
      <c r="AL327" s="452"/>
      <c r="AM327" s="452"/>
      <c r="AN327" s="411"/>
      <c r="AO327" s="439"/>
      <c r="AP327" s="432"/>
      <c r="AQ327" s="411"/>
      <c r="AR327" s="411"/>
      <c r="AS327" s="411"/>
      <c r="AT327" s="411"/>
      <c r="AU327" s="411"/>
      <c r="AV327" s="411"/>
      <c r="AW327" s="411"/>
      <c r="AX327" s="411"/>
      <c r="AY327" s="411"/>
      <c r="AZ327" s="411"/>
      <c r="BA327" s="411"/>
      <c r="BB327" s="411"/>
      <c r="BC327" s="411"/>
      <c r="BD327" s="452"/>
      <c r="BE327" s="439"/>
      <c r="BF327" s="432"/>
      <c r="BG327" s="452"/>
      <c r="BH327" s="452"/>
      <c r="BI327" s="452"/>
      <c r="BJ327" s="452"/>
      <c r="BK327" s="452"/>
      <c r="BL327" s="452"/>
      <c r="BM327" s="1"/>
      <c r="BN327" s="92"/>
    </row>
    <row r="328" spans="1:66">
      <c r="A328" s="439"/>
      <c r="B328" s="439"/>
      <c r="C328" s="439"/>
      <c r="D328" s="439"/>
      <c r="E328" s="439"/>
      <c r="F328" s="439"/>
      <c r="G328" s="439"/>
      <c r="H328" s="439"/>
      <c r="I328" s="439"/>
      <c r="J328" s="439"/>
      <c r="K328" s="439"/>
      <c r="L328" s="452"/>
      <c r="M328" s="439"/>
      <c r="N328" s="439"/>
      <c r="O328" s="439"/>
      <c r="P328" s="439"/>
      <c r="Q328" s="439"/>
      <c r="R328" s="439"/>
      <c r="S328" s="439"/>
      <c r="T328" s="439"/>
      <c r="U328" s="439"/>
      <c r="V328" s="439"/>
      <c r="W328" s="439"/>
      <c r="X328" s="439"/>
      <c r="Y328" s="439"/>
      <c r="Z328" s="439"/>
      <c r="AA328" s="439"/>
      <c r="AB328" s="439"/>
      <c r="AC328" s="439"/>
      <c r="AD328" s="439"/>
      <c r="AE328" s="439"/>
      <c r="AF328" s="439"/>
      <c r="AG328" s="439"/>
      <c r="AH328" s="439"/>
      <c r="AI328" s="439"/>
      <c r="AJ328" s="439"/>
      <c r="AK328" s="439"/>
      <c r="AL328" s="439"/>
      <c r="AM328" s="439"/>
      <c r="AN328" s="439"/>
      <c r="AO328" s="432"/>
      <c r="AP328" s="411"/>
      <c r="AQ328" s="411"/>
      <c r="AR328" s="411"/>
      <c r="AS328" s="411"/>
      <c r="AT328" s="411"/>
      <c r="AU328" s="411"/>
      <c r="AV328" s="411"/>
      <c r="AW328" s="411"/>
      <c r="AX328" s="411"/>
      <c r="AY328" s="411"/>
      <c r="AZ328" s="411"/>
      <c r="BA328" s="411"/>
      <c r="BB328" s="411"/>
      <c r="BC328" s="452"/>
      <c r="BD328" s="439"/>
      <c r="BE328" s="432"/>
      <c r="BF328" s="452"/>
      <c r="BG328" s="439"/>
      <c r="BH328" s="439"/>
      <c r="BI328" s="439"/>
      <c r="BJ328" s="439"/>
      <c r="BK328" s="439"/>
      <c r="BL328" s="439"/>
      <c r="BM328" s="1"/>
      <c r="BN328" s="92"/>
    </row>
    <row r="329" spans="1:66">
      <c r="A329" s="439"/>
      <c r="B329" s="439"/>
      <c r="C329" s="439"/>
      <c r="D329" s="439"/>
      <c r="E329" s="439"/>
      <c r="F329" s="439"/>
      <c r="G329" s="439"/>
      <c r="H329" s="439"/>
      <c r="I329" s="439"/>
      <c r="J329" s="439"/>
      <c r="K329" s="452"/>
      <c r="L329" s="439"/>
      <c r="M329" s="439"/>
      <c r="N329" s="439"/>
      <c r="O329" s="452"/>
      <c r="P329" s="432"/>
      <c r="Q329" s="439"/>
      <c r="R329" s="439"/>
      <c r="S329" s="439"/>
      <c r="T329" s="439"/>
      <c r="U329" s="439"/>
      <c r="V329" s="439"/>
      <c r="W329" s="439"/>
      <c r="X329" s="439"/>
      <c r="Y329" s="439"/>
      <c r="Z329" s="439"/>
      <c r="AA329" s="439"/>
      <c r="AB329" s="439"/>
      <c r="AC329" s="439"/>
      <c r="AD329" s="439"/>
      <c r="AE329" s="439"/>
      <c r="AF329" s="439"/>
      <c r="AG329" s="432"/>
      <c r="AH329" s="432"/>
      <c r="AI329" s="432"/>
      <c r="AJ329" s="432"/>
      <c r="AK329" s="432"/>
      <c r="AL329" s="432"/>
      <c r="AM329" s="432"/>
      <c r="AN329" s="432"/>
      <c r="AO329" s="411"/>
      <c r="AP329" s="411"/>
      <c r="AQ329" s="411"/>
      <c r="AR329" s="411"/>
      <c r="AS329" s="411"/>
      <c r="AT329" s="411"/>
      <c r="AU329" s="411"/>
      <c r="AV329" s="452"/>
      <c r="AW329" s="439"/>
      <c r="AX329" s="411"/>
      <c r="AY329" s="411"/>
      <c r="AZ329" s="411"/>
      <c r="BA329" s="411"/>
      <c r="BB329" s="452"/>
      <c r="BC329" s="439"/>
      <c r="BD329" s="432"/>
      <c r="BE329" s="452"/>
      <c r="BF329" s="439"/>
      <c r="BG329" s="432"/>
      <c r="BH329" s="432"/>
      <c r="BI329" s="432"/>
      <c r="BJ329" s="432"/>
      <c r="BK329" s="432"/>
      <c r="BL329" s="432"/>
      <c r="BM329" s="1"/>
      <c r="BN329" s="92"/>
    </row>
    <row r="330" spans="1:66">
      <c r="A330" s="439"/>
      <c r="B330" s="439"/>
      <c r="C330" s="439"/>
      <c r="D330" s="439"/>
      <c r="E330" s="439"/>
      <c r="F330" s="439"/>
      <c r="G330" s="439"/>
      <c r="H330" s="439"/>
      <c r="I330" s="439"/>
      <c r="J330" s="439"/>
      <c r="K330" s="439"/>
      <c r="L330" s="439"/>
      <c r="M330" s="439"/>
      <c r="N330" s="439"/>
      <c r="O330" s="439"/>
      <c r="P330" s="439"/>
      <c r="Q330" s="439"/>
      <c r="R330" s="439"/>
      <c r="S330" s="439"/>
      <c r="T330" s="439"/>
      <c r="U330" s="439"/>
      <c r="V330" s="439"/>
      <c r="W330" s="439"/>
      <c r="X330" s="439"/>
      <c r="Y330" s="439"/>
      <c r="Z330" s="439"/>
      <c r="AA330" s="439"/>
      <c r="AB330" s="439"/>
      <c r="AC330" s="439"/>
      <c r="AD330" s="439"/>
      <c r="AE330" s="439"/>
      <c r="AF330" s="439"/>
      <c r="AG330" s="411"/>
      <c r="AH330" s="411"/>
      <c r="AI330" s="411"/>
      <c r="AJ330" s="411"/>
      <c r="AK330" s="411"/>
      <c r="AL330" s="411"/>
      <c r="AM330" s="411"/>
      <c r="AN330" s="411"/>
      <c r="AO330" s="411"/>
      <c r="AP330" s="411"/>
      <c r="AQ330" s="411"/>
      <c r="AR330" s="411"/>
      <c r="AS330" s="411"/>
      <c r="AT330" s="411"/>
      <c r="AU330" s="411"/>
      <c r="AV330" s="411"/>
      <c r="AW330" s="411"/>
      <c r="AX330" s="411"/>
      <c r="AY330" s="411"/>
      <c r="AZ330" s="411"/>
      <c r="BA330" s="452"/>
      <c r="BB330" s="439"/>
      <c r="BC330" s="432"/>
      <c r="BD330" s="452"/>
      <c r="BE330" s="439"/>
      <c r="BF330" s="432"/>
      <c r="BG330" s="411"/>
      <c r="BH330" s="439"/>
      <c r="BI330" s="411"/>
      <c r="BJ330" s="411"/>
      <c r="BK330" s="411"/>
      <c r="BL330" s="411"/>
      <c r="BM330" s="1"/>
      <c r="BN330" s="92"/>
    </row>
    <row r="331" spans="1:66">
      <c r="A331" s="439"/>
      <c r="B331" s="439"/>
      <c r="C331" s="439"/>
      <c r="D331" s="439"/>
      <c r="E331" s="439"/>
      <c r="F331" s="439"/>
      <c r="G331" s="439"/>
      <c r="H331" s="439"/>
      <c r="I331" s="452"/>
      <c r="J331" s="439"/>
      <c r="K331" s="439"/>
      <c r="L331" s="439"/>
      <c r="M331" s="439"/>
      <c r="N331" s="439"/>
      <c r="O331" s="439"/>
      <c r="P331" s="439"/>
      <c r="Q331" s="439"/>
      <c r="R331" s="439"/>
      <c r="S331" s="439"/>
      <c r="T331" s="439"/>
      <c r="U331" s="439"/>
      <c r="V331" s="439"/>
      <c r="W331" s="439"/>
      <c r="X331" s="439"/>
      <c r="Y331" s="439"/>
      <c r="Z331" s="439"/>
      <c r="AA331" s="439"/>
      <c r="AB331" s="439"/>
      <c r="AC331" s="439"/>
      <c r="AD331" s="439"/>
      <c r="AE331" s="439"/>
      <c r="AF331" s="439"/>
      <c r="AG331" s="411"/>
      <c r="AH331" s="411"/>
      <c r="AI331" s="411"/>
      <c r="AJ331" s="411"/>
      <c r="AK331" s="411"/>
      <c r="AL331" s="411"/>
      <c r="AM331" s="411"/>
      <c r="AN331" s="411"/>
      <c r="AO331" s="411"/>
      <c r="AP331" s="411"/>
      <c r="AQ331" s="411"/>
      <c r="AR331" s="411"/>
      <c r="AS331" s="411"/>
      <c r="AT331" s="411"/>
      <c r="AU331" s="411"/>
      <c r="AV331" s="411"/>
      <c r="AW331" s="411"/>
      <c r="AX331" s="411"/>
      <c r="AY331" s="411"/>
      <c r="AZ331" s="452"/>
      <c r="BA331" s="439"/>
      <c r="BB331" s="432"/>
      <c r="BC331" s="452"/>
      <c r="BD331" s="439"/>
      <c r="BE331" s="432"/>
      <c r="BF331" s="411"/>
      <c r="BG331" s="411"/>
      <c r="BH331" s="411"/>
      <c r="BI331" s="411"/>
      <c r="BJ331" s="411"/>
      <c r="BK331" s="411"/>
      <c r="BL331" s="411"/>
      <c r="BM331" s="1"/>
      <c r="BN331" s="92"/>
    </row>
    <row r="332" spans="1:66">
      <c r="A332" s="439"/>
      <c r="B332" s="439"/>
      <c r="C332" s="439"/>
      <c r="D332" s="439"/>
      <c r="E332" s="439"/>
      <c r="F332" s="439"/>
      <c r="G332" s="439"/>
      <c r="H332" s="452"/>
      <c r="I332" s="439"/>
      <c r="J332" s="439"/>
      <c r="K332" s="439"/>
      <c r="L332" s="439"/>
      <c r="M332" s="439"/>
      <c r="N332" s="439"/>
      <c r="O332" s="439"/>
      <c r="P332" s="439"/>
      <c r="Q332" s="439"/>
      <c r="R332" s="439"/>
      <c r="S332" s="439"/>
      <c r="T332" s="439"/>
      <c r="U332" s="439"/>
      <c r="V332" s="439"/>
      <c r="W332" s="439"/>
      <c r="X332" s="452"/>
      <c r="Y332" s="439"/>
      <c r="Z332" s="439"/>
      <c r="AA332" s="439"/>
      <c r="AB332" s="439"/>
      <c r="AC332" s="439"/>
      <c r="AD332" s="439"/>
      <c r="AE332" s="439"/>
      <c r="AF332" s="439"/>
      <c r="AG332" s="411"/>
      <c r="AH332" s="411"/>
      <c r="AI332" s="411"/>
      <c r="AJ332" s="411"/>
      <c r="AK332" s="411"/>
      <c r="AL332" s="411"/>
      <c r="AM332" s="411"/>
      <c r="AN332" s="411"/>
      <c r="AO332" s="411"/>
      <c r="AP332" s="411"/>
      <c r="AQ332" s="411"/>
      <c r="AR332" s="411"/>
      <c r="AS332" s="411"/>
      <c r="AT332" s="411"/>
      <c r="AU332" s="411"/>
      <c r="AV332" s="411"/>
      <c r="AW332" s="411"/>
      <c r="AX332" s="411"/>
      <c r="AY332" s="452"/>
      <c r="AZ332" s="439"/>
      <c r="BA332" s="432"/>
      <c r="BB332" s="452"/>
      <c r="BC332" s="439"/>
      <c r="BD332" s="432"/>
      <c r="BE332" s="411"/>
      <c r="BF332" s="411"/>
      <c r="BG332" s="439"/>
      <c r="BH332" s="420"/>
      <c r="BI332" s="420"/>
      <c r="BJ332" s="409"/>
      <c r="BK332" s="409"/>
      <c r="BL332" s="429"/>
      <c r="BM332" s="1"/>
      <c r="BN332" s="92"/>
    </row>
    <row r="333" spans="1:66">
      <c r="A333" s="439"/>
      <c r="B333" s="439"/>
      <c r="C333" s="439"/>
      <c r="D333" s="439"/>
      <c r="E333" s="439"/>
      <c r="F333" s="439"/>
      <c r="G333" s="439"/>
      <c r="H333" s="439"/>
      <c r="I333" s="439"/>
      <c r="J333" s="439"/>
      <c r="K333" s="439"/>
      <c r="L333" s="439"/>
      <c r="M333" s="439"/>
      <c r="N333" s="439"/>
      <c r="O333" s="452"/>
      <c r="P333" s="432"/>
      <c r="Q333" s="439"/>
      <c r="R333" s="439"/>
      <c r="S333" s="439"/>
      <c r="T333" s="439"/>
      <c r="U333" s="439"/>
      <c r="V333" s="439"/>
      <c r="W333" s="452"/>
      <c r="X333" s="439"/>
      <c r="Y333" s="439"/>
      <c r="Z333" s="439"/>
      <c r="AA333" s="439"/>
      <c r="AB333" s="439"/>
      <c r="AC333" s="439"/>
      <c r="AD333" s="439"/>
      <c r="AE333" s="452"/>
      <c r="AF333" s="439"/>
      <c r="AG333" s="411"/>
      <c r="AH333" s="411"/>
      <c r="AI333" s="411"/>
      <c r="AJ333" s="411"/>
      <c r="AK333" s="411"/>
      <c r="AL333" s="411"/>
      <c r="AM333" s="411"/>
      <c r="AN333" s="411"/>
      <c r="AO333" s="411"/>
      <c r="AP333" s="411"/>
      <c r="AQ333" s="411"/>
      <c r="AR333" s="411"/>
      <c r="AS333" s="411"/>
      <c r="AT333" s="411"/>
      <c r="AU333" s="411"/>
      <c r="AV333" s="452"/>
      <c r="AW333" s="439"/>
      <c r="AX333" s="452"/>
      <c r="AY333" s="439"/>
      <c r="AZ333" s="432"/>
      <c r="BA333" s="452"/>
      <c r="BB333" s="439"/>
      <c r="BC333" s="432"/>
      <c r="BD333" s="411"/>
      <c r="BE333" s="411"/>
      <c r="BF333" s="411"/>
      <c r="BG333" s="420"/>
      <c r="BH333" s="409"/>
      <c r="BI333" s="409"/>
      <c r="BJ333" s="409"/>
      <c r="BK333" s="409"/>
      <c r="BL333" s="436"/>
      <c r="BM333" s="1"/>
      <c r="BN333" s="92"/>
    </row>
    <row r="334" spans="1:66">
      <c r="A334" s="439"/>
      <c r="B334" s="439"/>
      <c r="C334" s="439"/>
      <c r="D334" s="439"/>
      <c r="E334" s="439"/>
      <c r="F334" s="439"/>
      <c r="G334" s="439"/>
      <c r="H334" s="439"/>
      <c r="I334" s="439"/>
      <c r="J334" s="439"/>
      <c r="K334" s="439"/>
      <c r="L334" s="439"/>
      <c r="M334" s="439"/>
      <c r="N334" s="439"/>
      <c r="O334" s="439"/>
      <c r="P334" s="439"/>
      <c r="Q334" s="439"/>
      <c r="R334" s="439"/>
      <c r="S334" s="439"/>
      <c r="T334" s="439"/>
      <c r="U334" s="439"/>
      <c r="V334" s="439"/>
      <c r="W334" s="439"/>
      <c r="X334" s="439"/>
      <c r="Y334" s="439"/>
      <c r="Z334" s="439"/>
      <c r="AA334" s="439"/>
      <c r="AB334" s="439"/>
      <c r="AC334" s="439"/>
      <c r="AD334" s="452"/>
      <c r="AE334" s="439"/>
      <c r="AF334" s="439"/>
      <c r="AG334" s="411"/>
      <c r="AH334" s="411"/>
      <c r="AI334" s="411"/>
      <c r="AJ334" s="411"/>
      <c r="AK334" s="411"/>
      <c r="AL334" s="411"/>
      <c r="AM334" s="412"/>
      <c r="AN334" s="412"/>
      <c r="AO334" s="412"/>
      <c r="AP334" s="412"/>
      <c r="AQ334" s="412"/>
      <c r="AR334" s="412"/>
      <c r="AS334" s="412"/>
      <c r="AT334" s="411"/>
      <c r="AU334" s="411"/>
      <c r="AV334" s="411"/>
      <c r="AW334" s="411"/>
      <c r="AX334" s="452"/>
      <c r="AY334" s="439"/>
      <c r="AZ334" s="432"/>
      <c r="BA334" s="452"/>
      <c r="BB334" s="439"/>
      <c r="BC334" s="432"/>
      <c r="BD334" s="411"/>
      <c r="BE334" s="411"/>
      <c r="BF334" s="411"/>
      <c r="BG334" s="420"/>
      <c r="BH334" s="409"/>
      <c r="BI334" s="463"/>
      <c r="BJ334" s="450"/>
      <c r="BK334" s="409"/>
      <c r="BL334" s="436"/>
      <c r="BM334" s="1"/>
      <c r="BN334" s="92"/>
    </row>
    <row r="335" spans="1:66">
      <c r="A335" s="439"/>
      <c r="B335" s="439"/>
      <c r="C335" s="439"/>
      <c r="D335" s="439"/>
      <c r="E335" s="439"/>
      <c r="F335" s="439"/>
      <c r="G335" s="439"/>
      <c r="H335" s="439"/>
      <c r="I335" s="439"/>
      <c r="J335" s="439"/>
      <c r="K335" s="439"/>
      <c r="L335" s="439"/>
      <c r="M335" s="439"/>
      <c r="N335" s="439"/>
      <c r="O335" s="439"/>
      <c r="P335" s="439"/>
      <c r="Q335" s="439"/>
      <c r="R335" s="439"/>
      <c r="S335" s="439"/>
      <c r="T335" s="439"/>
      <c r="U335" s="452"/>
      <c r="V335" s="439"/>
      <c r="W335" s="439"/>
      <c r="X335" s="439"/>
      <c r="Y335" s="439"/>
      <c r="Z335" s="439"/>
      <c r="AA335" s="439"/>
      <c r="AB335" s="439"/>
      <c r="AC335" s="452"/>
      <c r="AD335" s="439"/>
      <c r="AE335" s="439"/>
      <c r="AF335" s="439"/>
      <c r="AG335" s="411"/>
      <c r="AH335" s="411"/>
      <c r="AI335" s="411"/>
      <c r="AJ335" s="411"/>
      <c r="AK335" s="411"/>
      <c r="AL335" s="411"/>
      <c r="AM335" s="412"/>
      <c r="AN335" s="431"/>
      <c r="AO335" s="431"/>
      <c r="AP335" s="431"/>
      <c r="AQ335" s="431"/>
      <c r="AR335" s="431"/>
      <c r="AS335" s="438"/>
      <c r="AT335" s="411"/>
      <c r="AU335" s="411"/>
      <c r="AV335" s="411"/>
      <c r="AW335" s="411"/>
      <c r="AX335" s="452"/>
      <c r="AY335" s="439"/>
      <c r="AZ335" s="432"/>
      <c r="BA335" s="452"/>
      <c r="BB335" s="439"/>
      <c r="BC335" s="432"/>
      <c r="BD335" s="411"/>
      <c r="BE335" s="411"/>
      <c r="BF335" s="411"/>
      <c r="BG335" s="420"/>
      <c r="BH335" s="409"/>
      <c r="BI335" s="444"/>
      <c r="BJ335" s="409"/>
      <c r="BK335" s="409"/>
      <c r="BL335" s="443"/>
      <c r="BM335" s="1"/>
      <c r="BN335" s="92"/>
    </row>
    <row r="336" spans="1:66">
      <c r="A336" s="439"/>
      <c r="B336" s="439"/>
      <c r="C336" s="439"/>
      <c r="D336" s="439"/>
      <c r="E336" s="439"/>
      <c r="F336" s="439"/>
      <c r="G336" s="439"/>
      <c r="H336" s="439"/>
      <c r="I336" s="439"/>
      <c r="J336" s="439"/>
      <c r="K336" s="439"/>
      <c r="L336" s="439"/>
      <c r="M336" s="439"/>
      <c r="N336" s="439"/>
      <c r="O336" s="439"/>
      <c r="P336" s="439"/>
      <c r="Q336" s="439"/>
      <c r="R336" s="439"/>
      <c r="S336" s="439"/>
      <c r="T336" s="439"/>
      <c r="U336" s="439"/>
      <c r="V336" s="439"/>
      <c r="W336" s="439"/>
      <c r="X336" s="439"/>
      <c r="Y336" s="439"/>
      <c r="Z336" s="439"/>
      <c r="AA336" s="439"/>
      <c r="AB336" s="439"/>
      <c r="AC336" s="439"/>
      <c r="AD336" s="439"/>
      <c r="AE336" s="439"/>
      <c r="AF336" s="439"/>
      <c r="AG336" s="411"/>
      <c r="AH336" s="411"/>
      <c r="AI336" s="411"/>
      <c r="AJ336" s="411"/>
      <c r="AK336" s="411"/>
      <c r="AL336" s="411"/>
      <c r="AM336" s="412"/>
      <c r="AN336" s="431"/>
      <c r="AO336" s="440"/>
      <c r="AP336" s="431"/>
      <c r="AQ336" s="434"/>
      <c r="AR336" s="431"/>
      <c r="AS336" s="438"/>
      <c r="AT336" s="411"/>
      <c r="AU336" s="411"/>
      <c r="AV336" s="411"/>
      <c r="AW336" s="411"/>
      <c r="AX336" s="452"/>
      <c r="AY336" s="439"/>
      <c r="AZ336" s="432"/>
      <c r="BA336" s="452"/>
      <c r="BB336" s="439"/>
      <c r="BC336" s="432"/>
      <c r="BD336" s="411"/>
      <c r="BE336" s="411"/>
      <c r="BF336" s="411"/>
      <c r="BG336" s="409"/>
      <c r="BH336" s="409"/>
      <c r="BI336" s="409"/>
      <c r="BJ336" s="429"/>
      <c r="BK336" s="443"/>
      <c r="BL336" s="411"/>
      <c r="BM336" s="1"/>
      <c r="BN336" s="92"/>
    </row>
    <row r="337" spans="1:99">
      <c r="A337" s="439"/>
      <c r="B337" s="439"/>
      <c r="C337" s="439"/>
      <c r="D337" s="439"/>
      <c r="E337" s="439"/>
      <c r="F337" s="439"/>
      <c r="G337" s="439"/>
      <c r="H337" s="439"/>
      <c r="I337" s="439"/>
      <c r="J337" s="439"/>
      <c r="K337" s="439"/>
      <c r="L337" s="439"/>
      <c r="M337" s="439"/>
      <c r="N337" s="439"/>
      <c r="O337" s="452"/>
      <c r="P337" s="432"/>
      <c r="Q337" s="439"/>
      <c r="R337" s="439"/>
      <c r="S337" s="439"/>
      <c r="T337" s="439"/>
      <c r="U337" s="439"/>
      <c r="V337" s="439"/>
      <c r="W337" s="439"/>
      <c r="X337" s="439"/>
      <c r="Y337" s="439"/>
      <c r="Z337" s="439"/>
      <c r="AA337" s="439"/>
      <c r="AB337" s="439"/>
      <c r="AC337" s="439"/>
      <c r="AD337" s="439"/>
      <c r="AE337" s="439"/>
      <c r="AF337" s="439"/>
      <c r="AG337" s="411"/>
      <c r="AH337" s="411"/>
      <c r="AI337" s="411"/>
      <c r="AJ337" s="411"/>
      <c r="AK337" s="411"/>
      <c r="AL337" s="411"/>
      <c r="AM337" s="412"/>
      <c r="AN337" s="431"/>
      <c r="AO337" s="453"/>
      <c r="AP337" s="431"/>
      <c r="AQ337" s="441"/>
      <c r="AR337" s="431"/>
      <c r="AS337" s="438"/>
      <c r="AT337" s="411"/>
      <c r="AU337" s="411"/>
      <c r="AV337" s="452"/>
      <c r="AW337" s="439"/>
      <c r="AX337" s="452"/>
      <c r="AY337" s="439"/>
      <c r="AZ337" s="432"/>
      <c r="BA337" s="452"/>
      <c r="BB337" s="439"/>
      <c r="BC337" s="432"/>
      <c r="BD337" s="411"/>
      <c r="BE337" s="411"/>
      <c r="BF337" s="411"/>
      <c r="BG337" s="429"/>
      <c r="BH337" s="436"/>
      <c r="BI337" s="436"/>
      <c r="BJ337" s="443"/>
      <c r="BK337" s="411"/>
      <c r="BL337" s="411"/>
      <c r="BM337" s="1"/>
      <c r="BN337" s="92"/>
    </row>
    <row r="338" spans="1:99">
      <c r="A338" s="439"/>
      <c r="B338" s="439"/>
      <c r="C338" s="452"/>
      <c r="D338" s="439"/>
      <c r="E338" s="439"/>
      <c r="F338" s="439"/>
      <c r="G338" s="439"/>
      <c r="H338" s="439"/>
      <c r="I338" s="439"/>
      <c r="J338" s="439"/>
      <c r="K338" s="439"/>
      <c r="L338" s="439"/>
      <c r="M338" s="439"/>
      <c r="N338" s="439"/>
      <c r="O338" s="439"/>
      <c r="P338" s="439"/>
      <c r="Q338" s="439"/>
      <c r="R338" s="439"/>
      <c r="S338" s="439"/>
      <c r="T338" s="439"/>
      <c r="U338" s="439"/>
      <c r="V338" s="439"/>
      <c r="W338" s="439"/>
      <c r="X338" s="439"/>
      <c r="Y338" s="439"/>
      <c r="Z338" s="439"/>
      <c r="AA338" s="439"/>
      <c r="AB338" s="439"/>
      <c r="AC338" s="439"/>
      <c r="AD338" s="439"/>
      <c r="AE338" s="439"/>
      <c r="AF338" s="439"/>
      <c r="AG338" s="411"/>
      <c r="AH338" s="411"/>
      <c r="AI338" s="411"/>
      <c r="AJ338" s="411"/>
      <c r="AK338" s="411"/>
      <c r="AL338" s="411"/>
      <c r="AM338" s="412"/>
      <c r="AN338" s="431"/>
      <c r="AO338" s="431"/>
      <c r="AP338" s="431"/>
      <c r="AQ338" s="447"/>
      <c r="AR338" s="431"/>
      <c r="AS338" s="438"/>
      <c r="AT338" s="411"/>
      <c r="AU338" s="411"/>
      <c r="AV338" s="411"/>
      <c r="AW338" s="411"/>
      <c r="AX338" s="452"/>
      <c r="AY338" s="439"/>
      <c r="AZ338" s="432"/>
      <c r="BA338" s="452"/>
      <c r="BB338" s="439"/>
      <c r="BC338" s="432"/>
      <c r="BD338" s="411"/>
      <c r="BE338" s="411"/>
      <c r="BF338" s="411"/>
      <c r="BG338" s="411"/>
      <c r="BH338" s="411"/>
      <c r="BI338" s="411"/>
      <c r="BJ338" s="411"/>
      <c r="BK338" s="411"/>
      <c r="BL338" s="411"/>
      <c r="BM338" s="1"/>
      <c r="BN338" s="92"/>
    </row>
    <row r="339" spans="1:99">
      <c r="A339" s="439"/>
      <c r="B339" s="452"/>
      <c r="C339" s="439"/>
      <c r="D339" s="439"/>
      <c r="E339" s="439"/>
      <c r="F339" s="439"/>
      <c r="G339" s="439"/>
      <c r="H339" s="439"/>
      <c r="I339" s="439"/>
      <c r="J339" s="439"/>
      <c r="K339" s="439"/>
      <c r="L339" s="439"/>
      <c r="M339" s="439"/>
      <c r="N339" s="439"/>
      <c r="O339" s="439"/>
      <c r="P339" s="439"/>
      <c r="Q339" s="439"/>
      <c r="R339" s="439"/>
      <c r="S339" s="439"/>
      <c r="T339" s="439"/>
      <c r="U339" s="452"/>
      <c r="V339" s="439"/>
      <c r="W339" s="439"/>
      <c r="X339" s="439"/>
      <c r="Y339" s="439"/>
      <c r="Z339" s="439"/>
      <c r="AA339" s="439"/>
      <c r="AB339" s="439"/>
      <c r="AC339" s="439"/>
      <c r="AD339" s="439"/>
      <c r="AE339" s="439"/>
      <c r="AF339" s="439"/>
      <c r="AG339" s="411"/>
      <c r="AH339" s="411"/>
      <c r="AI339" s="411"/>
      <c r="AJ339" s="411"/>
      <c r="AK339" s="411"/>
      <c r="AL339" s="411"/>
      <c r="AM339" s="411"/>
      <c r="AN339" s="438"/>
      <c r="AO339" s="431"/>
      <c r="AP339" s="431"/>
      <c r="AQ339" s="431"/>
      <c r="AR339" s="431"/>
      <c r="AS339" s="438"/>
      <c r="AT339" s="411"/>
      <c r="AU339" s="411"/>
      <c r="AV339" s="411"/>
      <c r="AW339" s="411"/>
      <c r="AX339" s="452"/>
      <c r="AY339" s="439"/>
      <c r="AZ339" s="432"/>
      <c r="BA339" s="452"/>
      <c r="BB339" s="439"/>
      <c r="BC339" s="432"/>
      <c r="BD339" s="411"/>
      <c r="BE339" s="411"/>
      <c r="BF339" s="411"/>
      <c r="BG339" s="411"/>
      <c r="BH339" s="411"/>
      <c r="BI339" s="411"/>
      <c r="BJ339" s="411"/>
      <c r="BK339" s="411"/>
      <c r="BL339" s="411"/>
      <c r="BM339" s="1"/>
      <c r="BN339" s="92"/>
    </row>
    <row r="340" spans="1:99">
      <c r="A340" s="452"/>
      <c r="B340" s="439"/>
      <c r="C340" s="439"/>
      <c r="D340" s="439"/>
      <c r="E340" s="439"/>
      <c r="F340" s="439"/>
      <c r="G340" s="439"/>
      <c r="H340" s="439"/>
      <c r="I340" s="439"/>
      <c r="J340" s="439"/>
      <c r="K340" s="439"/>
      <c r="L340" s="439"/>
      <c r="M340" s="439"/>
      <c r="N340" s="439"/>
      <c r="O340" s="439"/>
      <c r="P340" s="439"/>
      <c r="Q340" s="439"/>
      <c r="R340" s="439"/>
      <c r="S340" s="439"/>
      <c r="T340" s="439"/>
      <c r="U340" s="439"/>
      <c r="V340" s="439"/>
      <c r="W340" s="439"/>
      <c r="X340" s="439"/>
      <c r="Y340" s="439"/>
      <c r="Z340" s="439"/>
      <c r="AA340" s="439"/>
      <c r="AB340" s="439"/>
      <c r="AC340" s="439"/>
      <c r="AD340" s="439"/>
      <c r="AE340" s="439"/>
      <c r="AF340" s="439"/>
      <c r="AG340" s="411"/>
      <c r="AH340" s="411"/>
      <c r="AI340" s="411"/>
      <c r="AJ340" s="411"/>
      <c r="AK340" s="411"/>
      <c r="AL340" s="411"/>
      <c r="AM340" s="411"/>
      <c r="AN340" s="411"/>
      <c r="AO340" s="438"/>
      <c r="AP340" s="431"/>
      <c r="AQ340" s="431"/>
      <c r="AR340" s="431"/>
      <c r="AS340" s="438"/>
      <c r="AT340" s="411"/>
      <c r="AU340" s="411"/>
      <c r="AV340" s="411"/>
      <c r="AW340" s="411"/>
      <c r="AX340" s="452"/>
      <c r="AY340" s="439"/>
      <c r="AZ340" s="432"/>
      <c r="BA340" s="452"/>
      <c r="BB340" s="439"/>
      <c r="BC340" s="432"/>
      <c r="BD340" s="411"/>
      <c r="BE340" s="411"/>
      <c r="BF340" s="411"/>
      <c r="BG340" s="411"/>
      <c r="BH340" s="439"/>
      <c r="BI340" s="411"/>
      <c r="BJ340" s="411"/>
      <c r="BK340" s="411"/>
      <c r="BL340" s="411"/>
      <c r="BM340" s="1"/>
      <c r="BN340" s="92"/>
    </row>
    <row r="341" spans="1:99">
      <c r="A341" s="439"/>
      <c r="B341" s="439"/>
      <c r="C341" s="439"/>
      <c r="D341" s="439"/>
      <c r="E341" s="439"/>
      <c r="F341" s="439"/>
      <c r="G341" s="439"/>
      <c r="H341" s="439"/>
      <c r="I341" s="439"/>
      <c r="J341" s="439"/>
      <c r="K341" s="439"/>
      <c r="L341" s="439"/>
      <c r="M341" s="439"/>
      <c r="N341" s="439"/>
      <c r="O341" s="452"/>
      <c r="P341" s="432"/>
      <c r="Q341" s="439"/>
      <c r="R341" s="439"/>
      <c r="S341" s="452"/>
      <c r="T341" s="439"/>
      <c r="U341" s="439"/>
      <c r="V341" s="439"/>
      <c r="W341" s="439"/>
      <c r="X341" s="439"/>
      <c r="Y341" s="439"/>
      <c r="Z341" s="439"/>
      <c r="AA341" s="439"/>
      <c r="AB341" s="439"/>
      <c r="AC341" s="439"/>
      <c r="AD341" s="439"/>
      <c r="AE341" s="439"/>
      <c r="AF341" s="452"/>
      <c r="AG341" s="411"/>
      <c r="AH341" s="411"/>
      <c r="AI341" s="411"/>
      <c r="AJ341" s="411"/>
      <c r="AK341" s="411"/>
      <c r="AL341" s="411"/>
      <c r="AM341" s="411"/>
      <c r="AN341" s="411"/>
      <c r="AO341" s="411"/>
      <c r="AP341" s="438"/>
      <c r="AQ341" s="431"/>
      <c r="AR341" s="431"/>
      <c r="AS341" s="438"/>
      <c r="AT341" s="411"/>
      <c r="AU341" s="411"/>
      <c r="AV341" s="452"/>
      <c r="AW341" s="439"/>
      <c r="AX341" s="452"/>
      <c r="AY341" s="439"/>
      <c r="AZ341" s="432"/>
      <c r="BA341" s="452"/>
      <c r="BB341" s="439"/>
      <c r="BC341" s="432"/>
      <c r="BD341" s="411"/>
      <c r="BE341" s="411"/>
      <c r="BF341" s="411"/>
      <c r="BG341" s="439"/>
      <c r="BH341" s="411"/>
      <c r="BI341" s="411"/>
      <c r="BJ341" s="411"/>
      <c r="BK341" s="411"/>
      <c r="BL341" s="411"/>
      <c r="BM341" s="1"/>
      <c r="BN341" s="92"/>
    </row>
    <row r="342" spans="1:99">
      <c r="A342" s="439"/>
      <c r="B342" s="439"/>
      <c r="C342" s="439"/>
      <c r="D342" s="439"/>
      <c r="E342" s="439"/>
      <c r="F342" s="439"/>
      <c r="G342" s="439"/>
      <c r="H342" s="439"/>
      <c r="I342" s="439"/>
      <c r="J342" s="439"/>
      <c r="K342" s="439"/>
      <c r="L342" s="439"/>
      <c r="M342" s="439"/>
      <c r="N342" s="439"/>
      <c r="O342" s="439"/>
      <c r="P342" s="439"/>
      <c r="Q342" s="439"/>
      <c r="R342" s="439"/>
      <c r="S342" s="439"/>
      <c r="T342" s="439"/>
      <c r="U342" s="439"/>
      <c r="V342" s="439"/>
      <c r="W342" s="439"/>
      <c r="X342" s="439"/>
      <c r="Y342" s="439"/>
      <c r="Z342" s="439"/>
      <c r="AA342" s="439"/>
      <c r="AB342" s="439"/>
      <c r="AC342" s="439"/>
      <c r="AD342" s="439"/>
      <c r="AE342" s="452"/>
      <c r="AF342" s="439"/>
      <c r="AG342" s="439"/>
      <c r="AH342" s="411"/>
      <c r="AI342" s="411"/>
      <c r="AJ342" s="411"/>
      <c r="AK342" s="411"/>
      <c r="AL342" s="411"/>
      <c r="AM342" s="411"/>
      <c r="AN342" s="411"/>
      <c r="AO342" s="411"/>
      <c r="AP342" s="411"/>
      <c r="AQ342" s="412"/>
      <c r="AR342" s="431"/>
      <c r="AS342" s="438"/>
      <c r="AT342" s="411"/>
      <c r="AU342" s="411"/>
      <c r="AV342" s="411"/>
      <c r="AW342" s="411"/>
      <c r="AX342" s="452"/>
      <c r="AY342" s="439"/>
      <c r="AZ342" s="432"/>
      <c r="BA342" s="452"/>
      <c r="BB342" s="439"/>
      <c r="BC342" s="432"/>
      <c r="BD342" s="411"/>
      <c r="BE342" s="411"/>
      <c r="BF342" s="439"/>
      <c r="BG342" s="411"/>
      <c r="BH342" s="411"/>
      <c r="BI342" s="411"/>
      <c r="BJ342" s="411"/>
      <c r="BK342" s="452"/>
      <c r="BL342" s="452"/>
      <c r="BM342" s="1"/>
      <c r="BN342" s="92"/>
    </row>
    <row r="343" spans="1:99">
      <c r="A343" s="439"/>
      <c r="B343" s="439"/>
      <c r="C343" s="439"/>
      <c r="D343" s="439"/>
      <c r="E343" s="439"/>
      <c r="F343" s="439"/>
      <c r="G343" s="452"/>
      <c r="H343" s="439"/>
      <c r="I343" s="439"/>
      <c r="J343" s="439"/>
      <c r="K343" s="439"/>
      <c r="L343" s="439"/>
      <c r="M343" s="439"/>
      <c r="N343" s="439"/>
      <c r="O343" s="439"/>
      <c r="P343" s="439"/>
      <c r="Q343" s="452"/>
      <c r="R343" s="439"/>
      <c r="S343" s="439"/>
      <c r="T343" s="439"/>
      <c r="U343" s="439"/>
      <c r="V343" s="439"/>
      <c r="W343" s="439"/>
      <c r="X343" s="439"/>
      <c r="Y343" s="439"/>
      <c r="Z343" s="439"/>
      <c r="AA343" s="439"/>
      <c r="AB343" s="439"/>
      <c r="AC343" s="439"/>
      <c r="AD343" s="452"/>
      <c r="AE343" s="439"/>
      <c r="AF343" s="439"/>
      <c r="AG343" s="439"/>
      <c r="AH343" s="432"/>
      <c r="AI343" s="411"/>
      <c r="AJ343" s="411"/>
      <c r="AK343" s="411"/>
      <c r="AL343" s="411"/>
      <c r="AM343" s="411"/>
      <c r="AN343" s="411"/>
      <c r="AO343" s="411"/>
      <c r="AP343" s="411"/>
      <c r="AQ343" s="412"/>
      <c r="AR343" s="431"/>
      <c r="AS343" s="438"/>
      <c r="AT343" s="411"/>
      <c r="AU343" s="411"/>
      <c r="AV343" s="411"/>
      <c r="AW343" s="411"/>
      <c r="AX343" s="452"/>
      <c r="AY343" s="439"/>
      <c r="AZ343" s="432"/>
      <c r="BA343" s="452"/>
      <c r="BB343" s="439"/>
      <c r="BC343" s="432"/>
      <c r="BD343" s="411"/>
      <c r="BE343" s="411"/>
      <c r="BF343" s="411"/>
      <c r="BG343" s="411"/>
      <c r="BH343" s="411"/>
      <c r="BI343" s="411"/>
      <c r="BJ343" s="452"/>
      <c r="BK343" s="439"/>
      <c r="BL343" s="439"/>
      <c r="BM343" s="1"/>
      <c r="BN343" s="92"/>
    </row>
    <row r="344" spans="1:99">
      <c r="A344" s="439"/>
      <c r="B344" s="439"/>
      <c r="C344" s="439"/>
      <c r="D344" s="439"/>
      <c r="E344" s="439"/>
      <c r="F344" s="452"/>
      <c r="G344" s="439"/>
      <c r="H344" s="439"/>
      <c r="I344" s="439"/>
      <c r="J344" s="439"/>
      <c r="K344" s="439"/>
      <c r="L344" s="439"/>
      <c r="M344" s="439"/>
      <c r="N344" s="439"/>
      <c r="O344" s="439"/>
      <c r="P344" s="439"/>
      <c r="Q344" s="439"/>
      <c r="R344" s="439"/>
      <c r="S344" s="439"/>
      <c r="T344" s="439"/>
      <c r="U344" s="439"/>
      <c r="V344" s="439"/>
      <c r="W344" s="439"/>
      <c r="X344" s="439"/>
      <c r="Y344" s="439"/>
      <c r="Z344" s="439"/>
      <c r="AA344" s="439"/>
      <c r="AB344" s="439"/>
      <c r="AC344" s="452"/>
      <c r="AD344" s="439"/>
      <c r="AE344" s="439"/>
      <c r="AF344" s="439"/>
      <c r="AG344" s="411"/>
      <c r="AH344" s="439"/>
      <c r="AI344" s="432"/>
      <c r="AJ344" s="411"/>
      <c r="AK344" s="411"/>
      <c r="AL344" s="411"/>
      <c r="AM344" s="411"/>
      <c r="AN344" s="411"/>
      <c r="AO344" s="411"/>
      <c r="AP344" s="411"/>
      <c r="AQ344" s="412"/>
      <c r="AR344" s="431"/>
      <c r="AS344" s="438"/>
      <c r="AT344" s="411"/>
      <c r="AU344" s="411"/>
      <c r="AV344" s="411"/>
      <c r="AW344" s="411"/>
      <c r="AX344" s="452"/>
      <c r="AY344" s="439"/>
      <c r="AZ344" s="432"/>
      <c r="BA344" s="452"/>
      <c r="BB344" s="439"/>
      <c r="BC344" s="432"/>
      <c r="BD344" s="411"/>
      <c r="BE344" s="411"/>
      <c r="BF344" s="411"/>
      <c r="BG344" s="411"/>
      <c r="BH344" s="411"/>
      <c r="BI344" s="452"/>
      <c r="BJ344" s="439"/>
      <c r="BK344" s="432"/>
      <c r="BL344" s="432"/>
      <c r="BM344" s="1"/>
      <c r="BN344" s="92"/>
    </row>
    <row r="345" spans="1:99">
      <c r="A345" s="439"/>
      <c r="B345" s="439"/>
      <c r="C345" s="439"/>
      <c r="D345" s="439"/>
      <c r="E345" s="439"/>
      <c r="F345" s="439"/>
      <c r="G345" s="439"/>
      <c r="H345" s="439"/>
      <c r="I345" s="439"/>
      <c r="J345" s="439"/>
      <c r="K345" s="439"/>
      <c r="L345" s="439"/>
      <c r="M345" s="439"/>
      <c r="N345" s="439"/>
      <c r="O345" s="452"/>
      <c r="P345" s="432"/>
      <c r="Q345" s="439"/>
      <c r="R345" s="439"/>
      <c r="S345" s="439"/>
      <c r="T345" s="439"/>
      <c r="U345" s="439"/>
      <c r="V345" s="439"/>
      <c r="W345" s="439"/>
      <c r="X345" s="439"/>
      <c r="Y345" s="439"/>
      <c r="Z345" s="439"/>
      <c r="AA345" s="439"/>
      <c r="AB345" s="452"/>
      <c r="AC345" s="439"/>
      <c r="AD345" s="439"/>
      <c r="AE345" s="439"/>
      <c r="AF345" s="439"/>
      <c r="AG345" s="439"/>
      <c r="AH345" s="411"/>
      <c r="AI345" s="439"/>
      <c r="AJ345" s="432"/>
      <c r="AK345" s="411"/>
      <c r="AL345" s="411"/>
      <c r="AM345" s="411"/>
      <c r="AN345" s="411"/>
      <c r="AO345" s="411"/>
      <c r="AP345" s="411"/>
      <c r="AQ345" s="412"/>
      <c r="AR345" s="431"/>
      <c r="AS345" s="438"/>
      <c r="AT345" s="411"/>
      <c r="AU345" s="411"/>
      <c r="AV345" s="452"/>
      <c r="AW345" s="439"/>
      <c r="AX345" s="452"/>
      <c r="AY345" s="439"/>
      <c r="AZ345" s="432"/>
      <c r="BA345" s="452"/>
      <c r="BB345" s="439"/>
      <c r="BC345" s="411"/>
      <c r="BD345" s="452"/>
      <c r="BE345" s="452"/>
      <c r="BF345" s="452"/>
      <c r="BG345" s="452"/>
      <c r="BH345" s="452"/>
      <c r="BI345" s="439"/>
      <c r="BJ345" s="432"/>
      <c r="BK345" s="452"/>
      <c r="BL345" s="452"/>
      <c r="BM345" s="1"/>
      <c r="BN345" s="92"/>
    </row>
    <row r="346" spans="1:99">
      <c r="A346" s="439"/>
      <c r="B346" s="439"/>
      <c r="C346" s="439"/>
      <c r="D346" s="452"/>
      <c r="E346" s="439"/>
      <c r="F346" s="439"/>
      <c r="G346" s="439"/>
      <c r="H346" s="439"/>
      <c r="I346" s="439"/>
      <c r="J346" s="439"/>
      <c r="K346" s="439"/>
      <c r="L346" s="439"/>
      <c r="M346" s="452"/>
      <c r="N346" s="439"/>
      <c r="O346" s="439"/>
      <c r="P346" s="439"/>
      <c r="Q346" s="439"/>
      <c r="R346" s="439"/>
      <c r="S346" s="439"/>
      <c r="T346" s="439"/>
      <c r="U346" s="439"/>
      <c r="V346" s="439"/>
      <c r="W346" s="439"/>
      <c r="X346" s="439"/>
      <c r="Y346" s="439"/>
      <c r="Z346" s="439"/>
      <c r="AA346" s="452"/>
      <c r="AB346" s="439"/>
      <c r="AC346" s="439"/>
      <c r="AD346" s="439"/>
      <c r="AE346" s="439"/>
      <c r="AF346" s="439"/>
      <c r="AG346" s="439"/>
      <c r="AH346" s="432"/>
      <c r="AI346" s="411"/>
      <c r="AJ346" s="439"/>
      <c r="AK346" s="432"/>
      <c r="AL346" s="411"/>
      <c r="AM346" s="411"/>
      <c r="AN346" s="411"/>
      <c r="AO346" s="411"/>
      <c r="AP346" s="411"/>
      <c r="AQ346" s="412"/>
      <c r="AR346" s="431"/>
      <c r="AS346" s="438"/>
      <c r="AT346" s="411"/>
      <c r="AU346" s="411"/>
      <c r="AV346" s="411"/>
      <c r="AW346" s="411"/>
      <c r="AX346" s="452"/>
      <c r="AY346" s="439"/>
      <c r="AZ346" s="432"/>
      <c r="BA346" s="452"/>
      <c r="BB346" s="411"/>
      <c r="BC346" s="439"/>
      <c r="BD346" s="439"/>
      <c r="BE346" s="439"/>
      <c r="BF346" s="439"/>
      <c r="BG346" s="439"/>
      <c r="BH346" s="439"/>
      <c r="BI346" s="432"/>
      <c r="BJ346" s="452"/>
      <c r="BK346" s="439"/>
      <c r="BL346" s="439"/>
      <c r="BM346" s="1"/>
      <c r="BN346" s="92"/>
    </row>
    <row r="347" spans="1:99">
      <c r="A347" s="439"/>
      <c r="B347" s="439"/>
      <c r="C347" s="439"/>
      <c r="D347" s="439"/>
      <c r="E347" s="439"/>
      <c r="F347" s="439"/>
      <c r="G347" s="439"/>
      <c r="H347" s="439"/>
      <c r="I347" s="439"/>
      <c r="J347" s="439"/>
      <c r="K347" s="439"/>
      <c r="L347" s="439"/>
      <c r="M347" s="439"/>
      <c r="N347" s="439"/>
      <c r="O347" s="439"/>
      <c r="P347" s="439"/>
      <c r="Q347" s="439"/>
      <c r="R347" s="439"/>
      <c r="S347" s="439"/>
      <c r="T347" s="439"/>
      <c r="U347" s="439"/>
      <c r="V347" s="439"/>
      <c r="W347" s="439"/>
      <c r="X347" s="439"/>
      <c r="Y347" s="439"/>
      <c r="Z347" s="439"/>
      <c r="AA347" s="439"/>
      <c r="AB347" s="439"/>
      <c r="AC347" s="439"/>
      <c r="AD347" s="439"/>
      <c r="AE347" s="439"/>
      <c r="AF347" s="439"/>
      <c r="AG347" s="452"/>
      <c r="AH347" s="439"/>
      <c r="AI347" s="432"/>
      <c r="AJ347" s="411"/>
      <c r="AK347" s="439"/>
      <c r="AL347" s="432"/>
      <c r="AM347" s="411"/>
      <c r="AN347" s="411"/>
      <c r="AO347" s="411"/>
      <c r="AP347" s="411"/>
      <c r="AQ347" s="412"/>
      <c r="AR347" s="438"/>
      <c r="AS347" s="438"/>
      <c r="AT347" s="411"/>
      <c r="AU347" s="411"/>
      <c r="AV347" s="411"/>
      <c r="AW347" s="411"/>
      <c r="AX347" s="452"/>
      <c r="AY347" s="439"/>
      <c r="AZ347" s="432"/>
      <c r="BA347" s="411"/>
      <c r="BB347" s="432"/>
      <c r="BC347" s="432"/>
      <c r="BD347" s="432"/>
      <c r="BE347" s="432"/>
      <c r="BF347" s="432"/>
      <c r="BG347" s="432"/>
      <c r="BH347" s="432"/>
      <c r="BI347" s="452"/>
      <c r="BJ347" s="439"/>
      <c r="BK347" s="432"/>
      <c r="BL347" s="432"/>
      <c r="BM347" s="1"/>
      <c r="BN347" s="92"/>
    </row>
    <row r="348" spans="1:99">
      <c r="A348" s="439"/>
      <c r="B348" s="452"/>
      <c r="C348" s="439"/>
      <c r="D348" s="439"/>
      <c r="E348" s="439"/>
      <c r="F348" s="439"/>
      <c r="G348" s="439"/>
      <c r="H348" s="439"/>
      <c r="I348" s="439"/>
      <c r="J348" s="439"/>
      <c r="K348" s="452"/>
      <c r="L348" s="439"/>
      <c r="M348" s="439"/>
      <c r="N348" s="439"/>
      <c r="O348" s="439"/>
      <c r="P348" s="439"/>
      <c r="Q348" s="439"/>
      <c r="R348" s="439"/>
      <c r="S348" s="439"/>
      <c r="T348" s="439"/>
      <c r="U348" s="439"/>
      <c r="V348" s="439"/>
      <c r="W348" s="439"/>
      <c r="X348" s="439"/>
      <c r="Y348" s="439"/>
      <c r="Z348" s="439"/>
      <c r="AA348" s="439"/>
      <c r="AB348" s="439"/>
      <c r="AC348" s="439"/>
      <c r="AD348" s="439"/>
      <c r="AE348" s="439"/>
      <c r="AF348" s="439"/>
      <c r="AG348" s="411"/>
      <c r="AH348" s="452"/>
      <c r="AI348" s="439"/>
      <c r="AJ348" s="432"/>
      <c r="AK348" s="411"/>
      <c r="AL348" s="439"/>
      <c r="AM348" s="432"/>
      <c r="AN348" s="411"/>
      <c r="AO348" s="411"/>
      <c r="AP348" s="411"/>
      <c r="AQ348" s="411"/>
      <c r="AR348" s="411"/>
      <c r="AS348" s="411"/>
      <c r="AT348" s="411"/>
      <c r="AU348" s="411"/>
      <c r="AV348" s="411"/>
      <c r="AW348" s="411"/>
      <c r="AX348" s="452"/>
      <c r="AY348" s="439"/>
      <c r="AZ348" s="411"/>
      <c r="BA348" s="452"/>
      <c r="BB348" s="452"/>
      <c r="BC348" s="452"/>
      <c r="BD348" s="452"/>
      <c r="BE348" s="452"/>
      <c r="BF348" s="452"/>
      <c r="BG348" s="452"/>
      <c r="BH348" s="452"/>
      <c r="BI348" s="439"/>
      <c r="BJ348" s="432"/>
      <c r="BK348" s="411"/>
      <c r="BL348" s="411"/>
      <c r="BM348" s="1"/>
      <c r="BN348" s="92"/>
    </row>
    <row r="349" spans="1:99">
      <c r="A349" s="439"/>
      <c r="B349" s="439"/>
      <c r="C349" s="439"/>
      <c r="D349" s="439"/>
      <c r="E349" s="439"/>
      <c r="F349" s="439"/>
      <c r="G349" s="439"/>
      <c r="H349" s="439"/>
      <c r="I349" s="439"/>
      <c r="J349" s="439"/>
      <c r="K349" s="439"/>
      <c r="L349" s="439"/>
      <c r="M349" s="439"/>
      <c r="N349" s="439"/>
      <c r="O349" s="452"/>
      <c r="P349" s="432"/>
      <c r="Q349" s="439"/>
      <c r="R349" s="439"/>
      <c r="S349" s="439"/>
      <c r="T349" s="439"/>
      <c r="U349" s="439"/>
      <c r="V349" s="439"/>
      <c r="W349" s="439"/>
      <c r="X349" s="439"/>
      <c r="Y349" s="439"/>
      <c r="Z349" s="439"/>
      <c r="AA349" s="439"/>
      <c r="AB349" s="439"/>
      <c r="AC349" s="439"/>
      <c r="AD349" s="439"/>
      <c r="AE349" s="439"/>
      <c r="AF349" s="439"/>
      <c r="AG349" s="411"/>
      <c r="AH349" s="411"/>
      <c r="AI349" s="452"/>
      <c r="AJ349" s="439"/>
      <c r="AK349" s="432"/>
      <c r="AL349" s="411"/>
      <c r="AM349" s="439"/>
      <c r="AN349" s="432"/>
      <c r="AO349" s="411"/>
      <c r="AP349" s="411"/>
      <c r="AQ349" s="411"/>
      <c r="AR349" s="411"/>
      <c r="AS349" s="411"/>
      <c r="AT349" s="411"/>
      <c r="AU349" s="411"/>
      <c r="AV349" s="452"/>
      <c r="AW349" s="439"/>
      <c r="AX349" s="452"/>
      <c r="AY349" s="439"/>
      <c r="AZ349" s="439"/>
      <c r="BA349" s="439"/>
      <c r="BB349" s="439"/>
      <c r="BC349" s="439"/>
      <c r="BD349" s="439"/>
      <c r="BE349" s="439"/>
      <c r="BF349" s="439"/>
      <c r="BG349" s="439"/>
      <c r="BH349" s="439"/>
      <c r="BI349" s="432"/>
      <c r="BJ349" s="411"/>
      <c r="BK349" s="411"/>
      <c r="BL349" s="411"/>
      <c r="BM349" s="1"/>
      <c r="BN349" s="92"/>
    </row>
    <row r="350" spans="1:99">
      <c r="A350" s="439"/>
      <c r="B350" s="439"/>
      <c r="C350" s="439"/>
      <c r="D350" s="439"/>
      <c r="E350" s="439"/>
      <c r="F350" s="439"/>
      <c r="G350" s="439"/>
      <c r="H350" s="439"/>
      <c r="I350" s="452"/>
      <c r="J350" s="439"/>
      <c r="K350" s="439"/>
      <c r="L350" s="439"/>
      <c r="M350" s="439"/>
      <c r="N350" s="439"/>
      <c r="O350" s="439"/>
      <c r="P350" s="439"/>
      <c r="Q350" s="439"/>
      <c r="R350" s="439"/>
      <c r="S350" s="452"/>
      <c r="T350" s="439"/>
      <c r="U350" s="439"/>
      <c r="V350" s="439"/>
      <c r="W350" s="439"/>
      <c r="X350" s="439"/>
      <c r="Y350" s="439"/>
      <c r="Z350" s="439"/>
      <c r="AA350" s="439"/>
      <c r="AB350" s="439"/>
      <c r="AC350" s="439"/>
      <c r="AD350" s="439"/>
      <c r="AE350" s="439"/>
      <c r="AF350" s="452"/>
      <c r="AG350" s="411"/>
      <c r="AH350" s="411"/>
      <c r="AI350" s="411"/>
      <c r="AJ350" s="452"/>
      <c r="AK350" s="439"/>
      <c r="AL350" s="432"/>
      <c r="AM350" s="411"/>
      <c r="AN350" s="439"/>
      <c r="AO350" s="432"/>
      <c r="AP350" s="411"/>
      <c r="AQ350" s="411"/>
      <c r="AR350" s="411"/>
      <c r="AS350" s="411"/>
      <c r="AT350" s="411"/>
      <c r="AU350" s="411"/>
      <c r="AV350" s="411"/>
      <c r="AW350" s="411"/>
      <c r="AX350" s="439"/>
      <c r="AY350" s="432"/>
      <c r="AZ350" s="432"/>
      <c r="BA350" s="432"/>
      <c r="BB350" s="432"/>
      <c r="BC350" s="432"/>
      <c r="BD350" s="432"/>
      <c r="BE350" s="432"/>
      <c r="BF350" s="432"/>
      <c r="BG350" s="432"/>
      <c r="BH350" s="432"/>
      <c r="BI350" s="411"/>
      <c r="BJ350" s="411"/>
      <c r="BK350" s="411"/>
      <c r="BL350" s="411"/>
      <c r="BM350" s="1"/>
      <c r="BN350" s="92"/>
    </row>
    <row r="351" spans="1:99">
      <c r="A351" s="439"/>
      <c r="B351" s="439"/>
      <c r="C351" s="439"/>
      <c r="D351" s="439"/>
      <c r="E351" s="439"/>
      <c r="F351" s="439"/>
      <c r="G351" s="439"/>
      <c r="H351" s="439"/>
      <c r="I351" s="439"/>
      <c r="J351" s="439"/>
      <c r="K351" s="439"/>
      <c r="L351" s="439"/>
      <c r="M351" s="439"/>
      <c r="N351" s="439"/>
      <c r="O351" s="439"/>
      <c r="P351" s="439"/>
      <c r="Q351" s="439"/>
      <c r="R351" s="452"/>
      <c r="S351" s="439"/>
      <c r="T351" s="439"/>
      <c r="U351" s="439"/>
      <c r="V351" s="439"/>
      <c r="W351" s="439"/>
      <c r="X351" s="439"/>
      <c r="Y351" s="439"/>
      <c r="Z351" s="439"/>
      <c r="AA351" s="439"/>
      <c r="AB351" s="439"/>
      <c r="AC351" s="439"/>
      <c r="AD351" s="439"/>
      <c r="AE351" s="452"/>
      <c r="AF351" s="439"/>
      <c r="AG351" s="411"/>
      <c r="AH351" s="411"/>
      <c r="AI351" s="411"/>
      <c r="AJ351" s="411"/>
      <c r="AK351" s="452"/>
      <c r="AL351" s="439"/>
      <c r="AM351" s="432"/>
      <c r="AN351" s="452"/>
      <c r="AO351" s="439"/>
      <c r="AP351" s="432"/>
      <c r="AQ351" s="411"/>
      <c r="AR351" s="411"/>
      <c r="AS351" s="411"/>
      <c r="AT351" s="411"/>
      <c r="AU351" s="411"/>
      <c r="AV351" s="411"/>
      <c r="AW351" s="411"/>
      <c r="AX351" s="411"/>
      <c r="AY351" s="411"/>
      <c r="AZ351" s="411"/>
      <c r="BA351" s="411"/>
      <c r="BB351" s="411"/>
      <c r="BC351" s="411"/>
      <c r="BD351" s="411"/>
      <c r="BE351" s="411"/>
      <c r="BF351" s="411"/>
      <c r="BG351" s="411"/>
      <c r="BH351" s="411"/>
      <c r="BI351" s="411"/>
      <c r="BJ351" s="411"/>
      <c r="BK351" s="411"/>
      <c r="BL351" s="411"/>
      <c r="BM351" s="1"/>
      <c r="BN351" s="92"/>
    </row>
    <row r="352" spans="1:99">
      <c r="A352" s="439"/>
      <c r="B352" s="439"/>
      <c r="C352" s="439"/>
      <c r="D352" s="439"/>
      <c r="E352" s="439"/>
      <c r="F352" s="439"/>
      <c r="G352" s="439"/>
      <c r="H352" s="439"/>
      <c r="I352" s="439"/>
      <c r="J352" s="439"/>
      <c r="K352" s="439"/>
      <c r="L352" s="439"/>
      <c r="M352" s="439"/>
      <c r="N352" s="439"/>
      <c r="O352" s="439"/>
      <c r="P352" s="439"/>
      <c r="Q352" s="452"/>
      <c r="R352" s="439"/>
      <c r="S352" s="439"/>
      <c r="T352" s="439"/>
      <c r="U352" s="439"/>
      <c r="V352" s="439"/>
      <c r="W352" s="439"/>
      <c r="X352" s="439"/>
      <c r="Y352" s="439"/>
      <c r="Z352" s="439"/>
      <c r="AA352" s="439"/>
      <c r="AB352" s="439"/>
      <c r="AC352" s="439"/>
      <c r="AD352" s="452"/>
      <c r="AE352" s="439"/>
      <c r="AF352" s="439"/>
      <c r="BM352" s="176"/>
      <c r="BN352" s="103"/>
      <c r="CU352">
        <v>31</v>
      </c>
    </row>
    <row r="353" spans="1:99">
      <c r="A353" s="553"/>
      <c r="B353" s="553"/>
      <c r="C353" s="553"/>
      <c r="D353" s="553"/>
      <c r="E353" s="553"/>
      <c r="F353" s="553"/>
      <c r="G353" s="553"/>
      <c r="H353" s="553"/>
      <c r="I353" s="553"/>
      <c r="J353" s="553"/>
      <c r="K353" s="553"/>
      <c r="L353" s="553"/>
      <c r="M353" s="553"/>
      <c r="N353" s="553"/>
      <c r="O353" s="553"/>
      <c r="P353" s="432"/>
      <c r="Q353" s="553"/>
      <c r="R353" s="553"/>
      <c r="S353" s="553"/>
      <c r="T353" s="553"/>
      <c r="U353" s="553"/>
      <c r="V353" s="553"/>
      <c r="W353" s="553"/>
      <c r="X353" s="553"/>
      <c r="Y353" s="553"/>
      <c r="Z353" s="553"/>
      <c r="AA353" s="553"/>
      <c r="AB353" s="553"/>
      <c r="AC353" s="553"/>
      <c r="AD353" s="553"/>
      <c r="AE353" s="553"/>
      <c r="AF353" s="432"/>
      <c r="AG353" s="452"/>
      <c r="AH353" s="452"/>
      <c r="AI353" s="452"/>
      <c r="AJ353" s="452"/>
      <c r="AK353" s="452"/>
      <c r="AL353" s="452"/>
      <c r="AM353" s="452"/>
      <c r="AN353" s="452"/>
      <c r="AO353" s="452"/>
      <c r="AP353" s="452"/>
      <c r="AQ353" s="452"/>
      <c r="AR353" s="452"/>
      <c r="AS353" s="452"/>
      <c r="AT353" s="452"/>
      <c r="AU353" s="452"/>
      <c r="AV353" s="553"/>
      <c r="AW353" s="452"/>
      <c r="AX353" s="452"/>
      <c r="AY353" s="452"/>
      <c r="AZ353" s="452"/>
      <c r="BA353" s="452"/>
      <c r="BB353" s="452"/>
      <c r="BC353" s="452"/>
      <c r="BD353" s="452"/>
      <c r="BE353" s="452"/>
      <c r="BF353" s="452"/>
      <c r="BG353" s="452"/>
      <c r="BH353" s="452"/>
      <c r="BI353" s="452"/>
      <c r="BJ353" s="452"/>
      <c r="BK353" s="452"/>
      <c r="BL353" s="554"/>
      <c r="BM353" s="557">
        <v>12</v>
      </c>
      <c r="BN353" s="92"/>
    </row>
    <row r="354" spans="1:99">
      <c r="A354" s="553"/>
      <c r="B354" s="432"/>
      <c r="C354" s="432"/>
      <c r="D354" s="432"/>
      <c r="E354" s="432"/>
      <c r="F354" s="432"/>
      <c r="G354" s="432"/>
      <c r="H354" s="432"/>
      <c r="I354" s="432"/>
      <c r="J354" s="432"/>
      <c r="K354" s="432"/>
      <c r="L354" s="432"/>
      <c r="M354" s="432"/>
      <c r="N354" s="432"/>
      <c r="O354" s="432"/>
      <c r="P354" s="421"/>
      <c r="Q354" s="553"/>
      <c r="R354" s="432"/>
      <c r="S354" s="432"/>
      <c r="T354" s="432"/>
      <c r="U354" s="432"/>
      <c r="V354" s="432"/>
      <c r="W354" s="432"/>
      <c r="X354" s="432"/>
      <c r="Y354" s="432"/>
      <c r="Z354" s="432"/>
      <c r="AA354" s="432"/>
      <c r="AB354" s="432"/>
      <c r="AC354" s="432"/>
      <c r="AD354" s="432"/>
      <c r="AE354" s="432"/>
      <c r="AF354" s="421"/>
      <c r="AG354" s="452"/>
      <c r="AH354" s="553"/>
      <c r="AI354" s="553"/>
      <c r="AJ354" s="553"/>
      <c r="AK354" s="553"/>
      <c r="AL354" s="553"/>
      <c r="AM354" s="553"/>
      <c r="AN354" s="553"/>
      <c r="AO354" s="553"/>
      <c r="AP354" s="553"/>
      <c r="AQ354" s="553"/>
      <c r="AR354" s="553"/>
      <c r="AS354" s="553"/>
      <c r="AT354" s="553"/>
      <c r="AU354" s="553"/>
      <c r="AV354" s="555"/>
      <c r="AW354" s="452"/>
      <c r="AX354" s="553"/>
      <c r="AY354" s="553"/>
      <c r="AZ354" s="553"/>
      <c r="BA354" s="553"/>
      <c r="BB354" s="553"/>
      <c r="BC354" s="553"/>
      <c r="BD354" s="553"/>
      <c r="BE354" s="553"/>
      <c r="BF354" s="553"/>
      <c r="BG354" s="553"/>
      <c r="BH354" s="553"/>
      <c r="BI354" s="553"/>
      <c r="BJ354" s="553"/>
      <c r="BK354" s="553"/>
      <c r="BL354" s="556"/>
      <c r="BM354" s="553"/>
      <c r="BN354" s="92"/>
    </row>
    <row r="355" spans="1:99">
      <c r="BM355" s="353"/>
      <c r="BN355" s="92"/>
      <c r="CT355">
        <v>2</v>
      </c>
      <c r="CU355">
        <v>2</v>
      </c>
    </row>
    <row r="356" spans="1:99">
      <c r="BM356" s="92"/>
      <c r="BN356" s="92"/>
      <c r="CT356">
        <v>2</v>
      </c>
      <c r="CU356">
        <v>2</v>
      </c>
    </row>
    <row r="357" spans="1:99">
      <c r="BM357" s="1">
        <v>40</v>
      </c>
      <c r="BN357" s="92"/>
      <c r="CT357">
        <v>2</v>
      </c>
      <c r="CU357">
        <v>2</v>
      </c>
    </row>
    <row r="358" spans="1:99">
      <c r="BM358" s="1"/>
      <c r="BN358" s="92"/>
      <c r="CT358">
        <v>2</v>
      </c>
      <c r="CU358">
        <v>2</v>
      </c>
    </row>
    <row r="359" spans="1:99">
      <c r="BM359" s="1"/>
      <c r="BN359" s="92"/>
      <c r="CT359">
        <v>2</v>
      </c>
      <c r="CU359">
        <v>2</v>
      </c>
    </row>
    <row r="360" spans="1:99">
      <c r="BM360" s="1"/>
      <c r="BN360" s="92"/>
      <c r="CT360">
        <v>2</v>
      </c>
      <c r="CU360">
        <v>2</v>
      </c>
    </row>
    <row r="361" spans="1:99">
      <c r="BM361" s="1"/>
      <c r="BN361" s="92"/>
      <c r="CT361">
        <v>2</v>
      </c>
      <c r="CU361">
        <v>2</v>
      </c>
    </row>
    <row r="362" spans="1:99">
      <c r="BM362" s="1"/>
      <c r="BN362" s="92"/>
      <c r="CT362">
        <v>2</v>
      </c>
      <c r="CU362">
        <v>2</v>
      </c>
    </row>
    <row r="363" spans="1:99">
      <c r="BM363" s="1"/>
      <c r="BN363" s="92"/>
      <c r="CT363">
        <v>2</v>
      </c>
      <c r="CU363">
        <v>2</v>
      </c>
    </row>
    <row r="364" spans="1:99">
      <c r="BM364" s="1"/>
      <c r="BN364" s="92"/>
      <c r="CT364">
        <v>2</v>
      </c>
      <c r="CU364">
        <v>2</v>
      </c>
    </row>
    <row r="365" spans="1:99">
      <c r="BM365" s="1"/>
      <c r="BN365" s="92"/>
      <c r="CT365">
        <v>2</v>
      </c>
      <c r="CU365">
        <v>2</v>
      </c>
    </row>
    <row r="366" spans="1:99">
      <c r="BM366" s="1"/>
      <c r="BN366" s="92"/>
      <c r="CT366">
        <v>2</v>
      </c>
      <c r="CU366">
        <v>2</v>
      </c>
    </row>
    <row r="367" spans="1:99">
      <c r="BM367" s="1"/>
      <c r="BN367" s="92"/>
      <c r="CT367">
        <v>2</v>
      </c>
      <c r="CU367">
        <v>2</v>
      </c>
    </row>
    <row r="368" spans="1:99">
      <c r="A368" s="432"/>
      <c r="B368" s="421"/>
      <c r="C368" s="421"/>
      <c r="D368" s="421"/>
      <c r="E368" s="421"/>
      <c r="F368" s="421"/>
      <c r="G368" s="421"/>
      <c r="H368" s="421"/>
      <c r="I368" s="421"/>
      <c r="J368" s="421"/>
      <c r="K368" s="421"/>
      <c r="L368" s="421"/>
      <c r="M368" s="421"/>
      <c r="N368" s="421"/>
      <c r="O368" s="421"/>
      <c r="P368" s="421"/>
      <c r="Q368" s="432"/>
      <c r="R368" s="421"/>
      <c r="S368" s="421"/>
      <c r="T368" s="421"/>
      <c r="U368" s="421"/>
      <c r="V368" s="421"/>
      <c r="W368" s="421"/>
      <c r="X368" s="421"/>
      <c r="Y368" s="421"/>
      <c r="Z368" s="421"/>
      <c r="AA368" s="421"/>
      <c r="AB368" s="421"/>
      <c r="AC368" s="421"/>
      <c r="AD368" s="421"/>
      <c r="AE368" s="421"/>
      <c r="AF368" s="421"/>
      <c r="AG368" s="553"/>
      <c r="AH368" s="555"/>
      <c r="AI368" s="555"/>
      <c r="AJ368" s="555"/>
      <c r="AK368" s="555"/>
      <c r="AL368" s="555"/>
      <c r="AM368" s="555"/>
      <c r="AN368" s="555"/>
      <c r="AO368" s="555"/>
      <c r="AP368" s="555"/>
      <c r="AQ368" s="555"/>
      <c r="AR368" s="555"/>
      <c r="AS368" s="555"/>
      <c r="AT368" s="555"/>
      <c r="AU368" s="555"/>
      <c r="AV368" s="555"/>
      <c r="AW368" s="553"/>
      <c r="AX368" s="555"/>
      <c r="AY368" s="555"/>
      <c r="AZ368" s="555"/>
      <c r="BA368" s="555"/>
      <c r="BB368" s="555"/>
      <c r="BC368" s="555"/>
      <c r="BD368" s="555"/>
      <c r="BE368" s="555"/>
      <c r="BF368" s="555"/>
      <c r="BG368" s="555"/>
      <c r="BH368" s="555"/>
      <c r="BI368" s="555"/>
      <c r="BJ368" s="555"/>
      <c r="BK368" s="555"/>
      <c r="BL368" s="556"/>
      <c r="BM368" s="1"/>
      <c r="BN368" s="92"/>
    </row>
    <row r="369" spans="1:99">
      <c r="A369" s="553"/>
      <c r="B369" s="553"/>
      <c r="C369" s="553"/>
      <c r="D369" s="553"/>
      <c r="E369" s="553"/>
      <c r="F369" s="553"/>
      <c r="G369" s="553"/>
      <c r="H369" s="553"/>
      <c r="I369" s="553"/>
      <c r="J369" s="553"/>
      <c r="K369" s="553"/>
      <c r="L369" s="553"/>
      <c r="M369" s="553"/>
      <c r="N369" s="553"/>
      <c r="O369" s="553"/>
      <c r="P369" s="432"/>
      <c r="Q369" s="553"/>
      <c r="R369" s="553"/>
      <c r="S369" s="553"/>
      <c r="T369" s="553"/>
      <c r="U369" s="553"/>
      <c r="V369" s="553"/>
      <c r="W369" s="553"/>
      <c r="X369" s="553"/>
      <c r="Y369" s="553"/>
      <c r="Z369" s="553"/>
      <c r="AA369" s="553"/>
      <c r="AB369" s="553"/>
      <c r="AC369" s="553"/>
      <c r="AD369" s="553"/>
      <c r="AE369" s="553"/>
      <c r="AF369" s="432"/>
      <c r="AG369" s="452"/>
      <c r="AH369" s="452"/>
      <c r="AI369" s="452"/>
      <c r="AJ369" s="452"/>
      <c r="AK369" s="452"/>
      <c r="AL369" s="452"/>
      <c r="AM369" s="452"/>
      <c r="AN369" s="452"/>
      <c r="AO369" s="452"/>
      <c r="AP369" s="452"/>
      <c r="AQ369" s="452"/>
      <c r="AR369" s="452"/>
      <c r="AS369" s="452"/>
      <c r="AT369" s="452"/>
      <c r="AU369" s="452"/>
      <c r="AV369" s="557"/>
      <c r="AW369" s="452"/>
      <c r="AX369" s="452"/>
      <c r="AY369" s="452"/>
      <c r="AZ369" s="452"/>
      <c r="BA369" s="452"/>
      <c r="BB369" s="452"/>
      <c r="BC369" s="452"/>
      <c r="BD369" s="452"/>
      <c r="BE369" s="452"/>
      <c r="BF369" s="452"/>
      <c r="BG369" s="452"/>
      <c r="BH369" s="452"/>
      <c r="BI369" s="452"/>
      <c r="BJ369" s="452"/>
      <c r="BK369" s="452"/>
      <c r="BL369" s="554"/>
      <c r="BM369" s="1"/>
      <c r="BN369" s="92"/>
    </row>
    <row r="370" spans="1:99">
      <c r="BM370" s="1"/>
      <c r="BN370" s="92"/>
      <c r="CT370">
        <v>2</v>
      </c>
      <c r="CU370">
        <v>2</v>
      </c>
    </row>
    <row r="371" spans="1:99">
      <c r="BM371" s="1"/>
      <c r="BN371" s="92"/>
      <c r="CT371">
        <v>2</v>
      </c>
      <c r="CU371">
        <v>2</v>
      </c>
    </row>
    <row r="372" spans="1:99">
      <c r="BM372" s="1"/>
      <c r="BN372" s="92"/>
      <c r="CT372">
        <v>2</v>
      </c>
      <c r="CU372">
        <v>2</v>
      </c>
    </row>
    <row r="373" spans="1:99">
      <c r="BM373" s="1"/>
      <c r="BN373" s="92"/>
      <c r="CT373">
        <v>2</v>
      </c>
      <c r="CU373">
        <v>2</v>
      </c>
    </row>
    <row r="374" spans="1:99">
      <c r="BM374" s="1"/>
      <c r="BN374" s="92"/>
      <c r="CT374">
        <v>2</v>
      </c>
      <c r="CU374">
        <v>2</v>
      </c>
    </row>
    <row r="375" spans="1:99">
      <c r="BM375" s="1"/>
      <c r="BN375" s="92"/>
      <c r="CT375">
        <v>2</v>
      </c>
      <c r="CU375">
        <v>2</v>
      </c>
    </row>
    <row r="376" spans="1:99">
      <c r="BM376" s="1"/>
      <c r="BN376" s="92"/>
      <c r="CT376">
        <v>2</v>
      </c>
      <c r="CU376">
        <v>2</v>
      </c>
    </row>
    <row r="377" spans="1:99">
      <c r="BM377" s="1"/>
      <c r="BN377" s="92"/>
      <c r="CT377">
        <v>2</v>
      </c>
      <c r="CU377">
        <v>2</v>
      </c>
    </row>
    <row r="378" spans="1:99">
      <c r="BM378" s="1"/>
      <c r="BN378" s="92"/>
      <c r="CT378">
        <v>2</v>
      </c>
      <c r="CU378">
        <v>2</v>
      </c>
    </row>
    <row r="379" spans="1:99">
      <c r="BM379" s="1"/>
      <c r="BN379" s="92"/>
      <c r="CT379">
        <v>2</v>
      </c>
      <c r="CU379">
        <v>2</v>
      </c>
    </row>
    <row r="380" spans="1:99">
      <c r="BM380" s="1"/>
      <c r="BN380" s="92"/>
      <c r="CT380">
        <v>2</v>
      </c>
      <c r="CU380">
        <v>2</v>
      </c>
    </row>
    <row r="381" spans="1:99">
      <c r="BM381" s="1"/>
      <c r="BN381" s="92"/>
      <c r="CT381">
        <v>2</v>
      </c>
      <c r="CU381">
        <v>2</v>
      </c>
    </row>
    <row r="382" spans="1:99">
      <c r="BM382" s="1"/>
      <c r="BN382" s="92"/>
      <c r="CT382">
        <v>2</v>
      </c>
      <c r="CU382">
        <v>2</v>
      </c>
    </row>
    <row r="383" spans="1:99">
      <c r="BM383" s="1"/>
      <c r="BN383" s="92"/>
      <c r="CT383">
        <v>2</v>
      </c>
      <c r="CU383">
        <v>2</v>
      </c>
    </row>
    <row r="384" spans="1:99">
      <c r="BM384" s="176"/>
      <c r="BN384" s="103"/>
      <c r="CT384">
        <v>16</v>
      </c>
      <c r="CU384">
        <v>16</v>
      </c>
    </row>
    <row r="385" spans="1:100">
      <c r="A385" s="553"/>
      <c r="B385" s="553"/>
      <c r="C385" s="553"/>
      <c r="D385" s="553"/>
      <c r="E385" s="553"/>
      <c r="F385" s="553"/>
      <c r="G385" s="553"/>
      <c r="H385" s="553"/>
      <c r="I385" s="553"/>
      <c r="J385" s="553"/>
      <c r="K385" s="553"/>
      <c r="L385" s="553"/>
      <c r="M385" s="553"/>
      <c r="N385" s="553"/>
      <c r="O385" s="553"/>
      <c r="P385" s="432"/>
      <c r="Q385" s="553"/>
      <c r="R385" s="553"/>
      <c r="S385" s="553"/>
      <c r="T385" s="553"/>
      <c r="U385" s="553"/>
      <c r="V385" s="553"/>
      <c r="W385" s="553"/>
      <c r="X385" s="553"/>
      <c r="Y385" s="553"/>
      <c r="Z385" s="553"/>
      <c r="AA385" s="553"/>
      <c r="AB385" s="553"/>
      <c r="AC385" s="553"/>
      <c r="AD385" s="553"/>
      <c r="AE385" s="553"/>
      <c r="AF385" s="432"/>
      <c r="AG385" s="429"/>
      <c r="AH385" s="429"/>
      <c r="AI385" s="429"/>
      <c r="AJ385" s="429"/>
      <c r="AK385" s="429"/>
      <c r="AL385" s="429"/>
      <c r="AM385" s="429"/>
      <c r="AN385" s="429"/>
      <c r="AO385" s="429"/>
      <c r="AP385" s="429"/>
      <c r="AQ385" s="429"/>
      <c r="AR385" s="429"/>
      <c r="AS385" s="429"/>
      <c r="AT385" s="429"/>
      <c r="AU385" s="429"/>
      <c r="AV385" s="429"/>
      <c r="AW385" s="429"/>
      <c r="AX385" s="429"/>
      <c r="AY385" s="429"/>
      <c r="AZ385" s="429"/>
      <c r="BA385" s="429"/>
      <c r="BB385" s="429"/>
      <c r="BC385" s="429"/>
      <c r="BD385" s="429"/>
      <c r="BE385" s="429"/>
      <c r="BF385" s="429"/>
      <c r="BG385" s="429"/>
      <c r="BH385" s="429"/>
      <c r="BI385" s="429"/>
      <c r="BJ385" s="429"/>
      <c r="BK385" s="429"/>
      <c r="BL385" s="429"/>
      <c r="BM385" s="297">
        <v>13</v>
      </c>
      <c r="BN385" s="180"/>
      <c r="BO385" s="199"/>
      <c r="BP385" s="199"/>
      <c r="BQ385" s="178"/>
    </row>
    <row r="386" spans="1:100">
      <c r="A386" s="553"/>
      <c r="B386" s="432"/>
      <c r="C386" s="432"/>
      <c r="D386" s="432"/>
      <c r="E386" s="432"/>
      <c r="F386" s="432"/>
      <c r="G386" s="432"/>
      <c r="H386" s="432"/>
      <c r="I386" s="432"/>
      <c r="J386" s="432"/>
      <c r="K386" s="432"/>
      <c r="L386" s="432"/>
      <c r="M386" s="432"/>
      <c r="N386" s="432"/>
      <c r="O386" s="432"/>
      <c r="P386" s="421"/>
      <c r="Q386" s="553"/>
      <c r="R386" s="432"/>
      <c r="S386" s="432"/>
      <c r="T386" s="432"/>
      <c r="U386" s="432"/>
      <c r="V386" s="432"/>
      <c r="W386" s="432"/>
      <c r="X386" s="432"/>
      <c r="Y386" s="432"/>
      <c r="Z386" s="432"/>
      <c r="AA386" s="432"/>
      <c r="AB386" s="432"/>
      <c r="AC386" s="432"/>
      <c r="AD386" s="432"/>
      <c r="AE386" s="432"/>
      <c r="AF386" s="421"/>
      <c r="AG386" s="429"/>
      <c r="AH386" s="557"/>
      <c r="AI386" s="565"/>
      <c r="AJ386" s="291"/>
      <c r="AK386" s="291"/>
      <c r="AL386" s="291"/>
      <c r="AM386" s="291"/>
      <c r="AN386" s="291"/>
      <c r="AO386" s="291"/>
      <c r="AP386" s="291"/>
      <c r="AQ386" s="291"/>
      <c r="AR386" s="291"/>
      <c r="AS386" s="291"/>
      <c r="AT386" s="291"/>
      <c r="AU386" s="291"/>
      <c r="AV386" s="557"/>
      <c r="AW386" s="429"/>
      <c r="AX386" s="291"/>
      <c r="AY386" s="291"/>
      <c r="AZ386" s="291"/>
      <c r="BA386" s="291"/>
      <c r="BB386" s="291"/>
      <c r="BC386" s="291"/>
      <c r="BD386" s="291"/>
      <c r="BE386" s="291"/>
      <c r="BF386" s="291"/>
      <c r="BG386" s="291"/>
      <c r="BH386" s="291"/>
      <c r="BI386" s="291"/>
      <c r="BJ386" s="557"/>
      <c r="BK386" s="565"/>
      <c r="BL386" s="206"/>
      <c r="BM386" s="565"/>
      <c r="BN386" s="199"/>
      <c r="BO386" s="557"/>
      <c r="BP386" s="565"/>
      <c r="BQ386" s="291"/>
    </row>
    <row r="387" spans="1:100">
      <c r="AG387" s="429"/>
      <c r="AH387" s="555"/>
      <c r="AI387" s="206"/>
      <c r="AJ387" s="291"/>
      <c r="AK387" s="291"/>
      <c r="AL387" s="291"/>
      <c r="AM387" s="291"/>
      <c r="AN387" s="291"/>
      <c r="AO387" s="291"/>
      <c r="AP387" s="291"/>
      <c r="AQ387" s="291"/>
      <c r="AR387" s="291"/>
      <c r="AS387" s="291"/>
      <c r="AT387" s="291"/>
      <c r="AU387" s="291"/>
      <c r="AV387" s="555"/>
      <c r="AW387" s="206"/>
      <c r="AX387" s="291"/>
      <c r="AY387" s="291"/>
      <c r="AZ387" s="291"/>
      <c r="BA387" s="291"/>
      <c r="BB387" s="291"/>
      <c r="BC387" s="291"/>
      <c r="BD387" s="291"/>
      <c r="BE387" s="291"/>
      <c r="BF387" s="291"/>
      <c r="BG387" s="291"/>
      <c r="BH387" s="291"/>
      <c r="BI387" s="291"/>
      <c r="BJ387" s="555"/>
      <c r="BK387" s="206"/>
      <c r="BL387" s="206"/>
      <c r="BM387" s="354"/>
      <c r="BN387" s="199"/>
      <c r="BO387" s="555"/>
      <c r="BP387" s="206"/>
      <c r="BQ387" s="291"/>
      <c r="CT387">
        <v>2</v>
      </c>
    </row>
    <row r="388" spans="1:100">
      <c r="A388" s="553"/>
      <c r="B388" s="432"/>
      <c r="C388" s="432"/>
      <c r="D388" s="297"/>
      <c r="E388" s="297"/>
      <c r="F388" s="297"/>
      <c r="G388" s="297"/>
      <c r="H388" s="432"/>
      <c r="I388" s="432"/>
      <c r="J388" s="432"/>
      <c r="K388" s="297"/>
      <c r="L388" s="297"/>
      <c r="M388" s="297"/>
      <c r="N388" s="297"/>
      <c r="O388" s="432"/>
      <c r="P388" s="421"/>
      <c r="Q388" s="553"/>
      <c r="R388" s="432"/>
      <c r="S388" s="297"/>
      <c r="T388" s="297"/>
      <c r="U388" s="297"/>
      <c r="V388" s="297"/>
      <c r="W388" s="432"/>
      <c r="X388" s="432"/>
      <c r="Y388" s="432"/>
      <c r="Z388" s="297"/>
      <c r="AA388" s="297"/>
      <c r="AB388" s="297"/>
      <c r="AC388" s="297"/>
      <c r="AD388" s="432"/>
      <c r="AE388" s="432"/>
      <c r="AF388" s="421"/>
      <c r="AG388" s="429"/>
      <c r="AH388" s="291"/>
      <c r="AI388" s="291"/>
      <c r="AJ388" s="565"/>
      <c r="AK388" s="565"/>
      <c r="AL388" s="565"/>
      <c r="AM388" s="565"/>
      <c r="AN388" s="206"/>
      <c r="AO388" s="291"/>
      <c r="AP388" s="291"/>
      <c r="AQ388" s="565"/>
      <c r="AR388" s="565"/>
      <c r="AS388" s="565"/>
      <c r="AT388" s="565"/>
      <c r="AU388" s="206"/>
      <c r="AV388" s="291"/>
      <c r="AW388" s="291"/>
      <c r="AX388" s="565"/>
      <c r="AY388" s="565"/>
      <c r="AZ388" s="565"/>
      <c r="BA388" s="565"/>
      <c r="BB388" s="206"/>
      <c r="BC388" s="291"/>
      <c r="BD388" s="291"/>
      <c r="BE388" s="565"/>
      <c r="BF388" s="565"/>
      <c r="BG388" s="565"/>
      <c r="BH388" s="565"/>
      <c r="BI388" s="206"/>
      <c r="BJ388" s="291"/>
      <c r="BK388" s="291"/>
      <c r="BL388" s="206"/>
      <c r="BM388" s="1">
        <v>100</v>
      </c>
      <c r="BN388" s="199"/>
      <c r="BO388" s="199"/>
      <c r="BP388" s="199"/>
      <c r="BQ388" s="291"/>
    </row>
    <row r="389" spans="1:100">
      <c r="AG389" s="429"/>
      <c r="AH389" s="291"/>
      <c r="AI389" s="291"/>
      <c r="AJ389" s="565"/>
      <c r="AK389" s="322"/>
      <c r="AL389" s="322"/>
      <c r="AM389" s="322"/>
      <c r="AN389" s="429"/>
      <c r="AO389" s="291"/>
      <c r="AP389" s="291"/>
      <c r="AQ389" s="565"/>
      <c r="AR389" s="322"/>
      <c r="AS389" s="322"/>
      <c r="AT389" s="322"/>
      <c r="AU389" s="429"/>
      <c r="AV389" s="291"/>
      <c r="AW389" s="291"/>
      <c r="AX389" s="565"/>
      <c r="AY389" s="322"/>
      <c r="AZ389" s="322"/>
      <c r="BA389" s="322"/>
      <c r="BB389" s="429"/>
      <c r="BC389" s="291"/>
      <c r="BD389" s="291"/>
      <c r="BE389" s="565"/>
      <c r="BF389" s="322"/>
      <c r="BG389" s="322"/>
      <c r="BH389" s="322"/>
      <c r="BI389" s="429"/>
      <c r="BJ389" s="291"/>
      <c r="BK389" s="291"/>
      <c r="BL389" s="206"/>
      <c r="BM389" s="1">
        <v>60</v>
      </c>
      <c r="BN389" s="199"/>
      <c r="BO389" s="191"/>
      <c r="BP389" s="191"/>
      <c r="BQ389" s="291"/>
      <c r="CT389">
        <v>4</v>
      </c>
    </row>
    <row r="390" spans="1:100">
      <c r="BM390" s="1"/>
      <c r="CT390">
        <v>4</v>
      </c>
      <c r="CU390">
        <v>5</v>
      </c>
      <c r="CV390">
        <v>5</v>
      </c>
    </row>
    <row r="391" spans="1:100">
      <c r="BM391" s="1"/>
      <c r="CT391">
        <v>4</v>
      </c>
      <c r="CU391">
        <v>5</v>
      </c>
      <c r="CV391">
        <v>5</v>
      </c>
    </row>
    <row r="392" spans="1:100">
      <c r="BM392" s="1"/>
      <c r="CT392">
        <v>4</v>
      </c>
      <c r="CU392">
        <v>5</v>
      </c>
      <c r="CV392">
        <v>5</v>
      </c>
    </row>
    <row r="393" spans="1:100">
      <c r="BM393" s="1"/>
      <c r="CT393">
        <v>4</v>
      </c>
      <c r="CU393">
        <v>5</v>
      </c>
      <c r="CV393">
        <v>5</v>
      </c>
    </row>
    <row r="394" spans="1:100">
      <c r="BM394" s="1"/>
      <c r="CT394">
        <v>4</v>
      </c>
      <c r="CU394">
        <v>5</v>
      </c>
      <c r="CV394">
        <v>5</v>
      </c>
    </row>
    <row r="395" spans="1:100">
      <c r="BM395" s="1"/>
      <c r="CT395">
        <v>4</v>
      </c>
      <c r="CU395">
        <v>5</v>
      </c>
      <c r="CV395">
        <v>5</v>
      </c>
    </row>
    <row r="396" spans="1:100">
      <c r="BM396" s="1"/>
      <c r="CT396">
        <v>4</v>
      </c>
      <c r="CU396">
        <v>5</v>
      </c>
      <c r="CV396">
        <v>5</v>
      </c>
    </row>
    <row r="397" spans="1:100">
      <c r="BM397" s="1"/>
      <c r="CT397">
        <v>4</v>
      </c>
      <c r="CU397">
        <v>5</v>
      </c>
      <c r="CV397">
        <v>5</v>
      </c>
    </row>
    <row r="398" spans="1:100">
      <c r="BM398" s="1"/>
      <c r="CT398">
        <v>4</v>
      </c>
      <c r="CU398">
        <v>5</v>
      </c>
      <c r="CV398">
        <v>5</v>
      </c>
    </row>
    <row r="399" spans="1:100">
      <c r="BM399" s="1"/>
      <c r="BN399" s="199"/>
      <c r="BO399" s="291"/>
      <c r="BP399" s="291"/>
      <c r="BQ399" s="291"/>
      <c r="CT399">
        <v>4</v>
      </c>
      <c r="CU399">
        <v>5</v>
      </c>
    </row>
    <row r="400" spans="1:100">
      <c r="A400" s="432"/>
      <c r="B400" s="421"/>
      <c r="C400" s="421"/>
      <c r="D400" s="432"/>
      <c r="E400" s="432"/>
      <c r="F400" s="432"/>
      <c r="G400" s="432"/>
      <c r="H400" s="421"/>
      <c r="I400" s="421"/>
      <c r="J400" s="421"/>
      <c r="K400" s="432"/>
      <c r="L400" s="432"/>
      <c r="M400" s="432"/>
      <c r="N400" s="432"/>
      <c r="O400" s="421"/>
      <c r="P400" s="421"/>
      <c r="Q400" s="432"/>
      <c r="R400" s="421"/>
      <c r="S400" s="432"/>
      <c r="T400" s="432"/>
      <c r="U400" s="432"/>
      <c r="V400" s="432"/>
      <c r="W400" s="421"/>
      <c r="X400" s="421"/>
      <c r="Y400" s="421"/>
      <c r="Z400" s="432"/>
      <c r="AA400" s="432"/>
      <c r="AB400" s="432"/>
      <c r="AC400" s="432"/>
      <c r="AD400" s="421"/>
      <c r="AE400" s="421"/>
      <c r="AF400" s="421"/>
      <c r="AG400" s="429"/>
      <c r="AH400" s="557"/>
      <c r="AI400" s="565"/>
      <c r="AJ400" s="565"/>
      <c r="AK400" s="322"/>
      <c r="AL400" s="322"/>
      <c r="AM400" s="322"/>
      <c r="AN400" s="429"/>
      <c r="AO400" s="291"/>
      <c r="AP400" s="291"/>
      <c r="AQ400" s="565"/>
      <c r="AR400" s="322"/>
      <c r="AS400" s="322"/>
      <c r="AT400" s="322"/>
      <c r="AU400" s="429"/>
      <c r="AV400" s="291"/>
      <c r="AW400" s="291"/>
      <c r="AX400" s="565"/>
      <c r="AY400" s="322"/>
      <c r="AZ400" s="322"/>
      <c r="BA400" s="322"/>
      <c r="BB400" s="429"/>
      <c r="BC400" s="291"/>
      <c r="BD400" s="291"/>
      <c r="BE400" s="565"/>
      <c r="BF400" s="322"/>
      <c r="BG400" s="322"/>
      <c r="BH400" s="322"/>
      <c r="BI400" s="429"/>
      <c r="BJ400" s="557"/>
      <c r="BK400" s="565"/>
      <c r="BL400" s="206"/>
      <c r="BM400" s="1"/>
      <c r="CV400">
        <v>2</v>
      </c>
    </row>
    <row r="401" spans="1:100">
      <c r="A401" s="553"/>
      <c r="B401" s="553"/>
      <c r="C401" s="553"/>
      <c r="D401" s="553"/>
      <c r="E401" s="553"/>
      <c r="F401" s="553"/>
      <c r="G401" s="553"/>
      <c r="H401" s="553"/>
      <c r="I401" s="553"/>
      <c r="J401" s="553"/>
      <c r="K401" s="553"/>
      <c r="L401" s="553"/>
      <c r="M401" s="553"/>
      <c r="N401" s="553"/>
      <c r="O401" s="553"/>
      <c r="P401" s="432"/>
      <c r="Q401" s="553"/>
      <c r="R401" s="553"/>
      <c r="S401" s="553"/>
      <c r="T401" s="553"/>
      <c r="U401" s="553"/>
      <c r="V401" s="553"/>
      <c r="W401" s="553"/>
      <c r="X401" s="553"/>
      <c r="Y401" s="553"/>
      <c r="Z401" s="553"/>
      <c r="AA401" s="553"/>
      <c r="AB401" s="553"/>
      <c r="AC401" s="553"/>
      <c r="AD401" s="553"/>
      <c r="AE401" s="553"/>
      <c r="AF401" s="432"/>
      <c r="AG401" s="429"/>
      <c r="AH401" s="555"/>
      <c r="AI401" s="206"/>
      <c r="AJ401" s="565"/>
      <c r="AK401" s="322"/>
      <c r="AL401" s="322"/>
      <c r="AM401" s="322"/>
      <c r="AN401" s="429"/>
      <c r="AO401" s="291"/>
      <c r="AP401" s="291"/>
      <c r="AQ401" s="565"/>
      <c r="AR401" s="322"/>
      <c r="AS401" s="322"/>
      <c r="AT401" s="322"/>
      <c r="AU401" s="429"/>
      <c r="AV401" s="291"/>
      <c r="AW401" s="291"/>
      <c r="AX401" s="565"/>
      <c r="AY401" s="322"/>
      <c r="AZ401" s="322"/>
      <c r="BA401" s="322"/>
      <c r="BB401" s="429"/>
      <c r="BC401" s="291"/>
      <c r="BD401" s="291"/>
      <c r="BE401" s="565"/>
      <c r="BF401" s="322"/>
      <c r="BG401" s="322"/>
      <c r="BH401" s="322"/>
      <c r="BI401" s="429"/>
      <c r="BJ401" s="555"/>
      <c r="BK401" s="206"/>
      <c r="BL401" s="206"/>
      <c r="BM401" s="1"/>
      <c r="CV401">
        <v>3</v>
      </c>
    </row>
    <row r="402" spans="1:100">
      <c r="BM402" s="1"/>
      <c r="CT402">
        <v>4</v>
      </c>
      <c r="CU402">
        <v>5</v>
      </c>
      <c r="CV402">
        <v>4</v>
      </c>
    </row>
    <row r="403" spans="1:100">
      <c r="BM403" s="1"/>
      <c r="CT403">
        <v>4</v>
      </c>
      <c r="CU403">
        <v>5</v>
      </c>
      <c r="CV403">
        <v>5</v>
      </c>
    </row>
    <row r="404" spans="1:100">
      <c r="BM404" s="1"/>
      <c r="CT404">
        <v>4</v>
      </c>
      <c r="CU404">
        <v>5</v>
      </c>
      <c r="CV404">
        <v>5</v>
      </c>
    </row>
    <row r="405" spans="1:100">
      <c r="BM405" s="1"/>
      <c r="CT405">
        <v>4</v>
      </c>
      <c r="CU405">
        <v>5</v>
      </c>
      <c r="CV405">
        <v>5</v>
      </c>
    </row>
    <row r="406" spans="1:100">
      <c r="BM406" s="1"/>
      <c r="CT406">
        <v>4</v>
      </c>
      <c r="CU406">
        <v>5</v>
      </c>
      <c r="CV406">
        <v>5</v>
      </c>
    </row>
    <row r="407" spans="1:100">
      <c r="BM407" s="1"/>
      <c r="CT407">
        <v>4</v>
      </c>
      <c r="CU407">
        <v>5</v>
      </c>
      <c r="CV407">
        <v>5</v>
      </c>
    </row>
    <row r="408" spans="1:100">
      <c r="BM408" s="1"/>
      <c r="CT408">
        <v>4</v>
      </c>
      <c r="CU408">
        <v>5</v>
      </c>
      <c r="CV408">
        <v>5</v>
      </c>
    </row>
    <row r="409" spans="1:100">
      <c r="BM409" s="1"/>
      <c r="CT409">
        <v>4</v>
      </c>
      <c r="CU409">
        <v>5</v>
      </c>
      <c r="CV409">
        <v>5</v>
      </c>
    </row>
    <row r="410" spans="1:100">
      <c r="BM410" s="1"/>
      <c r="CT410">
        <v>4</v>
      </c>
      <c r="CU410">
        <v>5</v>
      </c>
      <c r="CV410">
        <v>5</v>
      </c>
    </row>
    <row r="411" spans="1:100">
      <c r="BM411" s="1"/>
      <c r="CT411">
        <v>4</v>
      </c>
      <c r="CU411">
        <v>5</v>
      </c>
      <c r="CV411">
        <v>5</v>
      </c>
    </row>
    <row r="412" spans="1:100">
      <c r="BM412" s="1"/>
      <c r="CT412">
        <v>4</v>
      </c>
      <c r="CU412">
        <v>5</v>
      </c>
      <c r="CV412">
        <v>5</v>
      </c>
    </row>
    <row r="413" spans="1:100">
      <c r="AG413" s="429"/>
      <c r="AH413" s="291"/>
      <c r="AI413" s="291"/>
      <c r="AJ413" s="206"/>
      <c r="AK413" s="429"/>
      <c r="AL413" s="429"/>
      <c r="AM413" s="429"/>
      <c r="AN413" s="429"/>
      <c r="AO413" s="291"/>
      <c r="AP413" s="291"/>
      <c r="AQ413" s="206"/>
      <c r="AR413" s="429"/>
      <c r="AS413" s="429"/>
      <c r="AT413" s="429"/>
      <c r="AU413" s="429"/>
      <c r="AV413" s="291"/>
      <c r="AW413" s="291"/>
      <c r="AX413" s="206"/>
      <c r="AY413" s="429"/>
      <c r="AZ413" s="429"/>
      <c r="BA413" s="429"/>
      <c r="BB413" s="429"/>
      <c r="BC413" s="291"/>
      <c r="BD413" s="291"/>
      <c r="BE413" s="206"/>
      <c r="BF413" s="429"/>
      <c r="BG413" s="429"/>
      <c r="BH413" s="429"/>
      <c r="BI413" s="429"/>
      <c r="BJ413" s="291"/>
      <c r="BK413" s="291"/>
      <c r="BL413" s="206"/>
      <c r="BM413" s="1"/>
      <c r="CT413">
        <v>4</v>
      </c>
      <c r="CV413">
        <v>15</v>
      </c>
    </row>
    <row r="414" spans="1:100">
      <c r="BM414" s="1"/>
      <c r="CT414">
        <v>2</v>
      </c>
      <c r="CU414">
        <v>2</v>
      </c>
      <c r="CV414">
        <v>2</v>
      </c>
    </row>
    <row r="415" spans="1:100">
      <c r="BM415" s="1"/>
      <c r="CT415">
        <v>2</v>
      </c>
      <c r="CU415">
        <v>3</v>
      </c>
      <c r="CV415">
        <v>3</v>
      </c>
    </row>
    <row r="416" spans="1:100">
      <c r="A416" s="432"/>
      <c r="B416" s="421"/>
      <c r="C416" s="421"/>
      <c r="D416" s="421"/>
      <c r="E416" s="421"/>
      <c r="F416" s="421"/>
      <c r="G416" s="421"/>
      <c r="H416" s="421"/>
      <c r="I416" s="421"/>
      <c r="J416" s="421"/>
      <c r="K416" s="421"/>
      <c r="L416" s="421"/>
      <c r="M416" s="421"/>
      <c r="N416" s="421"/>
      <c r="O416" s="421"/>
      <c r="P416" s="421"/>
      <c r="Q416" s="432"/>
      <c r="R416" s="421"/>
      <c r="S416" s="421"/>
      <c r="T416" s="421"/>
      <c r="U416" s="421"/>
      <c r="V416" s="421"/>
      <c r="W416" s="421"/>
      <c r="X416" s="421"/>
      <c r="Y416" s="421"/>
      <c r="Z416" s="421"/>
      <c r="AA416" s="421"/>
      <c r="AB416" s="421"/>
      <c r="AC416" s="421"/>
      <c r="AD416" s="421"/>
      <c r="AE416" s="421"/>
      <c r="AF416" s="421"/>
      <c r="AG416" s="206"/>
      <c r="AH416" s="206"/>
      <c r="AI416" s="206"/>
      <c r="AJ416" s="206"/>
      <c r="AK416" s="206"/>
      <c r="AL416" s="206"/>
      <c r="AM416" s="206"/>
      <c r="AN416" s="206"/>
      <c r="AO416" s="206"/>
      <c r="AP416" s="206"/>
      <c r="AQ416" s="206"/>
      <c r="AR416" s="206"/>
      <c r="AS416" s="206"/>
      <c r="AT416" s="206"/>
      <c r="AU416" s="206"/>
      <c r="AV416" s="206"/>
      <c r="AW416" s="206"/>
      <c r="AX416" s="206"/>
      <c r="AY416" s="206"/>
      <c r="AZ416" s="206"/>
      <c r="BA416" s="206"/>
      <c r="BB416" s="206"/>
      <c r="BC416" s="206"/>
      <c r="BD416" s="206"/>
      <c r="BE416" s="206"/>
      <c r="BF416" s="206"/>
      <c r="BG416" s="206"/>
      <c r="BH416" s="206"/>
      <c r="BI416" s="206"/>
      <c r="BJ416" s="206"/>
      <c r="BK416" s="206"/>
      <c r="BL416" s="206"/>
      <c r="BM416" s="176"/>
      <c r="BN416" s="178"/>
      <c r="BO416" s="81"/>
      <c r="BP416" s="81"/>
      <c r="BQ416" s="179"/>
    </row>
    <row r="417" spans="1:100">
      <c r="A417" s="298"/>
      <c r="B417" s="298"/>
      <c r="C417" s="298"/>
      <c r="D417" s="294"/>
      <c r="E417" s="294"/>
      <c r="F417" s="294"/>
      <c r="G417" s="294"/>
      <c r="H417" s="298"/>
      <c r="I417" s="298"/>
      <c r="J417" s="207"/>
      <c r="K417" s="294"/>
      <c r="L417" s="294"/>
      <c r="M417" s="298"/>
      <c r="N417" s="298"/>
      <c r="O417" s="294"/>
      <c r="P417" s="207"/>
      <c r="Q417" s="298"/>
      <c r="R417" s="298"/>
      <c r="S417" s="298"/>
      <c r="T417" s="298"/>
      <c r="U417" s="294"/>
      <c r="V417" s="294"/>
      <c r="W417" s="298"/>
      <c r="X417" s="294"/>
      <c r="Y417" s="294"/>
      <c r="Z417" s="294"/>
      <c r="AA417" s="294"/>
      <c r="AB417" s="294"/>
      <c r="AC417" s="294"/>
      <c r="AD417" s="207"/>
      <c r="AE417" s="294"/>
      <c r="AF417" s="294"/>
      <c r="AG417" s="201"/>
      <c r="AH417" s="291"/>
      <c r="AI417" s="291"/>
      <c r="AJ417" s="291"/>
      <c r="AK417" s="291"/>
      <c r="AL417" s="201"/>
      <c r="AM417" s="201"/>
      <c r="AN417" s="291"/>
      <c r="AO417" s="291"/>
      <c r="AP417" s="201"/>
      <c r="AQ417" s="201"/>
      <c r="AR417" s="201"/>
      <c r="AS417" s="201"/>
      <c r="AT417" s="291"/>
      <c r="AU417" s="291"/>
      <c r="AV417" s="201"/>
      <c r="AW417" s="201"/>
      <c r="AX417" s="201"/>
      <c r="AY417" s="201"/>
      <c r="AZ417" s="291"/>
      <c r="BA417" s="291"/>
      <c r="BB417" s="291"/>
      <c r="BC417" s="291"/>
      <c r="BD417" s="291"/>
      <c r="BE417" s="291"/>
      <c r="BF417" s="291"/>
      <c r="BG417" s="291"/>
      <c r="BH417" s="291"/>
      <c r="BI417" s="291"/>
      <c r="BJ417" s="291"/>
      <c r="BK417" s="291"/>
      <c r="BL417" s="201"/>
      <c r="BM417" s="298">
        <v>14</v>
      </c>
      <c r="BN417" s="200"/>
      <c r="BO417" s="200"/>
      <c r="BP417" s="200"/>
      <c r="BQ417" s="200"/>
      <c r="BR417" s="200"/>
      <c r="BS417" s="200"/>
      <c r="BT417" s="305"/>
      <c r="BU417" s="200"/>
      <c r="BV417" s="200"/>
      <c r="BW417" s="200"/>
      <c r="BX417" s="200"/>
      <c r="BY417" s="200"/>
      <c r="BZ417" s="200"/>
      <c r="CA417" s="305"/>
      <c r="CB417" s="200"/>
      <c r="CC417" s="200"/>
      <c r="CD417" s="200"/>
      <c r="CE417" s="200"/>
      <c r="CF417" s="200"/>
      <c r="CG417" s="200"/>
      <c r="CH417" s="200"/>
      <c r="CI417" s="200"/>
      <c r="CJ417" s="200"/>
      <c r="CK417" s="305"/>
      <c r="CL417" s="200"/>
      <c r="CM417" s="200"/>
      <c r="CN417" s="200"/>
      <c r="CO417" s="200"/>
      <c r="CP417" s="200"/>
      <c r="CQ417" s="200"/>
      <c r="CR417" s="305"/>
      <c r="CS417" s="200"/>
    </row>
    <row r="418" spans="1:100">
      <c r="A418" s="298"/>
      <c r="B418" s="298"/>
      <c r="C418" s="207"/>
      <c r="D418" s="207"/>
      <c r="E418" s="207"/>
      <c r="F418" s="298"/>
      <c r="G418" s="298"/>
      <c r="H418" s="298"/>
      <c r="I418" s="207"/>
      <c r="J418" s="204"/>
      <c r="K418" s="207"/>
      <c r="L418" s="298"/>
      <c r="M418" s="294"/>
      <c r="N418" s="207"/>
      <c r="O418" s="294"/>
      <c r="P418" s="204"/>
      <c r="Q418" s="294"/>
      <c r="R418" s="204"/>
      <c r="S418" s="207"/>
      <c r="T418" s="298"/>
      <c r="U418" s="294"/>
      <c r="V418" s="298"/>
      <c r="W418" s="207"/>
      <c r="X418" s="298"/>
      <c r="Y418" s="294"/>
      <c r="Z418" s="294"/>
      <c r="AA418" s="298"/>
      <c r="AB418" s="207"/>
      <c r="AC418" s="294"/>
      <c r="AD418" s="294"/>
      <c r="AE418" s="294"/>
      <c r="AF418" s="294"/>
      <c r="AG418" s="291"/>
      <c r="AH418" s="557"/>
      <c r="AI418" s="429"/>
      <c r="AJ418" s="201"/>
      <c r="AK418" s="199"/>
      <c r="AL418" s="201"/>
      <c r="AM418" s="201"/>
      <c r="AN418" s="201"/>
      <c r="AO418" s="199"/>
      <c r="AP418" s="199"/>
      <c r="AQ418" s="199"/>
      <c r="AR418" s="199"/>
      <c r="AS418" s="199"/>
      <c r="AT418" s="199"/>
      <c r="AU418" s="199"/>
      <c r="AV418" s="199"/>
      <c r="AW418" s="199"/>
      <c r="AX418" s="199"/>
      <c r="AY418" s="199"/>
      <c r="AZ418" s="199"/>
      <c r="BA418" s="199"/>
      <c r="BB418" s="199"/>
      <c r="BC418" s="291"/>
      <c r="BD418" s="199"/>
      <c r="BE418" s="201"/>
      <c r="BF418" s="201"/>
      <c r="BG418" s="201"/>
      <c r="BH418" s="201"/>
      <c r="BI418" s="201"/>
      <c r="BJ418" s="557"/>
      <c r="BK418" s="429"/>
      <c r="BL418" s="291"/>
      <c r="BM418" s="199"/>
      <c r="CV418">
        <v>1</v>
      </c>
    </row>
    <row r="419" spans="1:100">
      <c r="A419" s="298"/>
      <c r="B419" s="207"/>
      <c r="C419" s="207"/>
      <c r="D419" s="204"/>
      <c r="E419" s="204"/>
      <c r="F419" s="207"/>
      <c r="G419" s="298"/>
      <c r="H419" s="298"/>
      <c r="I419" s="298"/>
      <c r="J419" s="207"/>
      <c r="K419" s="294"/>
      <c r="L419" s="294"/>
      <c r="M419" s="294"/>
      <c r="N419" s="204"/>
      <c r="O419" s="298"/>
      <c r="P419" s="204"/>
      <c r="Q419" s="294"/>
      <c r="R419" s="204"/>
      <c r="S419" s="298"/>
      <c r="T419" s="298"/>
      <c r="U419" s="294"/>
      <c r="V419" s="294"/>
      <c r="W419" s="298"/>
      <c r="X419" s="207"/>
      <c r="Y419" s="298"/>
      <c r="Z419" s="207"/>
      <c r="AA419" s="207"/>
      <c r="AB419" s="294"/>
      <c r="AC419" s="298"/>
      <c r="AD419" s="298"/>
      <c r="AE419" s="298"/>
      <c r="AF419" s="298"/>
      <c r="AG419" s="291"/>
      <c r="AH419" s="555"/>
      <c r="AI419" s="206"/>
      <c r="AJ419" s="291"/>
      <c r="AK419" s="201"/>
      <c r="AL419" s="199"/>
      <c r="AM419" s="199"/>
      <c r="AN419" s="201"/>
      <c r="AO419" s="199"/>
      <c r="AP419" s="201"/>
      <c r="AQ419" s="199"/>
      <c r="AR419" s="199"/>
      <c r="AS419" s="199"/>
      <c r="AT419" s="200"/>
      <c r="AU419" s="200"/>
      <c r="AV419" s="199"/>
      <c r="AW419" s="199"/>
      <c r="AX419" s="200"/>
      <c r="AY419" s="200"/>
      <c r="AZ419" s="199"/>
      <c r="BA419" s="199"/>
      <c r="BB419" s="199"/>
      <c r="BC419" s="199"/>
      <c r="BD419" s="201"/>
      <c r="BE419" s="201"/>
      <c r="BF419" s="201"/>
      <c r="BG419" s="199"/>
      <c r="BH419" s="199"/>
      <c r="BI419" s="291"/>
      <c r="BJ419" s="201"/>
      <c r="BK419" s="206"/>
      <c r="BL419" s="291"/>
      <c r="BM419" s="355"/>
      <c r="BN419" s="200"/>
      <c r="BO419" s="200"/>
      <c r="BP419" s="305"/>
      <c r="BQ419" s="200"/>
      <c r="BR419" s="200"/>
      <c r="BS419" s="200"/>
      <c r="BT419" s="305"/>
      <c r="BU419" s="200"/>
      <c r="BV419" s="200"/>
      <c r="BW419" s="200"/>
      <c r="BX419" s="200"/>
      <c r="BY419" s="200"/>
      <c r="BZ419" s="200"/>
      <c r="CA419" s="200"/>
      <c r="CB419" s="199"/>
      <c r="CC419" s="199"/>
      <c r="CD419" s="199"/>
      <c r="CE419" s="200"/>
      <c r="CF419" s="200"/>
      <c r="CG419" s="200"/>
      <c r="CH419" s="200"/>
      <c r="CI419" s="200"/>
      <c r="CJ419" s="200"/>
      <c r="CK419" s="200"/>
      <c r="CL419" s="200"/>
      <c r="CM419" s="200"/>
      <c r="CN419" s="200"/>
      <c r="CO419" s="305"/>
      <c r="CP419" s="200"/>
      <c r="CQ419" s="200"/>
      <c r="CR419" s="305"/>
      <c r="CS419" s="200"/>
    </row>
    <row r="420" spans="1:100">
      <c r="A420" s="207"/>
      <c r="B420" s="207"/>
      <c r="C420" s="204"/>
      <c r="D420" s="204"/>
      <c r="E420" s="294"/>
      <c r="F420" s="294"/>
      <c r="G420" s="207"/>
      <c r="H420" s="298"/>
      <c r="I420" s="298"/>
      <c r="J420" s="298"/>
      <c r="K420" s="207"/>
      <c r="L420" s="294"/>
      <c r="M420" s="294"/>
      <c r="N420" s="204"/>
      <c r="O420" s="298"/>
      <c r="P420" s="207"/>
      <c r="Q420" s="204"/>
      <c r="R420" s="298"/>
      <c r="S420" s="298"/>
      <c r="T420" s="204"/>
      <c r="U420" s="207"/>
      <c r="V420" s="294"/>
      <c r="W420" s="207"/>
      <c r="X420" s="294"/>
      <c r="Y420" s="294"/>
      <c r="Z420" s="298"/>
      <c r="AA420" s="298"/>
      <c r="AB420" s="298"/>
      <c r="AC420" s="298"/>
      <c r="AD420" s="298"/>
      <c r="AE420" s="298"/>
      <c r="AF420" s="204"/>
      <c r="AG420" s="291"/>
      <c r="AH420" s="201"/>
      <c r="AI420" s="201"/>
      <c r="AJ420" s="201"/>
      <c r="AK420" s="291"/>
      <c r="AL420" s="201"/>
      <c r="AM420" s="199"/>
      <c r="AN420" s="199"/>
      <c r="AO420" s="201"/>
      <c r="AP420" s="199"/>
      <c r="AQ420" s="199"/>
      <c r="AR420" s="291"/>
      <c r="AS420" s="199"/>
      <c r="AT420" s="199"/>
      <c r="AU420" s="199"/>
      <c r="AV420" s="200"/>
      <c r="AW420" s="200"/>
      <c r="AX420" s="199"/>
      <c r="AY420" s="199"/>
      <c r="AZ420" s="199"/>
      <c r="BA420" s="291"/>
      <c r="BB420" s="199"/>
      <c r="BC420" s="201"/>
      <c r="BD420" s="201"/>
      <c r="BE420" s="199"/>
      <c r="BF420" s="199"/>
      <c r="BG420" s="199"/>
      <c r="BH420" s="291"/>
      <c r="BI420" s="201"/>
      <c r="BJ420" s="201"/>
      <c r="BK420" s="201"/>
      <c r="BL420" s="291"/>
      <c r="BM420" s="1">
        <v>120</v>
      </c>
      <c r="BN420" s="200"/>
      <c r="BO420" s="200"/>
      <c r="BP420" s="200"/>
      <c r="BQ420" s="200"/>
      <c r="BR420" s="200"/>
      <c r="BS420" s="200"/>
      <c r="BT420" s="200"/>
      <c r="BU420" s="200"/>
      <c r="BV420" s="200"/>
      <c r="BW420" s="200"/>
      <c r="BX420" s="201"/>
      <c r="BY420" s="200"/>
      <c r="BZ420" s="200"/>
      <c r="CA420" s="199"/>
      <c r="CB420" s="200"/>
      <c r="CC420" s="200"/>
      <c r="CD420" s="200"/>
      <c r="CE420" s="199"/>
      <c r="CF420" s="200"/>
      <c r="CG420" s="200"/>
      <c r="CH420" s="201"/>
      <c r="CI420" s="200"/>
      <c r="CJ420" s="200"/>
      <c r="CK420" s="200"/>
      <c r="CL420" s="200"/>
      <c r="CM420" s="200"/>
      <c r="CN420" s="200"/>
      <c r="CO420" s="200"/>
      <c r="CP420" s="200"/>
      <c r="CQ420" s="200"/>
      <c r="CR420" s="200"/>
      <c r="CS420" s="200"/>
    </row>
    <row r="421" spans="1:100">
      <c r="A421" s="207"/>
      <c r="B421" s="204"/>
      <c r="C421" s="207"/>
      <c r="D421" s="298"/>
      <c r="E421" s="290"/>
      <c r="F421" s="294"/>
      <c r="G421" s="207"/>
      <c r="H421" s="298"/>
      <c r="I421" s="298"/>
      <c r="J421" s="298"/>
      <c r="K421" s="207"/>
      <c r="L421" s="294"/>
      <c r="M421" s="298"/>
      <c r="N421" s="204"/>
      <c r="O421" s="207"/>
      <c r="P421" s="298"/>
      <c r="Q421" s="204"/>
      <c r="R421" s="294"/>
      <c r="S421" s="204"/>
      <c r="T421" s="294"/>
      <c r="U421" s="294"/>
      <c r="V421" s="294"/>
      <c r="W421" s="207"/>
      <c r="X421" s="298"/>
      <c r="Y421" s="298"/>
      <c r="Z421" s="298"/>
      <c r="AA421" s="204"/>
      <c r="AB421" s="298"/>
      <c r="AC421" s="298"/>
      <c r="AD421" s="204"/>
      <c r="AE421" s="298"/>
      <c r="AF421" s="207"/>
      <c r="AG421" s="201"/>
      <c r="AH421" s="199"/>
      <c r="AI421" s="199"/>
      <c r="AJ421" s="199"/>
      <c r="AK421" s="201"/>
      <c r="AL421" s="291"/>
      <c r="AM421" s="291"/>
      <c r="AN421" s="199"/>
      <c r="AO421" s="199"/>
      <c r="AP421" s="199"/>
      <c r="AQ421" s="199"/>
      <c r="AR421" s="199"/>
      <c r="AS421" s="291"/>
      <c r="AT421" s="201"/>
      <c r="AU421" s="199"/>
      <c r="AV421" s="199"/>
      <c r="AW421" s="199"/>
      <c r="AX421" s="199"/>
      <c r="AY421" s="201"/>
      <c r="AZ421" s="291"/>
      <c r="BA421" s="199"/>
      <c r="BB421" s="201"/>
      <c r="BC421" s="201"/>
      <c r="BD421" s="199"/>
      <c r="BE421" s="199"/>
      <c r="BF421" s="291"/>
      <c r="BG421" s="291"/>
      <c r="BH421" s="201"/>
      <c r="BI421" s="199"/>
      <c r="BJ421" s="199"/>
      <c r="BK421" s="199"/>
      <c r="BL421" s="201"/>
      <c r="BM421" s="1">
        <v>60</v>
      </c>
      <c r="BN421" s="200"/>
      <c r="BO421" s="200"/>
      <c r="BP421" s="200"/>
      <c r="BQ421" s="200"/>
      <c r="BR421" s="200"/>
      <c r="BS421" s="200"/>
      <c r="BT421" s="200"/>
      <c r="BU421" s="200"/>
      <c r="BV421" s="200"/>
      <c r="BW421" s="200"/>
      <c r="BX421" s="201"/>
      <c r="BY421" s="200"/>
      <c r="BZ421" s="199"/>
      <c r="CA421" s="201"/>
      <c r="CB421" s="200"/>
      <c r="CC421" s="200"/>
      <c r="CD421" s="200"/>
      <c r="CE421" s="201"/>
      <c r="CF421" s="199"/>
      <c r="CG421" s="200"/>
      <c r="CH421" s="201"/>
      <c r="CI421" s="200"/>
      <c r="CJ421" s="200"/>
      <c r="CK421" s="200"/>
      <c r="CL421" s="200"/>
      <c r="CM421" s="200"/>
      <c r="CN421" s="200"/>
      <c r="CO421" s="200"/>
      <c r="CP421" s="200"/>
      <c r="CQ421" s="200"/>
      <c r="CR421" s="305"/>
      <c r="CS421" s="200"/>
    </row>
    <row r="422" spans="1:100">
      <c r="A422" s="207"/>
      <c r="B422" s="204"/>
      <c r="C422" s="294"/>
      <c r="D422" s="294"/>
      <c r="E422" s="298"/>
      <c r="F422" s="207"/>
      <c r="G422" s="207"/>
      <c r="H422" s="294"/>
      <c r="I422" s="298"/>
      <c r="J422" s="298"/>
      <c r="K422" s="298"/>
      <c r="L422" s="294"/>
      <c r="M422" s="294"/>
      <c r="N422" s="204"/>
      <c r="O422" s="298"/>
      <c r="P422" s="204"/>
      <c r="Q422" s="298"/>
      <c r="R422" s="204"/>
      <c r="S422" s="294"/>
      <c r="T422" s="294"/>
      <c r="U422" s="294"/>
      <c r="V422" s="207"/>
      <c r="W422" s="294"/>
      <c r="X422" s="298"/>
      <c r="Y422" s="204"/>
      <c r="Z422" s="298"/>
      <c r="AA422" s="207"/>
      <c r="AB422" s="207"/>
      <c r="AC422" s="207"/>
      <c r="AD422" s="207"/>
      <c r="AE422" s="207"/>
      <c r="AF422" s="207"/>
      <c r="AG422" s="291"/>
      <c r="AH422" s="199"/>
      <c r="AI422" s="201"/>
      <c r="AJ422" s="199"/>
      <c r="AK422" s="199"/>
      <c r="AL422" s="201"/>
      <c r="AM422" s="291"/>
      <c r="AN422" s="291"/>
      <c r="AO422" s="201"/>
      <c r="AP422" s="199"/>
      <c r="AQ422" s="199"/>
      <c r="AR422" s="199"/>
      <c r="AS422" s="199"/>
      <c r="AT422" s="291"/>
      <c r="AU422" s="291"/>
      <c r="AV422" s="201"/>
      <c r="AW422" s="201"/>
      <c r="AX422" s="291"/>
      <c r="AY422" s="291"/>
      <c r="AZ422" s="199"/>
      <c r="BA422" s="201"/>
      <c r="BB422" s="199"/>
      <c r="BC422" s="199"/>
      <c r="BD422" s="201"/>
      <c r="BE422" s="291"/>
      <c r="BF422" s="291"/>
      <c r="BG422" s="201"/>
      <c r="BH422" s="199"/>
      <c r="BI422" s="199"/>
      <c r="BJ422" s="200"/>
      <c r="BK422" s="199"/>
      <c r="BL422" s="201"/>
      <c r="BM422" s="1"/>
      <c r="BN422" s="200"/>
      <c r="BO422" s="305"/>
      <c r="BP422" s="200"/>
      <c r="BQ422" s="200"/>
      <c r="BR422" s="200"/>
      <c r="BS422" s="200"/>
      <c r="BT422" s="200"/>
      <c r="BU422" s="200"/>
      <c r="BV422" s="200"/>
      <c r="BW422" s="201"/>
      <c r="BX422" s="199"/>
      <c r="BY422" s="201"/>
      <c r="BZ422" s="199"/>
      <c r="CA422" s="294"/>
      <c r="CB422" s="201"/>
      <c r="CC422" s="200"/>
      <c r="CD422" s="201"/>
      <c r="CE422" s="294"/>
      <c r="CF422" s="199"/>
      <c r="CG422" s="201"/>
      <c r="CH422" s="199"/>
      <c r="CI422" s="201"/>
      <c r="CJ422" s="200"/>
      <c r="CK422" s="200"/>
      <c r="CL422" s="200"/>
      <c r="CM422" s="200"/>
      <c r="CN422" s="200"/>
      <c r="CO422" s="200"/>
      <c r="CP422" s="200"/>
      <c r="CQ422" s="200"/>
      <c r="CR422" s="200"/>
      <c r="CS422" s="200"/>
    </row>
    <row r="423" spans="1:100">
      <c r="A423" s="298"/>
      <c r="B423" s="207"/>
      <c r="C423" s="290"/>
      <c r="D423" s="294"/>
      <c r="E423" s="207"/>
      <c r="F423" s="298"/>
      <c r="G423" s="204"/>
      <c r="H423" s="204"/>
      <c r="I423" s="298"/>
      <c r="J423" s="294"/>
      <c r="K423" s="294"/>
      <c r="L423" s="294"/>
      <c r="M423" s="298"/>
      <c r="N423" s="204"/>
      <c r="O423" s="207"/>
      <c r="P423" s="207"/>
      <c r="Q423" s="204"/>
      <c r="R423" s="294"/>
      <c r="S423" s="294"/>
      <c r="T423" s="294"/>
      <c r="U423" s="294"/>
      <c r="V423" s="207"/>
      <c r="W423" s="294"/>
      <c r="X423" s="298"/>
      <c r="Y423" s="298"/>
      <c r="Z423" s="207"/>
      <c r="AA423" s="207"/>
      <c r="AB423" s="298"/>
      <c r="AC423" s="207"/>
      <c r="AD423" s="298"/>
      <c r="AE423" s="298"/>
      <c r="AF423" s="294"/>
      <c r="AG423" s="201"/>
      <c r="AH423" s="199"/>
      <c r="AI423" s="199"/>
      <c r="AJ423" s="199"/>
      <c r="AK423" s="199"/>
      <c r="AL423" s="199"/>
      <c r="AM423" s="201"/>
      <c r="AN423" s="291"/>
      <c r="AO423" s="291"/>
      <c r="AP423" s="291"/>
      <c r="AQ423" s="199"/>
      <c r="AR423" s="199"/>
      <c r="AS423" s="199"/>
      <c r="AT423" s="199"/>
      <c r="AU423" s="199"/>
      <c r="AV423" s="291"/>
      <c r="AW423" s="291"/>
      <c r="AX423" s="199"/>
      <c r="AY423" s="199"/>
      <c r="AZ423" s="199"/>
      <c r="BA423" s="199"/>
      <c r="BB423" s="199"/>
      <c r="BC423" s="291"/>
      <c r="BD423" s="291"/>
      <c r="BE423" s="291"/>
      <c r="BF423" s="201"/>
      <c r="BG423" s="199"/>
      <c r="BH423" s="199"/>
      <c r="BI423" s="199"/>
      <c r="BJ423" s="199"/>
      <c r="BK423" s="199"/>
      <c r="BL423" s="291"/>
      <c r="BM423" s="1"/>
      <c r="BN423" s="200"/>
      <c r="BO423" s="200"/>
      <c r="BP423" s="200"/>
      <c r="BQ423" s="200"/>
      <c r="BR423" s="200"/>
      <c r="BS423" s="200"/>
      <c r="BT423" s="305"/>
      <c r="BU423" s="200"/>
      <c r="BV423" s="200"/>
      <c r="BW423" s="201"/>
      <c r="BX423" s="199"/>
      <c r="BY423" s="201"/>
      <c r="BZ423" s="199"/>
      <c r="CA423" s="201"/>
      <c r="CB423" s="200"/>
      <c r="CC423" s="200"/>
      <c r="CD423" s="200"/>
      <c r="CE423" s="201"/>
      <c r="CF423" s="199"/>
      <c r="CG423" s="201"/>
      <c r="CH423" s="199"/>
      <c r="CI423" s="201"/>
      <c r="CJ423" s="200"/>
      <c r="CK423" s="200"/>
      <c r="CL423" s="305"/>
      <c r="CM423" s="200"/>
      <c r="CN423" s="200"/>
      <c r="CO423" s="200"/>
      <c r="CP423" s="200"/>
      <c r="CQ423" s="200"/>
      <c r="CR423" s="200"/>
      <c r="CS423" s="200"/>
    </row>
    <row r="424" spans="1:100">
      <c r="A424" s="294"/>
      <c r="B424" s="298"/>
      <c r="C424" s="207"/>
      <c r="D424" s="207"/>
      <c r="E424" s="207"/>
      <c r="F424" s="204"/>
      <c r="G424" s="204"/>
      <c r="H424" s="207"/>
      <c r="I424" s="207"/>
      <c r="J424" s="294"/>
      <c r="K424" s="294"/>
      <c r="L424" s="298"/>
      <c r="M424" s="294"/>
      <c r="N424" s="204"/>
      <c r="O424" s="204"/>
      <c r="P424" s="204"/>
      <c r="Q424" s="294"/>
      <c r="R424" s="298"/>
      <c r="S424" s="204"/>
      <c r="T424" s="204"/>
      <c r="U424" s="294"/>
      <c r="V424" s="207"/>
      <c r="W424" s="298"/>
      <c r="X424" s="298"/>
      <c r="Y424" s="207"/>
      <c r="Z424" s="207"/>
      <c r="AA424" s="298"/>
      <c r="AB424" s="290"/>
      <c r="AC424" s="298"/>
      <c r="AD424" s="290"/>
      <c r="AE424" s="298"/>
      <c r="AF424" s="290"/>
      <c r="AG424" s="201"/>
      <c r="AH424" s="199"/>
      <c r="AI424" s="199"/>
      <c r="AJ424" s="201"/>
      <c r="AK424" s="199"/>
      <c r="AL424" s="199"/>
      <c r="AM424" s="199"/>
      <c r="AN424" s="201"/>
      <c r="AO424" s="291"/>
      <c r="AP424" s="291"/>
      <c r="AQ424" s="291"/>
      <c r="AR424" s="201"/>
      <c r="AS424" s="199"/>
      <c r="AT424" s="199"/>
      <c r="AU424" s="199"/>
      <c r="AV424" s="199"/>
      <c r="AW424" s="199"/>
      <c r="AX424" s="199"/>
      <c r="AY424" s="199"/>
      <c r="AZ424" s="199"/>
      <c r="BA424" s="201"/>
      <c r="BB424" s="291"/>
      <c r="BC424" s="291"/>
      <c r="BD424" s="291"/>
      <c r="BE424" s="201"/>
      <c r="BF424" s="199"/>
      <c r="BG424" s="199"/>
      <c r="BH424" s="199"/>
      <c r="BI424" s="200"/>
      <c r="BJ424" s="199"/>
      <c r="BK424" s="199"/>
      <c r="BL424" s="291"/>
      <c r="BM424" s="1"/>
      <c r="BN424" s="200"/>
      <c r="BO424" s="200"/>
      <c r="BP424" s="200"/>
      <c r="BQ424" s="200"/>
      <c r="BR424" s="200"/>
      <c r="BS424" s="200"/>
      <c r="BT424" s="200"/>
      <c r="BU424" s="200"/>
      <c r="BV424" s="201"/>
      <c r="BW424" s="199"/>
      <c r="BX424" s="199"/>
      <c r="BY424" s="201"/>
      <c r="BZ424" s="199"/>
      <c r="CA424" s="200"/>
      <c r="CB424" s="199"/>
      <c r="CC424" s="199"/>
      <c r="CD424" s="199"/>
      <c r="CE424" s="200"/>
      <c r="CF424" s="199"/>
      <c r="CG424" s="201"/>
      <c r="CH424" s="199"/>
      <c r="CI424" s="199"/>
      <c r="CJ424" s="201"/>
      <c r="CK424" s="200"/>
      <c r="CL424" s="200"/>
      <c r="CM424" s="200"/>
      <c r="CN424" s="200"/>
      <c r="CO424" s="200"/>
      <c r="CP424" s="200"/>
      <c r="CQ424" s="200"/>
      <c r="CR424" s="200"/>
      <c r="CS424" s="200"/>
    </row>
    <row r="425" spans="1:100">
      <c r="A425" s="294"/>
      <c r="B425" s="294"/>
      <c r="C425" s="294"/>
      <c r="D425" s="294"/>
      <c r="E425" s="298"/>
      <c r="F425" s="204"/>
      <c r="G425" s="207"/>
      <c r="H425" s="207"/>
      <c r="I425" s="294"/>
      <c r="J425" s="294"/>
      <c r="K425" s="294"/>
      <c r="L425" s="294"/>
      <c r="M425" s="204"/>
      <c r="N425" s="207"/>
      <c r="O425" s="204"/>
      <c r="P425" s="204"/>
      <c r="Q425" s="204"/>
      <c r="R425" s="207"/>
      <c r="S425" s="294"/>
      <c r="T425" s="294"/>
      <c r="U425" s="298"/>
      <c r="V425" s="207"/>
      <c r="W425" s="298"/>
      <c r="X425" s="204"/>
      <c r="Y425" s="298"/>
      <c r="Z425" s="207"/>
      <c r="AA425" s="294"/>
      <c r="AB425" s="294"/>
      <c r="AC425" s="294"/>
      <c r="AD425" s="294"/>
      <c r="AE425" s="294"/>
      <c r="AF425" s="294"/>
      <c r="AG425" s="291"/>
      <c r="AH425" s="199"/>
      <c r="AI425" s="199"/>
      <c r="AJ425" s="199"/>
      <c r="AK425" s="201"/>
      <c r="AL425" s="199"/>
      <c r="AM425" s="199"/>
      <c r="AN425" s="199"/>
      <c r="AO425" s="201"/>
      <c r="AP425" s="291"/>
      <c r="AQ425" s="290"/>
      <c r="AR425" s="291"/>
      <c r="AS425" s="291"/>
      <c r="AT425" s="201"/>
      <c r="AU425" s="199"/>
      <c r="AV425" s="199"/>
      <c r="AW425" s="199"/>
      <c r="AX425" s="199"/>
      <c r="AY425" s="201"/>
      <c r="AZ425" s="291"/>
      <c r="BA425" s="291"/>
      <c r="BB425" s="290"/>
      <c r="BC425" s="291"/>
      <c r="BD425" s="201"/>
      <c r="BE425" s="199"/>
      <c r="BF425" s="199"/>
      <c r="BG425" s="199"/>
      <c r="BH425" s="199"/>
      <c r="BI425" s="199"/>
      <c r="BJ425" s="199"/>
      <c r="BK425" s="199"/>
      <c r="BL425" s="201"/>
      <c r="BM425" s="1"/>
      <c r="BN425" s="200"/>
      <c r="BO425" s="200"/>
      <c r="BP425" s="200"/>
      <c r="BQ425" s="199"/>
      <c r="BR425" s="199"/>
      <c r="BS425" s="200"/>
      <c r="BT425" s="200"/>
      <c r="BU425" s="200"/>
      <c r="BV425" s="201"/>
      <c r="BW425" s="199"/>
      <c r="BX425" s="200"/>
      <c r="BY425" s="199"/>
      <c r="BZ425" s="201"/>
      <c r="CA425" s="199"/>
      <c r="CB425" s="200"/>
      <c r="CC425" s="199"/>
      <c r="CD425" s="200"/>
      <c r="CE425" s="199"/>
      <c r="CF425" s="201"/>
      <c r="CG425" s="199"/>
      <c r="CH425" s="200"/>
      <c r="CI425" s="199"/>
      <c r="CJ425" s="201"/>
      <c r="CK425" s="200"/>
      <c r="CL425" s="200"/>
      <c r="CM425" s="200"/>
      <c r="CN425" s="199"/>
      <c r="CO425" s="199"/>
      <c r="CP425" s="200"/>
      <c r="CQ425" s="200"/>
      <c r="CR425" s="200"/>
      <c r="CS425" s="200"/>
    </row>
    <row r="426" spans="1:100">
      <c r="A426" s="294"/>
      <c r="B426" s="298"/>
      <c r="C426" s="298"/>
      <c r="D426" s="294"/>
      <c r="E426" s="294"/>
      <c r="F426" s="298"/>
      <c r="G426" s="207"/>
      <c r="H426" s="294"/>
      <c r="I426" s="294"/>
      <c r="J426" s="294"/>
      <c r="K426" s="294"/>
      <c r="L426" s="298"/>
      <c r="M426" s="204"/>
      <c r="N426" s="204"/>
      <c r="O426" s="298"/>
      <c r="P426" s="207"/>
      <c r="Q426" s="207"/>
      <c r="R426" s="294"/>
      <c r="S426" s="294"/>
      <c r="T426" s="298"/>
      <c r="U426" s="207"/>
      <c r="V426" s="298"/>
      <c r="W426" s="298"/>
      <c r="X426" s="298"/>
      <c r="Y426" s="207"/>
      <c r="Z426" s="290"/>
      <c r="AA426" s="294"/>
      <c r="AB426" s="294"/>
      <c r="AC426" s="298"/>
      <c r="AD426" s="204"/>
      <c r="AE426" s="207"/>
      <c r="AF426" s="298"/>
      <c r="AG426" s="291"/>
      <c r="AH426" s="199"/>
      <c r="AI426" s="199"/>
      <c r="AJ426" s="199"/>
      <c r="AK426" s="200"/>
      <c r="AL426" s="199"/>
      <c r="AM426" s="199"/>
      <c r="AN426" s="199"/>
      <c r="AO426" s="199"/>
      <c r="AP426" s="291"/>
      <c r="AQ426" s="291"/>
      <c r="AR426" s="290"/>
      <c r="AS426" s="291"/>
      <c r="AT426" s="291"/>
      <c r="AU426" s="201"/>
      <c r="AV426" s="199"/>
      <c r="AW426" s="199"/>
      <c r="AX426" s="201"/>
      <c r="AY426" s="291"/>
      <c r="AZ426" s="291"/>
      <c r="BA426" s="290"/>
      <c r="BB426" s="291"/>
      <c r="BC426" s="291"/>
      <c r="BD426" s="199"/>
      <c r="BE426" s="199"/>
      <c r="BF426" s="199"/>
      <c r="BG426" s="199"/>
      <c r="BH426" s="200"/>
      <c r="BI426" s="199"/>
      <c r="BJ426" s="199"/>
      <c r="BK426" s="199"/>
      <c r="BL426" s="201"/>
      <c r="BM426" s="1">
        <v>2</v>
      </c>
      <c r="BN426" s="200"/>
      <c r="BO426" s="200"/>
      <c r="BP426" s="200"/>
      <c r="BQ426" s="199"/>
      <c r="BR426" s="200"/>
      <c r="BS426" s="200"/>
      <c r="BT426" s="200"/>
      <c r="BU426" s="200"/>
      <c r="BV426" s="201"/>
      <c r="BW426" s="200"/>
      <c r="BX426" s="200"/>
      <c r="BY426" s="200"/>
      <c r="BZ426" s="199"/>
      <c r="CA426" s="199"/>
      <c r="CB426" s="199"/>
      <c r="CC426" s="199"/>
      <c r="CD426" s="199"/>
      <c r="CE426" s="199"/>
      <c r="CF426" s="199"/>
      <c r="CG426" s="200"/>
      <c r="CH426" s="200"/>
      <c r="CI426" s="200"/>
      <c r="CJ426" s="201"/>
      <c r="CK426" s="200"/>
      <c r="CL426" s="200"/>
      <c r="CM426" s="200"/>
      <c r="CN426" s="200"/>
      <c r="CO426" s="199"/>
      <c r="CP426" s="200"/>
      <c r="CQ426" s="200"/>
      <c r="CR426" s="305"/>
      <c r="CS426" s="200"/>
    </row>
    <row r="427" spans="1:100">
      <c r="A427" s="298"/>
      <c r="B427" s="298"/>
      <c r="C427" s="298"/>
      <c r="D427" s="298"/>
      <c r="E427" s="294"/>
      <c r="F427" s="294"/>
      <c r="G427" s="294"/>
      <c r="H427" s="294"/>
      <c r="I427" s="294"/>
      <c r="J427" s="294"/>
      <c r="K427" s="298"/>
      <c r="L427" s="204"/>
      <c r="M427" s="294"/>
      <c r="N427" s="204"/>
      <c r="O427" s="204"/>
      <c r="P427" s="294"/>
      <c r="Q427" s="294"/>
      <c r="R427" s="294"/>
      <c r="S427" s="298"/>
      <c r="T427" s="207"/>
      <c r="U427" s="298"/>
      <c r="V427" s="298"/>
      <c r="W427" s="204"/>
      <c r="X427" s="207"/>
      <c r="Y427" s="207"/>
      <c r="Z427" s="298"/>
      <c r="AA427" s="294"/>
      <c r="AB427" s="294"/>
      <c r="AC427" s="207"/>
      <c r="AD427" s="298"/>
      <c r="AE427" s="298"/>
      <c r="AF427" s="207"/>
      <c r="AG427" s="291"/>
      <c r="AH427" s="199"/>
      <c r="AI427" s="199"/>
      <c r="AJ427" s="199"/>
      <c r="AK427" s="199"/>
      <c r="AL427" s="201"/>
      <c r="AM427" s="199"/>
      <c r="AN427" s="199"/>
      <c r="AO427" s="199"/>
      <c r="AP427" s="199"/>
      <c r="AQ427" s="291"/>
      <c r="AR427" s="291"/>
      <c r="AS427" s="294"/>
      <c r="AT427" s="291"/>
      <c r="AU427" s="291"/>
      <c r="AV427" s="199"/>
      <c r="AW427" s="199"/>
      <c r="AX427" s="291"/>
      <c r="AY427" s="291"/>
      <c r="AZ427" s="294"/>
      <c r="BA427" s="291"/>
      <c r="BB427" s="291"/>
      <c r="BC427" s="199"/>
      <c r="BD427" s="199"/>
      <c r="BE427" s="199"/>
      <c r="BF427" s="199"/>
      <c r="BG427" s="199"/>
      <c r="BH427" s="200"/>
      <c r="BI427" s="199"/>
      <c r="BJ427" s="199"/>
      <c r="BK427" s="199"/>
      <c r="BL427" s="201"/>
      <c r="BM427" s="1"/>
      <c r="BN427" s="200"/>
      <c r="BO427" s="200"/>
      <c r="BP427" s="199"/>
      <c r="BQ427" s="199"/>
      <c r="BR427" s="199"/>
      <c r="BS427" s="200"/>
      <c r="BT427" s="199"/>
      <c r="BU427" s="200"/>
      <c r="BV427" s="200"/>
      <c r="BW427" s="200"/>
      <c r="BX427" s="200"/>
      <c r="BY427" s="199"/>
      <c r="BZ427" s="199"/>
      <c r="CA427" s="201"/>
      <c r="CB427" s="199"/>
      <c r="CC427" s="201"/>
      <c r="CD427" s="199"/>
      <c r="CE427" s="201"/>
      <c r="CF427" s="199"/>
      <c r="CG427" s="199"/>
      <c r="CH427" s="200"/>
      <c r="CI427" s="200"/>
      <c r="CJ427" s="200"/>
      <c r="CK427" s="200"/>
      <c r="CL427" s="199"/>
      <c r="CM427" s="200"/>
      <c r="CN427" s="199"/>
      <c r="CO427" s="199"/>
      <c r="CP427" s="199"/>
      <c r="CQ427" s="200"/>
      <c r="CR427" s="200"/>
      <c r="CS427" s="200"/>
    </row>
    <row r="428" spans="1:100">
      <c r="A428" s="298"/>
      <c r="B428" s="298"/>
      <c r="C428" s="204"/>
      <c r="D428" s="207"/>
      <c r="E428" s="298"/>
      <c r="F428" s="294"/>
      <c r="G428" s="298"/>
      <c r="H428" s="294"/>
      <c r="I428" s="294"/>
      <c r="J428" s="298"/>
      <c r="K428" s="204"/>
      <c r="L428" s="294"/>
      <c r="M428" s="204"/>
      <c r="N428" s="294"/>
      <c r="O428" s="294"/>
      <c r="P428" s="298"/>
      <c r="Q428" s="298"/>
      <c r="R428" s="298"/>
      <c r="S428" s="298"/>
      <c r="T428" s="298"/>
      <c r="U428" s="298"/>
      <c r="V428" s="298"/>
      <c r="W428" s="298"/>
      <c r="X428" s="207"/>
      <c r="Y428" s="298"/>
      <c r="Z428" s="290"/>
      <c r="AA428" s="294"/>
      <c r="AB428" s="298"/>
      <c r="AC428" s="298"/>
      <c r="AD428" s="298"/>
      <c r="AE428" s="207"/>
      <c r="AF428" s="298"/>
      <c r="AG428" s="201"/>
      <c r="AH428" s="199"/>
      <c r="AI428" s="199"/>
      <c r="AJ428" s="199"/>
      <c r="AK428" s="199"/>
      <c r="AL428" s="200"/>
      <c r="AM428" s="199"/>
      <c r="AN428" s="199"/>
      <c r="AO428" s="199"/>
      <c r="AP428" s="199"/>
      <c r="AQ428" s="201"/>
      <c r="AR428" s="291"/>
      <c r="AS428" s="294"/>
      <c r="AT428" s="290"/>
      <c r="AU428" s="291"/>
      <c r="AV428" s="199"/>
      <c r="AW428" s="199"/>
      <c r="AX428" s="291"/>
      <c r="AY428" s="290"/>
      <c r="AZ428" s="294"/>
      <c r="BA428" s="291"/>
      <c r="BB428" s="201"/>
      <c r="BC428" s="199"/>
      <c r="BD428" s="199"/>
      <c r="BE428" s="199"/>
      <c r="BF428" s="199"/>
      <c r="BG428" s="200"/>
      <c r="BH428" s="199"/>
      <c r="BI428" s="199"/>
      <c r="BJ428" s="199"/>
      <c r="BK428" s="199"/>
      <c r="BL428" s="201"/>
      <c r="BM428" s="1"/>
      <c r="BN428" s="200"/>
      <c r="BO428" s="200"/>
      <c r="BP428" s="199"/>
      <c r="BQ428" s="199"/>
      <c r="BR428" s="200"/>
      <c r="BS428" s="199"/>
      <c r="BT428" s="200"/>
      <c r="BU428" s="200"/>
      <c r="BV428" s="200"/>
      <c r="BW428" s="200"/>
      <c r="BX428" s="200"/>
      <c r="BY428" s="199"/>
      <c r="BZ428" s="201"/>
      <c r="CA428" s="199"/>
      <c r="CB428" s="199"/>
      <c r="CC428" s="201"/>
      <c r="CD428" s="199"/>
      <c r="CE428" s="199"/>
      <c r="CF428" s="201"/>
      <c r="CG428" s="199"/>
      <c r="CH428" s="200"/>
      <c r="CI428" s="200"/>
      <c r="CJ428" s="200"/>
      <c r="CK428" s="200"/>
      <c r="CL428" s="200"/>
      <c r="CM428" s="199"/>
      <c r="CN428" s="200"/>
      <c r="CO428" s="199"/>
      <c r="CP428" s="199"/>
      <c r="CQ428" s="200"/>
      <c r="CR428" s="200"/>
      <c r="CS428" s="200"/>
    </row>
    <row r="429" spans="1:100">
      <c r="A429" s="298"/>
      <c r="B429" s="207"/>
      <c r="C429" s="294"/>
      <c r="D429" s="294"/>
      <c r="E429" s="204"/>
      <c r="F429" s="204"/>
      <c r="G429" s="294"/>
      <c r="H429" s="294"/>
      <c r="I429" s="298"/>
      <c r="J429" s="204"/>
      <c r="K429" s="298"/>
      <c r="L429" s="204"/>
      <c r="M429" s="294"/>
      <c r="N429" s="298"/>
      <c r="O429" s="298"/>
      <c r="P429" s="207"/>
      <c r="Q429" s="207"/>
      <c r="R429" s="298"/>
      <c r="S429" s="298"/>
      <c r="T429" s="298"/>
      <c r="U429" s="298"/>
      <c r="V429" s="204"/>
      <c r="W429" s="207"/>
      <c r="X429" s="207"/>
      <c r="Y429" s="290"/>
      <c r="Z429" s="294"/>
      <c r="AA429" s="294"/>
      <c r="AB429" s="294"/>
      <c r="AC429" s="298"/>
      <c r="AD429" s="298"/>
      <c r="AE429" s="204"/>
      <c r="AF429" s="207"/>
      <c r="AG429" s="201"/>
      <c r="AH429" s="199"/>
      <c r="AI429" s="199"/>
      <c r="AJ429" s="199"/>
      <c r="AK429" s="199"/>
      <c r="AL429" s="200"/>
      <c r="AM429" s="199"/>
      <c r="AN429" s="199"/>
      <c r="AO429" s="199"/>
      <c r="AP429" s="199"/>
      <c r="AQ429" s="291"/>
      <c r="AR429" s="294"/>
      <c r="AS429" s="290"/>
      <c r="AT429" s="291"/>
      <c r="AU429" s="199"/>
      <c r="AV429" s="199"/>
      <c r="AW429" s="199"/>
      <c r="AX429" s="199"/>
      <c r="AY429" s="291"/>
      <c r="AZ429" s="290"/>
      <c r="BA429" s="294"/>
      <c r="BB429" s="291"/>
      <c r="BC429" s="199"/>
      <c r="BD429" s="199"/>
      <c r="BE429" s="199"/>
      <c r="BF429" s="199"/>
      <c r="BG429" s="200"/>
      <c r="BH429" s="199"/>
      <c r="BI429" s="199"/>
      <c r="BJ429" s="199"/>
      <c r="BK429" s="199"/>
      <c r="BL429" s="291"/>
      <c r="BM429" s="1"/>
      <c r="BN429" s="200"/>
      <c r="BO429" s="199"/>
      <c r="BP429" s="200"/>
      <c r="BQ429" s="199"/>
      <c r="BR429" s="200"/>
      <c r="BS429" s="200"/>
      <c r="BT429" s="200"/>
      <c r="BU429" s="200"/>
      <c r="BV429" s="200"/>
      <c r="BW429" s="200"/>
      <c r="BX429" s="200"/>
      <c r="BY429" s="199"/>
      <c r="BZ429" s="201"/>
      <c r="CA429" s="199"/>
      <c r="CB429" s="201"/>
      <c r="CC429" s="201"/>
      <c r="CD429" s="201"/>
      <c r="CE429" s="199"/>
      <c r="CF429" s="201"/>
      <c r="CG429" s="199"/>
      <c r="CH429" s="200"/>
      <c r="CI429" s="200"/>
      <c r="CJ429" s="200"/>
      <c r="CK429" s="200"/>
      <c r="CL429" s="200"/>
      <c r="CM429" s="200"/>
      <c r="CN429" s="200"/>
      <c r="CO429" s="199"/>
      <c r="CP429" s="200"/>
      <c r="CQ429" s="199"/>
      <c r="CR429" s="199"/>
      <c r="CS429" s="200"/>
    </row>
    <row r="430" spans="1:100">
      <c r="A430" s="298"/>
      <c r="B430" s="204"/>
      <c r="C430" s="294"/>
      <c r="D430" s="298"/>
      <c r="E430" s="298"/>
      <c r="F430" s="298"/>
      <c r="G430" s="207"/>
      <c r="H430" s="204"/>
      <c r="I430" s="204"/>
      <c r="J430" s="207"/>
      <c r="K430" s="204"/>
      <c r="L430" s="294"/>
      <c r="M430" s="294"/>
      <c r="N430" s="298"/>
      <c r="O430" s="207"/>
      <c r="P430" s="204"/>
      <c r="Q430" s="298"/>
      <c r="R430" s="294"/>
      <c r="S430" s="298"/>
      <c r="T430" s="204"/>
      <c r="U430" s="207"/>
      <c r="V430" s="207"/>
      <c r="W430" s="207"/>
      <c r="X430" s="298"/>
      <c r="Y430" s="294"/>
      <c r="Z430" s="294"/>
      <c r="AA430" s="294"/>
      <c r="AB430" s="298"/>
      <c r="AC430" s="298"/>
      <c r="AD430" s="204"/>
      <c r="AE430" s="298"/>
      <c r="AF430" s="207"/>
      <c r="AG430" s="201"/>
      <c r="AH430" s="199"/>
      <c r="AI430" s="199"/>
      <c r="AJ430" s="199"/>
      <c r="AK430" s="200"/>
      <c r="AL430" s="199"/>
      <c r="AM430" s="199"/>
      <c r="AN430" s="199"/>
      <c r="AO430" s="199"/>
      <c r="AP430" s="201"/>
      <c r="AQ430" s="291"/>
      <c r="AR430" s="291"/>
      <c r="AS430" s="291"/>
      <c r="AT430" s="199"/>
      <c r="AU430" s="199"/>
      <c r="AV430" s="199"/>
      <c r="AW430" s="199"/>
      <c r="AX430" s="199"/>
      <c r="AY430" s="199"/>
      <c r="AZ430" s="291"/>
      <c r="BA430" s="291"/>
      <c r="BB430" s="291"/>
      <c r="BC430" s="201"/>
      <c r="BD430" s="199"/>
      <c r="BE430" s="199"/>
      <c r="BF430" s="199"/>
      <c r="BG430" s="201"/>
      <c r="BH430" s="200"/>
      <c r="BI430" s="199"/>
      <c r="BJ430" s="199"/>
      <c r="BK430" s="199"/>
      <c r="BL430" s="201"/>
      <c r="BM430" s="1"/>
      <c r="BN430" s="200"/>
      <c r="BO430" s="199"/>
      <c r="BP430" s="200"/>
      <c r="BQ430" s="199"/>
      <c r="BR430" s="199"/>
      <c r="BS430" s="200"/>
      <c r="BT430" s="200"/>
      <c r="BU430" s="200"/>
      <c r="BV430" s="200"/>
      <c r="BW430" s="200"/>
      <c r="BX430" s="200"/>
      <c r="BY430" s="201"/>
      <c r="BZ430" s="201"/>
      <c r="CA430" s="199"/>
      <c r="CB430" s="201"/>
      <c r="CC430" s="201"/>
      <c r="CD430" s="201"/>
      <c r="CE430" s="199"/>
      <c r="CF430" s="201"/>
      <c r="CG430" s="201"/>
      <c r="CH430" s="200"/>
      <c r="CI430" s="200"/>
      <c r="CJ430" s="200"/>
      <c r="CK430" s="200"/>
      <c r="CL430" s="200"/>
      <c r="CM430" s="200"/>
      <c r="CN430" s="199"/>
      <c r="CO430" s="199"/>
      <c r="CP430" s="200"/>
      <c r="CQ430" s="200"/>
      <c r="CR430" s="200"/>
      <c r="CS430" s="200"/>
    </row>
    <row r="431" spans="1:100">
      <c r="A431" s="298"/>
      <c r="B431" s="298"/>
      <c r="C431" s="204"/>
      <c r="D431" s="298"/>
      <c r="E431" s="298"/>
      <c r="F431" s="298"/>
      <c r="G431" s="294"/>
      <c r="H431" s="294"/>
      <c r="I431" s="294"/>
      <c r="J431" s="294"/>
      <c r="K431" s="294"/>
      <c r="L431" s="294"/>
      <c r="M431" s="298"/>
      <c r="N431" s="298"/>
      <c r="O431" s="207"/>
      <c r="P431" s="298"/>
      <c r="Q431" s="298"/>
      <c r="R431" s="294"/>
      <c r="S431" s="298"/>
      <c r="T431" s="298"/>
      <c r="U431" s="207"/>
      <c r="V431" s="207"/>
      <c r="W431" s="290"/>
      <c r="X431" s="294"/>
      <c r="Y431" s="290"/>
      <c r="Z431" s="298"/>
      <c r="AA431" s="294"/>
      <c r="AB431" s="298"/>
      <c r="AC431" s="207"/>
      <c r="AD431" s="298"/>
      <c r="AE431" s="207"/>
      <c r="AF431" s="298"/>
      <c r="AG431" s="201"/>
      <c r="AH431" s="199"/>
      <c r="AI431" s="199"/>
      <c r="AJ431" s="199"/>
      <c r="AK431" s="200"/>
      <c r="AL431" s="199"/>
      <c r="AM431" s="199"/>
      <c r="AN431" s="199"/>
      <c r="AO431" s="199"/>
      <c r="AP431" s="291"/>
      <c r="AQ431" s="290"/>
      <c r="AR431" s="291"/>
      <c r="AS431" s="199"/>
      <c r="AT431" s="199"/>
      <c r="AU431" s="199"/>
      <c r="AV431" s="199"/>
      <c r="AW431" s="199"/>
      <c r="AX431" s="199"/>
      <c r="AY431" s="199"/>
      <c r="AZ431" s="199"/>
      <c r="BA431" s="291"/>
      <c r="BB431" s="290"/>
      <c r="BC431" s="291"/>
      <c r="BD431" s="199"/>
      <c r="BE431" s="199"/>
      <c r="BF431" s="199"/>
      <c r="BG431" s="199"/>
      <c r="BH431" s="200"/>
      <c r="BI431" s="199"/>
      <c r="BJ431" s="199"/>
      <c r="BK431" s="199"/>
      <c r="BL431" s="201"/>
      <c r="BM431" s="1"/>
      <c r="BN431" s="200"/>
      <c r="BO431" s="200"/>
      <c r="BP431" s="200"/>
      <c r="BQ431" s="199"/>
      <c r="BR431" s="200"/>
      <c r="BS431" s="199"/>
      <c r="BT431" s="200"/>
      <c r="BU431" s="200"/>
      <c r="BV431" s="200"/>
      <c r="BW431" s="200"/>
      <c r="BX431" s="200"/>
      <c r="BY431" s="200"/>
      <c r="BZ431" s="201"/>
      <c r="CA431" s="201"/>
      <c r="CB431" s="201"/>
      <c r="CC431" s="201"/>
      <c r="CD431" s="201"/>
      <c r="CE431" s="201"/>
      <c r="CF431" s="201"/>
      <c r="CG431" s="200"/>
      <c r="CH431" s="200"/>
      <c r="CI431" s="200"/>
      <c r="CJ431" s="199"/>
      <c r="CK431" s="200"/>
      <c r="CL431" s="200"/>
      <c r="CM431" s="199"/>
      <c r="CN431" s="200"/>
      <c r="CO431" s="199"/>
      <c r="CP431" s="200"/>
      <c r="CQ431" s="200"/>
      <c r="CR431" s="200"/>
      <c r="CS431" s="200"/>
    </row>
    <row r="432" spans="1:100">
      <c r="A432" s="298"/>
      <c r="B432" s="298"/>
      <c r="C432" s="207"/>
      <c r="D432" s="298"/>
      <c r="E432" s="298"/>
      <c r="F432" s="207"/>
      <c r="G432" s="298"/>
      <c r="H432" s="207"/>
      <c r="I432" s="294"/>
      <c r="J432" s="294"/>
      <c r="K432" s="294"/>
      <c r="L432" s="298"/>
      <c r="M432" s="298"/>
      <c r="N432" s="298"/>
      <c r="O432" s="298"/>
      <c r="P432" s="207"/>
      <c r="Q432" s="294"/>
      <c r="R432" s="298"/>
      <c r="S432" s="298"/>
      <c r="T432" s="298"/>
      <c r="U432" s="207"/>
      <c r="V432" s="294"/>
      <c r="W432" s="294"/>
      <c r="X432" s="294"/>
      <c r="Y432" s="298"/>
      <c r="Z432" s="207"/>
      <c r="AA432" s="298"/>
      <c r="AB432" s="298"/>
      <c r="AC432" s="207"/>
      <c r="AD432" s="294"/>
      <c r="AE432" s="207"/>
      <c r="AF432" s="298"/>
      <c r="AG432" s="291"/>
      <c r="AH432" s="199"/>
      <c r="AI432" s="199"/>
      <c r="AJ432" s="199"/>
      <c r="AK432" s="199"/>
      <c r="AL432" s="199"/>
      <c r="AM432" s="199"/>
      <c r="AN432" s="199"/>
      <c r="AO432" s="201"/>
      <c r="AP432" s="291"/>
      <c r="AQ432" s="291"/>
      <c r="AR432" s="199"/>
      <c r="AS432" s="199"/>
      <c r="AT432" s="199"/>
      <c r="AU432" s="201"/>
      <c r="AV432" s="199"/>
      <c r="AW432" s="199"/>
      <c r="AX432" s="201"/>
      <c r="AY432" s="199"/>
      <c r="AZ432" s="199"/>
      <c r="BA432" s="199"/>
      <c r="BB432" s="291"/>
      <c r="BC432" s="291"/>
      <c r="BD432" s="201"/>
      <c r="BE432" s="199"/>
      <c r="BF432" s="199"/>
      <c r="BG432" s="199"/>
      <c r="BH432" s="201"/>
      <c r="BI432" s="199"/>
      <c r="BJ432" s="199"/>
      <c r="BK432" s="199"/>
      <c r="BL432" s="291"/>
      <c r="BM432" s="1"/>
      <c r="BN432" s="200"/>
      <c r="BO432" s="199"/>
      <c r="BP432" s="199"/>
      <c r="BQ432" s="199"/>
      <c r="BR432" s="200"/>
      <c r="BS432" s="199"/>
      <c r="BT432" s="200"/>
      <c r="BU432" s="200"/>
      <c r="BV432" s="200"/>
      <c r="BW432" s="200"/>
      <c r="BX432" s="200"/>
      <c r="BY432" s="200"/>
      <c r="BZ432" s="200"/>
      <c r="CA432" s="201"/>
      <c r="CB432" s="201"/>
      <c r="CC432" s="201"/>
      <c r="CD432" s="201"/>
      <c r="CE432" s="201"/>
      <c r="CF432" s="200"/>
      <c r="CG432" s="200"/>
      <c r="CH432" s="200"/>
      <c r="CI432" s="200"/>
      <c r="CJ432" s="200"/>
      <c r="CK432" s="200"/>
      <c r="CL432" s="200"/>
      <c r="CM432" s="199"/>
      <c r="CN432" s="200"/>
      <c r="CO432" s="199"/>
      <c r="CP432" s="199"/>
      <c r="CQ432" s="199"/>
      <c r="CR432" s="200"/>
      <c r="CS432" s="200"/>
    </row>
    <row r="433" spans="1:100">
      <c r="A433" s="298"/>
      <c r="B433" s="207"/>
      <c r="C433" s="294"/>
      <c r="D433" s="298"/>
      <c r="E433" s="207"/>
      <c r="F433" s="298"/>
      <c r="G433" s="298"/>
      <c r="H433" s="298"/>
      <c r="I433" s="298"/>
      <c r="J433" s="298"/>
      <c r="K433" s="298"/>
      <c r="L433" s="294"/>
      <c r="M433" s="294"/>
      <c r="N433" s="294"/>
      <c r="O433" s="298"/>
      <c r="P433" s="298"/>
      <c r="Q433" s="298"/>
      <c r="R433" s="298"/>
      <c r="S433" s="298"/>
      <c r="T433" s="204"/>
      <c r="U433" s="290"/>
      <c r="V433" s="294"/>
      <c r="W433" s="294"/>
      <c r="X433" s="298"/>
      <c r="Y433" s="298"/>
      <c r="Z433" s="298"/>
      <c r="AA433" s="207"/>
      <c r="AB433" s="298"/>
      <c r="AC433" s="204"/>
      <c r="AD433" s="294"/>
      <c r="AE433" s="207"/>
      <c r="AF433" s="298"/>
      <c r="AG433" s="291"/>
      <c r="AH433" s="199"/>
      <c r="AI433" s="199"/>
      <c r="AJ433" s="200"/>
      <c r="AK433" s="199"/>
      <c r="AL433" s="199"/>
      <c r="AM433" s="199"/>
      <c r="AN433" s="199"/>
      <c r="AO433" s="291"/>
      <c r="AP433" s="291"/>
      <c r="AQ433" s="199"/>
      <c r="AR433" s="199"/>
      <c r="AS433" s="199"/>
      <c r="AT433" s="201"/>
      <c r="AU433" s="206"/>
      <c r="AV433" s="199"/>
      <c r="AW433" s="199"/>
      <c r="AX433" s="206"/>
      <c r="AY433" s="201"/>
      <c r="AZ433" s="199"/>
      <c r="BA433" s="199"/>
      <c r="BB433" s="199"/>
      <c r="BC433" s="291"/>
      <c r="BD433" s="291"/>
      <c r="BE433" s="199"/>
      <c r="BF433" s="199"/>
      <c r="BG433" s="199"/>
      <c r="BH433" s="199"/>
      <c r="BI433" s="200"/>
      <c r="BJ433" s="199"/>
      <c r="BK433" s="199"/>
      <c r="BL433" s="291"/>
      <c r="BM433" s="1"/>
      <c r="BN433" s="200"/>
      <c r="BO433" s="200"/>
      <c r="BP433" s="200"/>
      <c r="BQ433" s="200"/>
      <c r="BR433" s="200"/>
      <c r="BS433" s="200"/>
      <c r="BT433" s="200"/>
      <c r="BU433" s="200"/>
      <c r="BV433" s="200"/>
      <c r="BW433" s="199"/>
      <c r="BX433" s="200"/>
      <c r="BY433" s="200"/>
      <c r="BZ433" s="200"/>
      <c r="CA433" s="200"/>
      <c r="CB433" s="200"/>
      <c r="CC433" s="200"/>
      <c r="CD433" s="200"/>
      <c r="CE433" s="200"/>
      <c r="CF433" s="200"/>
      <c r="CG433" s="200"/>
      <c r="CH433" s="200"/>
      <c r="CI433" s="200"/>
      <c r="CJ433" s="200"/>
      <c r="CK433" s="200"/>
      <c r="CL433" s="200"/>
      <c r="CM433" s="200"/>
      <c r="CN433" s="200"/>
      <c r="CO433" s="200"/>
      <c r="CP433" s="200"/>
      <c r="CQ433" s="200"/>
      <c r="CR433" s="200"/>
      <c r="CS433" s="200"/>
    </row>
    <row r="434" spans="1:100">
      <c r="A434" s="298"/>
      <c r="B434" s="294"/>
      <c r="C434" s="298"/>
      <c r="D434" s="298"/>
      <c r="E434" s="207"/>
      <c r="F434" s="298"/>
      <c r="G434" s="298"/>
      <c r="H434" s="298"/>
      <c r="I434" s="298"/>
      <c r="J434" s="294"/>
      <c r="K434" s="204"/>
      <c r="L434" s="204"/>
      <c r="M434" s="204"/>
      <c r="N434" s="207"/>
      <c r="O434" s="207"/>
      <c r="P434" s="298"/>
      <c r="Q434" s="294"/>
      <c r="R434" s="294"/>
      <c r="S434" s="298"/>
      <c r="T434" s="298"/>
      <c r="U434" s="294"/>
      <c r="V434" s="294"/>
      <c r="W434" s="298"/>
      <c r="X434" s="207"/>
      <c r="Y434" s="298"/>
      <c r="Z434" s="298"/>
      <c r="AA434" s="298"/>
      <c r="AB434" s="294"/>
      <c r="AC434" s="204"/>
      <c r="AD434" s="294"/>
      <c r="AE434" s="207"/>
      <c r="AF434" s="294"/>
      <c r="AG434" s="291"/>
      <c r="AH434" s="199"/>
      <c r="AI434" s="199"/>
      <c r="AJ434" s="199"/>
      <c r="AK434" s="199"/>
      <c r="AL434" s="199"/>
      <c r="AM434" s="199"/>
      <c r="AN434" s="291"/>
      <c r="AO434" s="291"/>
      <c r="AP434" s="199"/>
      <c r="AQ434" s="199"/>
      <c r="AR434" s="199"/>
      <c r="AS434" s="201"/>
      <c r="AT434" s="291"/>
      <c r="AU434" s="201"/>
      <c r="AV434" s="199"/>
      <c r="AW434" s="199"/>
      <c r="AX434" s="201"/>
      <c r="AY434" s="291"/>
      <c r="AZ434" s="201"/>
      <c r="BA434" s="199"/>
      <c r="BB434" s="199"/>
      <c r="BC434" s="199"/>
      <c r="BD434" s="291"/>
      <c r="BE434" s="201"/>
      <c r="BF434" s="199"/>
      <c r="BG434" s="199"/>
      <c r="BH434" s="199"/>
      <c r="BI434" s="200"/>
      <c r="BJ434" s="199"/>
      <c r="BK434" s="199"/>
      <c r="BL434" s="201"/>
      <c r="BM434" s="1"/>
      <c r="BN434" s="200"/>
      <c r="BO434" s="200"/>
      <c r="BP434" s="200"/>
      <c r="BQ434" s="200"/>
      <c r="BR434" s="200"/>
      <c r="BS434" s="200"/>
      <c r="BT434" s="200"/>
      <c r="BU434" s="200"/>
      <c r="BV434" s="200"/>
      <c r="BW434" s="200"/>
      <c r="BX434" s="200"/>
      <c r="BY434" s="200"/>
      <c r="BZ434" s="200"/>
      <c r="CA434" s="200"/>
      <c r="CB434" s="200"/>
      <c r="CC434" s="200"/>
      <c r="CD434" s="200"/>
      <c r="CE434" s="200"/>
      <c r="CF434" s="200"/>
      <c r="CG434" s="200"/>
      <c r="CH434" s="200"/>
      <c r="CI434" s="200"/>
      <c r="CJ434" s="200"/>
      <c r="CK434" s="200"/>
      <c r="CL434" s="200"/>
      <c r="CM434" s="200"/>
      <c r="CN434" s="200"/>
      <c r="CO434" s="200"/>
      <c r="CP434" s="200"/>
      <c r="CQ434" s="200"/>
      <c r="CR434" s="200"/>
      <c r="CS434" s="200"/>
    </row>
    <row r="435" spans="1:100">
      <c r="A435" s="298"/>
      <c r="B435" s="298"/>
      <c r="C435" s="298"/>
      <c r="D435" s="207"/>
      <c r="E435" s="298"/>
      <c r="F435" s="298"/>
      <c r="G435" s="298"/>
      <c r="H435" s="294"/>
      <c r="I435" s="204"/>
      <c r="J435" s="207"/>
      <c r="K435" s="207"/>
      <c r="L435" s="207"/>
      <c r="M435" s="207"/>
      <c r="N435" s="207"/>
      <c r="O435" s="207"/>
      <c r="P435" s="207"/>
      <c r="Q435" s="298"/>
      <c r="R435" s="298"/>
      <c r="S435" s="294"/>
      <c r="T435" s="298"/>
      <c r="U435" s="298"/>
      <c r="V435" s="298"/>
      <c r="W435" s="298"/>
      <c r="X435" s="294"/>
      <c r="Y435" s="207"/>
      <c r="Z435" s="294"/>
      <c r="AA435" s="298"/>
      <c r="AB435" s="294"/>
      <c r="AC435" s="207"/>
      <c r="AD435" s="294"/>
      <c r="AE435" s="204"/>
      <c r="AF435" s="294"/>
      <c r="AG435" s="201"/>
      <c r="AH435" s="199"/>
      <c r="AI435" s="199"/>
      <c r="AJ435" s="199"/>
      <c r="AK435" s="199"/>
      <c r="AL435" s="199"/>
      <c r="AM435" s="201"/>
      <c r="AN435" s="291"/>
      <c r="AO435" s="199"/>
      <c r="AP435" s="199"/>
      <c r="AQ435" s="199"/>
      <c r="AR435" s="199"/>
      <c r="AS435" s="199"/>
      <c r="AT435" s="201"/>
      <c r="AU435" s="199"/>
      <c r="AV435" s="199"/>
      <c r="AW435" s="199"/>
      <c r="AX435" s="199"/>
      <c r="AY435" s="201"/>
      <c r="AZ435" s="199"/>
      <c r="BA435" s="199"/>
      <c r="BB435" s="199"/>
      <c r="BC435" s="199"/>
      <c r="BD435" s="199"/>
      <c r="BE435" s="291"/>
      <c r="BF435" s="199"/>
      <c r="BG435" s="199"/>
      <c r="BH435" s="199"/>
      <c r="BI435" s="201"/>
      <c r="BJ435" s="199"/>
      <c r="BK435" s="199"/>
      <c r="BL435" s="201"/>
      <c r="BM435" s="1"/>
      <c r="BN435" s="158"/>
      <c r="BO435" s="163"/>
      <c r="BP435" s="158"/>
      <c r="BQ435" s="158"/>
      <c r="BR435" s="158"/>
      <c r="BS435" s="162"/>
      <c r="BT435" s="158"/>
      <c r="BU435" s="158"/>
      <c r="BV435" s="163"/>
      <c r="BW435" s="158"/>
      <c r="BX435" s="158"/>
      <c r="BY435" s="158"/>
      <c r="BZ435" s="162"/>
      <c r="CA435" s="158"/>
      <c r="CB435" s="158"/>
      <c r="CC435" s="158"/>
      <c r="CD435" s="163"/>
      <c r="CE435" s="158"/>
      <c r="CF435" s="158"/>
      <c r="CG435" s="162"/>
      <c r="CH435" s="158"/>
      <c r="CI435" s="158"/>
      <c r="CJ435" s="158"/>
      <c r="CK435" s="158"/>
      <c r="CL435" s="158"/>
      <c r="CM435" s="162"/>
      <c r="CN435" s="158"/>
      <c r="CO435" s="158"/>
      <c r="CP435" s="163"/>
      <c r="CQ435" s="158"/>
      <c r="CR435" s="162"/>
      <c r="CS435" s="158"/>
    </row>
    <row r="436" spans="1:100">
      <c r="A436" s="298"/>
      <c r="B436" s="298"/>
      <c r="C436" s="207"/>
      <c r="D436" s="298"/>
      <c r="E436" s="294"/>
      <c r="F436" s="298"/>
      <c r="G436" s="298"/>
      <c r="H436" s="207"/>
      <c r="I436" s="207"/>
      <c r="J436" s="207"/>
      <c r="K436" s="204"/>
      <c r="L436" s="204"/>
      <c r="M436" s="204"/>
      <c r="N436" s="204"/>
      <c r="O436" s="207"/>
      <c r="P436" s="207"/>
      <c r="Q436" s="207"/>
      <c r="R436" s="207"/>
      <c r="S436" s="298"/>
      <c r="T436" s="294"/>
      <c r="U436" s="294"/>
      <c r="V436" s="294"/>
      <c r="W436" s="294"/>
      <c r="X436" s="298"/>
      <c r="Y436" s="207"/>
      <c r="Z436" s="207"/>
      <c r="AA436" s="294"/>
      <c r="AB436" s="294"/>
      <c r="AC436" s="207"/>
      <c r="AD436" s="294"/>
      <c r="AE436" s="204"/>
      <c r="AF436" s="294"/>
      <c r="AG436" s="201"/>
      <c r="AH436" s="199"/>
      <c r="AI436" s="201"/>
      <c r="AJ436" s="199"/>
      <c r="AK436" s="199"/>
      <c r="AL436" s="199"/>
      <c r="AM436" s="291"/>
      <c r="AN436" s="199"/>
      <c r="AO436" s="199"/>
      <c r="AP436" s="199"/>
      <c r="AQ436" s="199"/>
      <c r="AR436" s="199"/>
      <c r="AS436" s="199"/>
      <c r="AT436" s="199"/>
      <c r="AU436" s="291"/>
      <c r="AV436" s="291"/>
      <c r="AW436" s="291"/>
      <c r="AX436" s="291"/>
      <c r="AY436" s="199"/>
      <c r="AZ436" s="199"/>
      <c r="BA436" s="199"/>
      <c r="BB436" s="199"/>
      <c r="BC436" s="199"/>
      <c r="BD436" s="199"/>
      <c r="BE436" s="291"/>
      <c r="BF436" s="201"/>
      <c r="BG436" s="199"/>
      <c r="BH436" s="199"/>
      <c r="BI436" s="199"/>
      <c r="BJ436" s="199"/>
      <c r="BK436" s="199"/>
      <c r="BL436" s="201"/>
      <c r="BM436" s="1"/>
      <c r="CV436">
        <v>18</v>
      </c>
    </row>
    <row r="437" spans="1:100">
      <c r="A437" s="298"/>
      <c r="B437" s="207"/>
      <c r="C437" s="298"/>
      <c r="D437" s="298"/>
      <c r="E437" s="298"/>
      <c r="F437" s="294"/>
      <c r="G437" s="294"/>
      <c r="H437" s="204"/>
      <c r="I437" s="207"/>
      <c r="J437" s="207"/>
      <c r="K437" s="298"/>
      <c r="L437" s="207"/>
      <c r="M437" s="290"/>
      <c r="N437" s="298"/>
      <c r="O437" s="207"/>
      <c r="P437" s="207"/>
      <c r="Q437" s="207"/>
      <c r="R437" s="207"/>
      <c r="S437" s="207"/>
      <c r="T437" s="207"/>
      <c r="U437" s="207"/>
      <c r="V437" s="207"/>
      <c r="W437" s="207"/>
      <c r="X437" s="207"/>
      <c r="Y437" s="298"/>
      <c r="Z437" s="207"/>
      <c r="AA437" s="294"/>
      <c r="AB437" s="207"/>
      <c r="AC437" s="294"/>
      <c r="AD437" s="204"/>
      <c r="AE437" s="294"/>
      <c r="AF437" s="298"/>
      <c r="AG437" s="201"/>
      <c r="AH437" s="199"/>
      <c r="AI437" s="199"/>
      <c r="AJ437" s="199"/>
      <c r="AK437" s="199"/>
      <c r="AL437" s="201"/>
      <c r="AM437" s="291"/>
      <c r="AN437" s="199"/>
      <c r="AO437" s="199"/>
      <c r="AP437" s="199"/>
      <c r="AQ437" s="199"/>
      <c r="AR437" s="199"/>
      <c r="AS437" s="199"/>
      <c r="AT437" s="291"/>
      <c r="AU437" s="294"/>
      <c r="AV437" s="294"/>
      <c r="AW437" s="294"/>
      <c r="AX437" s="294"/>
      <c r="AY437" s="291"/>
      <c r="AZ437" s="199"/>
      <c r="BA437" s="199"/>
      <c r="BB437" s="199"/>
      <c r="BC437" s="199"/>
      <c r="BD437" s="199"/>
      <c r="BE437" s="199"/>
      <c r="BF437" s="291"/>
      <c r="BG437" s="201"/>
      <c r="BH437" s="199"/>
      <c r="BI437" s="199"/>
      <c r="BJ437" s="200"/>
      <c r="BK437" s="199"/>
      <c r="BL437" s="291"/>
      <c r="BM437" s="1"/>
      <c r="BN437" s="298"/>
      <c r="BO437" s="207"/>
      <c r="BP437" s="298"/>
      <c r="BQ437" s="298"/>
      <c r="BR437" s="298"/>
      <c r="BS437" s="298"/>
      <c r="BT437" s="298"/>
      <c r="BU437" s="200"/>
      <c r="BV437" s="298"/>
      <c r="BW437" s="298"/>
      <c r="BX437" s="298"/>
      <c r="BY437" s="207"/>
      <c r="BZ437" s="298"/>
      <c r="CA437" s="298"/>
      <c r="CB437" s="298"/>
      <c r="CC437" s="200"/>
      <c r="CD437" s="298"/>
      <c r="CE437" s="207"/>
      <c r="CF437" s="298"/>
      <c r="CG437" s="298"/>
      <c r="CH437" s="298"/>
      <c r="CI437" s="207"/>
      <c r="CJ437" s="298"/>
      <c r="CK437" s="200"/>
      <c r="CL437" s="298"/>
      <c r="CM437" s="298"/>
      <c r="CN437" s="298"/>
      <c r="CO437" s="207"/>
      <c r="CP437" s="298"/>
      <c r="CQ437" s="298"/>
      <c r="CR437" s="298"/>
      <c r="CS437" s="200"/>
    </row>
    <row r="438" spans="1:100">
      <c r="A438" s="207"/>
      <c r="B438" s="298"/>
      <c r="C438" s="294"/>
      <c r="D438" s="298"/>
      <c r="E438" s="294"/>
      <c r="F438" s="294"/>
      <c r="G438" s="294"/>
      <c r="H438" s="294"/>
      <c r="I438" s="207"/>
      <c r="J438" s="207"/>
      <c r="K438" s="207"/>
      <c r="L438" s="298"/>
      <c r="M438" s="298"/>
      <c r="N438" s="207"/>
      <c r="O438" s="207"/>
      <c r="P438" s="204"/>
      <c r="Q438" s="204"/>
      <c r="R438" s="207"/>
      <c r="S438" s="207"/>
      <c r="T438" s="207"/>
      <c r="U438" s="207"/>
      <c r="V438" s="298"/>
      <c r="W438" s="298"/>
      <c r="X438" s="298"/>
      <c r="Y438" s="207"/>
      <c r="Z438" s="294"/>
      <c r="AA438" s="294"/>
      <c r="AB438" s="207"/>
      <c r="AC438" s="298"/>
      <c r="AD438" s="204"/>
      <c r="AE438" s="294"/>
      <c r="AF438" s="298"/>
      <c r="AG438" s="201"/>
      <c r="AH438" s="199"/>
      <c r="AI438" s="199"/>
      <c r="AJ438" s="199"/>
      <c r="AK438" s="199"/>
      <c r="AL438" s="291"/>
      <c r="AM438" s="199"/>
      <c r="AN438" s="199"/>
      <c r="AO438" s="199"/>
      <c r="AP438" s="199"/>
      <c r="AQ438" s="199"/>
      <c r="AR438" s="199"/>
      <c r="AS438" s="291"/>
      <c r="AT438" s="294"/>
      <c r="AU438" s="290"/>
      <c r="AV438" s="290"/>
      <c r="AW438" s="290"/>
      <c r="AX438" s="290"/>
      <c r="AY438" s="294"/>
      <c r="AZ438" s="291"/>
      <c r="BA438" s="199"/>
      <c r="BB438" s="199"/>
      <c r="BC438" s="199"/>
      <c r="BD438" s="199"/>
      <c r="BE438" s="199"/>
      <c r="BF438" s="199"/>
      <c r="BG438" s="291"/>
      <c r="BH438" s="199"/>
      <c r="BI438" s="199"/>
      <c r="BJ438" s="199"/>
      <c r="BK438" s="199"/>
      <c r="BL438" s="291"/>
      <c r="BM438" s="1"/>
      <c r="BN438" s="298"/>
      <c r="BO438" s="199"/>
      <c r="BP438" s="200"/>
      <c r="BQ438" s="200"/>
      <c r="BR438" s="200"/>
      <c r="BS438" s="200"/>
      <c r="BT438" s="207"/>
      <c r="BU438" s="200"/>
      <c r="BV438" s="298"/>
      <c r="BW438" s="200"/>
      <c r="BX438" s="200"/>
      <c r="BY438" s="200"/>
      <c r="BZ438" s="200"/>
      <c r="CA438" s="200"/>
      <c r="CB438" s="298"/>
      <c r="CC438" s="200"/>
      <c r="CD438" s="298"/>
      <c r="CE438" s="200"/>
      <c r="CF438" s="200"/>
      <c r="CG438" s="200"/>
      <c r="CH438" s="200"/>
      <c r="CI438" s="200"/>
      <c r="CJ438" s="298"/>
      <c r="CK438" s="200"/>
      <c r="CL438" s="298"/>
      <c r="CM438" s="200"/>
      <c r="CN438" s="200"/>
      <c r="CO438" s="200"/>
      <c r="CP438" s="200"/>
      <c r="CQ438" s="199"/>
      <c r="CR438" s="298"/>
      <c r="CS438" s="200"/>
    </row>
    <row r="439" spans="1:100">
      <c r="A439" s="207"/>
      <c r="B439" s="298"/>
      <c r="C439" s="298"/>
      <c r="D439" s="294"/>
      <c r="E439" s="294"/>
      <c r="F439" s="294"/>
      <c r="G439" s="294"/>
      <c r="H439" s="207"/>
      <c r="I439" s="207"/>
      <c r="J439" s="207"/>
      <c r="K439" s="207"/>
      <c r="L439" s="204"/>
      <c r="M439" s="204"/>
      <c r="N439" s="207"/>
      <c r="O439" s="298"/>
      <c r="P439" s="207"/>
      <c r="Q439" s="290"/>
      <c r="R439" s="204"/>
      <c r="S439" s="207"/>
      <c r="T439" s="207"/>
      <c r="U439" s="298"/>
      <c r="V439" s="207"/>
      <c r="W439" s="207"/>
      <c r="X439" s="207"/>
      <c r="Y439" s="294"/>
      <c r="Z439" s="294"/>
      <c r="AA439" s="294"/>
      <c r="AB439" s="207"/>
      <c r="AC439" s="204"/>
      <c r="AD439" s="294"/>
      <c r="AE439" s="298"/>
      <c r="AF439" s="298"/>
      <c r="AG439" s="291"/>
      <c r="AH439" s="201"/>
      <c r="AI439" s="199"/>
      <c r="AJ439" s="199"/>
      <c r="AK439" s="201"/>
      <c r="AL439" s="291"/>
      <c r="AM439" s="199"/>
      <c r="AN439" s="199"/>
      <c r="AO439" s="201"/>
      <c r="AP439" s="199"/>
      <c r="AQ439" s="199"/>
      <c r="AR439" s="291"/>
      <c r="AS439" s="294"/>
      <c r="AT439" s="291"/>
      <c r="AU439" s="291"/>
      <c r="AV439" s="291"/>
      <c r="AW439" s="291"/>
      <c r="AX439" s="291"/>
      <c r="AY439" s="291"/>
      <c r="AZ439" s="294"/>
      <c r="BA439" s="291"/>
      <c r="BB439" s="199"/>
      <c r="BC439" s="199"/>
      <c r="BD439" s="201"/>
      <c r="BE439" s="199"/>
      <c r="BF439" s="199"/>
      <c r="BG439" s="291"/>
      <c r="BH439" s="201"/>
      <c r="BI439" s="199"/>
      <c r="BJ439" s="199"/>
      <c r="BK439" s="199"/>
      <c r="BL439" s="291"/>
      <c r="BM439" s="1"/>
      <c r="BN439" s="298"/>
      <c r="BO439" s="200"/>
      <c r="BP439" s="298"/>
      <c r="BQ439" s="207"/>
      <c r="BR439" s="298"/>
      <c r="BS439" s="298"/>
      <c r="BT439" s="298"/>
      <c r="BU439" s="200"/>
      <c r="BV439" s="298"/>
      <c r="BW439" s="200"/>
      <c r="BX439" s="298"/>
      <c r="BY439" s="298"/>
      <c r="BZ439" s="298"/>
      <c r="CA439" s="207"/>
      <c r="CB439" s="298"/>
      <c r="CC439" s="200"/>
      <c r="CD439" s="298"/>
      <c r="CE439" s="200"/>
      <c r="CF439" s="298"/>
      <c r="CG439" s="298"/>
      <c r="CH439" s="207"/>
      <c r="CI439" s="298"/>
      <c r="CJ439" s="298"/>
      <c r="CK439" s="200"/>
      <c r="CL439" s="298"/>
      <c r="CM439" s="200"/>
      <c r="CN439" s="298"/>
      <c r="CO439" s="298"/>
      <c r="CP439" s="207"/>
      <c r="CQ439" s="298"/>
      <c r="CR439" s="298"/>
      <c r="CS439" s="200"/>
    </row>
    <row r="440" spans="1:100">
      <c r="A440" s="298"/>
      <c r="B440" s="294"/>
      <c r="C440" s="294"/>
      <c r="D440" s="294"/>
      <c r="E440" s="294"/>
      <c r="F440" s="207"/>
      <c r="G440" s="207"/>
      <c r="H440" s="207"/>
      <c r="I440" s="207"/>
      <c r="J440" s="204"/>
      <c r="K440" s="204"/>
      <c r="L440" s="298"/>
      <c r="M440" s="294"/>
      <c r="N440" s="207"/>
      <c r="O440" s="298"/>
      <c r="P440" s="294"/>
      <c r="Q440" s="294"/>
      <c r="R440" s="204"/>
      <c r="S440" s="207"/>
      <c r="T440" s="298"/>
      <c r="U440" s="207"/>
      <c r="V440" s="298"/>
      <c r="W440" s="294"/>
      <c r="X440" s="294"/>
      <c r="Y440" s="294"/>
      <c r="Z440" s="294"/>
      <c r="AA440" s="294"/>
      <c r="AB440" s="207"/>
      <c r="AC440" s="204"/>
      <c r="AD440" s="294"/>
      <c r="AE440" s="298"/>
      <c r="AF440" s="294"/>
      <c r="AG440" s="291"/>
      <c r="AH440" s="201"/>
      <c r="AI440" s="199"/>
      <c r="AJ440" s="201"/>
      <c r="AK440" s="201"/>
      <c r="AL440" s="199"/>
      <c r="AM440" s="199"/>
      <c r="AN440" s="201"/>
      <c r="AO440" s="200"/>
      <c r="AP440" s="199"/>
      <c r="AQ440" s="291"/>
      <c r="AR440" s="291"/>
      <c r="AS440" s="291"/>
      <c r="AT440" s="291"/>
      <c r="AU440" s="201"/>
      <c r="AV440" s="201"/>
      <c r="AW440" s="201"/>
      <c r="AX440" s="201"/>
      <c r="AY440" s="291"/>
      <c r="AZ440" s="291"/>
      <c r="BA440" s="291"/>
      <c r="BB440" s="291"/>
      <c r="BC440" s="199"/>
      <c r="BD440" s="200"/>
      <c r="BE440" s="201"/>
      <c r="BF440" s="199"/>
      <c r="BG440" s="199"/>
      <c r="BH440" s="201"/>
      <c r="BI440" s="199"/>
      <c r="BJ440" s="199"/>
      <c r="BK440" s="201"/>
      <c r="BL440" s="201"/>
      <c r="BM440" s="1"/>
      <c r="BN440" s="298"/>
      <c r="BO440" s="200"/>
      <c r="BP440" s="298"/>
      <c r="BQ440" s="200"/>
      <c r="BR440" s="200"/>
      <c r="BS440" s="200"/>
      <c r="BT440" s="200"/>
      <c r="BU440" s="200"/>
      <c r="BV440" s="298"/>
      <c r="BW440" s="200"/>
      <c r="BX440" s="298"/>
      <c r="BY440" s="200"/>
      <c r="BZ440" s="200"/>
      <c r="CA440" s="200"/>
      <c r="CB440" s="200"/>
      <c r="CC440" s="200"/>
      <c r="CD440" s="298"/>
      <c r="CE440" s="200"/>
      <c r="CF440" s="298"/>
      <c r="CG440" s="199"/>
      <c r="CH440" s="200"/>
      <c r="CI440" s="200"/>
      <c r="CJ440" s="200"/>
      <c r="CK440" s="200"/>
      <c r="CL440" s="298"/>
      <c r="CM440" s="200"/>
      <c r="CN440" s="298"/>
      <c r="CO440" s="200"/>
      <c r="CP440" s="200"/>
      <c r="CQ440" s="200"/>
      <c r="CR440" s="200"/>
      <c r="CS440" s="200"/>
    </row>
    <row r="441" spans="1:100">
      <c r="A441" s="294"/>
      <c r="B441" s="294"/>
      <c r="C441" s="294"/>
      <c r="D441" s="294"/>
      <c r="E441" s="207"/>
      <c r="F441" s="207"/>
      <c r="G441" s="204"/>
      <c r="H441" s="207"/>
      <c r="I441" s="207"/>
      <c r="J441" s="298"/>
      <c r="K441" s="294"/>
      <c r="L441" s="298"/>
      <c r="M441" s="207"/>
      <c r="N441" s="298"/>
      <c r="O441" s="298"/>
      <c r="P441" s="298"/>
      <c r="Q441" s="298"/>
      <c r="R441" s="298"/>
      <c r="S441" s="207"/>
      <c r="T441" s="207"/>
      <c r="U441" s="298"/>
      <c r="V441" s="294"/>
      <c r="W441" s="294"/>
      <c r="X441" s="294"/>
      <c r="Y441" s="294"/>
      <c r="Z441" s="294"/>
      <c r="AA441" s="207"/>
      <c r="AB441" s="207"/>
      <c r="AC441" s="204"/>
      <c r="AD441" s="294"/>
      <c r="AE441" s="294"/>
      <c r="AF441" s="294"/>
      <c r="AG441" s="291"/>
      <c r="AH441" s="199"/>
      <c r="AI441" s="201"/>
      <c r="AJ441" s="291"/>
      <c r="AK441" s="199"/>
      <c r="AL441" s="199"/>
      <c r="AM441" s="201"/>
      <c r="AN441" s="201"/>
      <c r="AO441" s="199"/>
      <c r="AP441" s="291"/>
      <c r="AQ441" s="291"/>
      <c r="AR441" s="291"/>
      <c r="AS441" s="201"/>
      <c r="AT441" s="199"/>
      <c r="AU441" s="199"/>
      <c r="AV441" s="199"/>
      <c r="AW441" s="199"/>
      <c r="AX441" s="199"/>
      <c r="AY441" s="199"/>
      <c r="AZ441" s="201"/>
      <c r="BA441" s="291"/>
      <c r="BB441" s="291"/>
      <c r="BC441" s="291"/>
      <c r="BD441" s="199"/>
      <c r="BE441" s="201"/>
      <c r="BF441" s="201"/>
      <c r="BG441" s="199"/>
      <c r="BH441" s="291"/>
      <c r="BI441" s="201"/>
      <c r="BJ441" s="199"/>
      <c r="BK441" s="199"/>
      <c r="BL441" s="201"/>
      <c r="BM441" s="1"/>
      <c r="BN441" s="298"/>
      <c r="BO441" s="200"/>
      <c r="BP441" s="298"/>
      <c r="BQ441" s="298"/>
      <c r="BR441" s="207"/>
      <c r="BS441" s="298"/>
      <c r="BT441" s="298"/>
      <c r="BU441" s="207"/>
      <c r="BV441" s="298"/>
      <c r="BW441" s="200"/>
      <c r="BX441" s="207"/>
      <c r="BY441" s="298"/>
      <c r="BZ441" s="298"/>
      <c r="CA441" s="298"/>
      <c r="CB441" s="298"/>
      <c r="CC441" s="207"/>
      <c r="CD441" s="298"/>
      <c r="CE441" s="200"/>
      <c r="CF441" s="298"/>
      <c r="CG441" s="207"/>
      <c r="CH441" s="298"/>
      <c r="CI441" s="298"/>
      <c r="CJ441" s="298"/>
      <c r="CK441" s="207"/>
      <c r="CL441" s="298"/>
      <c r="CM441" s="200"/>
      <c r="CN441" s="298"/>
      <c r="CO441" s="298"/>
      <c r="CP441" s="298"/>
      <c r="CQ441" s="298"/>
      <c r="CR441" s="207"/>
      <c r="CS441" s="298"/>
    </row>
    <row r="442" spans="1:100">
      <c r="A442" s="294"/>
      <c r="B442" s="294"/>
      <c r="C442" s="294"/>
      <c r="D442" s="207"/>
      <c r="E442" s="207"/>
      <c r="F442" s="204"/>
      <c r="G442" s="290"/>
      <c r="H442" s="290"/>
      <c r="I442" s="204"/>
      <c r="J442" s="207"/>
      <c r="K442" s="207"/>
      <c r="L442" s="207"/>
      <c r="M442" s="298"/>
      <c r="N442" s="207"/>
      <c r="O442" s="207"/>
      <c r="P442" s="207"/>
      <c r="Q442" s="207"/>
      <c r="R442" s="207"/>
      <c r="S442" s="298"/>
      <c r="T442" s="294"/>
      <c r="U442" s="294"/>
      <c r="V442" s="204"/>
      <c r="W442" s="298"/>
      <c r="X442" s="294"/>
      <c r="Y442" s="294"/>
      <c r="Z442" s="294"/>
      <c r="AA442" s="207"/>
      <c r="AB442" s="204"/>
      <c r="AC442" s="298"/>
      <c r="AD442" s="294"/>
      <c r="AE442" s="294"/>
      <c r="AF442" s="294"/>
      <c r="AG442" s="291"/>
      <c r="AH442" s="199"/>
      <c r="AI442" s="201"/>
      <c r="AJ442" s="201"/>
      <c r="AK442" s="201"/>
      <c r="AL442" s="201"/>
      <c r="AM442" s="201"/>
      <c r="AN442" s="199"/>
      <c r="AO442" s="291"/>
      <c r="AP442" s="291"/>
      <c r="AQ442" s="201"/>
      <c r="AR442" s="199"/>
      <c r="AS442" s="199"/>
      <c r="AT442" s="199"/>
      <c r="AU442" s="199"/>
      <c r="AV442" s="199"/>
      <c r="AW442" s="199"/>
      <c r="AX442" s="199"/>
      <c r="AY442" s="199"/>
      <c r="AZ442" s="199"/>
      <c r="BA442" s="199"/>
      <c r="BB442" s="201"/>
      <c r="BC442" s="291"/>
      <c r="BD442" s="291"/>
      <c r="BE442" s="199"/>
      <c r="BF442" s="201"/>
      <c r="BG442" s="201"/>
      <c r="BH442" s="199"/>
      <c r="BI442" s="201"/>
      <c r="BJ442" s="201"/>
      <c r="BK442" s="199"/>
      <c r="BL442" s="201"/>
      <c r="BM442" s="1"/>
      <c r="BN442" s="200"/>
      <c r="BO442" s="200"/>
      <c r="BP442" s="200"/>
      <c r="BQ442" s="200"/>
      <c r="BR442" s="200"/>
      <c r="BS442" s="200"/>
      <c r="BT442" s="200"/>
      <c r="BU442" s="200"/>
      <c r="BV442" s="200"/>
      <c r="BW442" s="305"/>
      <c r="BX442" s="200"/>
      <c r="BY442" s="200"/>
      <c r="BZ442" s="200"/>
      <c r="CA442" s="200"/>
      <c r="CB442" s="200"/>
      <c r="CC442" s="200"/>
      <c r="CD442" s="200"/>
      <c r="CE442" s="200"/>
      <c r="CF442" s="200"/>
      <c r="CG442" s="200"/>
      <c r="CH442" s="200"/>
      <c r="CI442" s="200"/>
      <c r="CJ442" s="200"/>
      <c r="CK442" s="200"/>
      <c r="CL442" s="200"/>
      <c r="CM442" s="305"/>
      <c r="CN442" s="200"/>
      <c r="CO442" s="200"/>
      <c r="CP442" s="200"/>
      <c r="CQ442" s="200"/>
      <c r="CR442" s="200"/>
      <c r="CS442" s="200"/>
    </row>
    <row r="443" spans="1:100">
      <c r="A443" s="294"/>
      <c r="B443" s="207"/>
      <c r="C443" s="207"/>
      <c r="D443" s="204"/>
      <c r="E443" s="294"/>
      <c r="F443" s="290"/>
      <c r="G443" s="290"/>
      <c r="H443" s="290"/>
      <c r="I443" s="290"/>
      <c r="J443" s="204"/>
      <c r="K443" s="207"/>
      <c r="L443" s="207"/>
      <c r="M443" s="294"/>
      <c r="N443" s="294"/>
      <c r="O443" s="294"/>
      <c r="P443" s="294"/>
      <c r="Q443" s="294"/>
      <c r="R443" s="294"/>
      <c r="S443" s="294"/>
      <c r="T443" s="294"/>
      <c r="U443" s="294"/>
      <c r="V443" s="298"/>
      <c r="W443" s="294"/>
      <c r="X443" s="290"/>
      <c r="Y443" s="294"/>
      <c r="Z443" s="298"/>
      <c r="AA443" s="207"/>
      <c r="AB443" s="207"/>
      <c r="AC443" s="207"/>
      <c r="AD443" s="294"/>
      <c r="AE443" s="294"/>
      <c r="AF443" s="298"/>
      <c r="AG443" s="201"/>
      <c r="AH443" s="201"/>
      <c r="AI443" s="291"/>
      <c r="AJ443" s="201"/>
      <c r="AK443" s="201"/>
      <c r="AL443" s="201"/>
      <c r="AM443" s="199"/>
      <c r="AN443" s="291"/>
      <c r="AO443" s="201"/>
      <c r="AP443" s="199"/>
      <c r="AQ443" s="199"/>
      <c r="AR443" s="199"/>
      <c r="AS443" s="199"/>
      <c r="AT443" s="199"/>
      <c r="AU443" s="199"/>
      <c r="AV443" s="199"/>
      <c r="AW443" s="199"/>
      <c r="AX443" s="199"/>
      <c r="AY443" s="199"/>
      <c r="AZ443" s="199"/>
      <c r="BA443" s="199"/>
      <c r="BB443" s="199"/>
      <c r="BC443" s="199"/>
      <c r="BD443" s="201"/>
      <c r="BE443" s="291"/>
      <c r="BF443" s="199"/>
      <c r="BG443" s="201"/>
      <c r="BH443" s="201"/>
      <c r="BI443" s="201"/>
      <c r="BJ443" s="201"/>
      <c r="BK443" s="199"/>
      <c r="BL443" s="291"/>
      <c r="BM443" s="1"/>
      <c r="BN443" s="158"/>
      <c r="BO443" s="162"/>
      <c r="BP443" s="158"/>
      <c r="BQ443" s="158"/>
      <c r="BR443" s="158"/>
      <c r="BS443" s="158"/>
      <c r="BT443" s="162"/>
      <c r="BU443" s="158"/>
      <c r="BV443" s="158"/>
      <c r="BW443" s="163"/>
      <c r="BX443" s="158"/>
      <c r="BY443" s="158"/>
      <c r="BZ443" s="158"/>
      <c r="CA443" s="163"/>
      <c r="CB443" s="158"/>
      <c r="CC443" s="158"/>
      <c r="CD443" s="162"/>
      <c r="CE443" s="158"/>
      <c r="CF443" s="163"/>
      <c r="CG443" s="158"/>
      <c r="CH443" s="158"/>
      <c r="CI443" s="158"/>
      <c r="CJ443" s="162"/>
      <c r="CK443" s="158"/>
      <c r="CL443" s="163"/>
      <c r="CM443" s="158"/>
      <c r="CN443" s="158"/>
      <c r="CO443" s="158"/>
      <c r="CP443" s="162"/>
      <c r="CQ443" s="158"/>
      <c r="CR443" s="158"/>
      <c r="CS443" s="163"/>
    </row>
    <row r="444" spans="1:100">
      <c r="A444" s="207"/>
      <c r="B444" s="207"/>
      <c r="C444" s="294"/>
      <c r="D444" s="290"/>
      <c r="E444" s="290"/>
      <c r="F444" s="290"/>
      <c r="G444" s="290"/>
      <c r="H444" s="294"/>
      <c r="I444" s="298"/>
      <c r="J444" s="298"/>
      <c r="K444" s="207"/>
      <c r="L444" s="294"/>
      <c r="M444" s="298"/>
      <c r="N444" s="298"/>
      <c r="O444" s="298"/>
      <c r="P444" s="298"/>
      <c r="Q444" s="294"/>
      <c r="R444" s="294"/>
      <c r="S444" s="294"/>
      <c r="T444" s="294"/>
      <c r="U444" s="294"/>
      <c r="V444" s="294"/>
      <c r="W444" s="290"/>
      <c r="X444" s="294"/>
      <c r="Y444" s="294"/>
      <c r="Z444" s="207"/>
      <c r="AA444" s="298"/>
      <c r="AB444" s="294"/>
      <c r="AC444" s="298"/>
      <c r="AD444" s="294"/>
      <c r="AE444" s="294"/>
      <c r="AF444" s="298"/>
      <c r="AG444" s="291"/>
      <c r="AH444" s="201"/>
      <c r="AI444" s="201"/>
      <c r="AJ444" s="201"/>
      <c r="AK444" s="201"/>
      <c r="AL444" s="199"/>
      <c r="AM444" s="291"/>
      <c r="AN444" s="201"/>
      <c r="AO444" s="199"/>
      <c r="AP444" s="199"/>
      <c r="AQ444" s="199"/>
      <c r="AR444" s="199"/>
      <c r="AS444" s="199"/>
      <c r="AT444" s="199"/>
      <c r="AU444" s="200"/>
      <c r="AV444" s="200"/>
      <c r="AW444" s="201"/>
      <c r="AX444" s="199"/>
      <c r="AY444" s="199"/>
      <c r="AZ444" s="199"/>
      <c r="BA444" s="199"/>
      <c r="BB444" s="199"/>
      <c r="BC444" s="199"/>
      <c r="BD444" s="199"/>
      <c r="BE444" s="201"/>
      <c r="BF444" s="291"/>
      <c r="BG444" s="199"/>
      <c r="BH444" s="201"/>
      <c r="BI444" s="291"/>
      <c r="BJ444" s="201"/>
      <c r="BK444" s="201"/>
      <c r="BL444" s="291"/>
      <c r="BM444" s="1"/>
      <c r="CV444">
        <v>18</v>
      </c>
    </row>
    <row r="445" spans="1:100">
      <c r="A445" s="207"/>
      <c r="B445" s="207"/>
      <c r="C445" s="204"/>
      <c r="D445" s="298"/>
      <c r="E445" s="294"/>
      <c r="F445" s="290"/>
      <c r="G445" s="294"/>
      <c r="H445" s="298"/>
      <c r="I445" s="207"/>
      <c r="J445" s="207"/>
      <c r="K445" s="294"/>
      <c r="L445" s="298"/>
      <c r="M445" s="298"/>
      <c r="N445" s="207"/>
      <c r="O445" s="207"/>
      <c r="P445" s="298"/>
      <c r="Q445" s="298"/>
      <c r="R445" s="294"/>
      <c r="S445" s="294"/>
      <c r="T445" s="294"/>
      <c r="U445" s="294"/>
      <c r="V445" s="294"/>
      <c r="W445" s="298"/>
      <c r="X445" s="298"/>
      <c r="Y445" s="207"/>
      <c r="Z445" s="207"/>
      <c r="AA445" s="204"/>
      <c r="AB445" s="207"/>
      <c r="AC445" s="294"/>
      <c r="AD445" s="204"/>
      <c r="AE445" s="294"/>
      <c r="AF445" s="294"/>
      <c r="AG445" s="291"/>
      <c r="AH445" s="201"/>
      <c r="AI445" s="201"/>
      <c r="AJ445" s="201"/>
      <c r="AK445" s="199"/>
      <c r="AL445" s="291"/>
      <c r="AM445" s="199"/>
      <c r="AN445" s="199"/>
      <c r="AO445" s="199"/>
      <c r="AP445" s="199"/>
      <c r="AQ445" s="199"/>
      <c r="AR445" s="199"/>
      <c r="AS445" s="200"/>
      <c r="AT445" s="201"/>
      <c r="AU445" s="199"/>
      <c r="AV445" s="199"/>
      <c r="AW445" s="199"/>
      <c r="AX445" s="200"/>
      <c r="AY445" s="201"/>
      <c r="AZ445" s="199"/>
      <c r="BA445" s="199"/>
      <c r="BB445" s="199"/>
      <c r="BC445" s="199"/>
      <c r="BD445" s="199"/>
      <c r="BE445" s="199"/>
      <c r="BF445" s="199"/>
      <c r="BG445" s="291"/>
      <c r="BH445" s="199"/>
      <c r="BI445" s="201"/>
      <c r="BJ445" s="201"/>
      <c r="BK445" s="201"/>
      <c r="BL445" s="291"/>
      <c r="BM445" s="1"/>
      <c r="BN445" s="200"/>
      <c r="BO445" s="199"/>
      <c r="BP445" s="200"/>
      <c r="BQ445" s="200"/>
      <c r="BR445" s="200"/>
      <c r="BS445" s="200"/>
      <c r="BT445" s="200"/>
      <c r="BU445" s="200"/>
      <c r="BV445" s="200"/>
      <c r="BW445" s="200"/>
      <c r="BX445" s="200"/>
      <c r="BY445" s="200"/>
      <c r="BZ445" s="200"/>
      <c r="CA445" s="200"/>
      <c r="CB445" s="199"/>
      <c r="CC445" s="200"/>
      <c r="CD445" s="200"/>
      <c r="CE445" s="200"/>
      <c r="CF445" s="200"/>
      <c r="CG445" s="200"/>
      <c r="CH445" s="200"/>
      <c r="CI445" s="200"/>
      <c r="CJ445" s="200"/>
      <c r="CK445" s="200"/>
      <c r="CL445" s="200"/>
      <c r="CM445" s="305"/>
      <c r="CN445" s="200"/>
      <c r="CO445" s="200"/>
      <c r="CP445" s="200"/>
      <c r="CQ445" s="200"/>
      <c r="CR445" s="200"/>
      <c r="CS445" s="200"/>
    </row>
    <row r="446" spans="1:100">
      <c r="A446" s="294"/>
      <c r="B446" s="298"/>
      <c r="C446" s="298"/>
      <c r="D446" s="207"/>
      <c r="E446" s="204"/>
      <c r="F446" s="298"/>
      <c r="G446" s="207"/>
      <c r="H446" s="204"/>
      <c r="I446" s="207"/>
      <c r="J446" s="294"/>
      <c r="K446" s="294"/>
      <c r="L446" s="298"/>
      <c r="M446" s="207"/>
      <c r="N446" s="204"/>
      <c r="O446" s="298"/>
      <c r="P446" s="294"/>
      <c r="Q446" s="298"/>
      <c r="R446" s="294"/>
      <c r="S446" s="294"/>
      <c r="T446" s="294"/>
      <c r="U446" s="207"/>
      <c r="V446" s="298"/>
      <c r="W446" s="207"/>
      <c r="X446" s="207"/>
      <c r="Y446" s="204"/>
      <c r="Z446" s="207"/>
      <c r="AA446" s="294"/>
      <c r="AB446" s="294"/>
      <c r="AC446" s="204"/>
      <c r="AD446" s="204"/>
      <c r="AE446" s="207"/>
      <c r="AF446" s="294"/>
      <c r="AG446" s="291"/>
      <c r="AH446" s="557"/>
      <c r="AI446" s="429"/>
      <c r="AJ446" s="201"/>
      <c r="AK446" s="291"/>
      <c r="AL446" s="199"/>
      <c r="AM446" s="199"/>
      <c r="AN446" s="199"/>
      <c r="AO446" s="199"/>
      <c r="AP446" s="201"/>
      <c r="AQ446" s="201"/>
      <c r="AR446" s="199"/>
      <c r="AS446" s="199"/>
      <c r="AT446" s="199"/>
      <c r="AU446" s="199"/>
      <c r="AV446" s="199"/>
      <c r="AW446" s="199"/>
      <c r="AX446" s="199"/>
      <c r="AY446" s="199"/>
      <c r="AZ446" s="199"/>
      <c r="BA446" s="201"/>
      <c r="BB446" s="201"/>
      <c r="BC446" s="199"/>
      <c r="BD446" s="199"/>
      <c r="BE446" s="199"/>
      <c r="BF446" s="199"/>
      <c r="BG446" s="199"/>
      <c r="BH446" s="291"/>
      <c r="BI446" s="201"/>
      <c r="BJ446" s="557"/>
      <c r="BK446" s="429"/>
      <c r="BL446" s="291"/>
      <c r="BM446" s="1"/>
      <c r="BN446" s="200"/>
      <c r="BO446" s="200"/>
      <c r="BP446" s="200"/>
      <c r="BQ446" s="200"/>
      <c r="BR446" s="200"/>
      <c r="BS446" s="305"/>
      <c r="BT446" s="200"/>
      <c r="BU446" s="200"/>
      <c r="BV446" s="200"/>
      <c r="BW446" s="200"/>
      <c r="BX446" s="200"/>
      <c r="BY446" s="200"/>
      <c r="BZ446" s="200"/>
      <c r="CA446" s="200"/>
      <c r="CB446" s="200"/>
      <c r="CC446" s="200"/>
      <c r="CD446" s="200"/>
      <c r="CE446" s="200"/>
      <c r="CF446" s="200"/>
      <c r="CG446" s="199"/>
      <c r="CH446" s="200"/>
      <c r="CI446" s="200"/>
      <c r="CJ446" s="200"/>
      <c r="CK446" s="200"/>
      <c r="CL446" s="200"/>
      <c r="CM446" s="200"/>
      <c r="CN446" s="200"/>
      <c r="CO446" s="200"/>
      <c r="CP446" s="200"/>
      <c r="CQ446" s="199"/>
      <c r="CR446" s="200"/>
      <c r="CS446" s="200"/>
    </row>
    <row r="447" spans="1:100">
      <c r="A447" s="298"/>
      <c r="B447" s="294"/>
      <c r="C447" s="207"/>
      <c r="D447" s="207"/>
      <c r="E447" s="207"/>
      <c r="F447" s="207"/>
      <c r="G447" s="294"/>
      <c r="H447" s="294"/>
      <c r="I447" s="294"/>
      <c r="J447" s="294"/>
      <c r="K447" s="298"/>
      <c r="L447" s="298"/>
      <c r="M447" s="207"/>
      <c r="N447" s="298"/>
      <c r="O447" s="298"/>
      <c r="P447" s="294"/>
      <c r="Q447" s="298"/>
      <c r="R447" s="294"/>
      <c r="S447" s="207"/>
      <c r="T447" s="204"/>
      <c r="U447" s="204"/>
      <c r="V447" s="207"/>
      <c r="W447" s="204"/>
      <c r="X447" s="207"/>
      <c r="Y447" s="294"/>
      <c r="Z447" s="294"/>
      <c r="AA447" s="294"/>
      <c r="AB447" s="294"/>
      <c r="AC447" s="294"/>
      <c r="AD447" s="207"/>
      <c r="AE447" s="294"/>
      <c r="AF447" s="294"/>
      <c r="AG447" s="291"/>
      <c r="AH447" s="555"/>
      <c r="AI447" s="206"/>
      <c r="AJ447" s="201"/>
      <c r="AK447" s="199"/>
      <c r="AL447" s="199"/>
      <c r="AM447" s="201"/>
      <c r="AN447" s="199"/>
      <c r="AO447" s="199"/>
      <c r="AP447" s="199"/>
      <c r="AQ447" s="199"/>
      <c r="AR447" s="199"/>
      <c r="AS447" s="199"/>
      <c r="AT447" s="199"/>
      <c r="AU447" s="199"/>
      <c r="AV447" s="199"/>
      <c r="AW447" s="199"/>
      <c r="AX447" s="199"/>
      <c r="AY447" s="199"/>
      <c r="AZ447" s="199"/>
      <c r="BA447" s="199"/>
      <c r="BB447" s="199"/>
      <c r="BC447" s="199"/>
      <c r="BD447" s="199"/>
      <c r="BE447" s="201"/>
      <c r="BF447" s="199"/>
      <c r="BG447" s="199"/>
      <c r="BH447" s="199"/>
      <c r="BI447" s="201"/>
      <c r="BJ447" s="555"/>
      <c r="BK447" s="206"/>
      <c r="BL447" s="291"/>
      <c r="BM447" s="1"/>
      <c r="BN447" s="200"/>
      <c r="BO447" s="199"/>
      <c r="BP447" s="200"/>
      <c r="BQ447" s="200"/>
      <c r="BR447" s="200"/>
      <c r="BS447" s="200"/>
      <c r="BT447" s="200"/>
      <c r="BU447" s="200"/>
      <c r="BV447" s="200"/>
      <c r="BW447" s="200"/>
      <c r="BX447" s="200"/>
      <c r="BY447" s="200"/>
      <c r="BZ447" s="200"/>
      <c r="CA447" s="200"/>
      <c r="CB447" s="199"/>
      <c r="CC447" s="200"/>
      <c r="CD447" s="200"/>
      <c r="CE447" s="200"/>
      <c r="CF447" s="200"/>
      <c r="CG447" s="200"/>
      <c r="CH447" s="200"/>
      <c r="CI447" s="200"/>
      <c r="CJ447" s="200"/>
      <c r="CK447" s="200"/>
      <c r="CL447" s="200"/>
      <c r="CM447" s="199"/>
      <c r="CN447" s="200"/>
      <c r="CO447" s="200"/>
      <c r="CP447" s="200"/>
      <c r="CQ447" s="199"/>
      <c r="CR447" s="200"/>
      <c r="CS447" s="200"/>
    </row>
    <row r="448" spans="1:100">
      <c r="A448" s="298"/>
      <c r="B448" s="298"/>
      <c r="C448" s="294"/>
      <c r="D448" s="294"/>
      <c r="E448" s="294"/>
      <c r="F448" s="294"/>
      <c r="G448" s="294"/>
      <c r="H448" s="294"/>
      <c r="I448" s="298"/>
      <c r="J448" s="298"/>
      <c r="K448" s="298"/>
      <c r="L448" s="298"/>
      <c r="M448" s="298"/>
      <c r="N448" s="207"/>
      <c r="O448" s="294"/>
      <c r="P448" s="298"/>
      <c r="Q448" s="298"/>
      <c r="R448" s="298"/>
      <c r="S448" s="294"/>
      <c r="T448" s="294"/>
      <c r="U448" s="294"/>
      <c r="V448" s="298"/>
      <c r="W448" s="298"/>
      <c r="X448" s="294"/>
      <c r="Y448" s="294"/>
      <c r="Z448" s="294"/>
      <c r="AA448" s="294"/>
      <c r="AB448" s="294"/>
      <c r="AC448" s="294"/>
      <c r="AD448" s="298"/>
      <c r="AE448" s="294"/>
      <c r="AF448" s="294"/>
      <c r="AG448" s="201"/>
      <c r="AH448" s="291"/>
      <c r="AI448" s="291"/>
      <c r="AJ448" s="201"/>
      <c r="AK448" s="291"/>
      <c r="AL448" s="291"/>
      <c r="AM448" s="291"/>
      <c r="AN448" s="201"/>
      <c r="AO448" s="201"/>
      <c r="AP448" s="291"/>
      <c r="AQ448" s="291"/>
      <c r="AR448" s="291"/>
      <c r="AS448" s="291"/>
      <c r="AT448" s="201"/>
      <c r="AU448" s="201"/>
      <c r="AV448" s="201"/>
      <c r="AW448" s="291"/>
      <c r="AX448" s="291"/>
      <c r="AY448" s="201"/>
      <c r="AZ448" s="201"/>
      <c r="BA448" s="201"/>
      <c r="BB448" s="291"/>
      <c r="BC448" s="201"/>
      <c r="BD448" s="201"/>
      <c r="BE448" s="291"/>
      <c r="BF448" s="291"/>
      <c r="BG448" s="201"/>
      <c r="BH448" s="201"/>
      <c r="BI448" s="291"/>
      <c r="BJ448" s="291"/>
      <c r="BK448" s="291"/>
      <c r="BL448" s="201"/>
      <c r="BM448" s="176"/>
      <c r="BN448" s="200"/>
      <c r="BO448" s="199"/>
      <c r="BP448" s="200"/>
      <c r="BQ448" s="200"/>
      <c r="BR448" s="200"/>
      <c r="BS448" s="199"/>
      <c r="BT448" s="200"/>
      <c r="BU448" s="200"/>
      <c r="BV448" s="200"/>
      <c r="BW448" s="200"/>
      <c r="BX448" s="199"/>
      <c r="BY448" s="305"/>
      <c r="BZ448" s="199"/>
      <c r="CA448" s="200"/>
      <c r="CB448" s="199"/>
      <c r="CC448" s="200"/>
      <c r="CD448" s="200"/>
      <c r="CE448" s="200"/>
      <c r="CF448" s="200"/>
      <c r="CG448" s="199"/>
      <c r="CH448" s="200"/>
      <c r="CI448" s="200"/>
      <c r="CJ448" s="200"/>
      <c r="CK448" s="200"/>
      <c r="CL448" s="200"/>
      <c r="CM448" s="199"/>
      <c r="CN448" s="200"/>
      <c r="CO448" s="200"/>
      <c r="CP448" s="200"/>
      <c r="CQ448" s="199"/>
      <c r="CR448" s="200"/>
      <c r="CS448" s="200"/>
    </row>
    <row r="449" spans="1:65">
      <c r="A449" s="290"/>
      <c r="B449" s="290"/>
      <c r="C449" s="290"/>
      <c r="D449" s="290"/>
      <c r="E449" s="290"/>
      <c r="F449" s="290"/>
      <c r="G449" s="290"/>
      <c r="H449" s="290"/>
      <c r="I449" s="290"/>
      <c r="J449" s="290"/>
      <c r="K449" s="290"/>
      <c r="L449" s="290"/>
      <c r="M449" s="290"/>
      <c r="N449" s="290"/>
      <c r="O449" s="290"/>
      <c r="P449" s="290"/>
      <c r="Q449" s="294"/>
      <c r="R449" s="294"/>
      <c r="S449" s="294"/>
      <c r="T449" s="294"/>
      <c r="U449" s="294"/>
      <c r="V449" s="294"/>
      <c r="W449" s="294"/>
      <c r="X449" s="294"/>
      <c r="Y449" s="298"/>
      <c r="Z449" s="207"/>
      <c r="AA449" s="298"/>
      <c r="AB449" s="294"/>
      <c r="AC449" s="290"/>
      <c r="AD449" s="290"/>
      <c r="AE449" s="290"/>
      <c r="AF449" s="290"/>
      <c r="AG449" s="298"/>
      <c r="AH449" s="298"/>
      <c r="AI449" s="298"/>
      <c r="AJ449" s="298"/>
      <c r="AK449" s="294"/>
      <c r="AL449" s="294"/>
      <c r="AM449" s="294"/>
      <c r="AN449" s="294"/>
      <c r="AO449" s="294"/>
      <c r="AP449" s="298"/>
      <c r="AQ449" s="298"/>
      <c r="AR449" s="298"/>
      <c r="AS449" s="207"/>
      <c r="AT449" s="298"/>
      <c r="AU449" s="207"/>
      <c r="AV449" s="207"/>
      <c r="AW449" s="298"/>
      <c r="AX449" s="298"/>
      <c r="AY449" s="298"/>
      <c r="AZ449" s="298"/>
      <c r="BA449" s="294"/>
      <c r="BB449" s="294"/>
      <c r="BC449" s="294"/>
      <c r="BD449" s="294"/>
      <c r="BE449" s="294"/>
      <c r="BF449" s="298"/>
      <c r="BG449" s="298"/>
      <c r="BH449" s="298"/>
      <c r="BI449" s="298"/>
      <c r="BJ449" s="207"/>
      <c r="BK449" s="207"/>
      <c r="BL449" s="298"/>
      <c r="BM449" s="294">
        <v>15</v>
      </c>
    </row>
    <row r="450" spans="1:65">
      <c r="A450" s="290"/>
      <c r="B450" s="290"/>
      <c r="C450" s="290"/>
      <c r="D450" s="290"/>
      <c r="E450" s="290"/>
      <c r="F450" s="290"/>
      <c r="G450" s="290"/>
      <c r="H450" s="290"/>
      <c r="I450" s="290"/>
      <c r="J450" s="290"/>
      <c r="K450" s="290"/>
      <c r="L450" s="290"/>
      <c r="M450" s="290"/>
      <c r="N450" s="290"/>
      <c r="O450" s="294"/>
      <c r="P450" s="294"/>
      <c r="Q450" s="294"/>
      <c r="R450" s="294"/>
      <c r="S450" s="294"/>
      <c r="T450" s="294"/>
      <c r="U450" s="294"/>
      <c r="V450" s="294"/>
      <c r="W450" s="294"/>
      <c r="X450" s="298"/>
      <c r="Y450" s="207"/>
      <c r="Z450" s="294"/>
      <c r="AA450" s="290"/>
      <c r="AB450" s="290"/>
      <c r="AC450" s="290"/>
      <c r="AD450" s="290"/>
      <c r="AE450" s="290"/>
      <c r="AF450" s="290"/>
      <c r="AG450" s="298"/>
      <c r="AH450" s="298"/>
      <c r="AI450" s="298"/>
      <c r="AJ450" s="298"/>
      <c r="AK450" s="294"/>
      <c r="AL450" s="294"/>
      <c r="AM450" s="294"/>
      <c r="AN450" s="290"/>
      <c r="AO450" s="294"/>
      <c r="AP450" s="298"/>
      <c r="AQ450" s="298"/>
      <c r="AR450" s="207"/>
      <c r="AS450" s="207"/>
      <c r="AT450" s="207"/>
      <c r="AU450" s="207"/>
      <c r="AV450" s="298"/>
      <c r="AW450" s="298"/>
      <c r="AX450" s="298"/>
      <c r="AY450" s="298"/>
      <c r="AZ450" s="294"/>
      <c r="BA450" s="294"/>
      <c r="BB450" s="294"/>
      <c r="BC450" s="294"/>
      <c r="BD450" s="294"/>
      <c r="BE450" s="294"/>
      <c r="BF450" s="298"/>
      <c r="BG450" s="298"/>
      <c r="BH450" s="207"/>
      <c r="BI450" s="207"/>
      <c r="BJ450" s="298"/>
      <c r="BK450" s="207"/>
      <c r="BL450" s="207"/>
      <c r="BM450" s="298"/>
    </row>
    <row r="451" spans="1:65">
      <c r="A451" s="290"/>
      <c r="B451" s="290"/>
      <c r="C451" s="290"/>
      <c r="D451" s="290"/>
      <c r="E451" s="290"/>
      <c r="F451" s="290"/>
      <c r="G451" s="290"/>
      <c r="H451" s="290"/>
      <c r="I451" s="290"/>
      <c r="J451" s="290"/>
      <c r="K451" s="290"/>
      <c r="L451" s="294"/>
      <c r="M451" s="294"/>
      <c r="N451" s="294"/>
      <c r="O451" s="294"/>
      <c r="P451" s="294"/>
      <c r="Q451" s="294"/>
      <c r="R451" s="294"/>
      <c r="S451" s="294"/>
      <c r="T451" s="294"/>
      <c r="U451" s="294"/>
      <c r="V451" s="298"/>
      <c r="W451" s="298"/>
      <c r="X451" s="207"/>
      <c r="Y451" s="294"/>
      <c r="Z451" s="290"/>
      <c r="AA451" s="290"/>
      <c r="AB451" s="290"/>
      <c r="AC451" s="290"/>
      <c r="AD451" s="290"/>
      <c r="AE451" s="290"/>
      <c r="AF451" s="290"/>
      <c r="AG451" s="207"/>
      <c r="AH451" s="298"/>
      <c r="AI451" s="298"/>
      <c r="AJ451" s="298"/>
      <c r="AK451" s="298"/>
      <c r="AL451" s="294"/>
      <c r="AM451" s="294"/>
      <c r="AN451" s="294"/>
      <c r="AO451" s="294"/>
      <c r="AP451" s="294"/>
      <c r="AQ451" s="298"/>
      <c r="AR451" s="207"/>
      <c r="AS451" s="207"/>
      <c r="AT451" s="207"/>
      <c r="AU451" s="207"/>
      <c r="AV451" s="298"/>
      <c r="AW451" s="298"/>
      <c r="AX451" s="298"/>
      <c r="AY451" s="298"/>
      <c r="AZ451" s="294"/>
      <c r="BA451" s="294"/>
      <c r="BB451" s="294"/>
      <c r="BC451" s="294"/>
      <c r="BD451" s="294"/>
      <c r="BE451" s="298"/>
      <c r="BF451" s="298"/>
      <c r="BG451" s="298"/>
      <c r="BH451" s="207"/>
      <c r="BI451" s="298"/>
      <c r="BJ451" s="298"/>
      <c r="BK451" s="298"/>
      <c r="BL451" s="207"/>
      <c r="BM451" s="356"/>
    </row>
    <row r="452" spans="1:65">
      <c r="A452" s="290"/>
      <c r="B452" s="290"/>
      <c r="C452" s="290"/>
      <c r="D452" s="290"/>
      <c r="E452" s="290"/>
      <c r="F452" s="290"/>
      <c r="G452" s="290"/>
      <c r="H452" s="294"/>
      <c r="I452" s="294"/>
      <c r="J452" s="294"/>
      <c r="K452" s="294"/>
      <c r="L452" s="294"/>
      <c r="M452" s="294"/>
      <c r="N452" s="294"/>
      <c r="O452" s="294"/>
      <c r="P452" s="294"/>
      <c r="Q452" s="294"/>
      <c r="R452" s="294"/>
      <c r="S452" s="294"/>
      <c r="T452" s="298"/>
      <c r="U452" s="298"/>
      <c r="V452" s="207"/>
      <c r="W452" s="294"/>
      <c r="X452" s="290"/>
      <c r="Y452" s="290"/>
      <c r="Z452" s="290"/>
      <c r="AA452" s="290"/>
      <c r="AB452" s="290"/>
      <c r="AC452" s="290"/>
      <c r="AD452" s="290"/>
      <c r="AE452" s="290"/>
      <c r="AF452" s="290"/>
      <c r="AG452" s="207"/>
      <c r="AH452" s="298"/>
      <c r="AI452" s="298"/>
      <c r="AJ452" s="298"/>
      <c r="AK452" s="298"/>
      <c r="AL452" s="294"/>
      <c r="AM452" s="294"/>
      <c r="AN452" s="290"/>
      <c r="AO452" s="294"/>
      <c r="AP452" s="294"/>
      <c r="AQ452" s="298"/>
      <c r="AR452" s="298"/>
      <c r="AS452" s="207"/>
      <c r="AT452" s="298"/>
      <c r="AU452" s="207"/>
      <c r="AV452" s="207"/>
      <c r="AW452" s="298"/>
      <c r="AX452" s="298"/>
      <c r="AY452" s="294"/>
      <c r="AZ452" s="294"/>
      <c r="BA452" s="294"/>
      <c r="BB452" s="294"/>
      <c r="BC452" s="294"/>
      <c r="BD452" s="298"/>
      <c r="BE452" s="298"/>
      <c r="BF452" s="207"/>
      <c r="BG452" s="207"/>
      <c r="BH452" s="298"/>
      <c r="BI452" s="298"/>
      <c r="BJ452" s="298"/>
      <c r="BK452" s="298"/>
      <c r="BL452" s="207"/>
      <c r="BM452" s="1"/>
    </row>
    <row r="453" spans="1:65">
      <c r="A453" s="290"/>
      <c r="B453" s="290"/>
      <c r="C453" s="290"/>
      <c r="D453" s="290"/>
      <c r="E453" s="294"/>
      <c r="F453" s="294"/>
      <c r="G453" s="294"/>
      <c r="H453" s="294"/>
      <c r="I453" s="294"/>
      <c r="J453" s="294"/>
      <c r="K453" s="294"/>
      <c r="L453" s="294"/>
      <c r="M453" s="294"/>
      <c r="N453" s="294"/>
      <c r="O453" s="294"/>
      <c r="P453" s="294"/>
      <c r="Q453" s="294"/>
      <c r="R453" s="298"/>
      <c r="S453" s="298"/>
      <c r="T453" s="207"/>
      <c r="U453" s="294"/>
      <c r="V453" s="290"/>
      <c r="W453" s="290"/>
      <c r="X453" s="290"/>
      <c r="Y453" s="290"/>
      <c r="Z453" s="290"/>
      <c r="AA453" s="290"/>
      <c r="AB453" s="290"/>
      <c r="AC453" s="290"/>
      <c r="AD453" s="290"/>
      <c r="AE453" s="290"/>
      <c r="AF453" s="290"/>
      <c r="AG453" s="298"/>
      <c r="AH453" s="298"/>
      <c r="AI453" s="298"/>
      <c r="AJ453" s="298"/>
      <c r="AK453" s="294"/>
      <c r="AL453" s="294"/>
      <c r="AM453" s="290"/>
      <c r="AN453" s="294"/>
      <c r="AO453" s="294"/>
      <c r="AP453" s="298"/>
      <c r="AQ453" s="298"/>
      <c r="AR453" s="298"/>
      <c r="AS453" s="207"/>
      <c r="AT453" s="207"/>
      <c r="AU453" s="207"/>
      <c r="AV453" s="207"/>
      <c r="AW453" s="298"/>
      <c r="AX453" s="298"/>
      <c r="AY453" s="294"/>
      <c r="AZ453" s="294"/>
      <c r="BA453" s="294"/>
      <c r="BB453" s="294"/>
      <c r="BC453" s="294"/>
      <c r="BD453" s="298"/>
      <c r="BE453" s="298"/>
      <c r="BF453" s="298"/>
      <c r="BG453" s="298"/>
      <c r="BH453" s="298"/>
      <c r="BI453" s="298"/>
      <c r="BJ453" s="298"/>
      <c r="BK453" s="207"/>
      <c r="BL453" s="207"/>
      <c r="BM453" s="1">
        <v>100</v>
      </c>
    </row>
    <row r="454" spans="1:65">
      <c r="A454" s="290"/>
      <c r="B454" s="290"/>
      <c r="C454" s="294"/>
      <c r="D454" s="294"/>
      <c r="E454" s="294"/>
      <c r="F454" s="294"/>
      <c r="G454" s="294"/>
      <c r="H454" s="294"/>
      <c r="I454" s="294"/>
      <c r="J454" s="294"/>
      <c r="K454" s="294"/>
      <c r="L454" s="294"/>
      <c r="M454" s="294"/>
      <c r="N454" s="294"/>
      <c r="O454" s="294"/>
      <c r="P454" s="298"/>
      <c r="Q454" s="298"/>
      <c r="R454" s="207"/>
      <c r="S454" s="294"/>
      <c r="T454" s="294"/>
      <c r="U454" s="290"/>
      <c r="V454" s="290"/>
      <c r="W454" s="290"/>
      <c r="X454" s="290"/>
      <c r="Y454" s="290"/>
      <c r="Z454" s="290"/>
      <c r="AA454" s="290"/>
      <c r="AB454" s="290"/>
      <c r="AC454" s="290"/>
      <c r="AD454" s="290"/>
      <c r="AE454" s="290"/>
      <c r="AF454" s="290"/>
      <c r="AG454" s="298"/>
      <c r="AH454" s="298"/>
      <c r="AI454" s="298"/>
      <c r="AJ454" s="294"/>
      <c r="AK454" s="294"/>
      <c r="AL454" s="290"/>
      <c r="AM454" s="294"/>
      <c r="AN454" s="294"/>
      <c r="AO454" s="298"/>
      <c r="AP454" s="298"/>
      <c r="AQ454" s="298"/>
      <c r="AR454" s="207"/>
      <c r="AS454" s="207"/>
      <c r="AT454" s="207"/>
      <c r="AU454" s="207"/>
      <c r="AV454" s="298"/>
      <c r="AW454" s="298"/>
      <c r="AX454" s="298"/>
      <c r="AY454" s="294"/>
      <c r="AZ454" s="294"/>
      <c r="BA454" s="294"/>
      <c r="BB454" s="294"/>
      <c r="BC454" s="294"/>
      <c r="BD454" s="298"/>
      <c r="BE454" s="298"/>
      <c r="BF454" s="298"/>
      <c r="BG454" s="298"/>
      <c r="BH454" s="298"/>
      <c r="BI454" s="207"/>
      <c r="BJ454" s="207"/>
      <c r="BK454" s="207"/>
      <c r="BL454" s="298"/>
      <c r="BM454" s="1">
        <v>5</v>
      </c>
    </row>
    <row r="455" spans="1:65">
      <c r="A455" s="290"/>
      <c r="B455" s="294"/>
      <c r="C455" s="294"/>
      <c r="D455" s="294"/>
      <c r="E455" s="294"/>
      <c r="F455" s="294"/>
      <c r="G455" s="294"/>
      <c r="H455" s="294"/>
      <c r="I455" s="294"/>
      <c r="J455" s="298"/>
      <c r="K455" s="298"/>
      <c r="L455" s="294"/>
      <c r="M455" s="294"/>
      <c r="N455" s="294"/>
      <c r="O455" s="298"/>
      <c r="P455" s="207"/>
      <c r="Q455" s="294"/>
      <c r="R455" s="294"/>
      <c r="S455" s="290"/>
      <c r="T455" s="290"/>
      <c r="U455" s="290"/>
      <c r="V455" s="290"/>
      <c r="W455" s="290"/>
      <c r="X455" s="290"/>
      <c r="Y455" s="290"/>
      <c r="Z455" s="290"/>
      <c r="AA455" s="290"/>
      <c r="AB455" s="290"/>
      <c r="AC455" s="290"/>
      <c r="AD455" s="290"/>
      <c r="AE455" s="290"/>
      <c r="AF455" s="290"/>
      <c r="AG455" s="298"/>
      <c r="AH455" s="298"/>
      <c r="AI455" s="294"/>
      <c r="AJ455" s="294"/>
      <c r="AK455" s="294"/>
      <c r="AL455" s="294"/>
      <c r="AM455" s="294"/>
      <c r="AN455" s="298"/>
      <c r="AO455" s="298"/>
      <c r="AP455" s="298"/>
      <c r="AQ455" s="207"/>
      <c r="AR455" s="207"/>
      <c r="AS455" s="298"/>
      <c r="AT455" s="207"/>
      <c r="AU455" s="298"/>
      <c r="AV455" s="298"/>
      <c r="AW455" s="298"/>
      <c r="AX455" s="298"/>
      <c r="AY455" s="298"/>
      <c r="AZ455" s="294"/>
      <c r="BA455" s="294"/>
      <c r="BB455" s="294"/>
      <c r="BC455" s="294"/>
      <c r="BD455" s="294"/>
      <c r="BE455" s="298"/>
      <c r="BF455" s="298"/>
      <c r="BG455" s="298"/>
      <c r="BH455" s="207"/>
      <c r="BI455" s="298"/>
      <c r="BJ455" s="207"/>
      <c r="BK455" s="298"/>
      <c r="BL455" s="298"/>
      <c r="BM455" s="1"/>
    </row>
    <row r="456" spans="1:65">
      <c r="A456" s="290"/>
      <c r="B456" s="294"/>
      <c r="C456" s="294"/>
      <c r="D456" s="294"/>
      <c r="E456" s="294"/>
      <c r="F456" s="294"/>
      <c r="G456" s="294"/>
      <c r="H456" s="298"/>
      <c r="I456" s="298"/>
      <c r="J456" s="207"/>
      <c r="K456" s="207"/>
      <c r="L456" s="298"/>
      <c r="M456" s="294"/>
      <c r="N456" s="294"/>
      <c r="O456" s="298"/>
      <c r="P456" s="294"/>
      <c r="Q456" s="294"/>
      <c r="R456" s="290"/>
      <c r="S456" s="290"/>
      <c r="T456" s="290"/>
      <c r="U456" s="290"/>
      <c r="V456" s="290"/>
      <c r="W456" s="298"/>
      <c r="X456" s="298"/>
      <c r="Y456" s="294"/>
      <c r="Z456" s="290"/>
      <c r="AA456" s="290"/>
      <c r="AB456" s="290"/>
      <c r="AC456" s="290"/>
      <c r="AD456" s="290"/>
      <c r="AE456" s="290"/>
      <c r="AF456" s="290"/>
      <c r="AG456" s="298"/>
      <c r="AH456" s="298"/>
      <c r="AI456" s="294"/>
      <c r="AJ456" s="294"/>
      <c r="AK456" s="290"/>
      <c r="AL456" s="294"/>
      <c r="AM456" s="294"/>
      <c r="AN456" s="298"/>
      <c r="AO456" s="298"/>
      <c r="AP456" s="298"/>
      <c r="AQ456" s="207"/>
      <c r="AR456" s="207"/>
      <c r="AS456" s="207"/>
      <c r="AT456" s="207"/>
      <c r="AU456" s="298"/>
      <c r="AV456" s="298"/>
      <c r="AW456" s="298"/>
      <c r="AX456" s="298"/>
      <c r="AY456" s="298"/>
      <c r="AZ456" s="294"/>
      <c r="BA456" s="294"/>
      <c r="BB456" s="294"/>
      <c r="BC456" s="294"/>
      <c r="BD456" s="294"/>
      <c r="BE456" s="298"/>
      <c r="BF456" s="298"/>
      <c r="BG456" s="298"/>
      <c r="BH456" s="207"/>
      <c r="BI456" s="207"/>
      <c r="BJ456" s="298"/>
      <c r="BK456" s="298"/>
      <c r="BL456" s="298"/>
      <c r="BM456" s="1"/>
    </row>
    <row r="457" spans="1:65">
      <c r="A457" s="294"/>
      <c r="B457" s="294"/>
      <c r="C457" s="294"/>
      <c r="D457" s="294"/>
      <c r="E457" s="298"/>
      <c r="F457" s="298"/>
      <c r="G457" s="298"/>
      <c r="H457" s="207"/>
      <c r="I457" s="207"/>
      <c r="J457" s="298"/>
      <c r="K457" s="294"/>
      <c r="L457" s="294"/>
      <c r="M457" s="298"/>
      <c r="N457" s="298"/>
      <c r="O457" s="207"/>
      <c r="P457" s="294"/>
      <c r="Q457" s="290"/>
      <c r="R457" s="290"/>
      <c r="S457" s="290"/>
      <c r="T457" s="290"/>
      <c r="U457" s="290"/>
      <c r="V457" s="298"/>
      <c r="W457" s="294"/>
      <c r="X457" s="290"/>
      <c r="Y457" s="290"/>
      <c r="Z457" s="294"/>
      <c r="AA457" s="290"/>
      <c r="AB457" s="290"/>
      <c r="AC457" s="290"/>
      <c r="AD457" s="290"/>
      <c r="AE457" s="290"/>
      <c r="AF457" s="290"/>
      <c r="AG457" s="298"/>
      <c r="AH457" s="298"/>
      <c r="AI457" s="298"/>
      <c r="AJ457" s="294"/>
      <c r="AK457" s="294"/>
      <c r="AL457" s="294"/>
      <c r="AM457" s="294"/>
      <c r="AN457" s="294"/>
      <c r="AO457" s="298"/>
      <c r="AP457" s="298"/>
      <c r="AQ457" s="207"/>
      <c r="AR457" s="298"/>
      <c r="AS457" s="207"/>
      <c r="AT457" s="298"/>
      <c r="AU457" s="298"/>
      <c r="AV457" s="298"/>
      <c r="AW457" s="298"/>
      <c r="AX457" s="298"/>
      <c r="AY457" s="294"/>
      <c r="AZ457" s="294"/>
      <c r="BA457" s="294"/>
      <c r="BB457" s="294"/>
      <c r="BC457" s="294"/>
      <c r="BD457" s="298"/>
      <c r="BE457" s="298"/>
      <c r="BF457" s="298"/>
      <c r="BG457" s="207"/>
      <c r="BH457" s="298"/>
      <c r="BI457" s="207"/>
      <c r="BJ457" s="298"/>
      <c r="BK457" s="298"/>
      <c r="BL457" s="298"/>
      <c r="BM457" s="1"/>
    </row>
    <row r="458" spans="1:65">
      <c r="A458" s="294"/>
      <c r="B458" s="294"/>
      <c r="C458" s="294"/>
      <c r="D458" s="298"/>
      <c r="E458" s="207"/>
      <c r="F458" s="207"/>
      <c r="G458" s="207"/>
      <c r="H458" s="294"/>
      <c r="I458" s="294"/>
      <c r="J458" s="294"/>
      <c r="K458" s="290"/>
      <c r="L458" s="290"/>
      <c r="M458" s="294"/>
      <c r="N458" s="294"/>
      <c r="O458" s="294"/>
      <c r="P458" s="290"/>
      <c r="Q458" s="290"/>
      <c r="R458" s="290"/>
      <c r="S458" s="290"/>
      <c r="T458" s="290"/>
      <c r="U458" s="298"/>
      <c r="V458" s="294"/>
      <c r="W458" s="207"/>
      <c r="X458" s="294"/>
      <c r="Y458" s="290"/>
      <c r="Z458" s="290"/>
      <c r="AA458" s="290"/>
      <c r="AB458" s="290"/>
      <c r="AC458" s="290"/>
      <c r="AD458" s="290"/>
      <c r="AE458" s="290"/>
      <c r="AF458" s="294"/>
      <c r="AG458" s="298"/>
      <c r="AH458" s="298"/>
      <c r="AI458" s="298"/>
      <c r="AJ458" s="294"/>
      <c r="AK458" s="294"/>
      <c r="AL458" s="294"/>
      <c r="AM458" s="294"/>
      <c r="AN458" s="294"/>
      <c r="AO458" s="298"/>
      <c r="AP458" s="207"/>
      <c r="AQ458" s="207"/>
      <c r="AR458" s="207"/>
      <c r="AS458" s="298"/>
      <c r="AT458" s="298"/>
      <c r="AU458" s="298"/>
      <c r="AV458" s="298"/>
      <c r="AW458" s="294"/>
      <c r="AX458" s="294"/>
      <c r="AY458" s="294"/>
      <c r="AZ458" s="294"/>
      <c r="BA458" s="294"/>
      <c r="BB458" s="294"/>
      <c r="BC458" s="294"/>
      <c r="BD458" s="298"/>
      <c r="BE458" s="298"/>
      <c r="BF458" s="298"/>
      <c r="BG458" s="207"/>
      <c r="BH458" s="207"/>
      <c r="BI458" s="298"/>
      <c r="BJ458" s="298"/>
      <c r="BK458" s="298"/>
      <c r="BL458" s="298"/>
      <c r="BM458" s="1"/>
    </row>
    <row r="459" spans="1:65">
      <c r="A459" s="294"/>
      <c r="B459" s="294"/>
      <c r="C459" s="294"/>
      <c r="D459" s="298"/>
      <c r="E459" s="207"/>
      <c r="F459" s="298"/>
      <c r="G459" s="294"/>
      <c r="H459" s="294"/>
      <c r="I459" s="290"/>
      <c r="J459" s="290"/>
      <c r="K459" s="290"/>
      <c r="L459" s="290"/>
      <c r="M459" s="290"/>
      <c r="N459" s="290"/>
      <c r="O459" s="290"/>
      <c r="P459" s="290"/>
      <c r="Q459" s="290"/>
      <c r="R459" s="290"/>
      <c r="S459" s="290"/>
      <c r="T459" s="290"/>
      <c r="U459" s="298"/>
      <c r="V459" s="290"/>
      <c r="W459" s="294"/>
      <c r="X459" s="290"/>
      <c r="Y459" s="290"/>
      <c r="Z459" s="290"/>
      <c r="AA459" s="290"/>
      <c r="AB459" s="290"/>
      <c r="AC459" s="290"/>
      <c r="AD459" s="290"/>
      <c r="AE459" s="290"/>
      <c r="AF459" s="294"/>
      <c r="AG459" s="298"/>
      <c r="AH459" s="298"/>
      <c r="AI459" s="294"/>
      <c r="AJ459" s="294"/>
      <c r="AK459" s="294"/>
      <c r="AL459" s="294"/>
      <c r="AM459" s="294"/>
      <c r="AN459" s="298"/>
      <c r="AO459" s="298"/>
      <c r="AP459" s="207"/>
      <c r="AQ459" s="298"/>
      <c r="AR459" s="207"/>
      <c r="AS459" s="298"/>
      <c r="AT459" s="298"/>
      <c r="AU459" s="298"/>
      <c r="AV459" s="294"/>
      <c r="AW459" s="294"/>
      <c r="AX459" s="294"/>
      <c r="AY459" s="294"/>
      <c r="AZ459" s="294"/>
      <c r="BA459" s="294"/>
      <c r="BB459" s="294"/>
      <c r="BC459" s="298"/>
      <c r="BD459" s="298"/>
      <c r="BE459" s="298"/>
      <c r="BF459" s="207"/>
      <c r="BG459" s="207"/>
      <c r="BH459" s="207"/>
      <c r="BI459" s="298"/>
      <c r="BJ459" s="298"/>
      <c r="BK459" s="298"/>
      <c r="BL459" s="298"/>
      <c r="BM459" s="1"/>
    </row>
    <row r="460" spans="1:65">
      <c r="A460" s="294"/>
      <c r="B460" s="294"/>
      <c r="C460" s="298"/>
      <c r="D460" s="207"/>
      <c r="E460" s="298"/>
      <c r="F460" s="294"/>
      <c r="G460" s="290"/>
      <c r="H460" s="290"/>
      <c r="I460" s="290"/>
      <c r="J460" s="290"/>
      <c r="K460" s="290"/>
      <c r="L460" s="290"/>
      <c r="M460" s="290"/>
      <c r="N460" s="290"/>
      <c r="O460" s="290"/>
      <c r="P460" s="290"/>
      <c r="Q460" s="290"/>
      <c r="R460" s="290"/>
      <c r="S460" s="290"/>
      <c r="T460" s="290"/>
      <c r="U460" s="294"/>
      <c r="V460" s="290"/>
      <c r="W460" s="290"/>
      <c r="X460" s="290"/>
      <c r="Y460" s="290"/>
      <c r="Z460" s="290"/>
      <c r="AA460" s="290"/>
      <c r="AB460" s="290"/>
      <c r="AC460" s="290"/>
      <c r="AD460" s="290"/>
      <c r="AE460" s="294"/>
      <c r="AF460" s="294"/>
      <c r="AG460" s="298"/>
      <c r="AH460" s="294"/>
      <c r="AI460" s="294"/>
      <c r="AJ460" s="294"/>
      <c r="AK460" s="294"/>
      <c r="AL460" s="294"/>
      <c r="AM460" s="298"/>
      <c r="AN460" s="298"/>
      <c r="AO460" s="298"/>
      <c r="AP460" s="207"/>
      <c r="AQ460" s="207"/>
      <c r="AR460" s="298"/>
      <c r="AS460" s="298"/>
      <c r="AT460" s="298"/>
      <c r="AU460" s="298"/>
      <c r="AV460" s="294"/>
      <c r="AW460" s="294"/>
      <c r="AX460" s="294"/>
      <c r="AY460" s="294"/>
      <c r="AZ460" s="294"/>
      <c r="BA460" s="294"/>
      <c r="BB460" s="298"/>
      <c r="BC460" s="298"/>
      <c r="BD460" s="298"/>
      <c r="BE460" s="298"/>
      <c r="BF460" s="207"/>
      <c r="BG460" s="298"/>
      <c r="BH460" s="207"/>
      <c r="BI460" s="298"/>
      <c r="BJ460" s="298"/>
      <c r="BK460" s="298"/>
      <c r="BL460" s="298"/>
      <c r="BM460" s="1"/>
    </row>
    <row r="461" spans="1:65">
      <c r="A461" s="294"/>
      <c r="B461" s="294"/>
      <c r="C461" s="298"/>
      <c r="D461" s="207"/>
      <c r="E461" s="298"/>
      <c r="F461" s="294"/>
      <c r="G461" s="290"/>
      <c r="H461" s="290"/>
      <c r="I461" s="290"/>
      <c r="J461" s="290"/>
      <c r="K461" s="290"/>
      <c r="L461" s="290"/>
      <c r="M461" s="290"/>
      <c r="N461" s="290"/>
      <c r="O461" s="290"/>
      <c r="P461" s="290"/>
      <c r="Q461" s="290"/>
      <c r="R461" s="290"/>
      <c r="S461" s="290"/>
      <c r="T461" s="290"/>
      <c r="U461" s="290"/>
      <c r="V461" s="294"/>
      <c r="W461" s="290"/>
      <c r="X461" s="290"/>
      <c r="Y461" s="290"/>
      <c r="Z461" s="290"/>
      <c r="AA461" s="290"/>
      <c r="AB461" s="290"/>
      <c r="AC461" s="290"/>
      <c r="AD461" s="290"/>
      <c r="AE461" s="294"/>
      <c r="AF461" s="294"/>
      <c r="AG461" s="294"/>
      <c r="AH461" s="294"/>
      <c r="AI461" s="294"/>
      <c r="AJ461" s="294"/>
      <c r="AK461" s="294"/>
      <c r="AL461" s="298"/>
      <c r="AM461" s="298"/>
      <c r="AN461" s="298"/>
      <c r="AO461" s="207"/>
      <c r="AP461" s="207"/>
      <c r="AQ461" s="298"/>
      <c r="AR461" s="298"/>
      <c r="AS461" s="298"/>
      <c r="AT461" s="298"/>
      <c r="AU461" s="294"/>
      <c r="AV461" s="294"/>
      <c r="AW461" s="294"/>
      <c r="AX461" s="294"/>
      <c r="AY461" s="294"/>
      <c r="AZ461" s="298"/>
      <c r="BA461" s="298"/>
      <c r="BB461" s="298"/>
      <c r="BC461" s="298"/>
      <c r="BD461" s="298"/>
      <c r="BE461" s="207"/>
      <c r="BF461" s="207"/>
      <c r="BG461" s="207"/>
      <c r="BH461" s="298"/>
      <c r="BI461" s="298"/>
      <c r="BJ461" s="298"/>
      <c r="BK461" s="298"/>
      <c r="BL461" s="298"/>
      <c r="BM461" s="1"/>
    </row>
    <row r="462" spans="1:65">
      <c r="A462" s="294"/>
      <c r="B462" s="294"/>
      <c r="C462" s="298"/>
      <c r="D462" s="298"/>
      <c r="E462" s="298"/>
      <c r="F462" s="294"/>
      <c r="G462" s="290"/>
      <c r="H462" s="290"/>
      <c r="I462" s="290"/>
      <c r="J462" s="290"/>
      <c r="K462" s="298"/>
      <c r="L462" s="294"/>
      <c r="M462" s="290"/>
      <c r="N462" s="290"/>
      <c r="O462" s="290"/>
      <c r="P462" s="290"/>
      <c r="Q462" s="290"/>
      <c r="R462" s="290"/>
      <c r="S462" s="290"/>
      <c r="T462" s="290"/>
      <c r="U462" s="290"/>
      <c r="V462" s="290"/>
      <c r="W462" s="290"/>
      <c r="X462" s="290"/>
      <c r="Y462" s="290"/>
      <c r="Z462" s="290"/>
      <c r="AA462" s="290"/>
      <c r="AB462" s="290"/>
      <c r="AC462" s="290"/>
      <c r="AD462" s="290"/>
      <c r="AE462" s="294"/>
      <c r="AF462" s="294"/>
      <c r="AG462" s="294"/>
      <c r="AH462" s="294"/>
      <c r="AI462" s="294"/>
      <c r="AJ462" s="294"/>
      <c r="AK462" s="298"/>
      <c r="AL462" s="298"/>
      <c r="AM462" s="298"/>
      <c r="AN462" s="207"/>
      <c r="AO462" s="207"/>
      <c r="AP462" s="298"/>
      <c r="AQ462" s="298"/>
      <c r="AR462" s="298"/>
      <c r="AS462" s="298"/>
      <c r="AT462" s="298"/>
      <c r="AU462" s="294"/>
      <c r="AV462" s="294"/>
      <c r="AW462" s="294"/>
      <c r="AX462" s="294"/>
      <c r="AY462" s="298"/>
      <c r="AZ462" s="298"/>
      <c r="BA462" s="298"/>
      <c r="BB462" s="298"/>
      <c r="BC462" s="207"/>
      <c r="BD462" s="207"/>
      <c r="BE462" s="298"/>
      <c r="BF462" s="207"/>
      <c r="BG462" s="207"/>
      <c r="BH462" s="298"/>
      <c r="BI462" s="298"/>
      <c r="BJ462" s="298"/>
      <c r="BK462" s="298"/>
      <c r="BL462" s="294"/>
      <c r="BM462" s="1"/>
    </row>
    <row r="463" spans="1:65">
      <c r="A463" s="294"/>
      <c r="B463" s="294"/>
      <c r="C463" s="294"/>
      <c r="D463" s="298"/>
      <c r="E463" s="294"/>
      <c r="F463" s="294"/>
      <c r="G463" s="290"/>
      <c r="H463" s="290"/>
      <c r="I463" s="290"/>
      <c r="J463" s="298"/>
      <c r="K463" s="207"/>
      <c r="L463" s="290"/>
      <c r="M463" s="294"/>
      <c r="N463" s="290"/>
      <c r="O463" s="290"/>
      <c r="P463" s="290"/>
      <c r="Q463" s="290"/>
      <c r="R463" s="290"/>
      <c r="S463" s="290"/>
      <c r="T463" s="290"/>
      <c r="U463" s="290"/>
      <c r="V463" s="290"/>
      <c r="W463" s="290"/>
      <c r="X463" s="290"/>
      <c r="Y463" s="290"/>
      <c r="Z463" s="290"/>
      <c r="AA463" s="290"/>
      <c r="AB463" s="290"/>
      <c r="AC463" s="290"/>
      <c r="AD463" s="294"/>
      <c r="AE463" s="294"/>
      <c r="AF463" s="294"/>
      <c r="AG463" s="294"/>
      <c r="AH463" s="294"/>
      <c r="AI463" s="294"/>
      <c r="AJ463" s="298"/>
      <c r="AK463" s="298"/>
      <c r="AL463" s="207"/>
      <c r="AM463" s="207"/>
      <c r="AN463" s="207"/>
      <c r="AO463" s="298"/>
      <c r="AP463" s="298"/>
      <c r="AQ463" s="298"/>
      <c r="AR463" s="298"/>
      <c r="AS463" s="298"/>
      <c r="AT463" s="294"/>
      <c r="AU463" s="294"/>
      <c r="AV463" s="294"/>
      <c r="AW463" s="294"/>
      <c r="AX463" s="294"/>
      <c r="AY463" s="298"/>
      <c r="AZ463" s="298"/>
      <c r="BA463" s="298"/>
      <c r="BB463" s="207"/>
      <c r="BC463" s="298"/>
      <c r="BD463" s="207"/>
      <c r="BE463" s="207"/>
      <c r="BF463" s="207"/>
      <c r="BG463" s="298"/>
      <c r="BH463" s="298"/>
      <c r="BI463" s="298"/>
      <c r="BJ463" s="294"/>
      <c r="BK463" s="294"/>
      <c r="BL463" s="294"/>
      <c r="BM463" s="1"/>
    </row>
    <row r="464" spans="1:65">
      <c r="A464" s="294"/>
      <c r="B464" s="294"/>
      <c r="C464" s="294"/>
      <c r="D464" s="298"/>
      <c r="E464" s="294"/>
      <c r="F464" s="290"/>
      <c r="G464" s="290"/>
      <c r="H464" s="290"/>
      <c r="I464" s="290"/>
      <c r="J464" s="294"/>
      <c r="K464" s="290"/>
      <c r="L464" s="290"/>
      <c r="M464" s="290"/>
      <c r="N464" s="290"/>
      <c r="O464" s="290"/>
      <c r="P464" s="290"/>
      <c r="Q464" s="290"/>
      <c r="R464" s="290"/>
      <c r="S464" s="290"/>
      <c r="T464" s="290"/>
      <c r="U464" s="290"/>
      <c r="V464" s="290"/>
      <c r="W464" s="290"/>
      <c r="X464" s="290"/>
      <c r="Y464" s="290"/>
      <c r="Z464" s="290"/>
      <c r="AA464" s="290"/>
      <c r="AB464" s="290"/>
      <c r="AC464" s="290"/>
      <c r="AD464" s="294"/>
      <c r="AE464" s="294"/>
      <c r="AF464" s="294"/>
      <c r="AG464" s="294"/>
      <c r="AH464" s="294"/>
      <c r="AI464" s="298"/>
      <c r="AJ464" s="298"/>
      <c r="AK464" s="207"/>
      <c r="AL464" s="207"/>
      <c r="AM464" s="207"/>
      <c r="AN464" s="207"/>
      <c r="AO464" s="298"/>
      <c r="AP464" s="298"/>
      <c r="AQ464" s="298"/>
      <c r="AR464" s="298"/>
      <c r="AS464" s="294"/>
      <c r="AT464" s="294"/>
      <c r="AU464" s="294"/>
      <c r="AV464" s="294"/>
      <c r="AW464" s="294"/>
      <c r="AX464" s="294"/>
      <c r="AY464" s="298"/>
      <c r="AZ464" s="298"/>
      <c r="BA464" s="207"/>
      <c r="BB464" s="207"/>
      <c r="BC464" s="207"/>
      <c r="BD464" s="207"/>
      <c r="BE464" s="207"/>
      <c r="BF464" s="298"/>
      <c r="BG464" s="298"/>
      <c r="BH464" s="298"/>
      <c r="BI464" s="294"/>
      <c r="BJ464" s="294"/>
      <c r="BK464" s="294"/>
      <c r="BL464" s="294"/>
      <c r="BM464" s="1"/>
    </row>
    <row r="465" spans="1:65">
      <c r="A465" s="294"/>
      <c r="B465" s="294"/>
      <c r="C465" s="294"/>
      <c r="D465" s="298"/>
      <c r="E465" s="294"/>
      <c r="F465" s="290"/>
      <c r="G465" s="290"/>
      <c r="H465" s="290"/>
      <c r="I465" s="290"/>
      <c r="J465" s="290"/>
      <c r="K465" s="294"/>
      <c r="L465" s="290"/>
      <c r="M465" s="290"/>
      <c r="N465" s="290"/>
      <c r="O465" s="290"/>
      <c r="P465" s="290"/>
      <c r="Q465" s="290"/>
      <c r="R465" s="290"/>
      <c r="S465" s="290"/>
      <c r="T465" s="290"/>
      <c r="U465" s="290"/>
      <c r="V465" s="290"/>
      <c r="W465" s="290"/>
      <c r="X465" s="290"/>
      <c r="Y465" s="290"/>
      <c r="Z465" s="290"/>
      <c r="AA465" s="290"/>
      <c r="AB465" s="290"/>
      <c r="AC465" s="294"/>
      <c r="AD465" s="294"/>
      <c r="AE465" s="294"/>
      <c r="AF465" s="294"/>
      <c r="AG465" s="294"/>
      <c r="AH465" s="298"/>
      <c r="AI465" s="298"/>
      <c r="AJ465" s="207"/>
      <c r="AK465" s="207"/>
      <c r="AL465" s="204"/>
      <c r="AM465" s="207"/>
      <c r="AN465" s="298"/>
      <c r="AO465" s="298"/>
      <c r="AP465" s="298"/>
      <c r="AQ465" s="298"/>
      <c r="AR465" s="294"/>
      <c r="AS465" s="294"/>
      <c r="AT465" s="294"/>
      <c r="AU465" s="294"/>
      <c r="AV465" s="294"/>
      <c r="AW465" s="294"/>
      <c r="AX465" s="298"/>
      <c r="AY465" s="298"/>
      <c r="AZ465" s="207"/>
      <c r="BA465" s="298"/>
      <c r="BB465" s="207"/>
      <c r="BC465" s="207"/>
      <c r="BD465" s="298"/>
      <c r="BE465" s="298"/>
      <c r="BF465" s="298"/>
      <c r="BG465" s="298"/>
      <c r="BH465" s="298"/>
      <c r="BI465" s="294"/>
      <c r="BJ465" s="294"/>
      <c r="BK465" s="294"/>
      <c r="BL465" s="294"/>
      <c r="BM465" s="1"/>
    </row>
    <row r="466" spans="1:65">
      <c r="A466" s="294"/>
      <c r="B466" s="294"/>
      <c r="C466" s="298"/>
      <c r="D466" s="207"/>
      <c r="E466" s="294"/>
      <c r="F466" s="290"/>
      <c r="G466" s="290"/>
      <c r="H466" s="290"/>
      <c r="I466" s="290"/>
      <c r="J466" s="290"/>
      <c r="K466" s="290"/>
      <c r="L466" s="290"/>
      <c r="M466" s="290"/>
      <c r="N466" s="290"/>
      <c r="O466" s="290"/>
      <c r="P466" s="290"/>
      <c r="Q466" s="290"/>
      <c r="R466" s="290"/>
      <c r="S466" s="290"/>
      <c r="T466" s="290"/>
      <c r="U466" s="290"/>
      <c r="V466" s="290"/>
      <c r="W466" s="290"/>
      <c r="X466" s="290"/>
      <c r="Y466" s="290"/>
      <c r="Z466" s="290"/>
      <c r="AA466" s="290"/>
      <c r="AB466" s="294"/>
      <c r="AC466" s="294"/>
      <c r="AD466" s="294"/>
      <c r="AE466" s="294"/>
      <c r="AF466" s="294"/>
      <c r="AG466" s="298"/>
      <c r="AH466" s="298"/>
      <c r="AI466" s="207"/>
      <c r="AJ466" s="207"/>
      <c r="AK466" s="207"/>
      <c r="AL466" s="207"/>
      <c r="AM466" s="298"/>
      <c r="AN466" s="298"/>
      <c r="AO466" s="298"/>
      <c r="AP466" s="298"/>
      <c r="AQ466" s="294"/>
      <c r="AR466" s="294"/>
      <c r="AS466" s="294"/>
      <c r="AT466" s="294"/>
      <c r="AU466" s="294"/>
      <c r="AV466" s="294"/>
      <c r="AW466" s="298"/>
      <c r="AX466" s="298"/>
      <c r="AY466" s="298"/>
      <c r="AZ466" s="207"/>
      <c r="BA466" s="207"/>
      <c r="BB466" s="207"/>
      <c r="BC466" s="298"/>
      <c r="BD466" s="298"/>
      <c r="BE466" s="298"/>
      <c r="BF466" s="298"/>
      <c r="BG466" s="298"/>
      <c r="BH466" s="294"/>
      <c r="BI466" s="294"/>
      <c r="BJ466" s="294"/>
      <c r="BK466" s="294"/>
      <c r="BL466" s="294"/>
      <c r="BM466" s="1"/>
    </row>
    <row r="467" spans="1:65">
      <c r="A467" s="294"/>
      <c r="B467" s="298"/>
      <c r="C467" s="207"/>
      <c r="D467" s="298"/>
      <c r="E467" s="294"/>
      <c r="F467" s="290"/>
      <c r="G467" s="290"/>
      <c r="H467" s="290"/>
      <c r="I467" s="290"/>
      <c r="J467" s="290"/>
      <c r="K467" s="290"/>
      <c r="L467" s="290"/>
      <c r="M467" s="290"/>
      <c r="N467" s="290"/>
      <c r="O467" s="290"/>
      <c r="P467" s="290"/>
      <c r="Q467" s="290"/>
      <c r="R467" s="290"/>
      <c r="S467" s="290"/>
      <c r="T467" s="290"/>
      <c r="U467" s="290"/>
      <c r="V467" s="290"/>
      <c r="W467" s="290"/>
      <c r="X467" s="290"/>
      <c r="Y467" s="290"/>
      <c r="Z467" s="290"/>
      <c r="AA467" s="294"/>
      <c r="AB467" s="294"/>
      <c r="AC467" s="294"/>
      <c r="AD467" s="294"/>
      <c r="AE467" s="294"/>
      <c r="AF467" s="294"/>
      <c r="AG467" s="298"/>
      <c r="AH467" s="207"/>
      <c r="AI467" s="207"/>
      <c r="AJ467" s="204"/>
      <c r="AK467" s="207"/>
      <c r="AL467" s="298"/>
      <c r="AM467" s="298"/>
      <c r="AN467" s="298"/>
      <c r="AO467" s="298"/>
      <c r="AP467" s="294"/>
      <c r="AQ467" s="294"/>
      <c r="AR467" s="294"/>
      <c r="AS467" s="294"/>
      <c r="AT467" s="294"/>
      <c r="AU467" s="294"/>
      <c r="AV467" s="298"/>
      <c r="AW467" s="298"/>
      <c r="AX467" s="298"/>
      <c r="AY467" s="207"/>
      <c r="AZ467" s="298"/>
      <c r="BA467" s="207"/>
      <c r="BB467" s="207"/>
      <c r="BC467" s="298"/>
      <c r="BD467" s="298"/>
      <c r="BE467" s="298"/>
      <c r="BF467" s="294"/>
      <c r="BG467" s="294"/>
      <c r="BH467" s="294"/>
      <c r="BI467" s="294"/>
      <c r="BJ467" s="294"/>
      <c r="BK467" s="294"/>
      <c r="BL467" s="298"/>
      <c r="BM467" s="1"/>
    </row>
    <row r="468" spans="1:65">
      <c r="A468" s="298"/>
      <c r="B468" s="207"/>
      <c r="C468" s="298"/>
      <c r="D468" s="294"/>
      <c r="E468" s="290"/>
      <c r="F468" s="290"/>
      <c r="G468" s="290"/>
      <c r="H468" s="290"/>
      <c r="I468" s="290"/>
      <c r="J468" s="290"/>
      <c r="K468" s="290"/>
      <c r="L468" s="290"/>
      <c r="M468" s="290"/>
      <c r="N468" s="290"/>
      <c r="O468" s="290"/>
      <c r="P468" s="290"/>
      <c r="Q468" s="290"/>
      <c r="R468" s="290"/>
      <c r="S468" s="290"/>
      <c r="T468" s="290"/>
      <c r="U468" s="290"/>
      <c r="V468" s="290"/>
      <c r="W468" s="290"/>
      <c r="X468" s="290"/>
      <c r="Y468" s="290"/>
      <c r="Z468" s="294"/>
      <c r="AA468" s="294"/>
      <c r="AB468" s="294"/>
      <c r="AC468" s="294"/>
      <c r="AD468" s="294"/>
      <c r="AE468" s="294"/>
      <c r="AF468" s="294"/>
      <c r="AG468" s="298"/>
      <c r="AH468" s="207"/>
      <c r="AI468" s="207"/>
      <c r="AJ468" s="207"/>
      <c r="AK468" s="298"/>
      <c r="AL468" s="298"/>
      <c r="AM468" s="298"/>
      <c r="AN468" s="298"/>
      <c r="AO468" s="294"/>
      <c r="AP468" s="294"/>
      <c r="AQ468" s="294"/>
      <c r="AR468" s="294"/>
      <c r="AS468" s="294"/>
      <c r="AT468" s="294"/>
      <c r="AU468" s="298"/>
      <c r="AV468" s="298"/>
      <c r="AW468" s="298"/>
      <c r="AX468" s="207"/>
      <c r="AY468" s="207"/>
      <c r="AZ468" s="207"/>
      <c r="BA468" s="207"/>
      <c r="BB468" s="298"/>
      <c r="BC468" s="298"/>
      <c r="BD468" s="298"/>
      <c r="BE468" s="294"/>
      <c r="BF468" s="294"/>
      <c r="BG468" s="294"/>
      <c r="BH468" s="294"/>
      <c r="BI468" s="294"/>
      <c r="BJ468" s="294"/>
      <c r="BK468" s="294"/>
      <c r="BL468" s="298"/>
      <c r="BM468" s="1"/>
    </row>
    <row r="469" spans="1:65">
      <c r="A469" s="207"/>
      <c r="B469" s="298"/>
      <c r="C469" s="294"/>
      <c r="D469" s="290"/>
      <c r="E469" s="290"/>
      <c r="F469" s="290"/>
      <c r="G469" s="290"/>
      <c r="H469" s="290"/>
      <c r="I469" s="290"/>
      <c r="J469" s="290"/>
      <c r="K469" s="290"/>
      <c r="L469" s="290"/>
      <c r="M469" s="290"/>
      <c r="N469" s="290"/>
      <c r="O469" s="290"/>
      <c r="P469" s="290"/>
      <c r="Q469" s="290"/>
      <c r="R469" s="290"/>
      <c r="S469" s="290"/>
      <c r="T469" s="290"/>
      <c r="U469" s="290"/>
      <c r="V469" s="290"/>
      <c r="W469" s="290"/>
      <c r="X469" s="294"/>
      <c r="Y469" s="294"/>
      <c r="Z469" s="294"/>
      <c r="AA469" s="294"/>
      <c r="AB469" s="294"/>
      <c r="AC469" s="294"/>
      <c r="AD469" s="294"/>
      <c r="AE469" s="294"/>
      <c r="AF469" s="298"/>
      <c r="AG469" s="207"/>
      <c r="AH469" s="204"/>
      <c r="AI469" s="207"/>
      <c r="AJ469" s="298"/>
      <c r="AK469" s="298"/>
      <c r="AL469" s="298"/>
      <c r="AM469" s="298"/>
      <c r="AN469" s="298"/>
      <c r="AO469" s="294"/>
      <c r="AP469" s="294"/>
      <c r="AQ469" s="294"/>
      <c r="AR469" s="294"/>
      <c r="AS469" s="294"/>
      <c r="AT469" s="298"/>
      <c r="AU469" s="298"/>
      <c r="AV469" s="298"/>
      <c r="AW469" s="298"/>
      <c r="AX469" s="207"/>
      <c r="AY469" s="298"/>
      <c r="AZ469" s="207"/>
      <c r="BA469" s="207"/>
      <c r="BB469" s="298"/>
      <c r="BC469" s="298"/>
      <c r="BD469" s="294"/>
      <c r="BE469" s="294"/>
      <c r="BF469" s="294"/>
      <c r="BG469" s="294"/>
      <c r="BH469" s="294"/>
      <c r="BI469" s="294"/>
      <c r="BJ469" s="294"/>
      <c r="BK469" s="298"/>
      <c r="BL469" s="298"/>
      <c r="BM469" s="1"/>
    </row>
    <row r="470" spans="1:65">
      <c r="A470" s="294"/>
      <c r="B470" s="294"/>
      <c r="C470" s="290"/>
      <c r="D470" s="290"/>
      <c r="E470" s="290"/>
      <c r="F470" s="290"/>
      <c r="G470" s="290"/>
      <c r="H470" s="290"/>
      <c r="I470" s="290"/>
      <c r="J470" s="290"/>
      <c r="K470" s="290"/>
      <c r="L470" s="290"/>
      <c r="M470" s="290"/>
      <c r="N470" s="290"/>
      <c r="O470" s="290"/>
      <c r="P470" s="290"/>
      <c r="Q470" s="290"/>
      <c r="R470" s="290"/>
      <c r="S470" s="290"/>
      <c r="T470" s="290"/>
      <c r="U470" s="290"/>
      <c r="V470" s="290"/>
      <c r="W470" s="294"/>
      <c r="X470" s="294"/>
      <c r="Y470" s="294"/>
      <c r="Z470" s="294"/>
      <c r="AA470" s="294"/>
      <c r="AB470" s="294"/>
      <c r="AC470" s="294"/>
      <c r="AD470" s="294"/>
      <c r="AE470" s="298"/>
      <c r="AF470" s="207"/>
      <c r="AG470" s="207"/>
      <c r="AH470" s="207"/>
      <c r="AI470" s="298"/>
      <c r="AJ470" s="298"/>
      <c r="AK470" s="298"/>
      <c r="AL470" s="298"/>
      <c r="AM470" s="298"/>
      <c r="AN470" s="298"/>
      <c r="AO470" s="294"/>
      <c r="AP470" s="294"/>
      <c r="AQ470" s="294"/>
      <c r="AR470" s="294"/>
      <c r="AS470" s="298"/>
      <c r="AT470" s="298"/>
      <c r="AU470" s="298"/>
      <c r="AV470" s="298"/>
      <c r="AW470" s="207"/>
      <c r="AX470" s="207"/>
      <c r="AY470" s="207"/>
      <c r="AZ470" s="207"/>
      <c r="BA470" s="298"/>
      <c r="BB470" s="298"/>
      <c r="BC470" s="294"/>
      <c r="BD470" s="294"/>
      <c r="BE470" s="294"/>
      <c r="BF470" s="294"/>
      <c r="BG470" s="294"/>
      <c r="BH470" s="294"/>
      <c r="BI470" s="294"/>
      <c r="BJ470" s="298"/>
      <c r="BK470" s="298"/>
      <c r="BL470" s="298"/>
      <c r="BM470" s="1"/>
    </row>
    <row r="471" spans="1:65">
      <c r="A471" s="290"/>
      <c r="B471" s="290"/>
      <c r="C471" s="290"/>
      <c r="D471" s="290"/>
      <c r="E471" s="290"/>
      <c r="F471" s="290"/>
      <c r="G471" s="290"/>
      <c r="H471" s="290"/>
      <c r="I471" s="290"/>
      <c r="J471" s="290"/>
      <c r="K471" s="290"/>
      <c r="L471" s="290"/>
      <c r="M471" s="290"/>
      <c r="N471" s="290"/>
      <c r="O471" s="290"/>
      <c r="P471" s="290"/>
      <c r="Q471" s="290"/>
      <c r="R471" s="290"/>
      <c r="S471" s="290"/>
      <c r="T471" s="290"/>
      <c r="U471" s="290"/>
      <c r="V471" s="294"/>
      <c r="W471" s="294"/>
      <c r="X471" s="294"/>
      <c r="Y471" s="294"/>
      <c r="Z471" s="294"/>
      <c r="AA471" s="294"/>
      <c r="AB471" s="294"/>
      <c r="AC471" s="294"/>
      <c r="AD471" s="298"/>
      <c r="AE471" s="207"/>
      <c r="AF471" s="298"/>
      <c r="AG471" s="204"/>
      <c r="AH471" s="207"/>
      <c r="AI471" s="298"/>
      <c r="AJ471" s="298"/>
      <c r="AK471" s="298"/>
      <c r="AL471" s="207"/>
      <c r="AM471" s="298"/>
      <c r="AN471" s="298"/>
      <c r="AO471" s="294"/>
      <c r="AP471" s="294"/>
      <c r="AQ471" s="294"/>
      <c r="AR471" s="294"/>
      <c r="AS471" s="294"/>
      <c r="AT471" s="298"/>
      <c r="AU471" s="298"/>
      <c r="AV471" s="298"/>
      <c r="AW471" s="207"/>
      <c r="AX471" s="298"/>
      <c r="AY471" s="207"/>
      <c r="AZ471" s="207"/>
      <c r="BA471" s="298"/>
      <c r="BB471" s="298"/>
      <c r="BC471" s="294"/>
      <c r="BD471" s="294"/>
      <c r="BE471" s="294"/>
      <c r="BF471" s="294"/>
      <c r="BG471" s="294"/>
      <c r="BH471" s="298"/>
      <c r="BI471" s="298"/>
      <c r="BJ471" s="298"/>
      <c r="BK471" s="298"/>
      <c r="BL471" s="207"/>
      <c r="BM471" s="1"/>
    </row>
    <row r="472" spans="1:65">
      <c r="A472" s="290"/>
      <c r="B472" s="290"/>
      <c r="C472" s="290"/>
      <c r="D472" s="290"/>
      <c r="E472" s="290"/>
      <c r="F472" s="290"/>
      <c r="G472" s="290"/>
      <c r="H472" s="290"/>
      <c r="I472" s="290"/>
      <c r="J472" s="290"/>
      <c r="K472" s="290"/>
      <c r="L472" s="290"/>
      <c r="M472" s="290"/>
      <c r="N472" s="290"/>
      <c r="O472" s="290"/>
      <c r="P472" s="290"/>
      <c r="Q472" s="290"/>
      <c r="R472" s="290"/>
      <c r="S472" s="290"/>
      <c r="T472" s="290"/>
      <c r="U472" s="294"/>
      <c r="V472" s="294"/>
      <c r="W472" s="294"/>
      <c r="X472" s="294"/>
      <c r="Y472" s="294"/>
      <c r="Z472" s="294"/>
      <c r="AA472" s="294"/>
      <c r="AB472" s="294"/>
      <c r="AC472" s="298"/>
      <c r="AD472" s="207"/>
      <c r="AE472" s="298"/>
      <c r="AF472" s="294"/>
      <c r="AG472" s="207"/>
      <c r="AH472" s="207"/>
      <c r="AI472" s="298"/>
      <c r="AJ472" s="298"/>
      <c r="AK472" s="298"/>
      <c r="AL472" s="207"/>
      <c r="AM472" s="298"/>
      <c r="AN472" s="298"/>
      <c r="AO472" s="298"/>
      <c r="AP472" s="294"/>
      <c r="AQ472" s="294"/>
      <c r="AR472" s="294"/>
      <c r="AS472" s="294"/>
      <c r="AT472" s="294"/>
      <c r="AU472" s="298"/>
      <c r="AV472" s="298"/>
      <c r="AW472" s="207"/>
      <c r="AX472" s="207"/>
      <c r="AY472" s="207"/>
      <c r="AZ472" s="207"/>
      <c r="BA472" s="298"/>
      <c r="BB472" s="298"/>
      <c r="BC472" s="294"/>
      <c r="BD472" s="294"/>
      <c r="BE472" s="294"/>
      <c r="BF472" s="294"/>
      <c r="BG472" s="298"/>
      <c r="BH472" s="298"/>
      <c r="BI472" s="298"/>
      <c r="BJ472" s="298"/>
      <c r="BK472" s="298"/>
      <c r="BL472" s="207"/>
      <c r="BM472" s="1"/>
    </row>
    <row r="473" spans="1:65">
      <c r="A473" s="290"/>
      <c r="B473" s="290"/>
      <c r="C473" s="290"/>
      <c r="D473" s="290"/>
      <c r="E473" s="290"/>
      <c r="F473" s="290"/>
      <c r="G473" s="290"/>
      <c r="H473" s="290"/>
      <c r="I473" s="290"/>
      <c r="J473" s="290"/>
      <c r="K473" s="290"/>
      <c r="L473" s="290"/>
      <c r="M473" s="290"/>
      <c r="N473" s="290"/>
      <c r="O473" s="290"/>
      <c r="P473" s="290"/>
      <c r="Q473" s="290"/>
      <c r="R473" s="290"/>
      <c r="S473" s="290"/>
      <c r="T473" s="290"/>
      <c r="U473" s="294"/>
      <c r="V473" s="294"/>
      <c r="W473" s="294"/>
      <c r="X473" s="294"/>
      <c r="Y473" s="294"/>
      <c r="Z473" s="294"/>
      <c r="AA473" s="294"/>
      <c r="AB473" s="294"/>
      <c r="AC473" s="298"/>
      <c r="AD473" s="207"/>
      <c r="AE473" s="294"/>
      <c r="AF473" s="290"/>
      <c r="AG473" s="207"/>
      <c r="AH473" s="207"/>
      <c r="AI473" s="298"/>
      <c r="AJ473" s="298"/>
      <c r="AK473" s="298"/>
      <c r="AL473" s="207"/>
      <c r="AM473" s="207"/>
      <c r="AN473" s="298"/>
      <c r="AO473" s="298"/>
      <c r="AP473" s="294"/>
      <c r="AQ473" s="294"/>
      <c r="AR473" s="294"/>
      <c r="AS473" s="294"/>
      <c r="AT473" s="294"/>
      <c r="AU473" s="298"/>
      <c r="AV473" s="298"/>
      <c r="AW473" s="298"/>
      <c r="AX473" s="207"/>
      <c r="AY473" s="207"/>
      <c r="AZ473" s="207"/>
      <c r="BA473" s="207"/>
      <c r="BB473" s="298"/>
      <c r="BC473" s="294"/>
      <c r="BD473" s="294"/>
      <c r="BE473" s="294"/>
      <c r="BF473" s="294"/>
      <c r="BG473" s="298"/>
      <c r="BH473" s="298"/>
      <c r="BI473" s="298"/>
      <c r="BJ473" s="298"/>
      <c r="BK473" s="298"/>
      <c r="BL473" s="207"/>
      <c r="BM473" s="1"/>
    </row>
    <row r="474" spans="1:65">
      <c r="A474" s="290"/>
      <c r="B474" s="290"/>
      <c r="C474" s="290"/>
      <c r="D474" s="290"/>
      <c r="E474" s="290"/>
      <c r="F474" s="290"/>
      <c r="G474" s="294"/>
      <c r="H474" s="294"/>
      <c r="I474" s="294"/>
      <c r="J474" s="290"/>
      <c r="K474" s="290"/>
      <c r="L474" s="290"/>
      <c r="M474" s="290"/>
      <c r="N474" s="290"/>
      <c r="O474" s="290"/>
      <c r="P474" s="290"/>
      <c r="Q474" s="290"/>
      <c r="R474" s="290"/>
      <c r="S474" s="290"/>
      <c r="T474" s="294"/>
      <c r="U474" s="294"/>
      <c r="V474" s="294"/>
      <c r="W474" s="294"/>
      <c r="X474" s="294"/>
      <c r="Y474" s="294"/>
      <c r="Z474" s="294"/>
      <c r="AA474" s="294"/>
      <c r="AB474" s="298"/>
      <c r="AC474" s="207"/>
      <c r="AD474" s="298"/>
      <c r="AE474" s="294"/>
      <c r="AF474" s="290"/>
      <c r="AG474" s="204"/>
      <c r="AH474" s="207"/>
      <c r="AI474" s="298"/>
      <c r="AJ474" s="298"/>
      <c r="AK474" s="298"/>
      <c r="AL474" s="298"/>
      <c r="AM474" s="207"/>
      <c r="AN474" s="298"/>
      <c r="AO474" s="298"/>
      <c r="AP474" s="298"/>
      <c r="AQ474" s="294"/>
      <c r="AR474" s="294"/>
      <c r="AS474" s="290"/>
      <c r="AT474" s="294"/>
      <c r="AU474" s="294"/>
      <c r="AV474" s="298"/>
      <c r="AW474" s="298"/>
      <c r="AX474" s="207"/>
      <c r="AY474" s="298"/>
      <c r="AZ474" s="207"/>
      <c r="BA474" s="207"/>
      <c r="BB474" s="298"/>
      <c r="BC474" s="298"/>
      <c r="BD474" s="294"/>
      <c r="BE474" s="294"/>
      <c r="BF474" s="294"/>
      <c r="BG474" s="294"/>
      <c r="BH474" s="298"/>
      <c r="BI474" s="298"/>
      <c r="BJ474" s="298"/>
      <c r="BK474" s="298"/>
      <c r="BL474" s="207"/>
      <c r="BM474" s="1"/>
    </row>
    <row r="475" spans="1:65">
      <c r="A475" s="290"/>
      <c r="B475" s="290"/>
      <c r="C475" s="290"/>
      <c r="D475" s="290"/>
      <c r="E475" s="290"/>
      <c r="F475" s="294"/>
      <c r="G475" s="207"/>
      <c r="H475" s="298"/>
      <c r="I475" s="290"/>
      <c r="J475" s="294"/>
      <c r="K475" s="290"/>
      <c r="L475" s="290"/>
      <c r="M475" s="290"/>
      <c r="N475" s="290"/>
      <c r="O475" s="290"/>
      <c r="P475" s="290"/>
      <c r="Q475" s="290"/>
      <c r="R475" s="290"/>
      <c r="S475" s="290"/>
      <c r="T475" s="294"/>
      <c r="U475" s="294"/>
      <c r="V475" s="294"/>
      <c r="W475" s="294"/>
      <c r="X475" s="294"/>
      <c r="Y475" s="294"/>
      <c r="Z475" s="294"/>
      <c r="AA475" s="298"/>
      <c r="AB475" s="207"/>
      <c r="AC475" s="298"/>
      <c r="AD475" s="294"/>
      <c r="AE475" s="290"/>
      <c r="AF475" s="290"/>
      <c r="AG475" s="207"/>
      <c r="AH475" s="207"/>
      <c r="AI475" s="207"/>
      <c r="AJ475" s="298"/>
      <c r="AK475" s="298"/>
      <c r="AL475" s="207"/>
      <c r="AM475" s="207"/>
      <c r="AN475" s="298"/>
      <c r="AO475" s="298"/>
      <c r="AP475" s="298"/>
      <c r="AQ475" s="294"/>
      <c r="AR475" s="294"/>
      <c r="AS475" s="294"/>
      <c r="AT475" s="294"/>
      <c r="AU475" s="294"/>
      <c r="AV475" s="298"/>
      <c r="AW475" s="207"/>
      <c r="AX475" s="207"/>
      <c r="AY475" s="207"/>
      <c r="AZ475" s="207"/>
      <c r="BA475" s="298"/>
      <c r="BB475" s="298"/>
      <c r="BC475" s="298"/>
      <c r="BD475" s="294"/>
      <c r="BE475" s="294"/>
      <c r="BF475" s="294"/>
      <c r="BG475" s="294"/>
      <c r="BH475" s="298"/>
      <c r="BI475" s="298"/>
      <c r="BJ475" s="298"/>
      <c r="BK475" s="298"/>
      <c r="BL475" s="298"/>
      <c r="BM475" s="1"/>
    </row>
    <row r="476" spans="1:65">
      <c r="A476" s="290"/>
      <c r="B476" s="290"/>
      <c r="C476" s="290"/>
      <c r="D476" s="290"/>
      <c r="E476" s="290"/>
      <c r="F476" s="294"/>
      <c r="G476" s="298"/>
      <c r="H476" s="294"/>
      <c r="I476" s="290"/>
      <c r="J476" s="290"/>
      <c r="K476" s="290"/>
      <c r="L476" s="290"/>
      <c r="M476" s="290"/>
      <c r="N476" s="290"/>
      <c r="O476" s="290"/>
      <c r="P476" s="290"/>
      <c r="Q476" s="290"/>
      <c r="R476" s="290"/>
      <c r="S476" s="290"/>
      <c r="T476" s="294"/>
      <c r="U476" s="294"/>
      <c r="V476" s="294"/>
      <c r="W476" s="294"/>
      <c r="X476" s="294"/>
      <c r="Y476" s="294"/>
      <c r="Z476" s="294"/>
      <c r="AA476" s="298"/>
      <c r="AB476" s="207"/>
      <c r="AC476" s="294"/>
      <c r="AD476" s="290"/>
      <c r="AE476" s="290"/>
      <c r="AF476" s="290"/>
      <c r="AG476" s="207"/>
      <c r="AH476" s="207"/>
      <c r="AI476" s="204"/>
      <c r="AJ476" s="207"/>
      <c r="AK476" s="207"/>
      <c r="AL476" s="207"/>
      <c r="AM476" s="298"/>
      <c r="AN476" s="298"/>
      <c r="AO476" s="298"/>
      <c r="AP476" s="294"/>
      <c r="AQ476" s="294"/>
      <c r="AR476" s="290"/>
      <c r="AS476" s="294"/>
      <c r="AT476" s="294"/>
      <c r="AU476" s="298"/>
      <c r="AV476" s="298"/>
      <c r="AW476" s="207"/>
      <c r="AX476" s="298"/>
      <c r="AY476" s="207"/>
      <c r="AZ476" s="207"/>
      <c r="BA476" s="298"/>
      <c r="BB476" s="298"/>
      <c r="BC476" s="298"/>
      <c r="BD476" s="298"/>
      <c r="BE476" s="294"/>
      <c r="BF476" s="294"/>
      <c r="BG476" s="294"/>
      <c r="BH476" s="294"/>
      <c r="BI476" s="298"/>
      <c r="BJ476" s="298"/>
      <c r="BK476" s="298"/>
      <c r="BL476" s="298"/>
      <c r="BM476" s="1"/>
    </row>
    <row r="477" spans="1:65">
      <c r="A477" s="290"/>
      <c r="B477" s="290"/>
      <c r="C477" s="290"/>
      <c r="D477" s="290"/>
      <c r="E477" s="290"/>
      <c r="F477" s="294"/>
      <c r="G477" s="290"/>
      <c r="H477" s="290"/>
      <c r="I477" s="290"/>
      <c r="J477" s="290"/>
      <c r="K477" s="290"/>
      <c r="L477" s="290"/>
      <c r="M477" s="290"/>
      <c r="N477" s="290"/>
      <c r="O477" s="290"/>
      <c r="P477" s="290"/>
      <c r="Q477" s="290"/>
      <c r="R477" s="290"/>
      <c r="S477" s="290"/>
      <c r="T477" s="290"/>
      <c r="U477" s="294"/>
      <c r="V477" s="294"/>
      <c r="W477" s="294"/>
      <c r="X477" s="294"/>
      <c r="Y477" s="294"/>
      <c r="Z477" s="294"/>
      <c r="AA477" s="294"/>
      <c r="AB477" s="298"/>
      <c r="AC477" s="207"/>
      <c r="AD477" s="294"/>
      <c r="AE477" s="290"/>
      <c r="AF477" s="290"/>
      <c r="AG477" s="298"/>
      <c r="AH477" s="207"/>
      <c r="AI477" s="207"/>
      <c r="AJ477" s="207"/>
      <c r="AK477" s="207"/>
      <c r="AL477" s="298"/>
      <c r="AM477" s="298"/>
      <c r="AN477" s="298"/>
      <c r="AO477" s="294"/>
      <c r="AP477" s="294"/>
      <c r="AQ477" s="290"/>
      <c r="AR477" s="294"/>
      <c r="AS477" s="294"/>
      <c r="AT477" s="298"/>
      <c r="AU477" s="298"/>
      <c r="AV477" s="207"/>
      <c r="AW477" s="207"/>
      <c r="AX477" s="207"/>
      <c r="AY477" s="207"/>
      <c r="AZ477" s="298"/>
      <c r="BA477" s="298"/>
      <c r="BB477" s="298"/>
      <c r="BC477" s="298"/>
      <c r="BD477" s="298"/>
      <c r="BE477" s="294"/>
      <c r="BF477" s="294"/>
      <c r="BG477" s="294"/>
      <c r="BH477" s="294"/>
      <c r="BI477" s="298"/>
      <c r="BJ477" s="298"/>
      <c r="BK477" s="298"/>
      <c r="BL477" s="298"/>
      <c r="BM477" s="1"/>
    </row>
    <row r="478" spans="1:65">
      <c r="A478" s="290"/>
      <c r="B478" s="290"/>
      <c r="C478" s="290"/>
      <c r="D478" s="290"/>
      <c r="E478" s="290"/>
      <c r="F478" s="290"/>
      <c r="G478" s="294"/>
      <c r="H478" s="290"/>
      <c r="I478" s="290"/>
      <c r="J478" s="290"/>
      <c r="K478" s="290"/>
      <c r="L478" s="290"/>
      <c r="M478" s="290"/>
      <c r="N478" s="290"/>
      <c r="O478" s="290"/>
      <c r="P478" s="290"/>
      <c r="Q478" s="290"/>
      <c r="R478" s="290"/>
      <c r="S478" s="290"/>
      <c r="T478" s="294"/>
      <c r="U478" s="294"/>
      <c r="V478" s="294"/>
      <c r="W478" s="294"/>
      <c r="X478" s="294"/>
      <c r="Y478" s="294"/>
      <c r="Z478" s="294"/>
      <c r="AA478" s="294"/>
      <c r="AB478" s="298"/>
      <c r="AC478" s="207"/>
      <c r="AD478" s="294"/>
      <c r="AE478" s="290"/>
      <c r="AF478" s="290"/>
      <c r="AG478" s="298"/>
      <c r="AH478" s="298"/>
      <c r="AI478" s="298"/>
      <c r="AJ478" s="298"/>
      <c r="AK478" s="298"/>
      <c r="AL478" s="298"/>
      <c r="AM478" s="298"/>
      <c r="AN478" s="294"/>
      <c r="AO478" s="294"/>
      <c r="AP478" s="290"/>
      <c r="AQ478" s="294"/>
      <c r="AR478" s="294"/>
      <c r="AS478" s="298"/>
      <c r="AT478" s="298"/>
      <c r="AU478" s="298"/>
      <c r="AV478" s="207"/>
      <c r="AW478" s="298"/>
      <c r="AX478" s="207"/>
      <c r="AY478" s="207"/>
      <c r="AZ478" s="298"/>
      <c r="BA478" s="298"/>
      <c r="BB478" s="298"/>
      <c r="BC478" s="298"/>
      <c r="BD478" s="294"/>
      <c r="BE478" s="294"/>
      <c r="BF478" s="294"/>
      <c r="BG478" s="294"/>
      <c r="BH478" s="294"/>
      <c r="BI478" s="298"/>
      <c r="BJ478" s="298"/>
      <c r="BK478" s="298"/>
      <c r="BL478" s="298"/>
      <c r="BM478" s="1"/>
    </row>
    <row r="479" spans="1:65">
      <c r="A479" s="290"/>
      <c r="B479" s="290"/>
      <c r="C479" s="290"/>
      <c r="D479" s="290"/>
      <c r="E479" s="290"/>
      <c r="F479" s="290"/>
      <c r="G479" s="290"/>
      <c r="H479" s="290"/>
      <c r="I479" s="290"/>
      <c r="J479" s="290"/>
      <c r="K479" s="290"/>
      <c r="L479" s="290"/>
      <c r="M479" s="290"/>
      <c r="N479" s="290"/>
      <c r="O479" s="290"/>
      <c r="P479" s="290"/>
      <c r="Q479" s="290"/>
      <c r="R479" s="290"/>
      <c r="S479" s="294"/>
      <c r="T479" s="294"/>
      <c r="U479" s="294"/>
      <c r="V479" s="294"/>
      <c r="W479" s="294"/>
      <c r="X479" s="294"/>
      <c r="Y479" s="294"/>
      <c r="Z479" s="294"/>
      <c r="AA479" s="298"/>
      <c r="AB479" s="207"/>
      <c r="AC479" s="298"/>
      <c r="AD479" s="294"/>
      <c r="AE479" s="290"/>
      <c r="AF479" s="290"/>
      <c r="AG479" s="298"/>
      <c r="AH479" s="298"/>
      <c r="AI479" s="298"/>
      <c r="AJ479" s="298"/>
      <c r="AK479" s="298"/>
      <c r="AL479" s="298"/>
      <c r="AM479" s="294"/>
      <c r="AN479" s="294"/>
      <c r="AO479" s="294"/>
      <c r="AP479" s="294"/>
      <c r="AQ479" s="294"/>
      <c r="AR479" s="298"/>
      <c r="AS479" s="298"/>
      <c r="AT479" s="298"/>
      <c r="AU479" s="207"/>
      <c r="AV479" s="207"/>
      <c r="AW479" s="207"/>
      <c r="AX479" s="207"/>
      <c r="AY479" s="298"/>
      <c r="AZ479" s="298"/>
      <c r="BA479" s="298"/>
      <c r="BB479" s="298"/>
      <c r="BC479" s="294"/>
      <c r="BD479" s="294"/>
      <c r="BE479" s="294"/>
      <c r="BF479" s="294"/>
      <c r="BG479" s="294"/>
      <c r="BH479" s="298"/>
      <c r="BI479" s="298"/>
      <c r="BJ479" s="298"/>
      <c r="BK479" s="298"/>
      <c r="BL479" s="298"/>
      <c r="BM479" s="1"/>
    </row>
    <row r="480" spans="1:65">
      <c r="A480" s="290"/>
      <c r="B480" s="290"/>
      <c r="C480" s="290"/>
      <c r="D480" s="290"/>
      <c r="E480" s="290"/>
      <c r="F480" s="290"/>
      <c r="G480" s="290"/>
      <c r="H480" s="290"/>
      <c r="I480" s="290"/>
      <c r="J480" s="290"/>
      <c r="K480" s="290"/>
      <c r="L480" s="290"/>
      <c r="M480" s="290"/>
      <c r="N480" s="290"/>
      <c r="O480" s="290"/>
      <c r="P480" s="290"/>
      <c r="Q480" s="294"/>
      <c r="R480" s="294"/>
      <c r="S480" s="294"/>
      <c r="T480" s="294"/>
      <c r="U480" s="294"/>
      <c r="V480" s="294"/>
      <c r="W480" s="294"/>
      <c r="X480" s="294"/>
      <c r="Y480" s="294"/>
      <c r="Z480" s="298"/>
      <c r="AA480" s="207"/>
      <c r="AB480" s="298"/>
      <c r="AC480" s="294"/>
      <c r="AD480" s="290"/>
      <c r="AE480" s="290"/>
      <c r="AF480" s="290"/>
      <c r="AG480" s="298"/>
      <c r="AH480" s="298"/>
      <c r="AI480" s="298"/>
      <c r="AJ480" s="298"/>
      <c r="AK480" s="298"/>
      <c r="AL480" s="294"/>
      <c r="AM480" s="294"/>
      <c r="AN480" s="290"/>
      <c r="AO480" s="294"/>
      <c r="AP480" s="294"/>
      <c r="AQ480" s="298"/>
      <c r="AR480" s="298"/>
      <c r="AS480" s="298"/>
      <c r="AT480" s="207"/>
      <c r="AU480" s="207"/>
      <c r="AV480" s="207"/>
      <c r="AW480" s="207"/>
      <c r="AX480" s="298"/>
      <c r="AY480" s="298"/>
      <c r="AZ480" s="298"/>
      <c r="BA480" s="298"/>
      <c r="BB480" s="294"/>
      <c r="BC480" s="294"/>
      <c r="BD480" s="294"/>
      <c r="BE480" s="294"/>
      <c r="BF480" s="294"/>
      <c r="BG480" s="298"/>
      <c r="BH480" s="298"/>
      <c r="BI480" s="298"/>
      <c r="BJ480" s="298"/>
      <c r="BK480" s="298"/>
      <c r="BL480" s="298"/>
      <c r="BM480" s="176"/>
    </row>
    <row r="481" spans="1:100">
      <c r="A481" s="158"/>
      <c r="B481" s="158"/>
      <c r="C481" s="158"/>
      <c r="D481" s="158"/>
      <c r="E481" s="158"/>
      <c r="F481" s="158"/>
      <c r="G481" s="158"/>
      <c r="H481" s="163"/>
      <c r="I481" s="167"/>
      <c r="J481" s="167"/>
      <c r="K481" s="167"/>
      <c r="L481" s="167"/>
      <c r="M481" s="167"/>
      <c r="N481" s="167"/>
      <c r="O481" s="167"/>
      <c r="P481" s="159"/>
      <c r="Q481" s="158"/>
      <c r="R481" s="158"/>
      <c r="S481" s="158"/>
      <c r="T481" s="158"/>
      <c r="U481" s="158"/>
      <c r="V481" s="158"/>
      <c r="W481" s="158"/>
      <c r="X481" s="163"/>
      <c r="Y481" s="167"/>
      <c r="Z481" s="167"/>
      <c r="AA481" s="167"/>
      <c r="AB481" s="167"/>
      <c r="AC481" s="167"/>
      <c r="AD481" s="167"/>
      <c r="AE481" s="167"/>
      <c r="AF481" s="159"/>
      <c r="AG481" s="158"/>
      <c r="AH481" s="158"/>
      <c r="AI481" s="158"/>
      <c r="AJ481" s="158"/>
      <c r="AK481" s="158"/>
      <c r="AL481" s="158"/>
      <c r="AM481" s="158"/>
      <c r="AN481" s="163"/>
      <c r="AO481" s="167"/>
      <c r="AP481" s="167"/>
      <c r="AQ481" s="167"/>
      <c r="AR481" s="167"/>
      <c r="AS481" s="167"/>
      <c r="AT481" s="167"/>
      <c r="AU481" s="167"/>
      <c r="AV481" s="159"/>
      <c r="AW481" s="158"/>
      <c r="AX481" s="158"/>
      <c r="AY481" s="158"/>
      <c r="AZ481" s="158"/>
      <c r="BA481" s="158"/>
      <c r="BB481" s="158"/>
      <c r="BC481" s="158"/>
      <c r="BD481" s="163"/>
      <c r="BE481" s="167"/>
      <c r="BF481" s="167"/>
      <c r="BG481" s="167"/>
      <c r="BH481" s="167"/>
      <c r="BI481" s="167"/>
      <c r="BJ481" s="167"/>
      <c r="BK481" s="167"/>
      <c r="BL481" s="159"/>
      <c r="BM481" s="158">
        <v>16</v>
      </c>
      <c r="BN481" s="552"/>
      <c r="BO481" s="552"/>
      <c r="BP481" s="552"/>
      <c r="BQ481" s="552"/>
      <c r="BR481" s="552"/>
      <c r="BS481" s="552"/>
      <c r="BT481" s="552"/>
      <c r="BU481" s="552"/>
      <c r="BV481" s="552"/>
      <c r="BW481" s="552"/>
      <c r="BX481" s="552"/>
      <c r="BY481" s="552"/>
      <c r="BZ481" s="552"/>
      <c r="CA481" s="552"/>
      <c r="CB481" s="552"/>
      <c r="CC481" s="552"/>
      <c r="CD481" s="552"/>
      <c r="CE481" s="552"/>
      <c r="CF481" s="552"/>
      <c r="CG481" s="552"/>
      <c r="CH481" s="552"/>
      <c r="CI481" s="552"/>
      <c r="CJ481" s="552"/>
      <c r="CK481" s="552"/>
      <c r="CL481" s="552"/>
      <c r="CM481" s="552"/>
      <c r="CN481" s="552"/>
      <c r="CO481" s="552"/>
      <c r="CP481" s="552"/>
      <c r="CQ481" s="552"/>
      <c r="CR481" s="552"/>
      <c r="CS481" s="452"/>
    </row>
    <row r="482" spans="1:100">
      <c r="A482" s="158"/>
      <c r="B482" s="163"/>
      <c r="C482" s="163"/>
      <c r="D482" s="163"/>
      <c r="E482" s="163"/>
      <c r="F482" s="163"/>
      <c r="G482" s="163"/>
      <c r="H482" s="161"/>
      <c r="I482" s="167"/>
      <c r="J482" s="159"/>
      <c r="K482" s="159"/>
      <c r="L482" s="159"/>
      <c r="M482" s="159"/>
      <c r="N482" s="159"/>
      <c r="O482" s="159"/>
      <c r="P482" s="156"/>
      <c r="Q482" s="158"/>
      <c r="R482" s="163"/>
      <c r="S482" s="163"/>
      <c r="T482" s="163"/>
      <c r="U482" s="163"/>
      <c r="V482" s="163"/>
      <c r="W482" s="163"/>
      <c r="X482" s="161"/>
      <c r="Y482" s="167"/>
      <c r="Z482" s="159"/>
      <c r="AA482" s="159"/>
      <c r="AB482" s="159"/>
      <c r="AC482" s="159"/>
      <c r="AD482" s="159"/>
      <c r="AE482" s="159"/>
      <c r="AF482" s="156"/>
      <c r="AG482" s="158"/>
      <c r="AH482" s="163"/>
      <c r="AI482" s="163"/>
      <c r="AJ482" s="163"/>
      <c r="AK482" s="163"/>
      <c r="AL482" s="163"/>
      <c r="AM482" s="163"/>
      <c r="AN482" s="161"/>
      <c r="AO482" s="167"/>
      <c r="AP482" s="159"/>
      <c r="AQ482" s="159"/>
      <c r="AR482" s="159"/>
      <c r="AS482" s="159"/>
      <c r="AT482" s="159"/>
      <c r="AU482" s="159"/>
      <c r="AV482" s="156"/>
      <c r="AW482" s="158"/>
      <c r="AX482" s="163"/>
      <c r="AY482" s="163"/>
      <c r="AZ482" s="163"/>
      <c r="BA482" s="163"/>
      <c r="BB482" s="163"/>
      <c r="BC482" s="163"/>
      <c r="BD482" s="161"/>
      <c r="BE482" s="167"/>
      <c r="BF482" s="159"/>
      <c r="BG482" s="159"/>
      <c r="BH482" s="159"/>
      <c r="BI482" s="159"/>
      <c r="BJ482" s="159"/>
      <c r="BK482" s="159"/>
      <c r="BL482" s="156"/>
      <c r="BM482" s="159"/>
      <c r="BN482" s="552"/>
      <c r="BO482" s="452"/>
      <c r="BP482" s="452"/>
      <c r="BQ482" s="452"/>
      <c r="BR482" s="452"/>
      <c r="BS482" s="452"/>
      <c r="BT482" s="452"/>
      <c r="BU482" s="452"/>
      <c r="BV482" s="452"/>
      <c r="BW482" s="452"/>
      <c r="BX482" s="452"/>
      <c r="BY482" s="452"/>
      <c r="BZ482" s="452"/>
      <c r="CA482" s="452"/>
      <c r="CB482" s="452"/>
      <c r="CC482" s="452"/>
      <c r="CD482" s="452"/>
      <c r="CE482" s="452"/>
      <c r="CF482" s="452"/>
      <c r="CG482" s="452"/>
      <c r="CH482" s="452"/>
      <c r="CI482" s="452"/>
      <c r="CJ482" s="452"/>
      <c r="CK482" s="452"/>
      <c r="CL482" s="452"/>
      <c r="CM482" s="452"/>
      <c r="CN482" s="452"/>
      <c r="CO482" s="452"/>
      <c r="CP482" s="452"/>
      <c r="CQ482" s="452"/>
      <c r="CR482" s="452"/>
      <c r="CS482" s="452"/>
    </row>
    <row r="483" spans="1:100">
      <c r="BM483" s="357"/>
      <c r="CT483">
        <v>2</v>
      </c>
      <c r="CU483">
        <v>2</v>
      </c>
      <c r="CV483">
        <v>2</v>
      </c>
    </row>
    <row r="484" spans="1:100">
      <c r="BM484" s="1"/>
      <c r="CT484">
        <v>2</v>
      </c>
      <c r="CU484">
        <v>2</v>
      </c>
      <c r="CV484">
        <v>2</v>
      </c>
    </row>
    <row r="485" spans="1:100">
      <c r="BM485" s="1"/>
      <c r="CT485">
        <v>2</v>
      </c>
      <c r="CU485">
        <v>2</v>
      </c>
      <c r="CV485">
        <v>2</v>
      </c>
    </row>
    <row r="486" spans="1:100">
      <c r="BM486" s="1">
        <v>4</v>
      </c>
      <c r="CT486">
        <v>2</v>
      </c>
      <c r="CU486">
        <v>2</v>
      </c>
      <c r="CV486">
        <v>2</v>
      </c>
    </row>
    <row r="487" spans="1:100">
      <c r="BM487" s="1"/>
      <c r="BN487" s="552"/>
      <c r="BO487" s="452"/>
      <c r="BP487" s="452"/>
      <c r="BQ487" s="452"/>
      <c r="BR487" s="452"/>
      <c r="BS487" s="452"/>
      <c r="BT487" s="552"/>
      <c r="BU487" s="552"/>
      <c r="BV487" s="552"/>
      <c r="BW487" s="552"/>
      <c r="BX487" s="552"/>
      <c r="BY487" s="552"/>
      <c r="BZ487" s="552"/>
      <c r="CA487" s="552"/>
      <c r="CB487" s="552"/>
      <c r="CC487" s="552"/>
      <c r="CD487" s="552"/>
      <c r="CE487" s="552"/>
      <c r="CF487" s="552"/>
      <c r="CG487" s="552"/>
      <c r="CH487" s="552"/>
      <c r="CI487" s="552"/>
      <c r="CJ487" s="552"/>
      <c r="CK487" s="552"/>
      <c r="CL487" s="552"/>
      <c r="CM487" s="552"/>
      <c r="CN487" s="552"/>
      <c r="CO487" s="452"/>
      <c r="CP487" s="452"/>
      <c r="CQ487" s="452"/>
      <c r="CR487" s="452"/>
      <c r="CS487" s="452"/>
      <c r="CT487">
        <v>2</v>
      </c>
      <c r="CU487">
        <v>2</v>
      </c>
    </row>
    <row r="488" spans="1:100">
      <c r="A488" s="163"/>
      <c r="B488" s="161"/>
      <c r="C488" s="161"/>
      <c r="D488" s="161"/>
      <c r="E488" s="161"/>
      <c r="F488" s="161"/>
      <c r="G488" s="161"/>
      <c r="H488" s="161"/>
      <c r="I488" s="159"/>
      <c r="J488" s="156"/>
      <c r="K488" s="156"/>
      <c r="L488" s="156"/>
      <c r="M488" s="156"/>
      <c r="N488" s="156"/>
      <c r="O488" s="156"/>
      <c r="P488" s="156"/>
      <c r="Q488" s="163"/>
      <c r="R488" s="161"/>
      <c r="S488" s="161"/>
      <c r="T488" s="161"/>
      <c r="U488" s="161"/>
      <c r="V488" s="161"/>
      <c r="W488" s="161"/>
      <c r="X488" s="161"/>
      <c r="Y488" s="159"/>
      <c r="Z488" s="156"/>
      <c r="AA488" s="156"/>
      <c r="AB488" s="156"/>
      <c r="AC488" s="156"/>
      <c r="AD488" s="156"/>
      <c r="AE488" s="156"/>
      <c r="AF488" s="156"/>
      <c r="AG488" s="163"/>
      <c r="AH488" s="161"/>
      <c r="AI488" s="161"/>
      <c r="AJ488" s="161"/>
      <c r="AK488" s="161"/>
      <c r="AL488" s="161"/>
      <c r="AM488" s="161"/>
      <c r="AN488" s="161"/>
      <c r="AO488" s="159"/>
      <c r="AP488" s="156"/>
      <c r="AQ488" s="156"/>
      <c r="AR488" s="156"/>
      <c r="AS488" s="156"/>
      <c r="AT488" s="156"/>
      <c r="AU488" s="156"/>
      <c r="AV488" s="156"/>
      <c r="AW488" s="163"/>
      <c r="AX488" s="161"/>
      <c r="AY488" s="161"/>
      <c r="AZ488" s="161"/>
      <c r="BA488" s="161"/>
      <c r="BB488" s="161"/>
      <c r="BC488" s="161"/>
      <c r="BD488" s="161"/>
      <c r="BE488" s="159"/>
      <c r="BF488" s="156"/>
      <c r="BG488" s="156"/>
      <c r="BH488" s="156"/>
      <c r="BI488" s="156"/>
      <c r="BJ488" s="156"/>
      <c r="BK488" s="156"/>
      <c r="BL488" s="156"/>
      <c r="BM488" s="1"/>
      <c r="BN488" s="552"/>
      <c r="BO488" s="452"/>
      <c r="BP488" s="452"/>
      <c r="BQ488" s="452"/>
      <c r="BR488" s="452"/>
      <c r="BS488" s="452"/>
      <c r="BT488" s="552"/>
      <c r="BU488" s="452"/>
      <c r="BV488" s="452"/>
      <c r="BW488" s="452"/>
      <c r="BX488" s="452"/>
      <c r="BY488" s="452"/>
      <c r="BZ488" s="452"/>
      <c r="CA488" s="452"/>
      <c r="CB488" s="452"/>
      <c r="CC488" s="452"/>
      <c r="CD488" s="452"/>
      <c r="CE488" s="452"/>
      <c r="CF488" s="452"/>
      <c r="CG488" s="452"/>
      <c r="CH488" s="452"/>
      <c r="CI488" s="452"/>
      <c r="CJ488" s="452"/>
      <c r="CK488" s="452"/>
      <c r="CL488" s="452"/>
      <c r="CM488" s="452"/>
      <c r="CN488" s="452"/>
      <c r="CO488" s="452"/>
      <c r="CP488" s="452"/>
      <c r="CQ488" s="452"/>
      <c r="CR488" s="452"/>
      <c r="CS488" s="452"/>
    </row>
    <row r="489" spans="1:100">
      <c r="A489" s="167"/>
      <c r="B489" s="167"/>
      <c r="C489" s="167"/>
      <c r="D489" s="167"/>
      <c r="E489" s="167"/>
      <c r="F489" s="167"/>
      <c r="G489" s="167"/>
      <c r="H489" s="159"/>
      <c r="I489" s="158"/>
      <c r="J489" s="158"/>
      <c r="K489" s="158"/>
      <c r="L489" s="158"/>
      <c r="M489" s="158"/>
      <c r="N489" s="158"/>
      <c r="O489" s="158"/>
      <c r="P489" s="163"/>
      <c r="Q489" s="167"/>
      <c r="R489" s="167"/>
      <c r="S489" s="167"/>
      <c r="T489" s="167"/>
      <c r="U489" s="167"/>
      <c r="V489" s="167"/>
      <c r="W489" s="167"/>
      <c r="X489" s="159"/>
      <c r="Y489" s="158"/>
      <c r="Z489" s="158"/>
      <c r="AA489" s="158"/>
      <c r="AB489" s="158"/>
      <c r="AC489" s="158"/>
      <c r="AD489" s="158"/>
      <c r="AE489" s="158"/>
      <c r="AF489" s="163"/>
      <c r="AG489" s="167"/>
      <c r="AH489" s="167"/>
      <c r="AI489" s="167"/>
      <c r="AJ489" s="167"/>
      <c r="AK489" s="167"/>
      <c r="AL489" s="167"/>
      <c r="AM489" s="167"/>
      <c r="AN489" s="159"/>
      <c r="AO489" s="158"/>
      <c r="AP489" s="158"/>
      <c r="AQ489" s="158"/>
      <c r="AR489" s="158"/>
      <c r="AS489" s="158"/>
      <c r="AT489" s="158"/>
      <c r="AU489" s="158"/>
      <c r="AV489" s="163"/>
      <c r="AW489" s="167"/>
      <c r="AX489" s="167"/>
      <c r="AY489" s="167"/>
      <c r="AZ489" s="167"/>
      <c r="BA489" s="167"/>
      <c r="BB489" s="167"/>
      <c r="BC489" s="167"/>
      <c r="BD489" s="159"/>
      <c r="BE489" s="158"/>
      <c r="BF489" s="158"/>
      <c r="BG489" s="158"/>
      <c r="BH489" s="158"/>
      <c r="BI489" s="158"/>
      <c r="BJ489" s="158"/>
      <c r="BK489" s="158"/>
      <c r="BL489" s="163"/>
      <c r="BM489" s="1"/>
      <c r="CV489">
        <v>8</v>
      </c>
    </row>
    <row r="490" spans="1:100">
      <c r="A490" s="167"/>
      <c r="B490" s="159"/>
      <c r="C490" s="159"/>
      <c r="D490" s="159"/>
      <c r="E490" s="159"/>
      <c r="F490" s="159"/>
      <c r="G490" s="159"/>
      <c r="H490" s="156"/>
      <c r="I490" s="158"/>
      <c r="J490" s="163"/>
      <c r="K490" s="163"/>
      <c r="L490" s="163"/>
      <c r="M490" s="163"/>
      <c r="N490" s="163"/>
      <c r="O490" s="163"/>
      <c r="P490" s="161"/>
      <c r="Q490" s="167"/>
      <c r="R490" s="159"/>
      <c r="S490" s="159"/>
      <c r="T490" s="159"/>
      <c r="U490" s="159"/>
      <c r="V490" s="159"/>
      <c r="W490" s="159"/>
      <c r="X490" s="156"/>
      <c r="Y490" s="158"/>
      <c r="Z490" s="163"/>
      <c r="AA490" s="163"/>
      <c r="AB490" s="163"/>
      <c r="AC490" s="163"/>
      <c r="AD490" s="163"/>
      <c r="AE490" s="163"/>
      <c r="AF490" s="161"/>
      <c r="AG490" s="167"/>
      <c r="AH490" s="159"/>
      <c r="AI490" s="159"/>
      <c r="AJ490" s="159"/>
      <c r="AK490" s="159"/>
      <c r="AL490" s="159"/>
      <c r="AM490" s="159"/>
      <c r="AN490" s="156"/>
      <c r="AO490" s="158"/>
      <c r="AP490" s="163"/>
      <c r="AQ490" s="163"/>
      <c r="AR490" s="163"/>
      <c r="AS490" s="163"/>
      <c r="AT490" s="163"/>
      <c r="AU490" s="163"/>
      <c r="AV490" s="161"/>
      <c r="AW490" s="167"/>
      <c r="AX490" s="159"/>
      <c r="AY490" s="159"/>
      <c r="AZ490" s="159"/>
      <c r="BA490" s="159"/>
      <c r="BB490" s="159"/>
      <c r="BC490" s="159"/>
      <c r="BD490" s="156"/>
      <c r="BE490" s="158"/>
      <c r="BF490" s="163"/>
      <c r="BG490" s="163"/>
      <c r="BH490" s="163"/>
      <c r="BI490" s="163"/>
      <c r="BJ490" s="163"/>
      <c r="BK490" s="163"/>
      <c r="BL490" s="161"/>
      <c r="BM490" s="1"/>
      <c r="CV490">
        <v>8</v>
      </c>
    </row>
    <row r="491" spans="1:100">
      <c r="BM491" s="1"/>
      <c r="CT491">
        <v>10</v>
      </c>
      <c r="CU491">
        <v>10</v>
      </c>
      <c r="CV491">
        <v>8</v>
      </c>
    </row>
    <row r="492" spans="1:100">
      <c r="BM492" s="1"/>
      <c r="CT492">
        <v>10</v>
      </c>
      <c r="CU492">
        <v>10</v>
      </c>
      <c r="CV492">
        <v>8</v>
      </c>
    </row>
    <row r="493" spans="1:100">
      <c r="BM493" s="1"/>
      <c r="CT493">
        <v>10</v>
      </c>
      <c r="CU493">
        <v>10</v>
      </c>
      <c r="CV493">
        <v>8</v>
      </c>
    </row>
    <row r="494" spans="1:100">
      <c r="BM494" s="1"/>
      <c r="BN494" s="552"/>
      <c r="BO494" s="452"/>
      <c r="BP494" s="452"/>
      <c r="BQ494" s="452"/>
      <c r="BR494" s="452"/>
      <c r="BS494" s="452"/>
      <c r="BT494" s="552"/>
      <c r="BU494" s="452"/>
      <c r="BV494" s="452"/>
      <c r="BW494" s="452"/>
      <c r="BX494" s="452"/>
      <c r="BY494" s="452"/>
      <c r="BZ494" s="452"/>
      <c r="CA494" s="452"/>
      <c r="CB494" s="452"/>
      <c r="CC494" s="452"/>
      <c r="CD494" s="452"/>
      <c r="CE494" s="452"/>
      <c r="CF494" s="452"/>
      <c r="CG494" s="552"/>
      <c r="CH494" s="452"/>
      <c r="CI494" s="452"/>
      <c r="CJ494" s="452"/>
      <c r="CK494" s="452"/>
      <c r="CL494" s="452"/>
      <c r="CM494" s="452"/>
      <c r="CN494" s="452"/>
      <c r="CO494" s="452"/>
      <c r="CP494" s="452"/>
      <c r="CQ494" s="452"/>
      <c r="CR494" s="452"/>
      <c r="CS494" s="452"/>
      <c r="CT494">
        <v>10</v>
      </c>
      <c r="CU494">
        <v>10</v>
      </c>
    </row>
    <row r="495" spans="1:100">
      <c r="BM495" s="1"/>
      <c r="CT495">
        <v>10</v>
      </c>
      <c r="CU495">
        <v>10</v>
      </c>
      <c r="CV495">
        <v>14</v>
      </c>
    </row>
    <row r="496" spans="1:100">
      <c r="A496" s="159"/>
      <c r="B496" s="156"/>
      <c r="C496" s="156"/>
      <c r="D496" s="156"/>
      <c r="E496" s="156"/>
      <c r="F496" s="156"/>
      <c r="G496" s="156"/>
      <c r="H496" s="156"/>
      <c r="I496" s="163"/>
      <c r="J496" s="161"/>
      <c r="K496" s="161"/>
      <c r="L496" s="161"/>
      <c r="M496" s="161"/>
      <c r="N496" s="161"/>
      <c r="O496" s="161"/>
      <c r="P496" s="161"/>
      <c r="Q496" s="159"/>
      <c r="R496" s="156"/>
      <c r="S496" s="156"/>
      <c r="T496" s="156"/>
      <c r="U496" s="156"/>
      <c r="V496" s="156"/>
      <c r="W496" s="156"/>
      <c r="X496" s="156"/>
      <c r="Y496" s="163"/>
      <c r="Z496" s="161"/>
      <c r="AA496" s="161"/>
      <c r="AB496" s="161"/>
      <c r="AC496" s="161"/>
      <c r="AD496" s="161"/>
      <c r="AE496" s="161"/>
      <c r="AF496" s="161"/>
      <c r="AG496" s="159"/>
      <c r="AH496" s="156"/>
      <c r="AI496" s="156"/>
      <c r="AJ496" s="156"/>
      <c r="AK496" s="156"/>
      <c r="AL496" s="156"/>
      <c r="AM496" s="156"/>
      <c r="AN496" s="156"/>
      <c r="AO496" s="163"/>
      <c r="AP496" s="161"/>
      <c r="AQ496" s="161"/>
      <c r="AR496" s="161"/>
      <c r="AS496" s="161"/>
      <c r="AT496" s="161"/>
      <c r="AU496" s="161"/>
      <c r="AV496" s="161"/>
      <c r="AW496" s="159"/>
      <c r="AX496" s="156"/>
      <c r="AY496" s="156"/>
      <c r="AZ496" s="156"/>
      <c r="BA496" s="156"/>
      <c r="BB496" s="156"/>
      <c r="BC496" s="156"/>
      <c r="BD496" s="156"/>
      <c r="BE496" s="163"/>
      <c r="BF496" s="161"/>
      <c r="BG496" s="161"/>
      <c r="BH496" s="161"/>
      <c r="BI496" s="161"/>
      <c r="BJ496" s="161"/>
      <c r="BK496" s="161"/>
      <c r="BL496" s="161"/>
      <c r="BM496" s="1"/>
      <c r="CV496">
        <v>14</v>
      </c>
    </row>
    <row r="497" spans="65:100">
      <c r="BM497" s="1"/>
      <c r="CT497">
        <v>1</v>
      </c>
      <c r="CU497">
        <v>1</v>
      </c>
      <c r="CV497">
        <v>14</v>
      </c>
    </row>
    <row r="498" spans="65:100">
      <c r="BM498" s="1"/>
      <c r="CT498">
        <v>2</v>
      </c>
      <c r="CU498">
        <v>2</v>
      </c>
      <c r="CV498">
        <v>14</v>
      </c>
    </row>
    <row r="499" spans="65:100">
      <c r="BM499" s="1"/>
      <c r="CT499">
        <v>2</v>
      </c>
      <c r="CU499">
        <v>2</v>
      </c>
      <c r="CV499">
        <v>14</v>
      </c>
    </row>
    <row r="500" spans="65:100">
      <c r="BM500" s="1"/>
      <c r="BN500" s="552"/>
      <c r="BO500" s="452"/>
      <c r="BP500" s="452"/>
      <c r="BQ500" s="452"/>
      <c r="BR500" s="452"/>
      <c r="BS500" s="452"/>
      <c r="BT500" s="552"/>
      <c r="BU500" s="452"/>
      <c r="BV500" s="452"/>
      <c r="BW500" s="452"/>
      <c r="BX500" s="452"/>
      <c r="BY500" s="452"/>
      <c r="BZ500" s="452"/>
      <c r="CA500" s="552"/>
      <c r="CB500" s="552"/>
      <c r="CC500" s="552"/>
      <c r="CD500" s="552"/>
      <c r="CE500" s="552"/>
      <c r="CF500" s="552"/>
      <c r="CG500" s="552"/>
      <c r="CH500" s="452"/>
      <c r="CI500" s="452"/>
      <c r="CJ500" s="452"/>
      <c r="CK500" s="452"/>
      <c r="CL500" s="452"/>
      <c r="CM500" s="452"/>
      <c r="CN500" s="452"/>
      <c r="CO500" s="452"/>
      <c r="CP500" s="452"/>
      <c r="CQ500" s="452"/>
      <c r="CR500" s="452"/>
      <c r="CS500" s="452"/>
      <c r="CT500">
        <v>2</v>
      </c>
      <c r="CU500">
        <v>2</v>
      </c>
    </row>
    <row r="501" spans="65:100">
      <c r="BM501" s="1"/>
      <c r="CT501">
        <v>2</v>
      </c>
      <c r="CU501">
        <v>2</v>
      </c>
      <c r="CV501">
        <v>8</v>
      </c>
    </row>
    <row r="502" spans="65:100">
      <c r="BM502" s="1"/>
      <c r="CT502">
        <v>2</v>
      </c>
      <c r="CU502">
        <v>2</v>
      </c>
      <c r="CV502">
        <v>8</v>
      </c>
    </row>
    <row r="503" spans="65:100">
      <c r="BM503" s="1"/>
      <c r="CT503">
        <v>2</v>
      </c>
      <c r="CU503">
        <v>2</v>
      </c>
      <c r="CV503">
        <v>8</v>
      </c>
    </row>
    <row r="504" spans="65:100">
      <c r="BM504" s="1"/>
      <c r="CT504">
        <v>8</v>
      </c>
      <c r="CU504">
        <v>8</v>
      </c>
      <c r="CV504">
        <v>8</v>
      </c>
    </row>
    <row r="505" spans="65:100">
      <c r="BM505" s="1"/>
      <c r="CT505">
        <v>9</v>
      </c>
      <c r="CU505">
        <v>9</v>
      </c>
      <c r="CV505">
        <v>8</v>
      </c>
    </row>
    <row r="506" spans="65:100">
      <c r="BM506" s="1"/>
      <c r="CT506">
        <v>10</v>
      </c>
      <c r="CU506">
        <v>10</v>
      </c>
      <c r="CV506">
        <v>8</v>
      </c>
    </row>
    <row r="507" spans="65:100">
      <c r="BM507" s="1"/>
      <c r="CT507">
        <v>10</v>
      </c>
      <c r="CU507">
        <v>10</v>
      </c>
      <c r="CV507">
        <v>8</v>
      </c>
    </row>
    <row r="508" spans="65:100">
      <c r="BM508" s="1"/>
      <c r="CT508">
        <v>10</v>
      </c>
      <c r="CU508">
        <v>10</v>
      </c>
      <c r="CV508">
        <v>2</v>
      </c>
    </row>
    <row r="509" spans="65:100">
      <c r="BM509" s="1"/>
      <c r="CT509">
        <v>10</v>
      </c>
      <c r="CU509">
        <v>10</v>
      </c>
      <c r="CV509">
        <v>2</v>
      </c>
    </row>
    <row r="510" spans="65:100">
      <c r="BM510" s="1"/>
      <c r="CT510">
        <v>10</v>
      </c>
      <c r="CU510">
        <v>10</v>
      </c>
      <c r="CV510">
        <v>2</v>
      </c>
    </row>
    <row r="511" spans="65:100">
      <c r="BM511" s="1"/>
      <c r="CT511">
        <v>10</v>
      </c>
      <c r="CU511">
        <v>10</v>
      </c>
      <c r="CV511">
        <v>2</v>
      </c>
    </row>
    <row r="512" spans="65:100">
      <c r="BM512" s="176"/>
      <c r="BN512" s="452"/>
      <c r="BO512" s="452"/>
      <c r="BP512" s="452"/>
      <c r="BQ512" s="452"/>
      <c r="BR512" s="452"/>
      <c r="BS512" s="452"/>
      <c r="BT512" s="452"/>
      <c r="BU512" s="452"/>
      <c r="BV512" s="452"/>
      <c r="BW512" s="452"/>
      <c r="BX512" s="452"/>
      <c r="BY512" s="452"/>
      <c r="BZ512" s="452"/>
      <c r="CA512" s="452"/>
      <c r="CB512" s="452"/>
      <c r="CC512" s="452"/>
      <c r="CD512" s="452"/>
      <c r="CE512" s="452"/>
      <c r="CF512" s="452"/>
      <c r="CG512" s="452"/>
      <c r="CH512" s="452"/>
      <c r="CI512" s="452"/>
      <c r="CJ512" s="452"/>
      <c r="CK512" s="452"/>
      <c r="CL512" s="452"/>
      <c r="CM512" s="452"/>
      <c r="CN512" s="452"/>
      <c r="CO512" s="452"/>
      <c r="CP512" s="452"/>
      <c r="CQ512" s="452"/>
      <c r="CR512" s="452"/>
      <c r="CS512" s="452"/>
      <c r="CT512">
        <v>16</v>
      </c>
      <c r="CU512">
        <v>16</v>
      </c>
    </row>
    <row r="513" spans="1:99">
      <c r="A513" s="421"/>
      <c r="B513" s="421"/>
      <c r="C513" s="421"/>
      <c r="D513" s="421"/>
      <c r="E513" s="421"/>
      <c r="F513" s="421"/>
      <c r="G513" s="421"/>
      <c r="H513" s="584"/>
      <c r="I513" s="452"/>
      <c r="J513" s="452"/>
      <c r="K513" s="452"/>
      <c r="L513" s="452"/>
      <c r="M513" s="452"/>
      <c r="N513" s="452"/>
      <c r="O513" s="452"/>
      <c r="P513" s="411"/>
      <c r="Q513" s="421"/>
      <c r="R513" s="421"/>
      <c r="S513" s="421"/>
      <c r="T513" s="421"/>
      <c r="U513" s="421"/>
      <c r="V513" s="421"/>
      <c r="W513" s="421"/>
      <c r="X513" s="584"/>
      <c r="Y513" s="452"/>
      <c r="Z513" s="452"/>
      <c r="AA513" s="452"/>
      <c r="AB513" s="452"/>
      <c r="AC513" s="452"/>
      <c r="AD513" s="452"/>
      <c r="AE513" s="452"/>
      <c r="AF513" s="411"/>
      <c r="AG513" s="552"/>
      <c r="AH513" s="552"/>
      <c r="AI513" s="552"/>
      <c r="AJ513" s="552"/>
      <c r="AK513" s="552"/>
      <c r="AL513" s="552"/>
      <c r="AM513" s="552"/>
      <c r="AN513" s="552"/>
      <c r="AO513" s="552"/>
      <c r="AP513" s="552"/>
      <c r="AQ513" s="552"/>
      <c r="AR513" s="552"/>
      <c r="AS513" s="552"/>
      <c r="AT513" s="552"/>
      <c r="AU513" s="552"/>
      <c r="AV513" s="552"/>
      <c r="AW513" s="552"/>
      <c r="AX513" s="552"/>
      <c r="AY513" s="552"/>
      <c r="AZ513" s="552"/>
      <c r="BA513" s="552"/>
      <c r="BB513" s="552"/>
      <c r="BC513" s="552"/>
      <c r="BD513" s="552"/>
      <c r="BE513" s="552"/>
      <c r="BF513" s="552"/>
      <c r="BG513" s="552"/>
      <c r="BH513" s="552"/>
      <c r="BI513" s="552"/>
      <c r="BJ513" s="552"/>
      <c r="BK513" s="552"/>
      <c r="BL513" s="452"/>
      <c r="BM513" s="191">
        <v>17</v>
      </c>
      <c r="BN513" s="52"/>
    </row>
    <row r="514" spans="1:99">
      <c r="A514" s="421"/>
      <c r="B514" s="584"/>
      <c r="C514" s="584"/>
      <c r="D514" s="584"/>
      <c r="E514" s="584"/>
      <c r="F514" s="584"/>
      <c r="G514" s="584"/>
      <c r="H514" s="584"/>
      <c r="I514" s="452"/>
      <c r="J514" s="411"/>
      <c r="K514" s="411"/>
      <c r="L514" s="411"/>
      <c r="M514" s="411"/>
      <c r="N514" s="411"/>
      <c r="O514" s="411"/>
      <c r="P514" s="411"/>
      <c r="Q514" s="421"/>
      <c r="R514" s="584"/>
      <c r="S514" s="584"/>
      <c r="T514" s="584"/>
      <c r="U514" s="584"/>
      <c r="V514" s="584"/>
      <c r="W514" s="584"/>
      <c r="X514" s="584"/>
      <c r="Y514" s="452"/>
      <c r="Z514" s="411"/>
      <c r="AA514" s="411"/>
      <c r="AB514" s="411"/>
      <c r="AC514" s="411"/>
      <c r="AD514" s="411"/>
      <c r="AE514" s="411"/>
      <c r="AF514" s="411"/>
      <c r="AG514" s="552"/>
      <c r="AH514" s="452"/>
      <c r="AI514" s="452"/>
      <c r="AJ514" s="452"/>
      <c r="AK514" s="452"/>
      <c r="AL514" s="452"/>
      <c r="AM514" s="452"/>
      <c r="AN514" s="452"/>
      <c r="AO514" s="452"/>
      <c r="AP514" s="452"/>
      <c r="AQ514" s="452"/>
      <c r="AR514" s="452"/>
      <c r="AS514" s="452"/>
      <c r="AT514" s="452"/>
      <c r="AU514" s="452"/>
      <c r="AV514" s="452"/>
      <c r="AW514" s="452"/>
      <c r="AX514" s="452"/>
      <c r="AY514" s="452"/>
      <c r="AZ514" s="452"/>
      <c r="BA514" s="452"/>
      <c r="BB514" s="452"/>
      <c r="BC514" s="452"/>
      <c r="BD514" s="452"/>
      <c r="BE514" s="452"/>
      <c r="BF514" s="452"/>
      <c r="BG514" s="452"/>
      <c r="BH514" s="452"/>
      <c r="BI514" s="452"/>
      <c r="BJ514" s="452"/>
      <c r="BK514" s="452"/>
      <c r="BL514" s="452"/>
      <c r="BM514" s="452"/>
      <c r="BN514" s="52"/>
    </row>
    <row r="515" spans="1:99">
      <c r="BM515" s="358"/>
      <c r="BN515" s="52"/>
      <c r="CT515">
        <v>2</v>
      </c>
      <c r="CU515">
        <v>2</v>
      </c>
    </row>
    <row r="516" spans="1:99">
      <c r="BM516" s="1">
        <v>100</v>
      </c>
      <c r="BN516" s="52"/>
      <c r="CT516">
        <v>2</v>
      </c>
      <c r="CU516">
        <v>2</v>
      </c>
    </row>
    <row r="517" spans="1:99">
      <c r="BM517" s="1">
        <v>60</v>
      </c>
      <c r="BN517" s="52"/>
      <c r="CT517">
        <v>2</v>
      </c>
      <c r="CU517">
        <v>2</v>
      </c>
    </row>
    <row r="518" spans="1:99">
      <c r="BM518" s="1">
        <v>1</v>
      </c>
      <c r="BN518" s="52"/>
      <c r="CT518">
        <v>2</v>
      </c>
      <c r="CU518">
        <v>2</v>
      </c>
    </row>
    <row r="519" spans="1:99">
      <c r="AG519" s="552"/>
      <c r="AH519" s="452"/>
      <c r="AI519" s="452"/>
      <c r="AJ519" s="452"/>
      <c r="AK519" s="452"/>
      <c r="AL519" s="452"/>
      <c r="AM519" s="552"/>
      <c r="AN519" s="552"/>
      <c r="AO519" s="552"/>
      <c r="AP519" s="552"/>
      <c r="AQ519" s="552"/>
      <c r="AR519" s="552"/>
      <c r="AS519" s="552"/>
      <c r="AT519" s="552"/>
      <c r="AU519" s="552"/>
      <c r="AV519" s="552"/>
      <c r="AW519" s="552"/>
      <c r="AX519" s="552"/>
      <c r="AY519" s="552"/>
      <c r="AZ519" s="552"/>
      <c r="BA519" s="552"/>
      <c r="BB519" s="552"/>
      <c r="BC519" s="552"/>
      <c r="BD519" s="552"/>
      <c r="BE519" s="552"/>
      <c r="BF519" s="552"/>
      <c r="BG519" s="552"/>
      <c r="BH519" s="452"/>
      <c r="BI519" s="452"/>
      <c r="BJ519" s="452"/>
      <c r="BK519" s="452"/>
      <c r="BL519" s="452"/>
      <c r="BM519" s="1"/>
      <c r="BN519" s="52"/>
      <c r="CT519">
        <v>2</v>
      </c>
    </row>
    <row r="520" spans="1:99">
      <c r="A520" s="584"/>
      <c r="B520" s="584"/>
      <c r="C520" s="584"/>
      <c r="D520" s="584"/>
      <c r="E520" s="584"/>
      <c r="F520" s="584"/>
      <c r="G520" s="584"/>
      <c r="H520" s="584"/>
      <c r="I520" s="411"/>
      <c r="J520" s="411"/>
      <c r="K520" s="411"/>
      <c r="L520" s="411"/>
      <c r="M520" s="411"/>
      <c r="N520" s="411"/>
      <c r="O520" s="411"/>
      <c r="P520" s="411"/>
      <c r="Q520" s="584"/>
      <c r="R520" s="584"/>
      <c r="S520" s="584"/>
      <c r="T520" s="584"/>
      <c r="U520" s="584"/>
      <c r="V520" s="584"/>
      <c r="W520" s="584"/>
      <c r="X520" s="584"/>
      <c r="Y520" s="411"/>
      <c r="Z520" s="411"/>
      <c r="AA520" s="411"/>
      <c r="AB520" s="411"/>
      <c r="AC520" s="411"/>
      <c r="AD520" s="411"/>
      <c r="AE520" s="411"/>
      <c r="AF520" s="411"/>
      <c r="AG520" s="552"/>
      <c r="AH520" s="452"/>
      <c r="AI520" s="452"/>
      <c r="AJ520" s="452"/>
      <c r="AK520" s="452"/>
      <c r="AL520" s="452"/>
      <c r="AM520" s="552"/>
      <c r="AN520" s="452"/>
      <c r="AO520" s="452"/>
      <c r="AP520" s="452"/>
      <c r="AQ520" s="452"/>
      <c r="AR520" s="452"/>
      <c r="AS520" s="452"/>
      <c r="AT520" s="452"/>
      <c r="AU520" s="452"/>
      <c r="AV520" s="452"/>
      <c r="AW520" s="452"/>
      <c r="AX520" s="452"/>
      <c r="AY520" s="452"/>
      <c r="AZ520" s="452"/>
      <c r="BA520" s="452"/>
      <c r="BB520" s="452"/>
      <c r="BC520" s="452"/>
      <c r="BD520" s="452"/>
      <c r="BE520" s="452"/>
      <c r="BF520" s="452"/>
      <c r="BG520" s="452"/>
      <c r="BH520" s="452"/>
      <c r="BI520" s="452"/>
      <c r="BJ520" s="452"/>
      <c r="BK520" s="452"/>
      <c r="BL520" s="452"/>
      <c r="BM520" s="1"/>
      <c r="BN520" s="52"/>
    </row>
    <row r="521" spans="1:99">
      <c r="A521" s="452"/>
      <c r="B521" s="452"/>
      <c r="C521" s="452"/>
      <c r="D521" s="452"/>
      <c r="E521" s="452"/>
      <c r="F521" s="452"/>
      <c r="G521" s="452"/>
      <c r="H521" s="411"/>
      <c r="I521" s="297"/>
      <c r="J521" s="297"/>
      <c r="K521" s="297"/>
      <c r="L521" s="297"/>
      <c r="M521" s="297"/>
      <c r="N521" s="297"/>
      <c r="O521" s="297"/>
      <c r="P521" s="555"/>
      <c r="Q521" s="452"/>
      <c r="R521" s="452"/>
      <c r="S521" s="452"/>
      <c r="T521" s="452"/>
      <c r="U521" s="452"/>
      <c r="V521" s="452"/>
      <c r="W521" s="452"/>
      <c r="X521" s="411"/>
      <c r="Y521" s="297"/>
      <c r="Z521" s="297"/>
      <c r="AA521" s="297"/>
      <c r="AB521" s="297"/>
      <c r="AC521" s="297"/>
      <c r="AD521" s="297"/>
      <c r="AE521" s="297"/>
      <c r="AF521" s="555"/>
      <c r="BM521" s="1"/>
      <c r="BN521" s="92"/>
      <c r="CU521">
        <v>8</v>
      </c>
    </row>
    <row r="522" spans="1:99">
      <c r="A522" s="452"/>
      <c r="B522" s="411"/>
      <c r="C522" s="411"/>
      <c r="D522" s="411"/>
      <c r="E522" s="411"/>
      <c r="F522" s="411"/>
      <c r="G522" s="411"/>
      <c r="H522" s="411"/>
      <c r="I522" s="297"/>
      <c r="J522" s="293"/>
      <c r="K522" s="555"/>
      <c r="L522" s="555"/>
      <c r="M522" s="555"/>
      <c r="N522" s="555"/>
      <c r="O522" s="555"/>
      <c r="P522" s="555"/>
      <c r="Q522" s="452"/>
      <c r="R522" s="411"/>
      <c r="S522" s="411"/>
      <c r="T522" s="411"/>
      <c r="U522" s="411"/>
      <c r="V522" s="411"/>
      <c r="W522" s="411"/>
      <c r="X522" s="411"/>
      <c r="Y522" s="297"/>
      <c r="Z522" s="293"/>
      <c r="AA522" s="555"/>
      <c r="AB522" s="555"/>
      <c r="AC522" s="555"/>
      <c r="AD522" s="555"/>
      <c r="AE522" s="555"/>
      <c r="AF522" s="555"/>
      <c r="BM522" s="1">
        <v>2</v>
      </c>
      <c r="BN522" s="92"/>
      <c r="CU522">
        <v>8</v>
      </c>
    </row>
    <row r="523" spans="1:99">
      <c r="BM523" s="1"/>
      <c r="BN523" s="92"/>
      <c r="CT523">
        <v>10</v>
      </c>
      <c r="CU523">
        <v>8</v>
      </c>
    </row>
    <row r="524" spans="1:99">
      <c r="BM524" s="1"/>
      <c r="BN524" s="92"/>
      <c r="CT524">
        <v>10</v>
      </c>
      <c r="CU524">
        <v>8</v>
      </c>
    </row>
    <row r="525" spans="1:99">
      <c r="BM525" s="1"/>
      <c r="BN525" s="92"/>
      <c r="CT525">
        <v>10</v>
      </c>
      <c r="CU525">
        <v>8</v>
      </c>
    </row>
    <row r="526" spans="1:99">
      <c r="AG526" s="552"/>
      <c r="AH526" s="452"/>
      <c r="AI526" s="452"/>
      <c r="AJ526" s="452"/>
      <c r="AK526" s="452"/>
      <c r="AL526" s="452"/>
      <c r="AM526" s="552"/>
      <c r="AN526" s="452"/>
      <c r="AO526" s="452"/>
      <c r="AP526" s="452"/>
      <c r="AQ526" s="452"/>
      <c r="AR526" s="452"/>
      <c r="AS526" s="452"/>
      <c r="AT526" s="452"/>
      <c r="AU526" s="452"/>
      <c r="AV526" s="452"/>
      <c r="AW526" s="452"/>
      <c r="AX526" s="452"/>
      <c r="AY526" s="452"/>
      <c r="AZ526" s="552"/>
      <c r="BA526" s="452"/>
      <c r="BB526" s="452"/>
      <c r="BC526" s="452"/>
      <c r="BD526" s="452"/>
      <c r="BE526" s="452"/>
      <c r="BF526" s="452"/>
      <c r="BG526" s="452"/>
      <c r="BH526" s="452"/>
      <c r="BI526" s="452"/>
      <c r="BJ526" s="452"/>
      <c r="BK526" s="452"/>
      <c r="BL526" s="452"/>
      <c r="BM526" s="1"/>
      <c r="BN526" s="92"/>
      <c r="CT526">
        <v>10</v>
      </c>
    </row>
    <row r="527" spans="1:99">
      <c r="BM527" s="1"/>
      <c r="BN527" s="92"/>
      <c r="CT527">
        <v>10</v>
      </c>
      <c r="CU527">
        <v>14</v>
      </c>
    </row>
    <row r="528" spans="1:99">
      <c r="A528" s="411"/>
      <c r="B528" s="411"/>
      <c r="C528" s="411"/>
      <c r="D528" s="411"/>
      <c r="E528" s="411"/>
      <c r="F528" s="411"/>
      <c r="G528" s="411"/>
      <c r="H528" s="411"/>
      <c r="I528" s="555"/>
      <c r="J528" s="555"/>
      <c r="K528" s="555"/>
      <c r="L528" s="555"/>
      <c r="M528" s="555"/>
      <c r="N528" s="555"/>
      <c r="O528" s="555"/>
      <c r="P528" s="555"/>
      <c r="Q528" s="411"/>
      <c r="R528" s="411"/>
      <c r="S528" s="411"/>
      <c r="T528" s="411"/>
      <c r="U528" s="411"/>
      <c r="V528" s="411"/>
      <c r="W528" s="411"/>
      <c r="X528" s="411"/>
      <c r="Y528" s="555"/>
      <c r="Z528" s="555"/>
      <c r="AA528" s="555"/>
      <c r="AB528" s="555"/>
      <c r="AC528" s="555"/>
      <c r="AD528" s="555"/>
      <c r="AE528" s="555"/>
      <c r="AF528" s="555"/>
      <c r="BM528" s="1"/>
      <c r="BN528" s="92"/>
      <c r="CU528">
        <v>14</v>
      </c>
    </row>
    <row r="529" spans="33:99">
      <c r="BM529" s="1"/>
      <c r="BN529" s="92"/>
      <c r="CT529">
        <v>1</v>
      </c>
      <c r="CU529">
        <v>14</v>
      </c>
    </row>
    <row r="530" spans="33:99">
      <c r="BM530" s="1"/>
      <c r="BN530" s="52"/>
      <c r="CT530">
        <v>2</v>
      </c>
      <c r="CU530">
        <v>14</v>
      </c>
    </row>
    <row r="531" spans="33:99">
      <c r="BM531" s="1"/>
      <c r="BN531" s="52"/>
      <c r="CT531">
        <v>2</v>
      </c>
      <c r="CU531">
        <v>14</v>
      </c>
    </row>
    <row r="532" spans="33:99">
      <c r="AG532" s="552"/>
      <c r="AH532" s="452"/>
      <c r="AI532" s="452"/>
      <c r="AJ532" s="452"/>
      <c r="AK532" s="452"/>
      <c r="AL532" s="452"/>
      <c r="AM532" s="552"/>
      <c r="AN532" s="452"/>
      <c r="AO532" s="452"/>
      <c r="AP532" s="452"/>
      <c r="AQ532" s="452"/>
      <c r="AR532" s="452"/>
      <c r="AS532" s="452"/>
      <c r="AT532" s="552"/>
      <c r="AU532" s="552"/>
      <c r="AV532" s="552"/>
      <c r="AW532" s="552"/>
      <c r="AX532" s="552"/>
      <c r="AY532" s="552"/>
      <c r="AZ532" s="552"/>
      <c r="BA532" s="452"/>
      <c r="BB532" s="452"/>
      <c r="BC532" s="452"/>
      <c r="BD532" s="452"/>
      <c r="BE532" s="452"/>
      <c r="BF532" s="452"/>
      <c r="BG532" s="452"/>
      <c r="BH532" s="452"/>
      <c r="BI532" s="452"/>
      <c r="BJ532" s="452"/>
      <c r="BK532" s="452"/>
      <c r="BL532" s="452"/>
      <c r="BM532" s="1"/>
      <c r="BN532" s="52"/>
      <c r="CT532">
        <v>2</v>
      </c>
    </row>
    <row r="533" spans="33:99">
      <c r="BM533" s="1"/>
      <c r="BN533" s="52"/>
      <c r="CT533">
        <v>2</v>
      </c>
      <c r="CU533">
        <v>8</v>
      </c>
    </row>
    <row r="534" spans="33:99">
      <c r="BM534" s="1"/>
      <c r="BN534" s="52"/>
      <c r="CT534">
        <v>2</v>
      </c>
      <c r="CU534">
        <v>8</v>
      </c>
    </row>
    <row r="535" spans="33:99">
      <c r="BM535" s="1"/>
      <c r="BN535" s="52"/>
      <c r="CT535">
        <v>2</v>
      </c>
      <c r="CU535">
        <v>8</v>
      </c>
    </row>
    <row r="536" spans="33:99">
      <c r="BM536" s="1"/>
      <c r="BN536" s="52"/>
      <c r="CT536">
        <v>8</v>
      </c>
      <c r="CU536">
        <v>8</v>
      </c>
    </row>
    <row r="537" spans="33:99">
      <c r="BM537" s="1"/>
      <c r="BN537" s="52"/>
      <c r="CT537">
        <v>9</v>
      </c>
      <c r="CU537">
        <v>8</v>
      </c>
    </row>
    <row r="538" spans="33:99">
      <c r="BM538" s="1"/>
      <c r="BN538" s="52"/>
      <c r="CT538">
        <v>10</v>
      </c>
      <c r="CU538">
        <v>8</v>
      </c>
    </row>
    <row r="539" spans="33:99">
      <c r="BM539" s="1"/>
      <c r="BN539" s="52"/>
      <c r="CT539">
        <v>10</v>
      </c>
      <c r="CU539">
        <v>8</v>
      </c>
    </row>
    <row r="540" spans="33:99">
      <c r="BM540" s="1"/>
      <c r="BN540" s="52"/>
      <c r="CT540">
        <v>10</v>
      </c>
      <c r="CU540">
        <v>2</v>
      </c>
    </row>
    <row r="541" spans="33:99">
      <c r="BM541" s="1"/>
      <c r="BN541" s="52"/>
      <c r="CT541">
        <v>10</v>
      </c>
      <c r="CU541">
        <v>2</v>
      </c>
    </row>
    <row r="542" spans="33:99">
      <c r="BM542" s="1"/>
      <c r="BN542" s="52"/>
      <c r="CT542">
        <v>10</v>
      </c>
      <c r="CU542">
        <v>2</v>
      </c>
    </row>
    <row r="543" spans="33:99">
      <c r="BM543" s="1"/>
      <c r="BN543" s="52"/>
      <c r="CT543">
        <v>10</v>
      </c>
      <c r="CU543">
        <v>2</v>
      </c>
    </row>
    <row r="544" spans="33:99">
      <c r="AG544" s="452"/>
      <c r="AH544" s="452"/>
      <c r="AI544" s="452"/>
      <c r="AJ544" s="452"/>
      <c r="AK544" s="452"/>
      <c r="AL544" s="452"/>
      <c r="AM544" s="452"/>
      <c r="AN544" s="452"/>
      <c r="AO544" s="452"/>
      <c r="AP544" s="452"/>
      <c r="AQ544" s="452"/>
      <c r="AR544" s="452"/>
      <c r="AS544" s="452"/>
      <c r="AT544" s="452"/>
      <c r="AU544" s="452"/>
      <c r="AV544" s="452"/>
      <c r="AW544" s="452"/>
      <c r="AX544" s="452"/>
      <c r="AY544" s="452"/>
      <c r="AZ544" s="452"/>
      <c r="BA544" s="452"/>
      <c r="BB544" s="452"/>
      <c r="BC544" s="452"/>
      <c r="BD544" s="452"/>
      <c r="BE544" s="452"/>
      <c r="BF544" s="452"/>
      <c r="BG544" s="452"/>
      <c r="BH544" s="452"/>
      <c r="BI544" s="452"/>
      <c r="BJ544" s="452"/>
      <c r="BK544" s="452"/>
      <c r="BL544" s="452"/>
      <c r="BM544" s="176"/>
      <c r="BN544" s="74"/>
      <c r="CT544">
        <v>16</v>
      </c>
    </row>
    <row r="545" spans="1:100">
      <c r="A545" s="310"/>
      <c r="B545" s="305"/>
      <c r="C545" s="305"/>
      <c r="D545" s="305"/>
      <c r="E545" s="305"/>
      <c r="F545" s="305"/>
      <c r="G545" s="310"/>
      <c r="H545" s="305"/>
      <c r="I545" s="305"/>
      <c r="J545" s="305"/>
      <c r="K545" s="305"/>
      <c r="L545" s="305"/>
      <c r="M545" s="310"/>
      <c r="N545" s="305"/>
      <c r="O545" s="305"/>
      <c r="P545" s="305"/>
      <c r="Q545" s="305"/>
      <c r="R545" s="305"/>
      <c r="S545" s="310"/>
      <c r="T545" s="305"/>
      <c r="U545" s="305"/>
      <c r="V545" s="305"/>
      <c r="W545" s="305"/>
      <c r="X545" s="305"/>
      <c r="Y545" s="310"/>
      <c r="Z545" s="305"/>
      <c r="AA545" s="305"/>
      <c r="AB545" s="305"/>
      <c r="AC545" s="305"/>
      <c r="AD545" s="305"/>
      <c r="AE545" s="305"/>
      <c r="AF545" s="305"/>
      <c r="AG545" s="310"/>
      <c r="AH545" s="314"/>
      <c r="AI545" s="555"/>
      <c r="AJ545" s="555"/>
      <c r="AK545" s="555"/>
      <c r="AL545" s="555"/>
      <c r="AM545" s="314"/>
      <c r="AN545" s="314"/>
      <c r="AO545" s="314"/>
      <c r="AP545" s="314"/>
      <c r="AQ545" s="555"/>
      <c r="AR545" s="555"/>
      <c r="AS545" s="297"/>
      <c r="AT545" s="555"/>
      <c r="AU545" s="314"/>
      <c r="AV545" s="314"/>
      <c r="AW545" s="314"/>
      <c r="AX545" s="310"/>
      <c r="AY545" s="555"/>
      <c r="AZ545" s="297"/>
      <c r="BA545" s="555"/>
      <c r="BB545" s="555"/>
      <c r="BC545" s="314"/>
      <c r="BD545" s="314"/>
      <c r="BE545" s="314"/>
      <c r="BF545" s="314"/>
      <c r="BG545" s="555"/>
      <c r="BH545" s="555"/>
      <c r="BI545" s="555"/>
      <c r="BJ545" s="555"/>
      <c r="BK545" s="310"/>
      <c r="BL545" s="314"/>
      <c r="BM545" s="297">
        <v>18</v>
      </c>
      <c r="BN545" s="411"/>
      <c r="BO545" s="411"/>
      <c r="BP545" s="411"/>
      <c r="BQ545" s="411"/>
      <c r="BR545" s="411"/>
      <c r="BS545" s="411"/>
      <c r="BT545" s="189"/>
      <c r="BU545" s="411"/>
      <c r="BV545" s="411"/>
      <c r="BW545" s="411"/>
      <c r="BX545" s="411"/>
      <c r="BY545" s="411"/>
      <c r="BZ545" s="411"/>
      <c r="CA545" s="411"/>
      <c r="CB545" s="411"/>
      <c r="CC545" s="411"/>
      <c r="CD545" s="411"/>
      <c r="CE545" s="411"/>
      <c r="CF545" s="411"/>
      <c r="CG545" s="411"/>
      <c r="CH545" s="411"/>
      <c r="CI545" s="411"/>
      <c r="CJ545" s="411"/>
      <c r="CK545" s="411"/>
      <c r="CL545" s="411"/>
      <c r="CM545" s="411"/>
      <c r="CN545" s="411"/>
      <c r="CO545" s="411"/>
      <c r="CP545" s="411"/>
      <c r="CQ545" s="411"/>
      <c r="CR545" s="411"/>
      <c r="CS545" s="411"/>
    </row>
    <row r="546" spans="1:100">
      <c r="A546" s="200"/>
      <c r="B546" s="411"/>
      <c r="C546" s="297"/>
      <c r="D546" s="297"/>
      <c r="E546" s="297"/>
      <c r="F546" s="297"/>
      <c r="G546" s="293"/>
      <c r="H546" s="411"/>
      <c r="I546" s="297"/>
      <c r="J546" s="297"/>
      <c r="K546" s="297"/>
      <c r="L546" s="297"/>
      <c r="M546" s="293"/>
      <c r="N546" s="411"/>
      <c r="O546" s="297"/>
      <c r="P546" s="297"/>
      <c r="Q546" s="297"/>
      <c r="R546" s="297"/>
      <c r="S546" s="293"/>
      <c r="T546" s="411"/>
      <c r="U546" s="297"/>
      <c r="V546" s="297"/>
      <c r="W546" s="297"/>
      <c r="X546" s="297"/>
      <c r="Y546" s="293"/>
      <c r="Z546" s="411"/>
      <c r="AA546" s="297"/>
      <c r="AB546" s="297"/>
      <c r="AC546" s="297"/>
      <c r="AD546" s="297"/>
      <c r="AE546" s="297"/>
      <c r="AF546" s="305"/>
      <c r="AG546" s="314"/>
      <c r="AH546" s="314"/>
      <c r="AI546" s="314"/>
      <c r="AJ546" s="555"/>
      <c r="AK546" s="555"/>
      <c r="AL546" s="555"/>
      <c r="AM546" s="555"/>
      <c r="AN546" s="310"/>
      <c r="AO546" s="314"/>
      <c r="AP546" s="314"/>
      <c r="AQ546" s="314"/>
      <c r="AR546" s="555"/>
      <c r="AS546" s="555"/>
      <c r="AT546" s="555"/>
      <c r="AU546" s="555"/>
      <c r="AV546" s="314"/>
      <c r="AW546" s="314"/>
      <c r="AX546" s="314"/>
      <c r="AY546" s="314"/>
      <c r="AZ546" s="555"/>
      <c r="BA546" s="555"/>
      <c r="BB546" s="555"/>
      <c r="BC546" s="555"/>
      <c r="BD546" s="314"/>
      <c r="BE546" s="310"/>
      <c r="BF546" s="314"/>
      <c r="BG546" s="314"/>
      <c r="BH546" s="555"/>
      <c r="BI546" s="555"/>
      <c r="BJ546" s="297"/>
      <c r="BK546" s="555"/>
      <c r="BL546" s="314"/>
      <c r="BM546" s="411"/>
      <c r="BN546" s="411"/>
      <c r="BO546" s="411"/>
      <c r="BP546" s="411"/>
      <c r="BQ546" s="411"/>
      <c r="BR546" s="411"/>
      <c r="BS546" s="411"/>
      <c r="BT546" s="411"/>
      <c r="BU546" s="411"/>
      <c r="BV546" s="411"/>
      <c r="BW546" s="411"/>
      <c r="BX546" s="411"/>
      <c r="BY546" s="411"/>
      <c r="BZ546" s="411"/>
      <c r="CA546" s="411"/>
      <c r="CB546" s="411"/>
      <c r="CC546" s="411"/>
      <c r="CD546" s="411"/>
      <c r="CE546" s="411"/>
      <c r="CF546" s="411"/>
      <c r="CG546" s="411"/>
      <c r="CH546" s="411"/>
      <c r="CI546" s="411"/>
      <c r="CJ546" s="411"/>
      <c r="CK546" s="411"/>
      <c r="CL546" s="411"/>
      <c r="CM546" s="411"/>
      <c r="CN546" s="411"/>
      <c r="CO546" s="411"/>
      <c r="CP546" s="411"/>
      <c r="CQ546" s="411"/>
      <c r="CR546" s="297"/>
      <c r="CS546" s="411"/>
    </row>
    <row r="547" spans="1:100">
      <c r="A547" s="305"/>
      <c r="B547" s="293"/>
      <c r="C547" s="411"/>
      <c r="D547" s="297"/>
      <c r="E547" s="297"/>
      <c r="F547" s="297"/>
      <c r="G547" s="297"/>
      <c r="H547" s="293"/>
      <c r="I547" s="411"/>
      <c r="J547" s="297"/>
      <c r="K547" s="297"/>
      <c r="L547" s="297"/>
      <c r="M547" s="297"/>
      <c r="N547" s="293"/>
      <c r="O547" s="411"/>
      <c r="P547" s="297"/>
      <c r="Q547" s="297"/>
      <c r="R547" s="297"/>
      <c r="S547" s="297"/>
      <c r="T547" s="293"/>
      <c r="U547" s="411"/>
      <c r="V547" s="297"/>
      <c r="W547" s="297"/>
      <c r="X547" s="297"/>
      <c r="Y547" s="297"/>
      <c r="Z547" s="293"/>
      <c r="AA547" s="411"/>
      <c r="AB547" s="297"/>
      <c r="AC547" s="297"/>
      <c r="AD547" s="297"/>
      <c r="AE547" s="297"/>
      <c r="AF547" s="305"/>
      <c r="AG547" s="314"/>
      <c r="AH547" s="314"/>
      <c r="AI547" s="310"/>
      <c r="AJ547" s="314"/>
      <c r="AK547" s="555"/>
      <c r="AL547" s="297"/>
      <c r="AM547" s="555"/>
      <c r="AN547" s="555"/>
      <c r="AO547" s="314"/>
      <c r="AP547" s="314"/>
      <c r="AQ547" s="310"/>
      <c r="AR547" s="314"/>
      <c r="AS547" s="555"/>
      <c r="AT547" s="555"/>
      <c r="AU547" s="555"/>
      <c r="AV547" s="555"/>
      <c r="AW547" s="314"/>
      <c r="AX547" s="310"/>
      <c r="AY547" s="314"/>
      <c r="AZ547" s="314"/>
      <c r="BA547" s="555"/>
      <c r="BB547" s="555"/>
      <c r="BC547" s="297"/>
      <c r="BD547" s="555"/>
      <c r="BE547" s="314"/>
      <c r="BF547" s="314"/>
      <c r="BG547" s="310"/>
      <c r="BH547" s="314"/>
      <c r="BI547" s="555"/>
      <c r="BJ547" s="555"/>
      <c r="BK547" s="555"/>
      <c r="BL547" s="555"/>
      <c r="BM547" s="359"/>
      <c r="BN547" s="411"/>
      <c r="BO547" s="411"/>
      <c r="BP547" s="411"/>
      <c r="BQ547" s="411"/>
      <c r="BR547" s="411"/>
      <c r="BS547" s="411"/>
      <c r="BT547" s="411"/>
      <c r="BU547" s="411"/>
      <c r="BV547" s="411"/>
      <c r="BW547" s="411"/>
      <c r="BX547" s="411"/>
      <c r="BY547" s="411"/>
      <c r="BZ547" s="411"/>
      <c r="CA547" s="411"/>
      <c r="CB547" s="411"/>
      <c r="CC547" s="411"/>
      <c r="CD547" s="411"/>
      <c r="CE547" s="411"/>
      <c r="CF547" s="411"/>
      <c r="CG547" s="411"/>
      <c r="CH547" s="411"/>
      <c r="CI547" s="411"/>
      <c r="CJ547" s="411"/>
      <c r="CK547" s="411"/>
      <c r="CL547" s="411"/>
      <c r="CM547" s="411"/>
      <c r="CN547" s="411"/>
      <c r="CO547" s="411"/>
      <c r="CP547" s="411"/>
      <c r="CQ547" s="411"/>
      <c r="CR547" s="411"/>
      <c r="CS547" s="411"/>
    </row>
    <row r="548" spans="1:100">
      <c r="A548" s="305"/>
      <c r="B548" s="297"/>
      <c r="C548" s="293"/>
      <c r="D548" s="411"/>
      <c r="E548" s="297"/>
      <c r="F548" s="297"/>
      <c r="G548" s="297"/>
      <c r="H548" s="297"/>
      <c r="I548" s="293"/>
      <c r="J548" s="411"/>
      <c r="K548" s="297"/>
      <c r="L548" s="297"/>
      <c r="M548" s="297"/>
      <c r="N548" s="297"/>
      <c r="O548" s="293"/>
      <c r="P548" s="411"/>
      <c r="Q548" s="297"/>
      <c r="R548" s="297"/>
      <c r="S548" s="297"/>
      <c r="T548" s="297"/>
      <c r="U548" s="293"/>
      <c r="V548" s="411"/>
      <c r="W548" s="297"/>
      <c r="X548" s="297"/>
      <c r="Y548" s="297"/>
      <c r="Z548" s="297"/>
      <c r="AA548" s="293"/>
      <c r="AB548" s="411"/>
      <c r="AC548" s="297"/>
      <c r="AD548" s="297"/>
      <c r="AE548" s="297"/>
      <c r="AF548" s="310"/>
      <c r="AG548" s="411"/>
      <c r="AH548" s="411"/>
      <c r="AI548" s="411"/>
      <c r="AJ548" s="411"/>
      <c r="AK548" s="411"/>
      <c r="AL548" s="411"/>
      <c r="AM548" s="411"/>
      <c r="AN548" s="411"/>
      <c r="AO548" s="411"/>
      <c r="AP548" s="411"/>
      <c r="AQ548" s="411"/>
      <c r="AR548" s="411"/>
      <c r="AS548" s="411"/>
      <c r="AT548" s="411"/>
      <c r="AU548" s="411"/>
      <c r="AV548" s="411"/>
      <c r="AW548" s="411"/>
      <c r="AX548" s="411"/>
      <c r="AY548" s="411"/>
      <c r="AZ548" s="411"/>
      <c r="BA548" s="411"/>
      <c r="BB548" s="411"/>
      <c r="BC548" s="411"/>
      <c r="BD548" s="411"/>
      <c r="BE548" s="411"/>
      <c r="BF548" s="411"/>
      <c r="BG548" s="411"/>
      <c r="BH548" s="411"/>
      <c r="BI548" s="411"/>
      <c r="BJ548" s="411"/>
      <c r="BK548" s="411"/>
      <c r="BL548" s="411"/>
      <c r="BM548" s="1"/>
      <c r="BN548" s="297"/>
      <c r="BO548" s="411"/>
      <c r="BP548" s="411"/>
      <c r="BQ548" s="411"/>
      <c r="BR548" s="411"/>
      <c r="BS548" s="411"/>
      <c r="BT548" s="411"/>
      <c r="BU548" s="411"/>
      <c r="BV548" s="411"/>
      <c r="BW548" s="411"/>
      <c r="BX548" s="297"/>
      <c r="BY548" s="411"/>
      <c r="BZ548" s="411"/>
      <c r="CA548" s="411"/>
      <c r="CB548" s="411"/>
      <c r="CC548" s="411"/>
      <c r="CD548" s="411"/>
      <c r="CE548" s="411"/>
      <c r="CF548" s="189"/>
      <c r="CG548" s="411"/>
      <c r="CH548" s="411"/>
      <c r="CI548" s="411"/>
      <c r="CJ548" s="411"/>
      <c r="CK548" s="297"/>
      <c r="CL548" s="411"/>
      <c r="CM548" s="411"/>
      <c r="CN548" s="411"/>
      <c r="CO548" s="411"/>
      <c r="CP548" s="411"/>
      <c r="CQ548" s="411"/>
      <c r="CR548" s="411"/>
      <c r="CS548" s="411"/>
    </row>
    <row r="549" spans="1:100">
      <c r="A549" s="305"/>
      <c r="B549" s="297"/>
      <c r="C549" s="297"/>
      <c r="D549" s="297"/>
      <c r="E549" s="297"/>
      <c r="F549" s="297"/>
      <c r="G549" s="411"/>
      <c r="H549" s="297"/>
      <c r="I549" s="297"/>
      <c r="J549" s="297"/>
      <c r="K549" s="297"/>
      <c r="L549" s="297"/>
      <c r="M549" s="411"/>
      <c r="N549" s="297"/>
      <c r="O549" s="297"/>
      <c r="P549" s="297"/>
      <c r="Q549" s="297"/>
      <c r="R549" s="297"/>
      <c r="S549" s="411"/>
      <c r="T549" s="297"/>
      <c r="U549" s="297"/>
      <c r="V549" s="297"/>
      <c r="W549" s="297"/>
      <c r="X549" s="297"/>
      <c r="Y549" s="411"/>
      <c r="Z549" s="297"/>
      <c r="AA549" s="297"/>
      <c r="AB549" s="297"/>
      <c r="AC549" s="297"/>
      <c r="AD549" s="297"/>
      <c r="AE549" s="411"/>
      <c r="AF549" s="200"/>
      <c r="AG549" s="411"/>
      <c r="AH549" s="189"/>
      <c r="AI549" s="411"/>
      <c r="AJ549" s="411"/>
      <c r="AK549" s="411"/>
      <c r="AL549" s="411"/>
      <c r="AM549" s="411"/>
      <c r="AN549" s="411"/>
      <c r="AO549" s="411"/>
      <c r="AP549" s="411"/>
      <c r="AQ549" s="411"/>
      <c r="AR549" s="411"/>
      <c r="AS549" s="297"/>
      <c r="AT549" s="411"/>
      <c r="AU549" s="411"/>
      <c r="AV549" s="411"/>
      <c r="AW549" s="411"/>
      <c r="AX549" s="411"/>
      <c r="AY549" s="411"/>
      <c r="AZ549" s="411"/>
      <c r="BA549" s="411"/>
      <c r="BB549" s="411"/>
      <c r="BC549" s="411"/>
      <c r="BD549" s="411"/>
      <c r="BE549" s="411"/>
      <c r="BF549" s="411"/>
      <c r="BG549" s="411"/>
      <c r="BH549" s="411"/>
      <c r="BI549" s="411"/>
      <c r="BJ549" s="411"/>
      <c r="BK549" s="411"/>
      <c r="BL549" s="411"/>
      <c r="BM549" s="1">
        <v>80</v>
      </c>
      <c r="CV549">
        <v>3</v>
      </c>
    </row>
    <row r="550" spans="1:100">
      <c r="A550" s="305"/>
      <c r="B550" s="297"/>
      <c r="C550" s="297"/>
      <c r="D550" s="297"/>
      <c r="E550" s="297"/>
      <c r="F550" s="411"/>
      <c r="G550" s="293"/>
      <c r="H550" s="297"/>
      <c r="I550" s="297"/>
      <c r="J550" s="297"/>
      <c r="K550" s="297"/>
      <c r="L550" s="411"/>
      <c r="M550" s="293"/>
      <c r="N550" s="297"/>
      <c r="O550" s="297"/>
      <c r="P550" s="297"/>
      <c r="Q550" s="297"/>
      <c r="R550" s="411"/>
      <c r="S550" s="293"/>
      <c r="T550" s="297"/>
      <c r="U550" s="297"/>
      <c r="V550" s="297"/>
      <c r="W550" s="297"/>
      <c r="X550" s="411"/>
      <c r="Y550" s="293"/>
      <c r="Z550" s="297"/>
      <c r="AA550" s="297"/>
      <c r="AB550" s="297"/>
      <c r="AC550" s="297"/>
      <c r="AD550" s="411"/>
      <c r="AE550" s="293"/>
      <c r="AF550" s="305"/>
      <c r="BM550" s="1">
        <v>1</v>
      </c>
      <c r="CU550">
        <v>4</v>
      </c>
      <c r="CV550">
        <v>3</v>
      </c>
    </row>
    <row r="551" spans="1:100">
      <c r="A551" s="310"/>
      <c r="B551" s="297"/>
      <c r="C551" s="297"/>
      <c r="D551" s="297"/>
      <c r="E551" s="411"/>
      <c r="F551" s="293"/>
      <c r="G551" s="297"/>
      <c r="H551" s="297"/>
      <c r="I551" s="297"/>
      <c r="J551" s="297"/>
      <c r="K551" s="411"/>
      <c r="L551" s="293"/>
      <c r="M551" s="297"/>
      <c r="N551" s="297"/>
      <c r="O551" s="297"/>
      <c r="P551" s="297"/>
      <c r="Q551" s="411"/>
      <c r="R551" s="293"/>
      <c r="S551" s="297"/>
      <c r="T551" s="297"/>
      <c r="U551" s="297"/>
      <c r="V551" s="297"/>
      <c r="W551" s="411"/>
      <c r="X551" s="293"/>
      <c r="Y551" s="297"/>
      <c r="Z551" s="297"/>
      <c r="AA551" s="297"/>
      <c r="AB551" s="297"/>
      <c r="AC551" s="411"/>
      <c r="AD551" s="293"/>
      <c r="AE551" s="297"/>
      <c r="AF551" s="305"/>
      <c r="AG551" s="411"/>
      <c r="AH551" s="411"/>
      <c r="AI551" s="411"/>
      <c r="AJ551" s="411"/>
      <c r="AK551" s="411"/>
      <c r="AL551" s="411"/>
      <c r="AM551" s="411"/>
      <c r="AN551" s="411"/>
      <c r="AO551" s="411"/>
      <c r="AP551" s="411"/>
      <c r="AQ551" s="411"/>
      <c r="AR551" s="411"/>
      <c r="AS551" s="411"/>
      <c r="AT551" s="411"/>
      <c r="AU551" s="411"/>
      <c r="AV551" s="411"/>
      <c r="AW551" s="411"/>
      <c r="AX551" s="411"/>
      <c r="AY551" s="411"/>
      <c r="AZ551" s="411"/>
      <c r="BA551" s="411"/>
      <c r="BB551" s="411"/>
      <c r="BC551" s="411"/>
      <c r="BD551" s="411"/>
      <c r="BE551" s="189"/>
      <c r="BF551" s="411"/>
      <c r="BG551" s="411"/>
      <c r="BH551" s="411"/>
      <c r="BI551" s="411"/>
      <c r="BJ551" s="411"/>
      <c r="BK551" s="411"/>
      <c r="BL551" s="411"/>
      <c r="BM551" s="1"/>
      <c r="CV551">
        <v>3</v>
      </c>
    </row>
    <row r="552" spans="1:100">
      <c r="A552" s="200"/>
      <c r="B552" s="411"/>
      <c r="C552" s="297"/>
      <c r="D552" s="297"/>
      <c r="E552" s="297"/>
      <c r="F552" s="297"/>
      <c r="G552" s="297"/>
      <c r="H552" s="411"/>
      <c r="I552" s="297"/>
      <c r="J552" s="297"/>
      <c r="K552" s="297"/>
      <c r="L552" s="297"/>
      <c r="M552" s="297"/>
      <c r="N552" s="411"/>
      <c r="O552" s="297"/>
      <c r="P552" s="297"/>
      <c r="Q552" s="297"/>
      <c r="R552" s="297"/>
      <c r="S552" s="297"/>
      <c r="T552" s="411"/>
      <c r="U552" s="297"/>
      <c r="V552" s="297"/>
      <c r="W552" s="297"/>
      <c r="X552" s="297"/>
      <c r="Y552" s="297"/>
      <c r="Z552" s="411"/>
      <c r="AA552" s="297"/>
      <c r="AB552" s="297"/>
      <c r="AC552" s="297"/>
      <c r="AD552" s="297"/>
      <c r="AE552" s="297"/>
      <c r="AF552" s="305"/>
      <c r="AG552" s="411"/>
      <c r="AH552" s="411"/>
      <c r="AI552" s="411"/>
      <c r="AJ552" s="411"/>
      <c r="AK552" s="411"/>
      <c r="AL552" s="411"/>
      <c r="AM552" s="189"/>
      <c r="AN552" s="411"/>
      <c r="AO552" s="411"/>
      <c r="AP552" s="411"/>
      <c r="AQ552" s="411"/>
      <c r="AR552" s="411"/>
      <c r="AS552" s="411"/>
      <c r="AT552" s="411"/>
      <c r="AU552" s="411"/>
      <c r="AV552" s="411"/>
      <c r="AW552" s="411"/>
      <c r="AX552" s="411"/>
      <c r="AY552" s="411"/>
      <c r="AZ552" s="411"/>
      <c r="BA552" s="411"/>
      <c r="BB552" s="411"/>
      <c r="BC552" s="411"/>
      <c r="BD552" s="411"/>
      <c r="BE552" s="411"/>
      <c r="BF552" s="411"/>
      <c r="BG552" s="411"/>
      <c r="BH552" s="411"/>
      <c r="BI552" s="411"/>
      <c r="BJ552" s="411"/>
      <c r="BK552" s="411"/>
      <c r="BL552" s="411"/>
      <c r="BM552" s="1"/>
      <c r="BN552" s="411"/>
      <c r="BO552" s="189"/>
      <c r="BP552" s="411"/>
      <c r="BQ552" s="411"/>
      <c r="BR552" s="411"/>
      <c r="BS552" s="411"/>
      <c r="BT552" s="411"/>
      <c r="BU552" s="411"/>
      <c r="BV552" s="411"/>
      <c r="BW552" s="411"/>
      <c r="BX552" s="411"/>
      <c r="BY552" s="411"/>
      <c r="BZ552" s="297"/>
      <c r="CA552" s="411"/>
      <c r="CB552" s="411"/>
      <c r="CC552" s="411"/>
      <c r="CD552" s="411"/>
      <c r="CE552" s="411"/>
      <c r="CF552" s="411"/>
      <c r="CG552" s="411"/>
      <c r="CH552" s="411"/>
      <c r="CI552" s="411"/>
      <c r="CJ552" s="411"/>
      <c r="CK552" s="411"/>
      <c r="CL552" s="411"/>
      <c r="CM552" s="411"/>
      <c r="CN552" s="411"/>
      <c r="CO552" s="411"/>
      <c r="CP552" s="411"/>
      <c r="CQ552" s="411"/>
      <c r="CR552" s="411"/>
      <c r="CS552" s="411"/>
    </row>
    <row r="553" spans="1:100">
      <c r="BM553" s="1"/>
      <c r="BN553" s="411"/>
      <c r="BO553" s="411"/>
      <c r="BP553" s="411"/>
      <c r="BQ553" s="411"/>
      <c r="BR553" s="411"/>
      <c r="BS553" s="411"/>
      <c r="BT553" s="411"/>
      <c r="BU553" s="411"/>
      <c r="BV553" s="411"/>
      <c r="BW553" s="411"/>
      <c r="BX553" s="411"/>
      <c r="BY553" s="411"/>
      <c r="BZ553" s="411"/>
      <c r="CA553" s="411"/>
      <c r="CB553" s="411"/>
      <c r="CC553" s="411"/>
      <c r="CD553" s="411"/>
      <c r="CE553" s="411"/>
      <c r="CF553" s="411"/>
      <c r="CG553" s="411"/>
      <c r="CH553" s="411"/>
      <c r="CI553" s="411"/>
      <c r="CJ553" s="411"/>
      <c r="CK553" s="411"/>
      <c r="CL553" s="411"/>
      <c r="CM553" s="411"/>
      <c r="CN553" s="189"/>
      <c r="CO553" s="411"/>
      <c r="CP553" s="411"/>
      <c r="CQ553" s="411"/>
      <c r="CR553" s="411"/>
      <c r="CS553" s="411"/>
      <c r="CT553">
        <v>3</v>
      </c>
      <c r="CU553">
        <v>4</v>
      </c>
    </row>
    <row r="554" spans="1:100">
      <c r="AG554" s="297"/>
      <c r="AH554" s="411"/>
      <c r="AI554" s="411"/>
      <c r="AJ554" s="411"/>
      <c r="AK554" s="411"/>
      <c r="AL554" s="411"/>
      <c r="AM554" s="411"/>
      <c r="AN554" s="411"/>
      <c r="AO554" s="411"/>
      <c r="AP554" s="411"/>
      <c r="AQ554" s="297"/>
      <c r="AR554" s="411"/>
      <c r="AS554" s="411"/>
      <c r="AT554" s="411"/>
      <c r="AU554" s="411"/>
      <c r="AV554" s="411"/>
      <c r="AW554" s="411"/>
      <c r="AX554" s="411"/>
      <c r="AY554" s="189"/>
      <c r="AZ554" s="411"/>
      <c r="BA554" s="411"/>
      <c r="BB554" s="411"/>
      <c r="BC554" s="411"/>
      <c r="BD554" s="297"/>
      <c r="BE554" s="411"/>
      <c r="BF554" s="411"/>
      <c r="BG554" s="411"/>
      <c r="BH554" s="411"/>
      <c r="BI554" s="411"/>
      <c r="BJ554" s="411"/>
      <c r="BK554" s="411"/>
      <c r="BL554" s="411"/>
      <c r="BM554" s="1"/>
      <c r="BN554" s="411"/>
      <c r="BO554" s="411"/>
      <c r="BP554" s="411"/>
      <c r="BQ554" s="411"/>
      <c r="BR554" s="411"/>
      <c r="BS554" s="411"/>
      <c r="BT554" s="189"/>
      <c r="BU554" s="411"/>
      <c r="BV554" s="411"/>
      <c r="BW554" s="411"/>
      <c r="BX554" s="411"/>
      <c r="BY554" s="411"/>
      <c r="BZ554" s="411"/>
      <c r="CA554" s="411"/>
      <c r="CB554" s="411"/>
      <c r="CC554" s="411"/>
      <c r="CD554" s="411"/>
      <c r="CE554" s="411"/>
      <c r="CF554" s="411"/>
      <c r="CG554" s="411"/>
      <c r="CH554" s="411"/>
      <c r="CI554" s="411"/>
      <c r="CJ554" s="411"/>
      <c r="CK554" s="411"/>
      <c r="CL554" s="411"/>
      <c r="CM554" s="411"/>
      <c r="CN554" s="411"/>
      <c r="CO554" s="411"/>
      <c r="CP554" s="411"/>
      <c r="CQ554" s="411"/>
      <c r="CR554" s="411"/>
      <c r="CS554" s="411"/>
      <c r="CT554">
        <v>4</v>
      </c>
    </row>
    <row r="555" spans="1:100">
      <c r="BM555" s="1"/>
      <c r="BN555" s="314"/>
      <c r="BO555" s="314"/>
      <c r="BP555" s="314"/>
      <c r="BQ555" s="555"/>
      <c r="BR555" s="555"/>
      <c r="BS555" s="555"/>
      <c r="BT555" s="555"/>
      <c r="BU555" s="314"/>
      <c r="BV555" s="314"/>
      <c r="BW555" s="314"/>
      <c r="BX555" s="314"/>
      <c r="BY555" s="555"/>
      <c r="BZ555" s="297"/>
      <c r="CA555" s="555"/>
      <c r="CB555" s="555"/>
      <c r="CC555" s="314"/>
      <c r="CD555" s="314"/>
      <c r="CE555" s="314"/>
      <c r="CF555" s="314"/>
      <c r="CG555" s="555"/>
      <c r="CH555" s="555"/>
      <c r="CI555" s="555"/>
      <c r="CJ555" s="555"/>
      <c r="CK555" s="314"/>
      <c r="CL555" s="314"/>
      <c r="CM555" s="314"/>
      <c r="CN555" s="314"/>
      <c r="CO555" s="555"/>
      <c r="CP555" s="555"/>
      <c r="CQ555" s="555"/>
      <c r="CR555" s="555"/>
      <c r="CS555" s="314"/>
      <c r="CT555">
        <v>5</v>
      </c>
      <c r="CU555">
        <v>4</v>
      </c>
    </row>
    <row r="556" spans="1:100">
      <c r="BM556" s="1"/>
      <c r="BN556" s="314"/>
      <c r="BO556" s="310"/>
      <c r="BP556" s="314"/>
      <c r="BQ556" s="314"/>
      <c r="BR556" s="555"/>
      <c r="BS556" s="297"/>
      <c r="BT556" s="555"/>
      <c r="BU556" s="555"/>
      <c r="BV556" s="314"/>
      <c r="BW556" s="310"/>
      <c r="BX556" s="314"/>
      <c r="BY556" s="314"/>
      <c r="BZ556" s="555"/>
      <c r="CA556" s="555"/>
      <c r="CB556" s="555"/>
      <c r="CC556" s="555"/>
      <c r="CD556" s="310"/>
      <c r="CE556" s="314"/>
      <c r="CF556" s="314"/>
      <c r="CG556" s="314"/>
      <c r="CH556" s="555"/>
      <c r="CI556" s="555"/>
      <c r="CJ556" s="297"/>
      <c r="CK556" s="555"/>
      <c r="CL556" s="314"/>
      <c r="CM556" s="310"/>
      <c r="CN556" s="314"/>
      <c r="CO556" s="314"/>
      <c r="CP556" s="297"/>
      <c r="CQ556" s="555"/>
      <c r="CR556" s="555"/>
      <c r="CS556" s="555"/>
      <c r="CT556">
        <v>6</v>
      </c>
      <c r="CU556">
        <v>4</v>
      </c>
    </row>
    <row r="557" spans="1:100">
      <c r="BM557" s="1"/>
      <c r="BN557" s="555"/>
      <c r="BO557" s="314"/>
      <c r="BP557" s="314"/>
      <c r="BQ557" s="314"/>
      <c r="BR557" s="314"/>
      <c r="BS557" s="555"/>
      <c r="BT557" s="293"/>
      <c r="BU557" s="555"/>
      <c r="BV557" s="555"/>
      <c r="BW557" s="314"/>
      <c r="BX557" s="314"/>
      <c r="BY557" s="314"/>
      <c r="BZ557" s="314"/>
      <c r="CA557" s="555"/>
      <c r="CB557" s="555"/>
      <c r="CC557" s="297"/>
      <c r="CD557" s="555"/>
      <c r="CE557" s="314"/>
      <c r="CF557" s="314"/>
      <c r="CG557" s="314"/>
      <c r="CH557" s="310"/>
      <c r="CI557" s="555"/>
      <c r="CJ557" s="555"/>
      <c r="CK557" s="555"/>
      <c r="CL557" s="555"/>
      <c r="CM557" s="314"/>
      <c r="CN557" s="314"/>
      <c r="CO557" s="314"/>
      <c r="CP557" s="314"/>
      <c r="CQ557" s="555"/>
      <c r="CR557" s="555"/>
      <c r="CS557" s="555"/>
      <c r="CT557">
        <v>7</v>
      </c>
      <c r="CU557">
        <v>4</v>
      </c>
    </row>
    <row r="558" spans="1:100">
      <c r="BM558" s="1"/>
      <c r="BN558" s="584"/>
      <c r="BO558" s="584"/>
      <c r="BP558" s="584"/>
      <c r="BQ558" s="584"/>
      <c r="BR558" s="584"/>
      <c r="BS558" s="584"/>
      <c r="BT558" s="584"/>
      <c r="BU558" s="584"/>
      <c r="BV558" s="584"/>
      <c r="BW558" s="584"/>
      <c r="BX558" s="584"/>
      <c r="BY558" s="584"/>
      <c r="BZ558" s="584"/>
      <c r="CA558" s="584"/>
      <c r="CB558" s="584"/>
      <c r="CC558" s="584"/>
      <c r="CD558" s="584"/>
      <c r="CE558" s="584"/>
      <c r="CF558" s="584"/>
      <c r="CG558" s="584"/>
      <c r="CH558" s="584"/>
      <c r="CI558" s="584"/>
      <c r="CJ558" s="584"/>
      <c r="CK558" s="584"/>
      <c r="CL558" s="584"/>
      <c r="CM558" s="584"/>
      <c r="CN558" s="584"/>
      <c r="CO558" s="584"/>
      <c r="CP558" s="584"/>
      <c r="CQ558" s="584"/>
      <c r="CR558" s="584"/>
      <c r="CS558" s="584"/>
      <c r="CT558">
        <v>8</v>
      </c>
      <c r="CU558">
        <v>4</v>
      </c>
    </row>
    <row r="559" spans="1:100">
      <c r="AG559" s="411"/>
      <c r="AH559" s="411"/>
      <c r="AI559" s="411"/>
      <c r="AJ559" s="411"/>
      <c r="AK559" s="411"/>
      <c r="AL559" s="411"/>
      <c r="AM559" s="297"/>
      <c r="AN559" s="411"/>
      <c r="AO559" s="411"/>
      <c r="AP559" s="411"/>
      <c r="AQ559" s="411"/>
      <c r="AR559" s="411"/>
      <c r="AS559" s="411"/>
      <c r="AT559" s="411"/>
      <c r="AU559" s="411"/>
      <c r="AV559" s="411"/>
      <c r="AW559" s="411"/>
      <c r="AX559" s="297"/>
      <c r="AY559" s="411"/>
      <c r="AZ559" s="411"/>
      <c r="BA559" s="411"/>
      <c r="BB559" s="411"/>
      <c r="BC559" s="411"/>
      <c r="BD559" s="411"/>
      <c r="BE559" s="411"/>
      <c r="BF559" s="411"/>
      <c r="BG559" s="411"/>
      <c r="BH559" s="411"/>
      <c r="BI559" s="411"/>
      <c r="BJ559" s="411"/>
      <c r="BK559" s="411"/>
      <c r="BL559" s="411"/>
      <c r="BM559" s="1"/>
      <c r="BN559" s="301"/>
      <c r="BO559" s="297"/>
      <c r="BP559" s="301"/>
      <c r="BQ559" s="297"/>
      <c r="BR559" s="301"/>
      <c r="BS559" s="297"/>
      <c r="BT559" s="301"/>
      <c r="BU559" s="297"/>
      <c r="BV559" s="301"/>
      <c r="BW559" s="297"/>
      <c r="BX559" s="301"/>
      <c r="BY559" s="297"/>
      <c r="BZ559" s="301"/>
      <c r="CA559" s="297"/>
      <c r="CB559" s="301"/>
      <c r="CC559" s="297"/>
      <c r="CD559" s="301"/>
      <c r="CE559" s="297"/>
      <c r="CF559" s="301"/>
      <c r="CG559" s="297"/>
      <c r="CH559" s="301"/>
      <c r="CI559" s="297"/>
      <c r="CJ559" s="301"/>
      <c r="CK559" s="297"/>
      <c r="CL559" s="301"/>
      <c r="CM559" s="297"/>
      <c r="CN559" s="301"/>
      <c r="CO559" s="297"/>
      <c r="CP559" s="301"/>
      <c r="CQ559" s="297"/>
      <c r="CR559" s="301"/>
      <c r="CS559" s="297"/>
      <c r="CT559">
        <v>3</v>
      </c>
    </row>
    <row r="560" spans="1:100">
      <c r="AG560" s="189"/>
      <c r="AH560" s="411"/>
      <c r="AI560" s="411"/>
      <c r="AJ560" s="411"/>
      <c r="AK560" s="411"/>
      <c r="AL560" s="411"/>
      <c r="AM560" s="411"/>
      <c r="AN560" s="411"/>
      <c r="AO560" s="411"/>
      <c r="AP560" s="411"/>
      <c r="AQ560" s="411"/>
      <c r="AR560" s="411"/>
      <c r="AS560" s="411"/>
      <c r="AT560" s="411"/>
      <c r="AU560" s="411"/>
      <c r="AV560" s="411"/>
      <c r="AW560" s="411"/>
      <c r="AX560" s="411"/>
      <c r="AY560" s="411"/>
      <c r="AZ560" s="411"/>
      <c r="BA560" s="411"/>
      <c r="BB560" s="411"/>
      <c r="BC560" s="411"/>
      <c r="BD560" s="411"/>
      <c r="BE560" s="411"/>
      <c r="BF560" s="411"/>
      <c r="BG560" s="411"/>
      <c r="BH560" s="189"/>
      <c r="BI560" s="411"/>
      <c r="BJ560" s="411"/>
      <c r="BK560" s="411"/>
      <c r="BL560" s="411"/>
      <c r="BM560" s="1"/>
      <c r="BN560" s="161"/>
      <c r="BO560" s="161"/>
      <c r="BP560" s="161"/>
      <c r="BQ560" s="161"/>
      <c r="BR560" s="161"/>
      <c r="BS560" s="161"/>
      <c r="BT560" s="161"/>
      <c r="BU560" s="161"/>
      <c r="BV560" s="161"/>
      <c r="BW560" s="161"/>
      <c r="BX560" s="161"/>
      <c r="BY560" s="161"/>
      <c r="BZ560" s="161"/>
      <c r="CA560" s="161"/>
      <c r="CB560" s="161"/>
      <c r="CC560" s="161"/>
      <c r="CD560" s="161"/>
      <c r="CE560" s="161"/>
      <c r="CF560" s="161"/>
      <c r="CG560" s="161"/>
      <c r="CH560" s="161"/>
      <c r="CI560" s="161"/>
      <c r="CJ560" s="161"/>
      <c r="CK560" s="161"/>
      <c r="CL560" s="161"/>
      <c r="CM560" s="161"/>
      <c r="CN560" s="161"/>
      <c r="CO560" s="161"/>
      <c r="CP560" s="161"/>
      <c r="CQ560" s="161"/>
      <c r="CR560" s="161"/>
      <c r="CS560" s="161"/>
      <c r="CT560">
        <v>4</v>
      </c>
    </row>
    <row r="561" spans="1:100">
      <c r="AG561" s="411"/>
      <c r="AH561" s="411"/>
      <c r="AI561" s="411"/>
      <c r="AJ561" s="411"/>
      <c r="AK561" s="411"/>
      <c r="AL561" s="411"/>
      <c r="AM561" s="411"/>
      <c r="AN561" s="411"/>
      <c r="AO561" s="411"/>
      <c r="AP561" s="411"/>
      <c r="AQ561" s="411"/>
      <c r="AR561" s="411"/>
      <c r="AS561" s="189"/>
      <c r="AT561" s="411"/>
      <c r="AU561" s="411"/>
      <c r="AV561" s="411"/>
      <c r="AW561" s="411"/>
      <c r="AX561" s="411"/>
      <c r="AY561" s="411"/>
      <c r="AZ561" s="411"/>
      <c r="BA561" s="411"/>
      <c r="BB561" s="411"/>
      <c r="BC561" s="411"/>
      <c r="BD561" s="411"/>
      <c r="BE561" s="411"/>
      <c r="BF561" s="411"/>
      <c r="BG561" s="411"/>
      <c r="BH561" s="411"/>
      <c r="BI561" s="411"/>
      <c r="BJ561" s="411"/>
      <c r="BK561" s="411"/>
      <c r="BL561" s="411"/>
      <c r="BM561" s="1"/>
      <c r="BN561" s="293"/>
      <c r="BO561" s="293"/>
      <c r="BP561" s="293"/>
      <c r="BQ561" s="293"/>
      <c r="BR561" s="293"/>
      <c r="BS561" s="293"/>
      <c r="BT561" s="293"/>
      <c r="BU561" s="293"/>
      <c r="BV561" s="293"/>
      <c r="BW561" s="293"/>
      <c r="BX561" s="293"/>
      <c r="BY561" s="293"/>
      <c r="BZ561" s="293"/>
      <c r="CA561" s="293"/>
      <c r="CB561" s="293"/>
      <c r="CC561" s="293"/>
      <c r="CD561" s="293"/>
      <c r="CE561" s="293"/>
      <c r="CF561" s="293"/>
      <c r="CG561" s="293"/>
      <c r="CH561" s="293"/>
      <c r="CI561" s="293"/>
      <c r="CJ561" s="293"/>
      <c r="CK561" s="293"/>
      <c r="CL561" s="293"/>
      <c r="CM561" s="293"/>
      <c r="CN561" s="293"/>
      <c r="CO561" s="293"/>
      <c r="CP561" s="293"/>
      <c r="CQ561" s="293"/>
      <c r="CR561" s="293"/>
      <c r="CS561" s="293"/>
      <c r="CT561">
        <v>5</v>
      </c>
    </row>
    <row r="562" spans="1:100">
      <c r="BM562" s="1"/>
      <c r="CT562">
        <v>6</v>
      </c>
      <c r="CU562">
        <v>4</v>
      </c>
      <c r="CV562">
        <v>15</v>
      </c>
    </row>
    <row r="563" spans="1:100">
      <c r="AG563" s="411"/>
      <c r="AH563" s="411"/>
      <c r="AI563" s="411"/>
      <c r="AJ563" s="411"/>
      <c r="AK563" s="411"/>
      <c r="AL563" s="411"/>
      <c r="AM563" s="411"/>
      <c r="AN563" s="411"/>
      <c r="AO563" s="411"/>
      <c r="AP563" s="411"/>
      <c r="AQ563" s="411"/>
      <c r="AR563" s="411"/>
      <c r="AS563" s="411"/>
      <c r="AT563" s="411"/>
      <c r="AU563" s="411"/>
      <c r="AV563" s="411"/>
      <c r="AW563" s="411"/>
      <c r="AX563" s="411"/>
      <c r="AY563" s="411"/>
      <c r="AZ563" s="411"/>
      <c r="BA563" s="411"/>
      <c r="BB563" s="189"/>
      <c r="BC563" s="411"/>
      <c r="BD563" s="411"/>
      <c r="BE563" s="411"/>
      <c r="BF563" s="411"/>
      <c r="BG563" s="411"/>
      <c r="BH563" s="411"/>
      <c r="BI563" s="411"/>
      <c r="BJ563" s="411"/>
      <c r="BK563" s="411"/>
      <c r="BL563" s="411"/>
      <c r="BM563" s="1"/>
      <c r="CT563">
        <v>7</v>
      </c>
      <c r="CV563">
        <v>14</v>
      </c>
    </row>
    <row r="564" spans="1:100">
      <c r="BM564" s="1"/>
      <c r="CT564">
        <v>8</v>
      </c>
      <c r="CU564">
        <v>4</v>
      </c>
      <c r="CV564">
        <v>11</v>
      </c>
    </row>
    <row r="565" spans="1:100">
      <c r="BM565" s="1"/>
      <c r="CT565">
        <v>3</v>
      </c>
      <c r="CU565">
        <v>4</v>
      </c>
      <c r="CV565">
        <v>12</v>
      </c>
    </row>
    <row r="566" spans="1:100">
      <c r="AG566" s="411"/>
      <c r="AH566" s="411"/>
      <c r="AI566" s="411"/>
      <c r="AJ566" s="411"/>
      <c r="AK566" s="411"/>
      <c r="AL566" s="411"/>
      <c r="AM566" s="411"/>
      <c r="AN566" s="411"/>
      <c r="AO566" s="411"/>
      <c r="AP566" s="411"/>
      <c r="AQ566" s="411"/>
      <c r="AR566" s="411"/>
      <c r="AS566" s="411"/>
      <c r="AT566" s="411"/>
      <c r="AU566" s="411"/>
      <c r="AV566" s="297"/>
      <c r="AW566" s="411"/>
      <c r="AX566" s="411"/>
      <c r="AY566" s="411"/>
      <c r="AZ566" s="411"/>
      <c r="BA566" s="411"/>
      <c r="BB566" s="411"/>
      <c r="BC566" s="411"/>
      <c r="BD566" s="411"/>
      <c r="BE566" s="411"/>
      <c r="BF566" s="411"/>
      <c r="BG566" s="411"/>
      <c r="BH566" s="411"/>
      <c r="BI566" s="411"/>
      <c r="BJ566" s="411"/>
      <c r="BK566" s="297"/>
      <c r="BL566" s="411"/>
      <c r="BM566" s="1"/>
      <c r="CT566">
        <v>4</v>
      </c>
      <c r="CV566">
        <v>13</v>
      </c>
    </row>
    <row r="567" spans="1:100">
      <c r="AG567" s="411"/>
      <c r="AH567" s="411"/>
      <c r="AI567" s="411"/>
      <c r="AJ567" s="411"/>
      <c r="AK567" s="411"/>
      <c r="AL567" s="189"/>
      <c r="AM567" s="411"/>
      <c r="AN567" s="411"/>
      <c r="AO567" s="411"/>
      <c r="AP567" s="411"/>
      <c r="AQ567" s="411"/>
      <c r="AR567" s="411"/>
      <c r="AS567" s="411"/>
      <c r="AT567" s="411"/>
      <c r="AU567" s="411"/>
      <c r="AV567" s="411"/>
      <c r="AW567" s="411"/>
      <c r="AX567" s="411"/>
      <c r="AY567" s="411"/>
      <c r="AZ567" s="411"/>
      <c r="BA567" s="411"/>
      <c r="BB567" s="411"/>
      <c r="BC567" s="411"/>
      <c r="BD567" s="411"/>
      <c r="BE567" s="411"/>
      <c r="BF567" s="411"/>
      <c r="BG567" s="411"/>
      <c r="BH567" s="411"/>
      <c r="BI567" s="411"/>
      <c r="BJ567" s="411"/>
      <c r="BK567" s="411"/>
      <c r="BL567" s="411"/>
      <c r="BM567" s="1"/>
      <c r="BN567" s="411"/>
      <c r="BO567" s="411"/>
      <c r="BP567" s="411"/>
      <c r="BQ567" s="411"/>
      <c r="BR567" s="411"/>
      <c r="BS567" s="411"/>
      <c r="BT567" s="411"/>
      <c r="BU567" s="411"/>
      <c r="BV567" s="411"/>
      <c r="BW567" s="411"/>
      <c r="BX567" s="411"/>
      <c r="BY567" s="411"/>
      <c r="BZ567" s="411"/>
      <c r="CA567" s="411"/>
      <c r="CB567" s="411"/>
      <c r="CC567" s="411"/>
      <c r="CD567" s="411"/>
      <c r="CE567" s="411"/>
      <c r="CF567" s="411"/>
      <c r="CG567" s="411"/>
      <c r="CH567" s="411"/>
      <c r="CI567" s="189"/>
      <c r="CJ567" s="411"/>
      <c r="CK567" s="411"/>
      <c r="CL567" s="411"/>
      <c r="CM567" s="411"/>
      <c r="CN567" s="411"/>
      <c r="CO567" s="411"/>
      <c r="CP567" s="411"/>
      <c r="CQ567" s="411"/>
      <c r="CR567" s="411"/>
      <c r="CS567" s="411"/>
      <c r="CT567">
        <v>5</v>
      </c>
    </row>
    <row r="568" spans="1:100">
      <c r="BM568" s="1"/>
      <c r="BN568" s="411"/>
      <c r="BO568" s="411"/>
      <c r="BP568" s="411"/>
      <c r="BQ568" s="411"/>
      <c r="BR568" s="411"/>
      <c r="BS568" s="411"/>
      <c r="BT568" s="411"/>
      <c r="BU568" s="411"/>
      <c r="BV568" s="411"/>
      <c r="BW568" s="411"/>
      <c r="BX568" s="411"/>
      <c r="BY568" s="411"/>
      <c r="BZ568" s="411"/>
      <c r="CA568" s="411"/>
      <c r="CB568" s="411"/>
      <c r="CC568" s="297"/>
      <c r="CD568" s="411"/>
      <c r="CE568" s="411"/>
      <c r="CF568" s="411"/>
      <c r="CG568" s="411"/>
      <c r="CH568" s="411"/>
      <c r="CI568" s="411"/>
      <c r="CJ568" s="411"/>
      <c r="CK568" s="411"/>
      <c r="CL568" s="411"/>
      <c r="CM568" s="411"/>
      <c r="CN568" s="411"/>
      <c r="CO568" s="411"/>
      <c r="CP568" s="411"/>
      <c r="CQ568" s="411"/>
      <c r="CR568" s="297"/>
      <c r="CS568" s="411"/>
      <c r="CT568">
        <v>6</v>
      </c>
      <c r="CU568">
        <v>4</v>
      </c>
    </row>
    <row r="569" spans="1:100">
      <c r="AG569" s="411"/>
      <c r="AH569" s="411"/>
      <c r="AI569" s="411"/>
      <c r="AJ569" s="411"/>
      <c r="AK569" s="411"/>
      <c r="AL569" s="411"/>
      <c r="AM569" s="411"/>
      <c r="AN569" s="411"/>
      <c r="AO569" s="411"/>
      <c r="AP569" s="411"/>
      <c r="AQ569" s="411"/>
      <c r="AR569" s="411"/>
      <c r="AS569" s="411"/>
      <c r="AT569" s="411"/>
      <c r="AU569" s="411"/>
      <c r="AV569" s="411"/>
      <c r="AW569" s="411"/>
      <c r="AX569" s="411"/>
      <c r="AY569" s="411"/>
      <c r="AZ569" s="411"/>
      <c r="BA569" s="411"/>
      <c r="BB569" s="411"/>
      <c r="BC569" s="297"/>
      <c r="BD569" s="411"/>
      <c r="BE569" s="411"/>
      <c r="BF569" s="411"/>
      <c r="BG569" s="411"/>
      <c r="BH569" s="411"/>
      <c r="BI569" s="411"/>
      <c r="BJ569" s="411"/>
      <c r="BK569" s="411"/>
      <c r="BL569" s="411"/>
      <c r="BM569" s="1"/>
      <c r="BN569" s="411"/>
      <c r="BO569" s="411"/>
      <c r="BP569" s="411"/>
      <c r="BQ569" s="411"/>
      <c r="BR569" s="411"/>
      <c r="BS569" s="189"/>
      <c r="BT569" s="411"/>
      <c r="BU569" s="411"/>
      <c r="BV569" s="411"/>
      <c r="BW569" s="411"/>
      <c r="BX569" s="411"/>
      <c r="BY569" s="411"/>
      <c r="BZ569" s="411"/>
      <c r="CA569" s="411"/>
      <c r="CB569" s="411"/>
      <c r="CC569" s="411"/>
      <c r="CD569" s="411"/>
      <c r="CE569" s="411"/>
      <c r="CF569" s="411"/>
      <c r="CG569" s="411"/>
      <c r="CH569" s="411"/>
      <c r="CI569" s="411"/>
      <c r="CJ569" s="411"/>
      <c r="CK569" s="411"/>
      <c r="CL569" s="411"/>
      <c r="CM569" s="411"/>
      <c r="CN569" s="411"/>
      <c r="CO569" s="411"/>
      <c r="CP569" s="411"/>
      <c r="CQ569" s="411"/>
      <c r="CR569" s="411"/>
      <c r="CS569" s="411"/>
      <c r="CT569">
        <v>7</v>
      </c>
    </row>
    <row r="570" spans="1:100">
      <c r="AG570" s="297"/>
      <c r="AH570" s="411"/>
      <c r="AI570" s="411"/>
      <c r="AJ570" s="411"/>
      <c r="AK570" s="411"/>
      <c r="AL570" s="411"/>
      <c r="AM570" s="411"/>
      <c r="AN570" s="411"/>
      <c r="AO570" s="411"/>
      <c r="AP570" s="411"/>
      <c r="AQ570" s="297"/>
      <c r="AR570" s="411"/>
      <c r="AS570" s="411"/>
      <c r="AT570" s="411"/>
      <c r="AU570" s="411"/>
      <c r="AV570" s="411"/>
      <c r="AW570" s="411"/>
      <c r="AX570" s="411"/>
      <c r="AY570" s="411"/>
      <c r="AZ570" s="411"/>
      <c r="BA570" s="411"/>
      <c r="BB570" s="411"/>
      <c r="BC570" s="411"/>
      <c r="BD570" s="411"/>
      <c r="BE570" s="411"/>
      <c r="BF570" s="411"/>
      <c r="BG570" s="411"/>
      <c r="BH570" s="411"/>
      <c r="BI570" s="411"/>
      <c r="BJ570" s="411"/>
      <c r="BK570" s="411"/>
      <c r="BL570" s="411"/>
      <c r="BM570" s="1"/>
      <c r="CT570">
        <v>8</v>
      </c>
      <c r="CV570">
        <v>3</v>
      </c>
    </row>
    <row r="571" spans="1:100">
      <c r="AG571" s="411"/>
      <c r="AH571" s="411"/>
      <c r="AI571" s="411"/>
      <c r="AJ571" s="411"/>
      <c r="AK571" s="411"/>
      <c r="AL571" s="411"/>
      <c r="AM571" s="411"/>
      <c r="AN571" s="411"/>
      <c r="AO571" s="411"/>
      <c r="AP571" s="411"/>
      <c r="AQ571" s="411"/>
      <c r="AR571" s="411"/>
      <c r="AS571" s="411"/>
      <c r="AT571" s="411"/>
      <c r="AU571" s="411"/>
      <c r="AV571" s="411"/>
      <c r="AW571" s="189"/>
      <c r="AX571" s="411"/>
      <c r="AY571" s="411"/>
      <c r="AZ571" s="411"/>
      <c r="BA571" s="411"/>
      <c r="BB571" s="411"/>
      <c r="BC571" s="411"/>
      <c r="BD571" s="411"/>
      <c r="BE571" s="411"/>
      <c r="BF571" s="411"/>
      <c r="BG571" s="411"/>
      <c r="BH571" s="411"/>
      <c r="BI571" s="411"/>
      <c r="BJ571" s="411"/>
      <c r="BK571" s="411"/>
      <c r="BL571" s="411"/>
      <c r="BM571" s="1"/>
      <c r="BN571" s="411"/>
      <c r="BO571" s="411"/>
      <c r="BP571" s="411"/>
      <c r="BQ571" s="411"/>
      <c r="BR571" s="411"/>
      <c r="BS571" s="411"/>
      <c r="BT571" s="411"/>
      <c r="BU571" s="411"/>
      <c r="BV571" s="411"/>
      <c r="BW571" s="411"/>
      <c r="BX571" s="411"/>
      <c r="BY571" s="411"/>
      <c r="BZ571" s="411"/>
      <c r="CA571" s="411"/>
      <c r="CB571" s="411"/>
      <c r="CC571" s="411"/>
      <c r="CD571" s="411"/>
      <c r="CE571" s="411"/>
      <c r="CF571" s="411"/>
      <c r="CG571" s="411"/>
      <c r="CH571" s="411"/>
      <c r="CI571" s="411"/>
      <c r="CJ571" s="297"/>
      <c r="CK571" s="411"/>
      <c r="CL571" s="411"/>
      <c r="CM571" s="411"/>
      <c r="CN571" s="411"/>
      <c r="CO571" s="411"/>
      <c r="CP571" s="411"/>
      <c r="CQ571" s="411"/>
      <c r="CR571" s="411"/>
      <c r="CS571" s="411"/>
      <c r="CT571">
        <v>3</v>
      </c>
    </row>
    <row r="572" spans="1:100">
      <c r="AG572" s="411"/>
      <c r="AH572" s="411"/>
      <c r="AI572" s="411"/>
      <c r="AJ572" s="411"/>
      <c r="AK572" s="411"/>
      <c r="AL572" s="411"/>
      <c r="AM572" s="411"/>
      <c r="AN572" s="411"/>
      <c r="AO572" s="411"/>
      <c r="AP572" s="411"/>
      <c r="AQ572" s="411"/>
      <c r="AR572" s="411"/>
      <c r="AS572" s="411"/>
      <c r="AT572" s="411"/>
      <c r="AU572" s="411"/>
      <c r="AV572" s="411"/>
      <c r="AW572" s="411"/>
      <c r="AX572" s="411"/>
      <c r="AY572" s="411"/>
      <c r="AZ572" s="411"/>
      <c r="BA572" s="411"/>
      <c r="BB572" s="411"/>
      <c r="BC572" s="411"/>
      <c r="BD572" s="411"/>
      <c r="BE572" s="411"/>
      <c r="BF572" s="411"/>
      <c r="BG572" s="411"/>
      <c r="BH572" s="411"/>
      <c r="BI572" s="411"/>
      <c r="BJ572" s="189"/>
      <c r="BK572" s="411"/>
      <c r="BL572" s="411"/>
      <c r="BM572" s="1"/>
      <c r="BN572" s="297"/>
      <c r="BO572" s="411"/>
      <c r="BP572" s="411"/>
      <c r="BQ572" s="411"/>
      <c r="BR572" s="411"/>
      <c r="BS572" s="411"/>
      <c r="BT572" s="411"/>
      <c r="BU572" s="411"/>
      <c r="BV572" s="411"/>
      <c r="BW572" s="411"/>
      <c r="BX572" s="297"/>
      <c r="BY572" s="411"/>
      <c r="BZ572" s="411"/>
      <c r="CA572" s="411"/>
      <c r="CB572" s="411"/>
      <c r="CC572" s="411"/>
      <c r="CD572" s="411"/>
      <c r="CE572" s="411"/>
      <c r="CF572" s="411"/>
      <c r="CG572" s="411"/>
      <c r="CH572" s="411"/>
      <c r="CI572" s="411"/>
      <c r="CJ572" s="411"/>
      <c r="CK572" s="411"/>
      <c r="CL572" s="411"/>
      <c r="CM572" s="411"/>
      <c r="CN572" s="411"/>
      <c r="CO572" s="411"/>
      <c r="CP572" s="411"/>
      <c r="CQ572" s="411"/>
      <c r="CR572" s="411"/>
      <c r="CS572" s="411"/>
      <c r="CT572">
        <v>4</v>
      </c>
    </row>
    <row r="573" spans="1:100">
      <c r="BM573" s="1"/>
      <c r="BN573" s="411"/>
      <c r="BO573" s="411"/>
      <c r="BP573" s="411"/>
      <c r="BQ573" s="411"/>
      <c r="BR573" s="411"/>
      <c r="BS573" s="411"/>
      <c r="BT573" s="411"/>
      <c r="BU573" s="411"/>
      <c r="BV573" s="411"/>
      <c r="BW573" s="411"/>
      <c r="BX573" s="411"/>
      <c r="BY573" s="411"/>
      <c r="BZ573" s="411"/>
      <c r="CA573" s="411"/>
      <c r="CB573" s="411"/>
      <c r="CC573" s="411"/>
      <c r="CD573" s="189"/>
      <c r="CE573" s="411"/>
      <c r="CF573" s="411"/>
      <c r="CG573" s="411"/>
      <c r="CH573" s="411"/>
      <c r="CI573" s="411"/>
      <c r="CJ573" s="411"/>
      <c r="CK573" s="411"/>
      <c r="CL573" s="411"/>
      <c r="CM573" s="411"/>
      <c r="CN573" s="411"/>
      <c r="CO573" s="411"/>
      <c r="CP573" s="411"/>
      <c r="CQ573" s="411"/>
      <c r="CR573" s="411"/>
      <c r="CS573" s="411"/>
      <c r="CT573">
        <v>5</v>
      </c>
      <c r="CU573">
        <v>4</v>
      </c>
    </row>
    <row r="574" spans="1:100">
      <c r="AG574" s="555"/>
      <c r="AH574" s="297"/>
      <c r="AI574" s="555"/>
      <c r="AJ574" s="314"/>
      <c r="AK574" s="314"/>
      <c r="AL574" s="314"/>
      <c r="AM574" s="310"/>
      <c r="AN574" s="555"/>
      <c r="AO574" s="297"/>
      <c r="AP574" s="555"/>
      <c r="AQ574" s="555"/>
      <c r="AR574" s="314"/>
      <c r="AS574" s="314"/>
      <c r="AT574" s="314"/>
      <c r="AU574" s="310"/>
      <c r="AV574" s="555"/>
      <c r="AW574" s="555"/>
      <c r="AX574" s="555"/>
      <c r="AY574" s="555"/>
      <c r="AZ574" s="314"/>
      <c r="BA574" s="314"/>
      <c r="BB574" s="314"/>
      <c r="BC574" s="310"/>
      <c r="BD574" s="555"/>
      <c r="BE574" s="555"/>
      <c r="BF574" s="297"/>
      <c r="BG574" s="555"/>
      <c r="BH574" s="310"/>
      <c r="BI574" s="314"/>
      <c r="BJ574" s="314"/>
      <c r="BK574" s="314"/>
      <c r="BL574" s="555"/>
      <c r="BM574" s="1"/>
      <c r="BN574" s="411"/>
      <c r="BO574" s="411"/>
      <c r="BP574" s="411"/>
      <c r="BQ574" s="411"/>
      <c r="BR574" s="411"/>
      <c r="BS574" s="411"/>
      <c r="BT574" s="411"/>
      <c r="BU574" s="411"/>
      <c r="BV574" s="411"/>
      <c r="BW574" s="411"/>
      <c r="BX574" s="411"/>
      <c r="BY574" s="411"/>
      <c r="BZ574" s="411"/>
      <c r="CA574" s="411"/>
      <c r="CB574" s="411"/>
      <c r="CC574" s="411"/>
      <c r="CD574" s="411"/>
      <c r="CE574" s="411"/>
      <c r="CF574" s="411"/>
      <c r="CG574" s="411"/>
      <c r="CH574" s="411"/>
      <c r="CI574" s="411"/>
      <c r="CJ574" s="411"/>
      <c r="CK574" s="411"/>
      <c r="CL574" s="411"/>
      <c r="CM574" s="411"/>
      <c r="CN574" s="411"/>
      <c r="CO574" s="411"/>
      <c r="CP574" s="411"/>
      <c r="CQ574" s="189"/>
      <c r="CR574" s="411"/>
      <c r="CS574" s="411"/>
      <c r="CT574">
        <v>6</v>
      </c>
    </row>
    <row r="575" spans="1:100">
      <c r="A575" s="305"/>
      <c r="B575" s="297"/>
      <c r="C575" s="297"/>
      <c r="D575" s="297"/>
      <c r="E575" s="411"/>
      <c r="F575" s="293"/>
      <c r="G575" s="297"/>
      <c r="H575" s="297"/>
      <c r="I575" s="297"/>
      <c r="J575" s="297"/>
      <c r="K575" s="411"/>
      <c r="L575" s="293"/>
      <c r="M575" s="297"/>
      <c r="N575" s="297"/>
      <c r="O575" s="297"/>
      <c r="P575" s="297"/>
      <c r="Q575" s="411"/>
      <c r="R575" s="293"/>
      <c r="S575" s="297"/>
      <c r="T575" s="297"/>
      <c r="U575" s="297"/>
      <c r="V575" s="297"/>
      <c r="W575" s="411"/>
      <c r="X575" s="293"/>
      <c r="Y575" s="297"/>
      <c r="Z575" s="297"/>
      <c r="AA575" s="297"/>
      <c r="AB575" s="297"/>
      <c r="AC575" s="411"/>
      <c r="AD575" s="293"/>
      <c r="AE575" s="297"/>
      <c r="AF575" s="305"/>
      <c r="AG575" s="555"/>
      <c r="AH575" s="555"/>
      <c r="AI575" s="555"/>
      <c r="AJ575" s="555"/>
      <c r="AK575" s="310"/>
      <c r="AL575" s="314"/>
      <c r="AM575" s="314"/>
      <c r="AN575" s="314"/>
      <c r="AO575" s="555"/>
      <c r="AP575" s="555"/>
      <c r="AQ575" s="297"/>
      <c r="AR575" s="555"/>
      <c r="AS575" s="314"/>
      <c r="AT575" s="314"/>
      <c r="AU575" s="314"/>
      <c r="AV575" s="314"/>
      <c r="AW575" s="555"/>
      <c r="AX575" s="297"/>
      <c r="AY575" s="555"/>
      <c r="AZ575" s="555"/>
      <c r="BA575" s="310"/>
      <c r="BB575" s="314"/>
      <c r="BC575" s="314"/>
      <c r="BD575" s="314"/>
      <c r="BE575" s="555"/>
      <c r="BF575" s="555"/>
      <c r="BG575" s="555"/>
      <c r="BH575" s="555"/>
      <c r="BI575" s="314"/>
      <c r="BJ575" s="314"/>
      <c r="BK575" s="314"/>
      <c r="BL575" s="310"/>
      <c r="BM575" s="1"/>
      <c r="CV575">
        <v>3</v>
      </c>
    </row>
    <row r="576" spans="1:100" ht="13.5" thickBot="1">
      <c r="A576" s="1654"/>
      <c r="B576" s="1654"/>
      <c r="C576" s="1654"/>
      <c r="D576" s="1655"/>
      <c r="E576" s="1656"/>
      <c r="F576" s="1654"/>
      <c r="G576" s="1654"/>
      <c r="H576" s="1654"/>
      <c r="I576" s="1654"/>
      <c r="J576" s="1655"/>
      <c r="K576" s="1656"/>
      <c r="L576" s="1654"/>
      <c r="M576" s="1654"/>
      <c r="N576" s="1654"/>
      <c r="O576" s="1654"/>
      <c r="P576" s="1655"/>
      <c r="Q576" s="1656"/>
      <c r="R576" s="1654"/>
      <c r="S576" s="1654"/>
      <c r="T576" s="1654"/>
      <c r="U576" s="1654"/>
      <c r="V576" s="1655"/>
      <c r="W576" s="1656"/>
      <c r="X576" s="1654"/>
      <c r="Y576" s="1654"/>
      <c r="Z576" s="1654"/>
      <c r="AA576" s="1654"/>
      <c r="AB576" s="1655"/>
      <c r="AC576" s="1656"/>
      <c r="AD576" s="1654"/>
      <c r="AE576" s="1654"/>
      <c r="AF576" s="1654"/>
      <c r="AG576" s="310"/>
      <c r="AH576" s="555"/>
      <c r="AI576" s="297"/>
      <c r="AJ576" s="555"/>
      <c r="AK576" s="555"/>
      <c r="AL576" s="314"/>
      <c r="AM576" s="310"/>
      <c r="AN576" s="314"/>
      <c r="AO576" s="314"/>
      <c r="AP576" s="555"/>
      <c r="AQ576" s="555"/>
      <c r="AR576" s="555"/>
      <c r="AS576" s="555"/>
      <c r="AT576" s="310"/>
      <c r="AU576" s="314"/>
      <c r="AV576" s="314"/>
      <c r="AW576" s="314"/>
      <c r="AX576" s="555"/>
      <c r="AY576" s="555"/>
      <c r="AZ576" s="555"/>
      <c r="BA576" s="555"/>
      <c r="BB576" s="314"/>
      <c r="BC576" s="310"/>
      <c r="BD576" s="314"/>
      <c r="BE576" s="314"/>
      <c r="BF576" s="555"/>
      <c r="BG576" s="297"/>
      <c r="BH576" s="555"/>
      <c r="BI576" s="555"/>
      <c r="BJ576" s="314"/>
      <c r="BK576" s="314"/>
      <c r="BL576" s="314"/>
      <c r="BM576" s="1659"/>
      <c r="BN576" s="1657"/>
      <c r="BO576" s="1657"/>
      <c r="BP576" s="1657"/>
      <c r="BQ576" s="1657"/>
      <c r="BR576" s="1657"/>
      <c r="BS576" s="1658"/>
      <c r="BT576" s="1657"/>
      <c r="BU576" s="1657"/>
      <c r="BV576" s="1657"/>
      <c r="BW576" s="1657"/>
      <c r="BX576" s="1657"/>
      <c r="BY576" s="1657"/>
      <c r="BZ576" s="1657"/>
      <c r="CA576" s="1657"/>
      <c r="CB576" s="1657"/>
      <c r="CC576" s="1657"/>
      <c r="CD576" s="1657"/>
      <c r="CE576" s="1657"/>
      <c r="CF576" s="1657"/>
      <c r="CG576" s="1657"/>
      <c r="CH576" s="1657"/>
      <c r="CI576" s="1657"/>
      <c r="CJ576" s="1657"/>
      <c r="CK576" s="1657"/>
      <c r="CL576" s="1657"/>
      <c r="CM576" s="1657"/>
      <c r="CN576" s="1657"/>
      <c r="CO576" s="1657"/>
      <c r="CP576" s="1657"/>
      <c r="CQ576" s="1657"/>
      <c r="CR576" s="1657"/>
      <c r="CS576" s="1657"/>
    </row>
    <row r="577" spans="1:99" ht="13.5" thickTop="1">
      <c r="A577" s="555"/>
      <c r="B577" s="555"/>
      <c r="C577" s="555"/>
      <c r="D577" s="555"/>
      <c r="E577" s="555"/>
      <c r="F577" s="555"/>
      <c r="G577" s="555"/>
      <c r="H577" s="555"/>
      <c r="I577" s="555"/>
      <c r="J577" s="555"/>
      <c r="K577" s="555"/>
      <c r="L577" s="555"/>
      <c r="M577" s="555"/>
      <c r="N577" s="555"/>
      <c r="O577" s="555"/>
      <c r="P577" s="555"/>
      <c r="Q577" s="555"/>
      <c r="R577" s="555"/>
      <c r="S577" s="555"/>
      <c r="T577" s="555"/>
      <c r="U577" s="555"/>
      <c r="V577" s="555"/>
      <c r="W577" s="555"/>
      <c r="X577" s="555"/>
      <c r="Y577" s="555"/>
      <c r="Z577" s="555"/>
      <c r="AA577" s="555"/>
      <c r="AB577" s="555"/>
      <c r="AC577" s="555"/>
      <c r="AD577" s="555"/>
      <c r="AE577" s="555"/>
      <c r="AF577" s="555"/>
      <c r="AG577" s="583"/>
      <c r="AH577" s="583"/>
      <c r="AI577" s="583"/>
      <c r="AJ577" s="583"/>
      <c r="AK577" s="583"/>
      <c r="AL577" s="583"/>
      <c r="AM577" s="583"/>
      <c r="AN577" s="583"/>
      <c r="AO577" s="583"/>
      <c r="AP577" s="583"/>
      <c r="AQ577" s="583"/>
      <c r="AR577" s="583"/>
      <c r="AS577" s="583"/>
      <c r="AT577" s="583"/>
      <c r="AU577" s="583"/>
      <c r="AV577" s="583"/>
      <c r="AW577" s="583"/>
      <c r="AX577" s="583"/>
      <c r="AY577" s="583"/>
      <c r="AZ577" s="583"/>
      <c r="BA577" s="583"/>
      <c r="BB577" s="583"/>
      <c r="BC577" s="583"/>
      <c r="BD577" s="583"/>
      <c r="BE577" s="583"/>
      <c r="BF577" s="583"/>
      <c r="BG577" s="583"/>
      <c r="BH577" s="583"/>
      <c r="BI577" s="583"/>
      <c r="BJ577" s="583"/>
      <c r="BK577" s="583"/>
      <c r="BL577" s="583"/>
      <c r="BM577" s="301">
        <v>19</v>
      </c>
      <c r="BN577" s="92"/>
    </row>
    <row r="578" spans="1:99">
      <c r="A578" s="583"/>
      <c r="B578" s="421"/>
      <c r="C578" s="322"/>
      <c r="D578" s="322"/>
      <c r="E578" s="322"/>
      <c r="F578" s="322"/>
      <c r="G578" s="322"/>
      <c r="H578" s="322"/>
      <c r="I578" s="322"/>
      <c r="J578" s="322"/>
      <c r="K578" s="322"/>
      <c r="L578" s="322"/>
      <c r="M578" s="322"/>
      <c r="N578" s="322"/>
      <c r="O578" s="322"/>
      <c r="P578" s="322"/>
      <c r="Q578" s="583"/>
      <c r="R578" s="421"/>
      <c r="S578" s="322"/>
      <c r="T578" s="322"/>
      <c r="U578" s="322"/>
      <c r="V578" s="322"/>
      <c r="W578" s="322"/>
      <c r="X578" s="322"/>
      <c r="Y578" s="322"/>
      <c r="Z578" s="322"/>
      <c r="AA578" s="322"/>
      <c r="AB578" s="322"/>
      <c r="AC578" s="322"/>
      <c r="AD578" s="322"/>
      <c r="AE578" s="322"/>
      <c r="AF578" s="322"/>
      <c r="AG578" s="584"/>
      <c r="AH578" s="583"/>
      <c r="AI578" s="322"/>
      <c r="AJ578" s="322"/>
      <c r="AK578" s="322"/>
      <c r="AL578" s="322"/>
      <c r="AM578" s="322"/>
      <c r="AN578" s="322"/>
      <c r="AO578" s="322"/>
      <c r="AP578" s="322"/>
      <c r="AQ578" s="322"/>
      <c r="AR578" s="322"/>
      <c r="AS578" s="322"/>
      <c r="AT578" s="322"/>
      <c r="AU578" s="322"/>
      <c r="AV578" s="322"/>
      <c r="AW578" s="584"/>
      <c r="AX578" s="583"/>
      <c r="AY578" s="322"/>
      <c r="AZ578" s="322"/>
      <c r="BA578" s="322"/>
      <c r="BB578" s="322"/>
      <c r="BC578" s="322"/>
      <c r="BD578" s="322"/>
      <c r="BE578" s="322"/>
      <c r="BF578" s="322"/>
      <c r="BG578" s="322"/>
      <c r="BH578" s="322"/>
      <c r="BI578" s="322"/>
      <c r="BJ578" s="322"/>
      <c r="BK578" s="322"/>
      <c r="BL578" s="585"/>
      <c r="BM578" s="297"/>
      <c r="BN578" s="92"/>
    </row>
    <row r="579" spans="1:99">
      <c r="BM579" s="177"/>
      <c r="BN579" s="92"/>
      <c r="CT579">
        <v>2</v>
      </c>
      <c r="CU579">
        <v>2</v>
      </c>
    </row>
    <row r="580" spans="1:99">
      <c r="BM580" s="177"/>
      <c r="BN580" s="92"/>
      <c r="CT580">
        <v>2</v>
      </c>
      <c r="CU580">
        <v>2</v>
      </c>
    </row>
    <row r="581" spans="1:99">
      <c r="BM581" s="177"/>
      <c r="CT581">
        <v>2</v>
      </c>
      <c r="CU581">
        <v>2</v>
      </c>
    </row>
    <row r="582" spans="1:99">
      <c r="BM582" s="177"/>
      <c r="CT582">
        <v>2</v>
      </c>
      <c r="CU582">
        <v>2</v>
      </c>
    </row>
    <row r="583" spans="1:99">
      <c r="BM583" s="177"/>
      <c r="BN583" s="92"/>
      <c r="CT583">
        <v>2</v>
      </c>
      <c r="CU583">
        <v>2</v>
      </c>
    </row>
    <row r="584" spans="1:99">
      <c r="A584" s="583"/>
      <c r="B584" s="421"/>
      <c r="C584" s="583"/>
      <c r="D584" s="583"/>
      <c r="E584" s="583"/>
      <c r="F584" s="583"/>
      <c r="G584" s="583"/>
      <c r="H584" s="583"/>
      <c r="I584" s="583"/>
      <c r="J584" s="583"/>
      <c r="K584" s="583"/>
      <c r="L584" s="583"/>
      <c r="M584" s="583"/>
      <c r="N584" s="583"/>
      <c r="O584" s="583"/>
      <c r="P584" s="583"/>
      <c r="Q584" s="583"/>
      <c r="R584" s="421"/>
      <c r="S584" s="583"/>
      <c r="T584" s="583"/>
      <c r="U584" s="583"/>
      <c r="V584" s="583"/>
      <c r="W584" s="583"/>
      <c r="X584" s="583"/>
      <c r="Y584" s="583"/>
      <c r="Z584" s="583"/>
      <c r="AA584" s="583"/>
      <c r="AB584" s="583"/>
      <c r="AC584" s="583"/>
      <c r="AD584" s="583"/>
      <c r="AE584" s="583"/>
      <c r="AF584" s="583"/>
      <c r="AG584" s="584"/>
      <c r="AH584" s="583"/>
      <c r="AI584" s="584"/>
      <c r="AJ584" s="584"/>
      <c r="AK584" s="584"/>
      <c r="AL584" s="584"/>
      <c r="AM584" s="584"/>
      <c r="AN584" s="584"/>
      <c r="AO584" s="584"/>
      <c r="AP584" s="584"/>
      <c r="AQ584" s="584"/>
      <c r="AR584" s="584"/>
      <c r="AS584" s="584"/>
      <c r="AT584" s="584"/>
      <c r="AU584" s="584"/>
      <c r="AV584" s="584"/>
      <c r="AW584" s="584"/>
      <c r="AX584" s="583"/>
      <c r="AY584" s="584"/>
      <c r="AZ584" s="584"/>
      <c r="BA584" s="584"/>
      <c r="BB584" s="584"/>
      <c r="BC584" s="584"/>
      <c r="BD584" s="584"/>
      <c r="BE584" s="584"/>
      <c r="BF584" s="584"/>
      <c r="BG584" s="584"/>
      <c r="BH584" s="584"/>
      <c r="BI584" s="584"/>
      <c r="BJ584" s="584"/>
      <c r="BK584" s="584"/>
      <c r="BL584" s="586"/>
      <c r="BM584" s="177"/>
      <c r="BN584" s="92"/>
    </row>
    <row r="585" spans="1:99">
      <c r="BM585" s="177"/>
      <c r="BN585" s="92"/>
      <c r="CT585">
        <v>1</v>
      </c>
      <c r="CU585">
        <v>1</v>
      </c>
    </row>
    <row r="586" spans="1:99">
      <c r="A586" s="322"/>
      <c r="B586" s="322"/>
      <c r="C586" s="322"/>
      <c r="D586" s="322"/>
      <c r="E586" s="322"/>
      <c r="F586" s="322"/>
      <c r="G586" s="322"/>
      <c r="H586" s="322"/>
      <c r="I586" s="555"/>
      <c r="J586" s="557"/>
      <c r="K586" s="322"/>
      <c r="L586" s="322"/>
      <c r="M586" s="322"/>
      <c r="N586" s="322"/>
      <c r="O586" s="322"/>
      <c r="P586" s="322"/>
      <c r="Q586" s="322"/>
      <c r="R586" s="322"/>
      <c r="S586" s="322"/>
      <c r="T586" s="322"/>
      <c r="U586" s="322"/>
      <c r="V586" s="322"/>
      <c r="W586" s="322"/>
      <c r="X586" s="555"/>
      <c r="Y586" s="555"/>
      <c r="Z586" s="322"/>
      <c r="AA586" s="322"/>
      <c r="AB586" s="322"/>
      <c r="AC586" s="322"/>
      <c r="AD586" s="322"/>
      <c r="AE586" s="322"/>
      <c r="AF586" s="322"/>
      <c r="AG586" s="322"/>
      <c r="AH586" s="322"/>
      <c r="AI586" s="322"/>
      <c r="AJ586" s="322"/>
      <c r="AK586" s="322"/>
      <c r="AL586" s="322"/>
      <c r="AM586" s="322"/>
      <c r="AN586" s="322"/>
      <c r="AO586" s="583"/>
      <c r="AP586" s="555"/>
      <c r="AQ586" s="322"/>
      <c r="AR586" s="322"/>
      <c r="AS586" s="322"/>
      <c r="AT586" s="322"/>
      <c r="AU586" s="322"/>
      <c r="AV586" s="322"/>
      <c r="AW586" s="322"/>
      <c r="AX586" s="322"/>
      <c r="AY586" s="322"/>
      <c r="AZ586" s="322"/>
      <c r="BA586" s="322"/>
      <c r="BB586" s="322"/>
      <c r="BC586" s="322"/>
      <c r="BD586" s="322"/>
      <c r="BE586" s="583"/>
      <c r="BF586" s="555"/>
      <c r="BG586" s="322"/>
      <c r="BH586" s="322"/>
      <c r="BI586" s="322"/>
      <c r="BJ586" s="322"/>
      <c r="BK586" s="322"/>
      <c r="BL586" s="585"/>
      <c r="BM586" s="177"/>
      <c r="BN586" s="92"/>
    </row>
    <row r="587" spans="1:99">
      <c r="A587" s="322"/>
      <c r="B587" s="322"/>
      <c r="C587" s="322"/>
      <c r="D587" s="322"/>
      <c r="E587" s="322"/>
      <c r="F587" s="322"/>
      <c r="G587" s="322"/>
      <c r="H587" s="322"/>
      <c r="I587" s="555"/>
      <c r="J587" s="557"/>
      <c r="K587" s="322"/>
      <c r="L587" s="322"/>
      <c r="M587" s="322"/>
      <c r="N587" s="322"/>
      <c r="O587" s="322"/>
      <c r="P587" s="322"/>
      <c r="Q587" s="322"/>
      <c r="R587" s="322"/>
      <c r="S587" s="322"/>
      <c r="T587" s="322"/>
      <c r="U587" s="322"/>
      <c r="V587" s="322"/>
      <c r="W587" s="322"/>
      <c r="X587" s="557"/>
      <c r="Y587" s="555"/>
      <c r="Z587" s="322"/>
      <c r="AA587" s="322"/>
      <c r="AB587" s="322"/>
      <c r="AC587" s="322"/>
      <c r="AD587" s="322"/>
      <c r="AE587" s="322"/>
      <c r="AF587" s="322"/>
      <c r="AG587" s="322"/>
      <c r="AH587" s="322"/>
      <c r="AI587" s="322"/>
      <c r="AJ587" s="322"/>
      <c r="AK587" s="322"/>
      <c r="AL587" s="322"/>
      <c r="AM587" s="322"/>
      <c r="AN587" s="322"/>
      <c r="AO587" s="583"/>
      <c r="AP587" s="555"/>
      <c r="AQ587" s="322"/>
      <c r="AR587" s="322"/>
      <c r="AS587" s="322"/>
      <c r="AT587" s="322"/>
      <c r="AU587" s="322"/>
      <c r="AV587" s="322"/>
      <c r="AW587" s="322"/>
      <c r="AX587" s="322"/>
      <c r="AY587" s="322"/>
      <c r="AZ587" s="322"/>
      <c r="BA587" s="322"/>
      <c r="BB587" s="322"/>
      <c r="BC587" s="322"/>
      <c r="BD587" s="322"/>
      <c r="BE587" s="583"/>
      <c r="BF587" s="555"/>
      <c r="BG587" s="322"/>
      <c r="BH587" s="322"/>
      <c r="BI587" s="322"/>
      <c r="BJ587" s="322"/>
      <c r="BK587" s="322"/>
      <c r="BL587" s="585"/>
      <c r="BM587" s="177"/>
      <c r="BN587" s="92"/>
    </row>
    <row r="588" spans="1:99">
      <c r="BM588" s="177"/>
      <c r="BN588" s="92"/>
      <c r="CT588">
        <v>11</v>
      </c>
      <c r="CU588">
        <v>11</v>
      </c>
    </row>
    <row r="589" spans="1:99">
      <c r="BM589" s="177"/>
      <c r="BN589" s="92"/>
      <c r="CT589">
        <v>11</v>
      </c>
      <c r="CU589">
        <v>11</v>
      </c>
    </row>
    <row r="590" spans="1:99">
      <c r="BM590" s="177"/>
      <c r="BN590" s="92"/>
      <c r="CT590">
        <v>11</v>
      </c>
      <c r="CU590">
        <v>11</v>
      </c>
    </row>
    <row r="591" spans="1:99">
      <c r="BM591" s="177"/>
      <c r="BN591" s="92"/>
      <c r="CT591">
        <v>11</v>
      </c>
      <c r="CU591">
        <v>11</v>
      </c>
    </row>
    <row r="592" spans="1:99">
      <c r="A592" s="583"/>
      <c r="B592" s="583"/>
      <c r="C592" s="583"/>
      <c r="D592" s="583"/>
      <c r="E592" s="583"/>
      <c r="F592" s="583"/>
      <c r="G592" s="583"/>
      <c r="H592" s="583"/>
      <c r="I592" s="583"/>
      <c r="J592" s="583"/>
      <c r="K592" s="583"/>
      <c r="L592" s="583"/>
      <c r="M592" s="583"/>
      <c r="N592" s="583"/>
      <c r="O592" s="583"/>
      <c r="P592" s="583"/>
      <c r="Q592" s="583"/>
      <c r="R592" s="583"/>
      <c r="S592" s="583"/>
      <c r="T592" s="583"/>
      <c r="U592" s="583"/>
      <c r="V592" s="583"/>
      <c r="W592" s="583"/>
      <c r="X592" s="583"/>
      <c r="Y592" s="583"/>
      <c r="Z592" s="583"/>
      <c r="AA592" s="583"/>
      <c r="AB592" s="583"/>
      <c r="AC592" s="583"/>
      <c r="AD592" s="583"/>
      <c r="AE592" s="583"/>
      <c r="AF592" s="583"/>
      <c r="AG592" s="584"/>
      <c r="AH592" s="584"/>
      <c r="AI592" s="584"/>
      <c r="AJ592" s="584"/>
      <c r="AK592" s="584"/>
      <c r="AL592" s="584"/>
      <c r="AM592" s="584"/>
      <c r="AN592" s="584"/>
      <c r="AO592" s="584"/>
      <c r="AP592" s="584"/>
      <c r="AQ592" s="584"/>
      <c r="AR592" s="584"/>
      <c r="AS592" s="584"/>
      <c r="AT592" s="584"/>
      <c r="AU592" s="584"/>
      <c r="AV592" s="584"/>
      <c r="AW592" s="584"/>
      <c r="AX592" s="584"/>
      <c r="AY592" s="584"/>
      <c r="AZ592" s="584"/>
      <c r="BA592" s="584"/>
      <c r="BB592" s="584"/>
      <c r="BC592" s="584"/>
      <c r="BD592" s="584"/>
      <c r="BE592" s="584"/>
      <c r="BF592" s="584"/>
      <c r="BG592" s="584"/>
      <c r="BH592" s="584"/>
      <c r="BI592" s="584"/>
      <c r="BJ592" s="584"/>
      <c r="BK592" s="584"/>
      <c r="BL592" s="586"/>
      <c r="BM592" s="177"/>
      <c r="BN592" s="92"/>
    </row>
    <row r="593" spans="1:99">
      <c r="A593" s="555"/>
      <c r="B593" s="555"/>
      <c r="C593" s="555"/>
      <c r="D593" s="555"/>
      <c r="E593" s="555"/>
      <c r="F593" s="555"/>
      <c r="G593" s="555"/>
      <c r="H593" s="555"/>
      <c r="I593" s="555"/>
      <c r="J593" s="555"/>
      <c r="K593" s="555"/>
      <c r="L593" s="555"/>
      <c r="M593" s="555"/>
      <c r="N593" s="555"/>
      <c r="O593" s="555"/>
      <c r="P593" s="555"/>
      <c r="Q593" s="583"/>
      <c r="R593" s="421"/>
      <c r="S593" s="555"/>
      <c r="T593" s="555"/>
      <c r="U593" s="555"/>
      <c r="V593" s="555"/>
      <c r="W593" s="555"/>
      <c r="X593" s="555"/>
      <c r="Y593" s="555"/>
      <c r="Z593" s="555"/>
      <c r="AA593" s="555"/>
      <c r="AB593" s="555"/>
      <c r="AC593" s="555"/>
      <c r="AD593" s="555"/>
      <c r="AE593" s="555"/>
      <c r="AF593" s="555"/>
      <c r="AG593" s="583"/>
      <c r="AH593" s="583"/>
      <c r="AI593" s="583"/>
      <c r="AJ593" s="583"/>
      <c r="AK593" s="583"/>
      <c r="AL593" s="583"/>
      <c r="AM593" s="583"/>
      <c r="AN593" s="583"/>
      <c r="AO593" s="583"/>
      <c r="AP593" s="583"/>
      <c r="AQ593" s="583"/>
      <c r="AR593" s="583"/>
      <c r="AS593" s="583"/>
      <c r="AT593" s="583"/>
      <c r="AU593" s="583"/>
      <c r="AV593" s="583"/>
      <c r="AW593" s="584"/>
      <c r="AX593" s="583"/>
      <c r="AY593" s="583"/>
      <c r="AZ593" s="583"/>
      <c r="BA593" s="583"/>
      <c r="BB593" s="583"/>
      <c r="BC593" s="583"/>
      <c r="BD593" s="583"/>
      <c r="BE593" s="583"/>
      <c r="BF593" s="583"/>
      <c r="BG593" s="583"/>
      <c r="BH593" s="583"/>
      <c r="BI593" s="583"/>
      <c r="BJ593" s="583"/>
      <c r="BK593" s="583"/>
      <c r="BL593" s="587"/>
      <c r="BM593" s="177"/>
      <c r="BN593" s="92"/>
    </row>
    <row r="594" spans="1:99">
      <c r="A594" s="583"/>
      <c r="B594" s="421"/>
      <c r="C594" s="322"/>
      <c r="D594" s="322"/>
      <c r="E594" s="322"/>
      <c r="F594" s="322"/>
      <c r="G594" s="322"/>
      <c r="H594" s="322"/>
      <c r="I594" s="322"/>
      <c r="J594" s="322"/>
      <c r="K594" s="322"/>
      <c r="L594" s="322"/>
      <c r="M594" s="322"/>
      <c r="N594" s="322"/>
      <c r="O594" s="322"/>
      <c r="P594" s="322"/>
      <c r="Q594" s="583"/>
      <c r="R594" s="421"/>
      <c r="S594" s="322"/>
      <c r="T594" s="322"/>
      <c r="U594" s="322"/>
      <c r="V594" s="322"/>
      <c r="W594" s="322"/>
      <c r="X594" s="322"/>
      <c r="Y594" s="322"/>
      <c r="Z594" s="322"/>
      <c r="AA594" s="322"/>
      <c r="AB594" s="322"/>
      <c r="AC594" s="322"/>
      <c r="AD594" s="322"/>
      <c r="AE594" s="322"/>
      <c r="AF594" s="322"/>
      <c r="AG594" s="584"/>
      <c r="AH594" s="583"/>
      <c r="AI594" s="322"/>
      <c r="AJ594" s="322"/>
      <c r="AK594" s="322"/>
      <c r="AL594" s="322"/>
      <c r="AM594" s="322"/>
      <c r="AN594" s="322"/>
      <c r="AO594" s="322"/>
      <c r="AP594" s="322"/>
      <c r="AQ594" s="322"/>
      <c r="AR594" s="322"/>
      <c r="AS594" s="322"/>
      <c r="AT594" s="322"/>
      <c r="AU594" s="322"/>
      <c r="AV594" s="322"/>
      <c r="AW594" s="584"/>
      <c r="AX594" s="583"/>
      <c r="AY594" s="322"/>
      <c r="AZ594" s="322"/>
      <c r="BA594" s="322"/>
      <c r="BB594" s="322"/>
      <c r="BC594" s="322"/>
      <c r="BD594" s="322"/>
      <c r="BE594" s="322"/>
      <c r="BF594" s="322"/>
      <c r="BG594" s="322"/>
      <c r="BH594" s="322"/>
      <c r="BI594" s="322"/>
      <c r="BJ594" s="322"/>
      <c r="BK594" s="322"/>
      <c r="BL594" s="585"/>
      <c r="BM594" s="177"/>
      <c r="BN594" s="92"/>
    </row>
    <row r="595" spans="1:99">
      <c r="BM595" s="177"/>
      <c r="BN595" s="92"/>
      <c r="CT595">
        <v>18</v>
      </c>
      <c r="CU595">
        <v>18</v>
      </c>
    </row>
    <row r="596" spans="1:99">
      <c r="BM596" s="177"/>
      <c r="BN596" s="92"/>
      <c r="CT596">
        <v>18</v>
      </c>
      <c r="CU596">
        <v>18</v>
      </c>
    </row>
    <row r="597" spans="1:99">
      <c r="BM597" s="177"/>
      <c r="BN597" s="92"/>
      <c r="CT597">
        <v>18</v>
      </c>
      <c r="CU597">
        <v>18</v>
      </c>
    </row>
    <row r="598" spans="1:99">
      <c r="BM598" s="177"/>
      <c r="BN598" s="92"/>
      <c r="CT598">
        <v>18</v>
      </c>
      <c r="CU598">
        <v>18</v>
      </c>
    </row>
    <row r="599" spans="1:99">
      <c r="BM599" s="177"/>
      <c r="BN599" s="92"/>
      <c r="CT599">
        <v>18</v>
      </c>
      <c r="CU599">
        <v>18</v>
      </c>
    </row>
    <row r="600" spans="1:99">
      <c r="A600" s="583"/>
      <c r="B600" s="421"/>
      <c r="C600" s="583"/>
      <c r="D600" s="583"/>
      <c r="E600" s="583"/>
      <c r="F600" s="583"/>
      <c r="G600" s="583"/>
      <c r="H600" s="583"/>
      <c r="I600" s="583"/>
      <c r="J600" s="583"/>
      <c r="K600" s="583"/>
      <c r="L600" s="583"/>
      <c r="M600" s="583"/>
      <c r="N600" s="583"/>
      <c r="O600" s="583"/>
      <c r="P600" s="583"/>
      <c r="Q600" s="583"/>
      <c r="R600" s="421"/>
      <c r="S600" s="583"/>
      <c r="T600" s="583"/>
      <c r="U600" s="583"/>
      <c r="V600" s="583"/>
      <c r="W600" s="583"/>
      <c r="X600" s="583"/>
      <c r="Y600" s="583"/>
      <c r="Z600" s="583"/>
      <c r="AA600" s="583"/>
      <c r="AB600" s="583"/>
      <c r="AC600" s="583"/>
      <c r="AD600" s="583"/>
      <c r="AE600" s="583"/>
      <c r="AF600" s="583"/>
      <c r="AG600" s="584"/>
      <c r="AH600" s="583"/>
      <c r="AI600" s="584"/>
      <c r="AJ600" s="584"/>
      <c r="AK600" s="584"/>
      <c r="AL600" s="584"/>
      <c r="AM600" s="584"/>
      <c r="AN600" s="584"/>
      <c r="AO600" s="584"/>
      <c r="AP600" s="584"/>
      <c r="AQ600" s="584"/>
      <c r="AR600" s="584"/>
      <c r="AS600" s="584"/>
      <c r="AT600" s="584"/>
      <c r="AU600" s="584"/>
      <c r="AV600" s="584"/>
      <c r="AW600" s="584"/>
      <c r="AX600" s="583"/>
      <c r="AY600" s="584"/>
      <c r="AZ600" s="584"/>
      <c r="BA600" s="584"/>
      <c r="BB600" s="584"/>
      <c r="BC600" s="584"/>
      <c r="BD600" s="584"/>
      <c r="BE600" s="584"/>
      <c r="BF600" s="584"/>
      <c r="BG600" s="584"/>
      <c r="BH600" s="584"/>
      <c r="BI600" s="584"/>
      <c r="BJ600" s="584"/>
      <c r="BK600" s="584"/>
      <c r="BL600" s="586"/>
      <c r="BM600" s="177"/>
      <c r="BN600" s="92"/>
    </row>
    <row r="601" spans="1:99">
      <c r="BM601" s="177"/>
      <c r="BN601" s="92"/>
      <c r="CT601">
        <v>1</v>
      </c>
      <c r="CU601">
        <v>1</v>
      </c>
    </row>
    <row r="602" spans="1:99">
      <c r="A602" s="322"/>
      <c r="B602" s="322"/>
      <c r="C602" s="322"/>
      <c r="D602" s="322"/>
      <c r="E602" s="322"/>
      <c r="F602" s="322"/>
      <c r="G602" s="322"/>
      <c r="H602" s="557"/>
      <c r="I602" s="555"/>
      <c r="J602" s="557"/>
      <c r="K602" s="322"/>
      <c r="L602" s="322"/>
      <c r="M602" s="322"/>
      <c r="N602" s="322"/>
      <c r="O602" s="322"/>
      <c r="P602" s="322"/>
      <c r="Q602" s="322"/>
      <c r="R602" s="322"/>
      <c r="S602" s="322"/>
      <c r="T602" s="322"/>
      <c r="U602" s="322"/>
      <c r="V602" s="322"/>
      <c r="W602" s="322"/>
      <c r="X602" s="557"/>
      <c r="Y602" s="555"/>
      <c r="Z602" s="557"/>
      <c r="AA602" s="322"/>
      <c r="AB602" s="322"/>
      <c r="AC602" s="322"/>
      <c r="AD602" s="322"/>
      <c r="AE602" s="322"/>
      <c r="AF602" s="322"/>
      <c r="AG602" s="322"/>
      <c r="AH602" s="322"/>
      <c r="AI602" s="322"/>
      <c r="AJ602" s="322"/>
      <c r="AK602" s="322"/>
      <c r="AL602" s="322"/>
      <c r="AM602" s="322"/>
      <c r="AN602" s="555"/>
      <c r="AO602" s="583"/>
      <c r="AP602" s="421"/>
      <c r="AQ602" s="322"/>
      <c r="AR602" s="322"/>
      <c r="AS602" s="322"/>
      <c r="AT602" s="322"/>
      <c r="AU602" s="322"/>
      <c r="AV602" s="322"/>
      <c r="AW602" s="322"/>
      <c r="AX602" s="322"/>
      <c r="AY602" s="322"/>
      <c r="AZ602" s="322"/>
      <c r="BA602" s="322"/>
      <c r="BB602" s="322"/>
      <c r="BC602" s="322"/>
      <c r="BD602" s="555"/>
      <c r="BE602" s="583"/>
      <c r="BF602" s="421"/>
      <c r="BG602" s="322"/>
      <c r="BH602" s="322"/>
      <c r="BI602" s="322"/>
      <c r="BJ602" s="322"/>
      <c r="BK602" s="322"/>
      <c r="BL602" s="585"/>
      <c r="BM602" s="177"/>
      <c r="BN602" s="92"/>
    </row>
    <row r="603" spans="1:99">
      <c r="BM603" s="177"/>
      <c r="BN603" s="92"/>
      <c r="CT603">
        <v>26</v>
      </c>
      <c r="CU603">
        <v>26</v>
      </c>
    </row>
    <row r="604" spans="1:99">
      <c r="BM604" s="177"/>
      <c r="BN604" s="92"/>
      <c r="CT604">
        <v>26</v>
      </c>
      <c r="CU604">
        <v>26</v>
      </c>
    </row>
    <row r="605" spans="1:99">
      <c r="BM605" s="177"/>
      <c r="BN605" s="92"/>
      <c r="CT605">
        <v>26</v>
      </c>
      <c r="CU605">
        <v>26</v>
      </c>
    </row>
    <row r="606" spans="1:99">
      <c r="BM606" s="177"/>
      <c r="BN606" s="92"/>
      <c r="CT606">
        <v>26</v>
      </c>
      <c r="CU606">
        <v>26</v>
      </c>
    </row>
    <row r="607" spans="1:99">
      <c r="BM607" s="177"/>
      <c r="BN607" s="92"/>
      <c r="CT607">
        <v>26</v>
      </c>
      <c r="CU607">
        <v>26</v>
      </c>
    </row>
    <row r="608" spans="1:99">
      <c r="A608" s="583"/>
      <c r="B608" s="583"/>
      <c r="C608" s="583"/>
      <c r="D608" s="583"/>
      <c r="E608" s="583"/>
      <c r="F608" s="583"/>
      <c r="G608" s="583"/>
      <c r="H608" s="583"/>
      <c r="I608" s="583"/>
      <c r="J608" s="583"/>
      <c r="K608" s="583"/>
      <c r="L608" s="583"/>
      <c r="M608" s="583"/>
      <c r="N608" s="583"/>
      <c r="O608" s="583"/>
      <c r="P608" s="583"/>
      <c r="Q608" s="583"/>
      <c r="R608" s="583"/>
      <c r="S608" s="583"/>
      <c r="T608" s="583"/>
      <c r="U608" s="583"/>
      <c r="V608" s="583"/>
      <c r="W608" s="583"/>
      <c r="X608" s="583"/>
      <c r="Y608" s="583"/>
      <c r="Z608" s="583"/>
      <c r="AA608" s="583"/>
      <c r="AB608" s="583"/>
      <c r="AC608" s="583"/>
      <c r="AD608" s="583"/>
      <c r="AE608" s="583"/>
      <c r="AF608" s="583"/>
      <c r="AG608" s="583"/>
      <c r="AH608" s="583"/>
      <c r="AI608" s="583"/>
      <c r="AJ608" s="583"/>
      <c r="AK608" s="583"/>
      <c r="AL608" s="583"/>
      <c r="AM608" s="583"/>
      <c r="AN608" s="583"/>
      <c r="AO608" s="583"/>
      <c r="AP608" s="583"/>
      <c r="AQ608" s="583"/>
      <c r="AR608" s="583"/>
      <c r="AS608" s="583"/>
      <c r="AT608" s="583"/>
      <c r="AU608" s="583"/>
      <c r="AV608" s="583"/>
      <c r="AW608" s="583"/>
      <c r="AX608" s="583"/>
      <c r="AY608" s="583"/>
      <c r="AZ608" s="583"/>
      <c r="BA608" s="583"/>
      <c r="BB608" s="583"/>
      <c r="BC608" s="583"/>
      <c r="BD608" s="583"/>
      <c r="BE608" s="583"/>
      <c r="BF608" s="583"/>
      <c r="BG608" s="583"/>
      <c r="BH608" s="583"/>
      <c r="BI608" s="583"/>
      <c r="BJ608" s="583"/>
      <c r="BK608" s="583"/>
      <c r="BL608" s="583"/>
      <c r="BM608" s="74"/>
      <c r="BN608" s="103"/>
    </row>
    <row r="609" spans="1:99">
      <c r="A609" s="552"/>
      <c r="B609" s="552"/>
      <c r="C609" s="552"/>
      <c r="D609" s="552"/>
      <c r="E609" s="552"/>
      <c r="F609" s="552"/>
      <c r="G609" s="552"/>
      <c r="H609" s="552"/>
      <c r="I609" s="552"/>
      <c r="J609" s="552"/>
      <c r="K609" s="552"/>
      <c r="L609" s="552"/>
      <c r="M609" s="552"/>
      <c r="N609" s="552"/>
      <c r="O609" s="552"/>
      <c r="P609" s="552"/>
      <c r="Q609" s="552"/>
      <c r="R609" s="552"/>
      <c r="S609" s="552"/>
      <c r="T609" s="552"/>
      <c r="U609" s="552"/>
      <c r="V609" s="552"/>
      <c r="W609" s="552"/>
      <c r="X609" s="552"/>
      <c r="Y609" s="552"/>
      <c r="Z609" s="552"/>
      <c r="AA609" s="552"/>
      <c r="AB609" s="552"/>
      <c r="AC609" s="552"/>
      <c r="AD609" s="552"/>
      <c r="AE609" s="552"/>
      <c r="AF609" s="452"/>
      <c r="AG609" s="552"/>
      <c r="AH609" s="552"/>
      <c r="AI609" s="552"/>
      <c r="AJ609" s="552"/>
      <c r="AK609" s="552"/>
      <c r="AL609" s="552"/>
      <c r="AM609" s="552"/>
      <c r="AN609" s="552"/>
      <c r="AO609" s="552"/>
      <c r="AP609" s="552"/>
      <c r="AQ609" s="552"/>
      <c r="AR609" s="552"/>
      <c r="AS609" s="552"/>
      <c r="AT609" s="552"/>
      <c r="AU609" s="552"/>
      <c r="AV609" s="552"/>
      <c r="AW609" s="552"/>
      <c r="AX609" s="552"/>
      <c r="AY609" s="552"/>
      <c r="AZ609" s="552"/>
      <c r="BA609" s="552"/>
      <c r="BB609" s="552"/>
      <c r="BC609" s="552"/>
      <c r="BD609" s="552"/>
      <c r="BE609" s="552"/>
      <c r="BF609" s="552"/>
      <c r="BG609" s="552"/>
      <c r="BH609" s="552"/>
      <c r="BI609" s="552"/>
      <c r="BJ609" s="552"/>
      <c r="BK609" s="552"/>
      <c r="BL609" s="553"/>
      <c r="BM609" s="189">
        <v>20</v>
      </c>
      <c r="BN609" s="92"/>
    </row>
    <row r="610" spans="1:99">
      <c r="A610" s="552"/>
      <c r="B610" s="322"/>
      <c r="C610" s="322"/>
      <c r="D610" s="322"/>
      <c r="E610" s="322"/>
      <c r="F610" s="322"/>
      <c r="G610" s="322"/>
      <c r="H610" s="322"/>
      <c r="I610" s="322"/>
      <c r="J610" s="322"/>
      <c r="K610" s="322"/>
      <c r="L610" s="322"/>
      <c r="M610" s="322"/>
      <c r="N610" s="322"/>
      <c r="O610" s="322"/>
      <c r="P610" s="322"/>
      <c r="Q610" s="322"/>
      <c r="R610" s="322"/>
      <c r="S610" s="322"/>
      <c r="T610" s="322"/>
      <c r="U610" s="322"/>
      <c r="V610" s="322"/>
      <c r="W610" s="322"/>
      <c r="X610" s="322"/>
      <c r="Y610" s="322"/>
      <c r="Z610" s="322"/>
      <c r="AA610" s="322"/>
      <c r="AB610" s="322"/>
      <c r="AC610" s="322"/>
      <c r="AD610" s="322"/>
      <c r="AE610" s="322"/>
      <c r="AF610" s="439"/>
      <c r="AG610" s="552"/>
      <c r="AH610" s="322"/>
      <c r="AI610" s="322"/>
      <c r="AJ610" s="322"/>
      <c r="AK610" s="322"/>
      <c r="AL610" s="322"/>
      <c r="AM610" s="322"/>
      <c r="AN610" s="322"/>
      <c r="AO610" s="322"/>
      <c r="AP610" s="322"/>
      <c r="AQ610" s="322"/>
      <c r="AR610" s="322"/>
      <c r="AS610" s="322"/>
      <c r="AT610" s="322"/>
      <c r="AU610" s="322"/>
      <c r="AV610" s="322"/>
      <c r="AW610" s="322"/>
      <c r="AX610" s="322"/>
      <c r="AY610" s="322"/>
      <c r="AZ610" s="322"/>
      <c r="BA610" s="322"/>
      <c r="BB610" s="322"/>
      <c r="BC610" s="322"/>
      <c r="BD610" s="322"/>
      <c r="BE610" s="322"/>
      <c r="BF610" s="322"/>
      <c r="BG610" s="322"/>
      <c r="BH610" s="322"/>
      <c r="BI610" s="322"/>
      <c r="BJ610" s="322"/>
      <c r="BK610" s="322"/>
      <c r="BL610" s="555"/>
      <c r="BM610" s="301"/>
      <c r="BN610" s="92"/>
    </row>
    <row r="611" spans="1:99">
      <c r="A611" s="552"/>
      <c r="B611" s="322"/>
      <c r="C611" s="552"/>
      <c r="D611" s="552"/>
      <c r="E611" s="552"/>
      <c r="F611" s="411"/>
      <c r="G611" s="322"/>
      <c r="H611" s="322"/>
      <c r="I611" s="552"/>
      <c r="J611" s="552"/>
      <c r="K611" s="552"/>
      <c r="L611" s="552"/>
      <c r="M611" s="411"/>
      <c r="N611" s="322"/>
      <c r="O611" s="322"/>
      <c r="P611" s="322"/>
      <c r="Q611" s="322"/>
      <c r="R611" s="322"/>
      <c r="S611" s="322"/>
      <c r="T611" s="322"/>
      <c r="U611" s="322"/>
      <c r="V611" s="322"/>
      <c r="W611" s="322"/>
      <c r="X611" s="322"/>
      <c r="Y611" s="322"/>
      <c r="Z611" s="322"/>
      <c r="AA611" s="322"/>
      <c r="AB611" s="322"/>
      <c r="AC611" s="322"/>
      <c r="AD611" s="322"/>
      <c r="AE611" s="322"/>
      <c r="AF611" s="439"/>
      <c r="AG611" s="552"/>
      <c r="AH611" s="322"/>
      <c r="AI611" s="452"/>
      <c r="AJ611" s="452"/>
      <c r="AK611" s="452"/>
      <c r="AL611" s="439"/>
      <c r="AM611" s="322"/>
      <c r="AN611" s="322"/>
      <c r="AO611" s="452"/>
      <c r="AP611" s="452"/>
      <c r="AQ611" s="452"/>
      <c r="AR611" s="452"/>
      <c r="AS611" s="439"/>
      <c r="AT611" s="322"/>
      <c r="AU611" s="322"/>
      <c r="AV611" s="322"/>
      <c r="AW611" s="322"/>
      <c r="AX611" s="322"/>
      <c r="AY611" s="322"/>
      <c r="AZ611" s="322"/>
      <c r="BA611" s="322"/>
      <c r="BB611" s="322"/>
      <c r="BC611" s="322"/>
      <c r="BD611" s="322"/>
      <c r="BE611" s="322"/>
      <c r="BF611" s="322"/>
      <c r="BG611" s="322"/>
      <c r="BH611" s="322"/>
      <c r="BI611" s="322"/>
      <c r="BJ611" s="322"/>
      <c r="BK611" s="322"/>
      <c r="BL611" s="555"/>
      <c r="BM611" s="1"/>
      <c r="BN611" s="92"/>
    </row>
    <row r="612" spans="1:99">
      <c r="A612" s="552"/>
      <c r="B612" s="322"/>
      <c r="C612" s="552"/>
      <c r="D612" s="411"/>
      <c r="E612" s="322"/>
      <c r="F612" s="552"/>
      <c r="G612" s="411"/>
      <c r="H612" s="322"/>
      <c r="I612" s="322"/>
      <c r="J612" s="322"/>
      <c r="K612" s="322"/>
      <c r="L612" s="552"/>
      <c r="M612" s="411"/>
      <c r="N612" s="322"/>
      <c r="O612" s="322"/>
      <c r="P612" s="322"/>
      <c r="Q612" s="322"/>
      <c r="R612" s="322"/>
      <c r="S612" s="322"/>
      <c r="T612" s="322"/>
      <c r="U612" s="322"/>
      <c r="V612" s="322"/>
      <c r="W612" s="322"/>
      <c r="X612" s="322"/>
      <c r="Y612" s="322"/>
      <c r="Z612" s="322"/>
      <c r="AA612" s="322"/>
      <c r="AB612" s="322"/>
      <c r="AC612" s="322"/>
      <c r="AD612" s="322"/>
      <c r="AE612" s="322"/>
      <c r="AF612" s="439"/>
      <c r="AG612" s="552"/>
      <c r="AH612" s="322"/>
      <c r="AI612" s="452"/>
      <c r="AJ612" s="439"/>
      <c r="AK612" s="322"/>
      <c r="AL612" s="452"/>
      <c r="AM612" s="439"/>
      <c r="AN612" s="322"/>
      <c r="AO612" s="322"/>
      <c r="AP612" s="322"/>
      <c r="AQ612" s="322"/>
      <c r="AR612" s="452"/>
      <c r="AS612" s="439"/>
      <c r="AT612" s="322"/>
      <c r="AU612" s="322"/>
      <c r="AV612" s="322"/>
      <c r="AW612" s="322"/>
      <c r="AX612" s="322"/>
      <c r="AY612" s="322"/>
      <c r="AZ612" s="322"/>
      <c r="BA612" s="322"/>
      <c r="BB612" s="322"/>
      <c r="BC612" s="322"/>
      <c r="BD612" s="322"/>
      <c r="BE612" s="322"/>
      <c r="BF612" s="322"/>
      <c r="BG612" s="322"/>
      <c r="BH612" s="439"/>
      <c r="BI612" s="322"/>
      <c r="BJ612" s="322"/>
      <c r="BK612" s="322"/>
      <c r="BL612" s="555"/>
      <c r="BM612" s="51"/>
      <c r="BN612" s="92"/>
    </row>
    <row r="613" spans="1:99">
      <c r="A613" s="552"/>
      <c r="B613" s="322"/>
      <c r="C613" s="552"/>
      <c r="D613" s="411"/>
      <c r="E613" s="322"/>
      <c r="F613" s="552"/>
      <c r="G613" s="411"/>
      <c r="H613" s="322"/>
      <c r="I613" s="322"/>
      <c r="J613" s="322"/>
      <c r="K613" s="552"/>
      <c r="L613" s="411"/>
      <c r="M613" s="322"/>
      <c r="N613" s="322"/>
      <c r="O613" s="322"/>
      <c r="P613" s="322"/>
      <c r="Q613" s="322"/>
      <c r="R613" s="322"/>
      <c r="S613" s="322"/>
      <c r="T613" s="322"/>
      <c r="U613" s="322"/>
      <c r="V613" s="322"/>
      <c r="W613" s="322"/>
      <c r="X613" s="322"/>
      <c r="Y613" s="322"/>
      <c r="Z613" s="322"/>
      <c r="AA613" s="322"/>
      <c r="AB613" s="322"/>
      <c r="AC613" s="322"/>
      <c r="AD613" s="322"/>
      <c r="AE613" s="322"/>
      <c r="AF613" s="439"/>
      <c r="AG613" s="552"/>
      <c r="AH613" s="322"/>
      <c r="AI613" s="452"/>
      <c r="AJ613" s="439"/>
      <c r="AK613" s="322"/>
      <c r="AL613" s="452"/>
      <c r="AM613" s="439"/>
      <c r="AN613" s="322"/>
      <c r="AO613" s="322"/>
      <c r="AP613" s="322"/>
      <c r="AQ613" s="452"/>
      <c r="AR613" s="439"/>
      <c r="AS613" s="322"/>
      <c r="AT613" s="322"/>
      <c r="AU613" s="322"/>
      <c r="AV613" s="322"/>
      <c r="AW613" s="322"/>
      <c r="AX613" s="322"/>
      <c r="AY613" s="322"/>
      <c r="AZ613" s="322"/>
      <c r="BA613" s="322"/>
      <c r="BB613" s="322"/>
      <c r="BC613" s="322"/>
      <c r="BD613" s="322"/>
      <c r="BE613" s="322"/>
      <c r="BF613" s="322"/>
      <c r="BG613" s="322"/>
      <c r="BH613" s="322"/>
      <c r="BI613" s="322"/>
      <c r="BJ613" s="322"/>
      <c r="BK613" s="322"/>
      <c r="BL613" s="555"/>
      <c r="BM613" s="51"/>
      <c r="BN613" s="92"/>
    </row>
    <row r="614" spans="1:99">
      <c r="A614" s="552"/>
      <c r="B614" s="322"/>
      <c r="C614" s="552"/>
      <c r="D614" s="552"/>
      <c r="E614" s="552"/>
      <c r="F614" s="411"/>
      <c r="G614" s="322"/>
      <c r="H614" s="322"/>
      <c r="I614" s="322"/>
      <c r="J614" s="552"/>
      <c r="K614" s="411"/>
      <c r="L614" s="322"/>
      <c r="M614" s="322"/>
      <c r="N614" s="322"/>
      <c r="O614" s="322"/>
      <c r="P614" s="322"/>
      <c r="Q614" s="322"/>
      <c r="R614" s="322"/>
      <c r="S614" s="322"/>
      <c r="T614" s="322"/>
      <c r="U614" s="322"/>
      <c r="V614" s="322"/>
      <c r="W614" s="322"/>
      <c r="X614" s="322"/>
      <c r="Y614" s="322"/>
      <c r="Z614" s="322"/>
      <c r="AA614" s="411"/>
      <c r="AB614" s="322"/>
      <c r="AC614" s="322"/>
      <c r="AD614" s="322"/>
      <c r="AE614" s="322"/>
      <c r="AF614" s="439"/>
      <c r="AG614" s="552"/>
      <c r="AH614" s="322"/>
      <c r="AI614" s="452"/>
      <c r="AJ614" s="452"/>
      <c r="AK614" s="452"/>
      <c r="AL614" s="439"/>
      <c r="AM614" s="322"/>
      <c r="AN614" s="322"/>
      <c r="AO614" s="322"/>
      <c r="AP614" s="452"/>
      <c r="AQ614" s="439"/>
      <c r="AR614" s="322"/>
      <c r="AS614" s="322"/>
      <c r="AT614" s="322"/>
      <c r="AU614" s="322"/>
      <c r="AV614" s="322"/>
      <c r="AW614" s="322"/>
      <c r="AX614" s="322"/>
      <c r="AY614" s="322"/>
      <c r="AZ614" s="322"/>
      <c r="BA614" s="322"/>
      <c r="BB614" s="322"/>
      <c r="BC614" s="322"/>
      <c r="BD614" s="322"/>
      <c r="BE614" s="322"/>
      <c r="BF614" s="322"/>
      <c r="BG614" s="322"/>
      <c r="BH614" s="322"/>
      <c r="BI614" s="322"/>
      <c r="BJ614" s="322"/>
      <c r="BK614" s="322"/>
      <c r="BL614" s="555"/>
      <c r="BM614" s="51"/>
      <c r="BN614" s="92"/>
    </row>
    <row r="615" spans="1:99">
      <c r="A615" s="552"/>
      <c r="B615" s="322"/>
      <c r="C615" s="552"/>
      <c r="D615" s="411"/>
      <c r="E615" s="322"/>
      <c r="F615" s="322"/>
      <c r="G615" s="322"/>
      <c r="H615" s="322"/>
      <c r="I615" s="322"/>
      <c r="J615" s="552"/>
      <c r="K615" s="411"/>
      <c r="L615" s="322"/>
      <c r="M615" s="322"/>
      <c r="N615" s="322"/>
      <c r="O615" s="322"/>
      <c r="P615" s="322"/>
      <c r="Q615" s="322"/>
      <c r="R615" s="322"/>
      <c r="S615" s="322"/>
      <c r="T615" s="322"/>
      <c r="U615" s="322"/>
      <c r="V615" s="322"/>
      <c r="W615" s="322"/>
      <c r="X615" s="322"/>
      <c r="Y615" s="322"/>
      <c r="Z615" s="322"/>
      <c r="AA615" s="322"/>
      <c r="AB615" s="322"/>
      <c r="AC615" s="322"/>
      <c r="AD615" s="322"/>
      <c r="AE615" s="322"/>
      <c r="AF615" s="439"/>
      <c r="AG615" s="552"/>
      <c r="AH615" s="322"/>
      <c r="AI615" s="452"/>
      <c r="AJ615" s="439"/>
      <c r="AK615" s="322"/>
      <c r="AL615" s="322"/>
      <c r="AM615" s="322"/>
      <c r="AN615" s="322"/>
      <c r="AO615" s="322"/>
      <c r="AP615" s="452"/>
      <c r="AQ615" s="439"/>
      <c r="AR615" s="322"/>
      <c r="AS615" s="322"/>
      <c r="AT615" s="322"/>
      <c r="AU615" s="322"/>
      <c r="AV615" s="322"/>
      <c r="AW615" s="322"/>
      <c r="AX615" s="322"/>
      <c r="AY615" s="322"/>
      <c r="AZ615" s="322"/>
      <c r="BA615" s="322"/>
      <c r="BB615" s="322"/>
      <c r="BC615" s="322"/>
      <c r="BD615" s="322"/>
      <c r="BE615" s="322"/>
      <c r="BF615" s="322"/>
      <c r="BG615" s="322"/>
      <c r="BH615" s="322"/>
      <c r="BI615" s="322"/>
      <c r="BJ615" s="322"/>
      <c r="BK615" s="322"/>
      <c r="BL615" s="555"/>
      <c r="BM615" s="51"/>
      <c r="BN615" s="92"/>
    </row>
    <row r="616" spans="1:99">
      <c r="AG616" s="552"/>
      <c r="AH616" s="322"/>
      <c r="AI616" s="322"/>
      <c r="AJ616" s="322"/>
      <c r="AK616" s="322"/>
      <c r="AL616" s="322"/>
      <c r="AM616" s="322"/>
      <c r="AN616" s="322"/>
      <c r="AO616" s="322"/>
      <c r="AP616" s="322"/>
      <c r="AQ616" s="322"/>
      <c r="AR616" s="322"/>
      <c r="AS616" s="322"/>
      <c r="AT616" s="322"/>
      <c r="AU616" s="322"/>
      <c r="AV616" s="322"/>
      <c r="AW616" s="322"/>
      <c r="AX616" s="322"/>
      <c r="AY616" s="322"/>
      <c r="AZ616" s="439"/>
      <c r="BA616" s="322"/>
      <c r="BB616" s="322"/>
      <c r="BC616" s="322"/>
      <c r="BD616" s="322"/>
      <c r="BE616" s="322"/>
      <c r="BF616" s="322"/>
      <c r="BG616" s="322"/>
      <c r="BH616" s="322"/>
      <c r="BI616" s="322"/>
      <c r="BJ616" s="322"/>
      <c r="BK616" s="322"/>
      <c r="BL616" s="555"/>
      <c r="BM616" s="51"/>
      <c r="BN616" s="92"/>
      <c r="CT616">
        <v>2</v>
      </c>
    </row>
    <row r="617" spans="1:99">
      <c r="BM617" s="51"/>
      <c r="BN617" s="92"/>
      <c r="CT617">
        <v>2</v>
      </c>
      <c r="CU617">
        <v>2</v>
      </c>
    </row>
    <row r="618" spans="1:99">
      <c r="A618" s="552"/>
      <c r="B618" s="322"/>
      <c r="C618" s="322"/>
      <c r="D618" s="322"/>
      <c r="E618" s="322"/>
      <c r="F618" s="322"/>
      <c r="G618" s="322"/>
      <c r="H618" s="322"/>
      <c r="I618" s="322"/>
      <c r="J618" s="322"/>
      <c r="K618" s="322"/>
      <c r="L618" s="322"/>
      <c r="M618" s="322"/>
      <c r="N618" s="322"/>
      <c r="O618" s="322"/>
      <c r="P618" s="322"/>
      <c r="Q618" s="322"/>
      <c r="R618" s="552"/>
      <c r="S618" s="322"/>
      <c r="T618" s="322"/>
      <c r="U618" s="322"/>
      <c r="V618" s="322"/>
      <c r="W618" s="322"/>
      <c r="X618" s="322"/>
      <c r="Y618" s="322"/>
      <c r="Z618" s="322"/>
      <c r="AA618" s="322"/>
      <c r="AB618" s="322"/>
      <c r="AC618" s="322"/>
      <c r="AD618" s="322"/>
      <c r="AE618" s="322"/>
      <c r="AF618" s="439"/>
      <c r="AG618" s="552"/>
      <c r="AH618" s="322"/>
      <c r="AI618" s="322"/>
      <c r="AJ618" s="322"/>
      <c r="AK618" s="452"/>
      <c r="AL618" s="322"/>
      <c r="AM618" s="322"/>
      <c r="AN618" s="322"/>
      <c r="AO618" s="322"/>
      <c r="AP618" s="322"/>
      <c r="AQ618" s="322"/>
      <c r="AR618" s="322"/>
      <c r="AS618" s="322"/>
      <c r="AT618" s="322"/>
      <c r="AU618" s="322"/>
      <c r="AV618" s="322"/>
      <c r="AW618" s="322"/>
      <c r="AX618" s="322"/>
      <c r="AY618" s="322"/>
      <c r="AZ618" s="322"/>
      <c r="BA618" s="322"/>
      <c r="BB618" s="322"/>
      <c r="BC618" s="322"/>
      <c r="BD618" s="322"/>
      <c r="BE618" s="322"/>
      <c r="BF618" s="452"/>
      <c r="BG618" s="322"/>
      <c r="BH618" s="322"/>
      <c r="BI618" s="322"/>
      <c r="BJ618" s="322"/>
      <c r="BK618" s="322"/>
      <c r="BL618" s="555"/>
      <c r="BM618" s="51"/>
      <c r="BN618" s="92"/>
    </row>
    <row r="619" spans="1:99">
      <c r="BM619" s="51"/>
      <c r="BN619" s="92"/>
      <c r="CT619">
        <v>2</v>
      </c>
      <c r="CU619">
        <v>2</v>
      </c>
    </row>
    <row r="620" spans="1:99">
      <c r="BM620" s="51"/>
      <c r="BN620" s="92"/>
      <c r="CT620">
        <v>2</v>
      </c>
      <c r="CU620">
        <v>2</v>
      </c>
    </row>
    <row r="621" spans="1:99">
      <c r="BM621" s="51"/>
      <c r="BN621" s="92"/>
      <c r="CT621">
        <v>2</v>
      </c>
      <c r="CU621">
        <v>2</v>
      </c>
    </row>
    <row r="622" spans="1:99">
      <c r="BM622" s="51"/>
      <c r="BN622" s="92"/>
      <c r="CT622">
        <v>2</v>
      </c>
      <c r="CU622">
        <v>2</v>
      </c>
    </row>
    <row r="623" spans="1:99">
      <c r="BM623" s="51"/>
      <c r="BN623" s="92"/>
      <c r="CT623">
        <v>2</v>
      </c>
      <c r="CU623">
        <v>2</v>
      </c>
    </row>
    <row r="624" spans="1:99">
      <c r="A624" s="553"/>
      <c r="B624" s="411"/>
      <c r="C624" s="411"/>
      <c r="D624" s="411"/>
      <c r="E624" s="411"/>
      <c r="F624" s="411"/>
      <c r="G624" s="411"/>
      <c r="H624" s="411"/>
      <c r="I624" s="411"/>
      <c r="J624" s="411"/>
      <c r="K624" s="411"/>
      <c r="L624" s="411"/>
      <c r="M624" s="411"/>
      <c r="N624" s="411"/>
      <c r="O624" s="411"/>
      <c r="P624" s="411"/>
      <c r="Q624" s="411"/>
      <c r="R624" s="411"/>
      <c r="S624" s="411"/>
      <c r="T624" s="411"/>
      <c r="U624" s="411"/>
      <c r="V624" s="411"/>
      <c r="W624" s="411"/>
      <c r="X624" s="411"/>
      <c r="Y624" s="411"/>
      <c r="Z624" s="411"/>
      <c r="AA624" s="411"/>
      <c r="AB624" s="411"/>
      <c r="AC624" s="411"/>
      <c r="AD624" s="411"/>
      <c r="AE624" s="411"/>
      <c r="AF624" s="555"/>
      <c r="AG624" s="553"/>
      <c r="AH624" s="439"/>
      <c r="AI624" s="439"/>
      <c r="AJ624" s="439"/>
      <c r="AK624" s="439"/>
      <c r="AL624" s="439"/>
      <c r="AM624" s="439"/>
      <c r="AN624" s="439"/>
      <c r="AO624" s="439"/>
      <c r="AP624" s="439"/>
      <c r="AQ624" s="439"/>
      <c r="AR624" s="439"/>
      <c r="AS624" s="439"/>
      <c r="AT624" s="439"/>
      <c r="AU624" s="439"/>
      <c r="AV624" s="439"/>
      <c r="AW624" s="439"/>
      <c r="AX624" s="439"/>
      <c r="AY624" s="439"/>
      <c r="AZ624" s="439"/>
      <c r="BA624" s="439"/>
      <c r="BB624" s="439"/>
      <c r="BC624" s="439"/>
      <c r="BD624" s="439"/>
      <c r="BE624" s="439"/>
      <c r="BF624" s="439"/>
      <c r="BG624" s="439"/>
      <c r="BH624" s="439"/>
      <c r="BI624" s="439"/>
      <c r="BJ624" s="439"/>
      <c r="BK624" s="439"/>
      <c r="BL624" s="555"/>
      <c r="BM624" s="51"/>
      <c r="BN624" s="92"/>
    </row>
    <row r="625" spans="1:99">
      <c r="A625" s="552"/>
      <c r="B625" s="552"/>
      <c r="C625" s="552"/>
      <c r="D625" s="552"/>
      <c r="E625" s="552"/>
      <c r="F625" s="552"/>
      <c r="G625" s="552"/>
      <c r="H625" s="552"/>
      <c r="I625" s="552"/>
      <c r="J625" s="552"/>
      <c r="K625" s="552"/>
      <c r="L625" s="552"/>
      <c r="M625" s="552"/>
      <c r="N625" s="552"/>
      <c r="O625" s="552"/>
      <c r="P625" s="552"/>
      <c r="Q625" s="552"/>
      <c r="R625" s="552"/>
      <c r="S625" s="552"/>
      <c r="T625" s="552"/>
      <c r="U625" s="552"/>
      <c r="V625" s="552"/>
      <c r="W625" s="552"/>
      <c r="X625" s="552"/>
      <c r="Y625" s="552"/>
      <c r="Z625" s="552"/>
      <c r="AA625" s="552"/>
      <c r="AB625" s="552"/>
      <c r="AC625" s="552"/>
      <c r="AD625" s="552"/>
      <c r="AE625" s="552"/>
      <c r="AF625" s="557"/>
      <c r="AG625" s="552"/>
      <c r="AH625" s="452"/>
      <c r="AI625" s="452"/>
      <c r="AJ625" s="452"/>
      <c r="AK625" s="452"/>
      <c r="AL625" s="452"/>
      <c r="AM625" s="452"/>
      <c r="AN625" s="452"/>
      <c r="AO625" s="452"/>
      <c r="AP625" s="452"/>
      <c r="AQ625" s="452"/>
      <c r="AR625" s="452"/>
      <c r="AS625" s="452"/>
      <c r="AT625" s="452"/>
      <c r="AU625" s="452"/>
      <c r="AV625" s="452"/>
      <c r="AW625" s="452"/>
      <c r="AX625" s="452"/>
      <c r="AY625" s="452"/>
      <c r="AZ625" s="452"/>
      <c r="BA625" s="452"/>
      <c r="BB625" s="452"/>
      <c r="BC625" s="452"/>
      <c r="BD625" s="452"/>
      <c r="BE625" s="452"/>
      <c r="BF625" s="452"/>
      <c r="BG625" s="452"/>
      <c r="BH625" s="452"/>
      <c r="BI625" s="452"/>
      <c r="BJ625" s="452"/>
      <c r="BK625" s="452"/>
      <c r="BL625" s="557"/>
      <c r="BM625" s="51"/>
      <c r="BN625" s="92"/>
    </row>
    <row r="626" spans="1:99">
      <c r="BM626" s="51"/>
      <c r="BN626" s="92"/>
      <c r="CT626">
        <v>2</v>
      </c>
      <c r="CU626">
        <v>2</v>
      </c>
    </row>
    <row r="627" spans="1:99">
      <c r="BM627" s="51"/>
      <c r="BN627" s="92"/>
      <c r="CT627">
        <v>2</v>
      </c>
      <c r="CU627">
        <v>2</v>
      </c>
    </row>
    <row r="628" spans="1:99">
      <c r="BM628" s="51"/>
      <c r="BN628" s="92"/>
      <c r="CT628">
        <v>2</v>
      </c>
      <c r="CU628">
        <v>2</v>
      </c>
    </row>
    <row r="629" spans="1:99">
      <c r="BM629" s="51"/>
      <c r="BN629" s="92"/>
      <c r="CT629">
        <v>2</v>
      </c>
      <c r="CU629">
        <v>2</v>
      </c>
    </row>
    <row r="630" spans="1:99">
      <c r="A630" s="552"/>
      <c r="B630" s="322"/>
      <c r="C630" s="322"/>
      <c r="D630" s="322"/>
      <c r="E630" s="411"/>
      <c r="F630" s="322"/>
      <c r="G630" s="322"/>
      <c r="H630" s="322"/>
      <c r="I630" s="322"/>
      <c r="J630" s="322"/>
      <c r="K630" s="322"/>
      <c r="L630" s="322"/>
      <c r="M630" s="322"/>
      <c r="N630" s="322"/>
      <c r="O630" s="322"/>
      <c r="P630" s="322"/>
      <c r="Q630" s="322"/>
      <c r="R630" s="322"/>
      <c r="S630" s="322"/>
      <c r="T630" s="322"/>
      <c r="U630" s="322"/>
      <c r="V630" s="322"/>
      <c r="W630" s="322"/>
      <c r="X630" s="322"/>
      <c r="Y630" s="322"/>
      <c r="Z630" s="322"/>
      <c r="AA630" s="322"/>
      <c r="AB630" s="322"/>
      <c r="AC630" s="322"/>
      <c r="AD630" s="322"/>
      <c r="AE630" s="322"/>
      <c r="AF630" s="439"/>
      <c r="AG630" s="552"/>
      <c r="AH630" s="322"/>
      <c r="AI630" s="322"/>
      <c r="AJ630" s="322"/>
      <c r="AK630" s="322"/>
      <c r="AL630" s="322"/>
      <c r="AM630" s="322"/>
      <c r="AN630" s="322"/>
      <c r="AO630" s="322"/>
      <c r="AP630" s="322"/>
      <c r="AQ630" s="322"/>
      <c r="AR630" s="322"/>
      <c r="AS630" s="439"/>
      <c r="AT630" s="322"/>
      <c r="AU630" s="322"/>
      <c r="AV630" s="322"/>
      <c r="AW630" s="322"/>
      <c r="AX630" s="322"/>
      <c r="AY630" s="322"/>
      <c r="AZ630" s="322"/>
      <c r="BA630" s="322"/>
      <c r="BB630" s="322"/>
      <c r="BC630" s="322"/>
      <c r="BD630" s="322"/>
      <c r="BE630" s="322"/>
      <c r="BF630" s="322"/>
      <c r="BG630" s="322"/>
      <c r="BH630" s="322"/>
      <c r="BI630" s="322"/>
      <c r="BJ630" s="322"/>
      <c r="BK630" s="322"/>
      <c r="BL630" s="555"/>
      <c r="BM630" s="51"/>
      <c r="BN630" s="92"/>
    </row>
    <row r="631" spans="1:99">
      <c r="BM631" s="52"/>
      <c r="BN631" s="92"/>
      <c r="CT631">
        <v>2</v>
      </c>
      <c r="CU631">
        <v>2</v>
      </c>
    </row>
    <row r="632" spans="1:99">
      <c r="A632" s="552"/>
      <c r="B632" s="322"/>
      <c r="C632" s="322"/>
      <c r="D632" s="322"/>
      <c r="E632" s="322"/>
      <c r="F632" s="322"/>
      <c r="G632" s="322"/>
      <c r="H632" s="322"/>
      <c r="I632" s="322"/>
      <c r="J632" s="322"/>
      <c r="K632" s="322"/>
      <c r="L632" s="322"/>
      <c r="M632" s="322"/>
      <c r="N632" s="322"/>
      <c r="O632" s="322"/>
      <c r="P632" s="322"/>
      <c r="Q632" s="322"/>
      <c r="R632" s="322"/>
      <c r="S632" s="322"/>
      <c r="T632" s="322"/>
      <c r="U632" s="322"/>
      <c r="V632" s="322"/>
      <c r="W632" s="322"/>
      <c r="X632" s="322"/>
      <c r="Y632" s="322"/>
      <c r="Z632" s="322"/>
      <c r="AA632" s="322"/>
      <c r="AB632" s="322"/>
      <c r="AC632" s="322"/>
      <c r="AD632" s="322"/>
      <c r="AE632" s="322"/>
      <c r="AF632" s="439"/>
      <c r="AG632" s="552"/>
      <c r="AH632" s="322"/>
      <c r="AI632" s="322"/>
      <c r="AJ632" s="322"/>
      <c r="AK632" s="322"/>
      <c r="AL632" s="322"/>
      <c r="AM632" s="322"/>
      <c r="AN632" s="322"/>
      <c r="AO632" s="322"/>
      <c r="AP632" s="322"/>
      <c r="AQ632" s="322"/>
      <c r="AR632" s="322"/>
      <c r="AS632" s="322"/>
      <c r="AT632" s="322"/>
      <c r="AU632" s="322"/>
      <c r="AV632" s="322"/>
      <c r="AW632" s="322"/>
      <c r="AX632" s="322"/>
      <c r="AY632" s="322"/>
      <c r="AZ632" s="322"/>
      <c r="BA632" s="322"/>
      <c r="BB632" s="322"/>
      <c r="BC632" s="322"/>
      <c r="BD632" s="322"/>
      <c r="BE632" s="322"/>
      <c r="BF632" s="452"/>
      <c r="BG632" s="322"/>
      <c r="BH632" s="322"/>
      <c r="BI632" s="322"/>
      <c r="BJ632" s="322"/>
      <c r="BK632" s="322"/>
      <c r="BL632" s="555"/>
      <c r="BM632" s="52"/>
      <c r="BN632" s="92"/>
    </row>
    <row r="633" spans="1:99">
      <c r="A633" s="552"/>
      <c r="B633" s="322"/>
      <c r="C633" s="322"/>
      <c r="D633" s="322"/>
      <c r="E633" s="322"/>
      <c r="F633" s="322"/>
      <c r="G633" s="322"/>
      <c r="H633" s="322"/>
      <c r="I633" s="322"/>
      <c r="J633" s="322"/>
      <c r="K633" s="322"/>
      <c r="L633" s="322"/>
      <c r="M633" s="322"/>
      <c r="N633" s="322"/>
      <c r="O633" s="322"/>
      <c r="P633" s="322"/>
      <c r="Q633" s="322"/>
      <c r="R633" s="322"/>
      <c r="S633" s="322"/>
      <c r="T633" s="322"/>
      <c r="U633" s="411"/>
      <c r="V633" s="322"/>
      <c r="W633" s="322"/>
      <c r="X633" s="322"/>
      <c r="Y633" s="322"/>
      <c r="Z633" s="322"/>
      <c r="AA633" s="322"/>
      <c r="AB633" s="322"/>
      <c r="AC633" s="322"/>
      <c r="AD633" s="322"/>
      <c r="AE633" s="322"/>
      <c r="AF633" s="439"/>
      <c r="AG633" s="552"/>
      <c r="AH633" s="322"/>
      <c r="AI633" s="322"/>
      <c r="AJ633" s="322"/>
      <c r="AK633" s="322"/>
      <c r="AL633" s="322"/>
      <c r="AM633" s="322"/>
      <c r="AN633" s="322"/>
      <c r="AO633" s="322"/>
      <c r="AP633" s="322"/>
      <c r="AQ633" s="322"/>
      <c r="AR633" s="322"/>
      <c r="AS633" s="322"/>
      <c r="AT633" s="322"/>
      <c r="AU633" s="322"/>
      <c r="AV633" s="322"/>
      <c r="AW633" s="322"/>
      <c r="AX633" s="322"/>
      <c r="AY633" s="322"/>
      <c r="AZ633" s="322"/>
      <c r="BA633" s="322"/>
      <c r="BB633" s="322"/>
      <c r="BC633" s="322"/>
      <c r="BD633" s="322"/>
      <c r="BE633" s="322"/>
      <c r="BF633" s="322"/>
      <c r="BG633" s="322"/>
      <c r="BH633" s="322"/>
      <c r="BI633" s="322"/>
      <c r="BJ633" s="322"/>
      <c r="BK633" s="322"/>
      <c r="BL633" s="555"/>
      <c r="BM633" s="52"/>
      <c r="BN633" s="92"/>
    </row>
    <row r="634" spans="1:99">
      <c r="A634" s="552"/>
      <c r="B634" s="322"/>
      <c r="C634" s="322"/>
      <c r="D634" s="322"/>
      <c r="E634" s="322"/>
      <c r="F634" s="322"/>
      <c r="G634" s="322"/>
      <c r="H634" s="322"/>
      <c r="I634" s="322"/>
      <c r="J634" s="322"/>
      <c r="K634" s="322"/>
      <c r="L634" s="322"/>
      <c r="M634" s="322"/>
      <c r="N634" s="322"/>
      <c r="O634" s="322"/>
      <c r="P634" s="322"/>
      <c r="Q634" s="322"/>
      <c r="R634" s="322"/>
      <c r="S634" s="322"/>
      <c r="T634" s="322"/>
      <c r="U634" s="322"/>
      <c r="V634" s="322"/>
      <c r="W634" s="322"/>
      <c r="X634" s="322"/>
      <c r="Y634" s="322"/>
      <c r="Z634" s="322"/>
      <c r="AA634" s="322"/>
      <c r="AB634" s="322"/>
      <c r="AC634" s="322"/>
      <c r="AD634" s="322"/>
      <c r="AE634" s="322"/>
      <c r="AF634" s="439"/>
      <c r="AG634" s="552"/>
      <c r="AH634" s="322"/>
      <c r="AI634" s="322"/>
      <c r="AJ634" s="322"/>
      <c r="AK634" s="322"/>
      <c r="AL634" s="322"/>
      <c r="AM634" s="322"/>
      <c r="AN634" s="322"/>
      <c r="AO634" s="322"/>
      <c r="AP634" s="322"/>
      <c r="AQ634" s="322"/>
      <c r="AR634" s="322"/>
      <c r="AS634" s="322"/>
      <c r="AT634" s="322"/>
      <c r="AU634" s="322"/>
      <c r="AV634" s="322"/>
      <c r="AW634" s="452"/>
      <c r="AX634" s="322"/>
      <c r="AY634" s="322"/>
      <c r="AZ634" s="322"/>
      <c r="BA634" s="322"/>
      <c r="BB634" s="322"/>
      <c r="BC634" s="322"/>
      <c r="BD634" s="322"/>
      <c r="BE634" s="322"/>
      <c r="BF634" s="322"/>
      <c r="BG634" s="322"/>
      <c r="BH634" s="322"/>
      <c r="BI634" s="322"/>
      <c r="BJ634" s="322"/>
      <c r="BK634" s="322"/>
      <c r="BL634" s="555"/>
      <c r="BM634" s="52"/>
      <c r="BN634" s="92"/>
    </row>
    <row r="635" spans="1:99">
      <c r="A635" s="552"/>
      <c r="B635" s="322"/>
      <c r="C635" s="322"/>
      <c r="D635" s="322"/>
      <c r="E635" s="322"/>
      <c r="F635" s="322"/>
      <c r="G635" s="322"/>
      <c r="H635" s="552"/>
      <c r="I635" s="322"/>
      <c r="J635" s="322"/>
      <c r="K635" s="322"/>
      <c r="L635" s="322"/>
      <c r="M635" s="322"/>
      <c r="N635" s="322"/>
      <c r="O635" s="322"/>
      <c r="P635" s="322"/>
      <c r="Q635" s="322"/>
      <c r="R635" s="322"/>
      <c r="S635" s="322"/>
      <c r="T635" s="322"/>
      <c r="U635" s="322"/>
      <c r="V635" s="322"/>
      <c r="W635" s="322"/>
      <c r="X635" s="322"/>
      <c r="Y635" s="322"/>
      <c r="Z635" s="322"/>
      <c r="AA635" s="322"/>
      <c r="AB635" s="322"/>
      <c r="AC635" s="322"/>
      <c r="AD635" s="322"/>
      <c r="AE635" s="322"/>
      <c r="AF635" s="439"/>
      <c r="AG635" s="552"/>
      <c r="AH635" s="322"/>
      <c r="AI635" s="322"/>
      <c r="AJ635" s="322"/>
      <c r="AK635" s="439"/>
      <c r="AL635" s="322"/>
      <c r="AM635" s="322"/>
      <c r="AN635" s="322"/>
      <c r="AO635" s="322"/>
      <c r="AP635" s="322"/>
      <c r="AQ635" s="322"/>
      <c r="AR635" s="322"/>
      <c r="AS635" s="322"/>
      <c r="AT635" s="322"/>
      <c r="AU635" s="322"/>
      <c r="AV635" s="322"/>
      <c r="AW635" s="322"/>
      <c r="AX635" s="322"/>
      <c r="AY635" s="322"/>
      <c r="AZ635" s="322"/>
      <c r="BA635" s="322"/>
      <c r="BB635" s="322"/>
      <c r="BC635" s="322"/>
      <c r="BD635" s="322"/>
      <c r="BE635" s="322"/>
      <c r="BF635" s="322"/>
      <c r="BG635" s="322"/>
      <c r="BH635" s="322"/>
      <c r="BI635" s="322"/>
      <c r="BJ635" s="322"/>
      <c r="BK635" s="322"/>
      <c r="BL635" s="555"/>
      <c r="BM635" s="52"/>
      <c r="BN635" s="92"/>
    </row>
    <row r="636" spans="1:99">
      <c r="BM636" s="52"/>
      <c r="BN636" s="92"/>
      <c r="CT636">
        <v>2</v>
      </c>
      <c r="CU636">
        <v>2</v>
      </c>
    </row>
    <row r="637" spans="1:99">
      <c r="BM637" s="52"/>
      <c r="BN637" s="92"/>
      <c r="CT637">
        <v>2</v>
      </c>
      <c r="CU637">
        <v>2</v>
      </c>
    </row>
    <row r="638" spans="1:99">
      <c r="BM638" s="52"/>
      <c r="BN638" s="92"/>
      <c r="CT638">
        <v>2</v>
      </c>
      <c r="CU638">
        <v>2</v>
      </c>
    </row>
    <row r="639" spans="1:99">
      <c r="BM639" s="52"/>
      <c r="BN639" s="92"/>
      <c r="CT639">
        <v>2</v>
      </c>
      <c r="CU639">
        <v>2</v>
      </c>
    </row>
    <row r="640" spans="1:99">
      <c r="A640" s="560"/>
      <c r="B640" s="580"/>
      <c r="C640" s="580"/>
      <c r="D640" s="580"/>
      <c r="E640" s="580"/>
      <c r="F640" s="580"/>
      <c r="G640" s="580"/>
      <c r="H640" s="580"/>
      <c r="I640" s="580"/>
      <c r="J640" s="580"/>
      <c r="K640" s="580"/>
      <c r="L640" s="580"/>
      <c r="M640" s="580"/>
      <c r="N640" s="580"/>
      <c r="O640" s="580"/>
      <c r="P640" s="580"/>
      <c r="Q640" s="580"/>
      <c r="R640" s="580"/>
      <c r="S640" s="580"/>
      <c r="T640" s="580"/>
      <c r="U640" s="580"/>
      <c r="V640" s="580"/>
      <c r="W640" s="580"/>
      <c r="X640" s="580"/>
      <c r="Y640" s="580"/>
      <c r="Z640" s="580"/>
      <c r="AA640" s="580"/>
      <c r="AB640" s="580"/>
      <c r="AC640" s="580"/>
      <c r="AD640" s="580"/>
      <c r="AE640" s="580"/>
      <c r="AF640" s="561"/>
      <c r="AG640" s="560"/>
      <c r="AH640" s="561"/>
      <c r="AI640" s="561"/>
      <c r="AJ640" s="561"/>
      <c r="AK640" s="561"/>
      <c r="AL640" s="561"/>
      <c r="AM640" s="561"/>
      <c r="AN640" s="561"/>
      <c r="AO640" s="561"/>
      <c r="AP640" s="561"/>
      <c r="AQ640" s="561"/>
      <c r="AR640" s="561"/>
      <c r="AS640" s="561"/>
      <c r="AT640" s="561"/>
      <c r="AU640" s="561"/>
      <c r="AV640" s="561"/>
      <c r="AW640" s="561"/>
      <c r="AX640" s="561"/>
      <c r="AY640" s="561"/>
      <c r="AZ640" s="561"/>
      <c r="BA640" s="561"/>
      <c r="BB640" s="561"/>
      <c r="BC640" s="561"/>
      <c r="BD640" s="561"/>
      <c r="BE640" s="561"/>
      <c r="BF640" s="561"/>
      <c r="BG640" s="561"/>
      <c r="BH640" s="561"/>
      <c r="BI640" s="561"/>
      <c r="BJ640" s="561"/>
      <c r="BK640" s="561"/>
      <c r="BL640" s="561"/>
      <c r="BM640" s="74"/>
      <c r="BN640" s="103"/>
    </row>
    <row r="641" spans="1:99">
      <c r="A641" s="319"/>
      <c r="B641" s="589"/>
      <c r="C641" s="589"/>
      <c r="D641" s="322"/>
      <c r="E641" s="589"/>
      <c r="F641" s="589"/>
      <c r="G641" s="589"/>
      <c r="H641" s="589"/>
      <c r="I641" s="322"/>
      <c r="J641" s="322"/>
      <c r="K641" s="589"/>
      <c r="L641" s="589"/>
      <c r="M641" s="590"/>
      <c r="N641" s="589"/>
      <c r="O641" s="322"/>
      <c r="P641" s="589"/>
      <c r="Q641" s="589"/>
      <c r="R641" s="589"/>
      <c r="S641" s="589"/>
      <c r="T641" s="319"/>
      <c r="U641" s="591"/>
      <c r="V641" s="591"/>
      <c r="W641" s="591"/>
      <c r="X641" s="319"/>
      <c r="Y641" s="591"/>
      <c r="Z641" s="591"/>
      <c r="AA641" s="591"/>
      <c r="AB641" s="319"/>
      <c r="AC641" s="319"/>
      <c r="AD641" s="591"/>
      <c r="AE641" s="591"/>
      <c r="AF641" s="592"/>
      <c r="AG641" s="325"/>
      <c r="AH641" s="323"/>
      <c r="AI641" s="323"/>
      <c r="AJ641" s="323"/>
      <c r="AK641" s="323"/>
      <c r="AL641" s="322"/>
      <c r="AM641" s="322"/>
      <c r="AN641" s="323"/>
      <c r="AO641" s="323"/>
      <c r="AP641" s="323"/>
      <c r="AQ641" s="323"/>
      <c r="AR641" s="322"/>
      <c r="AS641" s="323"/>
      <c r="AT641" s="323"/>
      <c r="AU641" s="323"/>
      <c r="AV641" s="323"/>
      <c r="AW641" s="322"/>
      <c r="AX641" s="322"/>
      <c r="AY641" s="323"/>
      <c r="AZ641" s="591"/>
      <c r="BA641" s="323"/>
      <c r="BB641" s="323"/>
      <c r="BC641" s="323"/>
      <c r="BD641" s="591"/>
      <c r="BE641" s="591"/>
      <c r="BF641" s="323"/>
      <c r="BG641" s="323"/>
      <c r="BH641" s="323"/>
      <c r="BI641" s="323"/>
      <c r="BJ641" s="323"/>
      <c r="BK641" s="591"/>
      <c r="BL641" s="593"/>
      <c r="BM641" s="308">
        <v>21</v>
      </c>
      <c r="BN641" s="92"/>
    </row>
    <row r="642" spans="1:99">
      <c r="A642" s="589"/>
      <c r="B642" s="326"/>
      <c r="C642" s="326"/>
      <c r="D642" s="326"/>
      <c r="E642" s="319"/>
      <c r="F642" s="322"/>
      <c r="G642" s="322"/>
      <c r="H642" s="322"/>
      <c r="I642" s="322"/>
      <c r="J642" s="322"/>
      <c r="K642" s="322"/>
      <c r="L642" s="322"/>
      <c r="M642" s="322"/>
      <c r="N642" s="322"/>
      <c r="O642" s="322"/>
      <c r="P642" s="322"/>
      <c r="Q642" s="319"/>
      <c r="R642" s="326"/>
      <c r="S642" s="326"/>
      <c r="T642" s="326"/>
      <c r="U642" s="326"/>
      <c r="V642" s="326"/>
      <c r="W642" s="326"/>
      <c r="X642" s="326"/>
      <c r="Y642" s="326"/>
      <c r="Z642" s="326"/>
      <c r="AA642" s="319"/>
      <c r="AB642" s="326"/>
      <c r="AC642" s="326"/>
      <c r="AD642" s="326"/>
      <c r="AE642" s="326"/>
      <c r="AF642" s="592"/>
      <c r="AG642" s="322"/>
      <c r="AH642" s="319"/>
      <c r="AI642" s="326"/>
      <c r="AJ642" s="326"/>
      <c r="AK642" s="322"/>
      <c r="AL642" s="322"/>
      <c r="AM642" s="322"/>
      <c r="AN642" s="322"/>
      <c r="AO642" s="322"/>
      <c r="AP642" s="322"/>
      <c r="AQ642" s="322"/>
      <c r="AR642" s="322"/>
      <c r="AS642" s="322"/>
      <c r="AT642" s="322"/>
      <c r="AU642" s="322"/>
      <c r="AV642" s="322"/>
      <c r="AW642" s="319"/>
      <c r="AX642" s="326"/>
      <c r="AY642" s="326"/>
      <c r="AZ642" s="326"/>
      <c r="BA642" s="326"/>
      <c r="BB642" s="326"/>
      <c r="BC642" s="326"/>
      <c r="BD642" s="326"/>
      <c r="BE642" s="326"/>
      <c r="BF642" s="326"/>
      <c r="BG642" s="319"/>
      <c r="BH642" s="323"/>
      <c r="BI642" s="325"/>
      <c r="BJ642" s="324"/>
      <c r="BK642" s="323"/>
      <c r="BL642" s="594"/>
      <c r="BM642" s="204"/>
      <c r="BN642" s="92"/>
    </row>
    <row r="643" spans="1:99">
      <c r="A643" s="589"/>
      <c r="B643" s="326"/>
      <c r="C643" s="326"/>
      <c r="D643" s="326"/>
      <c r="E643" s="595"/>
      <c r="F643" s="322"/>
      <c r="G643" s="322"/>
      <c r="H643" s="589"/>
      <c r="I643" s="322"/>
      <c r="J643" s="322"/>
      <c r="K643" s="322"/>
      <c r="L643" s="322"/>
      <c r="M643" s="322"/>
      <c r="N643" s="322"/>
      <c r="O643" s="322"/>
      <c r="P643" s="322"/>
      <c r="Q643" s="595"/>
      <c r="R643" s="326"/>
      <c r="S643" s="326"/>
      <c r="T643" s="589"/>
      <c r="U643" s="326"/>
      <c r="V643" s="326"/>
      <c r="W643" s="326"/>
      <c r="X643" s="326"/>
      <c r="Y643" s="326"/>
      <c r="Z643" s="326"/>
      <c r="AA643" s="595"/>
      <c r="AB643" s="326"/>
      <c r="AC643" s="326"/>
      <c r="AD643" s="326"/>
      <c r="AE643" s="326"/>
      <c r="AF643" s="592"/>
      <c r="AG643" s="323"/>
      <c r="AH643" s="326"/>
      <c r="AI643" s="326"/>
      <c r="AJ643" s="326"/>
      <c r="AK643" s="327"/>
      <c r="AL643" s="322"/>
      <c r="AM643" s="322"/>
      <c r="AN643" s="322"/>
      <c r="AO643" s="322"/>
      <c r="AP643" s="322"/>
      <c r="AQ643" s="322"/>
      <c r="AR643" s="322"/>
      <c r="AS643" s="322"/>
      <c r="AT643" s="322"/>
      <c r="AU643" s="322"/>
      <c r="AV643" s="322"/>
      <c r="AW643" s="323"/>
      <c r="AX643" s="326"/>
      <c r="AY643" s="326"/>
      <c r="AZ643" s="326"/>
      <c r="BA643" s="326"/>
      <c r="BB643" s="326"/>
      <c r="BC643" s="326"/>
      <c r="BD643" s="326"/>
      <c r="BE643" s="326"/>
      <c r="BF643" s="326"/>
      <c r="BG643" s="323"/>
      <c r="BH643" s="323"/>
      <c r="BI643" s="319"/>
      <c r="BJ643" s="324"/>
      <c r="BK643" s="319"/>
      <c r="BL643" s="594"/>
      <c r="BM643" s="1"/>
      <c r="BN643" s="92"/>
    </row>
    <row r="644" spans="1:99">
      <c r="A644" s="589"/>
      <c r="B644" s="326"/>
      <c r="C644" s="326"/>
      <c r="D644" s="326"/>
      <c r="E644" s="320"/>
      <c r="F644" s="322"/>
      <c r="G644" s="322"/>
      <c r="H644" s="322"/>
      <c r="I644" s="322"/>
      <c r="J644" s="322"/>
      <c r="K644" s="322"/>
      <c r="L644" s="589"/>
      <c r="M644" s="322"/>
      <c r="N644" s="322"/>
      <c r="O644" s="322"/>
      <c r="P644" s="322"/>
      <c r="Q644" s="320"/>
      <c r="R644" s="326"/>
      <c r="S644" s="326"/>
      <c r="T644" s="326"/>
      <c r="U644" s="326"/>
      <c r="V644" s="326"/>
      <c r="W644" s="326"/>
      <c r="X644" s="589"/>
      <c r="Y644" s="326"/>
      <c r="Z644" s="326"/>
      <c r="AA644" s="320"/>
      <c r="AB644" s="326"/>
      <c r="AC644" s="326"/>
      <c r="AD644" s="326"/>
      <c r="AE644" s="326"/>
      <c r="AF644" s="592"/>
      <c r="AG644" s="322"/>
      <c r="AH644" s="326"/>
      <c r="AI644" s="326"/>
      <c r="AJ644" s="326"/>
      <c r="AK644" s="319"/>
      <c r="AL644" s="322"/>
      <c r="AM644" s="322"/>
      <c r="AN644" s="322"/>
      <c r="AO644" s="322"/>
      <c r="AP644" s="322"/>
      <c r="AQ644" s="322"/>
      <c r="AR644" s="322"/>
      <c r="AS644" s="322"/>
      <c r="AT644" s="322"/>
      <c r="AU644" s="322"/>
      <c r="AV644" s="322"/>
      <c r="AW644" s="323"/>
      <c r="AX644" s="326"/>
      <c r="AY644" s="326"/>
      <c r="AZ644" s="326"/>
      <c r="BA644" s="326"/>
      <c r="BB644" s="326"/>
      <c r="BC644" s="326"/>
      <c r="BD644" s="326"/>
      <c r="BE644" s="326"/>
      <c r="BF644" s="326"/>
      <c r="BG644" s="323"/>
      <c r="BH644" s="326"/>
      <c r="BI644" s="596"/>
      <c r="BJ644" s="325"/>
      <c r="BK644" s="324"/>
      <c r="BL644" s="594"/>
      <c r="BM644" s="51"/>
      <c r="BN644" s="92"/>
    </row>
    <row r="645" spans="1:99">
      <c r="A645" s="591"/>
      <c r="B645" s="326"/>
      <c r="C645" s="326"/>
      <c r="D645" s="326"/>
      <c r="E645" s="320"/>
      <c r="F645" s="322"/>
      <c r="G645" s="322"/>
      <c r="H645" s="322"/>
      <c r="I645" s="322"/>
      <c r="J645" s="322"/>
      <c r="K645" s="322"/>
      <c r="L645" s="322"/>
      <c r="M645" s="322"/>
      <c r="N645" s="322"/>
      <c r="O645" s="322"/>
      <c r="P645" s="322"/>
      <c r="Q645" s="320"/>
      <c r="R645" s="326"/>
      <c r="S645" s="326"/>
      <c r="T645" s="326"/>
      <c r="U645" s="326"/>
      <c r="V645" s="326"/>
      <c r="W645" s="326"/>
      <c r="X645" s="326"/>
      <c r="Y645" s="326"/>
      <c r="Z645" s="326"/>
      <c r="AA645" s="595"/>
      <c r="AB645" s="326"/>
      <c r="AC645" s="326"/>
      <c r="AD645" s="326"/>
      <c r="AE645" s="326"/>
      <c r="AF645" s="592"/>
      <c r="AG645" s="591"/>
      <c r="AH645" s="326"/>
      <c r="AI645" s="326"/>
      <c r="AJ645" s="326"/>
      <c r="AK645" s="327"/>
      <c r="AL645" s="322"/>
      <c r="AM645" s="322"/>
      <c r="AN645" s="322"/>
      <c r="AO645" s="322"/>
      <c r="AP645" s="322"/>
      <c r="AQ645" s="322"/>
      <c r="AR645" s="322"/>
      <c r="AS645" s="322"/>
      <c r="AT645" s="322"/>
      <c r="AU645" s="322"/>
      <c r="AV645" s="322"/>
      <c r="AW645" s="323"/>
      <c r="AX645" s="326"/>
      <c r="AY645" s="326"/>
      <c r="AZ645" s="326"/>
      <c r="BA645" s="326"/>
      <c r="BB645" s="326"/>
      <c r="BC645" s="326"/>
      <c r="BD645" s="326"/>
      <c r="BE645" s="326"/>
      <c r="BF645" s="326"/>
      <c r="BG645" s="319"/>
      <c r="BH645" s="326"/>
      <c r="BI645" s="426"/>
      <c r="BJ645" s="324"/>
      <c r="BK645" s="323"/>
      <c r="BL645" s="597"/>
      <c r="BM645" s="51"/>
      <c r="BN645" s="92"/>
    </row>
    <row r="646" spans="1:99">
      <c r="A646" s="591"/>
      <c r="B646" s="595"/>
      <c r="C646" s="319"/>
      <c r="D646" s="595"/>
      <c r="E646" s="595"/>
      <c r="F646" s="320"/>
      <c r="G646" s="319"/>
      <c r="H646" s="319"/>
      <c r="I646" s="320"/>
      <c r="J646" s="320"/>
      <c r="K646" s="319"/>
      <c r="L646" s="595"/>
      <c r="M646" s="595"/>
      <c r="N646" s="595"/>
      <c r="O646" s="319"/>
      <c r="P646" s="320"/>
      <c r="Q646" s="320"/>
      <c r="R646" s="320"/>
      <c r="S646" s="320"/>
      <c r="T646" s="319"/>
      <c r="U646" s="595"/>
      <c r="V646" s="595"/>
      <c r="W646" s="320"/>
      <c r="X646" s="320"/>
      <c r="Y646" s="319"/>
      <c r="Z646" s="320"/>
      <c r="AA646" s="320"/>
      <c r="AB646" s="320"/>
      <c r="AC646" s="320"/>
      <c r="AD646" s="595"/>
      <c r="AE646" s="327"/>
      <c r="AF646" s="592"/>
      <c r="AG646" s="323"/>
      <c r="AH646" s="319"/>
      <c r="AI646" s="327"/>
      <c r="AJ646" s="327"/>
      <c r="AK646" s="327"/>
      <c r="AL646" s="319"/>
      <c r="AM646" s="319"/>
      <c r="AN646" s="320"/>
      <c r="AO646" s="327"/>
      <c r="AP646" s="327"/>
      <c r="AQ646" s="327"/>
      <c r="AR646" s="323"/>
      <c r="AS646" s="323"/>
      <c r="AT646" s="319"/>
      <c r="AU646" s="319"/>
      <c r="AV646" s="327"/>
      <c r="AW646" s="327"/>
      <c r="AX646" s="327"/>
      <c r="AY646" s="323"/>
      <c r="AZ646" s="323"/>
      <c r="BA646" s="323"/>
      <c r="BB646" s="319"/>
      <c r="BC646" s="327"/>
      <c r="BD646" s="327"/>
      <c r="BE646" s="319"/>
      <c r="BF646" s="320"/>
      <c r="BG646" s="323"/>
      <c r="BH646" s="323"/>
      <c r="BI646" s="433"/>
      <c r="BJ646" s="321"/>
      <c r="BK646" s="324"/>
      <c r="BL646" s="597"/>
      <c r="BM646" s="51"/>
      <c r="BN646" s="92"/>
    </row>
    <row r="647" spans="1:99">
      <c r="A647" s="591"/>
      <c r="B647" s="326"/>
      <c r="C647" s="326"/>
      <c r="D647" s="326"/>
      <c r="E647" s="326"/>
      <c r="F647" s="326"/>
      <c r="G647" s="326"/>
      <c r="H647" s="326"/>
      <c r="I647" s="326"/>
      <c r="J647" s="326"/>
      <c r="K647" s="319"/>
      <c r="L647" s="326"/>
      <c r="M647" s="326"/>
      <c r="N647" s="326"/>
      <c r="O647" s="326"/>
      <c r="P647" s="326"/>
      <c r="Q647" s="326"/>
      <c r="R647" s="326"/>
      <c r="S647" s="326"/>
      <c r="T647" s="326"/>
      <c r="U647" s="326"/>
      <c r="V647" s="319"/>
      <c r="W647" s="326"/>
      <c r="X647" s="326"/>
      <c r="Y647" s="326"/>
      <c r="Z647" s="326"/>
      <c r="AA647" s="446"/>
      <c r="AB647" s="446"/>
      <c r="AC647" s="446"/>
      <c r="AD647" s="326"/>
      <c r="AE647" s="326"/>
      <c r="AF647" s="592"/>
      <c r="AG647" s="323"/>
      <c r="AH647" s="326"/>
      <c r="AI647" s="326"/>
      <c r="AJ647" s="326"/>
      <c r="AK647" s="326"/>
      <c r="AL647" s="326"/>
      <c r="AM647" s="326"/>
      <c r="AN647" s="326"/>
      <c r="AO647" s="326"/>
      <c r="AP647" s="326"/>
      <c r="AQ647" s="319"/>
      <c r="AR647" s="326"/>
      <c r="AS647" s="326"/>
      <c r="AT647" s="326"/>
      <c r="AU647" s="326"/>
      <c r="AV647" s="326"/>
      <c r="AW647" s="326"/>
      <c r="AX647" s="326"/>
      <c r="AY647" s="326"/>
      <c r="AZ647" s="326"/>
      <c r="BA647" s="326"/>
      <c r="BB647" s="319"/>
      <c r="BC647" s="326"/>
      <c r="BD647" s="326"/>
      <c r="BE647" s="326"/>
      <c r="BF647" s="326"/>
      <c r="BG647" s="326"/>
      <c r="BH647" s="326"/>
      <c r="BI647" s="326"/>
      <c r="BJ647" s="326"/>
      <c r="BK647" s="323"/>
      <c r="BL647" s="597"/>
      <c r="BM647" s="51"/>
      <c r="BN647" s="92"/>
    </row>
    <row r="648" spans="1:99">
      <c r="A648" s="591"/>
      <c r="B648" s="326"/>
      <c r="C648" s="326"/>
      <c r="D648" s="326"/>
      <c r="E648" s="326"/>
      <c r="F648" s="326"/>
      <c r="G648" s="326"/>
      <c r="H648" s="326"/>
      <c r="I648" s="326"/>
      <c r="J648" s="326"/>
      <c r="K648" s="320"/>
      <c r="L648" s="326"/>
      <c r="M648" s="326"/>
      <c r="N648" s="326"/>
      <c r="O648" s="326"/>
      <c r="P648" s="326"/>
      <c r="Q648" s="326"/>
      <c r="R648" s="326"/>
      <c r="S648" s="326"/>
      <c r="T648" s="326"/>
      <c r="U648" s="326"/>
      <c r="V648" s="320"/>
      <c r="W648" s="326"/>
      <c r="X648" s="326"/>
      <c r="Y648" s="589"/>
      <c r="Z648" s="326"/>
      <c r="AA648" s="326"/>
      <c r="AB648" s="326"/>
      <c r="AC648" s="326"/>
      <c r="AD648" s="326"/>
      <c r="AE648" s="326"/>
      <c r="AF648" s="592"/>
      <c r="AG648" s="323"/>
      <c r="AH648" s="326"/>
      <c r="AI648" s="326"/>
      <c r="AJ648" s="326"/>
      <c r="AK648" s="326"/>
      <c r="AL648" s="327"/>
      <c r="AM648" s="326"/>
      <c r="AN648" s="326"/>
      <c r="AO648" s="326"/>
      <c r="AP648" s="326"/>
      <c r="AQ648" s="319"/>
      <c r="AR648" s="326"/>
      <c r="AS648" s="326"/>
      <c r="AT648" s="326"/>
      <c r="AU648" s="326"/>
      <c r="AV648" s="326"/>
      <c r="AW648" s="326"/>
      <c r="AX648" s="326"/>
      <c r="AY648" s="326"/>
      <c r="AZ648" s="326"/>
      <c r="BA648" s="326"/>
      <c r="BB648" s="327"/>
      <c r="BC648" s="319"/>
      <c r="BD648" s="326"/>
      <c r="BE648" s="326"/>
      <c r="BF648" s="326"/>
      <c r="BG648" s="326"/>
      <c r="BH648" s="326"/>
      <c r="BI648" s="326"/>
      <c r="BJ648" s="326"/>
      <c r="BK648" s="326"/>
      <c r="BL648" s="597"/>
      <c r="BM648" s="51"/>
      <c r="BN648" s="92"/>
    </row>
    <row r="649" spans="1:99">
      <c r="A649" s="591"/>
      <c r="B649" s="326"/>
      <c r="C649" s="326"/>
      <c r="D649" s="326"/>
      <c r="E649" s="326"/>
      <c r="F649" s="589"/>
      <c r="G649" s="326"/>
      <c r="H649" s="326"/>
      <c r="I649" s="326"/>
      <c r="J649" s="326"/>
      <c r="K649" s="320"/>
      <c r="L649" s="326"/>
      <c r="M649" s="326"/>
      <c r="N649" s="326"/>
      <c r="O649" s="326"/>
      <c r="P649" s="589"/>
      <c r="Q649" s="326"/>
      <c r="R649" s="326"/>
      <c r="S649" s="326"/>
      <c r="T649" s="326"/>
      <c r="U649" s="326"/>
      <c r="V649" s="320"/>
      <c r="W649" s="326"/>
      <c r="X649" s="326"/>
      <c r="Y649" s="326"/>
      <c r="Z649" s="326"/>
      <c r="AA649" s="326"/>
      <c r="AB649" s="326"/>
      <c r="AC649" s="326"/>
      <c r="AD649" s="326"/>
      <c r="AE649" s="326"/>
      <c r="AF649" s="592"/>
      <c r="AG649" s="319"/>
      <c r="AH649" s="326"/>
      <c r="AI649" s="326"/>
      <c r="AJ649" s="326"/>
      <c r="AK649" s="326"/>
      <c r="AL649" s="326"/>
      <c r="AM649" s="326"/>
      <c r="AN649" s="326"/>
      <c r="AO649" s="326"/>
      <c r="AP649" s="326"/>
      <c r="AQ649" s="325"/>
      <c r="AR649" s="326"/>
      <c r="AS649" s="326"/>
      <c r="AT649" s="326"/>
      <c r="AU649" s="326"/>
      <c r="AV649" s="326"/>
      <c r="AW649" s="326"/>
      <c r="AX649" s="323"/>
      <c r="AY649" s="326"/>
      <c r="AZ649" s="326"/>
      <c r="BA649" s="326"/>
      <c r="BB649" s="327"/>
      <c r="BC649" s="319"/>
      <c r="BD649" s="326"/>
      <c r="BE649" s="326"/>
      <c r="BF649" s="327"/>
      <c r="BG649" s="326"/>
      <c r="BH649" s="326"/>
      <c r="BI649" s="326"/>
      <c r="BJ649" s="326"/>
      <c r="BK649" s="326"/>
      <c r="BL649" s="597"/>
      <c r="BM649" s="51"/>
      <c r="BN649" s="92"/>
    </row>
    <row r="650" spans="1:99">
      <c r="A650" s="327"/>
      <c r="B650" s="326"/>
      <c r="C650" s="326"/>
      <c r="D650" s="326"/>
      <c r="E650" s="326"/>
      <c r="F650" s="326"/>
      <c r="G650" s="326"/>
      <c r="H650" s="326"/>
      <c r="I650" s="326"/>
      <c r="J650" s="326"/>
      <c r="K650" s="595"/>
      <c r="L650" s="326"/>
      <c r="M650" s="326"/>
      <c r="N650" s="326"/>
      <c r="O650" s="326"/>
      <c r="P650" s="326"/>
      <c r="Q650" s="326"/>
      <c r="R650" s="326"/>
      <c r="S650" s="326"/>
      <c r="T650" s="326"/>
      <c r="U650" s="326"/>
      <c r="V650" s="595"/>
      <c r="W650" s="326"/>
      <c r="X650" s="326"/>
      <c r="Y650" s="326"/>
      <c r="Z650" s="326"/>
      <c r="AA650" s="326"/>
      <c r="AB650" s="326"/>
      <c r="AC650" s="326"/>
      <c r="AD650" s="326"/>
      <c r="AE650" s="326"/>
      <c r="AF650" s="592"/>
      <c r="AG650" s="591"/>
      <c r="AH650" s="326"/>
      <c r="AI650" s="326"/>
      <c r="AJ650" s="326"/>
      <c r="AK650" s="326"/>
      <c r="AL650" s="326"/>
      <c r="AM650" s="326"/>
      <c r="AN650" s="326"/>
      <c r="AO650" s="326"/>
      <c r="AP650" s="326"/>
      <c r="AQ650" s="325"/>
      <c r="AR650" s="326"/>
      <c r="AS650" s="326"/>
      <c r="AT650" s="326"/>
      <c r="AU650" s="326"/>
      <c r="AV650" s="326"/>
      <c r="AW650" s="326"/>
      <c r="AX650" s="326"/>
      <c r="AY650" s="326"/>
      <c r="AZ650" s="326"/>
      <c r="BA650" s="326"/>
      <c r="BB650" s="325"/>
      <c r="BC650" s="326"/>
      <c r="BD650" s="326"/>
      <c r="BE650" s="326"/>
      <c r="BF650" s="326"/>
      <c r="BG650" s="326"/>
      <c r="BH650" s="326"/>
      <c r="BI650" s="326"/>
      <c r="BJ650" s="326"/>
      <c r="BK650" s="326"/>
      <c r="BL650" s="598"/>
      <c r="BM650" s="51"/>
      <c r="BN650" s="92"/>
    </row>
    <row r="651" spans="1:99">
      <c r="A651" s="327"/>
      <c r="B651" s="320"/>
      <c r="C651" s="327"/>
      <c r="D651" s="320"/>
      <c r="E651" s="320"/>
      <c r="F651" s="327"/>
      <c r="G651" s="320"/>
      <c r="H651" s="320"/>
      <c r="I651" s="320"/>
      <c r="J651" s="327"/>
      <c r="K651" s="327"/>
      <c r="L651" s="327"/>
      <c r="M651" s="327"/>
      <c r="N651" s="320"/>
      <c r="O651" s="320"/>
      <c r="P651" s="327"/>
      <c r="Q651" s="327"/>
      <c r="R651" s="320"/>
      <c r="S651" s="320"/>
      <c r="T651" s="320"/>
      <c r="U651" s="327"/>
      <c r="V651" s="320"/>
      <c r="W651" s="320"/>
      <c r="X651" s="320"/>
      <c r="Y651" s="327"/>
      <c r="Z651" s="327"/>
      <c r="AA651" s="327"/>
      <c r="AB651" s="327"/>
      <c r="AC651" s="327"/>
      <c r="AD651" s="320"/>
      <c r="AE651" s="327"/>
      <c r="AF651" s="592"/>
      <c r="AG651" s="323"/>
      <c r="AH651" s="325"/>
      <c r="AI651" s="327"/>
      <c r="AJ651" s="320"/>
      <c r="AK651" s="320"/>
      <c r="AL651" s="327"/>
      <c r="AM651" s="323"/>
      <c r="AN651" s="323"/>
      <c r="AO651" s="323"/>
      <c r="AP651" s="327"/>
      <c r="AQ651" s="327"/>
      <c r="AR651" s="327"/>
      <c r="AS651" s="327"/>
      <c r="AT651" s="323"/>
      <c r="AU651" s="323"/>
      <c r="AV651" s="323"/>
      <c r="AW651" s="323"/>
      <c r="AX651" s="323"/>
      <c r="AY651" s="323"/>
      <c r="AZ651" s="324"/>
      <c r="BA651" s="327"/>
      <c r="BB651" s="323"/>
      <c r="BC651" s="323"/>
      <c r="BD651" s="325"/>
      <c r="BE651" s="325"/>
      <c r="BF651" s="327"/>
      <c r="BG651" s="327"/>
      <c r="BH651" s="327"/>
      <c r="BI651" s="327"/>
      <c r="BJ651" s="324"/>
      <c r="BK651" s="320"/>
      <c r="BL651" s="598"/>
      <c r="BM651" s="51"/>
      <c r="BN651" s="92"/>
    </row>
    <row r="652" spans="1:99">
      <c r="A652" s="591"/>
      <c r="B652" s="326"/>
      <c r="C652" s="326"/>
      <c r="D652" s="326"/>
      <c r="E652" s="326"/>
      <c r="F652" s="326"/>
      <c r="G652" s="319"/>
      <c r="H652" s="326"/>
      <c r="I652" s="326"/>
      <c r="J652" s="326"/>
      <c r="K652" s="326"/>
      <c r="L652" s="326"/>
      <c r="M652" s="326"/>
      <c r="N652" s="326"/>
      <c r="O652" s="591"/>
      <c r="P652" s="326"/>
      <c r="Q652" s="326"/>
      <c r="R652" s="326"/>
      <c r="S652" s="326"/>
      <c r="T652" s="326"/>
      <c r="U652" s="326"/>
      <c r="V652" s="326"/>
      <c r="W652" s="326"/>
      <c r="X652" s="326"/>
      <c r="Y652" s="326"/>
      <c r="Z652" s="326"/>
      <c r="AA652" s="319"/>
      <c r="AB652" s="440"/>
      <c r="AC652" s="326"/>
      <c r="AD652" s="326"/>
      <c r="AE652" s="326"/>
      <c r="AF652" s="592"/>
      <c r="AG652" s="323"/>
      <c r="AH652" s="326"/>
      <c r="AI652" s="326"/>
      <c r="AJ652" s="326"/>
      <c r="AK652" s="326"/>
      <c r="AL652" s="326"/>
      <c r="AM652" s="319"/>
      <c r="AN652" s="326"/>
      <c r="AO652" s="326"/>
      <c r="AP652" s="326"/>
      <c r="AQ652" s="326"/>
      <c r="AR652" s="326"/>
      <c r="AS652" s="326"/>
      <c r="AT652" s="326"/>
      <c r="AU652" s="319"/>
      <c r="AV652" s="326"/>
      <c r="AW652" s="326"/>
      <c r="AX652" s="326"/>
      <c r="AY652" s="326"/>
      <c r="AZ652" s="326"/>
      <c r="BA652" s="326"/>
      <c r="BB652" s="326"/>
      <c r="BC652" s="326"/>
      <c r="BD652" s="326"/>
      <c r="BE652" s="326"/>
      <c r="BF652" s="326"/>
      <c r="BG652" s="319"/>
      <c r="BH652" s="326"/>
      <c r="BI652" s="326"/>
      <c r="BJ652" s="326"/>
      <c r="BK652" s="326"/>
      <c r="BL652" s="598"/>
      <c r="BM652" s="51"/>
      <c r="BN652" s="92"/>
    </row>
    <row r="653" spans="1:99">
      <c r="A653" s="591"/>
      <c r="B653" s="326"/>
      <c r="C653" s="326"/>
      <c r="D653" s="326"/>
      <c r="E653" s="326"/>
      <c r="F653" s="326"/>
      <c r="G653" s="591"/>
      <c r="H653" s="326"/>
      <c r="I653" s="326"/>
      <c r="J653" s="326"/>
      <c r="K653" s="326"/>
      <c r="L653" s="326"/>
      <c r="M653" s="326"/>
      <c r="N653" s="326"/>
      <c r="O653" s="591"/>
      <c r="P653" s="326"/>
      <c r="Q653" s="326"/>
      <c r="R653" s="326"/>
      <c r="S653" s="326"/>
      <c r="T653" s="326"/>
      <c r="U653" s="326"/>
      <c r="V653" s="326"/>
      <c r="W653" s="326"/>
      <c r="X653" s="326"/>
      <c r="Y653" s="326"/>
      <c r="Z653" s="326"/>
      <c r="AA653" s="591"/>
      <c r="AB653" s="326"/>
      <c r="AC653" s="326"/>
      <c r="AD653" s="326"/>
      <c r="AE653" s="326"/>
      <c r="AF653" s="592"/>
      <c r="AG653" s="323"/>
      <c r="AH653" s="326"/>
      <c r="AI653" s="326"/>
      <c r="AJ653" s="326"/>
      <c r="AK653" s="326"/>
      <c r="AL653" s="326"/>
      <c r="AM653" s="591"/>
      <c r="AN653" s="326"/>
      <c r="AO653" s="326"/>
      <c r="AP653" s="326"/>
      <c r="AQ653" s="324"/>
      <c r="AR653" s="326"/>
      <c r="AS653" s="326"/>
      <c r="AT653" s="326"/>
      <c r="AU653" s="591"/>
      <c r="AV653" s="326"/>
      <c r="AW653" s="326"/>
      <c r="AX653" s="324"/>
      <c r="AY653" s="326"/>
      <c r="AZ653" s="326"/>
      <c r="BA653" s="326"/>
      <c r="BB653" s="324"/>
      <c r="BC653" s="326"/>
      <c r="BD653" s="326"/>
      <c r="BE653" s="326"/>
      <c r="BF653" s="326"/>
      <c r="BG653" s="591"/>
      <c r="BH653" s="326"/>
      <c r="BI653" s="326"/>
      <c r="BJ653" s="326"/>
      <c r="BK653" s="326"/>
      <c r="BL653" s="598"/>
      <c r="BM653" s="51"/>
      <c r="BN653" s="92"/>
    </row>
    <row r="654" spans="1:99">
      <c r="A654" s="591"/>
      <c r="B654" s="326"/>
      <c r="C654" s="326"/>
      <c r="D654" s="326"/>
      <c r="E654" s="326"/>
      <c r="F654" s="326"/>
      <c r="G654" s="591"/>
      <c r="H654" s="326"/>
      <c r="I654" s="326"/>
      <c r="J654" s="326"/>
      <c r="K654" s="326"/>
      <c r="L654" s="326"/>
      <c r="M654" s="326"/>
      <c r="N654" s="326"/>
      <c r="O654" s="591"/>
      <c r="P654" s="326"/>
      <c r="Q654" s="326"/>
      <c r="R654" s="326"/>
      <c r="S654" s="326"/>
      <c r="T654" s="326"/>
      <c r="U654" s="589"/>
      <c r="V654" s="326"/>
      <c r="W654" s="326"/>
      <c r="X654" s="326"/>
      <c r="Y654" s="326"/>
      <c r="Z654" s="326"/>
      <c r="AA654" s="591"/>
      <c r="AB654" s="326"/>
      <c r="AC654" s="326"/>
      <c r="AD654" s="326"/>
      <c r="AE654" s="326"/>
      <c r="AF654" s="592"/>
      <c r="AG654" s="323"/>
      <c r="AH654" s="326"/>
      <c r="AI654" s="326"/>
      <c r="AJ654" s="326"/>
      <c r="AK654" s="326"/>
      <c r="AL654" s="326"/>
      <c r="AM654" s="591"/>
      <c r="AN654" s="326"/>
      <c r="AO654" s="326"/>
      <c r="AP654" s="326"/>
      <c r="AQ654" s="326"/>
      <c r="AR654" s="326"/>
      <c r="AS654" s="326"/>
      <c r="AT654" s="326"/>
      <c r="AU654" s="325"/>
      <c r="AV654" s="326"/>
      <c r="AW654" s="326"/>
      <c r="AX654" s="326"/>
      <c r="AY654" s="324"/>
      <c r="AZ654" s="326"/>
      <c r="BA654" s="326"/>
      <c r="BB654" s="326"/>
      <c r="BC654" s="326"/>
      <c r="BD654" s="326"/>
      <c r="BE654" s="326"/>
      <c r="BF654" s="326"/>
      <c r="BG654" s="591"/>
      <c r="BH654" s="326"/>
      <c r="BI654" s="326"/>
      <c r="BJ654" s="326"/>
      <c r="BK654" s="326"/>
      <c r="BL654" s="598"/>
      <c r="BM654" s="51"/>
      <c r="BN654" s="92"/>
    </row>
    <row r="655" spans="1:99">
      <c r="BM655" s="51"/>
      <c r="BN655" s="92"/>
      <c r="CT655">
        <v>14</v>
      </c>
      <c r="CU655">
        <v>14</v>
      </c>
    </row>
    <row r="656" spans="1:99">
      <c r="A656" s="327"/>
      <c r="B656" s="591"/>
      <c r="C656" s="591"/>
      <c r="D656" s="591"/>
      <c r="E656" s="327"/>
      <c r="F656" s="327"/>
      <c r="G656" s="327"/>
      <c r="H656" s="327"/>
      <c r="I656" s="591"/>
      <c r="J656" s="591"/>
      <c r="K656" s="591"/>
      <c r="L656" s="591"/>
      <c r="M656" s="327"/>
      <c r="N656" s="327"/>
      <c r="O656" s="327"/>
      <c r="P656" s="327"/>
      <c r="Q656" s="319"/>
      <c r="R656" s="591"/>
      <c r="S656" s="591"/>
      <c r="T656" s="591"/>
      <c r="U656" s="591"/>
      <c r="V656" s="591"/>
      <c r="W656" s="591"/>
      <c r="X656" s="591"/>
      <c r="Y656" s="327"/>
      <c r="Z656" s="591"/>
      <c r="AA656" s="327"/>
      <c r="AB656" s="327"/>
      <c r="AC656" s="319"/>
      <c r="AD656" s="327"/>
      <c r="AE656" s="327"/>
      <c r="AF656" s="592"/>
      <c r="AG656" s="327"/>
      <c r="AH656" s="325"/>
      <c r="AI656" s="324"/>
      <c r="AJ656" s="324"/>
      <c r="AK656" s="324"/>
      <c r="AL656" s="327"/>
      <c r="AM656" s="327"/>
      <c r="AN656" s="327"/>
      <c r="AO656" s="591"/>
      <c r="AP656" s="324"/>
      <c r="AQ656" s="324"/>
      <c r="AR656" s="324"/>
      <c r="AS656" s="324"/>
      <c r="AT656" s="324"/>
      <c r="AU656" s="327"/>
      <c r="AV656" s="327"/>
      <c r="AW656" s="325"/>
      <c r="AX656" s="591"/>
      <c r="AY656" s="324"/>
      <c r="AZ656" s="324"/>
      <c r="BA656" s="325"/>
      <c r="BB656" s="325"/>
      <c r="BC656" s="324"/>
      <c r="BD656" s="324"/>
      <c r="BE656" s="325"/>
      <c r="BF656" s="324"/>
      <c r="BG656" s="324"/>
      <c r="BH656" s="324"/>
      <c r="BI656" s="324"/>
      <c r="BJ656" s="324"/>
      <c r="BK656" s="591"/>
      <c r="BL656" s="599"/>
      <c r="BM656" s="51"/>
      <c r="BN656" s="92"/>
    </row>
    <row r="657" spans="1:99">
      <c r="A657" s="327"/>
      <c r="B657" s="326"/>
      <c r="C657" s="326"/>
      <c r="D657" s="326"/>
      <c r="E657" s="326"/>
      <c r="F657" s="326"/>
      <c r="G657" s="326"/>
      <c r="H657" s="322"/>
      <c r="I657" s="319"/>
      <c r="J657" s="326"/>
      <c r="K657" s="326"/>
      <c r="L657" s="326"/>
      <c r="M657" s="326"/>
      <c r="N657" s="326"/>
      <c r="O657" s="326"/>
      <c r="P657" s="326"/>
      <c r="Q657" s="326"/>
      <c r="R657" s="326"/>
      <c r="S657" s="319"/>
      <c r="T657" s="326"/>
      <c r="U657" s="326"/>
      <c r="V657" s="326"/>
      <c r="W657" s="326"/>
      <c r="X657" s="326"/>
      <c r="Y657" s="326"/>
      <c r="Z657" s="326"/>
      <c r="AA657" s="326"/>
      <c r="AB657" s="326"/>
      <c r="AC657" s="326"/>
      <c r="AD657" s="326"/>
      <c r="AE657" s="326"/>
      <c r="AF657" s="592"/>
      <c r="AG657" s="324"/>
      <c r="AH657" s="326"/>
      <c r="AI657" s="326"/>
      <c r="AJ657" s="326"/>
      <c r="AK657" s="326"/>
      <c r="AL657" s="326"/>
      <c r="AM657" s="326"/>
      <c r="AN657" s="326"/>
      <c r="AO657" s="319"/>
      <c r="AP657" s="326"/>
      <c r="AQ657" s="326"/>
      <c r="AR657" s="326"/>
      <c r="AS657" s="326"/>
      <c r="AT657" s="326"/>
      <c r="AU657" s="326"/>
      <c r="AV657" s="326"/>
      <c r="AW657" s="326"/>
      <c r="AX657" s="326"/>
      <c r="AY657" s="319"/>
      <c r="AZ657" s="326"/>
      <c r="BA657" s="326"/>
      <c r="BB657" s="326"/>
      <c r="BC657" s="326"/>
      <c r="BD657" s="326"/>
      <c r="BE657" s="326"/>
      <c r="BF657" s="326"/>
      <c r="BG657" s="326"/>
      <c r="BH657" s="326"/>
      <c r="BI657" s="326"/>
      <c r="BJ657" s="326"/>
      <c r="BK657" s="326"/>
      <c r="BL657" s="599"/>
      <c r="BM657" s="51"/>
      <c r="BN657" s="92"/>
    </row>
    <row r="658" spans="1:99">
      <c r="A658" s="327"/>
      <c r="B658" s="326"/>
      <c r="C658" s="326"/>
      <c r="D658" s="326"/>
      <c r="E658" s="326"/>
      <c r="F658" s="326"/>
      <c r="G658" s="326"/>
      <c r="H658" s="326"/>
      <c r="I658" s="323"/>
      <c r="J658" s="326"/>
      <c r="K658" s="326"/>
      <c r="L658" s="326"/>
      <c r="M658" s="326"/>
      <c r="N658" s="326"/>
      <c r="O658" s="326"/>
      <c r="P658" s="326"/>
      <c r="Q658" s="326"/>
      <c r="R658" s="326"/>
      <c r="S658" s="323"/>
      <c r="T658" s="326"/>
      <c r="U658" s="326"/>
      <c r="V658" s="326"/>
      <c r="W658" s="326"/>
      <c r="X658" s="326"/>
      <c r="Y658" s="326"/>
      <c r="Z658" s="326"/>
      <c r="AA658" s="326"/>
      <c r="AB658" s="326"/>
      <c r="AC658" s="326"/>
      <c r="AD658" s="326"/>
      <c r="AE658" s="326"/>
      <c r="AF658" s="592"/>
      <c r="AG658" s="324"/>
      <c r="AH658" s="326"/>
      <c r="AI658" s="326"/>
      <c r="AJ658" s="326"/>
      <c r="AK658" s="326"/>
      <c r="AL658" s="324"/>
      <c r="AM658" s="326"/>
      <c r="AN658" s="326"/>
      <c r="AO658" s="323"/>
      <c r="AP658" s="326"/>
      <c r="AQ658" s="326"/>
      <c r="AR658" s="326"/>
      <c r="AS658" s="326"/>
      <c r="AT658" s="324"/>
      <c r="AU658" s="326"/>
      <c r="AV658" s="326"/>
      <c r="AW658" s="326"/>
      <c r="AX658" s="326"/>
      <c r="AY658" s="323"/>
      <c r="AZ658" s="326"/>
      <c r="BA658" s="326"/>
      <c r="BB658" s="326"/>
      <c r="BC658" s="326"/>
      <c r="BD658" s="324"/>
      <c r="BE658" s="326"/>
      <c r="BF658" s="326"/>
      <c r="BG658" s="326"/>
      <c r="BH658" s="326"/>
      <c r="BI658" s="326"/>
      <c r="BJ658" s="326"/>
      <c r="BK658" s="326"/>
      <c r="BL658" s="599"/>
      <c r="BM658" s="51"/>
      <c r="BN658" s="92"/>
    </row>
    <row r="659" spans="1:99">
      <c r="A659" s="327"/>
      <c r="B659" s="326"/>
      <c r="C659" s="326"/>
      <c r="D659" s="326"/>
      <c r="E659" s="326"/>
      <c r="F659" s="326"/>
      <c r="G659" s="326"/>
      <c r="H659" s="326"/>
      <c r="I659" s="323"/>
      <c r="J659" s="326"/>
      <c r="K659" s="326"/>
      <c r="L659" s="326"/>
      <c r="M659" s="326"/>
      <c r="N659" s="326"/>
      <c r="O659" s="326"/>
      <c r="P659" s="326"/>
      <c r="Q659" s="326"/>
      <c r="R659" s="326"/>
      <c r="S659" s="323"/>
      <c r="T659" s="326"/>
      <c r="U659" s="326"/>
      <c r="V659" s="326"/>
      <c r="W659" s="326"/>
      <c r="X659" s="326"/>
      <c r="Y659" s="326"/>
      <c r="Z659" s="326"/>
      <c r="AA659" s="326"/>
      <c r="AB659" s="326"/>
      <c r="AC659" s="326"/>
      <c r="AD659" s="326"/>
      <c r="AE659" s="326"/>
      <c r="AF659" s="592"/>
      <c r="AG659" s="325"/>
      <c r="AH659" s="326"/>
      <c r="AI659" s="326"/>
      <c r="AJ659" s="326"/>
      <c r="AK659" s="326"/>
      <c r="AL659" s="326"/>
      <c r="AM659" s="326"/>
      <c r="AN659" s="326"/>
      <c r="AO659" s="323"/>
      <c r="AP659" s="326"/>
      <c r="AQ659" s="326"/>
      <c r="AR659" s="326"/>
      <c r="AS659" s="326"/>
      <c r="AT659" s="326"/>
      <c r="AU659" s="326"/>
      <c r="AV659" s="326"/>
      <c r="AW659" s="326"/>
      <c r="AX659" s="326"/>
      <c r="AY659" s="323"/>
      <c r="AZ659" s="326"/>
      <c r="BA659" s="326"/>
      <c r="BB659" s="326"/>
      <c r="BC659" s="326"/>
      <c r="BD659" s="326"/>
      <c r="BE659" s="326"/>
      <c r="BF659" s="326"/>
      <c r="BG659" s="326"/>
      <c r="BH659" s="324"/>
      <c r="BI659" s="326"/>
      <c r="BJ659" s="326"/>
      <c r="BK659" s="326"/>
      <c r="BL659" s="599"/>
      <c r="BM659" s="51"/>
      <c r="BN659" s="92"/>
    </row>
    <row r="660" spans="1:99">
      <c r="BM660" s="51"/>
      <c r="BN660" s="92"/>
      <c r="CT660">
        <v>19</v>
      </c>
      <c r="CU660">
        <v>19</v>
      </c>
    </row>
    <row r="661" spans="1:99">
      <c r="A661" s="323"/>
      <c r="B661" s="323"/>
      <c r="C661" s="319"/>
      <c r="D661" s="323"/>
      <c r="E661" s="323"/>
      <c r="F661" s="323"/>
      <c r="G661" s="323"/>
      <c r="H661" s="323"/>
      <c r="I661" s="323"/>
      <c r="J661" s="323"/>
      <c r="K661" s="323"/>
      <c r="L661" s="319"/>
      <c r="M661" s="323"/>
      <c r="N661" s="323"/>
      <c r="O661" s="323"/>
      <c r="P661" s="323"/>
      <c r="Q661" s="323"/>
      <c r="R661" s="323"/>
      <c r="S661" s="323"/>
      <c r="T661" s="323"/>
      <c r="U661" s="327"/>
      <c r="V661" s="323"/>
      <c r="W661" s="323"/>
      <c r="X661" s="323"/>
      <c r="Y661" s="319"/>
      <c r="Z661" s="323"/>
      <c r="AA661" s="323"/>
      <c r="AB661" s="323"/>
      <c r="AC661" s="327"/>
      <c r="AD661" s="323"/>
      <c r="AE661" s="323"/>
      <c r="AF661" s="592"/>
      <c r="AG661" s="323"/>
      <c r="AH661" s="323"/>
      <c r="AI661" s="323"/>
      <c r="AJ661" s="323"/>
      <c r="AK661" s="323"/>
      <c r="AL661" s="323"/>
      <c r="AM661" s="323"/>
      <c r="AN661" s="323"/>
      <c r="AO661" s="323"/>
      <c r="AP661" s="323"/>
      <c r="AQ661" s="323"/>
      <c r="AR661" s="323"/>
      <c r="AS661" s="323"/>
      <c r="AT661" s="323"/>
      <c r="AU661" s="323"/>
      <c r="AV661" s="323"/>
      <c r="AW661" s="323"/>
      <c r="AX661" s="323"/>
      <c r="AY661" s="323"/>
      <c r="AZ661" s="323"/>
      <c r="BA661" s="323"/>
      <c r="BB661" s="323"/>
      <c r="BC661" s="323"/>
      <c r="BD661" s="323"/>
      <c r="BE661" s="323"/>
      <c r="BF661" s="323"/>
      <c r="BG661" s="323"/>
      <c r="BH661" s="323"/>
      <c r="BI661" s="323"/>
      <c r="BJ661" s="323"/>
      <c r="BK661" s="323"/>
      <c r="BL661" s="599"/>
      <c r="BM661" s="51"/>
      <c r="BN661" s="92"/>
    </row>
    <row r="662" spans="1:99">
      <c r="A662" s="323"/>
      <c r="B662" s="322"/>
      <c r="C662" s="322"/>
      <c r="D662" s="322"/>
      <c r="E662" s="591"/>
      <c r="F662" s="322"/>
      <c r="G662" s="322"/>
      <c r="H662" s="322"/>
      <c r="I662" s="322"/>
      <c r="J662" s="322"/>
      <c r="K662" s="322"/>
      <c r="L662" s="322"/>
      <c r="M662" s="322"/>
      <c r="N662" s="322"/>
      <c r="O662" s="323"/>
      <c r="P662" s="322"/>
      <c r="Q662" s="322"/>
      <c r="R662" s="322"/>
      <c r="S662" s="322"/>
      <c r="T662" s="322"/>
      <c r="U662" s="322"/>
      <c r="V662" s="322"/>
      <c r="W662" s="322"/>
      <c r="X662" s="322"/>
      <c r="Y662" s="322"/>
      <c r="Z662" s="323"/>
      <c r="AA662" s="322"/>
      <c r="AB662" s="322"/>
      <c r="AC662" s="322"/>
      <c r="AD662" s="322"/>
      <c r="AE662" s="322"/>
      <c r="AF662" s="592"/>
      <c r="AG662" s="324"/>
      <c r="AH662" s="322"/>
      <c r="AI662" s="322"/>
      <c r="AJ662" s="322"/>
      <c r="AK662" s="323"/>
      <c r="AL662" s="322"/>
      <c r="AM662" s="322"/>
      <c r="AN662" s="322"/>
      <c r="AO662" s="322"/>
      <c r="AP662" s="322"/>
      <c r="AQ662" s="322"/>
      <c r="AR662" s="322"/>
      <c r="AS662" s="322"/>
      <c r="AT662" s="322"/>
      <c r="AU662" s="325"/>
      <c r="AV662" s="322"/>
      <c r="AW662" s="322"/>
      <c r="AX662" s="322"/>
      <c r="AY662" s="322"/>
      <c r="AZ662" s="322"/>
      <c r="BA662" s="322"/>
      <c r="BB662" s="322"/>
      <c r="BC662" s="322"/>
      <c r="BD662" s="322"/>
      <c r="BE662" s="322"/>
      <c r="BF662" s="323"/>
      <c r="BG662" s="322"/>
      <c r="BH662" s="322"/>
      <c r="BI662" s="322"/>
      <c r="BJ662" s="322"/>
      <c r="BK662" s="322"/>
      <c r="BL662" s="599"/>
      <c r="BM662" s="51"/>
      <c r="BN662" s="92"/>
    </row>
    <row r="663" spans="1:99">
      <c r="A663" s="323"/>
      <c r="B663" s="322"/>
      <c r="C663" s="322"/>
      <c r="D663" s="322"/>
      <c r="E663" s="325"/>
      <c r="F663" s="322"/>
      <c r="G663" s="322"/>
      <c r="H663" s="322"/>
      <c r="I663" s="322"/>
      <c r="J663" s="322"/>
      <c r="K663" s="322"/>
      <c r="L663" s="322"/>
      <c r="M663" s="322"/>
      <c r="N663" s="322"/>
      <c r="O663" s="325"/>
      <c r="P663" s="322"/>
      <c r="Q663" s="322"/>
      <c r="R663" s="322"/>
      <c r="S663" s="322"/>
      <c r="T663" s="324"/>
      <c r="U663" s="322"/>
      <c r="V663" s="322"/>
      <c r="W663" s="322"/>
      <c r="X663" s="322"/>
      <c r="Y663" s="322"/>
      <c r="Z663" s="325"/>
      <c r="AA663" s="322"/>
      <c r="AB663" s="322"/>
      <c r="AC663" s="322"/>
      <c r="AD663" s="322"/>
      <c r="AE663" s="322"/>
      <c r="AF663" s="592"/>
      <c r="AG663" s="325"/>
      <c r="AH663" s="322"/>
      <c r="AI663" s="322"/>
      <c r="AJ663" s="322"/>
      <c r="AK663" s="325"/>
      <c r="AL663" s="322"/>
      <c r="AM663" s="322"/>
      <c r="AN663" s="322"/>
      <c r="AO663" s="322"/>
      <c r="AP663" s="322"/>
      <c r="AQ663" s="324"/>
      <c r="AR663" s="322"/>
      <c r="AS663" s="322"/>
      <c r="AT663" s="322"/>
      <c r="AU663" s="325"/>
      <c r="AV663" s="322"/>
      <c r="AW663" s="324"/>
      <c r="AX663" s="322"/>
      <c r="AY663" s="322"/>
      <c r="AZ663" s="322"/>
      <c r="BA663" s="322"/>
      <c r="BB663" s="322"/>
      <c r="BC663" s="322"/>
      <c r="BD663" s="322"/>
      <c r="BE663" s="322"/>
      <c r="BF663" s="325"/>
      <c r="BG663" s="322"/>
      <c r="BH663" s="322"/>
      <c r="BI663" s="322"/>
      <c r="BJ663" s="322"/>
      <c r="BK663" s="322"/>
      <c r="BL663" s="599"/>
      <c r="BM663" s="52"/>
      <c r="BN663" s="92"/>
    </row>
    <row r="664" spans="1:99">
      <c r="A664" s="323"/>
      <c r="B664" s="322"/>
      <c r="C664" s="322"/>
      <c r="D664" s="322"/>
      <c r="E664" s="325"/>
      <c r="F664" s="322"/>
      <c r="G664" s="322"/>
      <c r="H664" s="322"/>
      <c r="I664" s="322"/>
      <c r="J664" s="322"/>
      <c r="K664" s="322"/>
      <c r="L664" s="322"/>
      <c r="M664" s="322"/>
      <c r="N664" s="322"/>
      <c r="O664" s="325"/>
      <c r="P664" s="322"/>
      <c r="Q664" s="322"/>
      <c r="R664" s="322"/>
      <c r="S664" s="322"/>
      <c r="T664" s="322"/>
      <c r="U664" s="322"/>
      <c r="V664" s="322"/>
      <c r="W664" s="322"/>
      <c r="X664" s="322"/>
      <c r="Y664" s="322"/>
      <c r="Z664" s="325"/>
      <c r="AA664" s="322"/>
      <c r="AB664" s="322"/>
      <c r="AC664" s="322"/>
      <c r="AD664" s="322"/>
      <c r="AE664" s="322"/>
      <c r="AF664" s="592"/>
      <c r="AG664" s="324"/>
      <c r="AH664" s="322"/>
      <c r="AI664" s="322"/>
      <c r="AJ664" s="322"/>
      <c r="AK664" s="325"/>
      <c r="AL664" s="322"/>
      <c r="AM664" s="324"/>
      <c r="AN664" s="322"/>
      <c r="AO664" s="322"/>
      <c r="AP664" s="322"/>
      <c r="AQ664" s="322"/>
      <c r="AR664" s="322"/>
      <c r="AS664" s="322"/>
      <c r="AT664" s="322"/>
      <c r="AU664" s="325"/>
      <c r="AV664" s="322"/>
      <c r="AW664" s="322"/>
      <c r="AX664" s="322"/>
      <c r="AY664" s="322"/>
      <c r="AZ664" s="322"/>
      <c r="BA664" s="324"/>
      <c r="BB664" s="322"/>
      <c r="BC664" s="322"/>
      <c r="BD664" s="322"/>
      <c r="BE664" s="322"/>
      <c r="BF664" s="325"/>
      <c r="BG664" s="322"/>
      <c r="BH664" s="322"/>
      <c r="BI664" s="324"/>
      <c r="BJ664" s="322"/>
      <c r="BK664" s="322"/>
      <c r="BL664" s="599"/>
      <c r="BM664" s="52"/>
      <c r="BN664" s="92"/>
    </row>
    <row r="665" spans="1:99">
      <c r="A665" s="323"/>
      <c r="B665" s="322"/>
      <c r="C665" s="322"/>
      <c r="D665" s="322"/>
      <c r="E665" s="325"/>
      <c r="F665" s="322"/>
      <c r="G665" s="322"/>
      <c r="H665" s="322"/>
      <c r="I665" s="322"/>
      <c r="J665" s="322"/>
      <c r="K665" s="322"/>
      <c r="L665" s="322"/>
      <c r="M665" s="322"/>
      <c r="N665" s="322"/>
      <c r="O665" s="325"/>
      <c r="P665" s="322"/>
      <c r="Q665" s="322"/>
      <c r="R665" s="322"/>
      <c r="S665" s="322"/>
      <c r="T665" s="322"/>
      <c r="U665" s="322"/>
      <c r="V665" s="322"/>
      <c r="W665" s="322"/>
      <c r="X665" s="322"/>
      <c r="Y665" s="322"/>
      <c r="Z665" s="325"/>
      <c r="AA665" s="322"/>
      <c r="AB665" s="322"/>
      <c r="AC665" s="322"/>
      <c r="AD665" s="322"/>
      <c r="AE665" s="322"/>
      <c r="AF665" s="592"/>
      <c r="AG665" s="323"/>
      <c r="AH665" s="322"/>
      <c r="AI665" s="322"/>
      <c r="AJ665" s="322"/>
      <c r="AK665" s="325"/>
      <c r="AL665" s="322"/>
      <c r="AM665" s="322"/>
      <c r="AN665" s="322"/>
      <c r="AO665" s="322"/>
      <c r="AP665" s="322"/>
      <c r="AQ665" s="322"/>
      <c r="AR665" s="322"/>
      <c r="AS665" s="322"/>
      <c r="AT665" s="322"/>
      <c r="AU665" s="325"/>
      <c r="AV665" s="322"/>
      <c r="AW665" s="322"/>
      <c r="AX665" s="322"/>
      <c r="AY665" s="322"/>
      <c r="AZ665" s="322"/>
      <c r="BA665" s="322"/>
      <c r="BB665" s="322"/>
      <c r="BC665" s="322"/>
      <c r="BD665" s="322"/>
      <c r="BE665" s="322"/>
      <c r="BF665" s="325"/>
      <c r="BG665" s="322"/>
      <c r="BH665" s="322"/>
      <c r="BI665" s="322"/>
      <c r="BJ665" s="322"/>
      <c r="BK665" s="322"/>
      <c r="BL665" s="599"/>
      <c r="BM665" s="52"/>
      <c r="BN665" s="92"/>
    </row>
    <row r="666" spans="1:99">
      <c r="A666" s="324"/>
      <c r="B666" s="325"/>
      <c r="C666" s="325"/>
      <c r="D666" s="324"/>
      <c r="E666" s="324"/>
      <c r="F666" s="325"/>
      <c r="G666" s="325"/>
      <c r="H666" s="327"/>
      <c r="I666" s="327"/>
      <c r="J666" s="325"/>
      <c r="K666" s="324"/>
      <c r="L666" s="325"/>
      <c r="M666" s="324"/>
      <c r="N666" s="325"/>
      <c r="O666" s="325"/>
      <c r="P666" s="324"/>
      <c r="Q666" s="324"/>
      <c r="R666" s="325"/>
      <c r="S666" s="325"/>
      <c r="T666" s="327"/>
      <c r="U666" s="325"/>
      <c r="V666" s="324"/>
      <c r="W666" s="324"/>
      <c r="X666" s="324"/>
      <c r="Y666" s="325"/>
      <c r="Z666" s="325"/>
      <c r="AA666" s="325"/>
      <c r="AB666" s="327"/>
      <c r="AC666" s="325"/>
      <c r="AD666" s="325"/>
      <c r="AE666" s="325"/>
      <c r="AF666" s="592"/>
      <c r="AG666" s="325"/>
      <c r="AH666" s="325"/>
      <c r="AI666" s="325"/>
      <c r="AJ666" s="325"/>
      <c r="AK666" s="325"/>
      <c r="AL666" s="325"/>
      <c r="AM666" s="325"/>
      <c r="AN666" s="325"/>
      <c r="AO666" s="325"/>
      <c r="AP666" s="325"/>
      <c r="AQ666" s="325"/>
      <c r="AR666" s="325"/>
      <c r="AS666" s="325"/>
      <c r="AT666" s="325"/>
      <c r="AU666" s="325"/>
      <c r="AV666" s="325"/>
      <c r="AW666" s="325"/>
      <c r="AX666" s="325"/>
      <c r="AY666" s="325"/>
      <c r="AZ666" s="325"/>
      <c r="BA666" s="325"/>
      <c r="BB666" s="325"/>
      <c r="BC666" s="325"/>
      <c r="BD666" s="325"/>
      <c r="BE666" s="325"/>
      <c r="BF666" s="325"/>
      <c r="BG666" s="325"/>
      <c r="BH666" s="325"/>
      <c r="BI666" s="325"/>
      <c r="BJ666" s="325"/>
      <c r="BK666" s="325"/>
      <c r="BL666" s="598"/>
      <c r="BM666" s="52"/>
      <c r="BN666" s="92"/>
    </row>
    <row r="667" spans="1:99">
      <c r="A667" s="324"/>
      <c r="B667" s="322"/>
      <c r="C667" s="322"/>
      <c r="D667" s="322"/>
      <c r="E667" s="322"/>
      <c r="F667" s="322"/>
      <c r="G667" s="322"/>
      <c r="H667" s="322"/>
      <c r="I667" s="322"/>
      <c r="J667" s="322"/>
      <c r="K667" s="324"/>
      <c r="L667" s="322"/>
      <c r="M667" s="322"/>
      <c r="N667" s="322"/>
      <c r="O667" s="322"/>
      <c r="P667" s="322"/>
      <c r="Q667" s="322"/>
      <c r="R667" s="322"/>
      <c r="S667" s="322"/>
      <c r="T667" s="322"/>
      <c r="U667" s="322"/>
      <c r="V667" s="327"/>
      <c r="W667" s="322"/>
      <c r="X667" s="322"/>
      <c r="Y667" s="322"/>
      <c r="Z667" s="322"/>
      <c r="AA667" s="322"/>
      <c r="AB667" s="322"/>
      <c r="AC667" s="322"/>
      <c r="AD667" s="322"/>
      <c r="AE667" s="322"/>
      <c r="AF667" s="592"/>
      <c r="AG667" s="325"/>
      <c r="AH667" s="325"/>
      <c r="AI667" s="323"/>
      <c r="AJ667" s="319"/>
      <c r="AK667" s="319"/>
      <c r="AL667" s="319"/>
      <c r="AM667" s="319"/>
      <c r="AN667" s="325"/>
      <c r="AO667" s="319"/>
      <c r="AP667" s="319"/>
      <c r="AQ667" s="325"/>
      <c r="AR667" s="322"/>
      <c r="AS667" s="324"/>
      <c r="AT667" s="596"/>
      <c r="AU667" s="325"/>
      <c r="AV667" s="325"/>
      <c r="AW667" s="325"/>
      <c r="AX667" s="319"/>
      <c r="AY667" s="324"/>
      <c r="AZ667" s="319"/>
      <c r="BA667" s="322"/>
      <c r="BB667" s="325"/>
      <c r="BC667" s="324"/>
      <c r="BD667" s="596"/>
      <c r="BE667" s="325"/>
      <c r="BF667" s="325"/>
      <c r="BG667" s="325"/>
      <c r="BH667" s="319"/>
      <c r="BI667" s="324"/>
      <c r="BJ667" s="319"/>
      <c r="BK667" s="322"/>
      <c r="BL667" s="599"/>
      <c r="BM667" s="52"/>
      <c r="BN667" s="92"/>
    </row>
    <row r="668" spans="1:99">
      <c r="A668" s="325"/>
      <c r="B668" s="322"/>
      <c r="C668" s="322"/>
      <c r="D668" s="322"/>
      <c r="E668" s="324"/>
      <c r="F668" s="322"/>
      <c r="G668" s="322"/>
      <c r="H668" s="322"/>
      <c r="I668" s="322"/>
      <c r="J668" s="322"/>
      <c r="K668" s="325"/>
      <c r="L668" s="322"/>
      <c r="M668" s="322"/>
      <c r="N668" s="322"/>
      <c r="O668" s="322"/>
      <c r="P668" s="322"/>
      <c r="Q668" s="322"/>
      <c r="R668" s="322"/>
      <c r="S668" s="322"/>
      <c r="T668" s="322"/>
      <c r="U668" s="322"/>
      <c r="V668" s="325"/>
      <c r="W668" s="322"/>
      <c r="X668" s="324"/>
      <c r="Y668" s="322"/>
      <c r="Z668" s="322"/>
      <c r="AA668" s="322"/>
      <c r="AB668" s="322"/>
      <c r="AC668" s="322"/>
      <c r="AD668" s="322"/>
      <c r="AE668" s="322"/>
      <c r="AF668" s="592"/>
      <c r="AG668" s="325"/>
      <c r="AH668" s="323"/>
      <c r="AI668" s="325"/>
      <c r="AJ668" s="327"/>
      <c r="AK668" s="417"/>
      <c r="AL668" s="319"/>
      <c r="AM668" s="417"/>
      <c r="AN668" s="596"/>
      <c r="AO668" s="417"/>
      <c r="AP668" s="325"/>
      <c r="AQ668" s="325"/>
      <c r="AR668" s="322"/>
      <c r="AS668" s="324"/>
      <c r="AT668" s="319"/>
      <c r="AU668" s="319"/>
      <c r="AV668" s="596"/>
      <c r="AW668" s="324"/>
      <c r="AX668" s="596"/>
      <c r="AY668" s="596"/>
      <c r="AZ668" s="319"/>
      <c r="BA668" s="322"/>
      <c r="BB668" s="325"/>
      <c r="BC668" s="324"/>
      <c r="BD668" s="319"/>
      <c r="BE668" s="319"/>
      <c r="BF668" s="325"/>
      <c r="BG668" s="324"/>
      <c r="BH668" s="325"/>
      <c r="BI668" s="325"/>
      <c r="BJ668" s="319"/>
      <c r="BK668" s="322"/>
      <c r="BL668" s="599"/>
      <c r="BM668" s="52"/>
      <c r="BN668" s="92"/>
    </row>
    <row r="669" spans="1:99">
      <c r="A669" s="325"/>
      <c r="B669" s="322"/>
      <c r="C669" s="322"/>
      <c r="D669" s="322"/>
      <c r="E669" s="322"/>
      <c r="F669" s="322"/>
      <c r="G669" s="322"/>
      <c r="H669" s="322"/>
      <c r="I669" s="322"/>
      <c r="J669" s="322"/>
      <c r="K669" s="325"/>
      <c r="L669" s="322"/>
      <c r="M669" s="322"/>
      <c r="N669" s="322"/>
      <c r="O669" s="322"/>
      <c r="P669" s="322"/>
      <c r="Q669" s="322"/>
      <c r="R669" s="325"/>
      <c r="S669" s="322"/>
      <c r="T669" s="322"/>
      <c r="U669" s="322"/>
      <c r="V669" s="325"/>
      <c r="W669" s="322"/>
      <c r="X669" s="322"/>
      <c r="Y669" s="322"/>
      <c r="Z669" s="322"/>
      <c r="AA669" s="322"/>
      <c r="AB669" s="322"/>
      <c r="AC669" s="322"/>
      <c r="AD669" s="322"/>
      <c r="AE669" s="322"/>
      <c r="AF669" s="592"/>
      <c r="AG669" s="325"/>
      <c r="AH669" s="319"/>
      <c r="AI669" s="596"/>
      <c r="AJ669" s="417"/>
      <c r="AK669" s="417"/>
      <c r="AL669" s="325"/>
      <c r="AM669" s="319"/>
      <c r="AN669" s="325"/>
      <c r="AO669" s="319"/>
      <c r="AP669" s="596"/>
      <c r="AQ669" s="325"/>
      <c r="AR669" s="322"/>
      <c r="AS669" s="319"/>
      <c r="AT669" s="325"/>
      <c r="AU669" s="319"/>
      <c r="AV669" s="319"/>
      <c r="AW669" s="319"/>
      <c r="AX669" s="319"/>
      <c r="AY669" s="325"/>
      <c r="AZ669" s="319"/>
      <c r="BA669" s="322"/>
      <c r="BB669" s="325"/>
      <c r="BC669" s="327"/>
      <c r="BD669" s="325"/>
      <c r="BE669" s="319"/>
      <c r="BF669" s="319"/>
      <c r="BG669" s="596"/>
      <c r="BH669" s="319"/>
      <c r="BI669" s="325"/>
      <c r="BJ669" s="319"/>
      <c r="BK669" s="322"/>
      <c r="BL669" s="599"/>
      <c r="BM669" s="52"/>
      <c r="BN669" s="92"/>
    </row>
    <row r="670" spans="1:99">
      <c r="A670" s="325"/>
      <c r="B670" s="322"/>
      <c r="C670" s="324"/>
      <c r="D670" s="322"/>
      <c r="E670" s="322"/>
      <c r="F670" s="322"/>
      <c r="G670" s="322"/>
      <c r="H670" s="324"/>
      <c r="I670" s="322"/>
      <c r="J670" s="322"/>
      <c r="K670" s="325"/>
      <c r="L670" s="322"/>
      <c r="M670" s="322"/>
      <c r="N670" s="322"/>
      <c r="O670" s="322"/>
      <c r="P670" s="322"/>
      <c r="Q670" s="322"/>
      <c r="R670" s="322"/>
      <c r="S670" s="322"/>
      <c r="T670" s="322"/>
      <c r="U670" s="322"/>
      <c r="V670" s="325"/>
      <c r="W670" s="322"/>
      <c r="X670" s="322"/>
      <c r="Y670" s="322"/>
      <c r="Z670" s="322"/>
      <c r="AA670" s="322"/>
      <c r="AB670" s="324"/>
      <c r="AC670" s="322"/>
      <c r="AD670" s="322"/>
      <c r="AE670" s="322"/>
      <c r="AF670" s="592"/>
      <c r="AG670" s="325"/>
      <c r="AH670" s="324"/>
      <c r="AI670" s="319"/>
      <c r="AJ670" s="417"/>
      <c r="AK670" s="325"/>
      <c r="AL670" s="319"/>
      <c r="AM670" s="596"/>
      <c r="AN670" s="417"/>
      <c r="AO670" s="325"/>
      <c r="AP670" s="319"/>
      <c r="AQ670" s="325"/>
      <c r="AR670" s="322"/>
      <c r="AS670" s="596"/>
      <c r="AT670" s="324"/>
      <c r="AU670" s="319"/>
      <c r="AV670" s="596"/>
      <c r="AW670" s="596"/>
      <c r="AX670" s="319"/>
      <c r="AY670" s="319"/>
      <c r="AZ670" s="325"/>
      <c r="BA670" s="322"/>
      <c r="BB670" s="325"/>
      <c r="BC670" s="596"/>
      <c r="BD670" s="324"/>
      <c r="BE670" s="323"/>
      <c r="BF670" s="319"/>
      <c r="BG670" s="325"/>
      <c r="BH670" s="325"/>
      <c r="BI670" s="319"/>
      <c r="BJ670" s="325"/>
      <c r="BK670" s="322"/>
      <c r="BL670" s="599"/>
      <c r="BM670" s="52"/>
      <c r="BN670" s="92"/>
    </row>
    <row r="671" spans="1:99">
      <c r="A671" s="323"/>
      <c r="B671" s="322"/>
      <c r="C671" s="322"/>
      <c r="D671" s="322"/>
      <c r="E671" s="322"/>
      <c r="F671" s="322"/>
      <c r="G671" s="322"/>
      <c r="H671" s="322"/>
      <c r="I671" s="322"/>
      <c r="J671" s="322"/>
      <c r="K671" s="325"/>
      <c r="L671" s="322"/>
      <c r="M671" s="322"/>
      <c r="N671" s="322"/>
      <c r="O671" s="322"/>
      <c r="P671" s="322"/>
      <c r="Q671" s="322"/>
      <c r="R671" s="322"/>
      <c r="S671" s="322"/>
      <c r="T671" s="322"/>
      <c r="U671" s="322"/>
      <c r="V671" s="325"/>
      <c r="W671" s="322"/>
      <c r="X671" s="322"/>
      <c r="Y671" s="322"/>
      <c r="Z671" s="322"/>
      <c r="AA671" s="322"/>
      <c r="AB671" s="322"/>
      <c r="AC671" s="322"/>
      <c r="AD671" s="322"/>
      <c r="AE671" s="322"/>
      <c r="AF671" s="592"/>
      <c r="AG671" s="323"/>
      <c r="AH671" s="319"/>
      <c r="AI671" s="323"/>
      <c r="AJ671" s="319"/>
      <c r="AK671" s="319"/>
      <c r="AL671" s="324"/>
      <c r="AM671" s="319"/>
      <c r="AN671" s="596"/>
      <c r="AO671" s="319"/>
      <c r="AP671" s="319"/>
      <c r="AQ671" s="325"/>
      <c r="AR671" s="322"/>
      <c r="AS671" s="319"/>
      <c r="AT671" s="596"/>
      <c r="AU671" s="596"/>
      <c r="AV671" s="319"/>
      <c r="AW671" s="323"/>
      <c r="AX671" s="319"/>
      <c r="AY671" s="324"/>
      <c r="AZ671" s="324"/>
      <c r="BA671" s="322"/>
      <c r="BB671" s="325"/>
      <c r="BC671" s="319"/>
      <c r="BD671" s="596"/>
      <c r="BE671" s="319"/>
      <c r="BF671" s="596"/>
      <c r="BG671" s="323"/>
      <c r="BH671" s="319"/>
      <c r="BI671" s="324"/>
      <c r="BJ671" s="324"/>
      <c r="BK671" s="322"/>
      <c r="BL671" s="599"/>
      <c r="BM671" s="52"/>
      <c r="BN671" s="92"/>
    </row>
    <row r="672" spans="1:99">
      <c r="A672" s="324"/>
      <c r="B672" s="324"/>
      <c r="C672" s="324"/>
      <c r="D672" s="324"/>
      <c r="E672" s="324"/>
      <c r="F672" s="324"/>
      <c r="G672" s="324"/>
      <c r="H672" s="324"/>
      <c r="I672" s="324"/>
      <c r="J672" s="324"/>
      <c r="K672" s="324"/>
      <c r="L672" s="324"/>
      <c r="M672" s="324"/>
      <c r="N672" s="324"/>
      <c r="O672" s="324"/>
      <c r="P672" s="324"/>
      <c r="Q672" s="324"/>
      <c r="R672" s="324"/>
      <c r="S672" s="324"/>
      <c r="T672" s="324"/>
      <c r="U672" s="324"/>
      <c r="V672" s="324"/>
      <c r="W672" s="324"/>
      <c r="X672" s="324"/>
      <c r="Y672" s="324"/>
      <c r="Z672" s="324"/>
      <c r="AA672" s="324"/>
      <c r="AB672" s="324"/>
      <c r="AC672" s="324"/>
      <c r="AD672" s="324"/>
      <c r="AE672" s="324"/>
      <c r="AF672" s="592"/>
      <c r="AG672" s="324"/>
      <c r="AH672" s="420"/>
      <c r="AI672" s="420"/>
      <c r="AJ672" s="420"/>
      <c r="AK672" s="420"/>
      <c r="AL672" s="420"/>
      <c r="AM672" s="420"/>
      <c r="AN672" s="420"/>
      <c r="AO672" s="420"/>
      <c r="AP672" s="420"/>
      <c r="AQ672" s="420"/>
      <c r="AR672" s="420"/>
      <c r="AS672" s="420"/>
      <c r="AT672" s="420"/>
      <c r="AU672" s="420"/>
      <c r="AV672" s="420"/>
      <c r="AW672" s="420"/>
      <c r="AX672" s="420"/>
      <c r="AY672" s="420"/>
      <c r="AZ672" s="420"/>
      <c r="BA672" s="420"/>
      <c r="BB672" s="420"/>
      <c r="BC672" s="420"/>
      <c r="BD672" s="420"/>
      <c r="BE672" s="420"/>
      <c r="BF672" s="420"/>
      <c r="BG672" s="420"/>
      <c r="BH672" s="420"/>
      <c r="BI672" s="420"/>
      <c r="BJ672" s="420"/>
      <c r="BK672" s="420"/>
      <c r="BL672" s="599"/>
      <c r="BM672" s="74"/>
      <c r="BN672" s="103"/>
    </row>
    <row r="673" spans="1:66">
      <c r="A673" s="679"/>
      <c r="B673" s="484"/>
      <c r="C673" s="484"/>
      <c r="D673" s="484"/>
      <c r="E673" s="484"/>
      <c r="F673" s="484"/>
      <c r="G673" s="484"/>
      <c r="H673" s="484"/>
      <c r="I673" s="484"/>
      <c r="J673" s="484"/>
      <c r="K673" s="854"/>
      <c r="L673" s="484"/>
      <c r="M673" s="484"/>
      <c r="N673" s="484"/>
      <c r="O673" s="484"/>
      <c r="P673" s="853"/>
      <c r="Q673" s="860"/>
      <c r="R673" s="484"/>
      <c r="S673" s="484"/>
      <c r="T673" s="484"/>
      <c r="U673" s="484"/>
      <c r="V673" s="484"/>
      <c r="W673" s="484"/>
      <c r="X673" s="484"/>
      <c r="Y673" s="484"/>
      <c r="Z673" s="854"/>
      <c r="AA673" s="490"/>
      <c r="AB673" s="484"/>
      <c r="AC673" s="484"/>
      <c r="AD673" s="484"/>
      <c r="AE673" s="484"/>
      <c r="AF673" s="696"/>
      <c r="AG673" s="484"/>
      <c r="AH673" s="484"/>
      <c r="AI673" s="484"/>
      <c r="AJ673" s="490"/>
      <c r="AK673" s="853"/>
      <c r="AL673" s="854"/>
      <c r="AM673" s="484"/>
      <c r="AN673" s="484"/>
      <c r="AO673" s="484"/>
      <c r="AP673" s="484"/>
      <c r="AQ673" s="484"/>
      <c r="AR673" s="484"/>
      <c r="AS673" s="490"/>
      <c r="AT673" s="484"/>
      <c r="AU673" s="484"/>
      <c r="AV673" s="855"/>
      <c r="AW673" s="854"/>
      <c r="AX673" s="484"/>
      <c r="AY673" s="484"/>
      <c r="AZ673" s="484"/>
      <c r="BA673" s="854"/>
      <c r="BB673" s="853"/>
      <c r="BC673" s="490"/>
      <c r="BD673" s="484"/>
      <c r="BE673" s="484"/>
      <c r="BF673" s="484"/>
      <c r="BG673" s="484"/>
      <c r="BH673" s="484"/>
      <c r="BI673" s="484"/>
      <c r="BJ673" s="484"/>
      <c r="BK673" s="484"/>
      <c r="BL673" s="696"/>
      <c r="BM673" s="301">
        <v>22</v>
      </c>
      <c r="BN673" s="2"/>
    </row>
    <row r="674" spans="1:66">
      <c r="A674" s="483"/>
      <c r="B674" s="321"/>
      <c r="C674" s="321"/>
      <c r="D674" s="321"/>
      <c r="E674" s="321"/>
      <c r="F674" s="321"/>
      <c r="G674" s="321"/>
      <c r="H674" s="321"/>
      <c r="I674" s="321"/>
      <c r="J674" s="321"/>
      <c r="K674" s="414"/>
      <c r="L674" s="321"/>
      <c r="M674" s="321"/>
      <c r="N674" s="321"/>
      <c r="O674" s="321"/>
      <c r="P674" s="193"/>
      <c r="Q674" s="193"/>
      <c r="R674" s="432"/>
      <c r="S674" s="321"/>
      <c r="T674" s="321"/>
      <c r="U674" s="321"/>
      <c r="V674" s="321"/>
      <c r="W674" s="321"/>
      <c r="X674" s="321"/>
      <c r="Y674" s="432"/>
      <c r="Z674" s="414"/>
      <c r="AA674" s="415"/>
      <c r="AB674" s="414"/>
      <c r="AC674" s="321"/>
      <c r="AD674" s="321"/>
      <c r="AE674" s="321"/>
      <c r="AF674" s="564"/>
      <c r="AG674" s="321"/>
      <c r="AH674" s="321"/>
      <c r="AI674" s="321"/>
      <c r="AJ674" s="414"/>
      <c r="AK674" s="193"/>
      <c r="AL674" s="414"/>
      <c r="AM674" s="321"/>
      <c r="AN674" s="321"/>
      <c r="AO674" s="321"/>
      <c r="AP674" s="321"/>
      <c r="AQ674" s="321"/>
      <c r="AR674" s="321"/>
      <c r="AS674" s="321"/>
      <c r="AT674" s="321"/>
      <c r="AU674" s="321"/>
      <c r="AV674" s="413"/>
      <c r="AW674" s="414"/>
      <c r="AX674" s="321"/>
      <c r="AY674" s="321"/>
      <c r="AZ674" s="439"/>
      <c r="BA674" s="414"/>
      <c r="BB674" s="414"/>
      <c r="BC674" s="193"/>
      <c r="BD674" s="414"/>
      <c r="BE674" s="414"/>
      <c r="BF674" s="415"/>
      <c r="BG674" s="321"/>
      <c r="BH674" s="321"/>
      <c r="BI674" s="321"/>
      <c r="BJ674" s="321"/>
      <c r="BK674" s="321"/>
      <c r="BL674" s="564"/>
      <c r="BM674" s="297"/>
      <c r="BN674" s="92"/>
    </row>
    <row r="675" spans="1:66">
      <c r="A675" s="491"/>
      <c r="B675" s="415"/>
      <c r="C675" s="415"/>
      <c r="D675" s="415"/>
      <c r="E675" s="415"/>
      <c r="F675" s="415"/>
      <c r="G675" s="432"/>
      <c r="H675" s="321"/>
      <c r="I675" s="321"/>
      <c r="J675" s="321"/>
      <c r="K675" s="414"/>
      <c r="L675" s="432"/>
      <c r="M675" s="321"/>
      <c r="N675" s="321"/>
      <c r="O675" s="321"/>
      <c r="P675" s="193"/>
      <c r="Q675" s="193"/>
      <c r="R675" s="193"/>
      <c r="S675" s="193"/>
      <c r="T675" s="193"/>
      <c r="U675" s="193"/>
      <c r="V675" s="193"/>
      <c r="W675" s="193"/>
      <c r="X675" s="414"/>
      <c r="Y675" s="414"/>
      <c r="Z675" s="415"/>
      <c r="AA675" s="432"/>
      <c r="AB675" s="414"/>
      <c r="AC675" s="414"/>
      <c r="AD675" s="414"/>
      <c r="AE675" s="414"/>
      <c r="AF675" s="607"/>
      <c r="AG675" s="413"/>
      <c r="AH675" s="414"/>
      <c r="AI675" s="414"/>
      <c r="AJ675" s="414"/>
      <c r="AK675" s="193"/>
      <c r="AL675" s="414"/>
      <c r="AM675" s="415"/>
      <c r="AN675" s="321"/>
      <c r="AO675" s="321"/>
      <c r="AP675" s="321"/>
      <c r="AQ675" s="321"/>
      <c r="AR675" s="321"/>
      <c r="AS675" s="321"/>
      <c r="AT675" s="321"/>
      <c r="AU675" s="321"/>
      <c r="AV675" s="413"/>
      <c r="AW675" s="414"/>
      <c r="AX675" s="413"/>
      <c r="AY675" s="413"/>
      <c r="AZ675" s="414"/>
      <c r="BA675" s="414"/>
      <c r="BB675" s="414"/>
      <c r="BC675" s="414"/>
      <c r="BD675" s="414"/>
      <c r="BE675" s="414"/>
      <c r="BF675" s="413"/>
      <c r="BG675" s="413"/>
      <c r="BH675" s="413"/>
      <c r="BI675" s="413"/>
      <c r="BJ675" s="413"/>
      <c r="BK675" s="413"/>
      <c r="BL675" s="673"/>
      <c r="BM675" s="1"/>
      <c r="BN675" s="2"/>
    </row>
    <row r="676" spans="1:66">
      <c r="A676" s="856"/>
      <c r="B676" s="193"/>
      <c r="C676" s="193"/>
      <c r="D676" s="193"/>
      <c r="E676" s="193"/>
      <c r="F676" s="193"/>
      <c r="G676" s="193"/>
      <c r="H676" s="193"/>
      <c r="I676" s="193"/>
      <c r="J676" s="193"/>
      <c r="K676" s="414"/>
      <c r="L676" s="193"/>
      <c r="M676" s="193"/>
      <c r="N676" s="193"/>
      <c r="O676" s="414"/>
      <c r="P676" s="414"/>
      <c r="Q676" s="295"/>
      <c r="R676" s="297"/>
      <c r="S676" s="297"/>
      <c r="T676" s="297"/>
      <c r="U676" s="297"/>
      <c r="V676" s="297"/>
      <c r="W676" s="297"/>
      <c r="X676" s="321"/>
      <c r="Y676" s="321"/>
      <c r="Z676" s="321"/>
      <c r="AA676" s="432"/>
      <c r="AB676" s="295"/>
      <c r="AC676" s="295"/>
      <c r="AD676" s="295"/>
      <c r="AE676" s="295"/>
      <c r="AF676" s="857"/>
      <c r="AG676" s="415"/>
      <c r="AH676" s="321"/>
      <c r="AI676" s="193"/>
      <c r="AJ676" s="193"/>
      <c r="AK676" s="193"/>
      <c r="AL676" s="193"/>
      <c r="AM676" s="193"/>
      <c r="AN676" s="193"/>
      <c r="AO676" s="193"/>
      <c r="AP676" s="193"/>
      <c r="AQ676" s="193"/>
      <c r="AR676" s="193"/>
      <c r="AS676" s="193"/>
      <c r="AT676" s="193"/>
      <c r="AU676" s="413"/>
      <c r="AV676" s="413"/>
      <c r="AW676" s="414"/>
      <c r="AX676" s="301"/>
      <c r="AY676" s="301"/>
      <c r="AZ676" s="301"/>
      <c r="BA676" s="301"/>
      <c r="BB676" s="301"/>
      <c r="BC676" s="321"/>
      <c r="BD676" s="321"/>
      <c r="BE676" s="321"/>
      <c r="BF676" s="321"/>
      <c r="BG676" s="414"/>
      <c r="BH676" s="414"/>
      <c r="BI676" s="413"/>
      <c r="BJ676" s="301"/>
      <c r="BK676" s="301"/>
      <c r="BL676" s="469"/>
      <c r="BM676" s="1"/>
    </row>
    <row r="677" spans="1:66">
      <c r="A677" s="491"/>
      <c r="B677" s="297"/>
      <c r="C677" s="297"/>
      <c r="D677" s="297"/>
      <c r="E677" s="297"/>
      <c r="F677" s="297"/>
      <c r="G677" s="297"/>
      <c r="H677" s="297"/>
      <c r="I677" s="297"/>
      <c r="J677" s="297"/>
      <c r="K677" s="321"/>
      <c r="L677" s="321"/>
      <c r="M677" s="321"/>
      <c r="N677" s="321"/>
      <c r="O677" s="439"/>
      <c r="P677" s="193"/>
      <c r="Q677" s="295"/>
      <c r="R677" s="297"/>
      <c r="S677" s="321"/>
      <c r="T677" s="321"/>
      <c r="U677" s="321"/>
      <c r="V677" s="321"/>
      <c r="W677" s="321"/>
      <c r="X677" s="321"/>
      <c r="Y677" s="321"/>
      <c r="Z677" s="321"/>
      <c r="AA677" s="432"/>
      <c r="AB677" s="295"/>
      <c r="AC677" s="414"/>
      <c r="AD677" s="415"/>
      <c r="AE677" s="415"/>
      <c r="AF677" s="607"/>
      <c r="AG677" s="321"/>
      <c r="AH677" s="321"/>
      <c r="AI677" s="321"/>
      <c r="AJ677" s="321"/>
      <c r="AK677" s="321"/>
      <c r="AL677" s="321"/>
      <c r="AM677" s="321"/>
      <c r="AN677" s="321"/>
      <c r="AO677" s="415"/>
      <c r="AP677" s="415"/>
      <c r="AQ677" s="321"/>
      <c r="AR677" s="415"/>
      <c r="AS677" s="415"/>
      <c r="AT677" s="415"/>
      <c r="AU677" s="415"/>
      <c r="AV677" s="413"/>
      <c r="AW677" s="414"/>
      <c r="AX677" s="321"/>
      <c r="AY677" s="321"/>
      <c r="AZ677" s="321"/>
      <c r="BA677" s="321"/>
      <c r="BB677" s="321"/>
      <c r="BC677" s="321"/>
      <c r="BD677" s="321"/>
      <c r="BE677" s="321"/>
      <c r="BF677" s="321"/>
      <c r="BG677" s="321"/>
      <c r="BH677" s="413"/>
      <c r="BI677" s="193"/>
      <c r="BJ677" s="301"/>
      <c r="BK677" s="321"/>
      <c r="BL677" s="564"/>
      <c r="BM677" s="1"/>
    </row>
    <row r="678" spans="1:66">
      <c r="A678" s="483"/>
      <c r="B678" s="321"/>
      <c r="C678" s="321"/>
      <c r="D678" s="321"/>
      <c r="E678" s="321"/>
      <c r="F678" s="321"/>
      <c r="G678" s="321"/>
      <c r="H678" s="321"/>
      <c r="I678" s="321"/>
      <c r="J678" s="321"/>
      <c r="K678" s="321"/>
      <c r="L678" s="321"/>
      <c r="M678" s="321"/>
      <c r="N678" s="321"/>
      <c r="O678" s="321"/>
      <c r="P678" s="193"/>
      <c r="Q678" s="295"/>
      <c r="R678" s="297"/>
      <c r="S678" s="321"/>
      <c r="T678" s="321"/>
      <c r="U678" s="321"/>
      <c r="V678" s="321"/>
      <c r="W678" s="321"/>
      <c r="X678" s="321"/>
      <c r="Y678" s="321"/>
      <c r="Z678" s="321"/>
      <c r="AA678" s="432"/>
      <c r="AB678" s="295"/>
      <c r="AC678" s="414"/>
      <c r="AD678" s="297"/>
      <c r="AE678" s="321"/>
      <c r="AF678" s="564"/>
      <c r="AG678" s="321"/>
      <c r="AH678" s="321"/>
      <c r="AI678" s="321"/>
      <c r="AJ678" s="321"/>
      <c r="AK678" s="321"/>
      <c r="AL678" s="321"/>
      <c r="AM678" s="321"/>
      <c r="AN678" s="321"/>
      <c r="AO678" s="321"/>
      <c r="AP678" s="321"/>
      <c r="AQ678" s="321"/>
      <c r="AR678" s="321"/>
      <c r="AS678" s="321"/>
      <c r="AT678" s="321"/>
      <c r="AU678" s="193"/>
      <c r="AV678" s="413"/>
      <c r="AW678" s="414"/>
      <c r="AX678" s="321"/>
      <c r="AY678" s="321"/>
      <c r="AZ678" s="321"/>
      <c r="BA678" s="321"/>
      <c r="BB678" s="321"/>
      <c r="BC678" s="321"/>
      <c r="BD678" s="321"/>
      <c r="BE678" s="321"/>
      <c r="BF678" s="321"/>
      <c r="BG678" s="321"/>
      <c r="BH678" s="413"/>
      <c r="BI678" s="193"/>
      <c r="BJ678" s="301"/>
      <c r="BK678" s="321"/>
      <c r="BL678" s="564"/>
      <c r="BM678" s="1"/>
    </row>
    <row r="679" spans="1:66">
      <c r="A679" s="483"/>
      <c r="B679" s="321"/>
      <c r="C679" s="321"/>
      <c r="D679" s="321"/>
      <c r="E679" s="321"/>
      <c r="F679" s="321"/>
      <c r="G679" s="321"/>
      <c r="H679" s="321"/>
      <c r="I679" s="321"/>
      <c r="J679" s="321"/>
      <c r="K679" s="321"/>
      <c r="L679" s="321"/>
      <c r="M679" s="321"/>
      <c r="N679" s="321"/>
      <c r="O679" s="321"/>
      <c r="P679" s="193"/>
      <c r="Q679" s="193"/>
      <c r="R679" s="297"/>
      <c r="S679" s="321"/>
      <c r="T679" s="321"/>
      <c r="U679" s="321"/>
      <c r="V679" s="321"/>
      <c r="W679" s="321"/>
      <c r="X679" s="321"/>
      <c r="Y679" s="321"/>
      <c r="Z679" s="321"/>
      <c r="AA679" s="432"/>
      <c r="AB679" s="193"/>
      <c r="AC679" s="414"/>
      <c r="AD679" s="297"/>
      <c r="AE679" s="321"/>
      <c r="AF679" s="564"/>
      <c r="AG679" s="321"/>
      <c r="AH679" s="321"/>
      <c r="AI679" s="321"/>
      <c r="AJ679" s="321"/>
      <c r="AK679" s="321"/>
      <c r="AL679" s="321"/>
      <c r="AM679" s="321"/>
      <c r="AN679" s="321"/>
      <c r="AO679" s="321"/>
      <c r="AP679" s="321"/>
      <c r="AQ679" s="321"/>
      <c r="AR679" s="321"/>
      <c r="AS679" s="321"/>
      <c r="AT679" s="321"/>
      <c r="AU679" s="321"/>
      <c r="AV679" s="193"/>
      <c r="AW679" s="414"/>
      <c r="AX679" s="321"/>
      <c r="AY679" s="321"/>
      <c r="AZ679" s="321"/>
      <c r="BA679" s="321"/>
      <c r="BB679" s="321"/>
      <c r="BC679" s="321"/>
      <c r="BD679" s="321"/>
      <c r="BE679" s="321"/>
      <c r="BF679" s="321"/>
      <c r="BG679" s="321"/>
      <c r="BH679" s="414"/>
      <c r="BI679" s="193"/>
      <c r="BJ679" s="301"/>
      <c r="BK679" s="321"/>
      <c r="BL679" s="607"/>
      <c r="BM679" s="1"/>
    </row>
    <row r="680" spans="1:66">
      <c r="A680" s="483"/>
      <c r="B680" s="321"/>
      <c r="C680" s="321"/>
      <c r="D680" s="321"/>
      <c r="E680" s="321"/>
      <c r="F680" s="321"/>
      <c r="G680" s="321"/>
      <c r="H680" s="321"/>
      <c r="I680" s="321"/>
      <c r="J680" s="321"/>
      <c r="K680" s="321"/>
      <c r="L680" s="321"/>
      <c r="M680" s="321"/>
      <c r="N680" s="321"/>
      <c r="O680" s="321"/>
      <c r="P680" s="321"/>
      <c r="Q680" s="193"/>
      <c r="R680" s="321"/>
      <c r="S680" s="321"/>
      <c r="T680" s="321"/>
      <c r="U680" s="321"/>
      <c r="V680" s="321"/>
      <c r="W680" s="321"/>
      <c r="X680" s="321"/>
      <c r="Y680" s="321"/>
      <c r="Z680" s="321"/>
      <c r="AA680" s="432"/>
      <c r="AB680" s="193"/>
      <c r="AC680" s="414"/>
      <c r="AD680" s="415"/>
      <c r="AE680" s="321"/>
      <c r="AF680" s="564"/>
      <c r="AG680" s="321"/>
      <c r="AH680" s="321"/>
      <c r="AI680" s="321"/>
      <c r="AJ680" s="321"/>
      <c r="AK680" s="321"/>
      <c r="AL680" s="321"/>
      <c r="AM680" s="321"/>
      <c r="AN680" s="321"/>
      <c r="AO680" s="321"/>
      <c r="AP680" s="321"/>
      <c r="AQ680" s="321"/>
      <c r="AR680" s="321"/>
      <c r="AS680" s="321"/>
      <c r="AT680" s="321"/>
      <c r="AU680" s="321"/>
      <c r="AV680" s="193"/>
      <c r="AW680" s="414"/>
      <c r="AX680" s="321"/>
      <c r="AY680" s="321"/>
      <c r="AZ680" s="321"/>
      <c r="BA680" s="321"/>
      <c r="BB680" s="321"/>
      <c r="BC680" s="321"/>
      <c r="BD680" s="321"/>
      <c r="BE680" s="321"/>
      <c r="BF680" s="321"/>
      <c r="BG680" s="415"/>
      <c r="BH680" s="414"/>
      <c r="BI680" s="193"/>
      <c r="BJ680" s="301"/>
      <c r="BK680" s="321"/>
      <c r="BL680" s="564"/>
      <c r="BM680" s="1"/>
    </row>
    <row r="681" spans="1:66">
      <c r="A681" s="483"/>
      <c r="B681" s="321"/>
      <c r="C681" s="321"/>
      <c r="D681" s="321"/>
      <c r="E681" s="321"/>
      <c r="F681" s="321"/>
      <c r="G681" s="321"/>
      <c r="H681" s="321"/>
      <c r="I681" s="321"/>
      <c r="J681" s="321"/>
      <c r="K681" s="321"/>
      <c r="L681" s="321"/>
      <c r="M681" s="321"/>
      <c r="N681" s="321"/>
      <c r="O681" s="321"/>
      <c r="P681" s="321"/>
      <c r="Q681" s="193"/>
      <c r="R681" s="414"/>
      <c r="S681" s="414"/>
      <c r="T681" s="432"/>
      <c r="U681" s="432"/>
      <c r="V681" s="432"/>
      <c r="W681" s="432"/>
      <c r="X681" s="432"/>
      <c r="Y681" s="432"/>
      <c r="Z681" s="432"/>
      <c r="AA681" s="432"/>
      <c r="AB681" s="193"/>
      <c r="AC681" s="193"/>
      <c r="AD681" s="414"/>
      <c r="AE681" s="439"/>
      <c r="AF681" s="564"/>
      <c r="AG681" s="321"/>
      <c r="AH681" s="321"/>
      <c r="AI681" s="321"/>
      <c r="AJ681" s="321"/>
      <c r="AK681" s="321"/>
      <c r="AL681" s="321"/>
      <c r="AM681" s="321"/>
      <c r="AN681" s="321"/>
      <c r="AO681" s="321"/>
      <c r="AP681" s="321"/>
      <c r="AQ681" s="321"/>
      <c r="AR681" s="321"/>
      <c r="AS681" s="321"/>
      <c r="AT681" s="321"/>
      <c r="AU681" s="321"/>
      <c r="AV681" s="193"/>
      <c r="AW681" s="414"/>
      <c r="AX681" s="413"/>
      <c r="AY681" s="321"/>
      <c r="AZ681" s="321"/>
      <c r="BA681" s="321"/>
      <c r="BB681" s="321"/>
      <c r="BC681" s="321"/>
      <c r="BD681" s="321"/>
      <c r="BE681" s="321"/>
      <c r="BF681" s="321"/>
      <c r="BG681" s="414"/>
      <c r="BH681" s="414"/>
      <c r="BI681" s="193"/>
      <c r="BJ681" s="301"/>
      <c r="BK681" s="321"/>
      <c r="BL681" s="564"/>
      <c r="BM681" s="1"/>
    </row>
    <row r="682" spans="1:66">
      <c r="A682" s="483"/>
      <c r="B682" s="321"/>
      <c r="C682" s="321"/>
      <c r="D682" s="321"/>
      <c r="E682" s="321"/>
      <c r="F682" s="321"/>
      <c r="G682" s="321"/>
      <c r="H682" s="321"/>
      <c r="I682" s="321"/>
      <c r="J682" s="321"/>
      <c r="K682" s="321"/>
      <c r="L682" s="321"/>
      <c r="M682" s="321"/>
      <c r="N682" s="321"/>
      <c r="O682" s="321"/>
      <c r="P682" s="321"/>
      <c r="Q682" s="193"/>
      <c r="R682" s="415"/>
      <c r="S682" s="415"/>
      <c r="T682" s="415"/>
      <c r="U682" s="193"/>
      <c r="V682" s="193"/>
      <c r="W682" s="193"/>
      <c r="X682" s="193"/>
      <c r="Y682" s="193"/>
      <c r="Z682" s="193"/>
      <c r="AA682" s="193"/>
      <c r="AB682" s="193"/>
      <c r="AC682" s="193"/>
      <c r="AD682" s="193"/>
      <c r="AE682" s="439"/>
      <c r="AF682" s="564"/>
      <c r="AG682" s="193"/>
      <c r="AH682" s="193"/>
      <c r="AI682" s="193"/>
      <c r="AJ682" s="193"/>
      <c r="AK682" s="193"/>
      <c r="AL682" s="193"/>
      <c r="AM682" s="193"/>
      <c r="AN682" s="193"/>
      <c r="AO682" s="193"/>
      <c r="AP682" s="193"/>
      <c r="AQ682" s="193"/>
      <c r="AR682" s="193"/>
      <c r="AS682" s="193"/>
      <c r="AT682" s="193"/>
      <c r="AU682" s="193"/>
      <c r="AV682" s="413"/>
      <c r="AW682" s="414"/>
      <c r="AX682" s="414"/>
      <c r="AY682" s="414"/>
      <c r="AZ682" s="414"/>
      <c r="BA682" s="413"/>
      <c r="BB682" s="413"/>
      <c r="BC682" s="413"/>
      <c r="BD682" s="413"/>
      <c r="BE682" s="413"/>
      <c r="BF682" s="413"/>
      <c r="BG682" s="413"/>
      <c r="BH682" s="413"/>
      <c r="BI682" s="413"/>
      <c r="BJ682" s="193"/>
      <c r="BK682" s="193"/>
      <c r="BL682" s="857"/>
      <c r="BM682" s="1"/>
    </row>
    <row r="683" spans="1:66">
      <c r="A683" s="491"/>
      <c r="B683" s="415"/>
      <c r="C683" s="295"/>
      <c r="D683" s="321"/>
      <c r="E683" s="321"/>
      <c r="F683" s="321"/>
      <c r="G683" s="321"/>
      <c r="H683" s="321"/>
      <c r="I683" s="321"/>
      <c r="J683" s="321"/>
      <c r="K683" s="321"/>
      <c r="L683" s="321"/>
      <c r="M683" s="321"/>
      <c r="N683" s="321"/>
      <c r="O683" s="321"/>
      <c r="P683" s="193"/>
      <c r="Q683" s="193"/>
      <c r="R683" s="297"/>
      <c r="S683" s="297"/>
      <c r="T683" s="297"/>
      <c r="U683" s="297"/>
      <c r="V683" s="321"/>
      <c r="W683" s="432"/>
      <c r="X683" s="432"/>
      <c r="Y683" s="415"/>
      <c r="Z683" s="415"/>
      <c r="AA683" s="415"/>
      <c r="AB683" s="415"/>
      <c r="AC683" s="415"/>
      <c r="AD683" s="415"/>
      <c r="AE683" s="415"/>
      <c r="AF683" s="607"/>
      <c r="AG683" s="414"/>
      <c r="AH683" s="414"/>
      <c r="AI683" s="413"/>
      <c r="AJ683" s="414"/>
      <c r="AK683" s="414"/>
      <c r="AL683" s="414"/>
      <c r="AM683" s="414"/>
      <c r="AN683" s="414"/>
      <c r="AO683" s="414"/>
      <c r="AP683" s="414"/>
      <c r="AQ683" s="414"/>
      <c r="AR683" s="414"/>
      <c r="AS683" s="414"/>
      <c r="AT683" s="414"/>
      <c r="AU683" s="414"/>
      <c r="AV683" s="413"/>
      <c r="AW683" s="415"/>
      <c r="AX683" s="301"/>
      <c r="AY683" s="301"/>
      <c r="AZ683" s="301"/>
      <c r="BA683" s="301"/>
      <c r="BB683" s="321"/>
      <c r="BC683" s="321"/>
      <c r="BD683" s="321"/>
      <c r="BE683" s="321"/>
      <c r="BF683" s="321"/>
      <c r="BG683" s="414"/>
      <c r="BH683" s="414"/>
      <c r="BI683" s="414"/>
      <c r="BJ683" s="414"/>
      <c r="BK683" s="414"/>
      <c r="BL683" s="675"/>
      <c r="BM683" s="1"/>
    </row>
    <row r="684" spans="1:66">
      <c r="A684" s="483"/>
      <c r="B684" s="321"/>
      <c r="C684" s="295"/>
      <c r="D684" s="321"/>
      <c r="E684" s="321"/>
      <c r="F684" s="321"/>
      <c r="G684" s="321"/>
      <c r="H684" s="321"/>
      <c r="I684" s="321"/>
      <c r="J684" s="321"/>
      <c r="K684" s="321"/>
      <c r="L684" s="321"/>
      <c r="M684" s="321"/>
      <c r="N684" s="321"/>
      <c r="O684" s="321"/>
      <c r="P684" s="193"/>
      <c r="Q684" s="193"/>
      <c r="R684" s="297"/>
      <c r="S684" s="321"/>
      <c r="T684" s="321"/>
      <c r="U684" s="321"/>
      <c r="V684" s="321"/>
      <c r="W684" s="321"/>
      <c r="X684" s="321"/>
      <c r="Y684" s="321"/>
      <c r="Z684" s="321"/>
      <c r="AA684" s="321"/>
      <c r="AB684" s="321"/>
      <c r="AC684" s="321"/>
      <c r="AD684" s="321"/>
      <c r="AE684" s="321"/>
      <c r="AF684" s="564"/>
      <c r="AG684" s="193"/>
      <c r="AH684" s="413"/>
      <c r="AI684" s="301"/>
      <c r="AJ684" s="301"/>
      <c r="AK684" s="301"/>
      <c r="AL684" s="301"/>
      <c r="AM684" s="301"/>
      <c r="AN684" s="301"/>
      <c r="AO684" s="321"/>
      <c r="AP684" s="321"/>
      <c r="AQ684" s="321"/>
      <c r="AR684" s="413"/>
      <c r="AS684" s="413"/>
      <c r="AT684" s="413"/>
      <c r="AU684" s="414"/>
      <c r="AV684" s="413"/>
      <c r="AW684" s="321"/>
      <c r="AX684" s="321"/>
      <c r="AY684" s="321"/>
      <c r="AZ684" s="321"/>
      <c r="BA684" s="321"/>
      <c r="BB684" s="321"/>
      <c r="BC684" s="321"/>
      <c r="BD684" s="321"/>
      <c r="BE684" s="321"/>
      <c r="BF684" s="321"/>
      <c r="BG684" s="301"/>
      <c r="BH684" s="301"/>
      <c r="BI684" s="301"/>
      <c r="BJ684" s="301"/>
      <c r="BK684" s="301"/>
      <c r="BL684" s="469"/>
      <c r="BM684" s="1"/>
    </row>
    <row r="685" spans="1:66">
      <c r="A685" s="483"/>
      <c r="B685" s="193"/>
      <c r="C685" s="295"/>
      <c r="D685" s="321"/>
      <c r="E685" s="321"/>
      <c r="F685" s="321"/>
      <c r="G685" s="321"/>
      <c r="H685" s="321"/>
      <c r="I685" s="321"/>
      <c r="J685" s="321"/>
      <c r="K685" s="321"/>
      <c r="L685" s="321"/>
      <c r="M685" s="321"/>
      <c r="N685" s="321"/>
      <c r="O685" s="321"/>
      <c r="P685" s="193"/>
      <c r="Q685" s="193"/>
      <c r="R685" s="297"/>
      <c r="S685" s="321"/>
      <c r="T685" s="321"/>
      <c r="U685" s="321"/>
      <c r="V685" s="321"/>
      <c r="W685" s="321"/>
      <c r="X685" s="321"/>
      <c r="Y685" s="321"/>
      <c r="Z685" s="321"/>
      <c r="AA685" s="321"/>
      <c r="AB685" s="321"/>
      <c r="AC685" s="321"/>
      <c r="AD685" s="321"/>
      <c r="AE685" s="321"/>
      <c r="AF685" s="564"/>
      <c r="AG685" s="193"/>
      <c r="AH685" s="413"/>
      <c r="AI685" s="321"/>
      <c r="AJ685" s="321"/>
      <c r="AK685" s="321"/>
      <c r="AL685" s="321"/>
      <c r="AM685" s="321"/>
      <c r="AN685" s="321"/>
      <c r="AO685" s="321"/>
      <c r="AP685" s="321"/>
      <c r="AQ685" s="321"/>
      <c r="AR685" s="321"/>
      <c r="AS685" s="321"/>
      <c r="AT685" s="321"/>
      <c r="AU685" s="415"/>
      <c r="AV685" s="413"/>
      <c r="AW685" s="321"/>
      <c r="AX685" s="321"/>
      <c r="AY685" s="321"/>
      <c r="AZ685" s="321"/>
      <c r="BA685" s="321"/>
      <c r="BB685" s="321"/>
      <c r="BC685" s="321"/>
      <c r="BD685" s="321"/>
      <c r="BE685" s="321"/>
      <c r="BF685" s="321"/>
      <c r="BG685" s="321"/>
      <c r="BH685" s="321"/>
      <c r="BI685" s="321"/>
      <c r="BJ685" s="321"/>
      <c r="BK685" s="321"/>
      <c r="BL685" s="564"/>
      <c r="BM685" s="1"/>
    </row>
    <row r="686" spans="1:66">
      <c r="A686" s="483"/>
      <c r="B686" s="193"/>
      <c r="C686" s="295"/>
      <c r="D686" s="321"/>
      <c r="E686" s="321"/>
      <c r="F686" s="321"/>
      <c r="G686" s="321"/>
      <c r="H686" s="321"/>
      <c r="I686" s="321"/>
      <c r="J686" s="321"/>
      <c r="K686" s="321"/>
      <c r="L686" s="321"/>
      <c r="M686" s="321"/>
      <c r="N686" s="321"/>
      <c r="O686" s="321"/>
      <c r="P686" s="193"/>
      <c r="Q686" s="193"/>
      <c r="R686" s="297"/>
      <c r="S686" s="321"/>
      <c r="T686" s="321"/>
      <c r="U686" s="321"/>
      <c r="V686" s="321"/>
      <c r="W686" s="321"/>
      <c r="X686" s="321"/>
      <c r="Y686" s="321"/>
      <c r="Z686" s="321"/>
      <c r="AA686" s="321"/>
      <c r="AB686" s="321"/>
      <c r="AC686" s="321"/>
      <c r="AD686" s="321"/>
      <c r="AE686" s="321"/>
      <c r="AF686" s="564"/>
      <c r="AG686" s="193"/>
      <c r="AH686" s="414"/>
      <c r="AI686" s="321"/>
      <c r="AJ686" s="321"/>
      <c r="AK686" s="321"/>
      <c r="AL686" s="321"/>
      <c r="AM686" s="321"/>
      <c r="AN686" s="321"/>
      <c r="AO686" s="321"/>
      <c r="AP686" s="321"/>
      <c r="AQ686" s="321"/>
      <c r="AR686" s="321"/>
      <c r="AS686" s="321"/>
      <c r="AT686" s="321"/>
      <c r="AU686" s="415"/>
      <c r="AV686" s="413"/>
      <c r="AW686" s="415"/>
      <c r="AX686" s="414"/>
      <c r="AY686" s="321"/>
      <c r="AZ686" s="321"/>
      <c r="BA686" s="321"/>
      <c r="BB686" s="321"/>
      <c r="BC686" s="321"/>
      <c r="BD686" s="321"/>
      <c r="BE686" s="321"/>
      <c r="BF686" s="321"/>
      <c r="BG686" s="321"/>
      <c r="BH686" s="321"/>
      <c r="BI686" s="321"/>
      <c r="BJ686" s="321"/>
      <c r="BK686" s="321"/>
      <c r="BL686" s="675"/>
      <c r="BM686" s="1"/>
    </row>
    <row r="687" spans="1:66">
      <c r="A687" s="483"/>
      <c r="B687" s="193"/>
      <c r="C687" s="415"/>
      <c r="D687" s="193"/>
      <c r="E687" s="321"/>
      <c r="F687" s="321"/>
      <c r="G687" s="321"/>
      <c r="H687" s="193"/>
      <c r="I687" s="193"/>
      <c r="J687" s="193"/>
      <c r="K687" s="193"/>
      <c r="L687" s="193"/>
      <c r="M687" s="193"/>
      <c r="N687" s="193"/>
      <c r="O687" s="193"/>
      <c r="P687" s="193"/>
      <c r="Q687" s="415"/>
      <c r="R687" s="297"/>
      <c r="S687" s="321"/>
      <c r="T687" s="321"/>
      <c r="U687" s="321"/>
      <c r="V687" s="321"/>
      <c r="W687" s="321"/>
      <c r="X687" s="321"/>
      <c r="Y687" s="321"/>
      <c r="Z687" s="321"/>
      <c r="AA687" s="321"/>
      <c r="AB687" s="321"/>
      <c r="AC687" s="321"/>
      <c r="AD687" s="321"/>
      <c r="AE687" s="321"/>
      <c r="AF687" s="564"/>
      <c r="AG687" s="193"/>
      <c r="AH687" s="414"/>
      <c r="AI687" s="414"/>
      <c r="AJ687" s="414"/>
      <c r="AK687" s="321"/>
      <c r="AL687" s="321"/>
      <c r="AM687" s="321"/>
      <c r="AN687" s="321"/>
      <c r="AO687" s="321"/>
      <c r="AP687" s="321"/>
      <c r="AQ687" s="321"/>
      <c r="AR687" s="321"/>
      <c r="AS687" s="321"/>
      <c r="AT687" s="321"/>
      <c r="AU687" s="321"/>
      <c r="AV687" s="413"/>
      <c r="AW687" s="413"/>
      <c r="AX687" s="413"/>
      <c r="AY687" s="193"/>
      <c r="AZ687" s="193"/>
      <c r="BA687" s="321"/>
      <c r="BB687" s="321"/>
      <c r="BC687" s="321"/>
      <c r="BD687" s="321"/>
      <c r="BE687" s="321"/>
      <c r="BF687" s="321"/>
      <c r="BG687" s="321"/>
      <c r="BH687" s="321"/>
      <c r="BI687" s="321"/>
      <c r="BJ687" s="321"/>
      <c r="BK687" s="321"/>
      <c r="BL687" s="857"/>
      <c r="BM687" s="1"/>
    </row>
    <row r="688" spans="1:66">
      <c r="A688" s="674"/>
      <c r="B688" s="193"/>
      <c r="C688" s="415"/>
      <c r="D688" s="193"/>
      <c r="E688" s="415"/>
      <c r="F688" s="415"/>
      <c r="G688" s="415"/>
      <c r="H688" s="415"/>
      <c r="I688" s="415"/>
      <c r="J688" s="415"/>
      <c r="K688" s="415"/>
      <c r="L688" s="415"/>
      <c r="M688" s="415"/>
      <c r="N688" s="415"/>
      <c r="O688" s="415"/>
      <c r="P688" s="415"/>
      <c r="Q688" s="415"/>
      <c r="R688" s="297"/>
      <c r="S688" s="321"/>
      <c r="T688" s="321"/>
      <c r="U688" s="321"/>
      <c r="V688" s="321"/>
      <c r="W688" s="321"/>
      <c r="X688" s="321"/>
      <c r="Y688" s="321"/>
      <c r="Z688" s="321"/>
      <c r="AA688" s="321"/>
      <c r="AB688" s="321"/>
      <c r="AC688" s="321"/>
      <c r="AD688" s="321"/>
      <c r="AE688" s="321"/>
      <c r="AF688" s="564"/>
      <c r="AG688" s="414"/>
      <c r="AH688" s="414"/>
      <c r="AI688" s="414"/>
      <c r="AJ688" s="414"/>
      <c r="AK688" s="193"/>
      <c r="AL688" s="321"/>
      <c r="AM688" s="321"/>
      <c r="AN688" s="321"/>
      <c r="AO688" s="321"/>
      <c r="AP688" s="321"/>
      <c r="AQ688" s="321"/>
      <c r="AR688" s="321"/>
      <c r="AS688" s="321"/>
      <c r="AT688" s="321"/>
      <c r="AU688" s="415"/>
      <c r="AV688" s="413"/>
      <c r="AW688" s="415"/>
      <c r="AX688" s="414"/>
      <c r="AY688" s="414"/>
      <c r="AZ688" s="193"/>
      <c r="BA688" s="193"/>
      <c r="BB688" s="193"/>
      <c r="BC688" s="193"/>
      <c r="BD688" s="193"/>
      <c r="BE688" s="193"/>
      <c r="BF688" s="193"/>
      <c r="BG688" s="193"/>
      <c r="BH688" s="193"/>
      <c r="BI688" s="193"/>
      <c r="BJ688" s="193"/>
      <c r="BK688" s="193"/>
      <c r="BL688" s="857"/>
      <c r="BM688" s="1"/>
    </row>
    <row r="689" spans="1:66">
      <c r="A689" s="856"/>
      <c r="B689" s="193"/>
      <c r="C689" s="415"/>
      <c r="D689" s="415"/>
      <c r="E689" s="297"/>
      <c r="F689" s="297"/>
      <c r="G689" s="297"/>
      <c r="H689" s="321"/>
      <c r="I689" s="321"/>
      <c r="J689" s="321"/>
      <c r="K689" s="321"/>
      <c r="L689" s="432"/>
      <c r="M689" s="432"/>
      <c r="N689" s="432"/>
      <c r="O689" s="432"/>
      <c r="P689" s="414"/>
      <c r="Q689" s="432"/>
      <c r="R689" s="297"/>
      <c r="S689" s="415"/>
      <c r="T689" s="295"/>
      <c r="U689" s="321"/>
      <c r="V689" s="321"/>
      <c r="W689" s="321"/>
      <c r="X689" s="321"/>
      <c r="Y689" s="321"/>
      <c r="Z689" s="321"/>
      <c r="AA689" s="321"/>
      <c r="AB689" s="321"/>
      <c r="AC689" s="321"/>
      <c r="AD689" s="321"/>
      <c r="AE689" s="193"/>
      <c r="AF689" s="857"/>
      <c r="AG689" s="321"/>
      <c r="AH689" s="321"/>
      <c r="AI689" s="321"/>
      <c r="AJ689" s="321"/>
      <c r="AK689" s="413"/>
      <c r="AL689" s="193"/>
      <c r="AM689" s="321"/>
      <c r="AN689" s="321"/>
      <c r="AO689" s="321"/>
      <c r="AP689" s="321"/>
      <c r="AQ689" s="321"/>
      <c r="AR689" s="321"/>
      <c r="AS689" s="321"/>
      <c r="AT689" s="193"/>
      <c r="AU689" s="193"/>
      <c r="AV689" s="413"/>
      <c r="AW689" s="413"/>
      <c r="AX689" s="413"/>
      <c r="AY689" s="413"/>
      <c r="AZ689" s="413"/>
      <c r="BA689" s="413"/>
      <c r="BB689" s="413"/>
      <c r="BC689" s="413"/>
      <c r="BD689" s="413"/>
      <c r="BE689" s="413"/>
      <c r="BF689" s="413"/>
      <c r="BG689" s="413"/>
      <c r="BH689" s="413"/>
      <c r="BI689" s="413"/>
      <c r="BJ689" s="413"/>
      <c r="BK689" s="413"/>
      <c r="BL689" s="673"/>
      <c r="BM689" s="1"/>
    </row>
    <row r="690" spans="1:66">
      <c r="A690" s="491"/>
      <c r="B690" s="415"/>
      <c r="C690" s="295"/>
      <c r="D690" s="297"/>
      <c r="E690" s="321"/>
      <c r="F690" s="321"/>
      <c r="G690" s="321"/>
      <c r="H690" s="321"/>
      <c r="I690" s="321"/>
      <c r="J690" s="321"/>
      <c r="K690" s="321"/>
      <c r="L690" s="321"/>
      <c r="M690" s="321"/>
      <c r="N690" s="321"/>
      <c r="O690" s="321"/>
      <c r="P690" s="297"/>
      <c r="Q690" s="321"/>
      <c r="R690" s="432"/>
      <c r="S690" s="432"/>
      <c r="T690" s="295"/>
      <c r="U690" s="193"/>
      <c r="V690" s="415"/>
      <c r="W690" s="415"/>
      <c r="X690" s="415"/>
      <c r="Y690" s="415"/>
      <c r="Z690" s="415"/>
      <c r="AA690" s="415"/>
      <c r="AB690" s="415"/>
      <c r="AC690" s="415"/>
      <c r="AD690" s="415"/>
      <c r="AE690" s="415"/>
      <c r="AF690" s="607"/>
      <c r="AG690" s="321"/>
      <c r="AH690" s="321"/>
      <c r="AI690" s="321"/>
      <c r="AJ690" s="321"/>
      <c r="AK690" s="321"/>
      <c r="AL690" s="193"/>
      <c r="AM690" s="193"/>
      <c r="AN690" s="193"/>
      <c r="AO690" s="193"/>
      <c r="AP690" s="193"/>
      <c r="AQ690" s="193"/>
      <c r="AR690" s="193"/>
      <c r="AS690" s="193"/>
      <c r="AT690" s="413"/>
      <c r="AU690" s="413"/>
      <c r="AV690" s="413"/>
      <c r="AW690" s="193"/>
      <c r="AX690" s="193"/>
      <c r="AY690" s="193"/>
      <c r="AZ690" s="193"/>
      <c r="BA690" s="193"/>
      <c r="BB690" s="414"/>
      <c r="BC690" s="301"/>
      <c r="BD690" s="301"/>
      <c r="BE690" s="301"/>
      <c r="BF690" s="301"/>
      <c r="BG690" s="301"/>
      <c r="BH690" s="301"/>
      <c r="BI690" s="321"/>
      <c r="BJ690" s="321"/>
      <c r="BK690" s="321"/>
      <c r="BL690" s="564"/>
      <c r="BM690" s="1"/>
    </row>
    <row r="691" spans="1:66">
      <c r="A691" s="483"/>
      <c r="B691" s="432"/>
      <c r="C691" s="295"/>
      <c r="D691" s="297"/>
      <c r="E691" s="321"/>
      <c r="F691" s="321"/>
      <c r="G691" s="321"/>
      <c r="H691" s="321"/>
      <c r="I691" s="321"/>
      <c r="J691" s="321"/>
      <c r="K691" s="321"/>
      <c r="L691" s="321"/>
      <c r="M691" s="321"/>
      <c r="N691" s="321"/>
      <c r="O691" s="321"/>
      <c r="P691" s="321"/>
      <c r="Q691" s="321"/>
      <c r="R691" s="321"/>
      <c r="S691" s="414"/>
      <c r="T691" s="193"/>
      <c r="U691" s="297"/>
      <c r="W691" s="297"/>
      <c r="X691" s="297"/>
      <c r="Y691" s="297"/>
      <c r="Z691" s="297"/>
      <c r="AA691" s="297"/>
      <c r="AB691" s="321"/>
      <c r="AC691" s="321"/>
      <c r="AD691" s="297"/>
      <c r="AE691" s="321"/>
      <c r="AF691" s="564"/>
      <c r="AG691" s="321"/>
      <c r="AH691" s="321"/>
      <c r="AI691" s="321"/>
      <c r="AJ691" s="321"/>
      <c r="AK691" s="321"/>
      <c r="AL691" s="413"/>
      <c r="AM691" s="413"/>
      <c r="AN691" s="413"/>
      <c r="AO691" s="413"/>
      <c r="AP691" s="413"/>
      <c r="AQ691" s="413"/>
      <c r="AR691" s="413"/>
      <c r="AS691" s="413"/>
      <c r="AT691" s="301"/>
      <c r="AU691" s="301"/>
      <c r="AV691" s="301"/>
      <c r="AW691" s="321"/>
      <c r="AX691" s="321"/>
      <c r="AY691" s="193"/>
      <c r="AZ691" s="193"/>
      <c r="BA691" s="414"/>
      <c r="BB691" s="301"/>
      <c r="BC691" s="321"/>
      <c r="BD691" s="321"/>
      <c r="BE691" s="321"/>
      <c r="BF691" s="321"/>
      <c r="BG691" s="321"/>
      <c r="BH691" s="321"/>
      <c r="BI691" s="321"/>
      <c r="BJ691" s="321"/>
      <c r="BK691" s="321"/>
      <c r="BL691" s="564"/>
      <c r="BM691" s="1"/>
    </row>
    <row r="692" spans="1:66">
      <c r="A692" s="483"/>
      <c r="B692" s="432"/>
      <c r="C692" s="295"/>
      <c r="D692" s="297"/>
      <c r="E692" s="321"/>
      <c r="F692" s="321"/>
      <c r="G692" s="321"/>
      <c r="H692" s="321"/>
      <c r="I692" s="321"/>
      <c r="J692" s="321"/>
      <c r="K692" s="321"/>
      <c r="L692" s="321"/>
      <c r="M692" s="321"/>
      <c r="N692" s="321"/>
      <c r="O692" s="321"/>
      <c r="P692" s="321"/>
      <c r="Q692" s="321"/>
      <c r="R692" s="321"/>
      <c r="S692" s="414"/>
      <c r="T692" s="193"/>
      <c r="U692" s="321"/>
      <c r="W692" s="321"/>
      <c r="X692" s="321"/>
      <c r="Y692" s="321"/>
      <c r="Z692" s="321"/>
      <c r="AA692" s="321"/>
      <c r="AB692" s="321"/>
      <c r="AC692" s="321"/>
      <c r="AD692" s="321"/>
      <c r="AE692" s="321"/>
      <c r="AF692" s="564"/>
      <c r="AG692" s="321"/>
      <c r="AH692" s="321"/>
      <c r="AI692" s="321"/>
      <c r="AJ692" s="321"/>
      <c r="AK692" s="321"/>
      <c r="AL692" s="414"/>
      <c r="AM692" s="414"/>
      <c r="AN692" s="301"/>
      <c r="AO692" s="301"/>
      <c r="AP692" s="301"/>
      <c r="AQ692" s="301"/>
      <c r="AR692" s="301"/>
      <c r="AS692" s="301"/>
      <c r="AT692" s="321"/>
      <c r="AU692" s="321"/>
      <c r="AV692" s="321"/>
      <c r="AW692" s="321"/>
      <c r="AX692" s="321"/>
      <c r="AY692" s="193"/>
      <c r="AZ692" s="193"/>
      <c r="BA692" s="414"/>
      <c r="BB692" s="301"/>
      <c r="BC692" s="321"/>
      <c r="BD692" s="321"/>
      <c r="BE692" s="321"/>
      <c r="BF692" s="321"/>
      <c r="BG692" s="321"/>
      <c r="BH692" s="321"/>
      <c r="BI692" s="321"/>
      <c r="BJ692" s="321"/>
      <c r="BK692" s="321"/>
      <c r="BL692" s="564"/>
      <c r="BM692" s="1"/>
    </row>
    <row r="693" spans="1:66">
      <c r="A693" s="483"/>
      <c r="B693" s="321"/>
      <c r="C693" s="295"/>
      <c r="D693" s="297"/>
      <c r="E693" s="321"/>
      <c r="F693" s="321"/>
      <c r="G693" s="321"/>
      <c r="H693" s="295"/>
      <c r="I693" s="295"/>
      <c r="J693" s="295"/>
      <c r="K693" s="321"/>
      <c r="L693" s="321"/>
      <c r="M693" s="321"/>
      <c r="N693" s="321"/>
      <c r="O693" s="321"/>
      <c r="P693" s="321"/>
      <c r="Q693" s="321"/>
      <c r="R693" s="321"/>
      <c r="S693" s="414"/>
      <c r="T693" s="193"/>
      <c r="U693" s="321"/>
      <c r="W693" s="321"/>
      <c r="X693" s="321"/>
      <c r="Y693" s="321"/>
      <c r="Z693" s="321"/>
      <c r="AA693" s="321"/>
      <c r="AB693" s="321"/>
      <c r="AC693" s="321"/>
      <c r="AD693" s="321"/>
      <c r="AE693" s="321"/>
      <c r="AF693" s="564"/>
      <c r="AG693" s="321"/>
      <c r="AH693" s="321"/>
      <c r="AI693" s="321"/>
      <c r="AJ693" s="321"/>
      <c r="AK693" s="321"/>
      <c r="AL693" s="414"/>
      <c r="AM693" s="414"/>
      <c r="AN693" s="321"/>
      <c r="AO693" s="321"/>
      <c r="AP693" s="321"/>
      <c r="AQ693" s="321"/>
      <c r="AR693" s="321"/>
      <c r="AS693" s="321"/>
      <c r="AT693" s="321"/>
      <c r="AU693" s="321"/>
      <c r="AV693" s="321"/>
      <c r="AW693" s="321"/>
      <c r="AX693" s="321"/>
      <c r="AY693" s="321"/>
      <c r="AZ693" s="193"/>
      <c r="BA693" s="414"/>
      <c r="BB693" s="301"/>
      <c r="BC693" s="321"/>
      <c r="BD693" s="321"/>
      <c r="BE693" s="321"/>
      <c r="BF693" s="321"/>
      <c r="BG693" s="321"/>
      <c r="BH693" s="321"/>
      <c r="BI693" s="321"/>
      <c r="BJ693" s="321"/>
      <c r="BK693" s="321"/>
      <c r="BL693" s="564"/>
      <c r="BM693" s="1"/>
    </row>
    <row r="694" spans="1:66">
      <c r="A694" s="483"/>
      <c r="B694" s="321"/>
      <c r="C694" s="193"/>
      <c r="D694" s="297"/>
      <c r="E694" s="321"/>
      <c r="F694" s="321"/>
      <c r="G694" s="321"/>
      <c r="H694" s="295"/>
      <c r="I694" s="297"/>
      <c r="J694" s="297"/>
      <c r="K694" s="297"/>
      <c r="L694" s="321"/>
      <c r="M694" s="321"/>
      <c r="N694" s="321"/>
      <c r="O694" s="321"/>
      <c r="P694" s="321"/>
      <c r="Q694" s="321"/>
      <c r="R694" s="321"/>
      <c r="S694" s="414"/>
      <c r="T694" s="295"/>
      <c r="U694" s="193"/>
      <c r="W694" s="321"/>
      <c r="X694" s="321"/>
      <c r="Y694" s="321"/>
      <c r="Z694" s="321"/>
      <c r="AA694" s="321"/>
      <c r="AB694" s="321"/>
      <c r="AC694" s="321"/>
      <c r="AD694" s="321"/>
      <c r="AE694" s="321"/>
      <c r="AF694" s="564"/>
      <c r="AG694" s="321"/>
      <c r="AH694" s="321"/>
      <c r="AI694" s="321"/>
      <c r="AJ694" s="321"/>
      <c r="AK694" s="321"/>
      <c r="AL694" s="414"/>
      <c r="AM694" s="414"/>
      <c r="AN694" s="321"/>
      <c r="AO694" s="321"/>
      <c r="AP694" s="321"/>
      <c r="AQ694" s="321"/>
      <c r="AR694" s="321"/>
      <c r="AS694" s="321"/>
      <c r="AT694" s="321"/>
      <c r="AU694" s="321"/>
      <c r="AV694" s="321"/>
      <c r="AW694" s="321"/>
      <c r="AX694" s="321"/>
      <c r="AY694" s="321"/>
      <c r="AZ694" s="193"/>
      <c r="BA694" s="193"/>
      <c r="BB694" s="301"/>
      <c r="BC694" s="321"/>
      <c r="BD694" s="321"/>
      <c r="BE694" s="321"/>
      <c r="BF694" s="321"/>
      <c r="BG694" s="321"/>
      <c r="BH694" s="321"/>
      <c r="BI694" s="321"/>
      <c r="BJ694" s="321"/>
      <c r="BK694" s="321"/>
      <c r="BL694" s="564"/>
      <c r="BM694" s="1"/>
    </row>
    <row r="695" spans="1:66">
      <c r="A695" s="483"/>
      <c r="B695" s="321"/>
      <c r="C695" s="193"/>
      <c r="D695" s="297"/>
      <c r="E695" s="321"/>
      <c r="F695" s="321"/>
      <c r="G695" s="321"/>
      <c r="H695" s="321"/>
      <c r="I695" s="321"/>
      <c r="J695" s="321"/>
      <c r="K695" s="321"/>
      <c r="L695" s="321"/>
      <c r="M695" s="321"/>
      <c r="N695" s="321"/>
      <c r="O695" s="321"/>
      <c r="P695" s="321"/>
      <c r="Q695" s="321"/>
      <c r="R695" s="321"/>
      <c r="S695" s="414"/>
      <c r="T695" s="295"/>
      <c r="U695" s="193"/>
      <c r="V695" s="321"/>
      <c r="W695" s="321"/>
      <c r="X695" s="321"/>
      <c r="Y695" s="321"/>
      <c r="Z695" s="321"/>
      <c r="AA695" s="321"/>
      <c r="AB695" s="321"/>
      <c r="AC695" s="321"/>
      <c r="AD695" s="321"/>
      <c r="AE695" s="321"/>
      <c r="AF695" s="564"/>
      <c r="AG695" s="321"/>
      <c r="AH695" s="321"/>
      <c r="AI695" s="321"/>
      <c r="AJ695" s="321"/>
      <c r="AK695" s="321"/>
      <c r="AL695" s="413"/>
      <c r="AM695" s="414"/>
      <c r="AN695" s="321"/>
      <c r="AO695" s="321"/>
      <c r="AP695" s="321"/>
      <c r="AQ695" s="321"/>
      <c r="AR695" s="321"/>
      <c r="AS695" s="321"/>
      <c r="AT695" s="321"/>
      <c r="AU695" s="321"/>
      <c r="AV695" s="321"/>
      <c r="AW695" s="321"/>
      <c r="AX695" s="321"/>
      <c r="AY695" s="321"/>
      <c r="AZ695" s="413"/>
      <c r="BA695" s="415"/>
      <c r="BB695" s="301"/>
      <c r="BC695" s="321"/>
      <c r="BD695" s="321"/>
      <c r="BE695" s="321"/>
      <c r="BF695" s="321"/>
      <c r="BG695" s="321"/>
      <c r="BH695" s="321"/>
      <c r="BI695" s="321"/>
      <c r="BJ695" s="321"/>
      <c r="BK695" s="321"/>
      <c r="BL695" s="564"/>
      <c r="BM695" s="1"/>
    </row>
    <row r="696" spans="1:66">
      <c r="A696" s="483"/>
      <c r="B696" s="321"/>
      <c r="C696" s="193"/>
      <c r="D696" s="297"/>
      <c r="E696" s="321"/>
      <c r="F696" s="321"/>
      <c r="G696" s="321"/>
      <c r="H696" s="321"/>
      <c r="I696" s="321"/>
      <c r="J696" s="321"/>
      <c r="K696" s="321"/>
      <c r="L696" s="321"/>
      <c r="M696" s="321"/>
      <c r="N696" s="321"/>
      <c r="O696" s="321"/>
      <c r="P696" s="321"/>
      <c r="Q696" s="321"/>
      <c r="R696" s="321"/>
      <c r="S696" s="415"/>
      <c r="T696" s="295"/>
      <c r="U696" s="193"/>
      <c r="V696" s="321"/>
      <c r="W696" s="321"/>
      <c r="X696" s="321"/>
      <c r="Y696" s="321"/>
      <c r="Z696" s="321"/>
      <c r="AA696" s="321"/>
      <c r="AB696" s="321"/>
      <c r="AC696" s="321"/>
      <c r="AD696" s="321"/>
      <c r="AE696" s="321"/>
      <c r="AF696" s="564"/>
      <c r="AG696" s="321"/>
      <c r="AH696" s="321"/>
      <c r="AI696" s="321"/>
      <c r="AJ696" s="321"/>
      <c r="AK696" s="321"/>
      <c r="AL696" s="413"/>
      <c r="AM696" s="414"/>
      <c r="AN696" s="321"/>
      <c r="AO696" s="321"/>
      <c r="AP696" s="321"/>
      <c r="AQ696" s="321"/>
      <c r="AR696" s="321"/>
      <c r="AS696" s="321"/>
      <c r="AT696" s="432"/>
      <c r="AU696" s="432"/>
      <c r="AV696" s="432"/>
      <c r="AW696" s="321"/>
      <c r="AX696" s="321"/>
      <c r="AY696" s="321"/>
      <c r="AZ696" s="295"/>
      <c r="BA696" s="413"/>
      <c r="BB696" s="321"/>
      <c r="BC696" s="321"/>
      <c r="BD696" s="321"/>
      <c r="BE696" s="321"/>
      <c r="BF696" s="321"/>
      <c r="BG696" s="321"/>
      <c r="BH696" s="321"/>
      <c r="BI696" s="321"/>
      <c r="BJ696" s="321"/>
      <c r="BK696" s="321"/>
      <c r="BL696" s="564"/>
      <c r="BM696" s="1"/>
    </row>
    <row r="697" spans="1:66">
      <c r="A697" s="483"/>
      <c r="B697" s="321"/>
      <c r="C697" s="193"/>
      <c r="D697" s="297"/>
      <c r="E697" s="321"/>
      <c r="F697" s="321"/>
      <c r="G697" s="321"/>
      <c r="H697" s="321"/>
      <c r="I697" s="321"/>
      <c r="J697" s="321"/>
      <c r="K697" s="321"/>
      <c r="L697" s="321"/>
      <c r="M697" s="321"/>
      <c r="N697" s="321"/>
      <c r="O697" s="321"/>
      <c r="P697" s="321"/>
      <c r="Q697" s="321"/>
      <c r="R697" s="321"/>
      <c r="S697" s="321"/>
      <c r="T697" s="193"/>
      <c r="U697" s="193"/>
      <c r="V697" s="321"/>
      <c r="W697" s="321"/>
      <c r="X697" s="321"/>
      <c r="Y697" s="321"/>
      <c r="Z697" s="321"/>
      <c r="AA697" s="321"/>
      <c r="AB697" s="321"/>
      <c r="AC697" s="321"/>
      <c r="AD697" s="321"/>
      <c r="AE697" s="321"/>
      <c r="AF697" s="564"/>
      <c r="AG697" s="321"/>
      <c r="AH697" s="321"/>
      <c r="AI697" s="321"/>
      <c r="AJ697" s="321"/>
      <c r="AK697" s="432"/>
      <c r="AL697" s="414"/>
      <c r="AM697" s="321"/>
      <c r="AN697" s="321"/>
      <c r="AO697" s="321"/>
      <c r="AP697" s="321"/>
      <c r="AQ697" s="321"/>
      <c r="AR697" s="321"/>
      <c r="AS697" s="321"/>
      <c r="AT697" s="321"/>
      <c r="AU697" s="193"/>
      <c r="AV697" s="193"/>
      <c r="AW697" s="321"/>
      <c r="AX697" s="321"/>
      <c r="AY697" s="321"/>
      <c r="AZ697" s="295"/>
      <c r="BA697" s="413"/>
      <c r="BB697" s="321"/>
      <c r="BC697" s="321"/>
      <c r="BD697" s="321"/>
      <c r="BE697" s="321"/>
      <c r="BF697" s="321"/>
      <c r="BG697" s="321"/>
      <c r="BH697" s="321"/>
      <c r="BI697" s="321"/>
      <c r="BJ697" s="321"/>
      <c r="BK697" s="321"/>
      <c r="BL697" s="564"/>
      <c r="BM697" s="1"/>
    </row>
    <row r="698" spans="1:66">
      <c r="A698" s="483"/>
      <c r="B698" s="432"/>
      <c r="C698" s="193"/>
      <c r="D698" s="297"/>
      <c r="E698" s="321"/>
      <c r="F698" s="321"/>
      <c r="G698" s="321"/>
      <c r="H698" s="321"/>
      <c r="I698" s="321"/>
      <c r="J698" s="321"/>
      <c r="K698" s="321"/>
      <c r="L698" s="321"/>
      <c r="M698" s="321"/>
      <c r="N698" s="321"/>
      <c r="O698" s="321"/>
      <c r="P698" s="321"/>
      <c r="Q698" s="321"/>
      <c r="R698" s="321"/>
      <c r="S698" s="321"/>
      <c r="T698" s="193"/>
      <c r="U698" s="193"/>
      <c r="V698" s="432"/>
      <c r="W698" s="321"/>
      <c r="X698" s="321"/>
      <c r="Y698" s="321"/>
      <c r="Z698" s="321"/>
      <c r="AA698" s="321"/>
      <c r="AB698" s="321"/>
      <c r="AC698" s="321"/>
      <c r="AD698" s="321"/>
      <c r="AE698" s="321"/>
      <c r="AF698" s="564"/>
      <c r="AG698" s="432"/>
      <c r="AH698" s="432"/>
      <c r="AI698" s="415"/>
      <c r="AJ698" s="415"/>
      <c r="AK698" s="414"/>
      <c r="AL698" s="414"/>
      <c r="AM698" s="321"/>
      <c r="AN698" s="321"/>
      <c r="AO698" s="321"/>
      <c r="AP698" s="321"/>
      <c r="AQ698" s="321"/>
      <c r="AR698" s="321"/>
      <c r="AS698" s="321"/>
      <c r="AT698" s="321"/>
      <c r="AU698" s="321"/>
      <c r="AV698" s="321"/>
      <c r="AW698" s="321"/>
      <c r="AX698" s="321"/>
      <c r="AY698" s="321"/>
      <c r="AZ698" s="193"/>
      <c r="BA698" s="413"/>
      <c r="BB698" s="415"/>
      <c r="BC698" s="321"/>
      <c r="BD698" s="321"/>
      <c r="BE698" s="321"/>
      <c r="BF698" s="321"/>
      <c r="BG698" s="321"/>
      <c r="BH698" s="321"/>
      <c r="BI698" s="321"/>
      <c r="BJ698" s="321"/>
      <c r="BK698" s="321"/>
      <c r="BL698" s="675"/>
      <c r="BM698" s="1"/>
    </row>
    <row r="699" spans="1:66">
      <c r="A699" s="491"/>
      <c r="B699" s="415"/>
      <c r="C699" s="193"/>
      <c r="D699" s="297"/>
      <c r="E699" s="321"/>
      <c r="F699" s="321"/>
      <c r="G699" s="321"/>
      <c r="H699" s="321"/>
      <c r="I699" s="321"/>
      <c r="J699" s="321"/>
      <c r="K699" s="321"/>
      <c r="L699" s="321"/>
      <c r="M699" s="321"/>
      <c r="N699" s="321"/>
      <c r="O699" s="321"/>
      <c r="P699" s="321"/>
      <c r="Q699" s="321"/>
      <c r="R699" s="321"/>
      <c r="S699" s="321"/>
      <c r="T699" s="193"/>
      <c r="U699" s="193"/>
      <c r="V699" s="193"/>
      <c r="W699" s="432"/>
      <c r="X699" s="432"/>
      <c r="Y699" s="415"/>
      <c r="Z699" s="415"/>
      <c r="AA699" s="415"/>
      <c r="AB699" s="415"/>
      <c r="AC699" s="415"/>
      <c r="AD699" s="415"/>
      <c r="AE699" s="415"/>
      <c r="AF699" s="607"/>
      <c r="AG699" s="414"/>
      <c r="AH699" s="414"/>
      <c r="AI699" s="413"/>
      <c r="AJ699" s="413"/>
      <c r="AK699" s="193"/>
      <c r="AL699" s="413"/>
      <c r="AM699" s="321"/>
      <c r="AN699" s="321"/>
      <c r="AO699" s="321"/>
      <c r="AP699" s="321"/>
      <c r="AQ699" s="321"/>
      <c r="AR699" s="321"/>
      <c r="AS699" s="321"/>
      <c r="AT699" s="321"/>
      <c r="AU699" s="321"/>
      <c r="AV699" s="321"/>
      <c r="AW699" s="321"/>
      <c r="AX699" s="321"/>
      <c r="AY699" s="321"/>
      <c r="AZ699" s="193"/>
      <c r="BA699" s="414"/>
      <c r="BB699" s="414"/>
      <c r="BC699" s="414"/>
      <c r="BD699" s="414"/>
      <c r="BE699" s="414"/>
      <c r="BF699" s="414"/>
      <c r="BG699" s="413"/>
      <c r="BH699" s="414"/>
      <c r="BI699" s="414"/>
      <c r="BJ699" s="414"/>
      <c r="BK699" s="414"/>
      <c r="BL699" s="675"/>
      <c r="BM699" s="1"/>
    </row>
    <row r="700" spans="1:66">
      <c r="A700" s="856"/>
      <c r="B700" s="193"/>
      <c r="C700" s="432"/>
      <c r="D700" s="432"/>
      <c r="E700" s="415"/>
      <c r="F700" s="415"/>
      <c r="G700" s="415"/>
      <c r="H700" s="321"/>
      <c r="I700" s="321"/>
      <c r="J700" s="321"/>
      <c r="K700" s="321"/>
      <c r="L700" s="321"/>
      <c r="M700" s="321"/>
      <c r="N700" s="321"/>
      <c r="O700" s="321"/>
      <c r="P700" s="321"/>
      <c r="Q700" s="321"/>
      <c r="R700" s="321"/>
      <c r="S700" s="321"/>
      <c r="T700" s="415"/>
      <c r="U700" s="193"/>
      <c r="V700" s="193"/>
      <c r="W700" s="432"/>
      <c r="X700" s="193"/>
      <c r="Y700" s="193"/>
      <c r="Z700" s="193"/>
      <c r="AA700" s="193"/>
      <c r="AB700" s="193"/>
      <c r="AC700" s="193"/>
      <c r="AD700" s="193"/>
      <c r="AE700" s="193"/>
      <c r="AF700" s="857"/>
      <c r="AG700" s="301"/>
      <c r="AH700" s="321"/>
      <c r="AI700" s="321"/>
      <c r="AJ700" s="301"/>
      <c r="AK700" s="193"/>
      <c r="AL700" s="414"/>
      <c r="AM700" s="321"/>
      <c r="AN700" s="321"/>
      <c r="AO700" s="321"/>
      <c r="AP700" s="321"/>
      <c r="AQ700" s="321"/>
      <c r="AR700" s="321"/>
      <c r="AS700" s="321"/>
      <c r="AT700" s="321"/>
      <c r="AU700" s="321"/>
      <c r="AV700" s="321"/>
      <c r="AW700" s="321"/>
      <c r="AX700" s="321"/>
      <c r="AY700" s="321"/>
      <c r="AZ700" s="193"/>
      <c r="BA700" s="414"/>
      <c r="BB700" s="414"/>
      <c r="BC700" s="414"/>
      <c r="BD700" s="414"/>
      <c r="BE700" s="413"/>
      <c r="BF700" s="413"/>
      <c r="BG700" s="413"/>
      <c r="BH700" s="413"/>
      <c r="BI700" s="414"/>
      <c r="BJ700" s="413"/>
      <c r="BK700" s="414"/>
      <c r="BL700" s="675"/>
      <c r="BM700" s="1"/>
    </row>
    <row r="701" spans="1:66">
      <c r="A701" s="861"/>
      <c r="B701" s="321"/>
      <c r="C701" s="321"/>
      <c r="D701" s="321"/>
      <c r="E701" s="321"/>
      <c r="F701" s="432"/>
      <c r="G701" s="432"/>
      <c r="H701" s="415"/>
      <c r="I701" s="432"/>
      <c r="J701" s="432"/>
      <c r="K701" s="321"/>
      <c r="L701" s="321"/>
      <c r="M701" s="321"/>
      <c r="N701" s="321"/>
      <c r="O701" s="321"/>
      <c r="P701" s="321"/>
      <c r="Q701" s="321"/>
      <c r="R701" s="321"/>
      <c r="S701" s="432"/>
      <c r="T701" s="414"/>
      <c r="U701" s="297"/>
      <c r="V701" s="415"/>
      <c r="W701" s="432"/>
      <c r="X701" s="432"/>
      <c r="Y701" s="432"/>
      <c r="Z701" s="432"/>
      <c r="AA701" s="297"/>
      <c r="AB701" s="297"/>
      <c r="AC701" s="297"/>
      <c r="AD701" s="297"/>
      <c r="AE701" s="297"/>
      <c r="AF701" s="468"/>
      <c r="AG701" s="321"/>
      <c r="AH701" s="321"/>
      <c r="AI701" s="321"/>
      <c r="AJ701" s="301"/>
      <c r="AK701" s="193"/>
      <c r="AL701" s="414"/>
      <c r="AM701" s="415"/>
      <c r="AN701" s="321"/>
      <c r="AO701" s="321"/>
      <c r="AP701" s="321"/>
      <c r="AQ701" s="321"/>
      <c r="AR701" s="321"/>
      <c r="AS701" s="321"/>
      <c r="AT701" s="321"/>
      <c r="AU701" s="321"/>
      <c r="AV701" s="321"/>
      <c r="AW701" s="321"/>
      <c r="AX701" s="321"/>
      <c r="AY701" s="432"/>
      <c r="AZ701" s="193"/>
      <c r="BA701" s="415"/>
      <c r="BB701" s="301"/>
      <c r="BC701" s="301"/>
      <c r="BD701" s="301"/>
      <c r="BE701" s="301"/>
      <c r="BF701" s="301"/>
      <c r="BG701" s="301"/>
      <c r="BH701" s="301"/>
      <c r="BI701" s="321"/>
      <c r="BJ701" s="321"/>
      <c r="BK701" s="321"/>
      <c r="BL701" s="564"/>
      <c r="BM701" s="1"/>
    </row>
    <row r="702" spans="1:66">
      <c r="A702" s="483"/>
      <c r="B702" s="321"/>
      <c r="C702" s="321"/>
      <c r="D702" s="321"/>
      <c r="E702" s="321"/>
      <c r="F702" s="321"/>
      <c r="G702" s="321"/>
      <c r="H702" s="321"/>
      <c r="I702" s="321"/>
      <c r="J702" s="432"/>
      <c r="K702" s="295"/>
      <c r="L702" s="295"/>
      <c r="M702" s="295"/>
      <c r="N702" s="295"/>
      <c r="O702" s="193"/>
      <c r="P702" s="193"/>
      <c r="Q702" s="321"/>
      <c r="R702" s="321"/>
      <c r="S702" s="414"/>
      <c r="T702" s="432"/>
      <c r="U702" s="297"/>
      <c r="V702" s="321"/>
      <c r="W702" s="321"/>
      <c r="X702" s="432"/>
      <c r="Y702" s="432"/>
      <c r="Z702" s="414"/>
      <c r="AA702" s="321"/>
      <c r="AB702" s="321"/>
      <c r="AC702" s="321"/>
      <c r="AD702" s="321"/>
      <c r="AE702" s="321"/>
      <c r="AF702" s="564"/>
      <c r="AG702" s="321"/>
      <c r="AH702" s="415"/>
      <c r="AI702" s="321"/>
      <c r="AJ702" s="321"/>
      <c r="AK702" s="193"/>
      <c r="AL702" s="414"/>
      <c r="AM702" s="414"/>
      <c r="AN702" s="414"/>
      <c r="AO702" s="295"/>
      <c r="AP702" s="295"/>
      <c r="AQ702" s="295"/>
      <c r="AR702" s="295"/>
      <c r="AS702" s="295"/>
      <c r="AT702" s="295"/>
      <c r="AU702" s="414"/>
      <c r="AV702" s="413"/>
      <c r="AW702" s="193"/>
      <c r="AX702" s="193"/>
      <c r="AY702" s="193"/>
      <c r="AZ702" s="193"/>
      <c r="BA702" s="415"/>
      <c r="BB702" s="321"/>
      <c r="BC702" s="321"/>
      <c r="BD702" s="321"/>
      <c r="BE702" s="321"/>
      <c r="BF702" s="321"/>
      <c r="BG702" s="321"/>
      <c r="BH702" s="321"/>
      <c r="BI702" s="321"/>
      <c r="BJ702" s="321"/>
      <c r="BK702" s="321"/>
      <c r="BL702" s="564"/>
      <c r="BM702" s="1"/>
    </row>
    <row r="703" spans="1:66">
      <c r="A703" s="483"/>
      <c r="B703" s="321"/>
      <c r="C703" s="321"/>
      <c r="D703" s="321"/>
      <c r="E703" s="321"/>
      <c r="F703" s="415"/>
      <c r="G703" s="321"/>
      <c r="H703" s="321"/>
      <c r="I703" s="321"/>
      <c r="J703" s="321"/>
      <c r="K703" s="414"/>
      <c r="L703" s="415"/>
      <c r="M703" s="415"/>
      <c r="N703" s="414"/>
      <c r="O703" s="414"/>
      <c r="P703" s="193"/>
      <c r="Q703" s="295"/>
      <c r="R703" s="415"/>
      <c r="S703" s="432"/>
      <c r="T703" s="321"/>
      <c r="U703" s="321"/>
      <c r="V703" s="321"/>
      <c r="W703" s="321"/>
      <c r="X703" s="321"/>
      <c r="Y703" s="321"/>
      <c r="Z703" s="414"/>
      <c r="AA703" s="321"/>
      <c r="AB703" s="321"/>
      <c r="AC703" s="321"/>
      <c r="AD703" s="321"/>
      <c r="AE703" s="321"/>
      <c r="AF703" s="564"/>
      <c r="AG703" s="321"/>
      <c r="AH703" s="321"/>
      <c r="AI703" s="321"/>
      <c r="AJ703" s="321"/>
      <c r="AK703" s="193"/>
      <c r="AL703" s="414"/>
      <c r="AM703" s="301"/>
      <c r="AN703" s="301"/>
      <c r="AO703" s="301"/>
      <c r="AP703" s="321"/>
      <c r="AQ703" s="321"/>
      <c r="AR703" s="414"/>
      <c r="AS703" s="414"/>
      <c r="AT703" s="413"/>
      <c r="AU703" s="413"/>
      <c r="AV703" s="413"/>
      <c r="AW703" s="413"/>
      <c r="AX703" s="413"/>
      <c r="AY703" s="413"/>
      <c r="AZ703" s="414"/>
      <c r="BA703" s="414"/>
      <c r="BB703" s="321"/>
      <c r="BC703" s="321"/>
      <c r="BD703" s="321"/>
      <c r="BE703" s="321"/>
      <c r="BF703" s="321"/>
      <c r="BG703" s="321"/>
      <c r="BH703" s="321"/>
      <c r="BI703" s="321"/>
      <c r="BJ703" s="321"/>
      <c r="BK703" s="321"/>
      <c r="BL703" s="564"/>
      <c r="BM703" s="1"/>
    </row>
    <row r="704" spans="1:66">
      <c r="A704" s="651"/>
      <c r="B704" s="569"/>
      <c r="C704" s="569"/>
      <c r="D704" s="569"/>
      <c r="E704" s="569"/>
      <c r="F704" s="569"/>
      <c r="G704" s="569"/>
      <c r="H704" s="569"/>
      <c r="I704" s="569"/>
      <c r="J704" s="569"/>
      <c r="K704" s="602"/>
      <c r="L704" s="713"/>
      <c r="M704" s="713"/>
      <c r="N704" s="569"/>
      <c r="O704" s="569"/>
      <c r="P704" s="858"/>
      <c r="Q704" s="862"/>
      <c r="R704" s="569"/>
      <c r="S704" s="569"/>
      <c r="T704" s="569"/>
      <c r="U704" s="569"/>
      <c r="V704" s="569"/>
      <c r="W704" s="569"/>
      <c r="X704" s="569"/>
      <c r="Y704" s="569"/>
      <c r="Z704" s="602"/>
      <c r="AA704" s="581"/>
      <c r="AB704" s="569"/>
      <c r="AC704" s="569"/>
      <c r="AD704" s="569"/>
      <c r="AE704" s="569"/>
      <c r="AF704" s="570"/>
      <c r="AG704" s="569"/>
      <c r="AH704" s="569"/>
      <c r="AI704" s="569"/>
      <c r="AJ704" s="569"/>
      <c r="AK704" s="858"/>
      <c r="AL704" s="602"/>
      <c r="AM704" s="569"/>
      <c r="AN704" s="569"/>
      <c r="AO704" s="569"/>
      <c r="AP704" s="569"/>
      <c r="AQ704" s="569"/>
      <c r="AR704" s="569"/>
      <c r="AS704" s="569"/>
      <c r="AT704" s="569"/>
      <c r="AU704" s="569"/>
      <c r="AV704" s="859"/>
      <c r="AW704" s="602"/>
      <c r="AX704" s="569"/>
      <c r="AY704" s="569"/>
      <c r="AZ704" s="859"/>
      <c r="BA704" s="858"/>
      <c r="BB704" s="581"/>
      <c r="BC704" s="569"/>
      <c r="BD704" s="569"/>
      <c r="BE704" s="569"/>
      <c r="BF704" s="569"/>
      <c r="BG704" s="569"/>
      <c r="BH704" s="569"/>
      <c r="BI704" s="569"/>
      <c r="BJ704" s="569"/>
      <c r="BK704" s="569"/>
      <c r="BL704" s="570"/>
      <c r="BM704" s="176"/>
      <c r="BN704" s="73"/>
    </row>
    <row r="705" spans="1:97">
      <c r="A705" s="298">
        <v>1</v>
      </c>
      <c r="B705" s="298">
        <v>1</v>
      </c>
      <c r="C705" s="298">
        <v>1</v>
      </c>
      <c r="D705" s="207"/>
      <c r="E705" s="298">
        <v>1</v>
      </c>
      <c r="F705" s="298">
        <v>1</v>
      </c>
      <c r="G705" s="298">
        <v>1</v>
      </c>
      <c r="H705" s="298">
        <v>1</v>
      </c>
      <c r="I705" s="298">
        <v>1</v>
      </c>
      <c r="J705" s="298">
        <v>1</v>
      </c>
      <c r="K705" s="298">
        <v>1</v>
      </c>
      <c r="L705" s="298">
        <v>1</v>
      </c>
      <c r="M705" s="298">
        <v>1</v>
      </c>
      <c r="N705" s="298">
        <v>1</v>
      </c>
      <c r="O705" s="298">
        <v>1</v>
      </c>
      <c r="P705" s="204"/>
      <c r="Q705" s="298">
        <v>1</v>
      </c>
      <c r="R705" s="298">
        <v>1</v>
      </c>
      <c r="S705" s="298">
        <v>1</v>
      </c>
      <c r="T705" s="298">
        <v>1</v>
      </c>
      <c r="U705" s="298">
        <v>1</v>
      </c>
      <c r="V705" s="298">
        <v>1</v>
      </c>
      <c r="W705" s="207"/>
      <c r="X705" s="298">
        <v>1</v>
      </c>
      <c r="Y705" s="298">
        <v>1</v>
      </c>
      <c r="Z705" s="298">
        <v>1</v>
      </c>
      <c r="AA705" s="298">
        <v>1</v>
      </c>
      <c r="AB705" s="298">
        <v>1</v>
      </c>
      <c r="AC705" s="298">
        <v>1</v>
      </c>
      <c r="AD705" s="298">
        <v>1</v>
      </c>
      <c r="AE705" s="298">
        <v>1</v>
      </c>
      <c r="AF705" s="298">
        <v>1</v>
      </c>
      <c r="AG705" s="294">
        <v>1</v>
      </c>
      <c r="AH705" s="290"/>
      <c r="AI705" s="294">
        <v>1</v>
      </c>
      <c r="AJ705" s="294">
        <v>1</v>
      </c>
      <c r="AK705" s="294">
        <v>1</v>
      </c>
      <c r="AL705" s="294">
        <v>1</v>
      </c>
      <c r="AM705" s="294">
        <v>1</v>
      </c>
      <c r="AN705" s="294">
        <v>1</v>
      </c>
      <c r="AO705" s="294">
        <v>1</v>
      </c>
      <c r="AP705" s="294">
        <v>1</v>
      </c>
      <c r="AQ705" s="290"/>
      <c r="AR705" s="294">
        <v>1</v>
      </c>
      <c r="AS705" s="207"/>
      <c r="AT705" s="294">
        <v>1</v>
      </c>
      <c r="AU705" s="294">
        <v>1</v>
      </c>
      <c r="AV705" s="294">
        <v>1</v>
      </c>
      <c r="AW705" s="294">
        <v>1</v>
      </c>
      <c r="AX705" s="294">
        <v>1</v>
      </c>
      <c r="AY705" s="294">
        <v>1</v>
      </c>
      <c r="AZ705" s="294">
        <v>1</v>
      </c>
      <c r="BA705" s="294">
        <v>1</v>
      </c>
      <c r="BB705" s="294">
        <v>1</v>
      </c>
      <c r="BC705" s="294">
        <v>1</v>
      </c>
      <c r="BD705" s="294">
        <v>1</v>
      </c>
      <c r="BE705" s="207"/>
      <c r="BF705" s="294">
        <v>1</v>
      </c>
      <c r="BG705" s="294">
        <v>1</v>
      </c>
      <c r="BH705" s="294">
        <v>1</v>
      </c>
      <c r="BI705" s="294">
        <v>1</v>
      </c>
      <c r="BJ705" s="298"/>
      <c r="BK705" s="294">
        <v>1</v>
      </c>
      <c r="BL705" s="294">
        <v>1</v>
      </c>
      <c r="BM705" s="298">
        <v>23</v>
      </c>
      <c r="BO705" s="161"/>
      <c r="BP705" s="161"/>
      <c r="BS705" s="161"/>
      <c r="BT705" s="297"/>
      <c r="BU705" s="293"/>
      <c r="BV705" s="293"/>
      <c r="BW705" s="293"/>
      <c r="BX705" s="293"/>
      <c r="BY705" s="293"/>
      <c r="BZ705" s="291"/>
      <c r="CA705" s="293"/>
      <c r="CB705" s="161"/>
      <c r="CE705" s="161"/>
      <c r="CF705" s="161"/>
      <c r="CG705" s="161"/>
      <c r="CJ705" s="161"/>
      <c r="CK705" s="293"/>
      <c r="CL705" s="297"/>
      <c r="CM705" s="293"/>
      <c r="CN705" s="293"/>
      <c r="CO705" s="293"/>
      <c r="CP705" s="293"/>
      <c r="CQ705" s="293"/>
      <c r="CR705" s="161"/>
    </row>
    <row r="706" spans="1:97">
      <c r="A706" s="298">
        <v>1</v>
      </c>
      <c r="B706" s="298">
        <v>1</v>
      </c>
      <c r="C706" s="298">
        <v>1</v>
      </c>
      <c r="D706" s="207"/>
      <c r="E706" s="298">
        <v>1</v>
      </c>
      <c r="F706" s="298">
        <v>1</v>
      </c>
      <c r="G706" s="298">
        <v>1</v>
      </c>
      <c r="H706" s="298">
        <v>1</v>
      </c>
      <c r="I706" s="298">
        <v>1</v>
      </c>
      <c r="J706" s="298">
        <v>1</v>
      </c>
      <c r="K706" s="308"/>
      <c r="L706" s="298">
        <v>1</v>
      </c>
      <c r="M706" s="298">
        <v>1</v>
      </c>
      <c r="N706" s="298">
        <v>1</v>
      </c>
      <c r="O706" s="298">
        <v>1</v>
      </c>
      <c r="P706" s="204"/>
      <c r="Q706" s="298">
        <v>1</v>
      </c>
      <c r="R706" s="298">
        <v>1</v>
      </c>
      <c r="S706" s="298">
        <v>1</v>
      </c>
      <c r="T706" s="298">
        <v>1</v>
      </c>
      <c r="U706" s="298">
        <v>1</v>
      </c>
      <c r="V706" s="298">
        <v>1</v>
      </c>
      <c r="W706" s="207"/>
      <c r="X706" s="298">
        <v>1</v>
      </c>
      <c r="Y706" s="298">
        <v>1</v>
      </c>
      <c r="Z706" s="298">
        <v>1</v>
      </c>
      <c r="AA706" s="298">
        <v>1</v>
      </c>
      <c r="AB706" s="298">
        <v>1</v>
      </c>
      <c r="AC706" s="298">
        <v>1</v>
      </c>
      <c r="AD706" s="298">
        <v>1</v>
      </c>
      <c r="AE706" s="298">
        <v>1</v>
      </c>
      <c r="AF706" s="298">
        <v>1</v>
      </c>
      <c r="AG706" s="294">
        <v>1</v>
      </c>
      <c r="AH706" s="290"/>
      <c r="AI706" s="294">
        <v>1</v>
      </c>
      <c r="AJ706" s="294">
        <v>1</v>
      </c>
      <c r="AK706" s="294">
        <v>1</v>
      </c>
      <c r="AL706" s="294">
        <v>1</v>
      </c>
      <c r="AM706" s="294">
        <v>1</v>
      </c>
      <c r="AN706" s="294">
        <v>1</v>
      </c>
      <c r="AO706" s="294">
        <v>1</v>
      </c>
      <c r="AP706" s="294">
        <v>1</v>
      </c>
      <c r="AQ706" s="290"/>
      <c r="AR706" s="294">
        <v>1</v>
      </c>
      <c r="AS706" s="207"/>
      <c r="AT706" s="294">
        <v>1</v>
      </c>
      <c r="AU706" s="294">
        <v>1</v>
      </c>
      <c r="AV706" s="294">
        <v>1</v>
      </c>
      <c r="AW706" s="294">
        <v>1</v>
      </c>
      <c r="AX706" s="294">
        <v>1</v>
      </c>
      <c r="AY706" s="294">
        <v>1</v>
      </c>
      <c r="AZ706" s="294">
        <v>1</v>
      </c>
      <c r="BA706" s="294">
        <v>1</v>
      </c>
      <c r="BB706" s="294">
        <v>1</v>
      </c>
      <c r="BC706" s="294">
        <v>1</v>
      </c>
      <c r="BD706" s="294">
        <v>1</v>
      </c>
      <c r="BE706" s="294">
        <v>1</v>
      </c>
      <c r="BF706" s="294">
        <v>1</v>
      </c>
      <c r="BG706" s="294">
        <v>1</v>
      </c>
      <c r="BH706" s="294">
        <v>1</v>
      </c>
      <c r="BI706" s="294">
        <v>1</v>
      </c>
      <c r="BJ706" s="298"/>
      <c r="BK706" s="294">
        <v>1</v>
      </c>
      <c r="BL706" s="294">
        <v>1</v>
      </c>
      <c r="BM706" s="294"/>
      <c r="BN706" s="161"/>
      <c r="BO706" s="297"/>
      <c r="BP706" s="297"/>
      <c r="BQ706" s="161"/>
      <c r="BS706" s="161"/>
      <c r="BT706" s="297"/>
      <c r="BU706" s="293"/>
      <c r="BV706" s="293"/>
      <c r="BW706" s="293"/>
      <c r="BX706" s="293"/>
      <c r="BY706" s="291"/>
      <c r="BZ706" s="293"/>
      <c r="CA706" s="161"/>
      <c r="CD706" s="161"/>
      <c r="CE706" s="297"/>
      <c r="CF706" s="293"/>
      <c r="CG706" s="293"/>
      <c r="CH706" s="161"/>
      <c r="CK706" s="161"/>
      <c r="CL706" s="293"/>
      <c r="CM706" s="297"/>
      <c r="CN706" s="293"/>
      <c r="CO706" s="293"/>
      <c r="CP706" s="293"/>
      <c r="CQ706" s="291"/>
      <c r="CR706" s="161"/>
    </row>
    <row r="707" spans="1:97">
      <c r="A707" s="298">
        <v>1</v>
      </c>
      <c r="B707" s="298">
        <v>1</v>
      </c>
      <c r="C707" s="298">
        <v>1</v>
      </c>
      <c r="D707" s="204"/>
      <c r="E707" s="298">
        <v>1</v>
      </c>
      <c r="F707" s="298">
        <v>1</v>
      </c>
      <c r="G707" s="298">
        <v>1</v>
      </c>
      <c r="H707" s="298">
        <v>1</v>
      </c>
      <c r="I707" s="298">
        <v>1</v>
      </c>
      <c r="J707" s="298">
        <v>1</v>
      </c>
      <c r="K707" s="308"/>
      <c r="L707" s="298">
        <v>1</v>
      </c>
      <c r="M707" s="298">
        <v>1</v>
      </c>
      <c r="N707" s="298">
        <v>1</v>
      </c>
      <c r="O707" s="298">
        <v>1</v>
      </c>
      <c r="P707" s="204"/>
      <c r="Q707" s="298">
        <v>1</v>
      </c>
      <c r="R707" s="298">
        <v>1</v>
      </c>
      <c r="S707" s="298">
        <v>1</v>
      </c>
      <c r="T707" s="298">
        <v>1</v>
      </c>
      <c r="U707" s="298">
        <v>1</v>
      </c>
      <c r="V707" s="298">
        <v>1</v>
      </c>
      <c r="W707" s="298">
        <v>1</v>
      </c>
      <c r="X707" s="298">
        <v>1</v>
      </c>
      <c r="Y707" s="298">
        <v>1</v>
      </c>
      <c r="Z707" s="298">
        <v>1</v>
      </c>
      <c r="AA707" s="294"/>
      <c r="AB707" s="298">
        <v>1</v>
      </c>
      <c r="AC707" s="298">
        <v>1</v>
      </c>
      <c r="AD707" s="207"/>
      <c r="AE707" s="298">
        <v>1</v>
      </c>
      <c r="AF707" s="298">
        <v>1</v>
      </c>
      <c r="AG707" s="294">
        <v>1</v>
      </c>
      <c r="AH707" s="298"/>
      <c r="AI707" s="294">
        <v>1</v>
      </c>
      <c r="AJ707" s="294">
        <v>1</v>
      </c>
      <c r="AK707" s="294">
        <v>1</v>
      </c>
      <c r="AL707" s="290"/>
      <c r="AM707" s="294">
        <v>1</v>
      </c>
      <c r="AN707" s="294">
        <v>1</v>
      </c>
      <c r="AO707" s="294">
        <v>1</v>
      </c>
      <c r="AP707" s="294">
        <v>1</v>
      </c>
      <c r="AQ707" s="294">
        <v>1</v>
      </c>
      <c r="AR707" s="294">
        <v>1</v>
      </c>
      <c r="AS707" s="207"/>
      <c r="AT707" s="294">
        <v>1</v>
      </c>
      <c r="AU707" s="294">
        <v>1</v>
      </c>
      <c r="AV707" s="298"/>
      <c r="AW707" s="294">
        <v>1</v>
      </c>
      <c r="AX707" s="294">
        <v>1</v>
      </c>
      <c r="AY707" s="294">
        <v>1</v>
      </c>
      <c r="AZ707" s="294">
        <v>1</v>
      </c>
      <c r="BA707" s="294">
        <v>1</v>
      </c>
      <c r="BB707" s="294">
        <v>1</v>
      </c>
      <c r="BC707" s="294">
        <v>1</v>
      </c>
      <c r="BD707" s="294">
        <v>1</v>
      </c>
      <c r="BE707" s="294">
        <v>1</v>
      </c>
      <c r="BF707" s="298"/>
      <c r="BG707" s="294">
        <v>1</v>
      </c>
      <c r="BH707" s="294">
        <v>1</v>
      </c>
      <c r="BI707" s="294">
        <v>1</v>
      </c>
      <c r="BJ707" s="298"/>
      <c r="BK707" s="294">
        <v>1</v>
      </c>
      <c r="BL707" s="294">
        <v>1</v>
      </c>
      <c r="BN707" s="161"/>
      <c r="BO707" s="297"/>
      <c r="BP707" s="293"/>
      <c r="BQ707" s="161"/>
      <c r="BT707" s="161"/>
      <c r="BU707" s="297"/>
      <c r="BV707" s="293"/>
      <c r="BW707" s="293"/>
      <c r="BX707" s="293"/>
      <c r="BY707" s="291"/>
      <c r="BZ707" s="293"/>
      <c r="CA707" s="161"/>
      <c r="CC707" s="161"/>
      <c r="CD707" s="297"/>
      <c r="CE707" s="293"/>
      <c r="CF707" s="293"/>
      <c r="CG707" s="293"/>
      <c r="CH707" s="293"/>
      <c r="CI707" s="161"/>
      <c r="CL707" s="161"/>
      <c r="CM707" s="293"/>
      <c r="CN707" s="293"/>
      <c r="CO707" s="293"/>
      <c r="CP707" s="293"/>
      <c r="CQ707" s="291"/>
      <c r="CR707" s="161"/>
    </row>
    <row r="708" spans="1:97">
      <c r="A708" s="298">
        <v>1</v>
      </c>
      <c r="B708" s="298">
        <v>1</v>
      </c>
      <c r="C708" s="298">
        <v>1</v>
      </c>
      <c r="D708" s="204"/>
      <c r="E708" s="298">
        <v>1</v>
      </c>
      <c r="F708" s="298">
        <v>1</v>
      </c>
      <c r="G708" s="298">
        <v>1</v>
      </c>
      <c r="H708" s="298">
        <v>1</v>
      </c>
      <c r="I708" s="298">
        <v>1</v>
      </c>
      <c r="J708" s="207"/>
      <c r="K708" s="308"/>
      <c r="L708" s="298">
        <v>1</v>
      </c>
      <c r="M708" s="298">
        <v>1</v>
      </c>
      <c r="N708" s="298">
        <v>1</v>
      </c>
      <c r="O708" s="298">
        <v>1</v>
      </c>
      <c r="P708" s="207"/>
      <c r="Q708" s="298">
        <v>1</v>
      </c>
      <c r="R708" s="298">
        <v>1</v>
      </c>
      <c r="S708" s="207"/>
      <c r="T708" s="298">
        <v>1</v>
      </c>
      <c r="U708" s="298">
        <v>1</v>
      </c>
      <c r="V708" s="298">
        <v>1</v>
      </c>
      <c r="W708" s="298">
        <v>1</v>
      </c>
      <c r="X708" s="298">
        <v>1</v>
      </c>
      <c r="Y708" s="298">
        <v>1</v>
      </c>
      <c r="Z708" s="298">
        <v>1</v>
      </c>
      <c r="AA708" s="294"/>
      <c r="AB708" s="298">
        <v>1</v>
      </c>
      <c r="AC708" s="298">
        <v>1</v>
      </c>
      <c r="AD708" s="207"/>
      <c r="AE708" s="298">
        <v>1</v>
      </c>
      <c r="AF708" s="298">
        <v>1</v>
      </c>
      <c r="AG708" s="294">
        <v>1</v>
      </c>
      <c r="AH708" s="298"/>
      <c r="AI708" s="294">
        <v>1</v>
      </c>
      <c r="AJ708" s="294">
        <v>1</v>
      </c>
      <c r="AK708" s="294">
        <v>1</v>
      </c>
      <c r="AL708" s="290"/>
      <c r="AM708" s="294">
        <v>1</v>
      </c>
      <c r="AN708" s="294">
        <v>1</v>
      </c>
      <c r="AO708" s="294">
        <v>1</v>
      </c>
      <c r="AP708" s="294">
        <v>1</v>
      </c>
      <c r="AQ708" s="294">
        <v>1</v>
      </c>
      <c r="AR708" s="294">
        <v>1</v>
      </c>
      <c r="AS708" s="298"/>
      <c r="AT708" s="207"/>
      <c r="AU708" s="294">
        <v>1</v>
      </c>
      <c r="AV708" s="294">
        <v>1</v>
      </c>
      <c r="AW708" s="294">
        <v>1</v>
      </c>
      <c r="AX708" s="294">
        <v>1</v>
      </c>
      <c r="AY708" s="294">
        <v>1</v>
      </c>
      <c r="AZ708" s="294">
        <v>1</v>
      </c>
      <c r="BA708" s="290"/>
      <c r="BB708" s="294">
        <v>1</v>
      </c>
      <c r="BC708" s="294">
        <v>1</v>
      </c>
      <c r="BD708" s="294">
        <v>1</v>
      </c>
      <c r="BE708" s="294">
        <v>1</v>
      </c>
      <c r="BF708" s="207"/>
      <c r="BG708" s="294">
        <v>1</v>
      </c>
      <c r="BH708" s="294">
        <v>1</v>
      </c>
      <c r="BI708" s="294">
        <v>1</v>
      </c>
      <c r="BJ708" s="298"/>
      <c r="BK708" s="294">
        <v>1</v>
      </c>
      <c r="BL708" s="294">
        <v>1</v>
      </c>
      <c r="BN708" s="161"/>
      <c r="BO708" s="297"/>
      <c r="BP708" s="293"/>
      <c r="BQ708" s="293"/>
      <c r="BR708" s="161"/>
      <c r="BU708" s="161"/>
      <c r="BV708" s="293"/>
      <c r="BW708" s="293"/>
      <c r="BX708" s="291"/>
      <c r="BY708" s="293"/>
      <c r="BZ708" s="161"/>
      <c r="CC708" s="161"/>
      <c r="CD708" s="293"/>
      <c r="CE708" s="293"/>
      <c r="CF708" s="293"/>
      <c r="CG708" s="293"/>
      <c r="CH708" s="293"/>
      <c r="CI708" s="291"/>
      <c r="CJ708" s="161"/>
      <c r="CL708" s="161"/>
      <c r="CM708" s="293"/>
      <c r="CN708" s="293"/>
      <c r="CO708" s="293"/>
      <c r="CP708" s="291"/>
      <c r="CQ708" s="291"/>
      <c r="CR708" s="161"/>
    </row>
    <row r="709" spans="1:97">
      <c r="A709" s="298">
        <v>1</v>
      </c>
      <c r="B709" s="298">
        <v>1</v>
      </c>
      <c r="C709" s="207"/>
      <c r="D709" s="204"/>
      <c r="E709" s="298">
        <v>1</v>
      </c>
      <c r="F709" s="298">
        <v>1</v>
      </c>
      <c r="G709" s="298">
        <v>1</v>
      </c>
      <c r="H709" s="298">
        <v>1</v>
      </c>
      <c r="I709" s="298">
        <v>1</v>
      </c>
      <c r="J709" s="308"/>
      <c r="K709" s="204"/>
      <c r="L709" s="298">
        <v>1</v>
      </c>
      <c r="M709" s="298">
        <v>1</v>
      </c>
      <c r="N709" s="298">
        <v>1</v>
      </c>
      <c r="O709" s="298">
        <v>1</v>
      </c>
      <c r="P709" s="207"/>
      <c r="Q709" s="298">
        <v>1</v>
      </c>
      <c r="R709" s="298">
        <v>1</v>
      </c>
      <c r="S709" s="207"/>
      <c r="T709" s="298">
        <v>1</v>
      </c>
      <c r="U709" s="298">
        <v>1</v>
      </c>
      <c r="V709" s="298">
        <v>1</v>
      </c>
      <c r="W709" s="204"/>
      <c r="X709" s="298">
        <v>1</v>
      </c>
      <c r="Y709" s="298">
        <v>1</v>
      </c>
      <c r="Z709" s="298">
        <v>1</v>
      </c>
      <c r="AA709" s="294"/>
      <c r="AB709" s="298">
        <v>1</v>
      </c>
      <c r="AC709" s="298">
        <v>1</v>
      </c>
      <c r="AD709" s="207"/>
      <c r="AE709" s="298">
        <v>1</v>
      </c>
      <c r="AF709" s="298">
        <v>1</v>
      </c>
      <c r="AG709" s="294">
        <v>1</v>
      </c>
      <c r="AH709" s="298"/>
      <c r="AI709" s="294">
        <v>1</v>
      </c>
      <c r="AJ709" s="294">
        <v>1</v>
      </c>
      <c r="AK709" s="294">
        <v>1</v>
      </c>
      <c r="AL709" s="290"/>
      <c r="AM709" s="294">
        <v>1</v>
      </c>
      <c r="AN709" s="294">
        <v>1</v>
      </c>
      <c r="AO709" s="294">
        <v>1</v>
      </c>
      <c r="AP709" s="294">
        <v>1</v>
      </c>
      <c r="AQ709" s="294">
        <v>1</v>
      </c>
      <c r="AR709" s="298"/>
      <c r="AS709" s="298"/>
      <c r="AT709" s="207"/>
      <c r="AU709" s="294">
        <v>1</v>
      </c>
      <c r="AV709" s="294">
        <v>1</v>
      </c>
      <c r="AW709" s="294">
        <v>1</v>
      </c>
      <c r="AX709" s="294">
        <v>1</v>
      </c>
      <c r="AY709" s="294">
        <v>1</v>
      </c>
      <c r="AZ709" s="294">
        <v>1</v>
      </c>
      <c r="BA709" s="290"/>
      <c r="BB709" s="294">
        <v>1</v>
      </c>
      <c r="BC709" s="294">
        <v>1</v>
      </c>
      <c r="BD709" s="294">
        <v>1</v>
      </c>
      <c r="BE709" s="294">
        <v>1</v>
      </c>
      <c r="BF709" s="204"/>
      <c r="BG709" s="294">
        <v>1</v>
      </c>
      <c r="BH709" s="294">
        <v>1</v>
      </c>
      <c r="BI709" s="294">
        <v>1</v>
      </c>
      <c r="BJ709" s="294">
        <v>1</v>
      </c>
      <c r="BK709" s="294">
        <v>1</v>
      </c>
      <c r="BL709" s="294">
        <v>1</v>
      </c>
      <c r="BN709" s="161"/>
      <c r="BO709" s="297"/>
      <c r="BP709" s="293"/>
      <c r="BQ709" s="293"/>
      <c r="BR709" s="293"/>
      <c r="BS709" s="161"/>
      <c r="BU709" s="161"/>
      <c r="BV709" s="293"/>
      <c r="BW709" s="293"/>
      <c r="BX709" s="293"/>
      <c r="BY709" s="293"/>
      <c r="BZ709" s="161"/>
      <c r="CB709" s="161"/>
      <c r="CC709" s="293"/>
      <c r="CD709" s="161"/>
      <c r="CE709" s="293"/>
      <c r="CF709" s="161"/>
      <c r="CG709" s="293"/>
      <c r="CH709" s="293"/>
      <c r="CI709" s="293"/>
      <c r="CJ709" s="161"/>
      <c r="CL709" s="161"/>
      <c r="CM709" s="293"/>
      <c r="CN709" s="291"/>
      <c r="CO709" s="291"/>
      <c r="CP709" s="161"/>
      <c r="CQ709" s="161"/>
    </row>
    <row r="710" spans="1:97">
      <c r="A710" s="298">
        <v>1</v>
      </c>
      <c r="B710" s="298">
        <v>1</v>
      </c>
      <c r="C710" s="204"/>
      <c r="D710" s="298">
        <v>1</v>
      </c>
      <c r="E710" s="207"/>
      <c r="F710" s="298">
        <v>1</v>
      </c>
      <c r="G710" s="298">
        <v>1</v>
      </c>
      <c r="H710" s="298">
        <v>1</v>
      </c>
      <c r="I710" s="298">
        <v>1</v>
      </c>
      <c r="J710" s="308"/>
      <c r="K710" s="207"/>
      <c r="L710" s="298">
        <v>1</v>
      </c>
      <c r="M710" s="298">
        <v>1</v>
      </c>
      <c r="N710" s="298">
        <v>1</v>
      </c>
      <c r="O710" s="298">
        <v>1</v>
      </c>
      <c r="P710" s="298">
        <v>1</v>
      </c>
      <c r="Q710" s="298">
        <v>1</v>
      </c>
      <c r="R710" s="298">
        <v>1</v>
      </c>
      <c r="S710" s="204"/>
      <c r="T710" s="298">
        <v>1</v>
      </c>
      <c r="U710" s="298">
        <v>1</v>
      </c>
      <c r="V710" s="298">
        <v>1</v>
      </c>
      <c r="W710" s="204"/>
      <c r="X710" s="298">
        <v>1</v>
      </c>
      <c r="Y710" s="298">
        <v>1</v>
      </c>
      <c r="Z710" s="298">
        <v>1</v>
      </c>
      <c r="AA710" s="298">
        <v>1</v>
      </c>
      <c r="AB710" s="298">
        <v>1</v>
      </c>
      <c r="AC710" s="298">
        <v>1</v>
      </c>
      <c r="AD710" s="207"/>
      <c r="AE710" s="298">
        <v>1</v>
      </c>
      <c r="AF710" s="298">
        <v>1</v>
      </c>
      <c r="AG710" s="294">
        <v>1</v>
      </c>
      <c r="AH710" s="298"/>
      <c r="AI710" s="294">
        <v>1</v>
      </c>
      <c r="AJ710" s="294">
        <v>1</v>
      </c>
      <c r="AK710" s="294">
        <v>1</v>
      </c>
      <c r="AL710" s="294">
        <v>1</v>
      </c>
      <c r="AM710" s="294">
        <v>1</v>
      </c>
      <c r="AN710" s="294">
        <v>1</v>
      </c>
      <c r="AO710" s="294">
        <v>1</v>
      </c>
      <c r="AP710" s="294">
        <v>1</v>
      </c>
      <c r="AQ710" s="294">
        <v>1</v>
      </c>
      <c r="AR710" s="207"/>
      <c r="AS710" s="294">
        <v>1</v>
      </c>
      <c r="AT710" s="207"/>
      <c r="AU710" s="294">
        <v>1</v>
      </c>
      <c r="AV710" s="298"/>
      <c r="AW710" s="294">
        <v>1</v>
      </c>
      <c r="AX710" s="294">
        <v>1</v>
      </c>
      <c r="AY710" s="294">
        <v>1</v>
      </c>
      <c r="AZ710" s="294">
        <v>1</v>
      </c>
      <c r="BA710" s="298"/>
      <c r="BB710" s="294">
        <v>1</v>
      </c>
      <c r="BC710" s="294">
        <v>1</v>
      </c>
      <c r="BD710" s="294">
        <v>1</v>
      </c>
      <c r="BE710" s="204"/>
      <c r="BF710" s="207"/>
      <c r="BG710" s="294">
        <v>1</v>
      </c>
      <c r="BH710" s="294">
        <v>1</v>
      </c>
      <c r="BI710" s="294">
        <v>1</v>
      </c>
      <c r="BJ710" s="290"/>
      <c r="BK710" s="294">
        <v>1</v>
      </c>
      <c r="BL710" s="294">
        <v>1</v>
      </c>
      <c r="BM710" s="92">
        <v>3</v>
      </c>
      <c r="BO710" s="161"/>
      <c r="BP710" s="297"/>
      <c r="BQ710" s="293"/>
      <c r="BR710" s="293"/>
      <c r="BS710" s="161"/>
      <c r="BV710" s="161"/>
      <c r="BW710" s="161"/>
      <c r="BX710" s="161"/>
      <c r="BY710" s="161"/>
      <c r="CB710" s="161"/>
      <c r="CC710" s="161"/>
      <c r="CD710" s="293"/>
      <c r="CE710" s="293"/>
      <c r="CF710" s="293"/>
      <c r="CG710" s="161"/>
      <c r="CH710" s="293"/>
      <c r="CI710" s="293"/>
      <c r="CJ710" s="161"/>
      <c r="CM710" s="161"/>
      <c r="CN710" s="161"/>
      <c r="CO710" s="161"/>
    </row>
    <row r="711" spans="1:97">
      <c r="A711" s="298">
        <v>1</v>
      </c>
      <c r="B711" s="298">
        <v>1</v>
      </c>
      <c r="C711" s="294"/>
      <c r="D711" s="207"/>
      <c r="E711" s="298">
        <v>1</v>
      </c>
      <c r="F711" s="298">
        <v>1</v>
      </c>
      <c r="G711" s="298">
        <v>1</v>
      </c>
      <c r="H711" s="298">
        <v>1</v>
      </c>
      <c r="I711" s="298">
        <v>1</v>
      </c>
      <c r="J711" s="308"/>
      <c r="K711" s="207"/>
      <c r="L711" s="308"/>
      <c r="M711" s="298">
        <v>1</v>
      </c>
      <c r="N711" s="298">
        <v>1</v>
      </c>
      <c r="O711" s="298">
        <v>1</v>
      </c>
      <c r="P711" s="298">
        <v>1</v>
      </c>
      <c r="Q711" s="298">
        <v>1</v>
      </c>
      <c r="R711" s="298">
        <v>1</v>
      </c>
      <c r="S711" s="204"/>
      <c r="T711" s="298">
        <v>1</v>
      </c>
      <c r="U711" s="298">
        <v>1</v>
      </c>
      <c r="V711" s="298">
        <v>1</v>
      </c>
      <c r="W711" s="204"/>
      <c r="X711" s="298">
        <v>1</v>
      </c>
      <c r="Y711" s="298">
        <v>1</v>
      </c>
      <c r="Z711" s="298">
        <v>1</v>
      </c>
      <c r="AA711" s="298">
        <v>1</v>
      </c>
      <c r="AB711" s="298">
        <v>1</v>
      </c>
      <c r="AC711" s="298">
        <v>1</v>
      </c>
      <c r="AD711" s="207"/>
      <c r="AE711" s="298">
        <v>1</v>
      </c>
      <c r="AF711" s="298">
        <v>1</v>
      </c>
      <c r="AG711" s="294">
        <v>1</v>
      </c>
      <c r="AH711" s="298"/>
      <c r="AI711" s="294">
        <v>1</v>
      </c>
      <c r="AJ711" s="294">
        <v>1</v>
      </c>
      <c r="AK711" s="294">
        <v>1</v>
      </c>
      <c r="AL711" s="298"/>
      <c r="AM711" s="294">
        <v>1</v>
      </c>
      <c r="AN711" s="294">
        <v>1</v>
      </c>
      <c r="AO711" s="294">
        <v>1</v>
      </c>
      <c r="AP711" s="294">
        <v>1</v>
      </c>
      <c r="AQ711" s="294">
        <v>1</v>
      </c>
      <c r="AR711" s="290"/>
      <c r="AS711" s="207"/>
      <c r="AT711" s="290"/>
      <c r="AU711" s="294">
        <v>1</v>
      </c>
      <c r="AV711" s="298"/>
      <c r="AW711" s="294">
        <v>1</v>
      </c>
      <c r="AX711" s="294">
        <v>1</v>
      </c>
      <c r="AY711" s="294">
        <v>1</v>
      </c>
      <c r="AZ711" s="294">
        <v>1</v>
      </c>
      <c r="BA711" s="298"/>
      <c r="BB711" s="294">
        <v>1</v>
      </c>
      <c r="BC711" s="294">
        <v>1</v>
      </c>
      <c r="BD711" s="294">
        <v>1</v>
      </c>
      <c r="BE711" s="204"/>
      <c r="BF711" s="298"/>
      <c r="BG711" s="294">
        <v>1</v>
      </c>
      <c r="BH711" s="294">
        <v>1</v>
      </c>
      <c r="BI711" s="294">
        <v>1</v>
      </c>
      <c r="BJ711" s="290"/>
      <c r="BK711" s="294">
        <v>1</v>
      </c>
      <c r="BL711" s="294">
        <v>1</v>
      </c>
      <c r="BM711" s="92">
        <v>1</v>
      </c>
      <c r="BP711" s="161"/>
      <c r="BQ711" s="293"/>
      <c r="BR711" s="293"/>
      <c r="BS711" s="161"/>
      <c r="CB711" s="161"/>
      <c r="CC711" s="293"/>
      <c r="CD711" s="293"/>
      <c r="CE711" s="161"/>
      <c r="CF711" s="293"/>
      <c r="CG711" s="293"/>
      <c r="CH711" s="293"/>
      <c r="CI711" s="161"/>
      <c r="CJ711" s="161"/>
      <c r="CS711" s="161"/>
    </row>
    <row r="712" spans="1:97">
      <c r="A712" s="298">
        <v>1</v>
      </c>
      <c r="B712" s="298">
        <v>1</v>
      </c>
      <c r="C712" s="298">
        <v>1</v>
      </c>
      <c r="D712" s="298">
        <v>1</v>
      </c>
      <c r="E712" s="298">
        <v>1</v>
      </c>
      <c r="F712" s="298">
        <v>1</v>
      </c>
      <c r="G712" s="204"/>
      <c r="H712" s="298">
        <v>1</v>
      </c>
      <c r="I712" s="298">
        <v>1</v>
      </c>
      <c r="J712" s="308"/>
      <c r="K712" s="298">
        <v>1</v>
      </c>
      <c r="L712" s="308"/>
      <c r="M712" s="298">
        <v>1</v>
      </c>
      <c r="N712" s="294"/>
      <c r="O712" s="298">
        <v>1</v>
      </c>
      <c r="P712" s="298">
        <v>1</v>
      </c>
      <c r="Q712" s="298">
        <v>1</v>
      </c>
      <c r="R712" s="298">
        <v>1</v>
      </c>
      <c r="S712" s="207"/>
      <c r="T712" s="204"/>
      <c r="U712" s="298">
        <v>1</v>
      </c>
      <c r="V712" s="298">
        <v>1</v>
      </c>
      <c r="W712" s="298">
        <v>1</v>
      </c>
      <c r="X712" s="298">
        <v>1</v>
      </c>
      <c r="Y712" s="298">
        <v>1</v>
      </c>
      <c r="Z712" s="298">
        <v>1</v>
      </c>
      <c r="AA712" s="207"/>
      <c r="AB712" s="298">
        <v>1</v>
      </c>
      <c r="AC712" s="298">
        <v>1</v>
      </c>
      <c r="AD712" s="298">
        <v>1</v>
      </c>
      <c r="AE712" s="298">
        <v>1</v>
      </c>
      <c r="AF712" s="298">
        <v>1</v>
      </c>
      <c r="AG712" s="294">
        <v>1</v>
      </c>
      <c r="AH712" s="298"/>
      <c r="AI712" s="294">
        <v>1</v>
      </c>
      <c r="AJ712" s="294">
        <v>1</v>
      </c>
      <c r="AK712" s="294">
        <v>1</v>
      </c>
      <c r="AL712" s="298"/>
      <c r="AM712" s="294">
        <v>1</v>
      </c>
      <c r="AN712" s="294">
        <v>1</v>
      </c>
      <c r="AO712" s="294">
        <v>1</v>
      </c>
      <c r="AP712" s="294">
        <v>1</v>
      </c>
      <c r="AQ712" s="290"/>
      <c r="AR712" s="294">
        <v>1</v>
      </c>
      <c r="AS712" s="290"/>
      <c r="AT712" s="294">
        <v>1</v>
      </c>
      <c r="AU712" s="294">
        <v>1</v>
      </c>
      <c r="AV712" s="294">
        <v>1</v>
      </c>
      <c r="AW712" s="294">
        <v>1</v>
      </c>
      <c r="AX712" s="294">
        <v>1</v>
      </c>
      <c r="AY712" s="294">
        <v>1</v>
      </c>
      <c r="AZ712" s="294">
        <v>1</v>
      </c>
      <c r="BA712" s="207"/>
      <c r="BB712" s="294">
        <v>1</v>
      </c>
      <c r="BC712" s="294">
        <v>1</v>
      </c>
      <c r="BD712" s="294">
        <v>1</v>
      </c>
      <c r="BE712" s="207"/>
      <c r="BF712" s="294">
        <v>1</v>
      </c>
      <c r="BG712" s="298"/>
      <c r="BH712" s="294">
        <v>1</v>
      </c>
      <c r="BI712" s="294">
        <v>1</v>
      </c>
      <c r="BJ712" s="290"/>
      <c r="BK712" s="294">
        <v>1</v>
      </c>
      <c r="BL712" s="294">
        <v>1</v>
      </c>
      <c r="BN712" s="161"/>
      <c r="BQ712" s="161"/>
      <c r="BR712" s="161"/>
      <c r="BU712" s="161"/>
      <c r="BV712" s="161"/>
      <c r="BW712" s="161"/>
      <c r="BX712" s="161"/>
      <c r="BY712" s="161"/>
      <c r="CB712" s="161"/>
      <c r="CC712" s="297"/>
      <c r="CD712" s="293"/>
      <c r="CE712" s="161"/>
      <c r="CF712" s="293"/>
      <c r="CG712" s="293"/>
      <c r="CH712" s="161"/>
      <c r="CI712" s="161"/>
      <c r="CL712" s="161"/>
      <c r="CM712" s="161"/>
      <c r="CN712" s="161"/>
      <c r="CO712" s="161"/>
      <c r="CR712" s="161"/>
      <c r="CS712" s="297"/>
    </row>
    <row r="713" spans="1:97">
      <c r="A713" s="298">
        <v>1</v>
      </c>
      <c r="B713" s="298">
        <v>1</v>
      </c>
      <c r="C713" s="298">
        <v>1</v>
      </c>
      <c r="D713" s="298">
        <v>1</v>
      </c>
      <c r="E713" s="298">
        <v>1</v>
      </c>
      <c r="F713" s="298">
        <v>1</v>
      </c>
      <c r="G713" s="204"/>
      <c r="H713" s="298">
        <v>1</v>
      </c>
      <c r="I713" s="298">
        <v>1</v>
      </c>
      <c r="J713" s="294"/>
      <c r="K713" s="308"/>
      <c r="L713" s="294"/>
      <c r="M713" s="298">
        <v>1</v>
      </c>
      <c r="N713" s="294"/>
      <c r="O713" s="298">
        <v>1</v>
      </c>
      <c r="P713" s="298">
        <v>1</v>
      </c>
      <c r="Q713" s="298">
        <v>1</v>
      </c>
      <c r="R713" s="298">
        <v>1</v>
      </c>
      <c r="S713" s="298">
        <v>1</v>
      </c>
      <c r="T713" s="204"/>
      <c r="U713" s="298">
        <v>1</v>
      </c>
      <c r="V713" s="298">
        <v>1</v>
      </c>
      <c r="W713" s="298">
        <v>1</v>
      </c>
      <c r="X713" s="298">
        <v>1</v>
      </c>
      <c r="Y713" s="298">
        <v>1</v>
      </c>
      <c r="Z713" s="298">
        <v>1</v>
      </c>
      <c r="AA713" s="207"/>
      <c r="AB713" s="298">
        <v>1</v>
      </c>
      <c r="AC713" s="298">
        <v>1</v>
      </c>
      <c r="AD713" s="298">
        <v>1</v>
      </c>
      <c r="AE713" s="298">
        <v>1</v>
      </c>
      <c r="AF713" s="298">
        <v>1</v>
      </c>
      <c r="AG713" s="294">
        <v>1</v>
      </c>
      <c r="AH713" s="294">
        <v>1</v>
      </c>
      <c r="AI713" s="294">
        <v>1</v>
      </c>
      <c r="AJ713" s="294">
        <v>1</v>
      </c>
      <c r="AK713" s="298"/>
      <c r="AL713" s="207"/>
      <c r="AM713" s="294">
        <v>1</v>
      </c>
      <c r="AN713" s="294">
        <v>1</v>
      </c>
      <c r="AO713" s="294">
        <v>1</v>
      </c>
      <c r="AP713" s="294">
        <v>1</v>
      </c>
      <c r="AQ713" s="290"/>
      <c r="AR713" s="294">
        <v>1</v>
      </c>
      <c r="AS713" s="294">
        <v>1</v>
      </c>
      <c r="AT713" s="294">
        <v>1</v>
      </c>
      <c r="AU713" s="294">
        <v>1</v>
      </c>
      <c r="AV713" s="290"/>
      <c r="AW713" s="294">
        <v>1</v>
      </c>
      <c r="AX713" s="294">
        <v>1</v>
      </c>
      <c r="AY713" s="294">
        <v>1</v>
      </c>
      <c r="AZ713" s="294">
        <v>1</v>
      </c>
      <c r="BA713" s="207"/>
      <c r="BB713" s="294">
        <v>1</v>
      </c>
      <c r="BC713" s="294">
        <v>1</v>
      </c>
      <c r="BD713" s="294">
        <v>1</v>
      </c>
      <c r="BE713" s="290"/>
      <c r="BF713" s="207"/>
      <c r="BG713" s="290"/>
      <c r="BH713" s="294">
        <v>1</v>
      </c>
      <c r="BI713" s="294">
        <v>1</v>
      </c>
      <c r="BJ713" s="294">
        <v>1</v>
      </c>
      <c r="BK713" s="207"/>
      <c r="BL713" s="294">
        <v>1</v>
      </c>
      <c r="BM713" s="92">
        <v>4</v>
      </c>
      <c r="BN713" s="293"/>
      <c r="BO713" s="161"/>
      <c r="BT713" s="161"/>
      <c r="BU713" s="293"/>
      <c r="BV713" s="293"/>
      <c r="BW713" s="297"/>
      <c r="BX713" s="297"/>
      <c r="BY713" s="297"/>
      <c r="BZ713" s="161"/>
      <c r="CC713" s="161"/>
      <c r="CD713" s="293"/>
      <c r="CE713" s="293"/>
      <c r="CF713" s="293"/>
      <c r="CG713" s="293"/>
      <c r="CH713" s="161"/>
      <c r="CI713" s="161"/>
      <c r="CK713" s="161"/>
      <c r="CL713" s="293"/>
      <c r="CM713" s="293"/>
      <c r="CN713" s="293"/>
      <c r="CO713" s="293"/>
      <c r="CP713" s="161"/>
      <c r="CR713" s="161"/>
      <c r="CS713" s="297"/>
    </row>
    <row r="714" spans="1:97">
      <c r="A714" s="298">
        <v>1</v>
      </c>
      <c r="B714" s="298">
        <v>1</v>
      </c>
      <c r="C714" s="298">
        <v>1</v>
      </c>
      <c r="D714" s="298">
        <v>1</v>
      </c>
      <c r="E714" s="298">
        <v>1</v>
      </c>
      <c r="F714" s="298">
        <v>1</v>
      </c>
      <c r="G714" s="204"/>
      <c r="H714" s="298">
        <v>1</v>
      </c>
      <c r="I714" s="298">
        <v>1</v>
      </c>
      <c r="J714" s="298">
        <v>1</v>
      </c>
      <c r="K714" s="294"/>
      <c r="L714" s="298">
        <v>1</v>
      </c>
      <c r="M714" s="298">
        <v>1</v>
      </c>
      <c r="N714" s="294"/>
      <c r="O714" s="298">
        <v>1</v>
      </c>
      <c r="P714" s="298">
        <v>1</v>
      </c>
      <c r="Q714" s="298">
        <v>1</v>
      </c>
      <c r="R714" s="207"/>
      <c r="S714" s="298">
        <v>1</v>
      </c>
      <c r="T714" s="207"/>
      <c r="U714" s="298">
        <v>1</v>
      </c>
      <c r="V714" s="298">
        <v>1</v>
      </c>
      <c r="W714" s="298">
        <v>1</v>
      </c>
      <c r="X714" s="298">
        <v>1</v>
      </c>
      <c r="Y714" s="298">
        <v>1</v>
      </c>
      <c r="Z714" s="298">
        <v>1</v>
      </c>
      <c r="AA714" s="207"/>
      <c r="AB714" s="298">
        <v>1</v>
      </c>
      <c r="AC714" s="298">
        <v>1</v>
      </c>
      <c r="AD714" s="204"/>
      <c r="AE714" s="298">
        <v>1</v>
      </c>
      <c r="AF714" s="298">
        <v>1</v>
      </c>
      <c r="AG714" s="294">
        <v>1</v>
      </c>
      <c r="AH714" s="294">
        <v>1</v>
      </c>
      <c r="AI714" s="294">
        <v>1</v>
      </c>
      <c r="AJ714" s="294">
        <v>1</v>
      </c>
      <c r="AK714" s="298"/>
      <c r="AL714" s="294">
        <v>1</v>
      </c>
      <c r="AM714" s="294">
        <v>1</v>
      </c>
      <c r="AN714" s="294">
        <v>1</v>
      </c>
      <c r="AO714" s="294">
        <v>1</v>
      </c>
      <c r="AP714" s="294">
        <v>1</v>
      </c>
      <c r="AQ714" s="290"/>
      <c r="AR714" s="294">
        <v>1</v>
      </c>
      <c r="AS714" s="294">
        <v>1</v>
      </c>
      <c r="AT714" s="294">
        <v>1</v>
      </c>
      <c r="AU714" s="294">
        <v>1</v>
      </c>
      <c r="AV714" s="290"/>
      <c r="AW714" s="294">
        <v>1</v>
      </c>
      <c r="AX714" s="294">
        <v>1</v>
      </c>
      <c r="AY714" s="294">
        <v>1</v>
      </c>
      <c r="AZ714" s="294">
        <v>1</v>
      </c>
      <c r="BA714" s="298"/>
      <c r="BB714" s="294">
        <v>1</v>
      </c>
      <c r="BC714" s="294">
        <v>1</v>
      </c>
      <c r="BD714" s="294">
        <v>1</v>
      </c>
      <c r="BE714" s="294">
        <v>1</v>
      </c>
      <c r="BF714" s="290"/>
      <c r="BG714" s="294">
        <v>1</v>
      </c>
      <c r="BH714" s="294">
        <v>1</v>
      </c>
      <c r="BI714" s="294">
        <v>1</v>
      </c>
      <c r="BJ714" s="294">
        <v>1</v>
      </c>
      <c r="BK714" s="204"/>
      <c r="BL714" s="294">
        <v>1</v>
      </c>
      <c r="BN714" s="293"/>
      <c r="BO714" s="293"/>
      <c r="BP714" s="161"/>
      <c r="BS714" s="161"/>
      <c r="BT714" s="293"/>
      <c r="BU714" s="297"/>
      <c r="BV714" s="297"/>
      <c r="BW714" s="293"/>
      <c r="BX714" s="291"/>
      <c r="BY714" s="291"/>
      <c r="BZ714" s="293"/>
      <c r="CA714" s="161"/>
      <c r="CC714" s="161"/>
      <c r="CD714" s="297"/>
      <c r="CE714" s="161"/>
      <c r="CF714" s="161"/>
      <c r="CG714" s="293"/>
      <c r="CH714" s="293"/>
      <c r="CI714" s="161"/>
      <c r="CK714" s="161"/>
      <c r="CL714" s="293"/>
      <c r="CM714" s="297"/>
      <c r="CN714" s="297"/>
      <c r="CO714" s="293"/>
      <c r="CP714" s="161"/>
      <c r="CS714" s="161"/>
    </row>
    <row r="715" spans="1:97">
      <c r="A715" s="298">
        <v>1</v>
      </c>
      <c r="B715" s="298">
        <v>1</v>
      </c>
      <c r="C715" s="298">
        <v>1</v>
      </c>
      <c r="D715" s="298">
        <v>1</v>
      </c>
      <c r="E715" s="298">
        <v>1</v>
      </c>
      <c r="F715" s="298">
        <v>1</v>
      </c>
      <c r="G715" s="204"/>
      <c r="H715" s="298">
        <v>1</v>
      </c>
      <c r="I715" s="298">
        <v>1</v>
      </c>
      <c r="J715" s="298">
        <v>1</v>
      </c>
      <c r="K715" s="298">
        <v>1</v>
      </c>
      <c r="L715" s="298">
        <v>1</v>
      </c>
      <c r="M715" s="298">
        <v>1</v>
      </c>
      <c r="N715" s="298">
        <v>1</v>
      </c>
      <c r="O715" s="298">
        <v>1</v>
      </c>
      <c r="P715" s="298">
        <v>1</v>
      </c>
      <c r="Q715" s="298">
        <v>1</v>
      </c>
      <c r="R715" s="298">
        <v>1</v>
      </c>
      <c r="S715" s="207"/>
      <c r="T715" s="294"/>
      <c r="U715" s="298">
        <v>1</v>
      </c>
      <c r="V715" s="298">
        <v>1</v>
      </c>
      <c r="W715" s="298">
        <v>1</v>
      </c>
      <c r="X715" s="294"/>
      <c r="Y715" s="298">
        <v>1</v>
      </c>
      <c r="Z715" s="298">
        <v>1</v>
      </c>
      <c r="AA715" s="204"/>
      <c r="AB715" s="298">
        <v>1</v>
      </c>
      <c r="AC715" s="298">
        <v>1</v>
      </c>
      <c r="AD715" s="204"/>
      <c r="AE715" s="298">
        <v>1</v>
      </c>
      <c r="AF715" s="298">
        <v>1</v>
      </c>
      <c r="AG715" s="294">
        <v>1</v>
      </c>
      <c r="AH715" s="298"/>
      <c r="AI715" s="294">
        <v>1</v>
      </c>
      <c r="AJ715" s="294">
        <v>1</v>
      </c>
      <c r="AK715" s="298"/>
      <c r="AL715" s="294">
        <v>1</v>
      </c>
      <c r="AM715" s="298"/>
      <c r="AN715" s="294">
        <v>1</v>
      </c>
      <c r="AO715" s="294">
        <v>1</v>
      </c>
      <c r="AP715" s="294">
        <v>1</v>
      </c>
      <c r="AQ715" s="290"/>
      <c r="AR715" s="294">
        <v>1</v>
      </c>
      <c r="AS715" s="294">
        <v>1</v>
      </c>
      <c r="AT715" s="294">
        <v>1</v>
      </c>
      <c r="AU715" s="294">
        <v>1</v>
      </c>
      <c r="AV715" s="290"/>
      <c r="AW715" s="294">
        <v>1</v>
      </c>
      <c r="AX715" s="294">
        <v>1</v>
      </c>
      <c r="AY715" s="294">
        <v>1</v>
      </c>
      <c r="AZ715" s="294">
        <v>1</v>
      </c>
      <c r="BA715" s="298"/>
      <c r="BB715" s="294">
        <v>1</v>
      </c>
      <c r="BC715" s="294">
        <v>1</v>
      </c>
      <c r="BD715" s="298"/>
      <c r="BE715" s="294">
        <v>1</v>
      </c>
      <c r="BF715" s="294">
        <v>1</v>
      </c>
      <c r="BG715" s="294">
        <v>1</v>
      </c>
      <c r="BH715" s="294">
        <v>1</v>
      </c>
      <c r="BI715" s="294">
        <v>1</v>
      </c>
      <c r="BJ715" s="294">
        <v>1</v>
      </c>
      <c r="BK715" s="204"/>
      <c r="BL715" s="294">
        <v>1</v>
      </c>
      <c r="BN715" s="293"/>
      <c r="BO715" s="161"/>
      <c r="BR715" s="161"/>
      <c r="BS715" s="293"/>
      <c r="BT715" s="297"/>
      <c r="BU715" s="293"/>
      <c r="BV715" s="293"/>
      <c r="BW715" s="293"/>
      <c r="BX715" s="293"/>
      <c r="BY715" s="293"/>
      <c r="BZ715" s="293"/>
      <c r="CA715" s="161"/>
      <c r="CD715" s="161"/>
      <c r="CE715" s="293"/>
      <c r="CF715" s="293"/>
      <c r="CG715" s="293"/>
      <c r="CH715" s="291"/>
      <c r="CI715" s="161"/>
      <c r="CK715" s="161"/>
      <c r="CL715" s="297"/>
      <c r="CM715" s="293"/>
      <c r="CN715" s="293"/>
      <c r="CO715" s="293"/>
      <c r="CP715" s="291"/>
      <c r="CQ715" s="161"/>
      <c r="CS715" s="161"/>
    </row>
    <row r="716" spans="1:97">
      <c r="A716" s="298">
        <v>1</v>
      </c>
      <c r="B716" s="207"/>
      <c r="C716" s="298">
        <v>1</v>
      </c>
      <c r="D716" s="298">
        <v>1</v>
      </c>
      <c r="E716" s="298">
        <v>1</v>
      </c>
      <c r="F716" s="298">
        <v>1</v>
      </c>
      <c r="G716" s="294"/>
      <c r="H716" s="298">
        <v>1</v>
      </c>
      <c r="I716" s="298">
        <v>1</v>
      </c>
      <c r="J716" s="298">
        <v>1</v>
      </c>
      <c r="K716" s="298">
        <v>1</v>
      </c>
      <c r="L716" s="298">
        <v>1</v>
      </c>
      <c r="M716" s="298">
        <v>1</v>
      </c>
      <c r="N716" s="207"/>
      <c r="O716" s="298">
        <v>1</v>
      </c>
      <c r="P716" s="298">
        <v>1</v>
      </c>
      <c r="Q716" s="298">
        <v>1</v>
      </c>
      <c r="R716" s="298">
        <v>1</v>
      </c>
      <c r="S716" s="298">
        <v>1</v>
      </c>
      <c r="T716" s="298">
        <v>1</v>
      </c>
      <c r="U716" s="298">
        <v>1</v>
      </c>
      <c r="V716" s="298">
        <v>1</v>
      </c>
      <c r="W716" s="298">
        <v>1</v>
      </c>
      <c r="X716" s="294"/>
      <c r="Y716" s="298">
        <v>1</v>
      </c>
      <c r="Z716" s="298">
        <v>1</v>
      </c>
      <c r="AA716" s="204"/>
      <c r="AB716" s="298">
        <v>1</v>
      </c>
      <c r="AC716" s="298">
        <v>1</v>
      </c>
      <c r="AD716" s="204"/>
      <c r="AE716" s="298">
        <v>1</v>
      </c>
      <c r="AF716" s="298">
        <v>1</v>
      </c>
      <c r="AG716" s="294">
        <v>1</v>
      </c>
      <c r="AH716" s="298"/>
      <c r="AI716" s="294">
        <v>1</v>
      </c>
      <c r="AJ716" s="294">
        <v>1</v>
      </c>
      <c r="AK716" s="294">
        <v>1</v>
      </c>
      <c r="AL716" s="298"/>
      <c r="AM716" s="290"/>
      <c r="AN716" s="294">
        <v>1</v>
      </c>
      <c r="AO716" s="294">
        <v>1</v>
      </c>
      <c r="AP716" s="294">
        <v>1</v>
      </c>
      <c r="AQ716" s="290"/>
      <c r="AR716" s="294">
        <v>1</v>
      </c>
      <c r="AS716" s="294">
        <v>1</v>
      </c>
      <c r="AT716" s="294">
        <v>1</v>
      </c>
      <c r="AU716" s="294">
        <v>1</v>
      </c>
      <c r="AV716" s="294">
        <v>1</v>
      </c>
      <c r="AW716" s="294">
        <v>1</v>
      </c>
      <c r="AX716" s="294">
        <v>1</v>
      </c>
      <c r="AY716" s="294">
        <v>1</v>
      </c>
      <c r="AZ716" s="294">
        <v>1</v>
      </c>
      <c r="BA716" s="298"/>
      <c r="BB716" s="294">
        <v>1</v>
      </c>
      <c r="BC716" s="294">
        <v>1</v>
      </c>
      <c r="BD716" s="298"/>
      <c r="BE716" s="294">
        <v>1</v>
      </c>
      <c r="BF716" s="294">
        <v>1</v>
      </c>
      <c r="BG716" s="294">
        <v>1</v>
      </c>
      <c r="BH716" s="294">
        <v>1</v>
      </c>
      <c r="BI716" s="294">
        <v>1</v>
      </c>
      <c r="BJ716" s="294">
        <v>1</v>
      </c>
      <c r="BK716" s="207"/>
      <c r="BL716" s="294">
        <v>1</v>
      </c>
      <c r="BN716" s="161"/>
      <c r="BQ716" s="161"/>
      <c r="BR716" s="293"/>
      <c r="BS716" s="297"/>
      <c r="BT716" s="293"/>
      <c r="BU716" s="293"/>
      <c r="BV716" s="293"/>
      <c r="BW716" s="291"/>
      <c r="BX716" s="291"/>
      <c r="BY716" s="293"/>
      <c r="BZ716" s="161"/>
      <c r="CA716" s="161"/>
      <c r="CD716" s="161"/>
      <c r="CE716" s="293"/>
      <c r="CF716" s="293"/>
      <c r="CG716" s="291"/>
      <c r="CH716" s="161"/>
      <c r="CK716" s="161"/>
      <c r="CL716" s="297"/>
      <c r="CM716" s="293"/>
      <c r="CN716" s="161"/>
      <c r="CO716" s="293"/>
      <c r="CP716" s="293"/>
      <c r="CQ716" s="161"/>
    </row>
    <row r="717" spans="1:97">
      <c r="A717" s="298">
        <v>1</v>
      </c>
      <c r="B717" s="207"/>
      <c r="C717" s="298">
        <v>1</v>
      </c>
      <c r="D717" s="298">
        <v>1</v>
      </c>
      <c r="E717" s="298">
        <v>1</v>
      </c>
      <c r="F717" s="298">
        <v>1</v>
      </c>
      <c r="G717" s="294"/>
      <c r="H717" s="298">
        <v>1</v>
      </c>
      <c r="I717" s="298">
        <v>1</v>
      </c>
      <c r="J717" s="298">
        <v>1</v>
      </c>
      <c r="K717" s="298">
        <v>1</v>
      </c>
      <c r="L717" s="298">
        <v>1</v>
      </c>
      <c r="M717" s="298">
        <v>1</v>
      </c>
      <c r="N717" s="207"/>
      <c r="O717" s="298">
        <v>1</v>
      </c>
      <c r="P717" s="298">
        <v>1</v>
      </c>
      <c r="Q717" s="298">
        <v>1</v>
      </c>
      <c r="R717" s="298">
        <v>1</v>
      </c>
      <c r="S717" s="298">
        <v>1</v>
      </c>
      <c r="T717" s="298">
        <v>1</v>
      </c>
      <c r="U717" s="207"/>
      <c r="V717" s="298">
        <v>1</v>
      </c>
      <c r="W717" s="298">
        <v>1</v>
      </c>
      <c r="X717" s="294"/>
      <c r="Y717" s="298">
        <v>1</v>
      </c>
      <c r="Z717" s="204"/>
      <c r="AA717" s="308"/>
      <c r="AB717" s="298">
        <v>1</v>
      </c>
      <c r="AC717" s="298">
        <v>1</v>
      </c>
      <c r="AD717" s="204"/>
      <c r="AE717" s="298">
        <v>1</v>
      </c>
      <c r="AF717" s="298">
        <v>1</v>
      </c>
      <c r="AG717" s="294">
        <v>1</v>
      </c>
      <c r="AH717" s="294">
        <v>1</v>
      </c>
      <c r="AI717" s="294">
        <v>1</v>
      </c>
      <c r="AJ717" s="294">
        <v>1</v>
      </c>
      <c r="AK717" s="294">
        <v>1</v>
      </c>
      <c r="AL717" s="294">
        <v>1</v>
      </c>
      <c r="AM717" s="294">
        <v>1</v>
      </c>
      <c r="AN717" s="294">
        <v>1</v>
      </c>
      <c r="AO717" s="294">
        <v>1</v>
      </c>
      <c r="AP717" s="294">
        <v>1</v>
      </c>
      <c r="AQ717" s="294">
        <v>1</v>
      </c>
      <c r="AR717" s="294">
        <v>1</v>
      </c>
      <c r="AS717" s="294">
        <v>1</v>
      </c>
      <c r="AT717" s="294">
        <v>1</v>
      </c>
      <c r="AU717" s="294">
        <v>1</v>
      </c>
      <c r="AV717" s="294">
        <v>1</v>
      </c>
      <c r="AW717" s="294">
        <v>1</v>
      </c>
      <c r="AX717" s="294">
        <v>1</v>
      </c>
      <c r="AY717" s="294">
        <v>1</v>
      </c>
      <c r="AZ717" s="294">
        <v>1</v>
      </c>
      <c r="BA717" s="294">
        <v>1</v>
      </c>
      <c r="BB717" s="294">
        <v>1</v>
      </c>
      <c r="BC717" s="294">
        <v>1</v>
      </c>
      <c r="BD717" s="207"/>
      <c r="BE717" s="294">
        <v>1</v>
      </c>
      <c r="BF717" s="290"/>
      <c r="BG717" s="294">
        <v>1</v>
      </c>
      <c r="BH717" s="294">
        <v>1</v>
      </c>
      <c r="BI717" s="294">
        <v>1</v>
      </c>
      <c r="BJ717" s="294">
        <v>1</v>
      </c>
      <c r="BK717" s="294">
        <v>1</v>
      </c>
      <c r="BL717" s="294">
        <v>1</v>
      </c>
      <c r="BP717" s="161"/>
      <c r="BQ717" s="293"/>
      <c r="BR717" s="297"/>
      <c r="BS717" s="293"/>
      <c r="BT717" s="293"/>
      <c r="BU717" s="291"/>
      <c r="BV717" s="291"/>
      <c r="BW717" s="293"/>
      <c r="BX717" s="293"/>
      <c r="BY717" s="161"/>
      <c r="BZ717" s="161"/>
      <c r="CB717" s="161"/>
      <c r="CE717" s="161"/>
      <c r="CF717" s="161"/>
      <c r="CG717" s="161"/>
      <c r="CK717" s="161"/>
      <c r="CL717" s="297"/>
      <c r="CM717" s="293"/>
      <c r="CN717" s="161"/>
      <c r="CO717" s="293"/>
      <c r="CP717" s="293"/>
      <c r="CQ717" s="291"/>
      <c r="CR717" s="161"/>
    </row>
    <row r="718" spans="1:97">
      <c r="A718" s="298">
        <v>1</v>
      </c>
      <c r="B718" s="207"/>
      <c r="C718" s="298">
        <v>1</v>
      </c>
      <c r="D718" s="298">
        <v>1</v>
      </c>
      <c r="E718" s="298">
        <v>1</v>
      </c>
      <c r="F718" s="298">
        <v>1</v>
      </c>
      <c r="G718" s="298">
        <v>1</v>
      </c>
      <c r="H718" s="298">
        <v>1</v>
      </c>
      <c r="I718" s="298">
        <v>1</v>
      </c>
      <c r="J718" s="298">
        <v>1</v>
      </c>
      <c r="K718" s="298">
        <v>1</v>
      </c>
      <c r="L718" s="298">
        <v>1</v>
      </c>
      <c r="M718" s="298">
        <v>1</v>
      </c>
      <c r="N718" s="207"/>
      <c r="O718" s="298">
        <v>1</v>
      </c>
      <c r="P718" s="298">
        <v>1</v>
      </c>
      <c r="Q718" s="207"/>
      <c r="R718" s="298">
        <v>1</v>
      </c>
      <c r="S718" s="298">
        <v>1</v>
      </c>
      <c r="T718" s="298">
        <v>1</v>
      </c>
      <c r="U718" s="207"/>
      <c r="V718" s="298">
        <v>1</v>
      </c>
      <c r="W718" s="298">
        <v>1</v>
      </c>
      <c r="X718" s="294"/>
      <c r="Y718" s="298">
        <v>1</v>
      </c>
      <c r="Z718" s="308"/>
      <c r="AA718" s="207"/>
      <c r="AB718" s="298">
        <v>1</v>
      </c>
      <c r="AC718" s="298">
        <v>1</v>
      </c>
      <c r="AD718" s="204"/>
      <c r="AE718" s="298">
        <v>1</v>
      </c>
      <c r="AF718" s="298">
        <v>1</v>
      </c>
      <c r="AG718" s="294">
        <v>1</v>
      </c>
      <c r="AH718" s="294">
        <v>1</v>
      </c>
      <c r="AI718" s="294">
        <v>1</v>
      </c>
      <c r="AJ718" s="294">
        <v>1</v>
      </c>
      <c r="AK718" s="294">
        <v>1</v>
      </c>
      <c r="AL718" s="294">
        <v>1</v>
      </c>
      <c r="AM718" s="294">
        <v>1</v>
      </c>
      <c r="AN718" s="298"/>
      <c r="AO718" s="294">
        <v>1</v>
      </c>
      <c r="AP718" s="294">
        <v>1</v>
      </c>
      <c r="AQ718" s="294">
        <v>1</v>
      </c>
      <c r="AR718" s="294">
        <v>1</v>
      </c>
      <c r="AS718" s="294">
        <v>1</v>
      </c>
      <c r="AT718" s="294">
        <v>1</v>
      </c>
      <c r="AU718" s="294">
        <v>1</v>
      </c>
      <c r="AV718" s="298"/>
      <c r="AW718" s="294">
        <v>1</v>
      </c>
      <c r="AX718" s="294">
        <v>1</v>
      </c>
      <c r="AY718" s="294">
        <v>1</v>
      </c>
      <c r="AZ718" s="294">
        <v>1</v>
      </c>
      <c r="BA718" s="294">
        <v>1</v>
      </c>
      <c r="BB718" s="294">
        <v>1</v>
      </c>
      <c r="BC718" s="294">
        <v>1</v>
      </c>
      <c r="BD718" s="207"/>
      <c r="BE718" s="294">
        <v>1</v>
      </c>
      <c r="BF718" s="290"/>
      <c r="BG718" s="294">
        <v>1</v>
      </c>
      <c r="BH718" s="294">
        <v>1</v>
      </c>
      <c r="BI718" s="294">
        <v>1</v>
      </c>
      <c r="BJ718" s="290"/>
      <c r="BK718" s="294">
        <v>1</v>
      </c>
      <c r="BL718" s="294">
        <v>1</v>
      </c>
      <c r="BO718" s="161"/>
      <c r="BP718" s="293"/>
      <c r="BQ718" s="297"/>
      <c r="BR718" s="293"/>
      <c r="BS718" s="293"/>
      <c r="BT718" s="291"/>
      <c r="BU718" s="293"/>
      <c r="BV718" s="293"/>
      <c r="BW718" s="161"/>
      <c r="BX718" s="161"/>
      <c r="BY718" s="161"/>
      <c r="CA718" s="161"/>
      <c r="CB718" s="297"/>
      <c r="CC718" s="161"/>
      <c r="CJ718" s="161"/>
      <c r="CK718" s="297"/>
      <c r="CL718" s="293"/>
      <c r="CM718" s="293"/>
      <c r="CN718" s="293"/>
      <c r="CO718" s="293"/>
      <c r="CP718" s="293"/>
      <c r="CQ718" s="293"/>
      <c r="CR718" s="291"/>
      <c r="CS718" s="161"/>
    </row>
    <row r="719" spans="1:97">
      <c r="A719" s="298">
        <v>1</v>
      </c>
      <c r="B719" s="207"/>
      <c r="C719" s="298">
        <v>1</v>
      </c>
      <c r="D719" s="298">
        <v>1</v>
      </c>
      <c r="E719" s="298">
        <v>1</v>
      </c>
      <c r="F719" s="298">
        <v>1</v>
      </c>
      <c r="G719" s="207"/>
      <c r="H719" s="298">
        <v>1</v>
      </c>
      <c r="I719" s="298">
        <v>1</v>
      </c>
      <c r="J719" s="298">
        <v>1</v>
      </c>
      <c r="K719" s="298">
        <v>1</v>
      </c>
      <c r="L719" s="298">
        <v>1</v>
      </c>
      <c r="M719" s="298">
        <v>1</v>
      </c>
      <c r="N719" s="207"/>
      <c r="O719" s="298">
        <v>1</v>
      </c>
      <c r="P719" s="298">
        <v>1</v>
      </c>
      <c r="Q719" s="204"/>
      <c r="R719" s="298">
        <v>1</v>
      </c>
      <c r="S719" s="298">
        <v>1</v>
      </c>
      <c r="T719" s="298">
        <v>1</v>
      </c>
      <c r="U719" s="298">
        <v>1</v>
      </c>
      <c r="V719" s="298">
        <v>1</v>
      </c>
      <c r="W719" s="298">
        <v>1</v>
      </c>
      <c r="X719" s="298">
        <v>1</v>
      </c>
      <c r="Y719" s="298">
        <v>1</v>
      </c>
      <c r="Z719" s="308"/>
      <c r="AA719" s="207"/>
      <c r="AB719" s="298">
        <v>1</v>
      </c>
      <c r="AC719" s="298">
        <v>1</v>
      </c>
      <c r="AD719" s="298">
        <v>1</v>
      </c>
      <c r="AE719" s="298">
        <v>1</v>
      </c>
      <c r="AF719" s="298">
        <v>1</v>
      </c>
      <c r="AG719" s="294">
        <v>1</v>
      </c>
      <c r="AH719" s="294">
        <v>1</v>
      </c>
      <c r="AI719" s="294">
        <v>1</v>
      </c>
      <c r="AJ719" s="294">
        <v>1</v>
      </c>
      <c r="AK719" s="290"/>
      <c r="AL719" s="294">
        <v>1</v>
      </c>
      <c r="AM719" s="294">
        <v>1</v>
      </c>
      <c r="AN719" s="298"/>
      <c r="AO719" s="294">
        <v>1</v>
      </c>
      <c r="AP719" s="294">
        <v>1</v>
      </c>
      <c r="AQ719" s="298"/>
      <c r="AR719" s="294">
        <v>1</v>
      </c>
      <c r="AS719" s="294">
        <v>1</v>
      </c>
      <c r="AT719" s="294">
        <v>1</v>
      </c>
      <c r="AU719" s="294">
        <v>1</v>
      </c>
      <c r="AV719" s="298"/>
      <c r="AW719" s="294">
        <v>1</v>
      </c>
      <c r="AX719" s="294">
        <v>1</v>
      </c>
      <c r="AY719" s="298"/>
      <c r="AZ719" s="294">
        <v>1</v>
      </c>
      <c r="BA719" s="294">
        <v>1</v>
      </c>
      <c r="BB719" s="294">
        <v>1</v>
      </c>
      <c r="BC719" s="294">
        <v>1</v>
      </c>
      <c r="BD719" s="207"/>
      <c r="BE719" s="294">
        <v>1</v>
      </c>
      <c r="BF719" s="290"/>
      <c r="BG719" s="294">
        <v>1</v>
      </c>
      <c r="BH719" s="294">
        <v>1</v>
      </c>
      <c r="BI719" s="294">
        <v>1</v>
      </c>
      <c r="BJ719" s="290"/>
      <c r="BK719" s="294">
        <v>1</v>
      </c>
      <c r="BL719" s="294">
        <v>1</v>
      </c>
      <c r="BN719" s="161"/>
      <c r="BO719" s="293"/>
      <c r="BP719" s="297"/>
      <c r="BQ719" s="293"/>
      <c r="BR719" s="291"/>
      <c r="BS719" s="291"/>
      <c r="BT719" s="293"/>
      <c r="BU719" s="161"/>
      <c r="BV719" s="161"/>
      <c r="CA719" s="161"/>
      <c r="CB719" s="293"/>
      <c r="CC719" s="297"/>
      <c r="CD719" s="161"/>
      <c r="CJ719" s="161"/>
      <c r="CK719" s="293"/>
      <c r="CL719" s="293"/>
      <c r="CM719" s="293"/>
      <c r="CN719" s="293"/>
      <c r="CO719" s="293"/>
      <c r="CP719" s="293"/>
      <c r="CQ719" s="293"/>
      <c r="CR719" s="291"/>
      <c r="CS719" s="161"/>
    </row>
    <row r="720" spans="1:97">
      <c r="A720" s="298">
        <v>1</v>
      </c>
      <c r="B720" s="298">
        <v>1</v>
      </c>
      <c r="C720" s="298">
        <v>1</v>
      </c>
      <c r="D720" s="298">
        <v>1</v>
      </c>
      <c r="E720" s="298">
        <v>1</v>
      </c>
      <c r="F720" s="298">
        <v>1</v>
      </c>
      <c r="G720" s="207"/>
      <c r="H720" s="298">
        <v>1</v>
      </c>
      <c r="I720" s="298">
        <v>1</v>
      </c>
      <c r="J720" s="298">
        <v>1</v>
      </c>
      <c r="K720" s="298">
        <v>1</v>
      </c>
      <c r="L720" s="298">
        <v>1</v>
      </c>
      <c r="M720" s="298">
        <v>1</v>
      </c>
      <c r="N720" s="204"/>
      <c r="O720" s="298">
        <v>1</v>
      </c>
      <c r="P720" s="298">
        <v>1</v>
      </c>
      <c r="Q720" s="204"/>
      <c r="R720" s="298">
        <v>1</v>
      </c>
      <c r="S720" s="298">
        <v>1</v>
      </c>
      <c r="T720" s="298">
        <v>1</v>
      </c>
      <c r="U720" s="204"/>
      <c r="V720" s="298">
        <v>1</v>
      </c>
      <c r="W720" s="298">
        <v>1</v>
      </c>
      <c r="X720" s="298">
        <v>1</v>
      </c>
      <c r="Y720" s="298">
        <v>1</v>
      </c>
      <c r="Z720" s="204"/>
      <c r="AA720" s="298">
        <v>1</v>
      </c>
      <c r="AB720" s="204"/>
      <c r="AC720" s="298">
        <v>1</v>
      </c>
      <c r="AD720" s="298">
        <v>1</v>
      </c>
      <c r="AE720" s="298">
        <v>1</v>
      </c>
      <c r="AF720" s="298">
        <v>1</v>
      </c>
      <c r="AG720" s="294">
        <v>1</v>
      </c>
      <c r="AH720" s="298"/>
      <c r="AI720" s="294">
        <v>1</v>
      </c>
      <c r="AJ720" s="294">
        <v>1</v>
      </c>
      <c r="AK720" s="290"/>
      <c r="AL720" s="294">
        <v>1</v>
      </c>
      <c r="AM720" s="294">
        <v>1</v>
      </c>
      <c r="AN720" s="207"/>
      <c r="AO720" s="294">
        <v>1</v>
      </c>
      <c r="AP720" s="294">
        <v>1</v>
      </c>
      <c r="AQ720" s="298"/>
      <c r="AR720" s="294">
        <v>1</v>
      </c>
      <c r="AS720" s="294">
        <v>1</v>
      </c>
      <c r="AT720" s="294">
        <v>1</v>
      </c>
      <c r="AU720" s="294">
        <v>1</v>
      </c>
      <c r="AV720" s="298"/>
      <c r="AW720" s="294">
        <v>1</v>
      </c>
      <c r="AX720" s="294">
        <v>1</v>
      </c>
      <c r="AY720" s="298"/>
      <c r="AZ720" s="294">
        <v>1</v>
      </c>
      <c r="BA720" s="294">
        <v>1</v>
      </c>
      <c r="BB720" s="294">
        <v>1</v>
      </c>
      <c r="BC720" s="294">
        <v>1</v>
      </c>
      <c r="BD720" s="298"/>
      <c r="BE720" s="294">
        <v>1</v>
      </c>
      <c r="BF720" s="294">
        <v>1</v>
      </c>
      <c r="BG720" s="294">
        <v>1</v>
      </c>
      <c r="BH720" s="294">
        <v>1</v>
      </c>
      <c r="BI720" s="294">
        <v>1</v>
      </c>
      <c r="BJ720" s="290"/>
      <c r="BK720" s="294">
        <v>1</v>
      </c>
      <c r="BL720" s="294">
        <v>1</v>
      </c>
      <c r="BN720" s="161"/>
      <c r="BO720" s="293"/>
      <c r="BP720" s="293"/>
      <c r="BQ720" s="291"/>
      <c r="BR720" s="293"/>
      <c r="BS720" s="161"/>
      <c r="BT720" s="161"/>
      <c r="BZ720" s="161"/>
      <c r="CA720" s="297"/>
      <c r="CB720" s="293"/>
      <c r="CC720" s="293"/>
      <c r="CD720" s="293"/>
      <c r="CE720" s="161"/>
      <c r="CF720" s="161"/>
      <c r="CG720" s="161"/>
      <c r="CK720" s="161"/>
      <c r="CL720" s="293"/>
      <c r="CM720" s="293"/>
      <c r="CN720" s="293"/>
      <c r="CO720" s="293"/>
      <c r="CP720" s="293"/>
      <c r="CQ720" s="291"/>
      <c r="CR720" s="161"/>
    </row>
    <row r="721" spans="1:97">
      <c r="A721" s="298">
        <v>1</v>
      </c>
      <c r="B721" s="298">
        <v>1</v>
      </c>
      <c r="C721" s="298">
        <v>1</v>
      </c>
      <c r="D721" s="298">
        <v>1</v>
      </c>
      <c r="E721" s="298">
        <v>1</v>
      </c>
      <c r="F721" s="298">
        <v>1</v>
      </c>
      <c r="G721" s="204"/>
      <c r="H721" s="298">
        <v>1</v>
      </c>
      <c r="I721" s="298">
        <v>1</v>
      </c>
      <c r="J721" s="298">
        <v>1</v>
      </c>
      <c r="K721" s="207"/>
      <c r="L721" s="298">
        <v>1</v>
      </c>
      <c r="M721" s="298">
        <v>1</v>
      </c>
      <c r="N721" s="204"/>
      <c r="O721" s="298">
        <v>1</v>
      </c>
      <c r="P721" s="298">
        <v>1</v>
      </c>
      <c r="Q721" s="204"/>
      <c r="R721" s="298">
        <v>1</v>
      </c>
      <c r="S721" s="298">
        <v>1</v>
      </c>
      <c r="T721" s="298">
        <v>1</v>
      </c>
      <c r="U721" s="204"/>
      <c r="V721" s="298">
        <v>1</v>
      </c>
      <c r="W721" s="298">
        <v>1</v>
      </c>
      <c r="X721" s="298">
        <v>1</v>
      </c>
      <c r="Y721" s="298">
        <v>1</v>
      </c>
      <c r="Z721" s="298">
        <v>1</v>
      </c>
      <c r="AA721" s="204"/>
      <c r="AB721" s="294"/>
      <c r="AC721" s="298">
        <v>1</v>
      </c>
      <c r="AD721" s="298">
        <v>1</v>
      </c>
      <c r="AE721" s="298">
        <v>1</v>
      </c>
      <c r="AF721" s="298">
        <v>1</v>
      </c>
      <c r="AG721" s="294">
        <v>1</v>
      </c>
      <c r="AH721" s="294">
        <v>1</v>
      </c>
      <c r="AI721" s="294">
        <v>1</v>
      </c>
      <c r="AJ721" s="294">
        <v>1</v>
      </c>
      <c r="AK721" s="298"/>
      <c r="AL721" s="294">
        <v>1</v>
      </c>
      <c r="AM721" s="294">
        <v>1</v>
      </c>
      <c r="AN721" s="207"/>
      <c r="AO721" s="294">
        <v>1</v>
      </c>
      <c r="AP721" s="294">
        <v>1</v>
      </c>
      <c r="AQ721" s="298"/>
      <c r="AR721" s="294">
        <v>1</v>
      </c>
      <c r="AS721" s="294">
        <v>1</v>
      </c>
      <c r="AT721" s="294">
        <v>1</v>
      </c>
      <c r="AU721" s="294">
        <v>1</v>
      </c>
      <c r="AV721" s="294">
        <v>1</v>
      </c>
      <c r="AW721" s="298"/>
      <c r="AX721" s="294">
        <v>1</v>
      </c>
      <c r="AY721" s="298"/>
      <c r="AZ721" s="294">
        <v>1</v>
      </c>
      <c r="BA721" s="294">
        <v>1</v>
      </c>
      <c r="BB721" s="298"/>
      <c r="BC721" s="294">
        <v>1</v>
      </c>
      <c r="BD721" s="290"/>
      <c r="BE721" s="294">
        <v>1</v>
      </c>
      <c r="BF721" s="298"/>
      <c r="BG721" s="294">
        <v>1</v>
      </c>
      <c r="BH721" s="294">
        <v>1</v>
      </c>
      <c r="BI721" s="294">
        <v>1</v>
      </c>
      <c r="BJ721" s="294">
        <v>1</v>
      </c>
      <c r="BK721" s="294">
        <v>1</v>
      </c>
      <c r="BL721" s="294">
        <v>1</v>
      </c>
      <c r="BO721" s="161"/>
      <c r="BP721" s="161"/>
      <c r="BQ721" s="161"/>
      <c r="BR721" s="161"/>
      <c r="BX721" s="161"/>
      <c r="BY721" s="161"/>
      <c r="BZ721" s="297"/>
      <c r="CA721" s="293"/>
      <c r="CB721" s="161"/>
      <c r="CC721" s="293"/>
      <c r="CD721" s="293"/>
      <c r="CE721" s="293"/>
      <c r="CF721" s="297"/>
      <c r="CG721" s="297"/>
      <c r="CH721" s="161"/>
      <c r="CL721" s="161"/>
      <c r="CM721" s="161"/>
      <c r="CN721" s="293"/>
      <c r="CO721" s="293"/>
      <c r="CP721" s="291"/>
      <c r="CQ721" s="161"/>
    </row>
    <row r="722" spans="1:97">
      <c r="A722" s="298">
        <v>1</v>
      </c>
      <c r="B722" s="298">
        <v>1</v>
      </c>
      <c r="C722" s="298">
        <v>1</v>
      </c>
      <c r="D722" s="298">
        <v>1</v>
      </c>
      <c r="E722" s="298">
        <v>1</v>
      </c>
      <c r="F722" s="204"/>
      <c r="G722" s="207"/>
      <c r="H722" s="298">
        <v>1</v>
      </c>
      <c r="I722" s="298">
        <v>1</v>
      </c>
      <c r="J722" s="298">
        <v>1</v>
      </c>
      <c r="K722" s="207"/>
      <c r="L722" s="298">
        <v>1</v>
      </c>
      <c r="M722" s="298">
        <v>1</v>
      </c>
      <c r="N722" s="204"/>
      <c r="O722" s="298">
        <v>1</v>
      </c>
      <c r="P722" s="298">
        <v>1</v>
      </c>
      <c r="Q722" s="204"/>
      <c r="R722" s="298">
        <v>1</v>
      </c>
      <c r="S722" s="298">
        <v>1</v>
      </c>
      <c r="T722" s="298">
        <v>1</v>
      </c>
      <c r="U722" s="204"/>
      <c r="V722" s="298">
        <v>1</v>
      </c>
      <c r="W722" s="298">
        <v>1</v>
      </c>
      <c r="X722" s="298">
        <v>1</v>
      </c>
      <c r="Y722" s="298">
        <v>1</v>
      </c>
      <c r="Z722" s="298">
        <v>1</v>
      </c>
      <c r="AA722" s="298">
        <v>1</v>
      </c>
      <c r="AB722" s="298">
        <v>1</v>
      </c>
      <c r="AC722" s="298">
        <v>1</v>
      </c>
      <c r="AD722" s="298">
        <v>1</v>
      </c>
      <c r="AE722" s="298">
        <v>1</v>
      </c>
      <c r="AF722" s="298">
        <v>1</v>
      </c>
      <c r="AG722" s="294">
        <v>1</v>
      </c>
      <c r="AH722" s="294">
        <v>1</v>
      </c>
      <c r="AI722" s="294">
        <v>1</v>
      </c>
      <c r="AJ722" s="294">
        <v>1</v>
      </c>
      <c r="AK722" s="298"/>
      <c r="AL722" s="294">
        <v>1</v>
      </c>
      <c r="AM722" s="294">
        <v>1</v>
      </c>
      <c r="AN722" s="207"/>
      <c r="AO722" s="294">
        <v>1</v>
      </c>
      <c r="AP722" s="294">
        <v>1</v>
      </c>
      <c r="AQ722" s="294">
        <v>1</v>
      </c>
      <c r="AR722" s="294">
        <v>1</v>
      </c>
      <c r="AS722" s="294">
        <v>1</v>
      </c>
      <c r="AT722" s="294">
        <v>1</v>
      </c>
      <c r="AU722" s="294">
        <v>1</v>
      </c>
      <c r="AV722" s="207"/>
      <c r="AW722" s="298"/>
      <c r="AX722" s="294">
        <v>1</v>
      </c>
      <c r="AY722" s="298"/>
      <c r="AZ722" s="294">
        <v>1</v>
      </c>
      <c r="BA722" s="294">
        <v>1</v>
      </c>
      <c r="BB722" s="298"/>
      <c r="BC722" s="294">
        <v>1</v>
      </c>
      <c r="BD722" s="294">
        <v>1</v>
      </c>
      <c r="BE722" s="294">
        <v>1</v>
      </c>
      <c r="BF722" s="298"/>
      <c r="BG722" s="294">
        <v>1</v>
      </c>
      <c r="BH722" s="294">
        <v>1</v>
      </c>
      <c r="BI722" s="294">
        <v>1</v>
      </c>
      <c r="BJ722" s="294">
        <v>1</v>
      </c>
      <c r="BK722" s="294">
        <v>1</v>
      </c>
      <c r="BL722" s="294">
        <v>1</v>
      </c>
      <c r="BN722" s="161"/>
      <c r="BV722" s="161"/>
      <c r="BW722" s="161"/>
      <c r="BX722" s="297"/>
      <c r="BY722" s="297"/>
      <c r="BZ722" s="293"/>
      <c r="CA722" s="161"/>
      <c r="CB722" s="293"/>
      <c r="CC722" s="293"/>
      <c r="CD722" s="293"/>
      <c r="CE722" s="293"/>
      <c r="CF722" s="293"/>
      <c r="CG722" s="293"/>
      <c r="CH722" s="293"/>
      <c r="CI722" s="161"/>
      <c r="CN722" s="161"/>
      <c r="CO722" s="161"/>
      <c r="CP722" s="161"/>
      <c r="CR722" s="161"/>
      <c r="CS722" s="161"/>
    </row>
    <row r="723" spans="1:97">
      <c r="A723" s="298">
        <v>1</v>
      </c>
      <c r="B723" s="298">
        <v>1</v>
      </c>
      <c r="C723" s="298">
        <v>1</v>
      </c>
      <c r="D723" s="298">
        <v>1</v>
      </c>
      <c r="E723" s="298">
        <v>1</v>
      </c>
      <c r="F723" s="204"/>
      <c r="G723" s="298">
        <v>1</v>
      </c>
      <c r="H723" s="298">
        <v>1</v>
      </c>
      <c r="I723" s="298">
        <v>1</v>
      </c>
      <c r="J723" s="298">
        <v>1</v>
      </c>
      <c r="K723" s="207"/>
      <c r="L723" s="298">
        <v>1</v>
      </c>
      <c r="M723" s="298">
        <v>1</v>
      </c>
      <c r="N723" s="298">
        <v>1</v>
      </c>
      <c r="O723" s="298">
        <v>1</v>
      </c>
      <c r="P723" s="298">
        <v>1</v>
      </c>
      <c r="Q723" s="207"/>
      <c r="R723" s="298">
        <v>1</v>
      </c>
      <c r="S723" s="298">
        <v>1</v>
      </c>
      <c r="T723" s="298">
        <v>1</v>
      </c>
      <c r="U723" s="298">
        <v>1</v>
      </c>
      <c r="V723" s="298">
        <v>1</v>
      </c>
      <c r="W723" s="298">
        <v>1</v>
      </c>
      <c r="X723" s="298">
        <v>1</v>
      </c>
      <c r="Y723" s="298">
        <v>1</v>
      </c>
      <c r="Z723" s="207"/>
      <c r="AA723" s="298">
        <v>1</v>
      </c>
      <c r="AB723" s="298">
        <v>1</v>
      </c>
      <c r="AC723" s="298">
        <v>1</v>
      </c>
      <c r="AD723" s="298">
        <v>1</v>
      </c>
      <c r="AE723" s="298">
        <v>1</v>
      </c>
      <c r="AF723" s="298">
        <v>1</v>
      </c>
      <c r="AG723" s="294">
        <v>1</v>
      </c>
      <c r="AH723" s="294">
        <v>1</v>
      </c>
      <c r="AI723" s="294">
        <v>1</v>
      </c>
      <c r="AJ723" s="294">
        <v>1</v>
      </c>
      <c r="AK723" s="298"/>
      <c r="AL723" s="294">
        <v>1</v>
      </c>
      <c r="AM723" s="294">
        <v>1</v>
      </c>
      <c r="AN723" s="207"/>
      <c r="AO723" s="294">
        <v>1</v>
      </c>
      <c r="AP723" s="294">
        <v>1</v>
      </c>
      <c r="AQ723" s="290"/>
      <c r="AR723" s="294">
        <v>1</v>
      </c>
      <c r="AS723" s="294">
        <v>1</v>
      </c>
      <c r="AT723" s="294">
        <v>1</v>
      </c>
      <c r="AU723" s="298"/>
      <c r="AV723" s="207"/>
      <c r="AW723" s="298"/>
      <c r="AX723" s="294">
        <v>1</v>
      </c>
      <c r="AY723" s="294">
        <v>1</v>
      </c>
      <c r="AZ723" s="294">
        <v>1</v>
      </c>
      <c r="BA723" s="294">
        <v>1</v>
      </c>
      <c r="BB723" s="207"/>
      <c r="BC723" s="294">
        <v>1</v>
      </c>
      <c r="BD723" s="294">
        <v>1</v>
      </c>
      <c r="BE723" s="294">
        <v>1</v>
      </c>
      <c r="BF723" s="298"/>
      <c r="BG723" s="294">
        <v>1</v>
      </c>
      <c r="BH723" s="294">
        <v>1</v>
      </c>
      <c r="BI723" s="294">
        <v>1</v>
      </c>
      <c r="BJ723" s="298"/>
      <c r="BK723" s="294">
        <v>1</v>
      </c>
      <c r="BL723" s="294">
        <v>1</v>
      </c>
      <c r="BN723" s="297"/>
      <c r="BO723" s="161"/>
      <c r="BP723" s="161"/>
      <c r="BS723" s="161"/>
      <c r="BU723" s="161"/>
      <c r="BV723" s="297"/>
      <c r="BW723" s="297"/>
      <c r="BX723" s="293"/>
      <c r="BY723" s="293"/>
      <c r="BZ723" s="293"/>
      <c r="CA723" s="293"/>
      <c r="CB723" s="293"/>
      <c r="CC723" s="293"/>
      <c r="CD723" s="293"/>
      <c r="CE723" s="293"/>
      <c r="CF723" s="293"/>
      <c r="CG723" s="291"/>
      <c r="CH723" s="293"/>
      <c r="CI723" s="161"/>
      <c r="CL723" s="161"/>
      <c r="CM723" s="161"/>
      <c r="CQ723" s="161"/>
      <c r="CR723" s="293"/>
      <c r="CS723" s="297"/>
    </row>
    <row r="724" spans="1:97">
      <c r="A724" s="298">
        <v>1</v>
      </c>
      <c r="B724" s="294"/>
      <c r="C724" s="298">
        <v>1</v>
      </c>
      <c r="D724" s="298">
        <v>1</v>
      </c>
      <c r="E724" s="298">
        <v>1</v>
      </c>
      <c r="F724" s="207"/>
      <c r="G724" s="298">
        <v>1</v>
      </c>
      <c r="H724" s="207"/>
      <c r="I724" s="298">
        <v>1</v>
      </c>
      <c r="J724" s="298">
        <v>1</v>
      </c>
      <c r="K724" s="207"/>
      <c r="L724" s="298">
        <v>1</v>
      </c>
      <c r="M724" s="298">
        <v>1</v>
      </c>
      <c r="N724" s="298">
        <v>1</v>
      </c>
      <c r="O724" s="298">
        <v>1</v>
      </c>
      <c r="P724" s="298">
        <v>1</v>
      </c>
      <c r="Q724" s="207"/>
      <c r="R724" s="298">
        <v>1</v>
      </c>
      <c r="S724" s="298">
        <v>1</v>
      </c>
      <c r="T724" s="298">
        <v>1</v>
      </c>
      <c r="U724" s="308"/>
      <c r="V724" s="298">
        <v>1</v>
      </c>
      <c r="W724" s="298">
        <v>1</v>
      </c>
      <c r="X724" s="298">
        <v>1</v>
      </c>
      <c r="Y724" s="298">
        <v>1</v>
      </c>
      <c r="Z724" s="308"/>
      <c r="AA724" s="298">
        <v>1</v>
      </c>
      <c r="AB724" s="298">
        <v>1</v>
      </c>
      <c r="AC724" s="298">
        <v>1</v>
      </c>
      <c r="AD724" s="207"/>
      <c r="AE724" s="298">
        <v>1</v>
      </c>
      <c r="AF724" s="298">
        <v>1</v>
      </c>
      <c r="AG724" s="294">
        <v>1</v>
      </c>
      <c r="AH724" s="294">
        <v>1</v>
      </c>
      <c r="AI724" s="294">
        <v>1</v>
      </c>
      <c r="AJ724" s="294">
        <v>1</v>
      </c>
      <c r="AK724" s="298"/>
      <c r="AL724" s="294">
        <v>1</v>
      </c>
      <c r="AM724" s="294">
        <v>1</v>
      </c>
      <c r="AN724" s="207"/>
      <c r="AO724" s="294">
        <v>1</v>
      </c>
      <c r="AP724" s="294">
        <v>1</v>
      </c>
      <c r="AQ724" s="290"/>
      <c r="AR724" s="294">
        <v>1</v>
      </c>
      <c r="AS724" s="294">
        <v>1</v>
      </c>
      <c r="AT724" s="294">
        <v>1</v>
      </c>
      <c r="AU724" s="294">
        <v>1</v>
      </c>
      <c r="AV724" s="298"/>
      <c r="AW724" s="290"/>
      <c r="AX724" s="294">
        <v>1</v>
      </c>
      <c r="AY724" s="294">
        <v>1</v>
      </c>
      <c r="AZ724" s="294">
        <v>1</v>
      </c>
      <c r="BA724" s="294">
        <v>1</v>
      </c>
      <c r="BB724" s="204"/>
      <c r="BC724" s="294">
        <v>1</v>
      </c>
      <c r="BD724" s="294">
        <v>1</v>
      </c>
      <c r="BE724" s="294">
        <v>1</v>
      </c>
      <c r="BF724" s="294">
        <v>1</v>
      </c>
      <c r="BG724" s="294">
        <v>1</v>
      </c>
      <c r="BH724" s="294">
        <v>1</v>
      </c>
      <c r="BI724" s="294">
        <v>1</v>
      </c>
      <c r="BJ724" s="298"/>
      <c r="BK724" s="294">
        <v>1</v>
      </c>
      <c r="BL724" s="294">
        <v>1</v>
      </c>
      <c r="BN724" s="293"/>
      <c r="BO724" s="293"/>
      <c r="BP724" s="161"/>
      <c r="BQ724" s="161"/>
      <c r="BS724" s="161"/>
      <c r="BU724" s="161"/>
      <c r="BV724" s="293"/>
      <c r="BW724" s="297"/>
      <c r="BX724" s="293"/>
      <c r="BY724" s="293"/>
      <c r="BZ724" s="293"/>
      <c r="CA724" s="293"/>
      <c r="CB724" s="161"/>
      <c r="CC724" s="161"/>
      <c r="CD724" s="293"/>
      <c r="CE724" s="293"/>
      <c r="CF724" s="293"/>
      <c r="CG724" s="291"/>
      <c r="CH724" s="293"/>
      <c r="CI724" s="161"/>
      <c r="CK724" s="161"/>
      <c r="CL724" s="293"/>
      <c r="CM724" s="297"/>
      <c r="CN724" s="161"/>
      <c r="CQ724" s="161"/>
      <c r="CR724" s="297"/>
      <c r="CS724" s="293"/>
    </row>
    <row r="725" spans="1:97">
      <c r="A725" s="298">
        <v>1</v>
      </c>
      <c r="B725" s="294"/>
      <c r="C725" s="298">
        <v>1</v>
      </c>
      <c r="D725" s="298">
        <v>1</v>
      </c>
      <c r="E725" s="298">
        <v>1</v>
      </c>
      <c r="F725" s="298">
        <v>1</v>
      </c>
      <c r="G725" s="207"/>
      <c r="H725" s="294"/>
      <c r="I725" s="298">
        <v>1</v>
      </c>
      <c r="J725" s="298">
        <v>1</v>
      </c>
      <c r="K725" s="204"/>
      <c r="L725" s="298">
        <v>1</v>
      </c>
      <c r="M725" s="298">
        <v>1</v>
      </c>
      <c r="N725" s="298">
        <v>1</v>
      </c>
      <c r="O725" s="298">
        <v>1</v>
      </c>
      <c r="P725" s="298">
        <v>1</v>
      </c>
      <c r="Q725" s="298">
        <v>1</v>
      </c>
      <c r="R725" s="298">
        <v>1</v>
      </c>
      <c r="S725" s="298">
        <v>1</v>
      </c>
      <c r="T725" s="298">
        <v>1</v>
      </c>
      <c r="U725" s="308"/>
      <c r="V725" s="298">
        <v>1</v>
      </c>
      <c r="W725" s="298">
        <v>1</v>
      </c>
      <c r="X725" s="298">
        <v>1</v>
      </c>
      <c r="Y725" s="298">
        <v>1</v>
      </c>
      <c r="Z725" s="312"/>
      <c r="AA725" s="298">
        <v>1</v>
      </c>
      <c r="AB725" s="298">
        <v>1</v>
      </c>
      <c r="AC725" s="298">
        <v>1</v>
      </c>
      <c r="AD725" s="207"/>
      <c r="AE725" s="298">
        <v>1</v>
      </c>
      <c r="AF725" s="298">
        <v>1</v>
      </c>
      <c r="AG725" s="294">
        <v>1</v>
      </c>
      <c r="AH725" s="294">
        <v>1</v>
      </c>
      <c r="AI725" s="294">
        <v>1</v>
      </c>
      <c r="AJ725" s="294">
        <v>1</v>
      </c>
      <c r="AK725" s="294">
        <v>1</v>
      </c>
      <c r="AL725" s="294">
        <v>1</v>
      </c>
      <c r="AM725" s="294">
        <v>1</v>
      </c>
      <c r="AN725" s="298"/>
      <c r="AO725" s="294">
        <v>1</v>
      </c>
      <c r="AP725" s="294">
        <v>1</v>
      </c>
      <c r="AQ725" s="294">
        <v>1</v>
      </c>
      <c r="AR725" s="294">
        <v>1</v>
      </c>
      <c r="AS725" s="294">
        <v>1</v>
      </c>
      <c r="AT725" s="294">
        <v>1</v>
      </c>
      <c r="AU725" s="294">
        <v>1</v>
      </c>
      <c r="AV725" s="294">
        <v>1</v>
      </c>
      <c r="AW725" s="294">
        <v>1</v>
      </c>
      <c r="AX725" s="294">
        <v>1</v>
      </c>
      <c r="AY725" s="294">
        <v>1</v>
      </c>
      <c r="AZ725" s="294">
        <v>1</v>
      </c>
      <c r="BA725" s="204"/>
      <c r="BB725" s="298"/>
      <c r="BC725" s="294">
        <v>1</v>
      </c>
      <c r="BD725" s="294">
        <v>1</v>
      </c>
      <c r="BE725" s="294">
        <v>1</v>
      </c>
      <c r="BF725" s="298"/>
      <c r="BG725" s="294">
        <v>1</v>
      </c>
      <c r="BH725" s="294">
        <v>1</v>
      </c>
      <c r="BI725" s="298"/>
      <c r="BJ725" s="207"/>
      <c r="BK725" s="294">
        <v>1</v>
      </c>
      <c r="BL725" s="294">
        <v>1</v>
      </c>
      <c r="BN725" s="293"/>
      <c r="BO725" s="161"/>
      <c r="BP725" s="161"/>
      <c r="BQ725" s="161"/>
      <c r="BS725" s="293"/>
      <c r="BT725" s="161"/>
      <c r="BV725" s="161"/>
      <c r="BW725" s="161"/>
      <c r="BX725" s="161"/>
      <c r="BY725" s="293"/>
      <c r="BZ725" s="161"/>
      <c r="CA725" s="161"/>
      <c r="CB725" s="293"/>
      <c r="CC725" s="297"/>
      <c r="CD725" s="293"/>
      <c r="CE725" s="293"/>
      <c r="CF725" s="291"/>
      <c r="CG725" s="293"/>
      <c r="CH725" s="161"/>
      <c r="CK725" s="161"/>
      <c r="CL725" s="297"/>
      <c r="CM725" s="293"/>
      <c r="CN725" s="161"/>
      <c r="CP725" s="161"/>
      <c r="CQ725" s="297"/>
      <c r="CR725" s="293"/>
      <c r="CS725" s="293"/>
    </row>
    <row r="726" spans="1:97">
      <c r="A726" s="298">
        <v>1</v>
      </c>
      <c r="B726" s="294"/>
      <c r="C726" s="298">
        <v>1</v>
      </c>
      <c r="D726" s="298">
        <v>1</v>
      </c>
      <c r="E726" s="298">
        <v>1</v>
      </c>
      <c r="F726" s="298">
        <v>1</v>
      </c>
      <c r="G726" s="298">
        <v>1</v>
      </c>
      <c r="H726" s="298">
        <v>1</v>
      </c>
      <c r="I726" s="298">
        <v>1</v>
      </c>
      <c r="J726" s="298">
        <v>1</v>
      </c>
      <c r="K726" s="207"/>
      <c r="L726" s="298">
        <v>1</v>
      </c>
      <c r="M726" s="298">
        <v>1</v>
      </c>
      <c r="N726" s="204"/>
      <c r="O726" s="298">
        <v>1</v>
      </c>
      <c r="P726" s="298">
        <v>1</v>
      </c>
      <c r="Q726" s="298">
        <v>1</v>
      </c>
      <c r="R726" s="294"/>
      <c r="S726" s="298">
        <v>1</v>
      </c>
      <c r="T726" s="298">
        <v>1</v>
      </c>
      <c r="U726" s="308"/>
      <c r="V726" s="204"/>
      <c r="W726" s="298">
        <v>1</v>
      </c>
      <c r="X726" s="298">
        <v>1</v>
      </c>
      <c r="Y726" s="298">
        <v>1</v>
      </c>
      <c r="Z726" s="312"/>
      <c r="AA726" s="298">
        <v>1</v>
      </c>
      <c r="AB726" s="294"/>
      <c r="AC726" s="298">
        <v>1</v>
      </c>
      <c r="AD726" s="207"/>
      <c r="AE726" s="298">
        <v>1</v>
      </c>
      <c r="AF726" s="298">
        <v>1</v>
      </c>
      <c r="AG726" s="294">
        <v>1</v>
      </c>
      <c r="AH726" s="294">
        <v>1</v>
      </c>
      <c r="AI726" s="294">
        <v>1</v>
      </c>
      <c r="AJ726" s="294">
        <v>1</v>
      </c>
      <c r="AK726" s="294">
        <v>1</v>
      </c>
      <c r="AL726" s="294">
        <v>1</v>
      </c>
      <c r="AM726" s="294">
        <v>1</v>
      </c>
      <c r="AN726" s="290"/>
      <c r="AO726" s="294">
        <v>1</v>
      </c>
      <c r="AP726" s="294">
        <v>1</v>
      </c>
      <c r="AQ726" s="207"/>
      <c r="AR726" s="294">
        <v>1</v>
      </c>
      <c r="AS726" s="294">
        <v>1</v>
      </c>
      <c r="AT726" s="294">
        <v>1</v>
      </c>
      <c r="AU726" s="294">
        <v>1</v>
      </c>
      <c r="AV726" s="294">
        <v>1</v>
      </c>
      <c r="AW726" s="294">
        <v>1</v>
      </c>
      <c r="AX726" s="294">
        <v>1</v>
      </c>
      <c r="AY726" s="294">
        <v>1</v>
      </c>
      <c r="AZ726" s="294">
        <v>1</v>
      </c>
      <c r="BA726" s="204"/>
      <c r="BB726" s="298"/>
      <c r="BC726" s="294">
        <v>1</v>
      </c>
      <c r="BD726" s="294">
        <v>1</v>
      </c>
      <c r="BE726" s="294">
        <v>1</v>
      </c>
      <c r="BF726" s="298"/>
      <c r="BG726" s="294">
        <v>1</v>
      </c>
      <c r="BH726" s="294">
        <v>1</v>
      </c>
      <c r="BI726" s="298"/>
      <c r="BJ726" s="294">
        <v>1</v>
      </c>
      <c r="BK726" s="298"/>
      <c r="BL726" s="294">
        <v>1</v>
      </c>
      <c r="BN726" s="161"/>
      <c r="BO726" s="161"/>
      <c r="BP726" s="293"/>
      <c r="BQ726" s="161"/>
      <c r="BS726" s="293"/>
      <c r="BT726" s="161"/>
      <c r="BY726" s="161"/>
      <c r="BZ726" s="161"/>
      <c r="CA726" s="293"/>
      <c r="CB726" s="297"/>
      <c r="CC726" s="293"/>
      <c r="CD726" s="293"/>
      <c r="CE726" s="293"/>
      <c r="CF726" s="293"/>
      <c r="CG726" s="293"/>
      <c r="CH726" s="161"/>
      <c r="CJ726" s="161"/>
      <c r="CK726" s="297"/>
      <c r="CL726" s="293"/>
      <c r="CM726" s="293"/>
      <c r="CN726" s="161"/>
      <c r="CP726" s="161"/>
      <c r="CQ726" s="297"/>
      <c r="CR726" s="293"/>
      <c r="CS726" s="293"/>
    </row>
    <row r="727" spans="1:97">
      <c r="A727" s="298">
        <v>1</v>
      </c>
      <c r="B727" s="298">
        <v>1</v>
      </c>
      <c r="C727" s="298">
        <v>1</v>
      </c>
      <c r="D727" s="298">
        <v>1</v>
      </c>
      <c r="E727" s="298">
        <v>1</v>
      </c>
      <c r="F727" s="298">
        <v>1</v>
      </c>
      <c r="G727" s="298">
        <v>1</v>
      </c>
      <c r="H727" s="298">
        <v>1</v>
      </c>
      <c r="I727" s="298">
        <v>1</v>
      </c>
      <c r="J727" s="298">
        <v>1</v>
      </c>
      <c r="K727" s="294"/>
      <c r="L727" s="298">
        <v>1</v>
      </c>
      <c r="M727" s="298">
        <v>1</v>
      </c>
      <c r="N727" s="204"/>
      <c r="O727" s="298">
        <v>1</v>
      </c>
      <c r="P727" s="298">
        <v>1</v>
      </c>
      <c r="Q727" s="298">
        <v>1</v>
      </c>
      <c r="R727" s="294"/>
      <c r="S727" s="298">
        <v>1</v>
      </c>
      <c r="T727" s="298">
        <v>1</v>
      </c>
      <c r="U727" s="308"/>
      <c r="V727" s="204"/>
      <c r="W727" s="298">
        <v>1</v>
      </c>
      <c r="X727" s="298">
        <v>1</v>
      </c>
      <c r="Y727" s="298">
        <v>1</v>
      </c>
      <c r="Z727" s="312"/>
      <c r="AA727" s="298">
        <v>1</v>
      </c>
      <c r="AB727" s="294"/>
      <c r="AC727" s="298">
        <v>1</v>
      </c>
      <c r="AD727" s="207"/>
      <c r="AE727" s="298">
        <v>1</v>
      </c>
      <c r="AF727" s="298">
        <v>1</v>
      </c>
      <c r="AG727" s="294">
        <v>1</v>
      </c>
      <c r="AH727" s="294">
        <v>1</v>
      </c>
      <c r="AI727" s="294">
        <v>1</v>
      </c>
      <c r="AJ727" s="294">
        <v>1</v>
      </c>
      <c r="AK727" s="298"/>
      <c r="AL727" s="294">
        <v>1</v>
      </c>
      <c r="AM727" s="294">
        <v>1</v>
      </c>
      <c r="AN727" s="294">
        <v>1</v>
      </c>
      <c r="AO727" s="294">
        <v>1</v>
      </c>
      <c r="AP727" s="294">
        <v>1</v>
      </c>
      <c r="AQ727" s="207"/>
      <c r="AR727" s="294">
        <v>1</v>
      </c>
      <c r="AS727" s="294">
        <v>1</v>
      </c>
      <c r="AT727" s="294">
        <v>1</v>
      </c>
      <c r="AU727" s="294">
        <v>1</v>
      </c>
      <c r="AV727" s="290"/>
      <c r="AW727" s="294">
        <v>1</v>
      </c>
      <c r="AX727" s="294">
        <v>1</v>
      </c>
      <c r="AY727" s="294">
        <v>1</v>
      </c>
      <c r="AZ727" s="294">
        <v>1</v>
      </c>
      <c r="BA727" s="207"/>
      <c r="BB727" s="294">
        <v>1</v>
      </c>
      <c r="BC727" s="207"/>
      <c r="BD727" s="294">
        <v>1</v>
      </c>
      <c r="BE727" s="294">
        <v>1</v>
      </c>
      <c r="BF727" s="294">
        <v>1</v>
      </c>
      <c r="BG727" s="294">
        <v>1</v>
      </c>
      <c r="BH727" s="294">
        <v>1</v>
      </c>
      <c r="BI727" s="294">
        <v>1</v>
      </c>
      <c r="BJ727" s="298"/>
      <c r="BK727" s="290"/>
      <c r="BL727" s="294">
        <v>1</v>
      </c>
      <c r="BN727" s="293"/>
      <c r="BO727" s="293"/>
      <c r="BP727" s="293"/>
      <c r="BQ727" s="161"/>
      <c r="BV727" s="161"/>
      <c r="BW727" s="161"/>
      <c r="CB727" s="161"/>
      <c r="CC727" s="161"/>
      <c r="CD727" s="161"/>
      <c r="CE727" s="161"/>
      <c r="CF727" s="161"/>
      <c r="CG727" s="161"/>
      <c r="CI727" s="161"/>
      <c r="CJ727" s="297"/>
      <c r="CK727" s="293"/>
      <c r="CL727" s="293"/>
      <c r="CM727" s="293"/>
      <c r="CN727" s="161"/>
      <c r="CP727" s="161"/>
      <c r="CQ727" s="297"/>
      <c r="CR727" s="161"/>
      <c r="CS727" s="293"/>
    </row>
    <row r="728" spans="1:97">
      <c r="A728" s="298">
        <v>1</v>
      </c>
      <c r="B728" s="308"/>
      <c r="C728" s="298">
        <v>1</v>
      </c>
      <c r="D728" s="298">
        <v>1</v>
      </c>
      <c r="E728" s="298">
        <v>1</v>
      </c>
      <c r="F728" s="298">
        <v>1</v>
      </c>
      <c r="G728" s="298">
        <v>1</v>
      </c>
      <c r="H728" s="298">
        <v>1</v>
      </c>
      <c r="I728" s="298">
        <v>1</v>
      </c>
      <c r="J728" s="298">
        <v>1</v>
      </c>
      <c r="K728" s="298">
        <v>1</v>
      </c>
      <c r="L728" s="298">
        <v>1</v>
      </c>
      <c r="M728" s="298">
        <v>1</v>
      </c>
      <c r="N728" s="308"/>
      <c r="O728" s="298">
        <v>1</v>
      </c>
      <c r="P728" s="298">
        <v>1</v>
      </c>
      <c r="Q728" s="298">
        <v>1</v>
      </c>
      <c r="R728" s="294"/>
      <c r="S728" s="298">
        <v>1</v>
      </c>
      <c r="T728" s="298">
        <v>1</v>
      </c>
      <c r="U728" s="204"/>
      <c r="V728" s="308"/>
      <c r="W728" s="298">
        <v>1</v>
      </c>
      <c r="X728" s="298">
        <v>1</v>
      </c>
      <c r="Y728" s="298">
        <v>1</v>
      </c>
      <c r="Z728" s="308"/>
      <c r="AA728" s="298">
        <v>1</v>
      </c>
      <c r="AB728" s="294"/>
      <c r="AC728" s="298">
        <v>1</v>
      </c>
      <c r="AD728" s="298">
        <v>1</v>
      </c>
      <c r="AE728" s="298">
        <v>1</v>
      </c>
      <c r="AF728" s="298">
        <v>1</v>
      </c>
      <c r="AG728" s="294">
        <v>1</v>
      </c>
      <c r="AH728" s="294">
        <v>1</v>
      </c>
      <c r="AI728" s="290"/>
      <c r="AJ728" s="294">
        <v>1</v>
      </c>
      <c r="AK728" s="294">
        <v>1</v>
      </c>
      <c r="AL728" s="294">
        <v>1</v>
      </c>
      <c r="AM728" s="294">
        <v>1</v>
      </c>
      <c r="AN728" s="294">
        <v>1</v>
      </c>
      <c r="AO728" s="294">
        <v>1</v>
      </c>
      <c r="AP728" s="207"/>
      <c r="AQ728" s="298"/>
      <c r="AR728" s="294">
        <v>1</v>
      </c>
      <c r="AS728" s="294">
        <v>1</v>
      </c>
      <c r="AT728" s="294">
        <v>1</v>
      </c>
      <c r="AU728" s="294">
        <v>1</v>
      </c>
      <c r="AV728" s="290"/>
      <c r="AW728" s="294">
        <v>1</v>
      </c>
      <c r="AX728" s="294">
        <v>1</v>
      </c>
      <c r="AY728" s="294">
        <v>1</v>
      </c>
      <c r="AZ728" s="294">
        <v>1</v>
      </c>
      <c r="BA728" s="290"/>
      <c r="BB728" s="207"/>
      <c r="BC728" s="290"/>
      <c r="BD728" s="294">
        <v>1</v>
      </c>
      <c r="BE728" s="294">
        <v>1</v>
      </c>
      <c r="BF728" s="294">
        <v>1</v>
      </c>
      <c r="BG728" s="294">
        <v>1</v>
      </c>
      <c r="BH728" s="294">
        <v>1</v>
      </c>
      <c r="BI728" s="294">
        <v>1</v>
      </c>
      <c r="BJ728" s="294">
        <v>1</v>
      </c>
      <c r="BK728" s="294">
        <v>1</v>
      </c>
      <c r="BL728" s="294">
        <v>1</v>
      </c>
      <c r="BN728" s="161"/>
      <c r="BO728" s="293"/>
      <c r="BP728" s="297"/>
      <c r="BQ728" s="293"/>
      <c r="BR728" s="161"/>
      <c r="BU728" s="161"/>
      <c r="BV728" s="293"/>
      <c r="BW728" s="297"/>
      <c r="BX728" s="161"/>
      <c r="BY728" s="161"/>
      <c r="BZ728" s="161"/>
      <c r="CI728" s="161"/>
      <c r="CJ728" s="297"/>
      <c r="CK728" s="293"/>
      <c r="CL728" s="293"/>
      <c r="CM728" s="291"/>
      <c r="CN728" s="161"/>
      <c r="CP728" s="161"/>
      <c r="CQ728" s="161"/>
      <c r="CR728" s="161"/>
      <c r="CS728" s="293"/>
    </row>
    <row r="729" spans="1:97">
      <c r="A729" s="298">
        <v>1</v>
      </c>
      <c r="B729" s="308"/>
      <c r="C729" s="207"/>
      <c r="D729" s="298">
        <v>1</v>
      </c>
      <c r="E729" s="298">
        <v>1</v>
      </c>
      <c r="F729" s="298">
        <v>1</v>
      </c>
      <c r="G729" s="298">
        <v>1</v>
      </c>
      <c r="H729" s="298">
        <v>1</v>
      </c>
      <c r="I729" s="298">
        <v>1</v>
      </c>
      <c r="J729" s="298">
        <v>1</v>
      </c>
      <c r="K729" s="298">
        <v>1</v>
      </c>
      <c r="L729" s="298">
        <v>1</v>
      </c>
      <c r="M729" s="298">
        <v>1</v>
      </c>
      <c r="N729" s="308"/>
      <c r="O729" s="298">
        <v>1</v>
      </c>
      <c r="P729" s="298">
        <v>1</v>
      </c>
      <c r="Q729" s="298">
        <v>1</v>
      </c>
      <c r="R729" s="298">
        <v>1</v>
      </c>
      <c r="S729" s="298">
        <v>1</v>
      </c>
      <c r="T729" s="308"/>
      <c r="U729" s="204"/>
      <c r="V729" s="308"/>
      <c r="W729" s="298">
        <v>1</v>
      </c>
      <c r="X729" s="298">
        <v>1</v>
      </c>
      <c r="Y729" s="298">
        <v>1</v>
      </c>
      <c r="Z729" s="298">
        <v>1</v>
      </c>
      <c r="AA729" s="298">
        <v>1</v>
      </c>
      <c r="AB729" s="298">
        <v>1</v>
      </c>
      <c r="AC729" s="298">
        <v>1</v>
      </c>
      <c r="AD729" s="298">
        <v>1</v>
      </c>
      <c r="AE729" s="298">
        <v>1</v>
      </c>
      <c r="AF729" s="298">
        <v>1</v>
      </c>
      <c r="AG729" s="294">
        <v>1</v>
      </c>
      <c r="AH729" s="294">
        <v>1</v>
      </c>
      <c r="AI729" s="290"/>
      <c r="AJ729" s="294">
        <v>1</v>
      </c>
      <c r="AK729" s="294">
        <v>1</v>
      </c>
      <c r="AL729" s="294">
        <v>1</v>
      </c>
      <c r="AM729" s="294">
        <v>1</v>
      </c>
      <c r="AN729" s="294">
        <v>1</v>
      </c>
      <c r="AO729" s="294">
        <v>1</v>
      </c>
      <c r="AP729" s="204"/>
      <c r="AQ729" s="298"/>
      <c r="AR729" s="294">
        <v>1</v>
      </c>
      <c r="AS729" s="294">
        <v>1</v>
      </c>
      <c r="AT729" s="294">
        <v>1</v>
      </c>
      <c r="AU729" s="294">
        <v>1</v>
      </c>
      <c r="AV729" s="294">
        <v>1</v>
      </c>
      <c r="AW729" s="294">
        <v>1</v>
      </c>
      <c r="AX729" s="294">
        <v>1</v>
      </c>
      <c r="AY729" s="294">
        <v>1</v>
      </c>
      <c r="AZ729" s="294">
        <v>1</v>
      </c>
      <c r="BA729" s="294">
        <v>1</v>
      </c>
      <c r="BB729" s="290"/>
      <c r="BC729" s="294">
        <v>1</v>
      </c>
      <c r="BD729" s="294">
        <v>1</v>
      </c>
      <c r="BE729" s="294">
        <v>1</v>
      </c>
      <c r="BF729" s="294">
        <v>1</v>
      </c>
      <c r="BG729" s="294">
        <v>1</v>
      </c>
      <c r="BH729" s="294">
        <v>1</v>
      </c>
      <c r="BI729" s="294">
        <v>1</v>
      </c>
      <c r="BJ729" s="294">
        <v>1</v>
      </c>
      <c r="BK729" s="294">
        <v>1</v>
      </c>
      <c r="BL729" s="294">
        <v>1</v>
      </c>
      <c r="BN729" s="161"/>
      <c r="BO729" s="161"/>
      <c r="BP729" s="293"/>
      <c r="BQ729" s="297"/>
      <c r="BR729" s="293"/>
      <c r="BS729" s="161"/>
      <c r="BV729" s="161"/>
      <c r="BW729" s="293"/>
      <c r="BX729" s="297"/>
      <c r="BY729" s="297"/>
      <c r="BZ729" s="297"/>
      <c r="CA729" s="161"/>
      <c r="CB729" s="161"/>
      <c r="CC729" s="161"/>
      <c r="CD729" s="161"/>
      <c r="CE729" s="161"/>
      <c r="CF729" s="161"/>
      <c r="CH729" s="161"/>
      <c r="CI729" s="293"/>
      <c r="CJ729" s="297"/>
      <c r="CK729" s="293"/>
      <c r="CL729" s="293"/>
      <c r="CM729" s="161"/>
      <c r="CP729" s="161"/>
      <c r="CQ729" s="161"/>
      <c r="CR729" s="293"/>
      <c r="CS729" s="293"/>
    </row>
    <row r="730" spans="1:97">
      <c r="A730" s="298">
        <v>1</v>
      </c>
      <c r="B730" s="204"/>
      <c r="C730" s="308"/>
      <c r="D730" s="298">
        <v>1</v>
      </c>
      <c r="E730" s="298">
        <v>1</v>
      </c>
      <c r="F730" s="298">
        <v>1</v>
      </c>
      <c r="G730" s="298">
        <v>1</v>
      </c>
      <c r="H730" s="298">
        <v>1</v>
      </c>
      <c r="I730" s="298">
        <v>1</v>
      </c>
      <c r="J730" s="298">
        <v>1</v>
      </c>
      <c r="K730" s="298">
        <v>1</v>
      </c>
      <c r="L730" s="298">
        <v>1</v>
      </c>
      <c r="M730" s="204"/>
      <c r="N730" s="308"/>
      <c r="O730" s="298">
        <v>1</v>
      </c>
      <c r="P730" s="298">
        <v>1</v>
      </c>
      <c r="Q730" s="298">
        <v>1</v>
      </c>
      <c r="R730" s="207"/>
      <c r="S730" s="298">
        <v>1</v>
      </c>
      <c r="T730" s="204"/>
      <c r="U730" s="308"/>
      <c r="V730" s="204"/>
      <c r="W730" s="298">
        <v>1</v>
      </c>
      <c r="X730" s="298">
        <v>1</v>
      </c>
      <c r="Y730" s="298">
        <v>1</v>
      </c>
      <c r="Z730" s="207"/>
      <c r="AA730" s="298">
        <v>1</v>
      </c>
      <c r="AB730" s="207"/>
      <c r="AC730" s="298">
        <v>1</v>
      </c>
      <c r="AD730" s="298">
        <v>1</v>
      </c>
      <c r="AE730" s="298">
        <v>1</v>
      </c>
      <c r="AF730" s="298">
        <v>1</v>
      </c>
      <c r="AG730" s="294">
        <v>1</v>
      </c>
      <c r="AH730" s="294">
        <v>1</v>
      </c>
      <c r="AI730" s="290"/>
      <c r="AJ730" s="294">
        <v>1</v>
      </c>
      <c r="AK730" s="294">
        <v>1</v>
      </c>
      <c r="AL730" s="294">
        <v>1</v>
      </c>
      <c r="AM730" s="294">
        <v>1</v>
      </c>
      <c r="AN730" s="294">
        <v>1</v>
      </c>
      <c r="AO730" s="294">
        <v>1</v>
      </c>
      <c r="AP730" s="204"/>
      <c r="AQ730" s="294">
        <v>1</v>
      </c>
      <c r="AR730" s="207"/>
      <c r="AS730" s="294">
        <v>1</v>
      </c>
      <c r="AT730" s="294">
        <v>1</v>
      </c>
      <c r="AU730" s="294">
        <v>1</v>
      </c>
      <c r="AV730" s="298"/>
      <c r="AW730" s="294">
        <v>1</v>
      </c>
      <c r="AX730" s="294">
        <v>1</v>
      </c>
      <c r="AY730" s="294">
        <v>1</v>
      </c>
      <c r="AZ730" s="294">
        <v>1</v>
      </c>
      <c r="BA730" s="294">
        <v>1</v>
      </c>
      <c r="BB730" s="294">
        <v>1</v>
      </c>
      <c r="BC730" s="294">
        <v>1</v>
      </c>
      <c r="BD730" s="294">
        <v>1</v>
      </c>
      <c r="BE730" s="298"/>
      <c r="BF730" s="294">
        <v>1</v>
      </c>
      <c r="BG730" s="294">
        <v>1</v>
      </c>
      <c r="BH730" s="294">
        <v>1</v>
      </c>
      <c r="BI730" s="294">
        <v>1</v>
      </c>
      <c r="BJ730" s="294">
        <v>1</v>
      </c>
      <c r="BK730" s="294">
        <v>1</v>
      </c>
      <c r="BL730" s="294">
        <v>1</v>
      </c>
      <c r="BN730" s="161"/>
      <c r="BO730" s="293"/>
      <c r="BP730" s="293"/>
      <c r="BQ730" s="293"/>
      <c r="BR730" s="293"/>
      <c r="BS730" s="161"/>
      <c r="BU730" s="161"/>
      <c r="BV730" s="297"/>
      <c r="BW730" s="293"/>
      <c r="BX730" s="293"/>
      <c r="BY730" s="293"/>
      <c r="BZ730" s="293"/>
      <c r="CA730" s="297"/>
      <c r="CB730" s="297"/>
      <c r="CC730" s="297"/>
      <c r="CD730" s="293"/>
      <c r="CE730" s="293"/>
      <c r="CF730" s="161"/>
      <c r="CH730" s="161"/>
      <c r="CI730" s="297"/>
      <c r="CJ730" s="293"/>
      <c r="CK730" s="293"/>
      <c r="CL730" s="291"/>
      <c r="CM730" s="161"/>
      <c r="CQ730" s="161"/>
      <c r="CR730" s="293"/>
      <c r="CS730" s="293"/>
    </row>
    <row r="731" spans="1:97">
      <c r="A731" s="308"/>
      <c r="B731" s="204"/>
      <c r="C731" s="308"/>
      <c r="D731" s="298">
        <v>1</v>
      </c>
      <c r="E731" s="298">
        <v>1</v>
      </c>
      <c r="F731" s="298">
        <v>1</v>
      </c>
      <c r="G731" s="207"/>
      <c r="H731" s="298">
        <v>1</v>
      </c>
      <c r="I731" s="298">
        <v>1</v>
      </c>
      <c r="J731" s="298">
        <v>1</v>
      </c>
      <c r="K731" s="298">
        <v>1</v>
      </c>
      <c r="L731" s="298">
        <v>1</v>
      </c>
      <c r="M731" s="308"/>
      <c r="N731" s="204"/>
      <c r="O731" s="298">
        <v>1</v>
      </c>
      <c r="P731" s="298">
        <v>1</v>
      </c>
      <c r="Q731" s="298">
        <v>1</v>
      </c>
      <c r="R731" s="204"/>
      <c r="S731" s="298">
        <v>1</v>
      </c>
      <c r="T731" s="294"/>
      <c r="U731" s="204"/>
      <c r="V731" s="294"/>
      <c r="W731" s="298">
        <v>1</v>
      </c>
      <c r="X731" s="298">
        <v>1</v>
      </c>
      <c r="Y731" s="298">
        <v>1</v>
      </c>
      <c r="Z731" s="298">
        <v>1</v>
      </c>
      <c r="AA731" s="298">
        <v>1</v>
      </c>
      <c r="AB731" s="207"/>
      <c r="AC731" s="298">
        <v>1</v>
      </c>
      <c r="AD731" s="298">
        <v>1</v>
      </c>
      <c r="AE731" s="298">
        <v>1</v>
      </c>
      <c r="AF731" s="298">
        <v>1</v>
      </c>
      <c r="AG731" s="294">
        <v>1</v>
      </c>
      <c r="AH731" s="294">
        <v>1</v>
      </c>
      <c r="AI731" s="298"/>
      <c r="AJ731" s="294">
        <v>1</v>
      </c>
      <c r="AK731" s="294">
        <v>1</v>
      </c>
      <c r="AL731" s="294">
        <v>1</v>
      </c>
      <c r="AM731" s="294">
        <v>1</v>
      </c>
      <c r="AN731" s="294">
        <v>1</v>
      </c>
      <c r="AO731" s="294">
        <v>1</v>
      </c>
      <c r="AP731" s="207"/>
      <c r="AQ731" s="290"/>
      <c r="AR731" s="207"/>
      <c r="AS731" s="294">
        <v>1</v>
      </c>
      <c r="AT731" s="294">
        <v>1</v>
      </c>
      <c r="AU731" s="294">
        <v>1</v>
      </c>
      <c r="AV731" s="298"/>
      <c r="AW731" s="294">
        <v>1</v>
      </c>
      <c r="AX731" s="294">
        <v>1</v>
      </c>
      <c r="AY731" s="294">
        <v>1</v>
      </c>
      <c r="AZ731" s="290"/>
      <c r="BA731" s="294">
        <v>1</v>
      </c>
      <c r="BB731" s="294">
        <v>1</v>
      </c>
      <c r="BC731" s="294">
        <v>1</v>
      </c>
      <c r="BD731" s="294">
        <v>1</v>
      </c>
      <c r="BE731" s="298"/>
      <c r="BF731" s="294">
        <v>1</v>
      </c>
      <c r="BG731" s="294">
        <v>1</v>
      </c>
      <c r="BH731" s="294">
        <v>1</v>
      </c>
      <c r="BI731" s="294">
        <v>1</v>
      </c>
      <c r="BJ731" s="294">
        <v>1</v>
      </c>
      <c r="BK731" s="294">
        <v>1</v>
      </c>
      <c r="BL731" s="294">
        <v>1</v>
      </c>
      <c r="BN731" s="293"/>
      <c r="BO731" s="293"/>
      <c r="BP731" s="161"/>
      <c r="BQ731" s="161"/>
      <c r="BR731" s="293"/>
      <c r="BS731" s="161"/>
      <c r="BU731" s="161"/>
      <c r="BV731" s="293"/>
      <c r="BW731" s="161"/>
      <c r="BX731" s="161"/>
      <c r="BY731" s="161"/>
      <c r="BZ731" s="293"/>
      <c r="CA731" s="293"/>
      <c r="CB731" s="293"/>
      <c r="CC731" s="293"/>
      <c r="CD731" s="293"/>
      <c r="CE731" s="161"/>
      <c r="CG731" s="161"/>
      <c r="CH731" s="161"/>
      <c r="CI731" s="297"/>
      <c r="CJ731" s="293"/>
      <c r="CK731" s="291"/>
      <c r="CL731" s="161"/>
      <c r="CQ731" s="161"/>
      <c r="CR731" s="161"/>
      <c r="CS731" s="297"/>
    </row>
    <row r="732" spans="1:97">
      <c r="A732" s="308"/>
      <c r="B732" s="207"/>
      <c r="C732" s="308"/>
      <c r="D732" s="298">
        <v>1</v>
      </c>
      <c r="E732" s="298">
        <v>1</v>
      </c>
      <c r="F732" s="298">
        <v>1</v>
      </c>
      <c r="G732" s="207"/>
      <c r="H732" s="298">
        <v>1</v>
      </c>
      <c r="I732" s="298">
        <v>1</v>
      </c>
      <c r="J732" s="298">
        <v>1</v>
      </c>
      <c r="K732" s="298">
        <v>1</v>
      </c>
      <c r="L732" s="298">
        <v>1</v>
      </c>
      <c r="M732" s="308"/>
      <c r="N732" s="298">
        <v>1</v>
      </c>
      <c r="O732" s="298">
        <v>1</v>
      </c>
      <c r="P732" s="298">
        <v>1</v>
      </c>
      <c r="Q732" s="298">
        <v>1</v>
      </c>
      <c r="R732" s="204"/>
      <c r="S732" s="298">
        <v>1</v>
      </c>
      <c r="T732" s="298">
        <v>1</v>
      </c>
      <c r="U732" s="294"/>
      <c r="V732" s="298">
        <v>1</v>
      </c>
      <c r="W732" s="298">
        <v>1</v>
      </c>
      <c r="X732" s="298">
        <v>1</v>
      </c>
      <c r="Y732" s="298">
        <v>1</v>
      </c>
      <c r="Z732" s="298">
        <v>1</v>
      </c>
      <c r="AA732" s="298">
        <v>1</v>
      </c>
      <c r="AB732" s="204"/>
      <c r="AC732" s="207"/>
      <c r="AD732" s="298">
        <v>1</v>
      </c>
      <c r="AE732" s="298">
        <v>1</v>
      </c>
      <c r="AF732" s="298">
        <v>1</v>
      </c>
      <c r="AG732" s="294">
        <v>1</v>
      </c>
      <c r="AH732" s="294">
        <v>1</v>
      </c>
      <c r="AI732" s="207"/>
      <c r="AJ732" s="294">
        <v>1</v>
      </c>
      <c r="AK732" s="294">
        <v>1</v>
      </c>
      <c r="AL732" s="294">
        <v>1</v>
      </c>
      <c r="AM732" s="294">
        <v>1</v>
      </c>
      <c r="AN732" s="294">
        <v>1</v>
      </c>
      <c r="AO732" s="294">
        <v>1</v>
      </c>
      <c r="AP732" s="290"/>
      <c r="AQ732" s="207"/>
      <c r="AR732" s="290"/>
      <c r="AS732" s="294">
        <v>1</v>
      </c>
      <c r="AT732" s="294">
        <v>1</v>
      </c>
      <c r="AU732" s="294">
        <v>1</v>
      </c>
      <c r="AV732" s="207"/>
      <c r="AW732" s="294">
        <v>1</v>
      </c>
      <c r="AX732" s="294">
        <v>1</v>
      </c>
      <c r="AY732" s="294">
        <v>1</v>
      </c>
      <c r="AZ732" s="290"/>
      <c r="BA732" s="294">
        <v>1</v>
      </c>
      <c r="BB732" s="294">
        <v>1</v>
      </c>
      <c r="BC732" s="294">
        <v>1</v>
      </c>
      <c r="BD732" s="294">
        <v>1</v>
      </c>
      <c r="BE732" s="207"/>
      <c r="BF732" s="294">
        <v>1</v>
      </c>
      <c r="BG732" s="294">
        <v>1</v>
      </c>
      <c r="BH732" s="294">
        <v>1</v>
      </c>
      <c r="BI732" s="294">
        <v>1</v>
      </c>
      <c r="BJ732" s="290"/>
      <c r="BK732" s="294">
        <v>1</v>
      </c>
      <c r="BL732" s="294">
        <v>1</v>
      </c>
      <c r="BN732" s="293"/>
      <c r="BO732" s="161"/>
      <c r="BP732" s="293"/>
      <c r="BQ732" s="293"/>
      <c r="BR732" s="293"/>
      <c r="BS732" s="161"/>
      <c r="BV732" s="161"/>
      <c r="CA732" s="161"/>
      <c r="CB732" s="161"/>
      <c r="CC732" s="161"/>
      <c r="CD732" s="161"/>
      <c r="CE732" s="293"/>
      <c r="CF732" s="161"/>
      <c r="CH732" s="161"/>
      <c r="CI732" s="297"/>
      <c r="CJ732" s="293"/>
      <c r="CK732" s="291"/>
      <c r="CL732" s="161"/>
      <c r="CO732" s="161"/>
      <c r="CP732" s="161"/>
      <c r="CR732" s="161"/>
      <c r="CS732" s="297"/>
    </row>
    <row r="733" spans="1:97">
      <c r="A733" s="308"/>
      <c r="B733" s="298">
        <v>1</v>
      </c>
      <c r="C733" s="308"/>
      <c r="D733" s="298">
        <v>1</v>
      </c>
      <c r="E733" s="298">
        <v>1</v>
      </c>
      <c r="F733" s="298">
        <v>1</v>
      </c>
      <c r="G733" s="207"/>
      <c r="H733" s="298">
        <v>1</v>
      </c>
      <c r="I733" s="298">
        <v>1</v>
      </c>
      <c r="J733" s="294"/>
      <c r="K733" s="298">
        <v>1</v>
      </c>
      <c r="L733" s="298">
        <v>1</v>
      </c>
      <c r="M733" s="204"/>
      <c r="N733" s="298">
        <v>1</v>
      </c>
      <c r="O733" s="204"/>
      <c r="P733" s="298">
        <v>1</v>
      </c>
      <c r="Q733" s="298">
        <v>1</v>
      </c>
      <c r="R733" s="204"/>
      <c r="S733" s="298">
        <v>1</v>
      </c>
      <c r="T733" s="298">
        <v>1</v>
      </c>
      <c r="U733" s="298">
        <v>1</v>
      </c>
      <c r="V733" s="298">
        <v>1</v>
      </c>
      <c r="W733" s="298">
        <v>1</v>
      </c>
      <c r="X733" s="298">
        <v>1</v>
      </c>
      <c r="Y733" s="298">
        <v>1</v>
      </c>
      <c r="Z733" s="298">
        <v>1</v>
      </c>
      <c r="AA733" s="298">
        <v>1</v>
      </c>
      <c r="AB733" s="207"/>
      <c r="AC733" s="204"/>
      <c r="AD733" s="298">
        <v>1</v>
      </c>
      <c r="AE733" s="298">
        <v>1</v>
      </c>
      <c r="AF733" s="298">
        <v>1</v>
      </c>
      <c r="AG733" s="294">
        <v>1</v>
      </c>
      <c r="AH733" s="294">
        <v>1</v>
      </c>
      <c r="AI733" s="207"/>
      <c r="AJ733" s="298"/>
      <c r="AK733" s="294">
        <v>1</v>
      </c>
      <c r="AL733" s="294">
        <v>1</v>
      </c>
      <c r="AM733" s="207"/>
      <c r="AN733" s="294">
        <v>1</v>
      </c>
      <c r="AO733" s="294">
        <v>1</v>
      </c>
      <c r="AP733" s="294">
        <v>1</v>
      </c>
      <c r="AQ733" s="290"/>
      <c r="AR733" s="294">
        <v>1</v>
      </c>
      <c r="AS733" s="294">
        <v>1</v>
      </c>
      <c r="AT733" s="294">
        <v>1</v>
      </c>
      <c r="AU733" s="294">
        <v>1</v>
      </c>
      <c r="AV733" s="207"/>
      <c r="AW733" s="298"/>
      <c r="AX733" s="294">
        <v>1</v>
      </c>
      <c r="AY733" s="294">
        <v>1</v>
      </c>
      <c r="AZ733" s="298"/>
      <c r="BA733" s="294">
        <v>1</v>
      </c>
      <c r="BB733" s="294">
        <v>1</v>
      </c>
      <c r="BC733" s="294">
        <v>1</v>
      </c>
      <c r="BD733" s="294">
        <v>1</v>
      </c>
      <c r="BE733" s="207"/>
      <c r="BF733" s="294">
        <v>1</v>
      </c>
      <c r="BG733" s="294">
        <v>1</v>
      </c>
      <c r="BH733" s="294">
        <v>1</v>
      </c>
      <c r="BI733" s="294">
        <v>1</v>
      </c>
      <c r="BJ733" s="290"/>
      <c r="BK733" s="294">
        <v>1</v>
      </c>
      <c r="BL733" s="294">
        <v>1</v>
      </c>
      <c r="BN733" s="297"/>
      <c r="BO733" s="161"/>
      <c r="BP733" s="293"/>
      <c r="BQ733" s="293"/>
      <c r="BR733" s="291"/>
      <c r="BS733" s="161"/>
      <c r="CD733" s="161"/>
      <c r="CE733" s="293"/>
      <c r="CF733" s="161"/>
      <c r="CH733" s="161"/>
      <c r="CI733" s="293"/>
      <c r="CJ733" s="293"/>
      <c r="CK733" s="161"/>
      <c r="CN733" s="161"/>
      <c r="CO733" s="293"/>
      <c r="CP733" s="293"/>
      <c r="CQ733" s="161"/>
      <c r="CS733" s="161"/>
    </row>
    <row r="734" spans="1:97">
      <c r="A734" s="294"/>
      <c r="B734" s="308"/>
      <c r="C734" s="294"/>
      <c r="D734" s="298">
        <v>1</v>
      </c>
      <c r="E734" s="298">
        <v>1</v>
      </c>
      <c r="F734" s="298">
        <v>1</v>
      </c>
      <c r="G734" s="207"/>
      <c r="H734" s="298">
        <v>1</v>
      </c>
      <c r="I734" s="298">
        <v>1</v>
      </c>
      <c r="J734" s="294"/>
      <c r="K734" s="298">
        <v>1</v>
      </c>
      <c r="L734" s="298">
        <v>1</v>
      </c>
      <c r="M734" s="294"/>
      <c r="N734" s="204"/>
      <c r="O734" s="294"/>
      <c r="P734" s="298">
        <v>1</v>
      </c>
      <c r="Q734" s="298">
        <v>1</v>
      </c>
      <c r="R734" s="207"/>
      <c r="S734" s="298">
        <v>1</v>
      </c>
      <c r="T734" s="298">
        <v>1</v>
      </c>
      <c r="U734" s="298">
        <v>1</v>
      </c>
      <c r="V734" s="298">
        <v>1</v>
      </c>
      <c r="W734" s="207"/>
      <c r="X734" s="298">
        <v>1</v>
      </c>
      <c r="Y734" s="298">
        <v>1</v>
      </c>
      <c r="Z734" s="298">
        <v>1</v>
      </c>
      <c r="AA734" s="298">
        <v>1</v>
      </c>
      <c r="AB734" s="298">
        <v>1</v>
      </c>
      <c r="AC734" s="204"/>
      <c r="AD734" s="298">
        <v>1</v>
      </c>
      <c r="AE734" s="298">
        <v>1</v>
      </c>
      <c r="AF734" s="298">
        <v>1</v>
      </c>
      <c r="AG734" s="294">
        <v>1</v>
      </c>
      <c r="AH734" s="298"/>
      <c r="AI734" s="294">
        <v>1</v>
      </c>
      <c r="AJ734" s="298"/>
      <c r="AK734" s="294">
        <v>1</v>
      </c>
      <c r="AL734" s="294">
        <v>1</v>
      </c>
      <c r="AM734" s="207"/>
      <c r="AN734" s="294">
        <v>1</v>
      </c>
      <c r="AO734" s="294">
        <v>1</v>
      </c>
      <c r="AP734" s="294">
        <v>1</v>
      </c>
      <c r="AQ734" s="294">
        <v>1</v>
      </c>
      <c r="AR734" s="294">
        <v>1</v>
      </c>
      <c r="AS734" s="294">
        <v>1</v>
      </c>
      <c r="AT734" s="294">
        <v>1</v>
      </c>
      <c r="AU734" s="294">
        <v>1</v>
      </c>
      <c r="AV734" s="207"/>
      <c r="AW734" s="298"/>
      <c r="AX734" s="294">
        <v>1</v>
      </c>
      <c r="AY734" s="294">
        <v>1</v>
      </c>
      <c r="AZ734" s="298"/>
      <c r="BA734" s="294">
        <v>1</v>
      </c>
      <c r="BB734" s="294">
        <v>1</v>
      </c>
      <c r="BC734" s="294">
        <v>1</v>
      </c>
      <c r="BD734" s="294">
        <v>1</v>
      </c>
      <c r="BE734" s="207"/>
      <c r="BF734" s="294">
        <v>1</v>
      </c>
      <c r="BG734" s="294">
        <v>1</v>
      </c>
      <c r="BH734" s="294">
        <v>1</v>
      </c>
      <c r="BI734" s="294">
        <v>1</v>
      </c>
      <c r="BJ734" s="298"/>
      <c r="BK734" s="294">
        <v>1</v>
      </c>
      <c r="BL734" s="294">
        <v>1</v>
      </c>
      <c r="BN734" s="161"/>
      <c r="BO734" s="293"/>
      <c r="BP734" s="293"/>
      <c r="BQ734" s="291"/>
      <c r="BR734" s="161"/>
      <c r="BU734" s="161"/>
      <c r="BV734" s="161"/>
      <c r="BW734" s="161"/>
      <c r="BZ734" s="161"/>
      <c r="CA734" s="161"/>
      <c r="CD734" s="161"/>
      <c r="CE734" s="297"/>
      <c r="CF734" s="293"/>
      <c r="CG734" s="161"/>
      <c r="CI734" s="161"/>
      <c r="CJ734" s="161"/>
      <c r="CM734" s="161"/>
      <c r="CN734" s="293"/>
      <c r="CO734" s="297"/>
      <c r="CP734" s="297"/>
      <c r="CQ734" s="161"/>
    </row>
    <row r="735" spans="1:97">
      <c r="A735" s="298">
        <v>1</v>
      </c>
      <c r="B735" s="294"/>
      <c r="C735" s="298">
        <v>1</v>
      </c>
      <c r="D735" s="298">
        <v>1</v>
      </c>
      <c r="E735" s="298">
        <v>1</v>
      </c>
      <c r="F735" s="298">
        <v>1</v>
      </c>
      <c r="G735" s="298">
        <v>1</v>
      </c>
      <c r="H735" s="298">
        <v>1</v>
      </c>
      <c r="I735" s="298">
        <v>1</v>
      </c>
      <c r="J735" s="294"/>
      <c r="K735" s="298">
        <v>1</v>
      </c>
      <c r="L735" s="298">
        <v>1</v>
      </c>
      <c r="M735" s="298">
        <v>1</v>
      </c>
      <c r="N735" s="294"/>
      <c r="O735" s="298">
        <v>1</v>
      </c>
      <c r="P735" s="207"/>
      <c r="Q735" s="298">
        <v>1</v>
      </c>
      <c r="R735" s="207"/>
      <c r="S735" s="298">
        <v>1</v>
      </c>
      <c r="T735" s="298">
        <v>1</v>
      </c>
      <c r="U735" s="298">
        <v>1</v>
      </c>
      <c r="V735" s="298">
        <v>1</v>
      </c>
      <c r="W735" s="207"/>
      <c r="X735" s="298">
        <v>1</v>
      </c>
      <c r="Y735" s="294"/>
      <c r="Z735" s="298">
        <v>1</v>
      </c>
      <c r="AA735" s="207"/>
      <c r="AB735" s="298">
        <v>1</v>
      </c>
      <c r="AC735" s="207"/>
      <c r="AD735" s="298">
        <v>1</v>
      </c>
      <c r="AE735" s="298">
        <v>1</v>
      </c>
      <c r="AF735" s="298">
        <v>1</v>
      </c>
      <c r="AG735" s="294">
        <v>1</v>
      </c>
      <c r="AH735" s="294">
        <v>1</v>
      </c>
      <c r="AI735" s="298"/>
      <c r="AJ735" s="290"/>
      <c r="AK735" s="294">
        <v>1</v>
      </c>
      <c r="AL735" s="294">
        <v>1</v>
      </c>
      <c r="AM735" s="207"/>
      <c r="AN735" s="294">
        <v>1</v>
      </c>
      <c r="AO735" s="294">
        <v>1</v>
      </c>
      <c r="AP735" s="294">
        <v>1</v>
      </c>
      <c r="AQ735" s="294">
        <v>1</v>
      </c>
      <c r="AR735" s="294">
        <v>1</v>
      </c>
      <c r="AS735" s="294">
        <v>1</v>
      </c>
      <c r="AT735" s="294">
        <v>1</v>
      </c>
      <c r="AU735" s="298"/>
      <c r="AV735" s="294">
        <v>1</v>
      </c>
      <c r="AW735" s="298"/>
      <c r="AX735" s="294">
        <v>1</v>
      </c>
      <c r="AY735" s="294">
        <v>1</v>
      </c>
      <c r="AZ735" s="298"/>
      <c r="BA735" s="294">
        <v>1</v>
      </c>
      <c r="BB735" s="294">
        <v>1</v>
      </c>
      <c r="BC735" s="294">
        <v>1</v>
      </c>
      <c r="BD735" s="294">
        <v>1</v>
      </c>
      <c r="BE735" s="298"/>
      <c r="BF735" s="207"/>
      <c r="BG735" s="294">
        <v>1</v>
      </c>
      <c r="BH735" s="294">
        <v>1</v>
      </c>
      <c r="BI735" s="294">
        <v>1</v>
      </c>
      <c r="BJ735" s="298"/>
      <c r="BK735" s="294">
        <v>1</v>
      </c>
      <c r="BL735" s="294">
        <v>1</v>
      </c>
      <c r="BO735" s="161"/>
      <c r="BP735" s="161"/>
      <c r="BQ735" s="161"/>
      <c r="BT735" s="161"/>
      <c r="BU735" s="297"/>
      <c r="BV735" s="297"/>
      <c r="BW735" s="297"/>
      <c r="BX735" s="161"/>
      <c r="BY735" s="161"/>
      <c r="BZ735" s="297"/>
      <c r="CA735" s="297"/>
      <c r="CB735" s="161"/>
      <c r="CD735" s="161"/>
      <c r="CE735" s="297"/>
      <c r="CF735" s="293"/>
      <c r="CG735" s="161"/>
      <c r="CL735" s="161"/>
      <c r="CM735" s="293"/>
      <c r="CN735" s="297"/>
      <c r="CO735" s="293"/>
      <c r="CP735" s="293"/>
      <c r="CQ735" s="293"/>
      <c r="CR735" s="161"/>
    </row>
    <row r="736" spans="1:97">
      <c r="A736" s="298">
        <v>1</v>
      </c>
      <c r="B736" s="298">
        <v>1</v>
      </c>
      <c r="C736" s="298">
        <v>1</v>
      </c>
      <c r="D736" s="298">
        <v>1</v>
      </c>
      <c r="E736" s="298">
        <v>1</v>
      </c>
      <c r="F736" s="298">
        <v>1</v>
      </c>
      <c r="G736" s="298">
        <v>1</v>
      </c>
      <c r="H736" s="298">
        <v>1</v>
      </c>
      <c r="I736" s="298">
        <v>1</v>
      </c>
      <c r="J736" s="294"/>
      <c r="K736" s="298">
        <v>1</v>
      </c>
      <c r="L736" s="298">
        <v>1</v>
      </c>
      <c r="M736" s="298">
        <v>1</v>
      </c>
      <c r="N736" s="298">
        <v>1</v>
      </c>
      <c r="O736" s="298">
        <v>1</v>
      </c>
      <c r="P736" s="207"/>
      <c r="Q736" s="298">
        <v>1</v>
      </c>
      <c r="R736" s="298">
        <v>1</v>
      </c>
      <c r="S736" s="298">
        <v>1</v>
      </c>
      <c r="T736" s="298">
        <v>1</v>
      </c>
      <c r="U736" s="298">
        <v>1</v>
      </c>
      <c r="V736" s="298">
        <v>1</v>
      </c>
      <c r="W736" s="207"/>
      <c r="X736" s="298">
        <v>1</v>
      </c>
      <c r="Y736" s="294"/>
      <c r="Z736" s="298">
        <v>1</v>
      </c>
      <c r="AA736" s="294"/>
      <c r="AB736" s="207"/>
      <c r="AC736" s="294"/>
      <c r="AD736" s="298">
        <v>1</v>
      </c>
      <c r="AE736" s="298">
        <v>1</v>
      </c>
      <c r="AF736" s="298">
        <v>1</v>
      </c>
      <c r="AG736" s="294">
        <v>1</v>
      </c>
      <c r="AH736" s="294">
        <v>1</v>
      </c>
      <c r="AI736" s="294">
        <v>1</v>
      </c>
      <c r="AJ736" s="294">
        <v>1</v>
      </c>
      <c r="AK736" s="294">
        <v>1</v>
      </c>
      <c r="AL736" s="294">
        <v>1</v>
      </c>
      <c r="AM736" s="294">
        <v>1</v>
      </c>
      <c r="AN736" s="294">
        <v>1</v>
      </c>
      <c r="AO736" s="294">
        <v>1</v>
      </c>
      <c r="AP736" s="294">
        <v>1</v>
      </c>
      <c r="AQ736" s="294">
        <v>1</v>
      </c>
      <c r="AR736" s="294">
        <v>1</v>
      </c>
      <c r="AS736" s="294">
        <v>1</v>
      </c>
      <c r="AT736" s="294">
        <v>1</v>
      </c>
      <c r="AU736" s="294">
        <v>1</v>
      </c>
      <c r="AV736" s="298"/>
      <c r="AW736" s="294">
        <v>1</v>
      </c>
      <c r="AX736" s="294">
        <v>1</v>
      </c>
      <c r="AY736" s="294">
        <v>1</v>
      </c>
      <c r="AZ736" s="294">
        <v>1</v>
      </c>
      <c r="BA736" s="294">
        <v>1</v>
      </c>
      <c r="BB736" s="294">
        <v>1</v>
      </c>
      <c r="BC736" s="294">
        <v>1</v>
      </c>
      <c r="BD736" s="207"/>
      <c r="BE736" s="294">
        <v>1</v>
      </c>
      <c r="BF736" s="207"/>
      <c r="BG736" s="294">
        <v>1</v>
      </c>
      <c r="BH736" s="294">
        <v>1</v>
      </c>
      <c r="BI736" s="294">
        <v>1</v>
      </c>
      <c r="BJ736" s="298"/>
      <c r="BK736" s="294">
        <v>1</v>
      </c>
      <c r="BL736" s="294">
        <v>1</v>
      </c>
      <c r="BS736" s="161"/>
      <c r="BT736" s="297"/>
      <c r="BU736" s="293"/>
      <c r="BV736" s="293"/>
      <c r="BW736" s="293"/>
      <c r="BX736" s="297"/>
      <c r="BY736" s="297"/>
      <c r="BZ736" s="293"/>
      <c r="CA736" s="293"/>
      <c r="CB736" s="161"/>
      <c r="CE736" s="161"/>
      <c r="CF736" s="161"/>
      <c r="CJ736" s="161"/>
      <c r="CK736" s="161"/>
      <c r="CL736" s="293"/>
      <c r="CM736" s="297"/>
      <c r="CN736" s="293"/>
      <c r="CO736" s="293"/>
      <c r="CP736" s="293"/>
      <c r="CQ736" s="291"/>
      <c r="CR736" s="161"/>
    </row>
    <row r="737" spans="1:100">
      <c r="A737" s="415"/>
      <c r="B737" s="415"/>
      <c r="C737" s="415"/>
      <c r="D737" s="415"/>
      <c r="E737" s="415"/>
      <c r="F737" s="321"/>
      <c r="G737" s="415"/>
      <c r="H737" s="321"/>
      <c r="I737" s="415"/>
      <c r="J737" s="321"/>
      <c r="K737" s="321"/>
      <c r="L737" s="321"/>
      <c r="M737" s="415"/>
      <c r="N737" s="415"/>
      <c r="O737" s="321"/>
      <c r="P737" s="321"/>
      <c r="Q737" s="321"/>
      <c r="R737" s="321"/>
      <c r="S737" s="415"/>
      <c r="T737" s="321"/>
      <c r="U737" s="415"/>
      <c r="V737" s="321"/>
      <c r="W737" s="321"/>
      <c r="X737" s="321"/>
      <c r="Y737" s="415"/>
      <c r="Z737" s="415"/>
      <c r="AA737" s="321"/>
      <c r="AB737" s="321"/>
      <c r="AC737" s="415"/>
      <c r="AD737" s="415"/>
      <c r="AE737" s="415"/>
      <c r="AF737" s="415"/>
      <c r="AG737" s="415"/>
      <c r="AH737" s="415"/>
      <c r="AI737" s="415"/>
      <c r="AJ737" s="415"/>
      <c r="AK737" s="415"/>
      <c r="AL737" s="321"/>
      <c r="AM737" s="415"/>
      <c r="AN737" s="321"/>
      <c r="AO737" s="415"/>
      <c r="AP737" s="321"/>
      <c r="AQ737" s="321"/>
      <c r="AR737" s="321"/>
      <c r="AS737" s="415"/>
      <c r="AT737" s="415"/>
      <c r="AU737" s="321"/>
      <c r="AV737" s="321"/>
      <c r="AW737" s="321"/>
      <c r="AX737" s="321"/>
      <c r="AY737" s="415"/>
      <c r="AZ737" s="321"/>
      <c r="BA737" s="415"/>
      <c r="BB737" s="321"/>
      <c r="BC737" s="321"/>
      <c r="BD737" s="321"/>
      <c r="BE737" s="415"/>
      <c r="BF737" s="415"/>
      <c r="BG737" s="321"/>
      <c r="BH737" s="321"/>
      <c r="BI737" s="415"/>
      <c r="BJ737" s="415"/>
      <c r="BK737" s="415"/>
      <c r="BL737" s="415"/>
      <c r="BM737" s="201">
        <v>24</v>
      </c>
      <c r="BN737" s="415"/>
      <c r="BO737" s="415"/>
      <c r="BP737" s="415"/>
      <c r="BQ737" s="415"/>
      <c r="BR737" s="415"/>
      <c r="BS737" s="321"/>
      <c r="BT737" s="415"/>
      <c r="BU737" s="321"/>
      <c r="BV737" s="415"/>
      <c r="BW737" s="321"/>
      <c r="BX737" s="321"/>
      <c r="BY737" s="321"/>
      <c r="BZ737" s="415"/>
      <c r="CA737" s="415"/>
      <c r="CB737" s="321"/>
      <c r="CC737" s="321"/>
      <c r="CD737" s="321"/>
      <c r="CE737" s="321"/>
      <c r="CF737" s="415"/>
      <c r="CG737" s="321"/>
      <c r="CH737" s="415"/>
      <c r="CI737" s="321"/>
      <c r="CJ737" s="321"/>
      <c r="CK737" s="321"/>
      <c r="CL737" s="415"/>
      <c r="CM737" s="415"/>
      <c r="CN737" s="321"/>
      <c r="CO737" s="321"/>
      <c r="CP737" s="415"/>
      <c r="CQ737" s="415"/>
      <c r="CR737" s="415"/>
      <c r="CS737" s="415"/>
    </row>
    <row r="738" spans="1:100">
      <c r="A738" s="415"/>
      <c r="B738" s="321"/>
      <c r="C738" s="415"/>
      <c r="D738" s="321"/>
      <c r="E738" s="321"/>
      <c r="F738" s="321"/>
      <c r="G738" s="415"/>
      <c r="H738" s="321"/>
      <c r="I738" s="409"/>
      <c r="J738" s="321"/>
      <c r="K738" s="321"/>
      <c r="L738" s="321"/>
      <c r="M738" s="415"/>
      <c r="N738" s="415"/>
      <c r="O738" s="321"/>
      <c r="P738" s="321"/>
      <c r="Q738" s="321"/>
      <c r="R738" s="321"/>
      <c r="S738" s="415"/>
      <c r="T738" s="321"/>
      <c r="U738" s="415"/>
      <c r="V738" s="321"/>
      <c r="W738" s="415"/>
      <c r="X738" s="321"/>
      <c r="Y738" s="415"/>
      <c r="Z738" s="321"/>
      <c r="AA738" s="321"/>
      <c r="AB738" s="321"/>
      <c r="AC738" s="321"/>
      <c r="AD738" s="415"/>
      <c r="AE738" s="415"/>
      <c r="AF738" s="415"/>
      <c r="AG738" s="415"/>
      <c r="AH738" s="415"/>
      <c r="AI738" s="415"/>
      <c r="AJ738" s="321"/>
      <c r="AK738" s="321"/>
      <c r="AL738" s="321"/>
      <c r="AM738" s="415"/>
      <c r="AN738" s="321"/>
      <c r="AO738" s="415"/>
      <c r="AP738" s="321"/>
      <c r="AQ738" s="321"/>
      <c r="AR738" s="321"/>
      <c r="AS738" s="415"/>
      <c r="AT738" s="415"/>
      <c r="AU738" s="321"/>
      <c r="AV738" s="321"/>
      <c r="AW738" s="321"/>
      <c r="AX738" s="321"/>
      <c r="AY738" s="415"/>
      <c r="AZ738" s="321"/>
      <c r="BA738" s="415"/>
      <c r="BB738" s="321"/>
      <c r="BC738" s="415"/>
      <c r="BD738" s="321"/>
      <c r="BE738" s="415"/>
      <c r="BF738" s="321"/>
      <c r="BG738" s="321"/>
      <c r="BH738" s="321"/>
      <c r="BI738" s="321"/>
      <c r="BJ738" s="415"/>
      <c r="BK738" s="415"/>
      <c r="BL738" s="415"/>
      <c r="BM738" s="291"/>
      <c r="BN738" s="415"/>
      <c r="BO738" s="415"/>
      <c r="BP738" s="415"/>
      <c r="BQ738" s="321"/>
      <c r="BR738" s="321"/>
      <c r="BS738" s="321"/>
      <c r="BT738" s="415"/>
      <c r="BU738" s="321"/>
      <c r="BV738" s="409"/>
      <c r="BW738" s="321"/>
      <c r="BX738" s="321"/>
      <c r="BY738" s="321"/>
      <c r="BZ738" s="415"/>
      <c r="CA738" s="415"/>
      <c r="CB738" s="321"/>
      <c r="CC738" s="321"/>
      <c r="CD738" s="321"/>
      <c r="CE738" s="321"/>
      <c r="CF738" s="415"/>
      <c r="CG738" s="321"/>
      <c r="CH738" s="415"/>
      <c r="CI738" s="321"/>
      <c r="CJ738" s="415"/>
      <c r="CK738" s="321"/>
      <c r="CL738" s="415"/>
      <c r="CM738" s="321"/>
      <c r="CN738" s="321"/>
      <c r="CO738" s="321"/>
      <c r="CP738" s="321"/>
      <c r="CQ738" s="415"/>
      <c r="CR738" s="415"/>
      <c r="CS738" s="415"/>
    </row>
    <row r="739" spans="1:100">
      <c r="A739" s="415"/>
      <c r="B739" s="415"/>
      <c r="C739" s="321"/>
      <c r="D739" s="321"/>
      <c r="E739" s="415"/>
      <c r="F739" s="321"/>
      <c r="G739" s="415"/>
      <c r="H739" s="321"/>
      <c r="I739" s="409"/>
      <c r="J739" s="321"/>
      <c r="K739" s="321"/>
      <c r="L739" s="321"/>
      <c r="M739" s="415"/>
      <c r="N739" s="415"/>
      <c r="O739" s="321"/>
      <c r="P739" s="321"/>
      <c r="Q739" s="409"/>
      <c r="R739" s="321"/>
      <c r="S739" s="415"/>
      <c r="T739" s="321"/>
      <c r="U739" s="409"/>
      <c r="V739" s="321"/>
      <c r="W739" s="321"/>
      <c r="X739" s="321"/>
      <c r="Y739" s="415"/>
      <c r="Z739" s="321"/>
      <c r="AA739" s="321"/>
      <c r="AB739" s="415"/>
      <c r="AC739" s="321"/>
      <c r="AD739" s="321"/>
      <c r="AE739" s="415"/>
      <c r="AF739" s="415"/>
      <c r="AG739" s="415"/>
      <c r="AH739" s="415"/>
      <c r="AI739" s="321"/>
      <c r="AJ739" s="321"/>
      <c r="AK739" s="415"/>
      <c r="AL739" s="321"/>
      <c r="AM739" s="415"/>
      <c r="AN739" s="321"/>
      <c r="AO739" s="409"/>
      <c r="AP739" s="321"/>
      <c r="AQ739" s="321"/>
      <c r="AR739" s="321"/>
      <c r="AS739" s="415"/>
      <c r="AT739" s="409"/>
      <c r="AU739" s="321"/>
      <c r="AV739" s="321"/>
      <c r="AW739" s="415"/>
      <c r="AX739" s="321"/>
      <c r="AY739" s="415"/>
      <c r="AZ739" s="321"/>
      <c r="BA739" s="415"/>
      <c r="BB739" s="321"/>
      <c r="BC739" s="321"/>
      <c r="BD739" s="321"/>
      <c r="BE739" s="415"/>
      <c r="BF739" s="321"/>
      <c r="BG739" s="321"/>
      <c r="BH739" s="415"/>
      <c r="BI739" s="321"/>
      <c r="BJ739" s="321"/>
      <c r="BK739" s="415"/>
      <c r="BL739" s="415"/>
      <c r="BM739" s="177"/>
      <c r="BN739" s="415"/>
      <c r="BO739" s="415"/>
      <c r="BP739" s="321"/>
      <c r="BQ739" s="321"/>
      <c r="BR739" s="415"/>
      <c r="BS739" s="321"/>
      <c r="BT739" s="415"/>
      <c r="BU739" s="321"/>
      <c r="BV739" s="409"/>
      <c r="BW739" s="321"/>
      <c r="BX739" s="321"/>
      <c r="BY739" s="321"/>
      <c r="BZ739" s="415"/>
      <c r="CA739" s="409"/>
      <c r="CB739" s="321"/>
      <c r="CC739" s="321"/>
      <c r="CD739" s="409"/>
      <c r="CE739" s="321"/>
      <c r="CF739" s="415"/>
      <c r="CG739" s="321"/>
      <c r="CH739" s="409"/>
      <c r="CI739" s="321"/>
      <c r="CJ739" s="321"/>
      <c r="CK739" s="321"/>
      <c r="CL739" s="415"/>
      <c r="CM739" s="321"/>
      <c r="CN739" s="321"/>
      <c r="CO739" s="415"/>
      <c r="CP739" s="321"/>
      <c r="CQ739" s="321"/>
      <c r="CR739" s="415"/>
      <c r="CS739" s="415"/>
    </row>
    <row r="740" spans="1:100">
      <c r="A740" s="415"/>
      <c r="B740" s="321"/>
      <c r="C740" s="321"/>
      <c r="D740" s="415"/>
      <c r="E740" s="321"/>
      <c r="F740" s="321"/>
      <c r="G740" s="415"/>
      <c r="H740" s="321"/>
      <c r="I740" s="409"/>
      <c r="J740" s="321"/>
      <c r="K740" s="321"/>
      <c r="L740" s="321"/>
      <c r="M740" s="415"/>
      <c r="N740" s="415"/>
      <c r="O740" s="321"/>
      <c r="P740" s="321"/>
      <c r="Q740" s="409"/>
      <c r="R740" s="321"/>
      <c r="S740" s="415"/>
      <c r="T740" s="321"/>
      <c r="U740" s="321"/>
      <c r="V740" s="321"/>
      <c r="W740" s="321"/>
      <c r="X740" s="321"/>
      <c r="Y740" s="415"/>
      <c r="Z740" s="321"/>
      <c r="AA740" s="415"/>
      <c r="AB740" s="321"/>
      <c r="AC740" s="321"/>
      <c r="AD740" s="321"/>
      <c r="AE740" s="321"/>
      <c r="AF740" s="415"/>
      <c r="AG740" s="415"/>
      <c r="AH740" s="321"/>
      <c r="AI740" s="321"/>
      <c r="AJ740" s="415"/>
      <c r="AK740" s="321"/>
      <c r="AL740" s="321"/>
      <c r="AM740" s="415"/>
      <c r="AN740" s="321"/>
      <c r="AO740" s="409"/>
      <c r="AP740" s="321"/>
      <c r="AQ740" s="321"/>
      <c r="AR740" s="321"/>
      <c r="AS740" s="415"/>
      <c r="AT740" s="409"/>
      <c r="AU740" s="321"/>
      <c r="AV740" s="321"/>
      <c r="AW740" s="415"/>
      <c r="AX740" s="321"/>
      <c r="AY740" s="415"/>
      <c r="AZ740" s="321"/>
      <c r="BA740" s="415"/>
      <c r="BB740" s="321"/>
      <c r="BC740" s="321"/>
      <c r="BD740" s="321"/>
      <c r="BE740" s="415"/>
      <c r="BF740" s="321"/>
      <c r="BG740" s="415"/>
      <c r="BH740" s="321"/>
      <c r="BI740" s="321"/>
      <c r="BJ740" s="321"/>
      <c r="BK740" s="321"/>
      <c r="BL740" s="415"/>
      <c r="BM740" s="177"/>
      <c r="BN740" s="415"/>
      <c r="BO740" s="321"/>
      <c r="BP740" s="321"/>
      <c r="BQ740" s="415"/>
      <c r="BR740" s="321"/>
      <c r="BS740" s="321"/>
      <c r="BT740" s="415"/>
      <c r="BU740" s="321"/>
      <c r="BV740" s="409"/>
      <c r="BW740" s="321"/>
      <c r="BX740" s="321"/>
      <c r="BY740" s="321"/>
      <c r="BZ740" s="415"/>
      <c r="CA740" s="409"/>
      <c r="CB740" s="321"/>
      <c r="CC740" s="321"/>
      <c r="CD740" s="409"/>
      <c r="CE740" s="321"/>
      <c r="CF740" s="409"/>
      <c r="CG740" s="321"/>
      <c r="CH740" s="321"/>
      <c r="CI740" s="321"/>
      <c r="CJ740" s="321"/>
      <c r="CK740" s="321"/>
      <c r="CL740" s="415"/>
      <c r="CM740" s="321"/>
      <c r="CN740" s="415"/>
      <c r="CO740" s="321"/>
      <c r="CP740" s="321"/>
      <c r="CQ740" s="321"/>
      <c r="CR740" s="321"/>
      <c r="CS740" s="415"/>
    </row>
    <row r="741" spans="1:100">
      <c r="A741" s="415"/>
      <c r="B741" s="321"/>
      <c r="C741" s="321"/>
      <c r="D741" s="321"/>
      <c r="E741" s="321"/>
      <c r="F741" s="321"/>
      <c r="G741" s="415"/>
      <c r="H741" s="321"/>
      <c r="I741" s="409"/>
      <c r="J741" s="321"/>
      <c r="K741" s="321"/>
      <c r="L741" s="321"/>
      <c r="M741" s="415"/>
      <c r="N741" s="415"/>
      <c r="O741" s="321"/>
      <c r="P741" s="321"/>
      <c r="Q741" s="409"/>
      <c r="R741" s="321"/>
      <c r="S741" s="415"/>
      <c r="T741" s="321"/>
      <c r="U741" s="321"/>
      <c r="V741" s="321"/>
      <c r="W741" s="321"/>
      <c r="X741" s="321"/>
      <c r="Y741" s="415"/>
      <c r="Z741" s="321"/>
      <c r="AA741" s="415"/>
      <c r="AB741" s="321"/>
      <c r="AC741" s="321"/>
      <c r="AD741" s="321"/>
      <c r="AE741" s="415"/>
      <c r="AF741" s="415"/>
      <c r="AG741" s="415"/>
      <c r="AH741" s="321"/>
      <c r="AI741" s="321"/>
      <c r="AJ741" s="321"/>
      <c r="AK741" s="321"/>
      <c r="AL741" s="321"/>
      <c r="AM741" s="415"/>
      <c r="AN741" s="321"/>
      <c r="AO741" s="409"/>
      <c r="AP741" s="321"/>
      <c r="AQ741" s="321"/>
      <c r="AR741" s="321"/>
      <c r="AS741" s="415"/>
      <c r="AT741" s="409"/>
      <c r="AU741" s="321"/>
      <c r="AV741" s="321"/>
      <c r="AW741" s="415"/>
      <c r="AX741" s="321"/>
      <c r="AY741" s="415"/>
      <c r="AZ741" s="321"/>
      <c r="BA741" s="321"/>
      <c r="BB741" s="321"/>
      <c r="BC741" s="321"/>
      <c r="BD741" s="321"/>
      <c r="BE741" s="415"/>
      <c r="BF741" s="321"/>
      <c r="BG741" s="415"/>
      <c r="BH741" s="321"/>
      <c r="BI741" s="321"/>
      <c r="BJ741" s="321"/>
      <c r="BK741" s="415"/>
      <c r="BL741" s="415"/>
      <c r="BM741" s="177"/>
      <c r="BN741" s="415"/>
      <c r="BO741" s="321"/>
      <c r="BP741" s="321"/>
      <c r="BQ741" s="321"/>
      <c r="BR741" s="321"/>
      <c r="BS741" s="321"/>
      <c r="BT741" s="415"/>
      <c r="BU741" s="321"/>
      <c r="BV741" s="409"/>
      <c r="BW741" s="321"/>
      <c r="BX741" s="321"/>
      <c r="BY741" s="321"/>
      <c r="BZ741" s="415"/>
      <c r="CA741" s="409"/>
      <c r="CB741" s="321"/>
      <c r="CC741" s="321"/>
      <c r="CD741" s="409"/>
      <c r="CE741" s="321"/>
      <c r="CF741" s="409"/>
      <c r="CG741" s="321"/>
      <c r="CH741" s="321"/>
      <c r="CI741" s="321"/>
      <c r="CJ741" s="321"/>
      <c r="CK741" s="321"/>
      <c r="CL741" s="415"/>
      <c r="CM741" s="321"/>
      <c r="CN741" s="415"/>
      <c r="CO741" s="321"/>
      <c r="CP741" s="321"/>
      <c r="CQ741" s="321"/>
      <c r="CR741" s="415"/>
      <c r="CS741" s="415"/>
    </row>
    <row r="742" spans="1:100">
      <c r="A742" s="415"/>
      <c r="B742" s="415"/>
      <c r="C742" s="321"/>
      <c r="D742" s="415"/>
      <c r="E742" s="321"/>
      <c r="F742" s="321"/>
      <c r="G742" s="409"/>
      <c r="H742" s="321"/>
      <c r="I742" s="409"/>
      <c r="J742" s="321"/>
      <c r="K742" s="321"/>
      <c r="L742" s="321"/>
      <c r="M742" s="415"/>
      <c r="N742" s="415"/>
      <c r="O742" s="321"/>
      <c r="P742" s="321"/>
      <c r="Q742" s="409"/>
      <c r="R742" s="321"/>
      <c r="S742" s="409"/>
      <c r="T742" s="321"/>
      <c r="U742" s="321"/>
      <c r="V742" s="415"/>
      <c r="W742" s="321"/>
      <c r="X742" s="321"/>
      <c r="Y742" s="409"/>
      <c r="Z742" s="321"/>
      <c r="AA742" s="409"/>
      <c r="AB742" s="321"/>
      <c r="AC742" s="321"/>
      <c r="AD742" s="321"/>
      <c r="AE742" s="321"/>
      <c r="AF742" s="415"/>
      <c r="AG742" s="415"/>
      <c r="AH742" s="415"/>
      <c r="AI742" s="321"/>
      <c r="AJ742" s="415"/>
      <c r="AK742" s="321"/>
      <c r="AL742" s="321"/>
      <c r="AM742" s="415"/>
      <c r="AN742" s="321"/>
      <c r="AO742" s="321"/>
      <c r="AP742" s="321"/>
      <c r="AQ742" s="415"/>
      <c r="AR742" s="321"/>
      <c r="AS742" s="415"/>
      <c r="AT742" s="321"/>
      <c r="AU742" s="415"/>
      <c r="AV742" s="321"/>
      <c r="AW742" s="415"/>
      <c r="AX742" s="321"/>
      <c r="AY742" s="415"/>
      <c r="AZ742" s="321"/>
      <c r="BA742" s="321"/>
      <c r="BB742" s="321"/>
      <c r="BC742" s="321"/>
      <c r="BD742" s="321"/>
      <c r="BE742" s="415"/>
      <c r="BF742" s="321"/>
      <c r="BG742" s="415"/>
      <c r="BH742" s="321"/>
      <c r="BI742" s="321"/>
      <c r="BJ742" s="321"/>
      <c r="BK742" s="321"/>
      <c r="BL742" s="415"/>
      <c r="BM742" s="177"/>
      <c r="BN742" s="415"/>
      <c r="BO742" s="415"/>
      <c r="BP742" s="321"/>
      <c r="BQ742" s="415"/>
      <c r="BR742" s="321"/>
      <c r="BS742" s="321"/>
      <c r="BT742" s="409"/>
      <c r="BU742" s="321"/>
      <c r="BV742" s="409"/>
      <c r="BW742" s="321"/>
      <c r="BX742" s="321"/>
      <c r="BY742" s="321"/>
      <c r="BZ742" s="415"/>
      <c r="CA742" s="409"/>
      <c r="CB742" s="321"/>
      <c r="CC742" s="321"/>
      <c r="CD742" s="409"/>
      <c r="CE742" s="321"/>
      <c r="CF742" s="409"/>
      <c r="CG742" s="321"/>
      <c r="CH742" s="321"/>
      <c r="CI742" s="415"/>
      <c r="CJ742" s="321"/>
      <c r="CK742" s="321"/>
      <c r="CL742" s="409"/>
      <c r="CM742" s="321"/>
      <c r="CN742" s="409"/>
      <c r="CO742" s="321"/>
      <c r="CP742" s="321"/>
      <c r="CQ742" s="321"/>
      <c r="CR742" s="321"/>
      <c r="CS742" s="415"/>
    </row>
    <row r="743" spans="1:100">
      <c r="A743" s="415"/>
      <c r="B743" s="321"/>
      <c r="C743" s="321"/>
      <c r="D743" s="415"/>
      <c r="E743" s="321"/>
      <c r="F743" s="321"/>
      <c r="G743" s="409"/>
      <c r="H743" s="321"/>
      <c r="I743" s="321"/>
      <c r="J743" s="321"/>
      <c r="K743" s="321"/>
      <c r="L743" s="321"/>
      <c r="M743" s="415"/>
      <c r="N743" s="415"/>
      <c r="O743" s="321"/>
      <c r="P743" s="321"/>
      <c r="Q743" s="409"/>
      <c r="R743" s="321"/>
      <c r="S743" s="409"/>
      <c r="T743" s="321"/>
      <c r="U743" s="321"/>
      <c r="V743" s="409"/>
      <c r="W743" s="321"/>
      <c r="X743" s="321"/>
      <c r="Y743" s="409"/>
      <c r="Z743" s="321"/>
      <c r="AA743" s="409"/>
      <c r="AB743" s="321"/>
      <c r="AC743" s="415"/>
      <c r="AD743" s="321"/>
      <c r="AE743" s="321"/>
      <c r="AF743" s="415"/>
      <c r="AG743" s="415"/>
      <c r="AH743" s="321"/>
      <c r="AI743" s="321"/>
      <c r="AJ743" s="415"/>
      <c r="AK743" s="321"/>
      <c r="AL743" s="321"/>
      <c r="AM743" s="415"/>
      <c r="AN743" s="321"/>
      <c r="AO743" s="321"/>
      <c r="AP743" s="321"/>
      <c r="AQ743" s="321"/>
      <c r="AR743" s="321"/>
      <c r="AS743" s="415"/>
      <c r="AT743" s="321"/>
      <c r="AU743" s="415"/>
      <c r="AV743" s="321"/>
      <c r="AW743" s="415"/>
      <c r="AX743" s="321"/>
      <c r="AY743" s="415"/>
      <c r="AZ743" s="321"/>
      <c r="BA743" s="321"/>
      <c r="BB743" s="321"/>
      <c r="BC743" s="321"/>
      <c r="BD743" s="321"/>
      <c r="BE743" s="415"/>
      <c r="BF743" s="321"/>
      <c r="BG743" s="409"/>
      <c r="BH743" s="321"/>
      <c r="BI743" s="415"/>
      <c r="BJ743" s="321"/>
      <c r="BK743" s="321"/>
      <c r="BL743" s="415"/>
      <c r="BM743" s="177"/>
      <c r="BN743" s="415"/>
      <c r="BO743" s="321"/>
      <c r="BP743" s="321"/>
      <c r="BQ743" s="409"/>
      <c r="BR743" s="321"/>
      <c r="BS743" s="321"/>
      <c r="BT743" s="409"/>
      <c r="BU743" s="321"/>
      <c r="BV743" s="321"/>
      <c r="BW743" s="321"/>
      <c r="BX743" s="321"/>
      <c r="BY743" s="415"/>
      <c r="BZ743" s="415"/>
      <c r="CA743" s="420"/>
      <c r="CB743" s="321"/>
      <c r="CC743" s="415"/>
      <c r="CD743" s="415"/>
      <c r="CE743" s="321"/>
      <c r="CF743" s="409"/>
      <c r="CG743" s="415"/>
      <c r="CH743" s="321"/>
      <c r="CI743" s="409"/>
      <c r="CJ743" s="321"/>
      <c r="CK743" s="321"/>
      <c r="CL743" s="409"/>
      <c r="CM743" s="321"/>
      <c r="CN743" s="409"/>
      <c r="CO743" s="321"/>
      <c r="CP743" s="415"/>
      <c r="CQ743" s="321"/>
      <c r="CR743" s="321"/>
      <c r="CS743" s="415"/>
    </row>
    <row r="744" spans="1:100">
      <c r="A744" s="415"/>
      <c r="B744" s="321"/>
      <c r="C744" s="321"/>
      <c r="D744" s="415"/>
      <c r="E744" s="321"/>
      <c r="F744" s="321"/>
      <c r="G744" s="415"/>
      <c r="H744" s="321"/>
      <c r="I744" s="321"/>
      <c r="J744" s="321"/>
      <c r="K744" s="415"/>
      <c r="L744" s="321"/>
      <c r="M744" s="415"/>
      <c r="N744" s="321"/>
      <c r="O744" s="415"/>
      <c r="P744" s="321"/>
      <c r="Q744" s="321"/>
      <c r="R744" s="321"/>
      <c r="S744" s="415"/>
      <c r="T744" s="321"/>
      <c r="U744" s="321"/>
      <c r="V744" s="321"/>
      <c r="W744" s="321"/>
      <c r="X744" s="321"/>
      <c r="Y744" s="415"/>
      <c r="Z744" s="321"/>
      <c r="AA744" s="409"/>
      <c r="AB744" s="321"/>
      <c r="AC744" s="321"/>
      <c r="AD744" s="321"/>
      <c r="AE744" s="321"/>
      <c r="AF744" s="415"/>
      <c r="AG744" s="415"/>
      <c r="AH744" s="321"/>
      <c r="AI744" s="321"/>
      <c r="AJ744" s="415"/>
      <c r="AK744" s="321"/>
      <c r="AL744" s="321"/>
      <c r="AM744" s="415"/>
      <c r="AN744" s="321"/>
      <c r="AO744" s="321"/>
      <c r="AP744" s="409"/>
      <c r="AQ744" s="321"/>
      <c r="AR744" s="321"/>
      <c r="AS744" s="415"/>
      <c r="AT744" s="321"/>
      <c r="AU744" s="415"/>
      <c r="AV744" s="321"/>
      <c r="AW744" s="321"/>
      <c r="AX744" s="321"/>
      <c r="AY744" s="415"/>
      <c r="AZ744" s="321"/>
      <c r="BA744" s="321"/>
      <c r="BB744" s="321"/>
      <c r="BC744" s="409"/>
      <c r="BD744" s="321"/>
      <c r="BE744" s="415"/>
      <c r="BF744" s="321"/>
      <c r="BG744" s="409"/>
      <c r="BH744" s="321"/>
      <c r="BI744" s="321"/>
      <c r="BJ744" s="321"/>
      <c r="BK744" s="321"/>
      <c r="BL744" s="415"/>
      <c r="BM744" s="177"/>
      <c r="BN744" s="415"/>
      <c r="BO744" s="321"/>
      <c r="BP744" s="321"/>
      <c r="BQ744" s="409"/>
      <c r="BR744" s="321"/>
      <c r="BS744" s="321"/>
      <c r="BT744" s="409"/>
      <c r="BU744" s="321"/>
      <c r="BV744" s="321"/>
      <c r="BW744" s="409"/>
      <c r="BX744" s="449"/>
      <c r="BY744" s="415"/>
      <c r="BZ744" s="449"/>
      <c r="CA744" s="449"/>
      <c r="CB744" s="449"/>
      <c r="CC744" s="415"/>
      <c r="CD744" s="449"/>
      <c r="CE744" s="449"/>
      <c r="CF744" s="449"/>
      <c r="CG744" s="415"/>
      <c r="CH744" s="449"/>
      <c r="CI744" s="409"/>
      <c r="CJ744" s="321"/>
      <c r="CK744" s="321"/>
      <c r="CL744" s="409"/>
      <c r="CM744" s="321"/>
      <c r="CN744" s="409"/>
      <c r="CO744" s="321"/>
      <c r="CP744" s="321"/>
      <c r="CQ744" s="321"/>
      <c r="CR744" s="321"/>
      <c r="CS744" s="415"/>
    </row>
    <row r="745" spans="1:100">
      <c r="A745" s="415"/>
      <c r="B745" s="321"/>
      <c r="C745" s="321"/>
      <c r="D745" s="415"/>
      <c r="E745" s="321"/>
      <c r="F745" s="321"/>
      <c r="G745" s="415"/>
      <c r="H745" s="321"/>
      <c r="I745" s="321"/>
      <c r="J745" s="321"/>
      <c r="K745" s="321"/>
      <c r="L745" s="321"/>
      <c r="M745" s="415"/>
      <c r="N745" s="321"/>
      <c r="O745" s="415"/>
      <c r="P745" s="321"/>
      <c r="Q745" s="321"/>
      <c r="R745" s="321"/>
      <c r="S745" s="415"/>
      <c r="T745" s="321"/>
      <c r="U745" s="321"/>
      <c r="V745" s="321"/>
      <c r="W745" s="321"/>
      <c r="X745" s="321"/>
      <c r="Y745" s="415"/>
      <c r="Z745" s="321"/>
      <c r="AA745" s="321"/>
      <c r="AB745" s="321"/>
      <c r="AC745" s="321"/>
      <c r="AD745" s="321"/>
      <c r="AE745" s="321"/>
      <c r="AF745" s="415"/>
      <c r="AG745" s="415"/>
      <c r="AH745" s="321"/>
      <c r="AI745" s="321"/>
      <c r="AJ745" s="409"/>
      <c r="AK745" s="321"/>
      <c r="AL745" s="321"/>
      <c r="AM745" s="415"/>
      <c r="AN745" s="321"/>
      <c r="AO745" s="321"/>
      <c r="AP745" s="321"/>
      <c r="AQ745" s="415"/>
      <c r="AR745" s="321"/>
      <c r="AS745" s="415"/>
      <c r="AT745" s="321"/>
      <c r="AU745" s="415"/>
      <c r="AV745" s="321"/>
      <c r="AW745" s="321"/>
      <c r="AX745" s="321"/>
      <c r="AY745" s="415"/>
      <c r="AZ745" s="321"/>
      <c r="BA745" s="321"/>
      <c r="BB745" s="321"/>
      <c r="BC745" s="321"/>
      <c r="BD745" s="321"/>
      <c r="BE745" s="415"/>
      <c r="BF745" s="321"/>
      <c r="BG745" s="321"/>
      <c r="BH745" s="321"/>
      <c r="BI745" s="321"/>
      <c r="BJ745" s="321"/>
      <c r="BK745" s="321"/>
      <c r="BL745" s="415"/>
      <c r="BM745" s="177"/>
      <c r="BN745" s="415"/>
      <c r="BO745" s="321"/>
      <c r="BP745" s="321"/>
      <c r="BQ745" s="409"/>
      <c r="BR745" s="321"/>
      <c r="BS745" s="321"/>
      <c r="BT745" s="409"/>
      <c r="BU745" s="321"/>
      <c r="BV745" s="321"/>
      <c r="BW745" s="449"/>
      <c r="BX745" s="456"/>
      <c r="BY745" s="415"/>
      <c r="BZ745" s="456"/>
      <c r="CA745" s="462"/>
      <c r="CB745" s="410"/>
      <c r="CC745" s="415"/>
      <c r="CD745" s="410"/>
      <c r="CE745" s="462"/>
      <c r="CF745" s="456"/>
      <c r="CG745" s="415"/>
      <c r="CH745" s="456"/>
      <c r="CI745" s="449"/>
      <c r="CJ745" s="420"/>
      <c r="CK745" s="321"/>
      <c r="CL745" s="409"/>
      <c r="CM745" s="321"/>
      <c r="CN745" s="321"/>
      <c r="CO745" s="321"/>
      <c r="CP745" s="321"/>
      <c r="CQ745" s="321"/>
      <c r="CR745" s="321"/>
      <c r="CS745" s="415"/>
    </row>
    <row r="746" spans="1:100">
      <c r="A746" s="415"/>
      <c r="B746" s="321"/>
      <c r="C746" s="321"/>
      <c r="D746" s="409"/>
      <c r="E746" s="321"/>
      <c r="F746" s="321"/>
      <c r="G746" s="415"/>
      <c r="H746" s="321"/>
      <c r="I746" s="321"/>
      <c r="J746" s="409"/>
      <c r="K746" s="321"/>
      <c r="L746" s="321"/>
      <c r="M746" s="415"/>
      <c r="N746" s="321"/>
      <c r="O746" s="415"/>
      <c r="P746" s="321"/>
      <c r="Q746" s="321"/>
      <c r="R746" s="321"/>
      <c r="S746" s="415"/>
      <c r="T746" s="321"/>
      <c r="U746" s="321"/>
      <c r="V746" s="321"/>
      <c r="W746" s="409"/>
      <c r="X746" s="321"/>
      <c r="Y746" s="415"/>
      <c r="Z746" s="321"/>
      <c r="AA746" s="321"/>
      <c r="AB746" s="321"/>
      <c r="AC746" s="321"/>
      <c r="AD746" s="321"/>
      <c r="AE746" s="321"/>
      <c r="AF746" s="415"/>
      <c r="AG746" s="415"/>
      <c r="AH746" s="321"/>
      <c r="AI746" s="321"/>
      <c r="AJ746" s="409"/>
      <c r="AK746" s="321"/>
      <c r="AL746" s="321"/>
      <c r="AM746" s="415"/>
      <c r="AN746" s="321"/>
      <c r="AO746" s="321"/>
      <c r="AP746" s="321"/>
      <c r="AQ746" s="321"/>
      <c r="AR746" s="321"/>
      <c r="AS746" s="415"/>
      <c r="AT746" s="321"/>
      <c r="AU746" s="415"/>
      <c r="AV746" s="321"/>
      <c r="AW746" s="321"/>
      <c r="AX746" s="321"/>
      <c r="AY746" s="415"/>
      <c r="AZ746" s="321"/>
      <c r="BA746" s="321"/>
      <c r="BB746" s="321"/>
      <c r="BC746" s="321"/>
      <c r="BD746" s="321"/>
      <c r="BE746" s="415"/>
      <c r="BF746" s="321"/>
      <c r="BG746" s="321"/>
      <c r="BH746" s="321"/>
      <c r="BI746" s="321"/>
      <c r="BJ746" s="321"/>
      <c r="BK746" s="321"/>
      <c r="BL746" s="415"/>
      <c r="BM746" s="177"/>
      <c r="BN746" s="415"/>
      <c r="BO746" s="321"/>
      <c r="BP746" s="321"/>
      <c r="BQ746" s="409"/>
      <c r="BR746" s="321"/>
      <c r="BS746" s="321"/>
      <c r="BT746" s="409"/>
      <c r="BU746" s="321"/>
      <c r="BV746" s="415"/>
      <c r="BW746" s="415"/>
      <c r="BX746" s="415"/>
      <c r="BY746" s="415"/>
      <c r="BZ746" s="415"/>
      <c r="CA746" s="415"/>
      <c r="CB746" s="415"/>
      <c r="CC746" s="415"/>
      <c r="CD746" s="415"/>
      <c r="CE746" s="415"/>
      <c r="CF746" s="415"/>
      <c r="CG746" s="415"/>
      <c r="CH746" s="415"/>
      <c r="CI746" s="415"/>
      <c r="CJ746" s="415"/>
      <c r="CK746" s="321"/>
      <c r="CL746" s="409"/>
      <c r="CM746" s="321"/>
      <c r="CN746" s="321"/>
      <c r="CO746" s="321"/>
      <c r="CP746" s="321"/>
      <c r="CQ746" s="321"/>
      <c r="CR746" s="321"/>
      <c r="CS746" s="415"/>
    </row>
    <row r="747" spans="1:100">
      <c r="A747" s="415"/>
      <c r="B747" s="321"/>
      <c r="C747" s="321"/>
      <c r="D747" s="409"/>
      <c r="E747" s="321"/>
      <c r="F747" s="321"/>
      <c r="G747" s="415"/>
      <c r="H747" s="321"/>
      <c r="I747" s="321"/>
      <c r="J747" s="409"/>
      <c r="K747" s="321"/>
      <c r="L747" s="321"/>
      <c r="M747" s="415"/>
      <c r="N747" s="321"/>
      <c r="O747" s="415"/>
      <c r="P747" s="321"/>
      <c r="Q747" s="321"/>
      <c r="R747" s="321"/>
      <c r="S747" s="415"/>
      <c r="T747" s="321"/>
      <c r="U747" s="321"/>
      <c r="V747" s="321"/>
      <c r="W747" s="409"/>
      <c r="X747" s="321"/>
      <c r="Y747" s="415"/>
      <c r="Z747" s="321"/>
      <c r="AA747" s="321"/>
      <c r="AB747" s="321"/>
      <c r="AC747" s="321"/>
      <c r="AD747" s="321"/>
      <c r="AE747" s="321"/>
      <c r="AF747" s="415"/>
      <c r="AG747" s="415"/>
      <c r="AH747" s="321"/>
      <c r="AI747" s="321"/>
      <c r="AJ747" s="409"/>
      <c r="AK747" s="321"/>
      <c r="AL747" s="321"/>
      <c r="AM747" s="415"/>
      <c r="AN747" s="321"/>
      <c r="AO747" s="321"/>
      <c r="AP747" s="415"/>
      <c r="AQ747" s="321"/>
      <c r="AR747" s="321"/>
      <c r="AS747" s="415"/>
      <c r="AT747" s="321"/>
      <c r="AU747" s="415"/>
      <c r="AV747" s="321"/>
      <c r="AW747" s="321"/>
      <c r="AX747" s="321"/>
      <c r="AY747" s="415"/>
      <c r="AZ747" s="321"/>
      <c r="BA747" s="321"/>
      <c r="BB747" s="321"/>
      <c r="BC747" s="415"/>
      <c r="BD747" s="321"/>
      <c r="BE747" s="415"/>
      <c r="BF747" s="321"/>
      <c r="BG747" s="321"/>
      <c r="BH747" s="321"/>
      <c r="BI747" s="321"/>
      <c r="BJ747" s="321"/>
      <c r="BK747" s="321"/>
      <c r="BL747" s="415"/>
      <c r="BM747" s="177"/>
      <c r="BN747" s="415"/>
      <c r="BO747" s="321"/>
      <c r="BP747" s="321"/>
      <c r="BQ747" s="409"/>
      <c r="BR747" s="321"/>
      <c r="BS747" s="321"/>
      <c r="BT747" s="409"/>
      <c r="BU747" s="321"/>
      <c r="BV747" s="409"/>
      <c r="BW747" s="409"/>
      <c r="BX747" s="409"/>
      <c r="BY747" s="415"/>
      <c r="BZ747" s="409"/>
      <c r="CA747" s="409"/>
      <c r="CB747" s="409"/>
      <c r="CC747" s="415"/>
      <c r="CD747" s="409"/>
      <c r="CE747" s="409"/>
      <c r="CF747" s="409"/>
      <c r="CG747" s="415"/>
      <c r="CH747" s="409"/>
      <c r="CI747" s="409"/>
      <c r="CJ747" s="409"/>
      <c r="CK747" s="321"/>
      <c r="CL747" s="409"/>
      <c r="CM747" s="321"/>
      <c r="CN747" s="321"/>
      <c r="CO747" s="321"/>
      <c r="CP747" s="321"/>
      <c r="CQ747" s="321"/>
      <c r="CR747" s="321"/>
      <c r="CS747" s="415"/>
    </row>
    <row r="748" spans="1:100">
      <c r="BM748" s="177"/>
      <c r="CT748">
        <v>11</v>
      </c>
      <c r="CU748">
        <v>11</v>
      </c>
      <c r="CV748">
        <v>9</v>
      </c>
    </row>
    <row r="749" spans="1:100">
      <c r="BM749" s="177"/>
      <c r="CT749">
        <v>11</v>
      </c>
      <c r="CU749">
        <v>11</v>
      </c>
      <c r="CV749">
        <v>8</v>
      </c>
    </row>
    <row r="750" spans="1:100">
      <c r="BM750" s="177"/>
      <c r="BN750" s="415"/>
      <c r="BO750" s="321"/>
      <c r="BP750" s="321"/>
      <c r="BQ750" s="409"/>
      <c r="BR750" s="321"/>
      <c r="BS750" s="321"/>
      <c r="BT750" s="409"/>
      <c r="BU750" s="321"/>
      <c r="BV750" s="321"/>
      <c r="BW750" s="321"/>
      <c r="BX750" s="409"/>
      <c r="BY750" s="415"/>
      <c r="BZ750" s="415"/>
      <c r="CA750" s="321"/>
      <c r="CB750" s="321"/>
      <c r="CC750" s="415"/>
      <c r="CD750" s="321"/>
      <c r="CE750" s="321"/>
      <c r="CF750" s="409"/>
      <c r="CG750" s="415"/>
      <c r="CH750" s="321"/>
      <c r="CI750" s="321"/>
      <c r="CJ750" s="321"/>
      <c r="CK750" s="321"/>
      <c r="CL750" s="409"/>
      <c r="CM750" s="321"/>
      <c r="CN750" s="321"/>
      <c r="CO750" s="321"/>
      <c r="CP750" s="321"/>
      <c r="CQ750" s="409"/>
      <c r="CR750" s="321"/>
      <c r="CS750" s="415"/>
      <c r="CT750">
        <v>11</v>
      </c>
      <c r="CU750">
        <v>11</v>
      </c>
    </row>
    <row r="751" spans="1:100">
      <c r="A751" s="415"/>
      <c r="B751" s="321"/>
      <c r="C751" s="321"/>
      <c r="D751" s="321"/>
      <c r="E751" s="321"/>
      <c r="F751" s="321"/>
      <c r="G751" s="415"/>
      <c r="H751" s="321"/>
      <c r="I751" s="321"/>
      <c r="J751" s="415"/>
      <c r="K751" s="321"/>
      <c r="L751" s="321"/>
      <c r="M751" s="415"/>
      <c r="N751" s="321"/>
      <c r="O751" s="409"/>
      <c r="P751" s="321"/>
      <c r="Q751" s="321"/>
      <c r="R751" s="321"/>
      <c r="S751" s="415"/>
      <c r="T751" s="321"/>
      <c r="U751" s="321"/>
      <c r="V751" s="321"/>
      <c r="W751" s="321"/>
      <c r="X751" s="321"/>
      <c r="Y751" s="415"/>
      <c r="Z751" s="321"/>
      <c r="AA751" s="321"/>
      <c r="AB751" s="321"/>
      <c r="AC751" s="321"/>
      <c r="AD751" s="409"/>
      <c r="AE751" s="321"/>
      <c r="AF751" s="415"/>
      <c r="AG751" s="415"/>
      <c r="AH751" s="321"/>
      <c r="AI751" s="321"/>
      <c r="AJ751" s="321"/>
      <c r="AK751" s="321"/>
      <c r="AL751" s="321"/>
      <c r="AM751" s="415"/>
      <c r="AN751" s="321"/>
      <c r="AO751" s="321"/>
      <c r="AP751" s="415"/>
      <c r="AQ751" s="321"/>
      <c r="AR751" s="321"/>
      <c r="AS751" s="415"/>
      <c r="AT751" s="321"/>
      <c r="AU751" s="415"/>
      <c r="AV751" s="321"/>
      <c r="AW751" s="321"/>
      <c r="AX751" s="321"/>
      <c r="AY751" s="415"/>
      <c r="AZ751" s="321"/>
      <c r="BA751" s="321"/>
      <c r="BB751" s="321"/>
      <c r="BC751" s="415"/>
      <c r="BD751" s="321"/>
      <c r="BE751" s="415"/>
      <c r="BF751" s="321"/>
      <c r="BG751" s="321"/>
      <c r="BH751" s="321"/>
      <c r="BI751" s="321"/>
      <c r="BJ751" s="415"/>
      <c r="BK751" s="321"/>
      <c r="BL751" s="415"/>
      <c r="BM751" s="177"/>
      <c r="BN751" s="415"/>
      <c r="BO751" s="321"/>
      <c r="BP751" s="321"/>
      <c r="BQ751" s="321"/>
      <c r="BR751" s="321"/>
      <c r="BS751" s="321"/>
      <c r="BT751" s="409"/>
      <c r="BU751" s="321"/>
      <c r="BV751" s="321"/>
      <c r="BW751" s="321"/>
      <c r="BX751" s="409"/>
      <c r="BY751" s="321"/>
      <c r="BZ751" s="415"/>
      <c r="CA751" s="321"/>
      <c r="CB751" s="321"/>
      <c r="CC751" s="321"/>
      <c r="CD751" s="321"/>
      <c r="CE751" s="321"/>
      <c r="CF751" s="409"/>
      <c r="CG751" s="321"/>
      <c r="CH751" s="321"/>
      <c r="CI751" s="321"/>
      <c r="CJ751" s="321"/>
      <c r="CK751" s="321"/>
      <c r="CL751" s="409"/>
      <c r="CM751" s="321"/>
      <c r="CN751" s="321"/>
      <c r="CO751" s="321"/>
      <c r="CP751" s="321"/>
      <c r="CQ751" s="409"/>
      <c r="CR751" s="321"/>
      <c r="CS751" s="415"/>
    </row>
    <row r="752" spans="1:100">
      <c r="A752" s="415"/>
      <c r="B752" s="321"/>
      <c r="C752" s="321"/>
      <c r="D752" s="321"/>
      <c r="E752" s="321"/>
      <c r="F752" s="321"/>
      <c r="G752" s="409"/>
      <c r="H752" s="321"/>
      <c r="I752" s="321"/>
      <c r="J752" s="321"/>
      <c r="K752" s="409"/>
      <c r="L752" s="321"/>
      <c r="M752" s="415"/>
      <c r="N752" s="321"/>
      <c r="O752" s="409"/>
      <c r="P752" s="321"/>
      <c r="Q752" s="321"/>
      <c r="R752" s="321"/>
      <c r="S752" s="415"/>
      <c r="T752" s="321"/>
      <c r="U752" s="321"/>
      <c r="V752" s="321"/>
      <c r="W752" s="321"/>
      <c r="X752" s="321"/>
      <c r="Y752" s="409"/>
      <c r="Z752" s="321"/>
      <c r="AA752" s="321"/>
      <c r="AB752" s="321"/>
      <c r="AC752" s="321"/>
      <c r="AD752" s="409"/>
      <c r="AE752" s="321"/>
      <c r="AF752" s="415"/>
      <c r="AG752" s="415"/>
      <c r="AH752" s="321"/>
      <c r="AI752" s="321"/>
      <c r="AJ752" s="321"/>
      <c r="AK752" s="321"/>
      <c r="AL752" s="321"/>
      <c r="AM752" s="415"/>
      <c r="AN752" s="321"/>
      <c r="AO752" s="321"/>
      <c r="AP752" s="415"/>
      <c r="AQ752" s="321"/>
      <c r="AR752" s="321"/>
      <c r="AS752" s="415"/>
      <c r="AT752" s="321"/>
      <c r="AU752" s="415"/>
      <c r="AV752" s="321"/>
      <c r="AW752" s="321"/>
      <c r="AX752" s="321"/>
      <c r="AY752" s="415"/>
      <c r="AZ752" s="321"/>
      <c r="BA752" s="321"/>
      <c r="BB752" s="321"/>
      <c r="BC752" s="321"/>
      <c r="BD752" s="321"/>
      <c r="BE752" s="415"/>
      <c r="BF752" s="321"/>
      <c r="BG752" s="321"/>
      <c r="BH752" s="321"/>
      <c r="BI752" s="321"/>
      <c r="BJ752" s="409"/>
      <c r="BK752" s="321"/>
      <c r="BL752" s="415"/>
      <c r="BM752" s="177"/>
      <c r="CV752">
        <v>15</v>
      </c>
    </row>
    <row r="753" spans="1:100">
      <c r="A753" s="415"/>
      <c r="B753" s="321"/>
      <c r="C753" s="321"/>
      <c r="D753" s="321"/>
      <c r="E753" s="321"/>
      <c r="F753" s="321"/>
      <c r="G753" s="415"/>
      <c r="H753" s="321"/>
      <c r="I753" s="321"/>
      <c r="J753" s="321"/>
      <c r="K753" s="415"/>
      <c r="L753" s="321"/>
      <c r="M753" s="415"/>
      <c r="N753" s="321"/>
      <c r="O753" s="409"/>
      <c r="P753" s="321"/>
      <c r="Q753" s="321"/>
      <c r="R753" s="321"/>
      <c r="S753" s="415"/>
      <c r="T753" s="321"/>
      <c r="U753" s="321"/>
      <c r="V753" s="321"/>
      <c r="W753" s="321"/>
      <c r="X753" s="321"/>
      <c r="Y753" s="409"/>
      <c r="Z753" s="321"/>
      <c r="AA753" s="321"/>
      <c r="AB753" s="321"/>
      <c r="AC753" s="321"/>
      <c r="AD753" s="415"/>
      <c r="AE753" s="321"/>
      <c r="AF753" s="415"/>
      <c r="AG753" s="415"/>
      <c r="AH753" s="321"/>
      <c r="AI753" s="321"/>
      <c r="AJ753" s="321"/>
      <c r="AK753" s="321"/>
      <c r="AL753" s="321"/>
      <c r="AM753" s="415"/>
      <c r="AN753" s="321"/>
      <c r="AO753" s="321"/>
      <c r="AP753" s="321"/>
      <c r="AQ753" s="415"/>
      <c r="AR753" s="321"/>
      <c r="AS753" s="415"/>
      <c r="AT753" s="321"/>
      <c r="AU753" s="415"/>
      <c r="AV753" s="321"/>
      <c r="AW753" s="321"/>
      <c r="AX753" s="321"/>
      <c r="AY753" s="415"/>
      <c r="AZ753" s="321"/>
      <c r="BA753" s="321"/>
      <c r="BB753" s="321"/>
      <c r="BC753" s="321"/>
      <c r="BD753" s="321"/>
      <c r="BE753" s="415"/>
      <c r="BF753" s="321"/>
      <c r="BG753" s="321"/>
      <c r="BH753" s="321"/>
      <c r="BI753" s="321"/>
      <c r="BJ753" s="409"/>
      <c r="BK753" s="321"/>
      <c r="BL753" s="415"/>
      <c r="BM753" s="177"/>
      <c r="BN753" s="415"/>
      <c r="BO753" s="321"/>
      <c r="BP753" s="321"/>
      <c r="BQ753" s="321"/>
      <c r="BR753" s="321"/>
      <c r="BS753" s="321"/>
      <c r="BT753" s="415"/>
      <c r="BU753" s="321"/>
      <c r="BV753" s="321"/>
      <c r="BW753" s="321"/>
      <c r="BX753" s="415"/>
      <c r="BY753" s="321"/>
      <c r="BZ753" s="415"/>
      <c r="CA753" s="321"/>
      <c r="CB753" s="409"/>
      <c r="CC753" s="321"/>
      <c r="CD753" s="321"/>
      <c r="CE753" s="321"/>
      <c r="CF753" s="409"/>
      <c r="CG753" s="321"/>
      <c r="CH753" s="321"/>
      <c r="CI753" s="321"/>
      <c r="CJ753" s="321"/>
      <c r="CK753" s="321"/>
      <c r="CL753" s="409"/>
      <c r="CM753" s="321"/>
      <c r="CN753" s="321"/>
      <c r="CO753" s="321"/>
      <c r="CP753" s="321"/>
      <c r="CQ753" s="409"/>
      <c r="CR753" s="321"/>
      <c r="CS753" s="415"/>
    </row>
    <row r="754" spans="1:100">
      <c r="A754" s="415"/>
      <c r="B754" s="321"/>
      <c r="C754" s="321"/>
      <c r="D754" s="321"/>
      <c r="E754" s="321"/>
      <c r="F754" s="321"/>
      <c r="G754" s="415"/>
      <c r="H754" s="321"/>
      <c r="I754" s="321"/>
      <c r="J754" s="321"/>
      <c r="K754" s="321"/>
      <c r="L754" s="321"/>
      <c r="M754" s="415"/>
      <c r="N754" s="321"/>
      <c r="O754" s="415"/>
      <c r="P754" s="321"/>
      <c r="Q754" s="321"/>
      <c r="R754" s="321"/>
      <c r="S754" s="415"/>
      <c r="T754" s="321"/>
      <c r="U754" s="321"/>
      <c r="V754" s="321"/>
      <c r="W754" s="321"/>
      <c r="X754" s="321"/>
      <c r="Y754" s="415"/>
      <c r="Z754" s="321"/>
      <c r="AA754" s="321"/>
      <c r="AB754" s="321"/>
      <c r="AC754" s="321"/>
      <c r="AD754" s="415"/>
      <c r="AE754" s="321"/>
      <c r="AF754" s="415"/>
      <c r="AG754" s="415"/>
      <c r="AH754" s="321"/>
      <c r="AI754" s="321"/>
      <c r="AJ754" s="321"/>
      <c r="AK754" s="321"/>
      <c r="AL754" s="321"/>
      <c r="AM754" s="415"/>
      <c r="AN754" s="321"/>
      <c r="AO754" s="321"/>
      <c r="AP754" s="321"/>
      <c r="AQ754" s="321"/>
      <c r="AR754" s="321"/>
      <c r="AS754" s="415"/>
      <c r="AT754" s="321"/>
      <c r="AU754" s="415"/>
      <c r="AV754" s="321"/>
      <c r="AW754" s="321"/>
      <c r="AX754" s="321"/>
      <c r="AY754" s="415"/>
      <c r="AZ754" s="321"/>
      <c r="BA754" s="321"/>
      <c r="BB754" s="321"/>
      <c r="BC754" s="321"/>
      <c r="BD754" s="321"/>
      <c r="BE754" s="415"/>
      <c r="BF754" s="321"/>
      <c r="BG754" s="321"/>
      <c r="BH754" s="321"/>
      <c r="BI754" s="321"/>
      <c r="BJ754" s="415"/>
      <c r="BK754" s="321"/>
      <c r="BL754" s="415"/>
      <c r="BM754" s="177"/>
      <c r="BN754" s="415"/>
      <c r="BO754" s="321"/>
      <c r="BP754" s="321"/>
      <c r="BQ754" s="321"/>
      <c r="BR754" s="321"/>
      <c r="BS754" s="321"/>
      <c r="BT754" s="415"/>
      <c r="BU754" s="321"/>
      <c r="BV754" s="321"/>
      <c r="BW754" s="321"/>
      <c r="BX754" s="321"/>
      <c r="BY754" s="321"/>
      <c r="BZ754" s="415"/>
      <c r="CA754" s="321"/>
      <c r="CB754" s="409"/>
      <c r="CC754" s="321"/>
      <c r="CD754" s="321"/>
      <c r="CE754" s="321"/>
      <c r="CF754" s="409"/>
      <c r="CG754" s="321"/>
      <c r="CH754" s="321"/>
      <c r="CI754" s="321"/>
      <c r="CJ754" s="321"/>
      <c r="CK754" s="321"/>
      <c r="CL754" s="415"/>
      <c r="CM754" s="321"/>
      <c r="CN754" s="321"/>
      <c r="CO754" s="321"/>
      <c r="CP754" s="321"/>
      <c r="CQ754" s="409"/>
      <c r="CR754" s="321"/>
      <c r="CS754" s="415"/>
    </row>
    <row r="755" spans="1:100">
      <c r="A755" s="415"/>
      <c r="B755" s="321"/>
      <c r="C755" s="415"/>
      <c r="D755" s="321"/>
      <c r="E755" s="321"/>
      <c r="F755" s="321"/>
      <c r="G755" s="415"/>
      <c r="H755" s="321"/>
      <c r="I755" s="321"/>
      <c r="J755" s="415"/>
      <c r="K755" s="321"/>
      <c r="L755" s="321"/>
      <c r="M755" s="415"/>
      <c r="N755" s="321"/>
      <c r="O755" s="415"/>
      <c r="P755" s="321"/>
      <c r="Q755" s="321"/>
      <c r="R755" s="321"/>
      <c r="S755" s="409"/>
      <c r="T755" s="321"/>
      <c r="U755" s="321"/>
      <c r="V755" s="321"/>
      <c r="W755" s="409"/>
      <c r="X755" s="321"/>
      <c r="Y755" s="415"/>
      <c r="Z755" s="321"/>
      <c r="AA755" s="321"/>
      <c r="AB755" s="321"/>
      <c r="AC755" s="321"/>
      <c r="AD755" s="415"/>
      <c r="AE755" s="321"/>
      <c r="AF755" s="415"/>
      <c r="AG755" s="415"/>
      <c r="AH755" s="321"/>
      <c r="AI755" s="321"/>
      <c r="AJ755" s="321"/>
      <c r="AK755" s="321"/>
      <c r="AL755" s="321"/>
      <c r="AM755" s="415"/>
      <c r="AN755" s="321"/>
      <c r="AO755" s="321"/>
      <c r="AP755" s="415"/>
      <c r="AQ755" s="321"/>
      <c r="AR755" s="321"/>
      <c r="AS755" s="415"/>
      <c r="AT755" s="321"/>
      <c r="AU755" s="415"/>
      <c r="AV755" s="321"/>
      <c r="AW755" s="321"/>
      <c r="AX755" s="321"/>
      <c r="AY755" s="415"/>
      <c r="AZ755" s="321"/>
      <c r="BA755" s="321"/>
      <c r="BB755" s="321"/>
      <c r="BC755" s="409"/>
      <c r="BD755" s="321"/>
      <c r="BE755" s="415"/>
      <c r="BF755" s="321"/>
      <c r="BG755" s="321"/>
      <c r="BH755" s="321"/>
      <c r="BI755" s="321"/>
      <c r="BJ755" s="415"/>
      <c r="BK755" s="321"/>
      <c r="BL755" s="415"/>
      <c r="BM755" s="177"/>
      <c r="BN755" s="415"/>
      <c r="BO755" s="321"/>
      <c r="BP755" s="321"/>
      <c r="BQ755" s="321"/>
      <c r="BR755" s="321"/>
      <c r="BS755" s="321"/>
      <c r="BT755" s="415"/>
      <c r="BU755" s="321"/>
      <c r="BV755" s="321"/>
      <c r="BW755" s="409"/>
      <c r="BX755" s="321"/>
      <c r="BY755" s="321"/>
      <c r="BZ755" s="415"/>
      <c r="CA755" s="321"/>
      <c r="CB755" s="409"/>
      <c r="CC755" s="321"/>
      <c r="CD755" s="321"/>
      <c r="CE755" s="321"/>
      <c r="CF755" s="409"/>
      <c r="CG755" s="321"/>
      <c r="CH755" s="321"/>
      <c r="CI755" s="321"/>
      <c r="CJ755" s="409"/>
      <c r="CK755" s="321"/>
      <c r="CL755" s="415"/>
      <c r="CM755" s="321"/>
      <c r="CN755" s="321"/>
      <c r="CO755" s="321"/>
      <c r="CP755" s="321"/>
      <c r="CQ755" s="415"/>
      <c r="CR755" s="321"/>
      <c r="CS755" s="415"/>
    </row>
    <row r="756" spans="1:100">
      <c r="A756" s="415"/>
      <c r="B756" s="321"/>
      <c r="C756" s="415"/>
      <c r="D756" s="321"/>
      <c r="E756" s="321"/>
      <c r="F756" s="321"/>
      <c r="G756" s="415"/>
      <c r="H756" s="321"/>
      <c r="I756" s="321"/>
      <c r="J756" s="415"/>
      <c r="K756" s="321"/>
      <c r="L756" s="321"/>
      <c r="M756" s="415"/>
      <c r="N756" s="321"/>
      <c r="O756" s="415"/>
      <c r="P756" s="321"/>
      <c r="Q756" s="321"/>
      <c r="R756" s="321"/>
      <c r="S756" s="415"/>
      <c r="T756" s="321"/>
      <c r="U756" s="321"/>
      <c r="V756" s="321"/>
      <c r="W756" s="409"/>
      <c r="X756" s="321"/>
      <c r="Y756" s="415"/>
      <c r="Z756" s="321"/>
      <c r="AA756" s="321"/>
      <c r="AB756" s="321"/>
      <c r="AC756" s="321"/>
      <c r="AD756" s="415"/>
      <c r="AE756" s="321"/>
      <c r="AF756" s="415"/>
      <c r="AG756" s="415"/>
      <c r="AH756" s="321"/>
      <c r="AI756" s="415"/>
      <c r="AJ756" s="321"/>
      <c r="AK756" s="321"/>
      <c r="AL756" s="321"/>
      <c r="AM756" s="415"/>
      <c r="AN756" s="321"/>
      <c r="AO756" s="321"/>
      <c r="AP756" s="415"/>
      <c r="AQ756" s="321"/>
      <c r="AR756" s="321"/>
      <c r="AS756" s="415"/>
      <c r="AT756" s="321"/>
      <c r="AU756" s="415"/>
      <c r="AV756" s="321"/>
      <c r="AW756" s="321"/>
      <c r="AX756" s="321"/>
      <c r="AY756" s="415"/>
      <c r="AZ756" s="321"/>
      <c r="BA756" s="321"/>
      <c r="BB756" s="321"/>
      <c r="BC756" s="409"/>
      <c r="BD756" s="321"/>
      <c r="BE756" s="415"/>
      <c r="BF756" s="321"/>
      <c r="BG756" s="321"/>
      <c r="BH756" s="321"/>
      <c r="BI756" s="321"/>
      <c r="BJ756" s="415"/>
      <c r="BK756" s="321"/>
      <c r="BL756" s="415"/>
      <c r="BM756" s="177"/>
      <c r="BN756" s="415"/>
      <c r="BO756" s="321"/>
      <c r="BP756" s="409"/>
      <c r="BQ756" s="321"/>
      <c r="BR756" s="321"/>
      <c r="BS756" s="321"/>
      <c r="BT756" s="415"/>
      <c r="BU756" s="321"/>
      <c r="BV756" s="321"/>
      <c r="BW756" s="409"/>
      <c r="BX756" s="321"/>
      <c r="BY756" s="321"/>
      <c r="BZ756" s="415"/>
      <c r="CA756" s="321"/>
      <c r="CB756" s="409"/>
      <c r="CC756" s="321"/>
      <c r="CD756" s="321"/>
      <c r="CE756" s="321"/>
      <c r="CF756" s="409"/>
      <c r="CG756" s="321"/>
      <c r="CH756" s="321"/>
      <c r="CI756" s="321"/>
      <c r="CJ756" s="409"/>
      <c r="CK756" s="321"/>
      <c r="CL756" s="415"/>
      <c r="CM756" s="321"/>
      <c r="CN756" s="321"/>
      <c r="CO756" s="321"/>
      <c r="CP756" s="321"/>
      <c r="CQ756" s="415"/>
      <c r="CR756" s="321"/>
      <c r="CS756" s="415"/>
    </row>
    <row r="757" spans="1:100">
      <c r="BM757" s="177"/>
      <c r="CT757">
        <v>20</v>
      </c>
      <c r="CU757">
        <v>20</v>
      </c>
      <c r="CV757">
        <v>20</v>
      </c>
    </row>
    <row r="758" spans="1:100">
      <c r="A758" s="415"/>
      <c r="B758" s="321"/>
      <c r="C758" s="415"/>
      <c r="D758" s="321"/>
      <c r="E758" s="321"/>
      <c r="F758" s="321"/>
      <c r="G758" s="415"/>
      <c r="H758" s="321"/>
      <c r="I758" s="321"/>
      <c r="J758" s="415"/>
      <c r="K758" s="321"/>
      <c r="L758" s="321"/>
      <c r="M758" s="415"/>
      <c r="N758" s="321"/>
      <c r="O758" s="415"/>
      <c r="P758" s="321"/>
      <c r="Q758" s="321"/>
      <c r="R758" s="321"/>
      <c r="S758" s="409"/>
      <c r="T758" s="321"/>
      <c r="U758" s="321"/>
      <c r="V758" s="321"/>
      <c r="W758" s="415"/>
      <c r="X758" s="321"/>
      <c r="Y758" s="415"/>
      <c r="Z758" s="321"/>
      <c r="AA758" s="321"/>
      <c r="AB758" s="409"/>
      <c r="AC758" s="321"/>
      <c r="AD758" s="321"/>
      <c r="AE758" s="321"/>
      <c r="AF758" s="415"/>
      <c r="AG758" s="415"/>
      <c r="AH758" s="321"/>
      <c r="AI758" s="409"/>
      <c r="AJ758" s="321"/>
      <c r="AK758" s="321"/>
      <c r="AL758" s="321"/>
      <c r="AM758" s="415"/>
      <c r="AN758" s="321"/>
      <c r="AO758" s="321"/>
      <c r="AP758" s="409"/>
      <c r="AQ758" s="321"/>
      <c r="AR758" s="321"/>
      <c r="AS758" s="415"/>
      <c r="AT758" s="321"/>
      <c r="AU758" s="415"/>
      <c r="AV758" s="321"/>
      <c r="AW758" s="321"/>
      <c r="AX758" s="321"/>
      <c r="AY758" s="415"/>
      <c r="AZ758" s="321"/>
      <c r="BA758" s="321"/>
      <c r="BB758" s="321"/>
      <c r="BC758" s="415"/>
      <c r="BD758" s="321"/>
      <c r="BE758" s="415"/>
      <c r="BF758" s="321"/>
      <c r="BG758" s="321"/>
      <c r="BH758" s="415"/>
      <c r="BI758" s="321"/>
      <c r="BJ758" s="321"/>
      <c r="BK758" s="321"/>
      <c r="BL758" s="415"/>
      <c r="BM758" s="177"/>
      <c r="BN758" s="415"/>
      <c r="BO758" s="321"/>
      <c r="BP758" s="409"/>
      <c r="BQ758" s="321"/>
      <c r="BR758" s="321"/>
      <c r="BS758" s="321"/>
      <c r="BT758" s="415"/>
      <c r="BU758" s="321"/>
      <c r="BV758" s="321"/>
      <c r="BW758" s="409"/>
      <c r="BX758" s="321"/>
      <c r="BY758" s="321"/>
      <c r="BZ758" s="415"/>
      <c r="CA758" s="321"/>
      <c r="CB758" s="409"/>
      <c r="CC758" s="321"/>
      <c r="CD758" s="321"/>
      <c r="CE758" s="321"/>
      <c r="CF758" s="409"/>
      <c r="CG758" s="321"/>
      <c r="CH758" s="321"/>
      <c r="CI758" s="321"/>
      <c r="CJ758" s="415"/>
      <c r="CK758" s="321"/>
      <c r="CL758" s="415"/>
      <c r="CM758" s="321"/>
      <c r="CN758" s="321"/>
      <c r="CO758" s="409"/>
      <c r="CP758" s="321"/>
      <c r="CQ758" s="321"/>
      <c r="CR758" s="321"/>
      <c r="CS758" s="415"/>
    </row>
    <row r="759" spans="1:100">
      <c r="A759" s="415"/>
      <c r="B759" s="321"/>
      <c r="C759" s="415"/>
      <c r="D759" s="321"/>
      <c r="E759" s="321"/>
      <c r="F759" s="321"/>
      <c r="G759" s="415"/>
      <c r="H759" s="321"/>
      <c r="I759" s="321"/>
      <c r="J759" s="409"/>
      <c r="K759" s="321"/>
      <c r="L759" s="321"/>
      <c r="M759" s="415"/>
      <c r="N759" s="321"/>
      <c r="O759" s="415"/>
      <c r="P759" s="321"/>
      <c r="Q759" s="321"/>
      <c r="R759" s="321"/>
      <c r="S759" s="409"/>
      <c r="T759" s="321"/>
      <c r="U759" s="321"/>
      <c r="V759" s="321"/>
      <c r="W759" s="415"/>
      <c r="X759" s="321"/>
      <c r="Y759" s="415"/>
      <c r="Z759" s="321"/>
      <c r="AA759" s="321"/>
      <c r="AB759" s="409"/>
      <c r="AC759" s="321"/>
      <c r="AD759" s="321"/>
      <c r="AE759" s="321"/>
      <c r="AF759" s="415"/>
      <c r="AG759" s="415"/>
      <c r="AH759" s="321"/>
      <c r="AI759" s="409"/>
      <c r="AJ759" s="321"/>
      <c r="AK759" s="321"/>
      <c r="AL759" s="321"/>
      <c r="AM759" s="415"/>
      <c r="AN759" s="321"/>
      <c r="AO759" s="321"/>
      <c r="AP759" s="409"/>
      <c r="AQ759" s="321"/>
      <c r="AR759" s="321"/>
      <c r="AS759" s="415"/>
      <c r="AT759" s="321"/>
      <c r="AU759" s="415"/>
      <c r="AV759" s="321"/>
      <c r="AW759" s="321"/>
      <c r="AX759" s="321"/>
      <c r="AY759" s="415"/>
      <c r="AZ759" s="321"/>
      <c r="BA759" s="321"/>
      <c r="BB759" s="321"/>
      <c r="BC759" s="415"/>
      <c r="BD759" s="321"/>
      <c r="BE759" s="415"/>
      <c r="BF759" s="321"/>
      <c r="BG759" s="321"/>
      <c r="BH759" s="415"/>
      <c r="BI759" s="321"/>
      <c r="BJ759" s="321"/>
      <c r="BK759" s="321"/>
      <c r="BL759" s="415"/>
      <c r="BM759" s="177"/>
      <c r="BN759" s="415"/>
      <c r="BO759" s="321"/>
      <c r="BP759" s="409"/>
      <c r="BQ759" s="321"/>
      <c r="BR759" s="321"/>
      <c r="BS759" s="321"/>
      <c r="BT759" s="415"/>
      <c r="BU759" s="321"/>
      <c r="BV759" s="321"/>
      <c r="BW759" s="409"/>
      <c r="BX759" s="321"/>
      <c r="BY759" s="321"/>
      <c r="BZ759" s="415"/>
      <c r="CA759" s="321"/>
      <c r="CB759" s="409"/>
      <c r="CC759" s="321"/>
      <c r="CD759" s="321"/>
      <c r="CE759" s="321"/>
      <c r="CF759" s="409"/>
      <c r="CG759" s="321"/>
      <c r="CH759" s="321"/>
      <c r="CI759" s="321"/>
      <c r="CJ759" s="415"/>
      <c r="CK759" s="321"/>
      <c r="CL759" s="415"/>
      <c r="CM759" s="321"/>
      <c r="CN759" s="321"/>
      <c r="CO759" s="409"/>
      <c r="CP759" s="321"/>
      <c r="CQ759" s="321"/>
      <c r="CR759" s="321"/>
      <c r="CS759" s="415"/>
    </row>
    <row r="760" spans="1:100">
      <c r="A760" s="415"/>
      <c r="B760" s="321"/>
      <c r="C760" s="415"/>
      <c r="D760" s="321"/>
      <c r="E760" s="321"/>
      <c r="F760" s="321"/>
      <c r="G760" s="415"/>
      <c r="H760" s="321"/>
      <c r="I760" s="321"/>
      <c r="J760" s="409"/>
      <c r="K760" s="321"/>
      <c r="L760" s="321"/>
      <c r="M760" s="415"/>
      <c r="N760" s="321"/>
      <c r="O760" s="415"/>
      <c r="P760" s="321"/>
      <c r="Q760" s="321"/>
      <c r="R760" s="321"/>
      <c r="S760" s="415"/>
      <c r="T760" s="321"/>
      <c r="U760" s="321"/>
      <c r="V760" s="321"/>
      <c r="W760" s="321"/>
      <c r="X760" s="321"/>
      <c r="Y760" s="415"/>
      <c r="Z760" s="321"/>
      <c r="AA760" s="321"/>
      <c r="AB760" s="409"/>
      <c r="AC760" s="321"/>
      <c r="AD760" s="415"/>
      <c r="AE760" s="321"/>
      <c r="AF760" s="415"/>
      <c r="AG760" s="415"/>
      <c r="AH760" s="321"/>
      <c r="AI760" s="415"/>
      <c r="AJ760" s="321"/>
      <c r="AK760" s="321"/>
      <c r="AL760" s="321"/>
      <c r="AM760" s="415"/>
      <c r="AN760" s="321"/>
      <c r="AO760" s="321"/>
      <c r="AP760" s="415"/>
      <c r="AQ760" s="321"/>
      <c r="AR760" s="321"/>
      <c r="AS760" s="415"/>
      <c r="AT760" s="321"/>
      <c r="AU760" s="415"/>
      <c r="AV760" s="321"/>
      <c r="AW760" s="321"/>
      <c r="AX760" s="321"/>
      <c r="AY760" s="415"/>
      <c r="AZ760" s="321"/>
      <c r="BA760" s="321"/>
      <c r="BB760" s="321"/>
      <c r="BC760" s="321"/>
      <c r="BD760" s="321"/>
      <c r="BE760" s="415"/>
      <c r="BF760" s="321"/>
      <c r="BG760" s="321"/>
      <c r="BH760" s="409"/>
      <c r="BI760" s="321"/>
      <c r="BJ760" s="321"/>
      <c r="BK760" s="321"/>
      <c r="BL760" s="415"/>
      <c r="BM760" s="177"/>
      <c r="BN760" s="415"/>
      <c r="BO760" s="321"/>
      <c r="BP760" s="409"/>
      <c r="BQ760" s="321"/>
      <c r="BR760" s="321"/>
      <c r="BS760" s="321"/>
      <c r="BT760" s="415"/>
      <c r="BU760" s="321"/>
      <c r="BV760" s="321"/>
      <c r="BW760" s="409"/>
      <c r="BX760" s="321"/>
      <c r="BY760" s="321"/>
      <c r="BZ760" s="415"/>
      <c r="CA760" s="321"/>
      <c r="CB760" s="409"/>
      <c r="CC760" s="321"/>
      <c r="CD760" s="321"/>
      <c r="CE760" s="321"/>
      <c r="CF760" s="415"/>
      <c r="CG760" s="321"/>
      <c r="CH760" s="321"/>
      <c r="CI760" s="321"/>
      <c r="CJ760" s="321"/>
      <c r="CK760" s="321"/>
      <c r="CL760" s="415"/>
      <c r="CM760" s="321"/>
      <c r="CN760" s="321"/>
      <c r="CO760" s="409"/>
      <c r="CP760" s="321"/>
      <c r="CQ760" s="321"/>
      <c r="CR760" s="321"/>
      <c r="CS760" s="415"/>
    </row>
    <row r="761" spans="1:100">
      <c r="A761" s="415"/>
      <c r="B761" s="321"/>
      <c r="C761" s="415"/>
      <c r="D761" s="321"/>
      <c r="E761" s="321"/>
      <c r="F761" s="321"/>
      <c r="G761" s="415"/>
      <c r="H761" s="321"/>
      <c r="I761" s="321"/>
      <c r="J761" s="415"/>
      <c r="K761" s="321"/>
      <c r="L761" s="321"/>
      <c r="M761" s="415"/>
      <c r="N761" s="321"/>
      <c r="O761" s="415"/>
      <c r="P761" s="321"/>
      <c r="Q761" s="321"/>
      <c r="R761" s="321"/>
      <c r="S761" s="415"/>
      <c r="T761" s="321"/>
      <c r="U761" s="321"/>
      <c r="V761" s="321"/>
      <c r="W761" s="321"/>
      <c r="X761" s="321"/>
      <c r="Y761" s="415"/>
      <c r="Z761" s="321"/>
      <c r="AA761" s="321"/>
      <c r="AB761" s="409"/>
      <c r="AC761" s="321"/>
      <c r="AD761" s="321"/>
      <c r="AE761" s="321"/>
      <c r="AF761" s="415"/>
      <c r="AG761" s="415"/>
      <c r="AH761" s="321"/>
      <c r="AI761" s="415"/>
      <c r="AJ761" s="321"/>
      <c r="AK761" s="321"/>
      <c r="AL761" s="321"/>
      <c r="AM761" s="415"/>
      <c r="AN761" s="321"/>
      <c r="AO761" s="321"/>
      <c r="AP761" s="415"/>
      <c r="AQ761" s="321"/>
      <c r="AR761" s="321"/>
      <c r="AS761" s="415"/>
      <c r="AT761" s="321"/>
      <c r="AU761" s="415"/>
      <c r="AV761" s="321"/>
      <c r="AW761" s="321"/>
      <c r="AX761" s="321"/>
      <c r="AY761" s="415"/>
      <c r="AZ761" s="321"/>
      <c r="BA761" s="321"/>
      <c r="BB761" s="321"/>
      <c r="BC761" s="321"/>
      <c r="BD761" s="321"/>
      <c r="BE761" s="415"/>
      <c r="BF761" s="321"/>
      <c r="BG761" s="321"/>
      <c r="BH761" s="409"/>
      <c r="BI761" s="321"/>
      <c r="BJ761" s="415"/>
      <c r="BK761" s="321"/>
      <c r="BL761" s="415"/>
      <c r="BM761" s="177"/>
      <c r="BN761" s="415"/>
      <c r="BO761" s="321"/>
      <c r="BP761" s="415"/>
      <c r="BQ761" s="321"/>
      <c r="BR761" s="321"/>
      <c r="BS761" s="321"/>
      <c r="BT761" s="415"/>
      <c r="BU761" s="321"/>
      <c r="BV761" s="321"/>
      <c r="BW761" s="415"/>
      <c r="BX761" s="321"/>
      <c r="BY761" s="321"/>
      <c r="BZ761" s="415"/>
      <c r="CA761" s="321"/>
      <c r="CB761" s="415"/>
      <c r="CC761" s="321"/>
      <c r="CD761" s="321"/>
      <c r="CE761" s="321"/>
      <c r="CF761" s="415"/>
      <c r="CG761" s="321"/>
      <c r="CH761" s="321"/>
      <c r="CI761" s="321"/>
      <c r="CJ761" s="321"/>
      <c r="CK761" s="321"/>
      <c r="CL761" s="415"/>
      <c r="CM761" s="321"/>
      <c r="CN761" s="321"/>
      <c r="CO761" s="409"/>
      <c r="CP761" s="321"/>
      <c r="CQ761" s="415"/>
      <c r="CR761" s="321"/>
      <c r="CS761" s="415"/>
    </row>
    <row r="762" spans="1:100">
      <c r="BM762" s="177"/>
      <c r="CT762">
        <v>25</v>
      </c>
      <c r="CU762">
        <v>25</v>
      </c>
      <c r="CV762">
        <v>25</v>
      </c>
    </row>
    <row r="763" spans="1:100">
      <c r="A763" s="415"/>
      <c r="B763" s="321"/>
      <c r="C763" s="415"/>
      <c r="D763" s="321"/>
      <c r="E763" s="321"/>
      <c r="F763" s="321"/>
      <c r="G763" s="415"/>
      <c r="H763" s="321"/>
      <c r="I763" s="321"/>
      <c r="J763" s="321"/>
      <c r="K763" s="321"/>
      <c r="L763" s="321"/>
      <c r="M763" s="415"/>
      <c r="N763" s="321"/>
      <c r="O763" s="415"/>
      <c r="P763" s="321"/>
      <c r="Q763" s="321"/>
      <c r="R763" s="321"/>
      <c r="S763" s="415"/>
      <c r="T763" s="321"/>
      <c r="U763" s="321"/>
      <c r="V763" s="321"/>
      <c r="W763" s="321"/>
      <c r="X763" s="321"/>
      <c r="Y763" s="415"/>
      <c r="Z763" s="321"/>
      <c r="AA763" s="321"/>
      <c r="AB763" s="415"/>
      <c r="AC763" s="321"/>
      <c r="AD763" s="321"/>
      <c r="AE763" s="321"/>
      <c r="AF763" s="415"/>
      <c r="AG763" s="415"/>
      <c r="AH763" s="321"/>
      <c r="AI763" s="415"/>
      <c r="AJ763" s="321"/>
      <c r="AK763" s="321"/>
      <c r="AL763" s="321"/>
      <c r="AM763" s="415"/>
      <c r="AN763" s="321"/>
      <c r="AO763" s="321"/>
      <c r="AP763" s="321"/>
      <c r="AQ763" s="321"/>
      <c r="AR763" s="321"/>
      <c r="AS763" s="415"/>
      <c r="AT763" s="321"/>
      <c r="AU763" s="415"/>
      <c r="AV763" s="321"/>
      <c r="AW763" s="321"/>
      <c r="AX763" s="321"/>
      <c r="AY763" s="415"/>
      <c r="AZ763" s="321"/>
      <c r="BA763" s="321"/>
      <c r="BB763" s="321"/>
      <c r="BC763" s="321"/>
      <c r="BD763" s="321"/>
      <c r="BE763" s="415"/>
      <c r="BF763" s="321"/>
      <c r="BG763" s="321"/>
      <c r="BH763" s="415"/>
      <c r="BI763" s="321"/>
      <c r="BJ763" s="321"/>
      <c r="BK763" s="321"/>
      <c r="BL763" s="415"/>
      <c r="BM763" s="177"/>
      <c r="BN763" s="415"/>
      <c r="BO763" s="321"/>
      <c r="BP763" s="415"/>
      <c r="BQ763" s="321"/>
      <c r="BR763" s="321"/>
      <c r="BS763" s="321"/>
      <c r="BT763" s="415"/>
      <c r="BU763" s="321"/>
      <c r="BV763" s="321"/>
      <c r="BW763" s="321"/>
      <c r="BX763" s="321"/>
      <c r="BY763" s="321"/>
      <c r="BZ763" s="415"/>
      <c r="CA763" s="321"/>
      <c r="CB763" s="415"/>
      <c r="CC763" s="321"/>
      <c r="CD763" s="321"/>
      <c r="CE763" s="321"/>
      <c r="CF763" s="415"/>
      <c r="CG763" s="321"/>
      <c r="CH763" s="321"/>
      <c r="CI763" s="321"/>
      <c r="CJ763" s="321"/>
      <c r="CK763" s="321"/>
      <c r="CL763" s="415"/>
      <c r="CM763" s="321"/>
      <c r="CN763" s="321"/>
      <c r="CO763" s="415"/>
      <c r="CP763" s="321"/>
      <c r="CQ763" s="321"/>
      <c r="CR763" s="321"/>
      <c r="CS763" s="415"/>
    </row>
    <row r="764" spans="1:100">
      <c r="A764" s="415"/>
      <c r="B764" s="321"/>
      <c r="C764" s="415"/>
      <c r="D764" s="321"/>
      <c r="E764" s="415"/>
      <c r="F764" s="321"/>
      <c r="G764" s="415"/>
      <c r="H764" s="321"/>
      <c r="I764" s="415"/>
      <c r="J764" s="321"/>
      <c r="K764" s="321"/>
      <c r="L764" s="321"/>
      <c r="M764" s="415"/>
      <c r="N764" s="321"/>
      <c r="O764" s="321"/>
      <c r="P764" s="321"/>
      <c r="Q764" s="321"/>
      <c r="R764" s="321"/>
      <c r="S764" s="415"/>
      <c r="T764" s="321"/>
      <c r="U764" s="321"/>
      <c r="V764" s="321"/>
      <c r="W764" s="415"/>
      <c r="X764" s="321"/>
      <c r="Y764" s="415"/>
      <c r="Z764" s="321"/>
      <c r="AA764" s="321"/>
      <c r="AB764" s="415"/>
      <c r="AC764" s="321"/>
      <c r="AD764" s="415"/>
      <c r="AE764" s="321"/>
      <c r="AF764" s="415"/>
      <c r="AG764" s="415"/>
      <c r="AH764" s="321"/>
      <c r="AI764" s="415"/>
      <c r="AJ764" s="321"/>
      <c r="AK764" s="415"/>
      <c r="AL764" s="321"/>
      <c r="AM764" s="415"/>
      <c r="AN764" s="321"/>
      <c r="AO764" s="415"/>
      <c r="AP764" s="321"/>
      <c r="AQ764" s="321"/>
      <c r="AR764" s="321"/>
      <c r="AS764" s="415"/>
      <c r="AT764" s="321"/>
      <c r="AU764" s="321"/>
      <c r="AV764" s="321"/>
      <c r="AW764" s="321"/>
      <c r="AX764" s="321"/>
      <c r="AY764" s="415"/>
      <c r="AZ764" s="321"/>
      <c r="BA764" s="321"/>
      <c r="BB764" s="321"/>
      <c r="BC764" s="415"/>
      <c r="BD764" s="321"/>
      <c r="BE764" s="415"/>
      <c r="BF764" s="321"/>
      <c r="BG764" s="321"/>
      <c r="BH764" s="415"/>
      <c r="BI764" s="321"/>
      <c r="BJ764" s="415"/>
      <c r="BK764" s="321"/>
      <c r="BL764" s="415"/>
      <c r="BM764" s="177"/>
      <c r="BN764" s="415"/>
      <c r="BO764" s="321"/>
      <c r="BP764" s="415"/>
      <c r="BQ764" s="321"/>
      <c r="BR764" s="415"/>
      <c r="BS764" s="321"/>
      <c r="BT764" s="415"/>
      <c r="BU764" s="321"/>
      <c r="BV764" s="415"/>
      <c r="BW764" s="321"/>
      <c r="BX764" s="321"/>
      <c r="BY764" s="321"/>
      <c r="BZ764" s="415"/>
      <c r="CA764" s="321"/>
      <c r="CB764" s="321"/>
      <c r="CC764" s="321"/>
      <c r="CD764" s="321"/>
      <c r="CE764" s="321"/>
      <c r="CF764" s="415"/>
      <c r="CG764" s="321"/>
      <c r="CH764" s="321"/>
      <c r="CI764" s="321"/>
      <c r="CJ764" s="415"/>
      <c r="CK764" s="321"/>
      <c r="CL764" s="415"/>
      <c r="CM764" s="321"/>
      <c r="CN764" s="321"/>
      <c r="CO764" s="415"/>
      <c r="CP764" s="321"/>
      <c r="CQ764" s="415"/>
      <c r="CR764" s="321"/>
      <c r="CS764" s="415"/>
    </row>
    <row r="765" spans="1:100">
      <c r="A765" s="415"/>
      <c r="B765" s="321"/>
      <c r="C765" s="321"/>
      <c r="D765" s="415"/>
      <c r="E765" s="321"/>
      <c r="F765" s="321"/>
      <c r="G765" s="415"/>
      <c r="H765" s="321"/>
      <c r="I765" s="321"/>
      <c r="J765" s="321"/>
      <c r="K765" s="321"/>
      <c r="L765" s="321"/>
      <c r="M765" s="415"/>
      <c r="N765" s="321"/>
      <c r="O765" s="321"/>
      <c r="P765" s="321"/>
      <c r="Q765" s="321"/>
      <c r="R765" s="321"/>
      <c r="S765" s="415"/>
      <c r="T765" s="321"/>
      <c r="U765" s="409"/>
      <c r="V765" s="321"/>
      <c r="W765" s="321"/>
      <c r="X765" s="321"/>
      <c r="Y765" s="415"/>
      <c r="Z765" s="415"/>
      <c r="AA765" s="321"/>
      <c r="AB765" s="415"/>
      <c r="AC765" s="321"/>
      <c r="AD765" s="321"/>
      <c r="AE765" s="321"/>
      <c r="AF765" s="415"/>
      <c r="AG765" s="415"/>
      <c r="AH765" s="321"/>
      <c r="AI765" s="321"/>
      <c r="AJ765" s="415"/>
      <c r="AK765" s="321"/>
      <c r="AL765" s="321"/>
      <c r="AM765" s="415"/>
      <c r="AN765" s="321"/>
      <c r="AO765" s="321"/>
      <c r="AP765" s="321"/>
      <c r="AQ765" s="321"/>
      <c r="AR765" s="321"/>
      <c r="AS765" s="415"/>
      <c r="AT765" s="321"/>
      <c r="AU765" s="321"/>
      <c r="AV765" s="321"/>
      <c r="AW765" s="321"/>
      <c r="AX765" s="321"/>
      <c r="AY765" s="415"/>
      <c r="AZ765" s="321"/>
      <c r="BA765" s="409"/>
      <c r="BB765" s="321"/>
      <c r="BC765" s="321"/>
      <c r="BD765" s="321"/>
      <c r="BE765" s="415"/>
      <c r="BF765" s="415"/>
      <c r="BG765" s="321"/>
      <c r="BH765" s="415"/>
      <c r="BI765" s="321"/>
      <c r="BJ765" s="321"/>
      <c r="BK765" s="321"/>
      <c r="BL765" s="415"/>
      <c r="BM765" s="177"/>
      <c r="BN765" s="415"/>
      <c r="BO765" s="321"/>
      <c r="BP765" s="321"/>
      <c r="BQ765" s="415"/>
      <c r="BR765" s="321"/>
      <c r="BS765" s="321"/>
      <c r="BT765" s="415"/>
      <c r="BU765" s="321"/>
      <c r="BV765" s="321"/>
      <c r="BW765" s="321"/>
      <c r="BX765" s="321"/>
      <c r="BY765" s="321"/>
      <c r="BZ765" s="415"/>
      <c r="CA765" s="321"/>
      <c r="CB765" s="321"/>
      <c r="CC765" s="321"/>
      <c r="CD765" s="321"/>
      <c r="CE765" s="321"/>
      <c r="CF765" s="415"/>
      <c r="CG765" s="321"/>
      <c r="CH765" s="409"/>
      <c r="CI765" s="321"/>
      <c r="CJ765" s="321"/>
      <c r="CK765" s="321"/>
      <c r="CL765" s="415"/>
      <c r="CM765" s="415"/>
      <c r="CN765" s="321"/>
      <c r="CO765" s="415"/>
      <c r="CP765" s="321"/>
      <c r="CQ765" s="321"/>
      <c r="CR765" s="321"/>
      <c r="CS765" s="415"/>
    </row>
    <row r="766" spans="1:100">
      <c r="A766" s="415"/>
      <c r="B766" s="415"/>
      <c r="C766" s="321"/>
      <c r="D766" s="321"/>
      <c r="E766" s="321"/>
      <c r="F766" s="415"/>
      <c r="G766" s="415"/>
      <c r="H766" s="321"/>
      <c r="I766" s="321"/>
      <c r="J766" s="321"/>
      <c r="K766" s="321"/>
      <c r="L766" s="321"/>
      <c r="M766" s="415"/>
      <c r="N766" s="321"/>
      <c r="O766" s="321"/>
      <c r="P766" s="321"/>
      <c r="Q766" s="321"/>
      <c r="R766" s="321"/>
      <c r="S766" s="415"/>
      <c r="T766" s="321"/>
      <c r="U766" s="409"/>
      <c r="V766" s="321"/>
      <c r="W766" s="321"/>
      <c r="X766" s="321"/>
      <c r="Y766" s="415"/>
      <c r="Z766" s="321"/>
      <c r="AA766" s="321"/>
      <c r="AB766" s="415"/>
      <c r="AC766" s="321"/>
      <c r="AD766" s="321"/>
      <c r="AE766" s="415"/>
      <c r="AF766" s="415"/>
      <c r="AG766" s="415"/>
      <c r="AH766" s="415"/>
      <c r="AI766" s="321"/>
      <c r="AJ766" s="321"/>
      <c r="AK766" s="321"/>
      <c r="AL766" s="415"/>
      <c r="AM766" s="415"/>
      <c r="AN766" s="321"/>
      <c r="AO766" s="321"/>
      <c r="AP766" s="321"/>
      <c r="AQ766" s="321"/>
      <c r="AR766" s="321"/>
      <c r="AS766" s="415"/>
      <c r="AT766" s="321"/>
      <c r="AU766" s="321"/>
      <c r="AV766" s="321"/>
      <c r="AW766" s="321"/>
      <c r="AX766" s="321"/>
      <c r="AY766" s="415"/>
      <c r="AZ766" s="321"/>
      <c r="BA766" s="409"/>
      <c r="BB766" s="321"/>
      <c r="BC766" s="321"/>
      <c r="BD766" s="321"/>
      <c r="BE766" s="415"/>
      <c r="BF766" s="321"/>
      <c r="BG766" s="321"/>
      <c r="BH766" s="415"/>
      <c r="BI766" s="321"/>
      <c r="BJ766" s="321"/>
      <c r="BK766" s="415"/>
      <c r="BL766" s="415"/>
      <c r="BM766" s="177"/>
      <c r="BN766" s="415"/>
      <c r="BO766" s="415"/>
      <c r="BP766" s="321"/>
      <c r="BQ766" s="321"/>
      <c r="BR766" s="321"/>
      <c r="BS766" s="415"/>
      <c r="BT766" s="415"/>
      <c r="BU766" s="321"/>
      <c r="BV766" s="321"/>
      <c r="BW766" s="321"/>
      <c r="BX766" s="321"/>
      <c r="BY766" s="321"/>
      <c r="BZ766" s="415"/>
      <c r="CA766" s="321"/>
      <c r="CB766" s="321"/>
      <c r="CC766" s="321"/>
      <c r="CD766" s="321"/>
      <c r="CE766" s="321"/>
      <c r="CF766" s="415"/>
      <c r="CG766" s="321"/>
      <c r="CH766" s="409"/>
      <c r="CI766" s="321"/>
      <c r="CJ766" s="321"/>
      <c r="CK766" s="321"/>
      <c r="CL766" s="415"/>
      <c r="CM766" s="321"/>
      <c r="CN766" s="321"/>
      <c r="CO766" s="415"/>
      <c r="CP766" s="321"/>
      <c r="CQ766" s="321"/>
      <c r="CR766" s="415"/>
      <c r="CS766" s="415"/>
    </row>
    <row r="767" spans="1:100">
      <c r="A767" s="415"/>
      <c r="B767" s="321"/>
      <c r="C767" s="415"/>
      <c r="D767" s="321"/>
      <c r="E767" s="415"/>
      <c r="F767" s="321"/>
      <c r="G767" s="415"/>
      <c r="H767" s="321"/>
      <c r="I767" s="415"/>
      <c r="J767" s="321"/>
      <c r="K767" s="321"/>
      <c r="L767" s="321"/>
      <c r="M767" s="415"/>
      <c r="N767" s="321"/>
      <c r="O767" s="321"/>
      <c r="P767" s="321"/>
      <c r="Q767" s="321"/>
      <c r="R767" s="321"/>
      <c r="S767" s="415"/>
      <c r="T767" s="321"/>
      <c r="U767" s="415"/>
      <c r="V767" s="321"/>
      <c r="W767" s="321"/>
      <c r="X767" s="321"/>
      <c r="Y767" s="415"/>
      <c r="Z767" s="321"/>
      <c r="AA767" s="321"/>
      <c r="AB767" s="321"/>
      <c r="AC767" s="321"/>
      <c r="AD767" s="415"/>
      <c r="AE767" s="321"/>
      <c r="AF767" s="415"/>
      <c r="AG767" s="415"/>
      <c r="AH767" s="415"/>
      <c r="AI767" s="415"/>
      <c r="AJ767" s="321"/>
      <c r="AK767" s="415"/>
      <c r="AL767" s="321"/>
      <c r="AM767" s="415"/>
      <c r="AN767" s="321"/>
      <c r="AO767" s="415"/>
      <c r="AP767" s="321"/>
      <c r="AQ767" s="321"/>
      <c r="AR767" s="321"/>
      <c r="AS767" s="415"/>
      <c r="AT767" s="321"/>
      <c r="AU767" s="321"/>
      <c r="AV767" s="321"/>
      <c r="AW767" s="321"/>
      <c r="AX767" s="321"/>
      <c r="AY767" s="415"/>
      <c r="AZ767" s="321"/>
      <c r="BA767" s="415"/>
      <c r="BB767" s="321"/>
      <c r="BC767" s="321"/>
      <c r="BD767" s="321"/>
      <c r="BE767" s="415"/>
      <c r="BF767" s="321"/>
      <c r="BG767" s="321"/>
      <c r="BH767" s="321"/>
      <c r="BI767" s="321"/>
      <c r="BJ767" s="415"/>
      <c r="BK767" s="415"/>
      <c r="BL767" s="415"/>
      <c r="BM767" s="177"/>
      <c r="BN767" s="415"/>
      <c r="BO767" s="415"/>
      <c r="BP767" s="415"/>
      <c r="BQ767" s="321"/>
      <c r="BR767" s="415"/>
      <c r="BS767" s="321"/>
      <c r="BT767" s="415"/>
      <c r="BU767" s="321"/>
      <c r="BV767" s="415"/>
      <c r="BW767" s="321"/>
      <c r="BX767" s="321"/>
      <c r="BY767" s="321"/>
      <c r="BZ767" s="415"/>
      <c r="CA767" s="321"/>
      <c r="CB767" s="321"/>
      <c r="CC767" s="321"/>
      <c r="CD767" s="321"/>
      <c r="CE767" s="321"/>
      <c r="CF767" s="415"/>
      <c r="CG767" s="321"/>
      <c r="CH767" s="415"/>
      <c r="CI767" s="321"/>
      <c r="CJ767" s="321"/>
      <c r="CK767" s="321"/>
      <c r="CL767" s="415"/>
      <c r="CM767" s="321"/>
      <c r="CN767" s="321"/>
      <c r="CO767" s="321"/>
      <c r="CP767" s="321"/>
      <c r="CQ767" s="415"/>
      <c r="CR767" s="415"/>
      <c r="CS767" s="415"/>
    </row>
    <row r="768" spans="1:100">
      <c r="A768" s="581"/>
      <c r="B768" s="569"/>
      <c r="C768" s="569"/>
      <c r="D768" s="581"/>
      <c r="E768" s="581"/>
      <c r="F768" s="569"/>
      <c r="G768" s="581"/>
      <c r="H768" s="569"/>
      <c r="I768" s="581"/>
      <c r="J768" s="569"/>
      <c r="K768" s="569"/>
      <c r="L768" s="569"/>
      <c r="M768" s="581"/>
      <c r="N768" s="569"/>
      <c r="O768" s="569"/>
      <c r="P768" s="569"/>
      <c r="Q768" s="569"/>
      <c r="R768" s="569"/>
      <c r="S768" s="581"/>
      <c r="T768" s="569"/>
      <c r="U768" s="581"/>
      <c r="V768" s="569"/>
      <c r="W768" s="569"/>
      <c r="X768" s="569"/>
      <c r="Y768" s="581"/>
      <c r="Z768" s="581"/>
      <c r="AA768" s="569"/>
      <c r="AB768" s="569"/>
      <c r="AC768" s="581"/>
      <c r="AD768" s="569"/>
      <c r="AE768" s="569"/>
      <c r="AF768" s="581"/>
      <c r="AG768" s="581"/>
      <c r="AH768" s="581"/>
      <c r="AI768" s="581"/>
      <c r="AJ768" s="581"/>
      <c r="AK768" s="581"/>
      <c r="AL768" s="569"/>
      <c r="AM768" s="581"/>
      <c r="AN768" s="569"/>
      <c r="AO768" s="581"/>
      <c r="AP768" s="569"/>
      <c r="AQ768" s="569"/>
      <c r="AR768" s="569"/>
      <c r="AS768" s="581"/>
      <c r="AT768" s="569"/>
      <c r="AU768" s="569"/>
      <c r="AV768" s="569"/>
      <c r="AW768" s="569"/>
      <c r="AX768" s="569"/>
      <c r="AY768" s="581"/>
      <c r="AZ768" s="569"/>
      <c r="BA768" s="581"/>
      <c r="BB768" s="569"/>
      <c r="BC768" s="569"/>
      <c r="BD768" s="569"/>
      <c r="BE768" s="581"/>
      <c r="BF768" s="581"/>
      <c r="BG768" s="569"/>
      <c r="BH768" s="569"/>
      <c r="BI768" s="581"/>
      <c r="BJ768" s="581"/>
      <c r="BK768" s="581"/>
      <c r="BL768" s="581"/>
      <c r="BM768" s="74"/>
      <c r="BN768" s="581"/>
      <c r="BO768" s="581"/>
      <c r="BP768" s="581"/>
      <c r="BQ768" s="581"/>
      <c r="BR768" s="581"/>
      <c r="BS768" s="569"/>
      <c r="BT768" s="581"/>
      <c r="BU768" s="569"/>
      <c r="BV768" s="581"/>
      <c r="BW768" s="569"/>
      <c r="BX768" s="569"/>
      <c r="BY768" s="569"/>
      <c r="BZ768" s="581"/>
      <c r="CA768" s="569"/>
      <c r="CB768" s="569"/>
      <c r="CC768" s="569"/>
      <c r="CD768" s="569"/>
      <c r="CE768" s="569"/>
      <c r="CF768" s="581"/>
      <c r="CG768" s="569"/>
      <c r="CH768" s="581"/>
      <c r="CI768" s="569"/>
      <c r="CJ768" s="569"/>
      <c r="CK768" s="569"/>
      <c r="CL768" s="581"/>
      <c r="CM768" s="581"/>
      <c r="CN768" s="569"/>
      <c r="CO768" s="569"/>
      <c r="CP768" s="581"/>
      <c r="CQ768" s="581"/>
      <c r="CR768" s="581"/>
      <c r="CS768" s="581"/>
    </row>
    <row r="769" spans="1:100">
      <c r="A769" s="2264"/>
      <c r="B769" s="2265"/>
      <c r="C769" s="171"/>
      <c r="D769" s="172"/>
      <c r="E769" s="172"/>
      <c r="F769" s="172"/>
      <c r="G769" s="172"/>
      <c r="H769" s="172"/>
      <c r="I769" s="172"/>
      <c r="J769" s="172"/>
      <c r="K769" s="172"/>
      <c r="L769" s="172"/>
      <c r="M769" s="172"/>
      <c r="N769" s="173"/>
      <c r="O769" s="2267"/>
      <c r="P769" s="173"/>
      <c r="Q769" s="2264"/>
      <c r="R769" s="2265"/>
      <c r="S769" s="171"/>
      <c r="T769" s="172"/>
      <c r="U769" s="172"/>
      <c r="V769" s="172"/>
      <c r="W769" s="172"/>
      <c r="X769" s="172"/>
      <c r="Y769" s="172"/>
      <c r="Z769" s="172"/>
      <c r="AA769" s="172"/>
      <c r="AB769" s="172"/>
      <c r="AC769" s="172"/>
      <c r="AD769" s="173"/>
      <c r="AE769" s="2267"/>
      <c r="AF769" s="173"/>
      <c r="AG769" s="2264"/>
      <c r="AH769" s="2265"/>
      <c r="AI769" s="2266"/>
      <c r="AJ769" s="2266"/>
      <c r="AK769" s="2266"/>
      <c r="AL769" s="2266"/>
      <c r="AM769" s="2266"/>
      <c r="AN769" s="2266"/>
      <c r="AO769" s="2266"/>
      <c r="AP769" s="2266"/>
      <c r="AQ769" s="2266"/>
      <c r="AR769" s="2266"/>
      <c r="AS769" s="2266"/>
      <c r="AT769" s="2265"/>
      <c r="AU769" s="2267"/>
      <c r="AV769" s="2268"/>
      <c r="AW769" s="2268"/>
      <c r="AX769" s="2265"/>
      <c r="AY769" s="2266"/>
      <c r="AZ769" s="2266"/>
      <c r="BA769" s="2266"/>
      <c r="BB769" s="2266"/>
      <c r="BC769" s="2266"/>
      <c r="BD769" s="2266"/>
      <c r="BE769" s="2266"/>
      <c r="BF769" s="2266"/>
      <c r="BG769" s="2266"/>
      <c r="BH769" s="2266"/>
      <c r="BI769" s="2266"/>
      <c r="BJ769" s="2265"/>
      <c r="BK769" s="2265"/>
      <c r="BL769" s="2268"/>
      <c r="BM769" s="175">
        <v>25</v>
      </c>
      <c r="BN769" s="189"/>
      <c r="BO769" s="189"/>
      <c r="BP769" s="189"/>
      <c r="BQ769" s="189"/>
      <c r="BR769" s="189"/>
      <c r="BS769" s="189"/>
      <c r="BT769" s="189"/>
      <c r="BU769" s="189"/>
      <c r="BV769" s="189"/>
      <c r="BW769" s="189"/>
      <c r="BX769" s="189"/>
      <c r="BY769" s="189"/>
      <c r="BZ769" s="189"/>
      <c r="CA769" s="189"/>
      <c r="CB769" s="301"/>
      <c r="CD769" s="189"/>
      <c r="CE769" s="189"/>
      <c r="CF769" s="189"/>
      <c r="CG769" s="189"/>
      <c r="CH769" s="189"/>
      <c r="CI769" s="189"/>
      <c r="CJ769" s="189"/>
      <c r="CK769" s="189"/>
      <c r="CL769" s="189"/>
      <c r="CM769" s="189"/>
      <c r="CN769" s="189"/>
      <c r="CO769" s="189"/>
      <c r="CP769" s="189"/>
      <c r="CQ769" s="189"/>
      <c r="CR769" s="189"/>
      <c r="CS769" s="301"/>
    </row>
    <row r="770" spans="1:100">
      <c r="A770" s="2269"/>
      <c r="B770" s="171"/>
      <c r="C770" s="172"/>
      <c r="D770" s="174"/>
      <c r="E770" s="174"/>
      <c r="F770" s="174"/>
      <c r="G770" s="174"/>
      <c r="H770" s="174"/>
      <c r="I770" s="174"/>
      <c r="J770" s="174"/>
      <c r="K770" s="174"/>
      <c r="L770" s="174"/>
      <c r="O770" s="173"/>
      <c r="P770" s="173"/>
      <c r="Q770" s="171"/>
      <c r="R770" s="171"/>
      <c r="S770" s="172"/>
      <c r="T770" s="174"/>
      <c r="U770" s="174"/>
      <c r="V770" s="174"/>
      <c r="W770" s="174"/>
      <c r="X770" s="174"/>
      <c r="Y770" s="174"/>
      <c r="Z770" s="174"/>
      <c r="AA770" s="174"/>
      <c r="AB770" s="174"/>
      <c r="AE770" s="173"/>
      <c r="AF770" s="173"/>
      <c r="AG770" s="2269"/>
      <c r="AH770" s="175"/>
      <c r="AI770" s="175"/>
      <c r="AJ770" s="172"/>
      <c r="AK770" s="172"/>
      <c r="AL770" s="172"/>
      <c r="AM770" s="172"/>
      <c r="AN770" s="172"/>
      <c r="AO770" s="172"/>
      <c r="AP770" s="172"/>
      <c r="AQ770" s="172"/>
      <c r="AR770" s="172"/>
      <c r="AU770" s="168"/>
      <c r="AV770" s="205"/>
      <c r="AW770" s="173"/>
      <c r="AX770" s="175"/>
      <c r="AY770" s="175"/>
      <c r="AZ770" s="172"/>
      <c r="BA770" s="172"/>
      <c r="BB770" s="172"/>
      <c r="BC770" s="172"/>
      <c r="BD770" s="172"/>
      <c r="BE770" s="172"/>
      <c r="BF770" s="172"/>
      <c r="BG770" s="172"/>
      <c r="BH770" s="172"/>
      <c r="BK770" s="168"/>
      <c r="BL770" s="205"/>
      <c r="BM770" s="171"/>
      <c r="BN770" s="189"/>
      <c r="BO770" s="307"/>
      <c r="BP770" s="307"/>
      <c r="BQ770" s="307"/>
      <c r="BR770" s="307"/>
      <c r="BS770" s="307"/>
      <c r="BT770" s="307"/>
      <c r="BU770" s="307"/>
      <c r="BV770" s="307"/>
      <c r="BW770" s="307"/>
      <c r="BX770" s="307"/>
      <c r="BY770" s="307"/>
      <c r="BZ770" s="189"/>
      <c r="CA770" s="301"/>
      <c r="CB770" s="293"/>
      <c r="CD770" s="189"/>
      <c r="CE770" s="307"/>
      <c r="CF770" s="307"/>
      <c r="CG770" s="307"/>
      <c r="CH770" s="307"/>
      <c r="CI770" s="307"/>
      <c r="CJ770" s="307"/>
      <c r="CK770" s="307"/>
      <c r="CL770" s="307"/>
      <c r="CM770" s="307"/>
      <c r="CN770" s="307"/>
      <c r="CO770" s="307"/>
      <c r="CP770" s="307"/>
      <c r="CQ770" s="189"/>
      <c r="CR770" s="301"/>
      <c r="CS770" s="293"/>
    </row>
    <row r="771" spans="1:100">
      <c r="A771" s="171"/>
      <c r="B771" s="172"/>
      <c r="C771" s="174"/>
      <c r="E771" s="171"/>
      <c r="F771" s="171"/>
      <c r="G771" s="171"/>
      <c r="H771" s="171"/>
      <c r="I771" s="171"/>
      <c r="J771" s="171"/>
      <c r="K771" s="171"/>
      <c r="M771" s="172"/>
      <c r="O771" s="171"/>
      <c r="P771" s="173"/>
      <c r="Q771" s="171"/>
      <c r="R771" s="172"/>
      <c r="S771" s="174"/>
      <c r="U771" s="171"/>
      <c r="V771" s="171"/>
      <c r="W771" s="171"/>
      <c r="X771" s="171"/>
      <c r="Y771" s="171"/>
      <c r="Z771" s="171"/>
      <c r="AA771" s="171"/>
      <c r="AC771" s="172"/>
      <c r="AE771" s="171"/>
      <c r="AF771" s="173"/>
      <c r="AG771" s="2269"/>
      <c r="AH771" s="175"/>
      <c r="AI771" s="172"/>
      <c r="AK771" s="168"/>
      <c r="AL771" s="168"/>
      <c r="AM771" s="168"/>
      <c r="AN771" s="168"/>
      <c r="AO771" s="168"/>
      <c r="AP771" s="168"/>
      <c r="AQ771" s="168"/>
      <c r="AS771" s="175"/>
      <c r="AU771" s="168"/>
      <c r="AV771" s="205"/>
      <c r="AW771" s="173"/>
      <c r="AX771" s="175"/>
      <c r="AY771" s="172"/>
      <c r="BA771" s="168"/>
      <c r="BB771" s="168"/>
      <c r="BC771" s="168"/>
      <c r="BD771" s="168"/>
      <c r="BE771" s="168"/>
      <c r="BF771" s="168"/>
      <c r="BG771" s="168"/>
      <c r="BI771" s="175"/>
      <c r="BK771" s="168"/>
      <c r="BL771" s="205"/>
      <c r="BM771" s="92"/>
      <c r="BN771" s="189"/>
      <c r="BO771" s="307"/>
      <c r="BP771" s="301"/>
      <c r="BQ771" s="301"/>
      <c r="BR771" s="189"/>
      <c r="BS771" s="301"/>
      <c r="BT771" s="301"/>
      <c r="BU771" s="189"/>
      <c r="BV771" s="301"/>
      <c r="BW771" s="301"/>
      <c r="BX771" s="189"/>
      <c r="BY771" s="301"/>
      <c r="BZ771" s="301"/>
      <c r="CA771" s="297"/>
      <c r="CB771" s="293"/>
      <c r="CD771" s="189"/>
      <c r="CE771" s="307"/>
      <c r="CF771" s="301"/>
      <c r="CG771" s="189"/>
      <c r="CH771" s="301"/>
      <c r="CI771" s="301"/>
      <c r="CJ771" s="189"/>
      <c r="CK771" s="301"/>
      <c r="CL771" s="301"/>
      <c r="CM771" s="189"/>
      <c r="CN771" s="301"/>
      <c r="CO771" s="301"/>
      <c r="CP771" s="189"/>
      <c r="CQ771" s="301"/>
      <c r="CR771" s="297"/>
      <c r="CS771" s="293"/>
    </row>
    <row r="772" spans="1:100">
      <c r="A772" s="171"/>
      <c r="B772" s="172"/>
      <c r="C772" s="174"/>
      <c r="D772" s="171"/>
      <c r="M772" s="172"/>
      <c r="O772" s="171"/>
      <c r="P772" s="173"/>
      <c r="Q772" s="171"/>
      <c r="R772" s="172"/>
      <c r="S772" s="174"/>
      <c r="T772" s="171"/>
      <c r="AC772" s="172"/>
      <c r="AE772" s="171"/>
      <c r="AF772" s="173"/>
      <c r="AG772" s="2269"/>
      <c r="AH772" s="175"/>
      <c r="AI772" s="172"/>
      <c r="AJ772" s="168"/>
      <c r="AS772" s="175"/>
      <c r="AU772" s="168"/>
      <c r="AV772" s="205"/>
      <c r="AW772" s="173"/>
      <c r="AX772" s="175"/>
      <c r="AY772" s="172"/>
      <c r="AZ772" s="168"/>
      <c r="BI772" s="175"/>
      <c r="BK772" s="168"/>
      <c r="BL772" s="205"/>
      <c r="BM772" s="92"/>
      <c r="BN772" s="189"/>
      <c r="BO772" s="307"/>
      <c r="BP772" s="301"/>
      <c r="BQ772" s="301"/>
      <c r="BR772" s="189"/>
      <c r="BS772" s="301"/>
      <c r="BT772" s="301"/>
      <c r="BU772" s="189"/>
      <c r="BV772" s="301"/>
      <c r="BW772" s="301"/>
      <c r="BX772" s="189"/>
      <c r="BY772" s="301"/>
      <c r="BZ772" s="301"/>
      <c r="CA772" s="297"/>
      <c r="CB772" s="293"/>
      <c r="CD772" s="189"/>
      <c r="CE772" s="307"/>
      <c r="CF772" s="301"/>
      <c r="CG772" s="189"/>
      <c r="CH772" s="301"/>
      <c r="CI772" s="301"/>
      <c r="CJ772" s="189"/>
      <c r="CK772" s="301"/>
      <c r="CL772" s="301"/>
      <c r="CM772" s="189"/>
      <c r="CN772" s="301"/>
      <c r="CO772" s="301"/>
      <c r="CP772" s="189"/>
      <c r="CQ772" s="301"/>
      <c r="CR772" s="297"/>
      <c r="CS772" s="293"/>
    </row>
    <row r="773" spans="1:100">
      <c r="A773" s="171"/>
      <c r="B773" s="172"/>
      <c r="C773" s="174"/>
      <c r="D773" s="171"/>
      <c r="G773" s="174"/>
      <c r="M773" s="172"/>
      <c r="O773" s="171"/>
      <c r="P773" s="173"/>
      <c r="Q773" s="171"/>
      <c r="R773" s="172"/>
      <c r="S773" s="174"/>
      <c r="T773" s="171"/>
      <c r="AC773" s="172"/>
      <c r="AE773" s="171"/>
      <c r="AF773" s="173"/>
      <c r="AG773" s="2269"/>
      <c r="AH773" s="175"/>
      <c r="AI773" s="172"/>
      <c r="AJ773" s="168"/>
      <c r="AS773" s="175"/>
      <c r="AU773" s="168"/>
      <c r="AV773" s="205"/>
      <c r="AW773" s="173"/>
      <c r="AX773" s="175"/>
      <c r="AY773" s="172"/>
      <c r="AZ773" s="168"/>
      <c r="BD773" s="172"/>
      <c r="BI773" s="175"/>
      <c r="BK773" s="168"/>
      <c r="BL773" s="205"/>
      <c r="BM773" s="177"/>
      <c r="BN773" s="189"/>
      <c r="BO773" s="307"/>
      <c r="BP773" s="301"/>
      <c r="BQ773" s="301"/>
      <c r="BR773" s="189"/>
      <c r="BS773" s="301"/>
      <c r="BT773" s="301"/>
      <c r="BU773" s="189"/>
      <c r="BV773" s="301"/>
      <c r="BW773" s="301"/>
      <c r="BX773" s="301"/>
      <c r="BY773" s="301"/>
      <c r="BZ773" s="301"/>
      <c r="CA773" s="297"/>
      <c r="CB773" s="293"/>
      <c r="CD773" s="189"/>
      <c r="CE773" s="307"/>
      <c r="CF773" s="301"/>
      <c r="CG773" s="189"/>
      <c r="CH773" s="301"/>
      <c r="CI773" s="301"/>
      <c r="CJ773" s="301"/>
      <c r="CK773" s="301"/>
      <c r="CL773" s="301"/>
      <c r="CM773" s="301"/>
      <c r="CN773" s="301"/>
      <c r="CO773" s="301"/>
      <c r="CP773" s="189"/>
      <c r="CQ773" s="301"/>
      <c r="CR773" s="297"/>
      <c r="CS773" s="293"/>
    </row>
    <row r="774" spans="1:100">
      <c r="A774" s="171"/>
      <c r="B774" s="172"/>
      <c r="C774" s="174"/>
      <c r="D774" s="171"/>
      <c r="F774" s="174"/>
      <c r="M774" s="172"/>
      <c r="O774" s="171"/>
      <c r="P774" s="173"/>
      <c r="Q774" s="171"/>
      <c r="R774" s="172"/>
      <c r="S774" s="174"/>
      <c r="T774" s="171"/>
      <c r="X774" s="174"/>
      <c r="AC774" s="172"/>
      <c r="AE774" s="171"/>
      <c r="AF774" s="173"/>
      <c r="AG774" s="2269"/>
      <c r="AH774" s="175"/>
      <c r="AI774" s="172"/>
      <c r="AJ774" s="168"/>
      <c r="AS774" s="175"/>
      <c r="AU774" s="168"/>
      <c r="AV774" s="205"/>
      <c r="AW774" s="173"/>
      <c r="AX774" s="175"/>
      <c r="AY774" s="172"/>
      <c r="AZ774" s="168"/>
      <c r="BC774" s="172"/>
      <c r="BI774" s="175"/>
      <c r="BK774" s="168"/>
      <c r="BL774" s="205"/>
      <c r="BM774" s="177">
        <v>2</v>
      </c>
      <c r="BN774" s="189"/>
      <c r="BO774" s="307"/>
      <c r="BP774" s="301"/>
      <c r="BQ774" s="301"/>
      <c r="BR774" s="301"/>
      <c r="BS774" s="301"/>
      <c r="BT774" s="301"/>
      <c r="BU774" s="189"/>
      <c r="BV774" s="301"/>
      <c r="BW774" s="301"/>
      <c r="BX774" s="189"/>
      <c r="BY774" s="301"/>
      <c r="BZ774" s="301"/>
      <c r="CA774" s="297"/>
      <c r="CB774" s="293"/>
      <c r="CD774" s="189"/>
      <c r="CE774" s="307"/>
      <c r="CF774" s="301"/>
      <c r="CG774" s="301"/>
      <c r="CH774" s="301"/>
      <c r="CI774" s="301"/>
      <c r="CJ774" s="301"/>
      <c r="CK774" s="301"/>
      <c r="CL774" s="301"/>
      <c r="CM774" s="189"/>
      <c r="CN774" s="301"/>
      <c r="CO774" s="301"/>
      <c r="CP774" s="189"/>
      <c r="CQ774" s="301"/>
      <c r="CR774" s="297"/>
      <c r="CS774" s="293"/>
    </row>
    <row r="775" spans="1:100">
      <c r="A775" s="171"/>
      <c r="B775" s="172"/>
      <c r="C775" s="174"/>
      <c r="D775" s="171"/>
      <c r="M775" s="172"/>
      <c r="O775" s="171"/>
      <c r="P775" s="173"/>
      <c r="Q775" s="171"/>
      <c r="R775" s="172"/>
      <c r="S775" s="174"/>
      <c r="T775" s="171"/>
      <c r="W775" s="174"/>
      <c r="AC775" s="172"/>
      <c r="AE775" s="171"/>
      <c r="AF775" s="173"/>
      <c r="AG775" s="2269"/>
      <c r="AH775" s="175"/>
      <c r="AI775" s="172"/>
      <c r="AJ775" s="168"/>
      <c r="AS775" s="175"/>
      <c r="AU775" s="168"/>
      <c r="AV775" s="205"/>
      <c r="AW775" s="173"/>
      <c r="AX775" s="175"/>
      <c r="AY775" s="172"/>
      <c r="AZ775" s="168"/>
      <c r="BB775" s="172"/>
      <c r="BI775" s="175"/>
      <c r="BK775" s="168"/>
      <c r="BL775" s="205"/>
      <c r="BM775" s="177"/>
      <c r="BN775" s="189"/>
      <c r="BO775" s="307"/>
      <c r="BP775" s="301"/>
      <c r="BQ775" s="301"/>
      <c r="BR775" s="189"/>
      <c r="BS775" s="301"/>
      <c r="BT775" s="301"/>
      <c r="BU775" s="301"/>
      <c r="BV775" s="301"/>
      <c r="BW775" s="301"/>
      <c r="BX775" s="301"/>
      <c r="BY775" s="301"/>
      <c r="BZ775" s="301"/>
      <c r="CA775" s="297"/>
      <c r="CB775" s="293"/>
      <c r="CD775" s="189"/>
      <c r="CE775" s="307"/>
      <c r="CF775" s="301"/>
      <c r="CG775" s="189"/>
      <c r="CH775" s="301"/>
      <c r="CI775" s="301"/>
      <c r="CJ775" s="301"/>
      <c r="CK775" s="301"/>
      <c r="CL775" s="301"/>
      <c r="CM775" s="301"/>
      <c r="CN775" s="301"/>
      <c r="CO775" s="301"/>
      <c r="CP775" s="301"/>
      <c r="CQ775" s="301"/>
      <c r="CR775" s="297"/>
      <c r="CS775" s="293"/>
    </row>
    <row r="776" spans="1:100">
      <c r="A776" s="171"/>
      <c r="B776" s="172"/>
      <c r="C776" s="174"/>
      <c r="D776" s="171"/>
      <c r="J776" s="172"/>
      <c r="M776" s="172"/>
      <c r="O776" s="171"/>
      <c r="P776" s="173"/>
      <c r="Q776" s="171"/>
      <c r="R776" s="172"/>
      <c r="S776" s="174"/>
      <c r="T776" s="171"/>
      <c r="V776" s="174"/>
      <c r="AC776" s="172"/>
      <c r="AE776" s="171"/>
      <c r="AF776" s="173"/>
      <c r="BM776" s="177"/>
      <c r="BN776" s="189"/>
      <c r="BO776" s="307"/>
      <c r="BP776" s="301"/>
      <c r="BQ776" s="301"/>
      <c r="BR776" s="189"/>
      <c r="BS776" s="301"/>
      <c r="BT776" s="301"/>
      <c r="BU776" s="301"/>
      <c r="BV776" s="301"/>
      <c r="BW776" s="301"/>
      <c r="BX776" s="301"/>
      <c r="BY776" s="301"/>
      <c r="BZ776" s="301"/>
      <c r="CA776" s="297"/>
      <c r="CB776" s="293"/>
      <c r="CD776" s="189"/>
      <c r="CE776" s="307"/>
      <c r="CF776" s="301"/>
      <c r="CG776" s="301"/>
      <c r="CH776" s="301"/>
      <c r="CI776" s="301"/>
      <c r="CJ776" s="301"/>
      <c r="CK776" s="301"/>
      <c r="CL776" s="301"/>
      <c r="CM776" s="301"/>
      <c r="CN776" s="301"/>
      <c r="CO776" s="301"/>
      <c r="CP776" s="189"/>
      <c r="CQ776" s="301"/>
      <c r="CR776" s="297"/>
      <c r="CS776" s="293"/>
      <c r="CU776">
        <v>4</v>
      </c>
    </row>
    <row r="777" spans="1:100">
      <c r="A777" s="171"/>
      <c r="B777" s="172"/>
      <c r="C777" s="174"/>
      <c r="D777" s="171"/>
      <c r="I777" s="172"/>
      <c r="M777" s="172"/>
      <c r="O777" s="171"/>
      <c r="P777" s="173"/>
      <c r="Q777" s="171"/>
      <c r="R777" s="172"/>
      <c r="S777" s="174"/>
      <c r="T777" s="171"/>
      <c r="AC777" s="172"/>
      <c r="AE777" s="171"/>
      <c r="AF777" s="173"/>
      <c r="AG777" s="2269"/>
      <c r="AH777" s="175"/>
      <c r="AI777" s="172"/>
      <c r="AJ777" s="168"/>
      <c r="AP777" s="175"/>
      <c r="AS777" s="175"/>
      <c r="AU777" s="168"/>
      <c r="AV777" s="205"/>
      <c r="AW777" s="173"/>
      <c r="AX777" s="175"/>
      <c r="AY777" s="172"/>
      <c r="AZ777" s="168"/>
      <c r="BI777" s="175"/>
      <c r="BK777" s="168"/>
      <c r="BL777" s="205"/>
      <c r="BM777" s="177"/>
      <c r="BN777" s="189"/>
      <c r="BO777" s="307"/>
      <c r="BP777" s="301"/>
      <c r="BQ777" s="301"/>
      <c r="BR777" s="301"/>
      <c r="BS777" s="301"/>
      <c r="BT777" s="301"/>
      <c r="BU777" s="301"/>
      <c r="BV777" s="301"/>
      <c r="BW777" s="301"/>
      <c r="BX777" s="301"/>
      <c r="BY777" s="301"/>
      <c r="BZ777" s="301"/>
      <c r="CA777" s="297"/>
      <c r="CB777" s="293"/>
      <c r="CD777" s="189"/>
      <c r="CE777" s="307"/>
      <c r="CF777" s="301"/>
      <c r="CG777" s="301"/>
      <c r="CH777" s="301"/>
      <c r="CI777" s="301"/>
      <c r="CJ777" s="301"/>
      <c r="CK777" s="301"/>
      <c r="CL777" s="301"/>
      <c r="CM777" s="301"/>
      <c r="CN777" s="301"/>
      <c r="CO777" s="301"/>
      <c r="CP777" s="301"/>
      <c r="CQ777" s="301"/>
      <c r="CR777" s="297"/>
      <c r="CS777" s="293"/>
    </row>
    <row r="778" spans="1:100">
      <c r="A778" s="171"/>
      <c r="B778" s="172"/>
      <c r="C778" s="174"/>
      <c r="D778" s="171"/>
      <c r="H778" s="172"/>
      <c r="M778" s="172"/>
      <c r="O778" s="171"/>
      <c r="P778" s="173"/>
      <c r="Q778" s="171"/>
      <c r="R778" s="172"/>
      <c r="S778" s="174"/>
      <c r="T778" s="171"/>
      <c r="AC778" s="172"/>
      <c r="AE778" s="171"/>
      <c r="AF778" s="173"/>
      <c r="AG778" s="2269"/>
      <c r="AH778" s="175"/>
      <c r="AI778" s="172"/>
      <c r="AJ778" s="168"/>
      <c r="AO778" s="175"/>
      <c r="AS778" s="175"/>
      <c r="AU778" s="168"/>
      <c r="AV778" s="205"/>
      <c r="AW778" s="173"/>
      <c r="AX778" s="175"/>
      <c r="AY778" s="172"/>
      <c r="AZ778" s="168"/>
      <c r="BI778" s="175"/>
      <c r="BK778" s="168"/>
      <c r="BL778" s="205"/>
      <c r="BM778" s="177"/>
      <c r="CV778">
        <v>9</v>
      </c>
    </row>
    <row r="779" spans="1:100">
      <c r="A779" s="171"/>
      <c r="B779" s="172"/>
      <c r="C779" s="174"/>
      <c r="D779" s="171"/>
      <c r="G779" s="172"/>
      <c r="M779" s="172"/>
      <c r="O779" s="171"/>
      <c r="P779" s="173"/>
      <c r="Q779" s="171"/>
      <c r="R779" s="172"/>
      <c r="S779" s="174"/>
      <c r="T779" s="171"/>
      <c r="AC779" s="172"/>
      <c r="AE779" s="171"/>
      <c r="AF779" s="173"/>
      <c r="AG779" s="2269"/>
      <c r="AH779" s="175"/>
      <c r="AI779" s="172"/>
      <c r="AJ779" s="168"/>
      <c r="AN779" s="175"/>
      <c r="AS779" s="175"/>
      <c r="AU779" s="168"/>
      <c r="AV779" s="205"/>
      <c r="AW779" s="173"/>
      <c r="AX779" s="175"/>
      <c r="AY779" s="172"/>
      <c r="AZ779" s="168"/>
      <c r="BF779" s="175"/>
      <c r="BI779" s="175"/>
      <c r="BK779" s="168"/>
      <c r="BL779" s="205"/>
      <c r="BM779" s="177"/>
      <c r="CV779">
        <v>9</v>
      </c>
    </row>
    <row r="780" spans="1:100">
      <c r="A780" s="171"/>
      <c r="B780" s="172"/>
      <c r="C780" s="174"/>
      <c r="D780" s="171"/>
      <c r="K780" s="172"/>
      <c r="M780" s="172"/>
      <c r="O780" s="171"/>
      <c r="P780" s="173"/>
      <c r="Q780" s="171"/>
      <c r="R780" s="172"/>
      <c r="S780" s="174"/>
      <c r="T780" s="171"/>
      <c r="Z780" s="172"/>
      <c r="AC780" s="172"/>
      <c r="AE780" s="171"/>
      <c r="AF780" s="173"/>
      <c r="AG780" s="2269"/>
      <c r="AH780" s="175"/>
      <c r="AI780" s="172"/>
      <c r="AJ780" s="168"/>
      <c r="AS780" s="175"/>
      <c r="AU780" s="168"/>
      <c r="AV780" s="205"/>
      <c r="AW780" s="173"/>
      <c r="AX780" s="175"/>
      <c r="AY780" s="172"/>
      <c r="AZ780" s="168"/>
      <c r="BE780" s="175"/>
      <c r="BI780" s="175"/>
      <c r="BK780" s="168"/>
      <c r="BL780" s="205"/>
      <c r="BM780" s="177"/>
      <c r="BN780" s="189"/>
      <c r="BO780" s="307"/>
      <c r="BP780" s="301"/>
      <c r="BQ780" s="301"/>
      <c r="BR780" s="301"/>
      <c r="BS780" s="301"/>
      <c r="BT780" s="301"/>
      <c r="BU780" s="301"/>
      <c r="BV780" s="297"/>
      <c r="BW780" s="297"/>
      <c r="BX780" s="297"/>
      <c r="BY780" s="297"/>
      <c r="BZ780" s="297"/>
      <c r="CA780" s="297"/>
      <c r="CB780" s="293"/>
      <c r="CD780" s="189"/>
      <c r="CE780" s="301"/>
      <c r="CF780" s="297"/>
      <c r="CG780" s="297"/>
      <c r="CH780" s="297"/>
      <c r="CI780" s="297"/>
      <c r="CJ780" s="297"/>
      <c r="CK780" s="301"/>
      <c r="CL780" s="301"/>
      <c r="CM780" s="301"/>
      <c r="CN780" s="301"/>
      <c r="CO780" s="301"/>
      <c r="CP780" s="301"/>
      <c r="CQ780" s="301"/>
      <c r="CR780" s="297"/>
      <c r="CS780" s="293"/>
    </row>
    <row r="781" spans="1:100">
      <c r="A781" s="171"/>
      <c r="B781" s="172"/>
      <c r="C781" s="174"/>
      <c r="D781" s="171"/>
      <c r="J781" s="172"/>
      <c r="M781" s="172"/>
      <c r="O781" s="171"/>
      <c r="P781" s="173"/>
      <c r="Q781" s="171"/>
      <c r="R781" s="172"/>
      <c r="S781" s="174"/>
      <c r="T781" s="171"/>
      <c r="Y781" s="172"/>
      <c r="AC781" s="172"/>
      <c r="AE781" s="171"/>
      <c r="AF781" s="173"/>
      <c r="AG781" s="2269"/>
      <c r="AH781" s="175"/>
      <c r="AI781" s="172"/>
      <c r="AJ781" s="168"/>
      <c r="AS781" s="175"/>
      <c r="AU781" s="168"/>
      <c r="AV781" s="205"/>
      <c r="AW781" s="173"/>
      <c r="AX781" s="175"/>
      <c r="AY781" s="172"/>
      <c r="AZ781" s="168"/>
      <c r="BD781" s="175"/>
      <c r="BI781" s="175"/>
      <c r="BK781" s="168"/>
      <c r="BL781" s="205"/>
      <c r="BM781" s="177"/>
      <c r="BN781" s="189"/>
      <c r="BO781" s="307"/>
      <c r="BP781" s="301"/>
      <c r="BQ781" s="301"/>
      <c r="BR781" s="301"/>
      <c r="BS781" s="301"/>
      <c r="BT781" s="301"/>
      <c r="BU781" s="301"/>
      <c r="BV781" s="297"/>
      <c r="BW781" s="293"/>
      <c r="BX781" s="293"/>
      <c r="BY781" s="293"/>
      <c r="BZ781" s="293"/>
      <c r="CA781" s="293"/>
      <c r="CB781" s="293"/>
      <c r="CD781" s="301"/>
      <c r="CE781" s="293"/>
      <c r="CF781" s="293"/>
      <c r="CG781" s="293"/>
      <c r="CH781" s="293"/>
      <c r="CI781" s="297"/>
      <c r="CJ781" s="189"/>
      <c r="CK781" s="301"/>
      <c r="CL781" s="301"/>
      <c r="CM781" s="301"/>
      <c r="CN781" s="301"/>
      <c r="CO781" s="301"/>
      <c r="CP781" s="301"/>
      <c r="CQ781" s="301"/>
      <c r="CR781" s="297"/>
      <c r="CS781" s="293"/>
    </row>
    <row r="782" spans="1:100">
      <c r="BM782" s="177"/>
      <c r="BN782" s="189"/>
      <c r="BO782" s="307"/>
      <c r="BP782" s="301"/>
      <c r="BQ782" s="301"/>
      <c r="BR782" s="301"/>
      <c r="BS782" s="301"/>
      <c r="BT782" s="301"/>
      <c r="BU782" s="301"/>
      <c r="BV782" s="297"/>
      <c r="BW782" s="293"/>
      <c r="CI782" s="301"/>
      <c r="CJ782" s="189"/>
      <c r="CK782" s="301"/>
      <c r="CL782" s="301"/>
      <c r="CM782" s="301"/>
      <c r="CN782" s="301"/>
      <c r="CO782" s="301"/>
      <c r="CP782" s="301"/>
      <c r="CQ782" s="301"/>
      <c r="CR782" s="297"/>
      <c r="CS782" s="293"/>
      <c r="CT782">
        <v>4</v>
      </c>
      <c r="CU782">
        <v>4</v>
      </c>
    </row>
    <row r="783" spans="1:100">
      <c r="BM783" s="177"/>
      <c r="CT783">
        <v>4</v>
      </c>
      <c r="CU783">
        <v>4</v>
      </c>
      <c r="CV783">
        <v>14</v>
      </c>
    </row>
    <row r="784" spans="1:100">
      <c r="A784" s="171"/>
      <c r="B784" s="172"/>
      <c r="C784" s="174"/>
      <c r="L784" s="172"/>
      <c r="M784" s="172"/>
      <c r="O784" s="171"/>
      <c r="P784" s="173"/>
      <c r="Q784" s="171"/>
      <c r="R784" s="172"/>
      <c r="S784" s="174"/>
      <c r="AB784" s="172"/>
      <c r="AC784" s="172"/>
      <c r="AE784" s="171"/>
      <c r="AF784" s="173"/>
      <c r="AG784" s="2269"/>
      <c r="AH784" s="175"/>
      <c r="AI784" s="172"/>
      <c r="AR784" s="175"/>
      <c r="AS784" s="175"/>
      <c r="AU784" s="168"/>
      <c r="AV784" s="205"/>
      <c r="AW784" s="173"/>
      <c r="AX784" s="175"/>
      <c r="AY784" s="172"/>
      <c r="BH784" s="175"/>
      <c r="BI784" s="175"/>
      <c r="BK784" s="168"/>
      <c r="BL784" s="205"/>
      <c r="BM784" s="177"/>
      <c r="BN784" s="189"/>
      <c r="BO784" s="189"/>
      <c r="BP784" s="301"/>
      <c r="BQ784" s="301"/>
      <c r="BR784" s="301"/>
      <c r="BS784" s="301"/>
      <c r="BT784" s="301"/>
      <c r="BU784" s="301"/>
      <c r="BV784" s="297"/>
      <c r="BW784" s="293"/>
      <c r="CI784" s="301"/>
      <c r="CJ784" s="189"/>
      <c r="CK784" s="301"/>
      <c r="CL784" s="301"/>
      <c r="CM784" s="301"/>
      <c r="CN784" s="301"/>
      <c r="CO784" s="301"/>
      <c r="CP784" s="301"/>
      <c r="CQ784" s="301"/>
      <c r="CR784" s="297"/>
      <c r="CS784" s="293"/>
    </row>
    <row r="785" spans="1:100">
      <c r="A785" s="171"/>
      <c r="B785" s="172"/>
      <c r="D785" s="172"/>
      <c r="E785" s="172"/>
      <c r="F785" s="172"/>
      <c r="G785" s="172"/>
      <c r="H785" s="172"/>
      <c r="I785" s="172"/>
      <c r="J785" s="172"/>
      <c r="K785" s="172"/>
      <c r="L785" s="172"/>
      <c r="O785" s="171"/>
      <c r="P785" s="173"/>
      <c r="Q785" s="171"/>
      <c r="R785" s="172"/>
      <c r="T785" s="172"/>
      <c r="U785" s="172"/>
      <c r="V785" s="172"/>
      <c r="W785" s="172"/>
      <c r="X785" s="172"/>
      <c r="Y785" s="172"/>
      <c r="Z785" s="172"/>
      <c r="AA785" s="172"/>
      <c r="AB785" s="172"/>
      <c r="AE785" s="171"/>
      <c r="AF785" s="173"/>
      <c r="AG785" s="2269"/>
      <c r="AH785" s="175"/>
      <c r="AJ785" s="175"/>
      <c r="AK785" s="175"/>
      <c r="AL785" s="175"/>
      <c r="AM785" s="175"/>
      <c r="AN785" s="175"/>
      <c r="AO785" s="175"/>
      <c r="AP785" s="175"/>
      <c r="AQ785" s="175"/>
      <c r="AR785" s="175"/>
      <c r="AU785" s="168"/>
      <c r="AV785" s="205"/>
      <c r="AW785" s="173"/>
      <c r="AX785" s="175"/>
      <c r="AZ785" s="175"/>
      <c r="BA785" s="175"/>
      <c r="BB785" s="175"/>
      <c r="BC785" s="175"/>
      <c r="BD785" s="175"/>
      <c r="BE785" s="175"/>
      <c r="BF785" s="175"/>
      <c r="BG785" s="175"/>
      <c r="BH785" s="175"/>
      <c r="BK785" s="168"/>
      <c r="BL785" s="205"/>
      <c r="BM785" s="177"/>
      <c r="BN785" s="189"/>
      <c r="BO785" s="301"/>
      <c r="BP785" s="297"/>
      <c r="BQ785" s="297"/>
      <c r="BR785" s="297"/>
      <c r="BS785" s="297"/>
      <c r="BT785" s="297"/>
      <c r="BU785" s="297"/>
      <c r="BV785" s="297"/>
      <c r="BW785" s="293"/>
      <c r="CI785" s="301"/>
      <c r="CJ785" s="301"/>
      <c r="CK785" s="297"/>
      <c r="CL785" s="297"/>
      <c r="CM785" s="297"/>
      <c r="CN785" s="297"/>
      <c r="CO785" s="297"/>
      <c r="CP785" s="297"/>
      <c r="CQ785" s="297"/>
      <c r="CR785" s="297"/>
      <c r="CS785" s="293"/>
    </row>
    <row r="786" spans="1:100">
      <c r="A786" s="171"/>
      <c r="B786" s="171"/>
      <c r="N786" s="171"/>
      <c r="O786" s="171"/>
      <c r="P786" s="173"/>
      <c r="Q786" s="171"/>
      <c r="R786" s="171"/>
      <c r="AD786" s="171"/>
      <c r="AE786" s="171"/>
      <c r="AF786" s="173"/>
      <c r="AG786" s="2269"/>
      <c r="AH786" s="168"/>
      <c r="AT786" s="168"/>
      <c r="AU786" s="168"/>
      <c r="AV786" s="205"/>
      <c r="AW786" s="173"/>
      <c r="AX786" s="168"/>
      <c r="BJ786" s="168"/>
      <c r="BK786" s="168"/>
      <c r="BL786" s="205"/>
      <c r="BM786" s="177"/>
      <c r="BN786" s="301"/>
      <c r="BO786" s="293"/>
      <c r="BP786" s="293"/>
      <c r="BQ786" s="293"/>
      <c r="BR786" s="293"/>
      <c r="BS786" s="293"/>
      <c r="BT786" s="293"/>
      <c r="BU786" s="293"/>
      <c r="BV786" s="293"/>
      <c r="BW786" s="293"/>
      <c r="CI786" s="297"/>
      <c r="CJ786" s="293"/>
      <c r="CK786" s="293"/>
      <c r="CL786" s="293"/>
      <c r="CM786" s="293"/>
      <c r="CN786" s="293"/>
      <c r="CO786" s="293"/>
      <c r="CP786" s="293"/>
      <c r="CQ786" s="293"/>
      <c r="CR786" s="293"/>
      <c r="CS786" s="293"/>
    </row>
    <row r="787" spans="1:100">
      <c r="A787" s="173"/>
      <c r="B787" s="171"/>
      <c r="C787" s="171"/>
      <c r="D787" s="171"/>
      <c r="E787" s="171"/>
      <c r="F787" s="171"/>
      <c r="G787" s="171"/>
      <c r="H787" s="171"/>
      <c r="I787" s="171"/>
      <c r="J787" s="171"/>
      <c r="K787" s="171"/>
      <c r="L787" s="171"/>
      <c r="M787" s="171"/>
      <c r="N787" s="171"/>
      <c r="O787" s="168"/>
      <c r="P787" s="173"/>
      <c r="Q787" s="173"/>
      <c r="R787" s="171"/>
      <c r="S787" s="171"/>
      <c r="T787" s="171"/>
      <c r="U787" s="171"/>
      <c r="V787" s="171"/>
      <c r="W787" s="171"/>
      <c r="X787" s="171"/>
      <c r="Y787" s="171"/>
      <c r="Z787" s="171"/>
      <c r="AA787" s="171"/>
      <c r="AB787" s="171"/>
      <c r="AC787" s="171"/>
      <c r="AD787" s="171"/>
      <c r="AE787" s="168"/>
      <c r="AF787" s="173"/>
      <c r="AG787" s="2269"/>
      <c r="AH787" s="168"/>
      <c r="AI787" s="168"/>
      <c r="AJ787" s="168"/>
      <c r="AK787" s="168"/>
      <c r="AL787" s="168"/>
      <c r="AM787" s="168"/>
      <c r="AN787" s="168"/>
      <c r="AO787" s="168"/>
      <c r="AP787" s="168"/>
      <c r="AQ787" s="168"/>
      <c r="AR787" s="168"/>
      <c r="AS787" s="168"/>
      <c r="AT787" s="168"/>
      <c r="AU787" s="168"/>
      <c r="AV787" s="205"/>
      <c r="AW787" s="173"/>
      <c r="AX787" s="168"/>
      <c r="AY787" s="168"/>
      <c r="AZ787" s="168"/>
      <c r="BA787" s="168"/>
      <c r="BB787" s="168"/>
      <c r="BC787" s="168"/>
      <c r="BD787" s="168"/>
      <c r="BE787" s="168"/>
      <c r="BF787" s="168"/>
      <c r="BG787" s="168"/>
      <c r="BH787" s="168"/>
      <c r="BI787" s="168"/>
      <c r="BJ787" s="168"/>
      <c r="BK787" s="168"/>
      <c r="BL787" s="205"/>
      <c r="BM787" s="177"/>
      <c r="BN787" s="92"/>
    </row>
    <row r="788" spans="1:100">
      <c r="A788" s="173"/>
      <c r="B788" s="173"/>
      <c r="C788" s="173"/>
      <c r="D788" s="173"/>
      <c r="E788" s="173"/>
      <c r="F788" s="173"/>
      <c r="G788" s="173"/>
      <c r="H788" s="173"/>
      <c r="I788" s="173"/>
      <c r="J788" s="173"/>
      <c r="K788" s="173"/>
      <c r="L788" s="173"/>
      <c r="M788" s="173"/>
      <c r="N788" s="173"/>
      <c r="O788" s="173"/>
      <c r="P788" s="206"/>
      <c r="Q788" s="173"/>
      <c r="R788" s="173"/>
      <c r="S788" s="173"/>
      <c r="T788" s="173"/>
      <c r="U788" s="173"/>
      <c r="V788" s="173"/>
      <c r="W788" s="173"/>
      <c r="X788" s="173"/>
      <c r="Y788" s="173"/>
      <c r="Z788" s="173"/>
      <c r="AA788" s="173"/>
      <c r="AB788" s="173"/>
      <c r="AC788" s="173"/>
      <c r="AD788" s="173"/>
      <c r="AE788" s="173"/>
      <c r="AF788" s="206"/>
      <c r="AG788" s="205"/>
      <c r="AH788" s="205"/>
      <c r="AI788" s="205"/>
      <c r="AJ788" s="205"/>
      <c r="AK788" s="205"/>
      <c r="AL788" s="205"/>
      <c r="AM788" s="205"/>
      <c r="AN788" s="205"/>
      <c r="AO788" s="205"/>
      <c r="AP788" s="205"/>
      <c r="AQ788" s="205"/>
      <c r="AR788" s="205"/>
      <c r="AS788" s="205"/>
      <c r="AT788" s="205"/>
      <c r="AU788" s="205"/>
      <c r="AV788" s="205"/>
      <c r="AW788" s="205"/>
      <c r="AX788" s="205"/>
      <c r="AY788" s="205"/>
      <c r="AZ788" s="205"/>
      <c r="BA788" s="205"/>
      <c r="BB788" s="205"/>
      <c r="BC788" s="205"/>
      <c r="BD788" s="205"/>
      <c r="BE788" s="205"/>
      <c r="BF788" s="205"/>
      <c r="BG788" s="205"/>
      <c r="BH788" s="205"/>
      <c r="BI788" s="205"/>
      <c r="BJ788" s="205"/>
      <c r="BK788" s="205"/>
      <c r="BL788" s="205"/>
      <c r="BM788" s="177"/>
      <c r="BN788" s="92"/>
    </row>
    <row r="789" spans="1:100">
      <c r="A789" s="175"/>
      <c r="B789" s="2272"/>
      <c r="C789" s="172"/>
      <c r="D789" s="172"/>
      <c r="E789" s="172"/>
      <c r="F789" s="172"/>
      <c r="G789" s="172"/>
      <c r="H789" s="172"/>
      <c r="I789" s="172"/>
      <c r="J789" s="172"/>
      <c r="K789" s="172"/>
      <c r="L789" s="172"/>
      <c r="M789" s="172"/>
      <c r="N789" s="172"/>
      <c r="O789" s="175"/>
      <c r="P789" s="206"/>
      <c r="Q789" s="171"/>
      <c r="R789" s="172"/>
      <c r="S789" s="172"/>
      <c r="T789" s="172"/>
      <c r="U789" s="172"/>
      <c r="V789" s="172"/>
      <c r="W789" s="172"/>
      <c r="X789" s="172"/>
      <c r="Y789" s="172"/>
      <c r="Z789" s="172"/>
      <c r="AA789" s="172"/>
      <c r="AB789" s="172"/>
      <c r="AC789" s="172"/>
      <c r="AD789" s="172"/>
      <c r="AE789" s="175"/>
      <c r="AF789" s="173"/>
      <c r="AG789" s="2272"/>
      <c r="AH789" s="175"/>
      <c r="AI789" s="175"/>
      <c r="AJ789" s="175"/>
      <c r="AK789" s="175"/>
      <c r="AL789" s="175"/>
      <c r="AM789" s="175"/>
      <c r="AN789" s="175"/>
      <c r="AO789" s="175"/>
      <c r="AP789" s="175"/>
      <c r="AQ789" s="175"/>
      <c r="AR789" s="175"/>
      <c r="AS789" s="175"/>
      <c r="AT789" s="175"/>
      <c r="AU789" s="171"/>
      <c r="AV789" s="205"/>
      <c r="AW789" s="175"/>
      <c r="AX789" s="175"/>
      <c r="AY789" s="175"/>
      <c r="AZ789" s="175"/>
      <c r="BA789" s="175"/>
      <c r="BB789" s="175"/>
      <c r="BC789" s="175"/>
      <c r="BD789" s="175"/>
      <c r="BE789" s="175"/>
      <c r="BF789" s="175"/>
      <c r="BG789" s="175"/>
      <c r="BH789" s="175"/>
      <c r="BI789" s="175"/>
      <c r="BJ789" s="175"/>
      <c r="BK789" s="171"/>
      <c r="BL789" s="205"/>
      <c r="BM789" s="177"/>
      <c r="BN789" s="189"/>
      <c r="BO789" s="189"/>
      <c r="BP789" s="189"/>
      <c r="BQ789" s="189"/>
      <c r="BR789" s="189"/>
      <c r="BS789" s="189"/>
      <c r="BT789" s="189"/>
      <c r="BU789" s="189"/>
      <c r="BV789" s="189"/>
      <c r="BW789" s="301"/>
      <c r="CI789" s="189"/>
      <c r="CJ789" s="189"/>
      <c r="CK789" s="189"/>
      <c r="CL789" s="189"/>
      <c r="CM789" s="189"/>
      <c r="CN789" s="189"/>
      <c r="CO789" s="189"/>
      <c r="CP789" s="189"/>
      <c r="CQ789" s="189"/>
      <c r="CR789" s="189"/>
      <c r="CS789" s="301"/>
    </row>
    <row r="790" spans="1:100">
      <c r="A790" s="175"/>
      <c r="B790" s="175"/>
      <c r="C790" s="163"/>
      <c r="D790" s="161"/>
      <c r="E790" s="175"/>
      <c r="F790" s="163"/>
      <c r="G790" s="161"/>
      <c r="H790" s="175"/>
      <c r="I790" s="163"/>
      <c r="J790" s="161"/>
      <c r="K790" s="175"/>
      <c r="L790" s="163"/>
      <c r="M790" s="161"/>
      <c r="N790" s="175"/>
      <c r="O790" s="171"/>
      <c r="P790" s="206"/>
      <c r="Q790" s="175"/>
      <c r="R790" s="172"/>
      <c r="S790" s="163"/>
      <c r="T790" s="161"/>
      <c r="U790" s="175"/>
      <c r="V790" s="163"/>
      <c r="W790" s="161"/>
      <c r="X790" s="175"/>
      <c r="Y790" s="163"/>
      <c r="Z790" s="161"/>
      <c r="AA790" s="175"/>
      <c r="AB790" s="163"/>
      <c r="AC790" s="161"/>
      <c r="AD790" s="175"/>
      <c r="AE790" s="171"/>
      <c r="AF790" s="173"/>
      <c r="AG790" s="2272"/>
      <c r="AH790" s="163"/>
      <c r="AI790" s="161"/>
      <c r="AJ790" s="171"/>
      <c r="AK790" s="163"/>
      <c r="AL790" s="161"/>
      <c r="AM790" s="171"/>
      <c r="AN790" s="163"/>
      <c r="AO790" s="161"/>
      <c r="AP790" s="171"/>
      <c r="AQ790" s="163"/>
      <c r="AR790" s="161"/>
      <c r="AS790" s="171"/>
      <c r="AT790" s="171"/>
      <c r="AU790" s="168"/>
      <c r="AV790" s="173"/>
      <c r="AW790" s="175"/>
      <c r="AX790" s="171"/>
      <c r="AY790" s="163"/>
      <c r="AZ790" s="161"/>
      <c r="BA790" s="171"/>
      <c r="BB790" s="163"/>
      <c r="BC790" s="161"/>
      <c r="BD790" s="171"/>
      <c r="BE790" s="163"/>
      <c r="BF790" s="161"/>
      <c r="BG790" s="171"/>
      <c r="BH790" s="163"/>
      <c r="BI790" s="161"/>
      <c r="BJ790" s="171"/>
      <c r="BK790" s="171"/>
      <c r="BL790" s="2273"/>
      <c r="BM790" s="177"/>
      <c r="BN790" s="189"/>
      <c r="BO790" s="307"/>
      <c r="BP790" s="307"/>
      <c r="BQ790" s="307"/>
      <c r="BR790" s="307"/>
      <c r="BS790" s="307"/>
      <c r="BT790" s="307"/>
      <c r="BU790" s="307"/>
      <c r="BV790" s="301"/>
      <c r="BW790" s="293"/>
      <c r="CI790" s="301"/>
      <c r="CJ790" s="307"/>
      <c r="CK790" s="307"/>
      <c r="CL790" s="307"/>
      <c r="CM790" s="307"/>
      <c r="CN790" s="307"/>
      <c r="CO790" s="307"/>
      <c r="CP790" s="189"/>
      <c r="CQ790" s="189"/>
      <c r="CR790" s="301"/>
      <c r="CS790" s="293"/>
    </row>
    <row r="791" spans="1:100">
      <c r="A791" s="171"/>
      <c r="B791" s="171"/>
      <c r="C791" s="171"/>
      <c r="D791" s="171"/>
      <c r="E791" s="171"/>
      <c r="F791" s="171"/>
      <c r="G791" s="171"/>
      <c r="H791" s="171"/>
      <c r="I791" s="171"/>
      <c r="J791" s="171"/>
      <c r="K791" s="171"/>
      <c r="L791" s="171"/>
      <c r="M791" s="171"/>
      <c r="N791" s="171"/>
      <c r="O791" s="168"/>
      <c r="P791" s="206"/>
      <c r="Q791" s="171"/>
      <c r="R791" s="171"/>
      <c r="S791" s="171"/>
      <c r="T791" s="171"/>
      <c r="U791" s="171"/>
      <c r="V791" s="171"/>
      <c r="W791" s="171"/>
      <c r="X791" s="171"/>
      <c r="Y791" s="171"/>
      <c r="Z791" s="171"/>
      <c r="AA791" s="171"/>
      <c r="AB791" s="171"/>
      <c r="AC791" s="171"/>
      <c r="AD791" s="171"/>
      <c r="AE791" s="171"/>
      <c r="AF791" s="173"/>
      <c r="AG791" s="2269"/>
      <c r="AH791" s="168"/>
      <c r="AI791" s="168"/>
      <c r="AJ791" s="168"/>
      <c r="AK791" s="168"/>
      <c r="AL791" s="168"/>
      <c r="AM791" s="168"/>
      <c r="AN791" s="168"/>
      <c r="AO791" s="168"/>
      <c r="AP791" s="168"/>
      <c r="AQ791" s="168"/>
      <c r="AR791" s="168"/>
      <c r="AS791" s="168"/>
      <c r="AT791" s="168"/>
      <c r="AU791" s="168"/>
      <c r="AV791" s="205"/>
      <c r="AW791" s="168"/>
      <c r="AX791" s="168"/>
      <c r="AY791" s="168"/>
      <c r="AZ791" s="168"/>
      <c r="BA791" s="168"/>
      <c r="BB791" s="168"/>
      <c r="BC791" s="168"/>
      <c r="BD791" s="168"/>
      <c r="BE791" s="168"/>
      <c r="BF791" s="168"/>
      <c r="BG791" s="168"/>
      <c r="BH791" s="168"/>
      <c r="BI791" s="168"/>
      <c r="BJ791" s="168"/>
      <c r="BK791" s="168"/>
      <c r="BL791" s="205"/>
      <c r="BM791" s="177"/>
      <c r="BN791" s="189"/>
      <c r="BO791" s="307"/>
      <c r="BP791" s="301"/>
      <c r="BQ791" s="301"/>
      <c r="BR791" s="301"/>
      <c r="BS791" s="301"/>
      <c r="BT791" s="301"/>
      <c r="BU791" s="301"/>
      <c r="BV791" s="297"/>
      <c r="BW791" s="293"/>
      <c r="CI791" s="301"/>
      <c r="CJ791" s="189"/>
      <c r="CK791" s="301"/>
      <c r="CL791" s="301"/>
      <c r="CM791" s="301"/>
      <c r="CN791" s="301"/>
      <c r="CO791" s="301"/>
      <c r="CP791" s="301"/>
      <c r="CQ791" s="301"/>
      <c r="CR791" s="297"/>
      <c r="CS791" s="293"/>
    </row>
    <row r="792" spans="1:100">
      <c r="BM792" s="177"/>
      <c r="CT792">
        <v>20</v>
      </c>
      <c r="CU792">
        <v>20</v>
      </c>
      <c r="CV792">
        <v>23</v>
      </c>
    </row>
    <row r="793" spans="1:100">
      <c r="A793" s="173"/>
      <c r="B793" s="175"/>
      <c r="C793" s="172"/>
      <c r="D793" s="172"/>
      <c r="E793" s="172"/>
      <c r="F793" s="172"/>
      <c r="G793" s="172"/>
      <c r="H793" s="172"/>
      <c r="I793" s="172"/>
      <c r="J793" s="172"/>
      <c r="K793" s="172"/>
      <c r="L793" s="172"/>
      <c r="M793" s="172"/>
      <c r="N793" s="172"/>
      <c r="O793" s="168"/>
      <c r="P793" s="173"/>
      <c r="Q793" s="173"/>
      <c r="R793" s="175"/>
      <c r="S793" s="172"/>
      <c r="T793" s="172"/>
      <c r="U793" s="172"/>
      <c r="V793" s="172"/>
      <c r="W793" s="172"/>
      <c r="X793" s="172"/>
      <c r="Y793" s="172"/>
      <c r="Z793" s="172"/>
      <c r="AA793" s="172"/>
      <c r="AB793" s="172"/>
      <c r="AC793" s="172"/>
      <c r="AD793" s="172"/>
      <c r="AE793" s="168"/>
      <c r="AF793" s="2270"/>
      <c r="AG793" s="2271"/>
      <c r="AH793" s="171"/>
      <c r="AI793" s="175"/>
      <c r="AJ793" s="175"/>
      <c r="AK793" s="175"/>
      <c r="AL793" s="175"/>
      <c r="AM793" s="175"/>
      <c r="AN793" s="175"/>
      <c r="AO793" s="175"/>
      <c r="AP793" s="175"/>
      <c r="AQ793" s="175"/>
      <c r="AR793" s="175"/>
      <c r="AS793" s="175"/>
      <c r="AT793" s="175"/>
      <c r="AU793" s="168"/>
      <c r="AV793" s="206"/>
      <c r="AW793" s="173"/>
      <c r="AX793" s="171"/>
      <c r="AY793" s="175"/>
      <c r="AZ793" s="175"/>
      <c r="BA793" s="175"/>
      <c r="BB793" s="175"/>
      <c r="BC793" s="175"/>
      <c r="BD793" s="175"/>
      <c r="BE793" s="175"/>
      <c r="BF793" s="175"/>
      <c r="BG793" s="175"/>
      <c r="BH793" s="175"/>
      <c r="BI793" s="175"/>
      <c r="BJ793" s="175"/>
      <c r="BK793" s="168"/>
      <c r="BL793" s="2270"/>
      <c r="BM793" s="177"/>
      <c r="CV793">
        <v>23</v>
      </c>
    </row>
    <row r="794" spans="1:100">
      <c r="A794" s="171"/>
      <c r="B794" s="172"/>
      <c r="O794" s="171"/>
      <c r="P794" s="173"/>
      <c r="Q794" s="171"/>
      <c r="R794" s="172"/>
      <c r="X794" s="172"/>
      <c r="AE794" s="171"/>
      <c r="AF794" s="173"/>
      <c r="AG794" s="2271"/>
      <c r="AH794" s="168"/>
      <c r="AU794" s="168"/>
      <c r="AV794" s="205"/>
      <c r="AW794" s="173"/>
      <c r="AX794" s="168"/>
      <c r="BK794" s="168"/>
      <c r="BL794" s="205"/>
      <c r="BM794" s="177"/>
      <c r="BN794" s="189"/>
      <c r="BO794" s="307"/>
      <c r="BP794" s="301"/>
      <c r="BQ794" s="301"/>
      <c r="BR794" s="297"/>
      <c r="BS794" s="301"/>
      <c r="BT794" s="301"/>
      <c r="BU794" s="301"/>
      <c r="BV794" s="297"/>
      <c r="BW794" s="293"/>
      <c r="BX794" s="297"/>
      <c r="BY794" s="297"/>
      <c r="BZ794" s="297"/>
      <c r="CA794" s="297"/>
      <c r="CB794" s="297"/>
      <c r="CD794" s="189"/>
      <c r="CE794" s="301"/>
      <c r="CF794" s="301"/>
      <c r="CG794" s="301"/>
      <c r="CH794" s="301"/>
      <c r="CI794" s="301"/>
      <c r="CJ794" s="189"/>
      <c r="CK794" s="301"/>
      <c r="CL794" s="301"/>
      <c r="CM794" s="301"/>
      <c r="CN794" s="301"/>
      <c r="CO794" s="301"/>
      <c r="CP794" s="301"/>
      <c r="CQ794" s="301"/>
      <c r="CR794" s="297"/>
      <c r="CS794" s="293"/>
    </row>
    <row r="795" spans="1:100">
      <c r="A795" s="171"/>
      <c r="B795" s="172"/>
      <c r="D795" s="168"/>
      <c r="K795" s="168"/>
      <c r="O795" s="171"/>
      <c r="P795" s="173"/>
      <c r="Q795" s="171"/>
      <c r="R795" s="172"/>
      <c r="AB795" s="168"/>
      <c r="AE795" s="171"/>
      <c r="AF795" s="173"/>
      <c r="AG795" s="2271"/>
      <c r="AH795" s="168"/>
      <c r="AJ795" s="175"/>
      <c r="AR795" s="168"/>
      <c r="AU795" s="168"/>
      <c r="AV795" s="205"/>
      <c r="AW795" s="173"/>
      <c r="AX795" s="168"/>
      <c r="AZ795" s="168"/>
      <c r="BH795" s="168"/>
      <c r="BK795" s="168"/>
      <c r="BL795" s="205"/>
      <c r="BM795" s="177"/>
      <c r="BN795" s="189"/>
      <c r="BO795" s="307"/>
      <c r="BP795" s="301"/>
      <c r="BQ795" s="301"/>
      <c r="BR795" s="301"/>
      <c r="BS795" s="301"/>
      <c r="BT795" s="301"/>
      <c r="BU795" s="301"/>
      <c r="BV795" s="297"/>
      <c r="BW795" s="189"/>
      <c r="BX795" s="189"/>
      <c r="BY795" s="189"/>
      <c r="BZ795" s="189"/>
      <c r="CA795" s="301"/>
      <c r="CB795" s="293"/>
      <c r="CD795" s="189"/>
      <c r="CE795" s="307"/>
      <c r="CF795" s="189"/>
      <c r="CG795" s="189"/>
      <c r="CH795" s="189"/>
      <c r="CI795" s="189"/>
      <c r="CJ795" s="189"/>
      <c r="CK795" s="301"/>
      <c r="CL795" s="301"/>
      <c r="CM795" s="301"/>
      <c r="CN795" s="301"/>
      <c r="CO795" s="301"/>
      <c r="CP795" s="297"/>
      <c r="CQ795" s="301"/>
      <c r="CR795" s="297"/>
      <c r="CS795" s="293"/>
    </row>
    <row r="796" spans="1:100">
      <c r="A796" s="171"/>
      <c r="B796" s="172"/>
      <c r="O796" s="171"/>
      <c r="P796" s="173"/>
      <c r="Q796" s="171"/>
      <c r="R796" s="172"/>
      <c r="AE796" s="171"/>
      <c r="AF796" s="173"/>
      <c r="AG796" s="2271"/>
      <c r="AH796" s="168"/>
      <c r="AU796" s="168"/>
      <c r="AV796" s="205"/>
      <c r="AW796" s="173"/>
      <c r="AX796" s="168"/>
      <c r="BK796" s="168"/>
      <c r="BL796" s="205"/>
      <c r="BM796" s="177"/>
      <c r="BN796" s="189"/>
      <c r="BO796" s="307"/>
      <c r="BP796" s="301"/>
      <c r="BQ796" s="301"/>
      <c r="BR796" s="297"/>
      <c r="BS796" s="301"/>
      <c r="BT796" s="301"/>
      <c r="BU796" s="301"/>
      <c r="BV796" s="301"/>
      <c r="BW796" s="301"/>
      <c r="BX796" s="301"/>
      <c r="BY796" s="301"/>
      <c r="BZ796" s="301"/>
      <c r="CA796" s="297"/>
      <c r="CB796" s="293"/>
      <c r="CD796" s="189"/>
      <c r="CE796" s="307"/>
      <c r="CF796" s="301"/>
      <c r="CG796" s="301"/>
      <c r="CH796" s="301"/>
      <c r="CI796" s="301"/>
      <c r="CJ796" s="301"/>
      <c r="CK796" s="301"/>
      <c r="CL796" s="297"/>
      <c r="CM796" s="301"/>
      <c r="CN796" s="301"/>
      <c r="CO796" s="301"/>
      <c r="CP796" s="301"/>
      <c r="CQ796" s="301"/>
      <c r="CR796" s="297"/>
      <c r="CS796" s="293"/>
    </row>
    <row r="797" spans="1:100">
      <c r="A797" s="171"/>
      <c r="B797" s="172"/>
      <c r="H797" s="172"/>
      <c r="O797" s="171"/>
      <c r="P797" s="173"/>
      <c r="Q797" s="171"/>
      <c r="R797" s="172"/>
      <c r="U797" s="168"/>
      <c r="AE797" s="171"/>
      <c r="AF797" s="173"/>
      <c r="AG797" s="2271"/>
      <c r="AH797" s="168"/>
      <c r="AM797" s="168"/>
      <c r="AU797" s="168"/>
      <c r="AV797" s="205"/>
      <c r="AW797" s="173"/>
      <c r="AX797" s="168"/>
      <c r="BE797" s="175"/>
      <c r="BK797" s="168"/>
      <c r="BL797" s="205"/>
      <c r="BM797" s="177"/>
      <c r="BN797" s="189"/>
      <c r="BO797" s="307"/>
      <c r="BP797" s="301"/>
      <c r="BQ797" s="301"/>
      <c r="BR797" s="297"/>
      <c r="BS797" s="301"/>
      <c r="BT797" s="301"/>
      <c r="BU797" s="297"/>
      <c r="BV797" s="301"/>
      <c r="BW797" s="301"/>
      <c r="BX797" s="297"/>
      <c r="BY797" s="301"/>
      <c r="BZ797" s="301"/>
      <c r="CA797" s="297"/>
      <c r="CB797" s="293"/>
      <c r="CD797" s="189"/>
      <c r="CE797" s="307"/>
      <c r="CF797" s="301"/>
      <c r="CG797" s="301"/>
      <c r="CH797" s="297"/>
      <c r="CI797" s="301"/>
      <c r="CJ797" s="301"/>
      <c r="CK797" s="301"/>
      <c r="CL797" s="301"/>
      <c r="CM797" s="301"/>
      <c r="CN797" s="301"/>
      <c r="CO797" s="301"/>
      <c r="CP797" s="297"/>
      <c r="CQ797" s="301"/>
      <c r="CR797" s="297"/>
      <c r="CS797" s="293"/>
    </row>
    <row r="798" spans="1:100">
      <c r="A798" s="171"/>
      <c r="B798" s="172"/>
      <c r="O798" s="168"/>
      <c r="P798" s="173"/>
      <c r="Q798" s="171"/>
      <c r="R798" s="172"/>
      <c r="AE798" s="171"/>
      <c r="AF798" s="206"/>
      <c r="AG798" s="2271"/>
      <c r="AH798" s="168"/>
      <c r="AT798" s="168"/>
      <c r="AU798" s="168"/>
      <c r="AV798" s="205"/>
      <c r="AW798" s="173"/>
      <c r="AX798" s="168"/>
      <c r="BJ798" s="168"/>
      <c r="BK798" s="168"/>
      <c r="BL798" s="205"/>
      <c r="BM798" s="177"/>
      <c r="BN798" s="189"/>
      <c r="BO798" s="189"/>
      <c r="BP798" s="301"/>
      <c r="BQ798" s="301"/>
      <c r="BR798" s="297"/>
      <c r="BS798" s="301"/>
      <c r="BT798" s="301"/>
      <c r="BU798" s="297"/>
      <c r="BV798" s="301"/>
      <c r="BW798" s="301"/>
      <c r="BX798" s="301"/>
      <c r="BY798" s="301"/>
      <c r="BZ798" s="301"/>
      <c r="CA798" s="297"/>
      <c r="CB798" s="293"/>
      <c r="CD798" s="189"/>
      <c r="CE798" s="189"/>
      <c r="CF798" s="301"/>
      <c r="CG798" s="301"/>
      <c r="CH798" s="297"/>
      <c r="CI798" s="301"/>
      <c r="CJ798" s="301"/>
      <c r="CK798" s="301"/>
      <c r="CL798" s="297"/>
      <c r="CM798" s="301"/>
      <c r="CN798" s="301"/>
      <c r="CO798" s="301"/>
      <c r="CP798" s="297"/>
      <c r="CQ798" s="301"/>
      <c r="CR798" s="297"/>
      <c r="CS798" s="293"/>
    </row>
    <row r="799" spans="1:100">
      <c r="A799" s="171"/>
      <c r="B799" s="172"/>
      <c r="C799" s="171"/>
      <c r="D799" s="171"/>
      <c r="E799" s="171"/>
      <c r="F799" s="171"/>
      <c r="G799" s="171"/>
      <c r="H799" s="171"/>
      <c r="I799" s="171"/>
      <c r="J799" s="171"/>
      <c r="K799" s="171"/>
      <c r="L799" s="171"/>
      <c r="M799" s="171"/>
      <c r="N799" s="171"/>
      <c r="O799" s="168"/>
      <c r="P799" s="173"/>
      <c r="Q799" s="171"/>
      <c r="R799" s="172"/>
      <c r="S799" s="171"/>
      <c r="T799" s="171"/>
      <c r="U799" s="171"/>
      <c r="V799" s="171"/>
      <c r="W799" s="171"/>
      <c r="X799" s="171"/>
      <c r="Y799" s="171"/>
      <c r="Z799" s="171"/>
      <c r="AA799" s="171"/>
      <c r="AB799" s="171"/>
      <c r="AC799" s="171"/>
      <c r="AD799" s="171"/>
      <c r="AE799" s="168"/>
      <c r="AF799" s="2270"/>
      <c r="AG799" s="2271"/>
      <c r="AH799" s="168"/>
      <c r="AI799" s="168"/>
      <c r="AJ799" s="168"/>
      <c r="AK799" s="168"/>
      <c r="AL799" s="168"/>
      <c r="AM799" s="168"/>
      <c r="AN799" s="168"/>
      <c r="AO799" s="168"/>
      <c r="AP799" s="168"/>
      <c r="AQ799" s="168"/>
      <c r="AR799" s="168"/>
      <c r="AS799" s="168"/>
      <c r="AT799" s="168"/>
      <c r="AU799" s="168"/>
      <c r="AV799" s="206"/>
      <c r="AW799" s="173"/>
      <c r="AX799" s="168"/>
      <c r="AY799" s="168"/>
      <c r="AZ799" s="168"/>
      <c r="BA799" s="168"/>
      <c r="BB799" s="168"/>
      <c r="BC799" s="168"/>
      <c r="BD799" s="168"/>
      <c r="BE799" s="168"/>
      <c r="BF799" s="168"/>
      <c r="BG799" s="168"/>
      <c r="BH799" s="168"/>
      <c r="BI799" s="168"/>
      <c r="BJ799" s="168"/>
      <c r="BK799" s="168"/>
      <c r="BL799" s="206"/>
      <c r="BM799" s="177"/>
      <c r="BN799" s="189"/>
      <c r="BO799" s="301"/>
      <c r="BP799" s="297"/>
      <c r="BQ799" s="297"/>
      <c r="BR799" s="297"/>
      <c r="BS799" s="297"/>
      <c r="BT799" s="297"/>
      <c r="BU799" s="297"/>
      <c r="BV799" s="297"/>
      <c r="BW799" s="297"/>
      <c r="BX799" s="297"/>
      <c r="BY799" s="297"/>
      <c r="BZ799" s="297"/>
      <c r="CA799" s="297"/>
      <c r="CB799" s="293"/>
      <c r="CD799" s="189"/>
      <c r="CE799" s="301"/>
      <c r="CF799" s="297"/>
      <c r="CG799" s="297"/>
      <c r="CH799" s="297"/>
      <c r="CI799" s="297"/>
      <c r="CJ799" s="297"/>
      <c r="CK799" s="297"/>
      <c r="CL799" s="297"/>
      <c r="CM799" s="297"/>
      <c r="CN799" s="297"/>
      <c r="CO799" s="297"/>
      <c r="CP799" s="297"/>
      <c r="CQ799" s="297"/>
      <c r="CR799" s="297"/>
      <c r="CS799" s="293"/>
    </row>
    <row r="800" spans="1:100">
      <c r="A800" s="2274"/>
      <c r="B800" s="206"/>
      <c r="C800" s="205"/>
      <c r="D800" s="205"/>
      <c r="E800" s="205"/>
      <c r="F800" s="205"/>
      <c r="G800" s="205"/>
      <c r="H800" s="205"/>
      <c r="I800" s="205"/>
      <c r="J800" s="205"/>
      <c r="K800" s="205"/>
      <c r="L800" s="205"/>
      <c r="M800" s="205"/>
      <c r="N800" s="206"/>
      <c r="O800" s="205"/>
      <c r="P800" s="2275"/>
      <c r="Q800" s="2275"/>
      <c r="R800" s="206"/>
      <c r="S800" s="205"/>
      <c r="T800" s="205"/>
      <c r="U800" s="205"/>
      <c r="V800" s="205"/>
      <c r="W800" s="205"/>
      <c r="X800" s="205"/>
      <c r="Y800" s="205"/>
      <c r="Z800" s="205"/>
      <c r="AA800" s="205"/>
      <c r="AB800" s="205"/>
      <c r="AC800" s="205"/>
      <c r="AD800" s="206"/>
      <c r="AE800" s="205"/>
      <c r="AF800" s="2276"/>
      <c r="AG800" s="2274"/>
      <c r="AH800" s="206"/>
      <c r="AI800" s="205"/>
      <c r="AJ800" s="205"/>
      <c r="AK800" s="205"/>
      <c r="AL800" s="205"/>
      <c r="AM800" s="205"/>
      <c r="AN800" s="205"/>
      <c r="AO800" s="205"/>
      <c r="AP800" s="205"/>
      <c r="AQ800" s="205"/>
      <c r="AR800" s="205"/>
      <c r="AS800" s="205"/>
      <c r="AT800" s="206"/>
      <c r="AU800" s="205"/>
      <c r="AV800" s="2275"/>
      <c r="AW800" s="2275"/>
      <c r="AX800" s="206"/>
      <c r="AY800" s="205"/>
      <c r="AZ800" s="205"/>
      <c r="BA800" s="205"/>
      <c r="BB800" s="205"/>
      <c r="BC800" s="205"/>
      <c r="BD800" s="205"/>
      <c r="BE800" s="205"/>
      <c r="BF800" s="205"/>
      <c r="BG800" s="205"/>
      <c r="BH800" s="205"/>
      <c r="BI800" s="205"/>
      <c r="BJ800" s="206"/>
      <c r="BK800" s="205"/>
      <c r="BL800" s="2276"/>
      <c r="BM800" s="74"/>
      <c r="BN800" s="301"/>
      <c r="BO800" s="293"/>
      <c r="BP800" s="293"/>
      <c r="BQ800" s="293"/>
      <c r="BR800" s="293"/>
      <c r="BS800" s="293"/>
      <c r="BT800" s="293"/>
      <c r="BU800" s="293"/>
      <c r="BV800" s="293"/>
      <c r="BW800" s="293"/>
      <c r="BX800" s="293"/>
      <c r="BY800" s="293"/>
      <c r="BZ800" s="293"/>
      <c r="CA800" s="293"/>
      <c r="CB800" s="293"/>
      <c r="CD800" s="301"/>
      <c r="CE800" s="293"/>
      <c r="CF800" s="293"/>
      <c r="CG800" s="293"/>
      <c r="CH800" s="293"/>
      <c r="CI800" s="293"/>
      <c r="CJ800" s="293"/>
      <c r="CK800" s="293"/>
      <c r="CL800" s="293"/>
      <c r="CM800" s="293"/>
      <c r="CN800" s="293"/>
      <c r="CO800" s="293"/>
      <c r="CP800" s="293"/>
      <c r="CQ800" s="293"/>
      <c r="CR800" s="293"/>
      <c r="CS800" s="293"/>
    </row>
    <row r="801" spans="1:97">
      <c r="A801" s="429"/>
      <c r="B801" s="429"/>
      <c r="C801" s="321"/>
      <c r="D801" s="429"/>
      <c r="E801" s="429"/>
      <c r="F801" s="436"/>
      <c r="G801" s="321"/>
      <c r="H801" s="436"/>
      <c r="I801" s="436"/>
      <c r="J801" s="321"/>
      <c r="K801" s="429"/>
      <c r="L801" s="429"/>
      <c r="M801" s="321"/>
      <c r="N801" s="429"/>
      <c r="O801" s="429"/>
      <c r="P801" s="429"/>
      <c r="Q801" s="429"/>
      <c r="R801" s="321"/>
      <c r="S801" s="436"/>
      <c r="T801" s="436"/>
      <c r="U801" s="321"/>
      <c r="V801" s="436"/>
      <c r="W801" s="321"/>
      <c r="X801" s="321"/>
      <c r="Y801" s="429"/>
      <c r="Z801" s="321"/>
      <c r="AA801" s="429"/>
      <c r="AB801" s="321"/>
      <c r="AC801" s="429"/>
      <c r="AD801" s="429"/>
      <c r="AE801" s="321"/>
      <c r="AF801" s="1316"/>
      <c r="AG801" s="1730"/>
      <c r="AH801" s="484"/>
      <c r="AI801" s="1316"/>
      <c r="AJ801" s="484"/>
      <c r="AK801" s="1316"/>
      <c r="AL801" s="490"/>
      <c r="AM801" s="484"/>
      <c r="AN801" s="1316"/>
      <c r="AO801" s="1316"/>
      <c r="AP801" s="1316"/>
      <c r="AQ801" s="484"/>
      <c r="AR801" s="1316"/>
      <c r="AS801" s="1316"/>
      <c r="AT801" s="484"/>
      <c r="AU801" s="484"/>
      <c r="AV801" s="484"/>
      <c r="AW801" s="484"/>
      <c r="AX801" s="484"/>
      <c r="AY801" s="1316"/>
      <c r="AZ801" s="1731"/>
      <c r="BA801" s="484"/>
      <c r="BB801" s="1731"/>
      <c r="BC801" s="484"/>
      <c r="BD801" s="484"/>
      <c r="BE801" s="484"/>
      <c r="BF801" s="1316"/>
      <c r="BG801" s="484"/>
      <c r="BH801" s="1731"/>
      <c r="BI801" s="1731"/>
      <c r="BJ801" s="484"/>
      <c r="BK801" s="484"/>
      <c r="BL801" s="1732"/>
      <c r="BM801" s="201">
        <v>26</v>
      </c>
      <c r="BN801" s="200"/>
      <c r="BO801" s="200"/>
      <c r="BP801" s="305"/>
      <c r="BQ801" s="200"/>
      <c r="BR801" s="200"/>
      <c r="BS801" s="200"/>
      <c r="BT801" s="200"/>
      <c r="BU801" s="200"/>
      <c r="BV801" s="305"/>
      <c r="BW801" s="305"/>
      <c r="BX801" s="200"/>
      <c r="BY801" s="200"/>
      <c r="BZ801" s="200"/>
      <c r="CA801" s="200"/>
      <c r="CB801" s="200"/>
      <c r="CC801" s="305"/>
      <c r="CD801" s="200"/>
      <c r="CE801" s="200"/>
      <c r="CF801" s="200"/>
      <c r="CG801" s="200"/>
      <c r="CH801" s="200"/>
      <c r="CI801" s="200"/>
      <c r="CJ801" s="305"/>
      <c r="CK801" s="200"/>
      <c r="CL801" s="200"/>
      <c r="CM801" s="200"/>
      <c r="CN801" s="200"/>
      <c r="CO801" s="305"/>
      <c r="CP801" s="200"/>
      <c r="CQ801" s="200"/>
      <c r="CR801" s="200"/>
      <c r="CS801" s="200"/>
    </row>
    <row r="802" spans="1:97">
      <c r="A802" s="429"/>
      <c r="B802" s="321"/>
      <c r="C802" s="321"/>
      <c r="D802" s="429"/>
      <c r="E802" s="436"/>
      <c r="F802" s="321"/>
      <c r="G802" s="321"/>
      <c r="H802" s="321"/>
      <c r="I802" s="322"/>
      <c r="J802" s="321"/>
      <c r="K802" s="322"/>
      <c r="L802" s="429"/>
      <c r="M802" s="429"/>
      <c r="N802" s="429"/>
      <c r="O802" s="321"/>
      <c r="P802" s="429"/>
      <c r="Q802" s="429"/>
      <c r="R802" s="436"/>
      <c r="S802" s="429"/>
      <c r="T802" s="322"/>
      <c r="U802" s="321"/>
      <c r="V802" s="321"/>
      <c r="W802" s="322"/>
      <c r="X802" s="321"/>
      <c r="Y802" s="322"/>
      <c r="Z802" s="429"/>
      <c r="AA802" s="429"/>
      <c r="AB802" s="321"/>
      <c r="AC802" s="429"/>
      <c r="AD802" s="429"/>
      <c r="AE802" s="321"/>
      <c r="AF802" s="429"/>
      <c r="AG802" s="1733"/>
      <c r="AH802" s="429"/>
      <c r="AI802" s="321"/>
      <c r="AJ802" s="321"/>
      <c r="AK802" s="429"/>
      <c r="AL802" s="409"/>
      <c r="AM802" s="429"/>
      <c r="AN802" s="321"/>
      <c r="AO802" s="321"/>
      <c r="AP802" s="321"/>
      <c r="AQ802" s="429"/>
      <c r="AR802" s="321"/>
      <c r="AS802" s="321"/>
      <c r="AT802" s="429"/>
      <c r="AU802" s="429"/>
      <c r="AV802" s="321"/>
      <c r="AW802" s="321"/>
      <c r="AX802" s="429"/>
      <c r="AY802" s="409"/>
      <c r="AZ802" s="409"/>
      <c r="BA802" s="429"/>
      <c r="BB802" s="409"/>
      <c r="BC802" s="321"/>
      <c r="BD802" s="321"/>
      <c r="BE802" s="321"/>
      <c r="BF802" s="321"/>
      <c r="BG802" s="321"/>
      <c r="BH802" s="409"/>
      <c r="BI802" s="409"/>
      <c r="BJ802" s="321"/>
      <c r="BK802" s="409"/>
      <c r="BL802" s="564"/>
      <c r="BM802" s="291"/>
      <c r="BN802" s="310"/>
      <c r="BO802" s="310"/>
      <c r="BP802" s="305"/>
      <c r="BQ802" s="305"/>
      <c r="BR802" s="305"/>
      <c r="BS802" s="305"/>
      <c r="BT802" s="305"/>
      <c r="BU802" s="305"/>
      <c r="BV802" s="305"/>
      <c r="BW802" s="305"/>
      <c r="BX802" s="305"/>
      <c r="BY802" s="305"/>
      <c r="BZ802" s="200"/>
      <c r="CA802" s="310"/>
      <c r="CB802" s="305"/>
      <c r="CC802" s="305"/>
      <c r="CD802" s="305"/>
      <c r="CE802" s="305"/>
      <c r="CF802" s="305"/>
      <c r="CG802" s="305"/>
      <c r="CH802" s="305"/>
      <c r="CI802" s="305"/>
      <c r="CJ802" s="310"/>
      <c r="CK802" s="305"/>
      <c r="CL802" s="305"/>
      <c r="CM802" s="305"/>
      <c r="CN802" s="305"/>
      <c r="CO802" s="305"/>
      <c r="CP802" s="305"/>
      <c r="CQ802" s="305"/>
      <c r="CR802" s="305"/>
      <c r="CS802" s="200"/>
    </row>
    <row r="803" spans="1:97">
      <c r="A803" s="321"/>
      <c r="B803" s="429"/>
      <c r="C803" s="321"/>
      <c r="D803" s="429"/>
      <c r="E803" s="436"/>
      <c r="F803" s="321"/>
      <c r="G803" s="321"/>
      <c r="H803" s="436"/>
      <c r="I803" s="321"/>
      <c r="J803" s="321"/>
      <c r="K803" s="321"/>
      <c r="L803" s="436"/>
      <c r="M803" s="429"/>
      <c r="N803" s="321"/>
      <c r="O803" s="321"/>
      <c r="P803" s="429"/>
      <c r="Q803" s="321"/>
      <c r="R803" s="429"/>
      <c r="S803" s="436"/>
      <c r="T803" s="321"/>
      <c r="U803" s="436"/>
      <c r="V803" s="321"/>
      <c r="W803" s="321"/>
      <c r="X803" s="321"/>
      <c r="Y803" s="321"/>
      <c r="Z803" s="429"/>
      <c r="AA803" s="429"/>
      <c r="AB803" s="321"/>
      <c r="AC803" s="429"/>
      <c r="AD803" s="321"/>
      <c r="AE803" s="291"/>
      <c r="AF803" s="429"/>
      <c r="AG803" s="1733"/>
      <c r="AH803" s="429"/>
      <c r="AI803" s="321"/>
      <c r="AJ803" s="321"/>
      <c r="AK803" s="409"/>
      <c r="AL803" s="429"/>
      <c r="AM803" s="409"/>
      <c r="AN803" s="321"/>
      <c r="AO803" s="321"/>
      <c r="AP803" s="321"/>
      <c r="AQ803" s="429"/>
      <c r="AR803" s="321"/>
      <c r="AS803" s="321"/>
      <c r="AT803" s="429"/>
      <c r="AU803" s="409"/>
      <c r="AV803" s="429"/>
      <c r="AW803" s="321"/>
      <c r="AX803" s="429"/>
      <c r="AY803" s="409"/>
      <c r="AZ803" s="321"/>
      <c r="BA803" s="409"/>
      <c r="BB803" s="409"/>
      <c r="BC803" s="321"/>
      <c r="BD803" s="436"/>
      <c r="BE803" s="321"/>
      <c r="BF803" s="321"/>
      <c r="BG803" s="321"/>
      <c r="BH803" s="409"/>
      <c r="BI803" s="409"/>
      <c r="BJ803" s="321"/>
      <c r="BK803" s="409"/>
      <c r="BL803" s="1734"/>
      <c r="BN803" s="305"/>
      <c r="BO803" s="305"/>
      <c r="BP803" s="305"/>
      <c r="BQ803" s="305"/>
      <c r="BR803" s="305"/>
      <c r="BS803" s="305"/>
      <c r="BT803" s="200"/>
      <c r="BU803" s="305"/>
      <c r="BV803" s="305"/>
      <c r="BW803" s="305"/>
      <c r="BX803" s="305"/>
      <c r="BY803" s="297"/>
      <c r="BZ803" s="199"/>
      <c r="CA803" s="305"/>
      <c r="CB803" s="305"/>
      <c r="CC803" s="305"/>
      <c r="CD803" s="305"/>
      <c r="CE803" s="305"/>
      <c r="CF803" s="305"/>
      <c r="CG803" s="200"/>
      <c r="CH803" s="305"/>
      <c r="CI803" s="305"/>
      <c r="CJ803" s="305"/>
      <c r="CK803" s="305"/>
      <c r="CL803" s="200"/>
      <c r="CM803" s="199"/>
      <c r="CN803" s="305"/>
      <c r="CO803" s="305"/>
      <c r="CP803" s="305"/>
      <c r="CQ803" s="305"/>
      <c r="CR803" s="200"/>
      <c r="CS803" s="199"/>
    </row>
    <row r="804" spans="1:97">
      <c r="A804" s="429"/>
      <c r="B804" s="321"/>
      <c r="C804" s="321"/>
      <c r="D804" s="429"/>
      <c r="E804" s="429"/>
      <c r="F804" s="321"/>
      <c r="G804" s="321"/>
      <c r="H804" s="321"/>
      <c r="I804" s="321"/>
      <c r="J804" s="322"/>
      <c r="K804" s="321"/>
      <c r="L804" s="321"/>
      <c r="M804" s="321"/>
      <c r="N804" s="321"/>
      <c r="O804" s="321"/>
      <c r="P804" s="429"/>
      <c r="Q804" s="321"/>
      <c r="R804" s="429"/>
      <c r="S804" s="429"/>
      <c r="T804" s="321"/>
      <c r="U804" s="322"/>
      <c r="V804" s="321"/>
      <c r="W804" s="321"/>
      <c r="X804" s="322"/>
      <c r="Y804" s="321"/>
      <c r="Z804" s="436"/>
      <c r="AA804" s="429"/>
      <c r="AB804" s="291"/>
      <c r="AC804" s="429"/>
      <c r="AD804" s="321"/>
      <c r="AE804" s="321"/>
      <c r="AF804" s="429"/>
      <c r="AG804" s="1735"/>
      <c r="AH804" s="321"/>
      <c r="AI804" s="429"/>
      <c r="AJ804" s="321"/>
      <c r="AK804" s="409"/>
      <c r="AL804" s="429"/>
      <c r="AM804" s="409"/>
      <c r="AN804" s="321"/>
      <c r="AO804" s="429"/>
      <c r="AP804" s="321"/>
      <c r="AQ804" s="321"/>
      <c r="AR804" s="321"/>
      <c r="AS804" s="321"/>
      <c r="AT804" s="429"/>
      <c r="AU804" s="409"/>
      <c r="AV804" s="321"/>
      <c r="AW804" s="321"/>
      <c r="AX804" s="429"/>
      <c r="AY804" s="409"/>
      <c r="AZ804" s="321"/>
      <c r="BA804" s="409"/>
      <c r="BB804" s="429"/>
      <c r="BC804" s="321"/>
      <c r="BD804" s="321"/>
      <c r="BE804" s="321"/>
      <c r="BF804" s="321"/>
      <c r="BG804" s="321"/>
      <c r="BH804" s="409"/>
      <c r="BI804" s="409"/>
      <c r="BJ804" s="321"/>
      <c r="BK804" s="321"/>
      <c r="BL804" s="1734"/>
      <c r="BN804" s="305"/>
      <c r="BO804" s="200"/>
      <c r="BP804" s="199"/>
      <c r="BQ804" s="200"/>
      <c r="BR804" s="199"/>
      <c r="BS804" s="199"/>
      <c r="BT804" s="199"/>
      <c r="BU804" s="305"/>
      <c r="BV804" s="200"/>
      <c r="BW804" s="200"/>
      <c r="BX804" s="199"/>
      <c r="BY804" s="199"/>
      <c r="BZ804" s="199"/>
      <c r="CA804" s="200"/>
      <c r="CB804" s="305"/>
      <c r="CC804" s="200"/>
      <c r="CD804" s="199"/>
      <c r="CE804" s="200"/>
      <c r="CF804" s="199"/>
      <c r="CG804" s="199"/>
      <c r="CH804" s="200"/>
      <c r="CI804" s="305"/>
      <c r="CJ804" s="200"/>
      <c r="CK804" s="200"/>
      <c r="CL804" s="199"/>
      <c r="CM804" s="199"/>
      <c r="CN804" s="200"/>
      <c r="CO804" s="305"/>
      <c r="CP804" s="200"/>
      <c r="CQ804" s="199"/>
      <c r="CR804" s="199"/>
      <c r="CS804" s="199"/>
    </row>
    <row r="805" spans="1:97">
      <c r="A805" s="321"/>
      <c r="B805" s="321"/>
      <c r="C805" s="321"/>
      <c r="D805" s="429"/>
      <c r="E805" s="429"/>
      <c r="F805" s="321"/>
      <c r="G805" s="321"/>
      <c r="H805" s="321"/>
      <c r="I805" s="321"/>
      <c r="J805" s="321"/>
      <c r="K805" s="321"/>
      <c r="L805" s="321"/>
      <c r="M805" s="429"/>
      <c r="N805" s="429"/>
      <c r="O805" s="321"/>
      <c r="P805" s="429"/>
      <c r="Q805" s="321"/>
      <c r="R805" s="429"/>
      <c r="S805" s="436"/>
      <c r="T805" s="321"/>
      <c r="U805" s="321"/>
      <c r="V805" s="321"/>
      <c r="W805" s="436"/>
      <c r="X805" s="321"/>
      <c r="Y805" s="321"/>
      <c r="Z805" s="436"/>
      <c r="AA805" s="429"/>
      <c r="AB805" s="321"/>
      <c r="AC805" s="429"/>
      <c r="AD805" s="429"/>
      <c r="AE805" s="321"/>
      <c r="AF805" s="429"/>
      <c r="AG805" s="483"/>
      <c r="AH805" s="429"/>
      <c r="AI805" s="409"/>
      <c r="AJ805" s="409"/>
      <c r="AK805" s="409"/>
      <c r="AL805" s="429"/>
      <c r="AM805" s="409"/>
      <c r="AN805" s="321"/>
      <c r="AO805" s="321"/>
      <c r="AP805" s="321"/>
      <c r="AQ805" s="321"/>
      <c r="AR805" s="321"/>
      <c r="AS805" s="321"/>
      <c r="AT805" s="409"/>
      <c r="AU805" s="409"/>
      <c r="AV805" s="409"/>
      <c r="AW805" s="321"/>
      <c r="AX805" s="409"/>
      <c r="AY805" s="409"/>
      <c r="AZ805" s="321"/>
      <c r="BA805" s="409"/>
      <c r="BB805" s="321"/>
      <c r="BC805" s="429"/>
      <c r="BD805" s="321"/>
      <c r="BE805" s="321"/>
      <c r="BF805" s="414"/>
      <c r="BG805" s="321"/>
      <c r="BH805" s="409"/>
      <c r="BI805" s="409"/>
      <c r="BJ805" s="321"/>
      <c r="BK805" s="409"/>
      <c r="BL805" s="1734"/>
      <c r="BN805" s="305"/>
      <c r="BO805" s="305"/>
      <c r="BP805" s="305"/>
      <c r="BQ805" s="200"/>
      <c r="BR805" s="305"/>
      <c r="BS805" s="305"/>
      <c r="BT805" s="305"/>
      <c r="BU805" s="305"/>
      <c r="BV805" s="305"/>
      <c r="BW805" s="200"/>
      <c r="BX805" s="310"/>
      <c r="BY805" s="305"/>
      <c r="BZ805" s="305"/>
      <c r="CA805" s="305"/>
      <c r="CB805" s="305"/>
      <c r="CC805" s="305"/>
      <c r="CD805" s="200"/>
      <c r="CE805" s="305"/>
      <c r="CF805" s="305"/>
      <c r="CG805" s="305"/>
      <c r="CH805" s="305"/>
      <c r="CI805" s="305"/>
      <c r="CJ805" s="200"/>
      <c r="CK805" s="305"/>
      <c r="CL805" s="305"/>
      <c r="CM805" s="305"/>
      <c r="CN805" s="305"/>
      <c r="CO805" s="305"/>
      <c r="CP805" s="199"/>
      <c r="CQ805" s="310"/>
      <c r="CR805" s="305"/>
      <c r="CS805" s="305"/>
    </row>
    <row r="806" spans="1:97">
      <c r="A806" s="429"/>
      <c r="B806" s="321"/>
      <c r="C806" s="429"/>
      <c r="D806" s="429"/>
      <c r="E806" s="321"/>
      <c r="F806" s="321"/>
      <c r="G806" s="429"/>
      <c r="H806" s="321"/>
      <c r="I806" s="321"/>
      <c r="J806" s="436"/>
      <c r="K806" s="321"/>
      <c r="L806" s="436"/>
      <c r="M806" s="429"/>
      <c r="N806" s="321"/>
      <c r="O806" s="321"/>
      <c r="P806" s="429"/>
      <c r="Q806" s="429"/>
      <c r="R806" s="291"/>
      <c r="S806" s="429"/>
      <c r="T806" s="321"/>
      <c r="U806" s="321"/>
      <c r="V806" s="321"/>
      <c r="W806" s="429"/>
      <c r="X806" s="321"/>
      <c r="Y806" s="321"/>
      <c r="Z806" s="322"/>
      <c r="AA806" s="429"/>
      <c r="AB806" s="291"/>
      <c r="AC806" s="429"/>
      <c r="AD806" s="321"/>
      <c r="AE806" s="321"/>
      <c r="AF806" s="429"/>
      <c r="AG806" s="1735"/>
      <c r="AH806" s="409"/>
      <c r="AI806" s="409"/>
      <c r="AJ806" s="409"/>
      <c r="AK806" s="429"/>
      <c r="AL806" s="409"/>
      <c r="AM806" s="321"/>
      <c r="AN806" s="321"/>
      <c r="AO806" s="321"/>
      <c r="AP806" s="321"/>
      <c r="AQ806" s="321"/>
      <c r="AR806" s="321"/>
      <c r="AS806" s="429"/>
      <c r="AT806" s="409"/>
      <c r="AU806" s="429"/>
      <c r="AV806" s="409"/>
      <c r="AW806" s="321"/>
      <c r="AX806" s="409"/>
      <c r="AY806" s="429"/>
      <c r="AZ806" s="409"/>
      <c r="BA806" s="429"/>
      <c r="BB806" s="321"/>
      <c r="BC806" s="429"/>
      <c r="BD806" s="321"/>
      <c r="BE806" s="321"/>
      <c r="BF806" s="321"/>
      <c r="BG806" s="321"/>
      <c r="BH806" s="321"/>
      <c r="BI806" s="409"/>
      <c r="BJ806" s="429"/>
      <c r="BK806" s="409"/>
      <c r="BL806" s="606"/>
      <c r="BN806" s="305"/>
      <c r="BO806" s="305"/>
      <c r="BP806" s="297"/>
      <c r="BQ806" s="199"/>
      <c r="BR806" s="305"/>
      <c r="BS806" s="305"/>
      <c r="BT806" s="305"/>
      <c r="BU806" s="200"/>
      <c r="BV806" s="200"/>
      <c r="BW806" s="199"/>
      <c r="BX806" s="305"/>
      <c r="BY806" s="305"/>
      <c r="BZ806" s="305"/>
      <c r="CA806" s="305"/>
      <c r="CB806" s="200"/>
      <c r="CC806" s="200"/>
      <c r="CD806" s="199"/>
      <c r="CE806" s="305"/>
      <c r="CF806" s="305"/>
      <c r="CG806" s="305"/>
      <c r="CH806" s="200"/>
      <c r="CI806" s="200"/>
      <c r="CJ806" s="199"/>
      <c r="CK806" s="305"/>
      <c r="CL806" s="305"/>
      <c r="CM806" s="305"/>
      <c r="CN806" s="297"/>
      <c r="CO806" s="297"/>
      <c r="CP806" s="199"/>
      <c r="CQ806" s="305"/>
      <c r="CR806" s="305"/>
      <c r="CS806" s="305"/>
    </row>
    <row r="807" spans="1:97">
      <c r="A807" s="429"/>
      <c r="B807" s="429"/>
      <c r="C807" s="429"/>
      <c r="D807" s="429"/>
      <c r="E807" s="436"/>
      <c r="F807" s="321"/>
      <c r="G807" s="429"/>
      <c r="H807" s="321"/>
      <c r="I807" s="321"/>
      <c r="J807" s="321"/>
      <c r="K807" s="321"/>
      <c r="L807" s="429"/>
      <c r="M807" s="429"/>
      <c r="N807" s="321"/>
      <c r="O807" s="429"/>
      <c r="P807" s="429"/>
      <c r="Q807" s="429"/>
      <c r="R807" s="429"/>
      <c r="S807" s="429"/>
      <c r="T807" s="321"/>
      <c r="U807" s="321"/>
      <c r="V807" s="321"/>
      <c r="W807" s="436"/>
      <c r="X807" s="321"/>
      <c r="Y807" s="321"/>
      <c r="Z807" s="322"/>
      <c r="AA807" s="429"/>
      <c r="AB807" s="429"/>
      <c r="AC807" s="429"/>
      <c r="AD807" s="321"/>
      <c r="AE807" s="321"/>
      <c r="AF807" s="429"/>
      <c r="AG807" s="674"/>
      <c r="AH807" s="409"/>
      <c r="AI807" s="321"/>
      <c r="AJ807" s="414"/>
      <c r="AK807" s="429"/>
      <c r="AL807" s="409"/>
      <c r="AM807" s="429"/>
      <c r="AN807" s="321"/>
      <c r="AO807" s="321"/>
      <c r="AP807" s="429"/>
      <c r="AQ807" s="321"/>
      <c r="AR807" s="321"/>
      <c r="AS807" s="321"/>
      <c r="AT807" s="409"/>
      <c r="AU807" s="429"/>
      <c r="AV807" s="321"/>
      <c r="AW807" s="429"/>
      <c r="AX807" s="409"/>
      <c r="AY807" s="409"/>
      <c r="AZ807" s="409"/>
      <c r="BA807" s="429"/>
      <c r="BB807" s="321"/>
      <c r="BC807" s="409"/>
      <c r="BD807" s="321"/>
      <c r="BE807" s="321"/>
      <c r="BF807" s="409"/>
      <c r="BG807" s="321"/>
      <c r="BH807" s="321"/>
      <c r="BI807" s="409"/>
      <c r="BJ807" s="409"/>
      <c r="BK807" s="321"/>
      <c r="BL807" s="675"/>
      <c r="BN807" s="199"/>
      <c r="BO807" s="199"/>
      <c r="BP807" s="199"/>
      <c r="BR807" s="200"/>
      <c r="BS807" s="200"/>
      <c r="BT807" s="200"/>
      <c r="BU807" s="199"/>
      <c r="BV807" s="199"/>
      <c r="BX807" s="200"/>
      <c r="BY807" s="200"/>
      <c r="BZ807" s="200"/>
      <c r="CA807" s="199"/>
      <c r="CB807" s="199"/>
      <c r="CC807" s="199"/>
      <c r="CE807" s="200"/>
      <c r="CF807" s="200"/>
      <c r="CG807" s="200"/>
      <c r="CH807" s="199"/>
      <c r="CI807" s="199"/>
      <c r="CK807" s="200"/>
      <c r="CL807" s="297"/>
      <c r="CM807" s="200"/>
      <c r="CN807" s="199"/>
      <c r="CO807" s="199"/>
      <c r="CQ807" s="200"/>
      <c r="CR807" s="199"/>
      <c r="CS807" s="199"/>
    </row>
    <row r="808" spans="1:97">
      <c r="A808" s="429"/>
      <c r="B808" s="429"/>
      <c r="C808" s="291"/>
      <c r="D808" s="429"/>
      <c r="E808" s="436"/>
      <c r="F808" s="322"/>
      <c r="G808" s="321"/>
      <c r="H808" s="322"/>
      <c r="I808" s="321"/>
      <c r="J808" s="321"/>
      <c r="K808" s="322"/>
      <c r="L808" s="429"/>
      <c r="M808" s="429"/>
      <c r="N808" s="321"/>
      <c r="O808" s="321"/>
      <c r="P808" s="429"/>
      <c r="Q808" s="321"/>
      <c r="R808" s="429"/>
      <c r="S808" s="429"/>
      <c r="T808" s="322"/>
      <c r="U808" s="322"/>
      <c r="V808" s="322"/>
      <c r="W808" s="429"/>
      <c r="X808" s="321"/>
      <c r="Y808" s="322"/>
      <c r="Z808" s="322"/>
      <c r="AA808" s="429"/>
      <c r="AB808" s="291"/>
      <c r="AC808" s="429"/>
      <c r="AD808" s="321"/>
      <c r="AE808" s="321"/>
      <c r="AF808" s="429"/>
      <c r="AG808" s="674"/>
      <c r="AH808" s="429"/>
      <c r="AI808" s="414"/>
      <c r="AJ808" s="409"/>
      <c r="AK808" s="429"/>
      <c r="AL808" s="409"/>
      <c r="AM808" s="429"/>
      <c r="AN808" s="321"/>
      <c r="AO808" s="321"/>
      <c r="AP808" s="321"/>
      <c r="AQ808" s="321"/>
      <c r="AR808" s="321"/>
      <c r="AS808" s="321"/>
      <c r="AT808" s="429"/>
      <c r="AU808" s="409"/>
      <c r="AV808" s="321"/>
      <c r="AW808" s="409"/>
      <c r="AX808" s="409"/>
      <c r="AY808" s="321"/>
      <c r="AZ808" s="415"/>
      <c r="BA808" s="409"/>
      <c r="BB808" s="321"/>
      <c r="BC808" s="321"/>
      <c r="BD808" s="321"/>
      <c r="BE808" s="321"/>
      <c r="BF808" s="409"/>
      <c r="BG808" s="321"/>
      <c r="BH808" s="321"/>
      <c r="BI808" s="201"/>
      <c r="BJ808" s="409"/>
      <c r="BK808" s="321"/>
      <c r="BL808" s="1734"/>
      <c r="BM808" s="177"/>
      <c r="BN808" s="305"/>
      <c r="BO808" s="305"/>
      <c r="BP808" s="305"/>
      <c r="BQ808" s="305"/>
      <c r="BR808" s="305"/>
      <c r="BS808" s="199"/>
      <c r="BT808" s="305"/>
      <c r="BU808" s="305"/>
      <c r="BV808" s="305"/>
      <c r="BW808" s="305"/>
      <c r="BX808" s="305"/>
      <c r="BY808" s="199"/>
      <c r="BZ808" s="305"/>
      <c r="CA808" s="305"/>
      <c r="CB808" s="305"/>
      <c r="CC808" s="305"/>
      <c r="CD808" s="305"/>
      <c r="CE808" s="305"/>
      <c r="CF808" s="199"/>
      <c r="CG808" s="305"/>
      <c r="CH808" s="305"/>
      <c r="CI808" s="305"/>
      <c r="CJ808" s="305"/>
      <c r="CK808" s="305"/>
      <c r="CL808" s="305"/>
      <c r="CM808" s="199"/>
      <c r="CN808" s="305"/>
      <c r="CO808" s="305"/>
      <c r="CP808" s="305"/>
      <c r="CQ808" s="305"/>
      <c r="CR808" s="305"/>
      <c r="CS808" s="199"/>
    </row>
    <row r="809" spans="1:97">
      <c r="A809" s="429"/>
      <c r="B809" s="321"/>
      <c r="C809" s="429"/>
      <c r="D809" s="429"/>
      <c r="E809" s="429"/>
      <c r="F809" s="321"/>
      <c r="G809" s="321"/>
      <c r="H809" s="436"/>
      <c r="I809" s="321"/>
      <c r="J809" s="321"/>
      <c r="K809" s="321"/>
      <c r="L809" s="436"/>
      <c r="M809" s="429"/>
      <c r="N809" s="321"/>
      <c r="O809" s="321"/>
      <c r="P809" s="429"/>
      <c r="Q809" s="429"/>
      <c r="R809" s="429"/>
      <c r="S809" s="436"/>
      <c r="T809" s="321"/>
      <c r="U809" s="321"/>
      <c r="V809" s="321"/>
      <c r="W809" s="321"/>
      <c r="X809" s="321"/>
      <c r="Y809" s="321"/>
      <c r="Z809" s="322"/>
      <c r="AA809" s="429"/>
      <c r="AB809" s="429"/>
      <c r="AC809" s="429"/>
      <c r="AD809" s="321"/>
      <c r="AE809" s="321"/>
      <c r="AF809" s="429"/>
      <c r="AG809" s="483"/>
      <c r="AH809" s="429"/>
      <c r="AI809" s="409"/>
      <c r="AJ809" s="429"/>
      <c r="AK809" s="409"/>
      <c r="AL809" s="409"/>
      <c r="AM809" s="429"/>
      <c r="AN809" s="321"/>
      <c r="AO809" s="321"/>
      <c r="AP809" s="321"/>
      <c r="AQ809" s="321"/>
      <c r="AR809" s="321"/>
      <c r="AS809" s="321"/>
      <c r="AT809" s="429"/>
      <c r="AU809" s="409"/>
      <c r="AV809" s="321"/>
      <c r="AW809" s="409"/>
      <c r="AX809" s="321"/>
      <c r="AY809" s="415"/>
      <c r="AZ809" s="409"/>
      <c r="BA809" s="409"/>
      <c r="BB809" s="321"/>
      <c r="BC809" s="321"/>
      <c r="BD809" s="321"/>
      <c r="BE809" s="321"/>
      <c r="BF809" s="321"/>
      <c r="BG809" s="321"/>
      <c r="BH809" s="321"/>
      <c r="BI809" s="409"/>
      <c r="BJ809" s="409"/>
      <c r="BK809" s="414"/>
      <c r="BL809" s="564"/>
      <c r="BM809" s="177"/>
      <c r="BN809" s="305"/>
      <c r="BO809" s="200"/>
      <c r="BP809" s="200"/>
      <c r="BQ809" s="200"/>
      <c r="BR809" s="199"/>
      <c r="BT809" s="305"/>
      <c r="BU809" s="297"/>
      <c r="BV809" s="305"/>
      <c r="BW809" s="297"/>
      <c r="BX809" s="297"/>
      <c r="BZ809" s="305"/>
      <c r="CA809" s="305"/>
      <c r="CB809" s="200"/>
      <c r="CC809" s="200"/>
      <c r="CD809" s="200"/>
      <c r="CE809" s="199"/>
      <c r="CG809" s="305"/>
      <c r="CH809" s="305"/>
      <c r="CI809" s="305"/>
      <c r="CJ809" s="200"/>
      <c r="CK809" s="200"/>
      <c r="CL809" s="200"/>
      <c r="CN809" s="305"/>
      <c r="CO809" s="305"/>
      <c r="CP809" s="200"/>
      <c r="CQ809" s="200"/>
      <c r="CR809" s="199"/>
    </row>
    <row r="810" spans="1:97">
      <c r="A810" s="291"/>
      <c r="B810" s="429"/>
      <c r="C810" s="321"/>
      <c r="D810" s="429"/>
      <c r="E810" s="321"/>
      <c r="F810" s="321"/>
      <c r="G810" s="321"/>
      <c r="H810" s="321"/>
      <c r="I810" s="321"/>
      <c r="J810" s="321"/>
      <c r="K810" s="321"/>
      <c r="L810" s="321"/>
      <c r="M810" s="429"/>
      <c r="N810" s="321"/>
      <c r="O810" s="321"/>
      <c r="P810" s="429"/>
      <c r="Q810" s="429"/>
      <c r="R810" s="429"/>
      <c r="S810" s="321"/>
      <c r="T810" s="321"/>
      <c r="U810" s="321"/>
      <c r="V810" s="321"/>
      <c r="W810" s="321"/>
      <c r="X810" s="321"/>
      <c r="Y810" s="321"/>
      <c r="Z810" s="322"/>
      <c r="AA810" s="429"/>
      <c r="AB810" s="321"/>
      <c r="AC810" s="436"/>
      <c r="AD810" s="321"/>
      <c r="AE810" s="429"/>
      <c r="AF810" s="429"/>
      <c r="AG810" s="674"/>
      <c r="AH810" s="409"/>
      <c r="AI810" s="415"/>
      <c r="AJ810" s="409"/>
      <c r="AK810" s="409"/>
      <c r="AL810" s="409"/>
      <c r="AM810" s="321"/>
      <c r="AN810" s="321"/>
      <c r="AO810" s="321"/>
      <c r="AP810" s="321"/>
      <c r="AQ810" s="321"/>
      <c r="AR810" s="321"/>
      <c r="AS810" s="321"/>
      <c r="AT810" s="321"/>
      <c r="AU810" s="409"/>
      <c r="AV810" s="321"/>
      <c r="AW810" s="321"/>
      <c r="AX810" s="321"/>
      <c r="AY810" s="409"/>
      <c r="AZ810" s="429"/>
      <c r="BA810" s="321"/>
      <c r="BB810" s="321"/>
      <c r="BC810" s="321"/>
      <c r="BD810" s="321"/>
      <c r="BE810" s="321"/>
      <c r="BF810" s="321"/>
      <c r="BG810" s="321"/>
      <c r="BH810" s="429"/>
      <c r="BI810" s="409"/>
      <c r="BJ810" s="409"/>
      <c r="BK810" s="409"/>
      <c r="BL810" s="1734"/>
      <c r="BM810" s="177"/>
      <c r="BN810" s="200"/>
      <c r="BO810" s="199"/>
      <c r="BP810" s="200"/>
      <c r="BQ810" s="199"/>
      <c r="BT810" s="200"/>
      <c r="BU810" s="199"/>
      <c r="BV810" s="293"/>
      <c r="BW810" s="293"/>
      <c r="BZ810" s="200"/>
      <c r="CA810" s="199"/>
      <c r="CB810" s="199"/>
      <c r="CC810" s="199"/>
      <c r="CD810" s="199"/>
      <c r="CG810" s="200"/>
      <c r="CH810" s="200"/>
      <c r="CI810" s="199"/>
      <c r="CJ810" s="199"/>
      <c r="CN810" s="200"/>
      <c r="CO810" s="200"/>
      <c r="CP810" s="199"/>
      <c r="CQ810" s="199"/>
    </row>
    <row r="811" spans="1:97">
      <c r="A811" s="429"/>
      <c r="B811" s="291"/>
      <c r="C811" s="429"/>
      <c r="D811" s="429"/>
      <c r="E811" s="436"/>
      <c r="F811" s="321"/>
      <c r="G811" s="321"/>
      <c r="H811" s="321"/>
      <c r="I811" s="322"/>
      <c r="J811" s="321"/>
      <c r="K811" s="321"/>
      <c r="L811" s="436"/>
      <c r="M811" s="429"/>
      <c r="N811" s="321"/>
      <c r="O811" s="429"/>
      <c r="P811" s="321"/>
      <c r="Q811" s="321"/>
      <c r="R811" s="429"/>
      <c r="S811" s="322"/>
      <c r="T811" s="321"/>
      <c r="U811" s="321"/>
      <c r="V811" s="321"/>
      <c r="W811" s="322"/>
      <c r="X811" s="321"/>
      <c r="Y811" s="321"/>
      <c r="Z811" s="436"/>
      <c r="AA811" s="429"/>
      <c r="AB811" s="321"/>
      <c r="AC811" s="429"/>
      <c r="AD811" s="321"/>
      <c r="AE811" s="321"/>
      <c r="AF811" s="415"/>
      <c r="AG811" s="1733"/>
      <c r="AH811" s="321"/>
      <c r="AI811" s="415"/>
      <c r="AJ811" s="409"/>
      <c r="AK811" s="409"/>
      <c r="AL811" s="409"/>
      <c r="AM811" s="409"/>
      <c r="AN811" s="321"/>
      <c r="AO811" s="321"/>
      <c r="AP811" s="321"/>
      <c r="AQ811" s="321"/>
      <c r="AR811" s="321"/>
      <c r="AS811" s="321"/>
      <c r="AT811" s="321"/>
      <c r="AU811" s="409"/>
      <c r="AV811" s="321"/>
      <c r="AW811" s="414"/>
      <c r="AX811" s="409"/>
      <c r="AY811" s="409"/>
      <c r="AZ811" s="409"/>
      <c r="BA811" s="321"/>
      <c r="BB811" s="321"/>
      <c r="BC811" s="321"/>
      <c r="BD811" s="321"/>
      <c r="BE811" s="321"/>
      <c r="BF811" s="321"/>
      <c r="BG811" s="321"/>
      <c r="BH811" s="429"/>
      <c r="BI811" s="409"/>
      <c r="BJ811" s="409"/>
      <c r="BK811" s="429"/>
      <c r="BL811" s="675"/>
      <c r="BN811" s="200"/>
      <c r="BO811" s="200"/>
      <c r="BP811" s="199"/>
      <c r="BQ811" s="305"/>
      <c r="BR811" s="305"/>
      <c r="BS811" s="200"/>
      <c r="BT811" s="200"/>
      <c r="BU811" s="200"/>
      <c r="BV811" s="199"/>
      <c r="BW811" s="305"/>
      <c r="BX811" s="305"/>
      <c r="BY811" s="200"/>
      <c r="BZ811" s="200"/>
      <c r="CA811" s="200"/>
      <c r="CB811" s="200"/>
      <c r="CC811" s="199"/>
      <c r="CD811" s="305"/>
      <c r="CE811" s="305"/>
      <c r="CF811" s="200"/>
      <c r="CG811" s="200"/>
      <c r="CH811" s="200"/>
      <c r="CI811" s="199"/>
      <c r="CJ811" s="305"/>
      <c r="CK811" s="305"/>
      <c r="CL811" s="305"/>
      <c r="CM811" s="200"/>
      <c r="CN811" s="200"/>
      <c r="CO811" s="200"/>
      <c r="CP811" s="200"/>
      <c r="CQ811" s="199"/>
      <c r="CR811" s="305"/>
      <c r="CS811" s="200"/>
    </row>
    <row r="812" spans="1:97">
      <c r="A812" s="291"/>
      <c r="B812" s="429"/>
      <c r="C812" s="429"/>
      <c r="D812" s="429"/>
      <c r="E812" s="436"/>
      <c r="F812" s="322"/>
      <c r="G812" s="321"/>
      <c r="H812" s="321"/>
      <c r="I812" s="321"/>
      <c r="J812" s="321"/>
      <c r="K812" s="321"/>
      <c r="L812" s="436"/>
      <c r="M812" s="429"/>
      <c r="N812" s="321"/>
      <c r="O812" s="429"/>
      <c r="P812" s="429"/>
      <c r="Q812" s="321"/>
      <c r="R812" s="321"/>
      <c r="S812" s="322"/>
      <c r="T812" s="322"/>
      <c r="U812" s="321"/>
      <c r="V812" s="321"/>
      <c r="W812" s="321"/>
      <c r="X812" s="321"/>
      <c r="Y812" s="322"/>
      <c r="Z812" s="436"/>
      <c r="AA812" s="429"/>
      <c r="AB812" s="291"/>
      <c r="AC812" s="429"/>
      <c r="AD812" s="429"/>
      <c r="AE812" s="429"/>
      <c r="AF812" s="429"/>
      <c r="AG812" s="674"/>
      <c r="AH812" s="321"/>
      <c r="AI812" s="415"/>
      <c r="AJ812" s="409"/>
      <c r="AK812" s="429"/>
      <c r="AL812" s="409"/>
      <c r="AM812" s="321"/>
      <c r="AN812" s="321"/>
      <c r="AO812" s="414"/>
      <c r="AP812" s="321"/>
      <c r="AQ812" s="321"/>
      <c r="AR812" s="321"/>
      <c r="AS812" s="321"/>
      <c r="AT812" s="321"/>
      <c r="AU812" s="409"/>
      <c r="AV812" s="321"/>
      <c r="AW812" s="409"/>
      <c r="AX812" s="321"/>
      <c r="AY812" s="321"/>
      <c r="AZ812" s="429"/>
      <c r="BA812" s="321"/>
      <c r="BB812" s="321"/>
      <c r="BC812" s="321"/>
      <c r="BD812" s="321"/>
      <c r="BE812" s="321"/>
      <c r="BF812" s="321"/>
      <c r="BG812" s="321"/>
      <c r="BH812" s="321"/>
      <c r="BI812" s="321"/>
      <c r="BJ812" s="409"/>
      <c r="BK812" s="321"/>
      <c r="BL812" s="1734"/>
      <c r="BN812" s="199"/>
      <c r="BO812" s="199"/>
      <c r="BP812" s="199"/>
      <c r="BQ812" s="200"/>
      <c r="BR812" s="200"/>
      <c r="BS812" s="200"/>
      <c r="BT812" s="199"/>
      <c r="BU812" s="199"/>
      <c r="BW812" s="200"/>
      <c r="BX812" s="200"/>
      <c r="BY812" s="200"/>
      <c r="BZ812" s="199"/>
      <c r="CA812" s="199"/>
      <c r="CB812" s="199"/>
      <c r="CD812" s="200"/>
      <c r="CE812" s="200"/>
      <c r="CF812" s="199"/>
      <c r="CG812" s="199"/>
      <c r="CH812" s="199"/>
      <c r="CI812" s="293"/>
      <c r="CJ812" s="200"/>
      <c r="CK812" s="200"/>
      <c r="CL812" s="199"/>
      <c r="CM812" s="199"/>
      <c r="CN812" s="199"/>
      <c r="CO812" s="199"/>
      <c r="CP812" s="199"/>
      <c r="CR812" s="200"/>
      <c r="CS812" s="200"/>
    </row>
    <row r="813" spans="1:97">
      <c r="A813" s="429"/>
      <c r="B813" s="429"/>
      <c r="C813" s="429"/>
      <c r="D813" s="429"/>
      <c r="E813" s="429"/>
      <c r="F813" s="321"/>
      <c r="G813" s="321"/>
      <c r="H813" s="321"/>
      <c r="I813" s="322"/>
      <c r="J813" s="321"/>
      <c r="K813" s="321"/>
      <c r="L813" s="321"/>
      <c r="M813" s="429"/>
      <c r="N813" s="321"/>
      <c r="O813" s="322"/>
      <c r="P813" s="429"/>
      <c r="Q813" s="321"/>
      <c r="R813" s="429"/>
      <c r="S813" s="322"/>
      <c r="T813" s="321"/>
      <c r="U813" s="321"/>
      <c r="V813" s="321"/>
      <c r="W813" s="321"/>
      <c r="X813" s="321"/>
      <c r="Y813" s="321"/>
      <c r="Z813" s="322"/>
      <c r="AA813" s="291"/>
      <c r="AB813" s="321"/>
      <c r="AC813" s="429"/>
      <c r="AD813" s="321"/>
      <c r="AE813" s="321"/>
      <c r="AF813" s="429"/>
      <c r="AG813" s="1733"/>
      <c r="AH813" s="321"/>
      <c r="AI813" s="415"/>
      <c r="AJ813" s="409"/>
      <c r="AK813" s="409"/>
      <c r="AL813" s="409"/>
      <c r="AM813" s="321"/>
      <c r="AN813" s="321"/>
      <c r="AO813" s="321"/>
      <c r="AP813" s="321"/>
      <c r="AQ813" s="321"/>
      <c r="AR813" s="321"/>
      <c r="AS813" s="321"/>
      <c r="AT813" s="409"/>
      <c r="AU813" s="409"/>
      <c r="AV813" s="321"/>
      <c r="AW813" s="429"/>
      <c r="AX813" s="409"/>
      <c r="AY813" s="321"/>
      <c r="AZ813" s="321"/>
      <c r="BA813" s="321"/>
      <c r="BB813" s="321"/>
      <c r="BC813" s="321"/>
      <c r="BD813" s="321"/>
      <c r="BE813" s="321"/>
      <c r="BF813" s="321"/>
      <c r="BG813" s="321"/>
      <c r="BH813" s="321"/>
      <c r="BI813" s="321"/>
      <c r="BJ813" s="409"/>
      <c r="BK813" s="414"/>
      <c r="BL813" s="564"/>
      <c r="BN813" s="199"/>
      <c r="BO813" s="199"/>
      <c r="BQ813" s="200"/>
      <c r="BR813" s="199"/>
      <c r="BS813" s="199"/>
      <c r="BW813" s="200"/>
      <c r="BX813" s="199"/>
      <c r="BY813" s="199"/>
      <c r="CD813" s="200"/>
      <c r="CE813" s="199"/>
      <c r="CF813" s="293"/>
      <c r="CG813" s="293"/>
      <c r="CH813" s="293"/>
      <c r="CI813" s="293"/>
      <c r="CJ813" s="200"/>
      <c r="CK813" s="199"/>
      <c r="CL813" s="199"/>
      <c r="CM813" s="199"/>
      <c r="CR813" s="200"/>
      <c r="CS813" s="199"/>
    </row>
    <row r="814" spans="1:97">
      <c r="A814" s="429"/>
      <c r="B814" s="291"/>
      <c r="C814" s="429"/>
      <c r="D814" s="429"/>
      <c r="E814" s="322"/>
      <c r="F814" s="322"/>
      <c r="G814" s="321"/>
      <c r="H814" s="322"/>
      <c r="I814" s="321"/>
      <c r="J814" s="321"/>
      <c r="K814" s="321"/>
      <c r="L814" s="436"/>
      <c r="M814" s="415"/>
      <c r="N814" s="322"/>
      <c r="O814" s="322"/>
      <c r="P814" s="322"/>
      <c r="Q814" s="429"/>
      <c r="R814" s="429"/>
      <c r="S814" s="322"/>
      <c r="T814" s="322"/>
      <c r="U814" s="322"/>
      <c r="V814" s="322"/>
      <c r="W814" s="322"/>
      <c r="X814" s="322"/>
      <c r="Y814" s="322"/>
      <c r="Z814" s="322"/>
      <c r="AA814" s="291"/>
      <c r="AB814" s="291"/>
      <c r="AC814" s="429"/>
      <c r="AD814" s="321"/>
      <c r="AE814" s="291"/>
      <c r="AF814" s="321"/>
      <c r="AG814" s="674"/>
      <c r="AH814" s="321"/>
      <c r="AI814" s="415"/>
      <c r="AJ814" s="321"/>
      <c r="AK814" s="429"/>
      <c r="AL814" s="409"/>
      <c r="AM814" s="321"/>
      <c r="AN814" s="321"/>
      <c r="AO814" s="321"/>
      <c r="AP814" s="321"/>
      <c r="AQ814" s="321"/>
      <c r="AR814" s="321"/>
      <c r="AS814" s="321"/>
      <c r="AT814" s="321"/>
      <c r="AU814" s="409"/>
      <c r="AV814" s="321"/>
      <c r="AW814" s="321"/>
      <c r="AX814" s="409"/>
      <c r="AY814" s="321"/>
      <c r="AZ814" s="409"/>
      <c r="BA814" s="321"/>
      <c r="BB814" s="321"/>
      <c r="BC814" s="321"/>
      <c r="BD814" s="409"/>
      <c r="BE814" s="321"/>
      <c r="BF814" s="321"/>
      <c r="BG814" s="321"/>
      <c r="BH814" s="409"/>
      <c r="BI814" s="321"/>
      <c r="BJ814" s="409"/>
      <c r="BK814" s="409"/>
      <c r="BL814" s="1734"/>
      <c r="BM814" s="177"/>
      <c r="BN814" s="200"/>
      <c r="BO814" s="200"/>
      <c r="BP814" s="200"/>
      <c r="BQ814" s="200"/>
      <c r="BS814" s="200"/>
      <c r="BT814" s="200"/>
      <c r="BU814" s="200"/>
      <c r="BV814" s="199"/>
      <c r="BW814" s="199"/>
      <c r="BX814" s="199"/>
      <c r="BY814" s="199"/>
      <c r="BZ814" s="200"/>
      <c r="CA814" s="200"/>
      <c r="CB814" s="199"/>
      <c r="CC814" s="199"/>
      <c r="CD814" s="199"/>
      <c r="CE814" s="199"/>
      <c r="CF814" s="199"/>
      <c r="CG814" s="200"/>
      <c r="CH814" s="200"/>
      <c r="CI814" s="200"/>
      <c r="CJ814" s="199"/>
      <c r="CK814" s="199"/>
      <c r="CL814" s="199"/>
      <c r="CM814" s="199"/>
      <c r="CN814" s="200"/>
      <c r="CO814" s="200"/>
      <c r="CP814" s="199"/>
      <c r="CQ814" s="199"/>
      <c r="CR814" s="199"/>
    </row>
    <row r="815" spans="1:97">
      <c r="A815" s="429"/>
      <c r="B815" s="291"/>
      <c r="C815" s="429"/>
      <c r="D815" s="322"/>
      <c r="E815" s="321"/>
      <c r="F815" s="322"/>
      <c r="G815" s="322"/>
      <c r="H815" s="322"/>
      <c r="I815" s="322"/>
      <c r="J815" s="322"/>
      <c r="K815" s="322"/>
      <c r="L815" s="322"/>
      <c r="M815" s="415"/>
      <c r="N815" s="322"/>
      <c r="O815" s="322"/>
      <c r="P815" s="415"/>
      <c r="Q815" s="321"/>
      <c r="R815" s="321"/>
      <c r="S815" s="322"/>
      <c r="T815" s="322"/>
      <c r="U815" s="322"/>
      <c r="V815" s="322"/>
      <c r="W815" s="322"/>
      <c r="X815" s="322"/>
      <c r="Y815" s="322"/>
      <c r="Z815" s="436"/>
      <c r="AA815" s="291"/>
      <c r="AB815" s="291"/>
      <c r="AC815" s="291"/>
      <c r="AD815" s="429"/>
      <c r="AE815" s="291"/>
      <c r="AF815" s="429"/>
      <c r="AG815" s="1733"/>
      <c r="AH815" s="321"/>
      <c r="AI815" s="415"/>
      <c r="AJ815" s="415"/>
      <c r="AK815" s="429"/>
      <c r="AL815" s="409"/>
      <c r="AM815" s="321"/>
      <c r="AN815" s="321"/>
      <c r="AO815" s="321"/>
      <c r="AP815" s="321"/>
      <c r="AQ815" s="409"/>
      <c r="AR815" s="321"/>
      <c r="AS815" s="321"/>
      <c r="AT815" s="409"/>
      <c r="AU815" s="321"/>
      <c r="AV815" s="321"/>
      <c r="AW815" s="321"/>
      <c r="AX815" s="429"/>
      <c r="AY815" s="414"/>
      <c r="AZ815" s="409"/>
      <c r="BA815" s="321"/>
      <c r="BB815" s="409"/>
      <c r="BC815" s="321"/>
      <c r="BD815" s="321"/>
      <c r="BE815" s="321"/>
      <c r="BF815" s="321"/>
      <c r="BG815" s="321"/>
      <c r="BH815" s="321"/>
      <c r="BI815" s="409"/>
      <c r="BJ815" s="409"/>
      <c r="BK815" s="415"/>
      <c r="BL815" s="564"/>
      <c r="BM815" s="177"/>
      <c r="BN815" s="200"/>
      <c r="BO815" s="199"/>
      <c r="BP815" s="199"/>
      <c r="BQ815" s="199"/>
      <c r="BR815" s="293"/>
      <c r="BS815" s="200"/>
      <c r="BT815" s="199"/>
      <c r="BU815" s="199"/>
      <c r="BV815" s="199"/>
      <c r="BW815" s="199"/>
      <c r="BX815" s="199"/>
      <c r="BZ815" s="200"/>
      <c r="CA815" s="199"/>
      <c r="CB815" s="199"/>
      <c r="CC815" s="199"/>
      <c r="CD815" s="199"/>
      <c r="CE815" s="199"/>
      <c r="CG815" s="200"/>
      <c r="CH815" s="199"/>
      <c r="CI815" s="199"/>
      <c r="CJ815" s="199"/>
      <c r="CK815" s="199"/>
      <c r="CL815" s="199"/>
      <c r="CN815" s="200"/>
      <c r="CO815" s="199"/>
      <c r="CP815" s="199"/>
      <c r="CQ815" s="199"/>
      <c r="CR815" s="199"/>
    </row>
    <row r="816" spans="1:97">
      <c r="A816" s="291"/>
      <c r="B816" s="291"/>
      <c r="C816" s="429"/>
      <c r="D816" s="322"/>
      <c r="E816" s="429"/>
      <c r="F816" s="322"/>
      <c r="G816" s="322"/>
      <c r="H816" s="322"/>
      <c r="I816" s="322"/>
      <c r="J816" s="322"/>
      <c r="K816" s="322"/>
      <c r="L816" s="429"/>
      <c r="M816" s="415"/>
      <c r="N816" s="322"/>
      <c r="O816" s="415"/>
      <c r="P816" s="409"/>
      <c r="Q816" s="321"/>
      <c r="R816" s="429"/>
      <c r="S816" s="322"/>
      <c r="T816" s="429"/>
      <c r="U816" s="291"/>
      <c r="V816" s="322"/>
      <c r="W816" s="322"/>
      <c r="X816" s="291"/>
      <c r="Y816" s="429"/>
      <c r="Z816" s="322"/>
      <c r="AA816" s="291"/>
      <c r="AB816" s="414"/>
      <c r="AC816" s="429"/>
      <c r="AD816" s="429"/>
      <c r="AE816" s="415"/>
      <c r="AF816" s="321"/>
      <c r="AG816" s="1733"/>
      <c r="AH816" s="409"/>
      <c r="AI816" s="415"/>
      <c r="AJ816" s="415"/>
      <c r="AK816" s="409"/>
      <c r="AL816" s="409"/>
      <c r="AM816" s="321"/>
      <c r="AN816" s="321"/>
      <c r="AO816" s="321"/>
      <c r="AP816" s="321"/>
      <c r="AQ816" s="321"/>
      <c r="AR816" s="321"/>
      <c r="AS816" s="321"/>
      <c r="AT816" s="409"/>
      <c r="AU816" s="321"/>
      <c r="AV816" s="321"/>
      <c r="AW816" s="414"/>
      <c r="AX816" s="321"/>
      <c r="AY816" s="409"/>
      <c r="AZ816" s="429"/>
      <c r="BA816" s="429"/>
      <c r="BB816" s="321"/>
      <c r="BC816" s="321"/>
      <c r="BD816" s="321"/>
      <c r="BE816" s="321"/>
      <c r="BF816" s="321"/>
      <c r="BG816" s="321"/>
      <c r="BH816" s="321"/>
      <c r="BI816" s="429"/>
      <c r="BJ816" s="415"/>
      <c r="BK816" s="415"/>
      <c r="BL816" s="607"/>
      <c r="BM816" s="177"/>
      <c r="BN816" s="199"/>
      <c r="BO816" s="199"/>
      <c r="BQ816" s="293"/>
      <c r="BR816" s="293"/>
      <c r="BS816" s="199"/>
      <c r="BT816" s="199"/>
      <c r="BZ816" s="199"/>
      <c r="CA816" s="199"/>
      <c r="CG816" s="199"/>
      <c r="CH816" s="199"/>
      <c r="CN816" s="199"/>
      <c r="CO816" s="199"/>
    </row>
    <row r="817" spans="1:97">
      <c r="A817" s="429"/>
      <c r="B817" s="429"/>
      <c r="C817" s="429"/>
      <c r="D817" s="322"/>
      <c r="E817" s="322"/>
      <c r="F817" s="322"/>
      <c r="G817" s="429"/>
      <c r="H817" s="322"/>
      <c r="I817" s="322"/>
      <c r="J817" s="322"/>
      <c r="K817" s="322"/>
      <c r="L817" s="322"/>
      <c r="M817" s="322"/>
      <c r="N817" s="322"/>
      <c r="O817" s="415"/>
      <c r="P817" s="415"/>
      <c r="Q817" s="429"/>
      <c r="R817" s="322"/>
      <c r="S817" s="322"/>
      <c r="T817" s="322"/>
      <c r="U817" s="322"/>
      <c r="V817" s="322"/>
      <c r="W817" s="322"/>
      <c r="X817" s="322"/>
      <c r="Y817" s="322"/>
      <c r="Z817" s="322"/>
      <c r="AA817" s="322"/>
      <c r="AB817" s="415"/>
      <c r="AC817" s="429"/>
      <c r="AD817" s="321"/>
      <c r="AE817" s="415"/>
      <c r="AF817" s="321"/>
      <c r="AG817" s="1733"/>
      <c r="AH817" s="414"/>
      <c r="AI817" s="415"/>
      <c r="AJ817" s="415"/>
      <c r="AK817" s="414"/>
      <c r="AL817" s="321"/>
      <c r="AM817" s="409"/>
      <c r="AN817" s="321"/>
      <c r="AO817" s="321"/>
      <c r="AP817" s="321"/>
      <c r="AQ817" s="321"/>
      <c r="AR817" s="321"/>
      <c r="AS817" s="321"/>
      <c r="AT817" s="321"/>
      <c r="AU817" s="415"/>
      <c r="AV817" s="321"/>
      <c r="AW817" s="409"/>
      <c r="AX817" s="429"/>
      <c r="AY817" s="321"/>
      <c r="AZ817" s="409"/>
      <c r="BA817" s="409"/>
      <c r="BB817" s="409"/>
      <c r="BC817" s="321"/>
      <c r="BD817" s="321"/>
      <c r="BE817" s="321"/>
      <c r="BF817" s="321"/>
      <c r="BG817" s="321"/>
      <c r="BH817" s="409"/>
      <c r="BI817" s="409"/>
      <c r="BJ817" s="415"/>
      <c r="BK817" s="415"/>
      <c r="BL817" s="1734"/>
      <c r="BM817" s="177"/>
      <c r="BQ817" s="199"/>
      <c r="BR817" s="199"/>
      <c r="BS817" s="199"/>
      <c r="BT817" s="199"/>
      <c r="BW817" s="199"/>
      <c r="BX817" s="199"/>
      <c r="BY817" s="199"/>
      <c r="BZ817" s="199"/>
      <c r="CA817" s="199"/>
      <c r="CD817" s="199"/>
      <c r="CE817" s="199"/>
      <c r="CF817" s="199"/>
      <c r="CG817" s="199"/>
      <c r="CH817" s="199"/>
      <c r="CK817" s="199"/>
      <c r="CL817" s="199"/>
      <c r="CM817" s="199"/>
      <c r="CN817" s="199"/>
      <c r="CQ817" s="199"/>
      <c r="CR817" s="199"/>
      <c r="CS817" s="199"/>
    </row>
    <row r="818" spans="1:97">
      <c r="A818" s="415"/>
      <c r="B818" s="429"/>
      <c r="C818" s="415"/>
      <c r="D818" s="322"/>
      <c r="E818" s="291"/>
      <c r="F818" s="322"/>
      <c r="G818" s="322"/>
      <c r="H818" s="322"/>
      <c r="I818" s="322"/>
      <c r="J818" s="418"/>
      <c r="K818" s="418"/>
      <c r="L818" s="291"/>
      <c r="M818" s="414"/>
      <c r="N818" s="322"/>
      <c r="O818" s="322"/>
      <c r="P818" s="415"/>
      <c r="Q818" s="415"/>
      <c r="R818" s="415"/>
      <c r="S818" s="322"/>
      <c r="T818" s="322"/>
      <c r="U818" s="418"/>
      <c r="V818" s="418"/>
      <c r="W818" s="418"/>
      <c r="X818" s="418"/>
      <c r="Y818" s="418"/>
      <c r="Z818" s="322"/>
      <c r="AA818" s="322"/>
      <c r="AB818" s="414"/>
      <c r="AC818" s="429"/>
      <c r="AD818" s="321"/>
      <c r="AE818" s="415"/>
      <c r="AF818" s="429"/>
      <c r="AG818" s="1733"/>
      <c r="AH818" s="414"/>
      <c r="AI818" s="321"/>
      <c r="AJ818" s="415"/>
      <c r="AK818" s="414"/>
      <c r="AL818" s="409"/>
      <c r="AM818" s="321"/>
      <c r="AN818" s="321"/>
      <c r="AO818" s="321"/>
      <c r="AP818" s="321"/>
      <c r="AQ818" s="321"/>
      <c r="AR818" s="409"/>
      <c r="AS818" s="321"/>
      <c r="AT818" s="321"/>
      <c r="AU818" s="415"/>
      <c r="AV818" s="415"/>
      <c r="AW818" s="409"/>
      <c r="AX818" s="409"/>
      <c r="AY818" s="429"/>
      <c r="AZ818" s="321"/>
      <c r="BA818" s="321"/>
      <c r="BB818" s="429"/>
      <c r="BC818" s="429"/>
      <c r="BD818" s="429"/>
      <c r="BE818" s="409"/>
      <c r="BF818" s="201"/>
      <c r="BG818" s="321"/>
      <c r="BH818" s="321"/>
      <c r="BI818" s="409"/>
      <c r="BJ818" s="429"/>
      <c r="BK818" s="415"/>
      <c r="BL818" s="564"/>
      <c r="BM818" s="177"/>
      <c r="BP818" s="206"/>
      <c r="BQ818" s="199"/>
      <c r="BR818" s="199"/>
      <c r="BV818" s="206"/>
      <c r="BW818" s="199"/>
      <c r="BX818" s="199"/>
      <c r="BY818" s="199"/>
      <c r="CC818" s="206"/>
      <c r="CD818" s="199"/>
      <c r="CE818" s="199"/>
      <c r="CF818" s="199"/>
      <c r="CJ818" s="206"/>
      <c r="CK818" s="199"/>
      <c r="CL818" s="199"/>
      <c r="CP818" s="206"/>
      <c r="CQ818" s="199"/>
      <c r="CR818" s="199"/>
    </row>
    <row r="819" spans="1:97">
      <c r="A819" s="415"/>
      <c r="B819" s="429"/>
      <c r="C819" s="415"/>
      <c r="D819" s="291"/>
      <c r="E819" s="322"/>
      <c r="F819" s="291"/>
      <c r="G819" s="291"/>
      <c r="H819" s="291"/>
      <c r="I819" s="291"/>
      <c r="J819" s="322"/>
      <c r="K819" s="322"/>
      <c r="L819" s="414"/>
      <c r="M819" s="291"/>
      <c r="N819" s="415"/>
      <c r="O819" s="409"/>
      <c r="P819" s="414"/>
      <c r="Q819" s="322"/>
      <c r="R819" s="415"/>
      <c r="S819" s="291"/>
      <c r="T819" s="291"/>
      <c r="U819" s="322"/>
      <c r="V819" s="322"/>
      <c r="W819" s="291"/>
      <c r="X819" s="291"/>
      <c r="Y819" s="322"/>
      <c r="Z819" s="322"/>
      <c r="AA819" s="415"/>
      <c r="AB819" s="415"/>
      <c r="AC819" s="415"/>
      <c r="AD819" s="415"/>
      <c r="AE819" s="415"/>
      <c r="AF819" s="415"/>
      <c r="AG819" s="674"/>
      <c r="AH819" s="415"/>
      <c r="AI819" s="409"/>
      <c r="AJ819" s="414"/>
      <c r="AK819" s="409"/>
      <c r="AL819" s="321"/>
      <c r="AM819" s="321"/>
      <c r="AN819" s="414"/>
      <c r="AO819" s="414"/>
      <c r="AP819" s="414"/>
      <c r="AQ819" s="418"/>
      <c r="AR819" s="418"/>
      <c r="AS819" s="418"/>
      <c r="AT819" s="418"/>
      <c r="AU819" s="415"/>
      <c r="AV819" s="415"/>
      <c r="AW819" s="321"/>
      <c r="AX819" s="414"/>
      <c r="AY819" s="414"/>
      <c r="AZ819" s="321"/>
      <c r="BA819" s="414"/>
      <c r="BB819" s="321"/>
      <c r="BC819" s="418"/>
      <c r="BD819" s="418"/>
      <c r="BE819" s="418"/>
      <c r="BF819" s="418"/>
      <c r="BG819" s="418"/>
      <c r="BH819" s="321"/>
      <c r="BI819" s="409"/>
      <c r="BJ819" s="321"/>
      <c r="BK819" s="409"/>
      <c r="BL819" s="1734"/>
      <c r="BM819" s="177"/>
      <c r="BO819" s="206"/>
      <c r="BP819" s="206"/>
      <c r="BU819" s="206"/>
      <c r="BV819" s="291"/>
      <c r="CB819" s="206"/>
      <c r="CC819" s="291"/>
      <c r="CI819" s="206"/>
      <c r="CJ819" s="291"/>
      <c r="CO819" s="206"/>
      <c r="CP819" s="291"/>
      <c r="CR819" s="206"/>
      <c r="CS819" s="206"/>
    </row>
    <row r="820" spans="1:97">
      <c r="A820" s="415"/>
      <c r="B820" s="415"/>
      <c r="C820" s="415"/>
      <c r="D820" s="291"/>
      <c r="E820" s="415"/>
      <c r="F820" s="429"/>
      <c r="G820" s="321"/>
      <c r="H820" s="321"/>
      <c r="I820" s="321"/>
      <c r="J820" s="429"/>
      <c r="K820" s="322"/>
      <c r="L820" s="321"/>
      <c r="M820" s="291"/>
      <c r="N820" s="415"/>
      <c r="O820" s="415"/>
      <c r="P820" s="414"/>
      <c r="Q820" s="322"/>
      <c r="R820" s="415"/>
      <c r="S820" s="291"/>
      <c r="T820" s="429"/>
      <c r="U820" s="429"/>
      <c r="V820" s="321"/>
      <c r="W820" s="429"/>
      <c r="X820" s="291"/>
      <c r="Y820" s="429"/>
      <c r="Z820" s="321"/>
      <c r="AA820" s="429"/>
      <c r="AB820" s="415"/>
      <c r="AC820" s="321"/>
      <c r="AD820" s="321"/>
      <c r="AE820" s="415"/>
      <c r="AF820" s="415"/>
      <c r="AG820" s="1733"/>
      <c r="AH820" s="415"/>
      <c r="AI820" s="409"/>
      <c r="AJ820" s="414"/>
      <c r="AK820" s="414"/>
      <c r="AL820" s="321"/>
      <c r="AM820" s="321"/>
      <c r="AN820" s="321"/>
      <c r="AO820" s="409"/>
      <c r="AP820" s="321"/>
      <c r="AQ820" s="321"/>
      <c r="AR820" s="321"/>
      <c r="AS820" s="415"/>
      <c r="AT820" s="415"/>
      <c r="AU820" s="415"/>
      <c r="AV820" s="414"/>
      <c r="AW820" s="321"/>
      <c r="AX820" s="414"/>
      <c r="AY820" s="321"/>
      <c r="AZ820" s="414"/>
      <c r="BA820" s="414"/>
      <c r="BB820" s="414"/>
      <c r="BC820" s="321"/>
      <c r="BD820" s="321"/>
      <c r="BE820" s="321"/>
      <c r="BF820" s="321"/>
      <c r="BG820" s="415"/>
      <c r="BH820" s="321"/>
      <c r="BI820" s="415"/>
      <c r="BJ820" s="415"/>
      <c r="BK820" s="415"/>
      <c r="BL820" s="675"/>
      <c r="BM820" s="177"/>
      <c r="BN820" s="199"/>
      <c r="BO820" s="199"/>
      <c r="BP820" s="199"/>
      <c r="BS820" s="206"/>
      <c r="BT820" s="199"/>
      <c r="BU820" s="199"/>
      <c r="BV820" s="199"/>
      <c r="CA820" s="199"/>
      <c r="CB820" s="199"/>
      <c r="CC820" s="199"/>
      <c r="CF820" s="206"/>
      <c r="CG820" s="199"/>
      <c r="CH820" s="199"/>
      <c r="CI820" s="199"/>
      <c r="CM820" s="199"/>
      <c r="CN820" s="199"/>
      <c r="CO820" s="199"/>
      <c r="CP820" s="199"/>
      <c r="CQ820" s="161"/>
    </row>
    <row r="821" spans="1:97">
      <c r="A821" s="415"/>
      <c r="B821" s="414"/>
      <c r="C821" s="414"/>
      <c r="D821" s="291"/>
      <c r="E821" s="429"/>
      <c r="F821" s="321"/>
      <c r="G821" s="321"/>
      <c r="H821" s="429"/>
      <c r="I821" s="321"/>
      <c r="J821" s="321"/>
      <c r="K821" s="322"/>
      <c r="L821" s="429"/>
      <c r="M821" s="321"/>
      <c r="N821" s="415"/>
      <c r="O821" s="415"/>
      <c r="P821" s="414"/>
      <c r="Q821" s="415"/>
      <c r="R821" s="322"/>
      <c r="S821" s="291"/>
      <c r="T821" s="321"/>
      <c r="U821" s="429"/>
      <c r="V821" s="321"/>
      <c r="W821" s="429"/>
      <c r="X821" s="429"/>
      <c r="Y821" s="321"/>
      <c r="Z821" s="321"/>
      <c r="AA821" s="321"/>
      <c r="AB821" s="415"/>
      <c r="AC821" s="321"/>
      <c r="AD821" s="409"/>
      <c r="AE821" s="415"/>
      <c r="AF821" s="415"/>
      <c r="AG821" s="491"/>
      <c r="AH821" s="415"/>
      <c r="AI821" s="418"/>
      <c r="AJ821" s="415"/>
      <c r="AK821" s="414"/>
      <c r="AL821" s="321"/>
      <c r="AM821" s="409"/>
      <c r="AN821" s="321"/>
      <c r="AO821" s="321"/>
      <c r="AP821" s="321"/>
      <c r="AQ821" s="321"/>
      <c r="AR821" s="409"/>
      <c r="AS821" s="321"/>
      <c r="AT821" s="415"/>
      <c r="AU821" s="414"/>
      <c r="AV821" s="414"/>
      <c r="AW821" s="414"/>
      <c r="AX821" s="414"/>
      <c r="AY821" s="414"/>
      <c r="AZ821" s="414"/>
      <c r="BA821" s="414"/>
      <c r="BB821" s="409"/>
      <c r="BC821" s="409"/>
      <c r="BD821" s="321"/>
      <c r="BE821" s="409"/>
      <c r="BF821" s="321"/>
      <c r="BG821" s="409"/>
      <c r="BH821" s="321"/>
      <c r="BI821" s="321"/>
      <c r="BJ821" s="415"/>
      <c r="BK821" s="415"/>
      <c r="BL821" s="607"/>
      <c r="BM821" s="177"/>
      <c r="BN821" s="199"/>
      <c r="BT821" s="199"/>
      <c r="BZ821" s="206"/>
      <c r="CG821" s="199"/>
      <c r="CL821" s="291"/>
      <c r="CM821" s="199"/>
      <c r="CN821" s="161"/>
      <c r="CO821" s="161"/>
      <c r="CP821" s="161"/>
      <c r="CQ821" s="161"/>
      <c r="CS821" s="206"/>
    </row>
    <row r="822" spans="1:97">
      <c r="A822" s="415"/>
      <c r="B822" s="414"/>
      <c r="C822" s="608"/>
      <c r="D822" s="291"/>
      <c r="E822" s="429"/>
      <c r="F822" s="321"/>
      <c r="G822" s="429"/>
      <c r="H822" s="321"/>
      <c r="I822" s="429"/>
      <c r="J822" s="321"/>
      <c r="K822" s="321"/>
      <c r="L822" s="429"/>
      <c r="M822" s="321"/>
      <c r="N822" s="415"/>
      <c r="O822" s="321"/>
      <c r="P822" s="321"/>
      <c r="Q822" s="415"/>
      <c r="R822" s="415"/>
      <c r="S822" s="321"/>
      <c r="T822" s="321"/>
      <c r="U822" s="429"/>
      <c r="V822" s="429"/>
      <c r="W822" s="429"/>
      <c r="X822" s="429"/>
      <c r="Y822" s="321"/>
      <c r="Z822" s="429"/>
      <c r="AA822" s="429"/>
      <c r="AB822" s="415"/>
      <c r="AC822" s="415"/>
      <c r="AD822" s="409"/>
      <c r="AE822" s="415"/>
      <c r="AF822" s="321"/>
      <c r="AG822" s="491"/>
      <c r="AH822" s="418"/>
      <c r="AI822" s="418"/>
      <c r="AJ822" s="414"/>
      <c r="AK822" s="321"/>
      <c r="AL822" s="415"/>
      <c r="AM822" s="409"/>
      <c r="AN822" s="321"/>
      <c r="AO822" s="321"/>
      <c r="AP822" s="409"/>
      <c r="AQ822" s="321"/>
      <c r="AR822" s="321"/>
      <c r="AS822" s="321"/>
      <c r="AT822" s="321"/>
      <c r="AU822" s="414"/>
      <c r="AV822" s="414"/>
      <c r="AW822" s="415"/>
      <c r="AX822" s="414"/>
      <c r="AY822" s="414"/>
      <c r="AZ822" s="321"/>
      <c r="BA822" s="414"/>
      <c r="BB822" s="321"/>
      <c r="BC822" s="409"/>
      <c r="BD822" s="321"/>
      <c r="BE822" s="321"/>
      <c r="BF822" s="409"/>
      <c r="BG822" s="409"/>
      <c r="BH822" s="409"/>
      <c r="BI822" s="321"/>
      <c r="BJ822" s="418"/>
      <c r="BK822" s="415"/>
      <c r="BL822" s="564"/>
      <c r="BM822" s="177"/>
      <c r="BS822" s="206"/>
      <c r="BZ822" s="291"/>
      <c r="CF822" s="206"/>
      <c r="CL822" s="206"/>
      <c r="CM822" s="161"/>
      <c r="CN822" s="161"/>
      <c r="CS822" s="206"/>
    </row>
    <row r="823" spans="1:97">
      <c r="A823" s="415"/>
      <c r="B823" s="415"/>
      <c r="C823" s="608"/>
      <c r="D823" s="291"/>
      <c r="E823" s="321"/>
      <c r="F823" s="429"/>
      <c r="G823" s="321"/>
      <c r="H823" s="321"/>
      <c r="I823" s="429"/>
      <c r="J823" s="429"/>
      <c r="K823" s="321"/>
      <c r="L823" s="429"/>
      <c r="M823" s="321"/>
      <c r="N823" s="321"/>
      <c r="O823" s="321"/>
      <c r="P823" s="414"/>
      <c r="Q823" s="321"/>
      <c r="R823" s="415"/>
      <c r="S823" s="429"/>
      <c r="T823" s="429"/>
      <c r="U823" s="321"/>
      <c r="V823" s="429"/>
      <c r="W823" s="321"/>
      <c r="X823" s="429"/>
      <c r="Y823" s="429"/>
      <c r="Z823" s="321"/>
      <c r="AA823" s="429"/>
      <c r="AB823" s="321"/>
      <c r="AC823" s="415"/>
      <c r="AD823" s="415"/>
      <c r="AE823" s="608"/>
      <c r="AF823" s="321"/>
      <c r="AG823" s="491"/>
      <c r="AH823" s="418"/>
      <c r="AI823" s="414"/>
      <c r="AJ823" s="321"/>
      <c r="AK823" s="415"/>
      <c r="AL823" s="321"/>
      <c r="AM823" s="321"/>
      <c r="AN823" s="409"/>
      <c r="AO823" s="409"/>
      <c r="AP823" s="321"/>
      <c r="AQ823" s="409"/>
      <c r="AR823" s="321"/>
      <c r="AS823" s="409"/>
      <c r="AT823" s="321"/>
      <c r="AU823" s="414"/>
      <c r="AV823" s="415"/>
      <c r="AW823" s="321"/>
      <c r="AX823" s="414"/>
      <c r="AY823" s="415"/>
      <c r="AZ823" s="321"/>
      <c r="BA823" s="321"/>
      <c r="BB823" s="321"/>
      <c r="BC823" s="409"/>
      <c r="BD823" s="409"/>
      <c r="BE823" s="409"/>
      <c r="BF823" s="409"/>
      <c r="BG823" s="409"/>
      <c r="BH823" s="321"/>
      <c r="BI823" s="414"/>
      <c r="BJ823" s="418"/>
      <c r="BK823" s="414"/>
      <c r="BL823" s="564"/>
      <c r="BM823" s="177"/>
      <c r="BN823" s="206"/>
      <c r="BO823" s="206"/>
      <c r="BR823" s="206"/>
      <c r="BS823" s="206"/>
      <c r="BT823" s="206"/>
      <c r="BU823" s="206"/>
      <c r="BV823" s="206"/>
      <c r="BW823" s="206"/>
      <c r="BY823" s="206"/>
      <c r="BZ823" s="206"/>
      <c r="CA823" s="206"/>
      <c r="CD823" s="206"/>
      <c r="CE823" s="206"/>
      <c r="CF823" s="206"/>
      <c r="CG823" s="206"/>
      <c r="CH823" s="206"/>
      <c r="CJ823" s="206"/>
      <c r="CK823" s="206"/>
      <c r="CL823" s="206"/>
      <c r="CM823" s="206"/>
      <c r="CN823" s="206"/>
      <c r="CP823" s="206"/>
      <c r="CR823" s="206"/>
      <c r="CS823" s="206"/>
    </row>
    <row r="824" spans="1:97">
      <c r="A824" s="415"/>
      <c r="B824" s="608"/>
      <c r="C824" s="608"/>
      <c r="D824" s="321"/>
      <c r="E824" s="414"/>
      <c r="F824" s="291"/>
      <c r="G824" s="321"/>
      <c r="H824" s="321"/>
      <c r="I824" s="321"/>
      <c r="J824" s="429"/>
      <c r="K824" s="291"/>
      <c r="L824" s="414"/>
      <c r="M824" s="291"/>
      <c r="N824" s="321"/>
      <c r="O824" s="291"/>
      <c r="P824" s="414"/>
      <c r="Q824" s="321"/>
      <c r="R824" s="321"/>
      <c r="S824" s="321"/>
      <c r="T824" s="321"/>
      <c r="U824" s="321"/>
      <c r="V824" s="429"/>
      <c r="W824" s="321"/>
      <c r="X824" s="429"/>
      <c r="Y824" s="321"/>
      <c r="Z824" s="321"/>
      <c r="AA824" s="414"/>
      <c r="AB824" s="418"/>
      <c r="AC824" s="415"/>
      <c r="AD824" s="321"/>
      <c r="AE824" s="321"/>
      <c r="AF824" s="321"/>
      <c r="AG824" s="491"/>
      <c r="AH824" s="418"/>
      <c r="AI824" s="414"/>
      <c r="AJ824" s="321"/>
      <c r="AK824" s="415"/>
      <c r="AL824" s="321"/>
      <c r="AM824" s="321"/>
      <c r="AN824" s="418"/>
      <c r="AO824" s="321"/>
      <c r="AP824" s="418"/>
      <c r="AQ824" s="321"/>
      <c r="AR824" s="321"/>
      <c r="AS824" s="409"/>
      <c r="AT824" s="321"/>
      <c r="AU824" s="321"/>
      <c r="AV824" s="321"/>
      <c r="AW824" s="414"/>
      <c r="AX824" s="414"/>
      <c r="AY824" s="321"/>
      <c r="AZ824" s="321"/>
      <c r="BA824" s="321"/>
      <c r="BB824" s="418"/>
      <c r="BC824" s="321"/>
      <c r="BD824" s="409"/>
      <c r="BE824" s="321"/>
      <c r="BF824" s="321"/>
      <c r="BG824" s="409"/>
      <c r="BH824" s="321"/>
      <c r="BI824" s="321"/>
      <c r="BJ824" s="418"/>
      <c r="BK824" s="414"/>
      <c r="BL824" s="675"/>
      <c r="BM824" s="177"/>
      <c r="BP824" s="206"/>
      <c r="BQ824" s="293"/>
      <c r="BR824" s="293"/>
      <c r="BS824" s="161"/>
      <c r="BT824" s="161"/>
      <c r="BV824" s="206"/>
      <c r="BW824" s="199"/>
      <c r="BX824" s="199"/>
      <c r="CC824" s="206"/>
      <c r="CD824" s="199"/>
      <c r="CE824" s="199"/>
      <c r="CI824" s="206"/>
      <c r="CJ824" s="199"/>
      <c r="CK824" s="199"/>
      <c r="CQ824" s="199"/>
      <c r="CR824" s="199"/>
    </row>
    <row r="825" spans="1:97">
      <c r="A825" s="321"/>
      <c r="B825" s="291"/>
      <c r="C825" s="291"/>
      <c r="D825" s="321"/>
      <c r="E825" s="321"/>
      <c r="F825" s="291"/>
      <c r="G825" s="608"/>
      <c r="H825" s="608"/>
      <c r="I825" s="321"/>
      <c r="J825" s="321"/>
      <c r="K825" s="291"/>
      <c r="L825" s="418"/>
      <c r="M825" s="418"/>
      <c r="N825" s="418"/>
      <c r="O825" s="321"/>
      <c r="P825" s="418"/>
      <c r="Q825" s="321"/>
      <c r="R825" s="418"/>
      <c r="S825" s="418"/>
      <c r="T825" s="418"/>
      <c r="U825" s="418"/>
      <c r="V825" s="321"/>
      <c r="W825" s="321"/>
      <c r="X825" s="321"/>
      <c r="Y825" s="321"/>
      <c r="Z825" s="321"/>
      <c r="AA825" s="321"/>
      <c r="AB825" s="418"/>
      <c r="AC825" s="418"/>
      <c r="AD825" s="418"/>
      <c r="AE825" s="418"/>
      <c r="AF825" s="418"/>
      <c r="AG825" s="491"/>
      <c r="AH825" s="418"/>
      <c r="AI825" s="321"/>
      <c r="AJ825" s="418"/>
      <c r="AK825" s="418"/>
      <c r="AL825" s="321"/>
      <c r="AM825" s="409"/>
      <c r="AN825" s="409"/>
      <c r="AO825" s="409"/>
      <c r="AP825" s="321"/>
      <c r="AQ825" s="409"/>
      <c r="AR825" s="415"/>
      <c r="AS825" s="409"/>
      <c r="AT825" s="418"/>
      <c r="AU825" s="418"/>
      <c r="AV825" s="418"/>
      <c r="AW825" s="321"/>
      <c r="AX825" s="418"/>
      <c r="AY825" s="415"/>
      <c r="AZ825" s="418"/>
      <c r="BA825" s="418"/>
      <c r="BB825" s="418"/>
      <c r="BC825" s="418"/>
      <c r="BD825" s="414"/>
      <c r="BE825" s="321"/>
      <c r="BF825" s="409"/>
      <c r="BG825" s="321"/>
      <c r="BH825" s="321"/>
      <c r="BI825" s="321"/>
      <c r="BJ825" s="418"/>
      <c r="BK825" s="418"/>
      <c r="BL825" s="609"/>
      <c r="BM825" s="177"/>
      <c r="BO825" s="291"/>
      <c r="BP825" s="206"/>
      <c r="BQ825" s="161"/>
      <c r="BR825" s="161"/>
      <c r="BU825" s="291"/>
      <c r="CB825" s="291"/>
      <c r="CC825" s="206"/>
      <c r="CH825" s="291"/>
      <c r="CI825" s="206"/>
      <c r="CO825" s="291"/>
      <c r="CP825" s="206"/>
    </row>
    <row r="826" spans="1:97">
      <c r="A826" s="415"/>
      <c r="B826" s="291"/>
      <c r="C826" s="414"/>
      <c r="D826" s="291"/>
      <c r="E826" s="414"/>
      <c r="F826" s="414"/>
      <c r="G826" s="291"/>
      <c r="H826" s="321"/>
      <c r="I826" s="418"/>
      <c r="J826" s="321"/>
      <c r="K826" s="414"/>
      <c r="L826" s="414"/>
      <c r="M826" s="414"/>
      <c r="N826" s="321"/>
      <c r="O826" s="414"/>
      <c r="P826" s="414"/>
      <c r="Q826" s="291"/>
      <c r="R826" s="414"/>
      <c r="S826" s="321"/>
      <c r="T826" s="414"/>
      <c r="U826" s="321"/>
      <c r="V826" s="321"/>
      <c r="W826" s="414"/>
      <c r="X826" s="291"/>
      <c r="Y826" s="414"/>
      <c r="Z826" s="414"/>
      <c r="AA826" s="321"/>
      <c r="AB826" s="414"/>
      <c r="AC826" s="429"/>
      <c r="AD826" s="415"/>
      <c r="AE826" s="321"/>
      <c r="AF826" s="415"/>
      <c r="AG826" s="674"/>
      <c r="AH826" s="414"/>
      <c r="AI826" s="414"/>
      <c r="AJ826" s="414"/>
      <c r="AK826" s="409"/>
      <c r="AL826" s="414"/>
      <c r="AM826" s="414"/>
      <c r="AN826" s="414"/>
      <c r="AO826" s="321"/>
      <c r="AP826" s="321"/>
      <c r="AQ826" s="418"/>
      <c r="AR826" s="321"/>
      <c r="AS826" s="415"/>
      <c r="AT826" s="414"/>
      <c r="AU826" s="414"/>
      <c r="AV826" s="415"/>
      <c r="AW826" s="414"/>
      <c r="AX826" s="415"/>
      <c r="AY826" s="414"/>
      <c r="AZ826" s="414"/>
      <c r="BA826" s="409"/>
      <c r="BB826" s="415"/>
      <c r="BC826" s="409"/>
      <c r="BD826" s="414"/>
      <c r="BE826" s="321"/>
      <c r="BF826" s="414"/>
      <c r="BG826" s="414"/>
      <c r="BH826" s="321"/>
      <c r="BI826" s="409"/>
      <c r="BJ826" s="414"/>
      <c r="BK826" s="321"/>
      <c r="BL826" s="607"/>
      <c r="BM826" s="177"/>
      <c r="BN826" s="206"/>
      <c r="BO826" s="206"/>
      <c r="BP826" s="206"/>
      <c r="BQ826" s="206"/>
      <c r="BR826" s="206"/>
      <c r="BT826" s="206"/>
      <c r="BU826" s="206"/>
      <c r="BW826" s="206"/>
      <c r="BX826" s="206"/>
      <c r="BZ826" s="206"/>
      <c r="CB826" s="206"/>
      <c r="CC826" s="206"/>
      <c r="CD826" s="206"/>
      <c r="CE826" s="206"/>
      <c r="CG826" s="206"/>
      <c r="CH826" s="206"/>
      <c r="CI826" s="206"/>
      <c r="CJ826" s="206"/>
      <c r="CL826" s="206"/>
      <c r="CN826" s="206"/>
      <c r="CO826" s="206"/>
      <c r="CP826" s="206"/>
      <c r="CQ826" s="206"/>
      <c r="CS826" s="206"/>
    </row>
    <row r="827" spans="1:97">
      <c r="A827" s="321"/>
      <c r="B827" s="415"/>
      <c r="C827" s="415"/>
      <c r="D827" s="291"/>
      <c r="E827" s="415"/>
      <c r="F827" s="429"/>
      <c r="G827" s="291"/>
      <c r="H827" s="429"/>
      <c r="I827" s="415"/>
      <c r="J827" s="429"/>
      <c r="K827" s="415"/>
      <c r="L827" s="415"/>
      <c r="M827" s="429"/>
      <c r="N827" s="429"/>
      <c r="O827" s="415"/>
      <c r="P827" s="415"/>
      <c r="Q827" s="291"/>
      <c r="R827" s="415"/>
      <c r="S827" s="321"/>
      <c r="T827" s="415"/>
      <c r="U827" s="415"/>
      <c r="V827" s="415"/>
      <c r="W827" s="415"/>
      <c r="X827" s="291"/>
      <c r="Y827" s="415"/>
      <c r="Z827" s="322"/>
      <c r="AA827" s="322"/>
      <c r="AB827" s="415"/>
      <c r="AC827" s="415"/>
      <c r="AD827" s="429"/>
      <c r="AE827" s="415"/>
      <c r="AF827" s="415"/>
      <c r="AG827" s="674"/>
      <c r="AH827" s="414"/>
      <c r="AI827" s="321"/>
      <c r="AJ827" s="321"/>
      <c r="AK827" s="321"/>
      <c r="AL827" s="415"/>
      <c r="AM827" s="415"/>
      <c r="AN827" s="415"/>
      <c r="AO827" s="415"/>
      <c r="AP827" s="429"/>
      <c r="AQ827" s="409"/>
      <c r="AR827" s="415"/>
      <c r="AS827" s="415"/>
      <c r="AT827" s="321"/>
      <c r="AU827" s="409"/>
      <c r="AV827" s="321"/>
      <c r="AW827" s="415"/>
      <c r="AX827" s="415"/>
      <c r="AY827" s="415"/>
      <c r="AZ827" s="415"/>
      <c r="BA827" s="321"/>
      <c r="BB827" s="415"/>
      <c r="BC827" s="321"/>
      <c r="BD827" s="415"/>
      <c r="BE827" s="321"/>
      <c r="BF827" s="415"/>
      <c r="BG827" s="415"/>
      <c r="BH827" s="415"/>
      <c r="BI827" s="321"/>
      <c r="BJ827" s="415"/>
      <c r="BK827" s="415"/>
      <c r="BL827" s="564"/>
      <c r="BM827" s="177"/>
      <c r="BN827" s="199"/>
      <c r="BS827" s="206"/>
      <c r="BT827" s="199"/>
      <c r="BY827" s="206"/>
      <c r="BZ827" s="199"/>
      <c r="CF827" s="206"/>
      <c r="CG827" s="199"/>
      <c r="CM827" s="206"/>
      <c r="CN827" s="199"/>
      <c r="CS827" s="206"/>
    </row>
    <row r="828" spans="1:97">
      <c r="A828" s="322"/>
      <c r="B828" s="322"/>
      <c r="C828" s="322"/>
      <c r="D828" s="322"/>
      <c r="E828" s="322"/>
      <c r="F828" s="321"/>
      <c r="G828" s="321"/>
      <c r="H828" s="322"/>
      <c r="I828" s="321"/>
      <c r="J828" s="436"/>
      <c r="K828" s="321"/>
      <c r="L828" s="321"/>
      <c r="M828" s="322"/>
      <c r="N828" s="321"/>
      <c r="O828" s="321"/>
      <c r="P828" s="321"/>
      <c r="Q828" s="436"/>
      <c r="R828" s="321"/>
      <c r="S828" s="322"/>
      <c r="T828" s="321"/>
      <c r="U828" s="321"/>
      <c r="V828" s="321"/>
      <c r="W828" s="321"/>
      <c r="X828" s="436"/>
      <c r="Y828" s="321"/>
      <c r="Z828" s="322"/>
      <c r="AA828" s="321"/>
      <c r="AB828" s="321"/>
      <c r="AC828" s="322"/>
      <c r="AD828" s="436"/>
      <c r="AE828" s="415"/>
      <c r="AF828" s="321"/>
      <c r="AG828" s="483"/>
      <c r="AH828" s="321"/>
      <c r="AI828" s="321"/>
      <c r="AJ828" s="321"/>
      <c r="AK828" s="321"/>
      <c r="AL828" s="321"/>
      <c r="AM828" s="321"/>
      <c r="AN828" s="321"/>
      <c r="AO828" s="321"/>
      <c r="AP828" s="429"/>
      <c r="AQ828" s="321"/>
      <c r="AR828" s="321"/>
      <c r="AS828" s="321"/>
      <c r="AT828" s="321"/>
      <c r="AU828" s="321"/>
      <c r="AV828" s="321"/>
      <c r="AW828" s="429"/>
      <c r="AX828" s="321"/>
      <c r="AY828" s="321"/>
      <c r="AZ828" s="321"/>
      <c r="BA828" s="321"/>
      <c r="BB828" s="321"/>
      <c r="BC828" s="321"/>
      <c r="BD828" s="429"/>
      <c r="BE828" s="321"/>
      <c r="BF828" s="321"/>
      <c r="BG828" s="321"/>
      <c r="BH828" s="321"/>
      <c r="BI828" s="321"/>
      <c r="BJ828" s="429"/>
      <c r="BK828" s="415"/>
      <c r="BL828" s="564"/>
      <c r="BM828" s="177"/>
      <c r="BQ828" s="291"/>
      <c r="BR828" s="291"/>
      <c r="BS828" s="206"/>
      <c r="BW828" s="291"/>
      <c r="BX828" s="291"/>
      <c r="BY828" s="206"/>
      <c r="CD828" s="291"/>
      <c r="CE828" s="291"/>
      <c r="CF828" s="206"/>
      <c r="CK828" s="291"/>
      <c r="CL828" s="291"/>
      <c r="CM828" s="206"/>
      <c r="CQ828" s="291"/>
      <c r="CR828" s="291"/>
      <c r="CS828" s="206"/>
    </row>
    <row r="829" spans="1:97">
      <c r="A829" s="321"/>
      <c r="B829" s="321"/>
      <c r="C829" s="321"/>
      <c r="D829" s="321"/>
      <c r="E829" s="429"/>
      <c r="F829" s="429"/>
      <c r="G829" s="321"/>
      <c r="H829" s="436"/>
      <c r="I829" s="321"/>
      <c r="J829" s="321"/>
      <c r="K829" s="429"/>
      <c r="L829" s="321"/>
      <c r="M829" s="436"/>
      <c r="N829" s="321"/>
      <c r="O829" s="321"/>
      <c r="P829" s="436"/>
      <c r="Q829" s="321"/>
      <c r="R829" s="429"/>
      <c r="S829" s="321"/>
      <c r="T829" s="429"/>
      <c r="U829" s="321"/>
      <c r="V829" s="321"/>
      <c r="W829" s="436"/>
      <c r="X829" s="321"/>
      <c r="Y829" s="429"/>
      <c r="Z829" s="321"/>
      <c r="AA829" s="321"/>
      <c r="AB829" s="436"/>
      <c r="AC829" s="436"/>
      <c r="AD829" s="321"/>
      <c r="AE829" s="321"/>
      <c r="AF829" s="321"/>
      <c r="AG829" s="483"/>
      <c r="AH829" s="321"/>
      <c r="AI829" s="321"/>
      <c r="AJ829" s="321"/>
      <c r="AK829" s="409"/>
      <c r="AL829" s="409"/>
      <c r="AM829" s="321"/>
      <c r="AN829" s="429"/>
      <c r="AO829" s="321"/>
      <c r="AP829" s="321"/>
      <c r="AQ829" s="409"/>
      <c r="AR829" s="321"/>
      <c r="AS829" s="429"/>
      <c r="AT829" s="321"/>
      <c r="AU829" s="321"/>
      <c r="AV829" s="429"/>
      <c r="AW829" s="321"/>
      <c r="AX829" s="409"/>
      <c r="AY829" s="321"/>
      <c r="AZ829" s="409"/>
      <c r="BA829" s="321"/>
      <c r="BB829" s="321"/>
      <c r="BC829" s="429"/>
      <c r="BD829" s="321"/>
      <c r="BE829" s="409"/>
      <c r="BF829" s="321"/>
      <c r="BG829" s="321"/>
      <c r="BH829" s="429"/>
      <c r="BI829" s="429"/>
      <c r="BJ829" s="321"/>
      <c r="BK829" s="321"/>
      <c r="BL829" s="564"/>
      <c r="BM829" s="177"/>
      <c r="BN829" s="206"/>
      <c r="BP829" s="206"/>
      <c r="BQ829" s="206"/>
      <c r="BR829" s="206"/>
      <c r="BS829" s="206"/>
      <c r="BT829" s="206"/>
      <c r="BV829" s="206"/>
      <c r="BW829" s="206"/>
      <c r="BX829" s="206"/>
      <c r="BY829" s="206"/>
      <c r="BZ829" s="206"/>
      <c r="CA829" s="206"/>
      <c r="CC829" s="206"/>
      <c r="CD829" s="206"/>
      <c r="CE829" s="206"/>
      <c r="CF829" s="206"/>
      <c r="CG829" s="206"/>
      <c r="CI829" s="206"/>
      <c r="CJ829" s="206"/>
      <c r="CK829" s="206"/>
      <c r="CL829" s="206"/>
      <c r="CM829" s="206"/>
      <c r="CN829" s="206"/>
      <c r="CP829" s="206"/>
      <c r="CQ829" s="206"/>
      <c r="CR829" s="206"/>
    </row>
    <row r="830" spans="1:97">
      <c r="A830" s="321"/>
      <c r="B830" s="436"/>
      <c r="C830" s="436"/>
      <c r="D830" s="429"/>
      <c r="E830" s="429"/>
      <c r="F830" s="321"/>
      <c r="G830" s="436"/>
      <c r="H830" s="321"/>
      <c r="I830" s="321"/>
      <c r="J830" s="321"/>
      <c r="K830" s="429"/>
      <c r="L830" s="429"/>
      <c r="M830" s="321"/>
      <c r="N830" s="436"/>
      <c r="O830" s="429"/>
      <c r="P830" s="321"/>
      <c r="Q830" s="321"/>
      <c r="R830" s="321"/>
      <c r="S830" s="321"/>
      <c r="T830" s="321"/>
      <c r="U830" s="321"/>
      <c r="V830" s="429"/>
      <c r="W830" s="321"/>
      <c r="X830" s="429"/>
      <c r="Y830" s="321"/>
      <c r="Z830" s="321"/>
      <c r="AA830" s="429"/>
      <c r="AB830" s="436"/>
      <c r="AC830" s="321"/>
      <c r="AD830" s="429"/>
      <c r="AE830" s="321"/>
      <c r="AF830" s="321"/>
      <c r="AG830" s="483"/>
      <c r="AH830" s="429"/>
      <c r="AI830" s="429"/>
      <c r="AJ830" s="409"/>
      <c r="AK830" s="409"/>
      <c r="AL830" s="321"/>
      <c r="AM830" s="429"/>
      <c r="AN830" s="321"/>
      <c r="AO830" s="321"/>
      <c r="AP830" s="321"/>
      <c r="AQ830" s="409"/>
      <c r="AR830" s="409"/>
      <c r="AS830" s="321"/>
      <c r="AT830" s="429"/>
      <c r="AU830" s="409"/>
      <c r="AV830" s="321"/>
      <c r="AW830" s="321"/>
      <c r="AX830" s="321"/>
      <c r="AY830" s="321"/>
      <c r="AZ830" s="321"/>
      <c r="BA830" s="321"/>
      <c r="BB830" s="409"/>
      <c r="BC830" s="321"/>
      <c r="BD830" s="409"/>
      <c r="BE830" s="321"/>
      <c r="BF830" s="321"/>
      <c r="BG830" s="409"/>
      <c r="BH830" s="429"/>
      <c r="BI830" s="321"/>
      <c r="BJ830" s="409"/>
      <c r="BK830" s="321"/>
      <c r="BL830" s="564"/>
      <c r="BM830" s="177"/>
      <c r="BQ830" s="206"/>
      <c r="BX830" s="206"/>
      <c r="CD830" s="206"/>
      <c r="CK830" s="206"/>
      <c r="CQ830" s="206"/>
    </row>
    <row r="831" spans="1:97">
      <c r="A831" s="429"/>
      <c r="B831" s="321"/>
      <c r="C831" s="321"/>
      <c r="D831" s="429"/>
      <c r="E831" s="321"/>
      <c r="F831" s="429"/>
      <c r="G831" s="321"/>
      <c r="H831" s="429"/>
      <c r="I831" s="321"/>
      <c r="J831" s="436"/>
      <c r="K831" s="321"/>
      <c r="L831" s="429"/>
      <c r="M831" s="429"/>
      <c r="N831" s="321"/>
      <c r="O831" s="321"/>
      <c r="P831" s="429"/>
      <c r="Q831" s="321"/>
      <c r="R831" s="429"/>
      <c r="S831" s="436"/>
      <c r="T831" s="429"/>
      <c r="U831" s="321"/>
      <c r="V831" s="321"/>
      <c r="W831" s="321"/>
      <c r="X831" s="321"/>
      <c r="Y831" s="429"/>
      <c r="Z831" s="321"/>
      <c r="AA831" s="321"/>
      <c r="AB831" s="429"/>
      <c r="AC831" s="429"/>
      <c r="AD831" s="321"/>
      <c r="AE831" s="429"/>
      <c r="AF831" s="321"/>
      <c r="AG831" s="1733"/>
      <c r="AH831" s="321"/>
      <c r="AI831" s="321"/>
      <c r="AJ831" s="409"/>
      <c r="AK831" s="321"/>
      <c r="AL831" s="409"/>
      <c r="AM831" s="321"/>
      <c r="AN831" s="409"/>
      <c r="AO831" s="321"/>
      <c r="AP831" s="429"/>
      <c r="AQ831" s="321"/>
      <c r="AR831" s="409"/>
      <c r="AS831" s="409"/>
      <c r="AT831" s="321"/>
      <c r="AU831" s="321"/>
      <c r="AV831" s="409"/>
      <c r="AW831" s="321"/>
      <c r="AX831" s="409"/>
      <c r="AY831" s="429"/>
      <c r="AZ831" s="409"/>
      <c r="BA831" s="321"/>
      <c r="BB831" s="321"/>
      <c r="BC831" s="321"/>
      <c r="BD831" s="321"/>
      <c r="BE831" s="409"/>
      <c r="BF831" s="321"/>
      <c r="BG831" s="321"/>
      <c r="BH831" s="409"/>
      <c r="BI831" s="409"/>
      <c r="BJ831" s="321"/>
      <c r="BK831" s="409"/>
      <c r="BL831" s="564"/>
      <c r="BM831" s="177"/>
      <c r="BN831" s="291"/>
      <c r="BO831" s="291"/>
      <c r="BP831" s="291"/>
      <c r="BQ831" s="206"/>
      <c r="BS831" s="291"/>
      <c r="BT831" s="291"/>
      <c r="BU831" s="291"/>
      <c r="BV831" s="291"/>
      <c r="BW831" s="291"/>
      <c r="BX831" s="206"/>
      <c r="BZ831" s="291"/>
      <c r="CA831" s="291"/>
      <c r="CB831" s="291"/>
      <c r="CC831" s="291"/>
      <c r="CD831" s="206"/>
      <c r="CF831" s="291"/>
      <c r="CG831" s="291"/>
      <c r="CH831" s="291"/>
      <c r="CI831" s="291"/>
      <c r="CJ831" s="291"/>
      <c r="CK831" s="206"/>
      <c r="CM831" s="291"/>
      <c r="CN831" s="291"/>
      <c r="CO831" s="291"/>
      <c r="CP831" s="291"/>
      <c r="CQ831" s="206"/>
      <c r="CS831" s="291"/>
    </row>
    <row r="832" spans="1:97">
      <c r="A832" s="569"/>
      <c r="B832" s="558"/>
      <c r="C832" s="558"/>
      <c r="D832" s="569"/>
      <c r="E832" s="604"/>
      <c r="F832" s="604"/>
      <c r="G832" s="569"/>
      <c r="H832" s="569"/>
      <c r="I832" s="604"/>
      <c r="J832" s="558"/>
      <c r="K832" s="569"/>
      <c r="L832" s="321"/>
      <c r="M832" s="569"/>
      <c r="N832" s="604"/>
      <c r="O832" s="321"/>
      <c r="P832" s="569"/>
      <c r="Q832" s="321"/>
      <c r="R832" s="569"/>
      <c r="S832" s="604"/>
      <c r="T832" s="569"/>
      <c r="U832" s="321"/>
      <c r="V832" s="604"/>
      <c r="W832" s="604"/>
      <c r="X832" s="321"/>
      <c r="Y832" s="604"/>
      <c r="Z832" s="558"/>
      <c r="AA832" s="569"/>
      <c r="AB832" s="604"/>
      <c r="AC832" s="321"/>
      <c r="AD832" s="321"/>
      <c r="AE832" s="604"/>
      <c r="AF832" s="604"/>
      <c r="AG832" s="651"/>
      <c r="AH832" s="604"/>
      <c r="AI832" s="604"/>
      <c r="AJ832" s="569"/>
      <c r="AK832" s="559"/>
      <c r="AL832" s="559"/>
      <c r="AM832" s="569"/>
      <c r="AN832" s="569"/>
      <c r="AO832" s="559"/>
      <c r="AP832" s="604"/>
      <c r="AQ832" s="569"/>
      <c r="AR832" s="569"/>
      <c r="AS832" s="569"/>
      <c r="AT832" s="559"/>
      <c r="AU832" s="569"/>
      <c r="AV832" s="569"/>
      <c r="AW832" s="569"/>
      <c r="AX832" s="569"/>
      <c r="AY832" s="559"/>
      <c r="AZ832" s="569"/>
      <c r="BA832" s="569"/>
      <c r="BB832" s="559"/>
      <c r="BC832" s="559"/>
      <c r="BD832" s="569"/>
      <c r="BE832" s="559"/>
      <c r="BF832" s="604"/>
      <c r="BG832" s="569"/>
      <c r="BH832" s="559"/>
      <c r="BI832" s="569"/>
      <c r="BJ832" s="569"/>
      <c r="BK832" s="559"/>
      <c r="BL832" s="1736"/>
      <c r="BM832" s="74"/>
      <c r="BN832" s="206"/>
      <c r="BO832" s="206"/>
      <c r="BP832" s="206"/>
      <c r="BQ832" s="206"/>
      <c r="BR832" s="206"/>
      <c r="BS832" s="206"/>
      <c r="BT832" s="206"/>
      <c r="BU832" s="206"/>
      <c r="BV832" s="206"/>
      <c r="BW832" s="206"/>
      <c r="BX832" s="206"/>
      <c r="BY832" s="206"/>
      <c r="BZ832" s="206"/>
      <c r="CA832" s="206"/>
      <c r="CB832" s="206"/>
      <c r="CC832" s="206"/>
      <c r="CD832" s="206"/>
      <c r="CE832" s="206"/>
      <c r="CF832" s="206"/>
      <c r="CG832" s="206"/>
      <c r="CH832" s="206"/>
      <c r="CI832" s="206"/>
      <c r="CJ832" s="206"/>
      <c r="CK832" s="206"/>
      <c r="CL832" s="206"/>
      <c r="CM832" s="206"/>
      <c r="CN832" s="206"/>
      <c r="CO832" s="206"/>
      <c r="CP832" s="206"/>
      <c r="CQ832" s="206"/>
      <c r="CR832" s="206"/>
      <c r="CS832" s="206"/>
    </row>
    <row r="833" spans="1:65">
      <c r="A833" s="318"/>
      <c r="B833" s="318"/>
      <c r="C833" s="318"/>
      <c r="D833" s="318"/>
      <c r="F833" s="318"/>
      <c r="G833" s="318"/>
      <c r="H833" s="318"/>
      <c r="I833" s="318"/>
      <c r="J833" s="318"/>
      <c r="K833" s="318"/>
      <c r="L833" s="318"/>
      <c r="N833" s="318"/>
      <c r="O833" s="318"/>
      <c r="P833" s="318"/>
      <c r="Q833" s="318"/>
      <c r="R833" s="318"/>
      <c r="S833" s="318"/>
      <c r="T833" s="318"/>
      <c r="V833" s="318"/>
      <c r="W833" s="318"/>
      <c r="X833" s="318"/>
      <c r="Y833" s="318"/>
      <c r="Z833" s="318"/>
      <c r="AA833" s="318"/>
      <c r="AB833" s="318"/>
      <c r="AD833" s="318"/>
      <c r="AE833" s="318"/>
      <c r="AF833" s="318"/>
      <c r="AG833" s="315"/>
      <c r="AH833" s="315"/>
      <c r="AI833" s="315"/>
      <c r="AJ833" s="315"/>
      <c r="AL833" s="315"/>
      <c r="AM833" s="315"/>
      <c r="AN833" s="315"/>
      <c r="AO833" s="315"/>
      <c r="AP833" s="315"/>
      <c r="AQ833" s="315"/>
      <c r="AR833" s="315"/>
      <c r="AT833" s="315"/>
      <c r="AU833" s="315"/>
      <c r="AV833" s="315"/>
      <c r="AW833" s="315"/>
      <c r="AX833" s="315"/>
      <c r="AY833" s="315"/>
      <c r="AZ833" s="315"/>
      <c r="BB833" s="315"/>
      <c r="BC833" s="315"/>
      <c r="BD833" s="315"/>
      <c r="BE833" s="315"/>
      <c r="BF833" s="315"/>
      <c r="BG833" s="315"/>
      <c r="BH833" s="315"/>
      <c r="BJ833" s="315"/>
      <c r="BK833" s="315"/>
      <c r="BL833" s="315"/>
      <c r="BM833" s="311">
        <v>27</v>
      </c>
    </row>
    <row r="834" spans="1:65">
      <c r="A834" s="306"/>
      <c r="B834" s="306"/>
      <c r="C834" s="318"/>
      <c r="F834" s="318"/>
      <c r="H834" s="306"/>
      <c r="I834" s="303"/>
      <c r="J834" s="303"/>
      <c r="L834" s="318"/>
      <c r="P834" s="306"/>
      <c r="Q834" s="306"/>
      <c r="R834" s="306"/>
      <c r="S834" s="318"/>
      <c r="V834" s="318"/>
      <c r="X834" s="306"/>
      <c r="Y834" s="303"/>
      <c r="Z834" s="303"/>
      <c r="AB834" s="318"/>
      <c r="AF834" s="306"/>
      <c r="AG834" s="303"/>
      <c r="AH834" s="303"/>
      <c r="AI834" s="315"/>
      <c r="AL834" s="315"/>
      <c r="AN834" s="300"/>
      <c r="AO834" s="300"/>
      <c r="AP834" s="300"/>
      <c r="AR834" s="315"/>
      <c r="AV834" s="303"/>
      <c r="AW834" s="303"/>
      <c r="AX834" s="303"/>
      <c r="AY834" s="315"/>
      <c r="BB834" s="315"/>
      <c r="BD834" s="300"/>
      <c r="BE834" s="300"/>
      <c r="BF834" s="300"/>
      <c r="BH834" s="315"/>
      <c r="BL834" s="303"/>
      <c r="BM834" s="306"/>
    </row>
    <row r="835" spans="1:65">
      <c r="A835" s="315"/>
      <c r="B835" s="306"/>
      <c r="C835" s="318"/>
      <c r="F835" s="318"/>
      <c r="H835" s="301"/>
      <c r="I835" s="301"/>
      <c r="J835" s="301"/>
      <c r="L835" s="318"/>
      <c r="O835" s="318"/>
      <c r="P835" s="306"/>
      <c r="Q835" s="315"/>
      <c r="R835" s="306"/>
      <c r="S835" s="318"/>
      <c r="V835" s="318"/>
      <c r="X835" s="301"/>
      <c r="Y835" s="301"/>
      <c r="Z835" s="301"/>
      <c r="AB835" s="318"/>
      <c r="AE835" s="318"/>
      <c r="AF835" s="306"/>
      <c r="AG835" s="315"/>
      <c r="AH835" s="303"/>
      <c r="AI835" s="311"/>
      <c r="AL835" s="315"/>
      <c r="AN835" s="297"/>
      <c r="AO835" s="297"/>
      <c r="AP835" s="297"/>
      <c r="AR835" s="315"/>
      <c r="AU835" s="315"/>
      <c r="AV835" s="303"/>
      <c r="AW835" s="315"/>
      <c r="AX835" s="303"/>
      <c r="AY835" s="311"/>
      <c r="BB835" s="315"/>
      <c r="BD835" s="297"/>
      <c r="BE835" s="297"/>
      <c r="BF835" s="297"/>
      <c r="BH835" s="315"/>
      <c r="BK835" s="315"/>
      <c r="BL835" s="303"/>
      <c r="BM835" s="177"/>
    </row>
    <row r="836" spans="1:65">
      <c r="A836" s="315"/>
      <c r="B836" s="306"/>
      <c r="C836" s="318"/>
      <c r="F836" s="318"/>
      <c r="H836" s="306"/>
      <c r="I836" s="303"/>
      <c r="J836" s="303"/>
      <c r="L836" s="318"/>
      <c r="O836" s="318"/>
      <c r="P836" s="306"/>
      <c r="Q836" s="315"/>
      <c r="R836" s="306"/>
      <c r="S836" s="318"/>
      <c r="V836" s="318"/>
      <c r="X836" s="306"/>
      <c r="Y836" s="303"/>
      <c r="Z836" s="303"/>
      <c r="AB836" s="318"/>
      <c r="AE836" s="318"/>
      <c r="AF836" s="306"/>
      <c r="AG836" s="315"/>
      <c r="AH836" s="303"/>
      <c r="AI836" s="311"/>
      <c r="AL836" s="315"/>
      <c r="AN836" s="300"/>
      <c r="AO836" s="300"/>
      <c r="AP836" s="300"/>
      <c r="AR836" s="315"/>
      <c r="AU836" s="311"/>
      <c r="AV836" s="300"/>
      <c r="AW836" s="315"/>
      <c r="AX836" s="303"/>
      <c r="AY836" s="311"/>
      <c r="BB836" s="315"/>
      <c r="BD836" s="300"/>
      <c r="BE836" s="300"/>
      <c r="BF836" s="300"/>
      <c r="BH836" s="315"/>
      <c r="BK836" s="311"/>
      <c r="BL836" s="300"/>
      <c r="BM836" s="177"/>
    </row>
    <row r="837" spans="1:65">
      <c r="A837" s="318"/>
      <c r="B837" s="306"/>
      <c r="C837" s="318"/>
      <c r="F837" s="318"/>
      <c r="I837" s="301"/>
      <c r="L837" s="318"/>
      <c r="O837" s="318"/>
      <c r="P837" s="306"/>
      <c r="Q837" s="318"/>
      <c r="R837" s="306"/>
      <c r="S837" s="318"/>
      <c r="V837" s="318"/>
      <c r="Y837" s="301"/>
      <c r="AB837" s="318"/>
      <c r="AE837" s="318"/>
      <c r="AF837" s="306"/>
      <c r="AG837" s="315"/>
      <c r="AH837" s="303"/>
      <c r="AI837" s="311"/>
      <c r="AL837" s="315"/>
      <c r="AO837" s="297"/>
      <c r="AR837" s="315"/>
      <c r="AU837" s="311"/>
      <c r="AV837" s="300"/>
      <c r="AW837" s="315"/>
      <c r="AX837" s="303"/>
      <c r="AY837" s="311"/>
      <c r="BB837" s="315"/>
      <c r="BE837" s="297"/>
      <c r="BH837" s="315"/>
      <c r="BK837" s="311"/>
      <c r="BL837" s="300"/>
      <c r="BM837" s="177"/>
    </row>
    <row r="838" spans="1:65">
      <c r="A838" s="318"/>
      <c r="B838" s="306"/>
      <c r="C838" s="318"/>
      <c r="D838" s="318"/>
      <c r="F838" s="318"/>
      <c r="I838" s="303"/>
      <c r="L838" s="318"/>
      <c r="O838" s="318"/>
      <c r="P838" s="303"/>
      <c r="Q838" s="318"/>
      <c r="R838" s="306"/>
      <c r="S838" s="318"/>
      <c r="T838" s="318"/>
      <c r="V838" s="318"/>
      <c r="Y838" s="303"/>
      <c r="AB838" s="318"/>
      <c r="AE838" s="318"/>
      <c r="AF838" s="303"/>
      <c r="AG838" s="315"/>
      <c r="AH838" s="303"/>
      <c r="AI838" s="311"/>
      <c r="AJ838" s="315"/>
      <c r="AL838" s="315"/>
      <c r="AO838" s="300"/>
      <c r="AR838" s="315"/>
      <c r="AU838" s="311"/>
      <c r="AV838" s="300"/>
      <c r="AW838" s="315"/>
      <c r="AX838" s="303"/>
      <c r="AY838" s="311"/>
      <c r="AZ838" s="315"/>
      <c r="BB838" s="315"/>
      <c r="BE838" s="300"/>
      <c r="BH838" s="315"/>
      <c r="BK838" s="311"/>
      <c r="BL838" s="300"/>
      <c r="BM838" s="177"/>
    </row>
    <row r="839" spans="1:65">
      <c r="A839" s="318"/>
      <c r="B839" s="306"/>
      <c r="C839" s="311"/>
      <c r="D839" s="318"/>
      <c r="G839" s="318"/>
      <c r="K839" s="318"/>
      <c r="O839" s="318"/>
      <c r="P839" s="303"/>
      <c r="Q839" s="318"/>
      <c r="R839" s="306"/>
      <c r="S839" s="311"/>
      <c r="T839" s="318"/>
      <c r="W839" s="318"/>
      <c r="AA839" s="318"/>
      <c r="AE839" s="318"/>
      <c r="AF839" s="303"/>
      <c r="AG839" s="318"/>
      <c r="AH839" s="303"/>
      <c r="AI839" s="311"/>
      <c r="AJ839" s="311"/>
      <c r="AM839" s="315"/>
      <c r="AQ839" s="315"/>
      <c r="AU839" s="311"/>
      <c r="AV839" s="300"/>
      <c r="AW839" s="318"/>
      <c r="AX839" s="303"/>
      <c r="AY839" s="311"/>
      <c r="AZ839" s="311"/>
      <c r="BC839" s="315"/>
      <c r="BG839" s="315"/>
      <c r="BK839" s="311"/>
      <c r="BL839" s="300"/>
      <c r="BM839" s="177"/>
    </row>
    <row r="840" spans="1:65">
      <c r="A840" s="318"/>
      <c r="B840" s="303"/>
      <c r="C840" s="311"/>
      <c r="D840" s="318"/>
      <c r="G840" s="318"/>
      <c r="K840" s="318"/>
      <c r="N840" s="315"/>
      <c r="O840" s="315"/>
      <c r="P840" s="303"/>
      <c r="Q840" s="318"/>
      <c r="R840" s="303"/>
      <c r="S840" s="311"/>
      <c r="T840" s="318"/>
      <c r="W840" s="318"/>
      <c r="AA840" s="318"/>
      <c r="AD840" s="315"/>
      <c r="AE840" s="315"/>
      <c r="AF840" s="303"/>
      <c r="AG840" s="318"/>
      <c r="AH840" s="303"/>
      <c r="AI840" s="311"/>
      <c r="AJ840" s="311"/>
      <c r="AM840" s="315"/>
      <c r="AQ840" s="315"/>
      <c r="AT840" s="315"/>
      <c r="AU840" s="311"/>
      <c r="AV840" s="300"/>
      <c r="AW840" s="318"/>
      <c r="AX840" s="303"/>
      <c r="AY840" s="311"/>
      <c r="AZ840" s="311"/>
      <c r="BC840" s="315"/>
      <c r="BG840" s="315"/>
      <c r="BJ840" s="315"/>
      <c r="BK840" s="311"/>
      <c r="BL840" s="300"/>
      <c r="BM840" s="177"/>
    </row>
    <row r="841" spans="1:65">
      <c r="A841" s="318"/>
      <c r="B841" s="306"/>
      <c r="C841" s="306"/>
      <c r="D841" s="315"/>
      <c r="G841" s="318"/>
      <c r="K841" s="318"/>
      <c r="N841" s="315"/>
      <c r="O841" s="306"/>
      <c r="P841" s="300"/>
      <c r="Q841" s="318"/>
      <c r="R841" s="306"/>
      <c r="S841" s="306"/>
      <c r="T841" s="315"/>
      <c r="W841" s="318"/>
      <c r="AA841" s="318"/>
      <c r="AD841" s="315"/>
      <c r="AE841" s="306"/>
      <c r="AF841" s="300"/>
      <c r="AG841" s="315"/>
      <c r="AH841" s="303"/>
      <c r="AI841" s="303"/>
      <c r="AJ841" s="311"/>
      <c r="AM841" s="315"/>
      <c r="AQ841" s="315"/>
      <c r="AT841" s="311"/>
      <c r="AU841" s="303"/>
      <c r="AV841" s="300"/>
      <c r="AW841" s="315"/>
      <c r="AX841" s="303"/>
      <c r="AY841" s="303"/>
      <c r="AZ841" s="311"/>
      <c r="BC841" s="315"/>
      <c r="BG841" s="315"/>
      <c r="BJ841" s="311"/>
      <c r="BK841" s="303"/>
      <c r="BL841" s="300"/>
      <c r="BM841" s="177"/>
    </row>
    <row r="842" spans="1:65">
      <c r="A842" s="318"/>
      <c r="B842" s="306"/>
      <c r="C842" s="306"/>
      <c r="D842" s="315"/>
      <c r="G842" s="318"/>
      <c r="K842" s="318"/>
      <c r="N842" s="318"/>
      <c r="O842" s="306"/>
      <c r="P842" s="306"/>
      <c r="Q842" s="318"/>
      <c r="R842" s="306"/>
      <c r="S842" s="306"/>
      <c r="T842" s="315"/>
      <c r="W842" s="318"/>
      <c r="AA842" s="318"/>
      <c r="AD842" s="318"/>
      <c r="AE842" s="306"/>
      <c r="AF842" s="306"/>
      <c r="AG842" s="315"/>
      <c r="AH842" s="303"/>
      <c r="AI842" s="303"/>
      <c r="AJ842" s="311"/>
      <c r="AM842" s="315"/>
      <c r="AQ842" s="315"/>
      <c r="AT842" s="311"/>
      <c r="AU842" s="303"/>
      <c r="AV842" s="303"/>
      <c r="AW842" s="315"/>
      <c r="AX842" s="303"/>
      <c r="AY842" s="303"/>
      <c r="AZ842" s="311"/>
      <c r="BC842" s="315"/>
      <c r="BG842" s="315"/>
      <c r="BJ842" s="311"/>
      <c r="BK842" s="303"/>
      <c r="BL842" s="303"/>
      <c r="BM842" s="177"/>
    </row>
    <row r="843" spans="1:65">
      <c r="A843" s="315"/>
      <c r="B843" s="306"/>
      <c r="C843" s="303"/>
      <c r="D843" s="318"/>
      <c r="G843" s="318"/>
      <c r="K843" s="318"/>
      <c r="N843" s="318"/>
      <c r="O843" s="306"/>
      <c r="P843" s="306"/>
      <c r="Q843" s="315"/>
      <c r="R843" s="306"/>
      <c r="S843" s="303"/>
      <c r="T843" s="318"/>
      <c r="W843" s="318"/>
      <c r="AA843" s="318"/>
      <c r="AD843" s="318"/>
      <c r="AE843" s="306"/>
      <c r="AF843" s="306"/>
      <c r="AG843" s="315"/>
      <c r="AH843" s="303"/>
      <c r="AI843" s="303"/>
      <c r="AJ843" s="311"/>
      <c r="AM843" s="315"/>
      <c r="AQ843" s="315"/>
      <c r="AT843" s="311"/>
      <c r="AU843" s="300"/>
      <c r="AV843" s="303"/>
      <c r="AW843" s="315"/>
      <c r="AX843" s="303"/>
      <c r="AY843" s="303"/>
      <c r="AZ843" s="311"/>
      <c r="BC843" s="315"/>
      <c r="BG843" s="315"/>
      <c r="BJ843" s="311"/>
      <c r="BK843" s="300"/>
      <c r="BL843" s="303"/>
      <c r="BM843" s="177"/>
    </row>
    <row r="844" spans="1:65">
      <c r="A844" s="311"/>
      <c r="B844" s="306"/>
      <c r="C844" s="303"/>
      <c r="D844" s="318"/>
      <c r="H844" s="318"/>
      <c r="J844" s="318"/>
      <c r="N844" s="318"/>
      <c r="O844" s="306"/>
      <c r="P844" s="306"/>
      <c r="Q844" s="311"/>
      <c r="R844" s="306"/>
      <c r="S844" s="303"/>
      <c r="T844" s="318"/>
      <c r="X844" s="318"/>
      <c r="Z844" s="318"/>
      <c r="AD844" s="318"/>
      <c r="AE844" s="306"/>
      <c r="AF844" s="306"/>
      <c r="AG844" s="311"/>
      <c r="AH844" s="303"/>
      <c r="AI844" s="300"/>
      <c r="AJ844" s="311"/>
      <c r="AN844" s="315"/>
      <c r="AP844" s="315"/>
      <c r="AT844" s="311"/>
      <c r="AU844" s="300"/>
      <c r="AV844" s="303"/>
      <c r="AW844" s="311"/>
      <c r="AX844" s="303"/>
      <c r="AY844" s="300"/>
      <c r="AZ844" s="311"/>
      <c r="BD844" s="315"/>
      <c r="BF844" s="315"/>
      <c r="BJ844" s="311"/>
      <c r="BK844" s="300"/>
      <c r="BL844" s="303"/>
      <c r="BM844" s="177"/>
    </row>
    <row r="845" spans="1:65">
      <c r="A845" s="318"/>
      <c r="B845" s="306"/>
      <c r="C845" s="303"/>
      <c r="D845" s="318"/>
      <c r="H845" s="318"/>
      <c r="J845" s="318"/>
      <c r="N845" s="318"/>
      <c r="O845" s="303"/>
      <c r="P845" s="306"/>
      <c r="Q845" s="318"/>
      <c r="R845" s="306"/>
      <c r="S845" s="303"/>
      <c r="T845" s="318"/>
      <c r="X845" s="318"/>
      <c r="Z845" s="318"/>
      <c r="AD845" s="318"/>
      <c r="AE845" s="303"/>
      <c r="AF845" s="306"/>
      <c r="AG845" s="303"/>
      <c r="AH845" s="303"/>
      <c r="AI845" s="300"/>
      <c r="AJ845" s="311"/>
      <c r="AN845" s="315"/>
      <c r="AP845" s="315"/>
      <c r="AT845" s="311"/>
      <c r="AU845" s="300"/>
      <c r="AV845" s="303"/>
      <c r="AW845" s="303"/>
      <c r="AX845" s="303"/>
      <c r="AY845" s="300"/>
      <c r="AZ845" s="311"/>
      <c r="BD845" s="315"/>
      <c r="BF845" s="315"/>
      <c r="BJ845" s="311"/>
      <c r="BK845" s="300"/>
      <c r="BL845" s="303"/>
      <c r="BM845" s="177"/>
    </row>
    <row r="846" spans="1:65">
      <c r="A846" s="311"/>
      <c r="B846" s="306"/>
      <c r="C846" s="303"/>
      <c r="D846" s="318"/>
      <c r="E846" s="315"/>
      <c r="H846" s="318"/>
      <c r="J846" s="318"/>
      <c r="M846" s="315"/>
      <c r="N846" s="318"/>
      <c r="O846" s="303"/>
      <c r="P846" s="306"/>
      <c r="Q846" s="311"/>
      <c r="R846" s="306"/>
      <c r="S846" s="303"/>
      <c r="T846" s="318"/>
      <c r="U846" s="315"/>
      <c r="X846" s="318"/>
      <c r="Z846" s="318"/>
      <c r="AC846" s="315"/>
      <c r="AD846" s="318"/>
      <c r="AE846" s="303"/>
      <c r="AF846" s="306"/>
      <c r="AG846" s="311"/>
      <c r="AH846" s="303"/>
      <c r="AI846" s="300"/>
      <c r="AJ846" s="311"/>
      <c r="AK846" s="315"/>
      <c r="AN846" s="315"/>
      <c r="AP846" s="315"/>
      <c r="AS846" s="315"/>
      <c r="AT846" s="311"/>
      <c r="AU846" s="300"/>
      <c r="AV846" s="303"/>
      <c r="AW846" s="311"/>
      <c r="AX846" s="303"/>
      <c r="AY846" s="300"/>
      <c r="AZ846" s="311"/>
      <c r="BA846" s="315"/>
      <c r="BD846" s="315"/>
      <c r="BF846" s="315"/>
      <c r="BI846" s="315"/>
      <c r="BJ846" s="311"/>
      <c r="BK846" s="300"/>
      <c r="BL846" s="303"/>
      <c r="BM846" s="177"/>
    </row>
    <row r="847" spans="1:65">
      <c r="A847" s="311"/>
      <c r="B847" s="306"/>
      <c r="C847" s="303"/>
      <c r="D847" s="318"/>
      <c r="E847" s="315"/>
      <c r="H847" s="318"/>
      <c r="J847" s="318"/>
      <c r="M847" s="315"/>
      <c r="N847" s="315"/>
      <c r="O847" s="303"/>
      <c r="P847" s="306"/>
      <c r="Q847" s="311"/>
      <c r="R847" s="306"/>
      <c r="S847" s="303"/>
      <c r="T847" s="318"/>
      <c r="U847" s="315"/>
      <c r="X847" s="318"/>
      <c r="Z847" s="318"/>
      <c r="AC847" s="315"/>
      <c r="AD847" s="315"/>
      <c r="AE847" s="303"/>
      <c r="AF847" s="306"/>
      <c r="AG847" s="303"/>
      <c r="AH847" s="303"/>
      <c r="AI847" s="300"/>
      <c r="AJ847" s="311"/>
      <c r="AK847" s="311"/>
      <c r="AN847" s="315"/>
      <c r="AP847" s="315"/>
      <c r="AS847" s="311"/>
      <c r="AT847" s="311"/>
      <c r="AU847" s="300"/>
      <c r="AV847" s="303"/>
      <c r="AW847" s="303"/>
      <c r="AX847" s="303"/>
      <c r="AY847" s="300"/>
      <c r="AZ847" s="311"/>
      <c r="BA847" s="311"/>
      <c r="BD847" s="315"/>
      <c r="BF847" s="315"/>
      <c r="BI847" s="311"/>
      <c r="BJ847" s="311"/>
      <c r="BK847" s="300"/>
      <c r="BL847" s="303"/>
      <c r="BM847" s="177"/>
    </row>
    <row r="848" spans="1:65">
      <c r="A848" s="311"/>
      <c r="B848" s="306"/>
      <c r="C848" s="306"/>
      <c r="D848" s="306"/>
      <c r="E848" s="315"/>
      <c r="H848" s="318"/>
      <c r="J848" s="318"/>
      <c r="M848" s="318"/>
      <c r="N848" s="306"/>
      <c r="O848" s="300"/>
      <c r="P848" s="306"/>
      <c r="Q848" s="311"/>
      <c r="R848" s="306"/>
      <c r="S848" s="306"/>
      <c r="T848" s="306"/>
      <c r="U848" s="315"/>
      <c r="X848" s="318"/>
      <c r="Z848" s="318"/>
      <c r="AC848" s="318"/>
      <c r="AD848" s="306"/>
      <c r="AE848" s="300"/>
      <c r="AF848" s="306"/>
      <c r="AG848" s="311"/>
      <c r="AH848" s="303"/>
      <c r="AI848" s="303"/>
      <c r="AJ848" s="303"/>
      <c r="AK848" s="311"/>
      <c r="AN848" s="315"/>
      <c r="AP848" s="315"/>
      <c r="AS848" s="311"/>
      <c r="AT848" s="303"/>
      <c r="AU848" s="300"/>
      <c r="AV848" s="303"/>
      <c r="AW848" s="311"/>
      <c r="AX848" s="303"/>
      <c r="AY848" s="303"/>
      <c r="AZ848" s="303"/>
      <c r="BA848" s="311"/>
      <c r="BD848" s="315"/>
      <c r="BF848" s="315"/>
      <c r="BI848" s="311"/>
      <c r="BJ848" s="303"/>
      <c r="BK848" s="300"/>
      <c r="BL848" s="303"/>
      <c r="BM848" s="177"/>
    </row>
    <row r="849" spans="1:65">
      <c r="A849" s="303"/>
      <c r="B849" s="306"/>
      <c r="C849" s="306"/>
      <c r="D849" s="306"/>
      <c r="E849" s="318"/>
      <c r="I849" s="318"/>
      <c r="M849" s="318"/>
      <c r="N849" s="306"/>
      <c r="O849" s="300"/>
      <c r="P849" s="306"/>
      <c r="Q849" s="303"/>
      <c r="R849" s="306"/>
      <c r="S849" s="306"/>
      <c r="T849" s="306"/>
      <c r="U849" s="318"/>
      <c r="Y849" s="318"/>
      <c r="AC849" s="318"/>
      <c r="AD849" s="306"/>
      <c r="AE849" s="300"/>
      <c r="AF849" s="306"/>
      <c r="AG849" s="303"/>
      <c r="AH849" s="303"/>
      <c r="AI849" s="303"/>
      <c r="AJ849" s="303"/>
      <c r="AK849" s="311"/>
      <c r="AO849" s="315"/>
      <c r="AS849" s="311"/>
      <c r="AT849" s="303"/>
      <c r="AU849" s="300"/>
      <c r="AV849" s="303"/>
      <c r="AW849" s="303"/>
      <c r="AX849" s="303"/>
      <c r="AY849" s="303"/>
      <c r="AZ849" s="303"/>
      <c r="BA849" s="311"/>
      <c r="BE849" s="315"/>
      <c r="BI849" s="311"/>
      <c r="BJ849" s="303"/>
      <c r="BK849" s="300"/>
      <c r="BL849" s="303"/>
      <c r="BM849" s="177"/>
    </row>
    <row r="850" spans="1:65">
      <c r="A850" s="311"/>
      <c r="B850" s="306"/>
      <c r="C850" s="306"/>
      <c r="D850" s="303"/>
      <c r="E850" s="318"/>
      <c r="I850" s="318"/>
      <c r="L850" s="315"/>
      <c r="M850" s="318"/>
      <c r="N850" s="306"/>
      <c r="O850" s="300"/>
      <c r="P850" s="306"/>
      <c r="Q850" s="311"/>
      <c r="R850" s="306"/>
      <c r="S850" s="306"/>
      <c r="T850" s="303"/>
      <c r="U850" s="318"/>
      <c r="Y850" s="318"/>
      <c r="AB850" s="315"/>
      <c r="AC850" s="318"/>
      <c r="AD850" s="306"/>
      <c r="AE850" s="300"/>
      <c r="AF850" s="306"/>
      <c r="AG850" s="300"/>
      <c r="AH850" s="303"/>
      <c r="AI850" s="303"/>
      <c r="AJ850" s="300"/>
      <c r="AK850" s="311"/>
      <c r="AO850" s="315"/>
      <c r="AR850" s="315"/>
      <c r="AS850" s="311"/>
      <c r="AT850" s="300"/>
      <c r="AU850" s="300"/>
      <c r="AV850" s="303"/>
      <c r="AW850" s="300"/>
      <c r="AX850" s="303"/>
      <c r="AY850" s="303"/>
      <c r="AZ850" s="300"/>
      <c r="BA850" s="311"/>
      <c r="BE850" s="315"/>
      <c r="BH850" s="315"/>
      <c r="BI850" s="311"/>
      <c r="BJ850" s="300"/>
      <c r="BK850" s="300"/>
      <c r="BL850" s="303"/>
      <c r="BM850" s="177"/>
    </row>
    <row r="851" spans="1:65">
      <c r="A851" s="303"/>
      <c r="B851" s="306"/>
      <c r="C851" s="306"/>
      <c r="D851" s="303"/>
      <c r="E851" s="318"/>
      <c r="I851" s="318"/>
      <c r="L851" s="315"/>
      <c r="M851" s="318"/>
      <c r="N851" s="306"/>
      <c r="O851" s="306"/>
      <c r="P851" s="306"/>
      <c r="Q851" s="303"/>
      <c r="R851" s="306"/>
      <c r="S851" s="306"/>
      <c r="T851" s="303"/>
      <c r="U851" s="318"/>
      <c r="Y851" s="318"/>
      <c r="AB851" s="315"/>
      <c r="AC851" s="318"/>
      <c r="AD851" s="306"/>
      <c r="AE851" s="306"/>
      <c r="AF851" s="306"/>
      <c r="AG851" s="300"/>
      <c r="AH851" s="303"/>
      <c r="AI851" s="303"/>
      <c r="AJ851" s="300"/>
      <c r="AK851" s="311"/>
      <c r="AO851" s="315"/>
      <c r="AR851" s="311"/>
      <c r="AS851" s="311"/>
      <c r="AT851" s="300"/>
      <c r="AU851" s="303"/>
      <c r="AV851" s="303"/>
      <c r="AW851" s="300"/>
      <c r="AX851" s="303"/>
      <c r="AY851" s="303"/>
      <c r="AZ851" s="300"/>
      <c r="BA851" s="311"/>
      <c r="BE851" s="315"/>
      <c r="BH851" s="311"/>
      <c r="BI851" s="311"/>
      <c r="BJ851" s="300"/>
      <c r="BK851" s="303"/>
      <c r="BL851" s="303"/>
      <c r="BM851" s="177"/>
    </row>
    <row r="852" spans="1:65">
      <c r="A852" s="303"/>
      <c r="B852" s="306"/>
      <c r="C852" s="306"/>
      <c r="D852" s="303"/>
      <c r="E852" s="318"/>
      <c r="I852" s="318"/>
      <c r="L852" s="315"/>
      <c r="M852" s="318"/>
      <c r="N852" s="303"/>
      <c r="O852" s="306"/>
      <c r="P852" s="306"/>
      <c r="Q852" s="303"/>
      <c r="R852" s="306"/>
      <c r="S852" s="306"/>
      <c r="T852" s="303"/>
      <c r="U852" s="318"/>
      <c r="Y852" s="318"/>
      <c r="AB852" s="315"/>
      <c r="AC852" s="318"/>
      <c r="AD852" s="303"/>
      <c r="AE852" s="306"/>
      <c r="AF852" s="306"/>
      <c r="AG852" s="300"/>
      <c r="AH852" s="303"/>
      <c r="AI852" s="303"/>
      <c r="AJ852" s="300"/>
      <c r="AK852" s="311"/>
      <c r="AO852" s="315"/>
      <c r="AR852" s="311"/>
      <c r="AT852" s="300"/>
      <c r="AU852" s="303"/>
      <c r="AV852" s="303"/>
      <c r="AW852" s="300"/>
      <c r="AX852" s="303"/>
      <c r="AY852" s="303"/>
      <c r="AZ852" s="300"/>
      <c r="BA852" s="311"/>
      <c r="BE852" s="315"/>
      <c r="BH852" s="311"/>
      <c r="BJ852" s="300"/>
      <c r="BK852" s="303"/>
      <c r="BL852" s="303"/>
      <c r="BM852" s="177"/>
    </row>
    <row r="853" spans="1:65">
      <c r="A853" s="303"/>
      <c r="B853" s="303"/>
      <c r="C853" s="306"/>
      <c r="D853" s="303"/>
      <c r="E853" s="318"/>
      <c r="F853" s="311"/>
      <c r="I853" s="318"/>
      <c r="L853" s="315"/>
      <c r="M853" s="318"/>
      <c r="N853" s="303"/>
      <c r="O853" s="306"/>
      <c r="P853" s="303"/>
      <c r="Q853" s="303"/>
      <c r="R853" s="303"/>
      <c r="S853" s="306"/>
      <c r="T853" s="303"/>
      <c r="U853" s="318"/>
      <c r="V853" s="311"/>
      <c r="Y853" s="318"/>
      <c r="AB853" s="315"/>
      <c r="AC853" s="318"/>
      <c r="AD853" s="303"/>
      <c r="AE853" s="306"/>
      <c r="AF853" s="303"/>
      <c r="AG853" s="300"/>
      <c r="AH853" s="300"/>
      <c r="AI853" s="303"/>
      <c r="AJ853" s="300"/>
      <c r="AK853" s="311"/>
      <c r="AL853" s="311"/>
      <c r="AO853" s="315"/>
      <c r="AR853" s="311"/>
      <c r="AT853" s="300"/>
      <c r="AU853" s="303"/>
      <c r="AV853" s="300"/>
      <c r="AW853" s="300"/>
      <c r="AX853" s="300"/>
      <c r="AY853" s="303"/>
      <c r="AZ853" s="300"/>
      <c r="BA853" s="311"/>
      <c r="BB853" s="311"/>
      <c r="BE853" s="315"/>
      <c r="BH853" s="311"/>
      <c r="BJ853" s="300"/>
      <c r="BK853" s="303"/>
      <c r="BL853" s="300"/>
      <c r="BM853" s="177"/>
    </row>
    <row r="854" spans="1:65">
      <c r="A854" s="300"/>
      <c r="B854" s="303"/>
      <c r="C854" s="306"/>
      <c r="D854" s="303"/>
      <c r="F854" s="315"/>
      <c r="K854" s="315"/>
      <c r="L854" s="315"/>
      <c r="N854" s="303"/>
      <c r="O854" s="306"/>
      <c r="P854" s="303"/>
      <c r="Q854" s="300"/>
      <c r="R854" s="303"/>
      <c r="S854" s="306"/>
      <c r="T854" s="303"/>
      <c r="V854" s="315"/>
      <c r="AA854" s="315"/>
      <c r="AB854" s="315"/>
      <c r="AD854" s="303"/>
      <c r="AE854" s="306"/>
      <c r="AF854" s="303"/>
      <c r="AG854" s="300"/>
      <c r="AH854" s="300"/>
      <c r="AI854" s="303"/>
      <c r="AJ854" s="300"/>
      <c r="AL854" s="315"/>
      <c r="AQ854" s="311"/>
      <c r="AR854" s="315"/>
      <c r="AT854" s="300"/>
      <c r="AU854" s="303"/>
      <c r="AV854" s="300"/>
      <c r="AW854" s="300"/>
      <c r="AX854" s="300"/>
      <c r="AY854" s="303"/>
      <c r="AZ854" s="300"/>
      <c r="BB854" s="315"/>
      <c r="BG854" s="311"/>
      <c r="BH854" s="315"/>
      <c r="BJ854" s="300"/>
      <c r="BK854" s="303"/>
      <c r="BL854" s="300"/>
      <c r="BM854" s="177"/>
    </row>
    <row r="855" spans="1:65">
      <c r="A855" s="303"/>
      <c r="B855" s="303"/>
      <c r="C855" s="306"/>
      <c r="D855" s="306"/>
      <c r="E855" s="306"/>
      <c r="F855" s="318"/>
      <c r="G855" s="315"/>
      <c r="J855" s="315"/>
      <c r="K855" s="315"/>
      <c r="L855" s="318"/>
      <c r="M855" s="306"/>
      <c r="N855" s="300"/>
      <c r="O855" s="306"/>
      <c r="P855" s="303"/>
      <c r="Q855" s="303"/>
      <c r="R855" s="303"/>
      <c r="S855" s="306"/>
      <c r="T855" s="306"/>
      <c r="U855" s="306"/>
      <c r="V855" s="318"/>
      <c r="W855" s="315"/>
      <c r="Z855" s="315"/>
      <c r="AA855" s="315"/>
      <c r="AB855" s="318"/>
      <c r="AC855" s="306"/>
      <c r="AD855" s="300"/>
      <c r="AE855" s="306"/>
      <c r="AF855" s="303"/>
      <c r="AG855" s="303"/>
      <c r="AH855" s="300"/>
      <c r="AI855" s="303"/>
      <c r="AJ855" s="303"/>
      <c r="AK855" s="303"/>
      <c r="AL855" s="311"/>
      <c r="AM855" s="311"/>
      <c r="AP855" s="311"/>
      <c r="AQ855" s="311"/>
      <c r="AR855" s="311"/>
      <c r="AS855" s="303"/>
      <c r="AT855" s="300"/>
      <c r="AU855" s="303"/>
      <c r="AV855" s="300"/>
      <c r="AW855" s="303"/>
      <c r="AX855" s="300"/>
      <c r="AY855" s="303"/>
      <c r="AZ855" s="303"/>
      <c r="BA855" s="303"/>
      <c r="BB855" s="311"/>
      <c r="BC855" s="311"/>
      <c r="BF855" s="311"/>
      <c r="BG855" s="311"/>
      <c r="BH855" s="311"/>
      <c r="BI855" s="303"/>
      <c r="BJ855" s="300"/>
      <c r="BK855" s="303"/>
      <c r="BL855" s="300"/>
      <c r="BM855" s="177"/>
    </row>
    <row r="856" spans="1:65">
      <c r="A856" s="162"/>
      <c r="B856" s="303"/>
      <c r="C856" s="306"/>
      <c r="D856" s="306"/>
      <c r="E856" s="303"/>
      <c r="F856" s="318"/>
      <c r="G856" s="315"/>
      <c r="H856" s="315"/>
      <c r="I856" s="311"/>
      <c r="J856" s="315"/>
      <c r="K856" s="315"/>
      <c r="L856" s="318"/>
      <c r="M856" s="306"/>
      <c r="N856" s="300"/>
      <c r="O856" s="306"/>
      <c r="P856" s="303"/>
      <c r="Q856" s="162"/>
      <c r="R856" s="303"/>
      <c r="S856" s="306"/>
      <c r="T856" s="306"/>
      <c r="U856" s="303"/>
      <c r="V856" s="318"/>
      <c r="W856" s="315"/>
      <c r="X856" s="315"/>
      <c r="Y856" s="311"/>
      <c r="Z856" s="315"/>
      <c r="AA856" s="315"/>
      <c r="AB856" s="318"/>
      <c r="AC856" s="306"/>
      <c r="AD856" s="300"/>
      <c r="AE856" s="306"/>
      <c r="AF856" s="303"/>
      <c r="AG856" s="162"/>
      <c r="AH856" s="300"/>
      <c r="AI856" s="303"/>
      <c r="AJ856" s="303"/>
      <c r="AK856" s="303"/>
      <c r="AL856" s="311"/>
      <c r="AM856" s="315"/>
      <c r="AN856" s="311"/>
      <c r="AO856" s="311"/>
      <c r="AP856" s="311"/>
      <c r="AQ856" s="315"/>
      <c r="AR856" s="311"/>
      <c r="AS856" s="303"/>
      <c r="AT856" s="300"/>
      <c r="AU856" s="303"/>
      <c r="AV856" s="300"/>
      <c r="AW856" s="162"/>
      <c r="AX856" s="300"/>
      <c r="AY856" s="303"/>
      <c r="AZ856" s="303"/>
      <c r="BA856" s="303"/>
      <c r="BB856" s="311"/>
      <c r="BC856" s="315"/>
      <c r="BD856" s="311"/>
      <c r="BE856" s="311"/>
      <c r="BF856" s="311"/>
      <c r="BG856" s="315"/>
      <c r="BH856" s="311"/>
      <c r="BI856" s="303"/>
      <c r="BJ856" s="300"/>
      <c r="BK856" s="303"/>
      <c r="BL856" s="300"/>
      <c r="BM856" s="177"/>
    </row>
    <row r="857" spans="1:65">
      <c r="A857" s="167"/>
      <c r="B857" s="306"/>
      <c r="C857" s="306"/>
      <c r="D857" s="306"/>
      <c r="E857" s="303"/>
      <c r="F857" s="318"/>
      <c r="G857" s="315"/>
      <c r="H857" s="311"/>
      <c r="J857" s="311"/>
      <c r="K857" s="315"/>
      <c r="L857" s="318"/>
      <c r="M857" s="306"/>
      <c r="N857" s="300"/>
      <c r="O857" s="306"/>
      <c r="P857" s="306"/>
      <c r="Q857" s="167"/>
      <c r="R857" s="306"/>
      <c r="S857" s="306"/>
      <c r="T857" s="306"/>
      <c r="U857" s="303"/>
      <c r="V857" s="318"/>
      <c r="W857" s="315"/>
      <c r="X857" s="311"/>
      <c r="Z857" s="311"/>
      <c r="AA857" s="315"/>
      <c r="AB857" s="318"/>
      <c r="AC857" s="306"/>
      <c r="AD857" s="300"/>
      <c r="AE857" s="306"/>
      <c r="AF857" s="306"/>
      <c r="AG857" s="159"/>
      <c r="AH857" s="303"/>
      <c r="AI857" s="303"/>
      <c r="AJ857" s="303"/>
      <c r="AK857" s="300"/>
      <c r="AM857" s="318"/>
      <c r="AN857" s="311"/>
      <c r="AP857" s="311"/>
      <c r="AQ857" s="318"/>
      <c r="AS857" s="303"/>
      <c r="AT857" s="300"/>
      <c r="AU857" s="303"/>
      <c r="AV857" s="303"/>
      <c r="AW857" s="159"/>
      <c r="AX857" s="303"/>
      <c r="AY857" s="303"/>
      <c r="AZ857" s="303"/>
      <c r="BA857" s="300"/>
      <c r="BC857" s="318"/>
      <c r="BD857" s="311"/>
      <c r="BF857" s="311"/>
      <c r="BG857" s="318"/>
      <c r="BI857" s="303"/>
      <c r="BJ857" s="300"/>
      <c r="BK857" s="303"/>
      <c r="BL857" s="303"/>
      <c r="BM857" s="177"/>
    </row>
    <row r="858" spans="1:65">
      <c r="A858" s="162"/>
      <c r="B858" s="156"/>
      <c r="C858" s="306"/>
      <c r="D858" s="306"/>
      <c r="E858" s="303"/>
      <c r="F858" s="318"/>
      <c r="G858" s="315"/>
      <c r="H858" s="311"/>
      <c r="J858" s="311"/>
      <c r="K858" s="315"/>
      <c r="L858" s="318"/>
      <c r="M858" s="303"/>
      <c r="N858" s="300"/>
      <c r="O858" s="306"/>
      <c r="P858" s="159"/>
      <c r="Q858" s="162"/>
      <c r="R858" s="156"/>
      <c r="S858" s="306"/>
      <c r="T858" s="306"/>
      <c r="U858" s="303"/>
      <c r="V858" s="318"/>
      <c r="W858" s="315"/>
      <c r="X858" s="311"/>
      <c r="Z858" s="311"/>
      <c r="AA858" s="315"/>
      <c r="AB858" s="318"/>
      <c r="AC858" s="303"/>
      <c r="AD858" s="300"/>
      <c r="AE858" s="306"/>
      <c r="AF858" s="159"/>
      <c r="AG858" s="158"/>
      <c r="AH858" s="162"/>
      <c r="AI858" s="303"/>
      <c r="AJ858" s="303"/>
      <c r="AK858" s="300"/>
      <c r="AM858" s="315"/>
      <c r="AN858" s="311"/>
      <c r="AP858" s="311"/>
      <c r="AQ858" s="315"/>
      <c r="AS858" s="303"/>
      <c r="AT858" s="300"/>
      <c r="AU858" s="303"/>
      <c r="AV858" s="156"/>
      <c r="AW858" s="158"/>
      <c r="AX858" s="162"/>
      <c r="AY858" s="303"/>
      <c r="AZ858" s="303"/>
      <c r="BA858" s="300"/>
      <c r="BC858" s="315"/>
      <c r="BD858" s="311"/>
      <c r="BF858" s="311"/>
      <c r="BG858" s="315"/>
      <c r="BI858" s="303"/>
      <c r="BJ858" s="300"/>
      <c r="BK858" s="303"/>
      <c r="BL858" s="156"/>
      <c r="BM858" s="177"/>
    </row>
    <row r="859" spans="1:65">
      <c r="A859" s="167"/>
      <c r="B859" s="156"/>
      <c r="C859" s="306"/>
      <c r="D859" s="306"/>
      <c r="E859" s="303"/>
      <c r="F859" s="318"/>
      <c r="G859" s="315"/>
      <c r="H859" s="311"/>
      <c r="I859" s="311"/>
      <c r="J859" s="311"/>
      <c r="K859" s="315"/>
      <c r="L859" s="318"/>
      <c r="M859" s="303"/>
      <c r="N859" s="306"/>
      <c r="O859" s="306"/>
      <c r="P859" s="156"/>
      <c r="Q859" s="167"/>
      <c r="R859" s="156"/>
      <c r="S859" s="306"/>
      <c r="T859" s="306"/>
      <c r="U859" s="303"/>
      <c r="V859" s="318"/>
      <c r="W859" s="315"/>
      <c r="X859" s="311"/>
      <c r="Y859" s="311"/>
      <c r="Z859" s="311"/>
      <c r="AA859" s="315"/>
      <c r="AB859" s="318"/>
      <c r="AC859" s="303"/>
      <c r="AD859" s="306"/>
      <c r="AE859" s="306"/>
      <c r="AF859" s="156"/>
      <c r="AG859" s="159"/>
      <c r="AH859" s="162"/>
      <c r="AI859" s="303"/>
      <c r="AJ859" s="303"/>
      <c r="AK859" s="300"/>
      <c r="AM859" s="318"/>
      <c r="AN859" s="311"/>
      <c r="AO859" s="311"/>
      <c r="AP859" s="311"/>
      <c r="AQ859" s="318"/>
      <c r="AS859" s="300"/>
      <c r="AT859" s="303"/>
      <c r="AU859" s="303"/>
      <c r="AV859" s="162"/>
      <c r="AW859" s="159"/>
      <c r="AX859" s="162"/>
      <c r="AY859" s="303"/>
      <c r="AZ859" s="303"/>
      <c r="BA859" s="300"/>
      <c r="BC859" s="318"/>
      <c r="BD859" s="311"/>
      <c r="BE859" s="311"/>
      <c r="BF859" s="311"/>
      <c r="BG859" s="318"/>
      <c r="BI859" s="300"/>
      <c r="BJ859" s="303"/>
      <c r="BK859" s="303"/>
      <c r="BL859" s="162"/>
      <c r="BM859" s="177"/>
    </row>
    <row r="860" spans="1:65">
      <c r="A860" s="162"/>
      <c r="B860" s="162"/>
      <c r="C860" s="156"/>
      <c r="D860" s="306"/>
      <c r="E860" s="303"/>
      <c r="F860" s="318"/>
      <c r="G860" s="315"/>
      <c r="H860" s="315"/>
      <c r="I860" s="315"/>
      <c r="J860" s="315"/>
      <c r="K860" s="315"/>
      <c r="L860" s="318"/>
      <c r="M860" s="303"/>
      <c r="N860" s="306"/>
      <c r="O860" s="159"/>
      <c r="P860" s="162"/>
      <c r="Q860" s="162"/>
      <c r="R860" s="162"/>
      <c r="S860" s="156"/>
      <c r="T860" s="306"/>
      <c r="U860" s="303"/>
      <c r="V860" s="318"/>
      <c r="W860" s="315"/>
      <c r="X860" s="315"/>
      <c r="Y860" s="315"/>
      <c r="Z860" s="315"/>
      <c r="AA860" s="315"/>
      <c r="AB860" s="318"/>
      <c r="AC860" s="303"/>
      <c r="AD860" s="306"/>
      <c r="AE860" s="159"/>
      <c r="AF860" s="162"/>
      <c r="AG860" s="158"/>
      <c r="AH860" s="158"/>
      <c r="AI860" s="162"/>
      <c r="AJ860" s="303"/>
      <c r="AK860" s="300"/>
      <c r="AM860" s="315"/>
      <c r="AN860" s="311"/>
      <c r="AO860" s="311"/>
      <c r="AP860" s="311"/>
      <c r="AQ860" s="315"/>
      <c r="AS860" s="300"/>
      <c r="AT860" s="303"/>
      <c r="AU860" s="156"/>
      <c r="AV860" s="158"/>
      <c r="AW860" s="158"/>
      <c r="AX860" s="158"/>
      <c r="AY860" s="162"/>
      <c r="AZ860" s="303"/>
      <c r="BA860" s="300"/>
      <c r="BC860" s="315"/>
      <c r="BD860" s="311"/>
      <c r="BE860" s="311"/>
      <c r="BF860" s="311"/>
      <c r="BG860" s="315"/>
      <c r="BI860" s="300"/>
      <c r="BJ860" s="303"/>
      <c r="BK860" s="156"/>
      <c r="BL860" s="158"/>
      <c r="BM860" s="177"/>
    </row>
    <row r="861" spans="1:65">
      <c r="A861" s="167"/>
      <c r="B861" s="167"/>
      <c r="C861" s="156"/>
      <c r="D861" s="306"/>
      <c r="E861" s="306"/>
      <c r="F861" s="306"/>
      <c r="G861" s="318"/>
      <c r="H861" s="318"/>
      <c r="I861" s="318"/>
      <c r="J861" s="318"/>
      <c r="K861" s="318"/>
      <c r="L861" s="306"/>
      <c r="M861" s="300"/>
      <c r="N861" s="306"/>
      <c r="O861" s="156"/>
      <c r="P861" s="167"/>
      <c r="Q861" s="167"/>
      <c r="R861" s="167"/>
      <c r="S861" s="156"/>
      <c r="T861" s="306"/>
      <c r="U861" s="306"/>
      <c r="V861" s="306"/>
      <c r="W861" s="318"/>
      <c r="X861" s="318"/>
      <c r="Y861" s="318"/>
      <c r="Z861" s="318"/>
      <c r="AA861" s="318"/>
      <c r="AB861" s="306"/>
      <c r="AC861" s="300"/>
      <c r="AD861" s="306"/>
      <c r="AE861" s="156"/>
      <c r="AF861" s="167"/>
      <c r="AG861" s="159"/>
      <c r="AH861" s="159"/>
      <c r="AI861" s="162"/>
      <c r="AJ861" s="303"/>
      <c r="AK861" s="303"/>
      <c r="AL861" s="300"/>
      <c r="AM861" s="311"/>
      <c r="AN861" s="318"/>
      <c r="AO861" s="315"/>
      <c r="AP861" s="318"/>
      <c r="AQ861" s="311"/>
      <c r="AR861" s="303"/>
      <c r="AS861" s="300"/>
      <c r="AT861" s="303"/>
      <c r="AU861" s="162"/>
      <c r="AV861" s="159"/>
      <c r="AW861" s="159"/>
      <c r="AX861" s="159"/>
      <c r="AY861" s="162"/>
      <c r="AZ861" s="303"/>
      <c r="BA861" s="303"/>
      <c r="BB861" s="300"/>
      <c r="BC861" s="311"/>
      <c r="BD861" s="318"/>
      <c r="BE861" s="315"/>
      <c r="BF861" s="318"/>
      <c r="BG861" s="311"/>
      <c r="BH861" s="303"/>
      <c r="BI861" s="300"/>
      <c r="BJ861" s="303"/>
      <c r="BK861" s="162"/>
      <c r="BL861" s="159"/>
      <c r="BM861" s="177"/>
    </row>
    <row r="862" spans="1:65">
      <c r="A862" s="162"/>
      <c r="B862" s="162"/>
      <c r="C862" s="162"/>
      <c r="D862" s="156"/>
      <c r="E862" s="306"/>
      <c r="F862" s="303"/>
      <c r="L862" s="303"/>
      <c r="M862" s="300"/>
      <c r="N862" s="159"/>
      <c r="O862" s="162"/>
      <c r="P862" s="162"/>
      <c r="Q862" s="162"/>
      <c r="R862" s="162"/>
      <c r="S862" s="162"/>
      <c r="T862" s="156"/>
      <c r="U862" s="306"/>
      <c r="V862" s="303"/>
      <c r="AB862" s="303"/>
      <c r="AC862" s="300"/>
      <c r="AD862" s="159"/>
      <c r="AE862" s="162"/>
      <c r="AF862" s="162"/>
      <c r="AG862" s="158"/>
      <c r="AH862" s="158"/>
      <c r="AI862" s="158"/>
      <c r="AJ862" s="162"/>
      <c r="AK862" s="303"/>
      <c r="AL862" s="300"/>
      <c r="AN862" s="311"/>
      <c r="AO862" s="311"/>
      <c r="AP862" s="311"/>
      <c r="AR862" s="303"/>
      <c r="AS862" s="300"/>
      <c r="AT862" s="156"/>
      <c r="AU862" s="158"/>
      <c r="AV862" s="158"/>
      <c r="AW862" s="158"/>
      <c r="AX862" s="158"/>
      <c r="AY862" s="158"/>
      <c r="AZ862" s="162"/>
      <c r="BA862" s="303"/>
      <c r="BB862" s="300"/>
      <c r="BD862" s="311"/>
      <c r="BE862" s="311"/>
      <c r="BF862" s="311"/>
      <c r="BH862" s="303"/>
      <c r="BI862" s="300"/>
      <c r="BJ862" s="156"/>
      <c r="BK862" s="158"/>
      <c r="BL862" s="158"/>
      <c r="BM862" s="177"/>
    </row>
    <row r="863" spans="1:65">
      <c r="A863" s="167"/>
      <c r="B863" s="167"/>
      <c r="C863" s="167"/>
      <c r="D863" s="156"/>
      <c r="E863" s="306"/>
      <c r="F863" s="306"/>
      <c r="G863" s="300"/>
      <c r="H863" s="303"/>
      <c r="I863" s="303"/>
      <c r="J863" s="300"/>
      <c r="K863" s="300"/>
      <c r="L863" s="300"/>
      <c r="M863" s="306"/>
      <c r="N863" s="156"/>
      <c r="O863" s="167"/>
      <c r="P863" s="167"/>
      <c r="Q863" s="167"/>
      <c r="R863" s="167"/>
      <c r="S863" s="167"/>
      <c r="T863" s="156"/>
      <c r="U863" s="306"/>
      <c r="V863" s="306"/>
      <c r="W863" s="300"/>
      <c r="X863" s="303"/>
      <c r="Y863" s="303"/>
      <c r="Z863" s="300"/>
      <c r="AA863" s="300"/>
      <c r="AB863" s="300"/>
      <c r="AC863" s="306"/>
      <c r="AD863" s="156"/>
      <c r="AE863" s="167"/>
      <c r="AF863" s="167"/>
      <c r="AG863" s="159"/>
      <c r="AH863" s="159"/>
      <c r="AI863" s="159"/>
      <c r="AJ863" s="162"/>
      <c r="AK863" s="303"/>
      <c r="AL863" s="303"/>
      <c r="AM863" s="300"/>
      <c r="AN863" s="300"/>
      <c r="AO863" s="300"/>
      <c r="AP863" s="300"/>
      <c r="AQ863" s="300"/>
      <c r="AR863" s="300"/>
      <c r="AS863" s="303"/>
      <c r="AT863" s="162"/>
      <c r="AU863" s="159"/>
      <c r="AV863" s="159"/>
      <c r="AW863" s="159"/>
      <c r="AX863" s="159"/>
      <c r="AY863" s="159"/>
      <c r="AZ863" s="162"/>
      <c r="BA863" s="303"/>
      <c r="BB863" s="303"/>
      <c r="BC863" s="300"/>
      <c r="BD863" s="300"/>
      <c r="BE863" s="300"/>
      <c r="BF863" s="300"/>
      <c r="BG863" s="300"/>
      <c r="BH863" s="300"/>
      <c r="BI863" s="303"/>
      <c r="BJ863" s="162"/>
      <c r="BK863" s="159"/>
      <c r="BL863" s="159"/>
      <c r="BM863" s="177"/>
    </row>
    <row r="864" spans="1:65">
      <c r="A864" s="156"/>
      <c r="B864" s="156"/>
      <c r="C864" s="156"/>
      <c r="D864" s="300"/>
      <c r="E864" s="300"/>
      <c r="F864" s="300"/>
      <c r="G864" s="296"/>
      <c r="H864" s="296"/>
      <c r="I864" s="296"/>
      <c r="J864" s="296"/>
      <c r="K864" s="296"/>
      <c r="L864" s="296"/>
      <c r="M864" s="300"/>
      <c r="N864" s="300"/>
      <c r="O864" s="156"/>
      <c r="P864" s="156"/>
      <c r="Q864" s="156"/>
      <c r="R864" s="156"/>
      <c r="S864" s="156"/>
      <c r="T864" s="300"/>
      <c r="U864" s="300"/>
      <c r="V864" s="300"/>
      <c r="W864" s="296"/>
      <c r="X864" s="296"/>
      <c r="Y864" s="296"/>
      <c r="Z864" s="296"/>
      <c r="AA864" s="296"/>
      <c r="AB864" s="296"/>
      <c r="AC864" s="300"/>
      <c r="AD864" s="300"/>
      <c r="AE864" s="156"/>
      <c r="AF864" s="156"/>
      <c r="AG864" s="162"/>
      <c r="AH864" s="162"/>
      <c r="AI864" s="162"/>
      <c r="AJ864" s="300"/>
      <c r="AK864" s="300"/>
      <c r="AL864" s="300"/>
      <c r="AM864" s="296"/>
      <c r="AN864" s="296"/>
      <c r="AO864" s="296"/>
      <c r="AP864" s="296"/>
      <c r="AQ864" s="296"/>
      <c r="AR864" s="296"/>
      <c r="AS864" s="300"/>
      <c r="AT864" s="300"/>
      <c r="AU864" s="162"/>
      <c r="AV864" s="162"/>
      <c r="AW864" s="162"/>
      <c r="AX864" s="162"/>
      <c r="AY864" s="162"/>
      <c r="AZ864" s="300"/>
      <c r="BA864" s="300"/>
      <c r="BB864" s="300"/>
      <c r="BC864" s="296"/>
      <c r="BD864" s="296"/>
      <c r="BE864" s="296"/>
      <c r="BF864" s="296"/>
      <c r="BG864" s="296"/>
      <c r="BH864" s="296"/>
      <c r="BI864" s="300"/>
      <c r="BJ864" s="300"/>
      <c r="BK864" s="162"/>
      <c r="BL864" s="162"/>
      <c r="BM864" s="74"/>
    </row>
    <row r="865" spans="1:97">
      <c r="A865" s="571"/>
      <c r="B865" s="319"/>
      <c r="C865" s="553"/>
      <c r="D865" s="630"/>
      <c r="E865" s="553"/>
      <c r="F865" s="319"/>
      <c r="G865" s="319"/>
      <c r="H865" s="553"/>
      <c r="I865" s="630"/>
      <c r="J865" s="319"/>
      <c r="K865" s="319"/>
      <c r="L865" s="571"/>
      <c r="M865" s="319"/>
      <c r="N865" s="613"/>
      <c r="O865" s="611"/>
      <c r="P865" s="571"/>
      <c r="Q865" s="319"/>
      <c r="R865" s="319"/>
      <c r="S865" s="319"/>
      <c r="T865" s="553"/>
      <c r="U865" s="553"/>
      <c r="V865" s="612"/>
      <c r="W865" s="611"/>
      <c r="X865" s="553"/>
      <c r="Y865" s="630"/>
      <c r="Z865" s="319"/>
      <c r="AA865" s="319"/>
      <c r="AB865" s="630"/>
      <c r="AC865" s="631"/>
      <c r="AD865" s="631"/>
      <c r="AE865" s="319"/>
      <c r="AF865" s="631"/>
      <c r="AG865" s="571"/>
      <c r="AH865" s="611"/>
      <c r="AI865" s="319"/>
      <c r="AJ865" s="611"/>
      <c r="AK865" s="612"/>
      <c r="AL865" s="611"/>
      <c r="AM865" s="611"/>
      <c r="AN865" s="319"/>
      <c r="AO865" s="319"/>
      <c r="AP865" s="319"/>
      <c r="AQ865" s="319"/>
      <c r="AR865" s="571"/>
      <c r="AS865" s="319"/>
      <c r="AT865" s="613"/>
      <c r="AU865" s="611"/>
      <c r="AV865" s="571"/>
      <c r="AW865" s="319"/>
      <c r="AX865" s="319"/>
      <c r="AY865" s="319"/>
      <c r="AZ865" s="553"/>
      <c r="BA865" s="553"/>
      <c r="BB865" s="612"/>
      <c r="BC865" s="611"/>
      <c r="BD865" s="319"/>
      <c r="BE865" s="571"/>
      <c r="BF865" s="319"/>
      <c r="BG865" s="319"/>
      <c r="BH865" s="571"/>
      <c r="BI865" s="571"/>
      <c r="BJ865" s="319"/>
      <c r="BK865" s="319"/>
      <c r="BL865" s="615"/>
      <c r="BM865" s="306">
        <v>28</v>
      </c>
      <c r="BN865" s="571"/>
      <c r="BO865" s="319"/>
      <c r="BP865" s="553"/>
      <c r="BQ865" s="630"/>
      <c r="BR865" s="553"/>
      <c r="BS865" s="319"/>
      <c r="BT865" s="319"/>
      <c r="BU865" s="553"/>
      <c r="BV865" s="630"/>
      <c r="BW865" s="319"/>
      <c r="BX865" s="319"/>
      <c r="BY865" s="571"/>
      <c r="BZ865" s="319"/>
      <c r="CA865" s="613"/>
      <c r="CB865" s="611"/>
      <c r="CC865" s="571"/>
      <c r="CD865" s="319"/>
      <c r="CE865" s="319"/>
      <c r="CF865" s="319"/>
      <c r="CG865" s="553"/>
      <c r="CH865" s="553"/>
      <c r="CI865" s="612"/>
      <c r="CJ865" s="611"/>
      <c r="CK865" s="553"/>
      <c r="CL865" s="630"/>
      <c r="CM865" s="319"/>
      <c r="CN865" s="319"/>
      <c r="CO865" s="630"/>
      <c r="CP865" s="631"/>
      <c r="CQ865" s="631"/>
      <c r="CR865" s="319"/>
      <c r="CS865" s="631"/>
    </row>
    <row r="866" spans="1:97">
      <c r="A866" s="319"/>
      <c r="B866" s="613"/>
      <c r="C866" s="319"/>
      <c r="D866" s="319"/>
      <c r="E866" s="319"/>
      <c r="F866" s="319"/>
      <c r="G866" s="319"/>
      <c r="H866" s="319"/>
      <c r="I866" s="319"/>
      <c r="J866" s="319"/>
      <c r="K866" s="319"/>
      <c r="L866" s="319"/>
      <c r="M866" s="319"/>
      <c r="N866" s="319"/>
      <c r="O866" s="319"/>
      <c r="P866" s="319"/>
      <c r="Q866" s="319"/>
      <c r="R866" s="319"/>
      <c r="S866" s="319"/>
      <c r="T866" s="319"/>
      <c r="U866" s="319"/>
      <c r="V866" s="319"/>
      <c r="W866" s="319"/>
      <c r="X866" s="319"/>
      <c r="Y866" s="319"/>
      <c r="Z866" s="319"/>
      <c r="AA866" s="319"/>
      <c r="AB866" s="319"/>
      <c r="AC866" s="319"/>
      <c r="AD866" s="319"/>
      <c r="AE866" s="319"/>
      <c r="AF866" s="631"/>
      <c r="AG866" s="319"/>
      <c r="AH866" s="611"/>
      <c r="AI866" s="319"/>
      <c r="AJ866" s="319"/>
      <c r="AK866" s="319"/>
      <c r="AL866" s="319"/>
      <c r="AM866" s="319"/>
      <c r="AN866" s="319"/>
      <c r="AO866" s="319"/>
      <c r="AP866" s="319"/>
      <c r="AQ866" s="319"/>
      <c r="AR866" s="319"/>
      <c r="AS866" s="319"/>
      <c r="AT866" s="319"/>
      <c r="AU866" s="319"/>
      <c r="AV866" s="319"/>
      <c r="AW866" s="319"/>
      <c r="AX866" s="319"/>
      <c r="AY866" s="319"/>
      <c r="AZ866" s="319"/>
      <c r="BA866" s="319"/>
      <c r="BB866" s="319"/>
      <c r="BC866" s="319"/>
      <c r="BD866" s="319"/>
      <c r="BE866" s="319"/>
      <c r="BF866" s="319"/>
      <c r="BG866" s="319"/>
      <c r="BH866" s="319"/>
      <c r="BI866" s="319"/>
      <c r="BJ866" s="319"/>
      <c r="BK866" s="319"/>
      <c r="BL866" s="615"/>
      <c r="BM866" s="303"/>
      <c r="BN866" s="319"/>
      <c r="BO866" s="613"/>
      <c r="BP866" s="319"/>
      <c r="BQ866" s="319"/>
      <c r="BR866" s="319"/>
      <c r="BS866" s="319"/>
      <c r="BT866" s="319"/>
      <c r="BU866" s="319"/>
      <c r="BV866" s="319"/>
      <c r="BW866" s="319"/>
      <c r="BX866" s="319"/>
      <c r="BY866" s="319"/>
      <c r="BZ866" s="319"/>
      <c r="CA866" s="319"/>
      <c r="CB866" s="319"/>
      <c r="CC866" s="319"/>
      <c r="CD866" s="319"/>
      <c r="CE866" s="319"/>
      <c r="CF866" s="319"/>
      <c r="CG866" s="319"/>
      <c r="CH866" s="319"/>
      <c r="CI866" s="319"/>
      <c r="CJ866" s="319"/>
      <c r="CK866" s="319"/>
      <c r="CL866" s="319"/>
      <c r="CM866" s="319"/>
      <c r="CN866" s="319"/>
      <c r="CO866" s="319"/>
      <c r="CP866" s="319"/>
      <c r="CQ866" s="319"/>
      <c r="CR866" s="319"/>
      <c r="CS866" s="631"/>
    </row>
    <row r="867" spans="1:97">
      <c r="A867" s="613"/>
      <c r="B867" s="319"/>
      <c r="C867" s="630"/>
      <c r="D867" s="319"/>
      <c r="E867" s="319"/>
      <c r="F867" s="319"/>
      <c r="G867" s="319"/>
      <c r="H867" s="319"/>
      <c r="I867" s="319"/>
      <c r="J867" s="319"/>
      <c r="K867" s="319"/>
      <c r="L867" s="319"/>
      <c r="M867" s="319"/>
      <c r="N867" s="319"/>
      <c r="O867" s="319"/>
      <c r="P867" s="319"/>
      <c r="Q867" s="319"/>
      <c r="R867" s="319"/>
      <c r="S867" s="319"/>
      <c r="T867" s="319"/>
      <c r="U867" s="319"/>
      <c r="V867" s="319"/>
      <c r="W867" s="319"/>
      <c r="X867" s="319"/>
      <c r="Y867" s="319"/>
      <c r="Z867" s="319"/>
      <c r="AA867" s="630"/>
      <c r="AB867" s="319"/>
      <c r="AC867" s="319"/>
      <c r="AD867" s="319"/>
      <c r="AE867" s="319"/>
      <c r="AF867" s="631"/>
      <c r="AG867" s="611"/>
      <c r="AH867" s="319"/>
      <c r="AI867" s="319"/>
      <c r="AJ867" s="319"/>
      <c r="AK867" s="319"/>
      <c r="AL867" s="319"/>
      <c r="AM867" s="319"/>
      <c r="AN867" s="319"/>
      <c r="AO867" s="319"/>
      <c r="AP867" s="319"/>
      <c r="AQ867" s="319"/>
      <c r="AR867" s="319"/>
      <c r="AS867" s="319"/>
      <c r="AT867" s="319"/>
      <c r="AU867" s="319"/>
      <c r="AV867" s="319"/>
      <c r="AW867" s="319"/>
      <c r="AX867" s="319"/>
      <c r="AY867" s="319"/>
      <c r="AZ867" s="319"/>
      <c r="BA867" s="319"/>
      <c r="BB867" s="319"/>
      <c r="BC867" s="319"/>
      <c r="BD867" s="319"/>
      <c r="BE867" s="319"/>
      <c r="BF867" s="319"/>
      <c r="BG867" s="319"/>
      <c r="BH867" s="319"/>
      <c r="BI867" s="319"/>
      <c r="BJ867" s="319"/>
      <c r="BK867" s="319"/>
      <c r="BL867" s="617"/>
      <c r="BM867" s="1"/>
      <c r="BN867" s="613"/>
      <c r="BO867" s="319"/>
      <c r="BP867" s="630"/>
      <c r="BQ867" s="319"/>
      <c r="BR867" s="319"/>
      <c r="BS867" s="319"/>
      <c r="BT867" s="319"/>
      <c r="BU867" s="319"/>
      <c r="BV867" s="319"/>
      <c r="BW867" s="319"/>
      <c r="BX867" s="319"/>
      <c r="BY867" s="319"/>
      <c r="BZ867" s="319"/>
      <c r="CA867" s="319"/>
      <c r="CB867" s="319"/>
      <c r="CC867" s="319"/>
      <c r="CD867" s="319"/>
      <c r="CE867" s="319"/>
      <c r="CF867" s="319"/>
      <c r="CG867" s="319"/>
      <c r="CH867" s="319"/>
      <c r="CI867" s="319"/>
      <c r="CJ867" s="319"/>
      <c r="CK867" s="319"/>
      <c r="CL867" s="319"/>
      <c r="CM867" s="319"/>
      <c r="CN867" s="630"/>
      <c r="CO867" s="319"/>
      <c r="CP867" s="319"/>
      <c r="CQ867" s="319"/>
      <c r="CR867" s="319"/>
      <c r="CS867" s="631"/>
    </row>
    <row r="868" spans="1:97">
      <c r="A868" s="571"/>
      <c r="B868" s="319"/>
      <c r="C868" s="571"/>
      <c r="D868" s="319"/>
      <c r="E868" s="571"/>
      <c r="F868" s="319"/>
      <c r="G868" s="319"/>
      <c r="H868" s="319"/>
      <c r="I868" s="319"/>
      <c r="J868" s="319"/>
      <c r="K868" s="319"/>
      <c r="L868" s="319"/>
      <c r="M868" s="319"/>
      <c r="N868" s="319"/>
      <c r="O868" s="319"/>
      <c r="P868" s="319"/>
      <c r="Q868" s="319"/>
      <c r="R868" s="319"/>
      <c r="S868" s="319"/>
      <c r="T868" s="319"/>
      <c r="U868" s="319"/>
      <c r="V868" s="319"/>
      <c r="W868" s="319"/>
      <c r="X868" s="319"/>
      <c r="Y868" s="319"/>
      <c r="Z868" s="319"/>
      <c r="AA868" s="319"/>
      <c r="AB868" s="319"/>
      <c r="AC868" s="319"/>
      <c r="AD868" s="319"/>
      <c r="AE868" s="319"/>
      <c r="AF868" s="631"/>
      <c r="AG868" s="611"/>
      <c r="AH868" s="319"/>
      <c r="AI868" s="630"/>
      <c r="AJ868" s="630"/>
      <c r="AK868" s="630"/>
      <c r="AL868" s="319"/>
      <c r="AM868" s="319"/>
      <c r="AN868" s="319"/>
      <c r="AO868" s="319"/>
      <c r="AP868" s="319"/>
      <c r="AQ868" s="319"/>
      <c r="AR868" s="319"/>
      <c r="AS868" s="319"/>
      <c r="AT868" s="319"/>
      <c r="AU868" s="319"/>
      <c r="AV868" s="319"/>
      <c r="AW868" s="319"/>
      <c r="AX868" s="319"/>
      <c r="AY868" s="319"/>
      <c r="AZ868" s="319"/>
      <c r="BA868" s="319"/>
      <c r="BB868" s="319"/>
      <c r="BC868" s="319"/>
      <c r="BD868" s="319"/>
      <c r="BE868" s="319"/>
      <c r="BF868" s="319"/>
      <c r="BG868" s="319"/>
      <c r="BH868" s="319"/>
      <c r="BI868" s="319"/>
      <c r="BJ868" s="319"/>
      <c r="BK868" s="319"/>
      <c r="BL868" s="615"/>
      <c r="BM868" s="1"/>
      <c r="BN868" s="571"/>
      <c r="BO868" s="319"/>
      <c r="BP868" s="571"/>
      <c r="BQ868" s="319"/>
      <c r="BR868" s="571"/>
      <c r="BS868" s="319"/>
      <c r="BT868" s="319"/>
      <c r="BU868" s="319"/>
      <c r="BV868" s="319"/>
      <c r="BW868" s="319"/>
      <c r="BX868" s="319"/>
      <c r="BY868" s="319"/>
      <c r="BZ868" s="319"/>
      <c r="CA868" s="319"/>
      <c r="CB868" s="319"/>
      <c r="CC868" s="319"/>
      <c r="CD868" s="319"/>
      <c r="CE868" s="319"/>
      <c r="CF868" s="319"/>
      <c r="CG868" s="319"/>
      <c r="CH868" s="319"/>
      <c r="CI868" s="319"/>
      <c r="CJ868" s="319"/>
      <c r="CK868" s="319"/>
      <c r="CL868" s="319"/>
      <c r="CM868" s="319"/>
      <c r="CN868" s="319"/>
      <c r="CO868" s="319"/>
      <c r="CP868" s="319"/>
      <c r="CQ868" s="319"/>
      <c r="CR868" s="319"/>
      <c r="CS868" s="631"/>
    </row>
    <row r="869" spans="1:97">
      <c r="A869" s="613"/>
      <c r="B869" s="613"/>
      <c r="C869" s="571"/>
      <c r="D869" s="319"/>
      <c r="E869" s="631"/>
      <c r="F869" s="319"/>
      <c r="G869" s="319"/>
      <c r="H869" s="319"/>
      <c r="I869" s="319"/>
      <c r="J869" s="319"/>
      <c r="K869" s="319"/>
      <c r="L869" s="319"/>
      <c r="M869" s="319"/>
      <c r="N869" s="319"/>
      <c r="O869" s="319"/>
      <c r="P869" s="319"/>
      <c r="Q869" s="319"/>
      <c r="R869" s="319"/>
      <c r="S869" s="319"/>
      <c r="T869" s="319"/>
      <c r="U869" s="319"/>
      <c r="V869" s="319"/>
      <c r="W869" s="319"/>
      <c r="X869" s="319"/>
      <c r="Y869" s="319"/>
      <c r="Z869" s="319"/>
      <c r="AA869" s="319"/>
      <c r="AB869" s="553"/>
      <c r="AC869" s="631"/>
      <c r="AD869" s="319"/>
      <c r="AE869" s="319"/>
      <c r="AF869" s="631"/>
      <c r="AG869" s="611"/>
      <c r="AH869" s="319"/>
      <c r="AI869" s="630"/>
      <c r="AJ869" s="553"/>
      <c r="AK869" s="613"/>
      <c r="AL869" s="319"/>
      <c r="AM869" s="319"/>
      <c r="AN869" s="319"/>
      <c r="AO869" s="319"/>
      <c r="AP869" s="319"/>
      <c r="AQ869" s="319"/>
      <c r="AR869" s="319"/>
      <c r="AS869" s="319"/>
      <c r="AT869" s="319"/>
      <c r="AU869" s="319"/>
      <c r="AV869" s="319"/>
      <c r="AW869" s="319"/>
      <c r="AX869" s="319"/>
      <c r="AY869" s="319"/>
      <c r="AZ869" s="319"/>
      <c r="BA869" s="319"/>
      <c r="BB869" s="319"/>
      <c r="BC869" s="319"/>
      <c r="BD869" s="319"/>
      <c r="BE869" s="319"/>
      <c r="BF869" s="319"/>
      <c r="BG869" s="319"/>
      <c r="BH869" s="613"/>
      <c r="BI869" s="612"/>
      <c r="BJ869" s="319"/>
      <c r="BK869" s="319"/>
      <c r="BL869" s="618"/>
      <c r="BM869" s="1"/>
      <c r="BN869" s="613"/>
      <c r="BO869" s="613"/>
      <c r="BP869" s="571"/>
      <c r="BQ869" s="319"/>
      <c r="BR869" s="631"/>
      <c r="BS869" s="319"/>
      <c r="BT869" s="319"/>
      <c r="BU869" s="319"/>
      <c r="BV869" s="319"/>
      <c r="BW869" s="319"/>
      <c r="BX869" s="319"/>
      <c r="BY869" s="319"/>
      <c r="BZ869" s="319"/>
      <c r="CA869" s="319"/>
      <c r="CB869" s="319"/>
      <c r="CC869" s="319"/>
      <c r="CD869" s="319"/>
      <c r="CE869" s="319"/>
      <c r="CF869" s="319"/>
      <c r="CG869" s="319"/>
      <c r="CH869" s="319"/>
      <c r="CI869" s="319"/>
      <c r="CJ869" s="319"/>
      <c r="CK869" s="319"/>
      <c r="CL869" s="319"/>
      <c r="CM869" s="319"/>
      <c r="CN869" s="319"/>
      <c r="CO869" s="553"/>
      <c r="CP869" s="631"/>
      <c r="CQ869" s="319"/>
      <c r="CR869" s="319"/>
      <c r="CS869" s="631"/>
    </row>
    <row r="870" spans="1:97">
      <c r="A870" s="613"/>
      <c r="B870" s="319"/>
      <c r="C870" s="571"/>
      <c r="D870" s="631"/>
      <c r="E870" s="631"/>
      <c r="F870" s="319"/>
      <c r="G870" s="611"/>
      <c r="H870" s="319"/>
      <c r="I870" s="319"/>
      <c r="J870" s="319"/>
      <c r="K870" s="319"/>
      <c r="L870" s="319"/>
      <c r="M870" s="319"/>
      <c r="N870" s="319"/>
      <c r="O870" s="319"/>
      <c r="P870" s="319"/>
      <c r="Q870" s="319"/>
      <c r="R870" s="319"/>
      <c r="S870" s="319"/>
      <c r="T870" s="319"/>
      <c r="U870" s="319"/>
      <c r="V870" s="319"/>
      <c r="W870" s="319"/>
      <c r="X870" s="319"/>
      <c r="Y870" s="319"/>
      <c r="Z870" s="319"/>
      <c r="AA870" s="319"/>
      <c r="AB870" s="631"/>
      <c r="AC870" s="631"/>
      <c r="AD870" s="319"/>
      <c r="AE870" s="611"/>
      <c r="AF870" s="619"/>
      <c r="AG870" s="319"/>
      <c r="AH870" s="319"/>
      <c r="AI870" s="630"/>
      <c r="AJ870" s="612"/>
      <c r="AK870" s="611"/>
      <c r="AL870" s="319"/>
      <c r="AM870" s="319"/>
      <c r="AN870" s="319"/>
      <c r="AO870" s="319"/>
      <c r="AP870" s="319"/>
      <c r="AQ870" s="319"/>
      <c r="AR870" s="319"/>
      <c r="AS870" s="319"/>
      <c r="AT870" s="319"/>
      <c r="AU870" s="319"/>
      <c r="AV870" s="319"/>
      <c r="AW870" s="319"/>
      <c r="AX870" s="319"/>
      <c r="AY870" s="319"/>
      <c r="AZ870" s="319"/>
      <c r="BA870" s="319"/>
      <c r="BB870" s="319"/>
      <c r="BC870" s="319"/>
      <c r="BD870" s="319"/>
      <c r="BE870" s="319"/>
      <c r="BF870" s="319"/>
      <c r="BG870" s="319"/>
      <c r="BH870" s="553"/>
      <c r="BI870" s="571"/>
      <c r="BJ870" s="612"/>
      <c r="BK870" s="319"/>
      <c r="BL870" s="620"/>
      <c r="BM870" s="1">
        <v>2</v>
      </c>
      <c r="BN870" s="613"/>
      <c r="BO870" s="319"/>
      <c r="BP870" s="571"/>
      <c r="BQ870" s="631"/>
      <c r="BR870" s="631"/>
      <c r="BS870" s="319"/>
      <c r="BT870" s="611"/>
      <c r="BU870" s="319"/>
      <c r="BV870" s="319"/>
      <c r="BW870" s="319"/>
      <c r="BX870" s="319"/>
      <c r="BY870" s="319"/>
      <c r="BZ870" s="319"/>
      <c r="CA870" s="319"/>
      <c r="CB870" s="319"/>
      <c r="CC870" s="319"/>
      <c r="CD870" s="319"/>
      <c r="CE870" s="319"/>
      <c r="CF870" s="319"/>
      <c r="CG870" s="319"/>
      <c r="CH870" s="319"/>
      <c r="CI870" s="319"/>
      <c r="CJ870" s="319"/>
      <c r="CK870" s="319"/>
      <c r="CL870" s="319"/>
      <c r="CM870" s="319"/>
      <c r="CN870" s="319"/>
      <c r="CO870" s="631"/>
      <c r="CP870" s="631"/>
      <c r="CQ870" s="319"/>
      <c r="CR870" s="611"/>
      <c r="CS870" s="619"/>
    </row>
    <row r="871" spans="1:97">
      <c r="A871" s="611"/>
      <c r="B871" s="319"/>
      <c r="C871" s="571"/>
      <c r="D871" s="319"/>
      <c r="E871" s="319"/>
      <c r="F871" s="319"/>
      <c r="G871" s="319"/>
      <c r="H871" s="319"/>
      <c r="I871" s="319"/>
      <c r="J871" s="319"/>
      <c r="K871" s="319"/>
      <c r="L871" s="611"/>
      <c r="M871" s="571"/>
      <c r="N871" s="621"/>
      <c r="O871" s="612"/>
      <c r="P871" s="611"/>
      <c r="Q871" s="613"/>
      <c r="R871" s="621"/>
      <c r="S871" s="612"/>
      <c r="T871" s="621"/>
      <c r="U871" s="611"/>
      <c r="V871" s="319"/>
      <c r="W871" s="319"/>
      <c r="X871" s="319"/>
      <c r="Y871" s="319"/>
      <c r="Z871" s="319"/>
      <c r="AA871" s="319"/>
      <c r="AB871" s="319"/>
      <c r="AC871" s="319"/>
      <c r="AD871" s="319"/>
      <c r="AE871" s="319"/>
      <c r="AF871" s="631"/>
      <c r="AG871" s="319"/>
      <c r="AH871" s="319"/>
      <c r="AI871" s="630"/>
      <c r="AJ871" s="319"/>
      <c r="AK871" s="319"/>
      <c r="AL871" s="319"/>
      <c r="AM871" s="319"/>
      <c r="AN871" s="319"/>
      <c r="AO871" s="319"/>
      <c r="AP871" s="319"/>
      <c r="AQ871" s="319"/>
      <c r="AR871" s="611"/>
      <c r="AS871" s="571"/>
      <c r="AT871" s="621"/>
      <c r="AU871" s="612"/>
      <c r="AV871" s="611"/>
      <c r="AW871" s="613"/>
      <c r="AX871" s="621"/>
      <c r="AY871" s="612"/>
      <c r="AZ871" s="621"/>
      <c r="BA871" s="611"/>
      <c r="BB871" s="319"/>
      <c r="BC871" s="319"/>
      <c r="BD871" s="319"/>
      <c r="BE871" s="319"/>
      <c r="BF871" s="319"/>
      <c r="BG871" s="319"/>
      <c r="BH871" s="319"/>
      <c r="BI871" s="612"/>
      <c r="BJ871" s="319"/>
      <c r="BK871" s="319"/>
      <c r="BL871" s="620"/>
      <c r="BM871" s="1"/>
      <c r="BN871" s="611"/>
      <c r="BO871" s="319"/>
      <c r="BP871" s="571"/>
      <c r="BQ871" s="319"/>
      <c r="BR871" s="319"/>
      <c r="BS871" s="319"/>
      <c r="BT871" s="319"/>
      <c r="BU871" s="319"/>
      <c r="BV871" s="319"/>
      <c r="BW871" s="319"/>
      <c r="BX871" s="319"/>
      <c r="BY871" s="611"/>
      <c r="BZ871" s="571"/>
      <c r="CA871" s="621"/>
      <c r="CB871" s="612"/>
      <c r="CC871" s="611"/>
      <c r="CD871" s="613"/>
      <c r="CE871" s="621"/>
      <c r="CF871" s="612"/>
      <c r="CG871" s="621"/>
      <c r="CH871" s="611"/>
      <c r="CI871" s="319"/>
      <c r="CJ871" s="319"/>
      <c r="CK871" s="319"/>
      <c r="CL871" s="319"/>
      <c r="CM871" s="319"/>
      <c r="CN871" s="319"/>
      <c r="CO871" s="319"/>
      <c r="CP871" s="319"/>
      <c r="CQ871" s="319"/>
      <c r="CR871" s="319"/>
      <c r="CS871" s="631"/>
    </row>
    <row r="872" spans="1:97">
      <c r="A872" s="611"/>
      <c r="B872" s="319"/>
      <c r="C872" s="571"/>
      <c r="D872" s="319"/>
      <c r="E872" s="319"/>
      <c r="F872" s="319"/>
      <c r="G872" s="319"/>
      <c r="H872" s="319"/>
      <c r="I872" s="611"/>
      <c r="J872" s="319"/>
      <c r="K872" s="571"/>
      <c r="L872" s="319"/>
      <c r="M872" s="319"/>
      <c r="N872" s="319"/>
      <c r="O872" s="319"/>
      <c r="P872" s="319"/>
      <c r="Q872" s="553"/>
      <c r="R872" s="553"/>
      <c r="S872" s="611"/>
      <c r="T872" s="611"/>
      <c r="U872" s="621"/>
      <c r="V872" s="621"/>
      <c r="W872" s="319"/>
      <c r="X872" s="621"/>
      <c r="Y872" s="319"/>
      <c r="Z872" s="319"/>
      <c r="AA872" s="319"/>
      <c r="AB872" s="319"/>
      <c r="AC872" s="319"/>
      <c r="AD872" s="319"/>
      <c r="AE872" s="319"/>
      <c r="AF872" s="619"/>
      <c r="AG872" s="319"/>
      <c r="AH872" s="319"/>
      <c r="AI872" s="630"/>
      <c r="AJ872" s="319"/>
      <c r="AK872" s="319"/>
      <c r="AL872" s="319"/>
      <c r="AM872" s="319"/>
      <c r="AN872" s="319"/>
      <c r="AO872" s="319"/>
      <c r="AP872" s="319"/>
      <c r="AQ872" s="571"/>
      <c r="AR872" s="319"/>
      <c r="AS872" s="319"/>
      <c r="AT872" s="319"/>
      <c r="AU872" s="319"/>
      <c r="AV872" s="319"/>
      <c r="AW872" s="553"/>
      <c r="AX872" s="553"/>
      <c r="AY872" s="611"/>
      <c r="AZ872" s="611"/>
      <c r="BA872" s="621"/>
      <c r="BB872" s="621"/>
      <c r="BC872" s="319"/>
      <c r="BD872" s="621"/>
      <c r="BE872" s="319"/>
      <c r="BF872" s="319"/>
      <c r="BG872" s="319"/>
      <c r="BH872" s="571"/>
      <c r="BI872" s="319"/>
      <c r="BJ872" s="319"/>
      <c r="BK872" s="319"/>
      <c r="BL872" s="620"/>
      <c r="BM872" s="1"/>
      <c r="BN872" s="611"/>
      <c r="BO872" s="319"/>
      <c r="BP872" s="571"/>
      <c r="BQ872" s="319"/>
      <c r="BR872" s="319"/>
      <c r="BS872" s="319"/>
      <c r="BT872" s="319"/>
      <c r="BU872" s="319"/>
      <c r="BV872" s="611"/>
      <c r="BW872" s="319"/>
      <c r="BX872" s="571"/>
      <c r="BY872" s="319"/>
      <c r="BZ872" s="319"/>
      <c r="CA872" s="319"/>
      <c r="CB872" s="319"/>
      <c r="CC872" s="319"/>
      <c r="CD872" s="553"/>
      <c r="CE872" s="553"/>
      <c r="CF872" s="611"/>
      <c r="CG872" s="611"/>
      <c r="CH872" s="621"/>
      <c r="CI872" s="621"/>
      <c r="CJ872" s="319"/>
      <c r="CK872" s="621"/>
      <c r="CL872" s="319"/>
      <c r="CM872" s="319"/>
      <c r="CN872" s="319"/>
      <c r="CO872" s="319"/>
      <c r="CP872" s="319"/>
      <c r="CQ872" s="319"/>
      <c r="CR872" s="319"/>
      <c r="CS872" s="619"/>
    </row>
    <row r="873" spans="1:97">
      <c r="A873" s="613"/>
      <c r="B873" s="319"/>
      <c r="C873" s="630"/>
      <c r="D873" s="319"/>
      <c r="E873" s="319"/>
      <c r="F873" s="319"/>
      <c r="G873" s="319"/>
      <c r="H873" s="319"/>
      <c r="I873" s="319"/>
      <c r="J873" s="571"/>
      <c r="K873" s="621"/>
      <c r="L873" s="319"/>
      <c r="M873" s="319"/>
      <c r="N873" s="319"/>
      <c r="O873" s="319"/>
      <c r="P873" s="319"/>
      <c r="Q873" s="319"/>
      <c r="R873" s="319"/>
      <c r="S873" s="319"/>
      <c r="T873" s="553"/>
      <c r="U873" s="611"/>
      <c r="V873" s="621"/>
      <c r="W873" s="319"/>
      <c r="X873" s="319"/>
      <c r="Y873" s="319"/>
      <c r="Z873" s="319"/>
      <c r="AA873" s="319"/>
      <c r="AB873" s="319"/>
      <c r="AC873" s="319"/>
      <c r="AD873" s="319"/>
      <c r="AE873" s="319"/>
      <c r="AF873" s="616"/>
      <c r="AG873" s="611"/>
      <c r="AH873" s="319"/>
      <c r="AI873" s="630"/>
      <c r="AJ873" s="319"/>
      <c r="AK873" s="319"/>
      <c r="AL873" s="319"/>
      <c r="AM873" s="319"/>
      <c r="AN873" s="319"/>
      <c r="AO873" s="319"/>
      <c r="AP873" s="571"/>
      <c r="AQ873" s="621"/>
      <c r="AR873" s="319"/>
      <c r="AS873" s="319"/>
      <c r="AT873" s="319"/>
      <c r="AU873" s="319"/>
      <c r="AV873" s="319"/>
      <c r="AW873" s="319"/>
      <c r="AX873" s="319"/>
      <c r="AY873" s="319"/>
      <c r="AZ873" s="553"/>
      <c r="BA873" s="611"/>
      <c r="BB873" s="621"/>
      <c r="BC873" s="319"/>
      <c r="BD873" s="319"/>
      <c r="BE873" s="319"/>
      <c r="BF873" s="319"/>
      <c r="BG873" s="319"/>
      <c r="BH873" s="621"/>
      <c r="BI873" s="319"/>
      <c r="BJ873" s="319"/>
      <c r="BK873" s="319"/>
      <c r="BL873" s="617"/>
      <c r="BM873" s="1"/>
      <c r="BN873" s="613"/>
      <c r="BO873" s="319"/>
      <c r="BP873" s="630"/>
      <c r="BQ873" s="319"/>
      <c r="BR873" s="319"/>
      <c r="BS873" s="319"/>
      <c r="BT873" s="319"/>
      <c r="BU873" s="319"/>
      <c r="BV873" s="319"/>
      <c r="BW873" s="571"/>
      <c r="BX873" s="621"/>
      <c r="BY873" s="319"/>
      <c r="BZ873" s="319"/>
      <c r="CA873" s="319"/>
      <c r="CB873" s="319"/>
      <c r="CC873" s="319"/>
      <c r="CD873" s="319"/>
      <c r="CE873" s="319"/>
      <c r="CF873" s="319"/>
      <c r="CG873" s="553"/>
      <c r="CH873" s="611"/>
      <c r="CI873" s="621"/>
      <c r="CJ873" s="319"/>
      <c r="CK873" s="319"/>
      <c r="CL873" s="319"/>
      <c r="CM873" s="319"/>
      <c r="CN873" s="319"/>
      <c r="CO873" s="319"/>
      <c r="CP873" s="319"/>
      <c r="CQ873" s="319"/>
      <c r="CR873" s="319"/>
      <c r="CS873" s="616"/>
    </row>
    <row r="874" spans="1:97">
      <c r="A874" s="319"/>
      <c r="B874" s="319"/>
      <c r="C874" s="571"/>
      <c r="D874" s="319"/>
      <c r="E874" s="319"/>
      <c r="F874" s="319"/>
      <c r="G874" s="319"/>
      <c r="H874" s="319"/>
      <c r="I874" s="319"/>
      <c r="J874" s="571"/>
      <c r="K874" s="621"/>
      <c r="L874" s="319"/>
      <c r="M874" s="319"/>
      <c r="N874" s="319"/>
      <c r="O874" s="319"/>
      <c r="P874" s="319"/>
      <c r="Q874" s="319"/>
      <c r="R874" s="319"/>
      <c r="S874" s="319"/>
      <c r="T874" s="319"/>
      <c r="U874" s="553"/>
      <c r="V874" s="611"/>
      <c r="W874" s="621"/>
      <c r="X874" s="319"/>
      <c r="Y874" s="319"/>
      <c r="Z874" s="319"/>
      <c r="AA874" s="319"/>
      <c r="AB874" s="611"/>
      <c r="AC874" s="319"/>
      <c r="AD874" s="319"/>
      <c r="AE874" s="319"/>
      <c r="AF874" s="631"/>
      <c r="AG874" s="613"/>
      <c r="AH874" s="319"/>
      <c r="AI874" s="630"/>
      <c r="AJ874" s="319"/>
      <c r="AK874" s="319"/>
      <c r="AL874" s="319"/>
      <c r="AM874" s="319"/>
      <c r="AN874" s="319"/>
      <c r="AO874" s="319"/>
      <c r="AP874" s="571"/>
      <c r="AQ874" s="621"/>
      <c r="AR874" s="319"/>
      <c r="AS874" s="319"/>
      <c r="AT874" s="319"/>
      <c r="AU874" s="319"/>
      <c r="AV874" s="319"/>
      <c r="AW874" s="319"/>
      <c r="AX874" s="319"/>
      <c r="AY874" s="319"/>
      <c r="AZ874" s="319"/>
      <c r="BA874" s="553"/>
      <c r="BB874" s="611"/>
      <c r="BC874" s="621"/>
      <c r="BD874" s="319"/>
      <c r="BE874" s="319"/>
      <c r="BF874" s="319"/>
      <c r="BG874" s="319"/>
      <c r="BH874" s="319"/>
      <c r="BI874" s="319"/>
      <c r="BJ874" s="319"/>
      <c r="BK874" s="319"/>
      <c r="BL874" s="618"/>
      <c r="BM874" s="1"/>
      <c r="BN874" s="319"/>
      <c r="BO874" s="319"/>
      <c r="BP874" s="571"/>
      <c r="BQ874" s="319"/>
      <c r="BR874" s="319"/>
      <c r="BS874" s="319"/>
      <c r="BT874" s="319"/>
      <c r="BU874" s="319"/>
      <c r="BV874" s="319"/>
      <c r="BW874" s="571"/>
      <c r="BX874" s="621"/>
      <c r="BY874" s="319"/>
      <c r="BZ874" s="319"/>
      <c r="CA874" s="319"/>
      <c r="CB874" s="319"/>
      <c r="CC874" s="319"/>
      <c r="CD874" s="319"/>
      <c r="CE874" s="319"/>
      <c r="CF874" s="319"/>
      <c r="CG874" s="319"/>
      <c r="CH874" s="553"/>
      <c r="CI874" s="611"/>
      <c r="CJ874" s="621"/>
      <c r="CK874" s="319"/>
      <c r="CL874" s="319"/>
      <c r="CM874" s="319"/>
      <c r="CN874" s="319"/>
      <c r="CO874" s="611"/>
      <c r="CP874" s="319"/>
      <c r="CQ874" s="319"/>
      <c r="CR874" s="319"/>
      <c r="CS874" s="631"/>
    </row>
    <row r="875" spans="1:97">
      <c r="A875" s="613"/>
      <c r="B875" s="319"/>
      <c r="C875" s="571"/>
      <c r="D875" s="319"/>
      <c r="E875" s="319"/>
      <c r="F875" s="319"/>
      <c r="G875" s="611"/>
      <c r="H875" s="319"/>
      <c r="I875" s="319"/>
      <c r="J875" s="621"/>
      <c r="K875" s="319"/>
      <c r="L875" s="319"/>
      <c r="M875" s="319"/>
      <c r="N875" s="319"/>
      <c r="O875" s="319"/>
      <c r="P875" s="553"/>
      <c r="Q875" s="571"/>
      <c r="R875" s="553"/>
      <c r="S875" s="553"/>
      <c r="T875" s="319"/>
      <c r="U875" s="319"/>
      <c r="V875" s="553"/>
      <c r="W875" s="621"/>
      <c r="X875" s="319"/>
      <c r="Y875" s="319"/>
      <c r="Z875" s="319"/>
      <c r="AA875" s="319"/>
      <c r="AB875" s="319"/>
      <c r="AC875" s="319"/>
      <c r="AD875" s="319"/>
      <c r="AE875" s="319"/>
      <c r="AF875" s="631"/>
      <c r="AG875" s="319"/>
      <c r="AH875" s="319"/>
      <c r="AI875" s="630"/>
      <c r="AJ875" s="319"/>
      <c r="AK875" s="319"/>
      <c r="AL875" s="319"/>
      <c r="AM875" s="319"/>
      <c r="AN875" s="319"/>
      <c r="AO875" s="319"/>
      <c r="AP875" s="621"/>
      <c r="AQ875" s="319"/>
      <c r="AR875" s="319"/>
      <c r="AS875" s="319"/>
      <c r="AT875" s="319"/>
      <c r="AU875" s="319"/>
      <c r="AV875" s="553"/>
      <c r="AW875" s="571"/>
      <c r="AX875" s="553"/>
      <c r="AY875" s="553"/>
      <c r="AZ875" s="319"/>
      <c r="BA875" s="319"/>
      <c r="BB875" s="553"/>
      <c r="BC875" s="621"/>
      <c r="BD875" s="319"/>
      <c r="BE875" s="319"/>
      <c r="BF875" s="319"/>
      <c r="BG875" s="319"/>
      <c r="BH875" s="319"/>
      <c r="BI875" s="319"/>
      <c r="BJ875" s="319"/>
      <c r="BK875" s="319"/>
      <c r="BL875" s="615"/>
      <c r="BM875" s="1"/>
      <c r="BN875" s="613"/>
      <c r="BO875" s="319"/>
      <c r="BP875" s="571"/>
      <c r="BQ875" s="319"/>
      <c r="BR875" s="319"/>
      <c r="BS875" s="319"/>
      <c r="BT875" s="611"/>
      <c r="BU875" s="319"/>
      <c r="BV875" s="319"/>
      <c r="BW875" s="621"/>
      <c r="BX875" s="319"/>
      <c r="BY875" s="319"/>
      <c r="BZ875" s="319"/>
      <c r="CA875" s="319"/>
      <c r="CB875" s="319"/>
      <c r="CC875" s="553"/>
      <c r="CD875" s="571"/>
      <c r="CE875" s="553"/>
      <c r="CF875" s="553"/>
      <c r="CG875" s="319"/>
      <c r="CH875" s="319"/>
      <c r="CI875" s="553"/>
      <c r="CJ875" s="621"/>
      <c r="CK875" s="319"/>
      <c r="CL875" s="319"/>
      <c r="CM875" s="319"/>
      <c r="CN875" s="319"/>
      <c r="CO875" s="319"/>
      <c r="CP875" s="319"/>
      <c r="CQ875" s="319"/>
      <c r="CR875" s="319"/>
      <c r="CS875" s="631"/>
    </row>
    <row r="876" spans="1:97">
      <c r="A876" s="613"/>
      <c r="B876" s="319"/>
      <c r="C876" s="571"/>
      <c r="D876" s="319"/>
      <c r="E876" s="319"/>
      <c r="F876" s="319"/>
      <c r="G876" s="319"/>
      <c r="H876" s="319"/>
      <c r="I876" s="319"/>
      <c r="J876" s="319"/>
      <c r="K876" s="319"/>
      <c r="L876" s="319"/>
      <c r="M876" s="319"/>
      <c r="N876" s="319"/>
      <c r="O876" s="319"/>
      <c r="P876" s="319"/>
      <c r="Q876" s="319"/>
      <c r="R876" s="319"/>
      <c r="S876" s="319"/>
      <c r="T876" s="319"/>
      <c r="U876" s="319"/>
      <c r="V876" s="319"/>
      <c r="W876" s="621"/>
      <c r="X876" s="319"/>
      <c r="Y876" s="319"/>
      <c r="Z876" s="619"/>
      <c r="AA876" s="319"/>
      <c r="AB876" s="319"/>
      <c r="AC876" s="319"/>
      <c r="AD876" s="613"/>
      <c r="AE876" s="319"/>
      <c r="AF876" s="631"/>
      <c r="AG876" s="319"/>
      <c r="AH876" s="319"/>
      <c r="AI876" s="630"/>
      <c r="AJ876" s="319"/>
      <c r="AK876" s="319"/>
      <c r="AL876" s="319"/>
      <c r="AM876" s="319"/>
      <c r="AN876" s="319"/>
      <c r="AO876" s="319"/>
      <c r="AP876" s="319"/>
      <c r="AQ876" s="319"/>
      <c r="AR876" s="319"/>
      <c r="AS876" s="319"/>
      <c r="AT876" s="319"/>
      <c r="AU876" s="319"/>
      <c r="AV876" s="319"/>
      <c r="AW876" s="319"/>
      <c r="AX876" s="319"/>
      <c r="AY876" s="319"/>
      <c r="AZ876" s="319"/>
      <c r="BA876" s="319"/>
      <c r="BB876" s="319"/>
      <c r="BC876" s="621"/>
      <c r="BD876" s="319"/>
      <c r="BE876" s="319"/>
      <c r="BF876" s="319"/>
      <c r="BG876" s="319"/>
      <c r="BH876" s="319"/>
      <c r="BI876" s="319"/>
      <c r="BJ876" s="613"/>
      <c r="BK876" s="319"/>
      <c r="BL876" s="615"/>
      <c r="BM876" s="1"/>
      <c r="BN876" s="613"/>
      <c r="BO876" s="319"/>
      <c r="BP876" s="571"/>
      <c r="BQ876" s="319"/>
      <c r="BR876" s="319"/>
      <c r="BS876" s="319"/>
      <c r="BT876" s="319"/>
      <c r="BU876" s="319"/>
      <c r="BV876" s="319"/>
      <c r="BW876" s="319"/>
      <c r="BX876" s="319"/>
      <c r="BY876" s="319"/>
      <c r="BZ876" s="319"/>
      <c r="CA876" s="319"/>
      <c r="CB876" s="319"/>
      <c r="CC876" s="319"/>
      <c r="CD876" s="319"/>
      <c r="CE876" s="319"/>
      <c r="CF876" s="319"/>
      <c r="CG876" s="319"/>
      <c r="CH876" s="319"/>
      <c r="CI876" s="319"/>
      <c r="CJ876" s="621"/>
      <c r="CK876" s="319"/>
      <c r="CL876" s="319"/>
      <c r="CM876" s="619"/>
      <c r="CN876" s="319"/>
      <c r="CO876" s="319"/>
      <c r="CP876" s="319"/>
      <c r="CQ876" s="613"/>
      <c r="CR876" s="319"/>
      <c r="CS876" s="631"/>
    </row>
    <row r="877" spans="1:97">
      <c r="A877" s="613"/>
      <c r="B877" s="319"/>
      <c r="C877" s="571"/>
      <c r="D877" s="319"/>
      <c r="E877" s="319"/>
      <c r="F877" s="611"/>
      <c r="G877" s="319"/>
      <c r="H877" s="319"/>
      <c r="I877" s="319"/>
      <c r="J877" s="571"/>
      <c r="K877" s="319"/>
      <c r="L877" s="319"/>
      <c r="M877" s="612"/>
      <c r="N877" s="621"/>
      <c r="O877" s="612"/>
      <c r="P877" s="319"/>
      <c r="Q877" s="319"/>
      <c r="R877" s="612"/>
      <c r="S877" s="621"/>
      <c r="T877" s="621"/>
      <c r="U877" s="319"/>
      <c r="V877" s="319"/>
      <c r="W877" s="621"/>
      <c r="X877" s="319"/>
      <c r="Y877" s="319"/>
      <c r="Z877" s="611"/>
      <c r="AA877" s="319"/>
      <c r="AB877" s="319"/>
      <c r="AC877" s="319"/>
      <c r="AD877" s="612"/>
      <c r="AE877" s="319"/>
      <c r="AF877" s="631"/>
      <c r="AG877" s="319"/>
      <c r="AH877" s="319"/>
      <c r="AI877" s="630"/>
      <c r="AJ877" s="319"/>
      <c r="AK877" s="319"/>
      <c r="AL877" s="319"/>
      <c r="AM877" s="319"/>
      <c r="AN877" s="319"/>
      <c r="AO877" s="319"/>
      <c r="AP877" s="571"/>
      <c r="AQ877" s="319"/>
      <c r="AR877" s="319"/>
      <c r="AS877" s="612"/>
      <c r="AT877" s="621"/>
      <c r="AU877" s="612"/>
      <c r="AV877" s="319"/>
      <c r="AW877" s="319"/>
      <c r="AX877" s="612"/>
      <c r="AY877" s="621"/>
      <c r="AZ877" s="621"/>
      <c r="BA877" s="319"/>
      <c r="BB877" s="319"/>
      <c r="BC877" s="621"/>
      <c r="BD877" s="319"/>
      <c r="BE877" s="319"/>
      <c r="BF877" s="319"/>
      <c r="BG877" s="319"/>
      <c r="BH877" s="553"/>
      <c r="BI877" s="319"/>
      <c r="BJ877" s="612"/>
      <c r="BK877" s="319"/>
      <c r="BL877" s="617"/>
      <c r="BM877" s="1"/>
      <c r="BN877" s="613"/>
      <c r="BO877" s="319"/>
      <c r="BP877" s="571"/>
      <c r="BQ877" s="319"/>
      <c r="BR877" s="319"/>
      <c r="BS877" s="611"/>
      <c r="BT877" s="319"/>
      <c r="BU877" s="319"/>
      <c r="BV877" s="319"/>
      <c r="BW877" s="571"/>
      <c r="BX877" s="319"/>
      <c r="BY877" s="319"/>
      <c r="BZ877" s="612"/>
      <c r="CA877" s="324"/>
      <c r="CB877" s="612"/>
      <c r="CC877" s="319"/>
      <c r="CD877" s="319"/>
      <c r="CE877" s="612"/>
      <c r="CF877" s="323"/>
      <c r="CG877" s="591"/>
      <c r="CH877" s="319"/>
      <c r="CI877" s="319"/>
      <c r="CJ877" s="621"/>
      <c r="CK877" s="319"/>
      <c r="CL877" s="319"/>
      <c r="CM877" s="611"/>
      <c r="CN877" s="319"/>
      <c r="CO877" s="319"/>
      <c r="CP877" s="319"/>
      <c r="CQ877" s="612"/>
      <c r="CR877" s="319"/>
      <c r="CS877" s="631"/>
    </row>
    <row r="878" spans="1:97">
      <c r="A878" s="319"/>
      <c r="B878" s="319"/>
      <c r="C878" s="571"/>
      <c r="D878" s="319"/>
      <c r="E878" s="319"/>
      <c r="F878" s="319"/>
      <c r="G878" s="319"/>
      <c r="H878" s="319"/>
      <c r="I878" s="319"/>
      <c r="J878" s="319"/>
      <c r="K878" s="319"/>
      <c r="L878" s="612"/>
      <c r="M878" s="621"/>
      <c r="N878" s="621"/>
      <c r="O878" s="621"/>
      <c r="P878" s="319"/>
      <c r="Q878" s="319"/>
      <c r="R878" s="621"/>
      <c r="S878" s="621"/>
      <c r="T878" s="621"/>
      <c r="U878" s="621"/>
      <c r="V878" s="319"/>
      <c r="W878" s="621"/>
      <c r="X878" s="319"/>
      <c r="Y878" s="619"/>
      <c r="Z878" s="319"/>
      <c r="AA878" s="319"/>
      <c r="AB878" s="319"/>
      <c r="AC878" s="319"/>
      <c r="AD878" s="621"/>
      <c r="AE878" s="319"/>
      <c r="AF878" s="619"/>
      <c r="AG878" s="611"/>
      <c r="AH878" s="319"/>
      <c r="AI878" s="630"/>
      <c r="AJ878" s="319"/>
      <c r="AK878" s="319"/>
      <c r="AL878" s="319"/>
      <c r="AM878" s="319"/>
      <c r="AN878" s="319"/>
      <c r="AO878" s="319"/>
      <c r="AP878" s="319"/>
      <c r="AQ878" s="319"/>
      <c r="AR878" s="612"/>
      <c r="AS878" s="621"/>
      <c r="AT878" s="621"/>
      <c r="AU878" s="621"/>
      <c r="AV878" s="319"/>
      <c r="AW878" s="319"/>
      <c r="AX878" s="621"/>
      <c r="AY878" s="621"/>
      <c r="AZ878" s="621"/>
      <c r="BA878" s="621"/>
      <c r="BB878" s="319"/>
      <c r="BC878" s="621"/>
      <c r="BD878" s="319"/>
      <c r="BE878" s="319"/>
      <c r="BF878" s="319"/>
      <c r="BG878" s="319"/>
      <c r="BH878" s="319"/>
      <c r="BI878" s="319"/>
      <c r="BJ878" s="621"/>
      <c r="BK878" s="319"/>
      <c r="BL878" s="620"/>
      <c r="BM878" s="1"/>
      <c r="BN878" s="319"/>
      <c r="BO878" s="319"/>
      <c r="BP878" s="571"/>
      <c r="BQ878" s="319"/>
      <c r="BR878" s="319"/>
      <c r="BS878" s="319"/>
      <c r="BT878" s="319"/>
      <c r="BU878" s="319"/>
      <c r="BV878" s="319"/>
      <c r="BW878" s="319"/>
      <c r="BX878" s="319"/>
      <c r="BY878" s="612"/>
      <c r="BZ878" s="323"/>
      <c r="CA878" s="591"/>
      <c r="CB878" s="323"/>
      <c r="CC878" s="319"/>
      <c r="CD878" s="319"/>
      <c r="CE878" s="323"/>
      <c r="CF878" s="591"/>
      <c r="CG878" s="325"/>
      <c r="CH878" s="323"/>
      <c r="CI878" s="319"/>
      <c r="CJ878" s="621"/>
      <c r="CK878" s="319"/>
      <c r="CL878" s="619"/>
      <c r="CM878" s="319"/>
      <c r="CN878" s="319"/>
      <c r="CO878" s="319"/>
      <c r="CP878" s="319"/>
      <c r="CQ878" s="621"/>
      <c r="CR878" s="319"/>
      <c r="CS878" s="619"/>
    </row>
    <row r="879" spans="1:97">
      <c r="A879" s="613"/>
      <c r="B879" s="319"/>
      <c r="C879" s="571"/>
      <c r="D879" s="319"/>
      <c r="E879" s="319"/>
      <c r="F879" s="319"/>
      <c r="G879" s="319"/>
      <c r="H879" s="319"/>
      <c r="I879" s="319"/>
      <c r="J879" s="571"/>
      <c r="K879" s="319"/>
      <c r="L879" s="612"/>
      <c r="M879" s="621"/>
      <c r="N879" s="621"/>
      <c r="O879" s="621"/>
      <c r="P879" s="571"/>
      <c r="Q879" s="553"/>
      <c r="R879" s="621"/>
      <c r="S879" s="621"/>
      <c r="T879" s="621"/>
      <c r="U879" s="621"/>
      <c r="V879" s="553"/>
      <c r="W879" s="621"/>
      <c r="X879" s="319"/>
      <c r="Y879" s="319"/>
      <c r="Z879" s="319"/>
      <c r="AA879" s="319"/>
      <c r="AB879" s="319"/>
      <c r="AC879" s="319"/>
      <c r="AD879" s="613"/>
      <c r="AE879" s="319"/>
      <c r="AF879" s="631"/>
      <c r="AG879" s="319"/>
      <c r="AH879" s="319"/>
      <c r="AI879" s="571"/>
      <c r="AJ879" s="319"/>
      <c r="AK879" s="319"/>
      <c r="AL879" s="319"/>
      <c r="AM879" s="319"/>
      <c r="AN879" s="319"/>
      <c r="AO879" s="319"/>
      <c r="AP879" s="571"/>
      <c r="AQ879" s="319"/>
      <c r="AR879" s="612"/>
      <c r="AS879" s="621"/>
      <c r="AT879" s="621"/>
      <c r="AU879" s="621"/>
      <c r="AV879" s="571"/>
      <c r="AW879" s="553"/>
      <c r="AX879" s="621"/>
      <c r="AY879" s="621"/>
      <c r="AZ879" s="621"/>
      <c r="BA879" s="621"/>
      <c r="BB879" s="553"/>
      <c r="BC879" s="621"/>
      <c r="BD879" s="319"/>
      <c r="BE879" s="319"/>
      <c r="BF879" s="319"/>
      <c r="BG879" s="319"/>
      <c r="BH879" s="319"/>
      <c r="BI879" s="319"/>
      <c r="BJ879" s="613"/>
      <c r="BK879" s="319"/>
      <c r="BL879" s="620"/>
      <c r="BM879" s="1"/>
      <c r="BN879" s="613"/>
      <c r="BO879" s="319"/>
      <c r="BP879" s="571"/>
      <c r="BQ879" s="319"/>
      <c r="BR879" s="319"/>
      <c r="BS879" s="319"/>
      <c r="BT879" s="319"/>
      <c r="BU879" s="319"/>
      <c r="BV879" s="319"/>
      <c r="BW879" s="571"/>
      <c r="BX879" s="319"/>
      <c r="BY879" s="612"/>
      <c r="BZ879" s="591"/>
      <c r="CA879" s="323"/>
      <c r="CB879" s="621"/>
      <c r="CC879" s="571"/>
      <c r="CD879" s="553"/>
      <c r="CE879" s="621"/>
      <c r="CF879" s="323"/>
      <c r="CG879" s="323"/>
      <c r="CH879" s="621"/>
      <c r="CI879" s="553"/>
      <c r="CJ879" s="621"/>
      <c r="CK879" s="319"/>
      <c r="CL879" s="319"/>
      <c r="CM879" s="319"/>
      <c r="CN879" s="319"/>
      <c r="CO879" s="319"/>
      <c r="CP879" s="319"/>
      <c r="CQ879" s="613"/>
      <c r="CR879" s="319"/>
      <c r="CS879" s="631"/>
    </row>
    <row r="880" spans="1:97">
      <c r="A880" s="613"/>
      <c r="B880" s="319"/>
      <c r="C880" s="630"/>
      <c r="D880" s="611"/>
      <c r="E880" s="319"/>
      <c r="F880" s="319"/>
      <c r="G880" s="319"/>
      <c r="H880" s="319"/>
      <c r="I880" s="319"/>
      <c r="J880" s="319"/>
      <c r="K880" s="319"/>
      <c r="L880" s="319"/>
      <c r="M880" s="621"/>
      <c r="N880" s="621"/>
      <c r="O880" s="319"/>
      <c r="P880" s="553"/>
      <c r="Q880" s="612"/>
      <c r="R880" s="319"/>
      <c r="S880" s="621"/>
      <c r="T880" s="621"/>
      <c r="U880" s="319"/>
      <c r="V880" s="319"/>
      <c r="W880" s="612"/>
      <c r="X880" s="319"/>
      <c r="Y880" s="319"/>
      <c r="Z880" s="319"/>
      <c r="AA880" s="319"/>
      <c r="AB880" s="319"/>
      <c r="AC880" s="319"/>
      <c r="AD880" s="621"/>
      <c r="AE880" s="319"/>
      <c r="AF880" s="622"/>
      <c r="AG880" s="319"/>
      <c r="AH880" s="319"/>
      <c r="AI880" s="630"/>
      <c r="AJ880" s="319"/>
      <c r="AK880" s="319"/>
      <c r="AL880" s="319"/>
      <c r="AM880" s="319"/>
      <c r="AN880" s="319"/>
      <c r="AO880" s="319"/>
      <c r="AP880" s="319"/>
      <c r="AQ880" s="319"/>
      <c r="AR880" s="319"/>
      <c r="AS880" s="621"/>
      <c r="AT880" s="621"/>
      <c r="AU880" s="319"/>
      <c r="AV880" s="553"/>
      <c r="AW880" s="612"/>
      <c r="AX880" s="319"/>
      <c r="AY880" s="621"/>
      <c r="AZ880" s="621"/>
      <c r="BA880" s="319"/>
      <c r="BB880" s="319"/>
      <c r="BC880" s="612"/>
      <c r="BD880" s="319"/>
      <c r="BE880" s="319"/>
      <c r="BF880" s="319"/>
      <c r="BG880" s="319"/>
      <c r="BH880" s="319"/>
      <c r="BI880" s="319"/>
      <c r="BJ880" s="621"/>
      <c r="BK880" s="319"/>
      <c r="BL880" s="623"/>
      <c r="BM880" s="1"/>
      <c r="BN880" s="613"/>
      <c r="BO880" s="319"/>
      <c r="BP880" s="630"/>
      <c r="BQ880" s="611"/>
      <c r="BR880" s="319"/>
      <c r="BS880" s="319"/>
      <c r="BT880" s="319"/>
      <c r="BU880" s="319"/>
      <c r="BV880" s="319"/>
      <c r="BW880" s="319"/>
      <c r="BX880" s="319"/>
      <c r="BY880" s="319"/>
      <c r="BZ880" s="621"/>
      <c r="CA880" s="621"/>
      <c r="CB880" s="319"/>
      <c r="CC880" s="553"/>
      <c r="CD880" s="612"/>
      <c r="CE880" s="319"/>
      <c r="CF880" s="621"/>
      <c r="CG880" s="621"/>
      <c r="CH880" s="319"/>
      <c r="CI880" s="319"/>
      <c r="CJ880" s="612"/>
      <c r="CK880" s="319"/>
      <c r="CL880" s="319"/>
      <c r="CM880" s="319"/>
      <c r="CN880" s="319"/>
      <c r="CO880" s="319"/>
      <c r="CP880" s="319"/>
      <c r="CQ880" s="621"/>
      <c r="CR880" s="319"/>
      <c r="CS880" s="622"/>
    </row>
    <row r="881" spans="1:97">
      <c r="A881" s="613"/>
      <c r="B881" s="319"/>
      <c r="C881" s="630"/>
      <c r="D881" s="319"/>
      <c r="E881" s="319"/>
      <c r="F881" s="319"/>
      <c r="G881" s="319"/>
      <c r="H881" s="319"/>
      <c r="I881" s="319"/>
      <c r="J881" s="611"/>
      <c r="K881" s="319"/>
      <c r="L881" s="319"/>
      <c r="M881" s="319"/>
      <c r="N881" s="319"/>
      <c r="O881" s="319"/>
      <c r="P881" s="612"/>
      <c r="Q881" s="621"/>
      <c r="R881" s="319"/>
      <c r="S881" s="319"/>
      <c r="T881" s="319"/>
      <c r="U881" s="319"/>
      <c r="V881" s="621"/>
      <c r="W881" s="319"/>
      <c r="X881" s="611"/>
      <c r="Y881" s="319"/>
      <c r="Z881" s="319"/>
      <c r="AA881" s="319"/>
      <c r="AB881" s="319"/>
      <c r="AC881" s="319"/>
      <c r="AD881" s="621"/>
      <c r="AE881" s="319"/>
      <c r="AF881" s="631"/>
      <c r="AG881" s="613"/>
      <c r="AH881" s="319"/>
      <c r="AI881" s="630"/>
      <c r="AJ881" s="319"/>
      <c r="AK881" s="319"/>
      <c r="AL881" s="319"/>
      <c r="AM881" s="319"/>
      <c r="AN881" s="319"/>
      <c r="AO881" s="319"/>
      <c r="AP881" s="611"/>
      <c r="AQ881" s="319"/>
      <c r="AR881" s="319"/>
      <c r="AS881" s="319"/>
      <c r="AT881" s="319"/>
      <c r="AU881" s="319"/>
      <c r="AV881" s="612"/>
      <c r="AW881" s="621"/>
      <c r="AX881" s="319"/>
      <c r="AY881" s="319"/>
      <c r="AZ881" s="319"/>
      <c r="BA881" s="319"/>
      <c r="BB881" s="621"/>
      <c r="BC881" s="319"/>
      <c r="BD881" s="319"/>
      <c r="BE881" s="319"/>
      <c r="BF881" s="319"/>
      <c r="BG881" s="319"/>
      <c r="BH881" s="319"/>
      <c r="BI881" s="319"/>
      <c r="BJ881" s="621"/>
      <c r="BK881" s="319"/>
      <c r="BL881" s="620"/>
      <c r="BM881" s="1"/>
      <c r="BN881" s="613"/>
      <c r="BO881" s="319"/>
      <c r="BP881" s="630"/>
      <c r="BQ881" s="319"/>
      <c r="BR881" s="319"/>
      <c r="BS881" s="319"/>
      <c r="BT881" s="319"/>
      <c r="BU881" s="319"/>
      <c r="BV881" s="319"/>
      <c r="BW881" s="611"/>
      <c r="BX881" s="319"/>
      <c r="BY881" s="319"/>
      <c r="BZ881" s="319"/>
      <c r="CA881" s="319"/>
      <c r="CB881" s="319"/>
      <c r="CC881" s="612"/>
      <c r="CD881" s="621"/>
      <c r="CE881" s="319"/>
      <c r="CF881" s="319"/>
      <c r="CG881" s="319"/>
      <c r="CH881" s="319"/>
      <c r="CI881" s="621"/>
      <c r="CJ881" s="319"/>
      <c r="CK881" s="611"/>
      <c r="CL881" s="319"/>
      <c r="CM881" s="319"/>
      <c r="CN881" s="319"/>
      <c r="CO881" s="319"/>
      <c r="CP881" s="319"/>
      <c r="CQ881" s="621"/>
      <c r="CR881" s="319"/>
      <c r="CS881" s="631"/>
    </row>
    <row r="882" spans="1:97">
      <c r="A882" s="613"/>
      <c r="B882" s="613"/>
      <c r="C882" s="571"/>
      <c r="D882" s="319"/>
      <c r="E882" s="319"/>
      <c r="F882" s="319"/>
      <c r="G882" s="319"/>
      <c r="H882" s="321"/>
      <c r="I882" s="319"/>
      <c r="J882" s="611"/>
      <c r="K882" s="319"/>
      <c r="L882" s="319"/>
      <c r="M882" s="319"/>
      <c r="N882" s="319"/>
      <c r="O882" s="611"/>
      <c r="P882" s="612"/>
      <c r="Q882" s="621"/>
      <c r="R882" s="612"/>
      <c r="S882" s="319"/>
      <c r="T882" s="319"/>
      <c r="U882" s="553"/>
      <c r="V882" s="612"/>
      <c r="W882" s="319"/>
      <c r="X882" s="319"/>
      <c r="Y882" s="319"/>
      <c r="Z882" s="319"/>
      <c r="AA882" s="319"/>
      <c r="AB882" s="319"/>
      <c r="AC882" s="319"/>
      <c r="AD882" s="631"/>
      <c r="AE882" s="319"/>
      <c r="AF882" s="631"/>
      <c r="AG882" s="319"/>
      <c r="AH882" s="319"/>
      <c r="AI882" s="571"/>
      <c r="AJ882" s="319"/>
      <c r="AK882" s="319"/>
      <c r="AL882" s="319"/>
      <c r="AM882" s="319"/>
      <c r="AN882" s="319"/>
      <c r="AO882" s="319"/>
      <c r="AP882" s="611"/>
      <c r="AQ882" s="319"/>
      <c r="AR882" s="319"/>
      <c r="AS882" s="319"/>
      <c r="AT882" s="319"/>
      <c r="AU882" s="611"/>
      <c r="AV882" s="612"/>
      <c r="AW882" s="621"/>
      <c r="AX882" s="612"/>
      <c r="AY882" s="319"/>
      <c r="AZ882" s="319"/>
      <c r="BA882" s="553"/>
      <c r="BB882" s="612"/>
      <c r="BC882" s="319"/>
      <c r="BD882" s="319"/>
      <c r="BE882" s="319"/>
      <c r="BF882" s="319"/>
      <c r="BG882" s="319"/>
      <c r="BH882" s="319"/>
      <c r="BI882" s="319"/>
      <c r="BJ882" s="621"/>
      <c r="BK882" s="319"/>
      <c r="BL882" s="620"/>
      <c r="BM882" s="1"/>
      <c r="BN882" s="613"/>
      <c r="BO882" s="613"/>
      <c r="BP882" s="571"/>
      <c r="BQ882" s="319"/>
      <c r="BR882" s="319"/>
      <c r="BS882" s="319"/>
      <c r="BT882" s="319"/>
      <c r="BU882" s="321"/>
      <c r="BV882" s="319"/>
      <c r="BW882" s="611"/>
      <c r="BX882" s="319"/>
      <c r="BY882" s="319"/>
      <c r="BZ882" s="319"/>
      <c r="CA882" s="319"/>
      <c r="CB882" s="611"/>
      <c r="CC882" s="612"/>
      <c r="CD882" s="621"/>
      <c r="CE882" s="612"/>
      <c r="CF882" s="319"/>
      <c r="CG882" s="319"/>
      <c r="CH882" s="553"/>
      <c r="CI882" s="612"/>
      <c r="CJ882" s="319"/>
      <c r="CK882" s="319"/>
      <c r="CL882" s="319"/>
      <c r="CM882" s="319"/>
      <c r="CN882" s="319"/>
      <c r="CO882" s="319"/>
      <c r="CP882" s="319"/>
      <c r="CQ882" s="631"/>
      <c r="CR882" s="319"/>
      <c r="CS882" s="631"/>
    </row>
    <row r="883" spans="1:97">
      <c r="A883" s="613"/>
      <c r="B883" s="319"/>
      <c r="C883" s="571"/>
      <c r="D883" s="319"/>
      <c r="E883" s="319"/>
      <c r="F883" s="319"/>
      <c r="G883" s="319"/>
      <c r="H883" s="321"/>
      <c r="I883" s="319"/>
      <c r="J883" s="319"/>
      <c r="K883" s="611"/>
      <c r="L883" s="319"/>
      <c r="M883" s="319"/>
      <c r="N883" s="319"/>
      <c r="O883" s="621"/>
      <c r="P883" s="611"/>
      <c r="Q883" s="612"/>
      <c r="R883" s="319"/>
      <c r="S883" s="319"/>
      <c r="T883" s="319"/>
      <c r="U883" s="611"/>
      <c r="V883" s="621"/>
      <c r="W883" s="319"/>
      <c r="X883" s="319"/>
      <c r="Y883" s="319"/>
      <c r="Z883" s="319"/>
      <c r="AA883" s="319"/>
      <c r="AB883" s="319"/>
      <c r="AC883" s="319"/>
      <c r="AD883" s="621"/>
      <c r="AE883" s="319"/>
      <c r="AF883" s="631"/>
      <c r="AG883" s="319"/>
      <c r="AH883" s="319"/>
      <c r="AI883" s="571"/>
      <c r="AJ883" s="319"/>
      <c r="AK883" s="319"/>
      <c r="AL883" s="319"/>
      <c r="AM883" s="319"/>
      <c r="AN883" s="319"/>
      <c r="AO883" s="319"/>
      <c r="AP883" s="319"/>
      <c r="AQ883" s="611"/>
      <c r="AR883" s="319"/>
      <c r="AS883" s="319"/>
      <c r="AT883" s="319"/>
      <c r="AU883" s="621"/>
      <c r="AV883" s="611"/>
      <c r="AW883" s="612"/>
      <c r="AX883" s="319"/>
      <c r="AY883" s="319"/>
      <c r="AZ883" s="319"/>
      <c r="BA883" s="611"/>
      <c r="BB883" s="621"/>
      <c r="BC883" s="319"/>
      <c r="BD883" s="319"/>
      <c r="BE883" s="319"/>
      <c r="BF883" s="319"/>
      <c r="BG883" s="319"/>
      <c r="BH883" s="319"/>
      <c r="BI883" s="319"/>
      <c r="BJ883" s="621"/>
      <c r="BK883" s="319"/>
      <c r="BL883" s="623"/>
      <c r="BM883" s="1"/>
      <c r="BN883" s="613"/>
      <c r="BO883" s="319"/>
      <c r="BP883" s="571"/>
      <c r="BQ883" s="319"/>
      <c r="BR883" s="319"/>
      <c r="BS883" s="319"/>
      <c r="BT883" s="319"/>
      <c r="BU883" s="321"/>
      <c r="BV883" s="319"/>
      <c r="BW883" s="319"/>
      <c r="BX883" s="611"/>
      <c r="BY883" s="319"/>
      <c r="BZ883" s="319"/>
      <c r="CA883" s="319"/>
      <c r="CB883" s="621"/>
      <c r="CC883" s="611"/>
      <c r="CD883" s="612"/>
      <c r="CE883" s="319"/>
      <c r="CF883" s="319"/>
      <c r="CG883" s="319"/>
      <c r="CH883" s="611"/>
      <c r="CI883" s="621"/>
      <c r="CJ883" s="319"/>
      <c r="CK883" s="319"/>
      <c r="CL883" s="319"/>
      <c r="CM883" s="319"/>
      <c r="CN883" s="319"/>
      <c r="CO883" s="319"/>
      <c r="CP883" s="319"/>
      <c r="CQ883" s="621"/>
      <c r="CR883" s="319"/>
      <c r="CS883" s="631"/>
    </row>
    <row r="884" spans="1:97">
      <c r="A884" s="613"/>
      <c r="B884" s="613"/>
      <c r="C884" s="319"/>
      <c r="D884" s="319"/>
      <c r="E884" s="319"/>
      <c r="F884" s="319"/>
      <c r="G884" s="319"/>
      <c r="H884" s="321"/>
      <c r="I884" s="319"/>
      <c r="J884" s="319"/>
      <c r="K884" s="611"/>
      <c r="L884" s="612"/>
      <c r="M884" s="319"/>
      <c r="N884" s="319"/>
      <c r="O884" s="319"/>
      <c r="P884" s="319"/>
      <c r="Q884" s="319"/>
      <c r="R884" s="319"/>
      <c r="S884" s="553"/>
      <c r="T884" s="621"/>
      <c r="U884" s="612"/>
      <c r="V884" s="621"/>
      <c r="W884" s="319"/>
      <c r="X884" s="319"/>
      <c r="Y884" s="319"/>
      <c r="Z884" s="319"/>
      <c r="AA884" s="319"/>
      <c r="AB884" s="319"/>
      <c r="AC884" s="319"/>
      <c r="AD884" s="621"/>
      <c r="AE884" s="319"/>
      <c r="AF884" s="631"/>
      <c r="AG884" s="319"/>
      <c r="AH884" s="319"/>
      <c r="AI884" s="319"/>
      <c r="AJ884" s="319"/>
      <c r="AK884" s="319"/>
      <c r="AL884" s="319"/>
      <c r="AM884" s="319"/>
      <c r="AN884" s="319"/>
      <c r="AO884" s="319"/>
      <c r="AP884" s="319"/>
      <c r="AQ884" s="611"/>
      <c r="AR884" s="612"/>
      <c r="AS884" s="319"/>
      <c r="AT884" s="319"/>
      <c r="AU884" s="319"/>
      <c r="AV884" s="319"/>
      <c r="AW884" s="319"/>
      <c r="AX884" s="319"/>
      <c r="AY884" s="553"/>
      <c r="AZ884" s="621"/>
      <c r="BA884" s="612"/>
      <c r="BB884" s="621"/>
      <c r="BC884" s="319"/>
      <c r="BD884" s="319"/>
      <c r="BE884" s="319"/>
      <c r="BF884" s="319"/>
      <c r="BG884" s="319"/>
      <c r="BH884" s="319"/>
      <c r="BI884" s="319"/>
      <c r="BJ884" s="621"/>
      <c r="BK884" s="319"/>
      <c r="BL884" s="618"/>
      <c r="BM884" s="1"/>
      <c r="BN884" s="613"/>
      <c r="BO884" s="613"/>
      <c r="BP884" s="319"/>
      <c r="BQ884" s="319"/>
      <c r="BR884" s="319"/>
      <c r="BS884" s="319"/>
      <c r="BT884" s="319"/>
      <c r="BU884" s="321"/>
      <c r="BV884" s="319"/>
      <c r="BW884" s="319"/>
      <c r="BX884" s="611"/>
      <c r="BY884" s="612"/>
      <c r="BZ884" s="319"/>
      <c r="CA884" s="319"/>
      <c r="CB884" s="319"/>
      <c r="CC884" s="319"/>
      <c r="CD884" s="319"/>
      <c r="CE884" s="319"/>
      <c r="CF884" s="571"/>
      <c r="CG884" s="621"/>
      <c r="CH884" s="612"/>
      <c r="CI884" s="621"/>
      <c r="CJ884" s="319"/>
      <c r="CK884" s="319"/>
      <c r="CL884" s="319"/>
      <c r="CM884" s="319"/>
      <c r="CN884" s="319"/>
      <c r="CO884" s="319"/>
      <c r="CP884" s="319"/>
      <c r="CQ884" s="621"/>
      <c r="CR884" s="319"/>
      <c r="CS884" s="631"/>
    </row>
    <row r="885" spans="1:97">
      <c r="A885" s="613"/>
      <c r="B885" s="319"/>
      <c r="C885" s="319"/>
      <c r="D885" s="621"/>
      <c r="E885" s="319"/>
      <c r="F885" s="319"/>
      <c r="G885" s="319"/>
      <c r="H885" s="321"/>
      <c r="I885" s="319"/>
      <c r="J885" s="319"/>
      <c r="K885" s="319"/>
      <c r="L885" s="612"/>
      <c r="M885" s="611"/>
      <c r="N885" s="571"/>
      <c r="O885" s="319"/>
      <c r="P885" s="612"/>
      <c r="Q885" s="611"/>
      <c r="R885" s="612"/>
      <c r="S885" s="611"/>
      <c r="T885" s="612"/>
      <c r="U885" s="621"/>
      <c r="V885" s="319"/>
      <c r="W885" s="319"/>
      <c r="X885" s="319"/>
      <c r="Y885" s="319"/>
      <c r="Z885" s="319"/>
      <c r="AA885" s="319"/>
      <c r="AB885" s="319"/>
      <c r="AC885" s="319"/>
      <c r="AD885" s="612"/>
      <c r="AE885" s="319"/>
      <c r="AF885" s="616"/>
      <c r="AG885" s="611"/>
      <c r="AH885" s="319"/>
      <c r="AI885" s="319"/>
      <c r="AJ885" s="319"/>
      <c r="AK885" s="319"/>
      <c r="AL885" s="319"/>
      <c r="AM885" s="319"/>
      <c r="AN885" s="319"/>
      <c r="AO885" s="319"/>
      <c r="AP885" s="319"/>
      <c r="AQ885" s="319"/>
      <c r="AR885" s="612"/>
      <c r="AS885" s="611"/>
      <c r="AT885" s="571"/>
      <c r="AU885" s="319"/>
      <c r="AV885" s="612"/>
      <c r="AW885" s="611"/>
      <c r="AX885" s="612"/>
      <c r="AY885" s="611"/>
      <c r="AZ885" s="612"/>
      <c r="BA885" s="621"/>
      <c r="BB885" s="319"/>
      <c r="BC885" s="319"/>
      <c r="BD885" s="319"/>
      <c r="BE885" s="319"/>
      <c r="BF885" s="319"/>
      <c r="BG885" s="319"/>
      <c r="BH885" s="319"/>
      <c r="BI885" s="319"/>
      <c r="BJ885" s="612"/>
      <c r="BK885" s="319"/>
      <c r="BL885" s="617"/>
      <c r="BM885" s="1"/>
      <c r="BN885" s="613"/>
      <c r="BO885" s="319"/>
      <c r="BP885" s="319"/>
      <c r="BQ885" s="621"/>
      <c r="BR885" s="319"/>
      <c r="BS885" s="319"/>
      <c r="BT885" s="319"/>
      <c r="BU885" s="321"/>
      <c r="BV885" s="319"/>
      <c r="BW885" s="319"/>
      <c r="BX885" s="319"/>
      <c r="BY885" s="612"/>
      <c r="BZ885" s="611"/>
      <c r="CA885" s="571"/>
      <c r="CB885" s="319"/>
      <c r="CC885" s="612"/>
      <c r="CD885" s="611"/>
      <c r="CE885" s="612"/>
      <c r="CF885" s="611"/>
      <c r="CG885" s="612"/>
      <c r="CH885" s="621"/>
      <c r="CI885" s="319"/>
      <c r="CJ885" s="319"/>
      <c r="CK885" s="319"/>
      <c r="CL885" s="319"/>
      <c r="CM885" s="319"/>
      <c r="CN885" s="319"/>
      <c r="CO885" s="319"/>
      <c r="CP885" s="319"/>
      <c r="CQ885" s="612"/>
      <c r="CR885" s="319"/>
      <c r="CS885" s="616"/>
    </row>
    <row r="886" spans="1:97">
      <c r="A886" s="631"/>
      <c r="B886" s="613"/>
      <c r="C886" s="612"/>
      <c r="D886" s="319"/>
      <c r="E886" s="319"/>
      <c r="F886" s="319"/>
      <c r="G886" s="319"/>
      <c r="H886" s="319"/>
      <c r="I886" s="319"/>
      <c r="J886" s="319"/>
      <c r="K886" s="611"/>
      <c r="L886" s="612"/>
      <c r="M886" s="611"/>
      <c r="N886" s="319"/>
      <c r="O886" s="319"/>
      <c r="P886" s="319"/>
      <c r="Q886" s="319"/>
      <c r="R886" s="319"/>
      <c r="S886" s="611"/>
      <c r="T886" s="612"/>
      <c r="U886" s="319"/>
      <c r="V886" s="319"/>
      <c r="W886" s="319"/>
      <c r="X886" s="319"/>
      <c r="Y886" s="319"/>
      <c r="Z886" s="319"/>
      <c r="AA886" s="319"/>
      <c r="AB886" s="319"/>
      <c r="AC886" s="319"/>
      <c r="AD886" s="621"/>
      <c r="AE886" s="319"/>
      <c r="AF886" s="631"/>
      <c r="AG886" s="613"/>
      <c r="AH886" s="319"/>
      <c r="AI886" s="319"/>
      <c r="AJ886" s="319"/>
      <c r="AK886" s="319"/>
      <c r="AL886" s="319"/>
      <c r="AM886" s="319"/>
      <c r="AN886" s="319"/>
      <c r="AO886" s="319"/>
      <c r="AP886" s="319"/>
      <c r="AQ886" s="611"/>
      <c r="AR886" s="612"/>
      <c r="AS886" s="611"/>
      <c r="AT886" s="319"/>
      <c r="AU886" s="319"/>
      <c r="AV886" s="319"/>
      <c r="AW886" s="319"/>
      <c r="AX886" s="319"/>
      <c r="AY886" s="611"/>
      <c r="AZ886" s="612"/>
      <c r="BA886" s="319"/>
      <c r="BB886" s="319"/>
      <c r="BC886" s="319"/>
      <c r="BD886" s="319"/>
      <c r="BE886" s="319"/>
      <c r="BF886" s="319"/>
      <c r="BG886" s="319"/>
      <c r="BH886" s="319"/>
      <c r="BI886" s="621"/>
      <c r="BJ886" s="621"/>
      <c r="BK886" s="319"/>
      <c r="BL886" s="618"/>
      <c r="BM886" s="1"/>
      <c r="BN886" s="631"/>
      <c r="BO886" s="613"/>
      <c r="BP886" s="612"/>
      <c r="BQ886" s="319"/>
      <c r="BR886" s="319"/>
      <c r="BS886" s="319"/>
      <c r="BT886" s="319"/>
      <c r="BU886" s="319"/>
      <c r="BV886" s="319"/>
      <c r="BW886" s="319"/>
      <c r="BX886" s="611"/>
      <c r="BY886" s="612"/>
      <c r="BZ886" s="611"/>
      <c r="CA886" s="319"/>
      <c r="CB886" s="319"/>
      <c r="CC886" s="319"/>
      <c r="CD886" s="319"/>
      <c r="CE886" s="319"/>
      <c r="CF886" s="611"/>
      <c r="CG886" s="612"/>
      <c r="CH886" s="319"/>
      <c r="CI886" s="319"/>
      <c r="CJ886" s="319"/>
      <c r="CK886" s="319"/>
      <c r="CL886" s="319"/>
      <c r="CM886" s="319"/>
      <c r="CN886" s="319"/>
      <c r="CO886" s="319"/>
      <c r="CP886" s="319"/>
      <c r="CQ886" s="621"/>
      <c r="CR886" s="319"/>
      <c r="CS886" s="631"/>
    </row>
    <row r="887" spans="1:97">
      <c r="A887" s="612"/>
      <c r="B887" s="613"/>
      <c r="C887" s="319"/>
      <c r="D887" s="319"/>
      <c r="E887" s="319"/>
      <c r="F887" s="319"/>
      <c r="G887" s="319"/>
      <c r="H887" s="321"/>
      <c r="I887" s="319"/>
      <c r="J887" s="319"/>
      <c r="K887" s="319"/>
      <c r="L887" s="612"/>
      <c r="M887" s="319"/>
      <c r="N887" s="571"/>
      <c r="O887" s="611"/>
      <c r="P887" s="571"/>
      <c r="Q887" s="611"/>
      <c r="R887" s="611"/>
      <c r="S887" s="319"/>
      <c r="T887" s="612"/>
      <c r="U887" s="319"/>
      <c r="V887" s="319"/>
      <c r="W887" s="319"/>
      <c r="X887" s="319"/>
      <c r="Y887" s="319"/>
      <c r="Z887" s="319"/>
      <c r="AA887" s="319"/>
      <c r="AB887" s="321"/>
      <c r="AC887" s="321"/>
      <c r="AD887" s="621"/>
      <c r="AE887" s="321"/>
      <c r="AF887" s="631"/>
      <c r="AG887" s="613"/>
      <c r="AH887" s="321"/>
      <c r="AI887" s="321"/>
      <c r="AJ887" s="321"/>
      <c r="AK887" s="321"/>
      <c r="AL887" s="321"/>
      <c r="AM887" s="319"/>
      <c r="AN887" s="319"/>
      <c r="AO887" s="319"/>
      <c r="AP887" s="319"/>
      <c r="AQ887" s="319"/>
      <c r="AR887" s="612"/>
      <c r="AS887" s="319"/>
      <c r="AT887" s="571"/>
      <c r="AU887" s="611"/>
      <c r="AV887" s="571"/>
      <c r="AW887" s="611"/>
      <c r="AX887" s="611"/>
      <c r="AY887" s="319"/>
      <c r="AZ887" s="612"/>
      <c r="BA887" s="319"/>
      <c r="BB887" s="319"/>
      <c r="BC887" s="319"/>
      <c r="BD887" s="319"/>
      <c r="BE887" s="319"/>
      <c r="BF887" s="321"/>
      <c r="BG887" s="321"/>
      <c r="BH887" s="321"/>
      <c r="BI887" s="321"/>
      <c r="BJ887" s="621"/>
      <c r="BK887" s="321"/>
      <c r="BL887" s="615"/>
      <c r="BM887" s="1"/>
      <c r="BN887" s="612"/>
      <c r="BO887" s="613"/>
      <c r="BP887" s="319"/>
      <c r="BQ887" s="319"/>
      <c r="BR887" s="319"/>
      <c r="BS887" s="319"/>
      <c r="BT887" s="319"/>
      <c r="BU887" s="321"/>
      <c r="BV887" s="319"/>
      <c r="BW887" s="319"/>
      <c r="BX887" s="319"/>
      <c r="BY887" s="612"/>
      <c r="BZ887" s="319"/>
      <c r="CA887" s="571"/>
      <c r="CB887" s="611"/>
      <c r="CC887" s="571"/>
      <c r="CD887" s="611"/>
      <c r="CE887" s="611"/>
      <c r="CF887" s="319"/>
      <c r="CG887" s="612"/>
      <c r="CH887" s="319"/>
      <c r="CI887" s="319"/>
      <c r="CJ887" s="319"/>
      <c r="CK887" s="319"/>
      <c r="CL887" s="319"/>
      <c r="CM887" s="319"/>
      <c r="CN887" s="319"/>
      <c r="CO887" s="321"/>
      <c r="CP887" s="321"/>
      <c r="CQ887" s="621"/>
      <c r="CR887" s="321"/>
      <c r="CS887" s="631"/>
    </row>
    <row r="888" spans="1:97">
      <c r="A888" s="321"/>
      <c r="B888" s="612"/>
      <c r="C888" s="321"/>
      <c r="D888" s="321"/>
      <c r="E888" s="319"/>
      <c r="F888" s="321"/>
      <c r="G888" s="319"/>
      <c r="H888" s="319"/>
      <c r="I888" s="319"/>
      <c r="J888" s="319"/>
      <c r="K888" s="319"/>
      <c r="L888" s="611"/>
      <c r="M888" s="319"/>
      <c r="N888" s="319"/>
      <c r="O888" s="319"/>
      <c r="P888" s="319"/>
      <c r="Q888" s="319"/>
      <c r="R888" s="319"/>
      <c r="S888" s="612"/>
      <c r="T888" s="621"/>
      <c r="U888" s="319"/>
      <c r="V888" s="319"/>
      <c r="W888" s="319"/>
      <c r="X888" s="319"/>
      <c r="Y888" s="321"/>
      <c r="Z888" s="319"/>
      <c r="AA888" s="321"/>
      <c r="AB888" s="321"/>
      <c r="AC888" s="321"/>
      <c r="AD888" s="621"/>
      <c r="AE888" s="321"/>
      <c r="AF888" s="631"/>
      <c r="AG888" s="321"/>
      <c r="AH888" s="321"/>
      <c r="AI888" s="321"/>
      <c r="AJ888" s="321"/>
      <c r="AK888" s="321"/>
      <c r="AL888" s="321"/>
      <c r="AM888" s="319"/>
      <c r="AN888" s="319"/>
      <c r="AO888" s="319"/>
      <c r="AP888" s="319"/>
      <c r="AQ888" s="319"/>
      <c r="AR888" s="611"/>
      <c r="AS888" s="319"/>
      <c r="AT888" s="319"/>
      <c r="AU888" s="319"/>
      <c r="AV888" s="319"/>
      <c r="AW888" s="319"/>
      <c r="AX888" s="319"/>
      <c r="AY888" s="612"/>
      <c r="AZ888" s="621"/>
      <c r="BA888" s="319"/>
      <c r="BB888" s="319"/>
      <c r="BC888" s="319"/>
      <c r="BD888" s="319"/>
      <c r="BE888" s="321"/>
      <c r="BF888" s="321"/>
      <c r="BG888" s="321"/>
      <c r="BH888" s="321"/>
      <c r="BI888" s="321"/>
      <c r="BJ888" s="621"/>
      <c r="BK888" s="321"/>
      <c r="BL888" s="615"/>
      <c r="BM888" s="1"/>
      <c r="BN888" s="321"/>
      <c r="BO888" s="612"/>
      <c r="BP888" s="321"/>
      <c r="BQ888" s="321"/>
      <c r="BR888" s="319"/>
      <c r="BS888" s="321"/>
      <c r="BT888" s="319"/>
      <c r="BU888" s="319"/>
      <c r="BV888" s="319"/>
      <c r="BW888" s="319"/>
      <c r="BX888" s="319"/>
      <c r="BY888" s="611"/>
      <c r="BZ888" s="319"/>
      <c r="CA888" s="319"/>
      <c r="CB888" s="319"/>
      <c r="CC888" s="319"/>
      <c r="CD888" s="319"/>
      <c r="CE888" s="319"/>
      <c r="CF888" s="612"/>
      <c r="CG888" s="621"/>
      <c r="CH888" s="319"/>
      <c r="CI888" s="319"/>
      <c r="CJ888" s="319"/>
      <c r="CK888" s="319"/>
      <c r="CL888" s="321"/>
      <c r="CM888" s="319"/>
      <c r="CN888" s="321"/>
      <c r="CO888" s="321"/>
      <c r="CP888" s="321"/>
      <c r="CQ888" s="621"/>
      <c r="CR888" s="321"/>
      <c r="CS888" s="631"/>
    </row>
    <row r="889" spans="1:97">
      <c r="A889" s="321"/>
      <c r="B889" s="321"/>
      <c r="C889" s="321"/>
      <c r="D889" s="321"/>
      <c r="E889" s="321"/>
      <c r="F889" s="321"/>
      <c r="G889" s="321"/>
      <c r="H889" s="321"/>
      <c r="I889" s="321"/>
      <c r="J889" s="321"/>
      <c r="K889" s="321"/>
      <c r="L889" s="321"/>
      <c r="M889" s="612"/>
      <c r="N889" s="321"/>
      <c r="O889" s="321"/>
      <c r="P889" s="611"/>
      <c r="Q889" s="611"/>
      <c r="R889" s="553"/>
      <c r="S889" s="613"/>
      <c r="T889" s="321"/>
      <c r="U889" s="321"/>
      <c r="V889" s="321"/>
      <c r="W889" s="321"/>
      <c r="X889" s="321"/>
      <c r="Y889" s="321"/>
      <c r="Z889" s="321"/>
      <c r="AA889" s="321"/>
      <c r="AB889" s="321"/>
      <c r="AC889" s="321"/>
      <c r="AD889" s="621"/>
      <c r="AE889" s="321"/>
      <c r="AF889" s="619"/>
      <c r="AG889" s="321"/>
      <c r="AH889" s="321"/>
      <c r="AI889" s="321"/>
      <c r="AJ889" s="321"/>
      <c r="AK889" s="321"/>
      <c r="AL889" s="321"/>
      <c r="AM889" s="321"/>
      <c r="AN889" s="321"/>
      <c r="AO889" s="321"/>
      <c r="AP889" s="321"/>
      <c r="AQ889" s="321"/>
      <c r="AR889" s="321"/>
      <c r="AS889" s="612"/>
      <c r="AT889" s="321"/>
      <c r="AU889" s="321"/>
      <c r="AV889" s="611"/>
      <c r="AW889" s="611"/>
      <c r="AX889" s="553"/>
      <c r="AY889" s="613"/>
      <c r="AZ889" s="321"/>
      <c r="BA889" s="321"/>
      <c r="BB889" s="321"/>
      <c r="BC889" s="321"/>
      <c r="BD889" s="321"/>
      <c r="BE889" s="321"/>
      <c r="BF889" s="321"/>
      <c r="BG889" s="321"/>
      <c r="BH889" s="321"/>
      <c r="BI889" s="321"/>
      <c r="BJ889" s="621"/>
      <c r="BK889" s="321"/>
      <c r="BL889" s="620"/>
      <c r="BM889" s="1"/>
      <c r="BN889" s="321"/>
      <c r="BO889" s="321"/>
      <c r="BP889" s="321"/>
      <c r="BQ889" s="321"/>
      <c r="BR889" s="321"/>
      <c r="BS889" s="321"/>
      <c r="BT889" s="321"/>
      <c r="BU889" s="321"/>
      <c r="BV889" s="321"/>
      <c r="BW889" s="321"/>
      <c r="BX889" s="321"/>
      <c r="BY889" s="321"/>
      <c r="BZ889" s="612"/>
      <c r="CA889" s="321"/>
      <c r="CB889" s="321"/>
      <c r="CC889" s="611"/>
      <c r="CD889" s="611"/>
      <c r="CE889" s="553"/>
      <c r="CF889" s="613"/>
      <c r="CG889" s="321"/>
      <c r="CH889" s="321"/>
      <c r="CI889" s="321"/>
      <c r="CJ889" s="321"/>
      <c r="CK889" s="321"/>
      <c r="CL889" s="321"/>
      <c r="CM889" s="321"/>
      <c r="CN889" s="321"/>
      <c r="CO889" s="321"/>
      <c r="CP889" s="321"/>
      <c r="CQ889" s="621"/>
      <c r="CR889" s="321"/>
      <c r="CS889" s="619"/>
    </row>
    <row r="890" spans="1:97">
      <c r="A890" s="612"/>
      <c r="B890" s="321"/>
      <c r="C890" s="321"/>
      <c r="D890" s="321"/>
      <c r="E890" s="321"/>
      <c r="F890" s="321"/>
      <c r="G890" s="321"/>
      <c r="H890" s="321"/>
      <c r="I890" s="321"/>
      <c r="J890" s="321"/>
      <c r="K890" s="321"/>
      <c r="L890" s="321"/>
      <c r="M890" s="321"/>
      <c r="N890" s="612"/>
      <c r="O890" s="612"/>
      <c r="P890" s="612"/>
      <c r="Q890" s="612"/>
      <c r="R890" s="613"/>
      <c r="S890" s="321"/>
      <c r="T890" s="321"/>
      <c r="U890" s="321"/>
      <c r="V890" s="321"/>
      <c r="W890" s="321"/>
      <c r="X890" s="321"/>
      <c r="Y890" s="319"/>
      <c r="Z890" s="321"/>
      <c r="AA890" s="321"/>
      <c r="AB890" s="321"/>
      <c r="AC890" s="321"/>
      <c r="AD890" s="621"/>
      <c r="AE890" s="321"/>
      <c r="AF890" s="614"/>
      <c r="AG890" s="321"/>
      <c r="AH890" s="321"/>
      <c r="AI890" s="321"/>
      <c r="AJ890" s="321"/>
      <c r="AK890" s="321"/>
      <c r="AL890" s="321"/>
      <c r="AM890" s="321"/>
      <c r="AN890" s="321"/>
      <c r="AO890" s="321"/>
      <c r="AP890" s="321"/>
      <c r="AQ890" s="321"/>
      <c r="AR890" s="321"/>
      <c r="AS890" s="321"/>
      <c r="AT890" s="612"/>
      <c r="AU890" s="612"/>
      <c r="AV890" s="612"/>
      <c r="AW890" s="612"/>
      <c r="AX890" s="613"/>
      <c r="AY890" s="321"/>
      <c r="AZ890" s="321"/>
      <c r="BA890" s="321"/>
      <c r="BB890" s="321"/>
      <c r="BC890" s="321"/>
      <c r="BD890" s="321"/>
      <c r="BE890" s="613"/>
      <c r="BF890" s="321"/>
      <c r="BG890" s="321"/>
      <c r="BH890" s="321"/>
      <c r="BI890" s="321"/>
      <c r="BJ890" s="621"/>
      <c r="BK890" s="321"/>
      <c r="BL890" s="615"/>
      <c r="BM890" s="1"/>
      <c r="BN890" s="612"/>
      <c r="BO890" s="321"/>
      <c r="BP890" s="321"/>
      <c r="BQ890" s="321"/>
      <c r="BR890" s="321"/>
      <c r="BS890" s="321"/>
      <c r="BT890" s="321"/>
      <c r="BU890" s="321"/>
      <c r="BV890" s="321"/>
      <c r="BW890" s="321"/>
      <c r="BX890" s="321"/>
      <c r="BY890" s="321"/>
      <c r="BZ890" s="321"/>
      <c r="CA890" s="612"/>
      <c r="CB890" s="612"/>
      <c r="CC890" s="612"/>
      <c r="CD890" s="612"/>
      <c r="CE890" s="613"/>
      <c r="CF890" s="321"/>
      <c r="CG890" s="321"/>
      <c r="CH890" s="321"/>
      <c r="CI890" s="321"/>
      <c r="CJ890" s="321"/>
      <c r="CK890" s="321"/>
      <c r="CL890" s="319"/>
      <c r="CM890" s="321"/>
      <c r="CN890" s="321"/>
      <c r="CO890" s="321"/>
      <c r="CP890" s="321"/>
      <c r="CQ890" s="621"/>
      <c r="CR890" s="321"/>
      <c r="CS890" s="614"/>
    </row>
    <row r="891" spans="1:97">
      <c r="A891" s="621"/>
      <c r="B891" s="321"/>
      <c r="C891" s="321"/>
      <c r="D891" s="321"/>
      <c r="E891" s="321"/>
      <c r="F891" s="321"/>
      <c r="G891" s="321"/>
      <c r="H891" s="321"/>
      <c r="I891" s="321"/>
      <c r="J891" s="321"/>
      <c r="K891" s="321"/>
      <c r="L891" s="321"/>
      <c r="M891" s="321"/>
      <c r="N891" s="321"/>
      <c r="O891" s="321"/>
      <c r="P891" s="321"/>
      <c r="Q891" s="321"/>
      <c r="R891" s="321"/>
      <c r="S891" s="321"/>
      <c r="T891" s="321"/>
      <c r="U891" s="321"/>
      <c r="V891" s="321"/>
      <c r="W891" s="321"/>
      <c r="X891" s="319"/>
      <c r="Y891" s="321"/>
      <c r="Z891" s="321"/>
      <c r="AA891" s="321"/>
      <c r="AB891" s="321"/>
      <c r="AC891" s="321"/>
      <c r="AD891" s="631"/>
      <c r="AE891" s="321"/>
      <c r="AF891" s="631"/>
      <c r="AG891" s="321"/>
      <c r="AH891" s="321"/>
      <c r="AI891" s="321"/>
      <c r="AJ891" s="321"/>
      <c r="AK891" s="321"/>
      <c r="AL891" s="321"/>
      <c r="AM891" s="321"/>
      <c r="AN891" s="321"/>
      <c r="AO891" s="321"/>
      <c r="AP891" s="321"/>
      <c r="AQ891" s="321"/>
      <c r="AR891" s="321"/>
      <c r="AS891" s="321"/>
      <c r="AT891" s="321"/>
      <c r="AU891" s="321"/>
      <c r="AV891" s="321"/>
      <c r="AW891" s="321"/>
      <c r="AX891" s="321"/>
      <c r="AY891" s="321"/>
      <c r="AZ891" s="321"/>
      <c r="BA891" s="321"/>
      <c r="BB891" s="321"/>
      <c r="BC891" s="321"/>
      <c r="BD891" s="321"/>
      <c r="BE891" s="321"/>
      <c r="BF891" s="321"/>
      <c r="BG891" s="321"/>
      <c r="BH891" s="321"/>
      <c r="BI891" s="321"/>
      <c r="BJ891" s="621"/>
      <c r="BK891" s="321"/>
      <c r="BL891" s="620"/>
      <c r="BM891" s="1"/>
      <c r="BN891" s="621"/>
      <c r="BO891" s="321"/>
      <c r="BP891" s="321"/>
      <c r="BQ891" s="321"/>
      <c r="BR891" s="321"/>
      <c r="BS891" s="321"/>
      <c r="BT891" s="321"/>
      <c r="BU891" s="321"/>
      <c r="BV891" s="321"/>
      <c r="BW891" s="321"/>
      <c r="BX891" s="321"/>
      <c r="BY891" s="321"/>
      <c r="BZ891" s="321"/>
      <c r="CA891" s="321"/>
      <c r="CB891" s="321"/>
      <c r="CC891" s="321"/>
      <c r="CD891" s="321"/>
      <c r="CE891" s="321"/>
      <c r="CF891" s="321"/>
      <c r="CG891" s="321"/>
      <c r="CH891" s="321"/>
      <c r="CI891" s="321"/>
      <c r="CJ891" s="321"/>
      <c r="CK891" s="319"/>
      <c r="CL891" s="321"/>
      <c r="CM891" s="321"/>
      <c r="CN891" s="321"/>
      <c r="CO891" s="321"/>
      <c r="CP891" s="321"/>
      <c r="CQ891" s="631"/>
      <c r="CR891" s="321"/>
      <c r="CS891" s="631"/>
    </row>
    <row r="892" spans="1:97">
      <c r="A892" s="621"/>
      <c r="B892" s="321"/>
      <c r="C892" s="321"/>
      <c r="D892" s="319"/>
      <c r="E892" s="631"/>
      <c r="F892" s="321"/>
      <c r="G892" s="321"/>
      <c r="H892" s="611"/>
      <c r="I892" s="319"/>
      <c r="J892" s="321"/>
      <c r="K892" s="321"/>
      <c r="L892" s="321"/>
      <c r="M892" s="321"/>
      <c r="N892" s="321"/>
      <c r="O892" s="321"/>
      <c r="P892" s="321"/>
      <c r="Q892" s="321"/>
      <c r="R892" s="321"/>
      <c r="S892" s="321"/>
      <c r="T892" s="321"/>
      <c r="U892" s="319"/>
      <c r="V892" s="319"/>
      <c r="W892" s="319"/>
      <c r="X892" s="319"/>
      <c r="Y892" s="321"/>
      <c r="Z892" s="321"/>
      <c r="AA892" s="321"/>
      <c r="AB892" s="621"/>
      <c r="AC892" s="621"/>
      <c r="AD892" s="621"/>
      <c r="AE892" s="321"/>
      <c r="AF892" s="631"/>
      <c r="AG892" s="321"/>
      <c r="AH892" s="321"/>
      <c r="AI892" s="321"/>
      <c r="AJ892" s="621"/>
      <c r="AK892" s="612"/>
      <c r="AL892" s="321"/>
      <c r="AM892" s="321"/>
      <c r="AN892" s="621"/>
      <c r="AO892" s="321"/>
      <c r="AP892" s="321"/>
      <c r="AQ892" s="321"/>
      <c r="AR892" s="321"/>
      <c r="AS892" s="321"/>
      <c r="AT892" s="321"/>
      <c r="AU892" s="321"/>
      <c r="AV892" s="321"/>
      <c r="AW892" s="321"/>
      <c r="AX892" s="321"/>
      <c r="AY892" s="321"/>
      <c r="AZ892" s="321"/>
      <c r="BA892" s="319"/>
      <c r="BB892" s="319"/>
      <c r="BC892" s="319"/>
      <c r="BD892" s="319"/>
      <c r="BE892" s="321"/>
      <c r="BF892" s="321"/>
      <c r="BG892" s="321"/>
      <c r="BH892" s="621"/>
      <c r="BI892" s="621"/>
      <c r="BJ892" s="621"/>
      <c r="BK892" s="321"/>
      <c r="BL892" s="620"/>
      <c r="BM892" s="1"/>
      <c r="BN892" s="621"/>
      <c r="BO892" s="321"/>
      <c r="BP892" s="321"/>
      <c r="BQ892" s="319"/>
      <c r="BR892" s="631"/>
      <c r="BS892" s="321"/>
      <c r="BT892" s="321"/>
      <c r="BU892" s="611"/>
      <c r="BV892" s="319"/>
      <c r="BW892" s="321"/>
      <c r="BX892" s="321"/>
      <c r="BY892" s="321"/>
      <c r="BZ892" s="321"/>
      <c r="CA892" s="321"/>
      <c r="CB892" s="321"/>
      <c r="CC892" s="321"/>
      <c r="CD892" s="321"/>
      <c r="CE892" s="321"/>
      <c r="CF892" s="321"/>
      <c r="CG892" s="321"/>
      <c r="CH892" s="319"/>
      <c r="CI892" s="319"/>
      <c r="CJ892" s="319"/>
      <c r="CK892" s="319"/>
      <c r="CL892" s="321"/>
      <c r="CM892" s="321"/>
      <c r="CN892" s="321"/>
      <c r="CO892" s="621"/>
      <c r="CP892" s="621"/>
      <c r="CQ892" s="621"/>
      <c r="CR892" s="321"/>
      <c r="CS892" s="631"/>
    </row>
    <row r="893" spans="1:97">
      <c r="A893" s="621"/>
      <c r="B893" s="321"/>
      <c r="C893" s="321"/>
      <c r="D893" s="621"/>
      <c r="E893" s="621"/>
      <c r="F893" s="321"/>
      <c r="G893" s="321"/>
      <c r="H893" s="321"/>
      <c r="I893" s="321"/>
      <c r="J893" s="321"/>
      <c r="K893" s="321"/>
      <c r="L893" s="321"/>
      <c r="M893" s="321"/>
      <c r="N893" s="321"/>
      <c r="O893" s="321"/>
      <c r="P893" s="321"/>
      <c r="Q893" s="321"/>
      <c r="R893" s="321"/>
      <c r="S893" s="321"/>
      <c r="T893" s="321"/>
      <c r="U893" s="319"/>
      <c r="V893" s="319"/>
      <c r="W893" s="319"/>
      <c r="X893" s="319"/>
      <c r="Y893" s="319"/>
      <c r="Z893" s="321"/>
      <c r="AA893" s="321"/>
      <c r="AB893" s="612"/>
      <c r="AC893" s="621"/>
      <c r="AD893" s="321"/>
      <c r="AE893" s="321"/>
      <c r="AF893" s="631"/>
      <c r="AG893" s="611"/>
      <c r="AH893" s="321"/>
      <c r="AI893" s="321"/>
      <c r="AJ893" s="613"/>
      <c r="AK893" s="621"/>
      <c r="AL893" s="321"/>
      <c r="AM893" s="321"/>
      <c r="AN893" s="321"/>
      <c r="AO893" s="321"/>
      <c r="AP893" s="321"/>
      <c r="AQ893" s="321"/>
      <c r="AR893" s="321"/>
      <c r="AS893" s="321"/>
      <c r="AT893" s="321"/>
      <c r="AU893" s="321"/>
      <c r="AV893" s="321"/>
      <c r="AW893" s="321"/>
      <c r="AX893" s="321"/>
      <c r="AY893" s="321"/>
      <c r="AZ893" s="321"/>
      <c r="BA893" s="319"/>
      <c r="BB893" s="319"/>
      <c r="BC893" s="319"/>
      <c r="BD893" s="613"/>
      <c r="BE893" s="321"/>
      <c r="BF893" s="321"/>
      <c r="BG893" s="321"/>
      <c r="BH893" s="612"/>
      <c r="BI893" s="621"/>
      <c r="BJ893" s="321"/>
      <c r="BK893" s="321"/>
      <c r="BL893" s="623"/>
      <c r="BM893" s="1"/>
      <c r="BN893" s="621"/>
      <c r="BO893" s="321"/>
      <c r="BP893" s="321"/>
      <c r="BQ893" s="621"/>
      <c r="BR893" s="621"/>
      <c r="BS893" s="321"/>
      <c r="BT893" s="321"/>
      <c r="BU893" s="321"/>
      <c r="BV893" s="321"/>
      <c r="BW893" s="321"/>
      <c r="BX893" s="321"/>
      <c r="BY893" s="321"/>
      <c r="BZ893" s="321"/>
      <c r="CA893" s="321"/>
      <c r="CB893" s="321"/>
      <c r="CC893" s="321"/>
      <c r="CD893" s="321"/>
      <c r="CE893" s="321"/>
      <c r="CF893" s="321"/>
      <c r="CG893" s="321"/>
      <c r="CH893" s="319"/>
      <c r="CI893" s="319"/>
      <c r="CJ893" s="319"/>
      <c r="CK893" s="319"/>
      <c r="CL893" s="319"/>
      <c r="CM893" s="321"/>
      <c r="CN893" s="321"/>
      <c r="CO893" s="612"/>
      <c r="CP893" s="621"/>
      <c r="CQ893" s="321"/>
      <c r="CR893" s="321"/>
      <c r="CS893" s="631"/>
    </row>
    <row r="894" spans="1:97">
      <c r="A894" s="621"/>
      <c r="B894" s="321"/>
      <c r="C894" s="321"/>
      <c r="D894" s="321"/>
      <c r="E894" s="321"/>
      <c r="F894" s="321"/>
      <c r="G894" s="321"/>
      <c r="H894" s="612"/>
      <c r="I894" s="321"/>
      <c r="J894" s="321"/>
      <c r="K894" s="321"/>
      <c r="L894" s="612"/>
      <c r="M894" s="321"/>
      <c r="N894" s="321"/>
      <c r="O894" s="321"/>
      <c r="P894" s="321"/>
      <c r="Q894" s="321"/>
      <c r="R894" s="321"/>
      <c r="S894" s="321"/>
      <c r="T894" s="321"/>
      <c r="U894" s="319"/>
      <c r="V894" s="319"/>
      <c r="W894" s="319"/>
      <c r="X894" s="319"/>
      <c r="Y894" s="621"/>
      <c r="Z894" s="321"/>
      <c r="AA894" s="321"/>
      <c r="AB894" s="321"/>
      <c r="AC894" s="321"/>
      <c r="AD894" s="319"/>
      <c r="AE894" s="631"/>
      <c r="AF894" s="631"/>
      <c r="AG894" s="613"/>
      <c r="AH894" s="321"/>
      <c r="AI894" s="321"/>
      <c r="AJ894" s="321"/>
      <c r="AK894" s="321"/>
      <c r="AL894" s="321"/>
      <c r="AM894" s="321"/>
      <c r="AN894" s="321"/>
      <c r="AO894" s="321"/>
      <c r="AP894" s="321"/>
      <c r="AQ894" s="321"/>
      <c r="AR894" s="612"/>
      <c r="AS894" s="321"/>
      <c r="AT894" s="321"/>
      <c r="AU894" s="321"/>
      <c r="AV894" s="321"/>
      <c r="AW894" s="321"/>
      <c r="AX894" s="321"/>
      <c r="AY894" s="321"/>
      <c r="AZ894" s="321"/>
      <c r="BA894" s="319"/>
      <c r="BB894" s="319"/>
      <c r="BC894" s="319"/>
      <c r="BD894" s="319"/>
      <c r="BE894" s="321"/>
      <c r="BF894" s="321"/>
      <c r="BG894" s="321"/>
      <c r="BH894" s="321"/>
      <c r="BI894" s="321"/>
      <c r="BJ894" s="321"/>
      <c r="BK894" s="321"/>
      <c r="BL894" s="624"/>
      <c r="BM894" s="1"/>
      <c r="BN894" s="621"/>
      <c r="BO894" s="321"/>
      <c r="BP894" s="321"/>
      <c r="BQ894" s="321"/>
      <c r="BR894" s="321"/>
      <c r="BS894" s="321"/>
      <c r="BT894" s="321"/>
      <c r="BU894" s="612"/>
      <c r="BV894" s="321"/>
      <c r="BW894" s="321"/>
      <c r="BX894" s="321"/>
      <c r="BY894" s="612"/>
      <c r="BZ894" s="321"/>
      <c r="CA894" s="321"/>
      <c r="CB894" s="321"/>
      <c r="CC894" s="321"/>
      <c r="CD894" s="321"/>
      <c r="CE894" s="321"/>
      <c r="CF894" s="321"/>
      <c r="CG894" s="321"/>
      <c r="CH894" s="319"/>
      <c r="CI894" s="319"/>
      <c r="CJ894" s="319"/>
      <c r="CK894" s="319"/>
      <c r="CL894" s="621"/>
      <c r="CM894" s="321"/>
      <c r="CN894" s="321"/>
      <c r="CO894" s="321"/>
      <c r="CP894" s="321"/>
      <c r="CQ894" s="319"/>
      <c r="CR894" s="631"/>
      <c r="CS894" s="631"/>
    </row>
    <row r="895" spans="1:97">
      <c r="A895" s="621"/>
      <c r="B895" s="321"/>
      <c r="C895" s="321"/>
      <c r="D895" s="321"/>
      <c r="E895" s="321"/>
      <c r="F895" s="321"/>
      <c r="G895" s="321"/>
      <c r="H895" s="321"/>
      <c r="I895" s="321"/>
      <c r="J895" s="321"/>
      <c r="K895" s="321"/>
      <c r="L895" s="321"/>
      <c r="M895" s="321"/>
      <c r="N895" s="321"/>
      <c r="O895" s="321"/>
      <c r="P895" s="612"/>
      <c r="Q895" s="321"/>
      <c r="R895" s="321"/>
      <c r="S895" s="321"/>
      <c r="T895" s="321"/>
      <c r="U895" s="319"/>
      <c r="V895" s="319"/>
      <c r="W895" s="319"/>
      <c r="X895" s="621"/>
      <c r="Y895" s="319"/>
      <c r="Z895" s="321"/>
      <c r="AA895" s="321"/>
      <c r="AB895" s="321"/>
      <c r="AC895" s="621"/>
      <c r="AD895" s="621"/>
      <c r="AE895" s="319"/>
      <c r="AF895" s="631"/>
      <c r="AG895" s="321"/>
      <c r="AH895" s="321"/>
      <c r="AI895" s="321"/>
      <c r="AJ895" s="321"/>
      <c r="AK895" s="321"/>
      <c r="AL895" s="321"/>
      <c r="AM895" s="321"/>
      <c r="AN895" s="321"/>
      <c r="AO895" s="321"/>
      <c r="AP895" s="321"/>
      <c r="AQ895" s="321"/>
      <c r="AR895" s="321"/>
      <c r="AS895" s="321"/>
      <c r="AT895" s="321"/>
      <c r="AU895" s="321"/>
      <c r="AV895" s="612"/>
      <c r="AW895" s="321"/>
      <c r="AX895" s="321"/>
      <c r="AY895" s="321"/>
      <c r="AZ895" s="321"/>
      <c r="BA895" s="319"/>
      <c r="BB895" s="319"/>
      <c r="BC895" s="319"/>
      <c r="BD895" s="612"/>
      <c r="BE895" s="321"/>
      <c r="BF895" s="321"/>
      <c r="BG895" s="321"/>
      <c r="BH895" s="321"/>
      <c r="BI895" s="571"/>
      <c r="BJ895" s="321"/>
      <c r="BK895" s="321"/>
      <c r="BL895" s="617"/>
      <c r="BM895" s="1"/>
      <c r="BN895" s="621"/>
      <c r="BO895" s="321"/>
      <c r="BP895" s="321"/>
      <c r="BQ895" s="321"/>
      <c r="BR895" s="321"/>
      <c r="BS895" s="321"/>
      <c r="BT895" s="321"/>
      <c r="BU895" s="321"/>
      <c r="BV895" s="321"/>
      <c r="BW895" s="321"/>
      <c r="BX895" s="321"/>
      <c r="BY895" s="321"/>
      <c r="BZ895" s="321"/>
      <c r="CA895" s="321"/>
      <c r="CB895" s="321"/>
      <c r="CC895" s="612"/>
      <c r="CD895" s="321"/>
      <c r="CE895" s="321"/>
      <c r="CF895" s="321"/>
      <c r="CG895" s="321"/>
      <c r="CH895" s="319"/>
      <c r="CI895" s="319"/>
      <c r="CJ895" s="319"/>
      <c r="CK895" s="621"/>
      <c r="CL895" s="319"/>
      <c r="CM895" s="321"/>
      <c r="CN895" s="321"/>
      <c r="CO895" s="321"/>
      <c r="CP895" s="621"/>
      <c r="CQ895" s="621"/>
      <c r="CR895" s="319"/>
      <c r="CS895" s="631"/>
    </row>
    <row r="896" spans="1:97">
      <c r="A896" s="625"/>
      <c r="B896" s="633"/>
      <c r="C896" s="633"/>
      <c r="D896" s="633"/>
      <c r="E896" s="569"/>
      <c r="F896" s="633"/>
      <c r="G896" s="633"/>
      <c r="H896" s="633"/>
      <c r="I896" s="633"/>
      <c r="J896" s="625"/>
      <c r="K896" s="569"/>
      <c r="L896" s="626"/>
      <c r="M896" s="569"/>
      <c r="N896" s="569"/>
      <c r="O896" s="569"/>
      <c r="P896" s="626"/>
      <c r="Q896" s="626"/>
      <c r="R896" s="569"/>
      <c r="S896" s="569"/>
      <c r="T896" s="625"/>
      <c r="U896" s="627"/>
      <c r="V896" s="625"/>
      <c r="W896" s="627"/>
      <c r="X896" s="633"/>
      <c r="Y896" s="633"/>
      <c r="Z896" s="569"/>
      <c r="AA896" s="633"/>
      <c r="AB896" s="633"/>
      <c r="AC896" s="625"/>
      <c r="AD896" s="625"/>
      <c r="AE896" s="625"/>
      <c r="AF896" s="633"/>
      <c r="AG896" s="569"/>
      <c r="AH896" s="626"/>
      <c r="AI896" s="569"/>
      <c r="AJ896" s="569"/>
      <c r="AK896" s="569"/>
      <c r="AL896" s="626"/>
      <c r="AM896" s="569"/>
      <c r="AN896" s="625"/>
      <c r="AO896" s="626"/>
      <c r="AP896" s="625"/>
      <c r="AQ896" s="569"/>
      <c r="AR896" s="626"/>
      <c r="AS896" s="569"/>
      <c r="AT896" s="569"/>
      <c r="AU896" s="569"/>
      <c r="AV896" s="626"/>
      <c r="AW896" s="626"/>
      <c r="AX896" s="569"/>
      <c r="AY896" s="569"/>
      <c r="AZ896" s="625"/>
      <c r="BA896" s="627"/>
      <c r="BB896" s="625"/>
      <c r="BC896" s="627"/>
      <c r="BD896" s="625"/>
      <c r="BE896" s="569"/>
      <c r="BF896" s="569"/>
      <c r="BG896" s="625"/>
      <c r="BH896" s="628"/>
      <c r="BI896" s="626"/>
      <c r="BJ896" s="569"/>
      <c r="BK896" s="626"/>
      <c r="BL896" s="629"/>
      <c r="BM896" s="176"/>
      <c r="BN896" s="625"/>
      <c r="BO896" s="633"/>
      <c r="BP896" s="633"/>
      <c r="BQ896" s="633"/>
      <c r="BR896" s="569"/>
      <c r="BS896" s="633"/>
      <c r="BT896" s="633"/>
      <c r="BU896" s="633"/>
      <c r="BV896" s="633"/>
      <c r="BW896" s="625"/>
      <c r="BX896" s="569"/>
      <c r="BY896" s="626"/>
      <c r="BZ896" s="569"/>
      <c r="CA896" s="569"/>
      <c r="CB896" s="569"/>
      <c r="CC896" s="626"/>
      <c r="CD896" s="626"/>
      <c r="CE896" s="569"/>
      <c r="CF896" s="569"/>
      <c r="CG896" s="625"/>
      <c r="CH896" s="627"/>
      <c r="CI896" s="625"/>
      <c r="CJ896" s="627"/>
      <c r="CK896" s="633"/>
      <c r="CL896" s="633"/>
      <c r="CM896" s="569"/>
      <c r="CN896" s="633"/>
      <c r="CO896" s="633"/>
      <c r="CP896" s="625"/>
      <c r="CQ896" s="625"/>
      <c r="CR896" s="625"/>
      <c r="CS896" s="633"/>
    </row>
    <row r="897" spans="1:97">
      <c r="A897" s="571"/>
      <c r="B897" s="611"/>
      <c r="C897" s="319"/>
      <c r="D897" s="611"/>
      <c r="E897" s="612"/>
      <c r="F897" s="611"/>
      <c r="G897" s="611"/>
      <c r="H897" s="319"/>
      <c r="I897" s="319"/>
      <c r="J897" s="319"/>
      <c r="K897" s="319"/>
      <c r="L897" s="571"/>
      <c r="M897" s="319"/>
      <c r="N897" s="613"/>
      <c r="O897" s="611"/>
      <c r="P897" s="571"/>
      <c r="Q897" s="319"/>
      <c r="R897" s="319"/>
      <c r="S897" s="319"/>
      <c r="T897" s="553"/>
      <c r="U897" s="553"/>
      <c r="V897" s="612"/>
      <c r="W897" s="611"/>
      <c r="X897" s="319"/>
      <c r="Y897" s="571"/>
      <c r="Z897" s="319"/>
      <c r="AA897" s="319"/>
      <c r="AB897" s="571"/>
      <c r="AC897" s="571"/>
      <c r="AD897" s="319"/>
      <c r="AE897" s="319"/>
      <c r="AF897" s="615"/>
      <c r="AG897" s="571"/>
      <c r="AH897" s="319"/>
      <c r="AI897" s="553"/>
      <c r="AJ897" s="630"/>
      <c r="AK897" s="553"/>
      <c r="AL897" s="319"/>
      <c r="AM897" s="319"/>
      <c r="AN897" s="553"/>
      <c r="AO897" s="630"/>
      <c r="AP897" s="553"/>
      <c r="AQ897" s="630"/>
      <c r="AR897" s="571"/>
      <c r="AS897" s="319"/>
      <c r="AT897" s="553"/>
      <c r="AU897" s="630"/>
      <c r="AV897" s="571"/>
      <c r="AW897" s="319"/>
      <c r="AX897" s="319"/>
      <c r="AY897" s="319"/>
      <c r="AZ897" s="553"/>
      <c r="BA897" s="553"/>
      <c r="BB897" s="612"/>
      <c r="BC897" s="630"/>
      <c r="BD897" s="553"/>
      <c r="BE897" s="630"/>
      <c r="BF897" s="319"/>
      <c r="BG897" s="319"/>
      <c r="BH897" s="630"/>
      <c r="BI897" s="631"/>
      <c r="BJ897" s="631"/>
      <c r="BK897" s="319"/>
      <c r="BL897" s="631"/>
      <c r="BM897" s="293">
        <v>29</v>
      </c>
      <c r="BN897" s="571"/>
      <c r="BO897" s="611"/>
      <c r="BP897" s="319"/>
      <c r="BQ897" s="611"/>
      <c r="BR897" s="612"/>
      <c r="BS897" s="611"/>
      <c r="BT897" s="611"/>
      <c r="BU897" s="319"/>
      <c r="BV897" s="319"/>
      <c r="BW897" s="319"/>
      <c r="BX897" s="319"/>
      <c r="BY897" s="571"/>
      <c r="BZ897" s="319"/>
      <c r="CA897" s="613"/>
      <c r="CB897" s="611"/>
      <c r="CC897" s="571"/>
      <c r="CD897" s="319"/>
      <c r="CE897" s="319"/>
      <c r="CF897" s="319"/>
      <c r="CG897" s="553"/>
      <c r="CH897" s="553"/>
      <c r="CI897" s="612"/>
      <c r="CJ897" s="611"/>
      <c r="CK897" s="319"/>
      <c r="CL897" s="571"/>
      <c r="CM897" s="319"/>
      <c r="CN897" s="319"/>
      <c r="CO897" s="571"/>
      <c r="CP897" s="571"/>
      <c r="CQ897" s="319"/>
      <c r="CR897" s="319"/>
      <c r="CS897" s="615"/>
    </row>
    <row r="898" spans="1:97">
      <c r="A898" s="319"/>
      <c r="B898" s="611"/>
      <c r="C898" s="319"/>
      <c r="D898" s="319"/>
      <c r="E898" s="319"/>
      <c r="F898" s="319"/>
      <c r="G898" s="319"/>
      <c r="H898" s="319"/>
      <c r="I898" s="319"/>
      <c r="J898" s="319"/>
      <c r="K898" s="319"/>
      <c r="L898" s="319"/>
      <c r="M898" s="319"/>
      <c r="N898" s="319"/>
      <c r="O898" s="319"/>
      <c r="P898" s="319"/>
      <c r="Q898" s="319"/>
      <c r="R898" s="319"/>
      <c r="S898" s="319"/>
      <c r="T898" s="319"/>
      <c r="U898" s="319"/>
      <c r="V898" s="319"/>
      <c r="W898" s="319"/>
      <c r="X898" s="319"/>
      <c r="Y898" s="319"/>
      <c r="Z898" s="319"/>
      <c r="AA898" s="319"/>
      <c r="AB898" s="319"/>
      <c r="AC898" s="319"/>
      <c r="AD898" s="319"/>
      <c r="AE898" s="319"/>
      <c r="AF898" s="615"/>
      <c r="AG898" s="319"/>
      <c r="AH898" s="613"/>
      <c r="AI898" s="613"/>
      <c r="AJ898" s="319"/>
      <c r="AK898" s="613"/>
      <c r="AL898" s="319"/>
      <c r="AM898" s="319"/>
      <c r="AN898" s="319"/>
      <c r="AO898" s="319"/>
      <c r="AP898" s="319"/>
      <c r="AQ898" s="319"/>
      <c r="AR898" s="319"/>
      <c r="AS898" s="571"/>
      <c r="AT898" s="319"/>
      <c r="AU898" s="319"/>
      <c r="AV898" s="319"/>
      <c r="AW898" s="319"/>
      <c r="AX898" s="319"/>
      <c r="AY898" s="319"/>
      <c r="AZ898" s="319"/>
      <c r="BA898" s="319"/>
      <c r="BB898" s="319"/>
      <c r="BC898" s="611"/>
      <c r="BD898" s="319"/>
      <c r="BE898" s="319"/>
      <c r="BF898" s="319"/>
      <c r="BG898" s="596"/>
      <c r="BH898" s="319"/>
      <c r="BI898" s="319"/>
      <c r="BJ898" s="319"/>
      <c r="BK898" s="319"/>
      <c r="BL898" s="631"/>
      <c r="BM898" s="161"/>
      <c r="BN898" s="319"/>
      <c r="BO898" s="611"/>
      <c r="BP898" s="319"/>
      <c r="BQ898" s="319"/>
      <c r="BR898" s="319"/>
      <c r="BS898" s="319"/>
      <c r="BT898" s="319"/>
      <c r="BU898" s="319"/>
      <c r="BV898" s="319"/>
      <c r="BW898" s="319"/>
      <c r="BX898" s="319"/>
      <c r="BY898" s="319"/>
      <c r="BZ898" s="319"/>
      <c r="CA898" s="319"/>
      <c r="CB898" s="319"/>
      <c r="CC898" s="319"/>
      <c r="CD898" s="319"/>
      <c r="CE898" s="319"/>
      <c r="CF898" s="319"/>
      <c r="CG898" s="319"/>
      <c r="CH898" s="319"/>
      <c r="CI898" s="319"/>
      <c r="CJ898" s="319"/>
      <c r="CK898" s="319"/>
      <c r="CL898" s="319"/>
      <c r="CM898" s="319"/>
      <c r="CN898" s="319"/>
      <c r="CO898" s="319"/>
      <c r="CP898" s="319"/>
      <c r="CQ898" s="319"/>
      <c r="CR898" s="319"/>
      <c r="CS898" s="615"/>
    </row>
    <row r="899" spans="1:97">
      <c r="A899" s="611"/>
      <c r="B899" s="319"/>
      <c r="C899" s="319"/>
      <c r="D899" s="319"/>
      <c r="E899" s="319"/>
      <c r="F899" s="319"/>
      <c r="G899" s="319"/>
      <c r="H899" s="319"/>
      <c r="I899" s="319"/>
      <c r="J899" s="571"/>
      <c r="K899" s="319"/>
      <c r="L899" s="319"/>
      <c r="M899" s="319"/>
      <c r="N899" s="319"/>
      <c r="O899" s="319"/>
      <c r="P899" s="319"/>
      <c r="Q899" s="319"/>
      <c r="R899" s="319"/>
      <c r="S899" s="319"/>
      <c r="T899" s="319"/>
      <c r="U899" s="319"/>
      <c r="V899" s="319"/>
      <c r="W899" s="571"/>
      <c r="X899" s="319"/>
      <c r="Y899" s="319"/>
      <c r="Z899" s="630"/>
      <c r="AA899" s="319"/>
      <c r="AB899" s="319"/>
      <c r="AC899" s="319"/>
      <c r="AD899" s="319"/>
      <c r="AE899" s="319"/>
      <c r="AF899" s="617"/>
      <c r="AG899" s="613"/>
      <c r="AH899" s="319"/>
      <c r="AI899" s="630"/>
      <c r="AJ899" s="621"/>
      <c r="AK899" s="319"/>
      <c r="AL899" s="319"/>
      <c r="AM899" s="319"/>
      <c r="AN899" s="319"/>
      <c r="AO899" s="596"/>
      <c r="AP899" s="319"/>
      <c r="AQ899" s="319"/>
      <c r="AR899" s="319"/>
      <c r="AS899" s="319"/>
      <c r="AT899" s="319"/>
      <c r="AU899" s="319"/>
      <c r="AV899" s="319"/>
      <c r="AW899" s="319"/>
      <c r="AX899" s="319"/>
      <c r="AY899" s="319"/>
      <c r="AZ899" s="319"/>
      <c r="BA899" s="319"/>
      <c r="BB899" s="319"/>
      <c r="BC899" s="319"/>
      <c r="BD899" s="319"/>
      <c r="BE899" s="319"/>
      <c r="BF899" s="319"/>
      <c r="BG899" s="630"/>
      <c r="BH899" s="319"/>
      <c r="BI899" s="319"/>
      <c r="BJ899" s="319"/>
      <c r="BK899" s="319"/>
      <c r="BL899" s="631"/>
      <c r="BM899" s="1"/>
      <c r="BN899" s="611"/>
      <c r="BO899" s="319"/>
      <c r="BP899" s="319"/>
      <c r="BQ899" s="319"/>
      <c r="BR899" s="319"/>
      <c r="BS899" s="319"/>
      <c r="BT899" s="319"/>
      <c r="BU899" s="319"/>
      <c r="BV899" s="319"/>
      <c r="BW899" s="571"/>
      <c r="BX899" s="319"/>
      <c r="BY899" s="319"/>
      <c r="BZ899" s="319"/>
      <c r="CA899" s="319"/>
      <c r="CB899" s="319"/>
      <c r="CC899" s="319"/>
      <c r="CD899" s="319"/>
      <c r="CE899" s="319"/>
      <c r="CF899" s="319"/>
      <c r="CG899" s="319"/>
      <c r="CH899" s="319"/>
      <c r="CI899" s="319"/>
      <c r="CJ899" s="571"/>
      <c r="CK899" s="319"/>
      <c r="CL899" s="319"/>
      <c r="CM899" s="630"/>
      <c r="CN899" s="319"/>
      <c r="CO899" s="319"/>
      <c r="CP899" s="319"/>
      <c r="CQ899" s="319"/>
      <c r="CR899" s="319"/>
      <c r="CS899" s="617"/>
    </row>
    <row r="900" spans="1:97">
      <c r="A900" s="611"/>
      <c r="B900" s="319"/>
      <c r="C900" s="319"/>
      <c r="D900" s="319"/>
      <c r="E900" s="319"/>
      <c r="F900" s="319"/>
      <c r="G900" s="319"/>
      <c r="H900" s="319"/>
      <c r="I900" s="319"/>
      <c r="J900" s="319"/>
      <c r="K900" s="319"/>
      <c r="L900" s="319"/>
      <c r="M900" s="319"/>
      <c r="N900" s="319"/>
      <c r="O900" s="319"/>
      <c r="P900" s="319"/>
      <c r="Q900" s="319"/>
      <c r="R900" s="319"/>
      <c r="S900" s="319"/>
      <c r="T900" s="319"/>
      <c r="U900" s="319"/>
      <c r="V900" s="319"/>
      <c r="W900" s="319"/>
      <c r="X900" s="319"/>
      <c r="Y900" s="319"/>
      <c r="Z900" s="596"/>
      <c r="AA900" s="319"/>
      <c r="AB900" s="319"/>
      <c r="AC900" s="319"/>
      <c r="AD900" s="319"/>
      <c r="AE900" s="319"/>
      <c r="AF900" s="615"/>
      <c r="AG900" s="571"/>
      <c r="AH900" s="319"/>
      <c r="AI900" s="612"/>
      <c r="AJ900" s="319"/>
      <c r="AK900" s="319"/>
      <c r="AL900" s="319"/>
      <c r="AM900" s="319"/>
      <c r="AN900" s="319"/>
      <c r="AO900" s="319"/>
      <c r="AP900" s="319"/>
      <c r="AQ900" s="319"/>
      <c r="AR900" s="319"/>
      <c r="AS900" s="319"/>
      <c r="AT900" s="319"/>
      <c r="AU900" s="319"/>
      <c r="AV900" s="319"/>
      <c r="AW900" s="319"/>
      <c r="AX900" s="319"/>
      <c r="AY900" s="319"/>
      <c r="AZ900" s="319"/>
      <c r="BA900" s="319"/>
      <c r="BB900" s="319"/>
      <c r="BC900" s="319"/>
      <c r="BD900" s="319"/>
      <c r="BE900" s="319"/>
      <c r="BF900" s="596"/>
      <c r="BG900" s="319"/>
      <c r="BH900" s="319"/>
      <c r="BI900" s="319"/>
      <c r="BJ900" s="319"/>
      <c r="BK900" s="319"/>
      <c r="BL900" s="631"/>
      <c r="BM900" s="1"/>
      <c r="BN900" s="611"/>
      <c r="BO900" s="319"/>
      <c r="BP900" s="319"/>
      <c r="BQ900" s="319"/>
      <c r="BR900" s="319"/>
      <c r="BS900" s="319"/>
      <c r="BT900" s="319"/>
      <c r="BU900" s="319"/>
      <c r="BV900" s="319"/>
      <c r="BW900" s="319"/>
      <c r="BX900" s="319"/>
      <c r="BY900" s="319"/>
      <c r="BZ900" s="319"/>
      <c r="CA900" s="319"/>
      <c r="CB900" s="319"/>
      <c r="CC900" s="319"/>
      <c r="CD900" s="319"/>
      <c r="CE900" s="319"/>
      <c r="CF900" s="319"/>
      <c r="CG900" s="319"/>
      <c r="CH900" s="319"/>
      <c r="CI900" s="319"/>
      <c r="CJ900" s="319"/>
      <c r="CK900" s="319"/>
      <c r="CL900" s="319"/>
      <c r="CM900" s="596"/>
      <c r="CN900" s="319"/>
      <c r="CO900" s="319"/>
      <c r="CP900" s="319"/>
      <c r="CQ900" s="319"/>
      <c r="CR900" s="319"/>
      <c r="CS900" s="615"/>
    </row>
    <row r="901" spans="1:97">
      <c r="A901" s="611"/>
      <c r="B901" s="319"/>
      <c r="C901" s="319"/>
      <c r="D901" s="553"/>
      <c r="E901" s="613"/>
      <c r="F901" s="319"/>
      <c r="G901" s="319"/>
      <c r="H901" s="319"/>
      <c r="I901" s="596"/>
      <c r="J901" s="319"/>
      <c r="K901" s="319"/>
      <c r="L901" s="319"/>
      <c r="M901" s="319"/>
      <c r="N901" s="319"/>
      <c r="O901" s="319"/>
      <c r="P901" s="319"/>
      <c r="Q901" s="319"/>
      <c r="R901" s="319"/>
      <c r="S901" s="319"/>
      <c r="T901" s="319"/>
      <c r="U901" s="319"/>
      <c r="V901" s="319"/>
      <c r="W901" s="319"/>
      <c r="X901" s="319"/>
      <c r="Y901" s="319"/>
      <c r="Z901" s="323"/>
      <c r="AA901" s="319"/>
      <c r="AB901" s="553"/>
      <c r="AC901" s="612"/>
      <c r="AD901" s="319"/>
      <c r="AE901" s="319"/>
      <c r="AF901" s="618"/>
      <c r="AG901" s="613"/>
      <c r="AH901" s="613"/>
      <c r="AI901" s="319"/>
      <c r="AJ901" s="319"/>
      <c r="AK901" s="631"/>
      <c r="AL901" s="319"/>
      <c r="AM901" s="319"/>
      <c r="AN901" s="319"/>
      <c r="AO901" s="319"/>
      <c r="AP901" s="319"/>
      <c r="AQ901" s="611"/>
      <c r="AR901" s="319"/>
      <c r="AS901" s="319"/>
      <c r="AT901" s="319"/>
      <c r="AU901" s="319"/>
      <c r="AV901" s="319"/>
      <c r="AW901" s="319"/>
      <c r="AX901" s="319"/>
      <c r="AY901" s="319"/>
      <c r="AZ901" s="319"/>
      <c r="BA901" s="611"/>
      <c r="BB901" s="319"/>
      <c r="BC901" s="319"/>
      <c r="BD901" s="319"/>
      <c r="BE901" s="319"/>
      <c r="BF901" s="319"/>
      <c r="BG901" s="319"/>
      <c r="BH901" s="319"/>
      <c r="BI901" s="631"/>
      <c r="BJ901" s="319"/>
      <c r="BK901" s="319"/>
      <c r="BL901" s="631"/>
      <c r="BM901" s="1"/>
      <c r="BN901" s="611"/>
      <c r="BO901" s="319"/>
      <c r="BP901" s="319"/>
      <c r="BQ901" s="553"/>
      <c r="BR901" s="613"/>
      <c r="BS901" s="319"/>
      <c r="BT901" s="319"/>
      <c r="BU901" s="319"/>
      <c r="BV901" s="596"/>
      <c r="BW901" s="319"/>
      <c r="BX901" s="319"/>
      <c r="BY901" s="319"/>
      <c r="BZ901" s="319"/>
      <c r="CA901" s="319"/>
      <c r="CB901" s="319"/>
      <c r="CC901" s="319"/>
      <c r="CD901" s="319"/>
      <c r="CE901" s="319"/>
      <c r="CF901" s="319"/>
      <c r="CG901" s="319"/>
      <c r="CH901" s="319"/>
      <c r="CI901" s="319"/>
      <c r="CJ901" s="319"/>
      <c r="CK901" s="319"/>
      <c r="CL901" s="319"/>
      <c r="CM901" s="323"/>
      <c r="CN901" s="319"/>
      <c r="CO901" s="613"/>
      <c r="CP901" s="612"/>
      <c r="CQ901" s="319"/>
      <c r="CR901" s="319"/>
      <c r="CS901" s="618"/>
    </row>
    <row r="902" spans="1:97">
      <c r="A902" s="319"/>
      <c r="B902" s="319"/>
      <c r="C902" s="319"/>
      <c r="D902" s="612"/>
      <c r="E902" s="611"/>
      <c r="F902" s="319"/>
      <c r="G902" s="319"/>
      <c r="H902" s="319"/>
      <c r="I902" s="323"/>
      <c r="J902" s="319"/>
      <c r="K902" s="319"/>
      <c r="L902" s="319"/>
      <c r="M902" s="319"/>
      <c r="N902" s="319"/>
      <c r="O902" s="319"/>
      <c r="P902" s="319"/>
      <c r="Q902" s="319"/>
      <c r="R902" s="319"/>
      <c r="S902" s="319"/>
      <c r="T902" s="319"/>
      <c r="U902" s="319"/>
      <c r="V902" s="319"/>
      <c r="W902" s="319"/>
      <c r="X902" s="319"/>
      <c r="Y902" s="319"/>
      <c r="Z902" s="319"/>
      <c r="AA902" s="319"/>
      <c r="AB902" s="553"/>
      <c r="AC902" s="613"/>
      <c r="AD902" s="319"/>
      <c r="AE902" s="319"/>
      <c r="AF902" s="620"/>
      <c r="AG902" s="613"/>
      <c r="AH902" s="319"/>
      <c r="AI902" s="319"/>
      <c r="AJ902" s="631"/>
      <c r="AK902" s="631"/>
      <c r="AL902" s="319"/>
      <c r="AM902" s="611"/>
      <c r="AN902" s="319"/>
      <c r="AO902" s="319"/>
      <c r="AP902" s="319"/>
      <c r="AQ902" s="319"/>
      <c r="AR902" s="319"/>
      <c r="AS902" s="319"/>
      <c r="AT902" s="319"/>
      <c r="AU902" s="319"/>
      <c r="AV902" s="319"/>
      <c r="AW902" s="319"/>
      <c r="AX902" s="319"/>
      <c r="AY902" s="319"/>
      <c r="AZ902" s="319"/>
      <c r="BA902" s="319"/>
      <c r="BB902" s="319"/>
      <c r="BC902" s="319"/>
      <c r="BD902" s="319"/>
      <c r="BE902" s="319"/>
      <c r="BF902" s="319"/>
      <c r="BG902" s="319"/>
      <c r="BH902" s="631"/>
      <c r="BI902" s="631"/>
      <c r="BJ902" s="319"/>
      <c r="BK902" s="611"/>
      <c r="BL902" s="619"/>
      <c r="BM902" s="1">
        <v>1</v>
      </c>
      <c r="BN902" s="319"/>
      <c r="BO902" s="319"/>
      <c r="BP902" s="319"/>
      <c r="BQ902" s="612"/>
      <c r="BR902" s="611"/>
      <c r="BS902" s="319"/>
      <c r="BT902" s="319"/>
      <c r="BU902" s="319"/>
      <c r="BV902" s="323"/>
      <c r="BW902" s="319"/>
      <c r="BX902" s="319"/>
      <c r="BY902" s="319"/>
      <c r="BZ902" s="319"/>
      <c r="CA902" s="319"/>
      <c r="CB902" s="319"/>
      <c r="CC902" s="319"/>
      <c r="CD902" s="319"/>
      <c r="CE902" s="319"/>
      <c r="CF902" s="319"/>
      <c r="CG902" s="319"/>
      <c r="CH902" s="319"/>
      <c r="CI902" s="319"/>
      <c r="CJ902" s="319"/>
      <c r="CK902" s="319"/>
      <c r="CL902" s="319"/>
      <c r="CM902" s="319"/>
      <c r="CN902" s="319"/>
      <c r="CO902" s="553"/>
      <c r="CP902" s="571"/>
      <c r="CQ902" s="319"/>
      <c r="CR902" s="319"/>
      <c r="CS902" s="620"/>
    </row>
    <row r="903" spans="1:97">
      <c r="A903" s="319"/>
      <c r="B903" s="319"/>
      <c r="C903" s="319"/>
      <c r="D903" s="319"/>
      <c r="E903" s="319"/>
      <c r="F903" s="319"/>
      <c r="G903" s="319"/>
      <c r="H903" s="319"/>
      <c r="I903" s="319"/>
      <c r="J903" s="319"/>
      <c r="K903" s="319"/>
      <c r="L903" s="319"/>
      <c r="M903" s="319"/>
      <c r="N903" s="621"/>
      <c r="O903" s="621"/>
      <c r="P903" s="621"/>
      <c r="Q903" s="621"/>
      <c r="R903" s="631"/>
      <c r="S903" s="621"/>
      <c r="T903" s="631"/>
      <c r="U903" s="319"/>
      <c r="V903" s="319"/>
      <c r="W903" s="319"/>
      <c r="X903" s="319"/>
      <c r="Y903" s="319"/>
      <c r="Z903" s="319"/>
      <c r="AA903" s="319"/>
      <c r="AB903" s="319"/>
      <c r="AC903" s="319"/>
      <c r="AD903" s="319"/>
      <c r="AE903" s="319"/>
      <c r="AF903" s="620"/>
      <c r="AG903" s="611"/>
      <c r="AH903" s="319"/>
      <c r="AI903" s="319"/>
      <c r="AJ903" s="319"/>
      <c r="AK903" s="319"/>
      <c r="AL903" s="319"/>
      <c r="AM903" s="319"/>
      <c r="AN903" s="319"/>
      <c r="AO903" s="319"/>
      <c r="AP903" s="319"/>
      <c r="AQ903" s="319"/>
      <c r="AR903" s="319"/>
      <c r="AS903" s="319"/>
      <c r="AT903" s="621"/>
      <c r="AU903" s="621"/>
      <c r="AV903" s="621"/>
      <c r="AW903" s="621"/>
      <c r="AX903" s="631"/>
      <c r="AY903" s="621"/>
      <c r="AZ903" s="631"/>
      <c r="BA903" s="319"/>
      <c r="BB903" s="319"/>
      <c r="BC903" s="319"/>
      <c r="BD903" s="319"/>
      <c r="BE903" s="319"/>
      <c r="BF903" s="319"/>
      <c r="BG903" s="319"/>
      <c r="BH903" s="319"/>
      <c r="BI903" s="319"/>
      <c r="BJ903" s="319"/>
      <c r="BK903" s="319"/>
      <c r="BL903" s="631"/>
      <c r="BM903" s="1"/>
      <c r="BN903" s="319"/>
      <c r="BO903" s="319"/>
      <c r="BP903" s="319"/>
      <c r="BQ903" s="319"/>
      <c r="BR903" s="319"/>
      <c r="BS903" s="319"/>
      <c r="BT903" s="319"/>
      <c r="BU903" s="319"/>
      <c r="BV903" s="319"/>
      <c r="BW903" s="319"/>
      <c r="BX903" s="319"/>
      <c r="BY903" s="319"/>
      <c r="BZ903" s="319"/>
      <c r="CA903" s="621"/>
      <c r="CB903" s="621"/>
      <c r="CC903" s="621"/>
      <c r="CD903" s="621"/>
      <c r="CE903" s="631"/>
      <c r="CF903" s="621"/>
      <c r="CG903" s="631"/>
      <c r="CH903" s="319"/>
      <c r="CI903" s="319"/>
      <c r="CJ903" s="319"/>
      <c r="CK903" s="319"/>
      <c r="CL903" s="319"/>
      <c r="CM903" s="319"/>
      <c r="CN903" s="319"/>
      <c r="CO903" s="319"/>
      <c r="CP903" s="319"/>
      <c r="CQ903" s="319"/>
      <c r="CR903" s="319"/>
      <c r="CS903" s="620"/>
    </row>
    <row r="904" spans="1:97">
      <c r="A904" s="319"/>
      <c r="B904" s="319"/>
      <c r="C904" s="319"/>
      <c r="D904" s="319"/>
      <c r="E904" s="319"/>
      <c r="F904" s="319"/>
      <c r="G904" s="571"/>
      <c r="H904" s="319"/>
      <c r="I904" s="319"/>
      <c r="J904" s="319"/>
      <c r="K904" s="319"/>
      <c r="L904" s="621"/>
      <c r="M904" s="591"/>
      <c r="N904" s="323"/>
      <c r="O904" s="325"/>
      <c r="P904" s="596"/>
      <c r="Q904" s="325"/>
      <c r="R904" s="596"/>
      <c r="S904" s="596"/>
      <c r="T904" s="596"/>
      <c r="U904" s="621"/>
      <c r="V904" s="319"/>
      <c r="W904" s="319"/>
      <c r="X904" s="621"/>
      <c r="Y904" s="319"/>
      <c r="Z904" s="319"/>
      <c r="AA904" s="319"/>
      <c r="AB904" s="319"/>
      <c r="AC904" s="319"/>
      <c r="AD904" s="319"/>
      <c r="AE904" s="319"/>
      <c r="AF904" s="620"/>
      <c r="AG904" s="611"/>
      <c r="AH904" s="319"/>
      <c r="AI904" s="319"/>
      <c r="AJ904" s="319"/>
      <c r="AK904" s="319"/>
      <c r="AL904" s="319"/>
      <c r="AM904" s="319"/>
      <c r="AN904" s="319"/>
      <c r="AO904" s="611"/>
      <c r="AP904" s="319"/>
      <c r="AQ904" s="319"/>
      <c r="AR904" s="621"/>
      <c r="AS904" s="591"/>
      <c r="AT904" s="323"/>
      <c r="AU904" s="325"/>
      <c r="AV904" s="596"/>
      <c r="AW904" s="325"/>
      <c r="AX904" s="596"/>
      <c r="AY904" s="621"/>
      <c r="AZ904" s="621"/>
      <c r="BA904" s="621"/>
      <c r="BB904" s="319"/>
      <c r="BC904" s="319"/>
      <c r="BD904" s="621"/>
      <c r="BE904" s="319"/>
      <c r="BF904" s="319"/>
      <c r="BG904" s="319"/>
      <c r="BH904" s="319"/>
      <c r="BI904" s="319"/>
      <c r="BJ904" s="319"/>
      <c r="BK904" s="319"/>
      <c r="BL904" s="619"/>
      <c r="BM904" s="1"/>
      <c r="BN904" s="319"/>
      <c r="BO904" s="319"/>
      <c r="BP904" s="319"/>
      <c r="BQ904" s="319"/>
      <c r="BR904" s="319"/>
      <c r="BS904" s="319"/>
      <c r="BT904" s="571"/>
      <c r="BU904" s="319"/>
      <c r="BV904" s="319"/>
      <c r="BW904" s="319"/>
      <c r="BX904" s="319"/>
      <c r="BY904" s="621"/>
      <c r="BZ904" s="591"/>
      <c r="CA904" s="323"/>
      <c r="CB904" s="325"/>
      <c r="CC904" s="596"/>
      <c r="CD904" s="325"/>
      <c r="CE904" s="596"/>
      <c r="CF904" s="596"/>
      <c r="CG904" s="596"/>
      <c r="CH904" s="621"/>
      <c r="CI904" s="319"/>
      <c r="CJ904" s="319"/>
      <c r="CK904" s="621"/>
      <c r="CL904" s="319"/>
      <c r="CM904" s="319"/>
      <c r="CN904" s="319"/>
      <c r="CO904" s="319"/>
      <c r="CP904" s="319"/>
      <c r="CQ904" s="319"/>
      <c r="CR904" s="319"/>
      <c r="CS904" s="620"/>
    </row>
    <row r="905" spans="1:97">
      <c r="A905" s="611"/>
      <c r="B905" s="319"/>
      <c r="C905" s="319"/>
      <c r="D905" s="319"/>
      <c r="E905" s="319"/>
      <c r="F905" s="319"/>
      <c r="G905" s="319"/>
      <c r="H905" s="319"/>
      <c r="I905" s="319"/>
      <c r="J905" s="319"/>
      <c r="K905" s="621"/>
      <c r="L905" s="325"/>
      <c r="M905" s="325"/>
      <c r="N905" s="596"/>
      <c r="O905" s="324"/>
      <c r="P905" s="325"/>
      <c r="Q905" s="323"/>
      <c r="R905" s="324"/>
      <c r="S905" s="325"/>
      <c r="T905" s="324"/>
      <c r="U905" s="325"/>
      <c r="V905" s="621"/>
      <c r="W905" s="319"/>
      <c r="X905" s="319"/>
      <c r="Y905" s="319"/>
      <c r="Z905" s="319"/>
      <c r="AA905" s="319"/>
      <c r="AB905" s="621"/>
      <c r="AC905" s="319"/>
      <c r="AD905" s="319"/>
      <c r="AE905" s="319"/>
      <c r="AF905" s="617"/>
      <c r="AG905" s="613"/>
      <c r="AH905" s="319"/>
      <c r="AI905" s="319"/>
      <c r="AJ905" s="319"/>
      <c r="AK905" s="319"/>
      <c r="AL905" s="319"/>
      <c r="AM905" s="319"/>
      <c r="AN905" s="319"/>
      <c r="AO905" s="319"/>
      <c r="AP905" s="319"/>
      <c r="AQ905" s="621"/>
      <c r="AR905" s="325"/>
      <c r="AS905" s="325"/>
      <c r="AT905" s="596"/>
      <c r="AU905" s="324"/>
      <c r="AV905" s="325"/>
      <c r="AW905" s="323"/>
      <c r="AX905" s="324"/>
      <c r="AY905" s="325"/>
      <c r="AZ905" s="324"/>
      <c r="BA905" s="325"/>
      <c r="BB905" s="621"/>
      <c r="BC905" s="319"/>
      <c r="BD905" s="319"/>
      <c r="BE905" s="319"/>
      <c r="BF905" s="319"/>
      <c r="BG905" s="319"/>
      <c r="BH905" s="319"/>
      <c r="BI905" s="319"/>
      <c r="BJ905" s="319"/>
      <c r="BK905" s="319"/>
      <c r="BL905" s="616"/>
      <c r="BM905" s="1"/>
      <c r="BN905" s="611"/>
      <c r="BO905" s="319"/>
      <c r="BP905" s="319"/>
      <c r="BQ905" s="319"/>
      <c r="BR905" s="319"/>
      <c r="BS905" s="319"/>
      <c r="BT905" s="319"/>
      <c r="BU905" s="319"/>
      <c r="BV905" s="319"/>
      <c r="BW905" s="319"/>
      <c r="BX905" s="621"/>
      <c r="BY905" s="325"/>
      <c r="BZ905" s="325"/>
      <c r="CA905" s="596"/>
      <c r="CB905" s="324"/>
      <c r="CC905" s="325"/>
      <c r="CD905" s="323"/>
      <c r="CE905" s="324"/>
      <c r="CF905" s="325"/>
      <c r="CG905" s="323"/>
      <c r="CH905" s="325"/>
      <c r="CI905" s="621"/>
      <c r="CJ905" s="319"/>
      <c r="CK905" s="319"/>
      <c r="CL905" s="319"/>
      <c r="CM905" s="319"/>
      <c r="CN905" s="319"/>
      <c r="CO905" s="621"/>
      <c r="CP905" s="319"/>
      <c r="CQ905" s="319"/>
      <c r="CR905" s="319"/>
      <c r="CS905" s="617"/>
    </row>
    <row r="906" spans="1:97">
      <c r="A906" s="613"/>
      <c r="B906" s="319"/>
      <c r="C906" s="319"/>
      <c r="D906" s="319"/>
      <c r="E906" s="319"/>
      <c r="F906" s="319"/>
      <c r="G906" s="319"/>
      <c r="H906" s="319"/>
      <c r="I906" s="319"/>
      <c r="J906" s="319"/>
      <c r="K906" s="621"/>
      <c r="L906" s="323"/>
      <c r="M906" s="591"/>
      <c r="N906" s="323"/>
      <c r="O906" s="591"/>
      <c r="P906" s="327"/>
      <c r="Q906" s="323"/>
      <c r="R906" s="324"/>
      <c r="S906" s="323"/>
      <c r="T906" s="325"/>
      <c r="U906" s="325"/>
      <c r="V906" s="325"/>
      <c r="W906" s="621"/>
      <c r="X906" s="319"/>
      <c r="Y906" s="319"/>
      <c r="Z906" s="319"/>
      <c r="AA906" s="319"/>
      <c r="AB906" s="319"/>
      <c r="AC906" s="319"/>
      <c r="AD906" s="319"/>
      <c r="AE906" s="319"/>
      <c r="AF906" s="618"/>
      <c r="AG906" s="319"/>
      <c r="AH906" s="319"/>
      <c r="AI906" s="319"/>
      <c r="AJ906" s="319"/>
      <c r="AK906" s="319"/>
      <c r="AL906" s="319"/>
      <c r="AM906" s="319"/>
      <c r="AN906" s="319"/>
      <c r="AO906" s="319"/>
      <c r="AP906" s="319"/>
      <c r="AQ906" s="621"/>
      <c r="AR906" s="323"/>
      <c r="AS906" s="591"/>
      <c r="AT906" s="323"/>
      <c r="AU906" s="591"/>
      <c r="AV906" s="327"/>
      <c r="AW906" s="323"/>
      <c r="AX906" s="324"/>
      <c r="AY906" s="323"/>
      <c r="AZ906" s="325"/>
      <c r="BA906" s="325"/>
      <c r="BB906" s="596"/>
      <c r="BC906" s="621"/>
      <c r="BD906" s="319"/>
      <c r="BE906" s="319"/>
      <c r="BF906" s="319"/>
      <c r="BG906" s="319"/>
      <c r="BH906" s="611"/>
      <c r="BI906" s="319"/>
      <c r="BJ906" s="319"/>
      <c r="BK906" s="319"/>
      <c r="BL906" s="631"/>
      <c r="BM906" s="1"/>
      <c r="BN906" s="613"/>
      <c r="BO906" s="319"/>
      <c r="BP906" s="319"/>
      <c r="BQ906" s="319"/>
      <c r="BR906" s="319"/>
      <c r="BS906" s="319"/>
      <c r="BT906" s="319"/>
      <c r="BU906" s="319"/>
      <c r="BV906" s="319"/>
      <c r="BW906" s="319"/>
      <c r="BX906" s="621"/>
      <c r="BY906" s="323"/>
      <c r="BZ906" s="591"/>
      <c r="CA906" s="323"/>
      <c r="CB906" s="591"/>
      <c r="CC906" s="327"/>
      <c r="CD906" s="323"/>
      <c r="CE906" s="324"/>
      <c r="CF906" s="323"/>
      <c r="CG906" s="325"/>
      <c r="CH906" s="325"/>
      <c r="CI906" s="324"/>
      <c r="CJ906" s="621"/>
      <c r="CK906" s="319"/>
      <c r="CL906" s="319"/>
      <c r="CM906" s="319"/>
      <c r="CN906" s="319"/>
      <c r="CO906" s="319"/>
      <c r="CP906" s="319"/>
      <c r="CQ906" s="319"/>
      <c r="CR906" s="319"/>
      <c r="CS906" s="618"/>
    </row>
    <row r="907" spans="1:97">
      <c r="A907" s="319"/>
      <c r="B907" s="319"/>
      <c r="C907" s="319"/>
      <c r="D907" s="319"/>
      <c r="E907" s="319"/>
      <c r="F907" s="319"/>
      <c r="G907" s="319"/>
      <c r="H907" s="319"/>
      <c r="I907" s="319"/>
      <c r="J907" s="621"/>
      <c r="K907" s="591"/>
      <c r="L907" s="324"/>
      <c r="M907" s="324"/>
      <c r="N907" s="324"/>
      <c r="O907" s="325"/>
      <c r="P907" s="591"/>
      <c r="Q907" s="324"/>
      <c r="R907" s="324"/>
      <c r="S907" s="324"/>
      <c r="T907" s="596"/>
      <c r="U907" s="325"/>
      <c r="V907" s="325"/>
      <c r="W907" s="621"/>
      <c r="X907" s="319"/>
      <c r="Y907" s="319"/>
      <c r="Z907" s="319"/>
      <c r="AA907" s="319"/>
      <c r="AB907" s="319"/>
      <c r="AC907" s="319"/>
      <c r="AD907" s="319"/>
      <c r="AE907" s="319"/>
      <c r="AF907" s="615"/>
      <c r="AG907" s="613"/>
      <c r="AH907" s="319"/>
      <c r="AI907" s="319"/>
      <c r="AJ907" s="319"/>
      <c r="AK907" s="319"/>
      <c r="AL907" s="319"/>
      <c r="AM907" s="611"/>
      <c r="AN907" s="319"/>
      <c r="AO907" s="319"/>
      <c r="AP907" s="621"/>
      <c r="AQ907" s="591"/>
      <c r="AR907" s="324"/>
      <c r="AS907" s="324"/>
      <c r="AT907" s="324"/>
      <c r="AU907" s="325"/>
      <c r="AV907" s="591"/>
      <c r="AW907" s="324"/>
      <c r="AX907" s="324"/>
      <c r="AY907" s="324"/>
      <c r="AZ907" s="596"/>
      <c r="BA907" s="325"/>
      <c r="BB907" s="325"/>
      <c r="BC907" s="621"/>
      <c r="BD907" s="319"/>
      <c r="BE907" s="319"/>
      <c r="BF907" s="319"/>
      <c r="BG907" s="319"/>
      <c r="BH907" s="319"/>
      <c r="BI907" s="319"/>
      <c r="BJ907" s="319"/>
      <c r="BK907" s="319"/>
      <c r="BL907" s="631"/>
      <c r="BM907" s="1"/>
      <c r="BN907" s="319"/>
      <c r="BO907" s="319"/>
      <c r="BP907" s="319"/>
      <c r="BQ907" s="319"/>
      <c r="BR907" s="319"/>
      <c r="BS907" s="319"/>
      <c r="BT907" s="319"/>
      <c r="BU907" s="319"/>
      <c r="BV907" s="319"/>
      <c r="BW907" s="621"/>
      <c r="BX907" s="591"/>
      <c r="BY907" s="324"/>
      <c r="BZ907" s="324"/>
      <c r="CA907" s="324"/>
      <c r="CB907" s="325"/>
      <c r="CC907" s="591"/>
      <c r="CD907" s="324"/>
      <c r="CE907" s="324"/>
      <c r="CF907" s="324"/>
      <c r="CG907" s="596"/>
      <c r="CH907" s="325"/>
      <c r="CI907" s="325"/>
      <c r="CJ907" s="621"/>
      <c r="CK907" s="319"/>
      <c r="CL907" s="319"/>
      <c r="CM907" s="319"/>
      <c r="CN907" s="319"/>
      <c r="CO907" s="319"/>
      <c r="CP907" s="319"/>
      <c r="CQ907" s="319"/>
      <c r="CR907" s="319"/>
      <c r="CS907" s="615"/>
    </row>
    <row r="908" spans="1:97">
      <c r="A908" s="319"/>
      <c r="B908" s="319"/>
      <c r="C908" s="319"/>
      <c r="D908" s="319"/>
      <c r="E908" s="319"/>
      <c r="F908" s="319"/>
      <c r="G908" s="319"/>
      <c r="H908" s="319"/>
      <c r="I908" s="319"/>
      <c r="J908" s="621"/>
      <c r="K908" s="325"/>
      <c r="L908" s="324"/>
      <c r="M908" s="591"/>
      <c r="N908" s="595"/>
      <c r="O908" s="595"/>
      <c r="P908" s="324"/>
      <c r="Q908" s="325"/>
      <c r="R908" s="591"/>
      <c r="S908" s="595"/>
      <c r="T908" s="323"/>
      <c r="U908" s="324"/>
      <c r="V908" s="325"/>
      <c r="W908" s="621"/>
      <c r="X908" s="319"/>
      <c r="Y908" s="319"/>
      <c r="Z908" s="319"/>
      <c r="AA908" s="319"/>
      <c r="AB908" s="319"/>
      <c r="AC908" s="319"/>
      <c r="AD908" s="319"/>
      <c r="AE908" s="319"/>
      <c r="AF908" s="615"/>
      <c r="AG908" s="613"/>
      <c r="AH908" s="319"/>
      <c r="AI908" s="319"/>
      <c r="AJ908" s="319"/>
      <c r="AK908" s="319"/>
      <c r="AL908" s="319"/>
      <c r="AM908" s="319"/>
      <c r="AN908" s="319"/>
      <c r="AO908" s="319"/>
      <c r="AP908" s="621"/>
      <c r="AQ908" s="325"/>
      <c r="AR908" s="324"/>
      <c r="AS908" s="591"/>
      <c r="AT908" s="595"/>
      <c r="AU908" s="595"/>
      <c r="AV908" s="324"/>
      <c r="AW908" s="325"/>
      <c r="AX908" s="591"/>
      <c r="AY908" s="595"/>
      <c r="AZ908" s="323"/>
      <c r="BA908" s="324"/>
      <c r="BB908" s="325"/>
      <c r="BC908" s="621"/>
      <c r="BD908" s="319"/>
      <c r="BE908" s="319"/>
      <c r="BF908" s="319"/>
      <c r="BG908" s="319"/>
      <c r="BH908" s="319"/>
      <c r="BI908" s="319"/>
      <c r="BJ908" s="319"/>
      <c r="BK908" s="319"/>
      <c r="BL908" s="631"/>
      <c r="BM908" s="1"/>
      <c r="BN908" s="319"/>
      <c r="BO908" s="319"/>
      <c r="BP908" s="319"/>
      <c r="BQ908" s="319"/>
      <c r="BR908" s="319"/>
      <c r="BS908" s="319"/>
      <c r="BT908" s="319"/>
      <c r="BU908" s="319"/>
      <c r="BV908" s="319"/>
      <c r="BW908" s="621"/>
      <c r="BX908" s="325"/>
      <c r="BY908" s="324"/>
      <c r="BZ908" s="591"/>
      <c r="CA908" s="595"/>
      <c r="CB908" s="595"/>
      <c r="CC908" s="324"/>
      <c r="CD908" s="325"/>
      <c r="CE908" s="591"/>
      <c r="CF908" s="595"/>
      <c r="CG908" s="323"/>
      <c r="CH908" s="324"/>
      <c r="CI908" s="325"/>
      <c r="CJ908" s="621"/>
      <c r="CK908" s="319"/>
      <c r="CL908" s="319"/>
      <c r="CM908" s="319"/>
      <c r="CN908" s="319"/>
      <c r="CO908" s="319"/>
      <c r="CP908" s="319"/>
      <c r="CQ908" s="319"/>
      <c r="CR908" s="319"/>
      <c r="CS908" s="615"/>
    </row>
    <row r="909" spans="1:97">
      <c r="A909" s="319"/>
      <c r="B909" s="319"/>
      <c r="C909" s="319"/>
      <c r="D909" s="571"/>
      <c r="E909" s="319"/>
      <c r="F909" s="319"/>
      <c r="G909" s="319"/>
      <c r="H909" s="319"/>
      <c r="I909" s="319"/>
      <c r="J909" s="323"/>
      <c r="K909" s="324"/>
      <c r="L909" s="595"/>
      <c r="M909" s="621"/>
      <c r="N909" s="621"/>
      <c r="O909" s="621"/>
      <c r="P909" s="324"/>
      <c r="Q909" s="591"/>
      <c r="R909" s="621"/>
      <c r="S909" s="621"/>
      <c r="T909" s="621"/>
      <c r="U909" s="325"/>
      <c r="V909" s="324"/>
      <c r="W909" s="621"/>
      <c r="X909" s="319"/>
      <c r="Y909" s="319"/>
      <c r="Z909" s="319"/>
      <c r="AA909" s="319"/>
      <c r="AB909" s="553"/>
      <c r="AC909" s="319"/>
      <c r="AD909" s="319"/>
      <c r="AE909" s="319"/>
      <c r="AF909" s="617"/>
      <c r="AG909" s="613"/>
      <c r="AH909" s="319"/>
      <c r="AI909" s="319"/>
      <c r="AJ909" s="319"/>
      <c r="AK909" s="319"/>
      <c r="AL909" s="611"/>
      <c r="AM909" s="319"/>
      <c r="AN909" s="319"/>
      <c r="AO909" s="319"/>
      <c r="AP909" s="323"/>
      <c r="AQ909" s="324"/>
      <c r="AR909" s="595"/>
      <c r="AS909" s="621"/>
      <c r="AT909" s="621"/>
      <c r="AU909" s="621"/>
      <c r="AV909" s="324"/>
      <c r="AW909" s="591"/>
      <c r="AX909" s="621"/>
      <c r="AY909" s="621"/>
      <c r="AZ909" s="621"/>
      <c r="BA909" s="325"/>
      <c r="BB909" s="324"/>
      <c r="BC909" s="621"/>
      <c r="BD909" s="319"/>
      <c r="BE909" s="319"/>
      <c r="BF909" s="611"/>
      <c r="BG909" s="319"/>
      <c r="BH909" s="319"/>
      <c r="BI909" s="319"/>
      <c r="BJ909" s="319"/>
      <c r="BK909" s="319"/>
      <c r="BL909" s="631"/>
      <c r="BM909" s="1"/>
      <c r="BN909" s="319"/>
      <c r="BO909" s="319"/>
      <c r="BP909" s="319"/>
      <c r="BQ909" s="571"/>
      <c r="BR909" s="319"/>
      <c r="BS909" s="319"/>
      <c r="BT909" s="319"/>
      <c r="BU909" s="319"/>
      <c r="BV909" s="319"/>
      <c r="BW909" s="323"/>
      <c r="BX909" s="324"/>
      <c r="BY909" s="595"/>
      <c r="BZ909" s="631"/>
      <c r="CA909" s="631"/>
      <c r="CB909" s="631"/>
      <c r="CC909" s="324"/>
      <c r="CD909" s="591"/>
      <c r="CE909" s="631"/>
      <c r="CF909" s="631"/>
      <c r="CG909" s="621"/>
      <c r="CH909" s="325"/>
      <c r="CI909" s="324"/>
      <c r="CJ909" s="621"/>
      <c r="CK909" s="319"/>
      <c r="CL909" s="319"/>
      <c r="CM909" s="319"/>
      <c r="CN909" s="319"/>
      <c r="CO909" s="553"/>
      <c r="CP909" s="319"/>
      <c r="CQ909" s="319"/>
      <c r="CR909" s="319"/>
      <c r="CS909" s="617"/>
    </row>
    <row r="910" spans="1:97">
      <c r="A910" s="611"/>
      <c r="B910" s="319"/>
      <c r="C910" s="319"/>
      <c r="D910" s="319"/>
      <c r="E910" s="319"/>
      <c r="F910" s="319"/>
      <c r="G910" s="319"/>
      <c r="H910" s="319"/>
      <c r="I910" s="319"/>
      <c r="J910" s="325"/>
      <c r="K910" s="591"/>
      <c r="L910" s="621"/>
      <c r="M910" s="621"/>
      <c r="N910" s="621"/>
      <c r="O910" s="621"/>
      <c r="P910" s="591"/>
      <c r="Q910" s="595"/>
      <c r="R910" s="621"/>
      <c r="S910" s="621"/>
      <c r="T910" s="621"/>
      <c r="U910" s="621"/>
      <c r="V910" s="325"/>
      <c r="W910" s="621"/>
      <c r="X910" s="319"/>
      <c r="Y910" s="319"/>
      <c r="Z910" s="319"/>
      <c r="AA910" s="319"/>
      <c r="AB910" s="319"/>
      <c r="AC910" s="319"/>
      <c r="AD910" s="319"/>
      <c r="AE910" s="319"/>
      <c r="AF910" s="620"/>
      <c r="AG910" s="319"/>
      <c r="AH910" s="319"/>
      <c r="AI910" s="319"/>
      <c r="AJ910" s="319"/>
      <c r="AK910" s="319"/>
      <c r="AL910" s="319"/>
      <c r="AM910" s="319"/>
      <c r="AN910" s="319"/>
      <c r="AO910" s="319"/>
      <c r="AP910" s="325"/>
      <c r="AQ910" s="591"/>
      <c r="AR910" s="621"/>
      <c r="AS910" s="621"/>
      <c r="AT910" s="621"/>
      <c r="AU910" s="621"/>
      <c r="AV910" s="591"/>
      <c r="AW910" s="595"/>
      <c r="AX910" s="621"/>
      <c r="AY910" s="621"/>
      <c r="AZ910" s="621"/>
      <c r="BA910" s="621"/>
      <c r="BB910" s="325"/>
      <c r="BC910" s="621"/>
      <c r="BD910" s="319"/>
      <c r="BE910" s="319"/>
      <c r="BF910" s="319"/>
      <c r="BG910" s="319"/>
      <c r="BH910" s="319"/>
      <c r="BI910" s="319"/>
      <c r="BJ910" s="319"/>
      <c r="BK910" s="319"/>
      <c r="BL910" s="619"/>
      <c r="BM910" s="1"/>
      <c r="BN910" s="611"/>
      <c r="BO910" s="319"/>
      <c r="BP910" s="319"/>
      <c r="BQ910" s="319"/>
      <c r="BR910" s="319"/>
      <c r="BS910" s="319"/>
      <c r="BT910" s="319"/>
      <c r="BU910" s="319"/>
      <c r="BV910" s="319"/>
      <c r="BW910" s="325"/>
      <c r="BX910" s="591"/>
      <c r="BY910" s="631"/>
      <c r="BZ910" s="324"/>
      <c r="CA910" s="325"/>
      <c r="CB910" s="621"/>
      <c r="CC910" s="591"/>
      <c r="CD910" s="595"/>
      <c r="CE910" s="631"/>
      <c r="CF910" s="324"/>
      <c r="CG910" s="325"/>
      <c r="CH910" s="621"/>
      <c r="CI910" s="325"/>
      <c r="CJ910" s="621"/>
      <c r="CK910" s="319"/>
      <c r="CL910" s="319"/>
      <c r="CM910" s="319"/>
      <c r="CN910" s="319"/>
      <c r="CO910" s="319"/>
      <c r="CP910" s="319"/>
      <c r="CQ910" s="319"/>
      <c r="CR910" s="319"/>
      <c r="CS910" s="620"/>
    </row>
    <row r="911" spans="1:97">
      <c r="A911" s="319"/>
      <c r="B911" s="319"/>
      <c r="C911" s="319"/>
      <c r="D911" s="319"/>
      <c r="E911" s="319"/>
      <c r="F911" s="319"/>
      <c r="G911" s="319"/>
      <c r="H911" s="319"/>
      <c r="I911" s="319"/>
      <c r="J911" s="323"/>
      <c r="K911" s="591"/>
      <c r="L911" s="621"/>
      <c r="M911" s="621"/>
      <c r="N911" s="621"/>
      <c r="O911" s="621"/>
      <c r="P911" s="324"/>
      <c r="Q911" s="595"/>
      <c r="R911" s="621"/>
      <c r="S911" s="621"/>
      <c r="T911" s="621"/>
      <c r="U911" s="621"/>
      <c r="V911" s="323"/>
      <c r="W911" s="621"/>
      <c r="X911" s="319"/>
      <c r="Y911" s="319"/>
      <c r="Z911" s="319"/>
      <c r="AA911" s="319"/>
      <c r="AB911" s="319"/>
      <c r="AC911" s="319"/>
      <c r="AD911" s="319"/>
      <c r="AE911" s="319"/>
      <c r="AF911" s="620"/>
      <c r="AG911" s="613"/>
      <c r="AH911" s="319"/>
      <c r="AI911" s="319"/>
      <c r="AJ911" s="319"/>
      <c r="AK911" s="319"/>
      <c r="AL911" s="319"/>
      <c r="AM911" s="319"/>
      <c r="AN911" s="319"/>
      <c r="AO911" s="319"/>
      <c r="AP911" s="323"/>
      <c r="AQ911" s="591"/>
      <c r="AR911" s="621"/>
      <c r="AS911" s="621"/>
      <c r="AT911" s="621"/>
      <c r="AU911" s="621"/>
      <c r="AV911" s="324"/>
      <c r="AW911" s="595"/>
      <c r="AX911" s="621"/>
      <c r="AY911" s="621"/>
      <c r="AZ911" s="621"/>
      <c r="BA911" s="621"/>
      <c r="BB911" s="323"/>
      <c r="BC911" s="621"/>
      <c r="BD911" s="319"/>
      <c r="BE911" s="319"/>
      <c r="BF911" s="319"/>
      <c r="BG911" s="319"/>
      <c r="BH911" s="319"/>
      <c r="BI911" s="319"/>
      <c r="BJ911" s="319"/>
      <c r="BK911" s="319"/>
      <c r="BL911" s="631"/>
      <c r="BM911" s="1"/>
      <c r="BN911" s="319"/>
      <c r="BO911" s="319"/>
      <c r="BP911" s="319"/>
      <c r="BQ911" s="319"/>
      <c r="BR911" s="319"/>
      <c r="BS911" s="319"/>
      <c r="BT911" s="319"/>
      <c r="BU911" s="319"/>
      <c r="BV911" s="319"/>
      <c r="BW911" s="323"/>
      <c r="BX911" s="591"/>
      <c r="BY911" s="631"/>
      <c r="BZ911" s="325"/>
      <c r="CA911" s="621"/>
      <c r="CB911" s="621"/>
      <c r="CC911" s="324"/>
      <c r="CD911" s="595"/>
      <c r="CE911" s="631"/>
      <c r="CF911" s="325"/>
      <c r="CG911" s="621"/>
      <c r="CH911" s="621"/>
      <c r="CI911" s="323"/>
      <c r="CJ911" s="621"/>
      <c r="CK911" s="319"/>
      <c r="CL911" s="319"/>
      <c r="CM911" s="319"/>
      <c r="CN911" s="319"/>
      <c r="CO911" s="319"/>
      <c r="CP911" s="319"/>
      <c r="CQ911" s="319"/>
      <c r="CR911" s="319"/>
      <c r="CS911" s="620"/>
    </row>
    <row r="912" spans="1:97">
      <c r="A912" s="319"/>
      <c r="B912" s="319"/>
      <c r="C912" s="319"/>
      <c r="D912" s="611"/>
      <c r="E912" s="612"/>
      <c r="F912" s="319"/>
      <c r="G912" s="319"/>
      <c r="H912" s="319"/>
      <c r="I912" s="319"/>
      <c r="J912" s="323"/>
      <c r="K912" s="591"/>
      <c r="L912" s="595"/>
      <c r="M912" s="621"/>
      <c r="N912" s="621"/>
      <c r="O912" s="323"/>
      <c r="P912" s="325"/>
      <c r="Q912" s="621"/>
      <c r="R912" s="591"/>
      <c r="S912" s="621"/>
      <c r="T912" s="621"/>
      <c r="U912" s="323"/>
      <c r="V912" s="325"/>
      <c r="W912" s="612"/>
      <c r="X912" s="319"/>
      <c r="Y912" s="319"/>
      <c r="Z912" s="319"/>
      <c r="AA912" s="319"/>
      <c r="AB912" s="612"/>
      <c r="AC912" s="621"/>
      <c r="AD912" s="319"/>
      <c r="AE912" s="319"/>
      <c r="AF912" s="623"/>
      <c r="AG912" s="613"/>
      <c r="AH912" s="319"/>
      <c r="AI912" s="319"/>
      <c r="AJ912" s="611"/>
      <c r="AK912" s="319"/>
      <c r="AL912" s="319"/>
      <c r="AM912" s="319"/>
      <c r="AN912" s="319"/>
      <c r="AO912" s="319"/>
      <c r="AP912" s="323"/>
      <c r="AQ912" s="591"/>
      <c r="AR912" s="595"/>
      <c r="AS912" s="621"/>
      <c r="AT912" s="621"/>
      <c r="AU912" s="323"/>
      <c r="AV912" s="325"/>
      <c r="AW912" s="621"/>
      <c r="AX912" s="591"/>
      <c r="AY912" s="621"/>
      <c r="AZ912" s="621"/>
      <c r="BA912" s="323"/>
      <c r="BB912" s="325"/>
      <c r="BC912" s="612"/>
      <c r="BD912" s="319"/>
      <c r="BE912" s="319"/>
      <c r="BF912" s="319"/>
      <c r="BG912" s="319"/>
      <c r="BH912" s="319"/>
      <c r="BI912" s="631"/>
      <c r="BJ912" s="319"/>
      <c r="BK912" s="613"/>
      <c r="BL912" s="622"/>
      <c r="BM912" s="1"/>
      <c r="BN912" s="319"/>
      <c r="BO912" s="319"/>
      <c r="BP912" s="319"/>
      <c r="BQ912" s="611"/>
      <c r="BR912" s="612"/>
      <c r="BS912" s="319"/>
      <c r="BT912" s="319"/>
      <c r="BU912" s="319"/>
      <c r="BV912" s="319"/>
      <c r="BW912" s="323"/>
      <c r="BX912" s="591"/>
      <c r="BY912" s="595"/>
      <c r="BZ912" s="621"/>
      <c r="CA912" s="621"/>
      <c r="CB912" s="323"/>
      <c r="CC912" s="325"/>
      <c r="CD912" s="621"/>
      <c r="CE912" s="591"/>
      <c r="CF912" s="621"/>
      <c r="CG912" s="621"/>
      <c r="CH912" s="323"/>
      <c r="CI912" s="325"/>
      <c r="CJ912" s="612"/>
      <c r="CK912" s="319"/>
      <c r="CL912" s="319"/>
      <c r="CM912" s="319"/>
      <c r="CN912" s="319"/>
      <c r="CO912" s="612"/>
      <c r="CP912" s="621"/>
      <c r="CQ912" s="319"/>
      <c r="CR912" s="319"/>
      <c r="CS912" s="623"/>
    </row>
    <row r="913" spans="1:97">
      <c r="A913" s="613"/>
      <c r="B913" s="319"/>
      <c r="C913" s="319"/>
      <c r="D913" s="612"/>
      <c r="E913" s="621"/>
      <c r="F913" s="319"/>
      <c r="G913" s="319"/>
      <c r="H913" s="319"/>
      <c r="I913" s="319"/>
      <c r="J913" s="621"/>
      <c r="K913" s="323"/>
      <c r="L913" s="591"/>
      <c r="M913" s="320"/>
      <c r="N913" s="320"/>
      <c r="O913" s="325"/>
      <c r="P913" s="621"/>
      <c r="Q913" s="621"/>
      <c r="R913" s="595"/>
      <c r="S913" s="595"/>
      <c r="T913" s="595"/>
      <c r="U913" s="327"/>
      <c r="V913" s="324"/>
      <c r="W913" s="319"/>
      <c r="X913" s="319"/>
      <c r="Y913" s="319"/>
      <c r="Z913" s="319"/>
      <c r="AA913" s="319"/>
      <c r="AB913" s="612"/>
      <c r="AC913" s="621"/>
      <c r="AD913" s="319"/>
      <c r="AE913" s="319"/>
      <c r="AF913" s="620"/>
      <c r="AG913" s="613"/>
      <c r="AH913" s="319"/>
      <c r="AI913" s="319"/>
      <c r="AJ913" s="319"/>
      <c r="AK913" s="319"/>
      <c r="AL913" s="319"/>
      <c r="AM913" s="319"/>
      <c r="AN913" s="319"/>
      <c r="AO913" s="319"/>
      <c r="AP913" s="621"/>
      <c r="AQ913" s="323"/>
      <c r="AR913" s="591"/>
      <c r="AS913" s="320"/>
      <c r="AT913" s="320"/>
      <c r="AU913" s="325"/>
      <c r="AV913" s="621"/>
      <c r="AW913" s="621"/>
      <c r="AX913" s="595"/>
      <c r="AY913" s="595"/>
      <c r="AZ913" s="595"/>
      <c r="BA913" s="327"/>
      <c r="BB913" s="324"/>
      <c r="BC913" s="319"/>
      <c r="BD913" s="611"/>
      <c r="BE913" s="319"/>
      <c r="BF913" s="319"/>
      <c r="BG913" s="319"/>
      <c r="BH913" s="631"/>
      <c r="BI913" s="631"/>
      <c r="BJ913" s="319"/>
      <c r="BK913" s="319"/>
      <c r="BL913" s="631"/>
      <c r="BM913" s="1"/>
      <c r="BN913" s="613"/>
      <c r="BO913" s="319"/>
      <c r="BP913" s="319"/>
      <c r="BQ913" s="612"/>
      <c r="BR913" s="621"/>
      <c r="BS913" s="319"/>
      <c r="BT913" s="319"/>
      <c r="BU913" s="319"/>
      <c r="BV913" s="319"/>
      <c r="BW913" s="621"/>
      <c r="BX913" s="323"/>
      <c r="BY913" s="591"/>
      <c r="BZ913" s="320"/>
      <c r="CA913" s="320"/>
      <c r="CB913" s="325"/>
      <c r="CC913" s="621"/>
      <c r="CD913" s="621"/>
      <c r="CE913" s="595"/>
      <c r="CF913" s="595"/>
      <c r="CG913" s="595"/>
      <c r="CH913" s="327"/>
      <c r="CI913" s="324"/>
      <c r="CJ913" s="319"/>
      <c r="CK913" s="319"/>
      <c r="CL913" s="319"/>
      <c r="CM913" s="319"/>
      <c r="CN913" s="319"/>
      <c r="CO913" s="612"/>
      <c r="CP913" s="621"/>
      <c r="CQ913" s="319"/>
      <c r="CR913" s="319"/>
      <c r="CS913" s="620"/>
    </row>
    <row r="914" spans="1:97">
      <c r="A914" s="319"/>
      <c r="B914" s="319"/>
      <c r="C914" s="319"/>
      <c r="D914" s="319"/>
      <c r="E914" s="319"/>
      <c r="F914" s="319"/>
      <c r="G914" s="319"/>
      <c r="H914" s="319"/>
      <c r="I914" s="319"/>
      <c r="J914" s="621"/>
      <c r="K914" s="325"/>
      <c r="L914" s="591"/>
      <c r="M914" s="591"/>
      <c r="N914" s="325"/>
      <c r="O914" s="325"/>
      <c r="P914" s="621"/>
      <c r="Q914" s="621"/>
      <c r="R914" s="621"/>
      <c r="S914" s="595"/>
      <c r="T914" s="327"/>
      <c r="U914" s="324"/>
      <c r="V914" s="621"/>
      <c r="W914" s="319"/>
      <c r="X914" s="319"/>
      <c r="Y914" s="319"/>
      <c r="Z914" s="319"/>
      <c r="AA914" s="319"/>
      <c r="AB914" s="319"/>
      <c r="AC914" s="319"/>
      <c r="AD914" s="319"/>
      <c r="AE914" s="319"/>
      <c r="AF914" s="620"/>
      <c r="AG914" s="613"/>
      <c r="AH914" s="613"/>
      <c r="AI914" s="319"/>
      <c r="AJ914" s="319"/>
      <c r="AK914" s="319"/>
      <c r="AL914" s="319"/>
      <c r="AM914" s="319"/>
      <c r="AN914" s="319"/>
      <c r="AO914" s="319"/>
      <c r="AP914" s="621"/>
      <c r="AQ914" s="325"/>
      <c r="AR914" s="591"/>
      <c r="AS914" s="591"/>
      <c r="AT914" s="325"/>
      <c r="AU914" s="325"/>
      <c r="AV914" s="621"/>
      <c r="AW914" s="621"/>
      <c r="AX914" s="621"/>
      <c r="AY914" s="595"/>
      <c r="AZ914" s="327"/>
      <c r="BA914" s="324"/>
      <c r="BB914" s="621"/>
      <c r="BC914" s="319"/>
      <c r="BD914" s="319"/>
      <c r="BE914" s="319"/>
      <c r="BF914" s="319"/>
      <c r="BG914" s="319"/>
      <c r="BH914" s="319"/>
      <c r="BI914" s="319"/>
      <c r="BJ914" s="613"/>
      <c r="BK914" s="319"/>
      <c r="BL914" s="631"/>
      <c r="BM914" s="1"/>
      <c r="BN914" s="319"/>
      <c r="BO914" s="319"/>
      <c r="BP914" s="319"/>
      <c r="BQ914" s="319"/>
      <c r="BR914" s="319"/>
      <c r="BS914" s="319"/>
      <c r="BT914" s="319"/>
      <c r="BU914" s="319"/>
      <c r="BV914" s="319"/>
      <c r="BW914" s="319"/>
      <c r="BX914" s="325"/>
      <c r="BY914" s="591"/>
      <c r="BZ914" s="591"/>
      <c r="CA914" s="325"/>
      <c r="CB914" s="325"/>
      <c r="CC914" s="621"/>
      <c r="CD914" s="621"/>
      <c r="CE914" s="621"/>
      <c r="CF914" s="595"/>
      <c r="CG914" s="327"/>
      <c r="CH914" s="324"/>
      <c r="CI914" s="621"/>
      <c r="CJ914" s="319"/>
      <c r="CK914" s="319"/>
      <c r="CL914" s="319"/>
      <c r="CM914" s="319"/>
      <c r="CN914" s="319"/>
      <c r="CO914" s="319"/>
      <c r="CP914" s="319"/>
      <c r="CQ914" s="319"/>
      <c r="CR914" s="319"/>
      <c r="CS914" s="620"/>
    </row>
    <row r="915" spans="1:97">
      <c r="A915" s="319"/>
      <c r="B915" s="319"/>
      <c r="C915" s="319"/>
      <c r="D915" s="319"/>
      <c r="E915" s="319"/>
      <c r="F915" s="319"/>
      <c r="G915" s="319"/>
      <c r="H915" s="319"/>
      <c r="I915" s="319"/>
      <c r="J915" s="319"/>
      <c r="K915" s="621"/>
      <c r="L915" s="323"/>
      <c r="M915" s="591"/>
      <c r="N915" s="323"/>
      <c r="O915" s="621"/>
      <c r="P915" s="323"/>
      <c r="Q915" s="621"/>
      <c r="R915" s="320"/>
      <c r="S915" s="327"/>
      <c r="T915" s="324"/>
      <c r="U915" s="325"/>
      <c r="V915" s="621"/>
      <c r="W915" s="319"/>
      <c r="X915" s="319"/>
      <c r="Y915" s="319"/>
      <c r="Z915" s="319"/>
      <c r="AA915" s="319"/>
      <c r="AB915" s="319"/>
      <c r="AC915" s="319"/>
      <c r="AD915" s="319"/>
      <c r="AE915" s="319"/>
      <c r="AF915" s="623"/>
      <c r="AG915" s="613"/>
      <c r="AH915" s="319"/>
      <c r="AI915" s="319"/>
      <c r="AJ915" s="319"/>
      <c r="AK915" s="319"/>
      <c r="AL915" s="319"/>
      <c r="AM915" s="319"/>
      <c r="AN915" s="319"/>
      <c r="AO915" s="319"/>
      <c r="AP915" s="319"/>
      <c r="AQ915" s="621"/>
      <c r="AR915" s="323"/>
      <c r="AS915" s="591"/>
      <c r="AT915" s="323"/>
      <c r="AU915" s="621"/>
      <c r="AV915" s="323"/>
      <c r="AW915" s="621"/>
      <c r="AX915" s="320"/>
      <c r="AY915" s="327"/>
      <c r="AZ915" s="324"/>
      <c r="BA915" s="325"/>
      <c r="BB915" s="621"/>
      <c r="BC915" s="319"/>
      <c r="BD915" s="319"/>
      <c r="BE915" s="319"/>
      <c r="BF915" s="319"/>
      <c r="BG915" s="319"/>
      <c r="BH915" s="319"/>
      <c r="BI915" s="319"/>
      <c r="BJ915" s="319"/>
      <c r="BK915" s="319"/>
      <c r="BL915" s="631"/>
      <c r="BM915" s="1"/>
      <c r="BN915" s="319"/>
      <c r="BO915" s="319"/>
      <c r="BP915" s="319"/>
      <c r="BQ915" s="319"/>
      <c r="BR915" s="323"/>
      <c r="BS915" s="319"/>
      <c r="BT915" s="319"/>
      <c r="BU915" s="319"/>
      <c r="BV915" s="591"/>
      <c r="BW915" s="319"/>
      <c r="BX915" s="621"/>
      <c r="BY915" s="323"/>
      <c r="BZ915" s="591"/>
      <c r="CA915" s="323"/>
      <c r="CB915" s="621"/>
      <c r="CC915" s="323"/>
      <c r="CD915" s="621"/>
      <c r="CE915" s="320"/>
      <c r="CF915" s="327"/>
      <c r="CG915" s="324"/>
      <c r="CH915" s="417"/>
      <c r="CI915" s="621"/>
      <c r="CJ915" s="319"/>
      <c r="CK915" s="319"/>
      <c r="CL915" s="319"/>
      <c r="CM915" s="319"/>
      <c r="CN915" s="319"/>
      <c r="CO915" s="319"/>
      <c r="CP915" s="319"/>
      <c r="CQ915" s="319"/>
      <c r="CR915" s="319"/>
      <c r="CS915" s="623"/>
    </row>
    <row r="916" spans="1:97">
      <c r="A916" s="319"/>
      <c r="B916" s="319"/>
      <c r="C916" s="319"/>
      <c r="D916" s="319"/>
      <c r="E916" s="319"/>
      <c r="F916" s="319"/>
      <c r="G916" s="319"/>
      <c r="H916" s="319"/>
      <c r="I916" s="319"/>
      <c r="J916" s="319"/>
      <c r="K916" s="325"/>
      <c r="L916" s="621"/>
      <c r="M916" s="323"/>
      <c r="N916" s="591"/>
      <c r="O916" s="320"/>
      <c r="P916" s="591"/>
      <c r="Q916" s="323"/>
      <c r="R916" s="327"/>
      <c r="S916" s="324"/>
      <c r="T916" s="324"/>
      <c r="U916" s="417"/>
      <c r="V916" s="621"/>
      <c r="W916" s="319"/>
      <c r="X916" s="319"/>
      <c r="Y916" s="319"/>
      <c r="Z916" s="410"/>
      <c r="AA916" s="410"/>
      <c r="AB916" s="319"/>
      <c r="AC916" s="319"/>
      <c r="AD916" s="319"/>
      <c r="AE916" s="319"/>
      <c r="AF916" s="618"/>
      <c r="AG916" s="613"/>
      <c r="AH916" s="613"/>
      <c r="AI916" s="319"/>
      <c r="AJ916" s="319"/>
      <c r="AK916" s="319"/>
      <c r="AL916" s="325"/>
      <c r="AM916" s="319"/>
      <c r="AN916" s="319"/>
      <c r="AO916" s="319"/>
      <c r="AP916" s="319"/>
      <c r="AQ916" s="325"/>
      <c r="AR916" s="621"/>
      <c r="AS916" s="323"/>
      <c r="AT916" s="591"/>
      <c r="AU916" s="320"/>
      <c r="AV916" s="591"/>
      <c r="AW916" s="323"/>
      <c r="AX916" s="327"/>
      <c r="AY916" s="324"/>
      <c r="AZ916" s="324"/>
      <c r="BA916" s="417"/>
      <c r="BB916" s="621"/>
      <c r="BC916" s="319"/>
      <c r="BD916" s="319"/>
      <c r="BE916" s="319"/>
      <c r="BF916" s="319"/>
      <c r="BG916" s="319"/>
      <c r="BH916" s="319"/>
      <c r="BI916" s="319"/>
      <c r="BJ916" s="319"/>
      <c r="BK916" s="319"/>
      <c r="BL916" s="631"/>
      <c r="BM916" s="1"/>
      <c r="BN916" s="319"/>
      <c r="BO916" s="319"/>
      <c r="BP916" s="321"/>
      <c r="BQ916" s="591"/>
      <c r="BR916" s="321"/>
      <c r="BS916" s="591"/>
      <c r="BT916" s="319"/>
      <c r="BU916" s="319"/>
      <c r="BV916" s="324"/>
      <c r="BW916" s="319"/>
      <c r="BX916" s="325"/>
      <c r="BY916" s="621"/>
      <c r="BZ916" s="323"/>
      <c r="CA916" s="591"/>
      <c r="CB916" s="320"/>
      <c r="CC916" s="591"/>
      <c r="CD916" s="323"/>
      <c r="CE916" s="327"/>
      <c r="CF916" s="324"/>
      <c r="CG916" s="325"/>
      <c r="CH916" s="417"/>
      <c r="CI916" s="621"/>
      <c r="CJ916" s="319"/>
      <c r="CK916" s="319"/>
      <c r="CL916" s="319"/>
      <c r="CM916" s="410"/>
      <c r="CN916" s="410"/>
      <c r="CO916" s="319"/>
      <c r="CP916" s="319"/>
      <c r="CQ916" s="319"/>
      <c r="CR916" s="319"/>
      <c r="CS916" s="618"/>
    </row>
    <row r="917" spans="1:97">
      <c r="A917" s="611"/>
      <c r="B917" s="319"/>
      <c r="C917" s="319"/>
      <c r="D917" s="319"/>
      <c r="E917" s="319"/>
      <c r="F917" s="319"/>
      <c r="G917" s="319"/>
      <c r="H917" s="319"/>
      <c r="I917" s="319"/>
      <c r="J917" s="319"/>
      <c r="K917" s="319"/>
      <c r="L917" s="621"/>
      <c r="M917" s="325"/>
      <c r="N917" s="323"/>
      <c r="O917" s="327"/>
      <c r="P917" s="591"/>
      <c r="Q917" s="325"/>
      <c r="R917" s="323"/>
      <c r="S917" s="325"/>
      <c r="T917" s="621"/>
      <c r="U917" s="621"/>
      <c r="V917" s="319"/>
      <c r="W917" s="319"/>
      <c r="X917" s="319"/>
      <c r="Y917" s="319"/>
      <c r="Z917" s="433"/>
      <c r="AA917" s="319"/>
      <c r="AB917" s="319"/>
      <c r="AC917" s="319"/>
      <c r="AD917" s="319"/>
      <c r="AE917" s="319"/>
      <c r="AF917" s="617"/>
      <c r="AG917" s="613"/>
      <c r="AH917" s="319"/>
      <c r="AI917" s="612"/>
      <c r="AJ917" s="621"/>
      <c r="AK917" s="596"/>
      <c r="AL917" s="319"/>
      <c r="AM917" s="319"/>
      <c r="AN917" s="319"/>
      <c r="AO917" s="319"/>
      <c r="AP917" s="319"/>
      <c r="AQ917" s="319"/>
      <c r="AR917" s="621"/>
      <c r="AS917" s="325"/>
      <c r="AT917" s="323"/>
      <c r="AU917" s="327"/>
      <c r="AV917" s="591"/>
      <c r="AW917" s="325"/>
      <c r="AX917" s="323"/>
      <c r="AY917" s="325"/>
      <c r="AZ917" s="621"/>
      <c r="BA917" s="621"/>
      <c r="BB917" s="319"/>
      <c r="BC917" s="319"/>
      <c r="BD917" s="319"/>
      <c r="BE917" s="319"/>
      <c r="BF917" s="319"/>
      <c r="BG917" s="319"/>
      <c r="BH917" s="613"/>
      <c r="BI917" s="319"/>
      <c r="BJ917" s="319"/>
      <c r="BK917" s="319"/>
      <c r="BL917" s="616"/>
      <c r="BM917" s="1"/>
      <c r="BN917" s="611"/>
      <c r="BO917" s="319"/>
      <c r="BP917" s="323"/>
      <c r="BQ917" s="321"/>
      <c r="BR917" s="591"/>
      <c r="BS917" s="319"/>
      <c r="BT917" s="591"/>
      <c r="BU917" s="324"/>
      <c r="BV917" s="324"/>
      <c r="BX917" s="319"/>
      <c r="BY917" s="621"/>
      <c r="BZ917" s="325"/>
      <c r="CA917" s="323"/>
      <c r="CB917" s="591"/>
      <c r="CC917" s="591"/>
      <c r="CD917" s="325"/>
      <c r="CE917" s="591"/>
      <c r="CF917" s="325"/>
      <c r="CG917" s="621"/>
      <c r="CH917" s="621"/>
      <c r="CI917" s="319"/>
      <c r="CJ917" s="319"/>
      <c r="CK917" s="319"/>
      <c r="CL917" s="319"/>
      <c r="CM917" s="433"/>
      <c r="CN917" s="319"/>
      <c r="CO917" s="319"/>
      <c r="CP917" s="319"/>
      <c r="CQ917" s="319"/>
      <c r="CR917" s="319"/>
      <c r="CS917" s="617"/>
    </row>
    <row r="918" spans="1:97">
      <c r="A918" s="613"/>
      <c r="B918" s="319"/>
      <c r="C918" s="319"/>
      <c r="D918" s="319"/>
      <c r="E918" s="319"/>
      <c r="F918" s="319"/>
      <c r="G918" s="319"/>
      <c r="H918" s="319"/>
      <c r="I918" s="319"/>
      <c r="J918" s="319"/>
      <c r="K918" s="319"/>
      <c r="L918" s="621"/>
      <c r="M918" s="621"/>
      <c r="N918" s="591"/>
      <c r="O918" s="631"/>
      <c r="P918" s="323"/>
      <c r="Q918" s="323"/>
      <c r="R918" s="422"/>
      <c r="S918" s="621"/>
      <c r="T918" s="422"/>
      <c r="U918" s="319"/>
      <c r="V918" s="319"/>
      <c r="W918" s="319"/>
      <c r="X918" s="319"/>
      <c r="Y918" s="319"/>
      <c r="Z918" s="319"/>
      <c r="AA918" s="319"/>
      <c r="AB918" s="319"/>
      <c r="AC918" s="621"/>
      <c r="AD918" s="319"/>
      <c r="AE918" s="319"/>
      <c r="AF918" s="618"/>
      <c r="AG918" s="631"/>
      <c r="AH918" s="613"/>
      <c r="AI918" s="612"/>
      <c r="AJ918" s="319"/>
      <c r="AK918" s="325"/>
      <c r="AL918" s="596"/>
      <c r="AM918" s="319"/>
      <c r="AN918" s="319"/>
      <c r="AO918" s="319"/>
      <c r="AP918" s="319"/>
      <c r="AQ918" s="319"/>
      <c r="AR918" s="621"/>
      <c r="AS918" s="621"/>
      <c r="AT918" s="591"/>
      <c r="AU918" s="631"/>
      <c r="AV918" s="323"/>
      <c r="AW918" s="323"/>
      <c r="AX918" s="422"/>
      <c r="AY918" s="621"/>
      <c r="AZ918" s="422"/>
      <c r="BA918" s="319"/>
      <c r="BB918" s="319"/>
      <c r="BC918" s="319"/>
      <c r="BD918" s="319"/>
      <c r="BE918" s="319"/>
      <c r="BF918" s="319"/>
      <c r="BG918" s="319"/>
      <c r="BH918" s="319"/>
      <c r="BI918" s="319"/>
      <c r="BJ918" s="319"/>
      <c r="BK918" s="319"/>
      <c r="BL918" s="631"/>
      <c r="BM918" s="1"/>
      <c r="BN918" s="613"/>
      <c r="BO918" s="319"/>
      <c r="BP918" s="321"/>
      <c r="BQ918" s="591"/>
      <c r="BR918" s="321"/>
      <c r="BS918" s="324"/>
      <c r="BT918" s="325"/>
      <c r="BU918" s="323"/>
      <c r="BV918" s="324"/>
      <c r="BX918" s="319"/>
      <c r="BY918" s="621"/>
      <c r="BZ918" s="621"/>
      <c r="CA918" s="591"/>
      <c r="CB918" s="631"/>
      <c r="CC918" s="323"/>
      <c r="CD918" s="323"/>
      <c r="CE918" s="422"/>
      <c r="CF918" s="621"/>
      <c r="CG918" s="422"/>
      <c r="CH918" s="319"/>
      <c r="CI918" s="319"/>
      <c r="CJ918" s="319"/>
      <c r="CK918" s="319"/>
      <c r="CL918" s="319"/>
      <c r="CM918" s="319"/>
      <c r="CN918" s="319"/>
      <c r="CO918" s="319"/>
      <c r="CP918" s="621"/>
      <c r="CQ918" s="319"/>
      <c r="CR918" s="319"/>
      <c r="CS918" s="618"/>
    </row>
    <row r="919" spans="1:97">
      <c r="A919" s="613"/>
      <c r="B919" s="321"/>
      <c r="C919" s="321"/>
      <c r="D919" s="319"/>
      <c r="E919" s="319"/>
      <c r="F919" s="319"/>
      <c r="G919" s="319"/>
      <c r="H919" s="319"/>
      <c r="I919" s="319"/>
      <c r="J919" s="319"/>
      <c r="K919" s="632"/>
      <c r="L919" s="621"/>
      <c r="M919" s="325"/>
      <c r="N919" s="595"/>
      <c r="O919" s="323"/>
      <c r="P919" s="595"/>
      <c r="Q919" s="621"/>
      <c r="R919" s="422"/>
      <c r="S919" s="324"/>
      <c r="T919" s="422"/>
      <c r="U919" s="319"/>
      <c r="V919" s="319"/>
      <c r="W919" s="319"/>
      <c r="X919" s="319"/>
      <c r="Y919" s="319"/>
      <c r="Z919" s="321"/>
      <c r="AA919" s="321"/>
      <c r="AB919" s="321"/>
      <c r="AC919" s="321"/>
      <c r="AD919" s="613"/>
      <c r="AE919" s="321"/>
      <c r="AF919" s="615"/>
      <c r="AG919" s="612"/>
      <c r="AH919" s="613"/>
      <c r="AI919" s="319"/>
      <c r="AJ919" s="319"/>
      <c r="AK919" s="596"/>
      <c r="AL919" s="319"/>
      <c r="AM919" s="319"/>
      <c r="AN919" s="319"/>
      <c r="AO919" s="319"/>
      <c r="AP919" s="319"/>
      <c r="AQ919" s="632"/>
      <c r="AR919" s="621"/>
      <c r="AS919" s="325"/>
      <c r="AT919" s="595"/>
      <c r="AU919" s="323"/>
      <c r="AV919" s="595"/>
      <c r="AW919" s="621"/>
      <c r="AX919" s="422"/>
      <c r="AY919" s="324"/>
      <c r="AZ919" s="422"/>
      <c r="BA919" s="319"/>
      <c r="BB919" s="319"/>
      <c r="BC919" s="319"/>
      <c r="BD919" s="319"/>
      <c r="BE919" s="319"/>
      <c r="BF919" s="319"/>
      <c r="BG919" s="613"/>
      <c r="BH919" s="321"/>
      <c r="BI919" s="321"/>
      <c r="BJ919" s="319"/>
      <c r="BK919" s="321"/>
      <c r="BL919" s="631"/>
      <c r="BM919" s="1"/>
      <c r="BN919" s="613"/>
      <c r="BO919" s="321"/>
      <c r="BP919" s="433"/>
      <c r="BQ919" s="591"/>
      <c r="BR919" s="591"/>
      <c r="BS919" s="323"/>
      <c r="BT919" s="324"/>
      <c r="BU919" s="323"/>
      <c r="BV919" s="324"/>
      <c r="BX919" s="632"/>
      <c r="BY919" s="621"/>
      <c r="BZ919" s="325"/>
      <c r="CA919" s="595"/>
      <c r="CB919" s="323"/>
      <c r="CC919" s="595"/>
      <c r="CD919" s="621"/>
      <c r="CE919" s="323"/>
      <c r="CF919" s="324"/>
      <c r="CG919" s="422"/>
      <c r="CH919" s="319"/>
      <c r="CI919" s="319"/>
      <c r="CJ919" s="319"/>
      <c r="CK919" s="319"/>
      <c r="CL919" s="319"/>
      <c r="CM919" s="321"/>
      <c r="CN919" s="321"/>
      <c r="CO919" s="321"/>
      <c r="CP919" s="321"/>
      <c r="CQ919" s="613"/>
      <c r="CR919" s="321"/>
      <c r="CS919" s="615"/>
    </row>
    <row r="920" spans="1:97">
      <c r="A920" s="321"/>
      <c r="B920" s="321"/>
      <c r="C920" s="321"/>
      <c r="D920" s="319"/>
      <c r="E920" s="319"/>
      <c r="F920" s="319"/>
      <c r="G920" s="319"/>
      <c r="H920" s="319"/>
      <c r="I920" s="319"/>
      <c r="J920" s="319"/>
      <c r="K920" s="319"/>
      <c r="L920" s="621"/>
      <c r="M920" s="323"/>
      <c r="N920" s="422"/>
      <c r="O920" s="591"/>
      <c r="P920" s="323"/>
      <c r="Q920" s="323"/>
      <c r="R920" s="324"/>
      <c r="S920" s="422"/>
      <c r="T920" s="621"/>
      <c r="U920" s="319"/>
      <c r="V920" s="319"/>
      <c r="W920" s="319"/>
      <c r="X920" s="319"/>
      <c r="Y920" s="321"/>
      <c r="Z920" s="321"/>
      <c r="AA920" s="321"/>
      <c r="AB920" s="321"/>
      <c r="AC920" s="321"/>
      <c r="AD920" s="321"/>
      <c r="AE920" s="321"/>
      <c r="AF920" s="615"/>
      <c r="AG920" s="321"/>
      <c r="AH920" s="612"/>
      <c r="AI920" s="321"/>
      <c r="AJ920" s="321"/>
      <c r="AK920" s="325"/>
      <c r="AL920" s="319"/>
      <c r="AM920" s="319"/>
      <c r="AN920" s="319"/>
      <c r="AO920" s="319"/>
      <c r="AP920" s="319"/>
      <c r="AQ920" s="319"/>
      <c r="AR920" s="621"/>
      <c r="AS920" s="323"/>
      <c r="AT920" s="422"/>
      <c r="AU920" s="591"/>
      <c r="AV920" s="323"/>
      <c r="AW920" s="323"/>
      <c r="AX920" s="324"/>
      <c r="AY920" s="422"/>
      <c r="AZ920" s="621"/>
      <c r="BA920" s="319"/>
      <c r="BB920" s="319"/>
      <c r="BC920" s="319"/>
      <c r="BD920" s="319"/>
      <c r="BE920" s="321"/>
      <c r="BF920" s="319"/>
      <c r="BG920" s="321"/>
      <c r="BH920" s="321"/>
      <c r="BI920" s="321"/>
      <c r="BJ920" s="321"/>
      <c r="BK920" s="321"/>
      <c r="BL920" s="631"/>
      <c r="BM920" s="1"/>
      <c r="BN920" s="321"/>
      <c r="BO920" s="321"/>
      <c r="BP920" s="321"/>
      <c r="BQ920" s="321"/>
      <c r="BR920" s="591"/>
      <c r="BS920" s="324"/>
      <c r="BT920" s="327"/>
      <c r="BU920" s="324"/>
      <c r="BX920" s="319"/>
      <c r="BY920" s="621"/>
      <c r="BZ920" s="323"/>
      <c r="CA920" s="422"/>
      <c r="CB920" s="591"/>
      <c r="CC920" s="591"/>
      <c r="CD920" s="323"/>
      <c r="CE920" s="591"/>
      <c r="CF920" s="324"/>
      <c r="CG920" s="621"/>
      <c r="CH920" s="319"/>
      <c r="CI920" s="319"/>
      <c r="CJ920" s="319"/>
      <c r="CK920" s="319"/>
      <c r="CL920" s="321"/>
      <c r="CM920" s="321"/>
      <c r="CN920" s="321"/>
      <c r="CO920" s="321"/>
      <c r="CP920" s="321"/>
      <c r="CQ920" s="321"/>
      <c r="CR920" s="321"/>
      <c r="CS920" s="615"/>
    </row>
    <row r="921" spans="1:97">
      <c r="A921" s="321"/>
      <c r="B921" s="321"/>
      <c r="C921" s="321"/>
      <c r="D921" s="319"/>
      <c r="E921" s="319"/>
      <c r="F921" s="319"/>
      <c r="G921" s="319"/>
      <c r="H921" s="319"/>
      <c r="I921" s="319"/>
      <c r="J921" s="319"/>
      <c r="K921" s="319"/>
      <c r="L921" s="321"/>
      <c r="M921" s="631"/>
      <c r="N921" s="324"/>
      <c r="O921" s="323"/>
      <c r="P921" s="324"/>
      <c r="Q921" s="323"/>
      <c r="R921" s="422"/>
      <c r="S921" s="621"/>
      <c r="T921" s="321"/>
      <c r="U921" s="321"/>
      <c r="V921" s="321"/>
      <c r="W921" s="321"/>
      <c r="X921" s="321"/>
      <c r="Y921" s="321"/>
      <c r="Z921" s="321"/>
      <c r="AA921" s="321"/>
      <c r="AB921" s="321"/>
      <c r="AC921" s="321"/>
      <c r="AD921" s="321"/>
      <c r="AE921" s="321"/>
      <c r="AF921" s="620"/>
      <c r="AG921" s="321"/>
      <c r="AH921" s="321"/>
      <c r="AI921" s="321"/>
      <c r="AJ921" s="321"/>
      <c r="AK921" s="319"/>
      <c r="AL921" s="321"/>
      <c r="AM921" s="321"/>
      <c r="AN921" s="321"/>
      <c r="AO921" s="321"/>
      <c r="AP921" s="319"/>
      <c r="AQ921" s="319"/>
      <c r="AR921" s="321"/>
      <c r="AS921" s="631"/>
      <c r="AT921" s="324"/>
      <c r="AU921" s="323"/>
      <c r="AV921" s="324"/>
      <c r="AW921" s="323"/>
      <c r="AX921" s="422"/>
      <c r="AY921" s="621"/>
      <c r="AZ921" s="321"/>
      <c r="BA921" s="321"/>
      <c r="BB921" s="321"/>
      <c r="BC921" s="321"/>
      <c r="BD921" s="321"/>
      <c r="BE921" s="321"/>
      <c r="BF921" s="321"/>
      <c r="BG921" s="321"/>
      <c r="BH921" s="321"/>
      <c r="BI921" s="321"/>
      <c r="BJ921" s="321"/>
      <c r="BK921" s="321"/>
      <c r="BL921" s="619"/>
      <c r="BM921" s="1"/>
      <c r="BN921" s="321"/>
      <c r="BO921" s="321"/>
      <c r="BR921" s="321"/>
      <c r="BS921" s="591"/>
      <c r="BT921" s="327"/>
      <c r="BU921" s="323"/>
      <c r="BV921" s="321"/>
      <c r="BX921" s="319"/>
      <c r="BY921" s="321"/>
      <c r="BZ921" s="631"/>
      <c r="CA921" s="323"/>
      <c r="CB921" s="323"/>
      <c r="CC921" s="422"/>
      <c r="CD921" s="324"/>
      <c r="CE921" s="324"/>
      <c r="CF921" s="621"/>
      <c r="CG921" s="321"/>
      <c r="CH921" s="321"/>
      <c r="CI921" s="321"/>
      <c r="CJ921" s="321"/>
      <c r="CK921" s="321"/>
      <c r="CL921" s="321"/>
      <c r="CM921" s="321"/>
      <c r="CN921" s="321"/>
      <c r="CO921" s="321"/>
      <c r="CP921" s="321"/>
      <c r="CQ921" s="321"/>
      <c r="CR921" s="321"/>
      <c r="CS921" s="620"/>
    </row>
    <row r="922" spans="1:97">
      <c r="A922" s="321"/>
      <c r="B922" s="321"/>
      <c r="C922" s="321"/>
      <c r="D922" s="319"/>
      <c r="E922" s="319"/>
      <c r="F922" s="319"/>
      <c r="G922" s="319"/>
      <c r="H922" s="319"/>
      <c r="I922" s="319"/>
      <c r="J922" s="319"/>
      <c r="K922" s="321"/>
      <c r="L922" s="321"/>
      <c r="M922" s="321"/>
      <c r="N922" s="621"/>
      <c r="O922" s="621"/>
      <c r="P922" s="621"/>
      <c r="Q922" s="621"/>
      <c r="R922" s="621"/>
      <c r="S922" s="321"/>
      <c r="T922" s="321"/>
      <c r="U922" s="321"/>
      <c r="V922" s="321"/>
      <c r="W922" s="321"/>
      <c r="X922" s="321"/>
      <c r="Y922" s="613"/>
      <c r="Z922" s="321"/>
      <c r="AA922" s="321"/>
      <c r="AB922" s="321"/>
      <c r="AC922" s="321"/>
      <c r="AD922" s="321"/>
      <c r="AE922" s="321"/>
      <c r="AF922" s="615"/>
      <c r="AG922" s="612"/>
      <c r="AH922" s="321"/>
      <c r="AI922" s="321"/>
      <c r="AJ922" s="321"/>
      <c r="AK922" s="319"/>
      <c r="AL922" s="321"/>
      <c r="AM922" s="321"/>
      <c r="AN922" s="319"/>
      <c r="AO922" s="321"/>
      <c r="AP922" s="319"/>
      <c r="AQ922" s="321"/>
      <c r="AR922" s="321"/>
      <c r="AS922" s="321"/>
      <c r="AT922" s="621"/>
      <c r="AU922" s="621"/>
      <c r="AV922" s="621"/>
      <c r="AW922" s="621"/>
      <c r="AX922" s="621"/>
      <c r="AY922" s="321"/>
      <c r="AZ922" s="321"/>
      <c r="BA922" s="321"/>
      <c r="BB922" s="321"/>
      <c r="BC922" s="321"/>
      <c r="BD922" s="321"/>
      <c r="BE922" s="613"/>
      <c r="BF922" s="321"/>
      <c r="BG922" s="321"/>
      <c r="BH922" s="321"/>
      <c r="BI922" s="321"/>
      <c r="BJ922" s="321"/>
      <c r="BK922" s="321"/>
      <c r="BL922" s="614"/>
      <c r="BM922" s="1"/>
      <c r="BR922" s="321"/>
      <c r="BX922" s="321"/>
      <c r="BY922" s="321"/>
      <c r="BZ922" s="321"/>
      <c r="CA922" s="422"/>
      <c r="CB922" s="621"/>
      <c r="CC922" s="621"/>
      <c r="CD922" s="422"/>
      <c r="CE922" s="621"/>
      <c r="CF922" s="321"/>
      <c r="CG922" s="321"/>
      <c r="CH922" s="321"/>
      <c r="CI922" s="321"/>
      <c r="CJ922" s="321"/>
      <c r="CK922" s="321"/>
      <c r="CL922" s="613"/>
      <c r="CM922" s="321"/>
      <c r="CN922" s="321"/>
      <c r="CO922" s="321"/>
      <c r="CP922" s="321"/>
      <c r="CQ922" s="321"/>
      <c r="CR922" s="321"/>
      <c r="CS922" s="615"/>
    </row>
    <row r="923" spans="1:97">
      <c r="A923" s="321"/>
      <c r="B923" s="321"/>
      <c r="C923" s="321"/>
      <c r="D923" s="319"/>
      <c r="E923" s="319"/>
      <c r="F923" s="319"/>
      <c r="G923" s="319"/>
      <c r="H923" s="319"/>
      <c r="I923" s="319"/>
      <c r="J923" s="319"/>
      <c r="K923" s="321"/>
      <c r="L923" s="321"/>
      <c r="M923" s="321"/>
      <c r="N923" s="321"/>
      <c r="O923" s="321"/>
      <c r="P923" s="321"/>
      <c r="Q923" s="321"/>
      <c r="R923" s="321"/>
      <c r="S923" s="321"/>
      <c r="T923" s="321"/>
      <c r="U923" s="321"/>
      <c r="V923" s="321"/>
      <c r="W923" s="321"/>
      <c r="X923" s="321"/>
      <c r="Y923" s="321"/>
      <c r="Z923" s="321"/>
      <c r="AA923" s="321"/>
      <c r="AB923" s="321"/>
      <c r="AC923" s="321"/>
      <c r="AD923" s="321"/>
      <c r="AE923" s="321"/>
      <c r="AF923" s="620"/>
      <c r="AG923" s="631"/>
      <c r="AH923" s="321"/>
      <c r="AI923" s="321"/>
      <c r="AJ923" s="321"/>
      <c r="AK923" s="321"/>
      <c r="AL923" s="321"/>
      <c r="AM923" s="321"/>
      <c r="AN923" s="321"/>
      <c r="AO923" s="321"/>
      <c r="AP923" s="321"/>
      <c r="AQ923" s="321"/>
      <c r="AR923" s="321"/>
      <c r="AS923" s="321"/>
      <c r="AT923" s="321"/>
      <c r="AU923" s="321"/>
      <c r="AV923" s="321"/>
      <c r="AW923" s="321"/>
      <c r="AX923" s="611"/>
      <c r="AY923" s="321"/>
      <c r="AZ923" s="321"/>
      <c r="BA923" s="321"/>
      <c r="BB923" s="321"/>
      <c r="BC923" s="321"/>
      <c r="BD923" s="612"/>
      <c r="BE923" s="321"/>
      <c r="BF923" s="321"/>
      <c r="BG923" s="321"/>
      <c r="BH923" s="321"/>
      <c r="BI923" s="321"/>
      <c r="BJ923" s="321"/>
      <c r="BK923" s="631"/>
      <c r="BL923" s="631"/>
      <c r="BM923" s="1"/>
      <c r="BR923" s="321"/>
      <c r="BX923" s="321"/>
      <c r="BY923" s="321"/>
      <c r="BZ923" s="321"/>
      <c r="CA923" s="321"/>
      <c r="CB923" s="321"/>
      <c r="CC923" s="321"/>
      <c r="CD923" s="321"/>
      <c r="CE923" s="321"/>
      <c r="CF923" s="321"/>
      <c r="CG923" s="321"/>
      <c r="CH923" s="321"/>
      <c r="CI923" s="321"/>
      <c r="CJ923" s="321"/>
      <c r="CK923" s="321"/>
      <c r="CL923" s="321"/>
      <c r="CM923" s="321"/>
      <c r="CN923" s="321"/>
      <c r="CO923" s="321"/>
      <c r="CP923" s="321"/>
      <c r="CQ923" s="321"/>
      <c r="CR923" s="321"/>
      <c r="CS923" s="620"/>
    </row>
    <row r="924" spans="1:97">
      <c r="A924" s="321"/>
      <c r="B924" s="321"/>
      <c r="C924" s="321"/>
      <c r="D924" s="621"/>
      <c r="E924" s="612"/>
      <c r="F924" s="321"/>
      <c r="G924" s="319"/>
      <c r="H924" s="319"/>
      <c r="I924" s="319"/>
      <c r="J924" s="319"/>
      <c r="K924" s="321"/>
      <c r="L924" s="321"/>
      <c r="M924" s="321"/>
      <c r="N924" s="321"/>
      <c r="O924" s="321"/>
      <c r="P924" s="321"/>
      <c r="Q924" s="321"/>
      <c r="R924" s="321"/>
      <c r="S924" s="321"/>
      <c r="T924" s="321"/>
      <c r="U924" s="319"/>
      <c r="V924" s="319"/>
      <c r="W924" s="319"/>
      <c r="X924" s="319"/>
      <c r="Y924" s="321"/>
      <c r="Z924" s="321"/>
      <c r="AA924" s="321"/>
      <c r="AB924" s="621"/>
      <c r="AC924" s="621"/>
      <c r="AD924" s="321"/>
      <c r="AE924" s="321"/>
      <c r="AF924" s="620"/>
      <c r="AG924" s="631"/>
      <c r="AH924" s="321"/>
      <c r="AI924" s="321"/>
      <c r="AJ924" s="319"/>
      <c r="AK924" s="631"/>
      <c r="AL924" s="321"/>
      <c r="AM924" s="321"/>
      <c r="AN924" s="611"/>
      <c r="AO924" s="319"/>
      <c r="AP924" s="321"/>
      <c r="AQ924" s="321"/>
      <c r="AR924" s="321"/>
      <c r="AS924" s="321"/>
      <c r="AT924" s="321"/>
      <c r="AU924" s="321"/>
      <c r="AV924" s="321"/>
      <c r="AW924" s="321"/>
      <c r="AX924" s="321"/>
      <c r="AY924" s="321"/>
      <c r="AZ924" s="321"/>
      <c r="BA924" s="319"/>
      <c r="BB924" s="319"/>
      <c r="BC924" s="319"/>
      <c r="BD924" s="612"/>
      <c r="BE924" s="321"/>
      <c r="BF924" s="321"/>
      <c r="BG924" s="321"/>
      <c r="BH924" s="621"/>
      <c r="BI924" s="621"/>
      <c r="BJ924" s="319"/>
      <c r="BK924" s="319"/>
      <c r="BL924" s="631"/>
      <c r="BM924" s="1"/>
      <c r="BN924" s="321"/>
      <c r="BO924" s="321"/>
      <c r="BP924" s="321"/>
      <c r="BQ924" s="621"/>
      <c r="BR924" s="612"/>
      <c r="BX924" s="321"/>
      <c r="BY924" s="321"/>
      <c r="BZ924" s="321"/>
      <c r="CA924" s="321"/>
      <c r="CB924" s="321"/>
      <c r="CC924" s="321"/>
      <c r="CD924" s="321"/>
      <c r="CE924" s="321"/>
      <c r="CF924" s="321"/>
      <c r="CG924" s="321"/>
      <c r="CH924" s="319"/>
      <c r="CI924" s="319"/>
      <c r="CJ924" s="319"/>
      <c r="CK924" s="319"/>
      <c r="CL924" s="321"/>
      <c r="CM924" s="321"/>
      <c r="CN924" s="321"/>
      <c r="CO924" s="621"/>
      <c r="CP924" s="621"/>
      <c r="CQ924" s="321"/>
      <c r="CR924" s="321"/>
      <c r="CS924" s="620"/>
    </row>
    <row r="925" spans="1:97">
      <c r="A925" s="611"/>
      <c r="B925" s="321"/>
      <c r="C925" s="321"/>
      <c r="D925" s="613"/>
      <c r="E925" s="621"/>
      <c r="F925" s="321"/>
      <c r="G925" s="321"/>
      <c r="H925" s="321"/>
      <c r="I925" s="571"/>
      <c r="J925" s="321"/>
      <c r="K925" s="321"/>
      <c r="L925" s="321"/>
      <c r="M925" s="321"/>
      <c r="N925" s="321"/>
      <c r="O925" s="321"/>
      <c r="P925" s="321"/>
      <c r="Q925" s="321"/>
      <c r="R925" s="321"/>
      <c r="S925" s="321"/>
      <c r="T925" s="321"/>
      <c r="U925" s="319"/>
      <c r="V925" s="319"/>
      <c r="W925" s="319"/>
      <c r="X925" s="613"/>
      <c r="Y925" s="321"/>
      <c r="Z925" s="321"/>
      <c r="AA925" s="321"/>
      <c r="AB925" s="612"/>
      <c r="AC925" s="621"/>
      <c r="AD925" s="321"/>
      <c r="AE925" s="321"/>
      <c r="AF925" s="623"/>
      <c r="AG925" s="631"/>
      <c r="AH925" s="321"/>
      <c r="AI925" s="321"/>
      <c r="AJ925" s="631"/>
      <c r="AK925" s="631"/>
      <c r="AL925" s="321"/>
      <c r="AM925" s="321"/>
      <c r="AN925" s="321"/>
      <c r="AO925" s="321"/>
      <c r="AP925" s="321"/>
      <c r="AQ925" s="321"/>
      <c r="AR925" s="321"/>
      <c r="AS925" s="321"/>
      <c r="AT925" s="321"/>
      <c r="AU925" s="321"/>
      <c r="AV925" s="321"/>
      <c r="AW925" s="611"/>
      <c r="AX925" s="321"/>
      <c r="AY925" s="321"/>
      <c r="AZ925" s="321"/>
      <c r="BA925" s="319"/>
      <c r="BB925" s="319"/>
      <c r="BC925" s="612"/>
      <c r="BD925" s="319"/>
      <c r="BE925" s="319"/>
      <c r="BF925" s="321"/>
      <c r="BG925" s="321"/>
      <c r="BH925" s="612"/>
      <c r="BI925" s="621"/>
      <c r="BJ925" s="631"/>
      <c r="BK925" s="631"/>
      <c r="BL925" s="631"/>
      <c r="BM925" s="1"/>
      <c r="BN925" s="611"/>
      <c r="BO925" s="321"/>
      <c r="BP925" s="321"/>
      <c r="BQ925" s="613"/>
      <c r="BR925" s="621"/>
      <c r="BS925" s="321"/>
      <c r="BT925" s="321"/>
      <c r="BU925" s="321"/>
      <c r="BV925" s="571"/>
      <c r="BW925" s="321"/>
      <c r="BX925" s="321"/>
      <c r="BY925" s="321"/>
      <c r="BZ925" s="321"/>
      <c r="CA925" s="321"/>
      <c r="CB925" s="321"/>
      <c r="CC925" s="321"/>
      <c r="CD925" s="321"/>
      <c r="CE925" s="321"/>
      <c r="CF925" s="321"/>
      <c r="CG925" s="321"/>
      <c r="CH925" s="319"/>
      <c r="CI925" s="319"/>
      <c r="CJ925" s="319"/>
      <c r="CK925" s="613"/>
      <c r="CL925" s="321"/>
      <c r="CM925" s="321"/>
      <c r="CN925" s="321"/>
      <c r="CO925" s="612"/>
      <c r="CP925" s="621"/>
      <c r="CQ925" s="321"/>
      <c r="CR925" s="321"/>
      <c r="CS925" s="623"/>
    </row>
    <row r="926" spans="1:97">
      <c r="A926" s="613"/>
      <c r="B926" s="321"/>
      <c r="C926" s="321"/>
      <c r="D926" s="321"/>
      <c r="E926" s="321"/>
      <c r="F926" s="321"/>
      <c r="G926" s="321"/>
      <c r="H926" s="321"/>
      <c r="I926" s="321"/>
      <c r="J926" s="321"/>
      <c r="K926" s="321"/>
      <c r="L926" s="612"/>
      <c r="M926" s="321"/>
      <c r="N926" s="321"/>
      <c r="O926" s="321"/>
      <c r="P926" s="321"/>
      <c r="Q926" s="321"/>
      <c r="R926" s="321"/>
      <c r="S926" s="321"/>
      <c r="T926" s="321"/>
      <c r="U926" s="319"/>
      <c r="V926" s="319"/>
      <c r="W926" s="319"/>
      <c r="X926" s="319"/>
      <c r="Y926" s="321"/>
      <c r="Z926" s="321"/>
      <c r="AA926" s="321"/>
      <c r="AB926" s="321"/>
      <c r="AC926" s="321"/>
      <c r="AD926" s="321"/>
      <c r="AE926" s="321"/>
      <c r="AF926" s="624"/>
      <c r="AG926" s="631"/>
      <c r="AH926" s="321"/>
      <c r="AI926" s="321"/>
      <c r="AJ926" s="321"/>
      <c r="AK926" s="321"/>
      <c r="AL926" s="321"/>
      <c r="AM926" s="321"/>
      <c r="AN926" s="612"/>
      <c r="AO926" s="321"/>
      <c r="AP926" s="321"/>
      <c r="AQ926" s="321"/>
      <c r="AR926" s="612"/>
      <c r="AS926" s="321"/>
      <c r="AT926" s="321"/>
      <c r="AU926" s="321"/>
      <c r="AV926" s="616"/>
      <c r="AW926" s="321"/>
      <c r="AX926" s="321"/>
      <c r="AY926" s="321"/>
      <c r="AZ926" s="321"/>
      <c r="BA926" s="319"/>
      <c r="BB926" s="612"/>
      <c r="BC926" s="319"/>
      <c r="BD926" s="319"/>
      <c r="BE926" s="621"/>
      <c r="BF926" s="321"/>
      <c r="BG926" s="321"/>
      <c r="BH926" s="321"/>
      <c r="BI926" s="321"/>
      <c r="BJ926" s="319"/>
      <c r="BK926" s="631"/>
      <c r="BL926" s="631"/>
      <c r="BM926" s="1"/>
      <c r="BN926" s="613"/>
      <c r="BO926" s="321"/>
      <c r="BP926" s="321"/>
      <c r="BQ926" s="321"/>
      <c r="BR926" s="321"/>
      <c r="BS926" s="321"/>
      <c r="BT926" s="321"/>
      <c r="BU926" s="321"/>
      <c r="BV926" s="321"/>
      <c r="BW926" s="321"/>
      <c r="BX926" s="321"/>
      <c r="BY926" s="612"/>
      <c r="BZ926" s="321"/>
      <c r="CA926" s="321"/>
      <c r="CB926" s="321"/>
      <c r="CC926" s="321"/>
      <c r="CD926" s="321"/>
      <c r="CE926" s="321"/>
      <c r="CF926" s="321"/>
      <c r="CG926" s="321"/>
      <c r="CH926" s="319"/>
      <c r="CI926" s="319"/>
      <c r="CJ926" s="319"/>
      <c r="CK926" s="319"/>
      <c r="CL926" s="321"/>
      <c r="CM926" s="321"/>
      <c r="CN926" s="321"/>
      <c r="CO926" s="321"/>
      <c r="CP926" s="321"/>
      <c r="CQ926" s="321"/>
      <c r="CR926" s="321"/>
      <c r="CS926" s="624"/>
    </row>
    <row r="927" spans="1:97">
      <c r="A927" s="321"/>
      <c r="B927" s="321"/>
      <c r="C927" s="321"/>
      <c r="D927" s="321"/>
      <c r="E927" s="321"/>
      <c r="F927" s="321"/>
      <c r="G927" s="321"/>
      <c r="H927" s="321"/>
      <c r="I927" s="321"/>
      <c r="J927" s="321"/>
      <c r="K927" s="321"/>
      <c r="L927" s="321"/>
      <c r="M927" s="321"/>
      <c r="N927" s="321"/>
      <c r="O927" s="321"/>
      <c r="P927" s="612"/>
      <c r="Q927" s="321"/>
      <c r="R927" s="321"/>
      <c r="S927" s="321"/>
      <c r="T927" s="321"/>
      <c r="U927" s="319"/>
      <c r="V927" s="319"/>
      <c r="W927" s="319"/>
      <c r="X927" s="612"/>
      <c r="Y927" s="321"/>
      <c r="Z927" s="321"/>
      <c r="AA927" s="321"/>
      <c r="AB927" s="321"/>
      <c r="AC927" s="571"/>
      <c r="AD927" s="321"/>
      <c r="AE927" s="321"/>
      <c r="AF927" s="617"/>
      <c r="AG927" s="631"/>
      <c r="AH927" s="321"/>
      <c r="AI927" s="321"/>
      <c r="AJ927" s="321"/>
      <c r="AK927" s="321"/>
      <c r="AL927" s="321"/>
      <c r="AM927" s="321"/>
      <c r="AN927" s="321"/>
      <c r="AO927" s="321"/>
      <c r="AP927" s="321"/>
      <c r="AQ927" s="321"/>
      <c r="AR927" s="616"/>
      <c r="AS927" s="321"/>
      <c r="AT927" s="321"/>
      <c r="AU927" s="616"/>
      <c r="AV927" s="612"/>
      <c r="AW927" s="321"/>
      <c r="AX927" s="321"/>
      <c r="AY927" s="321"/>
      <c r="AZ927" s="321"/>
      <c r="BA927" s="319"/>
      <c r="BB927" s="611"/>
      <c r="BC927" s="319"/>
      <c r="BD927" s="621"/>
      <c r="BE927" s="319"/>
      <c r="BF927" s="321"/>
      <c r="BG927" s="321"/>
      <c r="BH927" s="321"/>
      <c r="BI927" s="631"/>
      <c r="BJ927" s="631"/>
      <c r="BK927" s="319"/>
      <c r="BL927" s="631"/>
      <c r="BM927" s="1"/>
      <c r="BN927" s="321"/>
      <c r="BO927" s="321"/>
      <c r="BP927" s="321"/>
      <c r="BQ927" s="321"/>
      <c r="BR927" s="321"/>
      <c r="BS927" s="321"/>
      <c r="BT927" s="321"/>
      <c r="BU927" s="321"/>
      <c r="BV927" s="321"/>
      <c r="BW927" s="321"/>
      <c r="BX927" s="321"/>
      <c r="BY927" s="321"/>
      <c r="BZ927" s="321"/>
      <c r="CA927" s="321"/>
      <c r="CB927" s="321"/>
      <c r="CC927" s="612"/>
      <c r="CD927" s="321"/>
      <c r="CE927" s="321"/>
      <c r="CF927" s="321"/>
      <c r="CG927" s="321"/>
      <c r="CH927" s="319"/>
      <c r="CI927" s="319"/>
      <c r="CJ927" s="319"/>
      <c r="CK927" s="612"/>
      <c r="CL927" s="321"/>
      <c r="CM927" s="321"/>
      <c r="CN927" s="321"/>
      <c r="CO927" s="321"/>
      <c r="CP927" s="571"/>
      <c r="CQ927" s="321"/>
      <c r="CR927" s="321"/>
      <c r="CS927" s="617"/>
    </row>
    <row r="928" spans="1:97">
      <c r="A928" s="633"/>
      <c r="B928" s="633"/>
      <c r="C928" s="633"/>
      <c r="D928" s="633"/>
      <c r="E928" s="633"/>
      <c r="F928" s="626"/>
      <c r="G928" s="569"/>
      <c r="H928" s="625"/>
      <c r="I928" s="626"/>
      <c r="J928" s="625"/>
      <c r="K928" s="633"/>
      <c r="L928" s="633"/>
      <c r="M928" s="633"/>
      <c r="N928" s="633"/>
      <c r="O928" s="633"/>
      <c r="P928" s="626"/>
      <c r="Q928" s="626"/>
      <c r="R928" s="569"/>
      <c r="S928" s="569"/>
      <c r="T928" s="625"/>
      <c r="U928" s="627"/>
      <c r="V928" s="625"/>
      <c r="W928" s="627"/>
      <c r="X928" s="625"/>
      <c r="Y928" s="569"/>
      <c r="Z928" s="569"/>
      <c r="AA928" s="625"/>
      <c r="AB928" s="633"/>
      <c r="AC928" s="633"/>
      <c r="AD928" s="633"/>
      <c r="AE928" s="633"/>
      <c r="AF928" s="634"/>
      <c r="AG928" s="633"/>
      <c r="AH928" s="633"/>
      <c r="AI928" s="633"/>
      <c r="AJ928" s="633"/>
      <c r="AK928" s="569"/>
      <c r="AL928" s="633"/>
      <c r="AM928" s="633"/>
      <c r="AN928" s="633"/>
      <c r="AO928" s="633"/>
      <c r="AP928" s="633"/>
      <c r="AQ928" s="569"/>
      <c r="AR928" s="633"/>
      <c r="AS928" s="569"/>
      <c r="AT928" s="633"/>
      <c r="AU928" s="633"/>
      <c r="AV928" s="633"/>
      <c r="AW928" s="633"/>
      <c r="AX928" s="633"/>
      <c r="AY928" s="569"/>
      <c r="AZ928" s="633"/>
      <c r="BA928" s="627"/>
      <c r="BB928" s="633"/>
      <c r="BC928" s="633"/>
      <c r="BD928" s="633"/>
      <c r="BE928" s="633"/>
      <c r="BF928" s="569"/>
      <c r="BG928" s="633"/>
      <c r="BH928" s="633"/>
      <c r="BI928" s="633"/>
      <c r="BJ928" s="633"/>
      <c r="BK928" s="633"/>
      <c r="BL928" s="633"/>
      <c r="BM928" s="176"/>
      <c r="BN928" s="633"/>
      <c r="BO928" s="633"/>
      <c r="BP928" s="633"/>
      <c r="BQ928" s="633"/>
      <c r="BR928" s="633"/>
      <c r="BS928" s="626"/>
      <c r="BT928" s="569"/>
      <c r="BU928" s="625"/>
      <c r="BV928" s="626"/>
      <c r="BW928" s="625"/>
      <c r="BX928" s="633"/>
      <c r="BY928" s="633"/>
      <c r="BZ928" s="633"/>
      <c r="CA928" s="633"/>
      <c r="CB928" s="633"/>
      <c r="CC928" s="626"/>
      <c r="CD928" s="626"/>
      <c r="CE928" s="569"/>
      <c r="CF928" s="569"/>
      <c r="CG928" s="625"/>
      <c r="CH928" s="627"/>
      <c r="CI928" s="625"/>
      <c r="CJ928" s="627"/>
      <c r="CK928" s="625"/>
      <c r="CL928" s="569"/>
      <c r="CM928" s="569"/>
      <c r="CN928" s="625"/>
      <c r="CO928" s="633"/>
      <c r="CP928" s="633"/>
      <c r="CQ928" s="633"/>
      <c r="CR928" s="633"/>
      <c r="CS928" s="634"/>
    </row>
    <row r="929" spans="1:100">
      <c r="A929" s="291"/>
      <c r="B929" s="291"/>
      <c r="C929" s="291"/>
      <c r="D929" s="291"/>
      <c r="E929" s="291"/>
      <c r="F929" s="291"/>
      <c r="G929" s="291"/>
      <c r="H929" s="291"/>
      <c r="I929" s="291"/>
      <c r="J929" s="291"/>
      <c r="K929" s="291"/>
      <c r="L929" s="291"/>
      <c r="M929" s="291"/>
      <c r="N929" s="291"/>
      <c r="O929" s="291"/>
      <c r="P929" s="291"/>
      <c r="Q929" s="291"/>
      <c r="R929" s="291"/>
      <c r="S929" s="291"/>
      <c r="T929" s="291"/>
      <c r="U929" s="291"/>
      <c r="V929" s="291"/>
      <c r="W929" s="291"/>
      <c r="X929" s="291"/>
      <c r="Y929" s="291"/>
      <c r="Z929" s="291"/>
      <c r="AA929" s="291"/>
      <c r="AB929" s="291"/>
      <c r="AC929" s="291"/>
      <c r="AD929" s="291"/>
      <c r="AE929" s="291"/>
      <c r="AF929" s="291"/>
      <c r="AG929" s="415"/>
      <c r="AH929" s="415"/>
      <c r="AI929" s="415"/>
      <c r="AJ929" s="415"/>
      <c r="AK929" s="415"/>
      <c r="AL929" s="415"/>
      <c r="AM929" s="415"/>
      <c r="AN929" s="415"/>
      <c r="AO929" s="415"/>
      <c r="AP929" s="415"/>
      <c r="AQ929" s="415"/>
      <c r="AR929" s="415"/>
      <c r="AS929" s="415"/>
      <c r="AT929" s="415"/>
      <c r="AU929" s="415"/>
      <c r="AV929" s="415"/>
      <c r="AW929" s="415"/>
      <c r="AX929" s="415"/>
      <c r="AY929" s="415"/>
      <c r="AZ929" s="415"/>
      <c r="BA929" s="415"/>
      <c r="BB929" s="415"/>
      <c r="BC929" s="415"/>
      <c r="BD929" s="415"/>
      <c r="BE929" s="415"/>
      <c r="BF929" s="415"/>
      <c r="BG929" s="415"/>
      <c r="BH929" s="415"/>
      <c r="BI929" s="415"/>
      <c r="BJ929" s="415"/>
      <c r="BK929" s="415"/>
      <c r="BL929" s="415"/>
      <c r="BM929" s="201">
        <v>30</v>
      </c>
      <c r="BN929" s="291"/>
      <c r="BO929" s="291"/>
      <c r="BP929" s="291"/>
      <c r="BQ929" s="291"/>
      <c r="BR929" s="92"/>
    </row>
    <row r="930" spans="1:100">
      <c r="BM930" s="291"/>
      <c r="BN930" s="291"/>
      <c r="BO930" s="206"/>
      <c r="BP930" s="206"/>
      <c r="BQ930" s="205"/>
      <c r="BR930" s="92"/>
      <c r="CT930">
        <v>1</v>
      </c>
      <c r="CU930">
        <v>1</v>
      </c>
    </row>
    <row r="931" spans="1:100">
      <c r="BM931" s="1"/>
      <c r="BR931" s="92"/>
      <c r="CT931">
        <v>1</v>
      </c>
      <c r="CU931">
        <v>1</v>
      </c>
      <c r="CV931">
        <v>2</v>
      </c>
    </row>
    <row r="932" spans="1:100">
      <c r="A932" s="291"/>
      <c r="B932" s="291"/>
      <c r="C932" s="291"/>
      <c r="D932" s="415"/>
      <c r="E932" s="415"/>
      <c r="F932" s="415"/>
      <c r="G932" s="415"/>
      <c r="H932" s="415"/>
      <c r="I932" s="415"/>
      <c r="J932" s="415"/>
      <c r="K932" s="415"/>
      <c r="L932" s="415"/>
      <c r="M932" s="415"/>
      <c r="N932" s="415"/>
      <c r="O932" s="415"/>
      <c r="P932" s="415"/>
      <c r="Q932" s="415"/>
      <c r="R932" s="415"/>
      <c r="S932" s="415"/>
      <c r="T932" s="415"/>
      <c r="U932" s="415"/>
      <c r="V932" s="415"/>
      <c r="W932" s="415"/>
      <c r="X932" s="415"/>
      <c r="Y932" s="415"/>
      <c r="Z932" s="415"/>
      <c r="AA932" s="415"/>
      <c r="AB932" s="415"/>
      <c r="AC932" s="291"/>
      <c r="AD932" s="291"/>
      <c r="AE932" s="291"/>
      <c r="AF932" s="291"/>
      <c r="AG932" s="415"/>
      <c r="AH932" s="415"/>
      <c r="AI932" s="415"/>
      <c r="AJ932" s="414"/>
      <c r="AK932" s="414"/>
      <c r="AL932" s="414"/>
      <c r="AM932" s="414"/>
      <c r="AN932" s="414"/>
      <c r="AO932" s="414"/>
      <c r="AP932" s="414"/>
      <c r="AQ932" s="414"/>
      <c r="AR932" s="414"/>
      <c r="AS932" s="414"/>
      <c r="AT932" s="414"/>
      <c r="AU932" s="414"/>
      <c r="AV932" s="414"/>
      <c r="AW932" s="414"/>
      <c r="AX932" s="414"/>
      <c r="AY932" s="414"/>
      <c r="AZ932" s="414"/>
      <c r="BA932" s="414"/>
      <c r="BB932" s="414"/>
      <c r="BC932" s="414"/>
      <c r="BD932" s="414"/>
      <c r="BE932" s="414"/>
      <c r="BF932" s="414"/>
      <c r="BG932" s="414"/>
      <c r="BH932" s="414"/>
      <c r="BI932" s="415"/>
      <c r="BJ932" s="415"/>
      <c r="BK932" s="415"/>
      <c r="BL932" s="415"/>
      <c r="BM932" s="1"/>
      <c r="BR932" s="92"/>
      <c r="CV932">
        <v>2</v>
      </c>
    </row>
    <row r="933" spans="1:100">
      <c r="A933" s="291"/>
      <c r="B933" s="291"/>
      <c r="C933" s="291"/>
      <c r="D933" s="415"/>
      <c r="E933" s="322">
        <v>1</v>
      </c>
      <c r="F933" s="322">
        <v>1</v>
      </c>
      <c r="G933" s="322">
        <v>1</v>
      </c>
      <c r="H933" s="322">
        <v>1</v>
      </c>
      <c r="I933" s="322">
        <v>1</v>
      </c>
      <c r="J933" s="322">
        <v>1</v>
      </c>
      <c r="K933" s="322">
        <v>1</v>
      </c>
      <c r="L933" s="322">
        <v>1</v>
      </c>
      <c r="M933" s="322">
        <v>1</v>
      </c>
      <c r="N933" s="322">
        <v>1</v>
      </c>
      <c r="O933" s="322">
        <v>1</v>
      </c>
      <c r="P933" s="322">
        <v>1</v>
      </c>
      <c r="Q933" s="322">
        <v>1</v>
      </c>
      <c r="R933" s="322">
        <v>1</v>
      </c>
      <c r="S933" s="322">
        <v>1</v>
      </c>
      <c r="T933" s="322">
        <v>1</v>
      </c>
      <c r="U933" s="322">
        <v>1</v>
      </c>
      <c r="V933" s="322">
        <v>1</v>
      </c>
      <c r="W933" s="322">
        <v>1</v>
      </c>
      <c r="X933" s="322">
        <v>1</v>
      </c>
      <c r="Y933" s="322">
        <v>1</v>
      </c>
      <c r="Z933" s="322">
        <v>1</v>
      </c>
      <c r="AA933" s="322">
        <v>1</v>
      </c>
      <c r="AB933" s="322">
        <v>1</v>
      </c>
      <c r="AC933" s="201"/>
      <c r="AD933" s="291"/>
      <c r="AE933" s="291"/>
      <c r="AF933" s="291"/>
      <c r="AG933" s="415"/>
      <c r="AH933" s="415"/>
      <c r="AI933" s="415"/>
      <c r="AJ933" s="414"/>
      <c r="AK933" s="322">
        <v>1</v>
      </c>
      <c r="AL933" s="322">
        <v>1</v>
      </c>
      <c r="AM933" s="322">
        <v>1</v>
      </c>
      <c r="AN933" s="322">
        <v>1</v>
      </c>
      <c r="AO933" s="322">
        <v>1</v>
      </c>
      <c r="AP933" s="322">
        <v>1</v>
      </c>
      <c r="AQ933" s="322">
        <v>1</v>
      </c>
      <c r="AR933" s="322">
        <v>1</v>
      </c>
      <c r="AS933" s="322">
        <v>1</v>
      </c>
      <c r="AT933" s="322">
        <v>1</v>
      </c>
      <c r="AU933" s="322">
        <v>1</v>
      </c>
      <c r="AV933" s="322">
        <v>1</v>
      </c>
      <c r="AW933" s="322">
        <v>1</v>
      </c>
      <c r="AX933" s="322">
        <v>1</v>
      </c>
      <c r="AY933" s="322">
        <v>1</v>
      </c>
      <c r="AZ933" s="322">
        <v>1</v>
      </c>
      <c r="BA933" s="322">
        <v>1</v>
      </c>
      <c r="BB933" s="322">
        <v>1</v>
      </c>
      <c r="BC933" s="322">
        <v>1</v>
      </c>
      <c r="BD933" s="322">
        <v>1</v>
      </c>
      <c r="BE933" s="322">
        <v>1</v>
      </c>
      <c r="BF933" s="322">
        <v>1</v>
      </c>
      <c r="BG933" s="322">
        <v>1</v>
      </c>
      <c r="BH933" s="322">
        <v>1</v>
      </c>
      <c r="BI933" s="291"/>
      <c r="BJ933" s="415"/>
      <c r="BK933" s="415"/>
      <c r="BL933" s="415"/>
      <c r="BM933" s="1"/>
      <c r="BR933" s="92"/>
      <c r="CV933">
        <v>2</v>
      </c>
    </row>
    <row r="934" spans="1:100">
      <c r="A934" s="291"/>
      <c r="B934" s="291"/>
      <c r="C934" s="291"/>
      <c r="D934" s="415"/>
      <c r="E934" s="322">
        <v>1</v>
      </c>
      <c r="F934" s="322">
        <v>1</v>
      </c>
      <c r="G934" s="322">
        <v>1</v>
      </c>
      <c r="H934" s="322">
        <v>1</v>
      </c>
      <c r="I934" s="322">
        <v>1</v>
      </c>
      <c r="J934" s="91">
        <v>1</v>
      </c>
      <c r="K934" s="322">
        <v>1</v>
      </c>
      <c r="L934" s="322">
        <v>1</v>
      </c>
      <c r="M934" s="322">
        <v>1</v>
      </c>
      <c r="N934" s="322">
        <v>1</v>
      </c>
      <c r="O934" s="322">
        <v>1</v>
      </c>
      <c r="P934" s="322">
        <v>1</v>
      </c>
      <c r="Q934" s="322">
        <v>1</v>
      </c>
      <c r="R934" s="322">
        <v>1</v>
      </c>
      <c r="S934" s="322">
        <v>1</v>
      </c>
      <c r="T934" s="322">
        <v>1</v>
      </c>
      <c r="U934" s="322">
        <v>1</v>
      </c>
      <c r="V934" s="91">
        <v>1</v>
      </c>
      <c r="W934" s="322">
        <v>1</v>
      </c>
      <c r="X934" s="322">
        <v>1</v>
      </c>
      <c r="Y934" s="322">
        <v>1</v>
      </c>
      <c r="Z934" s="322">
        <v>1</v>
      </c>
      <c r="AA934" s="322">
        <v>1</v>
      </c>
      <c r="AB934" s="322">
        <v>1</v>
      </c>
      <c r="AC934" s="201"/>
      <c r="AD934" s="291"/>
      <c r="AE934" s="291"/>
      <c r="AF934" s="291"/>
      <c r="AG934" s="415"/>
      <c r="AH934" s="415"/>
      <c r="AI934" s="415"/>
      <c r="AJ934" s="414"/>
      <c r="AK934" s="322">
        <v>1</v>
      </c>
      <c r="AL934" s="322">
        <v>1</v>
      </c>
      <c r="AM934" s="322">
        <v>1</v>
      </c>
      <c r="AN934" s="322">
        <v>1</v>
      </c>
      <c r="AO934" s="322">
        <v>1</v>
      </c>
      <c r="AP934" s="322">
        <v>1</v>
      </c>
      <c r="AQ934" s="322">
        <v>1</v>
      </c>
      <c r="AR934" s="322">
        <v>1</v>
      </c>
      <c r="AS934" s="322">
        <v>1</v>
      </c>
      <c r="AT934" s="322">
        <v>2</v>
      </c>
      <c r="AU934" s="322">
        <v>1</v>
      </c>
      <c r="AV934" s="322">
        <v>1</v>
      </c>
      <c r="AW934" s="322">
        <v>1</v>
      </c>
      <c r="AX934" s="322">
        <v>1</v>
      </c>
      <c r="AY934" s="322">
        <v>1</v>
      </c>
      <c r="AZ934" s="322">
        <v>1</v>
      </c>
      <c r="BA934" s="322">
        <v>1</v>
      </c>
      <c r="BB934" s="91">
        <v>1</v>
      </c>
      <c r="BC934" s="322">
        <v>1</v>
      </c>
      <c r="BD934" s="322">
        <v>1</v>
      </c>
      <c r="BE934" s="322">
        <v>1</v>
      </c>
      <c r="BF934" s="322">
        <v>1</v>
      </c>
      <c r="BG934" s="322">
        <v>2</v>
      </c>
      <c r="BH934" s="322">
        <v>1</v>
      </c>
      <c r="BI934" s="291"/>
      <c r="BJ934" s="415"/>
      <c r="BK934" s="415"/>
      <c r="BL934" s="415"/>
      <c r="BM934" s="1">
        <v>1</v>
      </c>
      <c r="BR934" s="92"/>
      <c r="CV934">
        <v>2</v>
      </c>
    </row>
    <row r="935" spans="1:100">
      <c r="A935" s="291"/>
      <c r="B935" s="291"/>
      <c r="C935" s="291"/>
      <c r="D935" s="415"/>
      <c r="E935" s="322">
        <v>1</v>
      </c>
      <c r="F935" s="322">
        <v>1</v>
      </c>
      <c r="G935" s="322">
        <v>1</v>
      </c>
      <c r="H935" s="322">
        <v>1</v>
      </c>
      <c r="I935" s="91">
        <v>1</v>
      </c>
      <c r="J935" s="322">
        <v>1</v>
      </c>
      <c r="K935" s="322">
        <v>1</v>
      </c>
      <c r="L935" s="322">
        <v>1</v>
      </c>
      <c r="M935" s="322">
        <v>1</v>
      </c>
      <c r="N935" s="322">
        <v>1</v>
      </c>
      <c r="O935" s="322">
        <v>2</v>
      </c>
      <c r="P935" s="322">
        <v>1</v>
      </c>
      <c r="Q935" s="322">
        <v>1</v>
      </c>
      <c r="R935" s="322">
        <v>1</v>
      </c>
      <c r="S935" s="322">
        <v>1</v>
      </c>
      <c r="T935" s="322">
        <v>1</v>
      </c>
      <c r="U935" s="91">
        <v>1</v>
      </c>
      <c r="V935" s="322">
        <v>1</v>
      </c>
      <c r="W935" s="322">
        <v>1</v>
      </c>
      <c r="X935" s="322">
        <v>1</v>
      </c>
      <c r="Y935" s="322">
        <v>1</v>
      </c>
      <c r="Z935" s="322">
        <v>1</v>
      </c>
      <c r="AA935" s="322">
        <v>1</v>
      </c>
      <c r="AB935" s="322">
        <v>1</v>
      </c>
      <c r="AC935" s="201"/>
      <c r="AD935" s="291"/>
      <c r="AE935" s="291"/>
      <c r="AF935" s="291"/>
      <c r="AG935" s="415"/>
      <c r="AH935" s="415"/>
      <c r="AI935" s="415"/>
      <c r="AJ935" s="414"/>
      <c r="AK935" s="322">
        <v>1</v>
      </c>
      <c r="AL935" s="322">
        <v>1</v>
      </c>
      <c r="AM935" s="322">
        <v>1</v>
      </c>
      <c r="AN935" s="322">
        <v>1</v>
      </c>
      <c r="AO935" s="91">
        <v>1</v>
      </c>
      <c r="AP935" s="322">
        <v>1</v>
      </c>
      <c r="AQ935" s="322">
        <v>1</v>
      </c>
      <c r="AR935" s="322">
        <v>1</v>
      </c>
      <c r="AS935" s="322">
        <v>2</v>
      </c>
      <c r="AT935" s="322">
        <v>1</v>
      </c>
      <c r="AU935" s="322">
        <v>1</v>
      </c>
      <c r="AV935" s="322">
        <v>1</v>
      </c>
      <c r="AW935" s="322">
        <v>1</v>
      </c>
      <c r="AX935" s="322">
        <v>1</v>
      </c>
      <c r="AY935" s="322">
        <v>1</v>
      </c>
      <c r="AZ935" s="322">
        <v>1</v>
      </c>
      <c r="BA935" s="91">
        <v>1</v>
      </c>
      <c r="BB935" s="322">
        <v>1</v>
      </c>
      <c r="BC935" s="322">
        <v>1</v>
      </c>
      <c r="BD935" s="322">
        <v>1</v>
      </c>
      <c r="BE935" s="322">
        <v>1</v>
      </c>
      <c r="BF935" s="322">
        <v>2</v>
      </c>
      <c r="BG935" s="322">
        <v>1</v>
      </c>
      <c r="BH935" s="322">
        <v>1</v>
      </c>
      <c r="BI935" s="291"/>
      <c r="BJ935" s="415"/>
      <c r="BK935" s="415"/>
      <c r="BL935" s="415"/>
      <c r="BM935" s="1"/>
      <c r="BR935" s="92"/>
      <c r="CV935">
        <v>2</v>
      </c>
    </row>
    <row r="936" spans="1:100">
      <c r="A936" s="291"/>
      <c r="B936" s="291"/>
      <c r="C936" s="291"/>
      <c r="D936" s="415"/>
      <c r="E936" s="322">
        <v>1</v>
      </c>
      <c r="F936" s="322">
        <v>1</v>
      </c>
      <c r="G936" s="322">
        <v>1</v>
      </c>
      <c r="H936" s="91">
        <v>1</v>
      </c>
      <c r="I936" s="322">
        <v>1</v>
      </c>
      <c r="J936" s="322">
        <v>1</v>
      </c>
      <c r="K936" s="322">
        <v>1</v>
      </c>
      <c r="L936" s="322">
        <v>1</v>
      </c>
      <c r="M936" s="322">
        <v>1</v>
      </c>
      <c r="N936" s="322">
        <v>2</v>
      </c>
      <c r="O936" s="322">
        <v>1</v>
      </c>
      <c r="P936" s="322">
        <v>1</v>
      </c>
      <c r="Q936" s="322">
        <v>1</v>
      </c>
      <c r="R936" s="322">
        <v>1</v>
      </c>
      <c r="S936" s="322">
        <v>1</v>
      </c>
      <c r="T936" s="91">
        <v>1</v>
      </c>
      <c r="U936" s="322">
        <v>1</v>
      </c>
      <c r="V936" s="322">
        <v>1</v>
      </c>
      <c r="W936" s="322">
        <v>1</v>
      </c>
      <c r="X936" s="322">
        <v>1</v>
      </c>
      <c r="Y936" s="322">
        <v>2</v>
      </c>
      <c r="Z936" s="322">
        <v>1</v>
      </c>
      <c r="AA936" s="322">
        <v>1</v>
      </c>
      <c r="AB936" s="322">
        <v>1</v>
      </c>
      <c r="AC936" s="201"/>
      <c r="AD936" s="291"/>
      <c r="AE936" s="291"/>
      <c r="AF936" s="291"/>
      <c r="AG936" s="415"/>
      <c r="AH936" s="415"/>
      <c r="AI936" s="415"/>
      <c r="AJ936" s="414"/>
      <c r="AK936" s="322">
        <v>1</v>
      </c>
      <c r="AL936" s="322">
        <v>1</v>
      </c>
      <c r="AM936" s="322">
        <v>1</v>
      </c>
      <c r="AN936" s="91">
        <v>1</v>
      </c>
      <c r="AO936" s="322">
        <v>1</v>
      </c>
      <c r="AP936" s="322">
        <v>1</v>
      </c>
      <c r="AQ936" s="322">
        <v>1</v>
      </c>
      <c r="AR936" s="322">
        <v>2</v>
      </c>
      <c r="AS936" s="322">
        <v>1</v>
      </c>
      <c r="AT936" s="322">
        <v>1</v>
      </c>
      <c r="AU936" s="322">
        <v>1</v>
      </c>
      <c r="AV936" s="322">
        <v>1</v>
      </c>
      <c r="AW936" s="322">
        <v>1</v>
      </c>
      <c r="AX936" s="322">
        <v>1</v>
      </c>
      <c r="AY936" s="322">
        <v>1</v>
      </c>
      <c r="AZ936" s="91">
        <v>1</v>
      </c>
      <c r="BA936" s="322">
        <v>1</v>
      </c>
      <c r="BB936" s="322">
        <v>1</v>
      </c>
      <c r="BC936" s="91">
        <v>1</v>
      </c>
      <c r="BD936" s="322">
        <v>1</v>
      </c>
      <c r="BE936" s="322">
        <v>2</v>
      </c>
      <c r="BF936" s="322">
        <v>1</v>
      </c>
      <c r="BG936" s="322">
        <v>1</v>
      </c>
      <c r="BH936" s="322">
        <v>1</v>
      </c>
      <c r="BI936" s="291"/>
      <c r="BJ936" s="415"/>
      <c r="BK936" s="415"/>
      <c r="BL936" s="415"/>
      <c r="BM936" s="1"/>
      <c r="BR936" s="92"/>
      <c r="CV936">
        <v>2</v>
      </c>
    </row>
    <row r="937" spans="1:100">
      <c r="A937" s="291"/>
      <c r="B937" s="291"/>
      <c r="C937" s="291"/>
      <c r="D937" s="415"/>
      <c r="E937" s="322">
        <v>1</v>
      </c>
      <c r="F937" s="322">
        <v>1</v>
      </c>
      <c r="G937" s="91">
        <v>1</v>
      </c>
      <c r="H937" s="322">
        <v>1</v>
      </c>
      <c r="I937" s="322">
        <v>1</v>
      </c>
      <c r="J937" s="322">
        <v>1</v>
      </c>
      <c r="K937" s="322">
        <v>1</v>
      </c>
      <c r="L937" s="322">
        <v>1</v>
      </c>
      <c r="M937" s="322">
        <v>2</v>
      </c>
      <c r="N937" s="322">
        <v>1</v>
      </c>
      <c r="O937" s="322">
        <v>1</v>
      </c>
      <c r="P937" s="322">
        <v>1</v>
      </c>
      <c r="Q937" s="322">
        <v>1</v>
      </c>
      <c r="R937" s="322">
        <v>1</v>
      </c>
      <c r="S937" s="91">
        <v>1</v>
      </c>
      <c r="T937" s="322">
        <v>1</v>
      </c>
      <c r="U937" s="322">
        <v>1</v>
      </c>
      <c r="V937" s="322">
        <v>1</v>
      </c>
      <c r="W937" s="322">
        <v>1</v>
      </c>
      <c r="X937" s="322">
        <v>2</v>
      </c>
      <c r="Y937" s="322">
        <v>1</v>
      </c>
      <c r="Z937" s="322">
        <v>1</v>
      </c>
      <c r="AA937" s="322">
        <v>1</v>
      </c>
      <c r="AB937" s="322">
        <v>1</v>
      </c>
      <c r="AC937" s="201"/>
      <c r="AD937" s="291"/>
      <c r="AE937" s="291"/>
      <c r="AF937" s="291"/>
      <c r="AG937" s="415"/>
      <c r="AH937" s="415"/>
      <c r="AI937" s="415"/>
      <c r="AJ937" s="414"/>
      <c r="AK937" s="322">
        <v>1</v>
      </c>
      <c r="AL937" s="322">
        <v>1</v>
      </c>
      <c r="AM937" s="91">
        <v>1</v>
      </c>
      <c r="AN937" s="322">
        <v>1</v>
      </c>
      <c r="AO937" s="322">
        <v>1</v>
      </c>
      <c r="AP937" s="322">
        <v>1</v>
      </c>
      <c r="AQ937" s="322">
        <v>2</v>
      </c>
      <c r="AR937" s="322">
        <v>1</v>
      </c>
      <c r="AS937" s="322">
        <v>1</v>
      </c>
      <c r="AT937" s="322">
        <v>1</v>
      </c>
      <c r="AU937" s="322">
        <v>1</v>
      </c>
      <c r="AV937" s="322">
        <v>1</v>
      </c>
      <c r="AW937" s="322">
        <v>1</v>
      </c>
      <c r="AX937" s="322">
        <v>1</v>
      </c>
      <c r="AY937" s="91">
        <v>1</v>
      </c>
      <c r="AZ937" s="322">
        <v>1</v>
      </c>
      <c r="BA937" s="322">
        <v>1</v>
      </c>
      <c r="BB937" s="91">
        <v>1</v>
      </c>
      <c r="BC937" s="322">
        <v>1</v>
      </c>
      <c r="BD937" s="322">
        <v>1</v>
      </c>
      <c r="BE937" s="322">
        <v>1</v>
      </c>
      <c r="BF937" s="322">
        <v>1</v>
      </c>
      <c r="BG937" s="322">
        <v>1</v>
      </c>
      <c r="BH937" s="322">
        <v>1</v>
      </c>
      <c r="BI937" s="291"/>
      <c r="BJ937" s="415"/>
      <c r="BK937" s="415"/>
      <c r="BL937" s="415"/>
      <c r="BM937" s="1"/>
      <c r="BR937" s="92"/>
      <c r="CV937">
        <v>2</v>
      </c>
    </row>
    <row r="938" spans="1:100">
      <c r="A938" s="291"/>
      <c r="B938" s="291"/>
      <c r="C938" s="291"/>
      <c r="D938" s="415"/>
      <c r="E938" s="322">
        <v>1</v>
      </c>
      <c r="F938" s="322">
        <v>1</v>
      </c>
      <c r="G938" s="322">
        <v>1</v>
      </c>
      <c r="H938" s="322">
        <v>1</v>
      </c>
      <c r="I938" s="322">
        <v>1</v>
      </c>
      <c r="J938" s="322">
        <v>1</v>
      </c>
      <c r="K938" s="322">
        <v>1</v>
      </c>
      <c r="L938" s="322">
        <v>2</v>
      </c>
      <c r="M938" s="322">
        <v>1</v>
      </c>
      <c r="N938" s="322">
        <v>1</v>
      </c>
      <c r="O938" s="322">
        <v>1</v>
      </c>
      <c r="P938" s="322">
        <v>1</v>
      </c>
      <c r="Q938" s="322">
        <v>1</v>
      </c>
      <c r="R938" s="91">
        <v>1</v>
      </c>
      <c r="S938" s="322">
        <v>1</v>
      </c>
      <c r="T938" s="322">
        <v>1</v>
      </c>
      <c r="U938" s="322">
        <v>1</v>
      </c>
      <c r="V938" s="322">
        <v>1</v>
      </c>
      <c r="W938" s="322">
        <v>2</v>
      </c>
      <c r="X938" s="322">
        <v>1</v>
      </c>
      <c r="Y938" s="322">
        <v>1</v>
      </c>
      <c r="Z938" s="322">
        <v>1</v>
      </c>
      <c r="AA938" s="322">
        <v>1</v>
      </c>
      <c r="AB938" s="322">
        <v>1</v>
      </c>
      <c r="AC938" s="201"/>
      <c r="AD938" s="291"/>
      <c r="AE938" s="291"/>
      <c r="AF938" s="291"/>
      <c r="AG938" s="415"/>
      <c r="AH938" s="415"/>
      <c r="AI938" s="415"/>
      <c r="AJ938" s="414"/>
      <c r="AK938" s="322">
        <v>1</v>
      </c>
      <c r="AL938" s="322">
        <v>1</v>
      </c>
      <c r="AM938" s="322">
        <v>1</v>
      </c>
      <c r="AN938" s="322">
        <v>1</v>
      </c>
      <c r="AO938" s="322">
        <v>1</v>
      </c>
      <c r="AP938" s="322">
        <v>1</v>
      </c>
      <c r="AQ938" s="322">
        <v>1</v>
      </c>
      <c r="AR938" s="322">
        <v>1</v>
      </c>
      <c r="AS938" s="322">
        <v>1</v>
      </c>
      <c r="AT938" s="91">
        <v>1</v>
      </c>
      <c r="AU938" s="322">
        <v>1</v>
      </c>
      <c r="AV938" s="322">
        <v>1</v>
      </c>
      <c r="AW938" s="322">
        <v>1</v>
      </c>
      <c r="AX938" s="91">
        <v>1</v>
      </c>
      <c r="AY938" s="322">
        <v>1</v>
      </c>
      <c r="AZ938" s="322">
        <v>1</v>
      </c>
      <c r="BA938" s="91">
        <v>1</v>
      </c>
      <c r="BB938" s="322">
        <v>1</v>
      </c>
      <c r="BC938" s="322">
        <v>1</v>
      </c>
      <c r="BD938" s="322">
        <v>1</v>
      </c>
      <c r="BE938" s="322">
        <v>1</v>
      </c>
      <c r="BF938" s="322">
        <v>1</v>
      </c>
      <c r="BG938" s="322">
        <v>1</v>
      </c>
      <c r="BH938" s="322">
        <v>1</v>
      </c>
      <c r="BI938" s="291"/>
      <c r="BJ938" s="415"/>
      <c r="BK938" s="415"/>
      <c r="BL938" s="415"/>
      <c r="BM938" s="1"/>
      <c r="BR938" s="92"/>
      <c r="CV938">
        <v>2</v>
      </c>
    </row>
    <row r="939" spans="1:100">
      <c r="A939" s="291"/>
      <c r="B939" s="291"/>
      <c r="C939" s="291"/>
      <c r="D939" s="415"/>
      <c r="E939" s="322">
        <v>1</v>
      </c>
      <c r="F939" s="322">
        <v>1</v>
      </c>
      <c r="G939" s="322">
        <v>1</v>
      </c>
      <c r="H939" s="322">
        <v>1</v>
      </c>
      <c r="I939" s="322">
        <v>1</v>
      </c>
      <c r="J939" s="322">
        <v>1</v>
      </c>
      <c r="K939" s="322">
        <v>1</v>
      </c>
      <c r="L939" s="322">
        <v>1</v>
      </c>
      <c r="M939" s="322">
        <v>1</v>
      </c>
      <c r="N939" s="322">
        <v>1</v>
      </c>
      <c r="O939" s="322">
        <v>1</v>
      </c>
      <c r="P939" s="322">
        <v>1</v>
      </c>
      <c r="Q939" s="322">
        <v>1</v>
      </c>
      <c r="R939" s="322">
        <v>1</v>
      </c>
      <c r="S939" s="322">
        <v>1</v>
      </c>
      <c r="T939" s="322">
        <v>1</v>
      </c>
      <c r="U939" s="322">
        <v>1</v>
      </c>
      <c r="V939" s="322">
        <v>2</v>
      </c>
      <c r="W939" s="322">
        <v>1</v>
      </c>
      <c r="X939" s="322">
        <v>1</v>
      </c>
      <c r="Y939" s="322">
        <v>1</v>
      </c>
      <c r="Z939" s="322">
        <v>1</v>
      </c>
      <c r="AA939" s="322">
        <v>1</v>
      </c>
      <c r="AB939" s="322">
        <v>1</v>
      </c>
      <c r="AC939" s="201"/>
      <c r="AD939" s="291"/>
      <c r="AE939" s="291"/>
      <c r="AF939" s="291"/>
      <c r="AG939" s="415"/>
      <c r="AH939" s="415"/>
      <c r="AI939" s="415"/>
      <c r="AJ939" s="414"/>
      <c r="AK939" s="322">
        <v>1</v>
      </c>
      <c r="AL939" s="322">
        <v>1</v>
      </c>
      <c r="AM939" s="322">
        <v>1</v>
      </c>
      <c r="AN939" s="322">
        <v>1</v>
      </c>
      <c r="AO939" s="322">
        <v>1</v>
      </c>
      <c r="AP939" s="322">
        <v>1</v>
      </c>
      <c r="AQ939" s="322">
        <v>1</v>
      </c>
      <c r="AR939" s="322">
        <v>1</v>
      </c>
      <c r="AS939" s="91">
        <v>1</v>
      </c>
      <c r="AT939" s="322">
        <v>1</v>
      </c>
      <c r="AU939" s="322">
        <v>1</v>
      </c>
      <c r="AV939" s="322">
        <v>1</v>
      </c>
      <c r="AW939" s="322">
        <v>1</v>
      </c>
      <c r="AX939" s="322">
        <v>1</v>
      </c>
      <c r="AY939" s="322">
        <v>1</v>
      </c>
      <c r="AZ939" s="322">
        <v>1</v>
      </c>
      <c r="BA939" s="322">
        <v>1</v>
      </c>
      <c r="BB939" s="322">
        <v>1</v>
      </c>
      <c r="BC939" s="322">
        <v>1</v>
      </c>
      <c r="BD939" s="322">
        <v>1</v>
      </c>
      <c r="BE939" s="322">
        <v>1</v>
      </c>
      <c r="BF939" s="322">
        <v>1</v>
      </c>
      <c r="BG939" s="91">
        <v>1</v>
      </c>
      <c r="BH939" s="322">
        <v>1</v>
      </c>
      <c r="BI939" s="291"/>
      <c r="BJ939" s="415"/>
      <c r="BK939" s="415"/>
      <c r="BL939" s="415"/>
      <c r="BM939" s="1"/>
      <c r="BR939" s="92"/>
      <c r="CV939">
        <v>2</v>
      </c>
    </row>
    <row r="940" spans="1:100">
      <c r="A940" s="291"/>
      <c r="B940" s="291"/>
      <c r="C940" s="291"/>
      <c r="D940" s="415"/>
      <c r="E940" s="322">
        <v>1</v>
      </c>
      <c r="F940" s="322">
        <v>1</v>
      </c>
      <c r="G940" s="322">
        <v>1</v>
      </c>
      <c r="H940" s="322">
        <v>1</v>
      </c>
      <c r="I940" s="322">
        <v>1</v>
      </c>
      <c r="J940" s="322">
        <v>1</v>
      </c>
      <c r="K940" s="322">
        <v>1</v>
      </c>
      <c r="L940" s="322">
        <v>1</v>
      </c>
      <c r="M940" s="322">
        <v>1</v>
      </c>
      <c r="N940" s="322">
        <v>1</v>
      </c>
      <c r="O940" s="91">
        <v>1</v>
      </c>
      <c r="P940" s="322">
        <v>1</v>
      </c>
      <c r="Q940" s="322">
        <v>1</v>
      </c>
      <c r="R940" s="322">
        <v>1</v>
      </c>
      <c r="S940" s="322">
        <v>1</v>
      </c>
      <c r="T940" s="322">
        <v>1</v>
      </c>
      <c r="U940" s="322">
        <v>1</v>
      </c>
      <c r="V940" s="322">
        <v>1</v>
      </c>
      <c r="W940" s="322">
        <v>1</v>
      </c>
      <c r="X940" s="322">
        <v>1</v>
      </c>
      <c r="Y940" s="322">
        <v>1</v>
      </c>
      <c r="Z940" s="322">
        <v>1</v>
      </c>
      <c r="AA940" s="322">
        <v>1</v>
      </c>
      <c r="AB940" s="322">
        <v>1</v>
      </c>
      <c r="AC940" s="201"/>
      <c r="AD940" s="291"/>
      <c r="AE940" s="291"/>
      <c r="AF940" s="291"/>
      <c r="AG940" s="415"/>
      <c r="AH940" s="415"/>
      <c r="AI940" s="415"/>
      <c r="AJ940" s="414"/>
      <c r="AK940" s="322">
        <v>1</v>
      </c>
      <c r="AL940" s="322">
        <v>1</v>
      </c>
      <c r="AM940" s="322">
        <v>1</v>
      </c>
      <c r="AN940" s="322">
        <v>1</v>
      </c>
      <c r="AO940" s="322">
        <v>1</v>
      </c>
      <c r="AP940" s="322">
        <v>1</v>
      </c>
      <c r="AQ940" s="322">
        <v>1</v>
      </c>
      <c r="AR940" s="91">
        <v>1</v>
      </c>
      <c r="AS940" s="322">
        <v>1</v>
      </c>
      <c r="AT940" s="322">
        <v>1</v>
      </c>
      <c r="AU940" s="322">
        <v>1</v>
      </c>
      <c r="AV940" s="322">
        <v>1</v>
      </c>
      <c r="AW940" s="322">
        <v>1</v>
      </c>
      <c r="AX940" s="322">
        <v>1</v>
      </c>
      <c r="AY940" s="322">
        <v>1</v>
      </c>
      <c r="AZ940" s="322">
        <v>1</v>
      </c>
      <c r="BA940" s="322">
        <v>1</v>
      </c>
      <c r="BB940" s="322">
        <v>1</v>
      </c>
      <c r="BC940" s="322">
        <v>1</v>
      </c>
      <c r="BD940" s="322">
        <v>1</v>
      </c>
      <c r="BE940" s="322">
        <v>1</v>
      </c>
      <c r="BF940" s="91">
        <v>1</v>
      </c>
      <c r="BG940" s="322">
        <v>1</v>
      </c>
      <c r="BH940" s="322">
        <v>1</v>
      </c>
      <c r="BI940" s="291"/>
      <c r="BJ940" s="415"/>
      <c r="BK940" s="415"/>
      <c r="BL940" s="415"/>
      <c r="BM940" s="1"/>
      <c r="BR940" s="92"/>
      <c r="CV940">
        <v>2</v>
      </c>
    </row>
    <row r="941" spans="1:100">
      <c r="A941" s="291"/>
      <c r="B941" s="291"/>
      <c r="C941" s="291"/>
      <c r="D941" s="415"/>
      <c r="E941" s="322">
        <v>1</v>
      </c>
      <c r="F941" s="322">
        <v>1</v>
      </c>
      <c r="G941" s="322">
        <v>1</v>
      </c>
      <c r="H941" s="322">
        <v>1</v>
      </c>
      <c r="I941" s="322">
        <v>1</v>
      </c>
      <c r="J941" s="322">
        <v>1</v>
      </c>
      <c r="K941" s="322">
        <v>1</v>
      </c>
      <c r="L941" s="322">
        <v>1</v>
      </c>
      <c r="M941" s="322">
        <v>1</v>
      </c>
      <c r="N941" s="91">
        <v>1</v>
      </c>
      <c r="O941" s="322">
        <v>1</v>
      </c>
      <c r="P941" s="322">
        <v>1</v>
      </c>
      <c r="Q941" s="322">
        <v>1</v>
      </c>
      <c r="R941" s="322">
        <v>1</v>
      </c>
      <c r="S941" s="322">
        <v>1</v>
      </c>
      <c r="T941" s="322">
        <v>1</v>
      </c>
      <c r="U941" s="322">
        <v>1</v>
      </c>
      <c r="V941" s="322">
        <v>1</v>
      </c>
      <c r="W941" s="322">
        <v>1</v>
      </c>
      <c r="X941" s="322">
        <v>1</v>
      </c>
      <c r="Y941" s="322">
        <v>1</v>
      </c>
      <c r="Z941" s="322">
        <v>1</v>
      </c>
      <c r="AA941" s="322">
        <v>1</v>
      </c>
      <c r="AB941" s="322">
        <v>1</v>
      </c>
      <c r="AC941" s="201"/>
      <c r="AD941" s="291"/>
      <c r="AE941" s="291"/>
      <c r="AF941" s="291"/>
      <c r="AG941" s="415"/>
      <c r="AH941" s="415"/>
      <c r="AI941" s="415"/>
      <c r="AJ941" s="414"/>
      <c r="AK941" s="322">
        <v>1</v>
      </c>
      <c r="AL941" s="322">
        <v>1</v>
      </c>
      <c r="AM941" s="322">
        <v>1</v>
      </c>
      <c r="AN941" s="322">
        <v>1</v>
      </c>
      <c r="AO941" s="322">
        <v>1</v>
      </c>
      <c r="AP941" s="322">
        <v>1</v>
      </c>
      <c r="AQ941" s="322">
        <v>1</v>
      </c>
      <c r="AR941" s="322">
        <v>1</v>
      </c>
      <c r="AS941" s="322">
        <v>1</v>
      </c>
      <c r="AT941" s="322">
        <v>1</v>
      </c>
      <c r="AU941" s="322">
        <v>1</v>
      </c>
      <c r="AV941" s="322">
        <v>1</v>
      </c>
      <c r="AW941" s="322">
        <v>1</v>
      </c>
      <c r="AX941" s="322">
        <v>1</v>
      </c>
      <c r="AY941" s="322">
        <v>1</v>
      </c>
      <c r="AZ941" s="322">
        <v>1</v>
      </c>
      <c r="BA941" s="322">
        <v>1</v>
      </c>
      <c r="BB941" s="322">
        <v>1</v>
      </c>
      <c r="BC941" s="322">
        <v>1</v>
      </c>
      <c r="BD941" s="322">
        <v>1</v>
      </c>
      <c r="BE941" s="91">
        <v>1</v>
      </c>
      <c r="BF941" s="322">
        <v>1</v>
      </c>
      <c r="BG941" s="322">
        <v>1</v>
      </c>
      <c r="BH941" s="322">
        <v>1</v>
      </c>
      <c r="BI941" s="291"/>
      <c r="BJ941" s="415"/>
      <c r="BK941" s="415"/>
      <c r="BL941" s="415"/>
      <c r="BM941" s="1"/>
      <c r="BR941" s="92"/>
      <c r="CV941">
        <v>2</v>
      </c>
    </row>
    <row r="942" spans="1:100">
      <c r="A942" s="291"/>
      <c r="B942" s="291"/>
      <c r="C942" s="291"/>
      <c r="D942" s="415"/>
      <c r="E942" s="322">
        <v>1</v>
      </c>
      <c r="F942" s="322">
        <v>1</v>
      </c>
      <c r="G942" s="322">
        <v>1</v>
      </c>
      <c r="H942" s="322">
        <v>1</v>
      </c>
      <c r="I942" s="322">
        <v>1</v>
      </c>
      <c r="J942" s="91">
        <v>2</v>
      </c>
      <c r="K942" s="322">
        <v>1</v>
      </c>
      <c r="L942" s="322">
        <v>1</v>
      </c>
      <c r="M942" s="91">
        <v>1</v>
      </c>
      <c r="N942" s="322">
        <v>1</v>
      </c>
      <c r="O942" s="322">
        <v>1</v>
      </c>
      <c r="P942" s="322">
        <v>1</v>
      </c>
      <c r="Q942" s="322">
        <v>1</v>
      </c>
      <c r="R942" s="322">
        <v>1</v>
      </c>
      <c r="S942" s="322">
        <v>1</v>
      </c>
      <c r="T942" s="322">
        <v>1</v>
      </c>
      <c r="U942" s="322">
        <v>1</v>
      </c>
      <c r="V942" s="91">
        <v>1</v>
      </c>
      <c r="W942" s="322">
        <v>1</v>
      </c>
      <c r="X942" s="322">
        <v>1</v>
      </c>
      <c r="Y942" s="322">
        <v>1</v>
      </c>
      <c r="Z942" s="322">
        <v>1</v>
      </c>
      <c r="AA942" s="322">
        <v>1</v>
      </c>
      <c r="AB942" s="322">
        <v>1</v>
      </c>
      <c r="AC942" s="201"/>
      <c r="AD942" s="291"/>
      <c r="AE942" s="291"/>
      <c r="AF942" s="291"/>
      <c r="AG942" s="415"/>
      <c r="AH942" s="415"/>
      <c r="AI942" s="415"/>
      <c r="AJ942" s="414"/>
      <c r="AK942" s="322">
        <v>1</v>
      </c>
      <c r="AL942" s="322">
        <v>1</v>
      </c>
      <c r="AM942" s="322">
        <v>1</v>
      </c>
      <c r="AN942" s="322">
        <v>1</v>
      </c>
      <c r="AO942" s="322">
        <v>1</v>
      </c>
      <c r="AP942" s="91">
        <v>1</v>
      </c>
      <c r="AQ942" s="322">
        <v>1</v>
      </c>
      <c r="AR942" s="322">
        <v>1</v>
      </c>
      <c r="AS942" s="322">
        <v>1</v>
      </c>
      <c r="AT942" s="322">
        <v>1</v>
      </c>
      <c r="AU942" s="322">
        <v>1</v>
      </c>
      <c r="AV942" s="322">
        <v>1</v>
      </c>
      <c r="AW942" s="322">
        <v>1</v>
      </c>
      <c r="AX942" s="322">
        <v>1</v>
      </c>
      <c r="AY942" s="322">
        <v>1</v>
      </c>
      <c r="AZ942" s="322">
        <v>1</v>
      </c>
      <c r="BA942" s="322">
        <v>1</v>
      </c>
      <c r="BB942" s="91">
        <v>-1</v>
      </c>
      <c r="BC942" s="322">
        <v>1</v>
      </c>
      <c r="BD942" s="322">
        <v>1</v>
      </c>
      <c r="BE942" s="322">
        <v>1</v>
      </c>
      <c r="BF942" s="322">
        <v>1</v>
      </c>
      <c r="BG942" s="322">
        <v>1</v>
      </c>
      <c r="BH942" s="322">
        <v>1</v>
      </c>
      <c r="BI942" s="291"/>
      <c r="BJ942" s="415"/>
      <c r="BK942" s="415"/>
      <c r="BL942" s="415"/>
      <c r="BM942" s="1"/>
      <c r="BR942" s="92"/>
      <c r="CV942">
        <v>2</v>
      </c>
    </row>
    <row r="943" spans="1:100">
      <c r="A943" s="291"/>
      <c r="B943" s="291"/>
      <c r="C943" s="291"/>
      <c r="D943" s="415"/>
      <c r="E943" s="322">
        <v>1</v>
      </c>
      <c r="F943" s="322">
        <v>1</v>
      </c>
      <c r="G943" s="322">
        <v>1</v>
      </c>
      <c r="H943" s="322">
        <v>1</v>
      </c>
      <c r="I943" s="91">
        <v>2</v>
      </c>
      <c r="J943" s="322">
        <v>1</v>
      </c>
      <c r="K943" s="322">
        <v>1</v>
      </c>
      <c r="L943" s="322">
        <v>1</v>
      </c>
      <c r="M943" s="322">
        <v>1</v>
      </c>
      <c r="N943" s="322">
        <v>1</v>
      </c>
      <c r="O943" s="322">
        <v>2</v>
      </c>
      <c r="P943" s="322">
        <v>1</v>
      </c>
      <c r="Q943" s="322">
        <v>1</v>
      </c>
      <c r="R943" s="322">
        <v>1</v>
      </c>
      <c r="S943" s="322">
        <v>1</v>
      </c>
      <c r="T943" s="322">
        <v>1</v>
      </c>
      <c r="U943" s="91">
        <v>1</v>
      </c>
      <c r="V943" s="322">
        <v>1</v>
      </c>
      <c r="W943" s="322">
        <v>1</v>
      </c>
      <c r="X943" s="322">
        <v>1</v>
      </c>
      <c r="Y943" s="322">
        <v>1</v>
      </c>
      <c r="Z943" s="322">
        <v>1</v>
      </c>
      <c r="AA943" s="322">
        <v>1</v>
      </c>
      <c r="AB943" s="322">
        <v>1</v>
      </c>
      <c r="AC943" s="201"/>
      <c r="AD943" s="291"/>
      <c r="AE943" s="291"/>
      <c r="AF943" s="291"/>
      <c r="AG943" s="415"/>
      <c r="AH943" s="415"/>
      <c r="AI943" s="415"/>
      <c r="AJ943" s="414"/>
      <c r="AK943" s="322">
        <v>1</v>
      </c>
      <c r="AL943" s="322">
        <v>1</v>
      </c>
      <c r="AM943" s="322">
        <v>1</v>
      </c>
      <c r="AN943" s="322">
        <v>1</v>
      </c>
      <c r="AO943" s="91">
        <v>1</v>
      </c>
      <c r="AP943" s="322">
        <v>1</v>
      </c>
      <c r="AQ943" s="322">
        <v>1</v>
      </c>
      <c r="AR943" s="322">
        <v>1</v>
      </c>
      <c r="AS943" s="322">
        <v>1</v>
      </c>
      <c r="AT943" s="322">
        <v>1</v>
      </c>
      <c r="AU943" s="322">
        <v>2</v>
      </c>
      <c r="AV943" s="322">
        <v>1</v>
      </c>
      <c r="AW943" s="322">
        <v>1</v>
      </c>
      <c r="AX943" s="322">
        <v>1</v>
      </c>
      <c r="AY943" s="322">
        <v>1</v>
      </c>
      <c r="AZ943" s="322">
        <v>1</v>
      </c>
      <c r="BA943" s="91">
        <v>-1</v>
      </c>
      <c r="BB943" s="322">
        <v>1</v>
      </c>
      <c r="BC943" s="322">
        <v>1</v>
      </c>
      <c r="BD943" s="322">
        <v>1</v>
      </c>
      <c r="BE943" s="91">
        <v>1</v>
      </c>
      <c r="BF943" s="322">
        <v>1</v>
      </c>
      <c r="BG943" s="322">
        <v>1</v>
      </c>
      <c r="BH943" s="322">
        <v>1</v>
      </c>
      <c r="BI943" s="291"/>
      <c r="BJ943" s="415"/>
      <c r="BK943" s="415"/>
      <c r="BL943" s="415"/>
      <c r="BM943" s="1"/>
      <c r="BR943" s="92"/>
      <c r="CV943">
        <v>2</v>
      </c>
    </row>
    <row r="944" spans="1:100">
      <c r="A944" s="291"/>
      <c r="B944" s="432"/>
      <c r="C944" s="291"/>
      <c r="D944" s="415"/>
      <c r="E944" s="322">
        <v>1</v>
      </c>
      <c r="F944" s="322">
        <v>1</v>
      </c>
      <c r="G944" s="322">
        <v>1</v>
      </c>
      <c r="H944" s="91">
        <v>2</v>
      </c>
      <c r="I944" s="322">
        <v>1</v>
      </c>
      <c r="J944" s="322">
        <v>1</v>
      </c>
      <c r="K944" s="322">
        <v>1</v>
      </c>
      <c r="L944" s="322">
        <v>1</v>
      </c>
      <c r="M944" s="322">
        <v>1</v>
      </c>
      <c r="N944" s="322">
        <v>2</v>
      </c>
      <c r="O944" s="322">
        <v>1</v>
      </c>
      <c r="P944" s="322">
        <v>1</v>
      </c>
      <c r="Q944" s="322">
        <v>1</v>
      </c>
      <c r="R944" s="322">
        <v>1</v>
      </c>
      <c r="S944" s="322">
        <v>1</v>
      </c>
      <c r="T944" s="91">
        <v>1</v>
      </c>
      <c r="U944" s="322">
        <v>1</v>
      </c>
      <c r="V944" s="322">
        <v>1</v>
      </c>
      <c r="W944" s="322">
        <v>1</v>
      </c>
      <c r="X944" s="322">
        <v>1</v>
      </c>
      <c r="Y944" s="322">
        <v>1</v>
      </c>
      <c r="Z944" s="322">
        <v>1</v>
      </c>
      <c r="AA944" s="322">
        <v>1</v>
      </c>
      <c r="AB944" s="322">
        <v>1</v>
      </c>
      <c r="AC944" s="201"/>
      <c r="AD944" s="291"/>
      <c r="AE944" s="291"/>
      <c r="AF944" s="291"/>
      <c r="AG944" s="415"/>
      <c r="AH944" s="421"/>
      <c r="AI944" s="415"/>
      <c r="AJ944" s="414"/>
      <c r="AK944" s="322">
        <v>1</v>
      </c>
      <c r="AL944" s="322">
        <v>1</v>
      </c>
      <c r="AM944" s="322">
        <v>1</v>
      </c>
      <c r="AN944" s="91">
        <v>1</v>
      </c>
      <c r="AO944" s="322">
        <v>1</v>
      </c>
      <c r="AP944" s="322">
        <v>1</v>
      </c>
      <c r="AQ944" s="91">
        <v>1</v>
      </c>
      <c r="AR944" s="322">
        <v>1</v>
      </c>
      <c r="AS944" s="322">
        <v>1</v>
      </c>
      <c r="AT944" s="322">
        <v>2</v>
      </c>
      <c r="AU944" s="322">
        <v>1</v>
      </c>
      <c r="AV944" s="322">
        <v>1</v>
      </c>
      <c r="AW944" s="322">
        <v>1</v>
      </c>
      <c r="AX944" s="322">
        <v>1</v>
      </c>
      <c r="AY944" s="322">
        <v>1</v>
      </c>
      <c r="AZ944" s="91">
        <v>-1</v>
      </c>
      <c r="BA944" s="322">
        <v>1</v>
      </c>
      <c r="BB944" s="322">
        <v>1</v>
      </c>
      <c r="BC944" s="322">
        <v>1</v>
      </c>
      <c r="BD944" s="91">
        <v>1</v>
      </c>
      <c r="BE944" s="322">
        <v>1</v>
      </c>
      <c r="BF944" s="322">
        <v>1</v>
      </c>
      <c r="BG944" s="322">
        <v>1</v>
      </c>
      <c r="BH944" s="322">
        <v>1</v>
      </c>
      <c r="BI944" s="291"/>
      <c r="BJ944" s="415"/>
      <c r="BK944" s="415"/>
      <c r="BL944" s="415"/>
      <c r="BM944" s="1"/>
      <c r="BR944" s="92"/>
      <c r="CV944">
        <v>2</v>
      </c>
    </row>
    <row r="945" spans="1:100">
      <c r="A945" s="432"/>
      <c r="B945" s="439"/>
      <c r="C945" s="432"/>
      <c r="D945" s="415"/>
      <c r="E945" s="322">
        <v>1</v>
      </c>
      <c r="F945" s="322">
        <v>1</v>
      </c>
      <c r="G945" s="91">
        <v>2</v>
      </c>
      <c r="H945" s="322">
        <v>1</v>
      </c>
      <c r="I945" s="322">
        <v>1</v>
      </c>
      <c r="J945" s="322">
        <v>1</v>
      </c>
      <c r="K945" s="322">
        <v>1</v>
      </c>
      <c r="L945" s="322">
        <v>1</v>
      </c>
      <c r="M945" s="322">
        <v>2</v>
      </c>
      <c r="N945" s="322">
        <v>1</v>
      </c>
      <c r="O945" s="322">
        <v>1</v>
      </c>
      <c r="P945" s="322">
        <v>1</v>
      </c>
      <c r="Q945" s="322">
        <v>1</v>
      </c>
      <c r="R945" s="322">
        <v>1</v>
      </c>
      <c r="S945" s="91">
        <v>1</v>
      </c>
      <c r="T945" s="322">
        <v>1</v>
      </c>
      <c r="U945" s="322">
        <v>1</v>
      </c>
      <c r="V945" s="322">
        <v>1</v>
      </c>
      <c r="W945" s="322">
        <v>1</v>
      </c>
      <c r="X945" s="322">
        <v>1</v>
      </c>
      <c r="Y945" s="322">
        <v>1</v>
      </c>
      <c r="Z945" s="322">
        <v>1</v>
      </c>
      <c r="AA945" s="91">
        <v>1</v>
      </c>
      <c r="AB945" s="322">
        <v>1</v>
      </c>
      <c r="AC945" s="201"/>
      <c r="AD945" s="291"/>
      <c r="AE945" s="291"/>
      <c r="AF945" s="291"/>
      <c r="AG945" s="421"/>
      <c r="AH945" s="439"/>
      <c r="AI945" s="416"/>
      <c r="AJ945" s="414"/>
      <c r="AK945" s="322">
        <v>1</v>
      </c>
      <c r="AL945" s="322">
        <v>1</v>
      </c>
      <c r="AM945" s="91">
        <v>1</v>
      </c>
      <c r="AN945" s="322">
        <v>1</v>
      </c>
      <c r="AO945" s="322">
        <v>1</v>
      </c>
      <c r="AP945" s="91">
        <v>1</v>
      </c>
      <c r="AQ945" s="322">
        <v>1</v>
      </c>
      <c r="AR945" s="322">
        <v>1</v>
      </c>
      <c r="AS945" s="322">
        <v>2</v>
      </c>
      <c r="AT945" s="322">
        <v>1</v>
      </c>
      <c r="AU945" s="322">
        <v>1</v>
      </c>
      <c r="AV945" s="322">
        <v>1</v>
      </c>
      <c r="AW945" s="322">
        <v>1</v>
      </c>
      <c r="AX945" s="322">
        <v>1</v>
      </c>
      <c r="AY945" s="91">
        <v>-1</v>
      </c>
      <c r="AZ945" s="322">
        <v>1</v>
      </c>
      <c r="BA945" s="322">
        <v>1</v>
      </c>
      <c r="BB945" s="322">
        <v>1</v>
      </c>
      <c r="BC945" s="91">
        <v>1</v>
      </c>
      <c r="BD945" s="322">
        <v>1</v>
      </c>
      <c r="BE945" s="322">
        <v>1</v>
      </c>
      <c r="BF945" s="322">
        <v>1</v>
      </c>
      <c r="BG945" s="91">
        <v>1</v>
      </c>
      <c r="BH945" s="322">
        <v>1</v>
      </c>
      <c r="BI945" s="291"/>
      <c r="BJ945" s="415"/>
      <c r="BK945" s="415"/>
      <c r="BL945" s="415"/>
      <c r="BM945" s="1"/>
      <c r="BN945" s="291"/>
      <c r="BO945" s="178"/>
      <c r="BP945" s="161"/>
      <c r="BQ945" s="205"/>
      <c r="BR945" s="92"/>
    </row>
    <row r="946" spans="1:100">
      <c r="A946" s="291"/>
      <c r="B946" s="432"/>
      <c r="C946" s="291"/>
      <c r="D946" s="415"/>
      <c r="E946" s="322">
        <v>1</v>
      </c>
      <c r="F946" s="322">
        <v>1</v>
      </c>
      <c r="G946" s="322">
        <v>1</v>
      </c>
      <c r="H946" s="322">
        <v>1</v>
      </c>
      <c r="I946" s="322">
        <v>1</v>
      </c>
      <c r="J946" s="322">
        <v>1</v>
      </c>
      <c r="K946" s="322">
        <v>1</v>
      </c>
      <c r="L946" s="322">
        <v>2</v>
      </c>
      <c r="M946" s="322">
        <v>1</v>
      </c>
      <c r="N946" s="322">
        <v>1</v>
      </c>
      <c r="O946" s="91">
        <v>1</v>
      </c>
      <c r="P946" s="322">
        <v>1</v>
      </c>
      <c r="Q946" s="322">
        <v>1</v>
      </c>
      <c r="R946" s="322">
        <v>1</v>
      </c>
      <c r="S946" s="322">
        <v>1</v>
      </c>
      <c r="T946" s="322">
        <v>1</v>
      </c>
      <c r="U946" s="322">
        <v>1</v>
      </c>
      <c r="V946" s="322">
        <v>1</v>
      </c>
      <c r="W946" s="322">
        <v>1</v>
      </c>
      <c r="X946" s="322">
        <v>1</v>
      </c>
      <c r="Y946" s="322">
        <v>1</v>
      </c>
      <c r="Z946" s="91">
        <v>1</v>
      </c>
      <c r="AA946" s="322">
        <v>1</v>
      </c>
      <c r="AB946" s="322">
        <v>1</v>
      </c>
      <c r="AC946" s="201"/>
      <c r="AD946" s="291"/>
      <c r="AE946" s="291"/>
      <c r="AF946" s="291"/>
      <c r="AG946" s="415"/>
      <c r="AH946" s="432"/>
      <c r="AI946" s="415"/>
      <c r="AJ946" s="414"/>
      <c r="AK946" s="322">
        <v>1</v>
      </c>
      <c r="AL946" s="322">
        <v>1</v>
      </c>
      <c r="AM946" s="322">
        <v>1</v>
      </c>
      <c r="AN946" s="322">
        <v>1</v>
      </c>
      <c r="AO946" s="91">
        <v>1</v>
      </c>
      <c r="AP946" s="322">
        <v>1</v>
      </c>
      <c r="AQ946" s="322">
        <v>1</v>
      </c>
      <c r="AR946" s="322">
        <v>2</v>
      </c>
      <c r="AS946" s="322">
        <v>1</v>
      </c>
      <c r="AT946" s="322">
        <v>1</v>
      </c>
      <c r="AU946" s="322">
        <v>1</v>
      </c>
      <c r="AV946" s="322">
        <v>1</v>
      </c>
      <c r="AW946" s="322">
        <v>1</v>
      </c>
      <c r="AX946" s="322">
        <v>1</v>
      </c>
      <c r="AY946" s="322">
        <v>1</v>
      </c>
      <c r="AZ946" s="322">
        <v>1</v>
      </c>
      <c r="BA946" s="91">
        <v>1</v>
      </c>
      <c r="BB946" s="322">
        <v>1</v>
      </c>
      <c r="BC946" s="322">
        <v>1</v>
      </c>
      <c r="BD946" s="322">
        <v>1</v>
      </c>
      <c r="BE946" s="322">
        <v>1</v>
      </c>
      <c r="BF946" s="91">
        <v>1</v>
      </c>
      <c r="BG946" s="322">
        <v>1</v>
      </c>
      <c r="BH946" s="322">
        <v>1</v>
      </c>
      <c r="BI946" s="291"/>
      <c r="BJ946" s="415"/>
      <c r="BK946" s="415"/>
      <c r="BL946" s="415"/>
      <c r="BM946" s="1"/>
      <c r="BR946" s="92"/>
      <c r="CV946">
        <v>17</v>
      </c>
    </row>
    <row r="947" spans="1:100">
      <c r="A947" s="291"/>
      <c r="B947" s="432"/>
      <c r="C947" s="291"/>
      <c r="D947" s="415"/>
      <c r="E947" s="322">
        <v>1</v>
      </c>
      <c r="F947" s="322">
        <v>1</v>
      </c>
      <c r="G947" s="322">
        <v>1</v>
      </c>
      <c r="H947" s="322">
        <v>1</v>
      </c>
      <c r="I947" s="322">
        <v>1</v>
      </c>
      <c r="J947" s="322">
        <v>1</v>
      </c>
      <c r="K947" s="322">
        <v>2</v>
      </c>
      <c r="L947" s="322">
        <v>1</v>
      </c>
      <c r="M947" s="322">
        <v>1</v>
      </c>
      <c r="N947" s="91">
        <v>1</v>
      </c>
      <c r="O947" s="322">
        <v>1</v>
      </c>
      <c r="P947" s="322">
        <v>1</v>
      </c>
      <c r="Q947" s="322">
        <v>1</v>
      </c>
      <c r="R947" s="322">
        <v>1</v>
      </c>
      <c r="S947" s="322">
        <v>1</v>
      </c>
      <c r="T947" s="322">
        <v>1</v>
      </c>
      <c r="U947" s="322">
        <v>1</v>
      </c>
      <c r="V947" s="322">
        <v>1</v>
      </c>
      <c r="W947" s="322">
        <v>1</v>
      </c>
      <c r="X947" s="322">
        <v>1</v>
      </c>
      <c r="Y947" s="91">
        <v>1</v>
      </c>
      <c r="Z947" s="322">
        <v>1</v>
      </c>
      <c r="AA947" s="322">
        <v>1</v>
      </c>
      <c r="AB947" s="322">
        <v>1</v>
      </c>
      <c r="AC947" s="201"/>
      <c r="AD947" s="291"/>
      <c r="AE947" s="291"/>
      <c r="AF947" s="291"/>
      <c r="AG947" s="415"/>
      <c r="AH947" s="432"/>
      <c r="AI947" s="415"/>
      <c r="AJ947" s="414"/>
      <c r="AK947" s="322">
        <v>1</v>
      </c>
      <c r="AL947" s="322">
        <v>1</v>
      </c>
      <c r="AM947" s="322">
        <v>1</v>
      </c>
      <c r="AN947" s="322">
        <v>1</v>
      </c>
      <c r="AO947" s="322">
        <v>1</v>
      </c>
      <c r="AP947" s="322">
        <v>1</v>
      </c>
      <c r="AQ947" s="322">
        <v>2</v>
      </c>
      <c r="AR947" s="322">
        <v>1</v>
      </c>
      <c r="AS947" s="322">
        <v>1</v>
      </c>
      <c r="AT947" s="322">
        <v>1</v>
      </c>
      <c r="AU947" s="322">
        <v>1</v>
      </c>
      <c r="AV947" s="322">
        <v>1</v>
      </c>
      <c r="AW947" s="322">
        <v>1</v>
      </c>
      <c r="AX947" s="322">
        <v>1</v>
      </c>
      <c r="AY947" s="322">
        <v>1</v>
      </c>
      <c r="AZ947" s="91">
        <v>1</v>
      </c>
      <c r="BA947" s="322">
        <v>1</v>
      </c>
      <c r="BB947" s="322">
        <v>1</v>
      </c>
      <c r="BC947" s="322">
        <v>1</v>
      </c>
      <c r="BD947" s="322">
        <v>1</v>
      </c>
      <c r="BE947" s="91">
        <v>1</v>
      </c>
      <c r="BF947" s="322">
        <v>1</v>
      </c>
      <c r="BG947" s="322">
        <v>1</v>
      </c>
      <c r="BH947" s="322">
        <v>1</v>
      </c>
      <c r="BI947" s="291"/>
      <c r="BJ947" s="415"/>
      <c r="BK947" s="415"/>
      <c r="BL947" s="415"/>
      <c r="BM947" s="1"/>
      <c r="BN947" s="291"/>
      <c r="BO947" s="161"/>
      <c r="BP947" s="161"/>
      <c r="BQ947" s="205"/>
      <c r="BR947" s="92"/>
    </row>
    <row r="948" spans="1:100">
      <c r="A948" s="291"/>
      <c r="B948" s="432"/>
      <c r="C948" s="291"/>
      <c r="D948" s="415"/>
      <c r="E948" s="322">
        <v>1</v>
      </c>
      <c r="F948" s="322">
        <v>1</v>
      </c>
      <c r="G948" s="322">
        <v>1</v>
      </c>
      <c r="H948" s="322">
        <v>1</v>
      </c>
      <c r="I948" s="322">
        <v>1</v>
      </c>
      <c r="J948" s="322">
        <v>1</v>
      </c>
      <c r="K948" s="322">
        <v>1</v>
      </c>
      <c r="L948" s="322">
        <v>1</v>
      </c>
      <c r="M948" s="91">
        <v>1</v>
      </c>
      <c r="N948" s="322">
        <v>1</v>
      </c>
      <c r="O948" s="322">
        <v>1</v>
      </c>
      <c r="P948" s="322">
        <v>1</v>
      </c>
      <c r="Q948" s="322">
        <v>1</v>
      </c>
      <c r="R948" s="322">
        <v>1</v>
      </c>
      <c r="S948" s="322">
        <v>1</v>
      </c>
      <c r="T948" s="322">
        <v>1</v>
      </c>
      <c r="U948" s="322">
        <v>1</v>
      </c>
      <c r="V948" s="322">
        <v>1</v>
      </c>
      <c r="W948" s="322">
        <v>1</v>
      </c>
      <c r="X948" s="322">
        <v>1</v>
      </c>
      <c r="Y948" s="322">
        <v>1</v>
      </c>
      <c r="Z948" s="322">
        <v>1</v>
      </c>
      <c r="AA948" s="322">
        <v>1</v>
      </c>
      <c r="AB948" s="322">
        <v>1</v>
      </c>
      <c r="AC948" s="201"/>
      <c r="AD948" s="291"/>
      <c r="AE948" s="291"/>
      <c r="AF948" s="291"/>
      <c r="AG948" s="415"/>
      <c r="AH948" s="432"/>
      <c r="AI948" s="415"/>
      <c r="AJ948" s="414"/>
      <c r="AK948" s="322">
        <v>1</v>
      </c>
      <c r="AL948" s="322">
        <v>1</v>
      </c>
      <c r="AM948" s="322">
        <v>1</v>
      </c>
      <c r="AN948" s="322">
        <v>1</v>
      </c>
      <c r="AO948" s="322">
        <v>1</v>
      </c>
      <c r="AP948" s="322">
        <v>1</v>
      </c>
      <c r="AQ948" s="322">
        <v>1</v>
      </c>
      <c r="AR948" s="322">
        <v>1</v>
      </c>
      <c r="AS948" s="322">
        <v>1</v>
      </c>
      <c r="AT948" s="322">
        <v>1</v>
      </c>
      <c r="AU948" s="322">
        <v>1</v>
      </c>
      <c r="AV948" s="322">
        <v>1</v>
      </c>
      <c r="AW948" s="322">
        <v>1</v>
      </c>
      <c r="AX948" s="322">
        <v>1</v>
      </c>
      <c r="AY948" s="322">
        <v>1</v>
      </c>
      <c r="AZ948" s="322">
        <v>1</v>
      </c>
      <c r="BA948" s="322">
        <v>1</v>
      </c>
      <c r="BB948" s="322">
        <v>1</v>
      </c>
      <c r="BC948" s="322">
        <v>1</v>
      </c>
      <c r="BD948" s="322">
        <v>1</v>
      </c>
      <c r="BE948" s="322">
        <v>1</v>
      </c>
      <c r="BF948" s="322">
        <v>1</v>
      </c>
      <c r="BG948" s="322">
        <v>1</v>
      </c>
      <c r="BH948" s="322">
        <v>1</v>
      </c>
      <c r="BI948" s="291"/>
      <c r="BJ948" s="415"/>
      <c r="BK948" s="415"/>
      <c r="BL948" s="415"/>
      <c r="BM948" s="1"/>
      <c r="BR948" s="92"/>
      <c r="CV948">
        <v>2</v>
      </c>
    </row>
    <row r="949" spans="1:100">
      <c r="A949" s="432"/>
      <c r="B949" s="439"/>
      <c r="C949" s="432"/>
      <c r="D949" s="415"/>
      <c r="E949" s="201"/>
      <c r="F949" s="201"/>
      <c r="G949" s="201"/>
      <c r="H949" s="201"/>
      <c r="I949" s="201"/>
      <c r="J949" s="201"/>
      <c r="K949" s="201"/>
      <c r="L949" s="201"/>
      <c r="M949" s="201"/>
      <c r="N949" s="201"/>
      <c r="O949" s="201"/>
      <c r="P949" s="201"/>
      <c r="Q949" s="201"/>
      <c r="R949" s="201"/>
      <c r="S949" s="201"/>
      <c r="T949" s="201"/>
      <c r="U949" s="201"/>
      <c r="V949" s="201"/>
      <c r="W949" s="201"/>
      <c r="X949" s="201"/>
      <c r="Y949" s="201"/>
      <c r="Z949" s="201"/>
      <c r="AA949" s="201"/>
      <c r="AB949" s="201"/>
      <c r="AC949" s="199"/>
      <c r="AD949" s="291"/>
      <c r="AE949" s="291"/>
      <c r="AF949" s="291"/>
      <c r="AG949" s="420"/>
      <c r="AH949" s="432"/>
      <c r="AI949" s="416"/>
      <c r="AJ949" s="415"/>
      <c r="AK949" s="291"/>
      <c r="AL949" s="291"/>
      <c r="AM949" s="291"/>
      <c r="AN949" s="291"/>
      <c r="AO949" s="291"/>
      <c r="AP949" s="291"/>
      <c r="AQ949" s="291"/>
      <c r="AR949" s="291"/>
      <c r="AS949" s="291"/>
      <c r="AT949" s="291"/>
      <c r="AU949" s="291"/>
      <c r="AV949" s="291"/>
      <c r="AW949" s="291"/>
      <c r="AX949" s="291"/>
      <c r="AY949" s="291"/>
      <c r="AZ949" s="291"/>
      <c r="BA949" s="291"/>
      <c r="BB949" s="291"/>
      <c r="BC949" s="291"/>
      <c r="BD949" s="291"/>
      <c r="BE949" s="291"/>
      <c r="BF949" s="291"/>
      <c r="BG949" s="291"/>
      <c r="BH949" s="291"/>
      <c r="BI949" s="432"/>
      <c r="BJ949" s="415"/>
      <c r="BK949" s="415"/>
      <c r="BL949" s="415"/>
      <c r="BM949" s="1"/>
      <c r="BR949" s="92"/>
      <c r="CV949">
        <v>2</v>
      </c>
    </row>
    <row r="950" spans="1:100">
      <c r="A950" s="291"/>
      <c r="B950" s="432"/>
      <c r="C950" s="161"/>
      <c r="D950" s="291"/>
      <c r="E950" s="291"/>
      <c r="F950" s="291"/>
      <c r="G950" s="291"/>
      <c r="H950" s="291"/>
      <c r="I950" s="291"/>
      <c r="J950" s="291"/>
      <c r="K950" s="291"/>
      <c r="L950" s="291"/>
      <c r="M950" s="291"/>
      <c r="N950" s="291"/>
      <c r="O950" s="291"/>
      <c r="P950" s="291"/>
      <c r="Q950" s="291"/>
      <c r="R950" s="291"/>
      <c r="S950" s="291"/>
      <c r="T950" s="291"/>
      <c r="U950" s="291"/>
      <c r="V950" s="291"/>
      <c r="W950" s="291"/>
      <c r="X950" s="291"/>
      <c r="Y950" s="291"/>
      <c r="Z950" s="291"/>
      <c r="AA950" s="291"/>
      <c r="AB950" s="291"/>
      <c r="AC950" s="291"/>
      <c r="AD950" s="291"/>
      <c r="AE950" s="291"/>
      <c r="AF950" s="291"/>
      <c r="AG950" s="415"/>
      <c r="AH950" s="420"/>
      <c r="AI950" s="415"/>
      <c r="AJ950" s="415"/>
      <c r="AK950" s="415"/>
      <c r="AL950" s="415"/>
      <c r="AM950" s="415"/>
      <c r="AN950" s="415"/>
      <c r="AO950" s="415"/>
      <c r="AP950" s="415"/>
      <c r="AQ950" s="415"/>
      <c r="AR950" s="415"/>
      <c r="AS950" s="415"/>
      <c r="AT950" s="415"/>
      <c r="AU950" s="415"/>
      <c r="AV950" s="415"/>
      <c r="AW950" s="415"/>
      <c r="AX950" s="415"/>
      <c r="AY950" s="415"/>
      <c r="AZ950" s="415"/>
      <c r="BA950" s="415"/>
      <c r="BB950" s="415"/>
      <c r="BC950" s="415"/>
      <c r="BD950" s="415"/>
      <c r="BE950" s="415"/>
      <c r="BF950" s="415"/>
      <c r="BG950" s="415"/>
      <c r="BH950" s="415"/>
      <c r="BI950" s="415"/>
      <c r="BJ950" s="415"/>
      <c r="BK950" s="415"/>
      <c r="BL950" s="415"/>
      <c r="BM950" s="1"/>
      <c r="BR950" s="92"/>
      <c r="CV950">
        <v>2</v>
      </c>
    </row>
    <row r="951" spans="1:100">
      <c r="BM951" s="1"/>
      <c r="BR951" s="92"/>
      <c r="CT951">
        <v>4</v>
      </c>
      <c r="CU951">
        <v>4</v>
      </c>
      <c r="CV951">
        <v>2</v>
      </c>
    </row>
    <row r="952" spans="1:100">
      <c r="A952" s="291"/>
      <c r="B952" s="291"/>
      <c r="C952" s="291"/>
      <c r="D952" s="415"/>
      <c r="E952" s="291"/>
      <c r="F952" s="291"/>
      <c r="G952" s="291"/>
      <c r="H952" s="291"/>
      <c r="I952" s="291"/>
      <c r="J952" s="291"/>
      <c r="K952" s="291"/>
      <c r="L952" s="291"/>
      <c r="M952" s="291"/>
      <c r="N952" s="291"/>
      <c r="O952" s="291"/>
      <c r="P952" s="291"/>
      <c r="Q952" s="291"/>
      <c r="R952" s="291"/>
      <c r="S952" s="291"/>
      <c r="T952" s="291"/>
      <c r="U952" s="291"/>
      <c r="V952" s="291"/>
      <c r="W952" s="291"/>
      <c r="X952" s="291"/>
      <c r="Y952" s="291"/>
      <c r="Z952" s="291"/>
      <c r="AA952" s="291"/>
      <c r="AB952" s="291"/>
      <c r="AC952" s="201"/>
      <c r="AD952" s="291"/>
      <c r="AE952" s="291"/>
      <c r="AF952" s="291"/>
      <c r="AG952" s="415"/>
      <c r="AH952" s="415"/>
      <c r="AI952" s="415"/>
      <c r="AJ952" s="414"/>
      <c r="AK952" s="415"/>
      <c r="AL952" s="415"/>
      <c r="AM952" s="415"/>
      <c r="AN952" s="415"/>
      <c r="AO952" s="415"/>
      <c r="AP952" s="415"/>
      <c r="AQ952" s="415"/>
      <c r="AR952" s="415"/>
      <c r="AS952" s="415"/>
      <c r="AT952" s="415"/>
      <c r="AU952" s="415"/>
      <c r="AV952" s="415"/>
      <c r="AW952" s="415"/>
      <c r="AX952" s="415"/>
      <c r="AY952" s="415"/>
      <c r="AZ952" s="415"/>
      <c r="BA952" s="415"/>
      <c r="BB952" s="415"/>
      <c r="BC952" s="415"/>
      <c r="BD952" s="415"/>
      <c r="BE952" s="415"/>
      <c r="BF952" s="415"/>
      <c r="BG952" s="415"/>
      <c r="BH952" s="415"/>
      <c r="BI952" s="291"/>
      <c r="BJ952" s="415"/>
      <c r="BK952" s="415"/>
      <c r="BL952" s="415"/>
      <c r="BM952" s="1"/>
      <c r="BR952" s="92"/>
      <c r="CV952">
        <v>2</v>
      </c>
    </row>
    <row r="953" spans="1:100">
      <c r="A953" s="291"/>
      <c r="B953" s="291"/>
      <c r="C953" s="291"/>
      <c r="D953" s="415"/>
      <c r="E953" s="291"/>
      <c r="F953" s="201"/>
      <c r="G953" s="201"/>
      <c r="H953" s="201"/>
      <c r="I953" s="201"/>
      <c r="J953" s="201"/>
      <c r="K953" s="201"/>
      <c r="L953" s="201"/>
      <c r="M953" s="201"/>
      <c r="N953" s="201"/>
      <c r="O953" s="201"/>
      <c r="P953" s="201"/>
      <c r="Q953" s="201"/>
      <c r="R953" s="201"/>
      <c r="S953" s="201"/>
      <c r="T953" s="201"/>
      <c r="U953" s="201"/>
      <c r="V953" s="201"/>
      <c r="W953" s="201"/>
      <c r="X953" s="201"/>
      <c r="Y953" s="201"/>
      <c r="Z953" s="201"/>
      <c r="AA953" s="291"/>
      <c r="AB953" s="291"/>
      <c r="AC953" s="201"/>
      <c r="AD953" s="291"/>
      <c r="AE953" s="291"/>
      <c r="AF953" s="291"/>
      <c r="AG953" s="415"/>
      <c r="AH953" s="415"/>
      <c r="AI953" s="415"/>
      <c r="AJ953" s="414"/>
      <c r="AK953" s="415"/>
      <c r="AL953" s="291"/>
      <c r="AM953" s="291"/>
      <c r="AN953" s="291"/>
      <c r="AO953" s="291"/>
      <c r="AP953" s="291"/>
      <c r="AQ953" s="291"/>
      <c r="AR953" s="291"/>
      <c r="AS953" s="291"/>
      <c r="AT953" s="291"/>
      <c r="AU953" s="291"/>
      <c r="AV953" s="291"/>
      <c r="AW953" s="291"/>
      <c r="AX953" s="291"/>
      <c r="AY953" s="291"/>
      <c r="AZ953" s="291"/>
      <c r="BA953" s="291"/>
      <c r="BB953" s="291"/>
      <c r="BC953" s="291"/>
      <c r="BD953" s="291"/>
      <c r="BE953" s="291"/>
      <c r="BF953" s="291"/>
      <c r="BG953" s="415"/>
      <c r="BH953" s="415"/>
      <c r="BI953" s="291"/>
      <c r="BJ953" s="415"/>
      <c r="BK953" s="415"/>
      <c r="BL953" s="415"/>
      <c r="BM953" s="1"/>
      <c r="BR953" s="92"/>
      <c r="CV953">
        <v>2</v>
      </c>
    </row>
    <row r="954" spans="1:100">
      <c r="A954" s="291"/>
      <c r="B954" s="291"/>
      <c r="C954" s="291"/>
      <c r="D954" s="415"/>
      <c r="E954" s="291"/>
      <c r="F954" s="201"/>
      <c r="G954" s="291"/>
      <c r="H954" s="291"/>
      <c r="I954" s="291"/>
      <c r="J954" s="291"/>
      <c r="K954" s="291"/>
      <c r="L954" s="291"/>
      <c r="M954" s="291"/>
      <c r="N954" s="291"/>
      <c r="O954" s="291"/>
      <c r="P954" s="291"/>
      <c r="Q954" s="291"/>
      <c r="R954" s="291"/>
      <c r="S954" s="291"/>
      <c r="T954" s="291"/>
      <c r="U954" s="291"/>
      <c r="V954" s="291"/>
      <c r="W954" s="291"/>
      <c r="X954" s="291"/>
      <c r="Y954" s="291"/>
      <c r="Z954" s="291"/>
      <c r="AA954" s="415"/>
      <c r="AB954" s="291"/>
      <c r="AC954" s="201"/>
      <c r="AD954" s="291"/>
      <c r="AE954" s="291"/>
      <c r="AF954" s="291"/>
      <c r="AG954" s="415"/>
      <c r="AH954" s="415"/>
      <c r="AI954" s="415"/>
      <c r="AJ954" s="414"/>
      <c r="AK954" s="415"/>
      <c r="AL954" s="291"/>
      <c r="AM954" s="415"/>
      <c r="AN954" s="415"/>
      <c r="AO954" s="415"/>
      <c r="AP954" s="415"/>
      <c r="AQ954" s="415"/>
      <c r="AR954" s="415"/>
      <c r="AS954" s="415"/>
      <c r="AT954" s="415"/>
      <c r="AU954" s="415"/>
      <c r="AV954" s="415"/>
      <c r="AW954" s="415"/>
      <c r="AX954" s="415"/>
      <c r="AY954" s="415"/>
      <c r="AZ954" s="415"/>
      <c r="BA954" s="415"/>
      <c r="BB954" s="415"/>
      <c r="BC954" s="415"/>
      <c r="BD954" s="415"/>
      <c r="BE954" s="415"/>
      <c r="BF954" s="415"/>
      <c r="BG954" s="414"/>
      <c r="BH954" s="415"/>
      <c r="BI954" s="291"/>
      <c r="BJ954" s="415"/>
      <c r="BK954" s="415"/>
      <c r="BL954" s="415"/>
      <c r="BM954" s="1"/>
      <c r="BR954" s="92"/>
      <c r="CV954">
        <v>2</v>
      </c>
    </row>
    <row r="955" spans="1:100">
      <c r="BM955" s="1"/>
      <c r="BR955" s="92"/>
      <c r="CT955">
        <v>26</v>
      </c>
      <c r="CU955">
        <v>26</v>
      </c>
      <c r="CV955">
        <v>2</v>
      </c>
    </row>
    <row r="956" spans="1:100">
      <c r="A956" s="291"/>
      <c r="B956" s="291"/>
      <c r="C956" s="291"/>
      <c r="D956" s="415"/>
      <c r="E956" s="291"/>
      <c r="F956" s="291"/>
      <c r="G956" s="415"/>
      <c r="H956" s="415"/>
      <c r="I956" s="415"/>
      <c r="J956" s="415"/>
      <c r="K956" s="415"/>
      <c r="L956" s="415"/>
      <c r="M956" s="415"/>
      <c r="N956" s="415"/>
      <c r="O956" s="415"/>
      <c r="P956" s="415"/>
      <c r="Q956" s="415"/>
      <c r="R956" s="415"/>
      <c r="S956" s="415"/>
      <c r="T956" s="415"/>
      <c r="U956" s="415"/>
      <c r="V956" s="415"/>
      <c r="W956" s="415"/>
      <c r="X956" s="415"/>
      <c r="Y956" s="415"/>
      <c r="Z956" s="415"/>
      <c r="AA956" s="415"/>
      <c r="AB956" s="291"/>
      <c r="AC956" s="201"/>
      <c r="AD956" s="291"/>
      <c r="AE956" s="291"/>
      <c r="AF956" s="291"/>
      <c r="AG956" s="415"/>
      <c r="AH956" s="415"/>
      <c r="AI956" s="415"/>
      <c r="AJ956" s="414"/>
      <c r="AK956" s="415"/>
      <c r="AL956" s="415"/>
      <c r="AM956" s="414"/>
      <c r="AN956" s="414"/>
      <c r="AO956" s="414"/>
      <c r="AP956" s="414"/>
      <c r="AQ956" s="414"/>
      <c r="AR956" s="414"/>
      <c r="AS956" s="414"/>
      <c r="AT956" s="414"/>
      <c r="AU956" s="414"/>
      <c r="AV956" s="414"/>
      <c r="AW956" s="414"/>
      <c r="AX956" s="414"/>
      <c r="AY956" s="414"/>
      <c r="AZ956" s="414"/>
      <c r="BA956" s="414"/>
      <c r="BB956" s="414"/>
      <c r="BC956" s="414"/>
      <c r="BD956" s="414"/>
      <c r="BE956" s="414"/>
      <c r="BF956" s="414"/>
      <c r="BG956" s="414"/>
      <c r="BH956" s="415"/>
      <c r="BI956" s="291"/>
      <c r="BJ956" s="415"/>
      <c r="BK956" s="415"/>
      <c r="BL956" s="415"/>
      <c r="BM956" s="1"/>
      <c r="BR956" s="92"/>
      <c r="CV956">
        <v>2</v>
      </c>
    </row>
    <row r="957" spans="1:100">
      <c r="BM957" s="1"/>
      <c r="BR957" s="92"/>
      <c r="CT957">
        <v>24</v>
      </c>
      <c r="CU957">
        <v>24</v>
      </c>
      <c r="CV957">
        <v>2</v>
      </c>
    </row>
    <row r="958" spans="1:100">
      <c r="A958" s="291"/>
      <c r="B958" s="291"/>
      <c r="C958" s="291"/>
      <c r="D958" s="291"/>
      <c r="E958" s="201"/>
      <c r="F958" s="201"/>
      <c r="G958" s="201"/>
      <c r="H958" s="201"/>
      <c r="I958" s="201"/>
      <c r="J958" s="201"/>
      <c r="K958" s="201"/>
      <c r="L958" s="201"/>
      <c r="M958" s="201"/>
      <c r="N958" s="201"/>
      <c r="O958" s="201"/>
      <c r="P958" s="201"/>
      <c r="Q958" s="201"/>
      <c r="R958" s="201"/>
      <c r="S958" s="201"/>
      <c r="T958" s="201"/>
      <c r="U958" s="201"/>
      <c r="V958" s="201"/>
      <c r="W958" s="201"/>
      <c r="X958" s="201"/>
      <c r="Y958" s="201"/>
      <c r="Z958" s="201"/>
      <c r="AA958" s="201"/>
      <c r="AB958" s="201"/>
      <c r="AC958" s="201"/>
      <c r="AD958" s="291"/>
      <c r="AE958" s="291"/>
      <c r="AF958" s="291"/>
      <c r="AG958" s="415"/>
      <c r="AH958" s="415"/>
      <c r="AI958" s="415"/>
      <c r="AJ958" s="415"/>
      <c r="AK958" s="291"/>
      <c r="AL958" s="291"/>
      <c r="AM958" s="291"/>
      <c r="AN958" s="291"/>
      <c r="AO958" s="291"/>
      <c r="AP958" s="291"/>
      <c r="AQ958" s="291"/>
      <c r="AR958" s="291"/>
      <c r="AS958" s="291"/>
      <c r="AT958" s="291"/>
      <c r="AU958" s="291"/>
      <c r="AV958" s="291"/>
      <c r="AW958" s="291"/>
      <c r="AX958" s="291"/>
      <c r="AY958" s="291"/>
      <c r="AZ958" s="291"/>
      <c r="BA958" s="291"/>
      <c r="BB958" s="291"/>
      <c r="BC958" s="291"/>
      <c r="BD958" s="291"/>
      <c r="BE958" s="291"/>
      <c r="BF958" s="291"/>
      <c r="BG958" s="291"/>
      <c r="BH958" s="291"/>
      <c r="BI958" s="291"/>
      <c r="BJ958" s="415"/>
      <c r="BK958" s="415"/>
      <c r="BL958" s="415"/>
      <c r="BM958" s="1"/>
      <c r="BR958" s="92"/>
      <c r="CV958">
        <v>2</v>
      </c>
    </row>
    <row r="959" spans="1:100">
      <c r="BM959" s="1"/>
      <c r="BR959" s="92"/>
      <c r="CT959">
        <v>1</v>
      </c>
      <c r="CU959">
        <v>1</v>
      </c>
      <c r="CV959">
        <v>2</v>
      </c>
    </row>
    <row r="960" spans="1:100">
      <c r="BM960" s="1"/>
      <c r="BN960" s="206"/>
      <c r="BO960" s="205"/>
      <c r="BP960" s="205"/>
      <c r="BQ960" s="205"/>
      <c r="BR960" s="92"/>
      <c r="CT960">
        <v>1</v>
      </c>
      <c r="CU960">
        <v>1</v>
      </c>
    </row>
    <row r="961" spans="1:99">
      <c r="A961" s="321"/>
      <c r="B961" s="321"/>
      <c r="C961" s="321"/>
      <c r="D961" s="321"/>
      <c r="E961" s="321"/>
      <c r="F961" s="321"/>
      <c r="G961" s="321"/>
      <c r="H961" s="321"/>
      <c r="I961" s="321"/>
      <c r="J961" s="321"/>
      <c r="K961" s="321"/>
      <c r="L961" s="409"/>
      <c r="M961" s="409"/>
      <c r="N961" s="409"/>
      <c r="O961" s="409"/>
      <c r="P961" s="415"/>
      <c r="Q961" s="415"/>
      <c r="R961" s="409"/>
      <c r="S961" s="321"/>
      <c r="T961" s="321"/>
      <c r="U961" s="321"/>
      <c r="V961" s="321"/>
      <c r="W961" s="321"/>
      <c r="X961" s="321"/>
      <c r="Y961" s="409"/>
      <c r="Z961" s="409"/>
      <c r="AA961" s="420"/>
      <c r="AB961" s="420"/>
      <c r="AC961" s="420"/>
      <c r="AD961" s="420"/>
      <c r="AE961" s="420"/>
      <c r="AF961" s="415"/>
      <c r="AG961" s="321"/>
      <c r="AH961" s="321"/>
      <c r="AI961" s="321"/>
      <c r="AJ961" s="321"/>
      <c r="AK961" s="321"/>
      <c r="AL961" s="321"/>
      <c r="AM961" s="321"/>
      <c r="AN961" s="321"/>
      <c r="AO961" s="321"/>
      <c r="AP961" s="321"/>
      <c r="AQ961" s="321"/>
      <c r="AR961" s="409"/>
      <c r="AS961" s="409"/>
      <c r="AT961" s="409"/>
      <c r="AU961" s="409"/>
      <c r="AV961" s="415"/>
      <c r="AW961" s="415"/>
      <c r="AX961" s="409"/>
      <c r="AY961" s="321"/>
      <c r="AZ961" s="321"/>
      <c r="BA961" s="321"/>
      <c r="BB961" s="321"/>
      <c r="BC961" s="321"/>
      <c r="BD961" s="321"/>
      <c r="BE961" s="409"/>
      <c r="BF961" s="409"/>
      <c r="BG961" s="420"/>
      <c r="BH961" s="420"/>
      <c r="BI961" s="420"/>
      <c r="BJ961" s="420"/>
      <c r="BK961" s="420"/>
      <c r="BL961" s="415"/>
      <c r="BM961" s="199">
        <v>31</v>
      </c>
      <c r="BN961" s="417"/>
      <c r="BO961" s="417"/>
      <c r="BP961" s="417"/>
      <c r="BQ961" s="417"/>
      <c r="BR961" s="417"/>
      <c r="BS961" s="417"/>
      <c r="BT961" s="417"/>
      <c r="BU961" s="417"/>
      <c r="BV961" s="417"/>
      <c r="BW961" s="417"/>
      <c r="BX961" s="417"/>
      <c r="BY961" s="417"/>
      <c r="BZ961" s="417"/>
      <c r="CA961" s="417"/>
      <c r="CB961" s="417"/>
      <c r="CC961" s="417"/>
      <c r="CD961" s="417"/>
      <c r="CE961" s="417"/>
      <c r="CF961" s="417"/>
      <c r="CG961" s="417"/>
      <c r="CH961" s="417"/>
      <c r="CI961" s="417"/>
      <c r="CJ961" s="417"/>
      <c r="CK961" s="417"/>
      <c r="CL961" s="417"/>
      <c r="CM961" s="417"/>
      <c r="CN961" s="417"/>
      <c r="CO961" s="417"/>
      <c r="CP961" s="417"/>
      <c r="CQ961" s="417"/>
      <c r="CR961" s="417"/>
      <c r="CS961" s="417"/>
    </row>
    <row r="962" spans="1:99">
      <c r="A962" s="321"/>
      <c r="B962" s="420"/>
      <c r="C962" s="420"/>
      <c r="D962" s="443"/>
      <c r="E962" s="443"/>
      <c r="F962" s="321"/>
      <c r="G962" s="420"/>
      <c r="H962" s="443"/>
      <c r="I962" s="443"/>
      <c r="J962" s="321"/>
      <c r="K962" s="420"/>
      <c r="L962" s="443"/>
      <c r="M962" s="443"/>
      <c r="N962" s="321"/>
      <c r="O962" s="420"/>
      <c r="P962" s="415"/>
      <c r="Q962" s="414"/>
      <c r="R962" s="415"/>
      <c r="S962" s="420"/>
      <c r="T962" s="443"/>
      <c r="U962" s="409"/>
      <c r="V962" s="321"/>
      <c r="W962" s="420"/>
      <c r="X962" s="443"/>
      <c r="Y962" s="443"/>
      <c r="Z962" s="321"/>
      <c r="AA962" s="420"/>
      <c r="AB962" s="443"/>
      <c r="AC962" s="409"/>
      <c r="AD962" s="321"/>
      <c r="AE962" s="420"/>
      <c r="AF962" s="415"/>
      <c r="AG962" s="321"/>
      <c r="AH962" s="420"/>
      <c r="AI962" s="420"/>
      <c r="AJ962" s="443"/>
      <c r="AK962" s="443"/>
      <c r="AL962" s="321"/>
      <c r="AM962" s="420"/>
      <c r="AN962" s="443"/>
      <c r="AO962" s="443"/>
      <c r="AP962" s="321"/>
      <c r="AQ962" s="420"/>
      <c r="AR962" s="443"/>
      <c r="AS962" s="443"/>
      <c r="AT962" s="321"/>
      <c r="AU962" s="420"/>
      <c r="AV962" s="415"/>
      <c r="AW962" s="414"/>
      <c r="AX962" s="415"/>
      <c r="AY962" s="420"/>
      <c r="AZ962" s="443"/>
      <c r="BA962" s="443"/>
      <c r="BB962" s="321"/>
      <c r="BC962" s="420"/>
      <c r="BD962" s="443"/>
      <c r="BE962" s="443"/>
      <c r="BF962" s="321"/>
      <c r="BG962" s="420"/>
      <c r="BH962" s="443"/>
      <c r="BI962" s="409"/>
      <c r="BJ962" s="321"/>
      <c r="BK962" s="420"/>
      <c r="BL962" s="415"/>
      <c r="BM962" s="201"/>
      <c r="BN962" s="322"/>
      <c r="BO962" s="322"/>
      <c r="BP962" s="322"/>
      <c r="BQ962" s="322"/>
      <c r="BR962" s="322"/>
      <c r="BS962" s="322"/>
      <c r="BT962" s="322"/>
      <c r="BU962" s="322"/>
      <c r="BV962" s="322"/>
      <c r="BW962" s="322"/>
      <c r="BX962" s="322"/>
      <c r="BY962" s="322"/>
      <c r="BZ962" s="322"/>
      <c r="CA962" s="322"/>
      <c r="CB962" s="322"/>
      <c r="CC962" s="322"/>
      <c r="CD962" s="322"/>
      <c r="CE962" s="322"/>
      <c r="CF962" s="322"/>
      <c r="CG962" s="322"/>
      <c r="CH962" s="322"/>
      <c r="CI962" s="322"/>
      <c r="CJ962" s="322"/>
      <c r="CK962" s="322"/>
      <c r="CL962" s="322"/>
      <c r="CM962" s="322"/>
      <c r="CN962" s="322"/>
      <c r="CO962" s="322"/>
      <c r="CP962" s="322"/>
      <c r="CQ962" s="322"/>
      <c r="CR962" s="322"/>
      <c r="CS962" s="322"/>
    </row>
    <row r="963" spans="1:99">
      <c r="A963" s="321"/>
      <c r="B963" s="420"/>
      <c r="C963" s="420"/>
      <c r="D963" s="443"/>
      <c r="E963" s="321"/>
      <c r="F963" s="321"/>
      <c r="G963" s="420"/>
      <c r="H963" s="443"/>
      <c r="I963" s="414"/>
      <c r="J963" s="321"/>
      <c r="K963" s="420"/>
      <c r="L963" s="443"/>
      <c r="M963" s="321"/>
      <c r="N963" s="321"/>
      <c r="O963" s="420"/>
      <c r="P963" s="415"/>
      <c r="Q963" s="414"/>
      <c r="R963" s="415"/>
      <c r="S963" s="420"/>
      <c r="T963" s="443"/>
      <c r="U963" s="409"/>
      <c r="V963" s="321"/>
      <c r="W963" s="420"/>
      <c r="X963" s="409"/>
      <c r="Y963" s="321"/>
      <c r="Z963" s="321"/>
      <c r="AA963" s="420"/>
      <c r="AB963" s="409"/>
      <c r="AC963" s="321"/>
      <c r="AD963" s="321"/>
      <c r="AE963" s="420"/>
      <c r="AF963" s="415"/>
      <c r="AG963" s="321"/>
      <c r="AH963" s="420"/>
      <c r="AI963" s="420"/>
      <c r="AJ963" s="443"/>
      <c r="AK963" s="321"/>
      <c r="AL963" s="321"/>
      <c r="AM963" s="420"/>
      <c r="AN963" s="443"/>
      <c r="AO963" s="414"/>
      <c r="AP963" s="321"/>
      <c r="AQ963" s="420"/>
      <c r="AR963" s="443"/>
      <c r="AS963" s="321"/>
      <c r="AT963" s="321"/>
      <c r="AU963" s="420"/>
      <c r="AV963" s="415"/>
      <c r="AW963" s="414"/>
      <c r="AX963" s="415"/>
      <c r="AY963" s="420"/>
      <c r="AZ963" s="443"/>
      <c r="BA963" s="414"/>
      <c r="BB963" s="321"/>
      <c r="BC963" s="420"/>
      <c r="BD963" s="409"/>
      <c r="BE963" s="321"/>
      <c r="BF963" s="321"/>
      <c r="BG963" s="420"/>
      <c r="BH963" s="409"/>
      <c r="BI963" s="321"/>
      <c r="BJ963" s="321"/>
      <c r="BK963" s="420"/>
      <c r="BL963" s="415"/>
      <c r="BM963" s="1"/>
      <c r="BN963" s="567"/>
      <c r="BO963" s="322"/>
      <c r="BP963" s="322"/>
      <c r="BQ963" s="322"/>
      <c r="BR963" s="420"/>
      <c r="BS963" s="322"/>
      <c r="BT963" s="420"/>
      <c r="BU963" s="603"/>
      <c r="BV963" s="420"/>
      <c r="BW963" s="420"/>
      <c r="BX963" s="420"/>
      <c r="BY963" s="322"/>
      <c r="BZ963" s="420"/>
      <c r="CA963" s="420"/>
      <c r="CB963" s="322"/>
      <c r="CC963" s="420"/>
      <c r="CD963" s="322"/>
      <c r="CE963" s="322"/>
      <c r="CF963" s="420"/>
      <c r="CG963" s="420"/>
      <c r="CH963" s="420"/>
      <c r="CI963" s="420"/>
      <c r="CJ963" s="322"/>
      <c r="CK963" s="420"/>
      <c r="CL963" s="567"/>
      <c r="CM963" s="322"/>
      <c r="CN963" s="322"/>
      <c r="CO963" s="567"/>
      <c r="CP963" s="420"/>
      <c r="CQ963" s="322"/>
      <c r="CR963" s="415"/>
      <c r="CS963" s="322"/>
    </row>
    <row r="964" spans="1:99">
      <c r="A964" s="321"/>
      <c r="B964" s="420"/>
      <c r="C964" s="321"/>
      <c r="D964" s="321"/>
      <c r="E964" s="321"/>
      <c r="F964" s="321"/>
      <c r="G964" s="321"/>
      <c r="H964" s="321"/>
      <c r="I964" s="321"/>
      <c r="J964" s="321"/>
      <c r="K964" s="321"/>
      <c r="L964" s="321"/>
      <c r="M964" s="321"/>
      <c r="N964" s="321"/>
      <c r="O964" s="321"/>
      <c r="P964" s="415"/>
      <c r="Q964" s="414"/>
      <c r="R964" s="415"/>
      <c r="S964" s="321"/>
      <c r="T964" s="321"/>
      <c r="U964" s="321"/>
      <c r="V964" s="321"/>
      <c r="W964" s="321"/>
      <c r="X964" s="321"/>
      <c r="Y964" s="321"/>
      <c r="Z964" s="321"/>
      <c r="AA964" s="321"/>
      <c r="AB964" s="321"/>
      <c r="AC964" s="321"/>
      <c r="AD964" s="321"/>
      <c r="AE964" s="321"/>
      <c r="AF964" s="415"/>
      <c r="AG964" s="321"/>
      <c r="AH964" s="420"/>
      <c r="AI964" s="321"/>
      <c r="AJ964" s="321"/>
      <c r="AK964" s="321"/>
      <c r="AL964" s="321"/>
      <c r="AM964" s="321"/>
      <c r="AN964" s="321"/>
      <c r="AO964" s="321"/>
      <c r="AP964" s="321"/>
      <c r="AQ964" s="321"/>
      <c r="AR964" s="321"/>
      <c r="AS964" s="321"/>
      <c r="AT964" s="321"/>
      <c r="AU964" s="321"/>
      <c r="AV964" s="415"/>
      <c r="AW964" s="414"/>
      <c r="AX964" s="415"/>
      <c r="AY964" s="321"/>
      <c r="AZ964" s="321"/>
      <c r="BA964" s="321"/>
      <c r="BB964" s="321"/>
      <c r="BC964" s="321"/>
      <c r="BD964" s="321"/>
      <c r="BE964" s="321"/>
      <c r="BF964" s="321"/>
      <c r="BG964" s="321"/>
      <c r="BH964" s="321"/>
      <c r="BI964" s="321"/>
      <c r="BJ964" s="321"/>
      <c r="BK964" s="321"/>
      <c r="BL964" s="415"/>
      <c r="BM964" s="1"/>
      <c r="BN964" s="567"/>
      <c r="BO964" s="322"/>
      <c r="BP964" s="322"/>
      <c r="BQ964" s="322"/>
      <c r="BR964" s="420"/>
      <c r="BS964" s="322"/>
      <c r="BT964" s="420"/>
      <c r="BU964" s="567"/>
      <c r="BV964" s="322"/>
      <c r="BW964" s="322"/>
      <c r="BX964" s="603"/>
      <c r="BY964" s="420"/>
      <c r="BZ964" s="603"/>
      <c r="CA964" s="420"/>
      <c r="CB964" s="322"/>
      <c r="CC964" s="420"/>
      <c r="CD964" s="567"/>
      <c r="CE964" s="322"/>
      <c r="CF964" s="603"/>
      <c r="CG964" s="322"/>
      <c r="CH964" s="420"/>
      <c r="CI964" s="322"/>
      <c r="CJ964" s="322"/>
      <c r="CK964" s="420"/>
      <c r="CL964" s="567"/>
      <c r="CM964" s="322"/>
      <c r="CN964" s="322"/>
      <c r="CO964" s="567"/>
      <c r="CP964" s="420"/>
      <c r="CQ964" s="322"/>
      <c r="CR964" s="415"/>
      <c r="CS964" s="322"/>
    </row>
    <row r="965" spans="1:99">
      <c r="A965" s="321"/>
      <c r="B965" s="420"/>
      <c r="C965" s="443"/>
      <c r="D965" s="443"/>
      <c r="E965" s="414"/>
      <c r="F965" s="443"/>
      <c r="G965" s="443"/>
      <c r="H965" s="443"/>
      <c r="I965" s="414"/>
      <c r="J965" s="443"/>
      <c r="K965" s="443"/>
      <c r="L965" s="443"/>
      <c r="M965" s="414"/>
      <c r="N965" s="443"/>
      <c r="O965" s="443"/>
      <c r="P965" s="415"/>
      <c r="Q965" s="414"/>
      <c r="R965" s="415"/>
      <c r="S965" s="443"/>
      <c r="T965" s="443"/>
      <c r="U965" s="414"/>
      <c r="V965" s="443"/>
      <c r="W965" s="443"/>
      <c r="X965" s="443"/>
      <c r="Y965" s="414"/>
      <c r="Z965" s="443"/>
      <c r="AA965" s="443"/>
      <c r="AB965" s="443"/>
      <c r="AC965" s="414"/>
      <c r="AD965" s="443"/>
      <c r="AE965" s="443"/>
      <c r="AF965" s="415"/>
      <c r="AG965" s="321"/>
      <c r="AH965" s="420"/>
      <c r="AI965" s="429"/>
      <c r="AJ965" s="429"/>
      <c r="AK965" s="414"/>
      <c r="AL965" s="429"/>
      <c r="AM965" s="429"/>
      <c r="AN965" s="429"/>
      <c r="AO965" s="414"/>
      <c r="AP965" s="429"/>
      <c r="AQ965" s="429"/>
      <c r="AR965" s="429"/>
      <c r="AS965" s="414"/>
      <c r="AT965" s="429"/>
      <c r="AU965" s="429"/>
      <c r="AV965" s="415"/>
      <c r="AW965" s="414"/>
      <c r="AX965" s="415"/>
      <c r="AY965" s="429"/>
      <c r="AZ965" s="429"/>
      <c r="BA965" s="414"/>
      <c r="BB965" s="429"/>
      <c r="BC965" s="429"/>
      <c r="BD965" s="429"/>
      <c r="BE965" s="414"/>
      <c r="BF965" s="429"/>
      <c r="BG965" s="429"/>
      <c r="BH965" s="429"/>
      <c r="BI965" s="414"/>
      <c r="BJ965" s="429"/>
      <c r="BK965" s="429"/>
      <c r="BL965" s="415"/>
      <c r="BM965" s="1"/>
      <c r="BN965" s="420"/>
      <c r="BO965" s="603"/>
      <c r="BP965" s="322"/>
      <c r="BQ965" s="603"/>
      <c r="BR965" s="420"/>
      <c r="BS965" s="322"/>
      <c r="BT965" s="420"/>
      <c r="BU965" s="420"/>
      <c r="BV965" s="603"/>
      <c r="BW965" s="322"/>
      <c r="BX965" s="322"/>
      <c r="BY965" s="420"/>
      <c r="BZ965" s="603"/>
      <c r="CA965" s="420"/>
      <c r="CB965" s="322"/>
      <c r="CC965" s="420"/>
      <c r="CD965" s="603"/>
      <c r="CE965" s="322"/>
      <c r="CF965" s="567"/>
      <c r="CG965" s="322"/>
      <c r="CH965" s="322"/>
      <c r="CI965" s="322"/>
      <c r="CJ965" s="322"/>
      <c r="CK965" s="420"/>
      <c r="CL965" s="322"/>
      <c r="CM965" s="322"/>
      <c r="CN965" s="567"/>
      <c r="CO965" s="567"/>
      <c r="CP965" s="420"/>
      <c r="CQ965" s="322"/>
      <c r="CR965" s="415"/>
      <c r="CS965" s="322"/>
    </row>
    <row r="966" spans="1:99">
      <c r="A966" s="321"/>
      <c r="B966" s="420"/>
      <c r="C966" s="415"/>
      <c r="D966" s="415"/>
      <c r="E966" s="415"/>
      <c r="F966" s="415"/>
      <c r="G966" s="415"/>
      <c r="H966" s="415"/>
      <c r="I966" s="415"/>
      <c r="J966" s="415"/>
      <c r="K966" s="415"/>
      <c r="L966" s="415"/>
      <c r="M966" s="415"/>
      <c r="N966" s="415"/>
      <c r="O966" s="415"/>
      <c r="P966" s="415"/>
      <c r="Q966" s="414"/>
      <c r="R966" s="415"/>
      <c r="S966" s="415"/>
      <c r="T966" s="415"/>
      <c r="U966" s="415"/>
      <c r="V966" s="415"/>
      <c r="W966" s="415"/>
      <c r="X966" s="415"/>
      <c r="Y966" s="415"/>
      <c r="Z966" s="415"/>
      <c r="AA966" s="415"/>
      <c r="AB966" s="415"/>
      <c r="AC966" s="415"/>
      <c r="AD966" s="415"/>
      <c r="AE966" s="415"/>
      <c r="AF966" s="415"/>
      <c r="AG966" s="321"/>
      <c r="AH966" s="420"/>
      <c r="AI966" s="415"/>
      <c r="AJ966" s="415"/>
      <c r="AK966" s="415"/>
      <c r="AL966" s="415"/>
      <c r="AM966" s="415"/>
      <c r="AN966" s="415"/>
      <c r="AO966" s="415"/>
      <c r="AP966" s="415"/>
      <c r="AQ966" s="415"/>
      <c r="AR966" s="415"/>
      <c r="AS966" s="415"/>
      <c r="AT966" s="415"/>
      <c r="AU966" s="415"/>
      <c r="AV966" s="415"/>
      <c r="AW966" s="414"/>
      <c r="AX966" s="415"/>
      <c r="AY966" s="415"/>
      <c r="AZ966" s="415"/>
      <c r="BA966" s="415"/>
      <c r="BB966" s="415"/>
      <c r="BC966" s="415"/>
      <c r="BD966" s="415"/>
      <c r="BE966" s="415"/>
      <c r="BF966" s="415"/>
      <c r="BG966" s="415"/>
      <c r="BH966" s="415"/>
      <c r="BI966" s="415"/>
      <c r="BJ966" s="415"/>
      <c r="BK966" s="415"/>
      <c r="BL966" s="415"/>
      <c r="BM966" s="1"/>
      <c r="BN966" s="420"/>
      <c r="BO966" s="567"/>
      <c r="BP966" s="603"/>
      <c r="BQ966" s="420"/>
      <c r="BR966" s="603"/>
      <c r="BS966" s="322"/>
      <c r="BT966" s="420"/>
      <c r="BU966" s="603"/>
      <c r="BV966" s="567"/>
      <c r="BW966" s="322"/>
      <c r="BX966" s="603"/>
      <c r="BY966" s="603"/>
      <c r="BZ966" s="567"/>
      <c r="CA966" s="420"/>
      <c r="CB966" s="322"/>
      <c r="CC966" s="420"/>
      <c r="CD966" s="420"/>
      <c r="CE966" s="322"/>
      <c r="CF966" s="567"/>
      <c r="CG966" s="322"/>
      <c r="CH966" s="322"/>
      <c r="CI966" s="322"/>
      <c r="CJ966" s="322"/>
      <c r="CK966" s="420"/>
      <c r="CL966" s="420"/>
      <c r="CM966" s="322"/>
      <c r="CN966" s="567"/>
      <c r="CO966" s="420"/>
      <c r="CP966" s="443"/>
      <c r="CQ966" s="322"/>
      <c r="CR966" s="415"/>
      <c r="CS966" s="322"/>
    </row>
    <row r="967" spans="1:99">
      <c r="A967" s="321"/>
      <c r="B967" s="420"/>
      <c r="C967" s="420"/>
      <c r="D967" s="321"/>
      <c r="E967" s="321"/>
      <c r="F967" s="321"/>
      <c r="G967" s="420"/>
      <c r="H967" s="321"/>
      <c r="I967" s="414"/>
      <c r="J967" s="321"/>
      <c r="K967" s="420"/>
      <c r="L967" s="321"/>
      <c r="M967" s="321"/>
      <c r="N967" s="321"/>
      <c r="O967" s="420"/>
      <c r="P967" s="415"/>
      <c r="Q967" s="414"/>
      <c r="R967" s="415"/>
      <c r="S967" s="420"/>
      <c r="T967" s="321"/>
      <c r="U967" s="420"/>
      <c r="V967" s="321"/>
      <c r="W967" s="420"/>
      <c r="X967" s="321"/>
      <c r="Y967" s="321"/>
      <c r="Z967" s="321"/>
      <c r="AA967" s="420"/>
      <c r="AB967" s="321"/>
      <c r="AC967" s="321"/>
      <c r="AD967" s="321"/>
      <c r="AE967" s="420"/>
      <c r="AF967" s="415"/>
      <c r="AG967" s="321"/>
      <c r="AH967" s="420"/>
      <c r="AI967" s="420"/>
      <c r="AJ967" s="17"/>
      <c r="AK967" s="325"/>
      <c r="AL967" s="17"/>
      <c r="AM967" s="420"/>
      <c r="AN967" s="321"/>
      <c r="AO967" s="414"/>
      <c r="AP967" s="321"/>
      <c r="AQ967" s="420"/>
      <c r="AR967" s="321"/>
      <c r="AS967" s="321"/>
      <c r="AT967" s="321"/>
      <c r="AU967" s="420"/>
      <c r="AV967" s="415"/>
      <c r="AW967" s="414"/>
      <c r="AX967" s="415"/>
      <c r="AY967" s="420"/>
      <c r="AZ967" s="321"/>
      <c r="BA967" s="414"/>
      <c r="BB967" s="321"/>
      <c r="BC967" s="420"/>
      <c r="BD967" s="321"/>
      <c r="BE967" s="321"/>
      <c r="BF967" s="321"/>
      <c r="BG967" s="420"/>
      <c r="BH967" s="321"/>
      <c r="BI967" s="321"/>
      <c r="BJ967" s="321"/>
      <c r="BK967" s="420"/>
      <c r="BL967" s="415"/>
      <c r="BM967" s="1"/>
      <c r="BN967" s="603"/>
      <c r="BO967" s="420"/>
      <c r="BP967" s="420"/>
      <c r="BQ967" s="603"/>
      <c r="BR967" s="567"/>
      <c r="BS967" s="322"/>
      <c r="BT967" s="420"/>
      <c r="BU967" s="322"/>
      <c r="BV967" s="420"/>
      <c r="BW967" s="603"/>
      <c r="BX967" s="420"/>
      <c r="BY967" s="603"/>
      <c r="BZ967" s="420"/>
      <c r="CA967" s="420"/>
      <c r="CB967" s="322"/>
      <c r="CC967" s="420"/>
      <c r="CD967" s="420"/>
      <c r="CE967" s="322"/>
      <c r="CF967" s="322"/>
      <c r="CG967" s="567"/>
      <c r="CH967" s="322"/>
      <c r="CI967" s="322"/>
      <c r="CJ967" s="322"/>
      <c r="CK967" s="420"/>
      <c r="CL967" s="420"/>
      <c r="CM967" s="567"/>
      <c r="CN967" s="567"/>
      <c r="CO967" s="420"/>
      <c r="CP967" s="567"/>
      <c r="CQ967" s="322"/>
      <c r="CR967" s="415"/>
      <c r="CS967" s="322"/>
    </row>
    <row r="968" spans="1:99">
      <c r="A968" s="321"/>
      <c r="B968" s="420"/>
      <c r="C968" s="420"/>
      <c r="D968" s="321"/>
      <c r="E968" s="321"/>
      <c r="F968" s="321"/>
      <c r="G968" s="420"/>
      <c r="H968" s="321"/>
      <c r="I968" s="409"/>
      <c r="J968" s="321"/>
      <c r="K968" s="420"/>
      <c r="L968" s="321"/>
      <c r="M968" s="414"/>
      <c r="N968" s="321"/>
      <c r="O968" s="420"/>
      <c r="P968" s="415"/>
      <c r="Q968" s="414"/>
      <c r="R968" s="415"/>
      <c r="S968" s="420"/>
      <c r="T968" s="321"/>
      <c r="U968" s="409"/>
      <c r="V968" s="321"/>
      <c r="W968" s="420"/>
      <c r="X968" s="321"/>
      <c r="Y968" s="409"/>
      <c r="Z968" s="321"/>
      <c r="AA968" s="420"/>
      <c r="AB968" s="321"/>
      <c r="AC968" s="321"/>
      <c r="AD968" s="321"/>
      <c r="AE968" s="420"/>
      <c r="AF968" s="415"/>
      <c r="AG968" s="321"/>
      <c r="AH968" s="420"/>
      <c r="AI968" s="420"/>
      <c r="AJ968" s="17"/>
      <c r="AK968" s="17"/>
      <c r="AL968" s="17"/>
      <c r="AM968" s="420"/>
      <c r="AN968" s="321"/>
      <c r="AO968" s="414"/>
      <c r="AP968" s="321"/>
      <c r="AQ968" s="420"/>
      <c r="AR968" s="321"/>
      <c r="AS968" s="414"/>
      <c r="AT968" s="321"/>
      <c r="AU968" s="420"/>
      <c r="AV968" s="415"/>
      <c r="AW968" s="414"/>
      <c r="AX968" s="415"/>
      <c r="AY968" s="420"/>
      <c r="AZ968" s="321"/>
      <c r="BA968" s="414"/>
      <c r="BB968" s="321"/>
      <c r="BC968" s="420"/>
      <c r="BD968" s="321"/>
      <c r="BE968" s="414"/>
      <c r="BF968" s="321"/>
      <c r="BG968" s="420"/>
      <c r="BH968" s="321"/>
      <c r="BI968" s="321"/>
      <c r="BJ968" s="321"/>
      <c r="BK968" s="420"/>
      <c r="BL968" s="415"/>
      <c r="BM968" s="1"/>
      <c r="BN968" s="567"/>
      <c r="BO968" s="603"/>
      <c r="BP968" s="603"/>
      <c r="BQ968" s="567"/>
      <c r="BR968" s="322"/>
      <c r="BS968" s="322"/>
      <c r="BT968" s="420"/>
      <c r="BU968" s="322"/>
      <c r="BV968" s="603"/>
      <c r="BW968" s="420"/>
      <c r="BX968" s="603"/>
      <c r="BY968" s="322"/>
      <c r="BZ968" s="420"/>
      <c r="CA968" s="420"/>
      <c r="CB968" s="322"/>
      <c r="CC968" s="420"/>
      <c r="CD968" s="420"/>
      <c r="CE968" s="567"/>
      <c r="CF968" s="322"/>
      <c r="CG968" s="567"/>
      <c r="CH968" s="322"/>
      <c r="CI968" s="567"/>
      <c r="CJ968" s="322"/>
      <c r="CK968" s="420"/>
      <c r="CL968" s="603"/>
      <c r="CM968" s="420"/>
      <c r="CN968" s="420"/>
      <c r="CO968" s="443"/>
      <c r="CP968" s="322"/>
      <c r="CQ968" s="322"/>
      <c r="CR968" s="415"/>
      <c r="CS968" s="322"/>
    </row>
    <row r="969" spans="1:99">
      <c r="A969" s="321"/>
      <c r="B969" s="420"/>
      <c r="C969" s="420"/>
      <c r="D969" s="321"/>
      <c r="E969" s="321"/>
      <c r="F969" s="321"/>
      <c r="G969" s="420"/>
      <c r="H969" s="321"/>
      <c r="I969" s="321"/>
      <c r="J969" s="321"/>
      <c r="K969" s="420"/>
      <c r="L969" s="321"/>
      <c r="M969" s="409"/>
      <c r="N969" s="321"/>
      <c r="O969" s="420"/>
      <c r="P969" s="415"/>
      <c r="Q969" s="414"/>
      <c r="R969" s="415"/>
      <c r="S969" s="420"/>
      <c r="T969" s="321"/>
      <c r="U969" s="321"/>
      <c r="V969" s="321"/>
      <c r="W969" s="420"/>
      <c r="X969" s="321"/>
      <c r="Y969" s="409"/>
      <c r="Z969" s="321"/>
      <c r="AA969" s="420"/>
      <c r="AB969" s="321"/>
      <c r="AC969" s="409"/>
      <c r="AD969" s="321"/>
      <c r="AE969" s="420"/>
      <c r="AF969" s="415"/>
      <c r="AG969" s="321"/>
      <c r="AH969" s="420"/>
      <c r="AI969" s="420"/>
      <c r="AJ969" s="17"/>
      <c r="AK969" s="325"/>
      <c r="AL969" s="17"/>
      <c r="AM969" s="420"/>
      <c r="AN969" s="321"/>
      <c r="AO969" s="321"/>
      <c r="AP969" s="321"/>
      <c r="AQ969" s="420"/>
      <c r="AR969" s="321"/>
      <c r="AS969" s="414"/>
      <c r="AT969" s="321"/>
      <c r="AU969" s="420"/>
      <c r="AV969" s="415"/>
      <c r="AW969" s="414"/>
      <c r="AX969" s="415"/>
      <c r="AY969" s="420"/>
      <c r="AZ969" s="321"/>
      <c r="BA969" s="321"/>
      <c r="BB969" s="321"/>
      <c r="BC969" s="420"/>
      <c r="BD969" s="321"/>
      <c r="BE969" s="414"/>
      <c r="BF969" s="321"/>
      <c r="BG969" s="420"/>
      <c r="BH969" s="321"/>
      <c r="BI969" s="414"/>
      <c r="BJ969" s="321"/>
      <c r="BK969" s="420"/>
      <c r="BL969" s="415"/>
      <c r="BM969" s="1"/>
      <c r="BN969" s="1"/>
      <c r="BO969" s="567"/>
      <c r="BP969" s="567"/>
      <c r="BQ969" s="322"/>
      <c r="BR969" s="603"/>
      <c r="BS969" s="322"/>
      <c r="BT969" s="420"/>
      <c r="BU969" s="322"/>
      <c r="BV969" s="322"/>
      <c r="BW969" s="603"/>
      <c r="BX969" s="322"/>
      <c r="BY969" s="322"/>
      <c r="BZ969" s="420"/>
      <c r="CA969" s="420"/>
      <c r="CB969" s="322"/>
      <c r="CC969" s="420"/>
      <c r="CD969" s="322"/>
      <c r="CE969" s="567"/>
      <c r="CF969" s="322"/>
      <c r="CG969" s="567"/>
      <c r="CH969" s="567"/>
      <c r="CI969" s="567"/>
      <c r="CJ969" s="322"/>
      <c r="CK969" s="420"/>
      <c r="CL969" s="567"/>
      <c r="CM969" s="420"/>
      <c r="CN969" s="603"/>
      <c r="CO969" s="567"/>
      <c r="CP969" s="322"/>
      <c r="CQ969" s="322"/>
      <c r="CR969" s="415"/>
      <c r="CS969" s="322"/>
    </row>
    <row r="970" spans="1:99">
      <c r="A970" s="321"/>
      <c r="B970" s="420"/>
      <c r="C970" s="420"/>
      <c r="D970" s="321"/>
      <c r="E970" s="409"/>
      <c r="F970" s="321"/>
      <c r="G970" s="420"/>
      <c r="H970" s="321"/>
      <c r="I970" s="321"/>
      <c r="J970" s="321"/>
      <c r="K970" s="420"/>
      <c r="L970" s="321"/>
      <c r="M970" s="321"/>
      <c r="N970" s="321"/>
      <c r="O970" s="420"/>
      <c r="P970" s="415"/>
      <c r="Q970" s="414"/>
      <c r="R970" s="415"/>
      <c r="S970" s="420"/>
      <c r="T970" s="321"/>
      <c r="U970" s="321"/>
      <c r="V970" s="321"/>
      <c r="W970" s="420"/>
      <c r="X970" s="321"/>
      <c r="Y970" s="321"/>
      <c r="Z970" s="321"/>
      <c r="AA970" s="420"/>
      <c r="AB970" s="321"/>
      <c r="AC970" s="409"/>
      <c r="AD970" s="321"/>
      <c r="AE970" s="420"/>
      <c r="AF970" s="415"/>
      <c r="AG970" s="321"/>
      <c r="AH970" s="420"/>
      <c r="AI970" s="420"/>
      <c r="AJ970" s="321"/>
      <c r="AK970" s="414"/>
      <c r="AL970" s="321"/>
      <c r="AM970" s="420"/>
      <c r="AN970" s="321"/>
      <c r="AO970" s="321"/>
      <c r="AP970" s="321"/>
      <c r="AQ970" s="420"/>
      <c r="AR970" s="321"/>
      <c r="AS970" s="321"/>
      <c r="AT970" s="321"/>
      <c r="AU970" s="420"/>
      <c r="AV970" s="415"/>
      <c r="AW970" s="414"/>
      <c r="AX970" s="415"/>
      <c r="AY970" s="420"/>
      <c r="AZ970" s="321"/>
      <c r="BA970" s="321"/>
      <c r="BB970" s="321"/>
      <c r="BC970" s="420"/>
      <c r="BD970" s="321"/>
      <c r="BE970" s="321"/>
      <c r="BF970" s="321"/>
      <c r="BG970" s="420"/>
      <c r="BH970" s="321"/>
      <c r="BI970" s="414"/>
      <c r="BJ970" s="321"/>
      <c r="BK970" s="420"/>
      <c r="BL970" s="415"/>
      <c r="BM970" s="1"/>
      <c r="BN970" s="567"/>
      <c r="BO970" s="322"/>
      <c r="BP970" s="322"/>
      <c r="BQ970" s="322"/>
      <c r="BR970" s="567"/>
      <c r="BS970" s="322"/>
      <c r="BT970" s="420"/>
      <c r="BU970" s="603"/>
      <c r="BV970" s="322"/>
      <c r="BW970" s="322"/>
      <c r="BX970" s="322"/>
      <c r="BY970" s="567"/>
      <c r="BZ970" s="420"/>
      <c r="CA970" s="420"/>
      <c r="CB970" s="322"/>
      <c r="CC970" s="420"/>
      <c r="CD970" s="322"/>
      <c r="CE970" s="603"/>
      <c r="CF970" s="322"/>
      <c r="CG970" s="420"/>
      <c r="CH970" s="567"/>
      <c r="CI970" s="420"/>
      <c r="CJ970" s="322"/>
      <c r="CK970" s="420"/>
      <c r="CL970" s="567"/>
      <c r="CM970" s="603"/>
      <c r="CN970" s="567"/>
      <c r="CO970" s="322"/>
      <c r="CP970" s="322"/>
      <c r="CQ970" s="322"/>
      <c r="CR970" s="415"/>
      <c r="CS970" s="322"/>
    </row>
    <row r="971" spans="1:99">
      <c r="A971" s="409"/>
      <c r="B971" s="420"/>
      <c r="C971" s="420"/>
      <c r="D971" s="321"/>
      <c r="E971" s="409"/>
      <c r="F971" s="321"/>
      <c r="G971" s="420"/>
      <c r="H971" s="321"/>
      <c r="I971" s="321"/>
      <c r="J971" s="321"/>
      <c r="K971" s="420"/>
      <c r="L971" s="321"/>
      <c r="M971" s="321"/>
      <c r="N971" s="321"/>
      <c r="O971" s="420"/>
      <c r="P971" s="415"/>
      <c r="Q971" s="414"/>
      <c r="R971" s="415"/>
      <c r="S971" s="420"/>
      <c r="T971" s="321"/>
      <c r="U971" s="409"/>
      <c r="V971" s="321"/>
      <c r="W971" s="420"/>
      <c r="X971" s="321"/>
      <c r="Y971" s="321"/>
      <c r="Z971" s="321"/>
      <c r="AA971" s="420"/>
      <c r="AB971" s="321"/>
      <c r="AC971" s="409"/>
      <c r="AD971" s="321"/>
      <c r="AE971" s="420"/>
      <c r="AF971" s="415"/>
      <c r="AG971" s="409"/>
      <c r="AH971" s="420"/>
      <c r="AI971" s="420"/>
      <c r="AJ971" s="321"/>
      <c r="AK971" s="414"/>
      <c r="AL971" s="321"/>
      <c r="AM971" s="420"/>
      <c r="AN971" s="321"/>
      <c r="AO971" s="321"/>
      <c r="AP971" s="321"/>
      <c r="AQ971" s="420"/>
      <c r="AR971" s="321"/>
      <c r="AS971" s="321"/>
      <c r="AT971" s="321"/>
      <c r="AU971" s="420"/>
      <c r="AV971" s="415"/>
      <c r="AW971" s="414"/>
      <c r="AX971" s="415"/>
      <c r="AY971" s="420"/>
      <c r="AZ971" s="321"/>
      <c r="BA971" s="414"/>
      <c r="BB971" s="321"/>
      <c r="BC971" s="420"/>
      <c r="BD971" s="321"/>
      <c r="BE971" s="321"/>
      <c r="BF971" s="321"/>
      <c r="BG971" s="420"/>
      <c r="BH971" s="321"/>
      <c r="BI971" s="414"/>
      <c r="BJ971" s="321"/>
      <c r="BK971" s="420"/>
      <c r="BL971" s="415"/>
      <c r="BM971" s="1"/>
      <c r="BN971" s="420"/>
      <c r="BO971" s="322"/>
      <c r="BP971" s="322"/>
      <c r="BQ971" s="322"/>
      <c r="BR971" s="420"/>
      <c r="BS971" s="322"/>
      <c r="BT971" s="420"/>
      <c r="BU971" s="603"/>
      <c r="BV971" s="322"/>
      <c r="BW971" s="322"/>
      <c r="BX971" s="567"/>
      <c r="BY971" s="567"/>
      <c r="BZ971" s="420"/>
      <c r="CA971" s="420"/>
      <c r="CB971" s="322"/>
      <c r="CC971" s="420"/>
      <c r="CD971" s="322"/>
      <c r="CE971" s="420"/>
      <c r="CF971" s="322"/>
      <c r="CG971" s="420"/>
      <c r="CH971" s="420"/>
      <c r="CI971" s="420"/>
      <c r="CJ971" s="322"/>
      <c r="CK971" s="420"/>
      <c r="CL971" s="567"/>
      <c r="CM971" s="567"/>
      <c r="CN971" s="322"/>
      <c r="CO971" s="322"/>
      <c r="CP971" s="420"/>
      <c r="CQ971" s="322"/>
      <c r="CR971" s="415"/>
      <c r="CS971" s="322"/>
    </row>
    <row r="972" spans="1:99">
      <c r="A972" s="409"/>
      <c r="B972" s="420"/>
      <c r="C972" s="321"/>
      <c r="D972" s="321"/>
      <c r="E972" s="321"/>
      <c r="F972" s="321"/>
      <c r="G972" s="321"/>
      <c r="H972" s="321"/>
      <c r="I972" s="321"/>
      <c r="J972" s="321"/>
      <c r="K972" s="321"/>
      <c r="L972" s="321"/>
      <c r="M972" s="321"/>
      <c r="N972" s="321"/>
      <c r="O972" s="321"/>
      <c r="P972" s="415"/>
      <c r="Q972" s="414"/>
      <c r="R972" s="415"/>
      <c r="S972" s="321"/>
      <c r="T972" s="321"/>
      <c r="U972" s="321"/>
      <c r="V972" s="321"/>
      <c r="W972" s="321"/>
      <c r="X972" s="321"/>
      <c r="Y972" s="321"/>
      <c r="Z972" s="321"/>
      <c r="AA972" s="321"/>
      <c r="AB972" s="321"/>
      <c r="AC972" s="321"/>
      <c r="AD972" s="321"/>
      <c r="AE972" s="321"/>
      <c r="AF972" s="415"/>
      <c r="AG972" s="409"/>
      <c r="AH972" s="420"/>
      <c r="AI972" s="321"/>
      <c r="AJ972" s="321"/>
      <c r="AK972" s="321"/>
      <c r="AL972" s="321"/>
      <c r="AM972" s="321"/>
      <c r="AN972" s="321"/>
      <c r="AO972" s="321"/>
      <c r="AP972" s="321"/>
      <c r="AQ972" s="321"/>
      <c r="AR972" s="321"/>
      <c r="AS972" s="321"/>
      <c r="AT972" s="321"/>
      <c r="AU972" s="321"/>
      <c r="AV972" s="415"/>
      <c r="AW972" s="414"/>
      <c r="AX972" s="415"/>
      <c r="AY972" s="321"/>
      <c r="AZ972" s="321"/>
      <c r="BA972" s="321"/>
      <c r="BB972" s="321"/>
      <c r="BC972" s="321"/>
      <c r="BD972" s="321"/>
      <c r="BE972" s="321"/>
      <c r="BF972" s="321"/>
      <c r="BG972" s="321"/>
      <c r="BH972" s="321"/>
      <c r="BI972" s="321"/>
      <c r="BJ972" s="321"/>
      <c r="BK972" s="321"/>
      <c r="BL972" s="415"/>
      <c r="BM972" s="1"/>
      <c r="BN972" s="567"/>
      <c r="BO972" s="603"/>
      <c r="BP972" s="322"/>
      <c r="BQ972" s="603"/>
      <c r="BR972" s="420"/>
      <c r="BS972" s="322"/>
      <c r="BT972" s="420"/>
      <c r="BU972" s="567"/>
      <c r="BV972" s="603"/>
      <c r="BW972" s="322"/>
      <c r="BX972" s="567"/>
      <c r="BY972" s="420"/>
      <c r="BZ972" s="603"/>
      <c r="CA972" s="420"/>
      <c r="CB972" s="322"/>
      <c r="CC972" s="420"/>
      <c r="CD972" s="322"/>
      <c r="CE972" s="420"/>
      <c r="CF972" s="322"/>
      <c r="CG972" s="603"/>
      <c r="CH972" s="420"/>
      <c r="CI972" s="603"/>
      <c r="CJ972" s="322"/>
      <c r="CK972" s="420"/>
      <c r="CL972" s="567"/>
      <c r="CM972" s="322"/>
      <c r="CN972" s="322"/>
      <c r="CO972" s="567"/>
      <c r="CP972" s="420"/>
      <c r="CQ972" s="322"/>
      <c r="CR972" s="415"/>
      <c r="CS972" s="322"/>
    </row>
    <row r="973" spans="1:99">
      <c r="BM973" s="1"/>
      <c r="BN973" s="603"/>
      <c r="BO973" s="567"/>
      <c r="BP973" s="603"/>
      <c r="BQ973" s="567"/>
      <c r="BR973" s="603"/>
      <c r="BS973" s="322"/>
      <c r="BT973" s="420"/>
      <c r="BU973" s="322"/>
      <c r="BV973" s="603"/>
      <c r="BW973" s="322"/>
      <c r="BX973" s="603"/>
      <c r="BY973" s="420"/>
      <c r="BZ973" s="603"/>
      <c r="CA973" s="420"/>
      <c r="CB973" s="322"/>
      <c r="CC973" s="420"/>
      <c r="CD973" s="567"/>
      <c r="CE973" s="322"/>
      <c r="CF973" s="322"/>
      <c r="CG973" s="567"/>
      <c r="CH973" s="603"/>
      <c r="CI973" s="567"/>
      <c r="CJ973" s="322"/>
      <c r="CK973" s="322"/>
      <c r="CL973" s="567"/>
      <c r="CM973" s="322"/>
      <c r="CN973" s="322"/>
      <c r="CO973" s="567"/>
      <c r="CP973" s="420"/>
      <c r="CQ973" s="322"/>
      <c r="CR973" s="415"/>
      <c r="CS973" s="322"/>
      <c r="CT973">
        <v>5</v>
      </c>
      <c r="CU973">
        <v>5</v>
      </c>
    </row>
    <row r="974" spans="1:99">
      <c r="BM974" s="1"/>
      <c r="BN974" s="420"/>
      <c r="BO974" s="567"/>
      <c r="BP974" s="567"/>
      <c r="BQ974" s="420"/>
      <c r="BR974" s="322"/>
      <c r="BS974" s="322"/>
      <c r="BT974" s="420"/>
      <c r="BU974" s="420"/>
      <c r="BV974" s="603"/>
      <c r="BW974" s="322"/>
      <c r="BX974" s="603"/>
      <c r="BY974" s="420"/>
      <c r="BZ974" s="603"/>
      <c r="CA974" s="322"/>
      <c r="CB974" s="322"/>
      <c r="CC974" s="420"/>
      <c r="CD974" s="420"/>
      <c r="CE974" s="567"/>
      <c r="CF974" s="567"/>
      <c r="CG974" s="322"/>
      <c r="CH974" s="567"/>
      <c r="CI974" s="322"/>
      <c r="CJ974" s="322"/>
      <c r="CK974" s="322"/>
      <c r="CL974" s="420"/>
      <c r="CM974" s="322"/>
      <c r="CN974" s="567"/>
      <c r="CO974" s="567"/>
      <c r="CP974" s="420"/>
      <c r="CQ974" s="322"/>
      <c r="CR974" s="415"/>
      <c r="CS974" s="322"/>
      <c r="CT974">
        <v>6</v>
      </c>
      <c r="CU974">
        <v>6</v>
      </c>
    </row>
    <row r="975" spans="1:99">
      <c r="A975" s="409"/>
      <c r="B975" s="420"/>
      <c r="C975" s="420"/>
      <c r="D975" s="321"/>
      <c r="E975" s="409"/>
      <c r="F975" s="321"/>
      <c r="G975" s="414"/>
      <c r="H975" s="321"/>
      <c r="I975" s="321"/>
      <c r="J975" s="321"/>
      <c r="K975" s="414"/>
      <c r="L975" s="321"/>
      <c r="M975" s="321"/>
      <c r="N975" s="321"/>
      <c r="O975" s="414"/>
      <c r="P975" s="415"/>
      <c r="Q975" s="414"/>
      <c r="R975" s="415"/>
      <c r="S975" s="420"/>
      <c r="T975" s="321"/>
      <c r="U975" s="321"/>
      <c r="V975" s="321"/>
      <c r="W975" s="414"/>
      <c r="X975" s="321"/>
      <c r="Y975" s="321"/>
      <c r="Z975" s="321"/>
      <c r="AA975" s="414"/>
      <c r="AB975" s="321"/>
      <c r="AC975" s="321"/>
      <c r="AD975" s="321"/>
      <c r="AE975" s="414"/>
      <c r="AF975" s="415"/>
      <c r="AG975" s="420"/>
      <c r="AH975" s="420"/>
      <c r="AI975" s="420"/>
      <c r="AJ975" s="321"/>
      <c r="AK975" s="414"/>
      <c r="AL975" s="321"/>
      <c r="AM975" s="414"/>
      <c r="AN975" s="321"/>
      <c r="AO975" s="321"/>
      <c r="AP975" s="321"/>
      <c r="AQ975" s="414"/>
      <c r="AR975" s="321"/>
      <c r="AS975" s="321"/>
      <c r="AT975" s="321"/>
      <c r="AU975" s="414"/>
      <c r="AV975" s="415"/>
      <c r="AW975" s="414"/>
      <c r="AX975" s="415"/>
      <c r="AY975" s="420"/>
      <c r="AZ975" s="321"/>
      <c r="BA975" s="321"/>
      <c r="BB975" s="321"/>
      <c r="BC975" s="414"/>
      <c r="BD975" s="321"/>
      <c r="BE975" s="321"/>
      <c r="BF975" s="321"/>
      <c r="BG975" s="414"/>
      <c r="BH975" s="321"/>
      <c r="BI975" s="321"/>
      <c r="BJ975" s="321"/>
      <c r="BK975" s="414"/>
      <c r="BL975" s="415"/>
      <c r="BM975" s="1"/>
      <c r="BN975" s="322"/>
      <c r="BO975" s="420"/>
      <c r="BP975" s="420"/>
      <c r="BQ975" s="603"/>
      <c r="BR975" s="322"/>
      <c r="BS975" s="322"/>
      <c r="BT975" s="420"/>
      <c r="BU975" s="322"/>
      <c r="BV975" s="567"/>
      <c r="BW975" s="603"/>
      <c r="BX975" s="567"/>
      <c r="BY975" s="603"/>
      <c r="BZ975" s="567"/>
      <c r="CA975" s="322"/>
      <c r="CB975" s="322"/>
      <c r="CC975" s="420"/>
      <c r="CD975" s="420"/>
      <c r="CE975" s="322"/>
      <c r="CF975" s="567"/>
      <c r="CG975" s="322"/>
      <c r="CH975" s="322"/>
      <c r="CI975" s="322"/>
      <c r="CJ975" s="322"/>
      <c r="CK975" s="567"/>
      <c r="CL975" s="420"/>
      <c r="CM975" s="322"/>
      <c r="CN975" s="567"/>
      <c r="CO975" s="420"/>
      <c r="CP975" s="603"/>
      <c r="CQ975" s="322"/>
      <c r="CR975" s="415"/>
      <c r="CS975" s="322"/>
    </row>
    <row r="976" spans="1:99">
      <c r="A976" s="409"/>
      <c r="B976" s="420"/>
      <c r="C976" s="420"/>
      <c r="D976" s="321"/>
      <c r="E976" s="321"/>
      <c r="F976" s="414"/>
      <c r="G976" s="414"/>
      <c r="H976" s="321"/>
      <c r="I976" s="321"/>
      <c r="J976" s="414"/>
      <c r="K976" s="414"/>
      <c r="L976" s="321"/>
      <c r="M976" s="321"/>
      <c r="N976" s="414"/>
      <c r="O976" s="414"/>
      <c r="P976" s="415"/>
      <c r="Q976" s="414"/>
      <c r="R976" s="415"/>
      <c r="S976" s="420"/>
      <c r="T976" s="321"/>
      <c r="U976" s="321"/>
      <c r="V976" s="414"/>
      <c r="W976" s="414"/>
      <c r="X976" s="321"/>
      <c r="Y976" s="321"/>
      <c r="Z976" s="414"/>
      <c r="AA976" s="414"/>
      <c r="AB976" s="321"/>
      <c r="AC976" s="321"/>
      <c r="AD976" s="414"/>
      <c r="AE976" s="414"/>
      <c r="AF976" s="414"/>
      <c r="AG976" s="420"/>
      <c r="AH976" s="420"/>
      <c r="AI976" s="420"/>
      <c r="AJ976" s="321"/>
      <c r="AK976" s="321"/>
      <c r="AL976" s="414"/>
      <c r="AM976" s="414"/>
      <c r="AN976" s="321"/>
      <c r="AO976" s="321"/>
      <c r="AP976" s="414"/>
      <c r="AQ976" s="414"/>
      <c r="AR976" s="321"/>
      <c r="AS976" s="321"/>
      <c r="AT976" s="414"/>
      <c r="AU976" s="414"/>
      <c r="AV976" s="415"/>
      <c r="AW976" s="414"/>
      <c r="AX976" s="415"/>
      <c r="AY976" s="420"/>
      <c r="AZ976" s="321"/>
      <c r="BA976" s="321"/>
      <c r="BB976" s="414"/>
      <c r="BC976" s="414"/>
      <c r="BD976" s="321"/>
      <c r="BE976" s="321"/>
      <c r="BF976" s="414"/>
      <c r="BG976" s="414"/>
      <c r="BH976" s="321"/>
      <c r="BI976" s="321"/>
      <c r="BJ976" s="414"/>
      <c r="BK976" s="414"/>
      <c r="BL976" s="414"/>
      <c r="BM976" s="1"/>
      <c r="BN976" s="322"/>
      <c r="BO976" s="603"/>
      <c r="BP976" s="603"/>
      <c r="BQ976" s="567"/>
      <c r="BR976" s="322"/>
      <c r="BS976" s="322"/>
      <c r="BT976" s="420"/>
      <c r="BU976" s="322"/>
      <c r="BV976" s="420"/>
      <c r="BW976" s="567"/>
      <c r="BX976" s="420"/>
      <c r="BY976" s="322"/>
      <c r="BZ976" s="420"/>
      <c r="CA976" s="322"/>
      <c r="CB976" s="322"/>
      <c r="CC976" s="420"/>
      <c r="CD976" s="420"/>
      <c r="CE976" s="322"/>
      <c r="CF976" s="603"/>
      <c r="CG976" s="603"/>
      <c r="CH976" s="322"/>
      <c r="CI976" s="322"/>
      <c r="CJ976" s="322"/>
      <c r="CK976" s="420"/>
      <c r="CL976" s="420"/>
      <c r="CM976" s="567"/>
      <c r="CN976" s="567"/>
      <c r="CO976" s="420"/>
      <c r="CP976" s="603"/>
      <c r="CQ976" s="322"/>
      <c r="CR976" s="415"/>
      <c r="CS976" s="322"/>
    </row>
    <row r="977" spans="1:99">
      <c r="A977" s="409"/>
      <c r="B977" s="415"/>
      <c r="C977" s="415"/>
      <c r="D977" s="415"/>
      <c r="E977" s="415"/>
      <c r="F977" s="415"/>
      <c r="G977" s="415"/>
      <c r="H977" s="415"/>
      <c r="I977" s="415"/>
      <c r="J977" s="415"/>
      <c r="K977" s="415"/>
      <c r="L977" s="415"/>
      <c r="M977" s="415"/>
      <c r="N977" s="415"/>
      <c r="O977" s="415"/>
      <c r="P977" s="415"/>
      <c r="Q977" s="414"/>
      <c r="R977" s="415"/>
      <c r="S977" s="415"/>
      <c r="T977" s="415"/>
      <c r="U977" s="415"/>
      <c r="V977" s="415"/>
      <c r="W977" s="415"/>
      <c r="X977" s="415"/>
      <c r="Y977" s="415"/>
      <c r="Z977" s="415"/>
      <c r="AA977" s="415"/>
      <c r="AB977" s="415"/>
      <c r="AC977" s="415"/>
      <c r="AD977" s="415"/>
      <c r="AE977" s="415"/>
      <c r="AF977" s="414"/>
      <c r="AG977" s="420"/>
      <c r="AH977" s="415"/>
      <c r="AI977" s="415"/>
      <c r="AJ977" s="415"/>
      <c r="AK977" s="415"/>
      <c r="AL977" s="415"/>
      <c r="AM977" s="415"/>
      <c r="AN977" s="415"/>
      <c r="AO977" s="415"/>
      <c r="AP977" s="415"/>
      <c r="AQ977" s="415"/>
      <c r="AR977" s="415"/>
      <c r="AS977" s="415"/>
      <c r="AT977" s="415"/>
      <c r="AU977" s="415"/>
      <c r="AV977" s="415"/>
      <c r="AW977" s="414"/>
      <c r="AX977" s="415"/>
      <c r="AY977" s="415"/>
      <c r="AZ977" s="415"/>
      <c r="BA977" s="415"/>
      <c r="BB977" s="415"/>
      <c r="BC977" s="415"/>
      <c r="BD977" s="415"/>
      <c r="BE977" s="415"/>
      <c r="BF977" s="415"/>
      <c r="BG977" s="415"/>
      <c r="BH977" s="415"/>
      <c r="BI977" s="415"/>
      <c r="BJ977" s="415"/>
      <c r="BK977" s="415"/>
      <c r="BL977" s="414"/>
      <c r="BM977" s="1"/>
      <c r="BN977" s="322"/>
      <c r="BO977" s="567"/>
      <c r="BP977" s="567"/>
      <c r="BQ977" s="322"/>
      <c r="BR977" s="567"/>
      <c r="BS977" s="322"/>
      <c r="BT977" s="420"/>
      <c r="BU977" s="567"/>
      <c r="BV977" s="567"/>
      <c r="BW977" s="420"/>
      <c r="BX977" s="567"/>
      <c r="BY977" s="322"/>
      <c r="BZ977" s="420"/>
      <c r="CA977" s="322"/>
      <c r="CB977" s="322"/>
      <c r="CC977" s="420"/>
      <c r="CD977" s="603"/>
      <c r="CE977" s="322"/>
      <c r="CF977" s="603"/>
      <c r="CG977" s="567"/>
      <c r="CH977" s="322"/>
      <c r="CI977" s="603"/>
      <c r="CJ977" s="322"/>
      <c r="CK977" s="420"/>
      <c r="CL977" s="603"/>
      <c r="CM977" s="420"/>
      <c r="CN977" s="420"/>
      <c r="CO977" s="603"/>
      <c r="CP977" s="567"/>
      <c r="CQ977" s="322"/>
      <c r="CR977" s="415"/>
      <c r="CS977" s="322"/>
    </row>
    <row r="978" spans="1:99">
      <c r="A978" s="409"/>
      <c r="B978" s="420"/>
      <c r="C978" s="420"/>
      <c r="D978" s="443"/>
      <c r="E978" s="443"/>
      <c r="F978" s="321"/>
      <c r="G978" s="420"/>
      <c r="H978" s="443"/>
      <c r="I978" s="409"/>
      <c r="J978" s="321"/>
      <c r="K978" s="420"/>
      <c r="L978" s="409"/>
      <c r="M978" s="409"/>
      <c r="N978" s="321"/>
      <c r="O978" s="420"/>
      <c r="P978" s="415"/>
      <c r="Q978" s="414"/>
      <c r="R978" s="415"/>
      <c r="S978" s="420"/>
      <c r="T978" s="443"/>
      <c r="U978" s="443"/>
      <c r="V978" s="321"/>
      <c r="W978" s="420"/>
      <c r="X978" s="443"/>
      <c r="Y978" s="409"/>
      <c r="Z978" s="321"/>
      <c r="AA978" s="420"/>
      <c r="AB978" s="409"/>
      <c r="AC978" s="409"/>
      <c r="AD978" s="321"/>
      <c r="AE978" s="420"/>
      <c r="AF978" s="414"/>
      <c r="AG978" s="420"/>
      <c r="AH978" s="420"/>
      <c r="AI978" s="420"/>
      <c r="AJ978" s="443"/>
      <c r="AK978" s="443"/>
      <c r="AL978" s="321"/>
      <c r="AM978" s="420"/>
      <c r="AN978" s="443"/>
      <c r="AO978" s="409"/>
      <c r="AP978" s="321"/>
      <c r="AQ978" s="420"/>
      <c r="AR978" s="409"/>
      <c r="AS978" s="409"/>
      <c r="AT978" s="321"/>
      <c r="AU978" s="420"/>
      <c r="AV978" s="415"/>
      <c r="AW978" s="414"/>
      <c r="AX978" s="415"/>
      <c r="AY978" s="420"/>
      <c r="AZ978" s="443"/>
      <c r="BA978" s="443"/>
      <c r="BB978" s="321"/>
      <c r="BC978" s="420"/>
      <c r="BD978" s="443"/>
      <c r="BE978" s="409"/>
      <c r="BF978" s="321"/>
      <c r="BG978" s="420"/>
      <c r="BH978" s="409"/>
      <c r="BI978" s="409"/>
      <c r="BJ978" s="321"/>
      <c r="BK978" s="420"/>
      <c r="BL978" s="414"/>
      <c r="BM978" s="1"/>
      <c r="BN978" s="322"/>
      <c r="BO978" s="322"/>
      <c r="BP978" s="322"/>
      <c r="BQ978" s="322"/>
      <c r="BR978" s="420"/>
      <c r="BS978" s="322"/>
      <c r="BT978" s="420"/>
      <c r="BU978" s="603"/>
      <c r="BV978" s="567"/>
      <c r="BW978" s="567"/>
      <c r="BX978" s="322"/>
      <c r="BY978" s="567"/>
      <c r="BZ978" s="420"/>
      <c r="CA978" s="322"/>
      <c r="CB978" s="322"/>
      <c r="CC978" s="420"/>
      <c r="CD978" s="322"/>
      <c r="CE978" s="322"/>
      <c r="CF978" s="567"/>
      <c r="CG978" s="420"/>
      <c r="CH978" s="322"/>
      <c r="CI978" s="567"/>
      <c r="CJ978" s="322"/>
      <c r="CK978" s="420"/>
      <c r="CL978" s="567"/>
      <c r="CM978" s="603"/>
      <c r="CN978" s="603"/>
      <c r="CO978" s="567"/>
      <c r="CP978" s="322"/>
      <c r="CQ978" s="322"/>
      <c r="CR978" s="415"/>
      <c r="CS978" s="322"/>
    </row>
    <row r="979" spans="1:99">
      <c r="A979" s="409"/>
      <c r="B979" s="420"/>
      <c r="C979" s="420"/>
      <c r="D979" s="409"/>
      <c r="E979" s="321"/>
      <c r="F979" s="321"/>
      <c r="G979" s="420"/>
      <c r="H979" s="409"/>
      <c r="I979" s="321"/>
      <c r="J979" s="321"/>
      <c r="K979" s="420"/>
      <c r="L979" s="409"/>
      <c r="M979" s="321"/>
      <c r="N979" s="321"/>
      <c r="O979" s="420"/>
      <c r="P979" s="415"/>
      <c r="Q979" s="414"/>
      <c r="R979" s="415"/>
      <c r="S979" s="420"/>
      <c r="T979" s="409"/>
      <c r="U979" s="321"/>
      <c r="V979" s="321"/>
      <c r="W979" s="420"/>
      <c r="X979" s="409"/>
      <c r="Y979" s="321"/>
      <c r="Z979" s="321"/>
      <c r="AA979" s="420"/>
      <c r="AB979" s="409"/>
      <c r="AC979" s="321"/>
      <c r="AD979" s="321"/>
      <c r="AE979" s="420"/>
      <c r="AF979" s="414"/>
      <c r="AG979" s="409"/>
      <c r="AH979" s="420"/>
      <c r="AI979" s="420"/>
      <c r="AJ979" s="409"/>
      <c r="AK979" s="321"/>
      <c r="AL979" s="321"/>
      <c r="AM979" s="420"/>
      <c r="AN979" s="409"/>
      <c r="AO979" s="321"/>
      <c r="AP979" s="321"/>
      <c r="AQ979" s="420"/>
      <c r="AR979" s="409"/>
      <c r="AS979" s="321"/>
      <c r="AT979" s="321"/>
      <c r="AU979" s="420"/>
      <c r="AV979" s="415"/>
      <c r="AW979" s="414"/>
      <c r="AX979" s="415"/>
      <c r="AY979" s="420"/>
      <c r="AZ979" s="409"/>
      <c r="BA979" s="321"/>
      <c r="BB979" s="321"/>
      <c r="BC979" s="420"/>
      <c r="BD979" s="409"/>
      <c r="BE979" s="321"/>
      <c r="BF979" s="321"/>
      <c r="BG979" s="420"/>
      <c r="BH979" s="409"/>
      <c r="BI979" s="321"/>
      <c r="BJ979" s="321"/>
      <c r="BK979" s="420"/>
      <c r="BL979" s="414"/>
      <c r="BM979" s="1"/>
      <c r="BN979" s="567"/>
      <c r="BO979" s="322"/>
      <c r="BP979" s="322"/>
      <c r="BQ979" s="603"/>
      <c r="BR979" s="420"/>
      <c r="BS979" s="322"/>
      <c r="BT979" s="420"/>
      <c r="BU979" s="567"/>
      <c r="BV979" s="603"/>
      <c r="BW979" s="567"/>
      <c r="BX979" s="567"/>
      <c r="BY979" s="603"/>
      <c r="BZ979" s="420"/>
      <c r="CA979" s="420"/>
      <c r="CB979" s="322"/>
      <c r="CC979" s="420"/>
      <c r="CD979" s="322"/>
      <c r="CE979" s="322"/>
      <c r="CF979" s="322"/>
      <c r="CG979" s="420"/>
      <c r="CH979" s="567"/>
      <c r="CI979" s="420"/>
      <c r="CJ979" s="322"/>
      <c r="CK979" s="420"/>
      <c r="CL979" s="322"/>
      <c r="CM979" s="567"/>
      <c r="CN979" s="567"/>
      <c r="CO979" s="322"/>
      <c r="CP979" s="603"/>
      <c r="CQ979" s="322"/>
      <c r="CR979" s="415"/>
      <c r="CS979" s="322"/>
    </row>
    <row r="980" spans="1:99">
      <c r="A980" s="409"/>
      <c r="B980" s="420"/>
      <c r="C980" s="321"/>
      <c r="D980" s="321"/>
      <c r="E980" s="321"/>
      <c r="F980" s="321"/>
      <c r="G980" s="321"/>
      <c r="H980" s="321"/>
      <c r="I980" s="321"/>
      <c r="J980" s="321"/>
      <c r="K980" s="321"/>
      <c r="L980" s="321"/>
      <c r="M980" s="321"/>
      <c r="N980" s="321"/>
      <c r="O980" s="321"/>
      <c r="P980" s="415"/>
      <c r="Q980" s="414"/>
      <c r="R980" s="415"/>
      <c r="S980" s="321"/>
      <c r="T980" s="321"/>
      <c r="U980" s="321"/>
      <c r="V980" s="321"/>
      <c r="W980" s="321"/>
      <c r="X980" s="321"/>
      <c r="Y980" s="321"/>
      <c r="Z980" s="321"/>
      <c r="AA980" s="321"/>
      <c r="AB980" s="321"/>
      <c r="AC980" s="321"/>
      <c r="AD980" s="321"/>
      <c r="AE980" s="321"/>
      <c r="AF980" s="414"/>
      <c r="AG980" s="409"/>
      <c r="AH980" s="414"/>
      <c r="AI980" s="321"/>
      <c r="AJ980" s="321"/>
      <c r="AK980" s="321"/>
      <c r="AL980" s="321"/>
      <c r="AM980" s="321"/>
      <c r="AN980" s="321"/>
      <c r="AO980" s="321"/>
      <c r="AP980" s="321"/>
      <c r="AQ980" s="321"/>
      <c r="AR980" s="321"/>
      <c r="AS980" s="321"/>
      <c r="AT980" s="321"/>
      <c r="AU980" s="321"/>
      <c r="AV980" s="415"/>
      <c r="AW980" s="414"/>
      <c r="AX980" s="415"/>
      <c r="AY980" s="321"/>
      <c r="AZ980" s="321"/>
      <c r="BA980" s="321"/>
      <c r="BB980" s="321"/>
      <c r="BC980" s="321"/>
      <c r="BD980" s="321"/>
      <c r="BE980" s="321"/>
      <c r="BF980" s="321"/>
      <c r="BG980" s="321"/>
      <c r="BH980" s="321"/>
      <c r="BI980" s="321"/>
      <c r="BJ980" s="321"/>
      <c r="BK980" s="321"/>
      <c r="BL980" s="414"/>
      <c r="BM980" s="1"/>
      <c r="BN980" s="420"/>
      <c r="BO980" s="603"/>
      <c r="BP980" s="603"/>
      <c r="BQ980" s="567"/>
      <c r="BR980" s="420"/>
      <c r="BS980" s="322"/>
      <c r="BT980" s="420"/>
      <c r="BU980" s="322"/>
      <c r="BV980" s="567"/>
      <c r="BW980" s="603"/>
      <c r="BX980" s="603"/>
      <c r="BY980" s="322"/>
      <c r="BZ980" s="420"/>
      <c r="CA980" s="420"/>
      <c r="CB980" s="322"/>
      <c r="CC980" s="420"/>
      <c r="CD980" s="322"/>
      <c r="CE980" s="603"/>
      <c r="CF980" s="322"/>
      <c r="CG980" s="603"/>
      <c r="CH980" s="420"/>
      <c r="CI980" s="603"/>
      <c r="CJ980" s="322"/>
      <c r="CK980" s="420"/>
      <c r="CL980" s="603"/>
      <c r="CM980" s="322"/>
      <c r="CN980" s="322"/>
      <c r="CO980" s="603"/>
      <c r="CP980" s="567"/>
      <c r="CQ980" s="322"/>
      <c r="CR980" s="415"/>
      <c r="CS980" s="322"/>
    </row>
    <row r="981" spans="1:99">
      <c r="A981" s="409"/>
      <c r="B981" s="420"/>
      <c r="C981" s="443"/>
      <c r="D981" s="443"/>
      <c r="E981" s="414"/>
      <c r="F981" s="443"/>
      <c r="G981" s="443"/>
      <c r="H981" s="443"/>
      <c r="I981" s="414"/>
      <c r="J981" s="443"/>
      <c r="K981" s="443"/>
      <c r="L981" s="443"/>
      <c r="M981" s="414"/>
      <c r="N981" s="443"/>
      <c r="O981" s="443"/>
      <c r="P981" s="415"/>
      <c r="Q981" s="414"/>
      <c r="R981" s="415"/>
      <c r="S981" s="443"/>
      <c r="T981" s="443"/>
      <c r="U981" s="414"/>
      <c r="V981" s="443"/>
      <c r="W981" s="443"/>
      <c r="X981" s="443"/>
      <c r="Y981" s="414"/>
      <c r="Z981" s="443"/>
      <c r="AA981" s="443"/>
      <c r="AB981" s="443"/>
      <c r="AC981" s="414"/>
      <c r="AD981" s="443"/>
      <c r="AE981" s="443"/>
      <c r="AF981" s="414"/>
      <c r="AG981" s="409"/>
      <c r="AH981" s="414"/>
      <c r="AI981" s="429"/>
      <c r="AJ981" s="429"/>
      <c r="AK981" s="414"/>
      <c r="AL981" s="429"/>
      <c r="AM981" s="429"/>
      <c r="AN981" s="429"/>
      <c r="AO981" s="414"/>
      <c r="AP981" s="429"/>
      <c r="AQ981" s="429"/>
      <c r="AR981" s="429"/>
      <c r="AS981" s="414"/>
      <c r="AT981" s="429"/>
      <c r="AU981" s="429"/>
      <c r="AV981" s="415"/>
      <c r="AW981" s="414"/>
      <c r="AX981" s="415"/>
      <c r="AY981" s="429"/>
      <c r="AZ981" s="429"/>
      <c r="BA981" s="414"/>
      <c r="BB981" s="429"/>
      <c r="BC981" s="429"/>
      <c r="BD981" s="429"/>
      <c r="BE981" s="414"/>
      <c r="BF981" s="429"/>
      <c r="BG981" s="429"/>
      <c r="BH981" s="429"/>
      <c r="BI981" s="414"/>
      <c r="BJ981" s="429"/>
      <c r="BK981" s="429"/>
      <c r="BL981" s="414"/>
      <c r="BM981" s="1"/>
      <c r="BN981" s="420"/>
      <c r="BO981" s="567"/>
      <c r="BP981" s="567"/>
      <c r="BQ981" s="420"/>
      <c r="BR981" s="603"/>
      <c r="BS981" s="322"/>
      <c r="BT981" s="420"/>
      <c r="BU981" s="322"/>
      <c r="BV981" s="322"/>
      <c r="BW981" s="322"/>
      <c r="BX981" s="322"/>
      <c r="BY981" s="603"/>
      <c r="BZ981" s="420"/>
      <c r="CA981" s="420"/>
      <c r="CB981" s="322"/>
      <c r="CC981" s="420"/>
      <c r="CD981" s="322"/>
      <c r="CE981" s="420"/>
      <c r="CF981" s="322"/>
      <c r="CG981" s="567"/>
      <c r="CH981" s="603"/>
      <c r="CI981" s="567"/>
      <c r="CJ981" s="322"/>
      <c r="CK981" s="420"/>
      <c r="CL981" s="567"/>
      <c r="CM981" s="603"/>
      <c r="CN981" s="603"/>
      <c r="CO981" s="567"/>
      <c r="CP981" s="420"/>
      <c r="CQ981" s="322"/>
      <c r="CR981" s="415"/>
      <c r="CS981" s="322"/>
    </row>
    <row r="982" spans="1:99">
      <c r="A982" s="409"/>
      <c r="B982" s="420"/>
      <c r="C982" s="415"/>
      <c r="D982" s="415"/>
      <c r="E982" s="415"/>
      <c r="F982" s="415"/>
      <c r="G982" s="415"/>
      <c r="H982" s="415"/>
      <c r="I982" s="415"/>
      <c r="J982" s="415"/>
      <c r="K982" s="415"/>
      <c r="L982" s="415"/>
      <c r="M982" s="415"/>
      <c r="N982" s="415"/>
      <c r="O982" s="415"/>
      <c r="P982" s="415"/>
      <c r="Q982" s="414"/>
      <c r="R982" s="415"/>
      <c r="S982" s="415"/>
      <c r="T982" s="415"/>
      <c r="U982" s="415"/>
      <c r="V982" s="415"/>
      <c r="W982" s="415"/>
      <c r="X982" s="415"/>
      <c r="Y982" s="415"/>
      <c r="Z982" s="415"/>
      <c r="AA982" s="415"/>
      <c r="AB982" s="415"/>
      <c r="AC982" s="415"/>
      <c r="AD982" s="415"/>
      <c r="AE982" s="415"/>
      <c r="AF982" s="414"/>
      <c r="AG982" s="409"/>
      <c r="AH982" s="414"/>
      <c r="AI982" s="415"/>
      <c r="AJ982" s="415"/>
      <c r="AK982" s="415"/>
      <c r="AL982" s="415"/>
      <c r="AM982" s="415"/>
      <c r="AN982" s="415"/>
      <c r="AO982" s="415"/>
      <c r="AP982" s="415"/>
      <c r="AQ982" s="415"/>
      <c r="AR982" s="415"/>
      <c r="AS982" s="415"/>
      <c r="AT982" s="415"/>
      <c r="AU982" s="415"/>
      <c r="AV982" s="415"/>
      <c r="AW982" s="414"/>
      <c r="AX982" s="415"/>
      <c r="AY982" s="415"/>
      <c r="AZ982" s="415"/>
      <c r="BA982" s="415"/>
      <c r="BB982" s="415"/>
      <c r="BC982" s="415"/>
      <c r="BD982" s="415"/>
      <c r="BE982" s="415"/>
      <c r="BF982" s="415"/>
      <c r="BG982" s="415"/>
      <c r="BH982" s="415"/>
      <c r="BI982" s="415"/>
      <c r="BJ982" s="415"/>
      <c r="BK982" s="415"/>
      <c r="BL982" s="414"/>
      <c r="BM982" s="1"/>
      <c r="BN982" s="603"/>
      <c r="BO982" s="420"/>
      <c r="BP982" s="420"/>
      <c r="BQ982" s="603"/>
      <c r="BR982" s="322"/>
      <c r="BS982" s="322"/>
      <c r="BT982" s="420"/>
      <c r="BU982" s="603"/>
      <c r="BV982" s="567"/>
      <c r="BW982" s="322"/>
      <c r="BX982" s="567"/>
      <c r="BY982" s="420"/>
      <c r="BZ982" s="567"/>
      <c r="CA982" s="420"/>
      <c r="CB982" s="322"/>
      <c r="CC982" s="420"/>
      <c r="CD982" s="322"/>
      <c r="CE982" s="420"/>
      <c r="CF982" s="322"/>
      <c r="CG982" s="322"/>
      <c r="CH982" s="567"/>
      <c r="CI982" s="567"/>
      <c r="CJ982" s="322"/>
      <c r="CK982" s="420"/>
      <c r="CL982" s="322"/>
      <c r="CM982" s="420"/>
      <c r="CN982" s="420"/>
      <c r="CO982" s="567"/>
      <c r="CP982" s="420"/>
      <c r="CQ982" s="322"/>
      <c r="CR982" s="415"/>
      <c r="CS982" s="322"/>
    </row>
    <row r="983" spans="1:99">
      <c r="A983" s="409"/>
      <c r="B983" s="420"/>
      <c r="C983" s="420"/>
      <c r="D983" s="420"/>
      <c r="E983" s="321"/>
      <c r="F983" s="321"/>
      <c r="G983" s="420"/>
      <c r="H983" s="321"/>
      <c r="I983" s="321"/>
      <c r="J983" s="321"/>
      <c r="K983" s="409"/>
      <c r="L983" s="321"/>
      <c r="M983" s="420"/>
      <c r="N983" s="321"/>
      <c r="O983" s="420"/>
      <c r="P983" s="415"/>
      <c r="Q983" s="414"/>
      <c r="R983" s="415"/>
      <c r="S983" s="420"/>
      <c r="T983" s="321"/>
      <c r="U983" s="321"/>
      <c r="V983" s="321"/>
      <c r="W983" s="420"/>
      <c r="X983" s="321"/>
      <c r="Y983" s="420"/>
      <c r="Z983" s="321"/>
      <c r="AA983" s="420"/>
      <c r="AB983" s="321"/>
      <c r="AC983" s="321"/>
      <c r="AD983" s="321"/>
      <c r="AE983" s="420"/>
      <c r="AF983" s="414"/>
      <c r="AG983" s="420"/>
      <c r="AH983" s="414"/>
      <c r="AI983" s="420"/>
      <c r="AJ983" s="414"/>
      <c r="AK983" s="321"/>
      <c r="AL983" s="321"/>
      <c r="AM983" s="420"/>
      <c r="AN983" s="321"/>
      <c r="AO983" s="321"/>
      <c r="AP983" s="321"/>
      <c r="AQ983" s="420"/>
      <c r="AR983" s="321"/>
      <c r="AS983" s="414"/>
      <c r="AT983" s="321"/>
      <c r="AU983" s="420"/>
      <c r="AV983" s="415"/>
      <c r="AW983" s="414"/>
      <c r="AX983" s="415"/>
      <c r="AY983" s="420"/>
      <c r="AZ983" s="321"/>
      <c r="BA983" s="321"/>
      <c r="BB983" s="321"/>
      <c r="BC983" s="420"/>
      <c r="BD983" s="321"/>
      <c r="BE983" s="414"/>
      <c r="BF983" s="321"/>
      <c r="BG983" s="420"/>
      <c r="BH983" s="321"/>
      <c r="BI983" s="321"/>
      <c r="BJ983" s="321"/>
      <c r="BK983" s="420"/>
      <c r="BL983" s="414"/>
      <c r="BM983" s="1"/>
      <c r="BN983" s="603"/>
      <c r="BO983" s="603"/>
      <c r="BP983" s="603"/>
      <c r="BQ983" s="567"/>
      <c r="BR983" s="322"/>
      <c r="BS983" s="322"/>
      <c r="BT983" s="420"/>
      <c r="BU983" s="420"/>
      <c r="BV983" s="603"/>
      <c r="BW983" s="322"/>
      <c r="BX983" s="603"/>
      <c r="BY983" s="420"/>
      <c r="BZ983" s="603"/>
      <c r="CA983" s="420"/>
      <c r="CB983" s="322"/>
      <c r="CC983" s="420"/>
      <c r="CD983" s="603"/>
      <c r="CE983" s="567"/>
      <c r="CF983" s="322"/>
      <c r="CG983" s="322"/>
      <c r="CH983" s="567"/>
      <c r="CI983" s="322"/>
      <c r="CJ983" s="322"/>
      <c r="CK983" s="420"/>
      <c r="CL983" s="322"/>
      <c r="CM983" s="322"/>
      <c r="CN983" s="322"/>
      <c r="CO983" s="603"/>
      <c r="CP983" s="420"/>
      <c r="CQ983" s="322"/>
      <c r="CR983" s="415"/>
      <c r="CS983" s="322"/>
    </row>
    <row r="984" spans="1:99">
      <c r="A984" s="409"/>
      <c r="B984" s="420"/>
      <c r="C984" s="420"/>
      <c r="D984" s="409"/>
      <c r="E984" s="321"/>
      <c r="F984" s="321"/>
      <c r="G984" s="420"/>
      <c r="H984" s="321"/>
      <c r="I984" s="321"/>
      <c r="J984" s="321"/>
      <c r="K984" s="409"/>
      <c r="L984" s="321"/>
      <c r="M984" s="321"/>
      <c r="N984" s="321"/>
      <c r="O984" s="420"/>
      <c r="P984" s="415"/>
      <c r="Q984" s="414"/>
      <c r="R984" s="415"/>
      <c r="S984" s="420"/>
      <c r="T984" s="321"/>
      <c r="U984" s="321"/>
      <c r="V984" s="321"/>
      <c r="W984" s="420"/>
      <c r="X984" s="321"/>
      <c r="Y984" s="409"/>
      <c r="Z984" s="321"/>
      <c r="AA984" s="420"/>
      <c r="AB984" s="321"/>
      <c r="AC984" s="409"/>
      <c r="AD984" s="321"/>
      <c r="AE984" s="420"/>
      <c r="AF984" s="414"/>
      <c r="AG984" s="420"/>
      <c r="AH984" s="414"/>
      <c r="AI984" s="420"/>
      <c r="AJ984" s="414"/>
      <c r="AK984" s="321"/>
      <c r="AL984" s="321"/>
      <c r="AM984" s="420"/>
      <c r="AN984" s="321"/>
      <c r="AO984" s="321"/>
      <c r="AP984" s="321"/>
      <c r="AQ984" s="420"/>
      <c r="AR984" s="321"/>
      <c r="AS984" s="321"/>
      <c r="AT984" s="321"/>
      <c r="AU984" s="420"/>
      <c r="AV984" s="415"/>
      <c r="AW984" s="414"/>
      <c r="AX984" s="415"/>
      <c r="AY984" s="420"/>
      <c r="AZ984" s="321"/>
      <c r="BA984" s="321"/>
      <c r="BB984" s="321"/>
      <c r="BC984" s="420"/>
      <c r="BD984" s="321"/>
      <c r="BE984" s="414"/>
      <c r="BF984" s="321"/>
      <c r="BG984" s="420"/>
      <c r="BH984" s="321"/>
      <c r="BI984" s="414"/>
      <c r="BJ984" s="321"/>
      <c r="BK984" s="420"/>
      <c r="BL984" s="414"/>
      <c r="BM984" s="1"/>
      <c r="BN984" s="322"/>
      <c r="BO984" s="567"/>
      <c r="BP984" s="567"/>
      <c r="BQ984" s="322"/>
      <c r="BR984" s="603"/>
      <c r="BS984" s="322"/>
      <c r="BT984" s="420"/>
      <c r="BU984" s="567"/>
      <c r="BV984" s="567"/>
      <c r="BW984" s="603"/>
      <c r="BX984" s="567"/>
      <c r="BY984" s="420"/>
      <c r="BZ984" s="322"/>
      <c r="CA984" s="420"/>
      <c r="CB984" s="322"/>
      <c r="CC984" s="420"/>
      <c r="CD984" s="567"/>
      <c r="CE984" s="603"/>
      <c r="CF984" s="567"/>
      <c r="CG984" s="322"/>
      <c r="CH984" s="322"/>
      <c r="CI984" s="322"/>
      <c r="CJ984" s="322"/>
      <c r="CK984" s="420"/>
      <c r="CL984" s="420"/>
      <c r="CM984" s="322"/>
      <c r="CN984" s="322"/>
      <c r="CO984" s="420"/>
      <c r="CP984" s="603"/>
      <c r="CQ984" s="322"/>
      <c r="CR984" s="415"/>
      <c r="CS984" s="322"/>
    </row>
    <row r="985" spans="1:99">
      <c r="A985" s="409"/>
      <c r="B985" s="420"/>
      <c r="C985" s="420"/>
      <c r="D985" s="321"/>
      <c r="E985" s="321"/>
      <c r="F985" s="321"/>
      <c r="G985" s="420"/>
      <c r="H985" s="321"/>
      <c r="I985" s="409"/>
      <c r="J985" s="321"/>
      <c r="K985" s="409"/>
      <c r="L985" s="321"/>
      <c r="M985" s="321"/>
      <c r="N985" s="321"/>
      <c r="O985" s="420"/>
      <c r="P985" s="415"/>
      <c r="Q985" s="414"/>
      <c r="R985" s="415"/>
      <c r="S985" s="420"/>
      <c r="T985" s="321"/>
      <c r="U985" s="321"/>
      <c r="V985" s="321"/>
      <c r="W985" s="420"/>
      <c r="X985" s="321"/>
      <c r="Y985" s="409"/>
      <c r="Z985" s="321"/>
      <c r="AA985" s="420"/>
      <c r="AB985" s="321"/>
      <c r="AC985" s="409"/>
      <c r="AD985" s="321"/>
      <c r="AE985" s="420"/>
      <c r="AF985" s="414"/>
      <c r="AG985" s="420"/>
      <c r="AH985" s="414"/>
      <c r="AI985" s="420"/>
      <c r="AJ985" s="321"/>
      <c r="AK985" s="321"/>
      <c r="AL985" s="321"/>
      <c r="AM985" s="420"/>
      <c r="AN985" s="321"/>
      <c r="AO985" s="414"/>
      <c r="AP985" s="321"/>
      <c r="AQ985" s="420"/>
      <c r="AR985" s="321"/>
      <c r="AS985" s="321"/>
      <c r="AT985" s="321"/>
      <c r="AU985" s="420"/>
      <c r="AV985" s="415"/>
      <c r="AW985" s="414"/>
      <c r="AX985" s="415"/>
      <c r="AY985" s="420"/>
      <c r="AZ985" s="321"/>
      <c r="BA985" s="321"/>
      <c r="BB985" s="321"/>
      <c r="BC985" s="420"/>
      <c r="BD985" s="321"/>
      <c r="BE985" s="321"/>
      <c r="BF985" s="321"/>
      <c r="BG985" s="420"/>
      <c r="BH985" s="321"/>
      <c r="BI985" s="414"/>
      <c r="BJ985" s="321"/>
      <c r="BK985" s="420"/>
      <c r="BL985" s="414"/>
      <c r="BM985" s="1"/>
      <c r="BN985" s="603"/>
      <c r="BO985" s="322"/>
      <c r="BP985" s="322"/>
      <c r="BQ985" s="322"/>
      <c r="BR985" s="567"/>
      <c r="BS985" s="322"/>
      <c r="BT985" s="420"/>
      <c r="BU985" s="603"/>
      <c r="BV985" s="420"/>
      <c r="BW985" s="567"/>
      <c r="BX985" s="420"/>
      <c r="BY985" s="603"/>
      <c r="BZ985" s="322"/>
      <c r="CA985" s="420"/>
      <c r="CB985" s="322"/>
      <c r="CC985" s="420"/>
      <c r="CD985" s="420"/>
      <c r="CE985" s="567"/>
      <c r="CF985" s="603"/>
      <c r="CG985" s="322"/>
      <c r="CH985" s="322"/>
      <c r="CI985" s="567"/>
      <c r="CJ985" s="322"/>
      <c r="CK985" s="420"/>
      <c r="CL985" s="420"/>
      <c r="CM985" s="322"/>
      <c r="CN985" s="322"/>
      <c r="CO985" s="420"/>
      <c r="CP985" s="567"/>
      <c r="CQ985" s="322"/>
      <c r="CR985" s="415"/>
      <c r="CS985" s="322"/>
    </row>
    <row r="986" spans="1:99">
      <c r="A986" s="409"/>
      <c r="B986" s="420"/>
      <c r="C986" s="420"/>
      <c r="D986" s="321"/>
      <c r="E986" s="321"/>
      <c r="F986" s="321"/>
      <c r="G986" s="420"/>
      <c r="H986" s="321"/>
      <c r="I986" s="409"/>
      <c r="J986" s="321"/>
      <c r="K986" s="409"/>
      <c r="L986" s="321"/>
      <c r="M986" s="321"/>
      <c r="N986" s="321"/>
      <c r="O986" s="420"/>
      <c r="P986" s="415"/>
      <c r="Q986" s="414"/>
      <c r="R986" s="415"/>
      <c r="S986" s="420"/>
      <c r="T986" s="321"/>
      <c r="U986" s="409"/>
      <c r="V986" s="321"/>
      <c r="W986" s="420"/>
      <c r="X986" s="321"/>
      <c r="Y986" s="321"/>
      <c r="Z986" s="321"/>
      <c r="AA986" s="420"/>
      <c r="AB986" s="321"/>
      <c r="AC986" s="321"/>
      <c r="AD986" s="321"/>
      <c r="AE986" s="420"/>
      <c r="AF986" s="414"/>
      <c r="AG986" s="409"/>
      <c r="AH986" s="414"/>
      <c r="AI986" s="420"/>
      <c r="AJ986" s="321"/>
      <c r="AK986" s="321"/>
      <c r="AL986" s="321"/>
      <c r="AM986" s="420"/>
      <c r="AN986" s="321"/>
      <c r="AO986" s="414"/>
      <c r="AP986" s="321"/>
      <c r="AQ986" s="420"/>
      <c r="AR986" s="321"/>
      <c r="AS986" s="321"/>
      <c r="AT986" s="321"/>
      <c r="AU986" s="420"/>
      <c r="AV986" s="415"/>
      <c r="AW986" s="414"/>
      <c r="AX986" s="415"/>
      <c r="AY986" s="420"/>
      <c r="AZ986" s="321"/>
      <c r="BA986" s="414"/>
      <c r="BB986" s="321"/>
      <c r="BC986" s="420"/>
      <c r="BD986" s="321"/>
      <c r="BE986" s="321"/>
      <c r="BF986" s="321"/>
      <c r="BG986" s="420"/>
      <c r="BH986" s="321"/>
      <c r="BI986" s="321"/>
      <c r="BJ986" s="321"/>
      <c r="BK986" s="420"/>
      <c r="BL986" s="414"/>
      <c r="BM986" s="1"/>
      <c r="BN986" s="567"/>
      <c r="BO986" s="322"/>
      <c r="BP986" s="322"/>
      <c r="BQ986" s="322"/>
      <c r="BR986" s="420"/>
      <c r="BS986" s="322"/>
      <c r="BT986" s="420"/>
      <c r="BU986" s="567"/>
      <c r="BV986" s="603"/>
      <c r="BW986" s="420"/>
      <c r="BX986" s="603"/>
      <c r="BY986" s="567"/>
      <c r="BZ986" s="322"/>
      <c r="CA986" s="420"/>
      <c r="CB986" s="322"/>
      <c r="CC986" s="420"/>
      <c r="CD986" s="420"/>
      <c r="CE986" s="567"/>
      <c r="CF986" s="603"/>
      <c r="CG986" s="420"/>
      <c r="CH986" s="322"/>
      <c r="CI986" s="603"/>
      <c r="CJ986" s="322"/>
      <c r="CK986" s="420"/>
      <c r="CL986" s="603"/>
      <c r="CM986" s="420"/>
      <c r="CN986" s="420"/>
      <c r="CO986" s="603"/>
      <c r="CP986" s="567"/>
      <c r="CQ986" s="322"/>
      <c r="CR986" s="415"/>
      <c r="CS986" s="322"/>
    </row>
    <row r="987" spans="1:99">
      <c r="A987" s="409"/>
      <c r="B987" s="420"/>
      <c r="C987" s="321"/>
      <c r="D987" s="321"/>
      <c r="E987" s="321"/>
      <c r="F987" s="321"/>
      <c r="G987" s="321"/>
      <c r="H987" s="321"/>
      <c r="I987" s="321"/>
      <c r="J987" s="321"/>
      <c r="K987" s="321"/>
      <c r="L987" s="321"/>
      <c r="M987" s="321"/>
      <c r="N987" s="321"/>
      <c r="O987" s="321"/>
      <c r="P987" s="415"/>
      <c r="Q987" s="414"/>
      <c r="R987" s="415"/>
      <c r="S987" s="321"/>
      <c r="T987" s="321"/>
      <c r="U987" s="321"/>
      <c r="V987" s="321"/>
      <c r="W987" s="321"/>
      <c r="X987" s="321"/>
      <c r="Y987" s="321"/>
      <c r="Z987" s="321"/>
      <c r="AA987" s="321"/>
      <c r="AB987" s="321"/>
      <c r="AC987" s="321"/>
      <c r="AD987" s="321"/>
      <c r="AE987" s="321"/>
      <c r="AF987" s="414"/>
      <c r="AG987" s="409"/>
      <c r="AH987" s="414"/>
      <c r="AI987" s="321"/>
      <c r="AJ987" s="321"/>
      <c r="AK987" s="321"/>
      <c r="AL987" s="321"/>
      <c r="AM987" s="321"/>
      <c r="AN987" s="321"/>
      <c r="AO987" s="321"/>
      <c r="AP987" s="321"/>
      <c r="AQ987" s="321"/>
      <c r="AR987" s="321"/>
      <c r="AS987" s="321"/>
      <c r="AT987" s="321"/>
      <c r="AU987" s="321"/>
      <c r="AV987" s="415"/>
      <c r="AW987" s="414"/>
      <c r="AX987" s="415"/>
      <c r="AY987" s="321"/>
      <c r="AZ987" s="321"/>
      <c r="BA987" s="321"/>
      <c r="BB987" s="321"/>
      <c r="BC987" s="321"/>
      <c r="BD987" s="321"/>
      <c r="BE987" s="321"/>
      <c r="BF987" s="321"/>
      <c r="BG987" s="321"/>
      <c r="BH987" s="321"/>
      <c r="BI987" s="321"/>
      <c r="BJ987" s="321"/>
      <c r="BK987" s="321"/>
      <c r="BL987" s="414"/>
      <c r="BM987" s="1"/>
      <c r="BN987" s="322"/>
      <c r="BO987" s="567"/>
      <c r="BP987" s="322"/>
      <c r="BQ987" s="567"/>
      <c r="BR987" s="420"/>
      <c r="BS987" s="322"/>
      <c r="BT987" s="420"/>
      <c r="BU987" s="322"/>
      <c r="BV987" s="603"/>
      <c r="BW987" s="420"/>
      <c r="BX987" s="603"/>
      <c r="BY987" s="567"/>
      <c r="BZ987" s="322"/>
      <c r="CA987" s="420"/>
      <c r="CB987" s="322"/>
      <c r="CC987" s="420"/>
      <c r="CD987" s="420"/>
      <c r="CE987" s="322"/>
      <c r="CF987" s="567"/>
      <c r="CG987" s="420"/>
      <c r="CH987" s="322"/>
      <c r="CI987" s="420"/>
      <c r="CJ987" s="322"/>
      <c r="CK987" s="420"/>
      <c r="CL987" s="567"/>
      <c r="CM987" s="443"/>
      <c r="CN987" s="443"/>
      <c r="CO987" s="567"/>
      <c r="CP987" s="420"/>
      <c r="CQ987" s="322"/>
      <c r="CR987" s="415"/>
      <c r="CS987" s="322"/>
    </row>
    <row r="988" spans="1:99">
      <c r="BM988" s="1"/>
      <c r="BN988" s="420"/>
      <c r="BO988" s="603"/>
      <c r="BP988" s="567"/>
      <c r="BQ988" s="603"/>
      <c r="BR988" s="420"/>
      <c r="BS988" s="322"/>
      <c r="BT988" s="420"/>
      <c r="BU988" s="322"/>
      <c r="BV988" s="567"/>
      <c r="BW988" s="603"/>
      <c r="BX988" s="567"/>
      <c r="BY988" s="322"/>
      <c r="BZ988" s="603"/>
      <c r="CA988" s="420"/>
      <c r="CB988" s="322"/>
      <c r="CC988" s="420"/>
      <c r="CD988" s="322"/>
      <c r="CE988" s="603"/>
      <c r="CF988" s="322"/>
      <c r="CG988" s="603"/>
      <c r="CH988" s="420"/>
      <c r="CI988" s="603"/>
      <c r="CJ988" s="322"/>
      <c r="CK988" s="420"/>
      <c r="CL988" s="420"/>
      <c r="CM988" s="603"/>
      <c r="CN988" s="603"/>
      <c r="CO988" s="322"/>
      <c r="CP988" s="420"/>
      <c r="CQ988" s="322"/>
      <c r="CR988" s="415"/>
      <c r="CS988" s="322"/>
      <c r="CT988">
        <v>21</v>
      </c>
      <c r="CU988">
        <v>21</v>
      </c>
    </row>
    <row r="989" spans="1:99">
      <c r="BM989" s="1"/>
      <c r="BN989" s="322"/>
      <c r="BO989" s="567"/>
      <c r="BP989" s="603"/>
      <c r="BQ989" s="420"/>
      <c r="BR989" s="567"/>
      <c r="BS989" s="322"/>
      <c r="BT989" s="420"/>
      <c r="BU989" s="603"/>
      <c r="BV989" s="322"/>
      <c r="BW989" s="567"/>
      <c r="BX989" s="567"/>
      <c r="BY989" s="322"/>
      <c r="BZ989" s="409"/>
      <c r="CA989" s="420"/>
      <c r="CB989" s="322"/>
      <c r="CC989" s="420"/>
      <c r="CD989" s="567"/>
      <c r="CE989" s="572"/>
      <c r="CF989" s="322"/>
      <c r="CG989" s="567"/>
      <c r="CH989" s="603"/>
      <c r="CI989" s="567"/>
      <c r="CJ989" s="322"/>
      <c r="CK989" s="420"/>
      <c r="CL989" s="420"/>
      <c r="CM989" s="603"/>
      <c r="CN989" s="603"/>
      <c r="CO989" s="420"/>
      <c r="CP989" s="603"/>
      <c r="CQ989" s="322"/>
      <c r="CR989" s="415"/>
      <c r="CS989" s="322"/>
      <c r="CT989">
        <v>22</v>
      </c>
      <c r="CU989">
        <v>22</v>
      </c>
    </row>
    <row r="990" spans="1:99">
      <c r="A990" s="409"/>
      <c r="B990" s="420"/>
      <c r="C990" s="420"/>
      <c r="D990" s="321"/>
      <c r="E990" s="321"/>
      <c r="F990" s="321"/>
      <c r="G990" s="414"/>
      <c r="H990" s="321"/>
      <c r="I990" s="321"/>
      <c r="J990" s="321"/>
      <c r="K990" s="414"/>
      <c r="L990" s="321"/>
      <c r="M990" s="321"/>
      <c r="N990" s="321"/>
      <c r="O990" s="414"/>
      <c r="P990" s="415"/>
      <c r="Q990" s="414"/>
      <c r="R990" s="415"/>
      <c r="S990" s="420"/>
      <c r="T990" s="321"/>
      <c r="U990" s="321"/>
      <c r="V990" s="321"/>
      <c r="W990" s="414"/>
      <c r="X990" s="321"/>
      <c r="Y990" s="321"/>
      <c r="Z990" s="321"/>
      <c r="AA990" s="414"/>
      <c r="AB990" s="321"/>
      <c r="AC990" s="321"/>
      <c r="AD990" s="321"/>
      <c r="AE990" s="414"/>
      <c r="AF990" s="414"/>
      <c r="AG990" s="420"/>
      <c r="AH990" s="414"/>
      <c r="AI990" s="420"/>
      <c r="AJ990" s="321"/>
      <c r="AK990" s="321"/>
      <c r="AL990" s="321"/>
      <c r="AM990" s="414"/>
      <c r="AN990" s="321"/>
      <c r="AO990" s="321"/>
      <c r="AP990" s="321"/>
      <c r="AQ990" s="414"/>
      <c r="AR990" s="321"/>
      <c r="AS990" s="321"/>
      <c r="AT990" s="321"/>
      <c r="AU990" s="414"/>
      <c r="AV990" s="415"/>
      <c r="AW990" s="414"/>
      <c r="AX990" s="415"/>
      <c r="AY990" s="420"/>
      <c r="AZ990" s="321"/>
      <c r="BA990" s="321"/>
      <c r="BB990" s="321"/>
      <c r="BC990" s="414"/>
      <c r="BD990" s="321"/>
      <c r="BE990" s="321"/>
      <c r="BF990" s="321"/>
      <c r="BG990" s="414"/>
      <c r="BH990" s="321"/>
      <c r="BI990" s="321"/>
      <c r="BJ990" s="321"/>
      <c r="BK990" s="414"/>
      <c r="BL990" s="414"/>
      <c r="BM990" s="1"/>
      <c r="BN990" s="567"/>
      <c r="BO990" s="420"/>
      <c r="BP990" s="420"/>
      <c r="BQ990" s="420"/>
      <c r="BR990" s="322"/>
      <c r="BS990" s="322"/>
      <c r="BT990" s="420"/>
      <c r="BU990" s="567"/>
      <c r="BV990" s="322"/>
      <c r="BW990" s="322"/>
      <c r="BX990" s="322"/>
      <c r="BY990" s="322"/>
      <c r="BZ990" s="409"/>
      <c r="CA990" s="420"/>
      <c r="CB990" s="322"/>
      <c r="CC990" s="420"/>
      <c r="CD990" s="322"/>
      <c r="CE990" s="572"/>
      <c r="CF990" s="322"/>
      <c r="CG990" s="322"/>
      <c r="CH990" s="567"/>
      <c r="CI990" s="322"/>
      <c r="CJ990" s="322"/>
      <c r="CK990" s="420"/>
      <c r="CL990" s="420"/>
      <c r="CM990" s="603"/>
      <c r="CN990" s="603"/>
      <c r="CO990" s="420"/>
      <c r="CP990" s="443"/>
      <c r="CQ990" s="322"/>
      <c r="CR990" s="415"/>
      <c r="CS990" s="322"/>
    </row>
    <row r="991" spans="1:99">
      <c r="A991" s="409"/>
      <c r="B991" s="420"/>
      <c r="C991" s="420"/>
      <c r="D991" s="321"/>
      <c r="E991" s="321"/>
      <c r="F991" s="414"/>
      <c r="G991" s="414"/>
      <c r="H991" s="321"/>
      <c r="I991" s="321"/>
      <c r="J991" s="414"/>
      <c r="K991" s="414"/>
      <c r="L991" s="321"/>
      <c r="M991" s="321"/>
      <c r="N991" s="414"/>
      <c r="O991" s="414"/>
      <c r="P991" s="415"/>
      <c r="Q991" s="414"/>
      <c r="R991" s="415"/>
      <c r="S991" s="420"/>
      <c r="T991" s="321"/>
      <c r="U991" s="321"/>
      <c r="V991" s="414"/>
      <c r="W991" s="414"/>
      <c r="X991" s="321"/>
      <c r="Y991" s="321"/>
      <c r="Z991" s="414"/>
      <c r="AA991" s="414"/>
      <c r="AB991" s="321"/>
      <c r="AC991" s="321"/>
      <c r="AD991" s="414"/>
      <c r="AE991" s="414"/>
      <c r="AF991" s="414"/>
      <c r="AG991" s="420"/>
      <c r="AH991" s="414"/>
      <c r="AI991" s="420"/>
      <c r="AJ991" s="321"/>
      <c r="AK991" s="321"/>
      <c r="AL991" s="414"/>
      <c r="AM991" s="414"/>
      <c r="AN991" s="321"/>
      <c r="AO991" s="321"/>
      <c r="AP991" s="414"/>
      <c r="AQ991" s="414"/>
      <c r="AR991" s="321"/>
      <c r="AS991" s="321"/>
      <c r="AT991" s="414"/>
      <c r="AU991" s="414"/>
      <c r="AV991" s="415"/>
      <c r="AW991" s="414"/>
      <c r="AX991" s="415"/>
      <c r="AY991" s="420"/>
      <c r="AZ991" s="321"/>
      <c r="BA991" s="321"/>
      <c r="BB991" s="414"/>
      <c r="BC991" s="414"/>
      <c r="BD991" s="321"/>
      <c r="BE991" s="321"/>
      <c r="BF991" s="414"/>
      <c r="BG991" s="414"/>
      <c r="BH991" s="321"/>
      <c r="BI991" s="321"/>
      <c r="BJ991" s="414"/>
      <c r="BK991" s="414"/>
      <c r="BL991" s="414"/>
      <c r="BM991" s="1"/>
      <c r="BN991" s="603"/>
      <c r="BO991" s="603"/>
      <c r="BP991" s="420"/>
      <c r="BQ991" s="322"/>
      <c r="BR991" s="569"/>
      <c r="BS991" s="322"/>
      <c r="BT991" s="420"/>
      <c r="BU991" s="567"/>
      <c r="BV991" s="603"/>
      <c r="BW991" s="322"/>
      <c r="BX991" s="322"/>
      <c r="BY991" s="603"/>
      <c r="BZ991" s="409"/>
      <c r="CA991" s="420"/>
      <c r="CB991" s="322"/>
      <c r="CC991" s="420"/>
      <c r="CD991" s="322"/>
      <c r="CE991" s="603"/>
      <c r="CF991" s="567"/>
      <c r="CG991" s="322"/>
      <c r="CH991" s="322"/>
      <c r="CI991" s="322"/>
      <c r="CJ991" s="322"/>
      <c r="CK991" s="420"/>
      <c r="CL991" s="603"/>
      <c r="CM991" s="420"/>
      <c r="CN991" s="420"/>
      <c r="CO991" s="603"/>
      <c r="CP991" s="567"/>
      <c r="CQ991" s="322"/>
      <c r="CR991" s="415"/>
      <c r="CS991" s="322"/>
    </row>
    <row r="992" spans="1:99">
      <c r="A992" s="602"/>
      <c r="B992" s="602"/>
      <c r="C992" s="602"/>
      <c r="D992" s="602"/>
      <c r="E992" s="602"/>
      <c r="F992" s="602"/>
      <c r="G992" s="602"/>
      <c r="H992" s="602"/>
      <c r="I992" s="602"/>
      <c r="J992" s="602"/>
      <c r="K992" s="602"/>
      <c r="L992" s="602"/>
      <c r="M992" s="602"/>
      <c r="N992" s="602"/>
      <c r="O992" s="602"/>
      <c r="P992" s="602"/>
      <c r="Q992" s="581"/>
      <c r="R992" s="602"/>
      <c r="S992" s="602"/>
      <c r="T992" s="602"/>
      <c r="U992" s="602"/>
      <c r="V992" s="602"/>
      <c r="W992" s="602"/>
      <c r="X992" s="602"/>
      <c r="Y992" s="602"/>
      <c r="Z992" s="602"/>
      <c r="AA992" s="602"/>
      <c r="AB992" s="602"/>
      <c r="AC992" s="602"/>
      <c r="AD992" s="602"/>
      <c r="AE992" s="602"/>
      <c r="AF992" s="602"/>
      <c r="AG992" s="602"/>
      <c r="AH992" s="602"/>
      <c r="AI992" s="602"/>
      <c r="AJ992" s="602"/>
      <c r="AK992" s="602"/>
      <c r="AL992" s="602"/>
      <c r="AM992" s="602"/>
      <c r="AN992" s="602"/>
      <c r="AO992" s="602"/>
      <c r="AP992" s="602"/>
      <c r="AQ992" s="602"/>
      <c r="AR992" s="602"/>
      <c r="AS992" s="602"/>
      <c r="AT992" s="602"/>
      <c r="AU992" s="602"/>
      <c r="AV992" s="602"/>
      <c r="AW992" s="581"/>
      <c r="AX992" s="602"/>
      <c r="AY992" s="602"/>
      <c r="AZ992" s="602"/>
      <c r="BA992" s="602"/>
      <c r="BB992" s="602"/>
      <c r="BC992" s="602"/>
      <c r="BD992" s="602"/>
      <c r="BE992" s="602"/>
      <c r="BF992" s="602"/>
      <c r="BG992" s="602"/>
      <c r="BH992" s="602"/>
      <c r="BI992" s="602"/>
      <c r="BJ992" s="602"/>
      <c r="BK992" s="602"/>
      <c r="BL992" s="602"/>
      <c r="BM992" s="176"/>
      <c r="BN992" s="569"/>
      <c r="BO992" s="604"/>
      <c r="BP992" s="322"/>
      <c r="BQ992" s="322"/>
      <c r="BR992" s="569"/>
      <c r="BS992" s="569"/>
      <c r="BT992" s="572"/>
      <c r="BU992" s="604"/>
      <c r="BV992" s="604"/>
      <c r="BW992" s="558"/>
      <c r="BX992" s="558"/>
      <c r="BY992" s="604"/>
      <c r="BZ992" s="559"/>
      <c r="CA992" s="572"/>
      <c r="CB992" s="569"/>
      <c r="CC992" s="420"/>
      <c r="CD992" s="569"/>
      <c r="CE992" s="322"/>
      <c r="CF992" s="604"/>
      <c r="CG992" s="572"/>
      <c r="CH992" s="322"/>
      <c r="CI992" s="572"/>
      <c r="CJ992" s="569"/>
      <c r="CK992" s="420"/>
      <c r="CL992" s="567"/>
      <c r="CM992" s="572"/>
      <c r="CN992" s="572"/>
      <c r="CO992" s="572"/>
      <c r="CP992" s="572"/>
      <c r="CQ992" s="572"/>
      <c r="CR992" s="581"/>
      <c r="CS992" s="569"/>
    </row>
    <row r="993" spans="1:65">
      <c r="A993" s="449"/>
      <c r="B993" s="449"/>
      <c r="C993" s="449"/>
      <c r="D993" s="449"/>
      <c r="E993" s="449"/>
      <c r="F993" s="449"/>
      <c r="G993" s="449"/>
      <c r="H993" s="449"/>
      <c r="I993" s="449"/>
      <c r="J993" s="449"/>
      <c r="K993" s="326"/>
      <c r="L993" s="326"/>
      <c r="M993" s="449"/>
      <c r="N993" s="449"/>
      <c r="O993" s="449"/>
      <c r="P993" s="326"/>
      <c r="Q993" s="326"/>
      <c r="R993" s="449"/>
      <c r="S993" s="449"/>
      <c r="T993" s="326"/>
      <c r="U993" s="326"/>
      <c r="V993" s="449"/>
      <c r="W993" s="449"/>
      <c r="X993" s="326"/>
      <c r="Y993" s="326"/>
      <c r="Z993" s="449"/>
      <c r="AA993" s="326"/>
      <c r="AB993" s="326"/>
      <c r="AC993" s="449"/>
      <c r="AD993" s="326"/>
      <c r="AE993" s="326"/>
      <c r="AF993" s="326"/>
      <c r="AG993" s="436"/>
      <c r="AH993" s="436"/>
      <c r="AI993" s="436"/>
      <c r="AJ993" s="436"/>
      <c r="AK993" s="436"/>
      <c r="AL993" s="436"/>
      <c r="AM993" s="436"/>
      <c r="AN993" s="436"/>
      <c r="AO993" s="436"/>
      <c r="AP993" s="436"/>
      <c r="AQ993" s="326"/>
      <c r="AR993" s="326"/>
      <c r="AS993" s="436"/>
      <c r="AT993" s="436"/>
      <c r="AU993" s="436"/>
      <c r="AV993" s="326"/>
      <c r="AW993" s="326"/>
      <c r="AX993" s="436"/>
      <c r="AY993" s="436"/>
      <c r="AZ993" s="326"/>
      <c r="BA993" s="326"/>
      <c r="BB993" s="436"/>
      <c r="BC993" s="436"/>
      <c r="BD993" s="326"/>
      <c r="BE993" s="326"/>
      <c r="BF993" s="436"/>
      <c r="BG993" s="326"/>
      <c r="BH993" s="326"/>
      <c r="BI993" s="436"/>
      <c r="BJ993" s="326"/>
      <c r="BK993" s="326"/>
      <c r="BL993" s="326"/>
      <c r="BM993" s="200">
        <v>32</v>
      </c>
    </row>
    <row r="994" spans="1:65">
      <c r="A994" s="449"/>
      <c r="B994" s="449"/>
      <c r="C994" s="449"/>
      <c r="D994" s="449"/>
      <c r="E994" s="449"/>
      <c r="F994" s="326"/>
      <c r="G994" s="449"/>
      <c r="H994" s="326"/>
      <c r="I994" s="326"/>
      <c r="J994" s="326"/>
      <c r="K994" s="326"/>
      <c r="L994" s="326"/>
      <c r="M994" s="326"/>
      <c r="N994" s="326"/>
      <c r="O994" s="326"/>
      <c r="P994" s="326"/>
      <c r="Q994" s="326"/>
      <c r="R994" s="326"/>
      <c r="S994" s="326"/>
      <c r="T994" s="326"/>
      <c r="U994" s="326"/>
      <c r="V994" s="326"/>
      <c r="W994" s="326"/>
      <c r="X994" s="326"/>
      <c r="Y994" s="326"/>
      <c r="Z994" s="326"/>
      <c r="AA994" s="326"/>
      <c r="AB994" s="326"/>
      <c r="AC994" s="326"/>
      <c r="AD994" s="326"/>
      <c r="AE994" s="326"/>
      <c r="AF994" s="409"/>
      <c r="AG994" s="436"/>
      <c r="AH994" s="436"/>
      <c r="AI994" s="436"/>
      <c r="AJ994" s="436"/>
      <c r="AK994" s="436"/>
      <c r="AL994" s="326"/>
      <c r="AM994" s="436"/>
      <c r="AN994" s="326"/>
      <c r="AO994" s="326"/>
      <c r="AP994" s="326"/>
      <c r="AQ994" s="326"/>
      <c r="AR994" s="326"/>
      <c r="AS994" s="326"/>
      <c r="AT994" s="326"/>
      <c r="AU994" s="326"/>
      <c r="AV994" s="326"/>
      <c r="AW994" s="326"/>
      <c r="AX994" s="326"/>
      <c r="AY994" s="326"/>
      <c r="AZ994" s="326"/>
      <c r="BA994" s="326"/>
      <c r="BB994" s="326"/>
      <c r="BC994" s="326"/>
      <c r="BD994" s="326"/>
      <c r="BE994" s="326"/>
      <c r="BF994" s="326"/>
      <c r="BG994" s="326"/>
      <c r="BH994" s="326"/>
      <c r="BI994" s="326"/>
      <c r="BJ994" s="326"/>
      <c r="BK994" s="326"/>
      <c r="BL994" s="420"/>
      <c r="BM994" s="199"/>
    </row>
    <row r="995" spans="1:65">
      <c r="A995" s="449"/>
      <c r="B995" s="449"/>
      <c r="C995" s="449"/>
      <c r="D995" s="449"/>
      <c r="E995" s="326"/>
      <c r="F995" s="326"/>
      <c r="G995" s="326"/>
      <c r="H995" s="326"/>
      <c r="I995" s="326"/>
      <c r="J995" s="326"/>
      <c r="K995" s="326"/>
      <c r="L995" s="326"/>
      <c r="M995" s="326"/>
      <c r="N995" s="326"/>
      <c r="O995" s="326"/>
      <c r="P995" s="326"/>
      <c r="Q995" s="326"/>
      <c r="R995" s="326"/>
      <c r="S995" s="326"/>
      <c r="T995" s="326"/>
      <c r="U995" s="326"/>
      <c r="V995" s="326"/>
      <c r="W995" s="435"/>
      <c r="X995" s="435"/>
      <c r="Y995" s="435"/>
      <c r="Z995" s="435"/>
      <c r="AA995" s="435"/>
      <c r="AB995" s="435"/>
      <c r="AC995" s="435"/>
      <c r="AD995" s="326"/>
      <c r="AE995" s="326"/>
      <c r="AF995" s="326"/>
      <c r="AG995" s="436"/>
      <c r="AH995" s="436"/>
      <c r="AI995" s="436"/>
      <c r="AJ995" s="436"/>
      <c r="AK995" s="326"/>
      <c r="AL995" s="326"/>
      <c r="AM995" s="326"/>
      <c r="AN995" s="326"/>
      <c r="AO995" s="326"/>
      <c r="AP995" s="326"/>
      <c r="AQ995" s="326"/>
      <c r="AR995" s="326"/>
      <c r="AS995" s="326"/>
      <c r="AT995" s="326"/>
      <c r="AU995" s="326"/>
      <c r="AV995" s="326"/>
      <c r="AW995" s="326"/>
      <c r="AX995" s="326"/>
      <c r="AY995" s="326"/>
      <c r="AZ995" s="326"/>
      <c r="BA995" s="326"/>
      <c r="BB995" s="326"/>
      <c r="BC995" s="435"/>
      <c r="BD995" s="435"/>
      <c r="BE995" s="435"/>
      <c r="BF995" s="435"/>
      <c r="BG995" s="435"/>
      <c r="BH995" s="435"/>
      <c r="BI995" s="435"/>
      <c r="BJ995" s="326"/>
      <c r="BK995" s="326"/>
      <c r="BL995" s="326"/>
      <c r="BM995" s="1"/>
    </row>
    <row r="996" spans="1:65">
      <c r="A996" s="449"/>
      <c r="B996" s="449"/>
      <c r="C996" s="449"/>
      <c r="D996" s="449"/>
      <c r="E996" s="326"/>
      <c r="F996" s="449"/>
      <c r="G996" s="326"/>
      <c r="H996" s="449"/>
      <c r="I996" s="326"/>
      <c r="J996" s="326"/>
      <c r="K996" s="326"/>
      <c r="L996" s="326"/>
      <c r="M996" s="326"/>
      <c r="N996" s="326"/>
      <c r="O996" s="326"/>
      <c r="P996" s="326"/>
      <c r="Q996" s="326"/>
      <c r="R996" s="326"/>
      <c r="S996" s="326"/>
      <c r="T996" s="326"/>
      <c r="U996" s="326"/>
      <c r="V996" s="435"/>
      <c r="W996" s="326"/>
      <c r="X996" s="326"/>
      <c r="Y996" s="326"/>
      <c r="Z996" s="435"/>
      <c r="AA996" s="326"/>
      <c r="AB996" s="326"/>
      <c r="AC996" s="326"/>
      <c r="AD996" s="435"/>
      <c r="AE996" s="326"/>
      <c r="AF996" s="326"/>
      <c r="AG996" s="436"/>
      <c r="AH996" s="436"/>
      <c r="AI996" s="436"/>
      <c r="AJ996" s="436"/>
      <c r="AK996" s="326"/>
      <c r="AL996" s="436"/>
      <c r="AM996" s="326"/>
      <c r="AN996" s="436"/>
      <c r="AO996" s="326"/>
      <c r="AP996" s="326"/>
      <c r="AQ996" s="326"/>
      <c r="AR996" s="326"/>
      <c r="AS996" s="326"/>
      <c r="AT996" s="326"/>
      <c r="AU996" s="326"/>
      <c r="AV996" s="326"/>
      <c r="AW996" s="326"/>
      <c r="AX996" s="326"/>
      <c r="AY996" s="326"/>
      <c r="AZ996" s="326"/>
      <c r="BA996" s="326"/>
      <c r="BB996" s="435"/>
      <c r="BC996" s="326"/>
      <c r="BD996" s="326"/>
      <c r="BE996" s="326"/>
      <c r="BF996" s="435"/>
      <c r="BG996" s="326"/>
      <c r="BH996" s="326"/>
      <c r="BI996" s="326"/>
      <c r="BJ996" s="435"/>
      <c r="BK996" s="326"/>
      <c r="BL996" s="326"/>
      <c r="BM996" s="1"/>
    </row>
    <row r="997" spans="1:65">
      <c r="A997" s="449"/>
      <c r="B997" s="449"/>
      <c r="C997" s="449"/>
      <c r="D997" s="326"/>
      <c r="E997" s="326"/>
      <c r="F997" s="326"/>
      <c r="G997" s="326"/>
      <c r="H997" s="326"/>
      <c r="I997" s="326"/>
      <c r="J997" s="326"/>
      <c r="K997" s="326"/>
      <c r="L997" s="326"/>
      <c r="M997" s="326"/>
      <c r="N997" s="326"/>
      <c r="O997" s="326"/>
      <c r="P997" s="326"/>
      <c r="Q997" s="326"/>
      <c r="R997" s="326"/>
      <c r="S997" s="326"/>
      <c r="T997" s="326"/>
      <c r="U997" s="326"/>
      <c r="V997" s="435"/>
      <c r="W997" s="326"/>
      <c r="X997" s="455"/>
      <c r="Y997" s="326"/>
      <c r="Z997" s="435"/>
      <c r="AA997" s="435"/>
      <c r="AB997" s="435"/>
      <c r="AC997" s="326"/>
      <c r="AD997" s="435"/>
      <c r="AE997" s="326"/>
      <c r="AF997" s="409"/>
      <c r="AG997" s="436"/>
      <c r="AH997" s="436"/>
      <c r="AI997" s="436"/>
      <c r="AJ997" s="326"/>
      <c r="AK997" s="326"/>
      <c r="AL997" s="326"/>
      <c r="AM997" s="326"/>
      <c r="AN997" s="326"/>
      <c r="AO997" s="326"/>
      <c r="AP997" s="326"/>
      <c r="AQ997" s="326"/>
      <c r="AR997" s="326"/>
      <c r="AS997" s="326"/>
      <c r="AT997" s="326"/>
      <c r="AU997" s="326"/>
      <c r="AV997" s="326"/>
      <c r="AW997" s="326"/>
      <c r="AX997" s="326"/>
      <c r="AY997" s="326"/>
      <c r="AZ997" s="326"/>
      <c r="BA997" s="326"/>
      <c r="BB997" s="435"/>
      <c r="BC997" s="326"/>
      <c r="BD997" s="435"/>
      <c r="BE997" s="326"/>
      <c r="BF997" s="435"/>
      <c r="BG997" s="435"/>
      <c r="BH997" s="435"/>
      <c r="BI997" s="326"/>
      <c r="BJ997" s="435"/>
      <c r="BK997" s="326"/>
      <c r="BL997" s="420"/>
      <c r="BM997" s="1"/>
    </row>
    <row r="998" spans="1:65">
      <c r="A998" s="449"/>
      <c r="B998" s="449"/>
      <c r="C998" s="449"/>
      <c r="D998" s="326"/>
      <c r="E998" s="449"/>
      <c r="F998" s="326"/>
      <c r="G998" s="326"/>
      <c r="H998" s="326"/>
      <c r="I998" s="326"/>
      <c r="J998" s="326"/>
      <c r="K998" s="326"/>
      <c r="L998" s="326"/>
      <c r="M998" s="326"/>
      <c r="N998" s="326"/>
      <c r="O998" s="326"/>
      <c r="P998" s="326"/>
      <c r="Q998" s="326"/>
      <c r="R998" s="326"/>
      <c r="S998" s="326"/>
      <c r="T998" s="326"/>
      <c r="U998" s="326"/>
      <c r="V998" s="435"/>
      <c r="W998" s="326"/>
      <c r="X998" s="326"/>
      <c r="Y998" s="326"/>
      <c r="Z998" s="435"/>
      <c r="AA998" s="435"/>
      <c r="AB998" s="326"/>
      <c r="AC998" s="435"/>
      <c r="AD998" s="435"/>
      <c r="AE998" s="326"/>
      <c r="AF998" s="326"/>
      <c r="AG998" s="436"/>
      <c r="AH998" s="436"/>
      <c r="AI998" s="436"/>
      <c r="AJ998" s="326"/>
      <c r="AK998" s="436"/>
      <c r="AL998" s="326"/>
      <c r="AM998" s="326"/>
      <c r="AN998" s="326"/>
      <c r="AO998" s="326"/>
      <c r="AP998" s="326"/>
      <c r="AQ998" s="326"/>
      <c r="AR998" s="326"/>
      <c r="AS998" s="326"/>
      <c r="AT998" s="326"/>
      <c r="AU998" s="326"/>
      <c r="AV998" s="326"/>
      <c r="AW998" s="326"/>
      <c r="AX998" s="326"/>
      <c r="AY998" s="326"/>
      <c r="AZ998" s="326"/>
      <c r="BA998" s="326"/>
      <c r="BB998" s="435"/>
      <c r="BC998" s="326"/>
      <c r="BD998" s="326"/>
      <c r="BE998" s="326"/>
      <c r="BF998" s="435"/>
      <c r="BG998" s="435"/>
      <c r="BH998" s="326"/>
      <c r="BI998" s="435"/>
      <c r="BJ998" s="435"/>
      <c r="BK998" s="326"/>
      <c r="BL998" s="326"/>
      <c r="BM998" s="1"/>
    </row>
    <row r="999" spans="1:65">
      <c r="A999" s="449"/>
      <c r="B999" s="449"/>
      <c r="C999" s="326"/>
      <c r="D999" s="326"/>
      <c r="E999" s="326"/>
      <c r="F999" s="326"/>
      <c r="G999" s="326"/>
      <c r="H999" s="326"/>
      <c r="I999" s="326"/>
      <c r="J999" s="326"/>
      <c r="K999" s="326"/>
      <c r="L999" s="326"/>
      <c r="M999" s="326"/>
      <c r="N999" s="326"/>
      <c r="O999" s="326"/>
      <c r="P999" s="326"/>
      <c r="Q999" s="326"/>
      <c r="R999" s="326"/>
      <c r="S999" s="326"/>
      <c r="T999" s="326"/>
      <c r="U999" s="326"/>
      <c r="V999" s="435"/>
      <c r="W999" s="326"/>
      <c r="X999" s="435"/>
      <c r="Y999" s="435"/>
      <c r="Z999" s="435"/>
      <c r="AA999" s="435"/>
      <c r="AB999" s="326"/>
      <c r="AC999" s="435"/>
      <c r="AD999" s="435"/>
      <c r="AE999" s="326"/>
      <c r="AF999" s="326"/>
      <c r="AG999" s="436"/>
      <c r="AH999" s="436"/>
      <c r="AI999" s="326"/>
      <c r="AJ999" s="326"/>
      <c r="AK999" s="326"/>
      <c r="AL999" s="326"/>
      <c r="AM999" s="326"/>
      <c r="AN999" s="326"/>
      <c r="AO999" s="326"/>
      <c r="AP999" s="326"/>
      <c r="AQ999" s="326"/>
      <c r="AR999" s="326"/>
      <c r="AS999" s="326"/>
      <c r="AT999" s="326"/>
      <c r="AU999" s="326"/>
      <c r="AV999" s="326"/>
      <c r="AW999" s="326"/>
      <c r="AX999" s="326"/>
      <c r="AY999" s="326"/>
      <c r="AZ999" s="326"/>
      <c r="BA999" s="326"/>
      <c r="BB999" s="435"/>
      <c r="BC999" s="326"/>
      <c r="BD999" s="435"/>
      <c r="BE999" s="435"/>
      <c r="BF999" s="435"/>
      <c r="BG999" s="435"/>
      <c r="BH999" s="326"/>
      <c r="BI999" s="435"/>
      <c r="BJ999" s="435"/>
      <c r="BK999" s="326"/>
      <c r="BL999" s="326"/>
      <c r="BM999" s="1"/>
    </row>
    <row r="1000" spans="1:65">
      <c r="A1000" s="449"/>
      <c r="B1000" s="449"/>
      <c r="C1000" s="326"/>
      <c r="D1000" s="449"/>
      <c r="E1000" s="326"/>
      <c r="F1000" s="449"/>
      <c r="G1000" s="326"/>
      <c r="H1000" s="326"/>
      <c r="I1000" s="326"/>
      <c r="J1000" s="326"/>
      <c r="K1000" s="326"/>
      <c r="L1000" s="326"/>
      <c r="M1000" s="326"/>
      <c r="N1000" s="326"/>
      <c r="O1000" s="326"/>
      <c r="P1000" s="326"/>
      <c r="Q1000" s="326"/>
      <c r="R1000" s="326"/>
      <c r="S1000" s="326"/>
      <c r="T1000" s="326"/>
      <c r="U1000" s="326"/>
      <c r="V1000" s="326"/>
      <c r="W1000" s="435"/>
      <c r="X1000" s="435"/>
      <c r="Y1000" s="435"/>
      <c r="Z1000" s="435"/>
      <c r="AA1000" s="435"/>
      <c r="AB1000" s="435"/>
      <c r="AC1000" s="435"/>
      <c r="AD1000" s="326"/>
      <c r="AE1000" s="326"/>
      <c r="AF1000" s="409"/>
      <c r="AG1000" s="436"/>
      <c r="AH1000" s="436"/>
      <c r="AI1000" s="326"/>
      <c r="AJ1000" s="436"/>
      <c r="AK1000" s="326"/>
      <c r="AL1000" s="436"/>
      <c r="AM1000" s="326"/>
      <c r="AN1000" s="326"/>
      <c r="AO1000" s="326"/>
      <c r="AP1000" s="326"/>
      <c r="AQ1000" s="326"/>
      <c r="AR1000" s="326"/>
      <c r="AS1000" s="326"/>
      <c r="AT1000" s="326"/>
      <c r="AU1000" s="326"/>
      <c r="AV1000" s="326"/>
      <c r="AW1000" s="326"/>
      <c r="AX1000" s="326"/>
      <c r="AY1000" s="326"/>
      <c r="AZ1000" s="326"/>
      <c r="BA1000" s="326"/>
      <c r="BB1000" s="326"/>
      <c r="BC1000" s="435"/>
      <c r="BD1000" s="435"/>
      <c r="BE1000" s="435"/>
      <c r="BF1000" s="435"/>
      <c r="BG1000" s="435"/>
      <c r="BH1000" s="435"/>
      <c r="BI1000" s="435"/>
      <c r="BJ1000" s="326"/>
      <c r="BK1000" s="326"/>
      <c r="BL1000" s="420"/>
      <c r="BM1000" s="1"/>
    </row>
    <row r="1001" spans="1:65">
      <c r="A1001" s="449"/>
      <c r="B1001" s="326"/>
      <c r="C1001" s="326"/>
      <c r="D1001" s="326"/>
      <c r="E1001" s="326"/>
      <c r="F1001" s="326"/>
      <c r="G1001" s="326"/>
      <c r="H1001" s="326"/>
      <c r="I1001" s="326"/>
      <c r="J1001" s="326"/>
      <c r="K1001" s="326"/>
      <c r="L1001" s="326"/>
      <c r="M1001" s="326"/>
      <c r="N1001" s="326"/>
      <c r="O1001" s="326"/>
      <c r="P1001" s="326"/>
      <c r="Q1001" s="326"/>
      <c r="R1001" s="326"/>
      <c r="S1001" s="326"/>
      <c r="T1001" s="326"/>
      <c r="U1001" s="326"/>
      <c r="V1001" s="326"/>
      <c r="W1001" s="326"/>
      <c r="X1001" s="326"/>
      <c r="Y1001" s="326"/>
      <c r="Z1001" s="326"/>
      <c r="AA1001" s="326"/>
      <c r="AB1001" s="326"/>
      <c r="AC1001" s="326"/>
      <c r="AD1001" s="326"/>
      <c r="AE1001" s="326"/>
      <c r="AF1001" s="409"/>
      <c r="AG1001" s="436"/>
      <c r="AH1001" s="326"/>
      <c r="AI1001" s="326"/>
      <c r="AJ1001" s="326"/>
      <c r="AK1001" s="326"/>
      <c r="AL1001" s="326"/>
      <c r="AM1001" s="326"/>
      <c r="AN1001" s="326"/>
      <c r="AO1001" s="326"/>
      <c r="AP1001" s="326"/>
      <c r="AQ1001" s="326"/>
      <c r="AR1001" s="326"/>
      <c r="AS1001" s="326"/>
      <c r="AT1001" s="326"/>
      <c r="AU1001" s="326"/>
      <c r="AV1001" s="326"/>
      <c r="AW1001" s="326"/>
      <c r="AX1001" s="326"/>
      <c r="AY1001" s="326"/>
      <c r="AZ1001" s="326"/>
      <c r="BA1001" s="326"/>
      <c r="BB1001" s="326"/>
      <c r="BC1001" s="326"/>
      <c r="BD1001" s="326"/>
      <c r="BE1001" s="326"/>
      <c r="BF1001" s="326"/>
      <c r="BG1001" s="326"/>
      <c r="BH1001" s="326"/>
      <c r="BI1001" s="326"/>
      <c r="BJ1001" s="326"/>
      <c r="BK1001" s="326"/>
      <c r="BL1001" s="420"/>
      <c r="BM1001" s="1"/>
    </row>
    <row r="1002" spans="1:65">
      <c r="A1002" s="449"/>
      <c r="B1002" s="326"/>
      <c r="C1002" s="449"/>
      <c r="D1002" s="326"/>
      <c r="E1002" s="326"/>
      <c r="F1002" s="326"/>
      <c r="G1002" s="326"/>
      <c r="H1002" s="326"/>
      <c r="I1002" s="326"/>
      <c r="J1002" s="326"/>
      <c r="K1002" s="326"/>
      <c r="L1002" s="326"/>
      <c r="M1002" s="326"/>
      <c r="N1002" s="326"/>
      <c r="O1002" s="326"/>
      <c r="P1002" s="326"/>
      <c r="Q1002" s="326"/>
      <c r="R1002" s="326"/>
      <c r="S1002" s="326"/>
      <c r="T1002" s="326"/>
      <c r="U1002" s="326"/>
      <c r="V1002" s="326"/>
      <c r="W1002" s="326"/>
      <c r="X1002" s="326"/>
      <c r="Y1002" s="326"/>
      <c r="Z1002" s="326"/>
      <c r="AA1002" s="326"/>
      <c r="AB1002" s="326"/>
      <c r="AC1002" s="326"/>
      <c r="AD1002" s="326"/>
      <c r="AE1002" s="326"/>
      <c r="AF1002" s="326"/>
      <c r="AG1002" s="436"/>
      <c r="AH1002" s="326"/>
      <c r="AI1002" s="436"/>
      <c r="AJ1002" s="326"/>
      <c r="AK1002" s="326"/>
      <c r="AL1002" s="326"/>
      <c r="AM1002" s="326"/>
      <c r="AN1002" s="326"/>
      <c r="AO1002" s="326"/>
      <c r="AP1002" s="326"/>
      <c r="AQ1002" s="326"/>
      <c r="AR1002" s="326"/>
      <c r="AS1002" s="326"/>
      <c r="AT1002" s="326"/>
      <c r="AU1002" s="326"/>
      <c r="AV1002" s="326"/>
      <c r="AW1002" s="326"/>
      <c r="AX1002" s="326"/>
      <c r="AY1002" s="326"/>
      <c r="AZ1002" s="326"/>
      <c r="BA1002" s="326"/>
      <c r="BB1002" s="326"/>
      <c r="BC1002" s="326"/>
      <c r="BD1002" s="326"/>
      <c r="BE1002" s="326"/>
      <c r="BF1002" s="326"/>
      <c r="BG1002" s="326"/>
      <c r="BH1002" s="326"/>
      <c r="BI1002" s="326"/>
      <c r="BJ1002" s="326"/>
      <c r="BK1002" s="326"/>
      <c r="BL1002" s="326"/>
      <c r="BM1002" s="1"/>
    </row>
    <row r="1003" spans="1:65">
      <c r="A1003" s="449"/>
      <c r="B1003" s="326"/>
      <c r="C1003" s="326"/>
      <c r="D1003" s="326"/>
      <c r="E1003" s="326"/>
      <c r="F1003" s="326"/>
      <c r="G1003" s="326"/>
      <c r="H1003" s="326"/>
      <c r="I1003" s="326"/>
      <c r="J1003" s="326"/>
      <c r="K1003" s="326"/>
      <c r="L1003" s="326"/>
      <c r="M1003" s="326"/>
      <c r="N1003" s="326"/>
      <c r="O1003" s="326"/>
      <c r="P1003" s="326"/>
      <c r="Q1003" s="326"/>
      <c r="R1003" s="326"/>
      <c r="S1003" s="326"/>
      <c r="T1003" s="326"/>
      <c r="U1003" s="326"/>
      <c r="V1003" s="326"/>
      <c r="W1003" s="326"/>
      <c r="X1003" s="326"/>
      <c r="Y1003" s="326"/>
      <c r="Z1003" s="326"/>
      <c r="AA1003" s="326"/>
      <c r="AB1003" s="326"/>
      <c r="AC1003" s="326"/>
      <c r="AD1003" s="326"/>
      <c r="AE1003" s="326"/>
      <c r="AF1003" s="326"/>
      <c r="AG1003" s="436"/>
      <c r="AH1003" s="326"/>
      <c r="AI1003" s="326"/>
      <c r="AJ1003" s="326"/>
      <c r="AK1003" s="326"/>
      <c r="AL1003" s="326"/>
      <c r="AM1003" s="326"/>
      <c r="AN1003" s="326"/>
      <c r="AO1003" s="326"/>
      <c r="AP1003" s="326"/>
      <c r="AQ1003" s="326"/>
      <c r="AR1003" s="326"/>
      <c r="AS1003" s="326"/>
      <c r="AT1003" s="326"/>
      <c r="AU1003" s="326"/>
      <c r="AV1003" s="326"/>
      <c r="AW1003" s="326"/>
      <c r="AX1003" s="326"/>
      <c r="AY1003" s="326"/>
      <c r="AZ1003" s="326"/>
      <c r="BA1003" s="326"/>
      <c r="BB1003" s="326"/>
      <c r="BC1003" s="326"/>
      <c r="BD1003" s="326"/>
      <c r="BE1003" s="326"/>
      <c r="BF1003" s="326"/>
      <c r="BG1003" s="326"/>
      <c r="BH1003" s="326"/>
      <c r="BI1003" s="326"/>
      <c r="BJ1003" s="326"/>
      <c r="BK1003" s="326"/>
      <c r="BL1003" s="326"/>
      <c r="BM1003" s="1"/>
    </row>
    <row r="1004" spans="1:65">
      <c r="A1004" s="326"/>
      <c r="B1004" s="449"/>
      <c r="C1004" s="326"/>
      <c r="D1004" s="449"/>
      <c r="E1004" s="326"/>
      <c r="F1004" s="326"/>
      <c r="G1004" s="326"/>
      <c r="H1004" s="326"/>
      <c r="I1004" s="326"/>
      <c r="J1004" s="326"/>
      <c r="K1004" s="326"/>
      <c r="L1004" s="326"/>
      <c r="M1004" s="326"/>
      <c r="N1004" s="326"/>
      <c r="O1004" s="326"/>
      <c r="P1004" s="326"/>
      <c r="Q1004" s="326"/>
      <c r="R1004" s="326"/>
      <c r="S1004" s="326"/>
      <c r="T1004" s="326"/>
      <c r="U1004" s="326"/>
      <c r="V1004" s="326"/>
      <c r="W1004" s="326"/>
      <c r="X1004" s="326"/>
      <c r="Y1004" s="326"/>
      <c r="Z1004" s="326"/>
      <c r="AA1004" s="326"/>
      <c r="AB1004" s="326"/>
      <c r="AC1004" s="326"/>
      <c r="AD1004" s="326"/>
      <c r="AE1004" s="326"/>
      <c r="AF1004" s="409"/>
      <c r="AG1004" s="326"/>
      <c r="AH1004" s="436"/>
      <c r="AI1004" s="326"/>
      <c r="AJ1004" s="436"/>
      <c r="AK1004" s="326"/>
      <c r="AL1004" s="326"/>
      <c r="AM1004" s="326"/>
      <c r="AN1004" s="326"/>
      <c r="AO1004" s="326"/>
      <c r="AP1004" s="326"/>
      <c r="AQ1004" s="326"/>
      <c r="AR1004" s="326"/>
      <c r="AS1004" s="326"/>
      <c r="AT1004" s="326"/>
      <c r="AU1004" s="326"/>
      <c r="AV1004" s="326"/>
      <c r="AW1004" s="326"/>
      <c r="AX1004" s="326"/>
      <c r="AY1004" s="326"/>
      <c r="AZ1004" s="326"/>
      <c r="BA1004" s="326"/>
      <c r="BB1004" s="326"/>
      <c r="BC1004" s="326"/>
      <c r="BD1004" s="326"/>
      <c r="BE1004" s="326"/>
      <c r="BF1004" s="326"/>
      <c r="BG1004" s="326"/>
      <c r="BH1004" s="326"/>
      <c r="BI1004" s="326"/>
      <c r="BJ1004" s="326"/>
      <c r="BK1004" s="326"/>
      <c r="BL1004" s="420"/>
      <c r="BM1004" s="1"/>
    </row>
    <row r="1005" spans="1:65">
      <c r="A1005" s="326"/>
      <c r="B1005" s="326"/>
      <c r="C1005" s="326"/>
      <c r="D1005" s="326"/>
      <c r="E1005" s="326"/>
      <c r="F1005" s="326"/>
      <c r="G1005" s="326"/>
      <c r="H1005" s="326"/>
      <c r="I1005" s="326"/>
      <c r="J1005" s="326"/>
      <c r="K1005" s="326"/>
      <c r="L1005" s="326"/>
      <c r="M1005" s="326"/>
      <c r="N1005" s="326"/>
      <c r="O1005" s="326"/>
      <c r="P1005" s="326"/>
      <c r="Q1005" s="326"/>
      <c r="R1005" s="326"/>
      <c r="S1005" s="326"/>
      <c r="T1005" s="326"/>
      <c r="U1005" s="326"/>
      <c r="V1005" s="326"/>
      <c r="W1005" s="326"/>
      <c r="X1005" s="326"/>
      <c r="Y1005" s="326"/>
      <c r="Z1005" s="326"/>
      <c r="AA1005" s="326"/>
      <c r="AB1005" s="326"/>
      <c r="AC1005" s="326"/>
      <c r="AD1005" s="326"/>
      <c r="AE1005" s="326"/>
      <c r="AF1005" s="409"/>
      <c r="AG1005" s="326"/>
      <c r="AH1005" s="326"/>
      <c r="AI1005" s="326"/>
      <c r="AJ1005" s="326"/>
      <c r="AK1005" s="326"/>
      <c r="AL1005" s="326"/>
      <c r="AM1005" s="326"/>
      <c r="AN1005" s="326"/>
      <c r="AO1005" s="326"/>
      <c r="AP1005" s="326"/>
      <c r="AQ1005" s="326"/>
      <c r="AR1005" s="326"/>
      <c r="AS1005" s="326"/>
      <c r="AT1005" s="326"/>
      <c r="AU1005" s="326"/>
      <c r="AV1005" s="326"/>
      <c r="AW1005" s="326"/>
      <c r="AX1005" s="326"/>
      <c r="AY1005" s="326"/>
      <c r="AZ1005" s="326"/>
      <c r="BA1005" s="326"/>
      <c r="BB1005" s="326"/>
      <c r="BC1005" s="326"/>
      <c r="BD1005" s="326"/>
      <c r="BE1005" s="326"/>
      <c r="BF1005" s="326"/>
      <c r="BG1005" s="326"/>
      <c r="BH1005" s="326"/>
      <c r="BI1005" s="326"/>
      <c r="BJ1005" s="326"/>
      <c r="BK1005" s="326"/>
      <c r="BL1005" s="420"/>
      <c r="BM1005" s="1"/>
    </row>
    <row r="1006" spans="1:65">
      <c r="A1006" s="449"/>
      <c r="B1006" s="326"/>
      <c r="C1006" s="326"/>
      <c r="D1006" s="326"/>
      <c r="E1006" s="326"/>
      <c r="F1006" s="326"/>
      <c r="G1006" s="326"/>
      <c r="H1006" s="326"/>
      <c r="I1006" s="326"/>
      <c r="J1006" s="326"/>
      <c r="K1006" s="326"/>
      <c r="L1006" s="326"/>
      <c r="M1006" s="326"/>
      <c r="N1006" s="326"/>
      <c r="O1006" s="326"/>
      <c r="P1006" s="326"/>
      <c r="Q1006" s="326"/>
      <c r="R1006" s="326"/>
      <c r="S1006" s="326"/>
      <c r="T1006" s="326"/>
      <c r="U1006" s="326"/>
      <c r="V1006" s="326"/>
      <c r="W1006" s="326"/>
      <c r="X1006" s="326"/>
      <c r="Y1006" s="326"/>
      <c r="Z1006" s="326"/>
      <c r="AA1006" s="326"/>
      <c r="AB1006" s="326"/>
      <c r="AC1006" s="326"/>
      <c r="AD1006" s="326"/>
      <c r="AE1006" s="326"/>
      <c r="AF1006" s="409"/>
      <c r="AG1006" s="436"/>
      <c r="AH1006" s="326"/>
      <c r="AI1006" s="326"/>
      <c r="AJ1006" s="326"/>
      <c r="AK1006" s="326"/>
      <c r="AL1006" s="326"/>
      <c r="AM1006" s="326"/>
      <c r="AN1006" s="326"/>
      <c r="AO1006" s="326"/>
      <c r="AP1006" s="326"/>
      <c r="AQ1006" s="326"/>
      <c r="AR1006" s="326"/>
      <c r="AS1006" s="326"/>
      <c r="AT1006" s="326"/>
      <c r="AU1006" s="326"/>
      <c r="AV1006" s="326"/>
      <c r="AW1006" s="326"/>
      <c r="AX1006" s="326"/>
      <c r="AY1006" s="326"/>
      <c r="AZ1006" s="326"/>
      <c r="BA1006" s="326"/>
      <c r="BB1006" s="326"/>
      <c r="BC1006" s="326"/>
      <c r="BD1006" s="326"/>
      <c r="BE1006" s="326"/>
      <c r="BF1006" s="326"/>
      <c r="BG1006" s="326"/>
      <c r="BH1006" s="326"/>
      <c r="BI1006" s="326"/>
      <c r="BJ1006" s="326"/>
      <c r="BK1006" s="326"/>
      <c r="BL1006" s="420"/>
      <c r="BM1006" s="1"/>
    </row>
    <row r="1007" spans="1:65">
      <c r="A1007" s="449"/>
      <c r="B1007" s="326"/>
      <c r="C1007" s="326"/>
      <c r="D1007" s="326"/>
      <c r="E1007" s="326"/>
      <c r="F1007" s="326"/>
      <c r="G1007" s="326"/>
      <c r="H1007" s="326"/>
      <c r="I1007" s="326"/>
      <c r="J1007" s="326"/>
      <c r="K1007" s="326"/>
      <c r="L1007" s="326"/>
      <c r="M1007" s="326"/>
      <c r="N1007" s="326"/>
      <c r="O1007" s="326"/>
      <c r="P1007" s="326"/>
      <c r="Q1007" s="326"/>
      <c r="R1007" s="326"/>
      <c r="S1007" s="326"/>
      <c r="T1007" s="326"/>
      <c r="U1007" s="326"/>
      <c r="V1007" s="326"/>
      <c r="W1007" s="326"/>
      <c r="X1007" s="326"/>
      <c r="Y1007" s="326"/>
      <c r="Z1007" s="326"/>
      <c r="AA1007" s="326"/>
      <c r="AB1007" s="326"/>
      <c r="AC1007" s="326"/>
      <c r="AD1007" s="326"/>
      <c r="AE1007" s="326"/>
      <c r="AF1007" s="326"/>
      <c r="AG1007" s="436"/>
      <c r="AH1007" s="326"/>
      <c r="AI1007" s="326"/>
      <c r="AJ1007" s="326"/>
      <c r="AK1007" s="326"/>
      <c r="AL1007" s="326"/>
      <c r="AM1007" s="326"/>
      <c r="AN1007" s="326"/>
      <c r="AO1007" s="326"/>
      <c r="AP1007" s="326"/>
      <c r="AQ1007" s="326"/>
      <c r="AR1007" s="326"/>
      <c r="AS1007" s="326"/>
      <c r="AT1007" s="326"/>
      <c r="AU1007" s="326"/>
      <c r="AV1007" s="326"/>
      <c r="AW1007" s="326"/>
      <c r="AX1007" s="326"/>
      <c r="AY1007" s="326"/>
      <c r="AZ1007" s="326"/>
      <c r="BA1007" s="326"/>
      <c r="BB1007" s="326"/>
      <c r="BC1007" s="326"/>
      <c r="BD1007" s="326"/>
      <c r="BE1007" s="326"/>
      <c r="BF1007" s="326"/>
      <c r="BG1007" s="326"/>
      <c r="BH1007" s="326"/>
      <c r="BI1007" s="326"/>
      <c r="BJ1007" s="326"/>
      <c r="BK1007" s="326"/>
      <c r="BL1007" s="326"/>
      <c r="BM1007" s="1"/>
    </row>
    <row r="1008" spans="1:65">
      <c r="A1008" s="326"/>
      <c r="B1008" s="449"/>
      <c r="C1008" s="326"/>
      <c r="D1008" s="326"/>
      <c r="E1008" s="326"/>
      <c r="F1008" s="326"/>
      <c r="G1008" s="326"/>
      <c r="H1008" s="326"/>
      <c r="I1008" s="326"/>
      <c r="J1008" s="326"/>
      <c r="K1008" s="326"/>
      <c r="L1008" s="326"/>
      <c r="M1008" s="326"/>
      <c r="N1008" s="326"/>
      <c r="O1008" s="326"/>
      <c r="P1008" s="326"/>
      <c r="Q1008" s="326"/>
      <c r="R1008" s="326"/>
      <c r="S1008" s="326"/>
      <c r="T1008" s="326"/>
      <c r="U1008" s="326"/>
      <c r="V1008" s="326"/>
      <c r="W1008" s="326"/>
      <c r="X1008" s="326"/>
      <c r="Y1008" s="326"/>
      <c r="Z1008" s="326"/>
      <c r="AA1008" s="326"/>
      <c r="AB1008" s="326"/>
      <c r="AC1008" s="326"/>
      <c r="AD1008" s="326"/>
      <c r="AE1008" s="326"/>
      <c r="AF1008" s="326"/>
      <c r="AG1008" s="326"/>
      <c r="AH1008" s="436"/>
      <c r="AI1008" s="326"/>
      <c r="AJ1008" s="326"/>
      <c r="AK1008" s="326"/>
      <c r="AL1008" s="326"/>
      <c r="AM1008" s="326"/>
      <c r="AN1008" s="326"/>
      <c r="AO1008" s="326"/>
      <c r="AP1008" s="326"/>
      <c r="AQ1008" s="326"/>
      <c r="AR1008" s="326"/>
      <c r="AS1008" s="326"/>
      <c r="AT1008" s="326"/>
      <c r="AU1008" s="326"/>
      <c r="AV1008" s="326"/>
      <c r="AW1008" s="326"/>
      <c r="AX1008" s="326"/>
      <c r="AY1008" s="326"/>
      <c r="AZ1008" s="326"/>
      <c r="BA1008" s="326"/>
      <c r="BB1008" s="326"/>
      <c r="BC1008" s="326"/>
      <c r="BD1008" s="326"/>
      <c r="BE1008" s="326"/>
      <c r="BF1008" s="326"/>
      <c r="BG1008" s="326"/>
      <c r="BH1008" s="326"/>
      <c r="BI1008" s="326"/>
      <c r="BJ1008" s="326"/>
      <c r="BK1008" s="326"/>
      <c r="BL1008" s="326"/>
      <c r="BM1008" s="1"/>
    </row>
    <row r="1009" spans="1:99">
      <c r="A1009" s="326"/>
      <c r="B1009" s="326"/>
      <c r="C1009" s="326"/>
      <c r="D1009" s="326"/>
      <c r="E1009" s="326"/>
      <c r="F1009" s="326"/>
      <c r="G1009" s="326"/>
      <c r="H1009" s="326"/>
      <c r="I1009" s="326"/>
      <c r="J1009" s="326"/>
      <c r="K1009" s="326"/>
      <c r="L1009" s="326"/>
      <c r="M1009" s="326"/>
      <c r="N1009" s="326"/>
      <c r="O1009" s="326"/>
      <c r="P1009" s="326"/>
      <c r="Q1009" s="326"/>
      <c r="R1009" s="326"/>
      <c r="S1009" s="326"/>
      <c r="T1009" s="326"/>
      <c r="U1009" s="326"/>
      <c r="V1009" s="326"/>
      <c r="W1009" s="326"/>
      <c r="X1009" s="326"/>
      <c r="Y1009" s="326"/>
      <c r="Z1009" s="326"/>
      <c r="AA1009" s="326"/>
      <c r="AB1009" s="326"/>
      <c r="AC1009" s="326"/>
      <c r="AD1009" s="326"/>
      <c r="AE1009" s="409"/>
      <c r="AF1009" s="326"/>
      <c r="AG1009" s="326"/>
      <c r="AH1009" s="326"/>
      <c r="AI1009" s="326"/>
      <c r="AJ1009" s="326"/>
      <c r="AK1009" s="326"/>
      <c r="AL1009" s="326"/>
      <c r="AM1009" s="326"/>
      <c r="AN1009" s="326"/>
      <c r="AO1009" s="326"/>
      <c r="AP1009" s="326"/>
      <c r="AQ1009" s="326"/>
      <c r="AR1009" s="326"/>
      <c r="AS1009" s="326"/>
      <c r="AT1009" s="326"/>
      <c r="AU1009" s="326"/>
      <c r="AV1009" s="326"/>
      <c r="AW1009" s="326"/>
      <c r="AX1009" s="326"/>
      <c r="AY1009" s="326"/>
      <c r="AZ1009" s="326"/>
      <c r="BA1009" s="326"/>
      <c r="BB1009" s="326"/>
      <c r="BC1009" s="326"/>
      <c r="BD1009" s="326"/>
      <c r="BE1009" s="326"/>
      <c r="BF1009" s="326"/>
      <c r="BG1009" s="326"/>
      <c r="BH1009" s="326"/>
      <c r="BI1009" s="326"/>
      <c r="BJ1009" s="326"/>
      <c r="BK1009" s="420"/>
      <c r="BL1009" s="326"/>
      <c r="BM1009" s="1"/>
    </row>
    <row r="1010" spans="1:99">
      <c r="A1010" s="326"/>
      <c r="B1010" s="326"/>
      <c r="C1010" s="326"/>
      <c r="D1010" s="326"/>
      <c r="E1010" s="326"/>
      <c r="F1010" s="326"/>
      <c r="G1010" s="326"/>
      <c r="H1010" s="326"/>
      <c r="I1010" s="326"/>
      <c r="J1010" s="326"/>
      <c r="K1010" s="326"/>
      <c r="L1010" s="326"/>
      <c r="M1010" s="326"/>
      <c r="N1010" s="326"/>
      <c r="O1010" s="326"/>
      <c r="P1010" s="326"/>
      <c r="Q1010" s="326"/>
      <c r="R1010" s="326"/>
      <c r="S1010" s="326"/>
      <c r="T1010" s="326"/>
      <c r="U1010" s="326"/>
      <c r="V1010" s="326"/>
      <c r="W1010" s="326"/>
      <c r="X1010" s="326"/>
      <c r="Y1010" s="326"/>
      <c r="Z1010" s="326"/>
      <c r="AA1010" s="326"/>
      <c r="AB1010" s="326"/>
      <c r="AC1010" s="326"/>
      <c r="AD1010" s="326"/>
      <c r="AE1010" s="326"/>
      <c r="AF1010" s="409"/>
      <c r="AG1010" s="326"/>
      <c r="AH1010" s="326"/>
      <c r="AI1010" s="326"/>
      <c r="AJ1010" s="326"/>
      <c r="AK1010" s="326"/>
      <c r="AL1010" s="326"/>
      <c r="AM1010" s="326"/>
      <c r="AN1010" s="326"/>
      <c r="AO1010" s="326"/>
      <c r="AP1010" s="326"/>
      <c r="AQ1010" s="326"/>
      <c r="AR1010" s="326"/>
      <c r="AS1010" s="326"/>
      <c r="AT1010" s="326"/>
      <c r="AU1010" s="326"/>
      <c r="AV1010" s="326"/>
      <c r="AW1010" s="326"/>
      <c r="AX1010" s="326"/>
      <c r="AY1010" s="326"/>
      <c r="AZ1010" s="326"/>
      <c r="BA1010" s="326"/>
      <c r="BB1010" s="326"/>
      <c r="BC1010" s="326"/>
      <c r="BD1010" s="326"/>
      <c r="BE1010" s="326"/>
      <c r="BF1010" s="326"/>
      <c r="BG1010" s="326"/>
      <c r="BH1010" s="326"/>
      <c r="BI1010" s="326"/>
      <c r="BJ1010" s="326"/>
      <c r="BK1010" s="326"/>
      <c r="BL1010" s="420"/>
      <c r="BM1010" s="1"/>
    </row>
    <row r="1011" spans="1:99">
      <c r="A1011" s="449"/>
      <c r="B1011" s="326"/>
      <c r="C1011" s="326"/>
      <c r="D1011" s="326"/>
      <c r="E1011" s="326"/>
      <c r="F1011" s="326"/>
      <c r="G1011" s="326"/>
      <c r="H1011" s="326"/>
      <c r="I1011" s="326"/>
      <c r="J1011" s="326"/>
      <c r="K1011" s="326"/>
      <c r="L1011" s="326"/>
      <c r="M1011" s="326"/>
      <c r="N1011" s="326"/>
      <c r="O1011" s="326"/>
      <c r="P1011" s="326"/>
      <c r="Q1011" s="326"/>
      <c r="R1011" s="326"/>
      <c r="S1011" s="326"/>
      <c r="T1011" s="326"/>
      <c r="U1011" s="326"/>
      <c r="V1011" s="326"/>
      <c r="W1011" s="326"/>
      <c r="X1011" s="326"/>
      <c r="Y1011" s="326"/>
      <c r="Z1011" s="326"/>
      <c r="AA1011" s="326"/>
      <c r="AB1011" s="326"/>
      <c r="AC1011" s="326"/>
      <c r="AD1011" s="326"/>
      <c r="AE1011" s="326"/>
      <c r="AF1011" s="409"/>
      <c r="AG1011" s="436"/>
      <c r="AH1011" s="326"/>
      <c r="AI1011" s="326"/>
      <c r="AJ1011" s="326"/>
      <c r="AK1011" s="326"/>
      <c r="AL1011" s="326"/>
      <c r="AM1011" s="326"/>
      <c r="AN1011" s="326"/>
      <c r="AO1011" s="326"/>
      <c r="AP1011" s="326"/>
      <c r="AQ1011" s="326"/>
      <c r="AR1011" s="326"/>
      <c r="AS1011" s="326"/>
      <c r="AT1011" s="326"/>
      <c r="AU1011" s="326"/>
      <c r="AV1011" s="326"/>
      <c r="AW1011" s="326"/>
      <c r="AX1011" s="326"/>
      <c r="AY1011" s="326"/>
      <c r="AZ1011" s="326"/>
      <c r="BA1011" s="326"/>
      <c r="BB1011" s="326"/>
      <c r="BC1011" s="326"/>
      <c r="BD1011" s="326"/>
      <c r="BE1011" s="326"/>
      <c r="BF1011" s="326"/>
      <c r="BG1011" s="326"/>
      <c r="BH1011" s="326"/>
      <c r="BI1011" s="326"/>
      <c r="BJ1011" s="326"/>
      <c r="BK1011" s="326"/>
      <c r="BL1011" s="420"/>
      <c r="BM1011" s="1"/>
    </row>
    <row r="1012" spans="1:99">
      <c r="BM1012" s="1"/>
      <c r="CT1012">
        <v>19</v>
      </c>
      <c r="CU1012">
        <v>19</v>
      </c>
    </row>
    <row r="1013" spans="1:99">
      <c r="A1013" s="326"/>
      <c r="B1013" s="326"/>
      <c r="C1013" s="326"/>
      <c r="D1013" s="326"/>
      <c r="E1013" s="326"/>
      <c r="F1013" s="326"/>
      <c r="G1013" s="326"/>
      <c r="H1013" s="326"/>
      <c r="I1013" s="326"/>
      <c r="J1013" s="326"/>
      <c r="K1013" s="326"/>
      <c r="L1013" s="326"/>
      <c r="M1013" s="326"/>
      <c r="N1013" s="326"/>
      <c r="O1013" s="326"/>
      <c r="P1013" s="326"/>
      <c r="Q1013" s="326"/>
      <c r="R1013" s="326"/>
      <c r="S1013" s="326"/>
      <c r="T1013" s="326"/>
      <c r="U1013" s="326"/>
      <c r="V1013" s="326"/>
      <c r="W1013" s="326"/>
      <c r="X1013" s="326"/>
      <c r="Y1013" s="326"/>
      <c r="Z1013" s="326"/>
      <c r="AA1013" s="326"/>
      <c r="AB1013" s="326"/>
      <c r="AC1013" s="409"/>
      <c r="AD1013" s="326"/>
      <c r="AE1013" s="409"/>
      <c r="AF1013" s="409"/>
      <c r="AG1013" s="326"/>
      <c r="AH1013" s="326"/>
      <c r="AI1013" s="326"/>
      <c r="AJ1013" s="326"/>
      <c r="AK1013" s="326"/>
      <c r="AL1013" s="326"/>
      <c r="AM1013" s="326"/>
      <c r="AN1013" s="326"/>
      <c r="AO1013" s="326"/>
      <c r="AP1013" s="326"/>
      <c r="AQ1013" s="326"/>
      <c r="AR1013" s="326"/>
      <c r="AS1013" s="326"/>
      <c r="AT1013" s="326"/>
      <c r="AU1013" s="326"/>
      <c r="AV1013" s="326"/>
      <c r="AW1013" s="326"/>
      <c r="AX1013" s="326"/>
      <c r="AY1013" s="326"/>
      <c r="AZ1013" s="326"/>
      <c r="BA1013" s="326"/>
      <c r="BB1013" s="326"/>
      <c r="BC1013" s="326"/>
      <c r="BD1013" s="326"/>
      <c r="BE1013" s="326"/>
      <c r="BF1013" s="326"/>
      <c r="BG1013" s="326"/>
      <c r="BH1013" s="326"/>
      <c r="BI1013" s="420"/>
      <c r="BJ1013" s="326"/>
      <c r="BK1013" s="420"/>
      <c r="BL1013" s="420"/>
      <c r="BM1013" s="1"/>
    </row>
    <row r="1014" spans="1:99">
      <c r="A1014" s="326"/>
      <c r="B1014" s="326"/>
      <c r="C1014" s="326"/>
      <c r="D1014" s="326"/>
      <c r="E1014" s="326"/>
      <c r="F1014" s="326"/>
      <c r="G1014" s="326"/>
      <c r="H1014" s="326"/>
      <c r="I1014" s="326"/>
      <c r="J1014" s="326"/>
      <c r="K1014" s="326"/>
      <c r="L1014" s="326"/>
      <c r="M1014" s="326"/>
      <c r="N1014" s="326"/>
      <c r="O1014" s="326"/>
      <c r="P1014" s="326"/>
      <c r="Q1014" s="326"/>
      <c r="R1014" s="326"/>
      <c r="S1014" s="326"/>
      <c r="T1014" s="326"/>
      <c r="U1014" s="326"/>
      <c r="V1014" s="326"/>
      <c r="W1014" s="326"/>
      <c r="X1014" s="326"/>
      <c r="Y1014" s="326"/>
      <c r="Z1014" s="326"/>
      <c r="AA1014" s="326"/>
      <c r="AB1014" s="326"/>
      <c r="AC1014" s="326"/>
      <c r="AD1014" s="326"/>
      <c r="AE1014" s="326"/>
      <c r="AF1014" s="409"/>
      <c r="AG1014" s="326"/>
      <c r="AH1014" s="326"/>
      <c r="AI1014" s="326"/>
      <c r="AJ1014" s="326"/>
      <c r="AK1014" s="326"/>
      <c r="AL1014" s="326"/>
      <c r="AM1014" s="326"/>
      <c r="AN1014" s="326"/>
      <c r="AO1014" s="326"/>
      <c r="AP1014" s="326"/>
      <c r="AQ1014" s="326"/>
      <c r="AR1014" s="326"/>
      <c r="AS1014" s="326"/>
      <c r="AT1014" s="326"/>
      <c r="AU1014" s="326"/>
      <c r="AV1014" s="326"/>
      <c r="AW1014" s="326"/>
      <c r="AX1014" s="326"/>
      <c r="AY1014" s="326"/>
      <c r="AZ1014" s="326"/>
      <c r="BA1014" s="326"/>
      <c r="BB1014" s="326"/>
      <c r="BC1014" s="326"/>
      <c r="BD1014" s="326"/>
      <c r="BE1014" s="326"/>
      <c r="BF1014" s="326"/>
      <c r="BG1014" s="326"/>
      <c r="BH1014" s="326"/>
      <c r="BI1014" s="326"/>
      <c r="BJ1014" s="326"/>
      <c r="BK1014" s="326"/>
      <c r="BL1014" s="420"/>
      <c r="BM1014" s="1"/>
    </row>
    <row r="1015" spans="1:99">
      <c r="A1015" s="449"/>
      <c r="B1015" s="326"/>
      <c r="C1015" s="326"/>
      <c r="D1015" s="326"/>
      <c r="E1015" s="326"/>
      <c r="F1015" s="326"/>
      <c r="G1015" s="326"/>
      <c r="H1015" s="326"/>
      <c r="I1015" s="326"/>
      <c r="J1015" s="326"/>
      <c r="K1015" s="326"/>
      <c r="L1015" s="326"/>
      <c r="M1015" s="326"/>
      <c r="N1015" s="326"/>
      <c r="O1015" s="326"/>
      <c r="P1015" s="326"/>
      <c r="Q1015" s="326"/>
      <c r="R1015" s="326"/>
      <c r="S1015" s="326"/>
      <c r="T1015" s="326"/>
      <c r="U1015" s="326"/>
      <c r="V1015" s="326"/>
      <c r="W1015" s="326"/>
      <c r="X1015" s="326"/>
      <c r="Y1015" s="326"/>
      <c r="Z1015" s="326"/>
      <c r="AA1015" s="326"/>
      <c r="AB1015" s="326"/>
      <c r="AC1015" s="326"/>
      <c r="AD1015" s="409"/>
      <c r="AE1015" s="326"/>
      <c r="AF1015" s="409"/>
      <c r="AG1015" s="436"/>
      <c r="AH1015" s="326"/>
      <c r="AI1015" s="326"/>
      <c r="AJ1015" s="326"/>
      <c r="AK1015" s="326"/>
      <c r="AL1015" s="326"/>
      <c r="AM1015" s="326"/>
      <c r="AN1015" s="326"/>
      <c r="AO1015" s="326"/>
      <c r="AP1015" s="326"/>
      <c r="AQ1015" s="326"/>
      <c r="AR1015" s="326"/>
      <c r="AS1015" s="326"/>
      <c r="AT1015" s="326"/>
      <c r="AU1015" s="326"/>
      <c r="AV1015" s="326"/>
      <c r="AW1015" s="326"/>
      <c r="AX1015" s="326"/>
      <c r="AY1015" s="326"/>
      <c r="AZ1015" s="326"/>
      <c r="BA1015" s="326"/>
      <c r="BB1015" s="326"/>
      <c r="BC1015" s="326"/>
      <c r="BD1015" s="326"/>
      <c r="BE1015" s="326"/>
      <c r="BF1015" s="326"/>
      <c r="BG1015" s="326"/>
      <c r="BH1015" s="326"/>
      <c r="BI1015" s="326"/>
      <c r="BJ1015" s="420"/>
      <c r="BK1015" s="326"/>
      <c r="BL1015" s="420"/>
      <c r="BM1015" s="1"/>
    </row>
    <row r="1016" spans="1:99">
      <c r="A1016" s="326"/>
      <c r="B1016" s="326"/>
      <c r="C1016" s="326"/>
      <c r="D1016" s="326"/>
      <c r="E1016" s="326"/>
      <c r="F1016" s="326"/>
      <c r="G1016" s="326"/>
      <c r="H1016" s="326"/>
      <c r="I1016" s="326"/>
      <c r="J1016" s="326"/>
      <c r="K1016" s="326"/>
      <c r="L1016" s="326"/>
      <c r="M1016" s="326"/>
      <c r="N1016" s="326"/>
      <c r="O1016" s="326"/>
      <c r="P1016" s="326"/>
      <c r="Q1016" s="326"/>
      <c r="R1016" s="326"/>
      <c r="S1016" s="326"/>
      <c r="T1016" s="326"/>
      <c r="U1016" s="326"/>
      <c r="V1016" s="326"/>
      <c r="W1016" s="326"/>
      <c r="X1016" s="326"/>
      <c r="Y1016" s="326"/>
      <c r="Z1016" s="326"/>
      <c r="AA1016" s="326"/>
      <c r="AB1016" s="326"/>
      <c r="AC1016" s="326"/>
      <c r="AD1016" s="326"/>
      <c r="AE1016" s="326"/>
      <c r="AF1016" s="409"/>
      <c r="AG1016" s="326"/>
      <c r="AH1016" s="326"/>
      <c r="AI1016" s="326"/>
      <c r="AJ1016" s="326"/>
      <c r="AK1016" s="326"/>
      <c r="AL1016" s="326"/>
      <c r="AM1016" s="326"/>
      <c r="AN1016" s="326"/>
      <c r="AO1016" s="326"/>
      <c r="AP1016" s="326"/>
      <c r="AQ1016" s="326"/>
      <c r="AR1016" s="326"/>
      <c r="AS1016" s="326"/>
      <c r="AT1016" s="326"/>
      <c r="AU1016" s="326"/>
      <c r="AV1016" s="326"/>
      <c r="AW1016" s="326"/>
      <c r="AX1016" s="326"/>
      <c r="AY1016" s="326"/>
      <c r="AZ1016" s="326"/>
      <c r="BA1016" s="326"/>
      <c r="BB1016" s="326"/>
      <c r="BC1016" s="326"/>
      <c r="BD1016" s="326"/>
      <c r="BE1016" s="326"/>
      <c r="BF1016" s="326"/>
      <c r="BG1016" s="326"/>
      <c r="BH1016" s="326"/>
      <c r="BI1016" s="326"/>
      <c r="BJ1016" s="326"/>
      <c r="BK1016" s="326"/>
      <c r="BL1016" s="420"/>
      <c r="BM1016" s="1"/>
    </row>
    <row r="1017" spans="1:99">
      <c r="A1017" s="326"/>
      <c r="B1017" s="326"/>
      <c r="C1017" s="326"/>
      <c r="D1017" s="423"/>
      <c r="E1017" s="326"/>
      <c r="F1017" s="326"/>
      <c r="G1017" s="326"/>
      <c r="H1017" s="423"/>
      <c r="I1017" s="326"/>
      <c r="J1017" s="326"/>
      <c r="K1017" s="326"/>
      <c r="L1017" s="326"/>
      <c r="M1017" s="326"/>
      <c r="N1017" s="422"/>
      <c r="O1017" s="326"/>
      <c r="P1017" s="326"/>
      <c r="Q1017" s="326"/>
      <c r="R1017" s="326"/>
      <c r="S1017" s="326"/>
      <c r="T1017" s="326"/>
      <c r="U1017" s="326"/>
      <c r="V1017" s="326"/>
      <c r="W1017" s="326"/>
      <c r="X1017" s="326"/>
      <c r="Y1017" s="326"/>
      <c r="Z1017" s="326"/>
      <c r="AA1017" s="409"/>
      <c r="AB1017" s="326"/>
      <c r="AC1017" s="409"/>
      <c r="AD1017" s="326"/>
      <c r="AE1017" s="409"/>
      <c r="AF1017" s="409"/>
      <c r="AG1017" s="326"/>
      <c r="AH1017" s="326"/>
      <c r="AI1017" s="326"/>
      <c r="AJ1017" s="418"/>
      <c r="AK1017" s="326"/>
      <c r="AL1017" s="326"/>
      <c r="AM1017" s="326"/>
      <c r="AN1017" s="418"/>
      <c r="AO1017" s="326"/>
      <c r="AP1017" s="326"/>
      <c r="AQ1017" s="326"/>
      <c r="AR1017" s="326"/>
      <c r="AS1017" s="326"/>
      <c r="AT1017" s="422"/>
      <c r="AU1017" s="326"/>
      <c r="AV1017" s="326"/>
      <c r="AW1017" s="326"/>
      <c r="AX1017" s="326"/>
      <c r="AY1017" s="326"/>
      <c r="AZ1017" s="326"/>
      <c r="BA1017" s="326"/>
      <c r="BB1017" s="326"/>
      <c r="BC1017" s="326"/>
      <c r="BD1017" s="326"/>
      <c r="BE1017" s="326"/>
      <c r="BF1017" s="326"/>
      <c r="BG1017" s="420"/>
      <c r="BH1017" s="326"/>
      <c r="BI1017" s="420"/>
      <c r="BJ1017" s="326"/>
      <c r="BK1017" s="420"/>
      <c r="BL1017" s="420"/>
      <c r="BM1017" s="1"/>
    </row>
    <row r="1018" spans="1:99">
      <c r="A1018" s="449"/>
      <c r="B1018" s="326"/>
      <c r="C1018" s="326"/>
      <c r="D1018" s="423"/>
      <c r="E1018" s="326"/>
      <c r="F1018" s="326"/>
      <c r="G1018" s="326"/>
      <c r="H1018" s="423"/>
      <c r="I1018" s="326"/>
      <c r="J1018" s="326"/>
      <c r="K1018" s="326"/>
      <c r="L1018" s="326"/>
      <c r="M1018" s="422"/>
      <c r="N1018" s="422"/>
      <c r="O1018" s="422"/>
      <c r="P1018" s="326"/>
      <c r="Q1018" s="326"/>
      <c r="R1018" s="326"/>
      <c r="S1018" s="326"/>
      <c r="T1018" s="326"/>
      <c r="U1018" s="326"/>
      <c r="V1018" s="326"/>
      <c r="W1018" s="326"/>
      <c r="X1018" s="326"/>
      <c r="Y1018" s="326"/>
      <c r="Z1018" s="326"/>
      <c r="AA1018" s="326"/>
      <c r="AB1018" s="326"/>
      <c r="AC1018" s="326"/>
      <c r="AD1018" s="326"/>
      <c r="AE1018" s="409"/>
      <c r="AF1018" s="409"/>
      <c r="AG1018" s="436"/>
      <c r="AH1018" s="326"/>
      <c r="AI1018" s="326"/>
      <c r="AJ1018" s="418"/>
      <c r="AK1018" s="326"/>
      <c r="AL1018" s="326"/>
      <c r="AM1018" s="326"/>
      <c r="AN1018" s="418"/>
      <c r="AO1018" s="326"/>
      <c r="AP1018" s="326"/>
      <c r="AQ1018" s="326"/>
      <c r="AR1018" s="326"/>
      <c r="AS1018" s="422"/>
      <c r="AT1018" s="422"/>
      <c r="AU1018" s="422"/>
      <c r="AV1018" s="326"/>
      <c r="AW1018" s="326"/>
      <c r="AX1018" s="326"/>
      <c r="AY1018" s="326"/>
      <c r="AZ1018" s="326"/>
      <c r="BA1018" s="326"/>
      <c r="BB1018" s="326"/>
      <c r="BC1018" s="326"/>
      <c r="BD1018" s="326"/>
      <c r="BE1018" s="326"/>
      <c r="BF1018" s="326"/>
      <c r="BG1018" s="326"/>
      <c r="BH1018" s="326"/>
      <c r="BI1018" s="326"/>
      <c r="BJ1018" s="326"/>
      <c r="BK1018" s="420"/>
      <c r="BL1018" s="420"/>
      <c r="BM1018" s="1"/>
    </row>
    <row r="1019" spans="1:99">
      <c r="A1019" s="326"/>
      <c r="B1019" s="326"/>
      <c r="C1019" s="326"/>
      <c r="D1019" s="423"/>
      <c r="E1019" s="326"/>
      <c r="F1019" s="326"/>
      <c r="G1019" s="326"/>
      <c r="H1019" s="423"/>
      <c r="I1019" s="326"/>
      <c r="J1019" s="326"/>
      <c r="K1019" s="326"/>
      <c r="L1019" s="422"/>
      <c r="M1019" s="422"/>
      <c r="N1019" s="422"/>
      <c r="O1019" s="422"/>
      <c r="P1019" s="422"/>
      <c r="Q1019" s="326"/>
      <c r="R1019" s="326"/>
      <c r="S1019" s="326"/>
      <c r="T1019" s="326"/>
      <c r="U1019" s="326"/>
      <c r="V1019" s="326"/>
      <c r="W1019" s="326"/>
      <c r="X1019" s="326"/>
      <c r="Y1019" s="326"/>
      <c r="Z1019" s="326"/>
      <c r="AA1019" s="326"/>
      <c r="AB1019" s="409"/>
      <c r="AC1019" s="326"/>
      <c r="AD1019" s="409"/>
      <c r="AE1019" s="409"/>
      <c r="AF1019" s="409"/>
      <c r="AG1019" s="326"/>
      <c r="AH1019" s="326"/>
      <c r="AI1019" s="326"/>
      <c r="AJ1019" s="418"/>
      <c r="AK1019" s="326"/>
      <c r="AL1019" s="326"/>
      <c r="AM1019" s="326"/>
      <c r="AN1019" s="418"/>
      <c r="AO1019" s="326"/>
      <c r="AP1019" s="326"/>
      <c r="AQ1019" s="326"/>
      <c r="AR1019" s="422"/>
      <c r="AS1019" s="422"/>
      <c r="AT1019" s="422"/>
      <c r="AU1019" s="422"/>
      <c r="AV1019" s="422"/>
      <c r="AW1019" s="326"/>
      <c r="AX1019" s="326"/>
      <c r="AY1019" s="326"/>
      <c r="AZ1019" s="326"/>
      <c r="BA1019" s="326"/>
      <c r="BB1019" s="326"/>
      <c r="BC1019" s="326"/>
      <c r="BD1019" s="326"/>
      <c r="BE1019" s="326"/>
      <c r="BF1019" s="326"/>
      <c r="BG1019" s="326"/>
      <c r="BH1019" s="420"/>
      <c r="BI1019" s="326"/>
      <c r="BJ1019" s="420"/>
      <c r="BK1019" s="420"/>
      <c r="BL1019" s="420"/>
      <c r="BM1019" s="1"/>
    </row>
    <row r="1020" spans="1:99">
      <c r="A1020" s="326"/>
      <c r="B1020" s="326"/>
      <c r="C1020" s="326"/>
      <c r="D1020" s="409"/>
      <c r="E1020" s="423"/>
      <c r="F1020" s="423"/>
      <c r="G1020" s="423"/>
      <c r="H1020" s="409"/>
      <c r="I1020" s="326"/>
      <c r="J1020" s="326"/>
      <c r="K1020" s="422"/>
      <c r="L1020" s="422"/>
      <c r="M1020" s="422"/>
      <c r="N1020" s="422"/>
      <c r="O1020" s="422"/>
      <c r="P1020" s="422"/>
      <c r="Q1020" s="422"/>
      <c r="R1020" s="326"/>
      <c r="S1020" s="326"/>
      <c r="T1020" s="326"/>
      <c r="U1020" s="326"/>
      <c r="V1020" s="326"/>
      <c r="W1020" s="326"/>
      <c r="X1020" s="326"/>
      <c r="Y1020" s="326"/>
      <c r="Z1020" s="326"/>
      <c r="AA1020" s="326"/>
      <c r="AB1020" s="326"/>
      <c r="AC1020" s="326"/>
      <c r="AD1020" s="409"/>
      <c r="AE1020" s="409"/>
      <c r="AF1020" s="409"/>
      <c r="AG1020" s="326"/>
      <c r="AH1020" s="326"/>
      <c r="AI1020" s="326"/>
      <c r="AJ1020" s="326"/>
      <c r="AK1020" s="418"/>
      <c r="AL1020" s="418"/>
      <c r="AM1020" s="418"/>
      <c r="AN1020" s="326"/>
      <c r="AO1020" s="326"/>
      <c r="AP1020" s="326"/>
      <c r="AQ1020" s="422"/>
      <c r="AR1020" s="422"/>
      <c r="AS1020" s="422"/>
      <c r="AT1020" s="422"/>
      <c r="AU1020" s="422"/>
      <c r="AV1020" s="422"/>
      <c r="AW1020" s="422"/>
      <c r="AX1020" s="326"/>
      <c r="AY1020" s="326"/>
      <c r="AZ1020" s="326"/>
      <c r="BA1020" s="326"/>
      <c r="BB1020" s="326"/>
      <c r="BC1020" s="326"/>
      <c r="BD1020" s="326"/>
      <c r="BE1020" s="326"/>
      <c r="BF1020" s="326"/>
      <c r="BG1020" s="326"/>
      <c r="BH1020" s="326"/>
      <c r="BI1020" s="326"/>
      <c r="BJ1020" s="420"/>
      <c r="BK1020" s="420"/>
      <c r="BL1020" s="420"/>
      <c r="BM1020" s="1"/>
    </row>
    <row r="1021" spans="1:99">
      <c r="A1021" s="449"/>
      <c r="B1021" s="326"/>
      <c r="C1021" s="326"/>
      <c r="D1021" s="326"/>
      <c r="E1021" s="326"/>
      <c r="F1021" s="423"/>
      <c r="G1021" s="326"/>
      <c r="H1021" s="326"/>
      <c r="I1021" s="326"/>
      <c r="J1021" s="326"/>
      <c r="K1021" s="326"/>
      <c r="L1021" s="326"/>
      <c r="M1021" s="422"/>
      <c r="N1021" s="422"/>
      <c r="O1021" s="422"/>
      <c r="P1021" s="326"/>
      <c r="Q1021" s="326"/>
      <c r="R1021" s="326"/>
      <c r="S1021" s="326"/>
      <c r="T1021" s="326"/>
      <c r="U1021" s="326"/>
      <c r="V1021" s="326"/>
      <c r="W1021" s="326"/>
      <c r="X1021" s="326"/>
      <c r="Y1021" s="409"/>
      <c r="Z1021" s="326"/>
      <c r="AA1021" s="409"/>
      <c r="AB1021" s="326"/>
      <c r="AC1021" s="409"/>
      <c r="AD1021" s="409"/>
      <c r="AE1021" s="409"/>
      <c r="AF1021" s="409"/>
      <c r="AG1021" s="436"/>
      <c r="AH1021" s="326"/>
      <c r="AI1021" s="326"/>
      <c r="AJ1021" s="326"/>
      <c r="AK1021" s="326"/>
      <c r="AL1021" s="418"/>
      <c r="AM1021" s="326"/>
      <c r="AN1021" s="326"/>
      <c r="AO1021" s="326"/>
      <c r="AP1021" s="326"/>
      <c r="AQ1021" s="326"/>
      <c r="AR1021" s="326"/>
      <c r="AS1021" s="422"/>
      <c r="AT1021" s="422"/>
      <c r="AU1021" s="422"/>
      <c r="AV1021" s="326"/>
      <c r="AW1021" s="326"/>
      <c r="AX1021" s="326"/>
      <c r="AY1021" s="326"/>
      <c r="AZ1021" s="326"/>
      <c r="BA1021" s="326"/>
      <c r="BB1021" s="326"/>
      <c r="BC1021" s="326"/>
      <c r="BD1021" s="326"/>
      <c r="BE1021" s="420"/>
      <c r="BF1021" s="326"/>
      <c r="BG1021" s="420"/>
      <c r="BH1021" s="326"/>
      <c r="BI1021" s="420"/>
      <c r="BJ1021" s="420"/>
      <c r="BK1021" s="420"/>
      <c r="BL1021" s="420"/>
      <c r="BM1021" s="1"/>
    </row>
    <row r="1022" spans="1:99">
      <c r="A1022" s="326"/>
      <c r="B1022" s="326"/>
      <c r="C1022" s="326"/>
      <c r="D1022" s="326"/>
      <c r="E1022" s="423"/>
      <c r="F1022" s="423"/>
      <c r="G1022" s="423"/>
      <c r="H1022" s="326"/>
      <c r="I1022" s="326"/>
      <c r="J1022" s="326"/>
      <c r="K1022" s="326"/>
      <c r="L1022" s="326"/>
      <c r="M1022" s="422"/>
      <c r="N1022" s="422"/>
      <c r="O1022" s="422"/>
      <c r="P1022" s="326"/>
      <c r="Q1022" s="326"/>
      <c r="R1022" s="326"/>
      <c r="S1022" s="326"/>
      <c r="T1022" s="326"/>
      <c r="U1022" s="326"/>
      <c r="V1022" s="326"/>
      <c r="W1022" s="326"/>
      <c r="X1022" s="326"/>
      <c r="Y1022" s="326"/>
      <c r="Z1022" s="326"/>
      <c r="AA1022" s="326"/>
      <c r="AB1022" s="326"/>
      <c r="AC1022" s="409"/>
      <c r="AD1022" s="409"/>
      <c r="AE1022" s="409"/>
      <c r="AF1022" s="409"/>
      <c r="AG1022" s="326"/>
      <c r="AH1022" s="326"/>
      <c r="AI1022" s="326"/>
      <c r="AJ1022" s="326"/>
      <c r="AK1022" s="418"/>
      <c r="AL1022" s="418"/>
      <c r="AM1022" s="418"/>
      <c r="AN1022" s="326"/>
      <c r="AO1022" s="326"/>
      <c r="AP1022" s="326"/>
      <c r="AQ1022" s="326"/>
      <c r="AR1022" s="326"/>
      <c r="AS1022" s="422"/>
      <c r="AT1022" s="422"/>
      <c r="AU1022" s="422"/>
      <c r="AV1022" s="326"/>
      <c r="AW1022" s="326"/>
      <c r="AX1022" s="326"/>
      <c r="AY1022" s="326"/>
      <c r="AZ1022" s="326"/>
      <c r="BA1022" s="326"/>
      <c r="BB1022" s="326"/>
      <c r="BC1022" s="326"/>
      <c r="BD1022" s="326"/>
      <c r="BE1022" s="326"/>
      <c r="BF1022" s="326"/>
      <c r="BG1022" s="326"/>
      <c r="BH1022" s="326"/>
      <c r="BI1022" s="420"/>
      <c r="BJ1022" s="420"/>
      <c r="BK1022" s="420"/>
      <c r="BL1022" s="420"/>
      <c r="BM1022" s="1"/>
    </row>
    <row r="1023" spans="1:99">
      <c r="A1023" s="328"/>
      <c r="B1023" s="328"/>
      <c r="C1023" s="328"/>
      <c r="D1023" s="328"/>
      <c r="E1023" s="328"/>
      <c r="F1023" s="328"/>
      <c r="G1023" s="328"/>
      <c r="H1023" s="328"/>
      <c r="I1023" s="328"/>
      <c r="J1023" s="328"/>
      <c r="K1023" s="328"/>
      <c r="L1023" s="328"/>
      <c r="M1023" s="328"/>
      <c r="N1023" s="328"/>
      <c r="O1023" s="328"/>
      <c r="P1023" s="328"/>
      <c r="Q1023" s="328"/>
      <c r="R1023" s="328"/>
      <c r="S1023" s="328"/>
      <c r="T1023" s="328"/>
      <c r="U1023" s="328"/>
      <c r="V1023" s="328"/>
      <c r="W1023" s="328"/>
      <c r="X1023" s="328"/>
      <c r="Y1023" s="328"/>
      <c r="Z1023" s="409"/>
      <c r="AA1023" s="328"/>
      <c r="AB1023" s="409"/>
      <c r="AC1023" s="409"/>
      <c r="AD1023" s="409"/>
      <c r="AE1023" s="409"/>
      <c r="AF1023" s="409"/>
      <c r="AG1023" s="328"/>
      <c r="AH1023" s="328"/>
      <c r="AI1023" s="328"/>
      <c r="AJ1023" s="328"/>
      <c r="AK1023" s="328"/>
      <c r="AL1023" s="328"/>
      <c r="AM1023" s="328"/>
      <c r="AN1023" s="328"/>
      <c r="AO1023" s="328"/>
      <c r="AP1023" s="328"/>
      <c r="AQ1023" s="328"/>
      <c r="AR1023" s="328"/>
      <c r="AS1023" s="328"/>
      <c r="AT1023" s="328"/>
      <c r="AU1023" s="328"/>
      <c r="AV1023" s="328"/>
      <c r="AW1023" s="328"/>
      <c r="AX1023" s="328"/>
      <c r="AY1023" s="328"/>
      <c r="AZ1023" s="328"/>
      <c r="BA1023" s="328"/>
      <c r="BB1023" s="328"/>
      <c r="BC1023" s="328"/>
      <c r="BD1023" s="328"/>
      <c r="BE1023" s="328"/>
      <c r="BF1023" s="420"/>
      <c r="BG1023" s="328"/>
      <c r="BH1023" s="420"/>
      <c r="BI1023" s="420"/>
      <c r="BJ1023" s="420"/>
      <c r="BK1023" s="420"/>
      <c r="BL1023" s="420"/>
      <c r="BM1023" s="540"/>
    </row>
    <row r="1024" spans="1:99">
      <c r="A1024" s="559"/>
      <c r="B1024" s="559"/>
      <c r="C1024" s="559"/>
      <c r="D1024" s="559"/>
      <c r="E1024" s="559"/>
      <c r="F1024" s="559"/>
      <c r="G1024" s="559"/>
      <c r="H1024" s="559"/>
      <c r="I1024" s="559"/>
      <c r="J1024" s="559"/>
      <c r="K1024" s="559"/>
      <c r="L1024" s="559"/>
      <c r="M1024" s="559"/>
      <c r="N1024" s="559"/>
      <c r="O1024" s="559"/>
      <c r="P1024" s="559"/>
      <c r="Q1024" s="559"/>
      <c r="R1024" s="559"/>
      <c r="S1024" s="559"/>
      <c r="T1024" s="559"/>
      <c r="U1024" s="559"/>
      <c r="V1024" s="559"/>
      <c r="W1024" s="559"/>
      <c r="X1024" s="559"/>
      <c r="Y1024" s="559"/>
      <c r="Z1024" s="559"/>
      <c r="AA1024" s="559"/>
      <c r="AB1024" s="559"/>
      <c r="AC1024" s="559"/>
      <c r="AD1024" s="559"/>
      <c r="AE1024" s="559"/>
      <c r="AF1024" s="559"/>
      <c r="AG1024" s="572"/>
      <c r="AH1024" s="572"/>
      <c r="AI1024" s="572"/>
      <c r="AJ1024" s="572"/>
      <c r="AK1024" s="572"/>
      <c r="AL1024" s="572"/>
      <c r="AM1024" s="572"/>
      <c r="AN1024" s="572"/>
      <c r="AO1024" s="572"/>
      <c r="AP1024" s="572"/>
      <c r="AQ1024" s="572"/>
      <c r="AR1024" s="572"/>
      <c r="AS1024" s="572"/>
      <c r="AT1024" s="572"/>
      <c r="AU1024" s="572"/>
      <c r="AV1024" s="572"/>
      <c r="AW1024" s="572"/>
      <c r="AX1024" s="572"/>
      <c r="AY1024" s="572"/>
      <c r="AZ1024" s="572"/>
      <c r="BA1024" s="572"/>
      <c r="BB1024" s="572"/>
      <c r="BC1024" s="572"/>
      <c r="BD1024" s="572"/>
      <c r="BE1024" s="572"/>
      <c r="BF1024" s="572"/>
      <c r="BG1024" s="572"/>
      <c r="BH1024" s="572"/>
      <c r="BI1024" s="572"/>
      <c r="BJ1024" s="572"/>
      <c r="BK1024" s="572"/>
      <c r="BL1024" s="572"/>
      <c r="BM1024" s="176"/>
      <c r="BN1024" s="73"/>
      <c r="BO1024" s="73"/>
      <c r="BP1024" s="73"/>
      <c r="BQ1024" s="73"/>
      <c r="BR1024" s="73"/>
    </row>
    <row r="1025" spans="1:100">
      <c r="A1025" s="319"/>
      <c r="B1025" s="319"/>
      <c r="C1025" s="319"/>
      <c r="D1025" s="319"/>
      <c r="E1025" s="319"/>
      <c r="F1025" s="319"/>
      <c r="G1025" s="319"/>
      <c r="H1025" s="319"/>
      <c r="I1025" s="322"/>
      <c r="J1025" s="322"/>
      <c r="K1025" s="322"/>
      <c r="L1025" s="322"/>
      <c r="M1025" s="322"/>
      <c r="N1025" s="322"/>
      <c r="O1025" s="322"/>
      <c r="P1025" s="322"/>
      <c r="Q1025" s="322"/>
      <c r="R1025" s="322"/>
      <c r="S1025" s="322"/>
      <c r="T1025" s="322"/>
      <c r="U1025" s="322"/>
      <c r="V1025" s="322"/>
      <c r="W1025" s="322"/>
      <c r="X1025" s="322"/>
      <c r="Y1025" s="322"/>
      <c r="Z1025" s="322"/>
      <c r="AA1025" s="322"/>
      <c r="AB1025" s="322"/>
      <c r="AC1025" s="322"/>
      <c r="AD1025" s="322"/>
      <c r="AE1025" s="322"/>
      <c r="AF1025" s="585"/>
      <c r="AG1025" s="319"/>
      <c r="AH1025" s="319"/>
      <c r="AI1025" s="319"/>
      <c r="AJ1025" s="319"/>
      <c r="AK1025" s="319"/>
      <c r="AL1025" s="319"/>
      <c r="AM1025" s="319"/>
      <c r="AN1025" s="319"/>
      <c r="AO1025" s="322"/>
      <c r="AP1025" s="322"/>
      <c r="AQ1025" s="322"/>
      <c r="AR1025" s="322"/>
      <c r="AS1025" s="322"/>
      <c r="AT1025" s="322"/>
      <c r="AU1025" s="322"/>
      <c r="AV1025" s="322"/>
      <c r="AW1025" s="322"/>
      <c r="AX1025" s="322"/>
      <c r="AY1025" s="322"/>
      <c r="AZ1025" s="322"/>
      <c r="BA1025" s="322"/>
      <c r="BB1025" s="322"/>
      <c r="BC1025" s="322"/>
      <c r="BD1025" s="322"/>
      <c r="BE1025" s="322"/>
      <c r="BF1025" s="322"/>
      <c r="BG1025" s="322"/>
      <c r="BH1025" s="322"/>
      <c r="BI1025" s="322"/>
      <c r="BJ1025" s="322"/>
      <c r="BK1025" s="322"/>
      <c r="BL1025" s="564"/>
      <c r="BM1025" s="167">
        <v>33</v>
      </c>
      <c r="BN1025" s="39"/>
      <c r="BO1025" s="39"/>
      <c r="BP1025" s="39"/>
      <c r="BQ1025" s="39"/>
      <c r="BR1025" s="39"/>
      <c r="BS1025" s="39"/>
      <c r="BT1025" s="39"/>
      <c r="BU1025" s="39"/>
      <c r="BV1025" s="39"/>
      <c r="BW1025" s="181"/>
      <c r="BX1025" s="181"/>
      <c r="BY1025" s="181"/>
      <c r="BZ1025" s="181"/>
      <c r="CA1025" s="181"/>
      <c r="CB1025" s="181"/>
      <c r="CC1025" s="181"/>
      <c r="CD1025" s="181"/>
      <c r="CE1025" s="181"/>
      <c r="CF1025" s="181"/>
      <c r="CG1025" s="181"/>
      <c r="CH1025" s="181"/>
      <c r="CI1025" s="181"/>
      <c r="CJ1025" s="181"/>
      <c r="CK1025" s="181"/>
      <c r="CL1025" s="181"/>
      <c r="CM1025" s="181"/>
      <c r="CN1025" s="181"/>
      <c r="CO1025" s="181"/>
      <c r="CP1025" s="181"/>
      <c r="CQ1025" s="181"/>
      <c r="CR1025" s="181"/>
      <c r="CS1025" s="197"/>
    </row>
    <row r="1026" spans="1:100">
      <c r="A1026" s="319"/>
      <c r="B1026" s="319"/>
      <c r="C1026" s="319"/>
      <c r="D1026" s="319"/>
      <c r="E1026" s="319"/>
      <c r="F1026" s="319"/>
      <c r="G1026" s="319"/>
      <c r="H1026" s="319"/>
      <c r="I1026" s="322"/>
      <c r="J1026" s="322"/>
      <c r="K1026" s="322"/>
      <c r="L1026" s="322"/>
      <c r="M1026" s="322"/>
      <c r="N1026" s="322"/>
      <c r="O1026" s="322"/>
      <c r="P1026" s="322"/>
      <c r="Q1026" s="322"/>
      <c r="R1026" s="322"/>
      <c r="S1026" s="322"/>
      <c r="T1026" s="322"/>
      <c r="U1026" s="322"/>
      <c r="V1026" s="322"/>
      <c r="W1026" s="322"/>
      <c r="X1026" s="410"/>
      <c r="Y1026" s="322"/>
      <c r="Z1026" s="322"/>
      <c r="AA1026" s="322"/>
      <c r="AB1026" s="322"/>
      <c r="AC1026" s="322"/>
      <c r="AD1026" s="322"/>
      <c r="AE1026" s="322"/>
      <c r="AF1026" s="585"/>
      <c r="AG1026" s="319"/>
      <c r="AH1026" s="319"/>
      <c r="AI1026" s="319"/>
      <c r="AJ1026" s="319"/>
      <c r="AK1026" s="319"/>
      <c r="AL1026" s="319"/>
      <c r="AM1026" s="319"/>
      <c r="AN1026" s="319"/>
      <c r="AO1026" s="322"/>
      <c r="AP1026" s="322"/>
      <c r="AQ1026" s="322"/>
      <c r="AR1026" s="322"/>
      <c r="AS1026" s="322"/>
      <c r="AT1026" s="322"/>
      <c r="AU1026" s="322"/>
      <c r="AV1026" s="322"/>
      <c r="AW1026" s="322"/>
      <c r="AX1026" s="322"/>
      <c r="AY1026" s="322"/>
      <c r="AZ1026" s="322"/>
      <c r="BA1026" s="322"/>
      <c r="BB1026" s="322"/>
      <c r="BC1026" s="322"/>
      <c r="BD1026" s="410"/>
      <c r="BE1026" s="322"/>
      <c r="BF1026" s="322"/>
      <c r="BG1026" s="322"/>
      <c r="BH1026" s="322"/>
      <c r="BI1026" s="322"/>
      <c r="BJ1026" s="322"/>
      <c r="BK1026" s="322"/>
      <c r="BL1026" s="564"/>
      <c r="BM1026" s="156"/>
      <c r="BN1026" s="39"/>
      <c r="BO1026" s="2"/>
      <c r="BP1026" s="2"/>
      <c r="BQ1026" s="2"/>
      <c r="BR1026" s="2"/>
      <c r="BS1026" s="2"/>
      <c r="BT1026" s="2"/>
      <c r="BU1026" s="2"/>
      <c r="BV1026" s="2"/>
      <c r="BW1026" s="2"/>
      <c r="BX1026" s="2"/>
      <c r="BY1026" s="2"/>
      <c r="BZ1026" s="2"/>
      <c r="CA1026" s="2"/>
      <c r="CB1026" s="2"/>
      <c r="CC1026" s="2"/>
      <c r="CD1026" s="2"/>
      <c r="CE1026" s="2"/>
      <c r="CF1026" s="2"/>
      <c r="CG1026" s="2"/>
      <c r="CH1026" s="2"/>
      <c r="CI1026" s="2"/>
      <c r="CJ1026" s="2"/>
      <c r="CK1026" s="2"/>
      <c r="CL1026" s="2"/>
      <c r="CM1026" s="2"/>
      <c r="CN1026" s="2"/>
      <c r="CO1026" s="2"/>
      <c r="CP1026" s="2"/>
      <c r="CQ1026" s="2"/>
      <c r="CR1026" s="2"/>
      <c r="CS1026" s="196"/>
    </row>
    <row r="1027" spans="1:100">
      <c r="A1027" s="319"/>
      <c r="B1027" s="319"/>
      <c r="C1027" s="319"/>
      <c r="D1027" s="319"/>
      <c r="E1027" s="410"/>
      <c r="F1027" s="319"/>
      <c r="G1027" s="319"/>
      <c r="H1027" s="319"/>
      <c r="I1027" s="322"/>
      <c r="J1027" s="322"/>
      <c r="K1027" s="322"/>
      <c r="L1027" s="322"/>
      <c r="M1027" s="322"/>
      <c r="N1027" s="322"/>
      <c r="O1027" s="322"/>
      <c r="P1027" s="322"/>
      <c r="Q1027" s="322"/>
      <c r="R1027" s="322"/>
      <c r="S1027" s="322"/>
      <c r="T1027" s="322"/>
      <c r="U1027" s="322"/>
      <c r="V1027" s="322"/>
      <c r="W1027" s="322"/>
      <c r="X1027" s="410"/>
      <c r="Y1027" s="322"/>
      <c r="Z1027" s="322"/>
      <c r="AA1027" s="322"/>
      <c r="AB1027" s="322"/>
      <c r="AC1027" s="322"/>
      <c r="AD1027" s="322"/>
      <c r="AE1027" s="322"/>
      <c r="AF1027" s="585"/>
      <c r="AG1027" s="319"/>
      <c r="AH1027" s="319"/>
      <c r="AI1027" s="319"/>
      <c r="AJ1027" s="319"/>
      <c r="AK1027" s="410"/>
      <c r="AL1027" s="319"/>
      <c r="AM1027" s="319"/>
      <c r="AN1027" s="319"/>
      <c r="AO1027" s="322"/>
      <c r="AP1027" s="322"/>
      <c r="AQ1027" s="322"/>
      <c r="AR1027" s="322"/>
      <c r="AS1027" s="322"/>
      <c r="AT1027" s="322"/>
      <c r="AU1027" s="322"/>
      <c r="AV1027" s="322"/>
      <c r="AW1027" s="322"/>
      <c r="AX1027" s="322"/>
      <c r="AY1027" s="322"/>
      <c r="AZ1027" s="322"/>
      <c r="BA1027" s="322"/>
      <c r="BB1027" s="322"/>
      <c r="BC1027" s="322"/>
      <c r="BD1027" s="410"/>
      <c r="BE1027" s="322"/>
      <c r="BF1027" s="322"/>
      <c r="BG1027" s="322"/>
      <c r="BH1027" s="322"/>
      <c r="BI1027" s="322"/>
      <c r="BJ1027" s="322"/>
      <c r="BK1027" s="322"/>
      <c r="BL1027" s="564"/>
      <c r="BM1027" s="1"/>
      <c r="CV1027">
        <v>2</v>
      </c>
    </row>
    <row r="1028" spans="1:100">
      <c r="A1028" s="438"/>
      <c r="B1028" s="438"/>
      <c r="C1028" s="438"/>
      <c r="D1028" s="438"/>
      <c r="E1028" s="438"/>
      <c r="F1028" s="438"/>
      <c r="G1028" s="438"/>
      <c r="H1028" s="438"/>
      <c r="I1028" s="438"/>
      <c r="J1028" s="445"/>
      <c r="K1028" s="445"/>
      <c r="L1028" s="445"/>
      <c r="M1028" s="445"/>
      <c r="N1028" s="445"/>
      <c r="O1028" s="445"/>
      <c r="P1028" s="445"/>
      <c r="Q1028" s="445"/>
      <c r="R1028" s="445"/>
      <c r="S1028" s="445"/>
      <c r="T1028" s="445"/>
      <c r="U1028" s="445"/>
      <c r="V1028" s="445"/>
      <c r="W1028" s="445"/>
      <c r="X1028" s="445"/>
      <c r="Y1028" s="445"/>
      <c r="Z1028" s="445"/>
      <c r="AA1028" s="445"/>
      <c r="AB1028" s="445"/>
      <c r="AC1028" s="445"/>
      <c r="AD1028" s="445"/>
      <c r="AE1028" s="445"/>
      <c r="AF1028" s="445"/>
      <c r="AG1028" s="635"/>
      <c r="AH1028" s="635"/>
      <c r="AI1028" s="635"/>
      <c r="AJ1028" s="635"/>
      <c r="AK1028" s="635"/>
      <c r="AL1028" s="635"/>
      <c r="AM1028" s="635"/>
      <c r="AN1028" s="635"/>
      <c r="AO1028" s="635"/>
      <c r="AP1028" s="549"/>
      <c r="AQ1028" s="549"/>
      <c r="AR1028" s="549"/>
      <c r="AS1028" s="549"/>
      <c r="AT1028" s="549"/>
      <c r="AU1028" s="549"/>
      <c r="AV1028" s="549"/>
      <c r="AW1028" s="549"/>
      <c r="AX1028" s="549"/>
      <c r="AY1028" s="549"/>
      <c r="AZ1028" s="549"/>
      <c r="BA1028" s="549"/>
      <c r="BB1028" s="549"/>
      <c r="BC1028" s="549"/>
      <c r="BD1028" s="549"/>
      <c r="BE1028" s="549"/>
      <c r="BF1028" s="549"/>
      <c r="BG1028" s="549"/>
      <c r="BH1028" s="549"/>
      <c r="BI1028" s="549"/>
      <c r="BJ1028" s="549"/>
      <c r="BK1028" s="549"/>
      <c r="BL1028" s="636"/>
      <c r="BM1028" s="1"/>
      <c r="CV1028">
        <v>2</v>
      </c>
    </row>
    <row r="1029" spans="1:100">
      <c r="A1029" s="452"/>
      <c r="B1029" s="452"/>
      <c r="C1029" s="452"/>
      <c r="D1029" s="452"/>
      <c r="E1029" s="452"/>
      <c r="F1029" s="452"/>
      <c r="G1029" s="452"/>
      <c r="H1029" s="452"/>
      <c r="I1029" s="452"/>
      <c r="J1029" s="452"/>
      <c r="K1029" s="452"/>
      <c r="L1029" s="452"/>
      <c r="M1029" s="452"/>
      <c r="N1029" s="452"/>
      <c r="O1029" s="452"/>
      <c r="P1029" s="452"/>
      <c r="Q1029" s="452"/>
      <c r="R1029" s="452"/>
      <c r="S1029" s="452"/>
      <c r="T1029" s="452"/>
      <c r="U1029" s="452"/>
      <c r="V1029" s="452"/>
      <c r="W1029" s="452"/>
      <c r="X1029" s="452"/>
      <c r="Y1029" s="452"/>
      <c r="Z1029" s="452"/>
      <c r="AA1029" s="452"/>
      <c r="AB1029" s="452"/>
      <c r="AC1029" s="452"/>
      <c r="AD1029" s="452"/>
      <c r="AE1029" s="452"/>
      <c r="AF1029" s="452"/>
      <c r="AG1029" s="571"/>
      <c r="AH1029" s="571"/>
      <c r="AI1029" s="571"/>
      <c r="AJ1029" s="571"/>
      <c r="AK1029" s="571"/>
      <c r="AL1029" s="571"/>
      <c r="AM1029" s="571"/>
      <c r="AN1029" s="571"/>
      <c r="AO1029" s="601"/>
      <c r="AP1029" s="601"/>
      <c r="AQ1029" s="601"/>
      <c r="AR1029" s="601"/>
      <c r="AS1029" s="601"/>
      <c r="AT1029" s="601"/>
      <c r="AU1029" s="601"/>
      <c r="AV1029" s="601"/>
      <c r="AW1029" s="601"/>
      <c r="AX1029" s="601"/>
      <c r="AY1029" s="601"/>
      <c r="AZ1029" s="601"/>
      <c r="BA1029" s="601"/>
      <c r="BB1029" s="601"/>
      <c r="BC1029" s="601"/>
      <c r="BD1029" s="601"/>
      <c r="BE1029" s="601"/>
      <c r="BF1029" s="601"/>
      <c r="BG1029" s="601"/>
      <c r="BH1029" s="601"/>
      <c r="BI1029" s="601"/>
      <c r="BJ1029" s="601"/>
      <c r="BK1029" s="601"/>
      <c r="BL1029" s="637"/>
      <c r="BM1029" s="1"/>
      <c r="BN1029" s="39"/>
      <c r="BO1029" s="2"/>
      <c r="BP1029" s="2"/>
      <c r="BQ1029" s="2"/>
      <c r="BR1029" s="179"/>
      <c r="BS1029" s="179"/>
      <c r="BT1029" s="179"/>
      <c r="BU1029" s="179"/>
      <c r="BV1029" s="179"/>
      <c r="BW1029" s="179"/>
      <c r="BX1029" s="2"/>
      <c r="BY1029" s="178"/>
      <c r="BZ1029" s="178"/>
      <c r="CA1029" s="178"/>
      <c r="CB1029" s="178"/>
      <c r="CC1029" s="178"/>
      <c r="CD1029" s="178"/>
      <c r="CE1029" s="178"/>
      <c r="CF1029" s="178"/>
      <c r="CG1029" s="178"/>
      <c r="CH1029" s="178"/>
      <c r="CI1029" s="2"/>
      <c r="CJ1029" s="179"/>
      <c r="CK1029" s="179"/>
      <c r="CL1029" s="179"/>
      <c r="CM1029" s="179"/>
      <c r="CN1029" s="179"/>
      <c r="CO1029" s="179"/>
      <c r="CP1029" s="2"/>
      <c r="CQ1029" s="2"/>
      <c r="CR1029" s="2"/>
      <c r="CS1029" s="196"/>
    </row>
    <row r="1030" spans="1:100">
      <c r="A1030" s="319"/>
      <c r="B1030" s="319"/>
      <c r="C1030" s="319"/>
      <c r="D1030" s="319"/>
      <c r="E1030" s="410"/>
      <c r="F1030" s="319"/>
      <c r="G1030" s="319"/>
      <c r="H1030" s="319"/>
      <c r="I1030" s="322"/>
      <c r="J1030" s="322"/>
      <c r="K1030" s="322"/>
      <c r="L1030" s="322"/>
      <c r="M1030" s="322"/>
      <c r="N1030" s="322"/>
      <c r="O1030" s="322"/>
      <c r="P1030" s="322"/>
      <c r="Q1030" s="322"/>
      <c r="R1030" s="322"/>
      <c r="S1030" s="322"/>
      <c r="T1030" s="322"/>
      <c r="U1030" s="322"/>
      <c r="V1030" s="322"/>
      <c r="W1030" s="322"/>
      <c r="X1030" s="410"/>
      <c r="Y1030" s="322"/>
      <c r="Z1030" s="322"/>
      <c r="AA1030" s="322"/>
      <c r="AB1030" s="322"/>
      <c r="AC1030" s="322"/>
      <c r="AD1030" s="322"/>
      <c r="AE1030" s="322"/>
      <c r="AF1030" s="585"/>
      <c r="AG1030" s="319"/>
      <c r="AH1030" s="319"/>
      <c r="AI1030" s="319"/>
      <c r="AJ1030" s="319"/>
      <c r="AK1030" s="410"/>
      <c r="AL1030" s="319"/>
      <c r="AM1030" s="319"/>
      <c r="AN1030" s="319"/>
      <c r="AO1030" s="322"/>
      <c r="AP1030" s="322"/>
      <c r="AQ1030" s="322"/>
      <c r="AR1030" s="322"/>
      <c r="AS1030" s="322"/>
      <c r="AT1030" s="322"/>
      <c r="AU1030" s="322"/>
      <c r="AV1030" s="322"/>
      <c r="AW1030" s="322"/>
      <c r="AX1030" s="322"/>
      <c r="AY1030" s="322"/>
      <c r="AZ1030" s="322"/>
      <c r="BA1030" s="322"/>
      <c r="BB1030" s="322"/>
      <c r="BC1030" s="322"/>
      <c r="BD1030" s="410"/>
      <c r="BE1030" s="322"/>
      <c r="BF1030" s="322"/>
      <c r="BG1030" s="322"/>
      <c r="BH1030" s="322"/>
      <c r="BI1030" s="322"/>
      <c r="BJ1030" s="322"/>
      <c r="BK1030" s="322"/>
      <c r="BL1030" s="564"/>
      <c r="BM1030" s="1">
        <v>3</v>
      </c>
      <c r="BN1030" s="180"/>
      <c r="BO1030" s="2"/>
      <c r="BP1030" s="2"/>
      <c r="BQ1030" s="2"/>
      <c r="BR1030" s="181"/>
      <c r="BS1030" s="181"/>
      <c r="BT1030" s="181"/>
      <c r="BU1030" s="181"/>
      <c r="BV1030" s="180"/>
      <c r="BW1030" s="180"/>
      <c r="BX1030" s="2"/>
      <c r="BY1030" s="178"/>
      <c r="BZ1030" s="14"/>
      <c r="CA1030" s="18"/>
      <c r="CB1030" s="17"/>
      <c r="CC1030" s="178"/>
      <c r="CD1030" s="178"/>
      <c r="CE1030" s="28"/>
      <c r="CF1030" s="29"/>
      <c r="CG1030" s="5"/>
      <c r="CH1030" s="181"/>
      <c r="CI1030" s="2"/>
      <c r="CJ1030" s="181"/>
      <c r="CK1030" s="181"/>
      <c r="CL1030" s="181"/>
      <c r="CM1030" s="180"/>
      <c r="CN1030" s="180"/>
      <c r="CO1030" s="180"/>
      <c r="CP1030" s="2"/>
      <c r="CQ1030" s="2"/>
      <c r="CR1030" s="2"/>
      <c r="CS1030" s="196"/>
    </row>
    <row r="1031" spans="1:100">
      <c r="A1031" s="319"/>
      <c r="B1031" s="319"/>
      <c r="C1031" s="319"/>
      <c r="D1031" s="319"/>
      <c r="E1031" s="410"/>
      <c r="F1031" s="319"/>
      <c r="G1031" s="319"/>
      <c r="H1031" s="319"/>
      <c r="I1031" s="322"/>
      <c r="J1031" s="322"/>
      <c r="K1031" s="322"/>
      <c r="L1031" s="322"/>
      <c r="M1031" s="322"/>
      <c r="N1031" s="322"/>
      <c r="O1031" s="322"/>
      <c r="P1031" s="410"/>
      <c r="Q1031" s="322"/>
      <c r="R1031" s="322"/>
      <c r="S1031" s="322"/>
      <c r="T1031" s="322"/>
      <c r="U1031" s="322"/>
      <c r="V1031" s="322"/>
      <c r="W1031" s="322"/>
      <c r="X1031" s="410"/>
      <c r="Y1031" s="322"/>
      <c r="Z1031" s="322"/>
      <c r="AA1031" s="322"/>
      <c r="AB1031" s="322"/>
      <c r="AC1031" s="322"/>
      <c r="AD1031" s="322"/>
      <c r="AE1031" s="322"/>
      <c r="AF1031" s="585"/>
      <c r="AG1031" s="319"/>
      <c r="AH1031" s="319"/>
      <c r="AI1031" s="319"/>
      <c r="AJ1031" s="319"/>
      <c r="AK1031" s="410"/>
      <c r="AL1031" s="319"/>
      <c r="AM1031" s="319"/>
      <c r="AN1031" s="319"/>
      <c r="AO1031" s="322"/>
      <c r="AP1031" s="322"/>
      <c r="AQ1031" s="322"/>
      <c r="AR1031" s="322"/>
      <c r="AS1031" s="322"/>
      <c r="AT1031" s="322"/>
      <c r="AU1031" s="322"/>
      <c r="AV1031" s="410"/>
      <c r="AW1031" s="322"/>
      <c r="AX1031" s="322"/>
      <c r="AY1031" s="322"/>
      <c r="AZ1031" s="322"/>
      <c r="BA1031" s="322"/>
      <c r="BB1031" s="322"/>
      <c r="BC1031" s="322"/>
      <c r="BD1031" s="410"/>
      <c r="BE1031" s="322"/>
      <c r="BF1031" s="322"/>
      <c r="BG1031" s="322"/>
      <c r="BH1031" s="322"/>
      <c r="BI1031" s="322"/>
      <c r="BJ1031" s="322"/>
      <c r="BK1031" s="322"/>
      <c r="BL1031" s="564"/>
      <c r="BM1031" s="1"/>
      <c r="BN1031" s="180"/>
      <c r="BO1031" s="2"/>
      <c r="BP1031" s="2"/>
      <c r="BQ1031" s="2"/>
      <c r="BR1031" s="189"/>
      <c r="BS1031" s="189"/>
      <c r="BT1031" s="189"/>
      <c r="BU1031" s="97"/>
      <c r="BV1031" s="97"/>
      <c r="BW1031" s="159"/>
      <c r="BX1031" s="2"/>
      <c r="BY1031" s="178"/>
      <c r="BZ1031" s="181"/>
      <c r="CA1031" s="181"/>
      <c r="CB1031" s="181"/>
      <c r="CC1031" s="181"/>
      <c r="CD1031" s="181"/>
      <c r="CE1031" s="181"/>
      <c r="CF1031" s="181"/>
      <c r="CG1031" s="181"/>
      <c r="CH1031" s="181"/>
      <c r="CI1031" s="2"/>
      <c r="CJ1031" s="189"/>
      <c r="CK1031" s="97"/>
      <c r="CL1031" s="97"/>
      <c r="CM1031" s="97"/>
      <c r="CN1031" s="159"/>
      <c r="CO1031" s="159"/>
      <c r="CP1031" s="2"/>
      <c r="CQ1031" s="2"/>
      <c r="CR1031" s="2"/>
      <c r="CS1031" s="196"/>
    </row>
    <row r="1032" spans="1:100">
      <c r="BM1032" s="1"/>
      <c r="BN1032" s="180"/>
      <c r="BO1032" s="2"/>
      <c r="BP1032" s="2"/>
      <c r="BQ1032" s="2"/>
      <c r="BR1032" s="102"/>
      <c r="BS1032" s="102"/>
      <c r="BT1032" s="102"/>
      <c r="BU1032" s="102"/>
      <c r="BV1032" s="102"/>
      <c r="BW1032" s="102"/>
      <c r="BX1032" s="2"/>
      <c r="BY1032" s="2"/>
      <c r="BZ1032" s="2"/>
      <c r="CA1032" s="2"/>
      <c r="CB1032" s="2"/>
      <c r="CC1032" s="2"/>
      <c r="CD1032" s="2"/>
      <c r="CE1032" s="2"/>
      <c r="CF1032" s="2"/>
      <c r="CG1032" s="2"/>
      <c r="CH1032" s="2"/>
      <c r="CI1032" s="2"/>
      <c r="CJ1032" s="102"/>
      <c r="CK1032" s="102"/>
      <c r="CL1032" s="102"/>
      <c r="CM1032" s="98"/>
      <c r="CN1032" s="98"/>
      <c r="CO1032" s="98"/>
      <c r="CP1032" s="2"/>
      <c r="CQ1032" s="2"/>
      <c r="CR1032" s="2"/>
      <c r="CS1032" s="196"/>
      <c r="CT1032">
        <v>7</v>
      </c>
      <c r="CU1032">
        <v>7</v>
      </c>
    </row>
    <row r="1033" spans="1:100">
      <c r="BM1033" s="1"/>
      <c r="BN1033" s="180"/>
      <c r="BO1033" s="2"/>
      <c r="BP1033" s="2"/>
      <c r="BQ1033" s="2"/>
      <c r="BR1033" s="179"/>
      <c r="BS1033" s="179"/>
      <c r="BT1033" s="179"/>
      <c r="BU1033" s="179"/>
      <c r="BV1033" s="179"/>
      <c r="BW1033" s="179"/>
      <c r="BX1033" s="2"/>
      <c r="BY1033" s="2"/>
      <c r="BZ1033" s="2"/>
      <c r="CA1033" s="2"/>
      <c r="CB1033" s="2"/>
      <c r="CC1033" s="2"/>
      <c r="CD1033" s="2"/>
      <c r="CE1033" s="2"/>
      <c r="CF1033" s="2"/>
      <c r="CG1033" s="2"/>
      <c r="CH1033" s="2"/>
      <c r="CI1033" s="2"/>
      <c r="CJ1033" s="179"/>
      <c r="CK1033" s="179"/>
      <c r="CL1033" s="179"/>
      <c r="CM1033" s="179"/>
      <c r="CN1033" s="179"/>
      <c r="CO1033" s="179"/>
      <c r="CP1033" s="2"/>
      <c r="CQ1033" s="2"/>
      <c r="CR1033" s="2"/>
      <c r="CS1033" s="196"/>
      <c r="CT1033">
        <v>7</v>
      </c>
      <c r="CU1033">
        <v>7</v>
      </c>
    </row>
    <row r="1034" spans="1:100">
      <c r="BM1034" s="1"/>
      <c r="BN1034" s="180"/>
      <c r="BO1034" s="2"/>
      <c r="BP1034" s="2"/>
      <c r="BQ1034" s="2"/>
      <c r="BR1034" s="181"/>
      <c r="BS1034" s="181"/>
      <c r="BT1034" s="180"/>
      <c r="BU1034" s="180"/>
      <c r="BV1034" s="180"/>
      <c r="BW1034" s="180"/>
      <c r="BX1034" s="2"/>
      <c r="BY1034" s="2"/>
      <c r="BZ1034" s="2"/>
      <c r="CA1034" s="2"/>
      <c r="CB1034" s="2"/>
      <c r="CC1034" s="2"/>
      <c r="CD1034" s="2"/>
      <c r="CE1034" s="2"/>
      <c r="CF1034" s="2"/>
      <c r="CG1034" s="2"/>
      <c r="CH1034" s="92"/>
      <c r="CI1034" s="92"/>
      <c r="CJ1034" s="181"/>
      <c r="CK1034" s="180"/>
      <c r="CL1034" s="180"/>
      <c r="CM1034" s="180"/>
      <c r="CN1034" s="180"/>
      <c r="CO1034" s="180"/>
      <c r="CP1034" s="2"/>
      <c r="CQ1034" s="2"/>
      <c r="CR1034" s="2"/>
      <c r="CS1034" s="196"/>
      <c r="CT1034">
        <v>7</v>
      </c>
      <c r="CU1034">
        <v>7</v>
      </c>
    </row>
    <row r="1035" spans="1:100">
      <c r="BM1035" s="1"/>
      <c r="BN1035" s="180"/>
      <c r="BO1035" s="2"/>
      <c r="BP1035" s="2"/>
      <c r="BQ1035" s="2"/>
      <c r="BR1035" s="297"/>
      <c r="BS1035" s="178"/>
      <c r="BT1035" s="297"/>
      <c r="BU1035" s="297"/>
      <c r="BV1035" s="178"/>
      <c r="BW1035" s="297"/>
      <c r="BX1035" s="2"/>
      <c r="BY1035" s="2"/>
      <c r="BZ1035" s="2"/>
      <c r="CA1035" s="2"/>
      <c r="CB1035" s="2"/>
      <c r="CC1035" s="2"/>
      <c r="CD1035" s="2"/>
      <c r="CE1035" s="2"/>
      <c r="CF1035" s="2"/>
      <c r="CG1035" s="2"/>
      <c r="CH1035" s="92"/>
      <c r="CI1035" s="92"/>
      <c r="CJ1035" s="297"/>
      <c r="CK1035" s="178"/>
      <c r="CL1035" s="297"/>
      <c r="CM1035" s="297"/>
      <c r="CN1035" s="178"/>
      <c r="CO1035" s="297"/>
      <c r="CP1035" s="2"/>
      <c r="CQ1035" s="2"/>
      <c r="CR1035" s="2"/>
      <c r="CS1035" s="196"/>
      <c r="CT1035">
        <v>7</v>
      </c>
      <c r="CU1035">
        <v>7</v>
      </c>
    </row>
    <row r="1036" spans="1:100">
      <c r="A1036" s="319"/>
      <c r="B1036" s="319"/>
      <c r="C1036" s="319"/>
      <c r="D1036" s="319"/>
      <c r="E1036" s="319"/>
      <c r="F1036" s="319"/>
      <c r="G1036" s="319"/>
      <c r="H1036" s="319"/>
      <c r="I1036" s="322"/>
      <c r="J1036" s="322"/>
      <c r="K1036" s="322"/>
      <c r="L1036" s="322"/>
      <c r="M1036" s="322"/>
      <c r="N1036" s="322"/>
      <c r="O1036" s="322"/>
      <c r="P1036" s="410"/>
      <c r="Q1036" s="322"/>
      <c r="R1036" s="322"/>
      <c r="S1036" s="322"/>
      <c r="T1036" s="322"/>
      <c r="U1036" s="322"/>
      <c r="V1036" s="322"/>
      <c r="W1036" s="322"/>
      <c r="X1036" s="410"/>
      <c r="Y1036" s="322"/>
      <c r="Z1036" s="322"/>
      <c r="AA1036" s="322"/>
      <c r="AB1036" s="322"/>
      <c r="AC1036" s="322"/>
      <c r="AD1036" s="322"/>
      <c r="AE1036" s="322"/>
      <c r="AF1036" s="585"/>
      <c r="AG1036" s="319"/>
      <c r="AH1036" s="319"/>
      <c r="AI1036" s="319"/>
      <c r="AJ1036" s="319"/>
      <c r="AK1036" s="319"/>
      <c r="AL1036" s="319"/>
      <c r="AM1036" s="319"/>
      <c r="AN1036" s="319"/>
      <c r="AO1036" s="322"/>
      <c r="AP1036" s="322"/>
      <c r="AQ1036" s="322"/>
      <c r="AR1036" s="322"/>
      <c r="AS1036" s="322"/>
      <c r="AT1036" s="322"/>
      <c r="AU1036" s="322"/>
      <c r="AV1036" s="410"/>
      <c r="AW1036" s="322"/>
      <c r="AX1036" s="322"/>
      <c r="AY1036" s="322"/>
      <c r="AZ1036" s="322"/>
      <c r="BA1036" s="322"/>
      <c r="BB1036" s="322"/>
      <c r="BC1036" s="322"/>
      <c r="BD1036" s="410"/>
      <c r="BE1036" s="322"/>
      <c r="BF1036" s="322"/>
      <c r="BG1036" s="322"/>
      <c r="BH1036" s="322"/>
      <c r="BI1036" s="322"/>
      <c r="BJ1036" s="322"/>
      <c r="BK1036" s="322"/>
      <c r="BL1036" s="564"/>
      <c r="BM1036" s="1"/>
      <c r="BN1036" s="180"/>
      <c r="BO1036" s="2"/>
      <c r="BP1036" s="2"/>
      <c r="BQ1036" s="2"/>
      <c r="BR1036" s="297"/>
      <c r="BS1036" s="179"/>
      <c r="BT1036" s="297"/>
      <c r="BU1036" s="297"/>
      <c r="BV1036" s="179"/>
      <c r="BW1036" s="297"/>
      <c r="BX1036" s="2"/>
      <c r="BY1036" s="2"/>
      <c r="BZ1036" s="2"/>
      <c r="CA1036" s="2"/>
      <c r="CB1036" s="2"/>
      <c r="CC1036" s="2"/>
      <c r="CD1036" s="2"/>
      <c r="CE1036" s="2"/>
      <c r="CF1036" s="2"/>
      <c r="CG1036" s="2"/>
      <c r="CH1036" s="92"/>
      <c r="CI1036" s="92"/>
      <c r="CJ1036" s="297"/>
      <c r="CK1036" s="179"/>
      <c r="CL1036" s="297"/>
      <c r="CM1036" s="297"/>
      <c r="CN1036" s="179"/>
      <c r="CO1036" s="297"/>
      <c r="CP1036" s="2"/>
      <c r="CQ1036" s="2"/>
      <c r="CR1036" s="2"/>
      <c r="CS1036" s="196"/>
    </row>
    <row r="1037" spans="1:100">
      <c r="A1037" s="319"/>
      <c r="B1037" s="319"/>
      <c r="C1037" s="319"/>
      <c r="D1037" s="319"/>
      <c r="E1037" s="319"/>
      <c r="F1037" s="319"/>
      <c r="G1037" s="319"/>
      <c r="H1037" s="319"/>
      <c r="I1037" s="322"/>
      <c r="J1037" s="322"/>
      <c r="K1037" s="322"/>
      <c r="L1037" s="322"/>
      <c r="M1037" s="322"/>
      <c r="N1037" s="322"/>
      <c r="O1037" s="322"/>
      <c r="P1037" s="322"/>
      <c r="Q1037" s="322"/>
      <c r="R1037" s="322"/>
      <c r="S1037" s="322"/>
      <c r="T1037" s="322"/>
      <c r="U1037" s="322"/>
      <c r="V1037" s="322"/>
      <c r="W1037" s="322"/>
      <c r="X1037" s="410"/>
      <c r="Y1037" s="322"/>
      <c r="Z1037" s="322"/>
      <c r="AA1037" s="322"/>
      <c r="AB1037" s="322"/>
      <c r="AC1037" s="322"/>
      <c r="AD1037" s="322"/>
      <c r="AE1037" s="322"/>
      <c r="AF1037" s="585"/>
      <c r="AG1037" s="319"/>
      <c r="AH1037" s="319"/>
      <c r="AI1037" s="319"/>
      <c r="AJ1037" s="319"/>
      <c r="AK1037" s="319"/>
      <c r="AL1037" s="319"/>
      <c r="AM1037" s="319"/>
      <c r="AN1037" s="319"/>
      <c r="AO1037" s="322"/>
      <c r="AP1037" s="322"/>
      <c r="AQ1037" s="322"/>
      <c r="AR1037" s="322"/>
      <c r="AS1037" s="322"/>
      <c r="AT1037" s="322"/>
      <c r="AU1037" s="322"/>
      <c r="AV1037" s="322"/>
      <c r="AW1037" s="322"/>
      <c r="AX1037" s="322"/>
      <c r="AY1037" s="322"/>
      <c r="AZ1037" s="322"/>
      <c r="BA1037" s="322"/>
      <c r="BB1037" s="322"/>
      <c r="BC1037" s="322"/>
      <c r="BD1037" s="410"/>
      <c r="BE1037" s="322"/>
      <c r="BF1037" s="322"/>
      <c r="BG1037" s="322"/>
      <c r="BH1037" s="322"/>
      <c r="BI1037" s="322"/>
      <c r="BJ1037" s="322"/>
      <c r="BK1037" s="322"/>
      <c r="BL1037" s="564"/>
      <c r="BM1037" s="1"/>
      <c r="CV1037">
        <v>12</v>
      </c>
    </row>
    <row r="1038" spans="1:100">
      <c r="A1038" s="319"/>
      <c r="B1038" s="319"/>
      <c r="C1038" s="319"/>
      <c r="D1038" s="319"/>
      <c r="E1038" s="319"/>
      <c r="F1038" s="319"/>
      <c r="G1038" s="319"/>
      <c r="H1038" s="319"/>
      <c r="I1038" s="322"/>
      <c r="J1038" s="322"/>
      <c r="K1038" s="322"/>
      <c r="L1038" s="322"/>
      <c r="M1038" s="322"/>
      <c r="N1038" s="322"/>
      <c r="O1038" s="322"/>
      <c r="P1038" s="322"/>
      <c r="Q1038" s="322"/>
      <c r="R1038" s="322"/>
      <c r="S1038" s="322"/>
      <c r="T1038" s="322"/>
      <c r="U1038" s="322"/>
      <c r="V1038" s="322"/>
      <c r="W1038" s="322"/>
      <c r="X1038" s="410"/>
      <c r="Y1038" s="322"/>
      <c r="Z1038" s="322"/>
      <c r="AA1038" s="322"/>
      <c r="AB1038" s="322"/>
      <c r="AC1038" s="322"/>
      <c r="AD1038" s="322"/>
      <c r="AE1038" s="322"/>
      <c r="AF1038" s="585"/>
      <c r="AG1038" s="319"/>
      <c r="AH1038" s="319"/>
      <c r="AI1038" s="319"/>
      <c r="AJ1038" s="319"/>
      <c r="AK1038" s="319"/>
      <c r="AL1038" s="319"/>
      <c r="AM1038" s="319"/>
      <c r="AN1038" s="319"/>
      <c r="AO1038" s="322"/>
      <c r="AP1038" s="322"/>
      <c r="AQ1038" s="322"/>
      <c r="AR1038" s="322"/>
      <c r="AS1038" s="322"/>
      <c r="AT1038" s="322"/>
      <c r="AU1038" s="322"/>
      <c r="AV1038" s="322"/>
      <c r="AW1038" s="322"/>
      <c r="AX1038" s="322"/>
      <c r="AY1038" s="322"/>
      <c r="AZ1038" s="322"/>
      <c r="BA1038" s="322"/>
      <c r="BB1038" s="322"/>
      <c r="BC1038" s="322"/>
      <c r="BD1038" s="410"/>
      <c r="BE1038" s="322"/>
      <c r="BF1038" s="322"/>
      <c r="BG1038" s="322"/>
      <c r="BH1038" s="322"/>
      <c r="BI1038" s="322"/>
      <c r="BJ1038" s="322"/>
      <c r="BK1038" s="322"/>
      <c r="BL1038" s="564"/>
      <c r="BM1038" s="1"/>
      <c r="BN1038" s="180"/>
      <c r="BO1038" s="2"/>
      <c r="BP1038" s="2"/>
      <c r="BQ1038" s="2"/>
      <c r="BR1038" s="297"/>
      <c r="BS1038" s="179"/>
      <c r="BT1038" s="297"/>
      <c r="BU1038" s="297"/>
      <c r="BV1038" s="179"/>
      <c r="BW1038" s="297"/>
      <c r="BX1038" s="2"/>
      <c r="BY1038" s="2"/>
      <c r="BZ1038" s="98"/>
      <c r="CA1038" s="98"/>
      <c r="CB1038" s="98"/>
      <c r="CC1038" s="98"/>
      <c r="CD1038" s="542"/>
      <c r="CE1038" s="542"/>
      <c r="CF1038" s="542"/>
      <c r="CG1038" s="159"/>
      <c r="CH1038" s="92"/>
      <c r="CI1038" s="92"/>
      <c r="CJ1038" s="297"/>
      <c r="CK1038" s="179"/>
      <c r="CL1038" s="297"/>
      <c r="CM1038" s="297"/>
      <c r="CN1038" s="179"/>
      <c r="CO1038" s="297"/>
      <c r="CP1038" s="2"/>
      <c r="CQ1038" s="2"/>
      <c r="CR1038" s="2"/>
      <c r="CS1038" s="196"/>
    </row>
    <row r="1039" spans="1:100">
      <c r="A1039" s="319"/>
      <c r="B1039" s="319"/>
      <c r="C1039" s="319"/>
      <c r="D1039" s="319"/>
      <c r="E1039" s="319"/>
      <c r="F1039" s="319"/>
      <c r="G1039" s="319"/>
      <c r="H1039" s="319"/>
      <c r="I1039" s="322"/>
      <c r="J1039" s="322"/>
      <c r="K1039" s="322"/>
      <c r="L1039" s="322"/>
      <c r="M1039" s="322"/>
      <c r="N1039" s="322"/>
      <c r="O1039" s="322"/>
      <c r="P1039" s="322"/>
      <c r="Q1039" s="322"/>
      <c r="R1039" s="322"/>
      <c r="S1039" s="322"/>
      <c r="T1039" s="322"/>
      <c r="U1039" s="322"/>
      <c r="V1039" s="322"/>
      <c r="W1039" s="322"/>
      <c r="X1039" s="410"/>
      <c r="Y1039" s="322"/>
      <c r="Z1039" s="322"/>
      <c r="AA1039" s="322"/>
      <c r="AB1039" s="322"/>
      <c r="AC1039" s="322"/>
      <c r="AD1039" s="322"/>
      <c r="AE1039" s="322"/>
      <c r="AF1039" s="585"/>
      <c r="AG1039" s="319"/>
      <c r="AH1039" s="319"/>
      <c r="AI1039" s="319"/>
      <c r="AJ1039" s="319"/>
      <c r="AK1039" s="319"/>
      <c r="AL1039" s="319"/>
      <c r="AM1039" s="319"/>
      <c r="AN1039" s="319"/>
      <c r="AO1039" s="322"/>
      <c r="AP1039" s="322"/>
      <c r="AQ1039" s="322"/>
      <c r="AR1039" s="322"/>
      <c r="AS1039" s="322"/>
      <c r="AT1039" s="322"/>
      <c r="AU1039" s="322"/>
      <c r="AV1039" s="322"/>
      <c r="AW1039" s="322"/>
      <c r="AX1039" s="322"/>
      <c r="AY1039" s="322"/>
      <c r="AZ1039" s="322"/>
      <c r="BA1039" s="322"/>
      <c r="BB1039" s="322"/>
      <c r="BC1039" s="322"/>
      <c r="BD1039" s="410"/>
      <c r="BE1039" s="322"/>
      <c r="BF1039" s="322"/>
      <c r="BG1039" s="322"/>
      <c r="BH1039" s="322"/>
      <c r="BI1039" s="322"/>
      <c r="BJ1039" s="322"/>
      <c r="BK1039" s="322"/>
      <c r="BL1039" s="564"/>
      <c r="BM1039" s="1"/>
      <c r="BN1039" s="180"/>
      <c r="BO1039" s="2"/>
      <c r="BP1039" s="2"/>
      <c r="BQ1039" s="2"/>
      <c r="BR1039" s="297"/>
      <c r="BS1039" s="179"/>
      <c r="BT1039" s="297"/>
      <c r="BU1039" s="297"/>
      <c r="BV1039" s="179"/>
      <c r="BW1039" s="297"/>
      <c r="BX1039" s="2"/>
      <c r="BY1039" s="2"/>
      <c r="BZ1039" s="98"/>
      <c r="CA1039" s="62"/>
      <c r="CB1039" s="38"/>
      <c r="CC1039" s="63"/>
      <c r="CD1039" s="59"/>
      <c r="CE1039" s="38"/>
      <c r="CF1039" s="64"/>
      <c r="CG1039" s="159"/>
      <c r="CH1039" s="92"/>
      <c r="CI1039" s="92"/>
      <c r="CJ1039" s="297"/>
      <c r="CK1039" s="179"/>
      <c r="CL1039" s="297"/>
      <c r="CM1039" s="297"/>
      <c r="CN1039" s="179"/>
      <c r="CO1039" s="297"/>
      <c r="CP1039" s="2"/>
      <c r="CQ1039" s="2"/>
      <c r="CR1039" s="2"/>
      <c r="CS1039" s="196"/>
    </row>
    <row r="1040" spans="1:100">
      <c r="A1040" s="319"/>
      <c r="B1040" s="319"/>
      <c r="C1040" s="319"/>
      <c r="D1040" s="319"/>
      <c r="E1040" s="319"/>
      <c r="F1040" s="319"/>
      <c r="G1040" s="319"/>
      <c r="H1040" s="319"/>
      <c r="I1040" s="322"/>
      <c r="J1040" s="322"/>
      <c r="K1040" s="322"/>
      <c r="L1040" s="322"/>
      <c r="M1040" s="322"/>
      <c r="N1040" s="322"/>
      <c r="O1040" s="322"/>
      <c r="P1040" s="322"/>
      <c r="Q1040" s="322"/>
      <c r="R1040" s="322"/>
      <c r="S1040" s="322"/>
      <c r="T1040" s="322"/>
      <c r="U1040" s="322"/>
      <c r="V1040" s="322"/>
      <c r="W1040" s="322"/>
      <c r="X1040" s="410"/>
      <c r="Y1040" s="322"/>
      <c r="Z1040" s="322"/>
      <c r="AA1040" s="322"/>
      <c r="AB1040" s="322"/>
      <c r="AC1040" s="322"/>
      <c r="AD1040" s="410"/>
      <c r="AE1040" s="322"/>
      <c r="AF1040" s="585"/>
      <c r="AG1040" s="319"/>
      <c r="AH1040" s="319"/>
      <c r="AI1040" s="319"/>
      <c r="AJ1040" s="319"/>
      <c r="AK1040" s="319"/>
      <c r="AL1040" s="319"/>
      <c r="AM1040" s="319"/>
      <c r="AN1040" s="319"/>
      <c r="AO1040" s="322"/>
      <c r="AP1040" s="322"/>
      <c r="AQ1040" s="322"/>
      <c r="AR1040" s="322"/>
      <c r="AS1040" s="322"/>
      <c r="AT1040" s="322"/>
      <c r="AU1040" s="322"/>
      <c r="AV1040" s="322"/>
      <c r="AW1040" s="322"/>
      <c r="AX1040" s="322"/>
      <c r="AY1040" s="322"/>
      <c r="AZ1040" s="322"/>
      <c r="BA1040" s="322"/>
      <c r="BB1040" s="322"/>
      <c r="BC1040" s="322"/>
      <c r="BD1040" s="410"/>
      <c r="BE1040" s="322"/>
      <c r="BF1040" s="322"/>
      <c r="BG1040" s="322"/>
      <c r="BH1040" s="322"/>
      <c r="BI1040" s="322"/>
      <c r="BJ1040" s="410"/>
      <c r="BK1040" s="322"/>
      <c r="BL1040" s="564"/>
      <c r="BM1040" s="1"/>
      <c r="BN1040" s="180"/>
      <c r="BO1040" s="2"/>
      <c r="BP1040" s="2"/>
      <c r="BQ1040" s="2"/>
      <c r="BR1040" s="297"/>
      <c r="BS1040" s="179"/>
      <c r="BT1040" s="297"/>
      <c r="BU1040" s="297"/>
      <c r="BV1040" s="179"/>
      <c r="BW1040" s="297"/>
      <c r="BX1040" s="2"/>
      <c r="BY1040" s="2"/>
      <c r="BZ1040" s="98"/>
      <c r="CA1040" s="63"/>
      <c r="CB1040" s="62"/>
      <c r="CC1040" s="38"/>
      <c r="CD1040" s="63"/>
      <c r="CE1040" s="59"/>
      <c r="CF1040" s="59"/>
      <c r="CG1040" s="159"/>
      <c r="CH1040" s="92"/>
      <c r="CI1040" s="92"/>
      <c r="CJ1040" s="297"/>
      <c r="CK1040" s="179"/>
      <c r="CL1040" s="297"/>
      <c r="CM1040" s="297"/>
      <c r="CN1040" s="179"/>
      <c r="CO1040" s="297"/>
      <c r="CP1040" s="2"/>
      <c r="CQ1040" s="2"/>
      <c r="CR1040" s="2"/>
      <c r="CS1040" s="196"/>
    </row>
    <row r="1041" spans="1:100">
      <c r="A1041" s="319"/>
      <c r="B1041" s="319"/>
      <c r="C1041" s="319"/>
      <c r="D1041" s="319"/>
      <c r="E1041" s="319"/>
      <c r="F1041" s="319"/>
      <c r="G1041" s="319"/>
      <c r="H1041" s="319"/>
      <c r="I1041" s="322"/>
      <c r="J1041" s="322"/>
      <c r="K1041" s="322"/>
      <c r="L1041" s="322"/>
      <c r="M1041" s="322"/>
      <c r="N1041" s="322"/>
      <c r="O1041" s="322"/>
      <c r="P1041" s="322"/>
      <c r="Q1041" s="322"/>
      <c r="R1041" s="322"/>
      <c r="S1041" s="322"/>
      <c r="T1041" s="322"/>
      <c r="U1041" s="322"/>
      <c r="V1041" s="322"/>
      <c r="W1041" s="322"/>
      <c r="X1041" s="410"/>
      <c r="Y1041" s="322"/>
      <c r="Z1041" s="322"/>
      <c r="AA1041" s="322"/>
      <c r="AB1041" s="322"/>
      <c r="AC1041" s="322"/>
      <c r="AD1041" s="410"/>
      <c r="AE1041" s="322"/>
      <c r="AF1041" s="585"/>
      <c r="AG1041" s="319"/>
      <c r="AH1041" s="319"/>
      <c r="AI1041" s="319"/>
      <c r="AJ1041" s="319"/>
      <c r="AK1041" s="319"/>
      <c r="AL1041" s="319"/>
      <c r="AM1041" s="319"/>
      <c r="AN1041" s="319"/>
      <c r="AO1041" s="322"/>
      <c r="AP1041" s="322"/>
      <c r="AQ1041" s="322"/>
      <c r="AR1041" s="322"/>
      <c r="AS1041" s="322"/>
      <c r="AT1041" s="322"/>
      <c r="AU1041" s="322"/>
      <c r="AV1041" s="322"/>
      <c r="AW1041" s="322"/>
      <c r="AX1041" s="322"/>
      <c r="AY1041" s="322"/>
      <c r="AZ1041" s="322"/>
      <c r="BA1041" s="322"/>
      <c r="BB1041" s="322"/>
      <c r="BC1041" s="322"/>
      <c r="BD1041" s="410"/>
      <c r="BE1041" s="322"/>
      <c r="BF1041" s="322"/>
      <c r="BG1041" s="322"/>
      <c r="BH1041" s="322"/>
      <c r="BI1041" s="322"/>
      <c r="BJ1041" s="410"/>
      <c r="BK1041" s="322"/>
      <c r="BL1041" s="564"/>
      <c r="BM1041" s="1"/>
      <c r="BN1041" s="180"/>
      <c r="BO1041" s="2"/>
      <c r="BP1041" s="2"/>
      <c r="BQ1041" s="2"/>
      <c r="BR1041" s="297"/>
      <c r="BS1041" s="179"/>
      <c r="BT1041" s="297"/>
      <c r="BU1041" s="297"/>
      <c r="BV1041" s="179"/>
      <c r="BW1041" s="297"/>
      <c r="BX1041" s="2"/>
      <c r="BY1041" s="2"/>
      <c r="BZ1041" s="98"/>
      <c r="CA1041" s="62"/>
      <c r="CB1041" s="63"/>
      <c r="CC1041" s="63"/>
      <c r="CD1041" s="63"/>
      <c r="CE1041" s="59"/>
      <c r="CF1041" s="61"/>
      <c r="CG1041" s="159"/>
      <c r="CH1041" s="92"/>
      <c r="CI1041" s="92"/>
      <c r="CJ1041" s="297"/>
      <c r="CK1041" s="179"/>
      <c r="CL1041" s="297"/>
      <c r="CM1041" s="297"/>
      <c r="CN1041" s="179"/>
      <c r="CO1041" s="297"/>
      <c r="CP1041" s="2"/>
      <c r="CQ1041" s="2"/>
      <c r="CR1041" s="2"/>
      <c r="CS1041" s="196"/>
    </row>
    <row r="1042" spans="1:100">
      <c r="A1042" s="319"/>
      <c r="B1042" s="319"/>
      <c r="C1042" s="319"/>
      <c r="D1042" s="319"/>
      <c r="E1042" s="319"/>
      <c r="F1042" s="319"/>
      <c r="G1042" s="319"/>
      <c r="H1042" s="319"/>
      <c r="I1042" s="322"/>
      <c r="J1042" s="322"/>
      <c r="K1042" s="322"/>
      <c r="L1042" s="322"/>
      <c r="M1042" s="322"/>
      <c r="N1042" s="322"/>
      <c r="O1042" s="322"/>
      <c r="P1042" s="322"/>
      <c r="Q1042" s="322"/>
      <c r="R1042" s="322"/>
      <c r="S1042" s="322"/>
      <c r="T1042" s="322"/>
      <c r="U1042" s="322"/>
      <c r="V1042" s="322"/>
      <c r="W1042" s="322"/>
      <c r="X1042" s="410"/>
      <c r="Y1042" s="322"/>
      <c r="Z1042" s="322"/>
      <c r="AA1042" s="322"/>
      <c r="AB1042" s="322"/>
      <c r="AC1042" s="322"/>
      <c r="AD1042" s="410"/>
      <c r="AE1042" s="322"/>
      <c r="AF1042" s="585"/>
      <c r="AG1042" s="319"/>
      <c r="AH1042" s="319"/>
      <c r="AI1042" s="319"/>
      <c r="AJ1042" s="319"/>
      <c r="AK1042" s="319"/>
      <c r="AL1042" s="319"/>
      <c r="AM1042" s="319"/>
      <c r="AN1042" s="319"/>
      <c r="AO1042" s="322"/>
      <c r="AP1042" s="322"/>
      <c r="AQ1042" s="322"/>
      <c r="AR1042" s="322"/>
      <c r="AS1042" s="322"/>
      <c r="AT1042" s="322"/>
      <c r="AU1042" s="322"/>
      <c r="AV1042" s="322"/>
      <c r="AW1042" s="322"/>
      <c r="AX1042" s="322"/>
      <c r="AY1042" s="322"/>
      <c r="AZ1042" s="322"/>
      <c r="BA1042" s="322"/>
      <c r="BB1042" s="322"/>
      <c r="BC1042" s="322"/>
      <c r="BD1042" s="410"/>
      <c r="BE1042" s="322"/>
      <c r="BF1042" s="322"/>
      <c r="BG1042" s="322"/>
      <c r="BH1042" s="322"/>
      <c r="BI1042" s="322"/>
      <c r="BJ1042" s="410"/>
      <c r="BK1042" s="322"/>
      <c r="BL1042" s="564"/>
      <c r="BM1042" s="1"/>
      <c r="BN1042" s="180"/>
      <c r="BO1042" s="2"/>
      <c r="BP1042" s="2"/>
      <c r="BQ1042" s="2"/>
      <c r="BR1042" s="297"/>
      <c r="BS1042" s="179"/>
      <c r="BT1042" s="297"/>
      <c r="BU1042" s="297"/>
      <c r="BV1042" s="179"/>
      <c r="BW1042" s="297"/>
      <c r="BX1042" s="2"/>
      <c r="BY1042" s="2"/>
      <c r="BZ1042" s="98"/>
      <c r="CA1042" s="62"/>
      <c r="CB1042" s="62"/>
      <c r="CC1042" s="63"/>
      <c r="CD1042" s="63"/>
      <c r="CE1042" s="59"/>
      <c r="CF1042" s="64"/>
      <c r="CG1042" s="97"/>
      <c r="CH1042" s="92"/>
      <c r="CI1042" s="92"/>
      <c r="CJ1042" s="297"/>
      <c r="CK1042" s="179"/>
      <c r="CL1042" s="297"/>
      <c r="CM1042" s="297"/>
      <c r="CN1042" s="179"/>
      <c r="CO1042" s="297"/>
      <c r="CP1042" s="2"/>
      <c r="CQ1042" s="2"/>
      <c r="CR1042" s="2"/>
      <c r="CS1042" s="196"/>
    </row>
    <row r="1043" spans="1:100">
      <c r="A1043" s="319"/>
      <c r="B1043" s="319"/>
      <c r="C1043" s="319"/>
      <c r="D1043" s="319"/>
      <c r="E1043" s="319"/>
      <c r="F1043" s="319"/>
      <c r="G1043" s="319"/>
      <c r="H1043" s="319"/>
      <c r="I1043" s="322"/>
      <c r="J1043" s="322"/>
      <c r="K1043" s="322"/>
      <c r="L1043" s="322"/>
      <c r="M1043" s="322"/>
      <c r="N1043" s="322"/>
      <c r="O1043" s="322"/>
      <c r="P1043" s="322"/>
      <c r="Q1043" s="322"/>
      <c r="R1043" s="322"/>
      <c r="S1043" s="322"/>
      <c r="T1043" s="322"/>
      <c r="U1043" s="322"/>
      <c r="V1043" s="322"/>
      <c r="W1043" s="322"/>
      <c r="X1043" s="410"/>
      <c r="Y1043" s="322"/>
      <c r="Z1043" s="322"/>
      <c r="AA1043" s="322"/>
      <c r="AB1043" s="322"/>
      <c r="AC1043" s="322"/>
      <c r="AD1043" s="410"/>
      <c r="AE1043" s="322"/>
      <c r="AF1043" s="585"/>
      <c r="AG1043" s="319"/>
      <c r="AH1043" s="319"/>
      <c r="AI1043" s="319"/>
      <c r="AJ1043" s="319"/>
      <c r="AK1043" s="319"/>
      <c r="AL1043" s="319"/>
      <c r="AM1043" s="319"/>
      <c r="AN1043" s="319"/>
      <c r="AO1043" s="322"/>
      <c r="AP1043" s="322"/>
      <c r="AQ1043" s="322"/>
      <c r="AR1043" s="322"/>
      <c r="AS1043" s="322"/>
      <c r="AT1043" s="322"/>
      <c r="AU1043" s="322"/>
      <c r="AV1043" s="322"/>
      <c r="AW1043" s="322"/>
      <c r="AX1043" s="322"/>
      <c r="AY1043" s="322"/>
      <c r="AZ1043" s="322"/>
      <c r="BA1043" s="322"/>
      <c r="BB1043" s="322"/>
      <c r="BC1043" s="322"/>
      <c r="BD1043" s="410"/>
      <c r="BE1043" s="322"/>
      <c r="BF1043" s="322"/>
      <c r="BG1043" s="322"/>
      <c r="BH1043" s="322"/>
      <c r="BI1043" s="322"/>
      <c r="BJ1043" s="410"/>
      <c r="BK1043" s="322"/>
      <c r="BL1043" s="564"/>
      <c r="BM1043" s="1"/>
      <c r="BN1043" s="180"/>
      <c r="BO1043" s="2"/>
      <c r="BP1043" s="2"/>
      <c r="BQ1043" s="2"/>
      <c r="BR1043" s="297"/>
      <c r="BS1043" s="179"/>
      <c r="BT1043" s="297"/>
      <c r="BU1043" s="297"/>
      <c r="BV1043" s="179"/>
      <c r="BW1043" s="297"/>
      <c r="BX1043" s="2"/>
      <c r="BY1043" s="2"/>
      <c r="BZ1043" s="542"/>
      <c r="CA1043" s="59"/>
      <c r="CB1043" s="63"/>
      <c r="CC1043" s="38"/>
      <c r="CD1043" s="59"/>
      <c r="CE1043" s="60"/>
      <c r="CF1043" s="61"/>
      <c r="CG1043" s="97"/>
      <c r="CH1043" s="92"/>
      <c r="CI1043" s="92"/>
      <c r="CJ1043" s="297"/>
      <c r="CK1043" s="179"/>
      <c r="CL1043" s="297"/>
      <c r="CM1043" s="297"/>
      <c r="CN1043" s="179"/>
      <c r="CO1043" s="297"/>
      <c r="CP1043" s="2"/>
      <c r="CQ1043" s="2"/>
      <c r="CR1043" s="2"/>
      <c r="CS1043" s="196"/>
    </row>
    <row r="1044" spans="1:100">
      <c r="A1044" s="319"/>
      <c r="B1044" s="319"/>
      <c r="C1044" s="319"/>
      <c r="D1044" s="319"/>
      <c r="E1044" s="319"/>
      <c r="F1044" s="319"/>
      <c r="G1044" s="319"/>
      <c r="H1044" s="319"/>
      <c r="I1044" s="322"/>
      <c r="J1044" s="322"/>
      <c r="K1044" s="322"/>
      <c r="L1044" s="322"/>
      <c r="M1044" s="322"/>
      <c r="N1044" s="322"/>
      <c r="O1044" s="322"/>
      <c r="P1044" s="322"/>
      <c r="Q1044" s="322"/>
      <c r="R1044" s="322"/>
      <c r="S1044" s="322"/>
      <c r="T1044" s="322"/>
      <c r="U1044" s="322"/>
      <c r="V1044" s="322"/>
      <c r="W1044" s="322"/>
      <c r="X1044" s="410"/>
      <c r="Y1044" s="322"/>
      <c r="Z1044" s="322"/>
      <c r="AA1044" s="322"/>
      <c r="AB1044" s="322"/>
      <c r="AC1044" s="322"/>
      <c r="AD1044" s="410"/>
      <c r="AE1044" s="322"/>
      <c r="AF1044" s="585"/>
      <c r="AG1044" s="319"/>
      <c r="AH1044" s="319"/>
      <c r="AI1044" s="319"/>
      <c r="AJ1044" s="319"/>
      <c r="AK1044" s="319"/>
      <c r="AL1044" s="319"/>
      <c r="AM1044" s="319"/>
      <c r="AN1044" s="319"/>
      <c r="AO1044" s="322"/>
      <c r="AP1044" s="322"/>
      <c r="AQ1044" s="322"/>
      <c r="AR1044" s="322"/>
      <c r="AS1044" s="322"/>
      <c r="AT1044" s="322"/>
      <c r="AU1044" s="322"/>
      <c r="AV1044" s="322"/>
      <c r="AW1044" s="322"/>
      <c r="AX1044" s="322"/>
      <c r="AY1044" s="322"/>
      <c r="AZ1044" s="322"/>
      <c r="BA1044" s="322"/>
      <c r="BB1044" s="322"/>
      <c r="BC1044" s="322"/>
      <c r="BD1044" s="410"/>
      <c r="BE1044" s="322"/>
      <c r="BF1044" s="322"/>
      <c r="BG1044" s="322"/>
      <c r="BH1044" s="322"/>
      <c r="BI1044" s="322"/>
      <c r="BJ1044" s="410"/>
      <c r="BK1044" s="322"/>
      <c r="BL1044" s="564"/>
      <c r="BM1044" s="1"/>
      <c r="BN1044" s="180"/>
      <c r="BO1044" s="2"/>
      <c r="BP1044" s="2"/>
      <c r="BQ1044" s="2"/>
      <c r="BR1044" s="297"/>
      <c r="BS1044" s="179"/>
      <c r="BT1044" s="297"/>
      <c r="BU1044" s="297"/>
      <c r="BV1044" s="179"/>
      <c r="BW1044" s="297"/>
      <c r="BX1044" s="2"/>
      <c r="BY1044" s="2"/>
      <c r="BZ1044" s="542"/>
      <c r="CA1044" s="62"/>
      <c r="CB1044" s="63"/>
      <c r="CC1044" s="60"/>
      <c r="CD1044" s="59"/>
      <c r="CE1044" s="61"/>
      <c r="CF1044" s="61"/>
      <c r="CG1044" s="97"/>
      <c r="CH1044" s="92"/>
      <c r="CI1044" s="92"/>
      <c r="CJ1044" s="297"/>
      <c r="CK1044" s="179"/>
      <c r="CL1044" s="297"/>
      <c r="CM1044" s="297"/>
      <c r="CN1044" s="179"/>
      <c r="CO1044" s="297"/>
      <c r="CP1044" s="2"/>
      <c r="CQ1044" s="2"/>
      <c r="CR1044" s="2"/>
      <c r="CS1044" s="196"/>
    </row>
    <row r="1045" spans="1:100">
      <c r="A1045" s="319"/>
      <c r="B1045" s="319"/>
      <c r="C1045" s="319"/>
      <c r="D1045" s="319"/>
      <c r="E1045" s="319"/>
      <c r="F1045" s="319"/>
      <c r="G1045" s="319"/>
      <c r="H1045" s="319"/>
      <c r="I1045" s="322"/>
      <c r="J1045" s="322"/>
      <c r="K1045" s="322"/>
      <c r="L1045" s="322"/>
      <c r="M1045" s="410"/>
      <c r="N1045" s="322"/>
      <c r="O1045" s="322"/>
      <c r="P1045" s="322"/>
      <c r="Q1045" s="322"/>
      <c r="R1045" s="322"/>
      <c r="S1045" s="322"/>
      <c r="T1045" s="322"/>
      <c r="U1045" s="322"/>
      <c r="V1045" s="322"/>
      <c r="W1045" s="322"/>
      <c r="X1045" s="410"/>
      <c r="Y1045" s="322"/>
      <c r="Z1045" s="322"/>
      <c r="AA1045" s="322"/>
      <c r="AB1045" s="322"/>
      <c r="AC1045" s="322"/>
      <c r="AD1045" s="410"/>
      <c r="AE1045" s="322"/>
      <c r="AF1045" s="585"/>
      <c r="AG1045" s="319"/>
      <c r="AH1045" s="319"/>
      <c r="AI1045" s="319"/>
      <c r="AJ1045" s="319"/>
      <c r="AK1045" s="319"/>
      <c r="AL1045" s="319"/>
      <c r="AM1045" s="319"/>
      <c r="AN1045" s="319"/>
      <c r="AO1045" s="322"/>
      <c r="AP1045" s="322"/>
      <c r="AQ1045" s="322"/>
      <c r="AR1045" s="322"/>
      <c r="AS1045" s="410"/>
      <c r="AT1045" s="322"/>
      <c r="AU1045" s="322"/>
      <c r="AV1045" s="322"/>
      <c r="AW1045" s="322"/>
      <c r="AX1045" s="322"/>
      <c r="AY1045" s="322"/>
      <c r="AZ1045" s="322"/>
      <c r="BA1045" s="322"/>
      <c r="BB1045" s="322"/>
      <c r="BC1045" s="322"/>
      <c r="BD1045" s="410"/>
      <c r="BE1045" s="322"/>
      <c r="BF1045" s="322"/>
      <c r="BG1045" s="322"/>
      <c r="BH1045" s="322"/>
      <c r="BI1045" s="322"/>
      <c r="BJ1045" s="410"/>
      <c r="BK1045" s="322"/>
      <c r="BL1045" s="564"/>
      <c r="BM1045" s="1"/>
      <c r="BN1045" s="180"/>
      <c r="BO1045" s="2"/>
      <c r="BP1045" s="2"/>
      <c r="BQ1045" s="2"/>
      <c r="BR1045" s="297"/>
      <c r="BS1045" s="179"/>
      <c r="BT1045" s="297"/>
      <c r="BU1045" s="297"/>
      <c r="BV1045" s="179"/>
      <c r="BW1045" s="297"/>
      <c r="BX1045" s="2"/>
      <c r="BY1045" s="2"/>
      <c r="BZ1045" s="542"/>
      <c r="CA1045" s="159"/>
      <c r="CB1045" s="159"/>
      <c r="CC1045" s="97"/>
      <c r="CD1045" s="97"/>
      <c r="CE1045" s="97"/>
      <c r="CF1045" s="97"/>
      <c r="CG1045" s="189"/>
      <c r="CH1045" s="92"/>
      <c r="CI1045" s="92"/>
      <c r="CJ1045" s="297"/>
      <c r="CK1045" s="179"/>
      <c r="CL1045" s="297"/>
      <c r="CM1045" s="297"/>
      <c r="CN1045" s="179"/>
      <c r="CO1045" s="297"/>
      <c r="CP1045" s="2"/>
      <c r="CQ1045" s="2"/>
      <c r="CR1045" s="2"/>
      <c r="CS1045" s="196"/>
    </row>
    <row r="1046" spans="1:100">
      <c r="A1046" s="319"/>
      <c r="B1046" s="319"/>
      <c r="C1046" s="319"/>
      <c r="D1046" s="319"/>
      <c r="E1046" s="319"/>
      <c r="F1046" s="319"/>
      <c r="G1046" s="319"/>
      <c r="H1046" s="319"/>
      <c r="I1046" s="322"/>
      <c r="J1046" s="322"/>
      <c r="K1046" s="322"/>
      <c r="L1046" s="322"/>
      <c r="M1046" s="410"/>
      <c r="N1046" s="322"/>
      <c r="O1046" s="322"/>
      <c r="P1046" s="322"/>
      <c r="Q1046" s="322"/>
      <c r="R1046" s="322"/>
      <c r="S1046" s="322"/>
      <c r="T1046" s="322"/>
      <c r="U1046" s="322"/>
      <c r="V1046" s="322"/>
      <c r="W1046" s="322"/>
      <c r="X1046" s="322"/>
      <c r="Y1046" s="322"/>
      <c r="Z1046" s="322"/>
      <c r="AA1046" s="322"/>
      <c r="AB1046" s="322"/>
      <c r="AC1046" s="322"/>
      <c r="AD1046" s="410"/>
      <c r="AE1046" s="322"/>
      <c r="AF1046" s="585"/>
      <c r="AG1046" s="319"/>
      <c r="AH1046" s="319"/>
      <c r="AI1046" s="319"/>
      <c r="AJ1046" s="319"/>
      <c r="AK1046" s="319"/>
      <c r="AL1046" s="319"/>
      <c r="AM1046" s="319"/>
      <c r="AN1046" s="319"/>
      <c r="AO1046" s="322"/>
      <c r="AP1046" s="322"/>
      <c r="AQ1046" s="322"/>
      <c r="AR1046" s="322"/>
      <c r="AS1046" s="410"/>
      <c r="AT1046" s="322"/>
      <c r="AU1046" s="322"/>
      <c r="AV1046" s="322"/>
      <c r="AW1046" s="322"/>
      <c r="AX1046" s="322"/>
      <c r="AY1046" s="322"/>
      <c r="AZ1046" s="322"/>
      <c r="BA1046" s="322"/>
      <c r="BB1046" s="322"/>
      <c r="BC1046" s="322"/>
      <c r="BD1046" s="322"/>
      <c r="BE1046" s="322"/>
      <c r="BF1046" s="322"/>
      <c r="BG1046" s="322"/>
      <c r="BH1046" s="322"/>
      <c r="BI1046" s="322"/>
      <c r="BJ1046" s="410"/>
      <c r="BK1046" s="322"/>
      <c r="BL1046" s="564"/>
      <c r="BM1046" s="1"/>
      <c r="CV1046">
        <v>12</v>
      </c>
    </row>
    <row r="1047" spans="1:100">
      <c r="BM1047" s="1"/>
      <c r="BN1047" s="180"/>
      <c r="BO1047" s="2"/>
      <c r="BP1047" s="2"/>
      <c r="BQ1047" s="2"/>
      <c r="BR1047" s="297"/>
      <c r="BS1047" s="297"/>
      <c r="BT1047" s="297"/>
      <c r="BU1047" s="297"/>
      <c r="BV1047" s="297"/>
      <c r="BW1047" s="297"/>
      <c r="BX1047" s="2"/>
      <c r="BY1047" s="2"/>
      <c r="BZ1047" s="2"/>
      <c r="CA1047" s="2"/>
      <c r="CB1047" s="2"/>
      <c r="CC1047" s="2"/>
      <c r="CD1047" s="2"/>
      <c r="CE1047" s="2"/>
      <c r="CF1047" s="2"/>
      <c r="CG1047" s="2"/>
      <c r="CH1047" s="92"/>
      <c r="CI1047" s="92"/>
      <c r="CJ1047" s="297"/>
      <c r="CK1047" s="297"/>
      <c r="CL1047" s="297"/>
      <c r="CM1047" s="297"/>
      <c r="CN1047" s="297"/>
      <c r="CO1047" s="297"/>
      <c r="CP1047" s="2"/>
      <c r="CQ1047" s="2"/>
      <c r="CR1047" s="2"/>
      <c r="CS1047" s="196"/>
      <c r="CT1047">
        <v>22</v>
      </c>
      <c r="CU1047">
        <v>22</v>
      </c>
    </row>
    <row r="1048" spans="1:100">
      <c r="BM1048" s="1"/>
      <c r="CT1048">
        <v>22</v>
      </c>
      <c r="CU1048">
        <v>22</v>
      </c>
      <c r="CV1048">
        <v>9</v>
      </c>
    </row>
    <row r="1049" spans="1:100">
      <c r="A1049" s="319"/>
      <c r="B1049" s="319"/>
      <c r="C1049" s="319"/>
      <c r="D1049" s="319"/>
      <c r="E1049" s="319"/>
      <c r="F1049" s="319"/>
      <c r="G1049" s="319"/>
      <c r="H1049" s="319"/>
      <c r="I1049" s="322"/>
      <c r="J1049" s="322"/>
      <c r="K1049" s="322"/>
      <c r="L1049" s="322"/>
      <c r="M1049" s="410"/>
      <c r="N1049" s="322"/>
      <c r="O1049" s="322"/>
      <c r="P1049" s="322"/>
      <c r="Q1049" s="322"/>
      <c r="R1049" s="322"/>
      <c r="S1049" s="322"/>
      <c r="T1049" s="322"/>
      <c r="U1049" s="322"/>
      <c r="V1049" s="322"/>
      <c r="W1049" s="322"/>
      <c r="X1049" s="322"/>
      <c r="Y1049" s="322"/>
      <c r="Z1049" s="322"/>
      <c r="AA1049" s="322"/>
      <c r="AB1049" s="322"/>
      <c r="AC1049" s="322"/>
      <c r="AD1049" s="322"/>
      <c r="AE1049" s="322"/>
      <c r="AF1049" s="585"/>
      <c r="AG1049" s="319"/>
      <c r="AH1049" s="319"/>
      <c r="AI1049" s="319"/>
      <c r="AJ1049" s="319"/>
      <c r="AK1049" s="319"/>
      <c r="AL1049" s="319"/>
      <c r="AM1049" s="319"/>
      <c r="AN1049" s="319"/>
      <c r="AO1049" s="322"/>
      <c r="AP1049" s="322"/>
      <c r="AQ1049" s="322"/>
      <c r="AR1049" s="322"/>
      <c r="AS1049" s="410"/>
      <c r="AT1049" s="322"/>
      <c r="AU1049" s="322"/>
      <c r="AV1049" s="322"/>
      <c r="AW1049" s="322"/>
      <c r="AX1049" s="322"/>
      <c r="AY1049" s="322"/>
      <c r="AZ1049" s="322"/>
      <c r="BA1049" s="322"/>
      <c r="BB1049" s="322"/>
      <c r="BC1049" s="322"/>
      <c r="BD1049" s="322"/>
      <c r="BE1049" s="322"/>
      <c r="BF1049" s="322"/>
      <c r="BG1049" s="322"/>
      <c r="BH1049" s="322"/>
      <c r="BI1049" s="322"/>
      <c r="BJ1049" s="322"/>
      <c r="BK1049" s="322"/>
      <c r="BL1049" s="564"/>
      <c r="BM1049" s="1"/>
      <c r="CV1049">
        <v>10</v>
      </c>
    </row>
    <row r="1050" spans="1:100">
      <c r="A1050" s="319"/>
      <c r="B1050" s="319"/>
      <c r="C1050" s="319"/>
      <c r="D1050" s="319"/>
      <c r="E1050" s="319"/>
      <c r="F1050" s="319"/>
      <c r="G1050" s="319"/>
      <c r="H1050" s="319"/>
      <c r="I1050" s="322"/>
      <c r="J1050" s="322"/>
      <c r="K1050" s="322"/>
      <c r="L1050" s="322"/>
      <c r="M1050" s="410"/>
      <c r="N1050" s="322"/>
      <c r="O1050" s="322"/>
      <c r="P1050" s="322"/>
      <c r="Q1050" s="322"/>
      <c r="R1050" s="322"/>
      <c r="S1050" s="322"/>
      <c r="T1050" s="322"/>
      <c r="U1050" s="322"/>
      <c r="V1050" s="322"/>
      <c r="W1050" s="322"/>
      <c r="X1050" s="322"/>
      <c r="Y1050" s="322"/>
      <c r="Z1050" s="322"/>
      <c r="AA1050" s="322"/>
      <c r="AB1050" s="322"/>
      <c r="AC1050" s="322"/>
      <c r="AD1050" s="322"/>
      <c r="AE1050" s="322"/>
      <c r="AF1050" s="585"/>
      <c r="AG1050" s="319"/>
      <c r="AH1050" s="319"/>
      <c r="AI1050" s="319"/>
      <c r="AJ1050" s="319"/>
      <c r="AK1050" s="319"/>
      <c r="AL1050" s="319"/>
      <c r="AM1050" s="319"/>
      <c r="AN1050" s="319"/>
      <c r="AO1050" s="322"/>
      <c r="AP1050" s="322"/>
      <c r="AQ1050" s="322"/>
      <c r="AR1050" s="322"/>
      <c r="AS1050" s="410"/>
      <c r="AT1050" s="322"/>
      <c r="AU1050" s="322"/>
      <c r="AV1050" s="322"/>
      <c r="AW1050" s="322"/>
      <c r="AX1050" s="322"/>
      <c r="AY1050" s="322"/>
      <c r="AZ1050" s="322"/>
      <c r="BA1050" s="322"/>
      <c r="BB1050" s="322"/>
      <c r="BC1050" s="322"/>
      <c r="BD1050" s="322"/>
      <c r="BE1050" s="322"/>
      <c r="BF1050" s="322"/>
      <c r="BG1050" s="322"/>
      <c r="BH1050" s="322"/>
      <c r="BI1050" s="322"/>
      <c r="BJ1050" s="322"/>
      <c r="BK1050" s="322"/>
      <c r="BL1050" s="564"/>
      <c r="BM1050" s="1"/>
      <c r="BN1050" s="180"/>
      <c r="BO1050" s="2"/>
      <c r="BP1050" s="2"/>
      <c r="BQ1050" s="2"/>
      <c r="BR1050" s="189"/>
      <c r="BS1050" s="97"/>
      <c r="BT1050" s="97"/>
      <c r="BU1050" s="159"/>
      <c r="BV1050" s="159"/>
      <c r="BW1050" s="159"/>
      <c r="BX1050" s="2"/>
      <c r="BY1050" s="2"/>
      <c r="BZ1050" s="2"/>
      <c r="CA1050" s="2"/>
      <c r="CB1050" s="2"/>
      <c r="CC1050" s="2"/>
      <c r="CD1050" s="2"/>
      <c r="CE1050" s="2"/>
      <c r="CF1050" s="2"/>
      <c r="CG1050" s="2"/>
      <c r="CH1050" s="92"/>
      <c r="CI1050" s="92"/>
      <c r="CJ1050" s="97"/>
      <c r="CK1050" s="97"/>
      <c r="CL1050" s="159"/>
      <c r="CM1050" s="159"/>
      <c r="CN1050" s="102"/>
      <c r="CO1050" s="102"/>
      <c r="CP1050" s="2"/>
      <c r="CQ1050" s="2"/>
      <c r="CR1050" s="2"/>
      <c r="CS1050" s="196"/>
    </row>
    <row r="1051" spans="1:100">
      <c r="A1051" s="445"/>
      <c r="B1051" s="445"/>
      <c r="C1051" s="445"/>
      <c r="D1051" s="445"/>
      <c r="E1051" s="445"/>
      <c r="F1051" s="445"/>
      <c r="G1051" s="445"/>
      <c r="H1051" s="445"/>
      <c r="I1051" s="445"/>
      <c r="J1051" s="445"/>
      <c r="K1051" s="445"/>
      <c r="L1051" s="445"/>
      <c r="M1051" s="445"/>
      <c r="N1051" s="445"/>
      <c r="O1051" s="445"/>
      <c r="P1051" s="445"/>
      <c r="Q1051" s="445"/>
      <c r="R1051" s="445"/>
      <c r="S1051" s="445"/>
      <c r="T1051" s="445"/>
      <c r="U1051" s="445"/>
      <c r="V1051" s="445"/>
      <c r="W1051" s="445"/>
      <c r="X1051" s="445"/>
      <c r="Y1051" s="438"/>
      <c r="Z1051" s="438"/>
      <c r="AA1051" s="438"/>
      <c r="AB1051" s="438"/>
      <c r="AC1051" s="438"/>
      <c r="AD1051" s="438"/>
      <c r="AE1051" s="438"/>
      <c r="AF1051" s="438"/>
      <c r="AG1051" s="638"/>
      <c r="AH1051" s="638"/>
      <c r="AI1051" s="638"/>
      <c r="AJ1051" s="638"/>
      <c r="AK1051" s="638"/>
      <c r="AL1051" s="638"/>
      <c r="AM1051" s="638"/>
      <c r="AN1051" s="638"/>
      <c r="AO1051" s="549"/>
      <c r="AP1051" s="549"/>
      <c r="AQ1051" s="549"/>
      <c r="AR1051" s="549"/>
      <c r="AS1051" s="549"/>
      <c r="AT1051" s="549"/>
      <c r="AU1051" s="549"/>
      <c r="AV1051" s="549"/>
      <c r="AW1051" s="549"/>
      <c r="AX1051" s="549"/>
      <c r="AY1051" s="549"/>
      <c r="AZ1051" s="549"/>
      <c r="BA1051" s="549"/>
      <c r="BB1051" s="549"/>
      <c r="BC1051" s="549"/>
      <c r="BD1051" s="549"/>
      <c r="BE1051" s="635"/>
      <c r="BF1051" s="635"/>
      <c r="BG1051" s="635"/>
      <c r="BH1051" s="635"/>
      <c r="BI1051" s="635"/>
      <c r="BJ1051" s="635"/>
      <c r="BK1051" s="635"/>
      <c r="BL1051" s="635"/>
      <c r="BM1051" s="1"/>
      <c r="BN1051" s="180"/>
      <c r="BO1051" s="2"/>
      <c r="BP1051" s="2"/>
      <c r="BQ1051" s="2"/>
      <c r="BR1051" s="102"/>
      <c r="BS1051" s="102"/>
      <c r="BT1051" s="102"/>
      <c r="BU1051" s="98"/>
      <c r="BV1051" s="98"/>
      <c r="BW1051" s="98"/>
      <c r="BX1051" s="2"/>
      <c r="BY1051" s="2"/>
      <c r="BZ1051" s="185"/>
      <c r="CA1051" s="179"/>
      <c r="CB1051" s="2"/>
      <c r="CC1051" s="2"/>
      <c r="CD1051" s="2"/>
      <c r="CE1051" s="2"/>
      <c r="CF1051" s="185"/>
      <c r="CG1051" s="179"/>
      <c r="CH1051" s="92"/>
      <c r="CI1051" s="92"/>
      <c r="CJ1051" s="102"/>
      <c r="CK1051" s="98"/>
      <c r="CL1051" s="98"/>
      <c r="CM1051" s="98"/>
      <c r="CN1051" s="98"/>
      <c r="CO1051" s="98"/>
      <c r="CP1051" s="2"/>
      <c r="CQ1051" s="2"/>
      <c r="CR1051" s="2"/>
      <c r="CS1051" s="195"/>
    </row>
    <row r="1052" spans="1:100">
      <c r="A1052" s="452"/>
      <c r="B1052" s="452"/>
      <c r="C1052" s="452"/>
      <c r="D1052" s="452"/>
      <c r="E1052" s="452"/>
      <c r="F1052" s="452"/>
      <c r="G1052" s="452"/>
      <c r="H1052" s="452"/>
      <c r="I1052" s="452"/>
      <c r="J1052" s="452"/>
      <c r="K1052" s="452"/>
      <c r="L1052" s="452"/>
      <c r="M1052" s="452"/>
      <c r="N1052" s="452"/>
      <c r="O1052" s="452"/>
      <c r="P1052" s="452"/>
      <c r="Q1052" s="452"/>
      <c r="R1052" s="452"/>
      <c r="S1052" s="452"/>
      <c r="T1052" s="452"/>
      <c r="U1052" s="452"/>
      <c r="V1052" s="452"/>
      <c r="W1052" s="452"/>
      <c r="X1052" s="452"/>
      <c r="Y1052" s="452"/>
      <c r="Z1052" s="452"/>
      <c r="AA1052" s="452"/>
      <c r="AB1052" s="452"/>
      <c r="AC1052" s="452"/>
      <c r="AD1052" s="452"/>
      <c r="AE1052" s="452"/>
      <c r="AF1052" s="452"/>
      <c r="AG1052" s="571"/>
      <c r="AH1052" s="571"/>
      <c r="AI1052" s="571"/>
      <c r="AJ1052" s="571"/>
      <c r="AK1052" s="571"/>
      <c r="AL1052" s="571"/>
      <c r="AM1052" s="571"/>
      <c r="AN1052" s="571"/>
      <c r="AO1052" s="601"/>
      <c r="AP1052" s="601"/>
      <c r="AQ1052" s="601"/>
      <c r="AR1052" s="601"/>
      <c r="AS1052" s="601"/>
      <c r="AT1052" s="601"/>
      <c r="AU1052" s="601"/>
      <c r="AV1052" s="601"/>
      <c r="AW1052" s="601"/>
      <c r="AX1052" s="601"/>
      <c r="AY1052" s="601"/>
      <c r="AZ1052" s="601"/>
      <c r="BA1052" s="601"/>
      <c r="BB1052" s="601"/>
      <c r="BC1052" s="601"/>
      <c r="BD1052" s="601"/>
      <c r="BE1052" s="601"/>
      <c r="BF1052" s="601"/>
      <c r="BG1052" s="601"/>
      <c r="BH1052" s="601"/>
      <c r="BI1052" s="601"/>
      <c r="BJ1052" s="601"/>
      <c r="BK1052" s="601"/>
      <c r="BL1052" s="637"/>
      <c r="BM1052" s="1"/>
      <c r="CV1052">
        <v>9</v>
      </c>
    </row>
    <row r="1053" spans="1:100">
      <c r="A1053" s="319"/>
      <c r="B1053" s="319"/>
      <c r="C1053" s="319"/>
      <c r="D1053" s="319"/>
      <c r="E1053" s="319"/>
      <c r="F1053" s="319"/>
      <c r="G1053" s="319"/>
      <c r="H1053" s="319"/>
      <c r="I1053" s="322"/>
      <c r="J1053" s="321"/>
      <c r="K1053" s="322"/>
      <c r="L1053" s="322"/>
      <c r="M1053" s="322"/>
      <c r="N1053" s="322"/>
      <c r="O1053" s="322"/>
      <c r="P1053" s="322"/>
      <c r="Q1053" s="322"/>
      <c r="R1053" s="322"/>
      <c r="S1053" s="322"/>
      <c r="T1053" s="322"/>
      <c r="U1053" s="322"/>
      <c r="V1053" s="322"/>
      <c r="W1053" s="322"/>
      <c r="X1053" s="322"/>
      <c r="Y1053" s="322"/>
      <c r="Z1053" s="322"/>
      <c r="AA1053" s="322"/>
      <c r="AB1053" s="322"/>
      <c r="AC1053" s="322"/>
      <c r="AD1053" s="322"/>
      <c r="AE1053" s="322"/>
      <c r="AF1053" s="585"/>
      <c r="AG1053" s="319"/>
      <c r="AH1053" s="319"/>
      <c r="AI1053" s="319"/>
      <c r="AJ1053" s="319"/>
      <c r="AK1053" s="319"/>
      <c r="AL1053" s="319"/>
      <c r="AM1053" s="319"/>
      <c r="AN1053" s="319"/>
      <c r="AO1053" s="322"/>
      <c r="AP1053" s="321"/>
      <c r="AQ1053" s="322"/>
      <c r="AR1053" s="322"/>
      <c r="AS1053" s="322"/>
      <c r="AT1053" s="322"/>
      <c r="AU1053" s="322"/>
      <c r="AV1053" s="322"/>
      <c r="AW1053" s="322"/>
      <c r="AX1053" s="322"/>
      <c r="AY1053" s="322"/>
      <c r="AZ1053" s="322"/>
      <c r="BA1053" s="322"/>
      <c r="BB1053" s="322"/>
      <c r="BC1053" s="322"/>
      <c r="BD1053" s="322"/>
      <c r="BE1053" s="322"/>
      <c r="BF1053" s="322"/>
      <c r="BG1053" s="322"/>
      <c r="BH1053" s="322"/>
      <c r="BI1053" s="322"/>
      <c r="BJ1053" s="322"/>
      <c r="BK1053" s="322"/>
      <c r="BL1053" s="564"/>
      <c r="BM1053" s="1"/>
      <c r="CV1053">
        <v>23</v>
      </c>
    </row>
    <row r="1054" spans="1:100">
      <c r="A1054" s="319"/>
      <c r="B1054" s="319"/>
      <c r="C1054" s="319"/>
      <c r="D1054" s="319"/>
      <c r="E1054" s="319"/>
      <c r="F1054" s="319"/>
      <c r="G1054" s="319"/>
      <c r="H1054" s="319"/>
      <c r="I1054" s="322"/>
      <c r="J1054" s="321"/>
      <c r="K1054" s="322"/>
      <c r="L1054" s="322"/>
      <c r="M1054" s="322"/>
      <c r="N1054" s="322"/>
      <c r="O1054" s="322"/>
      <c r="P1054" s="322"/>
      <c r="Q1054" s="322"/>
      <c r="R1054" s="322"/>
      <c r="S1054" s="322"/>
      <c r="T1054" s="322"/>
      <c r="U1054" s="322"/>
      <c r="V1054" s="322"/>
      <c r="W1054" s="322"/>
      <c r="X1054" s="322"/>
      <c r="Y1054" s="322"/>
      <c r="Z1054" s="322"/>
      <c r="AA1054" s="322"/>
      <c r="AB1054" s="322"/>
      <c r="AC1054" s="322"/>
      <c r="AD1054" s="322"/>
      <c r="AE1054" s="322"/>
      <c r="AF1054" s="585"/>
      <c r="AG1054" s="319"/>
      <c r="AH1054" s="319"/>
      <c r="AI1054" s="319"/>
      <c r="AJ1054" s="319"/>
      <c r="AK1054" s="319"/>
      <c r="AL1054" s="319"/>
      <c r="AM1054" s="319"/>
      <c r="AN1054" s="319"/>
      <c r="AO1054" s="322"/>
      <c r="AP1054" s="321"/>
      <c r="AQ1054" s="322"/>
      <c r="AR1054" s="322"/>
      <c r="AS1054" s="322"/>
      <c r="AT1054" s="322"/>
      <c r="AU1054" s="322"/>
      <c r="AV1054" s="322"/>
      <c r="AW1054" s="322"/>
      <c r="AX1054" s="322"/>
      <c r="AY1054" s="322"/>
      <c r="AZ1054" s="322"/>
      <c r="BA1054" s="322"/>
      <c r="BB1054" s="322"/>
      <c r="BC1054" s="322"/>
      <c r="BD1054" s="322"/>
      <c r="BE1054" s="322"/>
      <c r="BF1054" s="322"/>
      <c r="BG1054" s="322"/>
      <c r="BH1054" s="322"/>
      <c r="BI1054" s="322"/>
      <c r="BJ1054" s="322"/>
      <c r="BK1054" s="322"/>
      <c r="BL1054" s="564"/>
      <c r="BM1054" s="1"/>
      <c r="BN1054" s="180"/>
      <c r="BO1054" s="2"/>
      <c r="BP1054" s="2"/>
      <c r="BQ1054" s="2"/>
      <c r="BR1054" s="2"/>
      <c r="BS1054" s="2"/>
      <c r="BT1054" s="2"/>
      <c r="BU1054" s="2"/>
      <c r="BV1054" s="2"/>
      <c r="BW1054" s="2"/>
      <c r="BX1054" s="2"/>
      <c r="BY1054" s="2"/>
      <c r="BZ1054" s="2"/>
      <c r="CA1054" s="2"/>
      <c r="CB1054" s="2"/>
      <c r="CC1054" s="2"/>
      <c r="CD1054" s="2"/>
      <c r="CE1054" s="2"/>
      <c r="CF1054" s="2"/>
      <c r="CG1054" s="2"/>
      <c r="CH1054" s="92"/>
      <c r="CI1054" s="92"/>
      <c r="CJ1054" s="2"/>
      <c r="CK1054" s="2"/>
      <c r="CL1054" s="2"/>
      <c r="CM1054" s="2"/>
      <c r="CN1054" s="2"/>
      <c r="CO1054" s="2"/>
      <c r="CP1054" s="2"/>
      <c r="CQ1054" s="2"/>
      <c r="CR1054" s="2"/>
      <c r="CS1054" s="195"/>
    </row>
    <row r="1055" spans="1:100">
      <c r="A1055" s="319"/>
      <c r="B1055" s="319"/>
      <c r="C1055" s="319"/>
      <c r="D1055" s="319"/>
      <c r="E1055" s="319"/>
      <c r="F1055" s="319"/>
      <c r="G1055" s="319"/>
      <c r="H1055" s="319"/>
      <c r="I1055" s="322"/>
      <c r="J1055" s="321"/>
      <c r="K1055" s="322"/>
      <c r="L1055" s="322"/>
      <c r="M1055" s="322"/>
      <c r="N1055" s="322"/>
      <c r="O1055" s="322"/>
      <c r="P1055" s="322"/>
      <c r="Q1055" s="322"/>
      <c r="R1055" s="322"/>
      <c r="S1055" s="322"/>
      <c r="T1055" s="322"/>
      <c r="U1055" s="322"/>
      <c r="V1055" s="322"/>
      <c r="W1055" s="322"/>
      <c r="X1055" s="322"/>
      <c r="Y1055" s="322"/>
      <c r="Z1055" s="322"/>
      <c r="AA1055" s="322"/>
      <c r="AB1055" s="322"/>
      <c r="AC1055" s="322"/>
      <c r="AD1055" s="322"/>
      <c r="AE1055" s="322"/>
      <c r="AF1055" s="585"/>
      <c r="AG1055" s="319"/>
      <c r="AH1055" s="319"/>
      <c r="AI1055" s="319"/>
      <c r="AJ1055" s="319"/>
      <c r="AK1055" s="319"/>
      <c r="AL1055" s="319"/>
      <c r="AM1055" s="319"/>
      <c r="AN1055" s="319"/>
      <c r="AO1055" s="322"/>
      <c r="AP1055" s="321"/>
      <c r="AQ1055" s="322"/>
      <c r="AR1055" s="322"/>
      <c r="AS1055" s="322"/>
      <c r="AT1055" s="322"/>
      <c r="AU1055" s="322"/>
      <c r="AV1055" s="322"/>
      <c r="AW1055" s="322"/>
      <c r="AX1055" s="322"/>
      <c r="AY1055" s="322"/>
      <c r="AZ1055" s="322"/>
      <c r="BA1055" s="322"/>
      <c r="BB1055" s="322"/>
      <c r="BC1055" s="322"/>
      <c r="BD1055" s="322"/>
      <c r="BE1055" s="322"/>
      <c r="BF1055" s="322"/>
      <c r="BG1055" s="322"/>
      <c r="BH1055" s="322"/>
      <c r="BI1055" s="322"/>
      <c r="BJ1055" s="322"/>
      <c r="BK1055" s="322"/>
      <c r="BL1055" s="564"/>
      <c r="BM1055" s="1"/>
      <c r="CV1055">
        <v>30</v>
      </c>
    </row>
    <row r="1056" spans="1:100">
      <c r="A1056" s="445"/>
      <c r="B1056" s="445"/>
      <c r="C1056" s="445"/>
      <c r="D1056" s="445"/>
      <c r="E1056" s="445"/>
      <c r="F1056" s="445"/>
      <c r="G1056" s="445"/>
      <c r="H1056" s="445"/>
      <c r="I1056" s="445"/>
      <c r="J1056" s="445"/>
      <c r="K1056" s="445"/>
      <c r="L1056" s="445"/>
      <c r="M1056" s="445"/>
      <c r="N1056" s="445"/>
      <c r="O1056" s="445"/>
      <c r="P1056" s="445"/>
      <c r="Q1056" s="445"/>
      <c r="R1056" s="445"/>
      <c r="S1056" s="445"/>
      <c r="T1056" s="445"/>
      <c r="U1056" s="445"/>
      <c r="V1056" s="445"/>
      <c r="W1056" s="438"/>
      <c r="X1056" s="438"/>
      <c r="Y1056" s="438"/>
      <c r="Z1056" s="438"/>
      <c r="AA1056" s="438"/>
      <c r="AB1056" s="438"/>
      <c r="AC1056" s="438"/>
      <c r="AD1056" s="438"/>
      <c r="AE1056" s="438"/>
      <c r="AF1056" s="438"/>
      <c r="AG1056" s="638"/>
      <c r="AH1056" s="638"/>
      <c r="AI1056" s="638"/>
      <c r="AJ1056" s="638"/>
      <c r="AK1056" s="638"/>
      <c r="AL1056" s="638"/>
      <c r="AM1056" s="549"/>
      <c r="AN1056" s="549"/>
      <c r="AO1056" s="549"/>
      <c r="AP1056" s="549"/>
      <c r="AQ1056" s="549"/>
      <c r="AR1056" s="549"/>
      <c r="AS1056" s="549"/>
      <c r="AT1056" s="549"/>
      <c r="AU1056" s="549"/>
      <c r="AV1056" s="549"/>
      <c r="AW1056" s="549"/>
      <c r="AX1056" s="549"/>
      <c r="AY1056" s="549"/>
      <c r="AZ1056" s="549"/>
      <c r="BA1056" s="549"/>
      <c r="BB1056" s="549"/>
      <c r="BC1056" s="635"/>
      <c r="BD1056" s="635"/>
      <c r="BE1056" s="635"/>
      <c r="BF1056" s="635"/>
      <c r="BG1056" s="635"/>
      <c r="BH1056" s="635"/>
      <c r="BI1056" s="635"/>
      <c r="BJ1056" s="635"/>
      <c r="BK1056" s="635"/>
      <c r="BL1056" s="635"/>
      <c r="BM1056" s="1"/>
      <c r="BN1056" s="178"/>
      <c r="BO1056" s="179"/>
      <c r="BP1056" s="179"/>
      <c r="BQ1056" s="179"/>
      <c r="BR1056" s="179"/>
      <c r="BS1056" s="179"/>
      <c r="BT1056" s="179"/>
      <c r="BU1056" s="179"/>
      <c r="BV1056" s="179"/>
      <c r="BW1056" s="179"/>
      <c r="BX1056" s="179"/>
      <c r="BY1056" s="179"/>
      <c r="BZ1056" s="179"/>
      <c r="CA1056" s="179"/>
      <c r="CB1056" s="179"/>
      <c r="CC1056" s="179"/>
      <c r="CD1056" s="179"/>
      <c r="CE1056" s="179"/>
      <c r="CF1056" s="179"/>
      <c r="CG1056" s="179"/>
      <c r="CH1056" s="179"/>
      <c r="CI1056" s="179"/>
      <c r="CJ1056" s="179"/>
      <c r="CK1056" s="179"/>
      <c r="CL1056" s="179"/>
      <c r="CM1056" s="179"/>
      <c r="CN1056" s="179"/>
      <c r="CO1056" s="179"/>
      <c r="CP1056" s="179"/>
      <c r="CQ1056" s="179"/>
      <c r="CR1056" s="179"/>
      <c r="CS1056" s="179"/>
    </row>
    <row r="1057" spans="1:100">
      <c r="A1057" s="547"/>
      <c r="B1057" s="547"/>
      <c r="C1057" s="547"/>
      <c r="D1057" s="547"/>
      <c r="E1057" s="547"/>
      <c r="F1057" s="547"/>
      <c r="G1057" s="547"/>
      <c r="H1057" s="547"/>
      <c r="I1057" s="547"/>
      <c r="J1057" s="547"/>
      <c r="K1057" s="547"/>
      <c r="L1057" s="547"/>
      <c r="M1057" s="547"/>
      <c r="N1057" s="547"/>
      <c r="O1057" s="547"/>
      <c r="P1057" s="547"/>
      <c r="Q1057" s="547"/>
      <c r="R1057" s="547"/>
      <c r="S1057" s="547"/>
      <c r="T1057" s="547"/>
      <c r="U1057" s="547"/>
      <c r="V1057" s="547"/>
      <c r="W1057" s="547"/>
      <c r="X1057" s="547"/>
      <c r="Y1057" s="547"/>
      <c r="Z1057" s="547"/>
      <c r="AA1057" s="547"/>
      <c r="AB1057" s="547"/>
      <c r="AC1057" s="547"/>
      <c r="AD1057" s="547"/>
      <c r="AE1057" s="547"/>
      <c r="AF1057" s="546"/>
      <c r="AG1057" s="547"/>
      <c r="AH1057" s="547"/>
      <c r="AI1057" s="547"/>
      <c r="AJ1057" s="547"/>
      <c r="AK1057" s="547"/>
      <c r="AL1057" s="547"/>
      <c r="AM1057" s="547"/>
      <c r="AN1057" s="547"/>
      <c r="AO1057" s="547"/>
      <c r="AP1057" s="547"/>
      <c r="AQ1057" s="547"/>
      <c r="AR1057" s="547"/>
      <c r="AS1057" s="547"/>
      <c r="AT1057" s="547"/>
      <c r="AU1057" s="547"/>
      <c r="AV1057" s="547"/>
      <c r="AW1057" s="547"/>
      <c r="AX1057" s="547"/>
      <c r="AY1057" s="547"/>
      <c r="AZ1057" s="547"/>
      <c r="BA1057" s="547"/>
      <c r="BB1057" s="547"/>
      <c r="BC1057" s="547"/>
      <c r="BD1057" s="547"/>
      <c r="BE1057" s="547"/>
      <c r="BF1057" s="547"/>
      <c r="BG1057" s="547"/>
      <c r="BH1057" s="547"/>
      <c r="BI1057" s="547"/>
      <c r="BJ1057" s="547"/>
      <c r="BK1057" s="547"/>
      <c r="BL1057" s="546"/>
      <c r="BM1057" s="96">
        <v>34</v>
      </c>
      <c r="BN1057" s="546"/>
      <c r="BO1057" s="546"/>
    </row>
    <row r="1058" spans="1:100">
      <c r="A1058" s="547"/>
      <c r="B1058" s="322">
        <v>1</v>
      </c>
      <c r="C1058" s="322">
        <v>1</v>
      </c>
      <c r="D1058" s="322">
        <v>1</v>
      </c>
      <c r="E1058" s="322">
        <v>1</v>
      </c>
      <c r="F1058" s="322">
        <v>1</v>
      </c>
      <c r="G1058" s="322">
        <v>1</v>
      </c>
      <c r="H1058" s="322">
        <v>0</v>
      </c>
      <c r="I1058" s="322">
        <v>1</v>
      </c>
      <c r="J1058" s="322">
        <v>1</v>
      </c>
      <c r="K1058" s="322">
        <v>1</v>
      </c>
      <c r="L1058" s="322">
        <v>1</v>
      </c>
      <c r="M1058" s="322">
        <v>1</v>
      </c>
      <c r="N1058" s="322">
        <v>1</v>
      </c>
      <c r="O1058" s="322">
        <v>0</v>
      </c>
      <c r="P1058" s="322">
        <v>1</v>
      </c>
      <c r="Q1058" s="322">
        <v>1</v>
      </c>
      <c r="R1058" s="322">
        <v>1</v>
      </c>
      <c r="S1058" s="322">
        <v>1</v>
      </c>
      <c r="T1058" s="322">
        <v>1</v>
      </c>
      <c r="U1058" s="322">
        <v>1</v>
      </c>
      <c r="V1058" s="322">
        <v>1</v>
      </c>
      <c r="W1058" s="322">
        <v>1</v>
      </c>
      <c r="X1058" s="322">
        <v>1</v>
      </c>
      <c r="Y1058" s="322">
        <v>1</v>
      </c>
      <c r="Z1058" s="322">
        <v>1</v>
      </c>
      <c r="AA1058" s="322">
        <v>1</v>
      </c>
      <c r="AB1058" s="322">
        <v>1</v>
      </c>
      <c r="AC1058" s="322">
        <v>1</v>
      </c>
      <c r="AD1058" s="322">
        <v>1</v>
      </c>
      <c r="AE1058" s="322">
        <v>1</v>
      </c>
      <c r="AF1058" s="548"/>
      <c r="AG1058" s="547"/>
      <c r="AH1058" s="322">
        <v>1</v>
      </c>
      <c r="AI1058" s="322">
        <v>1</v>
      </c>
      <c r="AJ1058" s="322">
        <v>1</v>
      </c>
      <c r="AK1058" s="322">
        <v>1</v>
      </c>
      <c r="AL1058" s="322">
        <v>1</v>
      </c>
      <c r="AM1058" s="322">
        <v>1</v>
      </c>
      <c r="AN1058" s="322">
        <v>1</v>
      </c>
      <c r="AO1058" s="322">
        <v>1</v>
      </c>
      <c r="AP1058" s="322">
        <v>1</v>
      </c>
      <c r="AQ1058" s="322">
        <v>1</v>
      </c>
      <c r="AR1058" s="322">
        <v>1</v>
      </c>
      <c r="AS1058" s="322">
        <v>1</v>
      </c>
      <c r="AT1058" s="322">
        <v>1</v>
      </c>
      <c r="AU1058" s="322">
        <v>1</v>
      </c>
      <c r="AV1058" s="322">
        <v>1</v>
      </c>
      <c r="AW1058" s="322">
        <v>1</v>
      </c>
      <c r="AX1058" s="322">
        <v>1</v>
      </c>
      <c r="AY1058" s="322">
        <v>1</v>
      </c>
      <c r="AZ1058" s="322">
        <v>1</v>
      </c>
      <c r="BA1058" s="322">
        <v>1</v>
      </c>
      <c r="BB1058" s="322">
        <v>1</v>
      </c>
      <c r="BC1058" s="322">
        <v>1</v>
      </c>
      <c r="BD1058" s="322">
        <v>0</v>
      </c>
      <c r="BE1058" s="322">
        <v>1</v>
      </c>
      <c r="BF1058" s="322">
        <v>1</v>
      </c>
      <c r="BG1058" s="322">
        <v>1</v>
      </c>
      <c r="BH1058" s="322">
        <v>1</v>
      </c>
      <c r="BI1058" s="322">
        <v>1</v>
      </c>
      <c r="BJ1058" s="322">
        <v>1</v>
      </c>
      <c r="BK1058" s="322">
        <v>1</v>
      </c>
      <c r="BL1058" s="548"/>
      <c r="BM1058" s="97"/>
      <c r="BN1058" s="547"/>
      <c r="BO1058" s="548"/>
    </row>
    <row r="1059" spans="1:100">
      <c r="A1059" s="547"/>
      <c r="B1059" s="322">
        <v>1</v>
      </c>
      <c r="C1059" s="322">
        <v>1</v>
      </c>
      <c r="D1059" s="322">
        <v>1</v>
      </c>
      <c r="E1059" s="322">
        <v>1</v>
      </c>
      <c r="F1059" s="322">
        <v>1</v>
      </c>
      <c r="G1059" s="322">
        <v>0</v>
      </c>
      <c r="H1059" s="322">
        <v>1</v>
      </c>
      <c r="I1059" s="322">
        <v>1</v>
      </c>
      <c r="J1059" s="322">
        <v>1</v>
      </c>
      <c r="K1059" s="322">
        <v>1</v>
      </c>
      <c r="L1059" s="322">
        <v>1</v>
      </c>
      <c r="M1059" s="322">
        <v>1</v>
      </c>
      <c r="N1059" s="322">
        <v>0</v>
      </c>
      <c r="O1059" s="322">
        <v>1</v>
      </c>
      <c r="P1059" s="322">
        <v>1</v>
      </c>
      <c r="Q1059" s="322">
        <v>1</v>
      </c>
      <c r="R1059" s="322">
        <v>1</v>
      </c>
      <c r="S1059" s="322">
        <v>1</v>
      </c>
      <c r="T1059" s="322">
        <v>1</v>
      </c>
      <c r="U1059" s="322">
        <v>1</v>
      </c>
      <c r="V1059" s="322">
        <v>1</v>
      </c>
      <c r="W1059" s="322">
        <v>1</v>
      </c>
      <c r="X1059" s="322">
        <v>1</v>
      </c>
      <c r="Y1059" s="322">
        <v>1</v>
      </c>
      <c r="Z1059" s="322">
        <v>0</v>
      </c>
      <c r="AA1059" s="322">
        <v>1</v>
      </c>
      <c r="AB1059" s="322">
        <v>1</v>
      </c>
      <c r="AC1059" s="322">
        <v>1</v>
      </c>
      <c r="AD1059" s="322">
        <v>0</v>
      </c>
      <c r="AE1059" s="322">
        <v>1</v>
      </c>
      <c r="AF1059" s="548"/>
      <c r="AG1059" s="547"/>
      <c r="AH1059" s="322">
        <v>1</v>
      </c>
      <c r="AI1059" s="322">
        <v>1</v>
      </c>
      <c r="AJ1059" s="322">
        <v>1</v>
      </c>
      <c r="AK1059" s="322">
        <v>1</v>
      </c>
      <c r="AL1059" s="322">
        <v>1</v>
      </c>
      <c r="AM1059" s="322">
        <v>1</v>
      </c>
      <c r="AN1059" s="322">
        <v>1</v>
      </c>
      <c r="AO1059" s="322">
        <v>1</v>
      </c>
      <c r="AP1059" s="322">
        <v>1</v>
      </c>
      <c r="AQ1059" s="322">
        <v>1</v>
      </c>
      <c r="AR1059" s="322">
        <v>1</v>
      </c>
      <c r="AS1059" s="322">
        <v>1</v>
      </c>
      <c r="AT1059" s="322">
        <v>1</v>
      </c>
      <c r="AU1059" s="322">
        <v>1</v>
      </c>
      <c r="AV1059" s="322">
        <v>1</v>
      </c>
      <c r="AW1059" s="322">
        <v>1</v>
      </c>
      <c r="AX1059" s="322">
        <v>1</v>
      </c>
      <c r="AY1059" s="322">
        <v>1</v>
      </c>
      <c r="AZ1059" s="322">
        <v>1</v>
      </c>
      <c r="BA1059" s="322">
        <v>1</v>
      </c>
      <c r="BB1059" s="322">
        <v>1</v>
      </c>
      <c r="BC1059" s="322">
        <v>0</v>
      </c>
      <c r="BD1059" s="322">
        <v>1</v>
      </c>
      <c r="BE1059" s="322">
        <v>1</v>
      </c>
      <c r="BF1059" s="322">
        <v>1</v>
      </c>
      <c r="BG1059" s="322">
        <v>1</v>
      </c>
      <c r="BH1059" s="322">
        <v>1</v>
      </c>
      <c r="BI1059" s="322">
        <v>1</v>
      </c>
      <c r="BJ1059" s="552">
        <v>1</v>
      </c>
      <c r="BK1059" s="322">
        <v>1</v>
      </c>
      <c r="BL1059" s="548"/>
      <c r="BM1059" s="1"/>
      <c r="CV1059">
        <v>2</v>
      </c>
    </row>
    <row r="1060" spans="1:100">
      <c r="A1060" s="547"/>
      <c r="B1060" s="322">
        <v>1</v>
      </c>
      <c r="C1060" s="322">
        <v>1</v>
      </c>
      <c r="D1060" s="322">
        <v>1</v>
      </c>
      <c r="E1060" s="322">
        <v>1</v>
      </c>
      <c r="F1060" s="322">
        <v>0</v>
      </c>
      <c r="G1060" s="322">
        <v>1</v>
      </c>
      <c r="H1060" s="322">
        <v>1</v>
      </c>
      <c r="I1060" s="322">
        <v>1</v>
      </c>
      <c r="J1060" s="322">
        <v>1</v>
      </c>
      <c r="K1060" s="322">
        <v>1</v>
      </c>
      <c r="L1060" s="322">
        <v>1</v>
      </c>
      <c r="M1060" s="322">
        <v>0</v>
      </c>
      <c r="N1060" s="322">
        <v>1</v>
      </c>
      <c r="O1060" s="322">
        <v>1</v>
      </c>
      <c r="P1060" s="322">
        <v>1</v>
      </c>
      <c r="Q1060" s="322">
        <v>1</v>
      </c>
      <c r="R1060" s="322">
        <v>1</v>
      </c>
      <c r="S1060" s="552">
        <v>1</v>
      </c>
      <c r="T1060" s="322">
        <v>1</v>
      </c>
      <c r="U1060" s="322">
        <v>1</v>
      </c>
      <c r="V1060" s="322">
        <v>1</v>
      </c>
      <c r="W1060" s="322">
        <v>1</v>
      </c>
      <c r="X1060" s="322">
        <v>1</v>
      </c>
      <c r="Y1060" s="322">
        <v>0</v>
      </c>
      <c r="Z1060" s="322">
        <v>1</v>
      </c>
      <c r="AA1060" s="322">
        <v>1</v>
      </c>
      <c r="AB1060" s="322">
        <v>1</v>
      </c>
      <c r="AC1060" s="322">
        <v>0</v>
      </c>
      <c r="AD1060" s="322">
        <v>1</v>
      </c>
      <c r="AE1060" s="322">
        <v>1</v>
      </c>
      <c r="AF1060" s="548"/>
      <c r="AG1060" s="547"/>
      <c r="AH1060" s="322">
        <v>1</v>
      </c>
      <c r="AI1060" s="322">
        <v>1</v>
      </c>
      <c r="AJ1060" s="322">
        <v>1</v>
      </c>
      <c r="AK1060" s="322">
        <v>1</v>
      </c>
      <c r="AL1060" s="322">
        <v>1</v>
      </c>
      <c r="AM1060" s="322">
        <v>0</v>
      </c>
      <c r="AN1060" s="322">
        <v>1</v>
      </c>
      <c r="AO1060" s="322">
        <v>1</v>
      </c>
      <c r="AP1060" s="322">
        <v>1</v>
      </c>
      <c r="AQ1060" s="322">
        <v>1</v>
      </c>
      <c r="AR1060" s="322">
        <v>1</v>
      </c>
      <c r="AS1060" s="322">
        <v>1</v>
      </c>
      <c r="AT1060" s="322">
        <v>1</v>
      </c>
      <c r="AU1060" s="322">
        <v>1</v>
      </c>
      <c r="AV1060" s="322">
        <v>1</v>
      </c>
      <c r="AW1060" s="322">
        <v>1</v>
      </c>
      <c r="AX1060" s="322">
        <v>1</v>
      </c>
      <c r="AY1060" s="552">
        <v>1</v>
      </c>
      <c r="AZ1060" s="322">
        <v>1</v>
      </c>
      <c r="BA1060" s="322">
        <v>1</v>
      </c>
      <c r="BB1060" s="322">
        <v>0</v>
      </c>
      <c r="BC1060" s="322">
        <v>1</v>
      </c>
      <c r="BD1060" s="322">
        <v>1</v>
      </c>
      <c r="BE1060" s="322">
        <v>1</v>
      </c>
      <c r="BF1060" s="322">
        <v>1</v>
      </c>
      <c r="BG1060" s="322">
        <v>1</v>
      </c>
      <c r="BH1060" s="322">
        <v>1</v>
      </c>
      <c r="BI1060" s="552">
        <v>1</v>
      </c>
      <c r="BJ1060" s="322">
        <v>1</v>
      </c>
      <c r="BK1060" s="322">
        <v>1</v>
      </c>
      <c r="BL1060" s="548"/>
      <c r="BM1060" s="1"/>
      <c r="CV1060">
        <v>2</v>
      </c>
    </row>
    <row r="1061" spans="1:100">
      <c r="A1061" s="547"/>
      <c r="B1061" s="322">
        <v>1</v>
      </c>
      <c r="C1061" s="322">
        <v>1</v>
      </c>
      <c r="D1061" s="322">
        <v>1</v>
      </c>
      <c r="E1061" s="322">
        <v>0</v>
      </c>
      <c r="F1061" s="322">
        <v>1</v>
      </c>
      <c r="G1061" s="322">
        <v>1</v>
      </c>
      <c r="H1061" s="322">
        <v>1</v>
      </c>
      <c r="I1061" s="322">
        <v>1</v>
      </c>
      <c r="J1061" s="322">
        <v>1</v>
      </c>
      <c r="K1061" s="322">
        <v>1</v>
      </c>
      <c r="L1061" s="322">
        <v>1</v>
      </c>
      <c r="M1061" s="322">
        <v>1</v>
      </c>
      <c r="N1061" s="322">
        <v>1</v>
      </c>
      <c r="O1061" s="322">
        <v>1</v>
      </c>
      <c r="P1061" s="322">
        <v>1</v>
      </c>
      <c r="Q1061" s="322">
        <v>1</v>
      </c>
      <c r="R1061" s="552">
        <v>1</v>
      </c>
      <c r="S1061" s="322">
        <v>1</v>
      </c>
      <c r="T1061" s="322">
        <v>1</v>
      </c>
      <c r="U1061" s="322">
        <v>1</v>
      </c>
      <c r="V1061" s="322">
        <v>1</v>
      </c>
      <c r="W1061" s="322">
        <v>1</v>
      </c>
      <c r="X1061" s="322">
        <v>0</v>
      </c>
      <c r="Y1061" s="322">
        <v>1</v>
      </c>
      <c r="Z1061" s="322">
        <v>1</v>
      </c>
      <c r="AA1061" s="322">
        <v>1</v>
      </c>
      <c r="AB1061" s="322">
        <v>0</v>
      </c>
      <c r="AC1061" s="322">
        <v>1</v>
      </c>
      <c r="AD1061" s="322">
        <v>1</v>
      </c>
      <c r="AE1061" s="322">
        <v>1</v>
      </c>
      <c r="AF1061" s="548"/>
      <c r="AG1061" s="547"/>
      <c r="AH1061" s="322">
        <v>1</v>
      </c>
      <c r="AI1061" s="322">
        <v>1</v>
      </c>
      <c r="AJ1061" s="322">
        <v>1</v>
      </c>
      <c r="AK1061" s="322">
        <v>1</v>
      </c>
      <c r="AL1061" s="322">
        <v>0</v>
      </c>
      <c r="AM1061" s="322">
        <v>1</v>
      </c>
      <c r="AN1061" s="322">
        <v>1</v>
      </c>
      <c r="AO1061" s="322">
        <v>1</v>
      </c>
      <c r="AP1061" s="322">
        <v>1</v>
      </c>
      <c r="AQ1061" s="322">
        <v>1</v>
      </c>
      <c r="AR1061" s="322">
        <v>1</v>
      </c>
      <c r="AS1061" s="322">
        <v>1</v>
      </c>
      <c r="AT1061" s="322">
        <v>0</v>
      </c>
      <c r="AU1061" s="322">
        <v>1</v>
      </c>
      <c r="AV1061" s="322">
        <v>1</v>
      </c>
      <c r="AW1061" s="322">
        <v>1</v>
      </c>
      <c r="AX1061" s="552">
        <v>1</v>
      </c>
      <c r="AY1061" s="322">
        <v>1</v>
      </c>
      <c r="AZ1061" s="322">
        <v>1</v>
      </c>
      <c r="BA1061" s="322">
        <v>1</v>
      </c>
      <c r="BB1061" s="322">
        <v>1</v>
      </c>
      <c r="BC1061" s="322">
        <v>1</v>
      </c>
      <c r="BD1061" s="322">
        <v>1</v>
      </c>
      <c r="BE1061" s="322">
        <v>1</v>
      </c>
      <c r="BF1061" s="322">
        <v>1</v>
      </c>
      <c r="BG1061" s="322">
        <v>1</v>
      </c>
      <c r="BH1061" s="552">
        <v>1</v>
      </c>
      <c r="BI1061" s="322">
        <v>1</v>
      </c>
      <c r="BJ1061" s="322">
        <v>1</v>
      </c>
      <c r="BK1061" s="322">
        <v>1</v>
      </c>
      <c r="BL1061" s="548"/>
      <c r="BM1061" s="1"/>
      <c r="CV1061">
        <v>2</v>
      </c>
    </row>
    <row r="1062" spans="1:100">
      <c r="A1062" s="547"/>
      <c r="B1062" s="322">
        <v>1</v>
      </c>
      <c r="C1062" s="322">
        <v>1</v>
      </c>
      <c r="D1062" s="322">
        <v>0</v>
      </c>
      <c r="E1062" s="322">
        <v>1</v>
      </c>
      <c r="F1062" s="322">
        <v>1</v>
      </c>
      <c r="G1062" s="322">
        <v>1</v>
      </c>
      <c r="H1062" s="322">
        <v>1</v>
      </c>
      <c r="I1062" s="322">
        <v>1</v>
      </c>
      <c r="J1062" s="322">
        <v>1</v>
      </c>
      <c r="K1062" s="322">
        <v>1</v>
      </c>
      <c r="L1062" s="322">
        <v>1</v>
      </c>
      <c r="M1062" s="322">
        <v>1</v>
      </c>
      <c r="N1062" s="322">
        <v>1</v>
      </c>
      <c r="O1062" s="322">
        <v>1</v>
      </c>
      <c r="P1062" s="322">
        <v>1</v>
      </c>
      <c r="Q1062" s="552">
        <v>1</v>
      </c>
      <c r="R1062" s="322">
        <v>1</v>
      </c>
      <c r="S1062" s="322">
        <v>1</v>
      </c>
      <c r="T1062" s="322">
        <v>1</v>
      </c>
      <c r="U1062" s="322">
        <v>1</v>
      </c>
      <c r="V1062" s="322">
        <v>1</v>
      </c>
      <c r="W1062" s="322">
        <v>0</v>
      </c>
      <c r="X1062" s="322">
        <v>1</v>
      </c>
      <c r="Y1062" s="322">
        <v>1</v>
      </c>
      <c r="Z1062" s="322">
        <v>1</v>
      </c>
      <c r="AA1062" s="552">
        <v>1</v>
      </c>
      <c r="AB1062" s="322">
        <v>1</v>
      </c>
      <c r="AC1062" s="322">
        <v>1</v>
      </c>
      <c r="AD1062" s="322">
        <v>1</v>
      </c>
      <c r="AE1062" s="322">
        <v>1</v>
      </c>
      <c r="AF1062" s="548"/>
      <c r="AG1062" s="547"/>
      <c r="AH1062" s="322">
        <v>1</v>
      </c>
      <c r="AI1062" s="322">
        <v>1</v>
      </c>
      <c r="AJ1062" s="322">
        <v>1</v>
      </c>
      <c r="AK1062" s="322">
        <v>0</v>
      </c>
      <c r="AL1062" s="322">
        <v>1</v>
      </c>
      <c r="AM1062" s="322">
        <v>1</v>
      </c>
      <c r="AN1062" s="322">
        <v>1</v>
      </c>
      <c r="AO1062" s="322">
        <v>1</v>
      </c>
      <c r="AP1062" s="322">
        <v>1</v>
      </c>
      <c r="AQ1062" s="322">
        <v>1</v>
      </c>
      <c r="AR1062" s="322">
        <v>1</v>
      </c>
      <c r="AS1062" s="322">
        <v>0</v>
      </c>
      <c r="AT1062" s="322">
        <v>1</v>
      </c>
      <c r="AU1062" s="322">
        <v>1</v>
      </c>
      <c r="AV1062" s="322">
        <v>1</v>
      </c>
      <c r="AW1062" s="552">
        <v>1</v>
      </c>
      <c r="AX1062" s="322">
        <v>1</v>
      </c>
      <c r="AY1062" s="322">
        <v>1</v>
      </c>
      <c r="AZ1062" s="322">
        <v>1</v>
      </c>
      <c r="BA1062" s="322">
        <v>1</v>
      </c>
      <c r="BB1062" s="322">
        <v>1</v>
      </c>
      <c r="BC1062" s="322">
        <v>1</v>
      </c>
      <c r="BD1062" s="322">
        <v>1</v>
      </c>
      <c r="BE1062" s="322">
        <v>1</v>
      </c>
      <c r="BF1062" s="322">
        <v>1</v>
      </c>
      <c r="BG1062" s="322">
        <v>1</v>
      </c>
      <c r="BH1062" s="322">
        <v>1</v>
      </c>
      <c r="BI1062" s="322">
        <v>1</v>
      </c>
      <c r="BJ1062" s="322">
        <v>1</v>
      </c>
      <c r="BK1062" s="322">
        <v>1</v>
      </c>
      <c r="BL1062" s="548"/>
      <c r="BM1062" s="1">
        <v>1</v>
      </c>
      <c r="CV1062">
        <v>2</v>
      </c>
    </row>
    <row r="1063" spans="1:100">
      <c r="A1063" s="547"/>
      <c r="B1063" s="322">
        <v>1</v>
      </c>
      <c r="C1063" s="322">
        <v>1</v>
      </c>
      <c r="D1063" s="322">
        <v>1</v>
      </c>
      <c r="E1063" s="322">
        <v>1</v>
      </c>
      <c r="F1063" s="322">
        <v>1</v>
      </c>
      <c r="G1063" s="322">
        <v>1</v>
      </c>
      <c r="H1063" s="322">
        <v>1</v>
      </c>
      <c r="I1063" s="552">
        <v>1</v>
      </c>
      <c r="J1063" s="322">
        <v>1</v>
      </c>
      <c r="K1063" s="322">
        <v>1</v>
      </c>
      <c r="L1063" s="322">
        <v>1</v>
      </c>
      <c r="M1063" s="322">
        <v>1</v>
      </c>
      <c r="N1063" s="322">
        <v>1</v>
      </c>
      <c r="O1063" s="322">
        <v>1</v>
      </c>
      <c r="P1063" s="552">
        <v>1</v>
      </c>
      <c r="Q1063" s="322">
        <v>1</v>
      </c>
      <c r="R1063" s="322">
        <v>1</v>
      </c>
      <c r="S1063" s="322">
        <v>1</v>
      </c>
      <c r="T1063" s="322">
        <v>1</v>
      </c>
      <c r="U1063" s="322">
        <v>1</v>
      </c>
      <c r="V1063" s="322">
        <v>1</v>
      </c>
      <c r="W1063" s="322">
        <v>1</v>
      </c>
      <c r="X1063" s="322">
        <v>1</v>
      </c>
      <c r="Y1063" s="322">
        <v>1</v>
      </c>
      <c r="Z1063" s="552">
        <v>1</v>
      </c>
      <c r="AA1063" s="322">
        <v>1</v>
      </c>
      <c r="AB1063" s="322">
        <v>1</v>
      </c>
      <c r="AC1063" s="322">
        <v>1</v>
      </c>
      <c r="AD1063" s="322">
        <v>1</v>
      </c>
      <c r="AE1063" s="322">
        <v>1</v>
      </c>
      <c r="AF1063" s="548"/>
      <c r="AG1063" s="547"/>
      <c r="AH1063" s="322">
        <v>1</v>
      </c>
      <c r="AI1063" s="322">
        <v>1</v>
      </c>
      <c r="AJ1063" s="322">
        <v>0</v>
      </c>
      <c r="AK1063" s="322">
        <v>1</v>
      </c>
      <c r="AL1063" s="322">
        <v>1</v>
      </c>
      <c r="AM1063" s="322">
        <v>1</v>
      </c>
      <c r="AN1063" s="322">
        <v>1</v>
      </c>
      <c r="AO1063" s="552">
        <v>1</v>
      </c>
      <c r="AP1063" s="322">
        <v>1</v>
      </c>
      <c r="AQ1063" s="322">
        <v>1</v>
      </c>
      <c r="AR1063" s="322">
        <v>0</v>
      </c>
      <c r="AS1063" s="322">
        <v>1</v>
      </c>
      <c r="AT1063" s="322">
        <v>1</v>
      </c>
      <c r="AU1063" s="322">
        <v>1</v>
      </c>
      <c r="AV1063" s="552">
        <v>1</v>
      </c>
      <c r="AW1063" s="322">
        <v>1</v>
      </c>
      <c r="AX1063" s="322">
        <v>1</v>
      </c>
      <c r="AY1063" s="322">
        <v>1</v>
      </c>
      <c r="AZ1063" s="322">
        <v>1</v>
      </c>
      <c r="BA1063" s="322">
        <v>1</v>
      </c>
      <c r="BB1063" s="322">
        <v>1</v>
      </c>
      <c r="BC1063" s="322">
        <v>1</v>
      </c>
      <c r="BD1063" s="322">
        <v>1</v>
      </c>
      <c r="BE1063" s="322">
        <v>1</v>
      </c>
      <c r="BF1063" s="322">
        <v>1</v>
      </c>
      <c r="BG1063" s="322">
        <v>1</v>
      </c>
      <c r="BH1063" s="322">
        <v>1</v>
      </c>
      <c r="BI1063" s="322">
        <v>1</v>
      </c>
      <c r="BJ1063" s="322">
        <v>1</v>
      </c>
      <c r="BK1063" s="322">
        <v>1</v>
      </c>
      <c r="BL1063" s="548"/>
      <c r="BM1063" s="1"/>
      <c r="CV1063">
        <v>2</v>
      </c>
    </row>
    <row r="1064" spans="1:100">
      <c r="A1064" s="547"/>
      <c r="B1064" s="322">
        <v>1</v>
      </c>
      <c r="C1064" s="322">
        <v>1</v>
      </c>
      <c r="D1064" s="322">
        <v>1</v>
      </c>
      <c r="E1064" s="322">
        <v>1</v>
      </c>
      <c r="F1064" s="322">
        <v>1</v>
      </c>
      <c r="G1064" s="322">
        <v>1</v>
      </c>
      <c r="H1064" s="552">
        <v>1</v>
      </c>
      <c r="I1064" s="322">
        <v>1</v>
      </c>
      <c r="J1064" s="322">
        <v>1</v>
      </c>
      <c r="K1064" s="322">
        <v>1</v>
      </c>
      <c r="L1064" s="322">
        <v>1</v>
      </c>
      <c r="M1064" s="322">
        <v>1</v>
      </c>
      <c r="N1064" s="322">
        <v>1</v>
      </c>
      <c r="O1064" s="322">
        <v>1</v>
      </c>
      <c r="P1064" s="322">
        <v>1</v>
      </c>
      <c r="Q1064" s="322">
        <v>1</v>
      </c>
      <c r="R1064" s="322">
        <v>1</v>
      </c>
      <c r="S1064" s="322">
        <v>1</v>
      </c>
      <c r="T1064" s="322">
        <v>1</v>
      </c>
      <c r="U1064" s="322">
        <v>1</v>
      </c>
      <c r="V1064" s="322">
        <v>1</v>
      </c>
      <c r="W1064" s="322">
        <v>1</v>
      </c>
      <c r="X1064" s="322">
        <v>1</v>
      </c>
      <c r="Y1064" s="552">
        <v>1</v>
      </c>
      <c r="Z1064" s="322">
        <v>1</v>
      </c>
      <c r="AA1064" s="322">
        <v>1</v>
      </c>
      <c r="AB1064" s="322">
        <v>1</v>
      </c>
      <c r="AC1064" s="322">
        <v>1</v>
      </c>
      <c r="AD1064" s="322">
        <v>1</v>
      </c>
      <c r="AE1064" s="322">
        <v>1</v>
      </c>
      <c r="AF1064" s="548"/>
      <c r="AG1064" s="547"/>
      <c r="AH1064" s="322">
        <v>1</v>
      </c>
      <c r="AI1064" s="322">
        <v>1</v>
      </c>
      <c r="AJ1064" s="322">
        <v>1</v>
      </c>
      <c r="AK1064" s="322">
        <v>1</v>
      </c>
      <c r="AL1064" s="322">
        <v>1</v>
      </c>
      <c r="AM1064" s="322">
        <v>1</v>
      </c>
      <c r="AN1064" s="552">
        <v>1</v>
      </c>
      <c r="AO1064" s="322">
        <v>1</v>
      </c>
      <c r="AP1064" s="322">
        <v>1</v>
      </c>
      <c r="AQ1064" s="322">
        <v>1</v>
      </c>
      <c r="AR1064" s="322">
        <v>1</v>
      </c>
      <c r="AS1064" s="322">
        <v>1</v>
      </c>
      <c r="AT1064" s="322">
        <v>1</v>
      </c>
      <c r="AU1064" s="322">
        <v>1</v>
      </c>
      <c r="AV1064" s="322">
        <v>1</v>
      </c>
      <c r="AW1064" s="322">
        <v>1</v>
      </c>
      <c r="AX1064" s="322">
        <v>1</v>
      </c>
      <c r="AY1064" s="322">
        <v>1</v>
      </c>
      <c r="AZ1064" s="322">
        <v>1</v>
      </c>
      <c r="BA1064" s="322">
        <v>1</v>
      </c>
      <c r="BB1064" s="322">
        <v>1</v>
      </c>
      <c r="BC1064" s="322">
        <v>1</v>
      </c>
      <c r="BD1064" s="322">
        <v>1</v>
      </c>
      <c r="BE1064" s="322">
        <v>1</v>
      </c>
      <c r="BF1064" s="322">
        <v>1</v>
      </c>
      <c r="BG1064" s="322">
        <v>1</v>
      </c>
      <c r="BH1064" s="322">
        <v>1</v>
      </c>
      <c r="BI1064" s="322">
        <v>1</v>
      </c>
      <c r="BJ1064" s="322">
        <v>1</v>
      </c>
      <c r="BK1064" s="322">
        <v>1</v>
      </c>
      <c r="BL1064" s="548"/>
      <c r="BM1064" s="1">
        <v>1</v>
      </c>
      <c r="CV1064">
        <v>2</v>
      </c>
    </row>
    <row r="1065" spans="1:100">
      <c r="A1065" s="547"/>
      <c r="B1065" s="322">
        <v>1</v>
      </c>
      <c r="C1065" s="322">
        <v>1</v>
      </c>
      <c r="D1065" s="322">
        <v>1</v>
      </c>
      <c r="E1065" s="322">
        <v>1</v>
      </c>
      <c r="F1065" s="322">
        <v>1</v>
      </c>
      <c r="G1065" s="552">
        <v>1</v>
      </c>
      <c r="H1065" s="322">
        <v>1</v>
      </c>
      <c r="I1065" s="322">
        <v>1</v>
      </c>
      <c r="J1065" s="322">
        <v>1</v>
      </c>
      <c r="K1065" s="322">
        <v>1</v>
      </c>
      <c r="L1065" s="322">
        <v>0</v>
      </c>
      <c r="M1065" s="322">
        <v>1</v>
      </c>
      <c r="N1065" s="322">
        <v>1</v>
      </c>
      <c r="O1065" s="322">
        <v>1</v>
      </c>
      <c r="P1065" s="322">
        <v>1</v>
      </c>
      <c r="Q1065" s="322">
        <v>1</v>
      </c>
      <c r="R1065" s="322">
        <v>1</v>
      </c>
      <c r="S1065" s="322">
        <v>1</v>
      </c>
      <c r="T1065" s="322">
        <v>1</v>
      </c>
      <c r="U1065" s="322">
        <v>1</v>
      </c>
      <c r="V1065" s="322">
        <v>1</v>
      </c>
      <c r="W1065" s="322">
        <v>1</v>
      </c>
      <c r="X1065" s="322">
        <v>1</v>
      </c>
      <c r="Y1065" s="322">
        <v>1</v>
      </c>
      <c r="Z1065" s="322">
        <v>1</v>
      </c>
      <c r="AA1065" s="322">
        <v>1</v>
      </c>
      <c r="AB1065" s="322">
        <v>1</v>
      </c>
      <c r="AC1065" s="322">
        <v>1</v>
      </c>
      <c r="AD1065" s="322">
        <v>0</v>
      </c>
      <c r="AE1065" s="322">
        <v>1</v>
      </c>
      <c r="AF1065" s="548"/>
      <c r="AG1065" s="547"/>
      <c r="AH1065" s="322">
        <v>1</v>
      </c>
      <c r="AI1065" s="322">
        <v>1</v>
      </c>
      <c r="AJ1065" s="322">
        <v>1</v>
      </c>
      <c r="AK1065" s="322">
        <v>1</v>
      </c>
      <c r="AL1065" s="322">
        <v>1</v>
      </c>
      <c r="AM1065" s="552">
        <v>1</v>
      </c>
      <c r="AN1065" s="322">
        <v>1</v>
      </c>
      <c r="AO1065" s="322">
        <v>1</v>
      </c>
      <c r="AP1065" s="322">
        <v>1</v>
      </c>
      <c r="AQ1065" s="322">
        <v>1</v>
      </c>
      <c r="AR1065" s="322">
        <v>1</v>
      </c>
      <c r="AS1065" s="322">
        <v>1</v>
      </c>
      <c r="AT1065" s="322">
        <v>1</v>
      </c>
      <c r="AU1065" s="322">
        <v>1</v>
      </c>
      <c r="AV1065" s="322">
        <v>1</v>
      </c>
      <c r="AW1065" s="322">
        <v>1</v>
      </c>
      <c r="AX1065" s="322">
        <v>1</v>
      </c>
      <c r="AY1065" s="322">
        <v>1</v>
      </c>
      <c r="AZ1065" s="322">
        <v>1</v>
      </c>
      <c r="BA1065" s="322">
        <v>1</v>
      </c>
      <c r="BB1065" s="322">
        <v>1</v>
      </c>
      <c r="BC1065" s="322">
        <v>1</v>
      </c>
      <c r="BD1065" s="322">
        <v>1</v>
      </c>
      <c r="BE1065" s="322">
        <v>1</v>
      </c>
      <c r="BF1065" s="322">
        <v>1</v>
      </c>
      <c r="BG1065" s="322">
        <v>1</v>
      </c>
      <c r="BH1065" s="322">
        <v>1</v>
      </c>
      <c r="BI1065" s="322">
        <v>1</v>
      </c>
      <c r="BJ1065" s="322">
        <v>1</v>
      </c>
      <c r="BK1065" s="322">
        <v>1</v>
      </c>
      <c r="BL1065" s="548"/>
      <c r="BM1065" s="1"/>
      <c r="CV1065">
        <v>2</v>
      </c>
    </row>
    <row r="1066" spans="1:100">
      <c r="A1066" s="547"/>
      <c r="B1066" s="322">
        <v>1</v>
      </c>
      <c r="C1066" s="322">
        <v>1</v>
      </c>
      <c r="D1066" s="322">
        <v>1</v>
      </c>
      <c r="E1066" s="322">
        <v>1</v>
      </c>
      <c r="F1066" s="322">
        <v>1</v>
      </c>
      <c r="G1066" s="322">
        <v>1</v>
      </c>
      <c r="H1066" s="322">
        <v>1</v>
      </c>
      <c r="I1066" s="322">
        <v>1</v>
      </c>
      <c r="J1066" s="322">
        <v>1</v>
      </c>
      <c r="K1066" s="322">
        <v>0</v>
      </c>
      <c r="L1066" s="322">
        <v>1</v>
      </c>
      <c r="M1066" s="322">
        <v>1</v>
      </c>
      <c r="N1066" s="322">
        <v>1</v>
      </c>
      <c r="O1066" s="322">
        <v>1</v>
      </c>
      <c r="P1066" s="322">
        <v>1</v>
      </c>
      <c r="Q1066" s="322">
        <v>1</v>
      </c>
      <c r="R1066" s="322">
        <v>1</v>
      </c>
      <c r="S1066" s="322">
        <v>1</v>
      </c>
      <c r="T1066" s="322">
        <v>1</v>
      </c>
      <c r="U1066" s="322">
        <v>1</v>
      </c>
      <c r="V1066" s="322">
        <v>1</v>
      </c>
      <c r="W1066" s="322">
        <v>1</v>
      </c>
      <c r="X1066" s="322">
        <v>1</v>
      </c>
      <c r="Y1066" s="322">
        <v>1</v>
      </c>
      <c r="Z1066" s="322">
        <v>1</v>
      </c>
      <c r="AA1066" s="322">
        <v>1</v>
      </c>
      <c r="AB1066" s="322">
        <v>1</v>
      </c>
      <c r="AC1066" s="322">
        <v>0</v>
      </c>
      <c r="AD1066" s="322">
        <v>1</v>
      </c>
      <c r="AE1066" s="322">
        <v>1</v>
      </c>
      <c r="AF1066" s="548"/>
      <c r="AG1066" s="547"/>
      <c r="AH1066" s="322">
        <v>1</v>
      </c>
      <c r="AI1066" s="322">
        <v>1</v>
      </c>
      <c r="AJ1066" s="322">
        <v>1</v>
      </c>
      <c r="AK1066" s="322">
        <v>1</v>
      </c>
      <c r="AL1066" s="322">
        <v>1</v>
      </c>
      <c r="AM1066" s="322">
        <v>1</v>
      </c>
      <c r="AN1066" s="322">
        <v>1</v>
      </c>
      <c r="AO1066" s="322">
        <v>1</v>
      </c>
      <c r="AP1066" s="322">
        <v>1</v>
      </c>
      <c r="AQ1066" s="322">
        <v>1</v>
      </c>
      <c r="AR1066" s="322">
        <v>1</v>
      </c>
      <c r="AS1066" s="322">
        <v>1</v>
      </c>
      <c r="AT1066" s="322">
        <v>1</v>
      </c>
      <c r="AU1066" s="322">
        <v>1</v>
      </c>
      <c r="AV1066" s="322">
        <v>1</v>
      </c>
      <c r="AW1066" s="322">
        <v>1</v>
      </c>
      <c r="AX1066" s="322">
        <v>1</v>
      </c>
      <c r="AY1066" s="322">
        <v>1</v>
      </c>
      <c r="AZ1066" s="322">
        <v>1</v>
      </c>
      <c r="BA1066" s="322">
        <v>1</v>
      </c>
      <c r="BB1066" s="322">
        <v>1</v>
      </c>
      <c r="BC1066" s="322">
        <v>1</v>
      </c>
      <c r="BD1066" s="322">
        <v>1</v>
      </c>
      <c r="BE1066" s="322">
        <v>1</v>
      </c>
      <c r="BF1066" s="322">
        <v>1</v>
      </c>
      <c r="BG1066" s="322">
        <v>1</v>
      </c>
      <c r="BH1066" s="322">
        <v>1</v>
      </c>
      <c r="BI1066" s="322">
        <v>1</v>
      </c>
      <c r="BJ1066" s="322">
        <v>1</v>
      </c>
      <c r="BK1066" s="322">
        <v>1</v>
      </c>
      <c r="BL1066" s="548"/>
      <c r="BM1066" s="1"/>
      <c r="CV1066">
        <v>2</v>
      </c>
    </row>
    <row r="1067" spans="1:100">
      <c r="A1067" s="547"/>
      <c r="B1067" s="322">
        <v>1</v>
      </c>
      <c r="C1067" s="322">
        <v>1</v>
      </c>
      <c r="D1067" s="322">
        <v>1</v>
      </c>
      <c r="E1067" s="322">
        <v>1</v>
      </c>
      <c r="F1067" s="322">
        <v>1</v>
      </c>
      <c r="G1067" s="322">
        <v>1</v>
      </c>
      <c r="H1067" s="322">
        <v>1</v>
      </c>
      <c r="I1067" s="322">
        <v>1</v>
      </c>
      <c r="J1067" s="322">
        <v>0</v>
      </c>
      <c r="K1067" s="322">
        <v>1</v>
      </c>
      <c r="L1067" s="322">
        <v>1</v>
      </c>
      <c r="M1067" s="322">
        <v>1</v>
      </c>
      <c r="N1067" s="322">
        <v>1</v>
      </c>
      <c r="O1067" s="322">
        <v>1</v>
      </c>
      <c r="P1067" s="322">
        <v>1</v>
      </c>
      <c r="Q1067" s="322">
        <v>1</v>
      </c>
      <c r="R1067" s="453">
        <v>-1</v>
      </c>
      <c r="S1067" s="322">
        <v>1</v>
      </c>
      <c r="T1067" s="453">
        <v>-1</v>
      </c>
      <c r="U1067" s="322">
        <v>1</v>
      </c>
      <c r="V1067" s="322">
        <v>1</v>
      </c>
      <c r="W1067" s="322">
        <v>1</v>
      </c>
      <c r="X1067" s="322">
        <v>1</v>
      </c>
      <c r="Y1067" s="322">
        <v>1</v>
      </c>
      <c r="Z1067" s="322">
        <v>1</v>
      </c>
      <c r="AA1067" s="322">
        <v>1</v>
      </c>
      <c r="AB1067" s="322">
        <v>0</v>
      </c>
      <c r="AC1067" s="322">
        <v>1</v>
      </c>
      <c r="AD1067" s="322">
        <v>1</v>
      </c>
      <c r="AE1067" s="322">
        <v>1</v>
      </c>
      <c r="AF1067" s="548"/>
      <c r="AG1067" s="547"/>
      <c r="AH1067" s="322">
        <v>1</v>
      </c>
      <c r="AI1067" s="322">
        <v>1</v>
      </c>
      <c r="AJ1067" s="322">
        <v>1</v>
      </c>
      <c r="AK1067" s="322">
        <v>1</v>
      </c>
      <c r="AL1067" s="322">
        <v>1</v>
      </c>
      <c r="AM1067" s="322">
        <v>1</v>
      </c>
      <c r="AN1067" s="322">
        <v>1</v>
      </c>
      <c r="AO1067" s="322">
        <v>1</v>
      </c>
      <c r="AP1067" s="322">
        <v>1</v>
      </c>
      <c r="AQ1067" s="322">
        <v>1</v>
      </c>
      <c r="AR1067" s="322">
        <v>1</v>
      </c>
      <c r="AS1067" s="322">
        <v>1</v>
      </c>
      <c r="AT1067" s="322">
        <v>1</v>
      </c>
      <c r="AU1067" s="322">
        <v>1</v>
      </c>
      <c r="AV1067" s="322">
        <v>1</v>
      </c>
      <c r="AW1067" s="322">
        <v>1</v>
      </c>
      <c r="AX1067" s="322">
        <v>1</v>
      </c>
      <c r="AY1067" s="322">
        <v>1</v>
      </c>
      <c r="AZ1067" s="322">
        <v>1</v>
      </c>
      <c r="BA1067" s="322">
        <v>1</v>
      </c>
      <c r="BB1067" s="322">
        <v>1</v>
      </c>
      <c r="BC1067" s="322">
        <v>1</v>
      </c>
      <c r="BD1067" s="322">
        <v>1</v>
      </c>
      <c r="BE1067" s="322">
        <v>1</v>
      </c>
      <c r="BF1067" s="322">
        <v>1</v>
      </c>
      <c r="BG1067" s="322">
        <v>1</v>
      </c>
      <c r="BH1067" s="322">
        <v>1</v>
      </c>
      <c r="BI1067" s="322">
        <v>1</v>
      </c>
      <c r="BJ1067" s="322">
        <v>1</v>
      </c>
      <c r="BK1067" s="322">
        <v>1</v>
      </c>
      <c r="BL1067" s="548"/>
      <c r="BM1067" s="1"/>
      <c r="CV1067">
        <v>2</v>
      </c>
    </row>
    <row r="1068" spans="1:100">
      <c r="A1068" s="547"/>
      <c r="B1068" s="322">
        <v>1</v>
      </c>
      <c r="C1068" s="322">
        <v>1</v>
      </c>
      <c r="D1068" s="552">
        <v>1</v>
      </c>
      <c r="E1068" s="322">
        <v>1</v>
      </c>
      <c r="F1068" s="322">
        <v>1</v>
      </c>
      <c r="G1068" s="322">
        <v>1</v>
      </c>
      <c r="H1068" s="322">
        <v>1</v>
      </c>
      <c r="I1068" s="322">
        <v>0</v>
      </c>
      <c r="J1068" s="322">
        <v>1</v>
      </c>
      <c r="K1068" s="322">
        <v>1</v>
      </c>
      <c r="L1068" s="322">
        <v>1</v>
      </c>
      <c r="M1068" s="322">
        <v>1</v>
      </c>
      <c r="N1068" s="322">
        <v>1</v>
      </c>
      <c r="O1068" s="322">
        <v>1</v>
      </c>
      <c r="P1068" s="453">
        <v>-1</v>
      </c>
      <c r="Q1068" s="453">
        <v>-1</v>
      </c>
      <c r="R1068" s="322">
        <v>1</v>
      </c>
      <c r="S1068" s="453">
        <v>0</v>
      </c>
      <c r="T1068" s="453">
        <v>-1</v>
      </c>
      <c r="U1068" s="322">
        <v>1</v>
      </c>
      <c r="V1068" s="322">
        <v>1</v>
      </c>
      <c r="W1068" s="453">
        <v>-1</v>
      </c>
      <c r="X1068" s="322">
        <v>1</v>
      </c>
      <c r="Y1068" s="322">
        <v>1</v>
      </c>
      <c r="Z1068" s="322">
        <v>1</v>
      </c>
      <c r="AA1068" s="322">
        <v>0</v>
      </c>
      <c r="AB1068" s="322">
        <v>1</v>
      </c>
      <c r="AC1068" s="322">
        <v>1</v>
      </c>
      <c r="AD1068" s="322">
        <v>1</v>
      </c>
      <c r="AE1068" s="322">
        <v>1</v>
      </c>
      <c r="AF1068" s="548"/>
      <c r="AG1068" s="547"/>
      <c r="AH1068" s="322">
        <v>1</v>
      </c>
      <c r="AI1068" s="322">
        <v>1</v>
      </c>
      <c r="AJ1068" s="552">
        <v>1</v>
      </c>
      <c r="AK1068" s="322">
        <v>1</v>
      </c>
      <c r="AL1068" s="322">
        <v>1</v>
      </c>
      <c r="AM1068" s="322">
        <v>1</v>
      </c>
      <c r="AN1068" s="322">
        <v>0</v>
      </c>
      <c r="AO1068" s="322">
        <v>1</v>
      </c>
      <c r="AP1068" s="322">
        <v>1</v>
      </c>
      <c r="AQ1068" s="322">
        <v>1</v>
      </c>
      <c r="AR1068" s="322">
        <v>1</v>
      </c>
      <c r="AS1068" s="322">
        <v>1</v>
      </c>
      <c r="AT1068" s="322">
        <v>1</v>
      </c>
      <c r="AU1068" s="322">
        <v>1</v>
      </c>
      <c r="AV1068" s="322">
        <v>1</v>
      </c>
      <c r="AW1068" s="322">
        <v>1</v>
      </c>
      <c r="AX1068" s="322">
        <v>1</v>
      </c>
      <c r="AY1068" s="322">
        <v>1</v>
      </c>
      <c r="AZ1068" s="322">
        <v>1</v>
      </c>
      <c r="BA1068" s="322">
        <v>1</v>
      </c>
      <c r="BB1068" s="322">
        <v>1</v>
      </c>
      <c r="BC1068" s="322">
        <v>1</v>
      </c>
      <c r="BD1068" s="322">
        <v>1</v>
      </c>
      <c r="BE1068" s="322">
        <v>0</v>
      </c>
      <c r="BF1068" s="322">
        <v>1</v>
      </c>
      <c r="BG1068" s="322">
        <v>1</v>
      </c>
      <c r="BH1068" s="322">
        <v>1</v>
      </c>
      <c r="BI1068" s="322">
        <v>1</v>
      </c>
      <c r="BJ1068" s="322">
        <v>1</v>
      </c>
      <c r="BK1068" s="322">
        <v>1</v>
      </c>
      <c r="BL1068" s="548"/>
      <c r="BM1068" s="1"/>
      <c r="CV1068">
        <v>2</v>
      </c>
    </row>
    <row r="1069" spans="1:100">
      <c r="A1069" s="547"/>
      <c r="B1069" s="322">
        <v>1</v>
      </c>
      <c r="C1069" s="552">
        <v>1</v>
      </c>
      <c r="D1069" s="322">
        <v>1</v>
      </c>
      <c r="E1069" s="322">
        <v>1</v>
      </c>
      <c r="F1069" s="322">
        <v>1</v>
      </c>
      <c r="G1069" s="322">
        <v>1</v>
      </c>
      <c r="H1069" s="322">
        <v>1</v>
      </c>
      <c r="I1069" s="322">
        <v>1</v>
      </c>
      <c r="J1069" s="322">
        <v>1</v>
      </c>
      <c r="K1069" s="322">
        <v>1</v>
      </c>
      <c r="L1069" s="322">
        <v>1</v>
      </c>
      <c r="M1069" s="322">
        <v>1</v>
      </c>
      <c r="N1069" s="322">
        <v>1</v>
      </c>
      <c r="O1069" s="322">
        <v>1</v>
      </c>
      <c r="P1069" s="453">
        <v>-1</v>
      </c>
      <c r="Q1069" s="453">
        <v>0</v>
      </c>
      <c r="R1069" s="453">
        <v>0</v>
      </c>
      <c r="S1069" s="453">
        <v>0</v>
      </c>
      <c r="T1069" s="322">
        <v>1</v>
      </c>
      <c r="U1069" s="322">
        <v>1</v>
      </c>
      <c r="V1069" s="453">
        <v>-1</v>
      </c>
      <c r="W1069" s="453">
        <v>-1</v>
      </c>
      <c r="X1069" s="322">
        <v>1</v>
      </c>
      <c r="Y1069" s="322">
        <v>1</v>
      </c>
      <c r="Z1069" s="322">
        <v>1</v>
      </c>
      <c r="AA1069" s="322">
        <v>1</v>
      </c>
      <c r="AB1069" s="322">
        <v>1</v>
      </c>
      <c r="AC1069" s="322">
        <v>1</v>
      </c>
      <c r="AD1069" s="322">
        <v>1</v>
      </c>
      <c r="AE1069" s="322">
        <v>1</v>
      </c>
      <c r="AF1069" s="548"/>
      <c r="AG1069" s="547"/>
      <c r="AH1069" s="322">
        <v>1</v>
      </c>
      <c r="AI1069" s="552">
        <v>1</v>
      </c>
      <c r="AJ1069" s="322">
        <v>1</v>
      </c>
      <c r="AK1069" s="322">
        <v>1</v>
      </c>
      <c r="AL1069" s="322">
        <v>1</v>
      </c>
      <c r="AM1069" s="322">
        <v>0</v>
      </c>
      <c r="AN1069" s="322">
        <v>1</v>
      </c>
      <c r="AO1069" s="322">
        <v>1</v>
      </c>
      <c r="AP1069" s="322">
        <v>1</v>
      </c>
      <c r="AQ1069" s="322">
        <v>1</v>
      </c>
      <c r="AR1069" s="322">
        <v>1</v>
      </c>
      <c r="AS1069" s="322">
        <v>1</v>
      </c>
      <c r="AT1069" s="322">
        <v>1</v>
      </c>
      <c r="AU1069" s="322">
        <v>1</v>
      </c>
      <c r="AV1069" s="322">
        <v>1</v>
      </c>
      <c r="AW1069" s="322">
        <v>1</v>
      </c>
      <c r="AX1069" s="322">
        <v>0</v>
      </c>
      <c r="AY1069" s="322">
        <v>1</v>
      </c>
      <c r="AZ1069" s="322">
        <v>1</v>
      </c>
      <c r="BA1069" s="322">
        <v>1</v>
      </c>
      <c r="BB1069" s="322">
        <v>1</v>
      </c>
      <c r="BC1069" s="322">
        <v>1</v>
      </c>
      <c r="BD1069" s="322">
        <v>0</v>
      </c>
      <c r="BE1069" s="322">
        <v>1</v>
      </c>
      <c r="BF1069" s="322">
        <v>1</v>
      </c>
      <c r="BG1069" s="322">
        <v>1</v>
      </c>
      <c r="BH1069" s="322">
        <v>1</v>
      </c>
      <c r="BI1069" s="322">
        <v>1</v>
      </c>
      <c r="BJ1069" s="322">
        <v>1</v>
      </c>
      <c r="BK1069" s="322">
        <v>1</v>
      </c>
      <c r="BL1069" s="548"/>
      <c r="BM1069" s="1"/>
      <c r="CV1069">
        <v>2</v>
      </c>
    </row>
    <row r="1070" spans="1:100">
      <c r="A1070" s="547"/>
      <c r="B1070" s="322">
        <v>1</v>
      </c>
      <c r="C1070" s="322">
        <v>1</v>
      </c>
      <c r="D1070" s="322">
        <v>1</v>
      </c>
      <c r="E1070" s="322">
        <v>1</v>
      </c>
      <c r="F1070" s="322">
        <v>1</v>
      </c>
      <c r="G1070" s="322">
        <v>1</v>
      </c>
      <c r="H1070" s="322">
        <v>1</v>
      </c>
      <c r="I1070" s="322">
        <v>1</v>
      </c>
      <c r="J1070" s="322">
        <v>1</v>
      </c>
      <c r="K1070" s="322">
        <v>1</v>
      </c>
      <c r="L1070" s="322">
        <v>1</v>
      </c>
      <c r="M1070" s="322">
        <v>1</v>
      </c>
      <c r="N1070" s="322">
        <v>1</v>
      </c>
      <c r="O1070" s="453">
        <v>-1</v>
      </c>
      <c r="P1070" s="453">
        <v>0</v>
      </c>
      <c r="Q1070" s="453">
        <v>0</v>
      </c>
      <c r="R1070" s="453">
        <v>0</v>
      </c>
      <c r="S1070" s="453">
        <v>0</v>
      </c>
      <c r="T1070" s="453">
        <v>0</v>
      </c>
      <c r="U1070" s="453">
        <v>-1</v>
      </c>
      <c r="V1070" s="453">
        <v>-1</v>
      </c>
      <c r="W1070" s="322">
        <v>1</v>
      </c>
      <c r="X1070" s="322">
        <v>1</v>
      </c>
      <c r="Y1070" s="453">
        <v>-1</v>
      </c>
      <c r="Z1070" s="322">
        <v>1</v>
      </c>
      <c r="AA1070" s="322">
        <v>1</v>
      </c>
      <c r="AB1070" s="322">
        <v>1</v>
      </c>
      <c r="AC1070" s="322">
        <v>1</v>
      </c>
      <c r="AD1070" s="322">
        <v>1</v>
      </c>
      <c r="AE1070" s="322">
        <v>1</v>
      </c>
      <c r="AF1070" s="548"/>
      <c r="AG1070" s="547"/>
      <c r="AH1070" s="322">
        <v>1</v>
      </c>
      <c r="AI1070" s="322">
        <v>1</v>
      </c>
      <c r="AJ1070" s="322">
        <v>1</v>
      </c>
      <c r="AK1070" s="322">
        <v>1</v>
      </c>
      <c r="AL1070" s="322">
        <v>0</v>
      </c>
      <c r="AM1070" s="322">
        <v>1</v>
      </c>
      <c r="AN1070" s="322">
        <v>1</v>
      </c>
      <c r="AO1070" s="322">
        <v>1</v>
      </c>
      <c r="AP1070" s="322">
        <v>1</v>
      </c>
      <c r="AQ1070" s="322">
        <v>1</v>
      </c>
      <c r="AR1070" s="322">
        <v>1</v>
      </c>
      <c r="AS1070" s="322">
        <v>1</v>
      </c>
      <c r="AT1070" s="322">
        <v>1</v>
      </c>
      <c r="AU1070" s="322">
        <v>1</v>
      </c>
      <c r="AV1070" s="322">
        <v>1</v>
      </c>
      <c r="AW1070" s="322">
        <v>0</v>
      </c>
      <c r="AX1070" s="322">
        <v>1</v>
      </c>
      <c r="AY1070" s="322">
        <v>1</v>
      </c>
      <c r="AZ1070" s="322">
        <v>1</v>
      </c>
      <c r="BA1070" s="322">
        <v>1</v>
      </c>
      <c r="BB1070" s="322">
        <v>1</v>
      </c>
      <c r="BC1070" s="322">
        <v>0</v>
      </c>
      <c r="BD1070" s="322">
        <v>1</v>
      </c>
      <c r="BE1070" s="322">
        <v>1</v>
      </c>
      <c r="BF1070" s="322">
        <v>1</v>
      </c>
      <c r="BG1070" s="322">
        <v>1</v>
      </c>
      <c r="BH1070" s="322">
        <v>1</v>
      </c>
      <c r="BI1070" s="322">
        <v>1</v>
      </c>
      <c r="BJ1070" s="322">
        <v>1</v>
      </c>
      <c r="BK1070" s="322">
        <v>1</v>
      </c>
      <c r="BL1070" s="548"/>
      <c r="BM1070" s="1"/>
      <c r="CV1070">
        <v>2</v>
      </c>
    </row>
    <row r="1071" spans="1:100">
      <c r="A1071" s="547"/>
      <c r="B1071" s="322">
        <v>1</v>
      </c>
      <c r="C1071" s="322">
        <v>1</v>
      </c>
      <c r="D1071" s="322">
        <v>1</v>
      </c>
      <c r="E1071" s="322">
        <v>1</v>
      </c>
      <c r="F1071" s="322">
        <v>1</v>
      </c>
      <c r="G1071" s="322">
        <v>1</v>
      </c>
      <c r="H1071" s="322">
        <v>1</v>
      </c>
      <c r="I1071" s="322">
        <v>1</v>
      </c>
      <c r="J1071" s="322">
        <v>1</v>
      </c>
      <c r="K1071" s="322">
        <v>1</v>
      </c>
      <c r="L1071" s="322">
        <v>1</v>
      </c>
      <c r="M1071" s="322">
        <v>1</v>
      </c>
      <c r="N1071" s="322">
        <v>1</v>
      </c>
      <c r="O1071" s="453">
        <v>-1</v>
      </c>
      <c r="P1071" s="453">
        <v>0</v>
      </c>
      <c r="Q1071" s="453">
        <v>0</v>
      </c>
      <c r="R1071" s="453">
        <v>0</v>
      </c>
      <c r="S1071" s="453">
        <v>0</v>
      </c>
      <c r="T1071" s="453">
        <v>0</v>
      </c>
      <c r="U1071" s="453">
        <v>0</v>
      </c>
      <c r="V1071" s="453">
        <v>0</v>
      </c>
      <c r="W1071" s="322">
        <v>1</v>
      </c>
      <c r="X1071" s="453">
        <v>-1</v>
      </c>
      <c r="Y1071" s="453">
        <v>-1</v>
      </c>
      <c r="Z1071" s="322">
        <v>1</v>
      </c>
      <c r="AA1071" s="322">
        <v>1</v>
      </c>
      <c r="AB1071" s="322">
        <v>1</v>
      </c>
      <c r="AC1071" s="552">
        <v>1</v>
      </c>
      <c r="AD1071" s="322">
        <v>1</v>
      </c>
      <c r="AE1071" s="322">
        <v>1</v>
      </c>
      <c r="AF1071" s="548"/>
      <c r="AG1071" s="547"/>
      <c r="AH1071" s="322">
        <v>1</v>
      </c>
      <c r="AI1071" s="322">
        <v>1</v>
      </c>
      <c r="AJ1071" s="322">
        <v>1</v>
      </c>
      <c r="AK1071" s="322">
        <v>1</v>
      </c>
      <c r="AL1071" s="322">
        <v>1</v>
      </c>
      <c r="AM1071" s="322">
        <v>1</v>
      </c>
      <c r="AN1071" s="322">
        <v>1</v>
      </c>
      <c r="AO1071" s="322">
        <v>1</v>
      </c>
      <c r="AP1071" s="322">
        <v>1</v>
      </c>
      <c r="AQ1071" s="322">
        <v>1</v>
      </c>
      <c r="AR1071" s="322">
        <v>1</v>
      </c>
      <c r="AS1071" s="322">
        <v>1</v>
      </c>
      <c r="AT1071" s="322">
        <v>1</v>
      </c>
      <c r="AU1071" s="322">
        <v>1</v>
      </c>
      <c r="AV1071" s="322">
        <v>0</v>
      </c>
      <c r="AW1071" s="322">
        <v>1</v>
      </c>
      <c r="AX1071" s="322">
        <v>1</v>
      </c>
      <c r="AY1071" s="322">
        <v>1</v>
      </c>
      <c r="AZ1071" s="322">
        <v>1</v>
      </c>
      <c r="BA1071" s="322">
        <v>1</v>
      </c>
      <c r="BB1071" s="322">
        <v>0</v>
      </c>
      <c r="BC1071" s="322">
        <v>1</v>
      </c>
      <c r="BD1071" s="322">
        <v>1</v>
      </c>
      <c r="BE1071" s="322">
        <v>1</v>
      </c>
      <c r="BF1071" s="322">
        <v>1</v>
      </c>
      <c r="BG1071" s="322">
        <v>1</v>
      </c>
      <c r="BH1071" s="322">
        <v>1</v>
      </c>
      <c r="BI1071" s="552">
        <v>1</v>
      </c>
      <c r="BJ1071" s="322">
        <v>1</v>
      </c>
      <c r="BK1071" s="322">
        <v>1</v>
      </c>
      <c r="BL1071" s="548"/>
      <c r="BM1071" s="1"/>
      <c r="CV1071">
        <v>2</v>
      </c>
    </row>
    <row r="1072" spans="1:100">
      <c r="A1072" s="547"/>
      <c r="B1072" s="322">
        <v>1</v>
      </c>
      <c r="C1072" s="322">
        <v>1</v>
      </c>
      <c r="D1072" s="322">
        <v>1</v>
      </c>
      <c r="E1072" s="322">
        <v>1</v>
      </c>
      <c r="F1072" s="552">
        <v>1</v>
      </c>
      <c r="G1072" s="322">
        <v>1</v>
      </c>
      <c r="H1072" s="322">
        <v>1</v>
      </c>
      <c r="I1072" s="322">
        <v>1</v>
      </c>
      <c r="J1072" s="322">
        <v>1</v>
      </c>
      <c r="K1072" s="322">
        <v>1</v>
      </c>
      <c r="L1072" s="322">
        <v>1</v>
      </c>
      <c r="M1072" s="322">
        <v>1</v>
      </c>
      <c r="N1072" s="322">
        <v>1</v>
      </c>
      <c r="O1072" s="453">
        <v>-1</v>
      </c>
      <c r="P1072" s="453">
        <v>0</v>
      </c>
      <c r="Q1072" s="453">
        <v>0</v>
      </c>
      <c r="R1072" s="453">
        <v>0</v>
      </c>
      <c r="S1072" s="453">
        <v>0</v>
      </c>
      <c r="T1072" s="453">
        <v>0</v>
      </c>
      <c r="U1072" s="453">
        <v>0</v>
      </c>
      <c r="V1072" s="453">
        <v>0</v>
      </c>
      <c r="W1072" s="453">
        <v>-1</v>
      </c>
      <c r="X1072" s="453">
        <v>0</v>
      </c>
      <c r="Y1072" s="453">
        <v>0</v>
      </c>
      <c r="Z1072" s="322">
        <v>1</v>
      </c>
      <c r="AA1072" s="322">
        <v>1</v>
      </c>
      <c r="AB1072" s="552">
        <v>1</v>
      </c>
      <c r="AC1072" s="322">
        <v>1</v>
      </c>
      <c r="AD1072" s="322">
        <v>1</v>
      </c>
      <c r="AE1072" s="322">
        <v>1</v>
      </c>
      <c r="AF1072" s="548"/>
      <c r="AG1072" s="547"/>
      <c r="AH1072" s="322">
        <v>1</v>
      </c>
      <c r="AI1072" s="322">
        <v>1</v>
      </c>
      <c r="AJ1072" s="322">
        <v>1</v>
      </c>
      <c r="AK1072" s="322">
        <v>1</v>
      </c>
      <c r="AL1072" s="552">
        <v>1</v>
      </c>
      <c r="AM1072" s="322">
        <v>1</v>
      </c>
      <c r="AN1072" s="322">
        <v>1</v>
      </c>
      <c r="AO1072" s="322">
        <v>1</v>
      </c>
      <c r="AP1072" s="322">
        <v>1</v>
      </c>
      <c r="AQ1072" s="322">
        <v>1</v>
      </c>
      <c r="AR1072" s="322">
        <v>1</v>
      </c>
      <c r="AS1072" s="322">
        <v>1</v>
      </c>
      <c r="AT1072" s="322">
        <v>1</v>
      </c>
      <c r="AU1072" s="322">
        <v>0</v>
      </c>
      <c r="AV1072" s="322">
        <v>1</v>
      </c>
      <c r="AW1072" s="322">
        <v>1</v>
      </c>
      <c r="AX1072" s="322">
        <v>1</v>
      </c>
      <c r="AY1072" s="322">
        <v>1</v>
      </c>
      <c r="AZ1072" s="322">
        <v>1</v>
      </c>
      <c r="BA1072" s="322">
        <v>1</v>
      </c>
      <c r="BB1072" s="322">
        <v>1</v>
      </c>
      <c r="BC1072" s="322">
        <v>1</v>
      </c>
      <c r="BD1072" s="322">
        <v>1</v>
      </c>
      <c r="BE1072" s="322">
        <v>1</v>
      </c>
      <c r="BF1072" s="322">
        <v>1</v>
      </c>
      <c r="BG1072" s="322">
        <v>1</v>
      </c>
      <c r="BH1072" s="552">
        <v>1</v>
      </c>
      <c r="BI1072" s="322">
        <v>1</v>
      </c>
      <c r="BJ1072" s="322">
        <v>1</v>
      </c>
      <c r="BK1072" s="322">
        <v>1</v>
      </c>
      <c r="BL1072" s="548"/>
      <c r="BM1072" s="1"/>
      <c r="CV1072">
        <v>2</v>
      </c>
    </row>
    <row r="1073" spans="1:100">
      <c r="A1073" s="547"/>
      <c r="B1073" s="322">
        <v>1</v>
      </c>
      <c r="C1073" s="322">
        <v>1</v>
      </c>
      <c r="D1073" s="322">
        <v>1</v>
      </c>
      <c r="E1073" s="552">
        <v>1</v>
      </c>
      <c r="F1073" s="322">
        <v>1</v>
      </c>
      <c r="G1073" s="322">
        <v>1</v>
      </c>
      <c r="H1073" s="322">
        <v>1</v>
      </c>
      <c r="I1073" s="322">
        <v>1</v>
      </c>
      <c r="J1073" s="322">
        <v>1</v>
      </c>
      <c r="K1073" s="322">
        <v>1</v>
      </c>
      <c r="L1073" s="322">
        <v>1</v>
      </c>
      <c r="M1073" s="322">
        <v>1</v>
      </c>
      <c r="N1073" s="322">
        <v>1</v>
      </c>
      <c r="O1073" s="322">
        <v>1</v>
      </c>
      <c r="P1073" s="453">
        <v>0</v>
      </c>
      <c r="Q1073" s="453">
        <v>0</v>
      </c>
      <c r="R1073" s="453">
        <v>0</v>
      </c>
      <c r="S1073" s="453">
        <v>0</v>
      </c>
      <c r="T1073" s="453">
        <v>0</v>
      </c>
      <c r="U1073" s="453">
        <v>0</v>
      </c>
      <c r="V1073" s="453">
        <v>0</v>
      </c>
      <c r="W1073" s="453">
        <v>0</v>
      </c>
      <c r="X1073" s="453">
        <v>0</v>
      </c>
      <c r="Y1073" s="453">
        <v>1</v>
      </c>
      <c r="Z1073" s="322">
        <v>1</v>
      </c>
      <c r="AA1073" s="552">
        <v>1</v>
      </c>
      <c r="AB1073" s="322">
        <v>1</v>
      </c>
      <c r="AC1073" s="322">
        <v>1</v>
      </c>
      <c r="AD1073" s="322">
        <v>1</v>
      </c>
      <c r="AE1073" s="322">
        <v>1</v>
      </c>
      <c r="AF1073" s="548"/>
      <c r="AG1073" s="547"/>
      <c r="AH1073" s="322">
        <v>1</v>
      </c>
      <c r="AI1073" s="322">
        <v>1</v>
      </c>
      <c r="AJ1073" s="322">
        <v>1</v>
      </c>
      <c r="AK1073" s="552">
        <v>1</v>
      </c>
      <c r="AL1073" s="322">
        <v>1</v>
      </c>
      <c r="AM1073" s="322">
        <v>1</v>
      </c>
      <c r="AN1073" s="322">
        <v>1</v>
      </c>
      <c r="AO1073" s="322">
        <v>1</v>
      </c>
      <c r="AP1073" s="322">
        <v>1</v>
      </c>
      <c r="AQ1073" s="322">
        <v>1</v>
      </c>
      <c r="AR1073" s="322">
        <v>1</v>
      </c>
      <c r="AS1073" s="322">
        <v>1</v>
      </c>
      <c r="AT1073" s="322">
        <v>0</v>
      </c>
      <c r="AU1073" s="322">
        <v>1</v>
      </c>
      <c r="AV1073" s="322">
        <v>1</v>
      </c>
      <c r="AW1073" s="322">
        <v>1</v>
      </c>
      <c r="AX1073" s="322">
        <v>1</v>
      </c>
      <c r="AY1073" s="322">
        <v>1</v>
      </c>
      <c r="AZ1073" s="322">
        <v>1</v>
      </c>
      <c r="BA1073" s="322">
        <v>1</v>
      </c>
      <c r="BB1073" s="322">
        <v>1</v>
      </c>
      <c r="BC1073" s="322">
        <v>1</v>
      </c>
      <c r="BD1073" s="322">
        <v>1</v>
      </c>
      <c r="BE1073" s="322">
        <v>1</v>
      </c>
      <c r="BF1073" s="322">
        <v>1</v>
      </c>
      <c r="BG1073" s="552">
        <v>1</v>
      </c>
      <c r="BH1073" s="322">
        <v>1</v>
      </c>
      <c r="BI1073" s="322">
        <v>1</v>
      </c>
      <c r="BJ1073" s="322">
        <v>1</v>
      </c>
      <c r="BK1073" s="322">
        <v>1</v>
      </c>
      <c r="BL1073" s="548"/>
      <c r="BM1073" s="1"/>
      <c r="CV1073">
        <v>2</v>
      </c>
    </row>
    <row r="1074" spans="1:100">
      <c r="A1074" s="547"/>
      <c r="B1074" s="322">
        <v>1</v>
      </c>
      <c r="C1074" s="322">
        <v>1</v>
      </c>
      <c r="D1074" s="552">
        <v>1</v>
      </c>
      <c r="E1074" s="322">
        <v>1</v>
      </c>
      <c r="F1074" s="322">
        <v>1</v>
      </c>
      <c r="G1074" s="322">
        <v>1</v>
      </c>
      <c r="H1074" s="322">
        <v>1</v>
      </c>
      <c r="I1074" s="322">
        <v>1</v>
      </c>
      <c r="J1074" s="322">
        <v>1</v>
      </c>
      <c r="K1074" s="322">
        <v>0</v>
      </c>
      <c r="L1074" s="322">
        <v>1</v>
      </c>
      <c r="M1074" s="322">
        <v>1</v>
      </c>
      <c r="N1074" s="322">
        <v>1</v>
      </c>
      <c r="O1074" s="322">
        <v>1</v>
      </c>
      <c r="P1074" s="453">
        <v>1</v>
      </c>
      <c r="Q1074" s="453">
        <v>0</v>
      </c>
      <c r="R1074" s="453">
        <v>1</v>
      </c>
      <c r="S1074" s="453">
        <v>0</v>
      </c>
      <c r="T1074" s="453">
        <v>1</v>
      </c>
      <c r="U1074" s="453">
        <v>0</v>
      </c>
      <c r="V1074" s="453">
        <v>0</v>
      </c>
      <c r="W1074" s="453">
        <v>1</v>
      </c>
      <c r="X1074" s="453">
        <v>1</v>
      </c>
      <c r="Y1074" s="453">
        <v>1</v>
      </c>
      <c r="Z1074" s="552">
        <v>1</v>
      </c>
      <c r="AA1074" s="322">
        <v>1</v>
      </c>
      <c r="AB1074" s="322">
        <v>1</v>
      </c>
      <c r="AC1074" s="322">
        <v>1</v>
      </c>
      <c r="AD1074" s="322">
        <v>1</v>
      </c>
      <c r="AE1074" s="322">
        <v>1</v>
      </c>
      <c r="AF1074" s="548"/>
      <c r="AG1074" s="547"/>
      <c r="AH1074" s="322">
        <v>1</v>
      </c>
      <c r="AI1074" s="322">
        <v>1</v>
      </c>
      <c r="AJ1074" s="552">
        <v>1</v>
      </c>
      <c r="AK1074" s="322">
        <v>1</v>
      </c>
      <c r="AL1074" s="322">
        <v>1</v>
      </c>
      <c r="AM1074" s="322">
        <v>1</v>
      </c>
      <c r="AN1074" s="322">
        <v>1</v>
      </c>
      <c r="AO1074" s="322">
        <v>1</v>
      </c>
      <c r="AP1074" s="322">
        <v>1</v>
      </c>
      <c r="AQ1074" s="322">
        <v>1</v>
      </c>
      <c r="AR1074" s="322">
        <v>1</v>
      </c>
      <c r="AS1074" s="322">
        <v>1</v>
      </c>
      <c r="AT1074" s="322">
        <v>1</v>
      </c>
      <c r="AU1074" s="322">
        <v>1</v>
      </c>
      <c r="AV1074" s="322">
        <v>1</v>
      </c>
      <c r="AW1074" s="322">
        <v>1</v>
      </c>
      <c r="AX1074" s="322">
        <v>1</v>
      </c>
      <c r="AY1074" s="322">
        <v>1</v>
      </c>
      <c r="AZ1074" s="322">
        <v>1</v>
      </c>
      <c r="BA1074" s="322">
        <v>1</v>
      </c>
      <c r="BB1074" s="322">
        <v>1</v>
      </c>
      <c r="BC1074" s="322">
        <v>1</v>
      </c>
      <c r="BD1074" s="322">
        <v>1</v>
      </c>
      <c r="BE1074" s="322">
        <v>1</v>
      </c>
      <c r="BF1074" s="552">
        <v>1</v>
      </c>
      <c r="BG1074" s="322">
        <v>1</v>
      </c>
      <c r="BH1074" s="322">
        <v>1</v>
      </c>
      <c r="BI1074" s="322">
        <v>1</v>
      </c>
      <c r="BJ1074" s="322">
        <v>1</v>
      </c>
      <c r="BK1074" s="322">
        <v>1</v>
      </c>
      <c r="BL1074" s="548"/>
      <c r="BM1074" s="1"/>
      <c r="CV1074">
        <v>2</v>
      </c>
    </row>
    <row r="1075" spans="1:100">
      <c r="A1075" s="547"/>
      <c r="B1075" s="322">
        <v>1</v>
      </c>
      <c r="C1075" s="552">
        <v>1</v>
      </c>
      <c r="D1075" s="322">
        <v>1</v>
      </c>
      <c r="E1075" s="322">
        <v>1</v>
      </c>
      <c r="F1075" s="322">
        <v>1</v>
      </c>
      <c r="G1075" s="322">
        <v>1</v>
      </c>
      <c r="H1075" s="322">
        <v>1</v>
      </c>
      <c r="I1075" s="322">
        <v>1</v>
      </c>
      <c r="J1075" s="322">
        <v>0</v>
      </c>
      <c r="K1075" s="322">
        <v>1</v>
      </c>
      <c r="L1075" s="322">
        <v>1</v>
      </c>
      <c r="M1075" s="322">
        <v>1</v>
      </c>
      <c r="N1075" s="322">
        <v>1</v>
      </c>
      <c r="O1075" s="322">
        <v>1</v>
      </c>
      <c r="P1075" s="453">
        <v>1</v>
      </c>
      <c r="Q1075" s="453">
        <v>1</v>
      </c>
      <c r="R1075" s="453">
        <v>1</v>
      </c>
      <c r="S1075" s="453">
        <v>1</v>
      </c>
      <c r="T1075" s="453">
        <v>1</v>
      </c>
      <c r="U1075" s="453">
        <v>1</v>
      </c>
      <c r="V1075" s="453">
        <v>0</v>
      </c>
      <c r="W1075" s="453">
        <v>1</v>
      </c>
      <c r="X1075" s="453">
        <v>1</v>
      </c>
      <c r="Y1075" s="552">
        <v>1</v>
      </c>
      <c r="Z1075" s="322">
        <v>1</v>
      </c>
      <c r="AA1075" s="322">
        <v>1</v>
      </c>
      <c r="AB1075" s="322">
        <v>1</v>
      </c>
      <c r="AC1075" s="322">
        <v>1</v>
      </c>
      <c r="AD1075" s="322">
        <v>1</v>
      </c>
      <c r="AE1075" s="322">
        <v>1</v>
      </c>
      <c r="AF1075" s="548"/>
      <c r="AG1075" s="547"/>
      <c r="AH1075" s="322">
        <v>1</v>
      </c>
      <c r="AI1075" s="552">
        <v>1</v>
      </c>
      <c r="AJ1075" s="322">
        <v>1</v>
      </c>
      <c r="AK1075" s="322">
        <v>1</v>
      </c>
      <c r="AL1075" s="322">
        <v>1</v>
      </c>
      <c r="AM1075" s="322">
        <v>1</v>
      </c>
      <c r="AN1075" s="322">
        <v>1</v>
      </c>
      <c r="AO1075" s="322">
        <v>1</v>
      </c>
      <c r="AP1075" s="322">
        <v>1</v>
      </c>
      <c r="AQ1075" s="322">
        <v>1</v>
      </c>
      <c r="AR1075" s="322">
        <v>1</v>
      </c>
      <c r="AS1075" s="322">
        <v>1</v>
      </c>
      <c r="AT1075" s="322">
        <v>1</v>
      </c>
      <c r="AU1075" s="322">
        <v>1</v>
      </c>
      <c r="AV1075" s="322">
        <v>1</v>
      </c>
      <c r="AW1075" s="322">
        <v>1</v>
      </c>
      <c r="AX1075" s="322">
        <v>1</v>
      </c>
      <c r="AY1075" s="322">
        <v>1</v>
      </c>
      <c r="AZ1075" s="322">
        <v>1</v>
      </c>
      <c r="BA1075" s="322">
        <v>1</v>
      </c>
      <c r="BB1075" s="322">
        <v>1</v>
      </c>
      <c r="BC1075" s="322">
        <v>1</v>
      </c>
      <c r="BD1075" s="322">
        <v>1</v>
      </c>
      <c r="BE1075" s="552">
        <v>1</v>
      </c>
      <c r="BF1075" s="322">
        <v>1</v>
      </c>
      <c r="BG1075" s="322">
        <v>1</v>
      </c>
      <c r="BH1075" s="322">
        <v>1</v>
      </c>
      <c r="BI1075" s="322">
        <v>1</v>
      </c>
      <c r="BJ1075" s="322">
        <v>1</v>
      </c>
      <c r="BK1075" s="322">
        <v>1</v>
      </c>
      <c r="BL1075" s="548"/>
      <c r="BM1075" s="1"/>
      <c r="CV1075">
        <v>2</v>
      </c>
    </row>
    <row r="1076" spans="1:100">
      <c r="A1076" s="547"/>
      <c r="B1076" s="552">
        <v>1</v>
      </c>
      <c r="C1076" s="322">
        <v>1</v>
      </c>
      <c r="D1076" s="322">
        <v>1</v>
      </c>
      <c r="E1076" s="322">
        <v>1</v>
      </c>
      <c r="F1076" s="322">
        <v>1</v>
      </c>
      <c r="G1076" s="322">
        <v>1</v>
      </c>
      <c r="H1076" s="322">
        <v>1</v>
      </c>
      <c r="I1076" s="322">
        <v>0</v>
      </c>
      <c r="J1076" s="322">
        <v>1</v>
      </c>
      <c r="K1076" s="322">
        <v>1</v>
      </c>
      <c r="L1076" s="322">
        <v>1</v>
      </c>
      <c r="M1076" s="322">
        <v>1</v>
      </c>
      <c r="N1076" s="322">
        <v>1</v>
      </c>
      <c r="O1076" s="322">
        <v>0</v>
      </c>
      <c r="P1076" s="322">
        <v>1</v>
      </c>
      <c r="Q1076" s="453">
        <v>1</v>
      </c>
      <c r="R1076" s="453">
        <v>1</v>
      </c>
      <c r="S1076" s="453">
        <v>1</v>
      </c>
      <c r="T1076" s="322">
        <v>1</v>
      </c>
      <c r="U1076" s="322">
        <v>1</v>
      </c>
      <c r="V1076" s="453">
        <v>1</v>
      </c>
      <c r="W1076" s="322">
        <v>1</v>
      </c>
      <c r="X1076" s="552">
        <v>1</v>
      </c>
      <c r="Y1076" s="322">
        <v>1</v>
      </c>
      <c r="Z1076" s="322">
        <v>1</v>
      </c>
      <c r="AA1076" s="322">
        <v>1</v>
      </c>
      <c r="AB1076" s="322">
        <v>1</v>
      </c>
      <c r="AC1076" s="322">
        <v>1</v>
      </c>
      <c r="AD1076" s="322">
        <v>1</v>
      </c>
      <c r="AE1076" s="322">
        <v>1</v>
      </c>
      <c r="AF1076" s="548"/>
      <c r="AG1076" s="547"/>
      <c r="AH1076" s="552">
        <v>1</v>
      </c>
      <c r="AI1076" s="322">
        <v>1</v>
      </c>
      <c r="AJ1076" s="322">
        <v>1</v>
      </c>
      <c r="AK1076" s="322">
        <v>1</v>
      </c>
      <c r="AL1076" s="322">
        <v>1</v>
      </c>
      <c r="AM1076" s="322">
        <v>1</v>
      </c>
      <c r="AN1076" s="322">
        <v>1</v>
      </c>
      <c r="AO1076" s="322">
        <v>1</v>
      </c>
      <c r="AP1076" s="322">
        <v>1</v>
      </c>
      <c r="AQ1076" s="322">
        <v>1</v>
      </c>
      <c r="AR1076" s="322">
        <v>1</v>
      </c>
      <c r="AS1076" s="322">
        <v>1</v>
      </c>
      <c r="AT1076" s="322">
        <v>1</v>
      </c>
      <c r="AU1076" s="322">
        <v>1</v>
      </c>
      <c r="AV1076" s="322">
        <v>1</v>
      </c>
      <c r="AW1076" s="322">
        <v>1</v>
      </c>
      <c r="AX1076" s="322">
        <v>1</v>
      </c>
      <c r="AY1076" s="322">
        <v>1</v>
      </c>
      <c r="AZ1076" s="322">
        <v>1</v>
      </c>
      <c r="BA1076" s="322">
        <v>1</v>
      </c>
      <c r="BB1076" s="322">
        <v>1</v>
      </c>
      <c r="BC1076" s="322">
        <v>1</v>
      </c>
      <c r="BD1076" s="552">
        <v>1</v>
      </c>
      <c r="BE1076" s="322">
        <v>1</v>
      </c>
      <c r="BF1076" s="322">
        <v>1</v>
      </c>
      <c r="BG1076" s="322">
        <v>1</v>
      </c>
      <c r="BH1076" s="322">
        <v>1</v>
      </c>
      <c r="BI1076" s="322">
        <v>1</v>
      </c>
      <c r="BJ1076" s="322">
        <v>1</v>
      </c>
      <c r="BK1076" s="322">
        <v>1</v>
      </c>
      <c r="BL1076" s="548"/>
      <c r="BM1076" s="1"/>
      <c r="CV1076">
        <v>2</v>
      </c>
    </row>
    <row r="1077" spans="1:100">
      <c r="A1077" s="547"/>
      <c r="B1077" s="322">
        <v>1</v>
      </c>
      <c r="C1077" s="322">
        <v>1</v>
      </c>
      <c r="D1077" s="322">
        <v>0</v>
      </c>
      <c r="E1077" s="322">
        <v>1</v>
      </c>
      <c r="F1077" s="322">
        <v>1</v>
      </c>
      <c r="G1077" s="322">
        <v>1</v>
      </c>
      <c r="H1077" s="322">
        <v>0</v>
      </c>
      <c r="I1077" s="322">
        <v>1</v>
      </c>
      <c r="J1077" s="322">
        <v>1</v>
      </c>
      <c r="K1077" s="322">
        <v>1</v>
      </c>
      <c r="L1077" s="322">
        <v>1</v>
      </c>
      <c r="M1077" s="322">
        <v>1</v>
      </c>
      <c r="N1077" s="322">
        <v>0</v>
      </c>
      <c r="O1077" s="322">
        <v>1</v>
      </c>
      <c r="P1077" s="322">
        <v>1</v>
      </c>
      <c r="Q1077" s="453">
        <v>1</v>
      </c>
      <c r="R1077" s="453">
        <v>1</v>
      </c>
      <c r="S1077" s="322">
        <v>1</v>
      </c>
      <c r="T1077" s="322">
        <v>1</v>
      </c>
      <c r="U1077" s="322">
        <v>1</v>
      </c>
      <c r="V1077" s="453">
        <v>1</v>
      </c>
      <c r="W1077" s="322">
        <v>1</v>
      </c>
      <c r="X1077" s="322">
        <v>1</v>
      </c>
      <c r="Y1077" s="322">
        <v>1</v>
      </c>
      <c r="Z1077" s="322">
        <v>1</v>
      </c>
      <c r="AA1077" s="322">
        <v>0</v>
      </c>
      <c r="AB1077" s="322">
        <v>1</v>
      </c>
      <c r="AC1077" s="322">
        <v>1</v>
      </c>
      <c r="AD1077" s="322">
        <v>1</v>
      </c>
      <c r="AE1077" s="322">
        <v>1</v>
      </c>
      <c r="AF1077" s="548"/>
      <c r="AG1077" s="547"/>
      <c r="AH1077" s="322">
        <v>1</v>
      </c>
      <c r="AI1077" s="322">
        <v>1</v>
      </c>
      <c r="AJ1077" s="322">
        <v>1</v>
      </c>
      <c r="AK1077" s="322">
        <v>1</v>
      </c>
      <c r="AL1077" s="322">
        <v>0</v>
      </c>
      <c r="AM1077" s="322">
        <v>1</v>
      </c>
      <c r="AN1077" s="322">
        <v>1</v>
      </c>
      <c r="AO1077" s="322">
        <v>1</v>
      </c>
      <c r="AP1077" s="322">
        <v>1</v>
      </c>
      <c r="AQ1077" s="322">
        <v>1</v>
      </c>
      <c r="AR1077" s="322">
        <v>1</v>
      </c>
      <c r="AS1077" s="322">
        <v>1</v>
      </c>
      <c r="AT1077" s="322">
        <v>1</v>
      </c>
      <c r="AU1077" s="322">
        <v>1</v>
      </c>
      <c r="AV1077" s="322">
        <v>1</v>
      </c>
      <c r="AW1077" s="322">
        <v>1</v>
      </c>
      <c r="AX1077" s="322">
        <v>1</v>
      </c>
      <c r="AY1077" s="322">
        <v>1</v>
      </c>
      <c r="AZ1077" s="322">
        <v>1</v>
      </c>
      <c r="BA1077" s="322">
        <v>1</v>
      </c>
      <c r="BB1077" s="322">
        <v>1</v>
      </c>
      <c r="BC1077" s="322">
        <v>1</v>
      </c>
      <c r="BD1077" s="322">
        <v>1</v>
      </c>
      <c r="BE1077" s="322">
        <v>1</v>
      </c>
      <c r="BF1077" s="322">
        <v>1</v>
      </c>
      <c r="BG1077" s="322">
        <v>1</v>
      </c>
      <c r="BH1077" s="322">
        <v>1</v>
      </c>
      <c r="BI1077" s="322">
        <v>1</v>
      </c>
      <c r="BJ1077" s="322">
        <v>1</v>
      </c>
      <c r="BK1077" s="322">
        <v>1</v>
      </c>
      <c r="BL1077" s="548"/>
      <c r="BM1077" s="1"/>
      <c r="CV1077">
        <v>2</v>
      </c>
    </row>
    <row r="1078" spans="1:100">
      <c r="A1078" s="547"/>
      <c r="B1078" s="322">
        <v>1</v>
      </c>
      <c r="C1078" s="322">
        <v>0</v>
      </c>
      <c r="D1078" s="322">
        <v>1</v>
      </c>
      <c r="E1078" s="322">
        <v>1</v>
      </c>
      <c r="F1078" s="322">
        <v>1</v>
      </c>
      <c r="G1078" s="322">
        <v>0</v>
      </c>
      <c r="H1078" s="322">
        <v>1</v>
      </c>
      <c r="I1078" s="322">
        <v>1</v>
      </c>
      <c r="J1078" s="322">
        <v>1</v>
      </c>
      <c r="K1078" s="322">
        <v>1</v>
      </c>
      <c r="L1078" s="322">
        <v>1</v>
      </c>
      <c r="M1078" s="322">
        <v>0</v>
      </c>
      <c r="N1078" s="322">
        <v>1</v>
      </c>
      <c r="O1078" s="322">
        <v>1</v>
      </c>
      <c r="P1078" s="322">
        <v>1</v>
      </c>
      <c r="Q1078" s="322">
        <v>1</v>
      </c>
      <c r="R1078" s="453">
        <v>1</v>
      </c>
      <c r="S1078" s="322">
        <v>1</v>
      </c>
      <c r="T1078" s="322">
        <v>1</v>
      </c>
      <c r="U1078" s="322">
        <v>1</v>
      </c>
      <c r="V1078" s="453">
        <v>1</v>
      </c>
      <c r="W1078" s="322">
        <v>1</v>
      </c>
      <c r="X1078" s="322">
        <v>1</v>
      </c>
      <c r="Y1078" s="322">
        <v>1</v>
      </c>
      <c r="Z1078" s="322">
        <v>0</v>
      </c>
      <c r="AA1078" s="322">
        <v>1</v>
      </c>
      <c r="AB1078" s="322">
        <v>1</v>
      </c>
      <c r="AC1078" s="552">
        <v>1</v>
      </c>
      <c r="AD1078" s="322">
        <v>1</v>
      </c>
      <c r="AE1078" s="322">
        <v>1</v>
      </c>
      <c r="AF1078" s="548"/>
      <c r="AG1078" s="547"/>
      <c r="AH1078" s="322">
        <v>1</v>
      </c>
      <c r="AI1078" s="322">
        <v>1</v>
      </c>
      <c r="AJ1078" s="322">
        <v>1</v>
      </c>
      <c r="AK1078" s="322">
        <v>0</v>
      </c>
      <c r="AL1078" s="322">
        <v>1</v>
      </c>
      <c r="AM1078" s="322">
        <v>1</v>
      </c>
      <c r="AN1078" s="322">
        <v>1</v>
      </c>
      <c r="AO1078" s="322">
        <v>1</v>
      </c>
      <c r="AP1078" s="322">
        <v>1</v>
      </c>
      <c r="AQ1078" s="322">
        <v>1</v>
      </c>
      <c r="AR1078" s="322">
        <v>1</v>
      </c>
      <c r="AS1078" s="322">
        <v>1</v>
      </c>
      <c r="AT1078" s="322">
        <v>1</v>
      </c>
      <c r="AU1078" s="322">
        <v>1</v>
      </c>
      <c r="AV1078" s="322">
        <v>1</v>
      </c>
      <c r="AW1078" s="322">
        <v>1</v>
      </c>
      <c r="AX1078" s="322">
        <v>1</v>
      </c>
      <c r="AY1078" s="322">
        <v>1</v>
      </c>
      <c r="AZ1078" s="322">
        <v>1</v>
      </c>
      <c r="BA1078" s="322">
        <v>1</v>
      </c>
      <c r="BB1078" s="322">
        <v>1</v>
      </c>
      <c r="BC1078" s="322">
        <v>1</v>
      </c>
      <c r="BD1078" s="322">
        <v>1</v>
      </c>
      <c r="BE1078" s="322">
        <v>1</v>
      </c>
      <c r="BF1078" s="322">
        <v>0</v>
      </c>
      <c r="BG1078" s="322">
        <v>1</v>
      </c>
      <c r="BH1078" s="322">
        <v>1</v>
      </c>
      <c r="BI1078" s="552">
        <v>1</v>
      </c>
      <c r="BJ1078" s="322">
        <v>1</v>
      </c>
      <c r="BK1078" s="322">
        <v>1</v>
      </c>
      <c r="BL1078" s="548"/>
      <c r="BM1078" s="1"/>
      <c r="CV1078">
        <v>2</v>
      </c>
    </row>
    <row r="1079" spans="1:100">
      <c r="A1079" s="547"/>
      <c r="B1079" s="322">
        <v>0</v>
      </c>
      <c r="C1079" s="322">
        <v>1</v>
      </c>
      <c r="D1079" s="322">
        <v>1</v>
      </c>
      <c r="E1079" s="322">
        <v>1</v>
      </c>
      <c r="F1079" s="322">
        <v>1</v>
      </c>
      <c r="G1079" s="322">
        <v>1</v>
      </c>
      <c r="H1079" s="322">
        <v>1</v>
      </c>
      <c r="I1079" s="322">
        <v>1</v>
      </c>
      <c r="J1079" s="322">
        <v>1</v>
      </c>
      <c r="K1079" s="322">
        <v>1</v>
      </c>
      <c r="L1079" s="322">
        <v>1</v>
      </c>
      <c r="M1079" s="322">
        <v>1</v>
      </c>
      <c r="N1079" s="322">
        <v>1</v>
      </c>
      <c r="O1079" s="322">
        <v>1</v>
      </c>
      <c r="P1079" s="322">
        <v>1</v>
      </c>
      <c r="Q1079" s="453">
        <v>0</v>
      </c>
      <c r="R1079" s="453">
        <v>1</v>
      </c>
      <c r="S1079" s="322">
        <v>1</v>
      </c>
      <c r="T1079" s="322">
        <v>1</v>
      </c>
      <c r="U1079" s="322">
        <v>1</v>
      </c>
      <c r="V1079" s="322">
        <v>1</v>
      </c>
      <c r="W1079" s="322">
        <v>1</v>
      </c>
      <c r="X1079" s="322">
        <v>1</v>
      </c>
      <c r="Y1079" s="322">
        <v>0</v>
      </c>
      <c r="Z1079" s="322">
        <v>1</v>
      </c>
      <c r="AA1079" s="322">
        <v>1</v>
      </c>
      <c r="AB1079" s="552">
        <v>1</v>
      </c>
      <c r="AC1079" s="322">
        <v>1</v>
      </c>
      <c r="AD1079" s="322">
        <v>1</v>
      </c>
      <c r="AE1079" s="322">
        <v>1</v>
      </c>
      <c r="AF1079" s="548"/>
      <c r="AG1079" s="547"/>
      <c r="AH1079" s="322">
        <v>1</v>
      </c>
      <c r="AI1079" s="322">
        <v>1</v>
      </c>
      <c r="AJ1079" s="322">
        <v>0</v>
      </c>
      <c r="AK1079" s="322">
        <v>1</v>
      </c>
      <c r="AL1079" s="322">
        <v>1</v>
      </c>
      <c r="AM1079" s="322">
        <v>1</v>
      </c>
      <c r="AN1079" s="322">
        <v>1</v>
      </c>
      <c r="AO1079" s="322">
        <v>1</v>
      </c>
      <c r="AP1079" s="322">
        <v>1</v>
      </c>
      <c r="AQ1079" s="322">
        <v>1</v>
      </c>
      <c r="AR1079" s="322">
        <v>0</v>
      </c>
      <c r="AS1079" s="322">
        <v>1</v>
      </c>
      <c r="AT1079" s="322">
        <v>1</v>
      </c>
      <c r="AU1079" s="322">
        <v>1</v>
      </c>
      <c r="AV1079" s="322">
        <v>0</v>
      </c>
      <c r="AW1079" s="322">
        <v>1</v>
      </c>
      <c r="AX1079" s="322">
        <v>1</v>
      </c>
      <c r="AY1079" s="322">
        <v>1</v>
      </c>
      <c r="AZ1079" s="322">
        <v>1</v>
      </c>
      <c r="BA1079" s="322">
        <v>1</v>
      </c>
      <c r="BB1079" s="322">
        <v>1</v>
      </c>
      <c r="BC1079" s="322">
        <v>1</v>
      </c>
      <c r="BD1079" s="322">
        <v>1</v>
      </c>
      <c r="BE1079" s="322">
        <v>0</v>
      </c>
      <c r="BF1079" s="322">
        <v>1</v>
      </c>
      <c r="BG1079" s="322">
        <v>1</v>
      </c>
      <c r="BH1079" s="552">
        <v>1</v>
      </c>
      <c r="BI1079" s="322">
        <v>1</v>
      </c>
      <c r="BJ1079" s="322">
        <v>1</v>
      </c>
      <c r="BK1079" s="322">
        <v>0</v>
      </c>
      <c r="BL1079" s="548"/>
      <c r="BM1079" s="1"/>
      <c r="CV1079">
        <v>2</v>
      </c>
    </row>
    <row r="1080" spans="1:100">
      <c r="A1080" s="547"/>
      <c r="B1080" s="322">
        <v>1</v>
      </c>
      <c r="C1080" s="322">
        <v>1</v>
      </c>
      <c r="D1080" s="322">
        <v>1</v>
      </c>
      <c r="E1080" s="322">
        <v>1</v>
      </c>
      <c r="F1080" s="322">
        <v>1</v>
      </c>
      <c r="G1080" s="322">
        <v>1</v>
      </c>
      <c r="H1080" s="322">
        <v>1</v>
      </c>
      <c r="I1080" s="322">
        <v>1</v>
      </c>
      <c r="J1080" s="322">
        <v>1</v>
      </c>
      <c r="K1080" s="322">
        <v>1</v>
      </c>
      <c r="L1080" s="322">
        <v>1</v>
      </c>
      <c r="M1080" s="322">
        <v>1</v>
      </c>
      <c r="N1080" s="322">
        <v>1</v>
      </c>
      <c r="O1080" s="322">
        <v>1</v>
      </c>
      <c r="P1080" s="322">
        <v>1</v>
      </c>
      <c r="Q1080" s="453">
        <v>0</v>
      </c>
      <c r="R1080" s="322">
        <v>1</v>
      </c>
      <c r="S1080" s="322">
        <v>1</v>
      </c>
      <c r="T1080" s="552">
        <v>1</v>
      </c>
      <c r="U1080" s="322">
        <v>1</v>
      </c>
      <c r="V1080" s="322">
        <v>1</v>
      </c>
      <c r="W1080" s="322">
        <v>1</v>
      </c>
      <c r="X1080" s="322">
        <v>0</v>
      </c>
      <c r="Y1080" s="322">
        <v>1</v>
      </c>
      <c r="Z1080" s="322">
        <v>1</v>
      </c>
      <c r="AA1080" s="552">
        <v>1</v>
      </c>
      <c r="AB1080" s="322">
        <v>1</v>
      </c>
      <c r="AC1080" s="322">
        <v>1</v>
      </c>
      <c r="AD1080" s="322">
        <v>1</v>
      </c>
      <c r="AE1080" s="322">
        <v>1</v>
      </c>
      <c r="AF1080" s="548"/>
      <c r="AG1080" s="547"/>
      <c r="AH1080" s="322">
        <v>1</v>
      </c>
      <c r="AI1080" s="322">
        <v>0</v>
      </c>
      <c r="AJ1080" s="322">
        <v>1</v>
      </c>
      <c r="AK1080" s="322">
        <v>1</v>
      </c>
      <c r="AL1080" s="322">
        <v>1</v>
      </c>
      <c r="AM1080" s="322">
        <v>1</v>
      </c>
      <c r="AN1080" s="322">
        <v>1</v>
      </c>
      <c r="AO1080" s="322">
        <v>1</v>
      </c>
      <c r="AP1080" s="322">
        <v>1</v>
      </c>
      <c r="AQ1080" s="322">
        <v>0</v>
      </c>
      <c r="AR1080" s="322">
        <v>1</v>
      </c>
      <c r="AS1080" s="322">
        <v>1</v>
      </c>
      <c r="AT1080" s="322">
        <v>1</v>
      </c>
      <c r="AU1080" s="322">
        <v>0</v>
      </c>
      <c r="AV1080" s="322">
        <v>1</v>
      </c>
      <c r="AW1080" s="322">
        <v>1</v>
      </c>
      <c r="AX1080" s="322">
        <v>1</v>
      </c>
      <c r="AY1080" s="322">
        <v>1</v>
      </c>
      <c r="AZ1080" s="552">
        <v>1</v>
      </c>
      <c r="BA1080" s="322">
        <v>1</v>
      </c>
      <c r="BB1080" s="322">
        <v>1</v>
      </c>
      <c r="BC1080" s="322">
        <v>1</v>
      </c>
      <c r="BD1080" s="322">
        <v>0</v>
      </c>
      <c r="BE1080" s="322">
        <v>1</v>
      </c>
      <c r="BF1080" s="322">
        <v>1</v>
      </c>
      <c r="BG1080" s="552">
        <v>1</v>
      </c>
      <c r="BH1080" s="322">
        <v>1</v>
      </c>
      <c r="BI1080" s="322">
        <v>1</v>
      </c>
      <c r="BJ1080" s="322">
        <v>0</v>
      </c>
      <c r="BK1080" s="322">
        <v>1</v>
      </c>
      <c r="BL1080" s="548"/>
      <c r="BM1080" s="1"/>
      <c r="CV1080">
        <v>2</v>
      </c>
    </row>
    <row r="1081" spans="1:100">
      <c r="A1081" s="547"/>
      <c r="B1081" s="322">
        <v>1</v>
      </c>
      <c r="C1081" s="322">
        <v>1</v>
      </c>
      <c r="D1081" s="322">
        <v>1</v>
      </c>
      <c r="E1081" s="322">
        <v>1</v>
      </c>
      <c r="F1081" s="322">
        <v>1</v>
      </c>
      <c r="G1081" s="322">
        <v>1</v>
      </c>
      <c r="H1081" s="322">
        <v>1</v>
      </c>
      <c r="I1081" s="322">
        <v>1</v>
      </c>
      <c r="J1081" s="322">
        <v>1</v>
      </c>
      <c r="K1081" s="322">
        <v>1</v>
      </c>
      <c r="L1081" s="322">
        <v>1</v>
      </c>
      <c r="M1081" s="322">
        <v>1</v>
      </c>
      <c r="N1081" s="322">
        <v>1</v>
      </c>
      <c r="O1081" s="322">
        <v>1</v>
      </c>
      <c r="P1081" s="322">
        <v>1</v>
      </c>
      <c r="Q1081" s="322">
        <v>1</v>
      </c>
      <c r="R1081" s="322">
        <v>1</v>
      </c>
      <c r="S1081" s="552">
        <v>1</v>
      </c>
      <c r="T1081" s="322">
        <v>1</v>
      </c>
      <c r="U1081" s="322">
        <v>1</v>
      </c>
      <c r="V1081" s="322">
        <v>1</v>
      </c>
      <c r="W1081" s="322">
        <v>1</v>
      </c>
      <c r="X1081" s="322">
        <v>1</v>
      </c>
      <c r="Y1081" s="322">
        <v>1</v>
      </c>
      <c r="Z1081" s="552">
        <v>1</v>
      </c>
      <c r="AA1081" s="322">
        <v>1</v>
      </c>
      <c r="AB1081" s="322">
        <v>1</v>
      </c>
      <c r="AC1081" s="322">
        <v>1</v>
      </c>
      <c r="AD1081" s="322">
        <v>1</v>
      </c>
      <c r="AE1081" s="322">
        <v>1</v>
      </c>
      <c r="AF1081" s="548"/>
      <c r="AG1081" s="547"/>
      <c r="AH1081" s="322">
        <v>0</v>
      </c>
      <c r="AI1081" s="322">
        <v>1</v>
      </c>
      <c r="AJ1081" s="322">
        <v>1</v>
      </c>
      <c r="AK1081" s="322">
        <v>1</v>
      </c>
      <c r="AL1081" s="322">
        <v>1</v>
      </c>
      <c r="AM1081" s="322">
        <v>1</v>
      </c>
      <c r="AN1081" s="322">
        <v>1</v>
      </c>
      <c r="AO1081" s="322">
        <v>1</v>
      </c>
      <c r="AP1081" s="322">
        <v>0</v>
      </c>
      <c r="AQ1081" s="322">
        <v>1</v>
      </c>
      <c r="AR1081" s="322">
        <v>1</v>
      </c>
      <c r="AS1081" s="322">
        <v>1</v>
      </c>
      <c r="AT1081" s="322">
        <v>0</v>
      </c>
      <c r="AU1081" s="322">
        <v>1</v>
      </c>
      <c r="AV1081" s="322">
        <v>1</v>
      </c>
      <c r="AW1081" s="322">
        <v>1</v>
      </c>
      <c r="AX1081" s="322">
        <v>1</v>
      </c>
      <c r="AY1081" s="552">
        <v>1</v>
      </c>
      <c r="AZ1081" s="322">
        <v>1</v>
      </c>
      <c r="BA1081" s="322">
        <v>1</v>
      </c>
      <c r="BB1081" s="322">
        <v>1</v>
      </c>
      <c r="BC1081" s="322">
        <v>0</v>
      </c>
      <c r="BD1081" s="322">
        <v>1</v>
      </c>
      <c r="BE1081" s="322">
        <v>1</v>
      </c>
      <c r="BF1081" s="552">
        <v>1</v>
      </c>
      <c r="BG1081" s="322">
        <v>1</v>
      </c>
      <c r="BH1081" s="322">
        <v>1</v>
      </c>
      <c r="BI1081" s="322">
        <v>0</v>
      </c>
      <c r="BJ1081" s="322">
        <v>1</v>
      </c>
      <c r="BK1081" s="322">
        <v>1</v>
      </c>
      <c r="BL1081" s="548"/>
      <c r="BM1081" s="1"/>
      <c r="CV1081">
        <v>2</v>
      </c>
    </row>
    <row r="1082" spans="1:100">
      <c r="A1082" s="547"/>
      <c r="B1082" s="322">
        <v>1</v>
      </c>
      <c r="C1082" s="322">
        <v>1</v>
      </c>
      <c r="D1082" s="322">
        <v>1</v>
      </c>
      <c r="E1082" s="322">
        <v>1</v>
      </c>
      <c r="F1082" s="322">
        <v>1</v>
      </c>
      <c r="G1082" s="322">
        <v>1</v>
      </c>
      <c r="H1082" s="322">
        <v>1</v>
      </c>
      <c r="I1082" s="322">
        <v>1</v>
      </c>
      <c r="J1082" s="322">
        <v>1</v>
      </c>
      <c r="K1082" s="322">
        <v>1</v>
      </c>
      <c r="L1082" s="322">
        <v>1</v>
      </c>
      <c r="M1082" s="322">
        <v>1</v>
      </c>
      <c r="N1082" s="322">
        <v>1</v>
      </c>
      <c r="O1082" s="322">
        <v>1</v>
      </c>
      <c r="P1082" s="322">
        <v>1</v>
      </c>
      <c r="Q1082" s="322">
        <v>1</v>
      </c>
      <c r="R1082" s="552">
        <v>1</v>
      </c>
      <c r="S1082" s="322">
        <v>1</v>
      </c>
      <c r="T1082" s="322">
        <v>0</v>
      </c>
      <c r="U1082" s="322">
        <v>1</v>
      </c>
      <c r="V1082" s="322">
        <v>1</v>
      </c>
      <c r="W1082" s="322">
        <v>1</v>
      </c>
      <c r="X1082" s="322">
        <v>1</v>
      </c>
      <c r="Y1082" s="552">
        <v>1</v>
      </c>
      <c r="Z1082" s="322">
        <v>1</v>
      </c>
      <c r="AA1082" s="322">
        <v>1</v>
      </c>
      <c r="AB1082" s="322">
        <v>1</v>
      </c>
      <c r="AC1082" s="322">
        <v>1</v>
      </c>
      <c r="AD1082" s="322">
        <v>1</v>
      </c>
      <c r="AE1082" s="322">
        <v>1</v>
      </c>
      <c r="AF1082" s="548"/>
      <c r="AG1082" s="547"/>
      <c r="AH1082" s="322">
        <v>1</v>
      </c>
      <c r="AI1082" s="322">
        <v>1</v>
      </c>
      <c r="AJ1082" s="322">
        <v>1</v>
      </c>
      <c r="AK1082" s="322">
        <v>1</v>
      </c>
      <c r="AL1082" s="322">
        <v>1</v>
      </c>
      <c r="AM1082" s="322">
        <v>1</v>
      </c>
      <c r="AN1082" s="322">
        <v>1</v>
      </c>
      <c r="AO1082" s="322">
        <v>1</v>
      </c>
      <c r="AP1082" s="322">
        <v>1</v>
      </c>
      <c r="AQ1082" s="322">
        <v>1</v>
      </c>
      <c r="AR1082" s="322">
        <v>1</v>
      </c>
      <c r="AS1082" s="322">
        <v>0</v>
      </c>
      <c r="AT1082" s="322">
        <v>1</v>
      </c>
      <c r="AU1082" s="322">
        <v>1</v>
      </c>
      <c r="AV1082" s="322">
        <v>1</v>
      </c>
      <c r="AW1082" s="322">
        <v>1</v>
      </c>
      <c r="AX1082" s="552">
        <v>1</v>
      </c>
      <c r="AY1082" s="322">
        <v>1</v>
      </c>
      <c r="AZ1082" s="322">
        <v>1</v>
      </c>
      <c r="BA1082" s="322">
        <v>1</v>
      </c>
      <c r="BB1082" s="322">
        <v>0</v>
      </c>
      <c r="BC1082" s="322">
        <v>1</v>
      </c>
      <c r="BD1082" s="322">
        <v>1</v>
      </c>
      <c r="BE1082" s="552">
        <v>1</v>
      </c>
      <c r="BF1082" s="322">
        <v>1</v>
      </c>
      <c r="BG1082" s="322">
        <v>1</v>
      </c>
      <c r="BH1082" s="322">
        <v>0</v>
      </c>
      <c r="BI1082" s="322">
        <v>1</v>
      </c>
      <c r="BJ1082" s="322">
        <v>1</v>
      </c>
      <c r="BK1082" s="322">
        <v>1</v>
      </c>
      <c r="BL1082" s="548"/>
      <c r="BM1082" s="1"/>
      <c r="CV1082">
        <v>2</v>
      </c>
    </row>
    <row r="1083" spans="1:100">
      <c r="A1083" s="547"/>
      <c r="B1083" s="322">
        <v>1</v>
      </c>
      <c r="C1083" s="322">
        <v>1</v>
      </c>
      <c r="D1083" s="322">
        <v>1</v>
      </c>
      <c r="E1083" s="322">
        <v>1</v>
      </c>
      <c r="F1083" s="322">
        <v>1</v>
      </c>
      <c r="G1083" s="322">
        <v>1</v>
      </c>
      <c r="H1083" s="322">
        <v>1</v>
      </c>
      <c r="I1083" s="322">
        <v>1</v>
      </c>
      <c r="J1083" s="322">
        <v>1</v>
      </c>
      <c r="K1083" s="322">
        <v>1</v>
      </c>
      <c r="L1083" s="322">
        <v>1</v>
      </c>
      <c r="M1083" s="322">
        <v>1</v>
      </c>
      <c r="N1083" s="322">
        <v>1</v>
      </c>
      <c r="O1083" s="322">
        <v>1</v>
      </c>
      <c r="P1083" s="322">
        <v>1</v>
      </c>
      <c r="Q1083" s="552">
        <v>1</v>
      </c>
      <c r="R1083" s="322">
        <v>1</v>
      </c>
      <c r="S1083" s="322">
        <v>0</v>
      </c>
      <c r="T1083" s="322">
        <v>1</v>
      </c>
      <c r="U1083" s="322">
        <v>1</v>
      </c>
      <c r="V1083" s="322">
        <v>1</v>
      </c>
      <c r="W1083" s="322">
        <v>1</v>
      </c>
      <c r="X1083" s="552">
        <v>1</v>
      </c>
      <c r="Y1083" s="322">
        <v>1</v>
      </c>
      <c r="Z1083" s="322">
        <v>1</v>
      </c>
      <c r="AA1083" s="322">
        <v>1</v>
      </c>
      <c r="AB1083" s="322">
        <v>1</v>
      </c>
      <c r="AC1083" s="322">
        <v>1</v>
      </c>
      <c r="AD1083" s="552">
        <v>1</v>
      </c>
      <c r="AE1083" s="322">
        <v>1</v>
      </c>
      <c r="AF1083" s="549"/>
      <c r="AG1083" s="547"/>
      <c r="AH1083" s="322">
        <v>1</v>
      </c>
      <c r="AI1083" s="322">
        <v>1</v>
      </c>
      <c r="AJ1083" s="322">
        <v>1</v>
      </c>
      <c r="AK1083" s="322">
        <v>1</v>
      </c>
      <c r="AL1083" s="322">
        <v>1</v>
      </c>
      <c r="AM1083" s="322">
        <v>1</v>
      </c>
      <c r="AN1083" s="322">
        <v>1</v>
      </c>
      <c r="AO1083" s="322">
        <v>1</v>
      </c>
      <c r="AP1083" s="322">
        <v>1</v>
      </c>
      <c r="AQ1083" s="322">
        <v>1</v>
      </c>
      <c r="AR1083" s="322">
        <v>0</v>
      </c>
      <c r="AS1083" s="322">
        <v>1</v>
      </c>
      <c r="AT1083" s="322">
        <v>1</v>
      </c>
      <c r="AU1083" s="322">
        <v>1</v>
      </c>
      <c r="AV1083" s="322">
        <v>1</v>
      </c>
      <c r="AW1083" s="552">
        <v>1</v>
      </c>
      <c r="AX1083" s="322">
        <v>1</v>
      </c>
      <c r="AY1083" s="322">
        <v>1</v>
      </c>
      <c r="AZ1083" s="322">
        <v>1</v>
      </c>
      <c r="BA1083" s="322">
        <v>1</v>
      </c>
      <c r="BB1083" s="322">
        <v>1</v>
      </c>
      <c r="BC1083" s="322">
        <v>1</v>
      </c>
      <c r="BD1083" s="552">
        <v>1</v>
      </c>
      <c r="BE1083" s="322">
        <v>1</v>
      </c>
      <c r="BF1083" s="322">
        <v>1</v>
      </c>
      <c r="BG1083" s="322">
        <v>1</v>
      </c>
      <c r="BH1083" s="322">
        <v>1</v>
      </c>
      <c r="BI1083" s="322">
        <v>1</v>
      </c>
      <c r="BJ1083" s="552">
        <v>1</v>
      </c>
      <c r="BK1083" s="322">
        <v>1</v>
      </c>
      <c r="BL1083" s="549"/>
      <c r="BM1083" s="1"/>
      <c r="BN1083" s="547"/>
      <c r="BO1083" s="549"/>
    </row>
    <row r="1084" spans="1:100">
      <c r="A1084" s="547"/>
      <c r="B1084" s="322">
        <v>1</v>
      </c>
      <c r="C1084" s="322">
        <v>1</v>
      </c>
      <c r="D1084" s="322">
        <v>1</v>
      </c>
      <c r="E1084" s="552">
        <v>1</v>
      </c>
      <c r="F1084" s="322">
        <v>1</v>
      </c>
      <c r="G1084" s="322">
        <v>1</v>
      </c>
      <c r="H1084" s="322">
        <v>1</v>
      </c>
      <c r="I1084" s="322">
        <v>1</v>
      </c>
      <c r="J1084" s="322">
        <v>1</v>
      </c>
      <c r="K1084" s="322">
        <v>1</v>
      </c>
      <c r="L1084" s="322">
        <v>1</v>
      </c>
      <c r="M1084" s="322">
        <v>0</v>
      </c>
      <c r="N1084" s="322">
        <v>1</v>
      </c>
      <c r="O1084" s="322">
        <v>1</v>
      </c>
      <c r="P1084" s="552">
        <v>1</v>
      </c>
      <c r="Q1084" s="322">
        <v>1</v>
      </c>
      <c r="R1084" s="322">
        <v>0</v>
      </c>
      <c r="S1084" s="322">
        <v>1</v>
      </c>
      <c r="T1084" s="322">
        <v>1</v>
      </c>
      <c r="U1084" s="322">
        <v>1</v>
      </c>
      <c r="V1084" s="322">
        <v>1</v>
      </c>
      <c r="W1084" s="552">
        <v>1</v>
      </c>
      <c r="X1084" s="322">
        <v>1</v>
      </c>
      <c r="Y1084" s="322">
        <v>1</v>
      </c>
      <c r="Z1084" s="322">
        <v>0</v>
      </c>
      <c r="AA1084" s="322">
        <v>1</v>
      </c>
      <c r="AB1084" s="322">
        <v>1</v>
      </c>
      <c r="AC1084" s="552">
        <v>1</v>
      </c>
      <c r="AD1084" s="322">
        <v>1</v>
      </c>
      <c r="AE1084" s="322">
        <v>1</v>
      </c>
      <c r="AF1084" s="549"/>
      <c r="AG1084" s="547"/>
      <c r="AH1084" s="322">
        <v>1</v>
      </c>
      <c r="AI1084" s="322">
        <v>1</v>
      </c>
      <c r="AJ1084" s="322">
        <v>1</v>
      </c>
      <c r="AK1084" s="552">
        <v>1</v>
      </c>
      <c r="AL1084" s="322">
        <v>1</v>
      </c>
      <c r="AM1084" s="322">
        <v>1</v>
      </c>
      <c r="AN1084" s="322">
        <v>1</v>
      </c>
      <c r="AO1084" s="322">
        <v>1</v>
      </c>
      <c r="AP1084" s="322">
        <v>1</v>
      </c>
      <c r="AQ1084" s="322">
        <v>0</v>
      </c>
      <c r="AR1084" s="322">
        <v>1</v>
      </c>
      <c r="AS1084" s="322">
        <v>1</v>
      </c>
      <c r="AT1084" s="322">
        <v>1</v>
      </c>
      <c r="AU1084" s="322">
        <v>1</v>
      </c>
      <c r="AV1084" s="552">
        <v>1</v>
      </c>
      <c r="AW1084" s="322">
        <v>1</v>
      </c>
      <c r="AX1084" s="322">
        <v>1</v>
      </c>
      <c r="AY1084" s="322">
        <v>1</v>
      </c>
      <c r="AZ1084" s="322">
        <v>1</v>
      </c>
      <c r="BA1084" s="322">
        <v>1</v>
      </c>
      <c r="BB1084" s="322">
        <v>1</v>
      </c>
      <c r="BC1084" s="552">
        <v>1</v>
      </c>
      <c r="BD1084" s="322">
        <v>1</v>
      </c>
      <c r="BE1084" s="322">
        <v>1</v>
      </c>
      <c r="BF1084" s="322">
        <v>1</v>
      </c>
      <c r="BG1084" s="322">
        <v>1</v>
      </c>
      <c r="BH1084" s="322">
        <v>1</v>
      </c>
      <c r="BI1084" s="552">
        <v>1</v>
      </c>
      <c r="BJ1084" s="322">
        <v>1</v>
      </c>
      <c r="BK1084" s="322">
        <v>1</v>
      </c>
      <c r="BL1084" s="549"/>
      <c r="BM1084" s="1"/>
      <c r="CV1084">
        <v>27</v>
      </c>
    </row>
    <row r="1085" spans="1:100">
      <c r="A1085" s="547"/>
      <c r="B1085" s="322">
        <v>1</v>
      </c>
      <c r="C1085" s="322">
        <v>1</v>
      </c>
      <c r="D1085" s="552">
        <v>1</v>
      </c>
      <c r="E1085" s="322">
        <v>1</v>
      </c>
      <c r="F1085" s="322">
        <v>0</v>
      </c>
      <c r="G1085" s="322">
        <v>1</v>
      </c>
      <c r="H1085" s="322">
        <v>1</v>
      </c>
      <c r="I1085" s="322">
        <v>1</v>
      </c>
      <c r="J1085" s="322">
        <v>1</v>
      </c>
      <c r="K1085" s="322">
        <v>1</v>
      </c>
      <c r="L1085" s="322">
        <v>0</v>
      </c>
      <c r="M1085" s="322">
        <v>1</v>
      </c>
      <c r="N1085" s="322">
        <v>1</v>
      </c>
      <c r="O1085" s="322">
        <v>1</v>
      </c>
      <c r="P1085" s="322">
        <v>1</v>
      </c>
      <c r="Q1085" s="322">
        <v>0</v>
      </c>
      <c r="R1085" s="322">
        <v>1</v>
      </c>
      <c r="S1085" s="322">
        <v>1</v>
      </c>
      <c r="T1085" s="322">
        <v>1</v>
      </c>
      <c r="U1085" s="322">
        <v>1</v>
      </c>
      <c r="V1085" s="322">
        <v>1</v>
      </c>
      <c r="W1085" s="322">
        <v>1</v>
      </c>
      <c r="X1085" s="322">
        <v>1</v>
      </c>
      <c r="Y1085" s="322">
        <v>0</v>
      </c>
      <c r="Z1085" s="322">
        <v>1</v>
      </c>
      <c r="AA1085" s="322">
        <v>1</v>
      </c>
      <c r="AB1085" s="552">
        <v>1</v>
      </c>
      <c r="AC1085" s="322">
        <v>1</v>
      </c>
      <c r="AD1085" s="322">
        <v>1</v>
      </c>
      <c r="AE1085" s="322">
        <v>1</v>
      </c>
      <c r="AF1085" s="549"/>
      <c r="AG1085" s="547"/>
      <c r="AH1085" s="322">
        <v>1</v>
      </c>
      <c r="AI1085" s="322">
        <v>1</v>
      </c>
      <c r="AJ1085" s="552">
        <v>1</v>
      </c>
      <c r="AK1085" s="322">
        <v>1</v>
      </c>
      <c r="AL1085" s="322">
        <v>1</v>
      </c>
      <c r="AM1085" s="322">
        <v>1</v>
      </c>
      <c r="AN1085" s="322">
        <v>1</v>
      </c>
      <c r="AO1085" s="322">
        <v>1</v>
      </c>
      <c r="AP1085" s="322">
        <v>1</v>
      </c>
      <c r="AQ1085" s="322">
        <v>1</v>
      </c>
      <c r="AR1085" s="322">
        <v>1</v>
      </c>
      <c r="AS1085" s="322">
        <v>1</v>
      </c>
      <c r="AT1085" s="322">
        <v>1</v>
      </c>
      <c r="AU1085" s="322">
        <v>1</v>
      </c>
      <c r="AV1085" s="322">
        <v>1</v>
      </c>
      <c r="AW1085" s="322">
        <v>1</v>
      </c>
      <c r="AX1085" s="322">
        <v>1</v>
      </c>
      <c r="AY1085" s="322">
        <v>1</v>
      </c>
      <c r="AZ1085" s="322">
        <v>1</v>
      </c>
      <c r="BA1085" s="322">
        <v>1</v>
      </c>
      <c r="BB1085" s="322">
        <v>1</v>
      </c>
      <c r="BC1085" s="322">
        <v>1</v>
      </c>
      <c r="BD1085" s="322">
        <v>1</v>
      </c>
      <c r="BE1085" s="322">
        <v>1</v>
      </c>
      <c r="BF1085" s="322">
        <v>1</v>
      </c>
      <c r="BG1085" s="322">
        <v>1</v>
      </c>
      <c r="BH1085" s="552">
        <v>1</v>
      </c>
      <c r="BI1085" s="322">
        <v>1</v>
      </c>
      <c r="BJ1085" s="322">
        <v>1</v>
      </c>
      <c r="BK1085" s="322">
        <v>1</v>
      </c>
      <c r="BL1085" s="549"/>
      <c r="BM1085" s="1"/>
      <c r="CV1085">
        <v>27</v>
      </c>
    </row>
    <row r="1086" spans="1:100">
      <c r="A1086" s="547"/>
      <c r="B1086" s="322">
        <v>1</v>
      </c>
      <c r="C1086" s="552">
        <v>1</v>
      </c>
      <c r="D1086" s="322">
        <v>1</v>
      </c>
      <c r="E1086" s="322">
        <v>0</v>
      </c>
      <c r="F1086" s="322">
        <v>1</v>
      </c>
      <c r="G1086" s="322">
        <v>1</v>
      </c>
      <c r="H1086" s="322">
        <v>1</v>
      </c>
      <c r="I1086" s="322">
        <v>1</v>
      </c>
      <c r="J1086" s="322">
        <v>1</v>
      </c>
      <c r="K1086" s="322">
        <v>0</v>
      </c>
      <c r="L1086" s="322">
        <v>1</v>
      </c>
      <c r="M1086" s="322">
        <v>1</v>
      </c>
      <c r="N1086" s="322">
        <v>1</v>
      </c>
      <c r="O1086" s="322">
        <v>1</v>
      </c>
      <c r="P1086" s="322">
        <v>1</v>
      </c>
      <c r="Q1086" s="322">
        <v>1</v>
      </c>
      <c r="R1086" s="322">
        <v>1</v>
      </c>
      <c r="S1086" s="322">
        <v>1</v>
      </c>
      <c r="T1086" s="322">
        <v>1</v>
      </c>
      <c r="U1086" s="322">
        <v>1</v>
      </c>
      <c r="V1086" s="322">
        <v>1</v>
      </c>
      <c r="W1086" s="322">
        <v>1</v>
      </c>
      <c r="X1086" s="322">
        <v>0</v>
      </c>
      <c r="Y1086" s="322">
        <v>1</v>
      </c>
      <c r="Z1086" s="322">
        <v>1</v>
      </c>
      <c r="AA1086" s="322">
        <v>1</v>
      </c>
      <c r="AB1086" s="322">
        <v>1</v>
      </c>
      <c r="AC1086" s="322">
        <v>1</v>
      </c>
      <c r="AD1086" s="322">
        <v>1</v>
      </c>
      <c r="AE1086" s="322">
        <v>1</v>
      </c>
      <c r="AF1086" s="549"/>
      <c r="AG1086" s="547"/>
      <c r="AH1086" s="322">
        <v>1</v>
      </c>
      <c r="AI1086" s="552">
        <v>1</v>
      </c>
      <c r="AJ1086" s="322">
        <v>1</v>
      </c>
      <c r="AK1086" s="322">
        <v>1</v>
      </c>
      <c r="AL1086" s="322">
        <v>1</v>
      </c>
      <c r="AM1086" s="322">
        <v>1</v>
      </c>
      <c r="AN1086" s="322">
        <v>1</v>
      </c>
      <c r="AO1086" s="322">
        <v>1</v>
      </c>
      <c r="AP1086" s="322">
        <v>1</v>
      </c>
      <c r="AQ1086" s="322">
        <v>1</v>
      </c>
      <c r="AR1086" s="322">
        <v>1</v>
      </c>
      <c r="AS1086" s="322">
        <v>1</v>
      </c>
      <c r="AT1086" s="322">
        <v>1</v>
      </c>
      <c r="AU1086" s="322">
        <v>1</v>
      </c>
      <c r="AV1086" s="322">
        <v>1</v>
      </c>
      <c r="AW1086" s="322">
        <v>1</v>
      </c>
      <c r="AX1086" s="322">
        <v>1</v>
      </c>
      <c r="AY1086" s="322">
        <v>1</v>
      </c>
      <c r="AZ1086" s="322">
        <v>1</v>
      </c>
      <c r="BA1086" s="322">
        <v>1</v>
      </c>
      <c r="BB1086" s="322">
        <v>1</v>
      </c>
      <c r="BC1086" s="322">
        <v>1</v>
      </c>
      <c r="BD1086" s="322">
        <v>1</v>
      </c>
      <c r="BE1086" s="322">
        <v>1</v>
      </c>
      <c r="BF1086" s="322">
        <v>1</v>
      </c>
      <c r="BG1086" s="322">
        <v>1</v>
      </c>
      <c r="BH1086" s="322">
        <v>1</v>
      </c>
      <c r="BI1086" s="322">
        <v>1</v>
      </c>
      <c r="BJ1086" s="322">
        <v>1</v>
      </c>
      <c r="BK1086" s="322">
        <v>1</v>
      </c>
      <c r="BL1086" s="549"/>
      <c r="BM1086" s="1"/>
      <c r="CV1086">
        <v>27</v>
      </c>
    </row>
    <row r="1087" spans="1:100">
      <c r="A1087" s="547"/>
      <c r="B1087" s="322">
        <v>1</v>
      </c>
      <c r="C1087" s="322">
        <v>1</v>
      </c>
      <c r="D1087" s="322">
        <v>0</v>
      </c>
      <c r="E1087" s="322">
        <v>1</v>
      </c>
      <c r="F1087" s="322">
        <v>1</v>
      </c>
      <c r="G1087" s="322">
        <v>1</v>
      </c>
      <c r="H1087" s="322">
        <v>1</v>
      </c>
      <c r="I1087" s="322">
        <v>1</v>
      </c>
      <c r="J1087" s="322">
        <v>0</v>
      </c>
      <c r="K1087" s="322">
        <v>1</v>
      </c>
      <c r="L1087" s="322">
        <v>1</v>
      </c>
      <c r="M1087" s="322">
        <v>1</v>
      </c>
      <c r="N1087" s="322">
        <v>1</v>
      </c>
      <c r="O1087" s="322">
        <v>1</v>
      </c>
      <c r="P1087" s="322">
        <v>1</v>
      </c>
      <c r="Q1087" s="322">
        <v>1</v>
      </c>
      <c r="R1087" s="322">
        <v>1</v>
      </c>
      <c r="S1087" s="322">
        <v>1</v>
      </c>
      <c r="T1087" s="322">
        <v>1</v>
      </c>
      <c r="U1087" s="322">
        <v>1</v>
      </c>
      <c r="V1087" s="322">
        <v>1</v>
      </c>
      <c r="W1087" s="322">
        <v>0</v>
      </c>
      <c r="X1087" s="322">
        <v>1</v>
      </c>
      <c r="Y1087" s="322">
        <v>1</v>
      </c>
      <c r="Z1087" s="322">
        <v>1</v>
      </c>
      <c r="AA1087" s="322">
        <v>1</v>
      </c>
      <c r="AB1087" s="322">
        <v>1</v>
      </c>
      <c r="AC1087" s="322">
        <v>1</v>
      </c>
      <c r="AD1087" s="322">
        <v>1</v>
      </c>
      <c r="AE1087" s="322">
        <v>1</v>
      </c>
      <c r="AF1087" s="549"/>
      <c r="AG1087" s="547"/>
      <c r="AH1087" s="322">
        <v>1</v>
      </c>
      <c r="AI1087" s="322">
        <v>1</v>
      </c>
      <c r="AJ1087" s="322">
        <v>1</v>
      </c>
      <c r="AK1087" s="322">
        <v>1</v>
      </c>
      <c r="AL1087" s="322">
        <v>1</v>
      </c>
      <c r="AM1087" s="322">
        <v>1</v>
      </c>
      <c r="AN1087" s="322">
        <v>1</v>
      </c>
      <c r="AO1087" s="322">
        <v>1</v>
      </c>
      <c r="AP1087" s="322">
        <v>1</v>
      </c>
      <c r="AQ1087" s="322">
        <v>1</v>
      </c>
      <c r="AR1087" s="322">
        <v>1</v>
      </c>
      <c r="AS1087" s="322">
        <v>1</v>
      </c>
      <c r="AT1087" s="322">
        <v>1</v>
      </c>
      <c r="AU1087" s="322">
        <v>1</v>
      </c>
      <c r="AV1087" s="322">
        <v>1</v>
      </c>
      <c r="AW1087" s="322">
        <v>1</v>
      </c>
      <c r="AX1087" s="322">
        <v>1</v>
      </c>
      <c r="AY1087" s="322">
        <v>1</v>
      </c>
      <c r="AZ1087" s="322">
        <v>1</v>
      </c>
      <c r="BA1087" s="322">
        <v>1</v>
      </c>
      <c r="BB1087" s="322">
        <v>1</v>
      </c>
      <c r="BC1087" s="322">
        <v>1</v>
      </c>
      <c r="BD1087" s="322">
        <v>1</v>
      </c>
      <c r="BE1087" s="322">
        <v>1</v>
      </c>
      <c r="BF1087" s="322">
        <v>1</v>
      </c>
      <c r="BG1087" s="322">
        <v>1</v>
      </c>
      <c r="BH1087" s="322">
        <v>1</v>
      </c>
      <c r="BI1087" s="322">
        <v>1</v>
      </c>
      <c r="BJ1087" s="322">
        <v>1</v>
      </c>
      <c r="BK1087" s="322">
        <v>1</v>
      </c>
      <c r="BL1087" s="549"/>
      <c r="BM1087" s="1"/>
      <c r="CV1087">
        <v>27</v>
      </c>
    </row>
    <row r="1088" spans="1:100">
      <c r="A1088" s="550"/>
      <c r="B1088" s="639"/>
      <c r="C1088" s="639"/>
      <c r="D1088" s="639"/>
      <c r="E1088" s="639"/>
      <c r="F1088" s="639"/>
      <c r="G1088" s="639"/>
      <c r="H1088" s="639"/>
      <c r="I1088" s="639"/>
      <c r="J1088" s="639"/>
      <c r="K1088" s="639"/>
      <c r="L1088" s="639"/>
      <c r="M1088" s="639"/>
      <c r="N1088" s="639"/>
      <c r="O1088" s="639"/>
      <c r="P1088" s="639"/>
      <c r="Q1088" s="639"/>
      <c r="R1088" s="639"/>
      <c r="S1088" s="639"/>
      <c r="T1088" s="639"/>
      <c r="U1088" s="639"/>
      <c r="V1088" s="639"/>
      <c r="W1088" s="639"/>
      <c r="X1088" s="639"/>
      <c r="Y1088" s="639"/>
      <c r="Z1088" s="639"/>
      <c r="AA1088" s="551"/>
      <c r="AB1088" s="551"/>
      <c r="AC1088" s="551"/>
      <c r="AD1088" s="551"/>
      <c r="AE1088" s="551"/>
      <c r="AF1088" s="551"/>
      <c r="AG1088" s="550"/>
      <c r="AH1088" s="639"/>
      <c r="AI1088" s="639"/>
      <c r="AJ1088" s="639"/>
      <c r="AK1088" s="639"/>
      <c r="AL1088" s="639"/>
      <c r="AM1088" s="639"/>
      <c r="AN1088" s="639"/>
      <c r="AO1088" s="639"/>
      <c r="AP1088" s="639"/>
      <c r="AQ1088" s="639"/>
      <c r="AR1088" s="639"/>
      <c r="AS1088" s="639"/>
      <c r="AT1088" s="639"/>
      <c r="AU1088" s="639"/>
      <c r="AV1088" s="639"/>
      <c r="AW1088" s="639"/>
      <c r="AX1088" s="639"/>
      <c r="AY1088" s="639"/>
      <c r="AZ1088" s="639"/>
      <c r="BA1088" s="639"/>
      <c r="BB1088" s="639"/>
      <c r="BC1088" s="639"/>
      <c r="BD1088" s="639"/>
      <c r="BE1088" s="639"/>
      <c r="BF1088" s="639"/>
      <c r="BG1088" s="551"/>
      <c r="BH1088" s="551"/>
      <c r="BI1088" s="551"/>
      <c r="BJ1088" s="551"/>
      <c r="BK1088" s="551"/>
      <c r="BL1088" s="551"/>
      <c r="BM1088" s="176"/>
      <c r="BN1088" s="550"/>
      <c r="BO1088" s="551"/>
      <c r="BP1088" s="73"/>
    </row>
    <row r="1089" spans="1:100">
      <c r="A1089" s="553"/>
      <c r="B1089" s="571"/>
      <c r="C1089" s="613"/>
      <c r="D1089" s="553"/>
      <c r="E1089" s="553"/>
      <c r="F1089" s="553"/>
      <c r="G1089" s="553"/>
      <c r="H1089" s="553"/>
      <c r="I1089" s="571"/>
      <c r="J1089" s="613"/>
      <c r="K1089" s="553"/>
      <c r="L1089" s="553"/>
      <c r="M1089" s="553"/>
      <c r="N1089" s="553"/>
      <c r="O1089" s="553"/>
      <c r="P1089" s="571"/>
      <c r="Q1089" s="613"/>
      <c r="R1089" s="553"/>
      <c r="S1089" s="553"/>
      <c r="T1089" s="553"/>
      <c r="U1089" s="553"/>
      <c r="V1089" s="553"/>
      <c r="W1089" s="571"/>
      <c r="X1089" s="613"/>
      <c r="Y1089" s="553"/>
      <c r="Z1089" s="553"/>
      <c r="AA1089" s="553"/>
      <c r="AB1089" s="553"/>
      <c r="AC1089" s="553"/>
      <c r="AD1089" s="571"/>
      <c r="AE1089" s="613"/>
      <c r="AF1089" s="617"/>
      <c r="AG1089" s="553"/>
      <c r="AH1089" s="611"/>
      <c r="AI1089" s="613"/>
      <c r="AJ1089" s="611"/>
      <c r="AK1089" s="611"/>
      <c r="AL1089" s="611"/>
      <c r="AM1089" s="553"/>
      <c r="AN1089" s="553"/>
      <c r="AO1089" s="611"/>
      <c r="AP1089" s="613"/>
      <c r="AQ1089" s="611"/>
      <c r="AR1089" s="611"/>
      <c r="AS1089" s="611"/>
      <c r="AT1089" s="553"/>
      <c r="AU1089" s="553"/>
      <c r="AV1089" s="611"/>
      <c r="AW1089" s="613"/>
      <c r="AX1089" s="611"/>
      <c r="AY1089" s="611"/>
      <c r="AZ1089" s="611"/>
      <c r="BA1089" s="553"/>
      <c r="BB1089" s="553"/>
      <c r="BC1089" s="611"/>
      <c r="BD1089" s="613"/>
      <c r="BE1089" s="553"/>
      <c r="BF1089" s="553"/>
      <c r="BG1089" s="553"/>
      <c r="BH1089" s="553"/>
      <c r="BI1089" s="553"/>
      <c r="BJ1089" s="611"/>
      <c r="BK1089" s="555"/>
      <c r="BL1089" s="621"/>
      <c r="BM1089" s="301">
        <v>35</v>
      </c>
      <c r="BN1089" s="39"/>
      <c r="BO1089" s="39"/>
      <c r="BP1089" s="90"/>
    </row>
    <row r="1090" spans="1:100">
      <c r="A1090" s="553"/>
      <c r="B1090" s="571"/>
      <c r="C1090" s="621"/>
      <c r="D1090" s="613"/>
      <c r="E1090" s="613"/>
      <c r="F1090" s="613"/>
      <c r="G1090" s="613"/>
      <c r="H1090" s="553"/>
      <c r="I1090" s="612"/>
      <c r="J1090" s="621"/>
      <c r="K1090" s="613"/>
      <c r="L1090" s="613"/>
      <c r="M1090" s="613"/>
      <c r="N1090" s="613"/>
      <c r="O1090" s="553"/>
      <c r="P1090" s="612"/>
      <c r="Q1090" s="621"/>
      <c r="R1090" s="613"/>
      <c r="S1090" s="613"/>
      <c r="T1090" s="613"/>
      <c r="U1090" s="613"/>
      <c r="V1090" s="553"/>
      <c r="W1090" s="612"/>
      <c r="X1090" s="621"/>
      <c r="Y1090" s="613"/>
      <c r="Z1090" s="613"/>
      <c r="AA1090" s="613"/>
      <c r="AB1090" s="613"/>
      <c r="AC1090" s="553"/>
      <c r="AD1090" s="571"/>
      <c r="AE1090" s="613"/>
      <c r="AF1090" s="617"/>
      <c r="AG1090" s="553"/>
      <c r="AH1090" s="611"/>
      <c r="AI1090" s="621"/>
      <c r="AJ1090" s="613"/>
      <c r="AK1090" s="613"/>
      <c r="AL1090" s="613"/>
      <c r="AM1090" s="613"/>
      <c r="AN1090" s="553"/>
      <c r="AO1090" s="612"/>
      <c r="AP1090" s="621"/>
      <c r="AQ1090" s="613"/>
      <c r="AR1090" s="613"/>
      <c r="AS1090" s="613"/>
      <c r="AT1090" s="613"/>
      <c r="AU1090" s="553"/>
      <c r="AV1090" s="612"/>
      <c r="AW1090" s="621"/>
      <c r="AX1090" s="613"/>
      <c r="AY1090" s="613"/>
      <c r="AZ1090" s="613"/>
      <c r="BA1090" s="613"/>
      <c r="BB1090" s="553"/>
      <c r="BC1090" s="612"/>
      <c r="BD1090" s="621"/>
      <c r="BE1090" s="613"/>
      <c r="BF1090" s="613"/>
      <c r="BG1090" s="613"/>
      <c r="BH1090" s="613"/>
      <c r="BI1090" s="553"/>
      <c r="BJ1090" s="611"/>
      <c r="BK1090" s="555"/>
      <c r="BL1090" s="621"/>
      <c r="BM1090" s="297"/>
      <c r="BN1090" s="39"/>
      <c r="BO1090" s="181"/>
      <c r="BP1090" s="90"/>
    </row>
    <row r="1091" spans="1:100">
      <c r="A1091" s="553"/>
      <c r="B1091" s="571"/>
      <c r="C1091" s="612"/>
      <c r="D1091" s="571"/>
      <c r="E1091" s="571"/>
      <c r="F1091" s="571"/>
      <c r="G1091" s="571"/>
      <c r="H1091" s="553"/>
      <c r="I1091" s="571"/>
      <c r="J1091" s="612"/>
      <c r="K1091" s="571"/>
      <c r="L1091" s="571"/>
      <c r="M1091" s="571"/>
      <c r="N1091" s="571"/>
      <c r="O1091" s="553"/>
      <c r="P1091" s="571"/>
      <c r="Q1091" s="612"/>
      <c r="R1091" s="571"/>
      <c r="S1091" s="571"/>
      <c r="T1091" s="571"/>
      <c r="U1091" s="571"/>
      <c r="V1091" s="553"/>
      <c r="W1091" s="571"/>
      <c r="X1091" s="612"/>
      <c r="Y1091" s="571"/>
      <c r="Z1091" s="571"/>
      <c r="AA1091" s="571"/>
      <c r="AB1091" s="571"/>
      <c r="AC1091" s="553"/>
      <c r="AD1091" s="571"/>
      <c r="AE1091" s="613"/>
      <c r="AF1091" s="617"/>
      <c r="AG1091" s="553"/>
      <c r="AH1091" s="611"/>
      <c r="AI1091" s="612"/>
      <c r="AJ1091" s="571"/>
      <c r="AK1091" s="571"/>
      <c r="AL1091" s="571"/>
      <c r="AM1091" s="571"/>
      <c r="AN1091" s="553"/>
      <c r="AO1091" s="611"/>
      <c r="AP1091" s="612"/>
      <c r="AQ1091" s="571"/>
      <c r="AR1091" s="571"/>
      <c r="AS1091" s="571"/>
      <c r="AT1091" s="571"/>
      <c r="AU1091" s="553"/>
      <c r="AV1091" s="611"/>
      <c r="AW1091" s="612"/>
      <c r="AX1091" s="571"/>
      <c r="AY1091" s="571"/>
      <c r="AZ1091" s="571"/>
      <c r="BA1091" s="571"/>
      <c r="BB1091" s="553"/>
      <c r="BC1091" s="611"/>
      <c r="BD1091" s="612"/>
      <c r="BE1091" s="571"/>
      <c r="BF1091" s="571"/>
      <c r="BG1091" s="571"/>
      <c r="BH1091" s="571"/>
      <c r="BI1091" s="553"/>
      <c r="BJ1091" s="611"/>
      <c r="BK1091" s="555"/>
      <c r="BL1091" s="621"/>
      <c r="BM1091" s="1"/>
      <c r="CV1091">
        <v>2</v>
      </c>
    </row>
    <row r="1092" spans="1:100">
      <c r="A1092" s="553"/>
      <c r="B1092" s="571"/>
      <c r="C1092" s="612"/>
      <c r="D1092" s="326"/>
      <c r="E1092" s="326"/>
      <c r="F1092" s="326"/>
      <c r="G1092" s="326"/>
      <c r="H1092" s="553"/>
      <c r="I1092" s="571"/>
      <c r="J1092" s="612"/>
      <c r="K1092" s="326"/>
      <c r="L1092" s="326"/>
      <c r="M1092" s="326"/>
      <c r="N1092" s="326"/>
      <c r="O1092" s="553"/>
      <c r="P1092" s="571"/>
      <c r="Q1092" s="612"/>
      <c r="R1092" s="326"/>
      <c r="S1092" s="326"/>
      <c r="T1092" s="326"/>
      <c r="U1092" s="326"/>
      <c r="V1092" s="553"/>
      <c r="W1092" s="571"/>
      <c r="X1092" s="612"/>
      <c r="Y1092" s="326"/>
      <c r="Z1092" s="326"/>
      <c r="AA1092" s="326"/>
      <c r="AB1092" s="326"/>
      <c r="AC1092" s="553"/>
      <c r="AD1092" s="571"/>
      <c r="AE1092" s="613"/>
      <c r="AF1092" s="617"/>
      <c r="AG1092" s="553"/>
      <c r="AH1092" s="611"/>
      <c r="AI1092" s="612"/>
      <c r="AJ1092" s="326"/>
      <c r="AK1092" s="326"/>
      <c r="AL1092" s="326"/>
      <c r="AM1092" s="326"/>
      <c r="AN1092" s="553"/>
      <c r="AO1092" s="611"/>
      <c r="AP1092" s="612"/>
      <c r="AQ1092" s="326"/>
      <c r="AR1092" s="326"/>
      <c r="AS1092" s="326"/>
      <c r="AT1092" s="326"/>
      <c r="AU1092" s="553"/>
      <c r="AV1092" s="611"/>
      <c r="AW1092" s="612"/>
      <c r="AX1092" s="326"/>
      <c r="AY1092" s="326"/>
      <c r="AZ1092" s="326"/>
      <c r="BA1092" s="326"/>
      <c r="BB1092" s="553"/>
      <c r="BC1092" s="611"/>
      <c r="BD1092" s="612"/>
      <c r="BE1092" s="326"/>
      <c r="BF1092" s="326"/>
      <c r="BG1092" s="326"/>
      <c r="BH1092" s="326"/>
      <c r="BI1092" s="553"/>
      <c r="BJ1092" s="611"/>
      <c r="BK1092" s="555"/>
      <c r="BL1092" s="621"/>
      <c r="BM1092" s="1"/>
      <c r="CV1092">
        <v>2</v>
      </c>
    </row>
    <row r="1093" spans="1:100">
      <c r="BM1093" s="1"/>
      <c r="CT1093">
        <v>4</v>
      </c>
      <c r="CU1093">
        <v>4</v>
      </c>
      <c r="CV1093">
        <v>2</v>
      </c>
    </row>
    <row r="1094" spans="1:100">
      <c r="BM1094" s="1">
        <v>1</v>
      </c>
      <c r="CT1094">
        <v>4</v>
      </c>
      <c r="CU1094">
        <v>4</v>
      </c>
      <c r="CV1094">
        <v>2</v>
      </c>
    </row>
    <row r="1095" spans="1:100">
      <c r="BM1095" s="1"/>
      <c r="CT1095">
        <v>4</v>
      </c>
      <c r="CU1095">
        <v>4</v>
      </c>
      <c r="CV1095">
        <v>2</v>
      </c>
    </row>
    <row r="1096" spans="1:100">
      <c r="BM1096" s="1"/>
      <c r="CT1096">
        <v>4</v>
      </c>
      <c r="CU1096">
        <v>4</v>
      </c>
      <c r="CV1096">
        <v>2</v>
      </c>
    </row>
    <row r="1097" spans="1:100">
      <c r="BM1097" s="1"/>
      <c r="CT1097">
        <v>4</v>
      </c>
      <c r="CU1097">
        <v>4</v>
      </c>
      <c r="CV1097">
        <v>2</v>
      </c>
    </row>
    <row r="1098" spans="1:100">
      <c r="BM1098" s="1"/>
      <c r="CT1098">
        <v>4</v>
      </c>
      <c r="CU1098">
        <v>4</v>
      </c>
      <c r="CV1098">
        <v>2</v>
      </c>
    </row>
    <row r="1099" spans="1:100">
      <c r="BM1099" s="1"/>
      <c r="CT1099">
        <v>4</v>
      </c>
      <c r="CU1099">
        <v>4</v>
      </c>
      <c r="CV1099">
        <v>2</v>
      </c>
    </row>
    <row r="1100" spans="1:100">
      <c r="BM1100" s="1"/>
      <c r="CT1100">
        <v>4</v>
      </c>
      <c r="CU1100">
        <v>4</v>
      </c>
      <c r="CV1100">
        <v>2</v>
      </c>
    </row>
    <row r="1101" spans="1:100">
      <c r="BM1101" s="1"/>
      <c r="CT1101">
        <v>4</v>
      </c>
      <c r="CU1101">
        <v>4</v>
      </c>
      <c r="CV1101">
        <v>2</v>
      </c>
    </row>
    <row r="1102" spans="1:100">
      <c r="BM1102" s="1"/>
      <c r="CT1102">
        <v>4</v>
      </c>
      <c r="CU1102">
        <v>4</v>
      </c>
      <c r="CV1102">
        <v>2</v>
      </c>
    </row>
    <row r="1103" spans="1:100">
      <c r="BM1103" s="1"/>
      <c r="CT1103">
        <v>4</v>
      </c>
      <c r="CU1103">
        <v>4</v>
      </c>
      <c r="CV1103">
        <v>2</v>
      </c>
    </row>
    <row r="1104" spans="1:100">
      <c r="BM1104" s="1"/>
      <c r="CT1104">
        <v>4</v>
      </c>
      <c r="CU1104">
        <v>4</v>
      </c>
      <c r="CV1104">
        <v>2</v>
      </c>
    </row>
    <row r="1105" spans="1:100">
      <c r="BM1105" s="1"/>
      <c r="CT1105">
        <v>4</v>
      </c>
      <c r="CU1105">
        <v>4</v>
      </c>
      <c r="CV1105">
        <v>2</v>
      </c>
    </row>
    <row r="1106" spans="1:100">
      <c r="BM1106" s="1"/>
      <c r="CT1106">
        <v>4</v>
      </c>
      <c r="CU1106">
        <v>4</v>
      </c>
      <c r="CV1106">
        <v>2</v>
      </c>
    </row>
    <row r="1107" spans="1:100">
      <c r="BM1107" s="1"/>
      <c r="CT1107">
        <v>4</v>
      </c>
      <c r="CU1107">
        <v>4</v>
      </c>
      <c r="CV1107">
        <v>2</v>
      </c>
    </row>
    <row r="1108" spans="1:100">
      <c r="BM1108" s="1"/>
      <c r="BN1108" s="39"/>
      <c r="BO1108" s="180"/>
      <c r="BP1108" s="90"/>
      <c r="CT1108">
        <v>4</v>
      </c>
      <c r="CU1108">
        <v>4</v>
      </c>
    </row>
    <row r="1109" spans="1:100">
      <c r="BM1109" s="1"/>
      <c r="CT1109">
        <v>4</v>
      </c>
      <c r="CU1109">
        <v>4</v>
      </c>
      <c r="CV1109">
        <v>20</v>
      </c>
    </row>
    <row r="1110" spans="1:100">
      <c r="BM1110" s="1"/>
      <c r="CT1110">
        <v>4</v>
      </c>
      <c r="CU1110">
        <v>4</v>
      </c>
      <c r="CV1110">
        <v>20</v>
      </c>
    </row>
    <row r="1111" spans="1:100">
      <c r="BM1111" s="1"/>
      <c r="CT1111">
        <v>4</v>
      </c>
      <c r="CU1111">
        <v>4</v>
      </c>
      <c r="CV1111">
        <v>20</v>
      </c>
    </row>
    <row r="1112" spans="1:100">
      <c r="BM1112" s="1"/>
      <c r="CT1112">
        <v>4</v>
      </c>
      <c r="CU1112">
        <v>4</v>
      </c>
      <c r="CV1112">
        <v>20</v>
      </c>
    </row>
    <row r="1113" spans="1:100">
      <c r="BM1113" s="1"/>
      <c r="CT1113">
        <v>4</v>
      </c>
      <c r="CU1113">
        <v>4</v>
      </c>
      <c r="CV1113">
        <v>20</v>
      </c>
    </row>
    <row r="1114" spans="1:100">
      <c r="BM1114" s="1"/>
      <c r="BN1114" s="39"/>
      <c r="BO1114" s="178"/>
      <c r="BP1114" s="90"/>
      <c r="CT1114">
        <v>4</v>
      </c>
      <c r="CU1114">
        <v>4</v>
      </c>
    </row>
    <row r="1115" spans="1:100">
      <c r="BM1115" s="1"/>
      <c r="CT1115">
        <v>4</v>
      </c>
      <c r="CU1115">
        <v>4</v>
      </c>
      <c r="CV1115">
        <v>26</v>
      </c>
    </row>
    <row r="1116" spans="1:100">
      <c r="BM1116" s="1"/>
      <c r="CT1116">
        <v>4</v>
      </c>
      <c r="CU1116">
        <v>4</v>
      </c>
      <c r="CV1116">
        <v>26</v>
      </c>
    </row>
    <row r="1117" spans="1:100">
      <c r="BM1117" s="1"/>
      <c r="CT1117">
        <v>4</v>
      </c>
      <c r="CU1117">
        <v>4</v>
      </c>
      <c r="CV1117">
        <v>26</v>
      </c>
    </row>
    <row r="1118" spans="1:100">
      <c r="A1118" s="553"/>
      <c r="B1118" s="571"/>
      <c r="C1118" s="621"/>
      <c r="D1118" s="611"/>
      <c r="E1118" s="611"/>
      <c r="F1118" s="612"/>
      <c r="G1118" s="611"/>
      <c r="H1118" s="553"/>
      <c r="I1118" s="612"/>
      <c r="J1118" s="621"/>
      <c r="K1118" s="611"/>
      <c r="L1118" s="611"/>
      <c r="M1118" s="612"/>
      <c r="N1118" s="611"/>
      <c r="O1118" s="553"/>
      <c r="P1118" s="612"/>
      <c r="Q1118" s="621"/>
      <c r="R1118" s="612"/>
      <c r="S1118" s="621"/>
      <c r="T1118" s="571"/>
      <c r="U1118" s="553"/>
      <c r="V1118" s="553"/>
      <c r="W1118" s="612"/>
      <c r="X1118" s="621"/>
      <c r="Y1118" s="612"/>
      <c r="Z1118" s="611"/>
      <c r="AA1118" s="612"/>
      <c r="AB1118" s="621"/>
      <c r="AC1118" s="553"/>
      <c r="AD1118" s="571"/>
      <c r="AE1118" s="613"/>
      <c r="AF1118" s="617"/>
      <c r="AG1118" s="553"/>
      <c r="AH1118" s="611"/>
      <c r="AI1118" s="621"/>
      <c r="AJ1118" s="611"/>
      <c r="AK1118" s="611"/>
      <c r="AL1118" s="612"/>
      <c r="AM1118" s="611"/>
      <c r="AN1118" s="553"/>
      <c r="AO1118" s="612"/>
      <c r="AP1118" s="621"/>
      <c r="AQ1118" s="611"/>
      <c r="AR1118" s="611"/>
      <c r="AS1118" s="612"/>
      <c r="AT1118" s="611"/>
      <c r="AU1118" s="553"/>
      <c r="AV1118" s="612"/>
      <c r="AW1118" s="621"/>
      <c r="AX1118" s="612"/>
      <c r="AY1118" s="621"/>
      <c r="AZ1118" s="571"/>
      <c r="BA1118" s="553"/>
      <c r="BB1118" s="553"/>
      <c r="BC1118" s="612"/>
      <c r="BD1118" s="621"/>
      <c r="BE1118" s="612"/>
      <c r="BF1118" s="611"/>
      <c r="BG1118" s="612"/>
      <c r="BH1118" s="621"/>
      <c r="BI1118" s="553"/>
      <c r="BJ1118" s="611"/>
      <c r="BK1118" s="555"/>
      <c r="BL1118" s="621"/>
      <c r="BM1118" s="1"/>
      <c r="CV1118">
        <v>26</v>
      </c>
    </row>
    <row r="1119" spans="1:100">
      <c r="A1119" s="553"/>
      <c r="B1119" s="571"/>
      <c r="C1119" s="612"/>
      <c r="D1119" s="612"/>
      <c r="E1119" s="611"/>
      <c r="F1119" s="571"/>
      <c r="G1119" s="571"/>
      <c r="H1119" s="553"/>
      <c r="I1119" s="571"/>
      <c r="J1119" s="612"/>
      <c r="K1119" s="612"/>
      <c r="L1119" s="611"/>
      <c r="M1119" s="571"/>
      <c r="N1119" s="571"/>
      <c r="O1119" s="553"/>
      <c r="P1119" s="571"/>
      <c r="Q1119" s="612"/>
      <c r="R1119" s="621"/>
      <c r="S1119" s="612"/>
      <c r="T1119" s="611"/>
      <c r="U1119" s="613"/>
      <c r="V1119" s="553"/>
      <c r="W1119" s="571"/>
      <c r="X1119" s="612"/>
      <c r="Y1119" s="621"/>
      <c r="Z1119" s="612"/>
      <c r="AA1119" s="621"/>
      <c r="AB1119" s="612"/>
      <c r="AC1119" s="553"/>
      <c r="AD1119" s="571"/>
      <c r="AE1119" s="613"/>
      <c r="AF1119" s="617"/>
      <c r="AG1119" s="553"/>
      <c r="AH1119" s="611"/>
      <c r="AI1119" s="612"/>
      <c r="AJ1119" s="612"/>
      <c r="AK1119" s="611"/>
      <c r="AL1119" s="571"/>
      <c r="AM1119" s="571"/>
      <c r="AN1119" s="553"/>
      <c r="AO1119" s="571"/>
      <c r="AP1119" s="612"/>
      <c r="AQ1119" s="612"/>
      <c r="AR1119" s="611"/>
      <c r="AS1119" s="571"/>
      <c r="AT1119" s="571"/>
      <c r="AU1119" s="553"/>
      <c r="AV1119" s="571"/>
      <c r="AW1119" s="612"/>
      <c r="AX1119" s="621"/>
      <c r="AY1119" s="612"/>
      <c r="AZ1119" s="611"/>
      <c r="BA1119" s="613"/>
      <c r="BB1119" s="553"/>
      <c r="BC1119" s="571"/>
      <c r="BD1119" s="612"/>
      <c r="BE1119" s="621"/>
      <c r="BF1119" s="612"/>
      <c r="BG1119" s="621"/>
      <c r="BH1119" s="612"/>
      <c r="BI1119" s="613"/>
      <c r="BJ1119" s="611"/>
      <c r="BK1119" s="555"/>
      <c r="BL1119" s="621"/>
      <c r="BM1119" s="1"/>
      <c r="BN1119" s="39"/>
      <c r="BO1119" s="179"/>
      <c r="BP1119" s="90"/>
    </row>
    <row r="1120" spans="1:100">
      <c r="A1120" s="625"/>
      <c r="B1120" s="625"/>
      <c r="C1120" s="625"/>
      <c r="D1120" s="625"/>
      <c r="E1120" s="625"/>
      <c r="F1120" s="625"/>
      <c r="G1120" s="625"/>
      <c r="H1120" s="625"/>
      <c r="I1120" s="625"/>
      <c r="J1120" s="625"/>
      <c r="K1120" s="625"/>
      <c r="L1120" s="625"/>
      <c r="M1120" s="625"/>
      <c r="N1120" s="625"/>
      <c r="O1120" s="625"/>
      <c r="P1120" s="625"/>
      <c r="Q1120" s="625"/>
      <c r="R1120" s="625"/>
      <c r="S1120" s="625"/>
      <c r="T1120" s="625"/>
      <c r="U1120" s="625"/>
      <c r="V1120" s="625"/>
      <c r="W1120" s="625"/>
      <c r="X1120" s="625"/>
      <c r="Y1120" s="625"/>
      <c r="Z1120" s="625"/>
      <c r="AA1120" s="625"/>
      <c r="AB1120" s="625"/>
      <c r="AC1120" s="625"/>
      <c r="AD1120" s="625"/>
      <c r="AE1120" s="625"/>
      <c r="AF1120" s="640"/>
      <c r="AG1120" s="625"/>
      <c r="AH1120" s="625"/>
      <c r="AI1120" s="625"/>
      <c r="AJ1120" s="625"/>
      <c r="AK1120" s="625"/>
      <c r="AL1120" s="625"/>
      <c r="AM1120" s="625"/>
      <c r="AN1120" s="625"/>
      <c r="AO1120" s="625"/>
      <c r="AP1120" s="625"/>
      <c r="AQ1120" s="625"/>
      <c r="AR1120" s="625"/>
      <c r="AS1120" s="625"/>
      <c r="AT1120" s="625"/>
      <c r="AU1120" s="625"/>
      <c r="AV1120" s="625"/>
      <c r="AW1120" s="625"/>
      <c r="AX1120" s="625"/>
      <c r="AY1120" s="625"/>
      <c r="AZ1120" s="625"/>
      <c r="BA1120" s="625"/>
      <c r="BB1120" s="625"/>
      <c r="BC1120" s="625"/>
      <c r="BD1120" s="625"/>
      <c r="BE1120" s="625"/>
      <c r="BF1120" s="625"/>
      <c r="BG1120" s="625"/>
      <c r="BH1120" s="625"/>
      <c r="BI1120" s="625"/>
      <c r="BJ1120" s="625"/>
      <c r="BK1120" s="625"/>
      <c r="BL1120" s="625"/>
      <c r="BM1120" s="74"/>
      <c r="BN1120" s="338"/>
      <c r="BO1120" s="338"/>
      <c r="BP1120" s="338"/>
    </row>
    <row r="1121" spans="1:100">
      <c r="A1121" s="411"/>
      <c r="B1121" s="411"/>
      <c r="C1121" s="411"/>
      <c r="D1121" s="411"/>
      <c r="E1121" s="411"/>
      <c r="F1121" s="411"/>
      <c r="G1121" s="411"/>
      <c r="H1121" s="411"/>
      <c r="I1121" s="411"/>
      <c r="J1121" s="411"/>
      <c r="K1121" s="411"/>
      <c r="L1121" s="411"/>
      <c r="M1121" s="411"/>
      <c r="N1121" s="411"/>
      <c r="O1121" s="411"/>
      <c r="P1121" s="411"/>
      <c r="Q1121" s="411"/>
      <c r="R1121" s="411"/>
      <c r="S1121" s="411"/>
      <c r="T1121" s="411"/>
      <c r="U1121" s="411"/>
      <c r="V1121" s="411"/>
      <c r="W1121" s="411"/>
      <c r="X1121" s="411"/>
      <c r="Y1121" s="411"/>
      <c r="Z1121" s="411"/>
      <c r="AA1121" s="411"/>
      <c r="AB1121" s="411"/>
      <c r="AC1121" s="411"/>
      <c r="AD1121" s="411"/>
      <c r="AE1121" s="411"/>
      <c r="AF1121" s="421"/>
      <c r="AG1121" s="432"/>
      <c r="AH1121" s="432"/>
      <c r="AI1121" s="432"/>
      <c r="AJ1121" s="432"/>
      <c r="AK1121" s="432"/>
      <c r="AL1121" s="432"/>
      <c r="AM1121" s="432"/>
      <c r="AN1121" s="432"/>
      <c r="AO1121" s="432"/>
      <c r="AP1121" s="432"/>
      <c r="AQ1121" s="432"/>
      <c r="AR1121" s="432"/>
      <c r="AS1121" s="432"/>
      <c r="AT1121" s="432"/>
      <c r="AU1121" s="432"/>
      <c r="AV1121" s="432"/>
      <c r="AW1121" s="432"/>
      <c r="AX1121" s="432"/>
      <c r="AY1121" s="432"/>
      <c r="AZ1121" s="432"/>
      <c r="BA1121" s="432"/>
      <c r="BB1121" s="432"/>
      <c r="BC1121" s="432"/>
      <c r="BD1121" s="432"/>
      <c r="BE1121" s="432"/>
      <c r="BF1121" s="432"/>
      <c r="BG1121" s="432"/>
      <c r="BH1121" s="432"/>
      <c r="BI1121" s="432"/>
      <c r="BJ1121" s="432"/>
      <c r="BK1121" s="432"/>
      <c r="BL1121" s="421"/>
      <c r="BM1121" s="200">
        <v>36</v>
      </c>
      <c r="BN1121" s="199"/>
      <c r="BO1121" s="293"/>
      <c r="BP1121" s="293"/>
    </row>
    <row r="1122" spans="1:100">
      <c r="A1122" s="439"/>
      <c r="B1122" s="436"/>
      <c r="C1122" s="429"/>
      <c r="D1122" s="429"/>
      <c r="E1122" s="429"/>
      <c r="F1122" s="429"/>
      <c r="G1122" s="429"/>
      <c r="H1122" s="436"/>
      <c r="I1122" s="429"/>
      <c r="J1122" s="429"/>
      <c r="K1122" s="429"/>
      <c r="L1122" s="429"/>
      <c r="M1122" s="429"/>
      <c r="N1122" s="429"/>
      <c r="O1122" s="429"/>
      <c r="P1122" s="429"/>
      <c r="Q1122" s="409"/>
      <c r="R1122" s="409"/>
      <c r="S1122" s="439"/>
      <c r="T1122" s="436"/>
      <c r="U1122" s="429"/>
      <c r="V1122" s="429"/>
      <c r="W1122" s="429"/>
      <c r="X1122" s="409"/>
      <c r="Y1122" s="429"/>
      <c r="Z1122" s="429"/>
      <c r="AA1122" s="429"/>
      <c r="AB1122" s="429"/>
      <c r="AC1122" s="429"/>
      <c r="AD1122" s="429"/>
      <c r="AE1122" s="436"/>
      <c r="AF1122" s="421"/>
      <c r="AG1122" s="439"/>
      <c r="AH1122" s="436"/>
      <c r="AI1122" s="429"/>
      <c r="AJ1122" s="429"/>
      <c r="AK1122" s="429"/>
      <c r="AL1122" s="429"/>
      <c r="AM1122" s="429"/>
      <c r="AN1122" s="436"/>
      <c r="AO1122" s="429"/>
      <c r="AP1122" s="429"/>
      <c r="AQ1122" s="429"/>
      <c r="AR1122" s="429"/>
      <c r="AS1122" s="429"/>
      <c r="AT1122" s="429"/>
      <c r="AU1122" s="429"/>
      <c r="AV1122" s="429"/>
      <c r="AW1122" s="429"/>
      <c r="AX1122" s="409"/>
      <c r="AY1122" s="429"/>
      <c r="AZ1122" s="436"/>
      <c r="BA1122" s="429"/>
      <c r="BB1122" s="429"/>
      <c r="BC1122" s="429"/>
      <c r="BD1122" s="409"/>
      <c r="BE1122" s="429"/>
      <c r="BF1122" s="429"/>
      <c r="BG1122" s="429"/>
      <c r="BH1122" s="429"/>
      <c r="BI1122" s="429"/>
      <c r="BJ1122" s="429"/>
      <c r="BK1122" s="436"/>
      <c r="BL1122" s="421"/>
      <c r="BM1122" s="192"/>
      <c r="BN1122" s="199"/>
      <c r="BO1122" s="201"/>
      <c r="BP1122" s="161"/>
    </row>
    <row r="1123" spans="1:100">
      <c r="A1123" s="439"/>
      <c r="B1123" s="429"/>
      <c r="C1123" s="432"/>
      <c r="D1123" s="432"/>
      <c r="E1123" s="432"/>
      <c r="F1123" s="432"/>
      <c r="G1123" s="429"/>
      <c r="H1123" s="429"/>
      <c r="I1123" s="432"/>
      <c r="J1123" s="432"/>
      <c r="K1123" s="432"/>
      <c r="L1123" s="432"/>
      <c r="M1123" s="432"/>
      <c r="N1123" s="429"/>
      <c r="O1123" s="429"/>
      <c r="P1123" s="409"/>
      <c r="Q1123" s="552"/>
      <c r="R1123" s="452"/>
      <c r="S1123" s="432"/>
      <c r="T1123" s="432"/>
      <c r="U1123" s="432"/>
      <c r="V1123" s="432"/>
      <c r="W1123" s="432"/>
      <c r="X1123" s="429"/>
      <c r="Y1123" s="429"/>
      <c r="Z1123" s="432"/>
      <c r="AA1123" s="432"/>
      <c r="AB1123" s="432"/>
      <c r="AC1123" s="432"/>
      <c r="AD1123" s="432"/>
      <c r="AE1123" s="429"/>
      <c r="AF1123" s="421"/>
      <c r="AG1123" s="439"/>
      <c r="AH1123" s="429"/>
      <c r="AI1123" s="432"/>
      <c r="AJ1123" s="432"/>
      <c r="AK1123" s="432"/>
      <c r="AL1123" s="432"/>
      <c r="AM1123" s="429"/>
      <c r="AN1123" s="429"/>
      <c r="AO1123" s="432"/>
      <c r="AP1123" s="432"/>
      <c r="AQ1123" s="432"/>
      <c r="AR1123" s="432"/>
      <c r="AS1123" s="432"/>
      <c r="AT1123" s="429"/>
      <c r="AU1123" s="429"/>
      <c r="AV1123" s="429"/>
      <c r="AW1123" s="429"/>
      <c r="AX1123" s="429"/>
      <c r="AY1123" s="432"/>
      <c r="AZ1123" s="432"/>
      <c r="BA1123" s="432"/>
      <c r="BB1123" s="432"/>
      <c r="BC1123" s="432"/>
      <c r="BD1123" s="429"/>
      <c r="BE1123" s="429"/>
      <c r="BF1123" s="432"/>
      <c r="BG1123" s="432"/>
      <c r="BH1123" s="432"/>
      <c r="BI1123" s="432"/>
      <c r="BJ1123" s="432"/>
      <c r="BK1123" s="429"/>
      <c r="BL1123" s="421"/>
      <c r="BM1123" s="1"/>
      <c r="CV1123">
        <v>2</v>
      </c>
    </row>
    <row r="1124" spans="1:100">
      <c r="A1124" s="439"/>
      <c r="B1124" s="429"/>
      <c r="C1124" s="432"/>
      <c r="D1124" s="326"/>
      <c r="E1124" s="326"/>
      <c r="F1124" s="326"/>
      <c r="G1124" s="436"/>
      <c r="H1124" s="429"/>
      <c r="I1124" s="432"/>
      <c r="J1124" s="326"/>
      <c r="K1124" s="326"/>
      <c r="L1124" s="326"/>
      <c r="M1124" s="326"/>
      <c r="N1124" s="436"/>
      <c r="O1124" s="409"/>
      <c r="P1124" s="553"/>
      <c r="Q1124" s="452"/>
      <c r="R1124" s="436"/>
      <c r="S1124" s="432"/>
      <c r="T1124" s="326"/>
      <c r="U1124" s="326"/>
      <c r="V1124" s="326"/>
      <c r="W1124" s="326"/>
      <c r="X1124" s="436"/>
      <c r="Y1124" s="429"/>
      <c r="Z1124" s="432"/>
      <c r="AA1124" s="326"/>
      <c r="AB1124" s="326"/>
      <c r="AC1124" s="326"/>
      <c r="AD1124" s="436"/>
      <c r="AE1124" s="429"/>
      <c r="AF1124" s="421"/>
      <c r="AG1124" s="439"/>
      <c r="AH1124" s="429"/>
      <c r="AI1124" s="432"/>
      <c r="AJ1124" s="326"/>
      <c r="AK1124" s="326"/>
      <c r="AL1124" s="326"/>
      <c r="AM1124" s="436"/>
      <c r="AN1124" s="429"/>
      <c r="AO1124" s="432"/>
      <c r="AP1124" s="326"/>
      <c r="AQ1124" s="326"/>
      <c r="AR1124" s="326"/>
      <c r="AS1124" s="326"/>
      <c r="AT1124" s="436"/>
      <c r="AU1124" s="439"/>
      <c r="AV1124" s="429"/>
      <c r="AW1124" s="429"/>
      <c r="AX1124" s="429"/>
      <c r="AY1124" s="432"/>
      <c r="AZ1124" s="326"/>
      <c r="BA1124" s="326"/>
      <c r="BB1124" s="326"/>
      <c r="BC1124" s="326"/>
      <c r="BD1124" s="436"/>
      <c r="BE1124" s="429"/>
      <c r="BF1124" s="432"/>
      <c r="BG1124" s="326"/>
      <c r="BH1124" s="326"/>
      <c r="BI1124" s="326"/>
      <c r="BJ1124" s="436"/>
      <c r="BK1124" s="429"/>
      <c r="BL1124" s="421"/>
      <c r="BM1124" s="1"/>
      <c r="BN1124" s="200"/>
      <c r="BO1124" s="201"/>
      <c r="BP1124" s="161"/>
    </row>
    <row r="1125" spans="1:100">
      <c r="A1125" s="439"/>
      <c r="B1125" s="429"/>
      <c r="C1125" s="432"/>
      <c r="D1125" s="326"/>
      <c r="E1125" s="326"/>
      <c r="F1125" s="326"/>
      <c r="G1125" s="436"/>
      <c r="H1125" s="429"/>
      <c r="I1125" s="432"/>
      <c r="J1125" s="326"/>
      <c r="K1125" s="326"/>
      <c r="L1125" s="326"/>
      <c r="M1125" s="326"/>
      <c r="N1125" s="436"/>
      <c r="O1125" s="429"/>
      <c r="P1125" s="436"/>
      <c r="Q1125" s="436"/>
      <c r="R1125" s="429"/>
      <c r="S1125" s="432"/>
      <c r="T1125" s="326"/>
      <c r="U1125" s="326"/>
      <c r="V1125" s="326"/>
      <c r="W1125" s="326"/>
      <c r="X1125" s="436"/>
      <c r="Y1125" s="429"/>
      <c r="Z1125" s="432"/>
      <c r="AA1125" s="326"/>
      <c r="AB1125" s="326"/>
      <c r="AC1125" s="326"/>
      <c r="AD1125" s="436"/>
      <c r="AE1125" s="429"/>
      <c r="AF1125" s="421"/>
      <c r="AG1125" s="439"/>
      <c r="AH1125" s="429"/>
      <c r="AI1125" s="432"/>
      <c r="AJ1125" s="326"/>
      <c r="AK1125" s="326"/>
      <c r="AL1125" s="326"/>
      <c r="AM1125" s="436"/>
      <c r="AN1125" s="429"/>
      <c r="AO1125" s="432"/>
      <c r="AP1125" s="326"/>
      <c r="AQ1125" s="326"/>
      <c r="AR1125" s="326"/>
      <c r="AS1125" s="326"/>
      <c r="AT1125" s="436"/>
      <c r="AU1125" s="429"/>
      <c r="AV1125" s="429"/>
      <c r="AW1125" s="436"/>
      <c r="AX1125" s="429"/>
      <c r="AY1125" s="432"/>
      <c r="AZ1125" s="326"/>
      <c r="BA1125" s="326"/>
      <c r="BB1125" s="326"/>
      <c r="BC1125" s="326"/>
      <c r="BD1125" s="436"/>
      <c r="BE1125" s="429"/>
      <c r="BF1125" s="432"/>
      <c r="BG1125" s="326"/>
      <c r="BH1125" s="326"/>
      <c r="BI1125" s="326"/>
      <c r="BJ1125" s="436"/>
      <c r="BK1125" s="429"/>
      <c r="BL1125" s="421"/>
      <c r="BM1125" s="1"/>
      <c r="CV1125">
        <v>4</v>
      </c>
    </row>
    <row r="1126" spans="1:100">
      <c r="A1126" s="439"/>
      <c r="B1126" s="429"/>
      <c r="C1126" s="432"/>
      <c r="D1126" s="326"/>
      <c r="E1126" s="326"/>
      <c r="F1126" s="326"/>
      <c r="G1126" s="436"/>
      <c r="H1126" s="429"/>
      <c r="I1126" s="432"/>
      <c r="J1126" s="326"/>
      <c r="K1126" s="326"/>
      <c r="L1126" s="326"/>
      <c r="M1126" s="326"/>
      <c r="N1126" s="436"/>
      <c r="O1126" s="429"/>
      <c r="P1126" s="429"/>
      <c r="Q1126" s="429"/>
      <c r="R1126" s="429"/>
      <c r="S1126" s="432"/>
      <c r="T1126" s="326"/>
      <c r="U1126" s="326"/>
      <c r="V1126" s="326"/>
      <c r="W1126" s="326"/>
      <c r="X1126" s="436"/>
      <c r="Y1126" s="429"/>
      <c r="Z1126" s="432"/>
      <c r="AA1126" s="326"/>
      <c r="AB1126" s="326"/>
      <c r="AC1126" s="326"/>
      <c r="AD1126" s="436"/>
      <c r="AE1126" s="429"/>
      <c r="AF1126" s="421"/>
      <c r="AG1126" s="439"/>
      <c r="AH1126" s="429"/>
      <c r="AI1126" s="432"/>
      <c r="AJ1126" s="326"/>
      <c r="AK1126" s="326"/>
      <c r="AL1126" s="326"/>
      <c r="AM1126" s="436"/>
      <c r="AN1126" s="429"/>
      <c r="AO1126" s="432"/>
      <c r="AP1126" s="326"/>
      <c r="AQ1126" s="326"/>
      <c r="AR1126" s="326"/>
      <c r="AS1126" s="326"/>
      <c r="AT1126" s="436"/>
      <c r="AU1126" s="429"/>
      <c r="AV1126" s="429"/>
      <c r="AW1126" s="429"/>
      <c r="AX1126" s="429"/>
      <c r="AY1126" s="432"/>
      <c r="AZ1126" s="326"/>
      <c r="BA1126" s="326"/>
      <c r="BB1126" s="326"/>
      <c r="BC1126" s="326"/>
      <c r="BD1126" s="436"/>
      <c r="BE1126" s="429"/>
      <c r="BF1126" s="432"/>
      <c r="BG1126" s="326"/>
      <c r="BH1126" s="326"/>
      <c r="BI1126" s="326"/>
      <c r="BJ1126" s="436"/>
      <c r="BK1126" s="429"/>
      <c r="BL1126" s="421"/>
      <c r="BM1126" s="1">
        <v>1</v>
      </c>
      <c r="CV1126">
        <v>4</v>
      </c>
    </row>
    <row r="1127" spans="1:100">
      <c r="A1127" s="439"/>
      <c r="B1127" s="429"/>
      <c r="C1127" s="432"/>
      <c r="D1127" s="326"/>
      <c r="E1127" s="326"/>
      <c r="F1127" s="326"/>
      <c r="G1127" s="436"/>
      <c r="H1127" s="429"/>
      <c r="I1127" s="432"/>
      <c r="J1127" s="326"/>
      <c r="K1127" s="326"/>
      <c r="L1127" s="326"/>
      <c r="M1127" s="326"/>
      <c r="N1127" s="436"/>
      <c r="O1127" s="429"/>
      <c r="P1127" s="429"/>
      <c r="Q1127" s="436"/>
      <c r="R1127" s="429"/>
      <c r="S1127" s="432"/>
      <c r="T1127" s="326"/>
      <c r="U1127" s="326"/>
      <c r="V1127" s="326"/>
      <c r="W1127" s="326"/>
      <c r="X1127" s="436"/>
      <c r="Y1127" s="429"/>
      <c r="Z1127" s="432"/>
      <c r="AA1127" s="326"/>
      <c r="AB1127" s="326"/>
      <c r="AC1127" s="326"/>
      <c r="AD1127" s="436"/>
      <c r="AE1127" s="409"/>
      <c r="AF1127" s="421"/>
      <c r="BM1127" s="1"/>
      <c r="CU1127">
        <v>6</v>
      </c>
      <c r="CV1127">
        <v>4</v>
      </c>
    </row>
    <row r="1128" spans="1:100">
      <c r="A1128" s="439"/>
      <c r="B1128" s="429"/>
      <c r="C1128" s="432"/>
      <c r="D1128" s="326"/>
      <c r="E1128" s="326"/>
      <c r="F1128" s="326"/>
      <c r="G1128" s="436"/>
      <c r="H1128" s="429"/>
      <c r="I1128" s="432"/>
      <c r="J1128" s="326"/>
      <c r="K1128" s="326"/>
      <c r="L1128" s="326"/>
      <c r="M1128" s="326"/>
      <c r="N1128" s="436"/>
      <c r="O1128" s="409"/>
      <c r="P1128" s="429"/>
      <c r="Q1128" s="429"/>
      <c r="R1128" s="429"/>
      <c r="S1128" s="432"/>
      <c r="T1128" s="326"/>
      <c r="U1128" s="326"/>
      <c r="V1128" s="326"/>
      <c r="W1128" s="326"/>
      <c r="X1128" s="436"/>
      <c r="Y1128" s="429"/>
      <c r="Z1128" s="432"/>
      <c r="AA1128" s="326"/>
      <c r="AB1128" s="326"/>
      <c r="AC1128" s="326"/>
      <c r="AD1128" s="436"/>
      <c r="AE1128" s="429"/>
      <c r="AF1128" s="421"/>
      <c r="BM1128" s="1"/>
      <c r="CU1128">
        <v>6</v>
      </c>
      <c r="CV1128">
        <v>4</v>
      </c>
    </row>
    <row r="1129" spans="1:100">
      <c r="A1129" s="439"/>
      <c r="B1129" s="436"/>
      <c r="C1129" s="429"/>
      <c r="D1129" s="326"/>
      <c r="E1129" s="326"/>
      <c r="F1129" s="326"/>
      <c r="G1129" s="326"/>
      <c r="H1129" s="436"/>
      <c r="I1129" s="429"/>
      <c r="J1129" s="439"/>
      <c r="K1129" s="326"/>
      <c r="L1129" s="326"/>
      <c r="M1129" s="326"/>
      <c r="N1129" s="326"/>
      <c r="O1129" s="429"/>
      <c r="P1129" s="429"/>
      <c r="Q1129" s="429"/>
      <c r="R1129" s="432"/>
      <c r="S1129" s="326"/>
      <c r="T1129" s="326"/>
      <c r="U1129" s="326"/>
      <c r="V1129" s="326"/>
      <c r="W1129" s="436"/>
      <c r="X1129" s="429"/>
      <c r="Y1129" s="432"/>
      <c r="Z1129" s="326"/>
      <c r="AA1129" s="326"/>
      <c r="AB1129" s="326"/>
      <c r="AC1129" s="326"/>
      <c r="AD1129" s="436"/>
      <c r="AE1129" s="429"/>
      <c r="AF1129" s="421"/>
      <c r="AG1129" s="439"/>
      <c r="AH1129" s="436"/>
      <c r="AI1129" s="429"/>
      <c r="AJ1129" s="326"/>
      <c r="AK1129" s="326"/>
      <c r="AL1129" s="326"/>
      <c r="AM1129" s="326"/>
      <c r="AN1129" s="436"/>
      <c r="AO1129" s="429"/>
      <c r="AP1129" s="439"/>
      <c r="AQ1129" s="326"/>
      <c r="AR1129" s="326"/>
      <c r="AS1129" s="326"/>
      <c r="AT1129" s="326"/>
      <c r="AU1129" s="429"/>
      <c r="AV1129" s="429"/>
      <c r="AW1129" s="429"/>
      <c r="AX1129" s="432"/>
      <c r="AY1129" s="326"/>
      <c r="AZ1129" s="326"/>
      <c r="BA1129" s="326"/>
      <c r="BB1129" s="326"/>
      <c r="BC1129" s="436"/>
      <c r="BD1129" s="429"/>
      <c r="BE1129" s="432"/>
      <c r="BF1129" s="326"/>
      <c r="BG1129" s="326"/>
      <c r="BH1129" s="326"/>
      <c r="BI1129" s="326"/>
      <c r="BJ1129" s="436"/>
      <c r="BK1129" s="429"/>
      <c r="BL1129" s="421"/>
      <c r="BM1129" s="1"/>
      <c r="CV1129">
        <v>4</v>
      </c>
    </row>
    <row r="1130" spans="1:100">
      <c r="A1130" s="439"/>
      <c r="B1130" s="429"/>
      <c r="C1130" s="409"/>
      <c r="D1130" s="439"/>
      <c r="E1130" s="326"/>
      <c r="F1130" s="326"/>
      <c r="G1130" s="326"/>
      <c r="H1130" s="326"/>
      <c r="I1130" s="436"/>
      <c r="J1130" s="429"/>
      <c r="K1130" s="439"/>
      <c r="L1130" s="326"/>
      <c r="M1130" s="326"/>
      <c r="N1130" s="326"/>
      <c r="O1130" s="436"/>
      <c r="P1130" s="429"/>
      <c r="Q1130" s="432"/>
      <c r="R1130" s="326"/>
      <c r="S1130" s="326"/>
      <c r="T1130" s="326"/>
      <c r="U1130" s="326"/>
      <c r="V1130" s="436"/>
      <c r="W1130" s="429"/>
      <c r="X1130" s="432"/>
      <c r="Y1130" s="326"/>
      <c r="Z1130" s="326"/>
      <c r="AA1130" s="326"/>
      <c r="AB1130" s="326"/>
      <c r="AC1130" s="436"/>
      <c r="AD1130" s="429"/>
      <c r="AE1130" s="429"/>
      <c r="AF1130" s="421"/>
      <c r="AG1130" s="439"/>
      <c r="AH1130" s="429"/>
      <c r="AI1130" s="409"/>
      <c r="AJ1130" s="439"/>
      <c r="AK1130" s="326"/>
      <c r="AL1130" s="326"/>
      <c r="AM1130" s="326"/>
      <c r="AN1130" s="326"/>
      <c r="AO1130" s="436"/>
      <c r="AP1130" s="429"/>
      <c r="AQ1130" s="439"/>
      <c r="AR1130" s="326"/>
      <c r="AS1130" s="326"/>
      <c r="AT1130" s="326"/>
      <c r="AU1130" s="436"/>
      <c r="AV1130" s="429"/>
      <c r="AW1130" s="432"/>
      <c r="AX1130" s="326"/>
      <c r="AY1130" s="326"/>
      <c r="AZ1130" s="326"/>
      <c r="BA1130" s="326"/>
      <c r="BB1130" s="436"/>
      <c r="BC1130" s="429"/>
      <c r="BD1130" s="432"/>
      <c r="BE1130" s="326"/>
      <c r="BF1130" s="326"/>
      <c r="BG1130" s="326"/>
      <c r="BH1130" s="326"/>
      <c r="BI1130" s="436"/>
      <c r="BJ1130" s="429"/>
      <c r="BK1130" s="429"/>
      <c r="BL1130" s="421"/>
      <c r="BM1130" s="1"/>
      <c r="CV1130">
        <v>4</v>
      </c>
    </row>
    <row r="1131" spans="1:100">
      <c r="A1131" s="439"/>
      <c r="B1131" s="429"/>
      <c r="C1131" s="429"/>
      <c r="D1131" s="429"/>
      <c r="E1131" s="439"/>
      <c r="F1131" s="326"/>
      <c r="G1131" s="326"/>
      <c r="H1131" s="326"/>
      <c r="I1131" s="326"/>
      <c r="J1131" s="436"/>
      <c r="K1131" s="429"/>
      <c r="L1131" s="439"/>
      <c r="M1131" s="326"/>
      <c r="N1131" s="436"/>
      <c r="O1131" s="429"/>
      <c r="P1131" s="432"/>
      <c r="Q1131" s="326"/>
      <c r="R1131" s="326"/>
      <c r="S1131" s="326"/>
      <c r="T1131" s="326"/>
      <c r="U1131" s="436"/>
      <c r="V1131" s="429"/>
      <c r="W1131" s="432"/>
      <c r="X1131" s="326"/>
      <c r="Y1131" s="326"/>
      <c r="Z1131" s="326"/>
      <c r="AA1131" s="326"/>
      <c r="AB1131" s="436"/>
      <c r="AC1131" s="429"/>
      <c r="AD1131" s="432"/>
      <c r="AE1131" s="429"/>
      <c r="AF1131" s="421"/>
      <c r="AG1131" s="439"/>
      <c r="AH1131" s="429"/>
      <c r="AI1131" s="429"/>
      <c r="AJ1131" s="429"/>
      <c r="AK1131" s="439"/>
      <c r="AL1131" s="326"/>
      <c r="AM1131" s="326"/>
      <c r="AN1131" s="326"/>
      <c r="AO1131" s="326"/>
      <c r="AP1131" s="436"/>
      <c r="AQ1131" s="429"/>
      <c r="AR1131" s="439"/>
      <c r="AS1131" s="326"/>
      <c r="AT1131" s="436"/>
      <c r="AU1131" s="429"/>
      <c r="AV1131" s="432"/>
      <c r="AW1131" s="326"/>
      <c r="AX1131" s="326"/>
      <c r="AY1131" s="326"/>
      <c r="AZ1131" s="326"/>
      <c r="BA1131" s="436"/>
      <c r="BB1131" s="429"/>
      <c r="BC1131" s="432"/>
      <c r="BD1131" s="326"/>
      <c r="BE1131" s="326"/>
      <c r="BF1131" s="326"/>
      <c r="BG1131" s="326"/>
      <c r="BH1131" s="436"/>
      <c r="BI1131" s="429"/>
      <c r="BJ1131" s="432"/>
      <c r="BK1131" s="429"/>
      <c r="BL1131" s="421"/>
      <c r="BM1131" s="1"/>
      <c r="CV1131">
        <v>4</v>
      </c>
    </row>
    <row r="1132" spans="1:100">
      <c r="A1132" s="439"/>
      <c r="B1132" s="429"/>
      <c r="C1132" s="432"/>
      <c r="D1132" s="436"/>
      <c r="E1132" s="429"/>
      <c r="F1132" s="439"/>
      <c r="G1132" s="326"/>
      <c r="H1132" s="326"/>
      <c r="I1132" s="326"/>
      <c r="J1132" s="326"/>
      <c r="K1132" s="436"/>
      <c r="L1132" s="429"/>
      <c r="M1132" s="429"/>
      <c r="N1132" s="429"/>
      <c r="O1132" s="432"/>
      <c r="P1132" s="326"/>
      <c r="Q1132" s="326"/>
      <c r="R1132" s="326"/>
      <c r="S1132" s="326"/>
      <c r="T1132" s="436"/>
      <c r="U1132" s="429"/>
      <c r="V1132" s="432"/>
      <c r="W1132" s="326"/>
      <c r="X1132" s="326"/>
      <c r="Y1132" s="326"/>
      <c r="Z1132" s="326"/>
      <c r="AA1132" s="436"/>
      <c r="AB1132" s="429"/>
      <c r="AC1132" s="432"/>
      <c r="AD1132" s="436"/>
      <c r="AE1132" s="429"/>
      <c r="AF1132" s="421"/>
      <c r="AG1132" s="439"/>
      <c r="AH1132" s="429"/>
      <c r="AI1132" s="432"/>
      <c r="AJ1132" s="436"/>
      <c r="AK1132" s="429"/>
      <c r="AL1132" s="439"/>
      <c r="AM1132" s="326"/>
      <c r="AN1132" s="326"/>
      <c r="AO1132" s="326"/>
      <c r="AP1132" s="326"/>
      <c r="AQ1132" s="436"/>
      <c r="AR1132" s="429"/>
      <c r="AS1132" s="429"/>
      <c r="AT1132" s="429"/>
      <c r="AU1132" s="432"/>
      <c r="AV1132" s="326"/>
      <c r="AW1132" s="326"/>
      <c r="AX1132" s="326"/>
      <c r="AY1132" s="326"/>
      <c r="AZ1132" s="436"/>
      <c r="BA1132" s="429"/>
      <c r="BB1132" s="432"/>
      <c r="BC1132" s="326"/>
      <c r="BD1132" s="326"/>
      <c r="BE1132" s="326"/>
      <c r="BF1132" s="326"/>
      <c r="BG1132" s="436"/>
      <c r="BH1132" s="429"/>
      <c r="BI1132" s="432"/>
      <c r="BJ1132" s="436"/>
      <c r="BK1132" s="429"/>
      <c r="BL1132" s="421"/>
      <c r="BM1132" s="1"/>
      <c r="CV1132">
        <v>4</v>
      </c>
    </row>
    <row r="1133" spans="1:100">
      <c r="A1133" s="439"/>
      <c r="B1133" s="429"/>
      <c r="C1133" s="432"/>
      <c r="D1133" s="326"/>
      <c r="E1133" s="436"/>
      <c r="F1133" s="429"/>
      <c r="G1133" s="439"/>
      <c r="H1133" s="326"/>
      <c r="I1133" s="326"/>
      <c r="J1133" s="326"/>
      <c r="K1133" s="326"/>
      <c r="L1133" s="429"/>
      <c r="M1133" s="429"/>
      <c r="N1133" s="432"/>
      <c r="O1133" s="326"/>
      <c r="P1133" s="326"/>
      <c r="Q1133" s="326"/>
      <c r="R1133" s="326"/>
      <c r="S1133" s="436"/>
      <c r="T1133" s="429"/>
      <c r="U1133" s="432"/>
      <c r="V1133" s="326"/>
      <c r="W1133" s="326"/>
      <c r="X1133" s="326"/>
      <c r="Y1133" s="326"/>
      <c r="Z1133" s="436"/>
      <c r="AA1133" s="429"/>
      <c r="AB1133" s="432"/>
      <c r="AC1133" s="326"/>
      <c r="AD1133" s="436"/>
      <c r="AE1133" s="429"/>
      <c r="AF1133" s="421"/>
      <c r="AG1133" s="439"/>
      <c r="AH1133" s="429"/>
      <c r="AI1133" s="432"/>
      <c r="AJ1133" s="326"/>
      <c r="AK1133" s="436"/>
      <c r="AL1133" s="429"/>
      <c r="AM1133" s="439"/>
      <c r="AN1133" s="326"/>
      <c r="AO1133" s="326"/>
      <c r="AP1133" s="326"/>
      <c r="AQ1133" s="326"/>
      <c r="AR1133" s="429"/>
      <c r="AS1133" s="429"/>
      <c r="AT1133" s="432"/>
      <c r="AU1133" s="326"/>
      <c r="AV1133" s="326"/>
      <c r="AW1133" s="326"/>
      <c r="AX1133" s="326"/>
      <c r="AY1133" s="436"/>
      <c r="AZ1133" s="429"/>
      <c r="BA1133" s="432"/>
      <c r="BB1133" s="326"/>
      <c r="BC1133" s="326"/>
      <c r="BD1133" s="326"/>
      <c r="BE1133" s="326"/>
      <c r="BF1133" s="436"/>
      <c r="BG1133" s="429"/>
      <c r="BH1133" s="432"/>
      <c r="BI1133" s="326"/>
      <c r="BJ1133" s="436"/>
      <c r="BK1133" s="429"/>
      <c r="BL1133" s="421"/>
      <c r="BM1133" s="1"/>
      <c r="CV1133">
        <v>4</v>
      </c>
    </row>
    <row r="1134" spans="1:100">
      <c r="A1134" s="439"/>
      <c r="B1134" s="429"/>
      <c r="C1134" s="432"/>
      <c r="D1134" s="326"/>
      <c r="E1134" s="326"/>
      <c r="F1134" s="436"/>
      <c r="G1134" s="429"/>
      <c r="H1134" s="439"/>
      <c r="I1134" s="326"/>
      <c r="J1134" s="326"/>
      <c r="K1134" s="436"/>
      <c r="L1134" s="429"/>
      <c r="M1134" s="432"/>
      <c r="N1134" s="326"/>
      <c r="O1134" s="326"/>
      <c r="P1134" s="326"/>
      <c r="Q1134" s="326"/>
      <c r="R1134" s="436"/>
      <c r="S1134" s="429"/>
      <c r="T1134" s="432"/>
      <c r="U1134" s="326"/>
      <c r="V1134" s="326"/>
      <c r="W1134" s="326"/>
      <c r="X1134" s="326"/>
      <c r="Y1134" s="436"/>
      <c r="Z1134" s="429"/>
      <c r="AA1134" s="432"/>
      <c r="AB1134" s="326"/>
      <c r="AC1134" s="326"/>
      <c r="AD1134" s="436"/>
      <c r="AE1134" s="429"/>
      <c r="AF1134" s="421"/>
      <c r="AG1134" s="439"/>
      <c r="AH1134" s="429"/>
      <c r="AI1134" s="432"/>
      <c r="AJ1134" s="326"/>
      <c r="AK1134" s="326"/>
      <c r="AL1134" s="436"/>
      <c r="AM1134" s="429"/>
      <c r="AN1134" s="439"/>
      <c r="AO1134" s="326"/>
      <c r="AP1134" s="326"/>
      <c r="AQ1134" s="436"/>
      <c r="AR1134" s="429"/>
      <c r="AS1134" s="432"/>
      <c r="AT1134" s="326"/>
      <c r="AU1134" s="326"/>
      <c r="AV1134" s="326"/>
      <c r="AW1134" s="326"/>
      <c r="AX1134" s="436"/>
      <c r="AY1134" s="429"/>
      <c r="AZ1134" s="432"/>
      <c r="BA1134" s="326"/>
      <c r="BB1134" s="326"/>
      <c r="BC1134" s="326"/>
      <c r="BD1134" s="326"/>
      <c r="BE1134" s="436"/>
      <c r="BF1134" s="429"/>
      <c r="BG1134" s="432"/>
      <c r="BH1134" s="326"/>
      <c r="BI1134" s="326"/>
      <c r="BJ1134" s="436"/>
      <c r="BK1134" s="429"/>
      <c r="BL1134" s="421"/>
      <c r="BM1134" s="1"/>
      <c r="CV1134">
        <v>4</v>
      </c>
    </row>
    <row r="1135" spans="1:100">
      <c r="A1135" s="439"/>
      <c r="B1135" s="429"/>
      <c r="C1135" s="432"/>
      <c r="D1135" s="326"/>
      <c r="E1135" s="326"/>
      <c r="F1135" s="326"/>
      <c r="G1135" s="436"/>
      <c r="H1135" s="429"/>
      <c r="I1135" s="429"/>
      <c r="J1135" s="436"/>
      <c r="K1135" s="429"/>
      <c r="L1135" s="432"/>
      <c r="M1135" s="326"/>
      <c r="N1135" s="326"/>
      <c r="O1135" s="326"/>
      <c r="P1135" s="326"/>
      <c r="Q1135" s="436"/>
      <c r="R1135" s="429"/>
      <c r="S1135" s="432"/>
      <c r="T1135" s="326"/>
      <c r="U1135" s="326"/>
      <c r="V1135" s="326"/>
      <c r="W1135" s="326"/>
      <c r="X1135" s="436"/>
      <c r="Y1135" s="429"/>
      <c r="Z1135" s="432"/>
      <c r="AA1135" s="326"/>
      <c r="AB1135" s="326"/>
      <c r="AC1135" s="326"/>
      <c r="AD1135" s="436"/>
      <c r="AE1135" s="429"/>
      <c r="AF1135" s="421"/>
      <c r="AG1135" s="439"/>
      <c r="AH1135" s="429"/>
      <c r="AI1135" s="432"/>
      <c r="AJ1135" s="326"/>
      <c r="AK1135" s="326"/>
      <c r="AL1135" s="326"/>
      <c r="AM1135" s="436"/>
      <c r="AN1135" s="429"/>
      <c r="AO1135" s="429"/>
      <c r="AP1135" s="436"/>
      <c r="AQ1135" s="439"/>
      <c r="AR1135" s="432"/>
      <c r="AS1135" s="326"/>
      <c r="AT1135" s="326"/>
      <c r="AU1135" s="326"/>
      <c r="AV1135" s="326"/>
      <c r="AW1135" s="436"/>
      <c r="AX1135" s="429"/>
      <c r="AY1135" s="432"/>
      <c r="AZ1135" s="326"/>
      <c r="BA1135" s="326"/>
      <c r="BB1135" s="326"/>
      <c r="BC1135" s="326"/>
      <c r="BD1135" s="436"/>
      <c r="BE1135" s="429"/>
      <c r="BF1135" s="432"/>
      <c r="BG1135" s="326"/>
      <c r="BH1135" s="326"/>
      <c r="BI1135" s="326"/>
      <c r="BJ1135" s="436"/>
      <c r="BK1135" s="429"/>
      <c r="BL1135" s="421"/>
      <c r="BM1135" s="1"/>
      <c r="CV1135">
        <v>4</v>
      </c>
    </row>
    <row r="1136" spans="1:100">
      <c r="A1136" s="439"/>
      <c r="B1136" s="429"/>
      <c r="C1136" s="432"/>
      <c r="D1136" s="326"/>
      <c r="E1136" s="326"/>
      <c r="F1136" s="326"/>
      <c r="G1136" s="326"/>
      <c r="H1136" s="436"/>
      <c r="I1136" s="429"/>
      <c r="J1136" s="429"/>
      <c r="K1136" s="432"/>
      <c r="L1136" s="326"/>
      <c r="M1136" s="326"/>
      <c r="N1136" s="326"/>
      <c r="O1136" s="326"/>
      <c r="P1136" s="436"/>
      <c r="Q1136" s="429"/>
      <c r="R1136" s="432"/>
      <c r="S1136" s="326"/>
      <c r="T1136" s="326"/>
      <c r="U1136" s="326"/>
      <c r="V1136" s="326"/>
      <c r="W1136" s="436"/>
      <c r="X1136" s="429"/>
      <c r="Y1136" s="429"/>
      <c r="Z1136" s="326"/>
      <c r="AA1136" s="326"/>
      <c r="AB1136" s="326"/>
      <c r="AC1136" s="326"/>
      <c r="AD1136" s="436"/>
      <c r="AE1136" s="429"/>
      <c r="AF1136" s="421"/>
      <c r="AG1136" s="439"/>
      <c r="AH1136" s="429"/>
      <c r="AI1136" s="432"/>
      <c r="AJ1136" s="326"/>
      <c r="AK1136" s="326"/>
      <c r="AL1136" s="326"/>
      <c r="AM1136" s="326"/>
      <c r="AN1136" s="436"/>
      <c r="AO1136" s="429"/>
      <c r="AP1136" s="439"/>
      <c r="AQ1136" s="432"/>
      <c r="AR1136" s="326"/>
      <c r="AS1136" s="326"/>
      <c r="AT1136" s="326"/>
      <c r="AU1136" s="326"/>
      <c r="AV1136" s="436"/>
      <c r="AW1136" s="429"/>
      <c r="AX1136" s="432"/>
      <c r="AY1136" s="326"/>
      <c r="AZ1136" s="326"/>
      <c r="BA1136" s="326"/>
      <c r="BB1136" s="326"/>
      <c r="BC1136" s="436"/>
      <c r="BD1136" s="429"/>
      <c r="BE1136" s="429"/>
      <c r="BF1136" s="326"/>
      <c r="BG1136" s="326"/>
      <c r="BH1136" s="326"/>
      <c r="BI1136" s="326"/>
      <c r="BJ1136" s="436"/>
      <c r="BK1136" s="429"/>
      <c r="BL1136" s="421"/>
      <c r="BM1136" s="1"/>
      <c r="CV1136">
        <v>4</v>
      </c>
    </row>
    <row r="1137" spans="1:100">
      <c r="A1137" s="439"/>
      <c r="B1137" s="429"/>
      <c r="C1137" s="432"/>
      <c r="D1137" s="326"/>
      <c r="E1137" s="326"/>
      <c r="F1137" s="326"/>
      <c r="G1137" s="326"/>
      <c r="H1137" s="429"/>
      <c r="I1137" s="429"/>
      <c r="J1137" s="432"/>
      <c r="K1137" s="326"/>
      <c r="L1137" s="326"/>
      <c r="M1137" s="326"/>
      <c r="N1137" s="326"/>
      <c r="O1137" s="436"/>
      <c r="P1137" s="429"/>
      <c r="Q1137" s="432"/>
      <c r="R1137" s="326"/>
      <c r="S1137" s="326"/>
      <c r="T1137" s="326"/>
      <c r="U1137" s="326"/>
      <c r="V1137" s="436"/>
      <c r="W1137" s="429"/>
      <c r="X1137" s="429"/>
      <c r="Y1137" s="429"/>
      <c r="Z1137" s="439"/>
      <c r="AA1137" s="326"/>
      <c r="AB1137" s="326"/>
      <c r="AC1137" s="326"/>
      <c r="AD1137" s="436"/>
      <c r="AE1137" s="429"/>
      <c r="AF1137" s="421"/>
      <c r="AG1137" s="439"/>
      <c r="AH1137" s="429"/>
      <c r="AI1137" s="432"/>
      <c r="AJ1137" s="326"/>
      <c r="AK1137" s="326"/>
      <c r="AL1137" s="326"/>
      <c r="AM1137" s="326"/>
      <c r="AN1137" s="429"/>
      <c r="AO1137" s="439"/>
      <c r="AP1137" s="432"/>
      <c r="AQ1137" s="326"/>
      <c r="AR1137" s="326"/>
      <c r="AS1137" s="326"/>
      <c r="AT1137" s="326"/>
      <c r="AU1137" s="436"/>
      <c r="AV1137" s="429"/>
      <c r="AW1137" s="432"/>
      <c r="AX1137" s="326"/>
      <c r="AY1137" s="326"/>
      <c r="AZ1137" s="326"/>
      <c r="BA1137" s="326"/>
      <c r="BB1137" s="436"/>
      <c r="BC1137" s="429"/>
      <c r="BD1137" s="429"/>
      <c r="BE1137" s="429"/>
      <c r="BF1137" s="439"/>
      <c r="BG1137" s="326"/>
      <c r="BH1137" s="326"/>
      <c r="BI1137" s="326"/>
      <c r="BJ1137" s="436"/>
      <c r="BK1137" s="429"/>
      <c r="BL1137" s="421"/>
      <c r="BM1137" s="1"/>
      <c r="CV1137">
        <v>4</v>
      </c>
    </row>
    <row r="1138" spans="1:100">
      <c r="A1138" s="439"/>
      <c r="B1138" s="429"/>
      <c r="C1138" s="432"/>
      <c r="D1138" s="326"/>
      <c r="E1138" s="326"/>
      <c r="F1138" s="326"/>
      <c r="G1138" s="436"/>
      <c r="H1138" s="429"/>
      <c r="I1138" s="432"/>
      <c r="J1138" s="326"/>
      <c r="K1138" s="326"/>
      <c r="L1138" s="326"/>
      <c r="M1138" s="326"/>
      <c r="N1138" s="436"/>
      <c r="O1138" s="429"/>
      <c r="P1138" s="432"/>
      <c r="Q1138" s="326"/>
      <c r="R1138" s="326"/>
      <c r="S1138" s="326"/>
      <c r="T1138" s="326"/>
      <c r="U1138" s="436"/>
      <c r="V1138" s="429"/>
      <c r="W1138" s="432"/>
      <c r="X1138" s="326"/>
      <c r="Y1138" s="436"/>
      <c r="Z1138" s="429"/>
      <c r="AA1138" s="439"/>
      <c r="AB1138" s="326"/>
      <c r="AC1138" s="326"/>
      <c r="AD1138" s="436"/>
      <c r="AE1138" s="429"/>
      <c r="AF1138" s="421"/>
      <c r="AG1138" s="439"/>
      <c r="AH1138" s="429"/>
      <c r="AI1138" s="432"/>
      <c r="AJ1138" s="326"/>
      <c r="AK1138" s="326"/>
      <c r="AL1138" s="326"/>
      <c r="AM1138" s="436"/>
      <c r="AN1138" s="439"/>
      <c r="AO1138" s="432"/>
      <c r="AP1138" s="326"/>
      <c r="AQ1138" s="326"/>
      <c r="AR1138" s="326"/>
      <c r="AS1138" s="326"/>
      <c r="AT1138" s="436"/>
      <c r="AU1138" s="429"/>
      <c r="AV1138" s="432"/>
      <c r="AW1138" s="326"/>
      <c r="AX1138" s="326"/>
      <c r="AY1138" s="326"/>
      <c r="AZ1138" s="326"/>
      <c r="BA1138" s="436"/>
      <c r="BB1138" s="429"/>
      <c r="BC1138" s="432"/>
      <c r="BD1138" s="326"/>
      <c r="BE1138" s="436"/>
      <c r="BF1138" s="429"/>
      <c r="BG1138" s="439"/>
      <c r="BH1138" s="326"/>
      <c r="BI1138" s="326"/>
      <c r="BJ1138" s="436"/>
      <c r="BK1138" s="429"/>
      <c r="BL1138" s="421"/>
      <c r="BM1138" s="1"/>
      <c r="CV1138">
        <v>4</v>
      </c>
    </row>
    <row r="1139" spans="1:100">
      <c r="A1139" s="439"/>
      <c r="B1139" s="429"/>
      <c r="C1139" s="432"/>
      <c r="D1139" s="326"/>
      <c r="E1139" s="326"/>
      <c r="F1139" s="436"/>
      <c r="G1139" s="429"/>
      <c r="H1139" s="432"/>
      <c r="I1139" s="326"/>
      <c r="J1139" s="326"/>
      <c r="K1139" s="326"/>
      <c r="L1139" s="326"/>
      <c r="M1139" s="436"/>
      <c r="N1139" s="429"/>
      <c r="O1139" s="432"/>
      <c r="P1139" s="326"/>
      <c r="Q1139" s="326"/>
      <c r="R1139" s="326"/>
      <c r="S1139" s="326"/>
      <c r="T1139" s="436"/>
      <c r="U1139" s="429"/>
      <c r="V1139" s="432"/>
      <c r="W1139" s="326"/>
      <c r="X1139" s="326"/>
      <c r="Y1139" s="326"/>
      <c r="Z1139" s="436"/>
      <c r="AA1139" s="429"/>
      <c r="AB1139" s="439"/>
      <c r="AC1139" s="326"/>
      <c r="AD1139" s="436"/>
      <c r="AE1139" s="429"/>
      <c r="AF1139" s="421"/>
      <c r="AG1139" s="439"/>
      <c r="AH1139" s="429"/>
      <c r="AI1139" s="432"/>
      <c r="AJ1139" s="326"/>
      <c r="AK1139" s="326"/>
      <c r="AL1139" s="436"/>
      <c r="AM1139" s="429"/>
      <c r="AN1139" s="432"/>
      <c r="AO1139" s="326"/>
      <c r="AP1139" s="326"/>
      <c r="AQ1139" s="326"/>
      <c r="AR1139" s="326"/>
      <c r="AS1139" s="436"/>
      <c r="AT1139" s="429"/>
      <c r="AU1139" s="432"/>
      <c r="AV1139" s="326"/>
      <c r="AW1139" s="326"/>
      <c r="AX1139" s="326"/>
      <c r="AY1139" s="326"/>
      <c r="AZ1139" s="436"/>
      <c r="BA1139" s="429"/>
      <c r="BB1139" s="432"/>
      <c r="BC1139" s="326"/>
      <c r="BD1139" s="326"/>
      <c r="BE1139" s="326"/>
      <c r="BF1139" s="436"/>
      <c r="BG1139" s="429"/>
      <c r="BH1139" s="439"/>
      <c r="BI1139" s="326"/>
      <c r="BJ1139" s="436"/>
      <c r="BK1139" s="429"/>
      <c r="BL1139" s="421"/>
      <c r="BM1139" s="1"/>
      <c r="CV1139">
        <v>4</v>
      </c>
    </row>
    <row r="1140" spans="1:100">
      <c r="A1140" s="439"/>
      <c r="B1140" s="429"/>
      <c r="C1140" s="432"/>
      <c r="D1140" s="326"/>
      <c r="E1140" s="436"/>
      <c r="F1140" s="429"/>
      <c r="G1140" s="432"/>
      <c r="H1140" s="326"/>
      <c r="I1140" s="326"/>
      <c r="J1140" s="326"/>
      <c r="K1140" s="326"/>
      <c r="L1140" s="436"/>
      <c r="M1140" s="429"/>
      <c r="N1140" s="432"/>
      <c r="O1140" s="326"/>
      <c r="P1140" s="326"/>
      <c r="Q1140" s="326"/>
      <c r="R1140" s="326"/>
      <c r="S1140" s="436"/>
      <c r="T1140" s="429"/>
      <c r="U1140" s="429"/>
      <c r="V1140" s="436"/>
      <c r="W1140" s="326"/>
      <c r="X1140" s="326"/>
      <c r="Y1140" s="326"/>
      <c r="Z1140" s="326"/>
      <c r="AA1140" s="436"/>
      <c r="AB1140" s="429"/>
      <c r="AC1140" s="439"/>
      <c r="AD1140" s="436"/>
      <c r="AE1140" s="429"/>
      <c r="AF1140" s="421"/>
      <c r="AG1140" s="439"/>
      <c r="AH1140" s="429"/>
      <c r="AI1140" s="432"/>
      <c r="AJ1140" s="326"/>
      <c r="AK1140" s="436"/>
      <c r="AL1140" s="429"/>
      <c r="AM1140" s="432"/>
      <c r="AN1140" s="326"/>
      <c r="AO1140" s="326"/>
      <c r="AP1140" s="326"/>
      <c r="AQ1140" s="326"/>
      <c r="AR1140" s="436"/>
      <c r="AS1140" s="429"/>
      <c r="AT1140" s="432"/>
      <c r="AU1140" s="326"/>
      <c r="AV1140" s="326"/>
      <c r="AW1140" s="326"/>
      <c r="AX1140" s="326"/>
      <c r="AY1140" s="436"/>
      <c r="AZ1140" s="429"/>
      <c r="BA1140" s="429"/>
      <c r="BB1140" s="436"/>
      <c r="BC1140" s="326"/>
      <c r="BD1140" s="326"/>
      <c r="BE1140" s="326"/>
      <c r="BF1140" s="326"/>
      <c r="BG1140" s="436"/>
      <c r="BH1140" s="429"/>
      <c r="BI1140" s="439"/>
      <c r="BJ1140" s="436"/>
      <c r="BK1140" s="429"/>
      <c r="BL1140" s="421"/>
      <c r="BM1140" s="1"/>
      <c r="CV1140">
        <v>4</v>
      </c>
    </row>
    <row r="1141" spans="1:100">
      <c r="A1141" s="439"/>
      <c r="B1141" s="429"/>
      <c r="C1141" s="432"/>
      <c r="D1141" s="436"/>
      <c r="E1141" s="429"/>
      <c r="F1141" s="432"/>
      <c r="G1141" s="326"/>
      <c r="H1141" s="326"/>
      <c r="I1141" s="326"/>
      <c r="J1141" s="326"/>
      <c r="K1141" s="436"/>
      <c r="L1141" s="429"/>
      <c r="M1141" s="432"/>
      <c r="N1141" s="326"/>
      <c r="O1141" s="326"/>
      <c r="P1141" s="326"/>
      <c r="Q1141" s="326"/>
      <c r="R1141" s="436"/>
      <c r="S1141" s="429"/>
      <c r="T1141" s="432"/>
      <c r="U1141" s="429"/>
      <c r="V1141" s="429"/>
      <c r="W1141" s="436"/>
      <c r="X1141" s="326"/>
      <c r="Y1141" s="326"/>
      <c r="Z1141" s="326"/>
      <c r="AA1141" s="326"/>
      <c r="AB1141" s="436"/>
      <c r="AC1141" s="429"/>
      <c r="AD1141" s="436"/>
      <c r="AE1141" s="429"/>
      <c r="AF1141" s="421"/>
      <c r="AG1141" s="439"/>
      <c r="AH1141" s="429"/>
      <c r="AI1141" s="432"/>
      <c r="AJ1141" s="436"/>
      <c r="AK1141" s="429"/>
      <c r="AL1141" s="432"/>
      <c r="AM1141" s="326"/>
      <c r="AN1141" s="326"/>
      <c r="AO1141" s="326"/>
      <c r="AP1141" s="326"/>
      <c r="AQ1141" s="436"/>
      <c r="AR1141" s="429"/>
      <c r="AS1141" s="432"/>
      <c r="AT1141" s="326"/>
      <c r="AU1141" s="326"/>
      <c r="AV1141" s="326"/>
      <c r="AW1141" s="326"/>
      <c r="AX1141" s="436"/>
      <c r="AY1141" s="429"/>
      <c r="AZ1141" s="432"/>
      <c r="BA1141" s="429"/>
      <c r="BB1141" s="429"/>
      <c r="BC1141" s="436"/>
      <c r="BD1141" s="326"/>
      <c r="BE1141" s="326"/>
      <c r="BF1141" s="326"/>
      <c r="BG1141" s="326"/>
      <c r="BH1141" s="436"/>
      <c r="BI1141" s="429"/>
      <c r="BJ1141" s="436"/>
      <c r="BK1141" s="429"/>
      <c r="BL1141" s="421"/>
      <c r="BM1141" s="1"/>
      <c r="CV1141">
        <v>4</v>
      </c>
    </row>
    <row r="1142" spans="1:100">
      <c r="A1142" s="439"/>
      <c r="B1142" s="429"/>
      <c r="C1142" s="429"/>
      <c r="D1142" s="429"/>
      <c r="E1142" s="432"/>
      <c r="F1142" s="326"/>
      <c r="G1142" s="326"/>
      <c r="H1142" s="326"/>
      <c r="I1142" s="326"/>
      <c r="J1142" s="436"/>
      <c r="K1142" s="429"/>
      <c r="L1142" s="432"/>
      <c r="M1142" s="326"/>
      <c r="N1142" s="326"/>
      <c r="O1142" s="326"/>
      <c r="P1142" s="326"/>
      <c r="Q1142" s="436"/>
      <c r="R1142" s="429"/>
      <c r="S1142" s="432"/>
      <c r="T1142" s="326"/>
      <c r="U1142" s="436"/>
      <c r="V1142" s="429"/>
      <c r="W1142" s="429"/>
      <c r="X1142" s="436"/>
      <c r="Y1142" s="326"/>
      <c r="Z1142" s="326"/>
      <c r="AA1142" s="326"/>
      <c r="AB1142" s="326"/>
      <c r="AC1142" s="436"/>
      <c r="AD1142" s="429"/>
      <c r="AE1142" s="429"/>
      <c r="AF1142" s="421"/>
      <c r="AG1142" s="439"/>
      <c r="AH1142" s="429"/>
      <c r="AI1142" s="429"/>
      <c r="AJ1142" s="429"/>
      <c r="AK1142" s="432"/>
      <c r="AL1142" s="326"/>
      <c r="AM1142" s="326"/>
      <c r="AN1142" s="326"/>
      <c r="AO1142" s="326"/>
      <c r="AP1142" s="436"/>
      <c r="AQ1142" s="429"/>
      <c r="AR1142" s="432"/>
      <c r="AS1142" s="326"/>
      <c r="AT1142" s="326"/>
      <c r="AU1142" s="326"/>
      <c r="AV1142" s="326"/>
      <c r="AW1142" s="436"/>
      <c r="AX1142" s="429"/>
      <c r="AY1142" s="432"/>
      <c r="AZ1142" s="326"/>
      <c r="BA1142" s="436"/>
      <c r="BB1142" s="452"/>
      <c r="BC1142" s="439"/>
      <c r="BD1142" s="436"/>
      <c r="BE1142" s="326"/>
      <c r="BF1142" s="326"/>
      <c r="BG1142" s="326"/>
      <c r="BH1142" s="326"/>
      <c r="BI1142" s="436"/>
      <c r="BJ1142" s="429"/>
      <c r="BK1142" s="429"/>
      <c r="BL1142" s="421"/>
      <c r="BM1142" s="1"/>
      <c r="BN1142" s="199"/>
      <c r="BO1142" s="201"/>
      <c r="BP1142" s="161"/>
    </row>
    <row r="1143" spans="1:100">
      <c r="A1143" s="439"/>
      <c r="B1143" s="429"/>
      <c r="C1143" s="429"/>
      <c r="D1143" s="432"/>
      <c r="E1143" s="326"/>
      <c r="F1143" s="326"/>
      <c r="G1143" s="326"/>
      <c r="H1143" s="326"/>
      <c r="I1143" s="436"/>
      <c r="J1143" s="429"/>
      <c r="K1143" s="432"/>
      <c r="L1143" s="326"/>
      <c r="M1143" s="326"/>
      <c r="N1143" s="326"/>
      <c r="O1143" s="326"/>
      <c r="P1143" s="436"/>
      <c r="Q1143" s="429"/>
      <c r="R1143" s="432"/>
      <c r="S1143" s="326"/>
      <c r="T1143" s="326"/>
      <c r="U1143" s="326"/>
      <c r="V1143" s="436"/>
      <c r="W1143" s="429"/>
      <c r="X1143" s="429"/>
      <c r="Y1143" s="436"/>
      <c r="Z1143" s="326"/>
      <c r="AA1143" s="326"/>
      <c r="AB1143" s="326"/>
      <c r="AC1143" s="326"/>
      <c r="AD1143" s="429"/>
      <c r="AE1143" s="429"/>
      <c r="AF1143" s="421"/>
      <c r="AG1143" s="439"/>
      <c r="AH1143" s="429"/>
      <c r="AI1143" s="429"/>
      <c r="AJ1143" s="432"/>
      <c r="AK1143" s="326"/>
      <c r="AL1143" s="326"/>
      <c r="AM1143" s="326"/>
      <c r="AN1143" s="326"/>
      <c r="AO1143" s="436"/>
      <c r="AP1143" s="429"/>
      <c r="AQ1143" s="432"/>
      <c r="AR1143" s="326"/>
      <c r="AS1143" s="326"/>
      <c r="AT1143" s="326"/>
      <c r="AU1143" s="326"/>
      <c r="AV1143" s="436"/>
      <c r="AW1143" s="429"/>
      <c r="AX1143" s="432"/>
      <c r="AY1143" s="326"/>
      <c r="AZ1143" s="326"/>
      <c r="BA1143" s="326"/>
      <c r="BB1143" s="436"/>
      <c r="BC1143" s="452"/>
      <c r="BD1143" s="439"/>
      <c r="BE1143" s="436"/>
      <c r="BF1143" s="326"/>
      <c r="BG1143" s="326"/>
      <c r="BH1143" s="326"/>
      <c r="BI1143" s="326"/>
      <c r="BJ1143" s="429"/>
      <c r="BK1143" s="429"/>
      <c r="BL1143" s="421"/>
      <c r="BM1143" s="1"/>
      <c r="CV1143">
        <v>22</v>
      </c>
    </row>
    <row r="1144" spans="1:100">
      <c r="A1144" s="439"/>
      <c r="B1144" s="429"/>
      <c r="C1144" s="432"/>
      <c r="D1144" s="326"/>
      <c r="E1144" s="326"/>
      <c r="F1144" s="326"/>
      <c r="G1144" s="326"/>
      <c r="H1144" s="436"/>
      <c r="I1144" s="429"/>
      <c r="J1144" s="432"/>
      <c r="K1144" s="326"/>
      <c r="L1144" s="326"/>
      <c r="M1144" s="326"/>
      <c r="N1144" s="326"/>
      <c r="O1144" s="436"/>
      <c r="P1144" s="429"/>
      <c r="Q1144" s="429"/>
      <c r="R1144" s="429"/>
      <c r="S1144" s="326"/>
      <c r="T1144" s="326"/>
      <c r="U1144" s="326"/>
      <c r="V1144" s="326"/>
      <c r="W1144" s="436"/>
      <c r="X1144" s="429"/>
      <c r="Y1144" s="429"/>
      <c r="Z1144" s="429"/>
      <c r="AA1144" s="326"/>
      <c r="AB1144" s="326"/>
      <c r="AC1144" s="326"/>
      <c r="AD1144" s="436"/>
      <c r="AE1144" s="429"/>
      <c r="AF1144" s="421"/>
      <c r="AG1144" s="439"/>
      <c r="AH1144" s="429"/>
      <c r="AI1144" s="432"/>
      <c r="AJ1144" s="326"/>
      <c r="AK1144" s="326"/>
      <c r="AL1144" s="326"/>
      <c r="AM1144" s="326"/>
      <c r="AN1144" s="436"/>
      <c r="AO1144" s="429"/>
      <c r="AP1144" s="432"/>
      <c r="AQ1144" s="326"/>
      <c r="AR1144" s="326"/>
      <c r="AS1144" s="326"/>
      <c r="AT1144" s="326"/>
      <c r="AU1144" s="436"/>
      <c r="AV1144" s="429"/>
      <c r="AW1144" s="429"/>
      <c r="AX1144" s="429"/>
      <c r="AY1144" s="326"/>
      <c r="AZ1144" s="326"/>
      <c r="BA1144" s="326"/>
      <c r="BB1144" s="326"/>
      <c r="BC1144" s="436"/>
      <c r="BD1144" s="452"/>
      <c r="BE1144" s="439"/>
      <c r="BF1144" s="429"/>
      <c r="BG1144" s="326"/>
      <c r="BH1144" s="326"/>
      <c r="BI1144" s="326"/>
      <c r="BJ1144" s="436"/>
      <c r="BK1144" s="429"/>
      <c r="BL1144" s="421"/>
      <c r="BM1144" s="1"/>
      <c r="CV1144">
        <v>22</v>
      </c>
    </row>
    <row r="1145" spans="1:100">
      <c r="A1145" s="439"/>
      <c r="B1145" s="429"/>
      <c r="C1145" s="432"/>
      <c r="D1145" s="326"/>
      <c r="E1145" s="326"/>
      <c r="F1145" s="326"/>
      <c r="G1145" s="436"/>
      <c r="H1145" s="429"/>
      <c r="I1145" s="432"/>
      <c r="J1145" s="326"/>
      <c r="K1145" s="326"/>
      <c r="L1145" s="326"/>
      <c r="M1145" s="326"/>
      <c r="N1145" s="436"/>
      <c r="O1145" s="429"/>
      <c r="P1145" s="429"/>
      <c r="Q1145" s="429"/>
      <c r="R1145" s="429"/>
      <c r="S1145" s="432"/>
      <c r="T1145" s="326"/>
      <c r="U1145" s="326"/>
      <c r="V1145" s="326"/>
      <c r="W1145" s="326"/>
      <c r="X1145" s="436"/>
      <c r="Y1145" s="429"/>
      <c r="Z1145" s="432"/>
      <c r="AA1145" s="326"/>
      <c r="AB1145" s="326"/>
      <c r="AC1145" s="326"/>
      <c r="AD1145" s="436"/>
      <c r="AE1145" s="429"/>
      <c r="AF1145" s="421"/>
      <c r="AG1145" s="439"/>
      <c r="AH1145" s="429"/>
      <c r="AI1145" s="432"/>
      <c r="AJ1145" s="326"/>
      <c r="AK1145" s="326"/>
      <c r="AL1145" s="326"/>
      <c r="AM1145" s="436"/>
      <c r="AN1145" s="429"/>
      <c r="AO1145" s="432"/>
      <c r="AP1145" s="326"/>
      <c r="AQ1145" s="326"/>
      <c r="AR1145" s="326"/>
      <c r="AS1145" s="326"/>
      <c r="AT1145" s="436"/>
      <c r="AU1145" s="429"/>
      <c r="AV1145" s="429"/>
      <c r="AW1145" s="409"/>
      <c r="AX1145" s="409"/>
      <c r="AY1145" s="432"/>
      <c r="AZ1145" s="326"/>
      <c r="BA1145" s="326"/>
      <c r="BB1145" s="326"/>
      <c r="BC1145" s="326"/>
      <c r="BD1145" s="439"/>
      <c r="BE1145" s="439"/>
      <c r="BF1145" s="432"/>
      <c r="BG1145" s="326"/>
      <c r="BH1145" s="326"/>
      <c r="BI1145" s="326"/>
      <c r="BJ1145" s="436"/>
      <c r="BK1145" s="429"/>
      <c r="BL1145" s="421"/>
      <c r="BM1145" s="1"/>
      <c r="CV1145">
        <v>22</v>
      </c>
    </row>
    <row r="1146" spans="1:100">
      <c r="A1146" s="439"/>
      <c r="B1146" s="429"/>
      <c r="C1146" s="432"/>
      <c r="D1146" s="326"/>
      <c r="E1146" s="326"/>
      <c r="F1146" s="326"/>
      <c r="G1146" s="436"/>
      <c r="H1146" s="429"/>
      <c r="I1146" s="432"/>
      <c r="J1146" s="326"/>
      <c r="K1146" s="326"/>
      <c r="L1146" s="326"/>
      <c r="M1146" s="326"/>
      <c r="N1146" s="436"/>
      <c r="O1146" s="429"/>
      <c r="P1146" s="429"/>
      <c r="Q1146" s="409"/>
      <c r="R1146" s="429"/>
      <c r="S1146" s="432"/>
      <c r="T1146" s="326"/>
      <c r="U1146" s="326"/>
      <c r="V1146" s="326"/>
      <c r="W1146" s="326"/>
      <c r="X1146" s="436"/>
      <c r="Y1146" s="429"/>
      <c r="Z1146" s="432"/>
      <c r="AA1146" s="326"/>
      <c r="AB1146" s="326"/>
      <c r="AC1146" s="326"/>
      <c r="AD1146" s="436"/>
      <c r="AE1146" s="429"/>
      <c r="AF1146" s="421"/>
      <c r="AG1146" s="439"/>
      <c r="AH1146" s="429"/>
      <c r="AI1146" s="432"/>
      <c r="AJ1146" s="326"/>
      <c r="AK1146" s="326"/>
      <c r="AL1146" s="326"/>
      <c r="AM1146" s="436"/>
      <c r="AN1146" s="429"/>
      <c r="AO1146" s="432"/>
      <c r="AP1146" s="326"/>
      <c r="AQ1146" s="326"/>
      <c r="AR1146" s="326"/>
      <c r="AS1146" s="326"/>
      <c r="AT1146" s="436"/>
      <c r="AU1146" s="429"/>
      <c r="AV1146" s="409"/>
      <c r="AW1146" s="552"/>
      <c r="AX1146" s="452"/>
      <c r="AY1146" s="432"/>
      <c r="AZ1146" s="326"/>
      <c r="BA1146" s="326"/>
      <c r="BB1146" s="326"/>
      <c r="BC1146" s="326"/>
      <c r="BD1146" s="436"/>
      <c r="BE1146" s="439"/>
      <c r="BF1146" s="432"/>
      <c r="BG1146" s="326"/>
      <c r="BH1146" s="326"/>
      <c r="BI1146" s="326"/>
      <c r="BJ1146" s="436"/>
      <c r="BK1146" s="429"/>
      <c r="BL1146" s="421"/>
      <c r="BM1146" s="1"/>
      <c r="CV1146">
        <v>22</v>
      </c>
    </row>
    <row r="1147" spans="1:100">
      <c r="AF1147" s="421"/>
      <c r="AG1147" s="439"/>
      <c r="AH1147" s="429"/>
      <c r="AI1147" s="432"/>
      <c r="AJ1147" s="326"/>
      <c r="AK1147" s="326"/>
      <c r="AL1147" s="326"/>
      <c r="AM1147" s="436"/>
      <c r="AN1147" s="409"/>
      <c r="AO1147" s="432"/>
      <c r="AP1147" s="326"/>
      <c r="AQ1147" s="326"/>
      <c r="AR1147" s="326"/>
      <c r="AS1147" s="326"/>
      <c r="AT1147" s="436"/>
      <c r="AU1147" s="409"/>
      <c r="AV1147" s="553"/>
      <c r="AW1147" s="452"/>
      <c r="AX1147" s="436"/>
      <c r="AY1147" s="432"/>
      <c r="AZ1147" s="326"/>
      <c r="BA1147" s="326"/>
      <c r="BB1147" s="326"/>
      <c r="BC1147" s="326"/>
      <c r="BD1147" s="436"/>
      <c r="BE1147" s="439"/>
      <c r="BF1147" s="432"/>
      <c r="BG1147" s="326"/>
      <c r="BH1147" s="326"/>
      <c r="BI1147" s="326"/>
      <c r="BJ1147" s="436"/>
      <c r="BK1147" s="429"/>
      <c r="BL1147" s="421"/>
      <c r="BM1147" s="1"/>
      <c r="CT1147">
        <v>25</v>
      </c>
      <c r="CV1147">
        <v>22</v>
      </c>
    </row>
    <row r="1148" spans="1:100">
      <c r="AF1148" s="421"/>
      <c r="AG1148" s="439"/>
      <c r="AH1148" s="429"/>
      <c r="AI1148" s="432"/>
      <c r="AJ1148" s="326"/>
      <c r="AK1148" s="326"/>
      <c r="AL1148" s="326"/>
      <c r="AM1148" s="436"/>
      <c r="AN1148" s="429"/>
      <c r="AO1148" s="432"/>
      <c r="AP1148" s="326"/>
      <c r="AQ1148" s="326"/>
      <c r="AR1148" s="326"/>
      <c r="AS1148" s="326"/>
      <c r="AT1148" s="436"/>
      <c r="AU1148" s="409"/>
      <c r="AV1148" s="429"/>
      <c r="AW1148" s="436"/>
      <c r="AX1148" s="429"/>
      <c r="AY1148" s="432"/>
      <c r="AZ1148" s="326"/>
      <c r="BA1148" s="326"/>
      <c r="BB1148" s="326"/>
      <c r="BC1148" s="326"/>
      <c r="BD1148" s="436"/>
      <c r="BE1148" s="439"/>
      <c r="BF1148" s="432"/>
      <c r="BG1148" s="326"/>
      <c r="BH1148" s="326"/>
      <c r="BI1148" s="326"/>
      <c r="BJ1148" s="436"/>
      <c r="BK1148" s="429"/>
      <c r="BL1148" s="421"/>
      <c r="BM1148" s="1"/>
      <c r="CT1148">
        <v>25</v>
      </c>
      <c r="CV1148">
        <v>22</v>
      </c>
    </row>
    <row r="1149" spans="1:100">
      <c r="AF1149" s="421"/>
      <c r="AG1149" s="439"/>
      <c r="AH1149" s="429"/>
      <c r="AI1149" s="432"/>
      <c r="AJ1149" s="326"/>
      <c r="AK1149" s="326"/>
      <c r="AL1149" s="326"/>
      <c r="AM1149" s="436"/>
      <c r="AN1149" s="429"/>
      <c r="AO1149" s="432"/>
      <c r="AP1149" s="326"/>
      <c r="AQ1149" s="326"/>
      <c r="AR1149" s="326"/>
      <c r="AS1149" s="326"/>
      <c r="AT1149" s="436"/>
      <c r="AU1149" s="429"/>
      <c r="AV1149" s="429"/>
      <c r="AW1149" s="429"/>
      <c r="AX1149" s="429"/>
      <c r="AY1149" s="432"/>
      <c r="AZ1149" s="326"/>
      <c r="BA1149" s="326"/>
      <c r="BB1149" s="326"/>
      <c r="BC1149" s="326"/>
      <c r="BD1149" s="436"/>
      <c r="BE1149" s="439"/>
      <c r="BF1149" s="432"/>
      <c r="BG1149" s="326"/>
      <c r="BH1149" s="326"/>
      <c r="BI1149" s="326"/>
      <c r="BJ1149" s="436"/>
      <c r="BK1149" s="409"/>
      <c r="BL1149" s="421"/>
      <c r="BM1149" s="1"/>
      <c r="CT1149">
        <v>25</v>
      </c>
      <c r="CV1149">
        <v>22</v>
      </c>
    </row>
    <row r="1150" spans="1:100">
      <c r="A1150" s="439"/>
      <c r="B1150" s="436"/>
      <c r="C1150" s="429"/>
      <c r="D1150" s="436"/>
      <c r="E1150" s="436"/>
      <c r="F1150" s="436"/>
      <c r="G1150" s="436"/>
      <c r="H1150" s="409"/>
      <c r="I1150" s="429"/>
      <c r="J1150" s="436"/>
      <c r="K1150" s="436"/>
      <c r="L1150" s="436"/>
      <c r="M1150" s="436"/>
      <c r="N1150" s="436"/>
      <c r="O1150" s="429"/>
      <c r="P1150" s="429"/>
      <c r="Q1150" s="429"/>
      <c r="R1150" s="436"/>
      <c r="S1150" s="429"/>
      <c r="T1150" s="436"/>
      <c r="U1150" s="436"/>
      <c r="V1150" s="436"/>
      <c r="W1150" s="436"/>
      <c r="X1150" s="436"/>
      <c r="Y1150" s="429"/>
      <c r="Z1150" s="429"/>
      <c r="AA1150" s="436"/>
      <c r="AB1150" s="436"/>
      <c r="AC1150" s="436"/>
      <c r="AD1150" s="436"/>
      <c r="AE1150" s="409"/>
      <c r="AF1150" s="421"/>
      <c r="AG1150" s="439"/>
      <c r="AH1150" s="436"/>
      <c r="AI1150" s="429"/>
      <c r="AJ1150" s="436"/>
      <c r="AK1150" s="436"/>
      <c r="AL1150" s="436"/>
      <c r="AM1150" s="436"/>
      <c r="AN1150" s="429"/>
      <c r="AO1150" s="429"/>
      <c r="AP1150" s="436"/>
      <c r="AQ1150" s="436"/>
      <c r="AR1150" s="436"/>
      <c r="AS1150" s="436"/>
      <c r="AT1150" s="436"/>
      <c r="AU1150" s="429"/>
      <c r="AV1150" s="429"/>
      <c r="AW1150" s="429"/>
      <c r="AX1150" s="436"/>
      <c r="AY1150" s="429"/>
      <c r="AZ1150" s="436"/>
      <c r="BA1150" s="436"/>
      <c r="BB1150" s="436"/>
      <c r="BC1150" s="436"/>
      <c r="BD1150" s="436"/>
      <c r="BE1150" s="439"/>
      <c r="BF1150" s="429"/>
      <c r="BG1150" s="436"/>
      <c r="BH1150" s="436"/>
      <c r="BI1150" s="436"/>
      <c r="BJ1150" s="436"/>
      <c r="BK1150" s="429"/>
      <c r="BL1150" s="421"/>
      <c r="BM1150" s="1"/>
      <c r="CV1150">
        <v>22</v>
      </c>
    </row>
    <row r="1151" spans="1:100">
      <c r="A1151" s="439"/>
      <c r="B1151" s="429"/>
      <c r="C1151" s="429"/>
      <c r="D1151" s="429"/>
      <c r="E1151" s="429"/>
      <c r="F1151" s="429"/>
      <c r="G1151" s="429"/>
      <c r="H1151" s="429"/>
      <c r="I1151" s="429"/>
      <c r="J1151" s="429"/>
      <c r="K1151" s="429"/>
      <c r="L1151" s="429"/>
      <c r="M1151" s="429"/>
      <c r="N1151" s="429"/>
      <c r="O1151" s="429"/>
      <c r="P1151" s="429"/>
      <c r="Q1151" s="429"/>
      <c r="R1151" s="429"/>
      <c r="S1151" s="429"/>
      <c r="T1151" s="429"/>
      <c r="U1151" s="429"/>
      <c r="V1151" s="429"/>
      <c r="W1151" s="429"/>
      <c r="X1151" s="429"/>
      <c r="Y1151" s="429"/>
      <c r="Z1151" s="436"/>
      <c r="AA1151" s="429"/>
      <c r="AB1151" s="429"/>
      <c r="AC1151" s="429"/>
      <c r="AD1151" s="429"/>
      <c r="AE1151" s="429"/>
      <c r="AF1151" s="421"/>
      <c r="AG1151" s="439"/>
      <c r="AH1151" s="429"/>
      <c r="AI1151" s="429"/>
      <c r="AJ1151" s="429"/>
      <c r="AK1151" s="429"/>
      <c r="AL1151" s="429"/>
      <c r="AM1151" s="429"/>
      <c r="AN1151" s="429"/>
      <c r="AO1151" s="429"/>
      <c r="AP1151" s="429"/>
      <c r="AQ1151" s="429"/>
      <c r="AR1151" s="429"/>
      <c r="AS1151" s="429"/>
      <c r="AT1151" s="429"/>
      <c r="AU1151" s="429"/>
      <c r="AV1151" s="429"/>
      <c r="AW1151" s="429"/>
      <c r="AX1151" s="429"/>
      <c r="AY1151" s="429"/>
      <c r="AZ1151" s="429"/>
      <c r="BA1151" s="429"/>
      <c r="BB1151" s="429"/>
      <c r="BC1151" s="429"/>
      <c r="BD1151" s="429"/>
      <c r="BE1151" s="429"/>
      <c r="BF1151" s="436"/>
      <c r="BG1151" s="429"/>
      <c r="BH1151" s="429"/>
      <c r="BI1151" s="429"/>
      <c r="BJ1151" s="429"/>
      <c r="BK1151" s="429"/>
      <c r="BL1151" s="421"/>
      <c r="BM1151" s="1"/>
      <c r="CV1151">
        <v>22</v>
      </c>
    </row>
    <row r="1152" spans="1:100">
      <c r="A1152" s="588"/>
      <c r="B1152" s="588"/>
      <c r="C1152" s="588"/>
      <c r="D1152" s="588"/>
      <c r="E1152" s="588"/>
      <c r="F1152" s="588"/>
      <c r="G1152" s="588"/>
      <c r="H1152" s="588"/>
      <c r="I1152" s="588"/>
      <c r="J1152" s="588"/>
      <c r="K1152" s="588"/>
      <c r="L1152" s="588"/>
      <c r="M1152" s="588"/>
      <c r="N1152" s="588"/>
      <c r="O1152" s="588"/>
      <c r="P1152" s="588"/>
      <c r="Q1152" s="588"/>
      <c r="R1152" s="588"/>
      <c r="S1152" s="588"/>
      <c r="T1152" s="588"/>
      <c r="U1152" s="588"/>
      <c r="V1152" s="588"/>
      <c r="W1152" s="588"/>
      <c r="X1152" s="588"/>
      <c r="Y1152" s="588"/>
      <c r="Z1152" s="588"/>
      <c r="AA1152" s="588"/>
      <c r="AB1152" s="588"/>
      <c r="AC1152" s="588"/>
      <c r="AD1152" s="588"/>
      <c r="AE1152" s="588"/>
      <c r="AF1152" s="588"/>
      <c r="AG1152" s="588"/>
      <c r="AH1152" s="588"/>
      <c r="AI1152" s="588"/>
      <c r="AJ1152" s="588"/>
      <c r="AK1152" s="588"/>
      <c r="AL1152" s="588"/>
      <c r="AM1152" s="588"/>
      <c r="AN1152" s="588"/>
      <c r="AO1152" s="588"/>
      <c r="AP1152" s="588"/>
      <c r="AQ1152" s="588"/>
      <c r="AR1152" s="588"/>
      <c r="AS1152" s="588"/>
      <c r="AT1152" s="588"/>
      <c r="AU1152" s="588"/>
      <c r="AV1152" s="588"/>
      <c r="AW1152" s="588"/>
      <c r="AX1152" s="588"/>
      <c r="AY1152" s="588"/>
      <c r="AZ1152" s="588"/>
      <c r="BA1152" s="588"/>
      <c r="BB1152" s="588"/>
      <c r="BC1152" s="588"/>
      <c r="BD1152" s="588"/>
      <c r="BE1152" s="588"/>
      <c r="BF1152" s="588"/>
      <c r="BG1152" s="588"/>
      <c r="BH1152" s="588"/>
      <c r="BI1152" s="588"/>
      <c r="BJ1152" s="588"/>
      <c r="BK1152" s="588"/>
      <c r="BL1152" s="588"/>
      <c r="BM1152" s="176"/>
      <c r="BN1152" s="334"/>
      <c r="BO1152" s="335"/>
      <c r="BP1152" s="335"/>
    </row>
    <row r="1153" spans="1:69">
      <c r="A1153" s="600"/>
      <c r="B1153" s="600"/>
      <c r="C1153" s="600"/>
      <c r="D1153" s="600"/>
      <c r="E1153" s="600"/>
      <c r="F1153" s="600"/>
      <c r="G1153" s="600"/>
      <c r="H1153" s="600"/>
      <c r="I1153" s="600"/>
      <c r="J1153" s="600"/>
      <c r="K1153" s="600"/>
      <c r="L1153" s="600"/>
      <c r="M1153" s="600"/>
      <c r="N1153" s="600"/>
      <c r="O1153" s="600"/>
      <c r="P1153" s="600"/>
      <c r="Q1153" s="600"/>
      <c r="R1153" s="600"/>
      <c r="S1153" s="600"/>
      <c r="T1153" s="600"/>
      <c r="U1153" s="600"/>
      <c r="V1153" s="600"/>
      <c r="W1153" s="600"/>
      <c r="X1153" s="600"/>
      <c r="Y1153" s="600"/>
      <c r="Z1153" s="600"/>
      <c r="AA1153" s="600"/>
      <c r="AB1153" s="600"/>
      <c r="AC1153" s="600"/>
      <c r="AD1153" s="600"/>
      <c r="AE1153" s="600"/>
      <c r="AF1153" s="583"/>
      <c r="AG1153" s="600"/>
      <c r="AH1153" s="600"/>
      <c r="AI1153" s="600"/>
      <c r="AJ1153" s="600"/>
      <c r="AK1153" s="600"/>
      <c r="AL1153" s="600"/>
      <c r="AM1153" s="600"/>
      <c r="AN1153" s="600"/>
      <c r="AO1153" s="600"/>
      <c r="AP1153" s="600"/>
      <c r="AQ1153" s="600"/>
      <c r="AR1153" s="600"/>
      <c r="AS1153" s="600"/>
      <c r="AT1153" s="600"/>
      <c r="AU1153" s="600"/>
      <c r="AV1153" s="600"/>
      <c r="AW1153" s="600"/>
      <c r="AX1153" s="600"/>
      <c r="AY1153" s="600"/>
      <c r="AZ1153" s="600"/>
      <c r="BA1153" s="600"/>
      <c r="BB1153" s="600"/>
      <c r="BC1153" s="600"/>
      <c r="BD1153" s="600"/>
      <c r="BE1153" s="600"/>
      <c r="BF1153" s="600"/>
      <c r="BG1153" s="600"/>
      <c r="BH1153" s="600"/>
      <c r="BI1153" s="600"/>
      <c r="BJ1153" s="600"/>
      <c r="BK1153" s="557"/>
      <c r="BL1153" s="587"/>
      <c r="BM1153" s="301">
        <v>37</v>
      </c>
      <c r="BN1153" s="180"/>
      <c r="BO1153" s="181"/>
      <c r="BP1153" s="181"/>
      <c r="BQ1153" s="178"/>
    </row>
    <row r="1154" spans="1:69">
      <c r="A1154" s="600"/>
      <c r="B1154" s="600"/>
      <c r="C1154" s="600"/>
      <c r="D1154" s="557"/>
      <c r="E1154" s="557"/>
      <c r="F1154" s="600"/>
      <c r="G1154" s="600"/>
      <c r="H1154" s="557"/>
      <c r="I1154" s="557"/>
      <c r="J1154" s="600"/>
      <c r="K1154" s="600"/>
      <c r="L1154" s="557"/>
      <c r="M1154" s="557"/>
      <c r="N1154" s="600"/>
      <c r="O1154" s="600"/>
      <c r="P1154" s="557"/>
      <c r="Q1154" s="557"/>
      <c r="R1154" s="600"/>
      <c r="S1154" s="600"/>
      <c r="T1154" s="557"/>
      <c r="U1154" s="557"/>
      <c r="V1154" s="600"/>
      <c r="W1154" s="600"/>
      <c r="X1154" s="557"/>
      <c r="Y1154" s="557"/>
      <c r="Z1154" s="600"/>
      <c r="AA1154" s="600"/>
      <c r="AB1154" s="557"/>
      <c r="AC1154" s="557"/>
      <c r="AD1154" s="600"/>
      <c r="AE1154" s="600"/>
      <c r="AF1154" s="583"/>
      <c r="AG1154" s="600"/>
      <c r="AH1154" s="600"/>
      <c r="AI1154" s="557"/>
      <c r="AJ1154" s="557"/>
      <c r="AK1154" s="557"/>
      <c r="AL1154" s="600"/>
      <c r="AM1154" s="557"/>
      <c r="AN1154" s="557"/>
      <c r="AO1154" s="557"/>
      <c r="AP1154" s="600"/>
      <c r="AQ1154" s="557"/>
      <c r="AR1154" s="557"/>
      <c r="AS1154" s="557"/>
      <c r="AT1154" s="600"/>
      <c r="AU1154" s="557"/>
      <c r="AV1154" s="557"/>
      <c r="AW1154" s="557"/>
      <c r="AX1154" s="600"/>
      <c r="AY1154" s="557"/>
      <c r="AZ1154" s="557"/>
      <c r="BA1154" s="557"/>
      <c r="BB1154" s="600"/>
      <c r="BC1154" s="557"/>
      <c r="BD1154" s="557"/>
      <c r="BE1154" s="557"/>
      <c r="BF1154" s="600"/>
      <c r="BG1154" s="557"/>
      <c r="BH1154" s="557"/>
      <c r="BI1154" s="557"/>
      <c r="BJ1154" s="600"/>
      <c r="BK1154" s="600"/>
      <c r="BL1154" s="587"/>
      <c r="BM1154" s="297"/>
      <c r="BN1154" s="181"/>
      <c r="BO1154" s="181"/>
      <c r="BP1154" s="180"/>
      <c r="BQ1154" s="180"/>
    </row>
    <row r="1155" spans="1:69">
      <c r="A1155" s="600"/>
      <c r="B1155" s="557"/>
      <c r="C1155" s="555"/>
      <c r="D1155" s="557"/>
      <c r="E1155" s="557"/>
      <c r="F1155" s="557"/>
      <c r="G1155" s="555"/>
      <c r="H1155" s="557"/>
      <c r="I1155" s="557"/>
      <c r="J1155" s="557"/>
      <c r="K1155" s="555"/>
      <c r="L1155" s="557"/>
      <c r="M1155" s="557"/>
      <c r="N1155" s="557"/>
      <c r="O1155" s="555"/>
      <c r="P1155" s="557"/>
      <c r="Q1155" s="557"/>
      <c r="R1155" s="557"/>
      <c r="S1155" s="555"/>
      <c r="T1155" s="557"/>
      <c r="U1155" s="557"/>
      <c r="V1155" s="557"/>
      <c r="W1155" s="555"/>
      <c r="X1155" s="557"/>
      <c r="Y1155" s="557"/>
      <c r="Z1155" s="557"/>
      <c r="AA1155" s="555"/>
      <c r="AB1155" s="557"/>
      <c r="AC1155" s="557"/>
      <c r="AD1155" s="557"/>
      <c r="AE1155" s="555"/>
      <c r="AF1155" s="583"/>
      <c r="AG1155" s="600"/>
      <c r="AH1155" s="557"/>
      <c r="AI1155" s="555"/>
      <c r="AJ1155" s="557"/>
      <c r="AK1155" s="557"/>
      <c r="AL1155" s="557"/>
      <c r="AM1155" s="555"/>
      <c r="AN1155" s="557"/>
      <c r="AO1155" s="557"/>
      <c r="AP1155" s="557"/>
      <c r="AQ1155" s="555"/>
      <c r="AR1155" s="557"/>
      <c r="AS1155" s="557"/>
      <c r="AT1155" s="557"/>
      <c r="AU1155" s="555"/>
      <c r="AV1155" s="557"/>
      <c r="AW1155" s="557"/>
      <c r="AX1155" s="557"/>
      <c r="AY1155" s="555"/>
      <c r="AZ1155" s="557"/>
      <c r="BA1155" s="557"/>
      <c r="BB1155" s="557"/>
      <c r="BC1155" s="555"/>
      <c r="BD1155" s="557"/>
      <c r="BE1155" s="557"/>
      <c r="BF1155" s="557"/>
      <c r="BG1155" s="555"/>
      <c r="BH1155" s="557"/>
      <c r="BI1155" s="557"/>
      <c r="BJ1155" s="557"/>
      <c r="BK1155" s="555"/>
      <c r="BL1155" s="587"/>
      <c r="BM1155" s="1"/>
      <c r="BN1155" s="181"/>
      <c r="BO1155" s="180"/>
      <c r="BP1155" s="180"/>
      <c r="BQ1155" s="180"/>
    </row>
    <row r="1156" spans="1:69">
      <c r="A1156" s="600"/>
      <c r="B1156" s="557"/>
      <c r="C1156" s="557"/>
      <c r="D1156" s="555"/>
      <c r="E1156" s="555"/>
      <c r="F1156" s="555"/>
      <c r="G1156" s="555"/>
      <c r="H1156" s="555"/>
      <c r="I1156" s="555"/>
      <c r="J1156" s="555"/>
      <c r="K1156" s="555"/>
      <c r="L1156" s="555"/>
      <c r="M1156" s="555"/>
      <c r="N1156" s="555"/>
      <c r="O1156" s="555"/>
      <c r="P1156" s="555"/>
      <c r="Q1156" s="555"/>
      <c r="R1156" s="555"/>
      <c r="S1156" s="555"/>
      <c r="T1156" s="555"/>
      <c r="U1156" s="555"/>
      <c r="V1156" s="555"/>
      <c r="W1156" s="555"/>
      <c r="X1156" s="555"/>
      <c r="Y1156" s="555"/>
      <c r="Z1156" s="555"/>
      <c r="AA1156" s="555"/>
      <c r="AB1156" s="555"/>
      <c r="AC1156" s="600"/>
      <c r="AD1156" s="557"/>
      <c r="AE1156" s="557"/>
      <c r="AF1156" s="583"/>
      <c r="AG1156" s="600"/>
      <c r="AH1156" s="557"/>
      <c r="AI1156" s="557"/>
      <c r="AJ1156" s="555"/>
      <c r="AK1156" s="555"/>
      <c r="AL1156" s="555"/>
      <c r="AM1156" s="555"/>
      <c r="AN1156" s="555"/>
      <c r="AO1156" s="555"/>
      <c r="AP1156" s="555"/>
      <c r="AQ1156" s="555"/>
      <c r="AR1156" s="555"/>
      <c r="AS1156" s="555"/>
      <c r="AT1156" s="555"/>
      <c r="AU1156" s="555"/>
      <c r="AV1156" s="555"/>
      <c r="AW1156" s="555"/>
      <c r="AX1156" s="555"/>
      <c r="AY1156" s="555"/>
      <c r="AZ1156" s="555"/>
      <c r="BA1156" s="555"/>
      <c r="BB1156" s="555"/>
      <c r="BC1156" s="555"/>
      <c r="BD1156" s="555"/>
      <c r="BE1156" s="555"/>
      <c r="BF1156" s="555"/>
      <c r="BG1156" s="555"/>
      <c r="BH1156" s="555"/>
      <c r="BI1156" s="557"/>
      <c r="BJ1156" s="555"/>
      <c r="BK1156" s="555"/>
      <c r="BL1156" s="587"/>
      <c r="BM1156" s="1"/>
      <c r="BN1156" s="181"/>
      <c r="BO1156" s="99"/>
      <c r="BP1156" s="102"/>
      <c r="BQ1156" s="180"/>
    </row>
    <row r="1157" spans="1:69">
      <c r="A1157" s="600"/>
      <c r="B1157" s="557"/>
      <c r="C1157" s="557"/>
      <c r="D1157" s="555"/>
      <c r="E1157" s="600"/>
      <c r="F1157" s="557"/>
      <c r="G1157" s="600"/>
      <c r="H1157" s="555"/>
      <c r="I1157" s="557"/>
      <c r="J1157" s="557"/>
      <c r="K1157" s="600"/>
      <c r="L1157" s="557"/>
      <c r="M1157" s="557"/>
      <c r="N1157" s="557"/>
      <c r="O1157" s="557"/>
      <c r="P1157" s="557"/>
      <c r="Q1157" s="557"/>
      <c r="R1157" s="557"/>
      <c r="S1157" s="557"/>
      <c r="T1157" s="557"/>
      <c r="U1157" s="557"/>
      <c r="V1157" s="600"/>
      <c r="W1157" s="557"/>
      <c r="X1157" s="557"/>
      <c r="Y1157" s="555"/>
      <c r="Z1157" s="557"/>
      <c r="AA1157" s="557"/>
      <c r="AB1157" s="557"/>
      <c r="AC1157" s="600"/>
      <c r="AD1157" s="557"/>
      <c r="AE1157" s="557"/>
      <c r="AF1157" s="583"/>
      <c r="AG1157" s="600"/>
      <c r="AH1157" s="557"/>
      <c r="AI1157" s="557"/>
      <c r="AJ1157" s="555"/>
      <c r="AK1157" s="600"/>
      <c r="AL1157" s="557"/>
      <c r="AM1157" s="557"/>
      <c r="AN1157" s="555"/>
      <c r="AO1157" s="557"/>
      <c r="AP1157" s="557"/>
      <c r="AQ1157" s="600"/>
      <c r="AR1157" s="555"/>
      <c r="AS1157" s="555"/>
      <c r="AT1157" s="555"/>
      <c r="AU1157" s="555"/>
      <c r="AV1157" s="555"/>
      <c r="AW1157" s="555"/>
      <c r="AX1157" s="555"/>
      <c r="AY1157" s="555"/>
      <c r="AZ1157" s="555"/>
      <c r="BA1157" s="555"/>
      <c r="BB1157" s="600"/>
      <c r="BC1157" s="557"/>
      <c r="BD1157" s="557"/>
      <c r="BE1157" s="587"/>
      <c r="BF1157" s="555"/>
      <c r="BG1157" s="555"/>
      <c r="BH1157" s="555"/>
      <c r="BI1157" s="557"/>
      <c r="BJ1157" s="555"/>
      <c r="BK1157" s="555"/>
      <c r="BL1157" s="587"/>
      <c r="BM1157" s="1"/>
      <c r="BN1157" s="181"/>
      <c r="BO1157" s="99"/>
      <c r="BP1157" s="98"/>
      <c r="BQ1157" s="178"/>
    </row>
    <row r="1158" spans="1:69">
      <c r="A1158" s="600"/>
      <c r="B1158" s="600"/>
      <c r="C1158" s="600"/>
      <c r="D1158" s="555"/>
      <c r="E1158" s="557"/>
      <c r="F1158" s="557"/>
      <c r="G1158" s="557"/>
      <c r="H1158" s="557"/>
      <c r="I1158" s="555"/>
      <c r="J1158" s="557"/>
      <c r="K1158" s="557"/>
      <c r="L1158" s="600"/>
      <c r="M1158" s="557"/>
      <c r="N1158" s="557"/>
      <c r="O1158" s="557"/>
      <c r="P1158" s="557"/>
      <c r="Q1158" s="557"/>
      <c r="R1158" s="557"/>
      <c r="S1158" s="557"/>
      <c r="T1158" s="557"/>
      <c r="U1158" s="600"/>
      <c r="V1158" s="557"/>
      <c r="W1158" s="557"/>
      <c r="X1158" s="555"/>
      <c r="Y1158" s="557"/>
      <c r="Z1158" s="557"/>
      <c r="AA1158" s="557"/>
      <c r="AB1158" s="555"/>
      <c r="AC1158" s="600"/>
      <c r="AD1158" s="600"/>
      <c r="AE1158" s="557"/>
      <c r="AF1158" s="583"/>
      <c r="AG1158" s="600"/>
      <c r="AH1158" s="600"/>
      <c r="AI1158" s="557"/>
      <c r="AJ1158" s="555"/>
      <c r="AK1158" s="557"/>
      <c r="AL1158" s="557"/>
      <c r="AM1158" s="557"/>
      <c r="AN1158" s="557"/>
      <c r="AO1158" s="555"/>
      <c r="AP1158" s="557"/>
      <c r="AQ1158" s="557"/>
      <c r="AR1158" s="600"/>
      <c r="AS1158" s="555"/>
      <c r="AT1158" s="555"/>
      <c r="AU1158" s="555"/>
      <c r="AV1158" s="555"/>
      <c r="AW1158" s="555"/>
      <c r="AX1158" s="555"/>
      <c r="AY1158" s="555"/>
      <c r="AZ1158" s="555"/>
      <c r="BA1158" s="600"/>
      <c r="BB1158" s="557"/>
      <c r="BC1158" s="557"/>
      <c r="BD1158" s="587"/>
      <c r="BE1158" s="555"/>
      <c r="BF1158" s="555"/>
      <c r="BG1158" s="555"/>
      <c r="BH1158" s="555"/>
      <c r="BI1158" s="557"/>
      <c r="BJ1158" s="600"/>
      <c r="BK1158" s="557"/>
      <c r="BL1158" s="587"/>
      <c r="BM1158" s="1">
        <v>2</v>
      </c>
      <c r="BN1158" s="181"/>
      <c r="BO1158" s="180"/>
      <c r="BP1158" s="178"/>
      <c r="BQ1158" s="178"/>
    </row>
    <row r="1159" spans="1:69">
      <c r="A1159" s="600"/>
      <c r="B1159" s="600"/>
      <c r="C1159" s="555"/>
      <c r="D1159" s="555"/>
      <c r="E1159" s="600"/>
      <c r="F1159" s="557"/>
      <c r="G1159" s="557"/>
      <c r="H1159" s="557"/>
      <c r="I1159" s="557"/>
      <c r="J1159" s="555"/>
      <c r="K1159" s="557"/>
      <c r="L1159" s="557"/>
      <c r="M1159" s="600"/>
      <c r="N1159" s="557"/>
      <c r="O1159" s="557"/>
      <c r="P1159" s="557"/>
      <c r="Q1159" s="557"/>
      <c r="R1159" s="557"/>
      <c r="S1159" s="557"/>
      <c r="T1159" s="600"/>
      <c r="U1159" s="557"/>
      <c r="V1159" s="557"/>
      <c r="W1159" s="555"/>
      <c r="X1159" s="557"/>
      <c r="Y1159" s="557"/>
      <c r="Z1159" s="557"/>
      <c r="AA1159" s="557"/>
      <c r="AB1159" s="557"/>
      <c r="AC1159" s="600"/>
      <c r="AD1159" s="557"/>
      <c r="AE1159" s="555"/>
      <c r="AF1159" s="583"/>
      <c r="AG1159" s="600"/>
      <c r="AH1159" s="557"/>
      <c r="AI1159" s="555"/>
      <c r="AJ1159" s="555"/>
      <c r="AK1159" s="557"/>
      <c r="AL1159" s="557"/>
      <c r="AM1159" s="555"/>
      <c r="AN1159" s="555"/>
      <c r="AO1159" s="555"/>
      <c r="AP1159" s="587"/>
      <c r="AQ1159" s="557"/>
      <c r="AR1159" s="557"/>
      <c r="AS1159" s="600"/>
      <c r="AT1159" s="555"/>
      <c r="AU1159" s="555"/>
      <c r="AV1159" s="555"/>
      <c r="AW1159" s="555"/>
      <c r="AX1159" s="555"/>
      <c r="AY1159" s="555"/>
      <c r="AZ1159" s="600"/>
      <c r="BA1159" s="557"/>
      <c r="BB1159" s="557"/>
      <c r="BC1159" s="587"/>
      <c r="BD1159" s="555"/>
      <c r="BE1159" s="555"/>
      <c r="BF1159" s="555"/>
      <c r="BG1159" s="555"/>
      <c r="BH1159" s="555"/>
      <c r="BI1159" s="557"/>
      <c r="BJ1159" s="557"/>
      <c r="BK1159" s="555"/>
      <c r="BL1159" s="587"/>
      <c r="BM1159" s="1"/>
      <c r="BN1159" s="181"/>
      <c r="BO1159" s="180"/>
      <c r="BP1159" s="180"/>
      <c r="BQ1159" s="178"/>
    </row>
    <row r="1160" spans="1:69">
      <c r="A1160" s="600"/>
      <c r="B1160" s="557"/>
      <c r="C1160" s="557"/>
      <c r="D1160" s="555"/>
      <c r="E1160" s="557"/>
      <c r="F1160" s="557"/>
      <c r="G1160" s="557"/>
      <c r="H1160" s="557"/>
      <c r="I1160" s="557"/>
      <c r="J1160" s="557"/>
      <c r="K1160" s="555"/>
      <c r="L1160" s="557"/>
      <c r="M1160" s="557"/>
      <c r="N1160" s="600"/>
      <c r="O1160" s="557"/>
      <c r="P1160" s="557"/>
      <c r="Q1160" s="557"/>
      <c r="R1160" s="557"/>
      <c r="S1160" s="600"/>
      <c r="T1160" s="557"/>
      <c r="U1160" s="557"/>
      <c r="V1160" s="555"/>
      <c r="W1160" s="557"/>
      <c r="X1160" s="557"/>
      <c r="Y1160" s="557"/>
      <c r="Z1160" s="557"/>
      <c r="AA1160" s="557"/>
      <c r="AB1160" s="557"/>
      <c r="AC1160" s="600"/>
      <c r="AD1160" s="557"/>
      <c r="AE1160" s="557"/>
      <c r="AF1160" s="583"/>
      <c r="AG1160" s="600"/>
      <c r="AH1160" s="557"/>
      <c r="AI1160" s="557"/>
      <c r="AJ1160" s="555"/>
      <c r="AK1160" s="557"/>
      <c r="AL1160" s="555"/>
      <c r="AM1160" s="555"/>
      <c r="AN1160" s="555"/>
      <c r="AO1160" s="557"/>
      <c r="AP1160" s="555"/>
      <c r="AQ1160" s="587"/>
      <c r="AR1160" s="557"/>
      <c r="AS1160" s="557"/>
      <c r="AT1160" s="600"/>
      <c r="AU1160" s="555"/>
      <c r="AV1160" s="555"/>
      <c r="AW1160" s="555"/>
      <c r="AX1160" s="555"/>
      <c r="AY1160" s="600"/>
      <c r="AZ1160" s="557"/>
      <c r="BA1160" s="557"/>
      <c r="BB1160" s="587"/>
      <c r="BC1160" s="555"/>
      <c r="BD1160" s="555"/>
      <c r="BE1160" s="555"/>
      <c r="BF1160" s="555"/>
      <c r="BG1160" s="555"/>
      <c r="BH1160" s="555"/>
      <c r="BI1160" s="557"/>
      <c r="BJ1160" s="555"/>
      <c r="BK1160" s="555"/>
      <c r="BL1160" s="587"/>
      <c r="BM1160" s="1"/>
      <c r="BN1160" s="181"/>
      <c r="BO1160" s="180"/>
      <c r="BP1160" s="180"/>
      <c r="BQ1160" s="178"/>
    </row>
    <row r="1161" spans="1:69">
      <c r="A1161" s="600"/>
      <c r="B1161" s="557"/>
      <c r="C1161" s="557"/>
      <c r="D1161" s="555"/>
      <c r="E1161" s="557"/>
      <c r="F1161" s="557"/>
      <c r="G1161" s="557"/>
      <c r="H1161" s="557"/>
      <c r="I1161" s="557"/>
      <c r="J1161" s="557"/>
      <c r="K1161" s="557"/>
      <c r="L1161" s="555"/>
      <c r="M1161" s="557"/>
      <c r="N1161" s="557"/>
      <c r="O1161" s="600"/>
      <c r="P1161" s="557"/>
      <c r="Q1161" s="557"/>
      <c r="R1161" s="600"/>
      <c r="S1161" s="557"/>
      <c r="T1161" s="557"/>
      <c r="U1161" s="555"/>
      <c r="V1161" s="557"/>
      <c r="W1161" s="557"/>
      <c r="X1161" s="557"/>
      <c r="Y1161" s="557"/>
      <c r="Z1161" s="557"/>
      <c r="AA1161" s="557"/>
      <c r="AB1161" s="557"/>
      <c r="AC1161" s="600"/>
      <c r="AD1161" s="557"/>
      <c r="AE1161" s="557"/>
      <c r="AF1161" s="583"/>
      <c r="AG1161" s="600"/>
      <c r="AH1161" s="557"/>
      <c r="AI1161" s="557"/>
      <c r="AJ1161" s="555"/>
      <c r="AK1161" s="557"/>
      <c r="AL1161" s="555"/>
      <c r="AM1161" s="555"/>
      <c r="AN1161" s="557"/>
      <c r="AO1161" s="555"/>
      <c r="AP1161" s="583"/>
      <c r="AQ1161" s="555"/>
      <c r="AR1161" s="587"/>
      <c r="AS1161" s="557"/>
      <c r="AT1161" s="557"/>
      <c r="AU1161" s="600"/>
      <c r="AV1161" s="555"/>
      <c r="AW1161" s="555"/>
      <c r="AX1161" s="600"/>
      <c r="AY1161" s="557"/>
      <c r="AZ1161" s="557"/>
      <c r="BA1161" s="587"/>
      <c r="BB1161" s="555"/>
      <c r="BC1161" s="555"/>
      <c r="BD1161" s="555"/>
      <c r="BE1161" s="555"/>
      <c r="BF1161" s="555"/>
      <c r="BG1161" s="555"/>
      <c r="BH1161" s="555"/>
      <c r="BI1161" s="557"/>
      <c r="BJ1161" s="555"/>
      <c r="BK1161" s="555"/>
      <c r="BL1161" s="587"/>
      <c r="BM1161" s="1"/>
      <c r="BN1161" s="181"/>
      <c r="BO1161" s="180"/>
      <c r="BP1161" s="180"/>
      <c r="BQ1161" s="178"/>
    </row>
    <row r="1162" spans="1:69">
      <c r="A1162" s="600"/>
      <c r="B1162" s="600"/>
      <c r="C1162" s="600"/>
      <c r="D1162" s="555"/>
      <c r="E1162" s="557"/>
      <c r="F1162" s="557"/>
      <c r="G1162" s="555"/>
      <c r="H1162" s="557"/>
      <c r="I1162" s="557"/>
      <c r="J1162" s="557"/>
      <c r="K1162" s="557"/>
      <c r="L1162" s="557"/>
      <c r="M1162" s="555"/>
      <c r="N1162" s="557"/>
      <c r="O1162" s="557"/>
      <c r="P1162" s="600"/>
      <c r="Q1162" s="600"/>
      <c r="R1162" s="557"/>
      <c r="S1162" s="557"/>
      <c r="T1162" s="555"/>
      <c r="U1162" s="557"/>
      <c r="V1162" s="557"/>
      <c r="W1162" s="557"/>
      <c r="X1162" s="557"/>
      <c r="Y1162" s="557"/>
      <c r="Z1162" s="555"/>
      <c r="AA1162" s="557"/>
      <c r="AB1162" s="557"/>
      <c r="AC1162" s="600"/>
      <c r="AD1162" s="600"/>
      <c r="AE1162" s="557"/>
      <c r="AF1162" s="583"/>
      <c r="AG1162" s="600"/>
      <c r="AH1162" s="600"/>
      <c r="AI1162" s="557"/>
      <c r="AJ1162" s="555"/>
      <c r="AK1162" s="555"/>
      <c r="AL1162" s="555"/>
      <c r="AM1162" s="555"/>
      <c r="AN1162" s="555"/>
      <c r="AO1162" s="322"/>
      <c r="AP1162" s="322"/>
      <c r="AQ1162" s="583"/>
      <c r="AR1162" s="555"/>
      <c r="AS1162" s="587"/>
      <c r="AT1162" s="557"/>
      <c r="AU1162" s="557"/>
      <c r="AV1162" s="600"/>
      <c r="AW1162" s="600"/>
      <c r="AX1162" s="557"/>
      <c r="AY1162" s="557"/>
      <c r="AZ1162" s="587"/>
      <c r="BA1162" s="555"/>
      <c r="BB1162" s="555"/>
      <c r="BC1162" s="555"/>
      <c r="BD1162" s="555"/>
      <c r="BE1162" s="555"/>
      <c r="BF1162" s="555"/>
      <c r="BG1162" s="583"/>
      <c r="BH1162" s="555"/>
      <c r="BI1162" s="557"/>
      <c r="BJ1162" s="600"/>
      <c r="BK1162" s="557"/>
      <c r="BL1162" s="587"/>
      <c r="BM1162" s="1"/>
      <c r="BN1162" s="181"/>
      <c r="BO1162" s="180"/>
      <c r="BP1162" s="180"/>
      <c r="BQ1162" s="178"/>
    </row>
    <row r="1163" spans="1:69">
      <c r="A1163" s="600"/>
      <c r="B1163" s="600"/>
      <c r="C1163" s="555"/>
      <c r="D1163" s="555"/>
      <c r="E1163" s="557"/>
      <c r="F1163" s="557"/>
      <c r="G1163" s="555"/>
      <c r="H1163" s="555"/>
      <c r="I1163" s="557"/>
      <c r="J1163" s="557"/>
      <c r="K1163" s="557"/>
      <c r="L1163" s="557"/>
      <c r="M1163" s="557"/>
      <c r="N1163" s="555"/>
      <c r="O1163" s="557"/>
      <c r="P1163" s="557"/>
      <c r="Q1163" s="557"/>
      <c r="R1163" s="557"/>
      <c r="S1163" s="555"/>
      <c r="T1163" s="557"/>
      <c r="U1163" s="557"/>
      <c r="V1163" s="557"/>
      <c r="W1163" s="557"/>
      <c r="X1163" s="557"/>
      <c r="Y1163" s="555"/>
      <c r="Z1163" s="600"/>
      <c r="AA1163" s="557"/>
      <c r="AB1163" s="557"/>
      <c r="AC1163" s="600"/>
      <c r="AD1163" s="557"/>
      <c r="AE1163" s="555"/>
      <c r="AF1163" s="583"/>
      <c r="AG1163" s="600"/>
      <c r="AH1163" s="557"/>
      <c r="AI1163" s="555"/>
      <c r="AJ1163" s="555"/>
      <c r="AK1163" s="555"/>
      <c r="AL1163" s="555"/>
      <c r="AM1163" s="555"/>
      <c r="AN1163" s="555"/>
      <c r="AO1163" s="583"/>
      <c r="AP1163" s="322"/>
      <c r="AQ1163" s="583"/>
      <c r="AR1163" s="555"/>
      <c r="AS1163" s="555"/>
      <c r="AT1163" s="587"/>
      <c r="AU1163" s="557"/>
      <c r="AV1163" s="557"/>
      <c r="AW1163" s="557"/>
      <c r="AX1163" s="557"/>
      <c r="AY1163" s="555"/>
      <c r="AZ1163" s="555"/>
      <c r="BA1163" s="555"/>
      <c r="BB1163" s="555"/>
      <c r="BC1163" s="555"/>
      <c r="BD1163" s="555"/>
      <c r="BE1163" s="555"/>
      <c r="BF1163" s="583"/>
      <c r="BG1163" s="583"/>
      <c r="BH1163" s="555"/>
      <c r="BI1163" s="557"/>
      <c r="BJ1163" s="557"/>
      <c r="BK1163" s="555"/>
      <c r="BL1163" s="587"/>
      <c r="BM1163" s="1"/>
      <c r="BN1163" s="181"/>
      <c r="BO1163" s="180"/>
      <c r="BP1163" s="180"/>
      <c r="BQ1163" s="178"/>
    </row>
    <row r="1164" spans="1:69">
      <c r="A1164" s="600"/>
      <c r="B1164" s="557"/>
      <c r="C1164" s="557"/>
      <c r="D1164" s="555"/>
      <c r="E1164" s="557"/>
      <c r="F1164" s="557"/>
      <c r="G1164" s="555"/>
      <c r="H1164" s="600"/>
      <c r="I1164" s="555"/>
      <c r="J1164" s="557"/>
      <c r="K1164" s="557"/>
      <c r="L1164" s="557"/>
      <c r="M1164" s="557"/>
      <c r="N1164" s="600"/>
      <c r="O1164" s="557"/>
      <c r="P1164" s="555"/>
      <c r="Q1164" s="600"/>
      <c r="R1164" s="557"/>
      <c r="S1164" s="555"/>
      <c r="T1164" s="557"/>
      <c r="U1164" s="557"/>
      <c r="V1164" s="557"/>
      <c r="W1164" s="557"/>
      <c r="X1164" s="555"/>
      <c r="Y1164" s="557"/>
      <c r="Z1164" s="600"/>
      <c r="AA1164" s="557"/>
      <c r="AB1164" s="557"/>
      <c r="AC1164" s="600"/>
      <c r="AD1164" s="557"/>
      <c r="AE1164" s="557"/>
      <c r="AF1164" s="583"/>
      <c r="AG1164" s="600"/>
      <c r="AH1164" s="557"/>
      <c r="AI1164" s="557"/>
      <c r="AJ1164" s="555"/>
      <c r="AK1164" s="555"/>
      <c r="AL1164" s="555"/>
      <c r="AM1164" s="555"/>
      <c r="AN1164" s="555"/>
      <c r="AO1164" s="557"/>
      <c r="AP1164" s="583"/>
      <c r="AQ1164" s="557"/>
      <c r="AR1164" s="555"/>
      <c r="AS1164" s="555"/>
      <c r="AT1164" s="555"/>
      <c r="AU1164" s="587"/>
      <c r="AV1164" s="555"/>
      <c r="AW1164" s="583"/>
      <c r="AX1164" s="555"/>
      <c r="AY1164" s="583"/>
      <c r="AZ1164" s="555"/>
      <c r="BA1164" s="555"/>
      <c r="BB1164" s="555"/>
      <c r="BC1164" s="555"/>
      <c r="BD1164" s="555"/>
      <c r="BE1164" s="555"/>
      <c r="BF1164" s="583"/>
      <c r="BG1164" s="583"/>
      <c r="BH1164" s="555"/>
      <c r="BI1164" s="557"/>
      <c r="BJ1164" s="555"/>
      <c r="BK1164" s="555"/>
      <c r="BL1164" s="587"/>
      <c r="BM1164" s="1"/>
      <c r="BN1164" s="181"/>
      <c r="BO1164" s="180"/>
      <c r="BP1164" s="180"/>
      <c r="BQ1164" s="178"/>
    </row>
    <row r="1165" spans="1:69">
      <c r="A1165" s="600"/>
      <c r="B1165" s="557"/>
      <c r="C1165" s="557"/>
      <c r="D1165" s="555"/>
      <c r="E1165" s="557"/>
      <c r="F1165" s="557"/>
      <c r="G1165" s="555"/>
      <c r="H1165" s="600"/>
      <c r="I1165" s="557"/>
      <c r="J1165" s="555"/>
      <c r="K1165" s="557"/>
      <c r="L1165" s="557"/>
      <c r="M1165" s="557"/>
      <c r="N1165" s="600"/>
      <c r="O1165" s="557"/>
      <c r="P1165" s="555"/>
      <c r="Q1165" s="600"/>
      <c r="R1165" s="557"/>
      <c r="S1165" s="555"/>
      <c r="T1165" s="557"/>
      <c r="U1165" s="557"/>
      <c r="V1165" s="557"/>
      <c r="W1165" s="555"/>
      <c r="X1165" s="600"/>
      <c r="Y1165" s="557"/>
      <c r="Z1165" s="600"/>
      <c r="AA1165" s="557"/>
      <c r="AB1165" s="557"/>
      <c r="AC1165" s="600"/>
      <c r="AD1165" s="557"/>
      <c r="AE1165" s="557"/>
      <c r="AF1165" s="583"/>
      <c r="AG1165" s="600"/>
      <c r="AH1165" s="557"/>
      <c r="AI1165" s="557"/>
      <c r="AJ1165" s="555"/>
      <c r="AK1165" s="555"/>
      <c r="AL1165" s="555"/>
      <c r="AM1165" s="555"/>
      <c r="AN1165" s="555"/>
      <c r="AO1165" s="555"/>
      <c r="AP1165" s="583"/>
      <c r="AQ1165" s="557"/>
      <c r="AR1165" s="555"/>
      <c r="AS1165" s="555"/>
      <c r="AT1165" s="555"/>
      <c r="AU1165" s="583"/>
      <c r="AV1165" s="557"/>
      <c r="AW1165" s="583"/>
      <c r="AX1165" s="555"/>
      <c r="AY1165" s="583"/>
      <c r="AZ1165" s="557"/>
      <c r="BA1165" s="555"/>
      <c r="BB1165" s="555"/>
      <c r="BC1165" s="583"/>
      <c r="BD1165" s="555"/>
      <c r="BE1165" s="555"/>
      <c r="BF1165" s="583"/>
      <c r="BG1165" s="555"/>
      <c r="BH1165" s="555"/>
      <c r="BI1165" s="557"/>
      <c r="BJ1165" s="555"/>
      <c r="BK1165" s="555"/>
      <c r="BL1165" s="587"/>
      <c r="BM1165" s="1"/>
      <c r="BN1165" s="181"/>
      <c r="BO1165" s="180"/>
      <c r="BP1165" s="180"/>
      <c r="BQ1165" s="179"/>
    </row>
    <row r="1166" spans="1:69">
      <c r="A1166" s="600"/>
      <c r="B1166" s="600"/>
      <c r="C1166" s="600"/>
      <c r="D1166" s="555"/>
      <c r="E1166" s="557"/>
      <c r="F1166" s="557"/>
      <c r="G1166" s="555"/>
      <c r="H1166" s="600"/>
      <c r="I1166" s="557"/>
      <c r="J1166" s="600"/>
      <c r="K1166" s="557"/>
      <c r="L1166" s="557"/>
      <c r="M1166" s="557"/>
      <c r="N1166" s="600"/>
      <c r="O1166" s="557"/>
      <c r="P1166" s="555"/>
      <c r="Q1166" s="600"/>
      <c r="R1166" s="557"/>
      <c r="S1166" s="555"/>
      <c r="T1166" s="557"/>
      <c r="U1166" s="557"/>
      <c r="V1166" s="557"/>
      <c r="W1166" s="555"/>
      <c r="X1166" s="600"/>
      <c r="Y1166" s="557"/>
      <c r="Z1166" s="600"/>
      <c r="AA1166" s="557"/>
      <c r="AB1166" s="557"/>
      <c r="AC1166" s="600"/>
      <c r="AD1166" s="600"/>
      <c r="AE1166" s="557"/>
      <c r="AF1166" s="583"/>
      <c r="AG1166" s="600"/>
      <c r="AH1166" s="600"/>
      <c r="AI1166" s="557"/>
      <c r="AJ1166" s="555"/>
      <c r="AK1166" s="555"/>
      <c r="AL1166" s="555"/>
      <c r="AM1166" s="555"/>
      <c r="AN1166" s="555"/>
      <c r="AO1166" s="555"/>
      <c r="AP1166" s="555"/>
      <c r="AQ1166" s="555"/>
      <c r="AR1166" s="555"/>
      <c r="AS1166" s="555"/>
      <c r="AT1166" s="555"/>
      <c r="AU1166" s="557"/>
      <c r="AV1166" s="583"/>
      <c r="AW1166" s="322"/>
      <c r="AX1166" s="583"/>
      <c r="AY1166" s="322"/>
      <c r="AZ1166" s="583"/>
      <c r="BA1166" s="583"/>
      <c r="BB1166" s="583"/>
      <c r="BC1166" s="555"/>
      <c r="BD1166" s="555"/>
      <c r="BE1166" s="555"/>
      <c r="BF1166" s="555"/>
      <c r="BG1166" s="555"/>
      <c r="BH1166" s="555"/>
      <c r="BI1166" s="557"/>
      <c r="BJ1166" s="600"/>
      <c r="BK1166" s="557"/>
      <c r="BL1166" s="587"/>
      <c r="BM1166" s="1"/>
      <c r="BN1166" s="181"/>
      <c r="BO1166" s="180"/>
      <c r="BP1166" s="178"/>
      <c r="BQ1166" s="179"/>
    </row>
    <row r="1167" spans="1:69">
      <c r="A1167" s="600"/>
      <c r="B1167" s="600"/>
      <c r="C1167" s="555"/>
      <c r="D1167" s="555"/>
      <c r="E1167" s="557"/>
      <c r="F1167" s="557"/>
      <c r="G1167" s="555"/>
      <c r="H1167" s="600"/>
      <c r="I1167" s="557"/>
      <c r="J1167" s="600"/>
      <c r="K1167" s="557"/>
      <c r="L1167" s="557"/>
      <c r="M1167" s="557"/>
      <c r="N1167" s="600"/>
      <c r="O1167" s="557"/>
      <c r="P1167" s="555"/>
      <c r="Q1167" s="600"/>
      <c r="R1167" s="557"/>
      <c r="S1167" s="555"/>
      <c r="T1167" s="557"/>
      <c r="U1167" s="557"/>
      <c r="V1167" s="557"/>
      <c r="W1167" s="555"/>
      <c r="X1167" s="600"/>
      <c r="Y1167" s="557"/>
      <c r="Z1167" s="600"/>
      <c r="AA1167" s="557"/>
      <c r="AB1167" s="557"/>
      <c r="AC1167" s="600"/>
      <c r="AD1167" s="557"/>
      <c r="AE1167" s="555"/>
      <c r="AF1167" s="583"/>
      <c r="AG1167" s="600"/>
      <c r="AH1167" s="557"/>
      <c r="AI1167" s="555"/>
      <c r="AJ1167" s="555"/>
      <c r="AK1167" s="555"/>
      <c r="AL1167" s="555"/>
      <c r="AM1167" s="555"/>
      <c r="AN1167" s="555"/>
      <c r="AO1167" s="555"/>
      <c r="AP1167" s="555"/>
      <c r="AQ1167" s="555"/>
      <c r="AR1167" s="555"/>
      <c r="AS1167" s="555"/>
      <c r="AT1167" s="583"/>
      <c r="AU1167" s="583"/>
      <c r="AV1167" s="322"/>
      <c r="AW1167" s="322"/>
      <c r="AX1167" s="322"/>
      <c r="AY1167" s="322"/>
      <c r="AZ1167" s="322"/>
      <c r="BA1167" s="583"/>
      <c r="BB1167" s="557"/>
      <c r="BC1167" s="555"/>
      <c r="BD1167" s="555"/>
      <c r="BE1167" s="555"/>
      <c r="BF1167" s="555"/>
      <c r="BG1167" s="555"/>
      <c r="BH1167" s="555"/>
      <c r="BI1167" s="557"/>
      <c r="BJ1167" s="557"/>
      <c r="BK1167" s="555"/>
      <c r="BL1167" s="587"/>
      <c r="BM1167" s="1"/>
      <c r="BN1167" s="181"/>
      <c r="BO1167" s="180"/>
      <c r="BP1167" s="178"/>
      <c r="BQ1167" s="179"/>
    </row>
    <row r="1168" spans="1:69">
      <c r="A1168" s="600"/>
      <c r="B1168" s="557"/>
      <c r="C1168" s="557"/>
      <c r="D1168" s="555"/>
      <c r="E1168" s="557"/>
      <c r="F1168" s="557"/>
      <c r="G1168" s="555"/>
      <c r="H1168" s="600"/>
      <c r="I1168" s="557"/>
      <c r="J1168" s="600"/>
      <c r="K1168" s="557"/>
      <c r="L1168" s="557"/>
      <c r="M1168" s="557"/>
      <c r="N1168" s="600"/>
      <c r="O1168" s="557"/>
      <c r="P1168" s="555"/>
      <c r="Q1168" s="600"/>
      <c r="R1168" s="557"/>
      <c r="S1168" s="555"/>
      <c r="T1168" s="557"/>
      <c r="U1168" s="557"/>
      <c r="V1168" s="557"/>
      <c r="W1168" s="555"/>
      <c r="X1168" s="600"/>
      <c r="Y1168" s="557"/>
      <c r="Z1168" s="600"/>
      <c r="AA1168" s="557"/>
      <c r="AB1168" s="557"/>
      <c r="AC1168" s="600"/>
      <c r="AD1168" s="557"/>
      <c r="AE1168" s="557"/>
      <c r="AF1168" s="583"/>
      <c r="AG1168" s="600"/>
      <c r="AH1168" s="557"/>
      <c r="AI1168" s="557"/>
      <c r="AJ1168" s="555"/>
      <c r="AK1168" s="555"/>
      <c r="AL1168" s="555"/>
      <c r="AM1168" s="555"/>
      <c r="AN1168" s="555"/>
      <c r="AO1168" s="555"/>
      <c r="AP1168" s="555"/>
      <c r="AQ1168" s="555"/>
      <c r="AR1168" s="555"/>
      <c r="AS1168" s="555"/>
      <c r="AT1168" s="600"/>
      <c r="AU1168" s="583"/>
      <c r="AV1168" s="322"/>
      <c r="AW1168" s="322"/>
      <c r="AX1168" s="322"/>
      <c r="AY1168" s="322"/>
      <c r="AZ1168" s="322"/>
      <c r="BA1168" s="322"/>
      <c r="BB1168" s="583"/>
      <c r="BC1168" s="555"/>
      <c r="BD1168" s="555"/>
      <c r="BE1168" s="555"/>
      <c r="BF1168" s="555"/>
      <c r="BG1168" s="555"/>
      <c r="BH1168" s="555"/>
      <c r="BI1168" s="557"/>
      <c r="BJ1168" s="555"/>
      <c r="BK1168" s="555"/>
      <c r="BL1168" s="587"/>
      <c r="BM1168" s="1"/>
      <c r="BN1168" s="181"/>
      <c r="BO1168" s="99"/>
      <c r="BP1168" s="102"/>
      <c r="BQ1168" s="179"/>
    </row>
    <row r="1169" spans="1:69">
      <c r="A1169" s="600"/>
      <c r="B1169" s="557"/>
      <c r="C1169" s="557"/>
      <c r="D1169" s="555"/>
      <c r="E1169" s="557"/>
      <c r="F1169" s="557"/>
      <c r="G1169" s="555"/>
      <c r="H1169" s="600"/>
      <c r="I1169" s="557"/>
      <c r="J1169" s="600"/>
      <c r="K1169" s="557"/>
      <c r="L1169" s="557"/>
      <c r="M1169" s="557"/>
      <c r="N1169" s="600"/>
      <c r="O1169" s="557"/>
      <c r="P1169" s="555"/>
      <c r="Q1169" s="600"/>
      <c r="R1169" s="557"/>
      <c r="S1169" s="555"/>
      <c r="T1169" s="557"/>
      <c r="U1169" s="557"/>
      <c r="V1169" s="557"/>
      <c r="W1169" s="555"/>
      <c r="X1169" s="600"/>
      <c r="Y1169" s="557"/>
      <c r="Z1169" s="600"/>
      <c r="AA1169" s="557"/>
      <c r="AB1169" s="557"/>
      <c r="AC1169" s="600"/>
      <c r="AD1169" s="557"/>
      <c r="AE1169" s="557"/>
      <c r="AF1169" s="583"/>
      <c r="AG1169" s="600"/>
      <c r="AH1169" s="557"/>
      <c r="AI1169" s="557"/>
      <c r="AJ1169" s="555"/>
      <c r="AK1169" s="555"/>
      <c r="AL1169" s="555"/>
      <c r="AM1169" s="555"/>
      <c r="AN1169" s="555"/>
      <c r="AO1169" s="555"/>
      <c r="AP1169" s="555"/>
      <c r="AQ1169" s="555"/>
      <c r="AR1169" s="555"/>
      <c r="AS1169" s="600"/>
      <c r="AT1169" s="583"/>
      <c r="AU1169" s="322"/>
      <c r="AV1169" s="322"/>
      <c r="AW1169" s="322"/>
      <c r="AX1169" s="322"/>
      <c r="AY1169" s="322"/>
      <c r="AZ1169" s="322"/>
      <c r="BA1169" s="322"/>
      <c r="BB1169" s="555"/>
      <c r="BC1169" s="583"/>
      <c r="BD1169" s="555"/>
      <c r="BE1169" s="555"/>
      <c r="BF1169" s="555"/>
      <c r="BG1169" s="555"/>
      <c r="BH1169" s="555"/>
      <c r="BI1169" s="557"/>
      <c r="BJ1169" s="555"/>
      <c r="BK1169" s="555"/>
      <c r="BL1169" s="587"/>
      <c r="BM1169" s="1"/>
      <c r="BN1169" s="181"/>
      <c r="BO1169" s="99"/>
      <c r="BP1169" s="98"/>
      <c r="BQ1169" s="179"/>
    </row>
    <row r="1170" spans="1:69">
      <c r="A1170" s="600"/>
      <c r="B1170" s="600"/>
      <c r="C1170" s="600"/>
      <c r="D1170" s="555"/>
      <c r="E1170" s="557"/>
      <c r="F1170" s="557"/>
      <c r="G1170" s="555"/>
      <c r="H1170" s="600"/>
      <c r="I1170" s="557"/>
      <c r="J1170" s="600"/>
      <c r="K1170" s="557"/>
      <c r="L1170" s="557"/>
      <c r="M1170" s="557"/>
      <c r="N1170" s="600"/>
      <c r="O1170" s="557"/>
      <c r="P1170" s="555"/>
      <c r="Q1170" s="600"/>
      <c r="R1170" s="557"/>
      <c r="S1170" s="555"/>
      <c r="T1170" s="557"/>
      <c r="U1170" s="557"/>
      <c r="V1170" s="557"/>
      <c r="W1170" s="555"/>
      <c r="X1170" s="600"/>
      <c r="Y1170" s="557"/>
      <c r="Z1170" s="600"/>
      <c r="AA1170" s="557"/>
      <c r="AB1170" s="557"/>
      <c r="AC1170" s="600"/>
      <c r="AD1170" s="600"/>
      <c r="AE1170" s="557"/>
      <c r="AF1170" s="583"/>
      <c r="AG1170" s="600"/>
      <c r="AH1170" s="600"/>
      <c r="AI1170" s="557"/>
      <c r="AJ1170" s="555"/>
      <c r="AK1170" s="555"/>
      <c r="AL1170" s="555"/>
      <c r="AM1170" s="555"/>
      <c r="AN1170" s="555"/>
      <c r="AO1170" s="555"/>
      <c r="AP1170" s="555"/>
      <c r="AQ1170" s="555"/>
      <c r="AR1170" s="555"/>
      <c r="AS1170" s="557"/>
      <c r="AT1170" s="583"/>
      <c r="AU1170" s="322"/>
      <c r="AV1170" s="322"/>
      <c r="AW1170" s="322"/>
      <c r="AX1170" s="322"/>
      <c r="AY1170" s="322"/>
      <c r="AZ1170" s="322"/>
      <c r="BA1170" s="322"/>
      <c r="BB1170" s="583"/>
      <c r="BC1170" s="583"/>
      <c r="BD1170" s="555"/>
      <c r="BE1170" s="555"/>
      <c r="BF1170" s="555"/>
      <c r="BG1170" s="555"/>
      <c r="BH1170" s="555"/>
      <c r="BI1170" s="557"/>
      <c r="BJ1170" s="600"/>
      <c r="BK1170" s="557"/>
      <c r="BL1170" s="587"/>
      <c r="BM1170" s="1"/>
      <c r="BN1170" s="181"/>
      <c r="BO1170" s="178"/>
      <c r="BP1170" s="90"/>
      <c r="BQ1170" s="179"/>
    </row>
    <row r="1171" spans="1:69">
      <c r="A1171" s="600"/>
      <c r="B1171" s="600"/>
      <c r="C1171" s="555"/>
      <c r="D1171" s="555"/>
      <c r="E1171" s="557"/>
      <c r="F1171" s="557"/>
      <c r="G1171" s="555"/>
      <c r="H1171" s="600"/>
      <c r="I1171" s="557"/>
      <c r="J1171" s="600"/>
      <c r="K1171" s="557"/>
      <c r="L1171" s="557"/>
      <c r="M1171" s="557"/>
      <c r="N1171" s="600"/>
      <c r="O1171" s="557"/>
      <c r="P1171" s="555"/>
      <c r="Q1171" s="600"/>
      <c r="R1171" s="557"/>
      <c r="S1171" s="555"/>
      <c r="T1171" s="557"/>
      <c r="U1171" s="557"/>
      <c r="V1171" s="557"/>
      <c r="W1171" s="555"/>
      <c r="X1171" s="600"/>
      <c r="Y1171" s="557"/>
      <c r="Z1171" s="600"/>
      <c r="AA1171" s="557"/>
      <c r="AB1171" s="557"/>
      <c r="AC1171" s="600"/>
      <c r="AD1171" s="557"/>
      <c r="AE1171" s="555"/>
      <c r="AF1171" s="583"/>
      <c r="AG1171" s="600"/>
      <c r="AH1171" s="557"/>
      <c r="AI1171" s="555"/>
      <c r="AJ1171" s="555"/>
      <c r="AK1171" s="555"/>
      <c r="AL1171" s="555"/>
      <c r="AM1171" s="555"/>
      <c r="AN1171" s="555"/>
      <c r="AO1171" s="555"/>
      <c r="AP1171" s="555"/>
      <c r="AQ1171" s="555"/>
      <c r="AR1171" s="555"/>
      <c r="AS1171" s="583"/>
      <c r="AT1171" s="555"/>
      <c r="AU1171" s="583"/>
      <c r="AV1171" s="322"/>
      <c r="AW1171" s="322"/>
      <c r="AX1171" s="322"/>
      <c r="AY1171" s="322"/>
      <c r="AZ1171" s="322"/>
      <c r="BA1171" s="600"/>
      <c r="BB1171" s="555"/>
      <c r="BC1171" s="555"/>
      <c r="BD1171" s="555"/>
      <c r="BE1171" s="555"/>
      <c r="BF1171" s="555"/>
      <c r="BG1171" s="555"/>
      <c r="BH1171" s="555"/>
      <c r="BI1171" s="557"/>
      <c r="BJ1171" s="557"/>
      <c r="BK1171" s="555"/>
      <c r="BL1171" s="587"/>
      <c r="BM1171" s="1"/>
      <c r="BN1171" s="181"/>
      <c r="BO1171" s="178"/>
      <c r="BP1171" s="178"/>
      <c r="BQ1171" s="179"/>
    </row>
    <row r="1172" spans="1:69">
      <c r="A1172" s="600"/>
      <c r="B1172" s="557"/>
      <c r="C1172" s="557"/>
      <c r="D1172" s="555"/>
      <c r="E1172" s="557"/>
      <c r="F1172" s="557"/>
      <c r="G1172" s="555"/>
      <c r="H1172" s="600"/>
      <c r="I1172" s="600"/>
      <c r="J1172" s="557"/>
      <c r="K1172" s="557"/>
      <c r="L1172" s="557"/>
      <c r="M1172" s="557"/>
      <c r="N1172" s="600"/>
      <c r="O1172" s="557"/>
      <c r="P1172" s="555"/>
      <c r="Q1172" s="600"/>
      <c r="R1172" s="557"/>
      <c r="S1172" s="555"/>
      <c r="T1172" s="557"/>
      <c r="U1172" s="557"/>
      <c r="V1172" s="557"/>
      <c r="W1172" s="557"/>
      <c r="X1172" s="555"/>
      <c r="Y1172" s="557"/>
      <c r="Z1172" s="600"/>
      <c r="AA1172" s="557"/>
      <c r="AB1172" s="557"/>
      <c r="AC1172" s="600"/>
      <c r="AD1172" s="557"/>
      <c r="AE1172" s="557"/>
      <c r="AF1172" s="583"/>
      <c r="AG1172" s="600"/>
      <c r="AH1172" s="557"/>
      <c r="AI1172" s="557"/>
      <c r="AJ1172" s="555"/>
      <c r="AK1172" s="555"/>
      <c r="AL1172" s="555"/>
      <c r="AM1172" s="555"/>
      <c r="AN1172" s="555"/>
      <c r="AO1172" s="555"/>
      <c r="AP1172" s="555"/>
      <c r="AQ1172" s="555"/>
      <c r="AR1172" s="555"/>
      <c r="AS1172" s="555"/>
      <c r="AT1172" s="555"/>
      <c r="AU1172" s="583"/>
      <c r="AV1172" s="583"/>
      <c r="AW1172" s="322"/>
      <c r="AX1172" s="322"/>
      <c r="AY1172" s="322"/>
      <c r="AZ1172" s="557"/>
      <c r="BA1172" s="583"/>
      <c r="BB1172" s="557"/>
      <c r="BC1172" s="555"/>
      <c r="BD1172" s="555"/>
      <c r="BE1172" s="555"/>
      <c r="BF1172" s="555"/>
      <c r="BG1172" s="555"/>
      <c r="BH1172" s="555"/>
      <c r="BI1172" s="557"/>
      <c r="BJ1172" s="555"/>
      <c r="BK1172" s="555"/>
      <c r="BL1172" s="587"/>
      <c r="BM1172" s="1"/>
      <c r="BN1172" s="181"/>
      <c r="BO1172" s="178"/>
      <c r="BP1172" s="178"/>
      <c r="BQ1172" s="179"/>
    </row>
    <row r="1173" spans="1:69">
      <c r="A1173" s="600"/>
      <c r="B1173" s="557"/>
      <c r="C1173" s="557"/>
      <c r="D1173" s="555"/>
      <c r="E1173" s="557"/>
      <c r="F1173" s="557"/>
      <c r="G1173" s="555"/>
      <c r="H1173" s="600"/>
      <c r="I1173" s="557"/>
      <c r="J1173" s="557"/>
      <c r="K1173" s="557"/>
      <c r="L1173" s="557"/>
      <c r="M1173" s="557"/>
      <c r="N1173" s="600"/>
      <c r="O1173" s="557"/>
      <c r="P1173" s="555"/>
      <c r="Q1173" s="600"/>
      <c r="R1173" s="557"/>
      <c r="S1173" s="555"/>
      <c r="T1173" s="557"/>
      <c r="U1173" s="557"/>
      <c r="V1173" s="557"/>
      <c r="W1173" s="557"/>
      <c r="X1173" s="557"/>
      <c r="Y1173" s="555"/>
      <c r="Z1173" s="600"/>
      <c r="AA1173" s="557"/>
      <c r="AB1173" s="557"/>
      <c r="AC1173" s="600"/>
      <c r="AD1173" s="557"/>
      <c r="AE1173" s="557"/>
      <c r="AF1173" s="583"/>
      <c r="AG1173" s="600"/>
      <c r="AH1173" s="557"/>
      <c r="AI1173" s="557"/>
      <c r="AJ1173" s="555"/>
      <c r="AK1173" s="555"/>
      <c r="AL1173" s="555"/>
      <c r="AM1173" s="555"/>
      <c r="AN1173" s="555"/>
      <c r="AO1173" s="555"/>
      <c r="AP1173" s="555"/>
      <c r="AQ1173" s="555"/>
      <c r="AR1173" s="555"/>
      <c r="AS1173" s="555"/>
      <c r="AT1173" s="583"/>
      <c r="AU1173" s="600"/>
      <c r="AV1173" s="557"/>
      <c r="AW1173" s="583"/>
      <c r="AX1173" s="583"/>
      <c r="AY1173" s="583"/>
      <c r="AZ1173" s="557"/>
      <c r="BA1173" s="555"/>
      <c r="BB1173" s="583"/>
      <c r="BC1173" s="555"/>
      <c r="BD1173" s="555"/>
      <c r="BE1173" s="555"/>
      <c r="BF1173" s="555"/>
      <c r="BG1173" s="555"/>
      <c r="BH1173" s="555"/>
      <c r="BI1173" s="557"/>
      <c r="BJ1173" s="555"/>
      <c r="BK1173" s="555"/>
      <c r="BL1173" s="587"/>
      <c r="BM1173" s="1"/>
      <c r="BN1173" s="180"/>
      <c r="BO1173" s="178"/>
      <c r="BP1173" s="178"/>
      <c r="BQ1173" s="179"/>
    </row>
    <row r="1174" spans="1:69">
      <c r="A1174" s="600"/>
      <c r="B1174" s="600"/>
      <c r="C1174" s="600"/>
      <c r="D1174" s="555"/>
      <c r="E1174" s="557"/>
      <c r="F1174" s="557"/>
      <c r="G1174" s="555"/>
      <c r="H1174" s="557"/>
      <c r="I1174" s="557"/>
      <c r="J1174" s="557"/>
      <c r="K1174" s="557"/>
      <c r="L1174" s="557"/>
      <c r="M1174" s="557"/>
      <c r="N1174" s="600"/>
      <c r="O1174" s="557"/>
      <c r="P1174" s="555"/>
      <c r="Q1174" s="600"/>
      <c r="R1174" s="557"/>
      <c r="S1174" s="555"/>
      <c r="T1174" s="557"/>
      <c r="U1174" s="557"/>
      <c r="V1174" s="557"/>
      <c r="W1174" s="557"/>
      <c r="X1174" s="557"/>
      <c r="Y1174" s="557"/>
      <c r="Z1174" s="555"/>
      <c r="AA1174" s="557"/>
      <c r="AB1174" s="557"/>
      <c r="AC1174" s="600"/>
      <c r="AD1174" s="600"/>
      <c r="AE1174" s="557"/>
      <c r="AF1174" s="583"/>
      <c r="AG1174" s="600"/>
      <c r="AH1174" s="600"/>
      <c r="AI1174" s="557"/>
      <c r="AJ1174" s="555"/>
      <c r="AK1174" s="555"/>
      <c r="AL1174" s="555"/>
      <c r="AM1174" s="555"/>
      <c r="AN1174" s="583"/>
      <c r="AO1174" s="555"/>
      <c r="AP1174" s="555"/>
      <c r="AQ1174" s="555"/>
      <c r="AR1174" s="555"/>
      <c r="AS1174" s="555"/>
      <c r="AT1174" s="600"/>
      <c r="AU1174" s="557"/>
      <c r="AV1174" s="587"/>
      <c r="AW1174" s="583"/>
      <c r="AX1174" s="557"/>
      <c r="AY1174" s="583"/>
      <c r="AZ1174" s="325"/>
      <c r="BA1174" s="324"/>
      <c r="BB1174" s="596"/>
      <c r="BC1174" s="325"/>
      <c r="BD1174" s="555"/>
      <c r="BE1174" s="555"/>
      <c r="BF1174" s="555"/>
      <c r="BG1174" s="555"/>
      <c r="BH1174" s="555"/>
      <c r="BI1174" s="557"/>
      <c r="BJ1174" s="600"/>
      <c r="BK1174" s="557"/>
      <c r="BL1174" s="587"/>
      <c r="BM1174" s="1"/>
      <c r="BN1174" s="180"/>
      <c r="BO1174" s="178"/>
      <c r="BP1174" s="178"/>
      <c r="BQ1174" s="179"/>
    </row>
    <row r="1175" spans="1:69">
      <c r="A1175" s="600"/>
      <c r="B1175" s="600"/>
      <c r="C1175" s="555"/>
      <c r="D1175" s="555"/>
      <c r="E1175" s="557"/>
      <c r="F1175" s="557"/>
      <c r="G1175" s="557"/>
      <c r="H1175" s="557"/>
      <c r="I1175" s="557"/>
      <c r="J1175" s="557"/>
      <c r="K1175" s="557"/>
      <c r="L1175" s="557"/>
      <c r="M1175" s="600"/>
      <c r="N1175" s="557"/>
      <c r="O1175" s="555"/>
      <c r="P1175" s="555"/>
      <c r="Q1175" s="555"/>
      <c r="R1175" s="557"/>
      <c r="S1175" s="557"/>
      <c r="T1175" s="600"/>
      <c r="U1175" s="557"/>
      <c r="V1175" s="557"/>
      <c r="W1175" s="557"/>
      <c r="X1175" s="557"/>
      <c r="Y1175" s="557"/>
      <c r="Z1175" s="557"/>
      <c r="AA1175" s="557"/>
      <c r="AB1175" s="555"/>
      <c r="AC1175" s="600"/>
      <c r="AD1175" s="557"/>
      <c r="AE1175" s="555"/>
      <c r="AF1175" s="583"/>
      <c r="AG1175" s="600"/>
      <c r="AH1175" s="557"/>
      <c r="AI1175" s="555"/>
      <c r="AJ1175" s="555"/>
      <c r="AK1175" s="555"/>
      <c r="AL1175" s="555"/>
      <c r="AM1175" s="555"/>
      <c r="AN1175" s="583"/>
      <c r="AO1175" s="555"/>
      <c r="AP1175" s="555"/>
      <c r="AQ1175" s="555"/>
      <c r="AR1175" s="555"/>
      <c r="AS1175" s="600"/>
      <c r="AT1175" s="557"/>
      <c r="AU1175" s="557"/>
      <c r="AV1175" s="587"/>
      <c r="AW1175" s="583"/>
      <c r="AX1175" s="557"/>
      <c r="AY1175" s="557"/>
      <c r="AZ1175" s="557"/>
      <c r="BA1175" s="327"/>
      <c r="BB1175" s="325"/>
      <c r="BC1175" s="555"/>
      <c r="BD1175" s="555"/>
      <c r="BE1175" s="555"/>
      <c r="BF1175" s="555"/>
      <c r="BG1175" s="555"/>
      <c r="BH1175" s="555"/>
      <c r="BI1175" s="557"/>
      <c r="BJ1175" s="557"/>
      <c r="BK1175" s="555"/>
      <c r="BL1175" s="587"/>
      <c r="BM1175" s="1"/>
      <c r="BN1175" s="180"/>
      <c r="BO1175" s="178"/>
      <c r="BP1175" s="178"/>
      <c r="BQ1175" s="179"/>
    </row>
    <row r="1176" spans="1:69">
      <c r="A1176" s="600"/>
      <c r="B1176" s="557"/>
      <c r="C1176" s="557"/>
      <c r="D1176" s="555"/>
      <c r="E1176" s="557"/>
      <c r="F1176" s="557"/>
      <c r="G1176" s="557"/>
      <c r="H1176" s="557"/>
      <c r="I1176" s="557"/>
      <c r="J1176" s="557"/>
      <c r="K1176" s="557"/>
      <c r="L1176" s="600"/>
      <c r="M1176" s="557"/>
      <c r="N1176" s="555"/>
      <c r="O1176" s="555"/>
      <c r="P1176" s="557"/>
      <c r="Q1176" s="557"/>
      <c r="R1176" s="555"/>
      <c r="S1176" s="557"/>
      <c r="T1176" s="557"/>
      <c r="U1176" s="600"/>
      <c r="V1176" s="557"/>
      <c r="W1176" s="557"/>
      <c r="X1176" s="557"/>
      <c r="Y1176" s="557"/>
      <c r="Z1176" s="557"/>
      <c r="AA1176" s="557"/>
      <c r="AB1176" s="557"/>
      <c r="AC1176" s="600"/>
      <c r="AD1176" s="557"/>
      <c r="AE1176" s="557"/>
      <c r="AF1176" s="583"/>
      <c r="AG1176" s="600"/>
      <c r="AH1176" s="557"/>
      <c r="AI1176" s="557"/>
      <c r="AJ1176" s="555"/>
      <c r="AK1176" s="555"/>
      <c r="AL1176" s="555"/>
      <c r="AM1176" s="583"/>
      <c r="AN1176" s="322"/>
      <c r="AO1176" s="583"/>
      <c r="AP1176" s="555"/>
      <c r="AQ1176" s="555"/>
      <c r="AR1176" s="600"/>
      <c r="AS1176" s="557"/>
      <c r="AT1176" s="557"/>
      <c r="AU1176" s="587"/>
      <c r="AV1176" s="555"/>
      <c r="AW1176" s="555"/>
      <c r="AX1176" s="600"/>
      <c r="AY1176" s="555"/>
      <c r="AZ1176" s="327"/>
      <c r="BA1176" s="323"/>
      <c r="BB1176" s="324"/>
      <c r="BC1176" s="555"/>
      <c r="BD1176" s="555"/>
      <c r="BE1176" s="555"/>
      <c r="BF1176" s="555"/>
      <c r="BG1176" s="555"/>
      <c r="BH1176" s="555"/>
      <c r="BI1176" s="557"/>
      <c r="BJ1176" s="555"/>
      <c r="BK1176" s="555"/>
      <c r="BL1176" s="587"/>
      <c r="BM1176" s="1"/>
      <c r="BN1176" s="180"/>
      <c r="BO1176" s="178"/>
      <c r="BP1176" s="178"/>
      <c r="BQ1176" s="179"/>
    </row>
    <row r="1177" spans="1:69">
      <c r="A1177" s="600"/>
      <c r="B1177" s="557"/>
      <c r="C1177" s="557"/>
      <c r="D1177" s="555"/>
      <c r="E1177" s="557"/>
      <c r="F1177" s="557"/>
      <c r="G1177" s="557"/>
      <c r="H1177" s="557"/>
      <c r="I1177" s="557"/>
      <c r="J1177" s="557"/>
      <c r="K1177" s="600"/>
      <c r="L1177" s="557"/>
      <c r="M1177" s="555"/>
      <c r="N1177" s="555"/>
      <c r="O1177" s="557"/>
      <c r="P1177" s="557"/>
      <c r="Q1177" s="557"/>
      <c r="R1177" s="557"/>
      <c r="S1177" s="555"/>
      <c r="T1177" s="557"/>
      <c r="U1177" s="557"/>
      <c r="V1177" s="600"/>
      <c r="W1177" s="557"/>
      <c r="X1177" s="557"/>
      <c r="Y1177" s="557"/>
      <c r="Z1177" s="557"/>
      <c r="AA1177" s="555"/>
      <c r="AB1177" s="557"/>
      <c r="AC1177" s="600"/>
      <c r="AD1177" s="557"/>
      <c r="AE1177" s="557"/>
      <c r="AF1177" s="583"/>
      <c r="AG1177" s="600"/>
      <c r="AH1177" s="557"/>
      <c r="AI1177" s="557"/>
      <c r="AJ1177" s="555"/>
      <c r="AK1177" s="555"/>
      <c r="AL1177" s="555"/>
      <c r="AM1177" s="555"/>
      <c r="AN1177" s="583"/>
      <c r="AO1177" s="557"/>
      <c r="AP1177" s="555"/>
      <c r="AQ1177" s="600"/>
      <c r="AR1177" s="557"/>
      <c r="AS1177" s="557"/>
      <c r="AT1177" s="587"/>
      <c r="AU1177" s="555"/>
      <c r="AV1177" s="555"/>
      <c r="AW1177" s="555"/>
      <c r="AX1177" s="555"/>
      <c r="AY1177" s="325"/>
      <c r="AZ1177" s="325"/>
      <c r="BA1177" s="327"/>
      <c r="BB1177" s="587"/>
      <c r="BC1177" s="555"/>
      <c r="BD1177" s="555"/>
      <c r="BE1177" s="555"/>
      <c r="BF1177" s="555"/>
      <c r="BG1177" s="555"/>
      <c r="BH1177" s="555"/>
      <c r="BI1177" s="557"/>
      <c r="BJ1177" s="555"/>
      <c r="BK1177" s="555"/>
      <c r="BL1177" s="587"/>
      <c r="BM1177" s="1"/>
      <c r="BN1177" s="180"/>
      <c r="BO1177" s="178"/>
      <c r="BP1177" s="178"/>
      <c r="BQ1177" s="179"/>
    </row>
    <row r="1178" spans="1:69">
      <c r="A1178" s="600"/>
      <c r="B1178" s="600"/>
      <c r="C1178" s="600"/>
      <c r="D1178" s="555"/>
      <c r="E1178" s="557"/>
      <c r="F1178" s="557"/>
      <c r="G1178" s="557"/>
      <c r="H1178" s="557"/>
      <c r="I1178" s="557"/>
      <c r="J1178" s="600"/>
      <c r="K1178" s="557"/>
      <c r="L1178" s="555"/>
      <c r="M1178" s="555"/>
      <c r="N1178" s="557"/>
      <c r="O1178" s="557"/>
      <c r="P1178" s="557"/>
      <c r="Q1178" s="557"/>
      <c r="R1178" s="557"/>
      <c r="S1178" s="557"/>
      <c r="T1178" s="555"/>
      <c r="U1178" s="557"/>
      <c r="V1178" s="557"/>
      <c r="W1178" s="600"/>
      <c r="X1178" s="557"/>
      <c r="Y1178" s="557"/>
      <c r="Z1178" s="557"/>
      <c r="AA1178" s="557"/>
      <c r="AB1178" s="555"/>
      <c r="AC1178" s="600"/>
      <c r="AD1178" s="600"/>
      <c r="AE1178" s="557"/>
      <c r="AF1178" s="583"/>
      <c r="AG1178" s="600"/>
      <c r="AH1178" s="600"/>
      <c r="AI1178" s="557"/>
      <c r="AJ1178" s="555"/>
      <c r="AK1178" s="555"/>
      <c r="AL1178" s="555"/>
      <c r="AM1178" s="555"/>
      <c r="AN1178" s="583"/>
      <c r="AO1178" s="557"/>
      <c r="AP1178" s="600"/>
      <c r="AQ1178" s="557"/>
      <c r="AR1178" s="557"/>
      <c r="AS1178" s="587"/>
      <c r="AT1178" s="555"/>
      <c r="AU1178" s="555"/>
      <c r="AV1178" s="555"/>
      <c r="AW1178" s="555"/>
      <c r="AX1178" s="325"/>
      <c r="AY1178" s="631"/>
      <c r="AZ1178" s="600"/>
      <c r="BA1178" s="324"/>
      <c r="BB1178" s="557"/>
      <c r="BC1178" s="587"/>
      <c r="BD1178" s="555"/>
      <c r="BE1178" s="555"/>
      <c r="BF1178" s="583"/>
      <c r="BG1178" s="555"/>
      <c r="BH1178" s="583"/>
      <c r="BI1178" s="557"/>
      <c r="BJ1178" s="600"/>
      <c r="BK1178" s="557"/>
      <c r="BL1178" s="587"/>
      <c r="BM1178" s="1"/>
      <c r="BN1178" s="180"/>
      <c r="BO1178" s="178"/>
      <c r="BP1178" s="178"/>
      <c r="BQ1178" s="90"/>
    </row>
    <row r="1179" spans="1:69">
      <c r="A1179" s="600"/>
      <c r="B1179" s="600"/>
      <c r="C1179" s="555"/>
      <c r="D1179" s="555"/>
      <c r="E1179" s="557"/>
      <c r="F1179" s="557"/>
      <c r="G1179" s="557"/>
      <c r="H1179" s="557"/>
      <c r="I1179" s="600"/>
      <c r="J1179" s="557"/>
      <c r="K1179" s="555"/>
      <c r="L1179" s="555"/>
      <c r="M1179" s="557"/>
      <c r="N1179" s="557"/>
      <c r="O1179" s="557"/>
      <c r="P1179" s="557"/>
      <c r="Q1179" s="557"/>
      <c r="R1179" s="557"/>
      <c r="S1179" s="557"/>
      <c r="T1179" s="557"/>
      <c r="U1179" s="555"/>
      <c r="V1179" s="557"/>
      <c r="W1179" s="557"/>
      <c r="X1179" s="600"/>
      <c r="Y1179" s="555"/>
      <c r="Z1179" s="557"/>
      <c r="AA1179" s="555"/>
      <c r="AB1179" s="555"/>
      <c r="AC1179" s="600"/>
      <c r="AD1179" s="557"/>
      <c r="AE1179" s="555"/>
      <c r="AF1179" s="583"/>
      <c r="AG1179" s="600"/>
      <c r="AH1179" s="557"/>
      <c r="AI1179" s="555"/>
      <c r="AJ1179" s="555"/>
      <c r="AK1179" s="555"/>
      <c r="AL1179" s="555"/>
      <c r="AM1179" s="555"/>
      <c r="AN1179" s="555"/>
      <c r="AO1179" s="600"/>
      <c r="AP1179" s="557"/>
      <c r="AQ1179" s="557"/>
      <c r="AR1179" s="587"/>
      <c r="AS1179" s="555"/>
      <c r="AT1179" s="555"/>
      <c r="AU1179" s="555"/>
      <c r="AV1179" s="555"/>
      <c r="AW1179" s="555"/>
      <c r="AX1179" s="325"/>
      <c r="AY1179" s="555"/>
      <c r="AZ1179" s="555"/>
      <c r="BA1179" s="324"/>
      <c r="BB1179" s="557"/>
      <c r="BC1179" s="557"/>
      <c r="BD1179" s="587"/>
      <c r="BE1179" s="555"/>
      <c r="BF1179" s="555"/>
      <c r="BG1179" s="583"/>
      <c r="BH1179" s="583"/>
      <c r="BI1179" s="557"/>
      <c r="BJ1179" s="557"/>
      <c r="BK1179" s="555"/>
      <c r="BL1179" s="587"/>
      <c r="BM1179" s="1"/>
      <c r="BN1179" s="180"/>
      <c r="BO1179" s="178"/>
      <c r="BP1179" s="178"/>
      <c r="BQ1179" s="90"/>
    </row>
    <row r="1180" spans="1:69">
      <c r="A1180" s="600"/>
      <c r="B1180" s="557"/>
      <c r="C1180" s="557"/>
      <c r="D1180" s="555"/>
      <c r="E1180" s="557"/>
      <c r="F1180" s="557"/>
      <c r="G1180" s="557"/>
      <c r="H1180" s="600"/>
      <c r="I1180" s="557"/>
      <c r="J1180" s="555"/>
      <c r="K1180" s="555"/>
      <c r="L1180" s="557"/>
      <c r="M1180" s="557"/>
      <c r="N1180" s="557"/>
      <c r="O1180" s="557"/>
      <c r="P1180" s="557"/>
      <c r="Q1180" s="557"/>
      <c r="R1180" s="557"/>
      <c r="S1180" s="557"/>
      <c r="T1180" s="557"/>
      <c r="U1180" s="557"/>
      <c r="V1180" s="555"/>
      <c r="W1180" s="557"/>
      <c r="X1180" s="557"/>
      <c r="Y1180" s="600"/>
      <c r="Z1180" s="555"/>
      <c r="AA1180" s="555"/>
      <c r="AB1180" s="555"/>
      <c r="AC1180" s="600"/>
      <c r="AD1180" s="557"/>
      <c r="AE1180" s="557"/>
      <c r="AF1180" s="583"/>
      <c r="AG1180" s="600"/>
      <c r="AH1180" s="557"/>
      <c r="AI1180" s="557"/>
      <c r="AJ1180" s="555"/>
      <c r="AK1180" s="555"/>
      <c r="AL1180" s="555"/>
      <c r="AM1180" s="555"/>
      <c r="AN1180" s="600"/>
      <c r="AO1180" s="557"/>
      <c r="AP1180" s="557"/>
      <c r="AQ1180" s="587"/>
      <c r="AR1180" s="555"/>
      <c r="AS1180" s="555"/>
      <c r="AT1180" s="555"/>
      <c r="AU1180" s="555"/>
      <c r="AV1180" s="555"/>
      <c r="AW1180" s="555"/>
      <c r="AX1180" s="631"/>
      <c r="AY1180" s="555"/>
      <c r="AZ1180" s="555"/>
      <c r="BA1180" s="555"/>
      <c r="BB1180" s="600"/>
      <c r="BC1180" s="557"/>
      <c r="BD1180" s="557"/>
      <c r="BE1180" s="587"/>
      <c r="BF1180" s="583"/>
      <c r="BG1180" s="555"/>
      <c r="BH1180" s="583"/>
      <c r="BI1180" s="557"/>
      <c r="BJ1180" s="555"/>
      <c r="BK1180" s="555"/>
      <c r="BL1180" s="587"/>
      <c r="BM1180" s="1"/>
      <c r="BN1180" s="179"/>
      <c r="BO1180" s="99"/>
      <c r="BP1180" s="102"/>
      <c r="BQ1180" s="90"/>
    </row>
    <row r="1181" spans="1:69">
      <c r="A1181" s="600"/>
      <c r="B1181" s="557"/>
      <c r="C1181" s="557"/>
      <c r="D1181" s="555"/>
      <c r="E1181" s="600"/>
      <c r="F1181" s="600"/>
      <c r="G1181" s="600"/>
      <c r="H1181" s="600"/>
      <c r="I1181" s="600"/>
      <c r="J1181" s="600"/>
      <c r="K1181" s="600"/>
      <c r="L1181" s="600"/>
      <c r="M1181" s="600"/>
      <c r="N1181" s="600"/>
      <c r="O1181" s="600"/>
      <c r="P1181" s="600"/>
      <c r="Q1181" s="600"/>
      <c r="R1181" s="600"/>
      <c r="S1181" s="600"/>
      <c r="T1181" s="600"/>
      <c r="U1181" s="600"/>
      <c r="V1181" s="600"/>
      <c r="W1181" s="600"/>
      <c r="X1181" s="600"/>
      <c r="Y1181" s="600"/>
      <c r="Z1181" s="600"/>
      <c r="AA1181" s="600"/>
      <c r="AB1181" s="600"/>
      <c r="AC1181" s="600"/>
      <c r="AD1181" s="557"/>
      <c r="AE1181" s="557"/>
      <c r="AF1181" s="583"/>
      <c r="AG1181" s="600"/>
      <c r="AH1181" s="557"/>
      <c r="AI1181" s="557"/>
      <c r="AJ1181" s="555"/>
      <c r="AK1181" s="557"/>
      <c r="AL1181" s="557"/>
      <c r="AM1181" s="557"/>
      <c r="AN1181" s="557"/>
      <c r="AO1181" s="557"/>
      <c r="AP1181" s="557"/>
      <c r="AQ1181" s="557"/>
      <c r="AR1181" s="557"/>
      <c r="AS1181" s="557"/>
      <c r="AT1181" s="557"/>
      <c r="AU1181" s="557"/>
      <c r="AV1181" s="557"/>
      <c r="AW1181" s="557"/>
      <c r="AX1181" s="557"/>
      <c r="AY1181" s="557"/>
      <c r="AZ1181" s="557"/>
      <c r="BA1181" s="557"/>
      <c r="BB1181" s="557"/>
      <c r="BC1181" s="557"/>
      <c r="BD1181" s="557"/>
      <c r="BE1181" s="557"/>
      <c r="BF1181" s="557"/>
      <c r="BG1181" s="557"/>
      <c r="BH1181" s="557"/>
      <c r="BI1181" s="557"/>
      <c r="BJ1181" s="555"/>
      <c r="BK1181" s="555"/>
      <c r="BL1181" s="587"/>
      <c r="BM1181" s="1"/>
      <c r="BN1181" s="179"/>
      <c r="BO1181" s="99"/>
      <c r="BP1181" s="98"/>
      <c r="BQ1181" s="90"/>
    </row>
    <row r="1182" spans="1:69">
      <c r="A1182" s="600"/>
      <c r="B1182" s="600"/>
      <c r="C1182" s="557"/>
      <c r="D1182" s="557"/>
      <c r="E1182" s="557"/>
      <c r="F1182" s="600"/>
      <c r="G1182" s="557"/>
      <c r="H1182" s="557"/>
      <c r="I1182" s="557"/>
      <c r="J1182" s="600"/>
      <c r="K1182" s="557"/>
      <c r="L1182" s="557"/>
      <c r="M1182" s="557"/>
      <c r="N1182" s="600"/>
      <c r="O1182" s="557"/>
      <c r="P1182" s="557"/>
      <c r="Q1182" s="557"/>
      <c r="R1182" s="600"/>
      <c r="S1182" s="557"/>
      <c r="T1182" s="557"/>
      <c r="U1182" s="557"/>
      <c r="V1182" s="600"/>
      <c r="W1182" s="557"/>
      <c r="X1182" s="557"/>
      <c r="Y1182" s="557"/>
      <c r="Z1182" s="600"/>
      <c r="AA1182" s="557"/>
      <c r="AB1182" s="557"/>
      <c r="AC1182" s="557"/>
      <c r="AD1182" s="600"/>
      <c r="AE1182" s="557"/>
      <c r="AF1182" s="583"/>
      <c r="AG1182" s="600"/>
      <c r="AH1182" s="600"/>
      <c r="AI1182" s="557"/>
      <c r="AJ1182" s="555"/>
      <c r="AK1182" s="555"/>
      <c r="AL1182" s="600"/>
      <c r="AM1182" s="557"/>
      <c r="AN1182" s="555"/>
      <c r="AO1182" s="555"/>
      <c r="AP1182" s="600"/>
      <c r="AQ1182" s="557"/>
      <c r="AR1182" s="555"/>
      <c r="AS1182" s="555"/>
      <c r="AT1182" s="600"/>
      <c r="AU1182" s="557"/>
      <c r="AV1182" s="555"/>
      <c r="AW1182" s="555"/>
      <c r="AX1182" s="600"/>
      <c r="AY1182" s="557"/>
      <c r="AZ1182" s="555"/>
      <c r="BA1182" s="555"/>
      <c r="BB1182" s="600"/>
      <c r="BC1182" s="557"/>
      <c r="BD1182" s="555"/>
      <c r="BE1182" s="555"/>
      <c r="BF1182" s="600"/>
      <c r="BG1182" s="557"/>
      <c r="BH1182" s="555"/>
      <c r="BI1182" s="555"/>
      <c r="BJ1182" s="600"/>
      <c r="BK1182" s="557"/>
      <c r="BL1182" s="587"/>
      <c r="BM1182" s="1"/>
      <c r="BN1182" s="179"/>
      <c r="BO1182" s="178"/>
      <c r="BP1182" s="90"/>
      <c r="BQ1182" s="90"/>
    </row>
    <row r="1183" spans="1:69">
      <c r="A1183" s="600"/>
      <c r="B1183" s="600"/>
      <c r="C1183" s="555"/>
      <c r="D1183" s="557"/>
      <c r="E1183" s="557"/>
      <c r="F1183" s="557"/>
      <c r="G1183" s="555"/>
      <c r="H1183" s="557"/>
      <c r="I1183" s="557"/>
      <c r="J1183" s="557"/>
      <c r="K1183" s="555"/>
      <c r="L1183" s="557"/>
      <c r="M1183" s="557"/>
      <c r="N1183" s="557"/>
      <c r="O1183" s="555"/>
      <c r="P1183" s="557"/>
      <c r="Q1183" s="557"/>
      <c r="R1183" s="557"/>
      <c r="S1183" s="555"/>
      <c r="T1183" s="557"/>
      <c r="U1183" s="557"/>
      <c r="V1183" s="557"/>
      <c r="W1183" s="555"/>
      <c r="X1183" s="557"/>
      <c r="Y1183" s="557"/>
      <c r="Z1183" s="557"/>
      <c r="AA1183" s="555"/>
      <c r="AB1183" s="557"/>
      <c r="AC1183" s="557"/>
      <c r="AD1183" s="557"/>
      <c r="AE1183" s="555"/>
      <c r="AF1183" s="583"/>
      <c r="AG1183" s="600"/>
      <c r="AH1183" s="557"/>
      <c r="AI1183" s="555"/>
      <c r="AJ1183" s="555"/>
      <c r="AK1183" s="555"/>
      <c r="AL1183" s="557"/>
      <c r="AM1183" s="555"/>
      <c r="AN1183" s="555"/>
      <c r="AO1183" s="555"/>
      <c r="AP1183" s="557"/>
      <c r="AQ1183" s="555"/>
      <c r="AR1183" s="555"/>
      <c r="AS1183" s="555"/>
      <c r="AT1183" s="557"/>
      <c r="AU1183" s="555"/>
      <c r="AV1183" s="555"/>
      <c r="AW1183" s="555"/>
      <c r="AX1183" s="557"/>
      <c r="AY1183" s="555"/>
      <c r="AZ1183" s="555"/>
      <c r="BA1183" s="555"/>
      <c r="BB1183" s="557"/>
      <c r="BC1183" s="555"/>
      <c r="BD1183" s="555"/>
      <c r="BE1183" s="555"/>
      <c r="BF1183" s="557"/>
      <c r="BG1183" s="555"/>
      <c r="BH1183" s="555"/>
      <c r="BI1183" s="555"/>
      <c r="BJ1183" s="557"/>
      <c r="BK1183" s="555"/>
      <c r="BL1183" s="587"/>
      <c r="BM1183" s="1"/>
      <c r="BN1183" s="179"/>
      <c r="BO1183" s="178"/>
      <c r="BP1183" s="178"/>
      <c r="BQ1183" s="90"/>
    </row>
    <row r="1184" spans="1:69">
      <c r="A1184" s="582"/>
      <c r="B1184" s="561"/>
      <c r="C1184" s="561"/>
      <c r="D1184" s="561"/>
      <c r="E1184" s="561"/>
      <c r="F1184" s="561"/>
      <c r="G1184" s="561"/>
      <c r="H1184" s="561"/>
      <c r="I1184" s="561"/>
      <c r="J1184" s="561"/>
      <c r="K1184" s="561"/>
      <c r="L1184" s="561"/>
      <c r="M1184" s="561"/>
      <c r="N1184" s="561"/>
      <c r="O1184" s="561"/>
      <c r="P1184" s="561"/>
      <c r="Q1184" s="561"/>
      <c r="R1184" s="561"/>
      <c r="S1184" s="561"/>
      <c r="T1184" s="561"/>
      <c r="U1184" s="561"/>
      <c r="V1184" s="561"/>
      <c r="W1184" s="561"/>
      <c r="X1184" s="561"/>
      <c r="Y1184" s="561"/>
      <c r="Z1184" s="561"/>
      <c r="AA1184" s="561"/>
      <c r="AB1184" s="561"/>
      <c r="AC1184" s="561"/>
      <c r="AD1184" s="561"/>
      <c r="AE1184" s="561"/>
      <c r="AF1184" s="581"/>
      <c r="AG1184" s="582"/>
      <c r="AH1184" s="561"/>
      <c r="AI1184" s="561"/>
      <c r="AJ1184" s="561"/>
      <c r="AK1184" s="561"/>
      <c r="AL1184" s="561"/>
      <c r="AM1184" s="561"/>
      <c r="AN1184" s="561"/>
      <c r="AO1184" s="561"/>
      <c r="AP1184" s="561"/>
      <c r="AQ1184" s="561"/>
      <c r="AR1184" s="561"/>
      <c r="AS1184" s="561"/>
      <c r="AT1184" s="561"/>
      <c r="AU1184" s="561"/>
      <c r="AV1184" s="561"/>
      <c r="AW1184" s="561"/>
      <c r="AX1184" s="561"/>
      <c r="AY1184" s="561"/>
      <c r="AZ1184" s="561"/>
      <c r="BA1184" s="561"/>
      <c r="BB1184" s="561"/>
      <c r="BC1184" s="561"/>
      <c r="BD1184" s="561"/>
      <c r="BE1184" s="561"/>
      <c r="BF1184" s="561"/>
      <c r="BG1184" s="561"/>
      <c r="BH1184" s="561"/>
      <c r="BI1184" s="561"/>
      <c r="BJ1184" s="561"/>
      <c r="BK1184" s="561"/>
      <c r="BL1184" s="641"/>
      <c r="BM1184" s="176"/>
      <c r="BN1184" s="332"/>
      <c r="BO1184" s="338"/>
      <c r="BP1184" s="338"/>
      <c r="BQ1184" s="338"/>
    </row>
    <row r="1185" spans="1:100">
      <c r="A1185" s="552"/>
      <c r="B1185" s="601"/>
      <c r="C1185" s="601"/>
      <c r="D1185" s="601"/>
      <c r="E1185" s="601"/>
      <c r="F1185" s="601"/>
      <c r="G1185" s="601"/>
      <c r="H1185" s="601"/>
      <c r="I1185" s="601"/>
      <c r="J1185" s="601"/>
      <c r="K1185" s="601"/>
      <c r="L1185" s="601"/>
      <c r="M1185" s="601"/>
      <c r="N1185" s="601"/>
      <c r="O1185" s="601"/>
      <c r="P1185" s="601"/>
      <c r="Q1185" s="601"/>
      <c r="R1185" s="601"/>
      <c r="S1185" s="601"/>
      <c r="T1185" s="601"/>
      <c r="U1185" s="601"/>
      <c r="V1185" s="601"/>
      <c r="W1185" s="601"/>
      <c r="X1185" s="601"/>
      <c r="Y1185" s="601"/>
      <c r="Z1185" s="601"/>
      <c r="AA1185" s="601"/>
      <c r="AB1185" s="601"/>
      <c r="AC1185" s="601"/>
      <c r="AD1185" s="601"/>
      <c r="AE1185" s="601"/>
      <c r="AF1185" s="555"/>
      <c r="AG1185" s="600"/>
      <c r="AH1185" s="557"/>
      <c r="AI1185" s="557"/>
      <c r="AJ1185" s="557"/>
      <c r="AK1185" s="557"/>
      <c r="AL1185" s="557"/>
      <c r="AM1185" s="557"/>
      <c r="AN1185" s="557"/>
      <c r="AO1185" s="557"/>
      <c r="AP1185" s="557"/>
      <c r="AQ1185" s="557"/>
      <c r="AR1185" s="557"/>
      <c r="AS1185" s="557"/>
      <c r="AT1185" s="557"/>
      <c r="AU1185" s="557"/>
      <c r="AV1185" s="557"/>
      <c r="AW1185" s="557"/>
      <c r="AX1185" s="557"/>
      <c r="AY1185" s="557"/>
      <c r="AZ1185" s="557"/>
      <c r="BA1185" s="557"/>
      <c r="BB1185" s="557"/>
      <c r="BC1185" s="557"/>
      <c r="BD1185" s="557"/>
      <c r="BE1185" s="557"/>
      <c r="BF1185" s="557"/>
      <c r="BG1185" s="557"/>
      <c r="BH1185" s="557"/>
      <c r="BI1185" s="557"/>
      <c r="BJ1185" s="557"/>
      <c r="BK1185" s="557"/>
      <c r="BL1185" s="642"/>
      <c r="BM1185" s="301">
        <v>38</v>
      </c>
      <c r="BN1185" s="42"/>
      <c r="BO1185" s="42"/>
      <c r="BP1185" s="43"/>
      <c r="BQ1185" s="42"/>
      <c r="BR1185" s="43"/>
      <c r="BS1185" s="42"/>
      <c r="BT1185" s="43"/>
      <c r="BU1185" s="42"/>
      <c r="BV1185" s="42"/>
      <c r="BW1185" s="42"/>
      <c r="BX1185" s="90"/>
    </row>
    <row r="1186" spans="1:100">
      <c r="A1186" s="601"/>
      <c r="B1186" s="552"/>
      <c r="C1186" s="601"/>
      <c r="D1186" s="601"/>
      <c r="E1186" s="601"/>
      <c r="F1186" s="601"/>
      <c r="G1186" s="601"/>
      <c r="H1186" s="601"/>
      <c r="I1186" s="601"/>
      <c r="J1186" s="601"/>
      <c r="K1186" s="601"/>
      <c r="L1186" s="601"/>
      <c r="M1186" s="601"/>
      <c r="N1186" s="601"/>
      <c r="O1186" s="601"/>
      <c r="P1186" s="601"/>
      <c r="Q1186" s="601"/>
      <c r="R1186" s="601"/>
      <c r="S1186" s="601"/>
      <c r="T1186" s="601"/>
      <c r="U1186" s="601"/>
      <c r="V1186" s="601"/>
      <c r="W1186" s="601"/>
      <c r="X1186" s="601"/>
      <c r="Y1186" s="601"/>
      <c r="Z1186" s="601"/>
      <c r="AA1186" s="601"/>
      <c r="AB1186" s="601"/>
      <c r="AC1186" s="601"/>
      <c r="AD1186" s="601"/>
      <c r="AE1186" s="557"/>
      <c r="AF1186" s="555"/>
      <c r="AG1186" s="557"/>
      <c r="AH1186" s="600"/>
      <c r="AI1186" s="557"/>
      <c r="AJ1186" s="557"/>
      <c r="AK1186" s="557"/>
      <c r="AL1186" s="557"/>
      <c r="AM1186" s="557"/>
      <c r="AN1186" s="557"/>
      <c r="AO1186" s="557"/>
      <c r="AP1186" s="557"/>
      <c r="AQ1186" s="557"/>
      <c r="AR1186" s="557"/>
      <c r="AS1186" s="557"/>
      <c r="AT1186" s="557"/>
      <c r="AU1186" s="557"/>
      <c r="AV1186" s="557"/>
      <c r="AW1186" s="557"/>
      <c r="AX1186" s="557"/>
      <c r="AY1186" s="557"/>
      <c r="AZ1186" s="557"/>
      <c r="BA1186" s="557"/>
      <c r="BB1186" s="557"/>
      <c r="BC1186" s="557"/>
      <c r="BD1186" s="557"/>
      <c r="BE1186" s="557"/>
      <c r="BF1186" s="557"/>
      <c r="BG1186" s="557"/>
      <c r="BH1186" s="557"/>
      <c r="BI1186" s="557"/>
      <c r="BJ1186" s="557"/>
      <c r="BK1186" s="555"/>
      <c r="BL1186" s="587"/>
      <c r="BM1186" s="297"/>
      <c r="BN1186" s="42"/>
      <c r="BO1186" s="41"/>
      <c r="BP1186" s="43"/>
      <c r="BQ1186" s="39"/>
      <c r="BR1186" s="43"/>
      <c r="BS1186" s="41"/>
      <c r="BT1186" s="43"/>
      <c r="BU1186" s="39"/>
      <c r="BV1186" s="42"/>
      <c r="BW1186" s="40"/>
      <c r="BX1186" s="90"/>
    </row>
    <row r="1187" spans="1:100">
      <c r="A1187" s="601"/>
      <c r="B1187" s="601"/>
      <c r="C1187" s="552"/>
      <c r="D1187" s="601"/>
      <c r="E1187" s="601"/>
      <c r="F1187" s="601"/>
      <c r="G1187" s="601"/>
      <c r="H1187" s="601"/>
      <c r="I1187" s="601"/>
      <c r="J1187" s="601"/>
      <c r="K1187" s="601"/>
      <c r="L1187" s="601"/>
      <c r="M1187" s="601"/>
      <c r="N1187" s="601"/>
      <c r="O1187" s="601"/>
      <c r="P1187" s="601"/>
      <c r="Q1187" s="601"/>
      <c r="R1187" s="601"/>
      <c r="S1187" s="601"/>
      <c r="T1187" s="601"/>
      <c r="U1187" s="601"/>
      <c r="V1187" s="601"/>
      <c r="W1187" s="601"/>
      <c r="X1187" s="601"/>
      <c r="Y1187" s="601"/>
      <c r="Z1187" s="601"/>
      <c r="AA1187" s="601"/>
      <c r="AB1187" s="601"/>
      <c r="AC1187" s="601"/>
      <c r="AD1187" s="557"/>
      <c r="AE1187" s="555"/>
      <c r="AF1187" s="555"/>
      <c r="AG1187" s="557"/>
      <c r="AH1187" s="557"/>
      <c r="AI1187" s="600"/>
      <c r="AJ1187" s="557"/>
      <c r="AK1187" s="557"/>
      <c r="AL1187" s="557"/>
      <c r="AM1187" s="557"/>
      <c r="AN1187" s="557"/>
      <c r="AO1187" s="557"/>
      <c r="AP1187" s="557"/>
      <c r="AQ1187" s="557"/>
      <c r="AR1187" s="557"/>
      <c r="AS1187" s="557"/>
      <c r="AT1187" s="557"/>
      <c r="AU1187" s="557"/>
      <c r="AV1187" s="557"/>
      <c r="AW1187" s="557"/>
      <c r="AX1187" s="557"/>
      <c r="AY1187" s="557"/>
      <c r="AZ1187" s="557"/>
      <c r="BA1187" s="557"/>
      <c r="BB1187" s="557"/>
      <c r="BC1187" s="557"/>
      <c r="BD1187" s="557"/>
      <c r="BE1187" s="557"/>
      <c r="BF1187" s="557"/>
      <c r="BG1187" s="557"/>
      <c r="BH1187" s="557"/>
      <c r="BI1187" s="557"/>
      <c r="BJ1187" s="555"/>
      <c r="BK1187" s="583"/>
      <c r="BL1187" s="587"/>
      <c r="BM1187" s="1"/>
      <c r="BN1187" s="42"/>
      <c r="BO1187" s="41"/>
      <c r="BP1187" s="43"/>
      <c r="BQ1187" s="39"/>
      <c r="BR1187" s="43"/>
      <c r="BS1187" s="41"/>
      <c r="BT1187" s="43"/>
      <c r="BU1187" s="39"/>
      <c r="BV1187" s="42"/>
      <c r="BW1187" s="40"/>
      <c r="BX1187" s="90"/>
    </row>
    <row r="1188" spans="1:100">
      <c r="A1188" s="601"/>
      <c r="B1188" s="601"/>
      <c r="C1188" s="601"/>
      <c r="D1188" s="600"/>
      <c r="E1188" s="600"/>
      <c r="F1188" s="557"/>
      <c r="G1188" s="600"/>
      <c r="H1188" s="557"/>
      <c r="I1188" s="557"/>
      <c r="J1188" s="557"/>
      <c r="K1188" s="557"/>
      <c r="L1188" s="557"/>
      <c r="M1188" s="557"/>
      <c r="N1188" s="557"/>
      <c r="O1188" s="557"/>
      <c r="P1188" s="557"/>
      <c r="Q1188" s="557"/>
      <c r="R1188" s="557"/>
      <c r="S1188" s="557"/>
      <c r="T1188" s="557"/>
      <c r="U1188" s="557"/>
      <c r="V1188" s="557"/>
      <c r="W1188" s="557"/>
      <c r="X1188" s="557"/>
      <c r="Y1188" s="557"/>
      <c r="Z1188" s="557"/>
      <c r="AA1188" s="557"/>
      <c r="AB1188" s="557"/>
      <c r="AC1188" s="557"/>
      <c r="AD1188" s="555"/>
      <c r="AE1188" s="555"/>
      <c r="AF1188" s="555"/>
      <c r="AG1188" s="557"/>
      <c r="AH1188" s="557"/>
      <c r="AI1188" s="557"/>
      <c r="AJ1188" s="600"/>
      <c r="AK1188" s="557"/>
      <c r="AL1188" s="600"/>
      <c r="AM1188" s="557"/>
      <c r="AN1188" s="557"/>
      <c r="AO1188" s="555"/>
      <c r="AP1188" s="557"/>
      <c r="AQ1188" s="555"/>
      <c r="AR1188" s="555"/>
      <c r="AS1188" s="555"/>
      <c r="AT1188" s="555"/>
      <c r="AU1188" s="555"/>
      <c r="AV1188" s="555"/>
      <c r="AW1188" s="555"/>
      <c r="AX1188" s="555"/>
      <c r="AY1188" s="555"/>
      <c r="AZ1188" s="555"/>
      <c r="BA1188" s="555"/>
      <c r="BB1188" s="555"/>
      <c r="BC1188" s="555"/>
      <c r="BD1188" s="555"/>
      <c r="BE1188" s="555"/>
      <c r="BF1188" s="555"/>
      <c r="BG1188" s="555"/>
      <c r="BH1188" s="555"/>
      <c r="BI1188" s="555"/>
      <c r="BJ1188" s="583"/>
      <c r="BK1188" s="583"/>
      <c r="BL1188" s="587"/>
      <c r="BM1188" s="1"/>
      <c r="CV1188">
        <v>1</v>
      </c>
    </row>
    <row r="1189" spans="1:100">
      <c r="A1189" s="601"/>
      <c r="B1189" s="601"/>
      <c r="C1189" s="601"/>
      <c r="D1189" s="600"/>
      <c r="E1189" s="557"/>
      <c r="F1189" s="600"/>
      <c r="G1189" s="557"/>
      <c r="H1189" s="600"/>
      <c r="I1189" s="557"/>
      <c r="J1189" s="557"/>
      <c r="K1189" s="557"/>
      <c r="L1189" s="557"/>
      <c r="M1189" s="557"/>
      <c r="N1189" s="557"/>
      <c r="O1189" s="557"/>
      <c r="P1189" s="557"/>
      <c r="Q1189" s="557"/>
      <c r="R1189" s="557"/>
      <c r="S1189" s="555"/>
      <c r="T1189" s="555"/>
      <c r="U1189" s="555"/>
      <c r="V1189" s="555"/>
      <c r="W1189" s="555"/>
      <c r="X1189" s="555"/>
      <c r="Y1189" s="555"/>
      <c r="Z1189" s="555"/>
      <c r="AA1189" s="555"/>
      <c r="AB1189" s="557"/>
      <c r="AC1189" s="557"/>
      <c r="AD1189" s="555"/>
      <c r="AE1189" s="555"/>
      <c r="AF1189" s="555"/>
      <c r="AG1189" s="557"/>
      <c r="AH1189" s="557"/>
      <c r="AI1189" s="557"/>
      <c r="AJ1189" s="557"/>
      <c r="AK1189" s="600"/>
      <c r="AL1189" s="557"/>
      <c r="AM1189" s="600"/>
      <c r="AN1189" s="557"/>
      <c r="AO1189" s="557"/>
      <c r="AP1189" s="555"/>
      <c r="AQ1189" s="555"/>
      <c r="AR1189" s="555"/>
      <c r="AS1189" s="555"/>
      <c r="AT1189" s="555"/>
      <c r="AU1189" s="555"/>
      <c r="AV1189" s="555"/>
      <c r="AW1189" s="555"/>
      <c r="AX1189" s="555"/>
      <c r="AY1189" s="583"/>
      <c r="AZ1189" s="583"/>
      <c r="BA1189" s="583"/>
      <c r="BB1189" s="583"/>
      <c r="BC1189" s="583"/>
      <c r="BD1189" s="583"/>
      <c r="BE1189" s="583"/>
      <c r="BF1189" s="583"/>
      <c r="BG1189" s="583"/>
      <c r="BH1189" s="555"/>
      <c r="BI1189" s="555"/>
      <c r="BJ1189" s="583"/>
      <c r="BK1189" s="583"/>
      <c r="BL1189" s="587"/>
      <c r="BM1189" s="1"/>
      <c r="BN1189" s="42"/>
      <c r="BO1189" s="97"/>
      <c r="BP1189" s="43"/>
      <c r="BQ1189" s="97"/>
      <c r="BR1189" s="43"/>
      <c r="BS1189" s="39"/>
      <c r="BT1189" s="43"/>
      <c r="BU1189" s="97"/>
      <c r="BV1189" s="42"/>
      <c r="BW1189" s="97"/>
      <c r="BX1189" s="90"/>
    </row>
    <row r="1190" spans="1:100">
      <c r="A1190" s="601"/>
      <c r="B1190" s="601"/>
      <c r="C1190" s="601"/>
      <c r="D1190" s="600"/>
      <c r="E1190" s="600"/>
      <c r="F1190" s="557"/>
      <c r="G1190" s="600"/>
      <c r="H1190" s="557"/>
      <c r="I1190" s="557"/>
      <c r="J1190" s="557"/>
      <c r="K1190" s="557"/>
      <c r="L1190" s="557"/>
      <c r="M1190" s="557"/>
      <c r="N1190" s="557"/>
      <c r="O1190" s="557"/>
      <c r="P1190" s="557"/>
      <c r="Q1190" s="557"/>
      <c r="R1190" s="557"/>
      <c r="S1190" s="555"/>
      <c r="T1190" s="610"/>
      <c r="U1190" s="578"/>
      <c r="V1190" s="643"/>
      <c r="W1190" s="555"/>
      <c r="X1190" s="644"/>
      <c r="Y1190" s="546"/>
      <c r="Z1190" s="635"/>
      <c r="AA1190" s="600"/>
      <c r="AB1190" s="557"/>
      <c r="AC1190" s="557"/>
      <c r="AD1190" s="555"/>
      <c r="AE1190" s="555"/>
      <c r="AF1190" s="555"/>
      <c r="AG1190" s="557"/>
      <c r="AH1190" s="557"/>
      <c r="AI1190" s="557"/>
      <c r="AJ1190" s="600"/>
      <c r="AK1190" s="557"/>
      <c r="AL1190" s="557"/>
      <c r="AM1190" s="557"/>
      <c r="AN1190" s="557"/>
      <c r="AO1190" s="555"/>
      <c r="AP1190" s="557"/>
      <c r="AQ1190" s="555"/>
      <c r="AR1190" s="555"/>
      <c r="AS1190" s="555"/>
      <c r="AT1190" s="555"/>
      <c r="AU1190" s="555"/>
      <c r="AV1190" s="555"/>
      <c r="AW1190" s="555"/>
      <c r="AX1190" s="555"/>
      <c r="AY1190" s="583"/>
      <c r="AZ1190" s="610"/>
      <c r="BA1190" s="578"/>
      <c r="BB1190" s="643"/>
      <c r="BC1190" s="555"/>
      <c r="BD1190" s="644"/>
      <c r="BE1190" s="546"/>
      <c r="BF1190" s="635"/>
      <c r="BG1190" s="557"/>
      <c r="BH1190" s="555"/>
      <c r="BI1190" s="555"/>
      <c r="BJ1190" s="583"/>
      <c r="BK1190" s="583"/>
      <c r="BL1190" s="587"/>
      <c r="BM1190" s="1">
        <v>3</v>
      </c>
      <c r="BN1190" s="42"/>
      <c r="BO1190" s="102"/>
      <c r="BP1190" s="43"/>
      <c r="BQ1190" s="102"/>
      <c r="BR1190" s="43"/>
      <c r="BS1190" s="39"/>
      <c r="BT1190" s="43"/>
      <c r="BU1190" s="102"/>
      <c r="BV1190" s="42"/>
      <c r="BW1190" s="102"/>
      <c r="BX1190" s="90"/>
    </row>
    <row r="1191" spans="1:100">
      <c r="A1191" s="601"/>
      <c r="B1191" s="601"/>
      <c r="C1191" s="601"/>
      <c r="D1191" s="600"/>
      <c r="E1191" s="557"/>
      <c r="F1191" s="600"/>
      <c r="G1191" s="557"/>
      <c r="H1191" s="557"/>
      <c r="I1191" s="557"/>
      <c r="J1191" s="557"/>
      <c r="K1191" s="557"/>
      <c r="L1191" s="557"/>
      <c r="M1191" s="557"/>
      <c r="N1191" s="557"/>
      <c r="O1191" s="557"/>
      <c r="P1191" s="557"/>
      <c r="Q1191" s="557"/>
      <c r="R1191" s="557"/>
      <c r="S1191" s="555"/>
      <c r="T1191" s="600"/>
      <c r="U1191" s="600"/>
      <c r="V1191" s="600"/>
      <c r="W1191" s="600"/>
      <c r="X1191" s="600"/>
      <c r="Y1191" s="600"/>
      <c r="Z1191" s="600"/>
      <c r="AA1191" s="600"/>
      <c r="AB1191" s="557"/>
      <c r="AC1191" s="557"/>
      <c r="AD1191" s="555"/>
      <c r="AE1191" s="555"/>
      <c r="AF1191" s="555"/>
      <c r="AG1191" s="557"/>
      <c r="AH1191" s="557"/>
      <c r="AI1191" s="557"/>
      <c r="AJ1191" s="557"/>
      <c r="AK1191" s="600"/>
      <c r="AL1191" s="557"/>
      <c r="AM1191" s="557"/>
      <c r="AN1191" s="555"/>
      <c r="AO1191" s="555"/>
      <c r="AP1191" s="555"/>
      <c r="AQ1191" s="555"/>
      <c r="AR1191" s="555"/>
      <c r="AS1191" s="555"/>
      <c r="AT1191" s="555"/>
      <c r="AU1191" s="555"/>
      <c r="AV1191" s="555"/>
      <c r="AW1191" s="555"/>
      <c r="AX1191" s="555"/>
      <c r="AY1191" s="583"/>
      <c r="AZ1191" s="557"/>
      <c r="BA1191" s="557"/>
      <c r="BB1191" s="557"/>
      <c r="BC1191" s="557"/>
      <c r="BD1191" s="557"/>
      <c r="BE1191" s="557"/>
      <c r="BF1191" s="557"/>
      <c r="BG1191" s="557"/>
      <c r="BH1191" s="555"/>
      <c r="BI1191" s="555"/>
      <c r="BJ1191" s="583"/>
      <c r="BK1191" s="583"/>
      <c r="BL1191" s="587"/>
      <c r="BM1191" s="1"/>
      <c r="BN1191" s="42"/>
      <c r="BO1191" s="97"/>
      <c r="BP1191" s="43"/>
      <c r="BQ1191" s="97"/>
      <c r="BR1191" s="43"/>
      <c r="BS1191" s="39"/>
      <c r="BT1191" s="43"/>
      <c r="BU1191" s="97"/>
      <c r="BV1191" s="42"/>
      <c r="BW1191" s="97"/>
      <c r="BX1191" s="90"/>
    </row>
    <row r="1192" spans="1:100">
      <c r="A1192" s="601"/>
      <c r="B1192" s="601"/>
      <c r="C1192" s="601"/>
      <c r="D1192" s="557"/>
      <c r="E1192" s="600"/>
      <c r="F1192" s="557"/>
      <c r="G1192" s="557"/>
      <c r="H1192" s="557"/>
      <c r="I1192" s="557"/>
      <c r="J1192" s="557"/>
      <c r="K1192" s="557"/>
      <c r="L1192" s="557"/>
      <c r="M1192" s="557"/>
      <c r="N1192" s="557"/>
      <c r="O1192" s="557"/>
      <c r="P1192" s="557"/>
      <c r="Q1192" s="557"/>
      <c r="R1192" s="557"/>
      <c r="S1192" s="557"/>
      <c r="T1192" s="557"/>
      <c r="U1192" s="557"/>
      <c r="V1192" s="557"/>
      <c r="W1192" s="557"/>
      <c r="X1192" s="557"/>
      <c r="Y1192" s="557"/>
      <c r="Z1192" s="557"/>
      <c r="AA1192" s="557"/>
      <c r="AB1192" s="557"/>
      <c r="AC1192" s="557"/>
      <c r="AD1192" s="555"/>
      <c r="AE1192" s="555"/>
      <c r="AF1192" s="555"/>
      <c r="AG1192" s="557"/>
      <c r="AH1192" s="557"/>
      <c r="AI1192" s="557"/>
      <c r="AJ1192" s="557"/>
      <c r="AK1192" s="557"/>
      <c r="AL1192" s="557"/>
      <c r="AM1192" s="555"/>
      <c r="AN1192" s="557"/>
      <c r="AO1192" s="555"/>
      <c r="AP1192" s="555"/>
      <c r="AQ1192" s="555"/>
      <c r="AR1192" s="555"/>
      <c r="AS1192" s="555"/>
      <c r="AT1192" s="555"/>
      <c r="AU1192" s="555"/>
      <c r="AV1192" s="555"/>
      <c r="AW1192" s="555"/>
      <c r="AX1192" s="555"/>
      <c r="AY1192" s="555"/>
      <c r="AZ1192" s="555"/>
      <c r="BA1192" s="555"/>
      <c r="BB1192" s="555"/>
      <c r="BC1192" s="555"/>
      <c r="BD1192" s="555"/>
      <c r="BE1192" s="555"/>
      <c r="BF1192" s="555"/>
      <c r="BG1192" s="555"/>
      <c r="BH1192" s="555"/>
      <c r="BI1192" s="555"/>
      <c r="BJ1192" s="583"/>
      <c r="BK1192" s="583"/>
      <c r="BL1192" s="587"/>
      <c r="BM1192" s="1"/>
      <c r="BN1192" s="42"/>
      <c r="BO1192" s="98"/>
      <c r="BP1192" s="43"/>
      <c r="BQ1192" s="98"/>
      <c r="BR1192" s="43"/>
      <c r="BS1192" s="39"/>
      <c r="BT1192" s="43"/>
      <c r="BU1192" s="98"/>
      <c r="BV1192" s="42"/>
      <c r="BW1192" s="98"/>
      <c r="BX1192" s="90"/>
    </row>
    <row r="1193" spans="1:100">
      <c r="A1193" s="601"/>
      <c r="B1193" s="601"/>
      <c r="C1193" s="601"/>
      <c r="D1193" s="557"/>
      <c r="E1193" s="557"/>
      <c r="F1193" s="557"/>
      <c r="G1193" s="557"/>
      <c r="H1193" s="557"/>
      <c r="I1193" s="557"/>
      <c r="J1193" s="557"/>
      <c r="K1193" s="557"/>
      <c r="L1193" s="557"/>
      <c r="M1193" s="557"/>
      <c r="N1193" s="557"/>
      <c r="O1193" s="557"/>
      <c r="P1193" s="557"/>
      <c r="Q1193" s="557"/>
      <c r="R1193" s="557"/>
      <c r="S1193" s="557"/>
      <c r="T1193" s="557"/>
      <c r="U1193" s="557"/>
      <c r="V1193" s="557"/>
      <c r="W1193" s="555"/>
      <c r="X1193" s="555"/>
      <c r="Y1193" s="555"/>
      <c r="Z1193" s="555"/>
      <c r="AA1193" s="555"/>
      <c r="AB1193" s="555"/>
      <c r="AC1193" s="555"/>
      <c r="AD1193" s="555"/>
      <c r="AE1193" s="555"/>
      <c r="AF1193" s="555"/>
      <c r="AG1193" s="557"/>
      <c r="AH1193" s="557"/>
      <c r="AI1193" s="557"/>
      <c r="AJ1193" s="555"/>
      <c r="AK1193" s="557"/>
      <c r="AL1193" s="555"/>
      <c r="AM1193" s="555"/>
      <c r="AN1193" s="555"/>
      <c r="AO1193" s="555"/>
      <c r="AP1193" s="555"/>
      <c r="AQ1193" s="555"/>
      <c r="AR1193" s="555"/>
      <c r="AS1193" s="555"/>
      <c r="AT1193" s="555"/>
      <c r="AU1193" s="555"/>
      <c r="AV1193" s="555"/>
      <c r="AW1193" s="555"/>
      <c r="AX1193" s="555"/>
      <c r="AY1193" s="555"/>
      <c r="AZ1193" s="555"/>
      <c r="BA1193" s="555"/>
      <c r="BB1193" s="555"/>
      <c r="BC1193" s="583"/>
      <c r="BD1193" s="583"/>
      <c r="BE1193" s="583"/>
      <c r="BF1193" s="583"/>
      <c r="BG1193" s="583"/>
      <c r="BH1193" s="583"/>
      <c r="BI1193" s="583"/>
      <c r="BJ1193" s="583"/>
      <c r="BK1193" s="583"/>
      <c r="BL1193" s="587"/>
      <c r="BM1193" s="1"/>
      <c r="CV1193">
        <v>1</v>
      </c>
    </row>
    <row r="1194" spans="1:100">
      <c r="A1194" s="601"/>
      <c r="B1194" s="601"/>
      <c r="C1194" s="601"/>
      <c r="D1194" s="557"/>
      <c r="E1194" s="557"/>
      <c r="F1194" s="557"/>
      <c r="G1194" s="557"/>
      <c r="H1194" s="557"/>
      <c r="I1194" s="557"/>
      <c r="J1194" s="557"/>
      <c r="K1194" s="557"/>
      <c r="L1194" s="557"/>
      <c r="M1194" s="557"/>
      <c r="N1194" s="557"/>
      <c r="O1194" s="557"/>
      <c r="P1194" s="557"/>
      <c r="Q1194" s="557"/>
      <c r="R1194" s="557"/>
      <c r="S1194" s="557"/>
      <c r="T1194" s="557"/>
      <c r="U1194" s="557"/>
      <c r="V1194" s="555"/>
      <c r="W1194" s="600"/>
      <c r="X1194" s="600"/>
      <c r="Y1194" s="600"/>
      <c r="Z1194" s="600"/>
      <c r="AA1194" s="600"/>
      <c r="AB1194" s="600"/>
      <c r="AC1194" s="600"/>
      <c r="AD1194" s="557"/>
      <c r="AE1194" s="555"/>
      <c r="AF1194" s="555"/>
      <c r="AG1194" s="557"/>
      <c r="AH1194" s="557"/>
      <c r="AI1194" s="557"/>
      <c r="AJ1194" s="557"/>
      <c r="AK1194" s="555"/>
      <c r="AL1194" s="557"/>
      <c r="AM1194" s="555"/>
      <c r="AN1194" s="555"/>
      <c r="AO1194" s="555"/>
      <c r="AP1194" s="555"/>
      <c r="AQ1194" s="555"/>
      <c r="AR1194" s="555"/>
      <c r="AS1194" s="555"/>
      <c r="AT1194" s="555"/>
      <c r="AU1194" s="555"/>
      <c r="AV1194" s="555"/>
      <c r="AW1194" s="555"/>
      <c r="AX1194" s="555"/>
      <c r="AY1194" s="555"/>
      <c r="AZ1194" s="555"/>
      <c r="BA1194" s="555"/>
      <c r="BB1194" s="583"/>
      <c r="BC1194" s="600"/>
      <c r="BD1194" s="557"/>
      <c r="BE1194" s="557"/>
      <c r="BF1194" s="557"/>
      <c r="BG1194" s="557"/>
      <c r="BH1194" s="557"/>
      <c r="BI1194" s="557"/>
      <c r="BJ1194" s="555"/>
      <c r="BK1194" s="583"/>
      <c r="BL1194" s="587"/>
      <c r="BM1194" s="1"/>
      <c r="BN1194" s="42"/>
      <c r="BO1194" s="189"/>
      <c r="BP1194" s="40"/>
      <c r="BQ1194" s="293"/>
      <c r="BR1194" s="42"/>
      <c r="BS1194" s="41"/>
      <c r="BT1194" s="42"/>
      <c r="BU1194" s="189"/>
      <c r="BV1194" s="40"/>
      <c r="BW1194" s="293"/>
      <c r="BX1194" s="90"/>
    </row>
    <row r="1195" spans="1:100">
      <c r="A1195" s="601"/>
      <c r="B1195" s="601"/>
      <c r="C1195" s="601"/>
      <c r="D1195" s="557"/>
      <c r="E1195" s="557"/>
      <c r="F1195" s="557"/>
      <c r="G1195" s="557"/>
      <c r="H1195" s="557"/>
      <c r="I1195" s="557"/>
      <c r="J1195" s="557"/>
      <c r="K1195" s="557"/>
      <c r="L1195" s="557"/>
      <c r="M1195" s="557"/>
      <c r="N1195" s="557"/>
      <c r="O1195" s="557"/>
      <c r="P1195" s="557"/>
      <c r="Q1195" s="557"/>
      <c r="R1195" s="557"/>
      <c r="S1195" s="557"/>
      <c r="T1195" s="557"/>
      <c r="U1195" s="555"/>
      <c r="V1195" s="600"/>
      <c r="W1195" s="557"/>
      <c r="X1195" s="557"/>
      <c r="Y1195" s="557"/>
      <c r="Z1195" s="557"/>
      <c r="AA1195" s="557"/>
      <c r="AB1195" s="557"/>
      <c r="AC1195" s="557"/>
      <c r="AD1195" s="555"/>
      <c r="AE1195" s="555"/>
      <c r="AF1195" s="555"/>
      <c r="AG1195" s="557"/>
      <c r="AH1195" s="557"/>
      <c r="AI1195" s="557"/>
      <c r="AJ1195" s="555"/>
      <c r="AK1195" s="555"/>
      <c r="AL1195" s="555"/>
      <c r="AM1195" s="555"/>
      <c r="AN1195" s="555"/>
      <c r="AO1195" s="555"/>
      <c r="AP1195" s="555"/>
      <c r="AQ1195" s="555"/>
      <c r="AR1195" s="555"/>
      <c r="AS1195" s="555"/>
      <c r="AT1195" s="555"/>
      <c r="AU1195" s="555"/>
      <c r="AV1195" s="555"/>
      <c r="AW1195" s="555"/>
      <c r="AX1195" s="555"/>
      <c r="AY1195" s="555"/>
      <c r="AZ1195" s="555"/>
      <c r="BA1195" s="583"/>
      <c r="BB1195" s="557"/>
      <c r="BC1195" s="555"/>
      <c r="BD1195" s="555"/>
      <c r="BE1195" s="555"/>
      <c r="BF1195" s="555"/>
      <c r="BG1195" s="555"/>
      <c r="BH1195" s="555"/>
      <c r="BI1195" s="555"/>
      <c r="BJ1195" s="583"/>
      <c r="BK1195" s="583"/>
      <c r="BL1195" s="587"/>
      <c r="BM1195" s="1"/>
      <c r="BN1195" s="42"/>
      <c r="BO1195" s="40"/>
      <c r="BP1195" s="40"/>
      <c r="BQ1195" s="40"/>
      <c r="BR1195" s="42"/>
      <c r="BS1195" s="41"/>
      <c r="BT1195" s="42"/>
      <c r="BU1195" s="40"/>
      <c r="BV1195" s="40"/>
      <c r="BW1195" s="40"/>
      <c r="BX1195" s="90"/>
    </row>
    <row r="1196" spans="1:100">
      <c r="A1196" s="601"/>
      <c r="B1196" s="601"/>
      <c r="C1196" s="601"/>
      <c r="D1196" s="557"/>
      <c r="E1196" s="557"/>
      <c r="F1196" s="557"/>
      <c r="G1196" s="557"/>
      <c r="H1196" s="557"/>
      <c r="I1196" s="557"/>
      <c r="J1196" s="557"/>
      <c r="K1196" s="557"/>
      <c r="L1196" s="557"/>
      <c r="M1196" s="557"/>
      <c r="N1196" s="557"/>
      <c r="O1196" s="557"/>
      <c r="P1196" s="557"/>
      <c r="Q1196" s="557"/>
      <c r="R1196" s="557"/>
      <c r="S1196" s="557"/>
      <c r="T1196" s="555"/>
      <c r="U1196" s="600"/>
      <c r="V1196" s="557"/>
      <c r="W1196" s="557"/>
      <c r="X1196" s="557"/>
      <c r="Y1196" s="557"/>
      <c r="Z1196" s="557"/>
      <c r="AA1196" s="557"/>
      <c r="AB1196" s="557"/>
      <c r="AC1196" s="557"/>
      <c r="AD1196" s="555"/>
      <c r="AE1196" s="555"/>
      <c r="AF1196" s="555"/>
      <c r="AG1196" s="557"/>
      <c r="AH1196" s="557"/>
      <c r="AI1196" s="557"/>
      <c r="AJ1196" s="555"/>
      <c r="AK1196" s="555"/>
      <c r="AL1196" s="555"/>
      <c r="AM1196" s="555"/>
      <c r="AN1196" s="555"/>
      <c r="AO1196" s="555"/>
      <c r="AP1196" s="555"/>
      <c r="AQ1196" s="555"/>
      <c r="AR1196" s="555"/>
      <c r="AS1196" s="555"/>
      <c r="AT1196" s="555"/>
      <c r="AU1196" s="555"/>
      <c r="AV1196" s="555"/>
      <c r="AW1196" s="555"/>
      <c r="AX1196" s="555"/>
      <c r="AY1196" s="555"/>
      <c r="AZ1196" s="583"/>
      <c r="BA1196" s="557"/>
      <c r="BB1196" s="555"/>
      <c r="BC1196" s="555"/>
      <c r="BD1196" s="555"/>
      <c r="BE1196" s="555"/>
      <c r="BF1196" s="555"/>
      <c r="BG1196" s="555"/>
      <c r="BH1196" s="555"/>
      <c r="BI1196" s="555"/>
      <c r="BJ1196" s="583"/>
      <c r="BK1196" s="583"/>
      <c r="BL1196" s="587"/>
      <c r="BM1196" s="1"/>
      <c r="CV1196">
        <v>11</v>
      </c>
    </row>
    <row r="1197" spans="1:100">
      <c r="A1197" s="601"/>
      <c r="B1197" s="601"/>
      <c r="C1197" s="601"/>
      <c r="D1197" s="557"/>
      <c r="E1197" s="557"/>
      <c r="F1197" s="557"/>
      <c r="G1197" s="557"/>
      <c r="H1197" s="557"/>
      <c r="I1197" s="557"/>
      <c r="J1197" s="557"/>
      <c r="K1197" s="557"/>
      <c r="L1197" s="557"/>
      <c r="M1197" s="557"/>
      <c r="N1197" s="557"/>
      <c r="O1197" s="557"/>
      <c r="P1197" s="557"/>
      <c r="Q1197" s="557"/>
      <c r="R1197" s="557"/>
      <c r="S1197" s="555"/>
      <c r="T1197" s="600"/>
      <c r="U1197" s="557"/>
      <c r="V1197" s="557"/>
      <c r="W1197" s="557"/>
      <c r="X1197" s="557"/>
      <c r="Y1197" s="557"/>
      <c r="Z1197" s="557"/>
      <c r="AA1197" s="557"/>
      <c r="AB1197" s="557"/>
      <c r="AC1197" s="557"/>
      <c r="AD1197" s="555"/>
      <c r="AE1197" s="555"/>
      <c r="AF1197" s="555"/>
      <c r="AG1197" s="557"/>
      <c r="AH1197" s="557"/>
      <c r="AI1197" s="557"/>
      <c r="AJ1197" s="555"/>
      <c r="AK1197" s="555"/>
      <c r="AL1197" s="555"/>
      <c r="AM1197" s="555"/>
      <c r="AN1197" s="555"/>
      <c r="AO1197" s="555"/>
      <c r="AP1197" s="555"/>
      <c r="AQ1197" s="555"/>
      <c r="AR1197" s="555"/>
      <c r="AS1197" s="555"/>
      <c r="AT1197" s="555"/>
      <c r="AU1197" s="555"/>
      <c r="AV1197" s="555"/>
      <c r="AW1197" s="555"/>
      <c r="AX1197" s="555"/>
      <c r="AY1197" s="583"/>
      <c r="AZ1197" s="557"/>
      <c r="BA1197" s="555"/>
      <c r="BB1197" s="555"/>
      <c r="BC1197" s="555"/>
      <c r="BD1197" s="555"/>
      <c r="BE1197" s="555"/>
      <c r="BF1197" s="555"/>
      <c r="BG1197" s="555"/>
      <c r="BH1197" s="555"/>
      <c r="BI1197" s="555"/>
      <c r="BJ1197" s="583"/>
      <c r="BK1197" s="583"/>
      <c r="BL1197" s="587"/>
      <c r="BM1197" s="1"/>
      <c r="BN1197" s="42"/>
      <c r="BO1197" s="293"/>
      <c r="BP1197" s="40"/>
      <c r="BQ1197" s="206"/>
      <c r="BR1197" s="42"/>
      <c r="BS1197" s="41"/>
      <c r="BT1197" s="42"/>
      <c r="BU1197" s="293"/>
      <c r="BV1197" s="40"/>
      <c r="BW1197" s="206"/>
      <c r="BX1197" s="90"/>
    </row>
    <row r="1198" spans="1:100">
      <c r="A1198" s="601"/>
      <c r="B1198" s="601"/>
      <c r="C1198" s="601"/>
      <c r="D1198" s="557"/>
      <c r="E1198" s="557"/>
      <c r="F1198" s="557"/>
      <c r="G1198" s="557"/>
      <c r="H1198" s="557"/>
      <c r="I1198" s="557"/>
      <c r="J1198" s="557"/>
      <c r="K1198" s="557"/>
      <c r="L1198" s="557"/>
      <c r="M1198" s="557"/>
      <c r="N1198" s="557"/>
      <c r="O1198" s="557"/>
      <c r="P1198" s="557"/>
      <c r="Q1198" s="557"/>
      <c r="R1198" s="555"/>
      <c r="S1198" s="600"/>
      <c r="T1198" s="557"/>
      <c r="U1198" s="557"/>
      <c r="V1198" s="557"/>
      <c r="W1198" s="557"/>
      <c r="X1198" s="557"/>
      <c r="Y1198" s="557"/>
      <c r="Z1198" s="557"/>
      <c r="AA1198" s="557"/>
      <c r="AB1198" s="557"/>
      <c r="AC1198" s="557"/>
      <c r="AD1198" s="555"/>
      <c r="AE1198" s="555"/>
      <c r="AF1198" s="555"/>
      <c r="AG1198" s="557"/>
      <c r="AH1198" s="557"/>
      <c r="AI1198" s="557"/>
      <c r="AJ1198" s="555"/>
      <c r="AK1198" s="555"/>
      <c r="AL1198" s="555"/>
      <c r="AM1198" s="555"/>
      <c r="AN1198" s="555"/>
      <c r="AO1198" s="555"/>
      <c r="AP1198" s="555"/>
      <c r="AQ1198" s="555"/>
      <c r="AR1198" s="555"/>
      <c r="AS1198" s="555"/>
      <c r="AT1198" s="555"/>
      <c r="AU1198" s="555"/>
      <c r="AV1198" s="555"/>
      <c r="AW1198" s="555"/>
      <c r="AX1198" s="583"/>
      <c r="AY1198" s="557"/>
      <c r="AZ1198" s="555"/>
      <c r="BA1198" s="555"/>
      <c r="BB1198" s="555"/>
      <c r="BC1198" s="555"/>
      <c r="BD1198" s="555"/>
      <c r="BE1198" s="555"/>
      <c r="BF1198" s="555"/>
      <c r="BG1198" s="555"/>
      <c r="BH1198" s="555"/>
      <c r="BI1198" s="555"/>
      <c r="BJ1198" s="583"/>
      <c r="BK1198" s="583"/>
      <c r="BL1198" s="587"/>
      <c r="BM1198" s="1"/>
      <c r="BN1198" s="42"/>
      <c r="BO1198" s="42"/>
      <c r="BP1198" s="42"/>
      <c r="BQ1198" s="42"/>
      <c r="BR1198" s="42"/>
      <c r="BS1198" s="42"/>
      <c r="BT1198" s="42"/>
      <c r="BU1198" s="42"/>
      <c r="BV1198" s="42"/>
      <c r="BW1198" s="42"/>
      <c r="BX1198" s="90"/>
    </row>
    <row r="1199" spans="1:100">
      <c r="A1199" s="601"/>
      <c r="B1199" s="601"/>
      <c r="C1199" s="601"/>
      <c r="D1199" s="557"/>
      <c r="E1199" s="557"/>
      <c r="F1199" s="557"/>
      <c r="G1199" s="557"/>
      <c r="H1199" s="557"/>
      <c r="I1199" s="557"/>
      <c r="J1199" s="557"/>
      <c r="K1199" s="557"/>
      <c r="L1199" s="557"/>
      <c r="M1199" s="557"/>
      <c r="N1199" s="557"/>
      <c r="O1199" s="557"/>
      <c r="P1199" s="557"/>
      <c r="Q1199" s="555"/>
      <c r="R1199" s="600"/>
      <c r="S1199" s="557"/>
      <c r="T1199" s="557"/>
      <c r="U1199" s="557"/>
      <c r="V1199" s="557"/>
      <c r="W1199" s="557"/>
      <c r="X1199" s="557"/>
      <c r="Y1199" s="557"/>
      <c r="Z1199" s="557"/>
      <c r="AA1199" s="557"/>
      <c r="AB1199" s="557"/>
      <c r="AC1199" s="557"/>
      <c r="AD1199" s="555"/>
      <c r="AE1199" s="555"/>
      <c r="AF1199" s="555"/>
      <c r="AG1199" s="557"/>
      <c r="AH1199" s="557"/>
      <c r="AI1199" s="557"/>
      <c r="AJ1199" s="555"/>
      <c r="AK1199" s="555"/>
      <c r="AL1199" s="555"/>
      <c r="AM1199" s="555"/>
      <c r="AN1199" s="555"/>
      <c r="AO1199" s="555"/>
      <c r="AP1199" s="555"/>
      <c r="AQ1199" s="555"/>
      <c r="AR1199" s="555"/>
      <c r="AS1199" s="555"/>
      <c r="AT1199" s="555"/>
      <c r="AU1199" s="555"/>
      <c r="AV1199" s="555"/>
      <c r="AW1199" s="583"/>
      <c r="AX1199" s="557"/>
      <c r="AY1199" s="555"/>
      <c r="AZ1199" s="555"/>
      <c r="BA1199" s="555"/>
      <c r="BB1199" s="555"/>
      <c r="BC1199" s="555"/>
      <c r="BD1199" s="555"/>
      <c r="BE1199" s="555"/>
      <c r="BF1199" s="555"/>
      <c r="BG1199" s="555"/>
      <c r="BH1199" s="555"/>
      <c r="BI1199" s="555"/>
      <c r="BJ1199" s="583"/>
      <c r="BK1199" s="583"/>
      <c r="BL1199" s="587"/>
      <c r="BM1199" s="1"/>
      <c r="BN1199" s="42"/>
      <c r="BO1199" s="40"/>
      <c r="BP1199" s="42"/>
      <c r="BQ1199" s="18"/>
      <c r="BR1199" s="42"/>
      <c r="BS1199" s="316"/>
      <c r="BT1199" s="42"/>
      <c r="BU1199" s="316"/>
      <c r="BV1199" s="42"/>
      <c r="BW1199" s="41"/>
      <c r="BX1199" s="90"/>
    </row>
    <row r="1200" spans="1:100">
      <c r="A1200" s="601"/>
      <c r="B1200" s="601"/>
      <c r="C1200" s="601"/>
      <c r="D1200" s="557"/>
      <c r="E1200" s="557"/>
      <c r="F1200" s="557"/>
      <c r="G1200" s="557"/>
      <c r="H1200" s="557"/>
      <c r="I1200" s="557"/>
      <c r="J1200" s="557"/>
      <c r="K1200" s="557"/>
      <c r="L1200" s="557"/>
      <c r="M1200" s="557"/>
      <c r="N1200" s="557"/>
      <c r="O1200" s="557"/>
      <c r="P1200" s="555"/>
      <c r="Q1200" s="600"/>
      <c r="R1200" s="557"/>
      <c r="S1200" s="557"/>
      <c r="T1200" s="557"/>
      <c r="U1200" s="557"/>
      <c r="V1200" s="557"/>
      <c r="W1200" s="557"/>
      <c r="X1200" s="557"/>
      <c r="Y1200" s="557"/>
      <c r="Z1200" s="557"/>
      <c r="AA1200" s="557"/>
      <c r="AB1200" s="557"/>
      <c r="AC1200" s="557"/>
      <c r="AD1200" s="555"/>
      <c r="AE1200" s="555"/>
      <c r="AF1200" s="555"/>
      <c r="AG1200" s="557"/>
      <c r="AH1200" s="557"/>
      <c r="AI1200" s="557"/>
      <c r="AJ1200" s="555"/>
      <c r="AK1200" s="555"/>
      <c r="AL1200" s="555"/>
      <c r="AM1200" s="555"/>
      <c r="AN1200" s="555"/>
      <c r="AO1200" s="555"/>
      <c r="AP1200" s="555"/>
      <c r="AQ1200" s="555"/>
      <c r="AR1200" s="555"/>
      <c r="AS1200" s="555"/>
      <c r="AT1200" s="555"/>
      <c r="AU1200" s="555"/>
      <c r="AV1200" s="583"/>
      <c r="AW1200" s="557"/>
      <c r="AX1200" s="555"/>
      <c r="AY1200" s="555"/>
      <c r="AZ1200" s="555"/>
      <c r="BA1200" s="555"/>
      <c r="BB1200" s="555"/>
      <c r="BC1200" s="555"/>
      <c r="BD1200" s="555"/>
      <c r="BE1200" s="555"/>
      <c r="BF1200" s="555"/>
      <c r="BG1200" s="555"/>
      <c r="BH1200" s="555"/>
      <c r="BI1200" s="555"/>
      <c r="BJ1200" s="583"/>
      <c r="BK1200" s="583"/>
      <c r="BL1200" s="587"/>
      <c r="BM1200" s="1"/>
      <c r="BN1200" s="42"/>
      <c r="BO1200" s="40"/>
      <c r="BP1200" s="42"/>
      <c r="BQ1200" s="204"/>
      <c r="BR1200" s="42"/>
      <c r="BS1200" s="308"/>
      <c r="BT1200" s="43"/>
      <c r="BU1200" s="204"/>
      <c r="BV1200" s="42"/>
      <c r="BW1200" s="41"/>
      <c r="BX1200" s="90"/>
    </row>
    <row r="1201" spans="1:100">
      <c r="A1201" s="601"/>
      <c r="B1201" s="601"/>
      <c r="C1201" s="601"/>
      <c r="D1201" s="557"/>
      <c r="E1201" s="557"/>
      <c r="F1201" s="557"/>
      <c r="G1201" s="557"/>
      <c r="H1201" s="557"/>
      <c r="I1201" s="557"/>
      <c r="J1201" s="557"/>
      <c r="K1201" s="557"/>
      <c r="L1201" s="557"/>
      <c r="M1201" s="557"/>
      <c r="N1201" s="557"/>
      <c r="O1201" s="555"/>
      <c r="P1201" s="600"/>
      <c r="Q1201" s="557"/>
      <c r="R1201" s="557"/>
      <c r="S1201" s="557"/>
      <c r="T1201" s="557"/>
      <c r="U1201" s="557"/>
      <c r="V1201" s="557"/>
      <c r="W1201" s="557"/>
      <c r="X1201" s="557"/>
      <c r="Y1201" s="557"/>
      <c r="Z1201" s="557"/>
      <c r="AA1201" s="557"/>
      <c r="AB1201" s="557"/>
      <c r="AC1201" s="557"/>
      <c r="AD1201" s="555"/>
      <c r="AE1201" s="555"/>
      <c r="AF1201" s="555"/>
      <c r="AG1201" s="557"/>
      <c r="AH1201" s="557"/>
      <c r="AI1201" s="557"/>
      <c r="AJ1201" s="555"/>
      <c r="AK1201" s="555"/>
      <c r="AL1201" s="555"/>
      <c r="AM1201" s="555"/>
      <c r="AN1201" s="555"/>
      <c r="AO1201" s="555"/>
      <c r="AP1201" s="555"/>
      <c r="AQ1201" s="555"/>
      <c r="AR1201" s="555"/>
      <c r="AS1201" s="555"/>
      <c r="AT1201" s="555"/>
      <c r="AU1201" s="583"/>
      <c r="AV1201" s="557"/>
      <c r="AW1201" s="555"/>
      <c r="AX1201" s="555"/>
      <c r="AY1201" s="555"/>
      <c r="AZ1201" s="555"/>
      <c r="BA1201" s="555"/>
      <c r="BB1201" s="555"/>
      <c r="BC1201" s="555"/>
      <c r="BD1201" s="555"/>
      <c r="BE1201" s="555"/>
      <c r="BF1201" s="555"/>
      <c r="BG1201" s="555"/>
      <c r="BH1201" s="555"/>
      <c r="BI1201" s="555"/>
      <c r="BJ1201" s="583"/>
      <c r="BK1201" s="583"/>
      <c r="BL1201" s="587"/>
      <c r="BM1201" s="1"/>
      <c r="BN1201" s="42"/>
      <c r="BO1201" s="40"/>
      <c r="BP1201" s="42"/>
      <c r="BQ1201" s="19"/>
      <c r="BR1201" s="43"/>
      <c r="BS1201" s="19"/>
      <c r="BT1201" s="43"/>
      <c r="BU1201" s="19"/>
      <c r="BV1201" s="42"/>
      <c r="BW1201" s="41"/>
      <c r="BX1201" s="90"/>
    </row>
    <row r="1202" spans="1:100">
      <c r="A1202" s="601"/>
      <c r="B1202" s="601"/>
      <c r="C1202" s="601"/>
      <c r="D1202" s="557"/>
      <c r="E1202" s="557"/>
      <c r="F1202" s="557"/>
      <c r="G1202" s="557"/>
      <c r="H1202" s="557"/>
      <c r="I1202" s="557"/>
      <c r="J1202" s="557"/>
      <c r="K1202" s="557"/>
      <c r="L1202" s="557"/>
      <c r="M1202" s="557"/>
      <c r="N1202" s="555"/>
      <c r="O1202" s="600"/>
      <c r="P1202" s="557"/>
      <c r="Q1202" s="557"/>
      <c r="R1202" s="557"/>
      <c r="S1202" s="557"/>
      <c r="T1202" s="557"/>
      <c r="U1202" s="557"/>
      <c r="V1202" s="557"/>
      <c r="W1202" s="557"/>
      <c r="X1202" s="557"/>
      <c r="Y1202" s="557"/>
      <c r="Z1202" s="557"/>
      <c r="AA1202" s="557"/>
      <c r="AB1202" s="557"/>
      <c r="AC1202" s="557"/>
      <c r="AD1202" s="555"/>
      <c r="AE1202" s="555"/>
      <c r="AF1202" s="555"/>
      <c r="AG1202" s="557"/>
      <c r="AH1202" s="557"/>
      <c r="AI1202" s="557"/>
      <c r="AJ1202" s="555"/>
      <c r="AK1202" s="555"/>
      <c r="AL1202" s="555"/>
      <c r="AM1202" s="555"/>
      <c r="AN1202" s="555"/>
      <c r="AO1202" s="555"/>
      <c r="AP1202" s="555"/>
      <c r="AQ1202" s="555"/>
      <c r="AR1202" s="555"/>
      <c r="AS1202" s="555"/>
      <c r="AT1202" s="583"/>
      <c r="AU1202" s="557"/>
      <c r="AV1202" s="555"/>
      <c r="AW1202" s="555"/>
      <c r="AX1202" s="555"/>
      <c r="AY1202" s="555"/>
      <c r="AZ1202" s="555"/>
      <c r="BA1202" s="555"/>
      <c r="BB1202" s="555"/>
      <c r="BC1202" s="555"/>
      <c r="BD1202" s="555"/>
      <c r="BE1202" s="555"/>
      <c r="BF1202" s="555"/>
      <c r="BG1202" s="555"/>
      <c r="BH1202" s="555"/>
      <c r="BI1202" s="555"/>
      <c r="BJ1202" s="583"/>
      <c r="BK1202" s="583"/>
      <c r="BL1202" s="587"/>
      <c r="BM1202" s="1"/>
      <c r="BN1202" s="42"/>
      <c r="BO1202" s="40"/>
      <c r="BP1202" s="42"/>
      <c r="BQ1202" s="17"/>
      <c r="BR1202" s="43"/>
      <c r="BS1202" s="17"/>
      <c r="BT1202" s="43"/>
      <c r="BU1202" s="17"/>
      <c r="BV1202" s="42"/>
      <c r="BW1202" s="41"/>
      <c r="BX1202" s="90"/>
    </row>
    <row r="1203" spans="1:100">
      <c r="A1203" s="601"/>
      <c r="B1203" s="601"/>
      <c r="C1203" s="601"/>
      <c r="D1203" s="557"/>
      <c r="E1203" s="557"/>
      <c r="F1203" s="557"/>
      <c r="G1203" s="557"/>
      <c r="H1203" s="557"/>
      <c r="I1203" s="557"/>
      <c r="J1203" s="557"/>
      <c r="K1203" s="557"/>
      <c r="L1203" s="557"/>
      <c r="M1203" s="555"/>
      <c r="N1203" s="600"/>
      <c r="O1203" s="557"/>
      <c r="P1203" s="557"/>
      <c r="Q1203" s="557"/>
      <c r="R1203" s="557"/>
      <c r="S1203" s="557"/>
      <c r="T1203" s="557"/>
      <c r="U1203" s="557"/>
      <c r="V1203" s="557"/>
      <c r="W1203" s="557"/>
      <c r="X1203" s="557"/>
      <c r="Y1203" s="557"/>
      <c r="Z1203" s="557"/>
      <c r="AA1203" s="557"/>
      <c r="AB1203" s="557"/>
      <c r="AC1203" s="557"/>
      <c r="AD1203" s="555"/>
      <c r="AE1203" s="555"/>
      <c r="AF1203" s="555"/>
      <c r="AG1203" s="557"/>
      <c r="AH1203" s="557"/>
      <c r="AI1203" s="557"/>
      <c r="AJ1203" s="555"/>
      <c r="AK1203" s="555"/>
      <c r="AL1203" s="555"/>
      <c r="AM1203" s="555"/>
      <c r="AN1203" s="555"/>
      <c r="AO1203" s="555"/>
      <c r="AP1203" s="555"/>
      <c r="AQ1203" s="555"/>
      <c r="AR1203" s="555"/>
      <c r="AS1203" s="583"/>
      <c r="AT1203" s="557"/>
      <c r="AU1203" s="555"/>
      <c r="AV1203" s="555"/>
      <c r="AW1203" s="555"/>
      <c r="AX1203" s="555"/>
      <c r="AY1203" s="555"/>
      <c r="AZ1203" s="555"/>
      <c r="BA1203" s="555"/>
      <c r="BB1203" s="555"/>
      <c r="BC1203" s="555"/>
      <c r="BD1203" s="555"/>
      <c r="BE1203" s="555"/>
      <c r="BF1203" s="555"/>
      <c r="BG1203" s="555"/>
      <c r="BH1203" s="555"/>
      <c r="BI1203" s="555"/>
      <c r="BJ1203" s="583"/>
      <c r="BK1203" s="583"/>
      <c r="BL1203" s="587"/>
      <c r="BM1203" s="1"/>
      <c r="BN1203" s="42"/>
      <c r="BO1203" s="42"/>
      <c r="BP1203" s="42"/>
      <c r="BQ1203" s="42"/>
      <c r="BR1203" s="43"/>
      <c r="BS1203" s="42"/>
      <c r="BT1203" s="43"/>
      <c r="BU1203" s="42"/>
      <c r="BV1203" s="42"/>
      <c r="BW1203" s="42"/>
      <c r="BX1203" s="90"/>
    </row>
    <row r="1204" spans="1:100">
      <c r="A1204" s="601"/>
      <c r="B1204" s="601"/>
      <c r="C1204" s="601"/>
      <c r="D1204" s="557"/>
      <c r="E1204" s="557"/>
      <c r="F1204" s="557"/>
      <c r="G1204" s="557"/>
      <c r="H1204" s="557"/>
      <c r="I1204" s="557"/>
      <c r="J1204" s="557"/>
      <c r="K1204" s="557"/>
      <c r="L1204" s="555"/>
      <c r="M1204" s="600"/>
      <c r="N1204" s="557"/>
      <c r="O1204" s="557"/>
      <c r="P1204" s="557"/>
      <c r="Q1204" s="557"/>
      <c r="R1204" s="557"/>
      <c r="S1204" s="557"/>
      <c r="T1204" s="557"/>
      <c r="U1204" s="557"/>
      <c r="V1204" s="557"/>
      <c r="W1204" s="557"/>
      <c r="X1204" s="557"/>
      <c r="Y1204" s="557"/>
      <c r="Z1204" s="557"/>
      <c r="AA1204" s="557"/>
      <c r="AB1204" s="557"/>
      <c r="AC1204" s="557"/>
      <c r="AD1204" s="555"/>
      <c r="AE1204" s="555"/>
      <c r="AF1204" s="555"/>
      <c r="AG1204" s="557"/>
      <c r="AH1204" s="557"/>
      <c r="AI1204" s="557"/>
      <c r="AJ1204" s="555"/>
      <c r="AK1204" s="555"/>
      <c r="AL1204" s="555"/>
      <c r="AM1204" s="555"/>
      <c r="AN1204" s="555"/>
      <c r="AO1204" s="555"/>
      <c r="AP1204" s="555"/>
      <c r="AQ1204" s="555"/>
      <c r="AR1204" s="583"/>
      <c r="AS1204" s="557"/>
      <c r="AT1204" s="555"/>
      <c r="AU1204" s="555"/>
      <c r="AV1204" s="555"/>
      <c r="AW1204" s="555"/>
      <c r="AX1204" s="555"/>
      <c r="AY1204" s="555"/>
      <c r="AZ1204" s="555"/>
      <c r="BA1204" s="555"/>
      <c r="BB1204" s="555"/>
      <c r="BC1204" s="555"/>
      <c r="BD1204" s="555"/>
      <c r="BE1204" s="555"/>
      <c r="BF1204" s="555"/>
      <c r="BG1204" s="555"/>
      <c r="BH1204" s="555"/>
      <c r="BI1204" s="555"/>
      <c r="BJ1204" s="583"/>
      <c r="BK1204" s="583"/>
      <c r="BL1204" s="587"/>
      <c r="BM1204" s="1"/>
      <c r="BN1204" s="42"/>
      <c r="BO1204" s="301"/>
      <c r="BP1204" s="40"/>
      <c r="BQ1204" s="293"/>
      <c r="BR1204" s="43"/>
      <c r="BS1204" s="41"/>
      <c r="BT1204" s="43"/>
      <c r="BU1204" s="301"/>
      <c r="BV1204" s="40"/>
      <c r="BW1204" s="293"/>
      <c r="BX1204" s="90"/>
    </row>
    <row r="1205" spans="1:100">
      <c r="A1205" s="601"/>
      <c r="B1205" s="601"/>
      <c r="C1205" s="601"/>
      <c r="D1205" s="557"/>
      <c r="E1205" s="557"/>
      <c r="F1205" s="557"/>
      <c r="G1205" s="557"/>
      <c r="H1205" s="557"/>
      <c r="I1205" s="557"/>
      <c r="J1205" s="557"/>
      <c r="K1205" s="555"/>
      <c r="L1205" s="600"/>
      <c r="M1205" s="557"/>
      <c r="N1205" s="557"/>
      <c r="O1205" s="557"/>
      <c r="P1205" s="557"/>
      <c r="Q1205" s="557"/>
      <c r="R1205" s="557"/>
      <c r="S1205" s="557"/>
      <c r="T1205" s="557"/>
      <c r="U1205" s="557"/>
      <c r="V1205" s="557"/>
      <c r="W1205" s="557"/>
      <c r="X1205" s="557"/>
      <c r="Y1205" s="557"/>
      <c r="Z1205" s="557"/>
      <c r="AA1205" s="557"/>
      <c r="AB1205" s="557"/>
      <c r="AC1205" s="557"/>
      <c r="AD1205" s="555"/>
      <c r="AE1205" s="555"/>
      <c r="AF1205" s="555"/>
      <c r="AG1205" s="557"/>
      <c r="AH1205" s="557"/>
      <c r="AI1205" s="557"/>
      <c r="AJ1205" s="555"/>
      <c r="AK1205" s="555"/>
      <c r="AL1205" s="555"/>
      <c r="AM1205" s="555"/>
      <c r="AN1205" s="555"/>
      <c r="AO1205" s="555"/>
      <c r="AP1205" s="555"/>
      <c r="AQ1205" s="583"/>
      <c r="AR1205" s="557"/>
      <c r="AS1205" s="555"/>
      <c r="AT1205" s="555"/>
      <c r="AU1205" s="555"/>
      <c r="AV1205" s="555"/>
      <c r="AW1205" s="555"/>
      <c r="AX1205" s="555"/>
      <c r="AY1205" s="555"/>
      <c r="AZ1205" s="555"/>
      <c r="BA1205" s="555"/>
      <c r="BB1205" s="555"/>
      <c r="BC1205" s="555"/>
      <c r="BD1205" s="555"/>
      <c r="BE1205" s="555"/>
      <c r="BF1205" s="555"/>
      <c r="BG1205" s="555"/>
      <c r="BH1205" s="555"/>
      <c r="BI1205" s="555"/>
      <c r="BJ1205" s="583"/>
      <c r="BK1205" s="583"/>
      <c r="BL1205" s="587"/>
      <c r="BM1205" s="1"/>
      <c r="CV1205">
        <v>11</v>
      </c>
    </row>
    <row r="1206" spans="1:100">
      <c r="A1206" s="601"/>
      <c r="B1206" s="601"/>
      <c r="C1206" s="601"/>
      <c r="D1206" s="557"/>
      <c r="E1206" s="557"/>
      <c r="F1206" s="557"/>
      <c r="G1206" s="557"/>
      <c r="H1206" s="557"/>
      <c r="I1206" s="557"/>
      <c r="J1206" s="555"/>
      <c r="K1206" s="600"/>
      <c r="L1206" s="557"/>
      <c r="M1206" s="557"/>
      <c r="N1206" s="557"/>
      <c r="O1206" s="557"/>
      <c r="P1206" s="557"/>
      <c r="Q1206" s="557"/>
      <c r="R1206" s="557"/>
      <c r="S1206" s="557"/>
      <c r="T1206" s="557"/>
      <c r="U1206" s="557"/>
      <c r="V1206" s="557"/>
      <c r="W1206" s="557"/>
      <c r="X1206" s="557"/>
      <c r="Y1206" s="557"/>
      <c r="Z1206" s="557"/>
      <c r="AA1206" s="557"/>
      <c r="AB1206" s="557"/>
      <c r="AC1206" s="557"/>
      <c r="AD1206" s="555"/>
      <c r="AE1206" s="555"/>
      <c r="AF1206" s="555"/>
      <c r="AG1206" s="557"/>
      <c r="AH1206" s="557"/>
      <c r="AI1206" s="557"/>
      <c r="AJ1206" s="555"/>
      <c r="AK1206" s="555"/>
      <c r="AL1206" s="555"/>
      <c r="AM1206" s="555"/>
      <c r="AN1206" s="555"/>
      <c r="AO1206" s="555"/>
      <c r="AP1206" s="583"/>
      <c r="AQ1206" s="557"/>
      <c r="AR1206" s="555"/>
      <c r="AS1206" s="555"/>
      <c r="AT1206" s="555"/>
      <c r="AU1206" s="555"/>
      <c r="AV1206" s="555"/>
      <c r="AW1206" s="555"/>
      <c r="AX1206" s="555"/>
      <c r="AY1206" s="555"/>
      <c r="AZ1206" s="555"/>
      <c r="BA1206" s="555"/>
      <c r="BB1206" s="555"/>
      <c r="BC1206" s="555"/>
      <c r="BD1206" s="555"/>
      <c r="BE1206" s="555"/>
      <c r="BF1206" s="555"/>
      <c r="BG1206" s="555"/>
      <c r="BH1206" s="555"/>
      <c r="BI1206" s="555"/>
      <c r="BJ1206" s="583"/>
      <c r="BK1206" s="583"/>
      <c r="BL1206" s="587"/>
      <c r="BM1206" s="1"/>
      <c r="CV1206">
        <v>11</v>
      </c>
    </row>
    <row r="1207" spans="1:100">
      <c r="A1207" s="601"/>
      <c r="B1207" s="601"/>
      <c r="C1207" s="600"/>
      <c r="D1207" s="555"/>
      <c r="E1207" s="555"/>
      <c r="F1207" s="555"/>
      <c r="G1207" s="555"/>
      <c r="H1207" s="555"/>
      <c r="I1207" s="555"/>
      <c r="J1207" s="600"/>
      <c r="K1207" s="557"/>
      <c r="L1207" s="557"/>
      <c r="M1207" s="557"/>
      <c r="N1207" s="557"/>
      <c r="O1207" s="557"/>
      <c r="P1207" s="557"/>
      <c r="Q1207" s="557"/>
      <c r="R1207" s="557"/>
      <c r="S1207" s="557"/>
      <c r="T1207" s="557"/>
      <c r="U1207" s="557"/>
      <c r="V1207" s="557"/>
      <c r="W1207" s="557"/>
      <c r="X1207" s="557"/>
      <c r="Y1207" s="557"/>
      <c r="Z1207" s="557"/>
      <c r="AA1207" s="557"/>
      <c r="AB1207" s="557"/>
      <c r="AC1207" s="557"/>
      <c r="AD1207" s="555"/>
      <c r="AE1207" s="555"/>
      <c r="AF1207" s="555"/>
      <c r="AG1207" s="557"/>
      <c r="AH1207" s="557"/>
      <c r="AI1207" s="583"/>
      <c r="AJ1207" s="583"/>
      <c r="AK1207" s="583"/>
      <c r="AL1207" s="583"/>
      <c r="AM1207" s="583"/>
      <c r="AN1207" s="583"/>
      <c r="AO1207" s="583"/>
      <c r="AP1207" s="557"/>
      <c r="AQ1207" s="555"/>
      <c r="AR1207" s="555"/>
      <c r="AS1207" s="555"/>
      <c r="AT1207" s="555"/>
      <c r="AU1207" s="555"/>
      <c r="AV1207" s="555"/>
      <c r="AW1207" s="555"/>
      <c r="AX1207" s="555"/>
      <c r="AY1207" s="555"/>
      <c r="AZ1207" s="555"/>
      <c r="BA1207" s="555"/>
      <c r="BB1207" s="555"/>
      <c r="BC1207" s="555"/>
      <c r="BD1207" s="555"/>
      <c r="BE1207" s="555"/>
      <c r="BF1207" s="555"/>
      <c r="BG1207" s="555"/>
      <c r="BH1207" s="555"/>
      <c r="BI1207" s="555"/>
      <c r="BJ1207" s="583"/>
      <c r="BK1207" s="583"/>
      <c r="BL1207" s="587"/>
      <c r="BM1207" s="1"/>
      <c r="CV1207">
        <v>13</v>
      </c>
    </row>
    <row r="1208" spans="1:100">
      <c r="A1208" s="601"/>
      <c r="B1208" s="601"/>
      <c r="C1208" s="601"/>
      <c r="D1208" s="600"/>
      <c r="E1208" s="600"/>
      <c r="F1208" s="600"/>
      <c r="G1208" s="600"/>
      <c r="H1208" s="600"/>
      <c r="I1208" s="600"/>
      <c r="J1208" s="557"/>
      <c r="K1208" s="557"/>
      <c r="L1208" s="557"/>
      <c r="M1208" s="557"/>
      <c r="N1208" s="557"/>
      <c r="O1208" s="557"/>
      <c r="P1208" s="557"/>
      <c r="Q1208" s="557"/>
      <c r="R1208" s="557"/>
      <c r="S1208" s="557"/>
      <c r="T1208" s="557"/>
      <c r="U1208" s="557"/>
      <c r="V1208" s="557"/>
      <c r="W1208" s="557"/>
      <c r="X1208" s="557"/>
      <c r="Y1208" s="557"/>
      <c r="Z1208" s="557"/>
      <c r="AA1208" s="557"/>
      <c r="AB1208" s="557"/>
      <c r="AC1208" s="557"/>
      <c r="AD1208" s="555"/>
      <c r="AE1208" s="555"/>
      <c r="AF1208" s="555"/>
      <c r="AG1208" s="557"/>
      <c r="AH1208" s="557"/>
      <c r="AI1208" s="600"/>
      <c r="AJ1208" s="557"/>
      <c r="AK1208" s="557"/>
      <c r="AL1208" s="557"/>
      <c r="AM1208" s="557"/>
      <c r="AN1208" s="557"/>
      <c r="AO1208" s="557"/>
      <c r="AP1208" s="555"/>
      <c r="AQ1208" s="555"/>
      <c r="AR1208" s="555"/>
      <c r="AS1208" s="555"/>
      <c r="AT1208" s="555"/>
      <c r="AU1208" s="555"/>
      <c r="AV1208" s="555"/>
      <c r="AW1208" s="555"/>
      <c r="AX1208" s="555"/>
      <c r="AY1208" s="555"/>
      <c r="AZ1208" s="555"/>
      <c r="BA1208" s="555"/>
      <c r="BB1208" s="555"/>
      <c r="BC1208" s="555"/>
      <c r="BD1208" s="555"/>
      <c r="BE1208" s="555"/>
      <c r="BF1208" s="555"/>
      <c r="BG1208" s="555"/>
      <c r="BH1208" s="555"/>
      <c r="BI1208" s="555"/>
      <c r="BJ1208" s="583"/>
      <c r="BK1208" s="583"/>
      <c r="BL1208" s="587"/>
      <c r="BM1208" s="1"/>
      <c r="CV1208">
        <v>1</v>
      </c>
    </row>
    <row r="1209" spans="1:100">
      <c r="A1209" s="601"/>
      <c r="B1209" s="601"/>
      <c r="C1209" s="601"/>
      <c r="D1209" s="557"/>
      <c r="E1209" s="557"/>
      <c r="F1209" s="557"/>
      <c r="G1209" s="557"/>
      <c r="H1209" s="557"/>
      <c r="I1209" s="557"/>
      <c r="J1209" s="557"/>
      <c r="K1209" s="557"/>
      <c r="L1209" s="557"/>
      <c r="M1209" s="557"/>
      <c r="N1209" s="557"/>
      <c r="O1209" s="557"/>
      <c r="P1209" s="557"/>
      <c r="Q1209" s="557"/>
      <c r="R1209" s="557"/>
      <c r="S1209" s="557"/>
      <c r="T1209" s="557"/>
      <c r="U1209" s="557"/>
      <c r="V1209" s="557"/>
      <c r="W1209" s="557"/>
      <c r="X1209" s="557"/>
      <c r="Y1209" s="557"/>
      <c r="Z1209" s="557"/>
      <c r="AA1209" s="555"/>
      <c r="AB1209" s="557"/>
      <c r="AC1209" s="555"/>
      <c r="AD1209" s="555"/>
      <c r="AE1209" s="555"/>
      <c r="AF1209" s="555"/>
      <c r="AG1209" s="557"/>
      <c r="AH1209" s="557"/>
      <c r="AI1209" s="557"/>
      <c r="AJ1209" s="555"/>
      <c r="AK1209" s="555"/>
      <c r="AL1209" s="555"/>
      <c r="AM1209" s="555"/>
      <c r="AN1209" s="555"/>
      <c r="AO1209" s="555"/>
      <c r="AP1209" s="555"/>
      <c r="AQ1209" s="555"/>
      <c r="AR1209" s="555"/>
      <c r="AS1209" s="555"/>
      <c r="AT1209" s="555"/>
      <c r="AU1209" s="555"/>
      <c r="AV1209" s="555"/>
      <c r="AW1209" s="555"/>
      <c r="AX1209" s="555"/>
      <c r="AY1209" s="555"/>
      <c r="AZ1209" s="555"/>
      <c r="BA1209" s="555"/>
      <c r="BB1209" s="555"/>
      <c r="BC1209" s="555"/>
      <c r="BD1209" s="555"/>
      <c r="BE1209" s="555"/>
      <c r="BF1209" s="555"/>
      <c r="BG1209" s="555"/>
      <c r="BH1209" s="555"/>
      <c r="BI1209" s="555"/>
      <c r="BJ1209" s="583"/>
      <c r="BK1209" s="583"/>
      <c r="BL1209" s="587"/>
      <c r="BM1209" s="1"/>
      <c r="BN1209" s="42"/>
      <c r="BO1209" s="97"/>
      <c r="BP1209" s="43"/>
      <c r="BQ1209" s="97"/>
      <c r="BR1209" s="43"/>
      <c r="BS1209" s="39"/>
      <c r="BT1209" s="43"/>
      <c r="BU1209" s="97"/>
      <c r="BV1209" s="42"/>
      <c r="BW1209" s="97"/>
      <c r="BX1209" s="90"/>
    </row>
    <row r="1210" spans="1:100">
      <c r="A1210" s="601"/>
      <c r="B1210" s="601"/>
      <c r="C1210" s="601"/>
      <c r="D1210" s="557"/>
      <c r="E1210" s="557"/>
      <c r="F1210" s="557"/>
      <c r="G1210" s="557"/>
      <c r="H1210" s="557"/>
      <c r="I1210" s="557"/>
      <c r="J1210" s="557"/>
      <c r="K1210" s="557"/>
      <c r="L1210" s="557"/>
      <c r="M1210" s="557"/>
      <c r="N1210" s="557"/>
      <c r="O1210" s="557"/>
      <c r="P1210" s="557"/>
      <c r="Q1210" s="557"/>
      <c r="R1210" s="557"/>
      <c r="S1210" s="557"/>
      <c r="T1210" s="557"/>
      <c r="U1210" s="557"/>
      <c r="V1210" s="557"/>
      <c r="W1210" s="557"/>
      <c r="X1210" s="557"/>
      <c r="Y1210" s="557"/>
      <c r="Z1210" s="557"/>
      <c r="AA1210" s="557"/>
      <c r="AB1210" s="555"/>
      <c r="AC1210" s="557"/>
      <c r="AD1210" s="555"/>
      <c r="AE1210" s="555"/>
      <c r="AF1210" s="555"/>
      <c r="AG1210" s="557"/>
      <c r="AH1210" s="557"/>
      <c r="AI1210" s="557"/>
      <c r="AJ1210" s="555"/>
      <c r="AK1210" s="555"/>
      <c r="AL1210" s="555"/>
      <c r="AM1210" s="555"/>
      <c r="AN1210" s="555"/>
      <c r="AO1210" s="555"/>
      <c r="AP1210" s="555"/>
      <c r="AQ1210" s="555"/>
      <c r="AR1210" s="555"/>
      <c r="AS1210" s="555"/>
      <c r="AT1210" s="555"/>
      <c r="AU1210" s="555"/>
      <c r="AV1210" s="555"/>
      <c r="AW1210" s="555"/>
      <c r="AX1210" s="555"/>
      <c r="AY1210" s="555"/>
      <c r="AZ1210" s="555"/>
      <c r="BA1210" s="555"/>
      <c r="BB1210" s="555"/>
      <c r="BC1210" s="555"/>
      <c r="BD1210" s="555"/>
      <c r="BE1210" s="555"/>
      <c r="BF1210" s="555"/>
      <c r="BG1210" s="555"/>
      <c r="BH1210" s="583"/>
      <c r="BI1210" s="555"/>
      <c r="BJ1210" s="583"/>
      <c r="BK1210" s="583"/>
      <c r="BL1210" s="587"/>
      <c r="BM1210" s="1"/>
      <c r="BN1210" s="42"/>
      <c r="BO1210" s="98"/>
      <c r="BP1210" s="43"/>
      <c r="BQ1210" s="98"/>
      <c r="BR1210" s="43"/>
      <c r="BS1210" s="39"/>
      <c r="BT1210" s="43"/>
      <c r="BU1210" s="98"/>
      <c r="BV1210" s="42"/>
      <c r="BW1210" s="98"/>
      <c r="BX1210" s="90"/>
    </row>
    <row r="1211" spans="1:100">
      <c r="A1211" s="601"/>
      <c r="B1211" s="601"/>
      <c r="C1211" s="601"/>
      <c r="D1211" s="557"/>
      <c r="E1211" s="557"/>
      <c r="F1211" s="557"/>
      <c r="G1211" s="557"/>
      <c r="H1211" s="557"/>
      <c r="I1211" s="557"/>
      <c r="J1211" s="557"/>
      <c r="K1211" s="557"/>
      <c r="L1211" s="557"/>
      <c r="M1211" s="557"/>
      <c r="N1211" s="557"/>
      <c r="O1211" s="557"/>
      <c r="P1211" s="557"/>
      <c r="Q1211" s="557"/>
      <c r="R1211" s="557"/>
      <c r="S1211" s="557"/>
      <c r="T1211" s="557"/>
      <c r="U1211" s="557"/>
      <c r="V1211" s="557"/>
      <c r="W1211" s="557"/>
      <c r="X1211" s="557"/>
      <c r="Y1211" s="555"/>
      <c r="Z1211" s="557"/>
      <c r="AA1211" s="555"/>
      <c r="AB1211" s="557"/>
      <c r="AC1211" s="555"/>
      <c r="AD1211" s="555"/>
      <c r="AE1211" s="555"/>
      <c r="AF1211" s="555"/>
      <c r="AG1211" s="557"/>
      <c r="AH1211" s="557"/>
      <c r="AI1211" s="557"/>
      <c r="AJ1211" s="555"/>
      <c r="AK1211" s="555"/>
      <c r="AL1211" s="555"/>
      <c r="AM1211" s="555"/>
      <c r="AN1211" s="555"/>
      <c r="AO1211" s="555"/>
      <c r="AP1211" s="555"/>
      <c r="AQ1211" s="555"/>
      <c r="AR1211" s="555"/>
      <c r="AS1211" s="555"/>
      <c r="AT1211" s="555"/>
      <c r="AU1211" s="555"/>
      <c r="AV1211" s="555"/>
      <c r="AW1211" s="555"/>
      <c r="AX1211" s="555"/>
      <c r="AY1211" s="555"/>
      <c r="AZ1211" s="555"/>
      <c r="BA1211" s="555"/>
      <c r="BB1211" s="555"/>
      <c r="BC1211" s="555"/>
      <c r="BD1211" s="555"/>
      <c r="BE1211" s="555"/>
      <c r="BF1211" s="555"/>
      <c r="BG1211" s="555"/>
      <c r="BH1211" s="555"/>
      <c r="BI1211" s="583"/>
      <c r="BJ1211" s="583"/>
      <c r="BK1211" s="583"/>
      <c r="BL1211" s="587"/>
      <c r="BM1211" s="1"/>
      <c r="BN1211" s="42"/>
      <c r="BO1211" s="97"/>
      <c r="BP1211" s="43"/>
      <c r="BQ1211" s="97"/>
      <c r="BR1211" s="43"/>
      <c r="BS1211" s="39"/>
      <c r="BT1211" s="43"/>
      <c r="BU1211" s="97"/>
      <c r="BV1211" s="42"/>
      <c r="BW1211" s="97"/>
      <c r="BX1211" s="90"/>
    </row>
    <row r="1212" spans="1:100">
      <c r="A1212" s="601"/>
      <c r="B1212" s="601"/>
      <c r="C1212" s="601"/>
      <c r="D1212" s="557"/>
      <c r="E1212" s="557"/>
      <c r="F1212" s="557"/>
      <c r="G1212" s="557"/>
      <c r="H1212" s="557"/>
      <c r="I1212" s="557"/>
      <c r="J1212" s="557"/>
      <c r="K1212" s="557"/>
      <c r="L1212" s="557"/>
      <c r="M1212" s="557"/>
      <c r="N1212" s="557"/>
      <c r="O1212" s="557"/>
      <c r="P1212" s="557"/>
      <c r="Q1212" s="557"/>
      <c r="R1212" s="557"/>
      <c r="S1212" s="557"/>
      <c r="T1212" s="557"/>
      <c r="U1212" s="557"/>
      <c r="V1212" s="557"/>
      <c r="W1212" s="557"/>
      <c r="X1212" s="557"/>
      <c r="Y1212" s="557"/>
      <c r="Z1212" s="555"/>
      <c r="AA1212" s="557"/>
      <c r="AB1212" s="555"/>
      <c r="AC1212" s="557"/>
      <c r="AD1212" s="555"/>
      <c r="AE1212" s="555"/>
      <c r="AF1212" s="555"/>
      <c r="AG1212" s="557"/>
      <c r="AH1212" s="557"/>
      <c r="AI1212" s="557"/>
      <c r="AJ1212" s="555"/>
      <c r="AK1212" s="555"/>
      <c r="AL1212" s="555"/>
      <c r="AM1212" s="555"/>
      <c r="AN1212" s="555"/>
      <c r="AO1212" s="555"/>
      <c r="AP1212" s="555"/>
      <c r="AQ1212" s="555"/>
      <c r="AR1212" s="555"/>
      <c r="AS1212" s="555"/>
      <c r="AT1212" s="555"/>
      <c r="AU1212" s="555"/>
      <c r="AV1212" s="555"/>
      <c r="AW1212" s="555"/>
      <c r="AX1212" s="555"/>
      <c r="AY1212" s="555"/>
      <c r="AZ1212" s="555"/>
      <c r="BA1212" s="555"/>
      <c r="BB1212" s="555"/>
      <c r="BC1212" s="555"/>
      <c r="BD1212" s="555"/>
      <c r="BE1212" s="555"/>
      <c r="BF1212" s="583"/>
      <c r="BG1212" s="555"/>
      <c r="BH1212" s="583"/>
      <c r="BI1212" s="555"/>
      <c r="BJ1212" s="583"/>
      <c r="BK1212" s="583"/>
      <c r="BL1212" s="587"/>
      <c r="BM1212" s="1"/>
      <c r="BN1212" s="42"/>
      <c r="BO1212" s="98"/>
      <c r="BP1212" s="43"/>
      <c r="BQ1212" s="98"/>
      <c r="BR1212" s="43"/>
      <c r="BS1212" s="39"/>
      <c r="BT1212" s="43"/>
      <c r="BU1212" s="98"/>
      <c r="BV1212" s="42"/>
      <c r="BW1212" s="98"/>
      <c r="BX1212" s="90"/>
    </row>
    <row r="1213" spans="1:100">
      <c r="A1213" s="601"/>
      <c r="B1213" s="601"/>
      <c r="C1213" s="600"/>
      <c r="D1213" s="557"/>
      <c r="E1213" s="557"/>
      <c r="F1213" s="557"/>
      <c r="G1213" s="557"/>
      <c r="H1213" s="557"/>
      <c r="I1213" s="557"/>
      <c r="J1213" s="557"/>
      <c r="K1213" s="557"/>
      <c r="L1213" s="557"/>
      <c r="M1213" s="557"/>
      <c r="N1213" s="557"/>
      <c r="O1213" s="557"/>
      <c r="P1213" s="557"/>
      <c r="Q1213" s="557"/>
      <c r="R1213" s="557"/>
      <c r="S1213" s="557"/>
      <c r="T1213" s="557"/>
      <c r="U1213" s="557"/>
      <c r="V1213" s="557"/>
      <c r="W1213" s="557"/>
      <c r="X1213" s="557"/>
      <c r="Y1213" s="555"/>
      <c r="Z1213" s="557"/>
      <c r="AA1213" s="555"/>
      <c r="AB1213" s="557"/>
      <c r="AC1213" s="555"/>
      <c r="AD1213" s="555"/>
      <c r="AE1213" s="555"/>
      <c r="AF1213" s="555"/>
      <c r="AG1213" s="557"/>
      <c r="AH1213" s="557"/>
      <c r="AI1213" s="557"/>
      <c r="AJ1213" s="555"/>
      <c r="AK1213" s="555"/>
      <c r="AL1213" s="555"/>
      <c r="AM1213" s="555"/>
      <c r="AN1213" s="555"/>
      <c r="AO1213" s="555"/>
      <c r="AP1213" s="555"/>
      <c r="AQ1213" s="555"/>
      <c r="AR1213" s="555"/>
      <c r="AS1213" s="555"/>
      <c r="AT1213" s="555"/>
      <c r="AU1213" s="555"/>
      <c r="AV1213" s="555"/>
      <c r="AW1213" s="555"/>
      <c r="AX1213" s="555"/>
      <c r="AY1213" s="555"/>
      <c r="AZ1213" s="555"/>
      <c r="BA1213" s="555"/>
      <c r="BB1213" s="555"/>
      <c r="BC1213" s="555"/>
      <c r="BD1213" s="555"/>
      <c r="BE1213" s="555"/>
      <c r="BF1213" s="555"/>
      <c r="BG1213" s="583"/>
      <c r="BH1213" s="555"/>
      <c r="BI1213" s="583"/>
      <c r="BJ1213" s="583"/>
      <c r="BK1213" s="583"/>
      <c r="BL1213" s="587"/>
      <c r="BM1213" s="1"/>
      <c r="CV1213">
        <v>1</v>
      </c>
    </row>
    <row r="1214" spans="1:100">
      <c r="A1214" s="601"/>
      <c r="B1214" s="600"/>
      <c r="C1214" s="555"/>
      <c r="D1214" s="555"/>
      <c r="E1214" s="555"/>
      <c r="F1214" s="555"/>
      <c r="G1214" s="555"/>
      <c r="H1214" s="555"/>
      <c r="I1214" s="555"/>
      <c r="J1214" s="555"/>
      <c r="K1214" s="555"/>
      <c r="L1214" s="555"/>
      <c r="M1214" s="555"/>
      <c r="N1214" s="555"/>
      <c r="O1214" s="555"/>
      <c r="P1214" s="555"/>
      <c r="Q1214" s="555"/>
      <c r="R1214" s="555"/>
      <c r="S1214" s="555"/>
      <c r="T1214" s="555"/>
      <c r="U1214" s="555"/>
      <c r="V1214" s="555"/>
      <c r="W1214" s="555"/>
      <c r="X1214" s="555"/>
      <c r="Y1214" s="555"/>
      <c r="Z1214" s="555"/>
      <c r="AA1214" s="555"/>
      <c r="AB1214" s="555"/>
      <c r="AC1214" s="555"/>
      <c r="AD1214" s="555"/>
      <c r="AE1214" s="555"/>
      <c r="AF1214" s="555"/>
      <c r="AG1214" s="557"/>
      <c r="AH1214" s="557"/>
      <c r="AI1214" s="555"/>
      <c r="AJ1214" s="583"/>
      <c r="AK1214" s="583"/>
      <c r="AL1214" s="583"/>
      <c r="AM1214" s="583"/>
      <c r="AN1214" s="583"/>
      <c r="AO1214" s="583"/>
      <c r="AP1214" s="583"/>
      <c r="AQ1214" s="583"/>
      <c r="AR1214" s="583"/>
      <c r="AS1214" s="583"/>
      <c r="AT1214" s="583"/>
      <c r="AU1214" s="583"/>
      <c r="AV1214" s="583"/>
      <c r="AW1214" s="583"/>
      <c r="AX1214" s="583"/>
      <c r="AY1214" s="583"/>
      <c r="AZ1214" s="583"/>
      <c r="BA1214" s="583"/>
      <c r="BB1214" s="583"/>
      <c r="BC1214" s="583"/>
      <c r="BD1214" s="583"/>
      <c r="BE1214" s="583"/>
      <c r="BF1214" s="583"/>
      <c r="BG1214" s="583"/>
      <c r="BH1214" s="583"/>
      <c r="BI1214" s="583"/>
      <c r="BJ1214" s="555"/>
      <c r="BK1214" s="583"/>
      <c r="BL1214" s="587"/>
      <c r="BM1214" s="1"/>
      <c r="CV1214">
        <v>2</v>
      </c>
    </row>
    <row r="1215" spans="1:100">
      <c r="A1215" s="600"/>
      <c r="B1215" s="555"/>
      <c r="C1215" s="555"/>
      <c r="D1215" s="555"/>
      <c r="E1215" s="555"/>
      <c r="F1215" s="555"/>
      <c r="G1215" s="555"/>
      <c r="H1215" s="555"/>
      <c r="I1215" s="555"/>
      <c r="J1215" s="555"/>
      <c r="K1215" s="555"/>
      <c r="L1215" s="555"/>
      <c r="M1215" s="555"/>
      <c r="N1215" s="555"/>
      <c r="O1215" s="555"/>
      <c r="P1215" s="555"/>
      <c r="Q1215" s="555"/>
      <c r="R1215" s="555"/>
      <c r="S1215" s="555"/>
      <c r="T1215" s="555"/>
      <c r="U1215" s="555"/>
      <c r="V1215" s="555"/>
      <c r="W1215" s="555"/>
      <c r="X1215" s="555"/>
      <c r="Y1215" s="555"/>
      <c r="Z1215" s="555"/>
      <c r="AA1215" s="555"/>
      <c r="AB1215" s="555"/>
      <c r="AC1215" s="555"/>
      <c r="AD1215" s="555"/>
      <c r="AE1215" s="555"/>
      <c r="AF1215" s="555"/>
      <c r="AG1215" s="557"/>
      <c r="AH1215" s="555"/>
      <c r="AI1215" s="583"/>
      <c r="AJ1215" s="583"/>
      <c r="AK1215" s="583"/>
      <c r="AL1215" s="583"/>
      <c r="AM1215" s="583"/>
      <c r="AN1215" s="583"/>
      <c r="AO1215" s="583"/>
      <c r="AP1215" s="583"/>
      <c r="AQ1215" s="583"/>
      <c r="AR1215" s="583"/>
      <c r="AS1215" s="583"/>
      <c r="AT1215" s="583"/>
      <c r="AU1215" s="583"/>
      <c r="AV1215" s="583"/>
      <c r="AW1215" s="583"/>
      <c r="AX1215" s="583"/>
      <c r="AY1215" s="583"/>
      <c r="AZ1215" s="583"/>
      <c r="BA1215" s="583"/>
      <c r="BB1215" s="583"/>
      <c r="BC1215" s="583"/>
      <c r="BD1215" s="583"/>
      <c r="BE1215" s="583"/>
      <c r="BF1215" s="583"/>
      <c r="BG1215" s="583"/>
      <c r="BH1215" s="583"/>
      <c r="BI1215" s="583"/>
      <c r="BJ1215" s="583"/>
      <c r="BK1215" s="555"/>
      <c r="BL1215" s="587"/>
      <c r="BM1215" s="1"/>
      <c r="CV1215">
        <v>3</v>
      </c>
    </row>
    <row r="1216" spans="1:100">
      <c r="A1216" s="555"/>
      <c r="B1216" s="555"/>
      <c r="C1216" s="555"/>
      <c r="D1216" s="555"/>
      <c r="E1216" s="555"/>
      <c r="F1216" s="555"/>
      <c r="G1216" s="555"/>
      <c r="H1216" s="555"/>
      <c r="I1216" s="555"/>
      <c r="J1216" s="555"/>
      <c r="K1216" s="555"/>
      <c r="L1216" s="555"/>
      <c r="M1216" s="555"/>
      <c r="N1216" s="555"/>
      <c r="O1216" s="555"/>
      <c r="P1216" s="555"/>
      <c r="Q1216" s="555"/>
      <c r="R1216" s="555"/>
      <c r="S1216" s="555"/>
      <c r="T1216" s="555"/>
      <c r="U1216" s="555"/>
      <c r="V1216" s="555"/>
      <c r="W1216" s="555"/>
      <c r="X1216" s="555"/>
      <c r="Y1216" s="555"/>
      <c r="Z1216" s="555"/>
      <c r="AA1216" s="555"/>
      <c r="AB1216" s="555"/>
      <c r="AC1216" s="555"/>
      <c r="AD1216" s="555"/>
      <c r="AE1216" s="555"/>
      <c r="AF1216" s="555"/>
      <c r="AG1216" s="555"/>
      <c r="AH1216" s="583"/>
      <c r="AI1216" s="583"/>
      <c r="AJ1216" s="583"/>
      <c r="AK1216" s="583"/>
      <c r="AL1216" s="583"/>
      <c r="AM1216" s="583"/>
      <c r="AN1216" s="583"/>
      <c r="AO1216" s="583"/>
      <c r="AP1216" s="583"/>
      <c r="AQ1216" s="583"/>
      <c r="AR1216" s="583"/>
      <c r="AS1216" s="583"/>
      <c r="AT1216" s="583"/>
      <c r="AU1216" s="583"/>
      <c r="AV1216" s="583"/>
      <c r="AW1216" s="583"/>
      <c r="AX1216" s="583"/>
      <c r="AY1216" s="583"/>
      <c r="AZ1216" s="583"/>
      <c r="BA1216" s="583"/>
      <c r="BB1216" s="583"/>
      <c r="BC1216" s="583"/>
      <c r="BD1216" s="583"/>
      <c r="BE1216" s="583"/>
      <c r="BF1216" s="583"/>
      <c r="BG1216" s="583"/>
      <c r="BH1216" s="583"/>
      <c r="BI1216" s="583"/>
      <c r="BJ1216" s="583"/>
      <c r="BK1216" s="583"/>
      <c r="BL1216" s="642"/>
      <c r="BM1216" s="1"/>
      <c r="BN1216" s="42"/>
      <c r="BO1216" s="90"/>
      <c r="BP1216" s="90"/>
      <c r="BQ1216" s="90"/>
      <c r="BR1216" s="42"/>
      <c r="BS1216" s="90"/>
      <c r="BT1216" s="90"/>
      <c r="BU1216" s="90"/>
      <c r="BV1216" s="90"/>
      <c r="BW1216" s="90"/>
      <c r="BX1216" s="90"/>
    </row>
    <row r="1217" spans="1:100">
      <c r="A1217" s="429"/>
      <c r="B1217" s="429"/>
      <c r="C1217" s="429"/>
      <c r="D1217" s="429"/>
      <c r="E1217" s="429"/>
      <c r="F1217" s="429"/>
      <c r="G1217" s="429"/>
      <c r="H1217" s="429"/>
      <c r="I1217" s="429"/>
      <c r="J1217" s="429"/>
      <c r="K1217" s="429"/>
      <c r="L1217" s="429"/>
      <c r="M1217" s="429"/>
      <c r="N1217" s="429"/>
      <c r="O1217" s="429"/>
      <c r="P1217" s="429"/>
      <c r="Q1217" s="429"/>
      <c r="R1217" s="429"/>
      <c r="S1217" s="429"/>
      <c r="T1217" s="429"/>
      <c r="U1217" s="429"/>
      <c r="V1217" s="429"/>
      <c r="W1217" s="429"/>
      <c r="X1217" s="429"/>
      <c r="Y1217" s="429"/>
      <c r="Z1217" s="429"/>
      <c r="AA1217" s="429"/>
      <c r="AB1217" s="429"/>
      <c r="AC1217" s="429"/>
      <c r="AD1217" s="429"/>
      <c r="AE1217" s="429"/>
      <c r="AF1217" s="429"/>
      <c r="AG1217" s="429"/>
      <c r="AH1217" s="429"/>
      <c r="AI1217" s="429"/>
      <c r="AJ1217" s="429"/>
      <c r="AK1217" s="429"/>
      <c r="AL1217" s="429"/>
      <c r="AM1217" s="429"/>
      <c r="AN1217" s="429"/>
      <c r="AO1217" s="429"/>
      <c r="AP1217" s="429"/>
      <c r="AQ1217" s="429"/>
      <c r="AR1217" s="429"/>
      <c r="AS1217" s="429"/>
      <c r="AT1217" s="429"/>
      <c r="AU1217" s="429"/>
      <c r="AV1217" s="429"/>
      <c r="AW1217" s="429"/>
      <c r="AX1217" s="429"/>
      <c r="AY1217" s="429"/>
      <c r="AZ1217" s="429"/>
      <c r="BA1217" s="429"/>
      <c r="BB1217" s="429"/>
      <c r="BC1217" s="429"/>
      <c r="BD1217" s="429"/>
      <c r="BE1217" s="429"/>
      <c r="BF1217" s="429"/>
      <c r="BG1217" s="429"/>
      <c r="BH1217" s="429"/>
      <c r="BI1217" s="429"/>
      <c r="BJ1217" s="429"/>
      <c r="BK1217" s="429"/>
      <c r="BL1217" s="565"/>
      <c r="BM1217" s="200">
        <v>39</v>
      </c>
      <c r="BN1217" s="180"/>
      <c r="BO1217" s="199"/>
      <c r="BP1217" s="199"/>
      <c r="BQ1217" s="178"/>
      <c r="BR1217" s="92"/>
    </row>
    <row r="1218" spans="1:100">
      <c r="A1218" s="429"/>
      <c r="B1218" s="557"/>
      <c r="C1218" s="429"/>
      <c r="D1218" s="565"/>
      <c r="E1218" s="565"/>
      <c r="F1218" s="565"/>
      <c r="G1218" s="565"/>
      <c r="H1218" s="565"/>
      <c r="I1218" s="565"/>
      <c r="J1218" s="565"/>
      <c r="K1218" s="565"/>
      <c r="L1218" s="565"/>
      <c r="M1218" s="565"/>
      <c r="N1218" s="565"/>
      <c r="O1218" s="565"/>
      <c r="P1218" s="557"/>
      <c r="Q1218" s="429"/>
      <c r="R1218" s="565"/>
      <c r="S1218" s="565"/>
      <c r="T1218" s="565"/>
      <c r="U1218" s="565"/>
      <c r="V1218" s="565"/>
      <c r="W1218" s="565"/>
      <c r="X1218" s="565"/>
      <c r="Y1218" s="565"/>
      <c r="Z1218" s="565"/>
      <c r="AA1218" s="565"/>
      <c r="AB1218" s="565"/>
      <c r="AC1218" s="565"/>
      <c r="AD1218" s="557"/>
      <c r="AE1218" s="429"/>
      <c r="AF1218" s="420"/>
      <c r="AG1218" s="429"/>
      <c r="AH1218" s="557"/>
      <c r="AI1218" s="429"/>
      <c r="AJ1218" s="565"/>
      <c r="AK1218" s="565"/>
      <c r="AL1218" s="565"/>
      <c r="AM1218" s="565"/>
      <c r="AN1218" s="565"/>
      <c r="AO1218" s="565"/>
      <c r="AP1218" s="565"/>
      <c r="AQ1218" s="565"/>
      <c r="AR1218" s="565"/>
      <c r="AS1218" s="565"/>
      <c r="AT1218" s="565"/>
      <c r="AU1218" s="565"/>
      <c r="AV1218" s="557"/>
      <c r="AW1218" s="429"/>
      <c r="AX1218" s="565"/>
      <c r="AY1218" s="565"/>
      <c r="AZ1218" s="565"/>
      <c r="BA1218" s="565"/>
      <c r="BB1218" s="565"/>
      <c r="BC1218" s="565"/>
      <c r="BD1218" s="565"/>
      <c r="BE1218" s="565"/>
      <c r="BF1218" s="565"/>
      <c r="BG1218" s="565"/>
      <c r="BH1218" s="565"/>
      <c r="BI1218" s="565"/>
      <c r="BJ1218" s="557"/>
      <c r="BK1218" s="429"/>
      <c r="BL1218" s="420"/>
      <c r="BM1218" s="192"/>
      <c r="BN1218" s="199"/>
      <c r="BO1218" s="191"/>
      <c r="BP1218" s="191"/>
      <c r="BQ1218" s="291"/>
      <c r="BR1218" s="92"/>
    </row>
    <row r="1219" spans="1:100">
      <c r="A1219" s="429"/>
      <c r="B1219" s="555"/>
      <c r="C1219" s="420"/>
      <c r="D1219" s="565"/>
      <c r="E1219" s="565"/>
      <c r="F1219" s="565"/>
      <c r="G1219" s="565"/>
      <c r="H1219" s="565"/>
      <c r="I1219" s="565"/>
      <c r="J1219" s="565"/>
      <c r="K1219" s="565"/>
      <c r="L1219" s="565"/>
      <c r="M1219" s="565"/>
      <c r="N1219" s="565"/>
      <c r="O1219" s="565"/>
      <c r="P1219" s="555"/>
      <c r="Q1219" s="420"/>
      <c r="R1219" s="565"/>
      <c r="S1219" s="565"/>
      <c r="T1219" s="565"/>
      <c r="U1219" s="565"/>
      <c r="V1219" s="565"/>
      <c r="W1219" s="565"/>
      <c r="X1219" s="565"/>
      <c r="Y1219" s="565"/>
      <c r="Z1219" s="565"/>
      <c r="AA1219" s="565"/>
      <c r="AB1219" s="565"/>
      <c r="AC1219" s="565"/>
      <c r="AD1219" s="555"/>
      <c r="AE1219" s="420"/>
      <c r="AF1219" s="420"/>
      <c r="AG1219" s="429"/>
      <c r="AH1219" s="555"/>
      <c r="AI1219" s="420"/>
      <c r="AJ1219" s="565"/>
      <c r="AK1219" s="565"/>
      <c r="AL1219" s="565"/>
      <c r="AM1219" s="565"/>
      <c r="AN1219" s="565"/>
      <c r="AO1219" s="565"/>
      <c r="AP1219" s="565"/>
      <c r="AQ1219" s="565"/>
      <c r="AR1219" s="565"/>
      <c r="AS1219" s="565"/>
      <c r="AT1219" s="565"/>
      <c r="AU1219" s="565"/>
      <c r="AV1219" s="555"/>
      <c r="AW1219" s="420"/>
      <c r="AX1219" s="565"/>
      <c r="AY1219" s="565"/>
      <c r="AZ1219" s="565"/>
      <c r="BA1219" s="565"/>
      <c r="BB1219" s="565"/>
      <c r="BC1219" s="565"/>
      <c r="BD1219" s="565"/>
      <c r="BE1219" s="565"/>
      <c r="BF1219" s="565"/>
      <c r="BG1219" s="565"/>
      <c r="BH1219" s="565"/>
      <c r="BI1219" s="565"/>
      <c r="BJ1219" s="555"/>
      <c r="BK1219" s="420"/>
      <c r="BL1219" s="420"/>
      <c r="BM1219" s="92"/>
      <c r="BR1219" s="92"/>
      <c r="CV1219">
        <v>2</v>
      </c>
    </row>
    <row r="1220" spans="1:100">
      <c r="A1220" s="429"/>
      <c r="B1220" s="565"/>
      <c r="C1220" s="565"/>
      <c r="D1220" s="420"/>
      <c r="E1220" s="420"/>
      <c r="F1220" s="420"/>
      <c r="G1220" s="420"/>
      <c r="H1220" s="429"/>
      <c r="I1220" s="420"/>
      <c r="J1220" s="420"/>
      <c r="K1220" s="420"/>
      <c r="L1220" s="420"/>
      <c r="M1220" s="429"/>
      <c r="N1220" s="420"/>
      <c r="O1220" s="420"/>
      <c r="P1220" s="420"/>
      <c r="Q1220" s="420"/>
      <c r="R1220" s="420"/>
      <c r="S1220" s="429"/>
      <c r="T1220" s="420"/>
      <c r="U1220" s="420"/>
      <c r="V1220" s="420"/>
      <c r="W1220" s="420"/>
      <c r="X1220" s="429"/>
      <c r="Y1220" s="420"/>
      <c r="Z1220" s="420"/>
      <c r="AA1220" s="420"/>
      <c r="AB1220" s="420"/>
      <c r="AC1220" s="429"/>
      <c r="AD1220" s="565"/>
      <c r="AE1220" s="565"/>
      <c r="AF1220" s="420"/>
      <c r="AG1220" s="429"/>
      <c r="AH1220" s="565"/>
      <c r="AI1220" s="565"/>
      <c r="AJ1220" s="420"/>
      <c r="AK1220" s="420"/>
      <c r="AL1220" s="420"/>
      <c r="AM1220" s="420"/>
      <c r="AN1220" s="429"/>
      <c r="AO1220" s="420"/>
      <c r="AP1220" s="420"/>
      <c r="AQ1220" s="420"/>
      <c r="AR1220" s="420"/>
      <c r="AS1220" s="429"/>
      <c r="AT1220" s="420"/>
      <c r="AU1220" s="420"/>
      <c r="AV1220" s="420"/>
      <c r="AW1220" s="420"/>
      <c r="AX1220" s="420"/>
      <c r="AY1220" s="429"/>
      <c r="AZ1220" s="420"/>
      <c r="BA1220" s="420"/>
      <c r="BB1220" s="420"/>
      <c r="BC1220" s="420"/>
      <c r="BD1220" s="429"/>
      <c r="BE1220" s="420"/>
      <c r="BF1220" s="420"/>
      <c r="BG1220" s="420"/>
      <c r="BH1220" s="420"/>
      <c r="BI1220" s="429"/>
      <c r="BJ1220" s="565"/>
      <c r="BK1220" s="565"/>
      <c r="BL1220" s="420"/>
      <c r="BM1220" s="92"/>
      <c r="BN1220" s="199"/>
      <c r="BO1220" s="291"/>
      <c r="BP1220" s="291"/>
      <c r="BQ1220" s="291"/>
      <c r="BR1220" s="92"/>
    </row>
    <row r="1221" spans="1:100">
      <c r="A1221" s="429"/>
      <c r="B1221" s="565"/>
      <c r="C1221" s="565"/>
      <c r="D1221" s="420"/>
      <c r="E1221" s="322"/>
      <c r="F1221" s="322"/>
      <c r="G1221" s="322"/>
      <c r="H1221" s="429"/>
      <c r="I1221" s="420"/>
      <c r="J1221" s="322"/>
      <c r="K1221" s="322"/>
      <c r="L1221" s="322"/>
      <c r="M1221" s="429"/>
      <c r="N1221" s="420"/>
      <c r="O1221" s="322"/>
      <c r="P1221" s="322"/>
      <c r="Q1221" s="322"/>
      <c r="R1221" s="322"/>
      <c r="S1221" s="429"/>
      <c r="T1221" s="420"/>
      <c r="U1221" s="322"/>
      <c r="V1221" s="322"/>
      <c r="W1221" s="322"/>
      <c r="X1221" s="429"/>
      <c r="Y1221" s="420"/>
      <c r="Z1221" s="322"/>
      <c r="AA1221" s="322"/>
      <c r="AB1221" s="322"/>
      <c r="AC1221" s="429"/>
      <c r="AD1221" s="565"/>
      <c r="AE1221" s="565"/>
      <c r="AF1221" s="420"/>
      <c r="AG1221" s="429"/>
      <c r="AH1221" s="565"/>
      <c r="AI1221" s="565"/>
      <c r="AJ1221" s="420"/>
      <c r="AK1221" s="322"/>
      <c r="AL1221" s="322"/>
      <c r="AM1221" s="322"/>
      <c r="AN1221" s="429"/>
      <c r="AO1221" s="420"/>
      <c r="AP1221" s="322"/>
      <c r="AQ1221" s="322"/>
      <c r="AR1221" s="322"/>
      <c r="AS1221" s="429"/>
      <c r="AT1221" s="420"/>
      <c r="AU1221" s="322"/>
      <c r="AV1221" s="322"/>
      <c r="AW1221" s="322"/>
      <c r="AX1221" s="322"/>
      <c r="AY1221" s="429"/>
      <c r="AZ1221" s="420"/>
      <c r="BA1221" s="322"/>
      <c r="BB1221" s="322"/>
      <c r="BC1221" s="322"/>
      <c r="BD1221" s="429"/>
      <c r="BE1221" s="420"/>
      <c r="BF1221" s="322"/>
      <c r="BG1221" s="322"/>
      <c r="BH1221" s="322"/>
      <c r="BI1221" s="429"/>
      <c r="BJ1221" s="565"/>
      <c r="BK1221" s="565"/>
      <c r="BL1221" s="420"/>
      <c r="BM1221" s="92"/>
      <c r="BN1221" s="199"/>
      <c r="BO1221" s="199"/>
      <c r="BP1221" s="199"/>
      <c r="BQ1221" s="291"/>
      <c r="BR1221" s="92"/>
    </row>
    <row r="1222" spans="1:100">
      <c r="BM1222" s="92">
        <v>2</v>
      </c>
      <c r="BR1222" s="92"/>
      <c r="CT1222">
        <v>5</v>
      </c>
      <c r="CU1222">
        <v>5</v>
      </c>
      <c r="CV1222">
        <v>2</v>
      </c>
    </row>
    <row r="1223" spans="1:100">
      <c r="BM1223" s="92"/>
      <c r="BR1223" s="92"/>
      <c r="CT1223">
        <v>5</v>
      </c>
      <c r="CU1223">
        <v>5</v>
      </c>
      <c r="CV1223">
        <v>2</v>
      </c>
    </row>
    <row r="1224" spans="1:100">
      <c r="BM1224" s="92"/>
      <c r="BR1224" s="92"/>
      <c r="CT1224">
        <v>5</v>
      </c>
      <c r="CU1224">
        <v>5</v>
      </c>
      <c r="CV1224">
        <v>2</v>
      </c>
    </row>
    <row r="1225" spans="1:100">
      <c r="BM1225" s="92"/>
      <c r="BR1225" s="92"/>
      <c r="CT1225">
        <v>5</v>
      </c>
      <c r="CU1225">
        <v>5</v>
      </c>
      <c r="CV1225">
        <v>2</v>
      </c>
    </row>
    <row r="1226" spans="1:100">
      <c r="BM1226" s="92"/>
      <c r="BR1226" s="92"/>
      <c r="CT1226">
        <v>5</v>
      </c>
      <c r="CU1226">
        <v>5</v>
      </c>
      <c r="CV1226">
        <v>2</v>
      </c>
    </row>
    <row r="1227" spans="1:100">
      <c r="BM1227" s="92"/>
      <c r="BR1227" s="92"/>
      <c r="CT1227">
        <v>5</v>
      </c>
      <c r="CU1227">
        <v>5</v>
      </c>
      <c r="CV1227">
        <v>2</v>
      </c>
    </row>
    <row r="1228" spans="1:100">
      <c r="BM1228" s="92"/>
      <c r="BR1228" s="92"/>
      <c r="CT1228">
        <v>5</v>
      </c>
      <c r="CU1228">
        <v>5</v>
      </c>
      <c r="CV1228">
        <v>2</v>
      </c>
    </row>
    <row r="1229" spans="1:100">
      <c r="A1229" s="429"/>
      <c r="B1229" s="565"/>
      <c r="C1229" s="565"/>
      <c r="D1229" s="420"/>
      <c r="E1229" s="322"/>
      <c r="F1229" s="322"/>
      <c r="G1229" s="322"/>
      <c r="H1229" s="429"/>
      <c r="I1229" s="420"/>
      <c r="J1229" s="322"/>
      <c r="K1229" s="322"/>
      <c r="L1229" s="322"/>
      <c r="M1229" s="429"/>
      <c r="N1229" s="429"/>
      <c r="O1229" s="420"/>
      <c r="P1229" s="322"/>
      <c r="Q1229" s="322"/>
      <c r="R1229" s="429"/>
      <c r="S1229" s="429"/>
      <c r="T1229" s="420"/>
      <c r="U1229" s="322"/>
      <c r="V1229" s="322"/>
      <c r="W1229" s="322"/>
      <c r="X1229" s="429"/>
      <c r="Y1229" s="420"/>
      <c r="Z1229" s="322"/>
      <c r="AA1229" s="322"/>
      <c r="AB1229" s="322"/>
      <c r="AC1229" s="429"/>
      <c r="AD1229" s="565"/>
      <c r="AE1229" s="565"/>
      <c r="AF1229" s="420"/>
      <c r="AG1229" s="429"/>
      <c r="AH1229" s="565"/>
      <c r="AI1229" s="565"/>
      <c r="AJ1229" s="420"/>
      <c r="AK1229" s="322"/>
      <c r="AL1229" s="322"/>
      <c r="AM1229" s="322"/>
      <c r="AN1229" s="429"/>
      <c r="AO1229" s="420"/>
      <c r="AP1229" s="322"/>
      <c r="AQ1229" s="322"/>
      <c r="AR1229" s="322"/>
      <c r="AS1229" s="429"/>
      <c r="AT1229" s="429"/>
      <c r="AU1229" s="420"/>
      <c r="AV1229" s="322"/>
      <c r="AW1229" s="322"/>
      <c r="AX1229" s="565"/>
      <c r="AY1229" s="429"/>
      <c r="AZ1229" s="420"/>
      <c r="BA1229" s="322"/>
      <c r="BB1229" s="322"/>
      <c r="BC1229" s="322"/>
      <c r="BD1229" s="429"/>
      <c r="BE1229" s="420"/>
      <c r="BF1229" s="322"/>
      <c r="BG1229" s="322"/>
      <c r="BH1229" s="322"/>
      <c r="BI1229" s="429"/>
      <c r="BJ1229" s="565"/>
      <c r="BK1229" s="565"/>
      <c r="BL1229" s="420"/>
      <c r="BM1229" s="92"/>
      <c r="BR1229" s="92"/>
      <c r="CV1229">
        <v>2</v>
      </c>
    </row>
    <row r="1230" spans="1:100">
      <c r="BM1230" s="92"/>
      <c r="BR1230" s="92"/>
      <c r="CT1230">
        <v>13</v>
      </c>
      <c r="CU1230">
        <v>13</v>
      </c>
      <c r="CV1230">
        <v>2</v>
      </c>
    </row>
    <row r="1231" spans="1:100">
      <c r="AG1231" s="429"/>
      <c r="AH1231" s="553"/>
      <c r="AI1231" s="429"/>
      <c r="AJ1231" s="420"/>
      <c r="AK1231" s="322"/>
      <c r="AL1231" s="322"/>
      <c r="AM1231" s="322"/>
      <c r="AN1231" s="429"/>
      <c r="AO1231" s="420"/>
      <c r="AP1231" s="322"/>
      <c r="AQ1231" s="322"/>
      <c r="AR1231" s="322"/>
      <c r="AS1231" s="429"/>
      <c r="AT1231" s="429"/>
      <c r="AU1231" s="420"/>
      <c r="AV1231" s="322"/>
      <c r="AW1231" s="322"/>
      <c r="AX1231" s="565"/>
      <c r="AY1231" s="429"/>
      <c r="AZ1231" s="420"/>
      <c r="BA1231" s="322"/>
      <c r="BB1231" s="322"/>
      <c r="BC1231" s="322"/>
      <c r="BD1231" s="429"/>
      <c r="BE1231" s="420"/>
      <c r="BF1231" s="322"/>
      <c r="BG1231" s="322"/>
      <c r="BH1231" s="322"/>
      <c r="BI1231" s="429"/>
      <c r="BJ1231" s="565"/>
      <c r="BK1231" s="565"/>
      <c r="BL1231" s="420"/>
      <c r="BM1231" s="92"/>
      <c r="BR1231" s="92"/>
      <c r="CT1231">
        <v>13</v>
      </c>
      <c r="CV1231">
        <v>2</v>
      </c>
    </row>
    <row r="1232" spans="1:100">
      <c r="AG1232" s="429"/>
      <c r="AH1232" s="436"/>
      <c r="AI1232" s="429"/>
      <c r="AJ1232" s="420"/>
      <c r="AK1232" s="322"/>
      <c r="AL1232" s="322"/>
      <c r="AM1232" s="322"/>
      <c r="AN1232" s="429"/>
      <c r="AO1232" s="420"/>
      <c r="AP1232" s="322"/>
      <c r="AQ1232" s="322"/>
      <c r="AR1232" s="322"/>
      <c r="AS1232" s="429"/>
      <c r="AT1232" s="429"/>
      <c r="AU1232" s="420"/>
      <c r="AV1232" s="322"/>
      <c r="AW1232" s="322"/>
      <c r="AX1232" s="565"/>
      <c r="AY1232" s="429"/>
      <c r="AZ1232" s="420"/>
      <c r="BA1232" s="322"/>
      <c r="BB1232" s="322"/>
      <c r="BC1232" s="322"/>
      <c r="BD1232" s="429"/>
      <c r="BE1232" s="420"/>
      <c r="BF1232" s="322"/>
      <c r="BG1232" s="322"/>
      <c r="BH1232" s="322"/>
      <c r="BI1232" s="429"/>
      <c r="BJ1232" s="565"/>
      <c r="BK1232" s="565"/>
      <c r="BL1232" s="420"/>
      <c r="BM1232" s="92"/>
      <c r="BR1232" s="92"/>
      <c r="CT1232">
        <v>13</v>
      </c>
      <c r="CV1232">
        <v>4</v>
      </c>
    </row>
    <row r="1233" spans="1:100">
      <c r="AG1233" s="429"/>
      <c r="AH1233" s="324"/>
      <c r="AI1233" s="429"/>
      <c r="AJ1233" s="420"/>
      <c r="AK1233" s="322"/>
      <c r="AL1233" s="322"/>
      <c r="AM1233" s="322"/>
      <c r="AN1233" s="429"/>
      <c r="AO1233" s="420"/>
      <c r="AP1233" s="322"/>
      <c r="AQ1233" s="322"/>
      <c r="AR1233" s="322"/>
      <c r="AS1233" s="429"/>
      <c r="AT1233" s="429"/>
      <c r="AU1233" s="420"/>
      <c r="AV1233" s="322"/>
      <c r="AW1233" s="322"/>
      <c r="AX1233" s="565"/>
      <c r="AY1233" s="429"/>
      <c r="AZ1233" s="420"/>
      <c r="BA1233" s="322"/>
      <c r="BB1233" s="322"/>
      <c r="BC1233" s="322"/>
      <c r="BD1233" s="429"/>
      <c r="BE1233" s="420"/>
      <c r="BF1233" s="322"/>
      <c r="BG1233" s="322"/>
      <c r="BH1233" s="322"/>
      <c r="BI1233" s="429"/>
      <c r="BJ1233" s="565"/>
      <c r="BK1233" s="565"/>
      <c r="BL1233" s="420"/>
      <c r="BM1233" s="92"/>
      <c r="BR1233" s="92"/>
      <c r="CT1233">
        <v>13</v>
      </c>
      <c r="CV1233">
        <v>5</v>
      </c>
    </row>
    <row r="1234" spans="1:100">
      <c r="AG1234" s="429"/>
      <c r="AH1234" s="324"/>
      <c r="AI1234" s="613"/>
      <c r="AJ1234" s="420"/>
      <c r="AK1234" s="322"/>
      <c r="AL1234" s="322"/>
      <c r="AM1234" s="322"/>
      <c r="AN1234" s="429"/>
      <c r="AO1234" s="420"/>
      <c r="AP1234" s="322"/>
      <c r="AQ1234" s="322"/>
      <c r="AR1234" s="322"/>
      <c r="AS1234" s="429"/>
      <c r="AT1234" s="429"/>
      <c r="AU1234" s="420"/>
      <c r="AV1234" s="322"/>
      <c r="AW1234" s="322"/>
      <c r="AX1234" s="565"/>
      <c r="AY1234" s="429"/>
      <c r="AZ1234" s="420"/>
      <c r="BA1234" s="322"/>
      <c r="BB1234" s="322"/>
      <c r="BC1234" s="322"/>
      <c r="BD1234" s="429"/>
      <c r="BE1234" s="420"/>
      <c r="BF1234" s="322"/>
      <c r="BG1234" s="322"/>
      <c r="BH1234" s="322"/>
      <c r="BI1234" s="429"/>
      <c r="BJ1234" s="565"/>
      <c r="BK1234" s="565"/>
      <c r="BL1234" s="420"/>
      <c r="BM1234" s="92"/>
      <c r="BR1234" s="92"/>
      <c r="CT1234">
        <v>13</v>
      </c>
      <c r="CV1234">
        <v>2</v>
      </c>
    </row>
    <row r="1235" spans="1:100">
      <c r="BM1235" s="92"/>
      <c r="BR1235" s="92"/>
      <c r="CT1235">
        <v>13</v>
      </c>
      <c r="CU1235">
        <v>13</v>
      </c>
      <c r="CV1235">
        <v>2</v>
      </c>
    </row>
    <row r="1236" spans="1:100">
      <c r="BM1236" s="92"/>
      <c r="BR1236" s="92"/>
      <c r="CT1236">
        <v>13</v>
      </c>
      <c r="CU1236">
        <v>13</v>
      </c>
      <c r="CV1236">
        <v>2</v>
      </c>
    </row>
    <row r="1237" spans="1:100">
      <c r="BM1237" s="92"/>
      <c r="BR1237" s="92"/>
      <c r="CT1237">
        <v>5</v>
      </c>
      <c r="CU1237">
        <v>5</v>
      </c>
      <c r="CV1237">
        <v>2</v>
      </c>
    </row>
    <row r="1238" spans="1:100">
      <c r="BM1238" s="92"/>
      <c r="BR1238" s="92"/>
      <c r="CT1238">
        <v>5</v>
      </c>
      <c r="CU1238">
        <v>5</v>
      </c>
      <c r="CV1238">
        <v>2</v>
      </c>
    </row>
    <row r="1239" spans="1:100">
      <c r="BM1239" s="92"/>
      <c r="BR1239" s="92"/>
      <c r="CT1239">
        <v>5</v>
      </c>
      <c r="CU1239">
        <v>5</v>
      </c>
      <c r="CV1239">
        <v>2</v>
      </c>
    </row>
    <row r="1240" spans="1:100">
      <c r="BM1240" s="92"/>
      <c r="BR1240" s="92"/>
      <c r="CT1240">
        <v>5</v>
      </c>
      <c r="CU1240">
        <v>5</v>
      </c>
      <c r="CV1240">
        <v>2</v>
      </c>
    </row>
    <row r="1241" spans="1:100">
      <c r="BM1241" s="92"/>
      <c r="BR1241" s="92"/>
      <c r="CT1241">
        <v>5</v>
      </c>
      <c r="CU1241">
        <v>5</v>
      </c>
      <c r="CV1241">
        <v>2</v>
      </c>
    </row>
    <row r="1242" spans="1:100">
      <c r="BM1242" s="92"/>
      <c r="BR1242" s="92"/>
      <c r="CT1242">
        <v>5</v>
      </c>
      <c r="CU1242">
        <v>5</v>
      </c>
      <c r="CV1242">
        <v>2</v>
      </c>
    </row>
    <row r="1243" spans="1:100">
      <c r="BM1243" s="92"/>
      <c r="BR1243" s="92"/>
      <c r="CT1243">
        <v>5</v>
      </c>
      <c r="CU1243">
        <v>5</v>
      </c>
      <c r="CV1243">
        <v>2</v>
      </c>
    </row>
    <row r="1244" spans="1:100">
      <c r="BM1244" s="92"/>
      <c r="BR1244" s="92"/>
      <c r="CT1244">
        <v>5</v>
      </c>
      <c r="CU1244">
        <v>5</v>
      </c>
      <c r="CV1244">
        <v>4</v>
      </c>
    </row>
    <row r="1245" spans="1:100">
      <c r="A1245" s="429"/>
      <c r="B1245" s="565"/>
      <c r="C1245" s="565"/>
      <c r="D1245" s="420"/>
      <c r="E1245" s="429"/>
      <c r="F1245" s="429"/>
      <c r="G1245" s="429"/>
      <c r="H1245" s="429"/>
      <c r="I1245" s="420"/>
      <c r="J1245" s="429"/>
      <c r="K1245" s="429"/>
      <c r="L1245" s="429"/>
      <c r="M1245" s="429"/>
      <c r="N1245" s="420"/>
      <c r="O1245" s="429"/>
      <c r="P1245" s="429"/>
      <c r="Q1245" s="429"/>
      <c r="R1245" s="429"/>
      <c r="S1245" s="429"/>
      <c r="T1245" s="420"/>
      <c r="U1245" s="429"/>
      <c r="V1245" s="429"/>
      <c r="W1245" s="429"/>
      <c r="X1245" s="429"/>
      <c r="Y1245" s="420"/>
      <c r="Z1245" s="429"/>
      <c r="AA1245" s="429"/>
      <c r="AB1245" s="429"/>
      <c r="AC1245" s="429"/>
      <c r="AD1245" s="565"/>
      <c r="AE1245" s="565"/>
      <c r="AF1245" s="420"/>
      <c r="AG1245" s="429"/>
      <c r="AH1245" s="565"/>
      <c r="AI1245" s="565"/>
      <c r="AJ1245" s="420"/>
      <c r="AK1245" s="429"/>
      <c r="AL1245" s="429"/>
      <c r="AM1245" s="429"/>
      <c r="AN1245" s="429"/>
      <c r="AO1245" s="420"/>
      <c r="AP1245" s="429"/>
      <c r="AQ1245" s="429"/>
      <c r="AR1245" s="429"/>
      <c r="AS1245" s="429"/>
      <c r="AT1245" s="420"/>
      <c r="AU1245" s="429"/>
      <c r="AV1245" s="429"/>
      <c r="AW1245" s="429"/>
      <c r="AX1245" s="429"/>
      <c r="AY1245" s="429"/>
      <c r="AZ1245" s="420"/>
      <c r="BA1245" s="429"/>
      <c r="BB1245" s="429"/>
      <c r="BC1245" s="429"/>
      <c r="BD1245" s="429"/>
      <c r="BE1245" s="420"/>
      <c r="BF1245" s="429"/>
      <c r="BG1245" s="429"/>
      <c r="BH1245" s="429"/>
      <c r="BI1245" s="429"/>
      <c r="BJ1245" s="565"/>
      <c r="BK1245" s="565"/>
      <c r="BL1245" s="420"/>
      <c r="BM1245" s="92"/>
      <c r="BR1245" s="92"/>
      <c r="CV1245">
        <v>5</v>
      </c>
    </row>
    <row r="1246" spans="1:100">
      <c r="BM1246" s="92"/>
      <c r="BR1246" s="92"/>
      <c r="CT1246">
        <v>2</v>
      </c>
      <c r="CU1246">
        <v>2</v>
      </c>
      <c r="CV1246">
        <v>2</v>
      </c>
    </row>
    <row r="1247" spans="1:100">
      <c r="BM1247" s="92"/>
      <c r="BR1247" s="92"/>
      <c r="CT1247">
        <v>3</v>
      </c>
      <c r="CU1247">
        <v>3</v>
      </c>
      <c r="CV1247">
        <v>2</v>
      </c>
    </row>
    <row r="1248" spans="1:100">
      <c r="A1248" s="572"/>
      <c r="B1248" s="572"/>
      <c r="C1248" s="572"/>
      <c r="D1248" s="572"/>
      <c r="E1248" s="572"/>
      <c r="F1248" s="572"/>
      <c r="G1248" s="572"/>
      <c r="H1248" s="572"/>
      <c r="I1248" s="572"/>
      <c r="J1248" s="572"/>
      <c r="K1248" s="572"/>
      <c r="L1248" s="572"/>
      <c r="M1248" s="572"/>
      <c r="N1248" s="572"/>
      <c r="O1248" s="572"/>
      <c r="P1248" s="572"/>
      <c r="Q1248" s="572"/>
      <c r="R1248" s="572"/>
      <c r="S1248" s="572"/>
      <c r="T1248" s="572"/>
      <c r="U1248" s="572"/>
      <c r="V1248" s="572"/>
      <c r="W1248" s="572"/>
      <c r="X1248" s="572"/>
      <c r="Y1248" s="572"/>
      <c r="Z1248" s="572"/>
      <c r="AA1248" s="572"/>
      <c r="AB1248" s="572"/>
      <c r="AC1248" s="572"/>
      <c r="AD1248" s="572"/>
      <c r="AE1248" s="572"/>
      <c r="AF1248" s="572"/>
      <c r="AG1248" s="572"/>
      <c r="AH1248" s="572"/>
      <c r="AI1248" s="572"/>
      <c r="AJ1248" s="572"/>
      <c r="AK1248" s="572"/>
      <c r="AL1248" s="572"/>
      <c r="AM1248" s="572"/>
      <c r="AN1248" s="572"/>
      <c r="AO1248" s="572"/>
      <c r="AP1248" s="572"/>
      <c r="AQ1248" s="572"/>
      <c r="AR1248" s="572"/>
      <c r="AS1248" s="572"/>
      <c r="AT1248" s="572"/>
      <c r="AU1248" s="572"/>
      <c r="AV1248" s="572"/>
      <c r="AW1248" s="572"/>
      <c r="AX1248" s="572"/>
      <c r="AY1248" s="572"/>
      <c r="AZ1248" s="572"/>
      <c r="BA1248" s="572"/>
      <c r="BB1248" s="572"/>
      <c r="BC1248" s="572"/>
      <c r="BD1248" s="572"/>
      <c r="BE1248" s="572"/>
      <c r="BF1248" s="572"/>
      <c r="BG1248" s="572"/>
      <c r="BH1248" s="572"/>
      <c r="BI1248" s="572"/>
      <c r="BJ1248" s="572"/>
      <c r="BK1248" s="572"/>
      <c r="BL1248" s="572"/>
      <c r="BM1248" s="103"/>
      <c r="BN1248" s="178"/>
      <c r="BO1248" s="81"/>
      <c r="BP1248" s="81"/>
      <c r="BQ1248" s="179"/>
      <c r="BR1248" s="92"/>
    </row>
    <row r="1249" spans="1:100">
      <c r="A1249" s="555"/>
      <c r="B1249" s="601"/>
      <c r="C1249" s="601"/>
      <c r="D1249" s="601"/>
      <c r="E1249" s="601"/>
      <c r="F1249" s="601"/>
      <c r="G1249" s="601"/>
      <c r="H1249" s="601"/>
      <c r="I1249" s="601"/>
      <c r="J1249" s="601"/>
      <c r="K1249" s="601"/>
      <c r="L1249" s="601"/>
      <c r="M1249" s="601"/>
      <c r="N1249" s="601"/>
      <c r="O1249" s="601"/>
      <c r="P1249" s="601"/>
      <c r="Q1249" s="601"/>
      <c r="R1249" s="601"/>
      <c r="S1249" s="601"/>
      <c r="T1249" s="601"/>
      <c r="U1249" s="601"/>
      <c r="V1249" s="601"/>
      <c r="W1249" s="601"/>
      <c r="X1249" s="601"/>
      <c r="Y1249" s="601"/>
      <c r="Z1249" s="601"/>
      <c r="AA1249" s="601"/>
      <c r="AB1249" s="601"/>
      <c r="AC1249" s="601"/>
      <c r="AD1249" s="601"/>
      <c r="AE1249" s="601"/>
      <c r="AF1249" s="552"/>
      <c r="AG1249" s="642"/>
      <c r="AH1249" s="557"/>
      <c r="AI1249" s="557"/>
      <c r="AJ1249" s="557"/>
      <c r="AK1249" s="557"/>
      <c r="AL1249" s="557"/>
      <c r="AM1249" s="557"/>
      <c r="AN1249" s="557"/>
      <c r="AO1249" s="557"/>
      <c r="AP1249" s="557"/>
      <c r="AQ1249" s="557"/>
      <c r="AR1249" s="557"/>
      <c r="AS1249" s="557"/>
      <c r="AT1249" s="557"/>
      <c r="AU1249" s="557"/>
      <c r="AV1249" s="557"/>
      <c r="AW1249" s="557"/>
      <c r="AX1249" s="557"/>
      <c r="AY1249" s="557"/>
      <c r="AZ1249" s="557"/>
      <c r="BA1249" s="557"/>
      <c r="BB1249" s="557"/>
      <c r="BC1249" s="557"/>
      <c r="BD1249" s="557"/>
      <c r="BE1249" s="557"/>
      <c r="BF1249" s="557"/>
      <c r="BG1249" s="557"/>
      <c r="BH1249" s="557"/>
      <c r="BI1249" s="557"/>
      <c r="BJ1249" s="557"/>
      <c r="BK1249" s="557"/>
      <c r="BL1249" s="600"/>
      <c r="BM1249" s="96">
        <v>40</v>
      </c>
      <c r="BN1249" s="180"/>
      <c r="BO1249" s="161"/>
      <c r="BP1249" s="161"/>
      <c r="BQ1249" s="291"/>
      <c r="BR1249" s="291"/>
    </row>
    <row r="1250" spans="1:100">
      <c r="A1250" s="555"/>
      <c r="B1250" s="557"/>
      <c r="C1250" s="557"/>
      <c r="D1250" s="557"/>
      <c r="E1250" s="557"/>
      <c r="F1250" s="557"/>
      <c r="G1250" s="557"/>
      <c r="H1250" s="557"/>
      <c r="I1250" s="557"/>
      <c r="J1250" s="557"/>
      <c r="K1250" s="557"/>
      <c r="L1250" s="557"/>
      <c r="M1250" s="557"/>
      <c r="N1250" s="557"/>
      <c r="O1250" s="557"/>
      <c r="P1250" s="557"/>
      <c r="Q1250" s="557"/>
      <c r="R1250" s="557"/>
      <c r="S1250" s="557"/>
      <c r="T1250" s="557"/>
      <c r="U1250" s="557"/>
      <c r="V1250" s="557"/>
      <c r="W1250" s="557"/>
      <c r="X1250" s="557"/>
      <c r="Y1250" s="557"/>
      <c r="Z1250" s="557"/>
      <c r="AA1250" s="557"/>
      <c r="AB1250" s="557"/>
      <c r="AC1250" s="557"/>
      <c r="AD1250" s="557"/>
      <c r="AE1250" s="557"/>
      <c r="AF1250" s="601"/>
      <c r="AG1250" s="587"/>
      <c r="AH1250" s="555"/>
      <c r="AI1250" s="555"/>
      <c r="AJ1250" s="555"/>
      <c r="AK1250" s="555"/>
      <c r="AL1250" s="555"/>
      <c r="AM1250" s="555"/>
      <c r="AN1250" s="555"/>
      <c r="AO1250" s="555"/>
      <c r="AP1250" s="555"/>
      <c r="AQ1250" s="555"/>
      <c r="AR1250" s="555"/>
      <c r="AS1250" s="555"/>
      <c r="AT1250" s="555"/>
      <c r="AU1250" s="555"/>
      <c r="AV1250" s="555"/>
      <c r="AW1250" s="555"/>
      <c r="AX1250" s="555"/>
      <c r="AY1250" s="555"/>
      <c r="AZ1250" s="555"/>
      <c r="BA1250" s="555"/>
      <c r="BB1250" s="555"/>
      <c r="BC1250" s="555"/>
      <c r="BD1250" s="555"/>
      <c r="BE1250" s="555"/>
      <c r="BF1250" s="555"/>
      <c r="BG1250" s="555"/>
      <c r="BH1250" s="555"/>
      <c r="BI1250" s="555"/>
      <c r="BJ1250" s="555"/>
      <c r="BK1250" s="555"/>
      <c r="BL1250" s="557"/>
      <c r="BM1250" s="97"/>
      <c r="BN1250" s="178"/>
      <c r="BO1250" s="180"/>
      <c r="BP1250" s="179"/>
      <c r="BQ1250" s="178"/>
      <c r="BR1250" s="179"/>
    </row>
    <row r="1251" spans="1:100">
      <c r="BM1251" s="1"/>
      <c r="BN1251" s="178"/>
      <c r="BO1251" s="178"/>
      <c r="BP1251" s="179"/>
      <c r="BQ1251" s="291"/>
      <c r="BR1251" s="179"/>
      <c r="CT1251">
        <v>2</v>
      </c>
      <c r="CU1251">
        <v>2</v>
      </c>
    </row>
    <row r="1252" spans="1:100">
      <c r="A1252" s="555"/>
      <c r="B1252" s="557"/>
      <c r="C1252" s="557"/>
      <c r="D1252" s="411"/>
      <c r="E1252" s="555"/>
      <c r="F1252" s="555"/>
      <c r="G1252" s="555"/>
      <c r="H1252" s="555"/>
      <c r="I1252" s="555"/>
      <c r="J1252" s="555"/>
      <c r="K1252" s="555"/>
      <c r="L1252" s="555"/>
      <c r="M1252" s="555"/>
      <c r="N1252" s="555"/>
      <c r="O1252" s="555"/>
      <c r="P1252" s="555"/>
      <c r="Q1252" s="555"/>
      <c r="R1252" s="557"/>
      <c r="S1252" s="557"/>
      <c r="T1252" s="557"/>
      <c r="U1252" s="555"/>
      <c r="V1252" s="555"/>
      <c r="W1252" s="555"/>
      <c r="X1252" s="555"/>
      <c r="Y1252" s="555"/>
      <c r="Z1252" s="555"/>
      <c r="AA1252" s="555"/>
      <c r="AB1252" s="555"/>
      <c r="AC1252" s="555"/>
      <c r="AD1252" s="557"/>
      <c r="AE1252" s="557"/>
      <c r="AF1252" s="601"/>
      <c r="AG1252" s="587"/>
      <c r="AH1252" s="555"/>
      <c r="AI1252" s="555"/>
      <c r="AJ1252" s="557"/>
      <c r="AK1252" s="421"/>
      <c r="AL1252" s="421"/>
      <c r="AM1252" s="421"/>
      <c r="AN1252" s="421"/>
      <c r="AO1252" s="421"/>
      <c r="AP1252" s="421"/>
      <c r="AQ1252" s="421"/>
      <c r="AR1252" s="421"/>
      <c r="AS1252" s="421"/>
      <c r="AT1252" s="421"/>
      <c r="AU1252" s="421"/>
      <c r="AV1252" s="421"/>
      <c r="AW1252" s="421"/>
      <c r="AX1252" s="555"/>
      <c r="AY1252" s="555"/>
      <c r="AZ1252" s="555"/>
      <c r="BA1252" s="421"/>
      <c r="BB1252" s="421"/>
      <c r="BC1252" s="421"/>
      <c r="BD1252" s="421"/>
      <c r="BE1252" s="421"/>
      <c r="BF1252" s="421"/>
      <c r="BG1252" s="421"/>
      <c r="BH1252" s="421"/>
      <c r="BI1252" s="421"/>
      <c r="BJ1252" s="555"/>
      <c r="BK1252" s="555"/>
      <c r="BL1252" s="557"/>
      <c r="BM1252" s="1"/>
      <c r="CV1252">
        <v>2</v>
      </c>
    </row>
    <row r="1253" spans="1:100">
      <c r="A1253" s="555"/>
      <c r="B1253" s="557"/>
      <c r="C1253" s="557"/>
      <c r="D1253" s="601"/>
      <c r="E1253" s="546"/>
      <c r="F1253" s="546"/>
      <c r="G1253" s="546"/>
      <c r="H1253" s="546"/>
      <c r="I1253" s="546"/>
      <c r="J1253" s="546"/>
      <c r="K1253" s="546"/>
      <c r="L1253" s="546"/>
      <c r="M1253" s="546"/>
      <c r="N1253" s="546"/>
      <c r="O1253" s="546"/>
      <c r="P1253" s="546"/>
      <c r="Q1253" s="548"/>
      <c r="R1253" s="555"/>
      <c r="S1253" s="557"/>
      <c r="T1253" s="557"/>
      <c r="U1253" s="557"/>
      <c r="V1253" s="557"/>
      <c r="W1253" s="557"/>
      <c r="X1253" s="557"/>
      <c r="Y1253" s="557"/>
      <c r="Z1253" s="557"/>
      <c r="AA1253" s="557"/>
      <c r="AB1253" s="557"/>
      <c r="AC1253" s="557"/>
      <c r="AD1253" s="557"/>
      <c r="AE1253" s="557"/>
      <c r="AF1253" s="601"/>
      <c r="AG1253" s="587"/>
      <c r="AH1253" s="555"/>
      <c r="AI1253" s="555"/>
      <c r="AJ1253" s="557"/>
      <c r="AK1253" s="546"/>
      <c r="AL1253" s="546"/>
      <c r="AM1253" s="546"/>
      <c r="AN1253" s="546"/>
      <c r="AO1253" s="546"/>
      <c r="AP1253" s="546"/>
      <c r="AQ1253" s="546"/>
      <c r="AR1253" s="546"/>
      <c r="AS1253" s="546"/>
      <c r="AT1253" s="546"/>
      <c r="AU1253" s="546"/>
      <c r="AV1253" s="546"/>
      <c r="AW1253" s="549"/>
      <c r="AX1253" s="421"/>
      <c r="AY1253" s="555"/>
      <c r="AZ1253" s="555"/>
      <c r="BA1253" s="555"/>
      <c r="BB1253" s="555"/>
      <c r="BC1253" s="555"/>
      <c r="BD1253" s="555"/>
      <c r="BE1253" s="555"/>
      <c r="BF1253" s="555"/>
      <c r="BG1253" s="555"/>
      <c r="BH1253" s="555"/>
      <c r="BI1253" s="555"/>
      <c r="BJ1253" s="555"/>
      <c r="BK1253" s="555"/>
      <c r="BL1253" s="557"/>
      <c r="BM1253" s="1"/>
      <c r="BN1253" s="161"/>
      <c r="BO1253" s="180"/>
      <c r="BP1253" s="179"/>
      <c r="BQ1253" s="178"/>
      <c r="BR1253" s="179"/>
    </row>
    <row r="1254" spans="1:100">
      <c r="A1254" s="555"/>
      <c r="B1254" s="557"/>
      <c r="C1254" s="557"/>
      <c r="D1254" s="601"/>
      <c r="E1254" s="547"/>
      <c r="F1254" s="321">
        <v>0</v>
      </c>
      <c r="G1254" s="321">
        <v>0</v>
      </c>
      <c r="H1254" s="321">
        <v>0</v>
      </c>
      <c r="I1254" s="321">
        <v>0</v>
      </c>
      <c r="J1254" s="321">
        <v>2</v>
      </c>
      <c r="K1254" s="321">
        <v>0</v>
      </c>
      <c r="L1254" s="321">
        <v>0</v>
      </c>
      <c r="M1254" s="321">
        <v>0</v>
      </c>
      <c r="N1254" s="321">
        <v>0</v>
      </c>
      <c r="O1254" s="321">
        <v>0</v>
      </c>
      <c r="P1254" s="321">
        <v>0</v>
      </c>
      <c r="Q1254" s="546"/>
      <c r="R1254" s="555"/>
      <c r="S1254" s="557"/>
      <c r="T1254" s="557"/>
      <c r="U1254" s="557"/>
      <c r="V1254" s="557"/>
      <c r="W1254" s="557"/>
      <c r="X1254" s="555"/>
      <c r="Y1254" s="555"/>
      <c r="Z1254" s="555"/>
      <c r="AA1254" s="555"/>
      <c r="AB1254" s="555"/>
      <c r="AC1254" s="555"/>
      <c r="AD1254" s="557"/>
      <c r="AE1254" s="557"/>
      <c r="AF1254" s="601"/>
      <c r="AG1254" s="587"/>
      <c r="AH1254" s="555"/>
      <c r="AI1254" s="555"/>
      <c r="AJ1254" s="557"/>
      <c r="AK1254" s="546"/>
      <c r="AL1254" s="321">
        <v>0</v>
      </c>
      <c r="AM1254" s="321">
        <v>0</v>
      </c>
      <c r="AN1254" s="321">
        <v>0</v>
      </c>
      <c r="AO1254" s="321">
        <v>0</v>
      </c>
      <c r="AP1254" s="321">
        <v>2</v>
      </c>
      <c r="AQ1254" s="321">
        <v>0</v>
      </c>
      <c r="AR1254" s="321">
        <v>0</v>
      </c>
      <c r="AS1254" s="321">
        <v>0</v>
      </c>
      <c r="AT1254" s="321">
        <v>0</v>
      </c>
      <c r="AU1254" s="321">
        <v>0</v>
      </c>
      <c r="AV1254" s="321">
        <v>0</v>
      </c>
      <c r="AW1254" s="548"/>
      <c r="AX1254" s="421"/>
      <c r="AY1254" s="555"/>
      <c r="AZ1254" s="555"/>
      <c r="BA1254" s="555"/>
      <c r="BB1254" s="555"/>
      <c r="BC1254" s="555"/>
      <c r="BD1254" s="421"/>
      <c r="BE1254" s="421"/>
      <c r="BF1254" s="421"/>
      <c r="BG1254" s="421"/>
      <c r="BH1254" s="421"/>
      <c r="BI1254" s="421"/>
      <c r="BJ1254" s="555"/>
      <c r="BK1254" s="555"/>
      <c r="BL1254" s="557"/>
      <c r="BM1254" s="1">
        <v>2</v>
      </c>
      <c r="BN1254" s="161"/>
      <c r="BO1254" s="161"/>
      <c r="BP1254" s="179"/>
      <c r="BQ1254" s="291"/>
      <c r="BR1254" s="179"/>
    </row>
    <row r="1255" spans="1:100">
      <c r="A1255" s="555"/>
      <c r="B1255" s="557"/>
      <c r="C1255" s="557"/>
      <c r="D1255" s="601"/>
      <c r="E1255" s="547"/>
      <c r="F1255" s="321">
        <v>0</v>
      </c>
      <c r="G1255" s="321">
        <v>0</v>
      </c>
      <c r="H1255" s="321">
        <v>0</v>
      </c>
      <c r="I1255" s="321">
        <v>2</v>
      </c>
      <c r="J1255" s="321">
        <v>0</v>
      </c>
      <c r="K1255" s="321">
        <v>0</v>
      </c>
      <c r="L1255" s="321">
        <v>0</v>
      </c>
      <c r="M1255" s="321">
        <v>0</v>
      </c>
      <c r="N1255" s="321">
        <v>0</v>
      </c>
      <c r="O1255" s="321">
        <v>0</v>
      </c>
      <c r="P1255" s="321">
        <v>0</v>
      </c>
      <c r="Q1255" s="546"/>
      <c r="R1255" s="555"/>
      <c r="S1255" s="557"/>
      <c r="T1255" s="557"/>
      <c r="U1255" s="557"/>
      <c r="V1255" s="557"/>
      <c r="W1255" s="557"/>
      <c r="X1255" s="557"/>
      <c r="Y1255" s="557"/>
      <c r="Z1255" s="557"/>
      <c r="AA1255" s="557"/>
      <c r="AB1255" s="557"/>
      <c r="AC1255" s="557"/>
      <c r="AD1255" s="557"/>
      <c r="AE1255" s="557"/>
      <c r="AF1255" s="601"/>
      <c r="AG1255" s="587"/>
      <c r="AH1255" s="555"/>
      <c r="AI1255" s="555"/>
      <c r="AJ1255" s="557"/>
      <c r="AK1255" s="546"/>
      <c r="AL1255" s="321">
        <v>0</v>
      </c>
      <c r="AM1255" s="321">
        <v>0</v>
      </c>
      <c r="AN1255" s="321">
        <v>0</v>
      </c>
      <c r="AO1255" s="321">
        <v>2</v>
      </c>
      <c r="AP1255" s="321">
        <v>0</v>
      </c>
      <c r="AQ1255" s="321">
        <v>0</v>
      </c>
      <c r="AR1255" s="321">
        <v>0</v>
      </c>
      <c r="AS1255" s="321">
        <v>0</v>
      </c>
      <c r="AT1255" s="321">
        <v>0</v>
      </c>
      <c r="AU1255" s="321">
        <v>0</v>
      </c>
      <c r="AV1255" s="321">
        <v>0</v>
      </c>
      <c r="AW1255" s="548"/>
      <c r="AX1255" s="421"/>
      <c r="AY1255" s="555"/>
      <c r="AZ1255" s="555"/>
      <c r="BA1255" s="555"/>
      <c r="BB1255" s="555"/>
      <c r="BC1255" s="555"/>
      <c r="BD1255" s="555"/>
      <c r="BE1255" s="555"/>
      <c r="BF1255" s="555"/>
      <c r="BG1255" s="555"/>
      <c r="BH1255" s="555"/>
      <c r="BI1255" s="555"/>
      <c r="BJ1255" s="555"/>
      <c r="BK1255" s="555"/>
      <c r="BL1255" s="557"/>
      <c r="BM1255" s="1"/>
      <c r="CV1255">
        <v>5</v>
      </c>
    </row>
    <row r="1256" spans="1:100">
      <c r="A1256" s="555"/>
      <c r="B1256" s="557"/>
      <c r="C1256" s="557"/>
      <c r="D1256" s="601"/>
      <c r="E1256" s="547"/>
      <c r="F1256" s="321">
        <v>0</v>
      </c>
      <c r="G1256" s="321">
        <v>0</v>
      </c>
      <c r="H1256" s="321">
        <v>2</v>
      </c>
      <c r="I1256" s="321">
        <v>0</v>
      </c>
      <c r="J1256" s="321">
        <v>0</v>
      </c>
      <c r="K1256" s="321">
        <v>0</v>
      </c>
      <c r="L1256" s="321">
        <v>0</v>
      </c>
      <c r="M1256" s="321">
        <v>0</v>
      </c>
      <c r="N1256" s="321">
        <v>0</v>
      </c>
      <c r="O1256" s="321">
        <v>0</v>
      </c>
      <c r="P1256" s="321">
        <v>0</v>
      </c>
      <c r="Q1256" s="321">
        <v>0</v>
      </c>
      <c r="R1256" s="546"/>
      <c r="S1256" s="555"/>
      <c r="T1256" s="557"/>
      <c r="U1256" s="557"/>
      <c r="V1256" s="557"/>
      <c r="W1256" s="557"/>
      <c r="X1256" s="557"/>
      <c r="Y1256" s="557"/>
      <c r="Z1256" s="557"/>
      <c r="AA1256" s="555"/>
      <c r="AB1256" s="555"/>
      <c r="AC1256" s="555"/>
      <c r="AD1256" s="557"/>
      <c r="AE1256" s="557"/>
      <c r="AF1256" s="601"/>
      <c r="AG1256" s="587"/>
      <c r="AH1256" s="555"/>
      <c r="AI1256" s="555"/>
      <c r="AJ1256" s="557"/>
      <c r="AK1256" s="546"/>
      <c r="AL1256" s="321">
        <v>0</v>
      </c>
      <c r="AM1256" s="321">
        <v>0</v>
      </c>
      <c r="AN1256" s="321">
        <v>2</v>
      </c>
      <c r="AO1256" s="321">
        <v>0</v>
      </c>
      <c r="AP1256" s="321">
        <v>0</v>
      </c>
      <c r="AQ1256" s="321">
        <v>0</v>
      </c>
      <c r="AR1256" s="321">
        <v>0</v>
      </c>
      <c r="AS1256" s="321">
        <v>0</v>
      </c>
      <c r="AT1256" s="321">
        <v>0</v>
      </c>
      <c r="AU1256" s="321">
        <v>0</v>
      </c>
      <c r="AV1256" s="321">
        <v>0</v>
      </c>
      <c r="AW1256" s="321">
        <v>0</v>
      </c>
      <c r="AX1256" s="548"/>
      <c r="AY1256" s="421"/>
      <c r="AZ1256" s="555"/>
      <c r="BA1256" s="555"/>
      <c r="BB1256" s="555"/>
      <c r="BC1256" s="555"/>
      <c r="BD1256" s="555"/>
      <c r="BE1256" s="555"/>
      <c r="BF1256" s="555"/>
      <c r="BG1256" s="421"/>
      <c r="BH1256" s="421"/>
      <c r="BI1256" s="421"/>
      <c r="BJ1256" s="555"/>
      <c r="BK1256" s="555"/>
      <c r="BL1256" s="557"/>
      <c r="BM1256" s="1">
        <v>1</v>
      </c>
      <c r="CV1256">
        <v>5</v>
      </c>
    </row>
    <row r="1257" spans="1:100">
      <c r="A1257" s="555"/>
      <c r="B1257" s="557"/>
      <c r="C1257" s="557"/>
      <c r="D1257" s="601"/>
      <c r="E1257" s="547"/>
      <c r="F1257" s="321">
        <v>0</v>
      </c>
      <c r="G1257" s="321">
        <v>0</v>
      </c>
      <c r="H1257" s="321">
        <v>0</v>
      </c>
      <c r="I1257" s="321">
        <v>0</v>
      </c>
      <c r="J1257" s="321">
        <v>0</v>
      </c>
      <c r="K1257" s="321">
        <v>0</v>
      </c>
      <c r="L1257" s="321">
        <v>2</v>
      </c>
      <c r="M1257" s="321">
        <v>0</v>
      </c>
      <c r="N1257" s="321">
        <v>0</v>
      </c>
      <c r="O1257" s="321">
        <v>0</v>
      </c>
      <c r="P1257" s="321">
        <v>0</v>
      </c>
      <c r="Q1257" s="321">
        <v>0</v>
      </c>
      <c r="R1257" s="321">
        <v>0</v>
      </c>
      <c r="S1257" s="546"/>
      <c r="T1257" s="555"/>
      <c r="U1257" s="557"/>
      <c r="V1257" s="557"/>
      <c r="W1257" s="557"/>
      <c r="X1257" s="557"/>
      <c r="Y1257" s="557"/>
      <c r="Z1257" s="557"/>
      <c r="AA1257" s="557"/>
      <c r="AB1257" s="557"/>
      <c r="AC1257" s="557"/>
      <c r="AD1257" s="557"/>
      <c r="AE1257" s="557"/>
      <c r="AF1257" s="601"/>
      <c r="AG1257" s="587"/>
      <c r="AH1257" s="555"/>
      <c r="AI1257" s="555"/>
      <c r="AJ1257" s="557"/>
      <c r="AK1257" s="546"/>
      <c r="AL1257" s="321">
        <v>0</v>
      </c>
      <c r="AM1257" s="321">
        <v>2</v>
      </c>
      <c r="AN1257" s="321">
        <v>0</v>
      </c>
      <c r="AO1257" s="321">
        <v>0</v>
      </c>
      <c r="AP1257" s="321">
        <v>0</v>
      </c>
      <c r="AQ1257" s="321">
        <v>0</v>
      </c>
      <c r="AR1257" s="321">
        <v>0</v>
      </c>
      <c r="AS1257" s="321">
        <v>0</v>
      </c>
      <c r="AT1257" s="321">
        <v>0</v>
      </c>
      <c r="AU1257" s="321">
        <v>0</v>
      </c>
      <c r="AV1257" s="321">
        <v>0</v>
      </c>
      <c r="AW1257" s="321">
        <v>0</v>
      </c>
      <c r="AX1257" s="321">
        <v>0</v>
      </c>
      <c r="AY1257" s="548"/>
      <c r="AZ1257" s="421"/>
      <c r="BA1257" s="555"/>
      <c r="BB1257" s="555"/>
      <c r="BC1257" s="555"/>
      <c r="BD1257" s="555"/>
      <c r="BE1257" s="555"/>
      <c r="BF1257" s="555"/>
      <c r="BG1257" s="555"/>
      <c r="BH1257" s="555"/>
      <c r="BI1257" s="555"/>
      <c r="BJ1257" s="555"/>
      <c r="BK1257" s="555"/>
      <c r="BL1257" s="557"/>
      <c r="BM1257" s="1"/>
      <c r="CV1257">
        <v>6</v>
      </c>
    </row>
    <row r="1258" spans="1:100">
      <c r="A1258" s="555"/>
      <c r="B1258" s="557"/>
      <c r="C1258" s="557"/>
      <c r="D1258" s="601"/>
      <c r="E1258" s="547"/>
      <c r="F1258" s="321">
        <v>0</v>
      </c>
      <c r="G1258" s="321">
        <v>0</v>
      </c>
      <c r="H1258" s="321">
        <v>0</v>
      </c>
      <c r="I1258" s="321">
        <v>0</v>
      </c>
      <c r="J1258" s="321">
        <v>0</v>
      </c>
      <c r="K1258" s="321">
        <v>2</v>
      </c>
      <c r="L1258" s="321">
        <v>0</v>
      </c>
      <c r="M1258" s="321">
        <v>0</v>
      </c>
      <c r="N1258" s="321">
        <v>0</v>
      </c>
      <c r="O1258" s="321">
        <v>0</v>
      </c>
      <c r="P1258" s="321">
        <v>0</v>
      </c>
      <c r="Q1258" s="321">
        <v>0</v>
      </c>
      <c r="R1258" s="321">
        <v>0</v>
      </c>
      <c r="S1258" s="321">
        <v>0</v>
      </c>
      <c r="T1258" s="546"/>
      <c r="U1258" s="555"/>
      <c r="V1258" s="557"/>
      <c r="W1258" s="557"/>
      <c r="X1258" s="557"/>
      <c r="Y1258" s="557"/>
      <c r="Z1258" s="557"/>
      <c r="AA1258" s="557"/>
      <c r="AB1258" s="557"/>
      <c r="AC1258" s="555"/>
      <c r="AD1258" s="557"/>
      <c r="AE1258" s="557"/>
      <c r="AF1258" s="601"/>
      <c r="AG1258" s="587"/>
      <c r="AH1258" s="555"/>
      <c r="AI1258" s="555"/>
      <c r="AJ1258" s="557"/>
      <c r="AK1258" s="546"/>
      <c r="AL1258" s="321">
        <v>0</v>
      </c>
      <c r="AM1258" s="321">
        <v>0</v>
      </c>
      <c r="AN1258" s="321">
        <v>0</v>
      </c>
      <c r="AO1258" s="321">
        <v>0</v>
      </c>
      <c r="AP1258" s="321">
        <v>0</v>
      </c>
      <c r="AQ1258" s="321">
        <v>0</v>
      </c>
      <c r="AR1258" s="321">
        <v>2</v>
      </c>
      <c r="AS1258" s="321">
        <v>0</v>
      </c>
      <c r="AT1258" s="321">
        <v>0</v>
      </c>
      <c r="AU1258" s="321">
        <v>0</v>
      </c>
      <c r="AV1258" s="321">
        <v>0</v>
      </c>
      <c r="AW1258" s="321">
        <v>0</v>
      </c>
      <c r="AX1258" s="321">
        <v>0</v>
      </c>
      <c r="AY1258" s="321">
        <v>0</v>
      </c>
      <c r="AZ1258" s="548"/>
      <c r="BA1258" s="421"/>
      <c r="BB1258" s="555"/>
      <c r="BC1258" s="555"/>
      <c r="BD1258" s="555"/>
      <c r="BE1258" s="555"/>
      <c r="BF1258" s="555"/>
      <c r="BG1258" s="555"/>
      <c r="BH1258" s="555"/>
      <c r="BI1258" s="421"/>
      <c r="BJ1258" s="555"/>
      <c r="BK1258" s="555"/>
      <c r="BL1258" s="557"/>
      <c r="BM1258" s="1"/>
      <c r="BN1258" s="161"/>
      <c r="BO1258" s="178"/>
      <c r="BP1258" s="179"/>
      <c r="BQ1258" s="178"/>
      <c r="BR1258" s="179"/>
    </row>
    <row r="1259" spans="1:100">
      <c r="A1259" s="555"/>
      <c r="B1259" s="557"/>
      <c r="C1259" s="557"/>
      <c r="D1259" s="601"/>
      <c r="E1259" s="547"/>
      <c r="F1259" s="321">
        <v>0</v>
      </c>
      <c r="G1259" s="321">
        <v>0</v>
      </c>
      <c r="H1259" s="321">
        <v>0</v>
      </c>
      <c r="I1259" s="321">
        <v>0</v>
      </c>
      <c r="J1259" s="321">
        <v>0</v>
      </c>
      <c r="K1259" s="321">
        <v>0</v>
      </c>
      <c r="L1259" s="321">
        <v>0</v>
      </c>
      <c r="M1259" s="321">
        <v>0</v>
      </c>
      <c r="N1259" s="321">
        <v>0</v>
      </c>
      <c r="O1259" s="321">
        <v>0</v>
      </c>
      <c r="P1259" s="321">
        <v>0</v>
      </c>
      <c r="Q1259" s="321">
        <v>0</v>
      </c>
      <c r="R1259" s="321">
        <v>0</v>
      </c>
      <c r="S1259" s="321">
        <v>0</v>
      </c>
      <c r="T1259" s="321">
        <v>0</v>
      </c>
      <c r="U1259" s="546"/>
      <c r="V1259" s="555"/>
      <c r="W1259" s="557"/>
      <c r="X1259" s="557"/>
      <c r="Y1259" s="557"/>
      <c r="Z1259" s="557"/>
      <c r="AA1259" s="557"/>
      <c r="AB1259" s="557"/>
      <c r="AC1259" s="557"/>
      <c r="AD1259" s="557"/>
      <c r="AE1259" s="557"/>
      <c r="AF1259" s="601"/>
      <c r="AG1259" s="587"/>
      <c r="AH1259" s="555"/>
      <c r="AI1259" s="555"/>
      <c r="AJ1259" s="557"/>
      <c r="AK1259" s="546"/>
      <c r="AL1259" s="321">
        <v>0</v>
      </c>
      <c r="AM1259" s="321">
        <v>0</v>
      </c>
      <c r="AN1259" s="321">
        <v>0</v>
      </c>
      <c r="AO1259" s="321">
        <v>0</v>
      </c>
      <c r="AP1259" s="321">
        <v>0</v>
      </c>
      <c r="AQ1259" s="321">
        <v>2</v>
      </c>
      <c r="AR1259" s="321">
        <v>0</v>
      </c>
      <c r="AS1259" s="321">
        <v>0</v>
      </c>
      <c r="AT1259" s="321">
        <v>0</v>
      </c>
      <c r="AU1259" s="321">
        <v>0</v>
      </c>
      <c r="AV1259" s="321">
        <v>0</v>
      </c>
      <c r="AW1259" s="321">
        <v>0</v>
      </c>
      <c r="AX1259" s="321">
        <v>0</v>
      </c>
      <c r="AY1259" s="321">
        <v>0</v>
      </c>
      <c r="AZ1259" s="321">
        <v>0</v>
      </c>
      <c r="BA1259" s="548"/>
      <c r="BB1259" s="421"/>
      <c r="BC1259" s="555"/>
      <c r="BD1259" s="555"/>
      <c r="BE1259" s="555"/>
      <c r="BF1259" s="555"/>
      <c r="BG1259" s="555"/>
      <c r="BH1259" s="555"/>
      <c r="BI1259" s="555"/>
      <c r="BJ1259" s="555"/>
      <c r="BK1259" s="555"/>
      <c r="BL1259" s="557"/>
      <c r="BM1259" s="1"/>
      <c r="BN1259" s="179"/>
      <c r="BO1259" s="178"/>
      <c r="BP1259" s="179"/>
      <c r="BQ1259" s="178"/>
      <c r="BR1259" s="179"/>
    </row>
    <row r="1260" spans="1:100">
      <c r="A1260" s="555"/>
      <c r="B1260" s="557"/>
      <c r="C1260" s="557"/>
      <c r="D1260" s="601"/>
      <c r="E1260" s="547"/>
      <c r="F1260" s="321">
        <v>0</v>
      </c>
      <c r="G1260" s="321">
        <v>0</v>
      </c>
      <c r="H1260" s="321">
        <v>0</v>
      </c>
      <c r="I1260" s="321">
        <v>0</v>
      </c>
      <c r="J1260" s="321">
        <v>0</v>
      </c>
      <c r="K1260" s="321">
        <v>0</v>
      </c>
      <c r="L1260" s="321">
        <v>0</v>
      </c>
      <c r="M1260" s="321">
        <v>0</v>
      </c>
      <c r="N1260" s="321">
        <v>0</v>
      </c>
      <c r="O1260" s="321">
        <v>0</v>
      </c>
      <c r="P1260" s="321">
        <v>0</v>
      </c>
      <c r="Q1260" s="321">
        <v>0</v>
      </c>
      <c r="R1260" s="321">
        <v>0</v>
      </c>
      <c r="S1260" s="321">
        <v>0</v>
      </c>
      <c r="T1260" s="321">
        <v>2</v>
      </c>
      <c r="U1260" s="321">
        <v>0</v>
      </c>
      <c r="V1260" s="546"/>
      <c r="W1260" s="555"/>
      <c r="X1260" s="557"/>
      <c r="Y1260" s="557"/>
      <c r="Z1260" s="557"/>
      <c r="AA1260" s="557"/>
      <c r="AB1260" s="557"/>
      <c r="AC1260" s="557"/>
      <c r="AD1260" s="557"/>
      <c r="AE1260" s="557"/>
      <c r="AF1260" s="601"/>
      <c r="AG1260" s="587"/>
      <c r="AH1260" s="555"/>
      <c r="AI1260" s="555"/>
      <c r="AJ1260" s="557"/>
      <c r="AK1260" s="546"/>
      <c r="AL1260" s="321">
        <v>0</v>
      </c>
      <c r="AM1260" s="321">
        <v>0</v>
      </c>
      <c r="AN1260" s="321">
        <v>0</v>
      </c>
      <c r="AO1260" s="321">
        <v>0</v>
      </c>
      <c r="AP1260" s="321">
        <v>2</v>
      </c>
      <c r="AQ1260" s="321">
        <v>0</v>
      </c>
      <c r="AR1260" s="321">
        <v>0</v>
      </c>
      <c r="AS1260" s="321">
        <v>0</v>
      </c>
      <c r="AT1260" s="321">
        <v>0</v>
      </c>
      <c r="AU1260" s="321">
        <v>0</v>
      </c>
      <c r="AV1260" s="321">
        <v>0</v>
      </c>
      <c r="AW1260" s="321">
        <v>0</v>
      </c>
      <c r="AX1260" s="321">
        <v>0</v>
      </c>
      <c r="AY1260" s="321">
        <v>0</v>
      </c>
      <c r="AZ1260" s="321">
        <v>2</v>
      </c>
      <c r="BA1260" s="321">
        <v>0</v>
      </c>
      <c r="BB1260" s="548"/>
      <c r="BC1260" s="421"/>
      <c r="BD1260" s="555"/>
      <c r="BE1260" s="555"/>
      <c r="BF1260" s="555"/>
      <c r="BG1260" s="555"/>
      <c r="BH1260" s="555"/>
      <c r="BI1260" s="555"/>
      <c r="BJ1260" s="555"/>
      <c r="BK1260" s="555"/>
      <c r="BL1260" s="557"/>
      <c r="BM1260" s="1"/>
      <c r="BN1260" s="179"/>
      <c r="BO1260" s="161"/>
      <c r="BP1260" s="179"/>
      <c r="BQ1260" s="291"/>
      <c r="BR1260" s="179"/>
    </row>
    <row r="1261" spans="1:100">
      <c r="A1261" s="555"/>
      <c r="B1261" s="557"/>
      <c r="C1261" s="557"/>
      <c r="D1261" s="601"/>
      <c r="E1261" s="547"/>
      <c r="F1261" s="321">
        <v>0</v>
      </c>
      <c r="G1261" s="321">
        <v>0</v>
      </c>
      <c r="H1261" s="321">
        <v>0</v>
      </c>
      <c r="I1261" s="321">
        <v>0</v>
      </c>
      <c r="J1261" s="321">
        <v>0</v>
      </c>
      <c r="K1261" s="321">
        <v>0</v>
      </c>
      <c r="L1261" s="321">
        <v>0</v>
      </c>
      <c r="M1261" s="321">
        <v>0</v>
      </c>
      <c r="N1261" s="321">
        <v>0</v>
      </c>
      <c r="O1261" s="321">
        <v>0</v>
      </c>
      <c r="P1261" s="321">
        <v>0</v>
      </c>
      <c r="Q1261" s="321">
        <v>0</v>
      </c>
      <c r="R1261" s="321">
        <v>0</v>
      </c>
      <c r="S1261" s="321">
        <v>2</v>
      </c>
      <c r="T1261" s="321">
        <v>0</v>
      </c>
      <c r="U1261" s="321">
        <v>0</v>
      </c>
      <c r="V1261" s="321">
        <v>0</v>
      </c>
      <c r="W1261" s="546"/>
      <c r="X1261" s="555"/>
      <c r="Y1261" s="557"/>
      <c r="Z1261" s="557"/>
      <c r="AA1261" s="557"/>
      <c r="AB1261" s="557"/>
      <c r="AC1261" s="557"/>
      <c r="AD1261" s="557"/>
      <c r="AE1261" s="557"/>
      <c r="AF1261" s="601"/>
      <c r="AG1261" s="587"/>
      <c r="AH1261" s="555"/>
      <c r="AI1261" s="555"/>
      <c r="AJ1261" s="557"/>
      <c r="AK1261" s="546"/>
      <c r="AL1261" s="321">
        <v>0</v>
      </c>
      <c r="AM1261" s="321">
        <v>0</v>
      </c>
      <c r="AN1261" s="321">
        <v>0</v>
      </c>
      <c r="AO1261" s="321">
        <v>2</v>
      </c>
      <c r="AP1261" s="321">
        <v>0</v>
      </c>
      <c r="AQ1261" s="321">
        <v>0</v>
      </c>
      <c r="AR1261" s="321">
        <v>0</v>
      </c>
      <c r="AS1261" s="321">
        <v>0</v>
      </c>
      <c r="AT1261" s="321">
        <v>0</v>
      </c>
      <c r="AU1261" s="321">
        <v>0</v>
      </c>
      <c r="AV1261" s="321">
        <v>0</v>
      </c>
      <c r="AW1261" s="321">
        <v>0</v>
      </c>
      <c r="AX1261" s="321">
        <v>0</v>
      </c>
      <c r="AY1261" s="321">
        <v>2</v>
      </c>
      <c r="AZ1261" s="321">
        <v>0</v>
      </c>
      <c r="BA1261" s="321">
        <v>0</v>
      </c>
      <c r="BB1261" s="321">
        <v>0</v>
      </c>
      <c r="BC1261" s="548"/>
      <c r="BD1261" s="421"/>
      <c r="BE1261" s="555"/>
      <c r="BF1261" s="555"/>
      <c r="BG1261" s="555"/>
      <c r="BH1261" s="555"/>
      <c r="BI1261" s="555"/>
      <c r="BJ1261" s="555"/>
      <c r="BK1261" s="555"/>
      <c r="BL1261" s="557"/>
      <c r="BM1261" s="1"/>
      <c r="CV1261">
        <v>11</v>
      </c>
    </row>
    <row r="1262" spans="1:100">
      <c r="A1262" s="555"/>
      <c r="B1262" s="557"/>
      <c r="C1262" s="557"/>
      <c r="D1262" s="601"/>
      <c r="E1262" s="547"/>
      <c r="F1262" s="321">
        <v>0</v>
      </c>
      <c r="G1262" s="321">
        <v>0</v>
      </c>
      <c r="H1262" s="321">
        <v>0</v>
      </c>
      <c r="I1262" s="321">
        <v>0</v>
      </c>
      <c r="J1262" s="321">
        <v>0</v>
      </c>
      <c r="K1262" s="321">
        <v>0</v>
      </c>
      <c r="L1262" s="321">
        <v>0</v>
      </c>
      <c r="M1262" s="321">
        <v>0</v>
      </c>
      <c r="N1262" s="321">
        <v>0</v>
      </c>
      <c r="O1262" s="321">
        <v>0</v>
      </c>
      <c r="P1262" s="321">
        <v>0</v>
      </c>
      <c r="Q1262" s="321">
        <v>0</v>
      </c>
      <c r="R1262" s="321">
        <v>2</v>
      </c>
      <c r="S1262" s="321">
        <v>0</v>
      </c>
      <c r="T1262" s="321">
        <v>0</v>
      </c>
      <c r="U1262" s="321">
        <v>0</v>
      </c>
      <c r="V1262" s="321">
        <v>0</v>
      </c>
      <c r="W1262" s="321">
        <v>0</v>
      </c>
      <c r="X1262" s="546"/>
      <c r="Y1262" s="555"/>
      <c r="Z1262" s="557"/>
      <c r="AA1262" s="557"/>
      <c r="AB1262" s="557"/>
      <c r="AC1262" s="557"/>
      <c r="AD1262" s="557"/>
      <c r="AE1262" s="557"/>
      <c r="AF1262" s="601"/>
      <c r="AG1262" s="587"/>
      <c r="AH1262" s="555"/>
      <c r="AI1262" s="555"/>
      <c r="AJ1262" s="557"/>
      <c r="AK1262" s="546"/>
      <c r="AL1262" s="321">
        <v>0</v>
      </c>
      <c r="AM1262" s="321">
        <v>0</v>
      </c>
      <c r="AN1262" s="321">
        <v>0</v>
      </c>
      <c r="AO1262" s="321">
        <v>0</v>
      </c>
      <c r="AP1262" s="321">
        <v>0</v>
      </c>
      <c r="AQ1262" s="321">
        <v>0</v>
      </c>
      <c r="AR1262" s="321">
        <v>0</v>
      </c>
      <c r="AS1262" s="321">
        <v>0</v>
      </c>
      <c r="AT1262" s="321">
        <v>0</v>
      </c>
      <c r="AU1262" s="321">
        <v>0</v>
      </c>
      <c r="AV1262" s="321">
        <v>0</v>
      </c>
      <c r="AW1262" s="321">
        <v>0</v>
      </c>
      <c r="AX1262" s="321">
        <v>2</v>
      </c>
      <c r="AY1262" s="321">
        <v>0</v>
      </c>
      <c r="AZ1262" s="321">
        <v>0</v>
      </c>
      <c r="BA1262" s="321">
        <v>0</v>
      </c>
      <c r="BB1262" s="321">
        <v>0</v>
      </c>
      <c r="BC1262" s="321">
        <v>0</v>
      </c>
      <c r="BD1262" s="548"/>
      <c r="BE1262" s="421"/>
      <c r="BF1262" s="555"/>
      <c r="BG1262" s="555"/>
      <c r="BH1262" s="555"/>
      <c r="BI1262" s="555"/>
      <c r="BJ1262" s="555"/>
      <c r="BK1262" s="555"/>
      <c r="BL1262" s="557"/>
      <c r="BM1262" s="1"/>
      <c r="CV1262">
        <v>11</v>
      </c>
    </row>
    <row r="1263" spans="1:100">
      <c r="A1263" s="555"/>
      <c r="B1263" s="557"/>
      <c r="C1263" s="557"/>
      <c r="D1263" s="601"/>
      <c r="E1263" s="547"/>
      <c r="F1263" s="321">
        <v>0</v>
      </c>
      <c r="G1263" s="321">
        <v>0</v>
      </c>
      <c r="H1263" s="321">
        <v>0</v>
      </c>
      <c r="I1263" s="321">
        <v>0</v>
      </c>
      <c r="J1263" s="321">
        <v>0</v>
      </c>
      <c r="K1263" s="321">
        <v>0</v>
      </c>
      <c r="L1263" s="321">
        <v>0</v>
      </c>
      <c r="M1263" s="321">
        <v>0</v>
      </c>
      <c r="N1263" s="321">
        <v>0</v>
      </c>
      <c r="O1263" s="321">
        <v>0</v>
      </c>
      <c r="P1263" s="321">
        <v>0</v>
      </c>
      <c r="Q1263" s="321">
        <v>0</v>
      </c>
      <c r="R1263" s="321">
        <v>0</v>
      </c>
      <c r="S1263" s="321">
        <v>0</v>
      </c>
      <c r="T1263" s="321">
        <v>0</v>
      </c>
      <c r="U1263" s="321">
        <v>0</v>
      </c>
      <c r="V1263" s="321">
        <v>0</v>
      </c>
      <c r="W1263" s="321">
        <v>0</v>
      </c>
      <c r="X1263" s="321">
        <v>0</v>
      </c>
      <c r="Y1263" s="546"/>
      <c r="Z1263" s="555"/>
      <c r="AA1263" s="557"/>
      <c r="AB1263" s="557"/>
      <c r="AC1263" s="557"/>
      <c r="AD1263" s="557"/>
      <c r="AE1263" s="557"/>
      <c r="AF1263" s="601"/>
      <c r="AG1263" s="587"/>
      <c r="AH1263" s="555"/>
      <c r="AI1263" s="555"/>
      <c r="AJ1263" s="557"/>
      <c r="AK1263" s="546"/>
      <c r="AL1263" s="321">
        <v>0</v>
      </c>
      <c r="AM1263" s="321">
        <v>0</v>
      </c>
      <c r="AN1263" s="321">
        <v>0</v>
      </c>
      <c r="AO1263" s="321">
        <v>0</v>
      </c>
      <c r="AP1263" s="321">
        <v>0</v>
      </c>
      <c r="AQ1263" s="321">
        <v>0</v>
      </c>
      <c r="AR1263" s="321">
        <v>0</v>
      </c>
      <c r="AS1263" s="321">
        <v>0</v>
      </c>
      <c r="AT1263" s="321">
        <v>0</v>
      </c>
      <c r="AU1263" s="321">
        <v>0</v>
      </c>
      <c r="AV1263" s="321">
        <v>0</v>
      </c>
      <c r="AW1263" s="321">
        <v>0</v>
      </c>
      <c r="AX1263" s="321">
        <v>0</v>
      </c>
      <c r="AY1263" s="321">
        <v>0</v>
      </c>
      <c r="AZ1263" s="321">
        <v>0</v>
      </c>
      <c r="BA1263" s="321">
        <v>0</v>
      </c>
      <c r="BB1263" s="321">
        <v>0</v>
      </c>
      <c r="BC1263" s="321">
        <v>0</v>
      </c>
      <c r="BD1263" s="321">
        <v>0</v>
      </c>
      <c r="BE1263" s="548"/>
      <c r="BF1263" s="421"/>
      <c r="BG1263" s="555"/>
      <c r="BH1263" s="555"/>
      <c r="BI1263" s="555"/>
      <c r="BJ1263" s="555"/>
      <c r="BK1263" s="555"/>
      <c r="BL1263" s="557"/>
      <c r="BM1263" s="1"/>
      <c r="CV1263">
        <v>12</v>
      </c>
    </row>
    <row r="1264" spans="1:100">
      <c r="A1264" s="555"/>
      <c r="B1264" s="557"/>
      <c r="C1264" s="557"/>
      <c r="D1264" s="557"/>
      <c r="E1264" s="601"/>
      <c r="F1264" s="547"/>
      <c r="G1264" s="321">
        <v>0</v>
      </c>
      <c r="H1264" s="321">
        <v>0</v>
      </c>
      <c r="I1264" s="321">
        <v>0</v>
      </c>
      <c r="J1264" s="321">
        <v>0</v>
      </c>
      <c r="K1264" s="321">
        <v>0</v>
      </c>
      <c r="L1264" s="321">
        <v>2</v>
      </c>
      <c r="M1264" s="321">
        <v>0</v>
      </c>
      <c r="N1264" s="321">
        <v>0</v>
      </c>
      <c r="O1264" s="321">
        <v>0</v>
      </c>
      <c r="P1264" s="321">
        <v>0</v>
      </c>
      <c r="Q1264" s="321">
        <v>0</v>
      </c>
      <c r="R1264" s="321">
        <v>0</v>
      </c>
      <c r="S1264" s="321">
        <v>0</v>
      </c>
      <c r="T1264" s="321">
        <v>0</v>
      </c>
      <c r="U1264" s="321">
        <v>0</v>
      </c>
      <c r="V1264" s="321">
        <v>0</v>
      </c>
      <c r="W1264" s="321">
        <v>0</v>
      </c>
      <c r="X1264" s="321">
        <v>0</v>
      </c>
      <c r="Y1264" s="321">
        <v>0</v>
      </c>
      <c r="Z1264" s="546"/>
      <c r="AA1264" s="555"/>
      <c r="AB1264" s="557"/>
      <c r="AC1264" s="557"/>
      <c r="AD1264" s="557"/>
      <c r="AE1264" s="557"/>
      <c r="AF1264" s="601"/>
      <c r="AG1264" s="587"/>
      <c r="AH1264" s="555"/>
      <c r="AI1264" s="555"/>
      <c r="AJ1264" s="555"/>
      <c r="AK1264" s="557"/>
      <c r="AL1264" s="546"/>
      <c r="AM1264" s="321">
        <v>0</v>
      </c>
      <c r="AN1264" s="321">
        <v>0</v>
      </c>
      <c r="AO1264" s="321">
        <v>0</v>
      </c>
      <c r="AP1264" s="321">
        <v>0</v>
      </c>
      <c r="AQ1264" s="321">
        <v>0</v>
      </c>
      <c r="AR1264" s="321">
        <v>0</v>
      </c>
      <c r="AS1264" s="321">
        <v>0</v>
      </c>
      <c r="AT1264" s="321">
        <v>0</v>
      </c>
      <c r="AU1264" s="321">
        <v>0</v>
      </c>
      <c r="AV1264" s="321">
        <v>0</v>
      </c>
      <c r="AW1264" s="321">
        <v>0</v>
      </c>
      <c r="AX1264" s="321">
        <v>0</v>
      </c>
      <c r="AY1264" s="321">
        <v>0</v>
      </c>
      <c r="AZ1264" s="321">
        <v>0</v>
      </c>
      <c r="BA1264" s="321">
        <v>0</v>
      </c>
      <c r="BB1264" s="321">
        <v>0</v>
      </c>
      <c r="BC1264" s="321">
        <v>0</v>
      </c>
      <c r="BD1264" s="321">
        <v>2</v>
      </c>
      <c r="BE1264" s="321">
        <v>0</v>
      </c>
      <c r="BF1264" s="548"/>
      <c r="BG1264" s="421"/>
      <c r="BH1264" s="555"/>
      <c r="BI1264" s="555"/>
      <c r="BJ1264" s="555"/>
      <c r="BK1264" s="555"/>
      <c r="BL1264" s="557"/>
      <c r="BM1264" s="1"/>
      <c r="CV1264">
        <v>11</v>
      </c>
    </row>
    <row r="1265" spans="1:100">
      <c r="A1265" s="555"/>
      <c r="B1265" s="557"/>
      <c r="C1265" s="557"/>
      <c r="D1265" s="557"/>
      <c r="E1265" s="557"/>
      <c r="F1265" s="601"/>
      <c r="G1265" s="547"/>
      <c r="H1265" s="321">
        <v>0</v>
      </c>
      <c r="I1265" s="321">
        <v>0</v>
      </c>
      <c r="J1265" s="321">
        <v>0</v>
      </c>
      <c r="K1265" s="321">
        <v>2</v>
      </c>
      <c r="L1265" s="321">
        <v>0</v>
      </c>
      <c r="M1265" s="321">
        <v>0</v>
      </c>
      <c r="N1265" s="321">
        <v>0</v>
      </c>
      <c r="O1265" s="321">
        <v>0</v>
      </c>
      <c r="P1265" s="321">
        <v>0</v>
      </c>
      <c r="Q1265" s="321">
        <v>0</v>
      </c>
      <c r="R1265" s="321">
        <v>0</v>
      </c>
      <c r="S1265" s="321">
        <v>0</v>
      </c>
      <c r="T1265" s="321">
        <v>0</v>
      </c>
      <c r="U1265" s="321">
        <v>0</v>
      </c>
      <c r="V1265" s="321">
        <v>0</v>
      </c>
      <c r="W1265" s="321">
        <v>0</v>
      </c>
      <c r="X1265" s="321">
        <v>0</v>
      </c>
      <c r="Y1265" s="321">
        <v>0</v>
      </c>
      <c r="Z1265" s="321">
        <v>0</v>
      </c>
      <c r="AA1265" s="546"/>
      <c r="AB1265" s="555"/>
      <c r="AC1265" s="557"/>
      <c r="AD1265" s="557"/>
      <c r="AE1265" s="557"/>
      <c r="AF1265" s="601"/>
      <c r="AG1265" s="587"/>
      <c r="AH1265" s="555"/>
      <c r="AI1265" s="555"/>
      <c r="AJ1265" s="555"/>
      <c r="AK1265" s="555"/>
      <c r="AL1265" s="557"/>
      <c r="AM1265" s="546"/>
      <c r="AN1265" s="321">
        <v>0</v>
      </c>
      <c r="AO1265" s="321">
        <v>0</v>
      </c>
      <c r="AP1265" s="321">
        <v>0</v>
      </c>
      <c r="AQ1265" s="321">
        <v>0</v>
      </c>
      <c r="AR1265" s="321">
        <v>2</v>
      </c>
      <c r="AS1265" s="321">
        <v>0</v>
      </c>
      <c r="AT1265" s="321">
        <v>0</v>
      </c>
      <c r="AU1265" s="321">
        <v>0</v>
      </c>
      <c r="AV1265" s="321">
        <v>0</v>
      </c>
      <c r="AW1265" s="321">
        <v>0</v>
      </c>
      <c r="AX1265" s="321">
        <v>0</v>
      </c>
      <c r="AY1265" s="453">
        <v>0</v>
      </c>
      <c r="AZ1265" s="453">
        <v>0</v>
      </c>
      <c r="BA1265" s="321">
        <v>0</v>
      </c>
      <c r="BB1265" s="321">
        <v>0</v>
      </c>
      <c r="BC1265" s="321">
        <v>2</v>
      </c>
      <c r="BD1265" s="321">
        <v>0</v>
      </c>
      <c r="BE1265" s="321">
        <v>0</v>
      </c>
      <c r="BF1265" s="321">
        <v>0</v>
      </c>
      <c r="BG1265" s="548"/>
      <c r="BH1265" s="421"/>
      <c r="BI1265" s="555"/>
      <c r="BJ1265" s="555"/>
      <c r="BK1265" s="555"/>
      <c r="BL1265" s="557"/>
      <c r="BM1265" s="1"/>
      <c r="CV1265">
        <v>11</v>
      </c>
    </row>
    <row r="1266" spans="1:100">
      <c r="A1266" s="555"/>
      <c r="B1266" s="557"/>
      <c r="C1266" s="557"/>
      <c r="D1266" s="557"/>
      <c r="E1266" s="557"/>
      <c r="F1266" s="557"/>
      <c r="G1266" s="601"/>
      <c r="H1266" s="547"/>
      <c r="I1266" s="321">
        <v>0</v>
      </c>
      <c r="J1266" s="321">
        <v>2</v>
      </c>
      <c r="K1266" s="321">
        <v>0</v>
      </c>
      <c r="L1266" s="321">
        <v>0</v>
      </c>
      <c r="M1266" s="321">
        <v>0</v>
      </c>
      <c r="N1266" s="321">
        <v>0</v>
      </c>
      <c r="O1266" s="321">
        <v>0</v>
      </c>
      <c r="P1266" s="321">
        <v>0</v>
      </c>
      <c r="Q1266" s="321">
        <v>0</v>
      </c>
      <c r="R1266" s="321">
        <v>0</v>
      </c>
      <c r="S1266" s="321">
        <v>0</v>
      </c>
      <c r="T1266" s="321">
        <v>0</v>
      </c>
      <c r="U1266" s="321">
        <v>0</v>
      </c>
      <c r="V1266" s="321">
        <v>2</v>
      </c>
      <c r="W1266" s="321">
        <v>0</v>
      </c>
      <c r="X1266" s="321">
        <v>0</v>
      </c>
      <c r="Y1266" s="321">
        <v>0</v>
      </c>
      <c r="Z1266" s="321">
        <v>0</v>
      </c>
      <c r="AA1266" s="321">
        <v>2</v>
      </c>
      <c r="AB1266" s="546"/>
      <c r="AC1266" s="555"/>
      <c r="AD1266" s="557"/>
      <c r="AE1266" s="557"/>
      <c r="AF1266" s="601"/>
      <c r="AG1266" s="587"/>
      <c r="AH1266" s="555"/>
      <c r="AI1266" s="555"/>
      <c r="AJ1266" s="555"/>
      <c r="AK1266" s="555"/>
      <c r="AL1266" s="555"/>
      <c r="AM1266" s="557"/>
      <c r="AN1266" s="546"/>
      <c r="AO1266" s="321">
        <v>0</v>
      </c>
      <c r="AP1266" s="321">
        <v>0</v>
      </c>
      <c r="AQ1266" s="321">
        <v>2</v>
      </c>
      <c r="AR1266" s="321">
        <v>0</v>
      </c>
      <c r="AS1266" s="321">
        <v>0</v>
      </c>
      <c r="AT1266" s="321">
        <v>0</v>
      </c>
      <c r="AU1266" s="321">
        <v>0</v>
      </c>
      <c r="AV1266" s="321">
        <v>0</v>
      </c>
      <c r="AW1266" s="321">
        <v>0</v>
      </c>
      <c r="AX1266" s="321">
        <v>0</v>
      </c>
      <c r="AY1266" s="321">
        <v>0</v>
      </c>
      <c r="AZ1266" s="453">
        <v>0</v>
      </c>
      <c r="BA1266" s="453">
        <v>0</v>
      </c>
      <c r="BB1266" s="321">
        <v>0</v>
      </c>
      <c r="BC1266" s="453">
        <v>0</v>
      </c>
      <c r="BD1266" s="321">
        <v>0</v>
      </c>
      <c r="BE1266" s="321">
        <v>0</v>
      </c>
      <c r="BF1266" s="321">
        <v>0</v>
      </c>
      <c r="BG1266" s="321">
        <v>0</v>
      </c>
      <c r="BH1266" s="549"/>
      <c r="BI1266" s="421"/>
      <c r="BJ1266" s="555"/>
      <c r="BK1266" s="555"/>
      <c r="BL1266" s="557"/>
      <c r="BM1266" s="1"/>
      <c r="CV1266">
        <v>12</v>
      </c>
    </row>
    <row r="1267" spans="1:100">
      <c r="A1267" s="555"/>
      <c r="B1267" s="557"/>
      <c r="C1267" s="557"/>
      <c r="D1267" s="557"/>
      <c r="E1267" s="557"/>
      <c r="F1267" s="557"/>
      <c r="G1267" s="557"/>
      <c r="H1267" s="601"/>
      <c r="I1267" s="547"/>
      <c r="J1267" s="321">
        <v>0</v>
      </c>
      <c r="K1267" s="321">
        <v>0</v>
      </c>
      <c r="L1267" s="321">
        <v>0</v>
      </c>
      <c r="M1267" s="321">
        <v>0</v>
      </c>
      <c r="N1267" s="321">
        <v>0</v>
      </c>
      <c r="O1267" s="321">
        <v>0</v>
      </c>
      <c r="P1267" s="321">
        <v>0</v>
      </c>
      <c r="Q1267" s="321">
        <v>0</v>
      </c>
      <c r="R1267" s="321">
        <v>0</v>
      </c>
      <c r="S1267" s="321">
        <v>0</v>
      </c>
      <c r="T1267" s="321">
        <v>0</v>
      </c>
      <c r="U1267" s="321">
        <v>2</v>
      </c>
      <c r="V1267" s="321">
        <v>0</v>
      </c>
      <c r="W1267" s="321">
        <v>0</v>
      </c>
      <c r="X1267" s="321">
        <v>0</v>
      </c>
      <c r="Y1267" s="321">
        <v>0</v>
      </c>
      <c r="Z1267" s="321">
        <v>2</v>
      </c>
      <c r="AA1267" s="321">
        <v>0</v>
      </c>
      <c r="AB1267" s="546"/>
      <c r="AC1267" s="555"/>
      <c r="AD1267" s="557"/>
      <c r="AE1267" s="557"/>
      <c r="AF1267" s="601"/>
      <c r="AG1267" s="587"/>
      <c r="AH1267" s="555"/>
      <c r="AI1267" s="555"/>
      <c r="AJ1267" s="555"/>
      <c r="AK1267" s="555"/>
      <c r="AL1267" s="555"/>
      <c r="AM1267" s="555"/>
      <c r="AN1267" s="557"/>
      <c r="AO1267" s="546"/>
      <c r="AP1267" s="321">
        <v>2</v>
      </c>
      <c r="AQ1267" s="321">
        <v>0</v>
      </c>
      <c r="AR1267" s="321">
        <v>0</v>
      </c>
      <c r="AS1267" s="321">
        <v>0</v>
      </c>
      <c r="AT1267" s="321">
        <v>0</v>
      </c>
      <c r="AU1267" s="321">
        <v>0</v>
      </c>
      <c r="AV1267" s="321">
        <v>0</v>
      </c>
      <c r="AW1267" s="321">
        <v>0</v>
      </c>
      <c r="AX1267" s="321">
        <v>0</v>
      </c>
      <c r="AY1267" s="453">
        <v>2</v>
      </c>
      <c r="AZ1267" s="453">
        <v>0</v>
      </c>
      <c r="BA1267" s="453">
        <v>0</v>
      </c>
      <c r="BB1267" s="453">
        <v>0</v>
      </c>
      <c r="BC1267" s="453">
        <v>0</v>
      </c>
      <c r="BD1267" s="321">
        <v>0</v>
      </c>
      <c r="BE1267" s="321">
        <v>0</v>
      </c>
      <c r="BF1267" s="321">
        <v>0</v>
      </c>
      <c r="BG1267" s="321">
        <v>0</v>
      </c>
      <c r="BH1267" s="548"/>
      <c r="BI1267" s="421"/>
      <c r="BJ1267" s="555"/>
      <c r="BK1267" s="555"/>
      <c r="BL1267" s="557"/>
      <c r="BM1267" s="1"/>
      <c r="CV1267">
        <v>11</v>
      </c>
    </row>
    <row r="1268" spans="1:100">
      <c r="A1268" s="555"/>
      <c r="B1268" s="557"/>
      <c r="C1268" s="557"/>
      <c r="D1268" s="431"/>
      <c r="E1268" s="557"/>
      <c r="F1268" s="557"/>
      <c r="G1268" s="557"/>
      <c r="H1268" s="557"/>
      <c r="I1268" s="601"/>
      <c r="J1268" s="547"/>
      <c r="K1268" s="321">
        <v>0</v>
      </c>
      <c r="L1268" s="321">
        <v>0</v>
      </c>
      <c r="M1268" s="321">
        <v>0</v>
      </c>
      <c r="N1268" s="321">
        <v>0</v>
      </c>
      <c r="O1268" s="321">
        <v>0</v>
      </c>
      <c r="P1268" s="321">
        <v>0</v>
      </c>
      <c r="Q1268" s="321">
        <v>0</v>
      </c>
      <c r="R1268" s="321">
        <v>0</v>
      </c>
      <c r="S1268" s="321">
        <v>0</v>
      </c>
      <c r="T1268" s="321">
        <v>0</v>
      </c>
      <c r="U1268" s="321">
        <v>0</v>
      </c>
      <c r="V1268" s="321">
        <v>0</v>
      </c>
      <c r="W1268" s="321">
        <v>0</v>
      </c>
      <c r="X1268" s="321">
        <v>0</v>
      </c>
      <c r="Y1268" s="321">
        <v>0</v>
      </c>
      <c r="Z1268" s="321">
        <v>0</v>
      </c>
      <c r="AA1268" s="321">
        <v>0</v>
      </c>
      <c r="AB1268" s="546"/>
      <c r="AC1268" s="555"/>
      <c r="AD1268" s="557"/>
      <c r="AE1268" s="557"/>
      <c r="AF1268" s="601"/>
      <c r="AG1268" s="587"/>
      <c r="AH1268" s="555"/>
      <c r="AI1268" s="555"/>
      <c r="AJ1268" s="412"/>
      <c r="AK1268" s="555"/>
      <c r="AL1268" s="555"/>
      <c r="AM1268" s="555"/>
      <c r="AN1268" s="555"/>
      <c r="AO1268" s="557"/>
      <c r="AP1268" s="546"/>
      <c r="AQ1268" s="321">
        <v>0</v>
      </c>
      <c r="AR1268" s="321">
        <v>0</v>
      </c>
      <c r="AS1268" s="321">
        <v>0</v>
      </c>
      <c r="AT1268" s="321">
        <v>0</v>
      </c>
      <c r="AU1268" s="321">
        <v>0</v>
      </c>
      <c r="AV1268" s="321">
        <v>0</v>
      </c>
      <c r="AW1268" s="321">
        <v>0</v>
      </c>
      <c r="AX1268" s="321">
        <v>2</v>
      </c>
      <c r="AY1268" s="321">
        <v>0</v>
      </c>
      <c r="AZ1268" s="453">
        <v>0</v>
      </c>
      <c r="BA1268" s="453">
        <v>0</v>
      </c>
      <c r="BB1268" s="453">
        <v>0</v>
      </c>
      <c r="BC1268" s="453">
        <v>0</v>
      </c>
      <c r="BD1268" s="453">
        <v>0</v>
      </c>
      <c r="BE1268" s="321">
        <v>0</v>
      </c>
      <c r="BF1268" s="321">
        <v>0</v>
      </c>
      <c r="BG1268" s="321">
        <v>0</v>
      </c>
      <c r="BH1268" s="548"/>
      <c r="BI1268" s="421"/>
      <c r="BJ1268" s="555"/>
      <c r="BK1268" s="555"/>
      <c r="BL1268" s="557"/>
      <c r="BM1268" s="1"/>
      <c r="CV1268">
        <v>11</v>
      </c>
    </row>
    <row r="1269" spans="1:100">
      <c r="A1269" s="555"/>
      <c r="B1269" s="557"/>
      <c r="C1269" s="557"/>
      <c r="D1269" s="445"/>
      <c r="E1269" s="431"/>
      <c r="F1269" s="557"/>
      <c r="G1269" s="557"/>
      <c r="H1269" s="557"/>
      <c r="I1269" s="557"/>
      <c r="J1269" s="601"/>
      <c r="K1269" s="547"/>
      <c r="L1269" s="321">
        <v>0</v>
      </c>
      <c r="M1269" s="321">
        <v>0</v>
      </c>
      <c r="N1269" s="321">
        <v>0</v>
      </c>
      <c r="O1269" s="321">
        <v>0</v>
      </c>
      <c r="P1269" s="321">
        <v>0</v>
      </c>
      <c r="Q1269" s="321">
        <v>0</v>
      </c>
      <c r="R1269" s="321">
        <v>0</v>
      </c>
      <c r="S1269" s="321">
        <v>0</v>
      </c>
      <c r="T1269" s="321">
        <v>0</v>
      </c>
      <c r="U1269" s="321">
        <v>0</v>
      </c>
      <c r="V1269" s="321">
        <v>0</v>
      </c>
      <c r="W1269" s="321">
        <v>0</v>
      </c>
      <c r="X1269" s="321">
        <v>0</v>
      </c>
      <c r="Y1269" s="321">
        <v>0</v>
      </c>
      <c r="Z1269" s="321">
        <v>0</v>
      </c>
      <c r="AA1269" s="321">
        <v>0</v>
      </c>
      <c r="AB1269" s="546"/>
      <c r="AC1269" s="555"/>
      <c r="AD1269" s="557"/>
      <c r="AE1269" s="557"/>
      <c r="AF1269" s="601"/>
      <c r="AG1269" s="587"/>
      <c r="AH1269" s="555"/>
      <c r="AI1269" s="555"/>
      <c r="AJ1269" s="438"/>
      <c r="AK1269" s="412"/>
      <c r="AL1269" s="555"/>
      <c r="AM1269" s="555"/>
      <c r="AN1269" s="555"/>
      <c r="AO1269" s="555"/>
      <c r="AP1269" s="557"/>
      <c r="AQ1269" s="546"/>
      <c r="AR1269" s="321">
        <v>0</v>
      </c>
      <c r="AS1269" s="321">
        <v>0</v>
      </c>
      <c r="AT1269" s="321">
        <v>0</v>
      </c>
      <c r="AU1269" s="321">
        <v>0</v>
      </c>
      <c r="AV1269" s="321">
        <v>0</v>
      </c>
      <c r="AW1269" s="321">
        <v>2</v>
      </c>
      <c r="AX1269" s="321">
        <v>0</v>
      </c>
      <c r="AY1269" s="321">
        <v>0</v>
      </c>
      <c r="AZ1269" s="321">
        <v>0</v>
      </c>
      <c r="BA1269" s="453">
        <v>0</v>
      </c>
      <c r="BB1269" s="453">
        <v>0</v>
      </c>
      <c r="BC1269" s="453">
        <v>0</v>
      </c>
      <c r="BD1269" s="453">
        <v>2</v>
      </c>
      <c r="BE1269" s="321">
        <v>0</v>
      </c>
      <c r="BF1269" s="321">
        <v>0</v>
      </c>
      <c r="BG1269" s="321">
        <v>0</v>
      </c>
      <c r="BH1269" s="548"/>
      <c r="BI1269" s="421"/>
      <c r="BJ1269" s="555"/>
      <c r="BK1269" s="555"/>
      <c r="BL1269" s="557"/>
      <c r="BM1269" s="1"/>
      <c r="CV1269">
        <v>12</v>
      </c>
    </row>
    <row r="1270" spans="1:100">
      <c r="A1270" s="555"/>
      <c r="B1270" s="557"/>
      <c r="C1270" s="557"/>
      <c r="D1270" s="445"/>
      <c r="E1270" s="438"/>
      <c r="F1270" s="431"/>
      <c r="G1270" s="557"/>
      <c r="H1270" s="557"/>
      <c r="I1270" s="557"/>
      <c r="J1270" s="557"/>
      <c r="K1270" s="601"/>
      <c r="L1270" s="547"/>
      <c r="M1270" s="321">
        <v>0</v>
      </c>
      <c r="N1270" s="321">
        <v>0</v>
      </c>
      <c r="O1270" s="321">
        <v>0</v>
      </c>
      <c r="P1270" s="321">
        <v>0</v>
      </c>
      <c r="Q1270" s="321">
        <v>0</v>
      </c>
      <c r="R1270" s="321">
        <v>0</v>
      </c>
      <c r="S1270" s="321">
        <v>0</v>
      </c>
      <c r="T1270" s="321">
        <v>0</v>
      </c>
      <c r="U1270" s="321">
        <v>0</v>
      </c>
      <c r="V1270" s="321">
        <v>0</v>
      </c>
      <c r="W1270" s="321">
        <v>0</v>
      </c>
      <c r="X1270" s="321">
        <v>0</v>
      </c>
      <c r="Y1270" s="321">
        <v>0</v>
      </c>
      <c r="Z1270" s="321">
        <v>0</v>
      </c>
      <c r="AA1270" s="321">
        <v>0</v>
      </c>
      <c r="AB1270" s="546"/>
      <c r="AC1270" s="555"/>
      <c r="AD1270" s="557"/>
      <c r="AE1270" s="557"/>
      <c r="AF1270" s="601"/>
      <c r="AG1270" s="587"/>
      <c r="AH1270" s="555"/>
      <c r="AI1270" s="555"/>
      <c r="AJ1270" s="438"/>
      <c r="AK1270" s="431"/>
      <c r="AL1270" s="412"/>
      <c r="AM1270" s="555"/>
      <c r="AN1270" s="555"/>
      <c r="AO1270" s="555"/>
      <c r="AP1270" s="555"/>
      <c r="AQ1270" s="557"/>
      <c r="AR1270" s="546"/>
      <c r="AS1270" s="321">
        <v>0</v>
      </c>
      <c r="AT1270" s="321">
        <v>0</v>
      </c>
      <c r="AU1270" s="321">
        <v>0</v>
      </c>
      <c r="AV1270" s="321">
        <v>0</v>
      </c>
      <c r="AW1270" s="321">
        <v>0</v>
      </c>
      <c r="AX1270" s="321">
        <v>0</v>
      </c>
      <c r="AY1270" s="321">
        <v>0</v>
      </c>
      <c r="AZ1270" s="321">
        <v>0</v>
      </c>
      <c r="BA1270" s="453">
        <v>0</v>
      </c>
      <c r="BB1270" s="321">
        <v>0</v>
      </c>
      <c r="BC1270" s="453">
        <v>2</v>
      </c>
      <c r="BD1270" s="453">
        <v>0</v>
      </c>
      <c r="BE1270" s="321">
        <v>0</v>
      </c>
      <c r="BF1270" s="321">
        <v>0</v>
      </c>
      <c r="BG1270" s="321">
        <v>0</v>
      </c>
      <c r="BH1270" s="548"/>
      <c r="BI1270" s="421"/>
      <c r="BJ1270" s="555"/>
      <c r="BK1270" s="555"/>
      <c r="BL1270" s="557"/>
      <c r="BM1270" s="1"/>
      <c r="CV1270">
        <v>11</v>
      </c>
    </row>
    <row r="1271" spans="1:100">
      <c r="A1271" s="555"/>
      <c r="B1271" s="557"/>
      <c r="C1271" s="557"/>
      <c r="D1271" s="445"/>
      <c r="E1271" s="438"/>
      <c r="F1271" s="431"/>
      <c r="G1271" s="557"/>
      <c r="H1271" s="557"/>
      <c r="I1271" s="557"/>
      <c r="J1271" s="557"/>
      <c r="K1271" s="557"/>
      <c r="L1271" s="601"/>
      <c r="M1271" s="547"/>
      <c r="N1271" s="321">
        <v>0</v>
      </c>
      <c r="O1271" s="321">
        <v>0</v>
      </c>
      <c r="P1271" s="321">
        <v>0</v>
      </c>
      <c r="Q1271" s="321">
        <v>0</v>
      </c>
      <c r="R1271" s="321">
        <v>0</v>
      </c>
      <c r="S1271" s="321">
        <v>0</v>
      </c>
      <c r="T1271" s="321">
        <v>0</v>
      </c>
      <c r="U1271" s="321">
        <v>0</v>
      </c>
      <c r="V1271" s="321">
        <v>2</v>
      </c>
      <c r="W1271" s="321">
        <v>0</v>
      </c>
      <c r="X1271" s="321">
        <v>0</v>
      </c>
      <c r="Y1271" s="321">
        <v>0</v>
      </c>
      <c r="Z1271" s="321">
        <v>0</v>
      </c>
      <c r="AA1271" s="321">
        <v>0</v>
      </c>
      <c r="AB1271" s="546"/>
      <c r="AC1271" s="555"/>
      <c r="AD1271" s="557"/>
      <c r="AE1271" s="557"/>
      <c r="AF1271" s="601"/>
      <c r="AG1271" s="587"/>
      <c r="AH1271" s="555"/>
      <c r="AI1271" s="555"/>
      <c r="AJ1271" s="438"/>
      <c r="AK1271" s="431"/>
      <c r="AL1271" s="412"/>
      <c r="AM1271" s="555"/>
      <c r="AN1271" s="555"/>
      <c r="AO1271" s="555"/>
      <c r="AP1271" s="555"/>
      <c r="AQ1271" s="555"/>
      <c r="AR1271" s="557"/>
      <c r="AS1271" s="546"/>
      <c r="AT1271" s="321">
        <v>0</v>
      </c>
      <c r="AU1271" s="321">
        <v>0</v>
      </c>
      <c r="AV1271" s="321">
        <v>0</v>
      </c>
      <c r="AW1271" s="321">
        <v>0</v>
      </c>
      <c r="AX1271" s="321">
        <v>0</v>
      </c>
      <c r="AY1271" s="321">
        <v>0</v>
      </c>
      <c r="AZ1271" s="321">
        <v>0</v>
      </c>
      <c r="BA1271" s="321">
        <v>0</v>
      </c>
      <c r="BB1271" s="321">
        <v>2</v>
      </c>
      <c r="BC1271" s="321">
        <v>0</v>
      </c>
      <c r="BD1271" s="453">
        <v>0</v>
      </c>
      <c r="BE1271" s="321">
        <v>0</v>
      </c>
      <c r="BF1271" s="321">
        <v>0</v>
      </c>
      <c r="BG1271" s="321">
        <v>0</v>
      </c>
      <c r="BH1271" s="548"/>
      <c r="BI1271" s="421"/>
      <c r="BJ1271" s="555"/>
      <c r="BK1271" s="555"/>
      <c r="BL1271" s="557"/>
      <c r="BM1271" s="1"/>
      <c r="CV1271">
        <v>11</v>
      </c>
    </row>
    <row r="1272" spans="1:100">
      <c r="A1272" s="555"/>
      <c r="B1272" s="557"/>
      <c r="C1272" s="557"/>
      <c r="D1272" s="445"/>
      <c r="E1272" s="438"/>
      <c r="F1272" s="431"/>
      <c r="G1272" s="557"/>
      <c r="H1272" s="557"/>
      <c r="I1272" s="557"/>
      <c r="J1272" s="557"/>
      <c r="K1272" s="557"/>
      <c r="L1272" s="557"/>
      <c r="M1272" s="601"/>
      <c r="N1272" s="547"/>
      <c r="O1272" s="321">
        <v>0</v>
      </c>
      <c r="P1272" s="321">
        <v>0</v>
      </c>
      <c r="Q1272" s="321">
        <v>0</v>
      </c>
      <c r="R1272" s="321">
        <v>0</v>
      </c>
      <c r="S1272" s="321">
        <v>0</v>
      </c>
      <c r="T1272" s="321">
        <v>0</v>
      </c>
      <c r="U1272" s="321">
        <v>2</v>
      </c>
      <c r="V1272" s="321">
        <v>0</v>
      </c>
      <c r="W1272" s="321">
        <v>0</v>
      </c>
      <c r="X1272" s="321">
        <v>0</v>
      </c>
      <c r="Y1272" s="321">
        <v>0</v>
      </c>
      <c r="Z1272" s="321">
        <v>0</v>
      </c>
      <c r="AA1272" s="321">
        <v>0</v>
      </c>
      <c r="AB1272" s="546"/>
      <c r="AC1272" s="555"/>
      <c r="AD1272" s="557"/>
      <c r="AE1272" s="557"/>
      <c r="AF1272" s="601"/>
      <c r="AG1272" s="587"/>
      <c r="AH1272" s="555"/>
      <c r="AI1272" s="555"/>
      <c r="AJ1272" s="438"/>
      <c r="AK1272" s="431"/>
      <c r="AL1272" s="412"/>
      <c r="AM1272" s="555"/>
      <c r="AN1272" s="555"/>
      <c r="AO1272" s="555"/>
      <c r="AP1272" s="555"/>
      <c r="AQ1272" s="555"/>
      <c r="AR1272" s="555"/>
      <c r="AS1272" s="557"/>
      <c r="AT1272" s="546"/>
      <c r="AU1272" s="321">
        <v>0</v>
      </c>
      <c r="AV1272" s="321">
        <v>0</v>
      </c>
      <c r="AW1272" s="321">
        <v>0</v>
      </c>
      <c r="AX1272" s="321">
        <v>0</v>
      </c>
      <c r="AY1272" s="321">
        <v>0</v>
      </c>
      <c r="AZ1272" s="321">
        <v>0</v>
      </c>
      <c r="BA1272" s="321">
        <v>2</v>
      </c>
      <c r="BB1272" s="321">
        <v>0</v>
      </c>
      <c r="BC1272" s="321">
        <v>0</v>
      </c>
      <c r="BD1272" s="453">
        <v>0</v>
      </c>
      <c r="BE1272" s="321">
        <v>0</v>
      </c>
      <c r="BF1272" s="321">
        <v>0</v>
      </c>
      <c r="BG1272" s="321">
        <v>0</v>
      </c>
      <c r="BH1272" s="548"/>
      <c r="BI1272" s="421"/>
      <c r="BJ1272" s="555"/>
      <c r="BK1272" s="555"/>
      <c r="BL1272" s="557"/>
      <c r="BM1272" s="1"/>
      <c r="CV1272">
        <v>12</v>
      </c>
    </row>
    <row r="1273" spans="1:100">
      <c r="A1273" s="555"/>
      <c r="B1273" s="557"/>
      <c r="C1273" s="557"/>
      <c r="D1273" s="445"/>
      <c r="E1273" s="431"/>
      <c r="F1273" s="557"/>
      <c r="G1273" s="557"/>
      <c r="H1273" s="557"/>
      <c r="I1273" s="557"/>
      <c r="J1273" s="557"/>
      <c r="K1273" s="439"/>
      <c r="L1273" s="557"/>
      <c r="M1273" s="557"/>
      <c r="N1273" s="601"/>
      <c r="O1273" s="547"/>
      <c r="P1273" s="321">
        <v>0</v>
      </c>
      <c r="Q1273" s="321">
        <v>0</v>
      </c>
      <c r="R1273" s="321">
        <v>0</v>
      </c>
      <c r="S1273" s="321">
        <v>0</v>
      </c>
      <c r="T1273" s="321">
        <v>2</v>
      </c>
      <c r="U1273" s="321">
        <v>0</v>
      </c>
      <c r="V1273" s="321">
        <v>0</v>
      </c>
      <c r="W1273" s="321">
        <v>0</v>
      </c>
      <c r="X1273" s="321">
        <v>0</v>
      </c>
      <c r="Y1273" s="321">
        <v>0</v>
      </c>
      <c r="Z1273" s="321">
        <v>0</v>
      </c>
      <c r="AA1273" s="321">
        <v>2</v>
      </c>
      <c r="AB1273" s="546"/>
      <c r="AC1273" s="555"/>
      <c r="AD1273" s="557"/>
      <c r="AE1273" s="557"/>
      <c r="AF1273" s="601"/>
      <c r="AG1273" s="587"/>
      <c r="AH1273" s="555"/>
      <c r="AI1273" s="555"/>
      <c r="AJ1273" s="438"/>
      <c r="AK1273" s="412"/>
      <c r="AL1273" s="555"/>
      <c r="AM1273" s="555"/>
      <c r="AN1273" s="555"/>
      <c r="AO1273" s="555"/>
      <c r="AP1273" s="555"/>
      <c r="AQ1273" s="555"/>
      <c r="AR1273" s="555"/>
      <c r="AS1273" s="555"/>
      <c r="AT1273" s="557"/>
      <c r="AU1273" s="546"/>
      <c r="AV1273" s="321">
        <v>0</v>
      </c>
      <c r="AW1273" s="321">
        <v>0</v>
      </c>
      <c r="AX1273" s="321">
        <v>0</v>
      </c>
      <c r="AY1273" s="321">
        <v>0</v>
      </c>
      <c r="AZ1273" s="321">
        <v>2</v>
      </c>
      <c r="BA1273" s="321">
        <v>0</v>
      </c>
      <c r="BB1273" s="321">
        <v>0</v>
      </c>
      <c r="BC1273" s="321">
        <v>0</v>
      </c>
      <c r="BD1273" s="321">
        <v>0</v>
      </c>
      <c r="BE1273" s="321">
        <v>0</v>
      </c>
      <c r="BF1273" s="321">
        <v>0</v>
      </c>
      <c r="BG1273" s="321">
        <v>0</v>
      </c>
      <c r="BH1273" s="548"/>
      <c r="BI1273" s="421"/>
      <c r="BJ1273" s="555"/>
      <c r="BK1273" s="555"/>
      <c r="BL1273" s="557"/>
      <c r="BM1273" s="1"/>
      <c r="BN1273" s="179"/>
      <c r="BO1273" s="178"/>
      <c r="BP1273" s="179"/>
      <c r="BQ1273" s="291"/>
      <c r="BR1273" s="179"/>
    </row>
    <row r="1274" spans="1:100">
      <c r="A1274" s="555"/>
      <c r="B1274" s="557"/>
      <c r="C1274" s="557"/>
      <c r="D1274" s="431"/>
      <c r="E1274" s="557"/>
      <c r="F1274" s="557"/>
      <c r="G1274" s="557"/>
      <c r="H1274" s="557"/>
      <c r="I1274" s="557"/>
      <c r="J1274" s="557"/>
      <c r="K1274" s="557"/>
      <c r="L1274" s="557"/>
      <c r="M1274" s="557"/>
      <c r="N1274" s="557"/>
      <c r="O1274" s="601"/>
      <c r="P1274" s="547"/>
      <c r="Q1274" s="321">
        <v>0</v>
      </c>
      <c r="R1274" s="321">
        <v>0</v>
      </c>
      <c r="S1274" s="321">
        <v>2</v>
      </c>
      <c r="T1274" s="321">
        <v>0</v>
      </c>
      <c r="U1274" s="321">
        <v>0</v>
      </c>
      <c r="V1274" s="321">
        <v>0</v>
      </c>
      <c r="W1274" s="321">
        <v>0</v>
      </c>
      <c r="X1274" s="321">
        <v>0</v>
      </c>
      <c r="Y1274" s="321">
        <v>0</v>
      </c>
      <c r="Z1274" s="321">
        <v>2</v>
      </c>
      <c r="AA1274" s="321">
        <v>0</v>
      </c>
      <c r="AB1274" s="546"/>
      <c r="AC1274" s="555"/>
      <c r="AD1274" s="557"/>
      <c r="AE1274" s="557"/>
      <c r="AF1274" s="601"/>
      <c r="AG1274" s="587"/>
      <c r="AH1274" s="555"/>
      <c r="AI1274" s="555"/>
      <c r="AJ1274" s="412"/>
      <c r="AK1274" s="555"/>
      <c r="AL1274" s="555"/>
      <c r="AM1274" s="555"/>
      <c r="AN1274" s="555"/>
      <c r="AO1274" s="555"/>
      <c r="AP1274" s="555"/>
      <c r="AQ1274" s="555"/>
      <c r="AR1274" s="555"/>
      <c r="AS1274" s="555"/>
      <c r="AT1274" s="555"/>
      <c r="AU1274" s="557"/>
      <c r="AV1274" s="546"/>
      <c r="AW1274" s="321">
        <v>0</v>
      </c>
      <c r="AX1274" s="321">
        <v>0</v>
      </c>
      <c r="AY1274" s="321">
        <v>2</v>
      </c>
      <c r="AZ1274" s="321">
        <v>0</v>
      </c>
      <c r="BA1274" s="321">
        <v>0</v>
      </c>
      <c r="BB1274" s="321">
        <v>0</v>
      </c>
      <c r="BC1274" s="321">
        <v>0</v>
      </c>
      <c r="BD1274" s="321">
        <v>2</v>
      </c>
      <c r="BE1274" s="321">
        <v>0</v>
      </c>
      <c r="BF1274" s="321">
        <v>0</v>
      </c>
      <c r="BG1274" s="321">
        <v>0</v>
      </c>
      <c r="BH1274" s="548"/>
      <c r="BI1274" s="421"/>
      <c r="BJ1274" s="555"/>
      <c r="BK1274" s="555"/>
      <c r="BL1274" s="557"/>
      <c r="BM1274" s="1"/>
      <c r="CV1274">
        <v>25</v>
      </c>
    </row>
    <row r="1275" spans="1:100">
      <c r="A1275" s="555"/>
      <c r="B1275" s="557"/>
      <c r="C1275" s="557"/>
      <c r="D1275" s="557"/>
      <c r="E1275" s="557"/>
      <c r="F1275" s="557"/>
      <c r="G1275" s="557"/>
      <c r="H1275" s="557"/>
      <c r="I1275" s="557"/>
      <c r="J1275" s="557"/>
      <c r="K1275" s="557"/>
      <c r="L1275" s="557"/>
      <c r="M1275" s="557"/>
      <c r="N1275" s="557"/>
      <c r="O1275" s="601"/>
      <c r="P1275" s="547"/>
      <c r="Q1275" s="321">
        <v>0</v>
      </c>
      <c r="R1275" s="321">
        <v>2</v>
      </c>
      <c r="S1275" s="321">
        <v>0</v>
      </c>
      <c r="T1275" s="321">
        <v>0</v>
      </c>
      <c r="U1275" s="321">
        <v>0</v>
      </c>
      <c r="V1275" s="321">
        <v>0</v>
      </c>
      <c r="W1275" s="321">
        <v>0</v>
      </c>
      <c r="X1275" s="321">
        <v>0</v>
      </c>
      <c r="Y1275" s="321">
        <v>2</v>
      </c>
      <c r="Z1275" s="321">
        <v>0</v>
      </c>
      <c r="AA1275" s="321">
        <v>0</v>
      </c>
      <c r="AB1275" s="546"/>
      <c r="AC1275" s="555"/>
      <c r="AD1275" s="557"/>
      <c r="AE1275" s="557"/>
      <c r="AF1275" s="601"/>
      <c r="AG1275" s="587"/>
      <c r="AH1275" s="555"/>
      <c r="AI1275" s="555"/>
      <c r="AJ1275" s="555"/>
      <c r="AK1275" s="555"/>
      <c r="AL1275" s="555"/>
      <c r="AM1275" s="555"/>
      <c r="AN1275" s="555"/>
      <c r="AO1275" s="555"/>
      <c r="AP1275" s="555"/>
      <c r="AQ1275" s="555"/>
      <c r="AR1275" s="555"/>
      <c r="AS1275" s="555"/>
      <c r="AT1275" s="555"/>
      <c r="AU1275" s="557"/>
      <c r="AV1275" s="546"/>
      <c r="AW1275" s="321">
        <v>0</v>
      </c>
      <c r="AX1275" s="321">
        <v>2</v>
      </c>
      <c r="AY1275" s="321">
        <v>0</v>
      </c>
      <c r="AZ1275" s="321">
        <v>0</v>
      </c>
      <c r="BA1275" s="321">
        <v>0</v>
      </c>
      <c r="BB1275" s="321">
        <v>0</v>
      </c>
      <c r="BC1275" s="321">
        <v>2</v>
      </c>
      <c r="BD1275" s="321">
        <v>0</v>
      </c>
      <c r="BE1275" s="321">
        <v>0</v>
      </c>
      <c r="BF1275" s="321">
        <v>0</v>
      </c>
      <c r="BG1275" s="321">
        <v>0</v>
      </c>
      <c r="BH1275" s="548"/>
      <c r="BI1275" s="421"/>
      <c r="BJ1275" s="555"/>
      <c r="BK1275" s="555"/>
      <c r="BL1275" s="557"/>
      <c r="BM1275" s="1"/>
      <c r="BN1275" s="179"/>
      <c r="BO1275" s="161"/>
      <c r="BP1275" s="179"/>
      <c r="BQ1275" s="90"/>
      <c r="BR1275" s="90"/>
    </row>
    <row r="1276" spans="1:100">
      <c r="A1276" s="555"/>
      <c r="B1276" s="557"/>
      <c r="C1276" s="557"/>
      <c r="D1276" s="557"/>
      <c r="E1276" s="557"/>
      <c r="F1276" s="557"/>
      <c r="G1276" s="557"/>
      <c r="H1276" s="557"/>
      <c r="I1276" s="557"/>
      <c r="J1276" s="557"/>
      <c r="K1276" s="557"/>
      <c r="L1276" s="557"/>
      <c r="M1276" s="557"/>
      <c r="N1276" s="557"/>
      <c r="O1276" s="601"/>
      <c r="P1276" s="546"/>
      <c r="Q1276" s="547"/>
      <c r="R1276" s="547"/>
      <c r="S1276" s="547"/>
      <c r="T1276" s="547"/>
      <c r="U1276" s="547"/>
      <c r="V1276" s="547"/>
      <c r="W1276" s="547"/>
      <c r="X1276" s="547"/>
      <c r="Y1276" s="547"/>
      <c r="Z1276" s="547"/>
      <c r="AA1276" s="547"/>
      <c r="AB1276" s="546"/>
      <c r="AC1276" s="555"/>
      <c r="AD1276" s="557"/>
      <c r="AE1276" s="557"/>
      <c r="AF1276" s="601"/>
      <c r="AG1276" s="587"/>
      <c r="AH1276" s="555"/>
      <c r="AI1276" s="555"/>
      <c r="AJ1276" s="555"/>
      <c r="AK1276" s="555"/>
      <c r="AL1276" s="555"/>
      <c r="AM1276" s="555"/>
      <c r="AN1276" s="555"/>
      <c r="AO1276" s="555"/>
      <c r="AP1276" s="555"/>
      <c r="AQ1276" s="555"/>
      <c r="AR1276" s="555"/>
      <c r="AS1276" s="555"/>
      <c r="AT1276" s="555"/>
      <c r="AU1276" s="557"/>
      <c r="AV1276" s="548"/>
      <c r="AW1276" s="546"/>
      <c r="AX1276" s="546"/>
      <c r="AY1276" s="546"/>
      <c r="AZ1276" s="546"/>
      <c r="BA1276" s="546"/>
      <c r="BB1276" s="546"/>
      <c r="BC1276" s="546"/>
      <c r="BD1276" s="546"/>
      <c r="BE1276" s="546"/>
      <c r="BF1276" s="546"/>
      <c r="BG1276" s="546"/>
      <c r="BH1276" s="548"/>
      <c r="BI1276" s="421"/>
      <c r="BJ1276" s="555"/>
      <c r="BK1276" s="555"/>
      <c r="BL1276" s="557"/>
      <c r="BM1276" s="1"/>
      <c r="CV1276">
        <v>25</v>
      </c>
    </row>
    <row r="1277" spans="1:100">
      <c r="A1277" s="555"/>
      <c r="B1277" s="557"/>
      <c r="C1277" s="557"/>
      <c r="D1277" s="555"/>
      <c r="E1277" s="555"/>
      <c r="F1277" s="555"/>
      <c r="G1277" s="555"/>
      <c r="H1277" s="555"/>
      <c r="I1277" s="555"/>
      <c r="J1277" s="555"/>
      <c r="K1277" s="555"/>
      <c r="L1277" s="555"/>
      <c r="M1277" s="557"/>
      <c r="N1277" s="557"/>
      <c r="O1277" s="557"/>
      <c r="P1277" s="601"/>
      <c r="Q1277" s="601"/>
      <c r="R1277" s="601"/>
      <c r="S1277" s="601"/>
      <c r="T1277" s="601"/>
      <c r="U1277" s="601"/>
      <c r="V1277" s="601"/>
      <c r="W1277" s="601"/>
      <c r="X1277" s="601"/>
      <c r="Y1277" s="601"/>
      <c r="Z1277" s="601"/>
      <c r="AA1277" s="601"/>
      <c r="AB1277" s="601"/>
      <c r="AC1277" s="555"/>
      <c r="AD1277" s="557"/>
      <c r="AE1277" s="557"/>
      <c r="AF1277" s="601"/>
      <c r="AG1277" s="587"/>
      <c r="AH1277" s="555"/>
      <c r="AI1277" s="555"/>
      <c r="AJ1277" s="421"/>
      <c r="AK1277" s="421"/>
      <c r="AL1277" s="421"/>
      <c r="AM1277" s="421"/>
      <c r="AN1277" s="421"/>
      <c r="AO1277" s="421"/>
      <c r="AP1277" s="421"/>
      <c r="AQ1277" s="421"/>
      <c r="AR1277" s="421"/>
      <c r="AS1277" s="555"/>
      <c r="AT1277" s="555"/>
      <c r="AU1277" s="555"/>
      <c r="AV1277" s="557"/>
      <c r="AW1277" s="557"/>
      <c r="AX1277" s="557"/>
      <c r="AY1277" s="557"/>
      <c r="AZ1277" s="557"/>
      <c r="BA1277" s="557"/>
      <c r="BB1277" s="557"/>
      <c r="BC1277" s="557"/>
      <c r="BD1277" s="557"/>
      <c r="BE1277" s="557"/>
      <c r="BF1277" s="557"/>
      <c r="BG1277" s="557"/>
      <c r="BH1277" s="557"/>
      <c r="BI1277" s="421"/>
      <c r="BJ1277" s="555"/>
      <c r="BK1277" s="555"/>
      <c r="BL1277" s="557"/>
      <c r="BM1277" s="1"/>
      <c r="CV1277">
        <v>25</v>
      </c>
    </row>
    <row r="1278" spans="1:100">
      <c r="BM1278" s="1"/>
      <c r="CT1278">
        <v>2</v>
      </c>
      <c r="CU1278">
        <v>2</v>
      </c>
      <c r="CV1278">
        <v>27</v>
      </c>
    </row>
    <row r="1279" spans="1:100">
      <c r="BM1279" s="1"/>
      <c r="CT1279">
        <v>2</v>
      </c>
      <c r="CU1279">
        <v>2</v>
      </c>
      <c r="CV1279">
        <v>25</v>
      </c>
    </row>
    <row r="1280" spans="1:100">
      <c r="A1280" s="555"/>
      <c r="B1280" s="555"/>
      <c r="C1280" s="555"/>
      <c r="D1280" s="555"/>
      <c r="E1280" s="555"/>
      <c r="F1280" s="555"/>
      <c r="G1280" s="555"/>
      <c r="H1280" s="555"/>
      <c r="I1280" s="555"/>
      <c r="J1280" s="555"/>
      <c r="K1280" s="555"/>
      <c r="L1280" s="555"/>
      <c r="M1280" s="555"/>
      <c r="N1280" s="555"/>
      <c r="O1280" s="555"/>
      <c r="P1280" s="555"/>
      <c r="Q1280" s="555"/>
      <c r="R1280" s="555"/>
      <c r="S1280" s="555"/>
      <c r="T1280" s="555"/>
      <c r="U1280" s="555"/>
      <c r="V1280" s="555"/>
      <c r="W1280" s="555"/>
      <c r="X1280" s="555"/>
      <c r="Y1280" s="555"/>
      <c r="Z1280" s="555"/>
      <c r="AA1280" s="555"/>
      <c r="AB1280" s="555"/>
      <c r="AC1280" s="555"/>
      <c r="AD1280" s="555"/>
      <c r="AE1280" s="555"/>
      <c r="AF1280" s="555"/>
      <c r="AG1280" s="642"/>
      <c r="AH1280" s="583"/>
      <c r="AI1280" s="583"/>
      <c r="AJ1280" s="583"/>
      <c r="AK1280" s="583"/>
      <c r="AL1280" s="583"/>
      <c r="AM1280" s="583"/>
      <c r="AN1280" s="583"/>
      <c r="AO1280" s="583"/>
      <c r="AP1280" s="583"/>
      <c r="AQ1280" s="583"/>
      <c r="AR1280" s="583"/>
      <c r="AS1280" s="583"/>
      <c r="AT1280" s="583"/>
      <c r="AU1280" s="583"/>
      <c r="AV1280" s="583"/>
      <c r="AW1280" s="583"/>
      <c r="AX1280" s="583"/>
      <c r="AY1280" s="583"/>
      <c r="AZ1280" s="583"/>
      <c r="BA1280" s="583"/>
      <c r="BB1280" s="583"/>
      <c r="BC1280" s="583"/>
      <c r="BD1280" s="583"/>
      <c r="BE1280" s="583"/>
      <c r="BF1280" s="583"/>
      <c r="BG1280" s="583"/>
      <c r="BH1280" s="583"/>
      <c r="BI1280" s="583"/>
      <c r="BJ1280" s="583"/>
      <c r="BK1280" s="583"/>
      <c r="BL1280" s="555"/>
      <c r="BM1280" s="176"/>
      <c r="BN1280" s="332"/>
      <c r="BO1280" s="338"/>
      <c r="BP1280" s="338"/>
      <c r="BQ1280" s="338"/>
      <c r="BR1280" s="338"/>
    </row>
    <row r="1281" spans="1:100">
      <c r="A1281" s="417"/>
      <c r="B1281" s="417"/>
      <c r="C1281" s="417"/>
      <c r="D1281" s="417"/>
      <c r="E1281" s="417"/>
      <c r="F1281" s="417"/>
      <c r="G1281" s="417"/>
      <c r="H1281" s="417"/>
      <c r="I1281" s="417"/>
      <c r="J1281" s="417"/>
      <c r="K1281" s="417"/>
      <c r="L1281" s="417"/>
      <c r="M1281" s="417"/>
      <c r="N1281" s="417"/>
      <c r="O1281" s="417"/>
      <c r="P1281" s="417"/>
      <c r="Q1281" s="417"/>
      <c r="R1281" s="417"/>
      <c r="S1281" s="417"/>
      <c r="T1281" s="417"/>
      <c r="U1281" s="417"/>
      <c r="V1281" s="417"/>
      <c r="W1281" s="417"/>
      <c r="X1281" s="417"/>
      <c r="Y1281" s="417"/>
      <c r="Z1281" s="417"/>
      <c r="AA1281" s="417"/>
      <c r="AB1281" s="417"/>
      <c r="AC1281" s="417"/>
      <c r="AD1281" s="417"/>
      <c r="AE1281" s="417"/>
      <c r="AF1281" s="417"/>
      <c r="AG1281" s="415"/>
      <c r="AH1281" s="415"/>
      <c r="AI1281" s="415"/>
      <c r="AJ1281" s="415"/>
      <c r="AK1281" s="415"/>
      <c r="AL1281" s="415"/>
      <c r="AM1281" s="415"/>
      <c r="AN1281" s="415"/>
      <c r="AO1281" s="415"/>
      <c r="AP1281" s="415"/>
      <c r="AQ1281" s="415"/>
      <c r="AR1281" s="415"/>
      <c r="AS1281" s="415"/>
      <c r="AT1281" s="415"/>
      <c r="AU1281" s="415"/>
      <c r="AV1281" s="415"/>
      <c r="AW1281" s="415"/>
      <c r="AX1281" s="415"/>
      <c r="AY1281" s="415"/>
      <c r="AZ1281" s="415"/>
      <c r="BA1281" s="415"/>
      <c r="BB1281" s="415"/>
      <c r="BC1281" s="415"/>
      <c r="BD1281" s="415"/>
      <c r="BE1281" s="415"/>
      <c r="BF1281" s="415"/>
      <c r="BG1281" s="415"/>
      <c r="BH1281" s="415"/>
      <c r="BI1281" s="415"/>
      <c r="BJ1281" s="415"/>
      <c r="BK1281" s="415"/>
      <c r="BL1281" s="415"/>
      <c r="BM1281" s="290">
        <v>41</v>
      </c>
      <c r="BN1281" s="290"/>
      <c r="BO1281" s="290"/>
      <c r="BP1281" s="206"/>
      <c r="BQ1281" s="92"/>
      <c r="BR1281" s="92"/>
    </row>
    <row r="1282" spans="1:100">
      <c r="BM1282" s="291"/>
      <c r="BN1282" s="290"/>
      <c r="BO1282" s="206"/>
      <c r="BP1282" s="205"/>
      <c r="BQ1282" s="92"/>
      <c r="BR1282" s="92"/>
      <c r="CT1282">
        <v>1</v>
      </c>
      <c r="CU1282">
        <v>1</v>
      </c>
    </row>
    <row r="1283" spans="1:100">
      <c r="A1283" s="417"/>
      <c r="B1283" s="417"/>
      <c r="C1283" s="417"/>
      <c r="D1283" s="415"/>
      <c r="E1283" s="415"/>
      <c r="F1283" s="415"/>
      <c r="G1283" s="415"/>
      <c r="H1283" s="415"/>
      <c r="I1283" s="415"/>
      <c r="J1283" s="415"/>
      <c r="K1283" s="415"/>
      <c r="L1283" s="415"/>
      <c r="M1283" s="415"/>
      <c r="N1283" s="415"/>
      <c r="O1283" s="415"/>
      <c r="P1283" s="415"/>
      <c r="Q1283" s="415"/>
      <c r="R1283" s="415"/>
      <c r="S1283" s="415"/>
      <c r="T1283" s="415"/>
      <c r="U1283" s="415"/>
      <c r="V1283" s="415"/>
      <c r="W1283" s="415"/>
      <c r="X1283" s="415"/>
      <c r="Y1283" s="415"/>
      <c r="Z1283" s="415"/>
      <c r="AA1283" s="415"/>
      <c r="AB1283" s="415"/>
      <c r="AC1283" s="417"/>
      <c r="AD1283" s="417"/>
      <c r="AE1283" s="417"/>
      <c r="AF1283" s="417"/>
      <c r="AG1283" s="415"/>
      <c r="AH1283" s="415"/>
      <c r="AI1283" s="415"/>
      <c r="AJ1283" s="414"/>
      <c r="AK1283" s="414"/>
      <c r="AL1283" s="414"/>
      <c r="AM1283" s="414"/>
      <c r="AN1283" s="414"/>
      <c r="AO1283" s="414"/>
      <c r="AP1283" s="414"/>
      <c r="AQ1283" s="414"/>
      <c r="AR1283" s="414"/>
      <c r="AS1283" s="414"/>
      <c r="AT1283" s="414"/>
      <c r="AU1283" s="414"/>
      <c r="AV1283" s="414"/>
      <c r="AW1283" s="414"/>
      <c r="AX1283" s="414"/>
      <c r="AY1283" s="414"/>
      <c r="AZ1283" s="414"/>
      <c r="BA1283" s="414"/>
      <c r="BB1283" s="414"/>
      <c r="BC1283" s="414"/>
      <c r="BD1283" s="414"/>
      <c r="BE1283" s="414"/>
      <c r="BF1283" s="414"/>
      <c r="BG1283" s="414"/>
      <c r="BH1283" s="414"/>
      <c r="BI1283" s="415"/>
      <c r="BJ1283" s="415"/>
      <c r="BK1283" s="415"/>
      <c r="BL1283" s="415"/>
      <c r="CV1283">
        <v>2</v>
      </c>
    </row>
    <row r="1284" spans="1:100">
      <c r="A1284" s="417"/>
      <c r="B1284" s="417"/>
      <c r="C1284" s="417"/>
      <c r="D1284" s="415"/>
      <c r="E1284" s="417"/>
      <c r="F1284" s="417"/>
      <c r="G1284" s="417"/>
      <c r="H1284" s="417"/>
      <c r="I1284" s="417"/>
      <c r="J1284" s="417"/>
      <c r="K1284" s="417"/>
      <c r="L1284" s="417"/>
      <c r="M1284" s="417"/>
      <c r="N1284" s="417"/>
      <c r="O1284" s="417"/>
      <c r="P1284" s="417"/>
      <c r="Q1284" s="417"/>
      <c r="R1284" s="417"/>
      <c r="S1284" s="417"/>
      <c r="T1284" s="417"/>
      <c r="U1284" s="417"/>
      <c r="V1284" s="417"/>
      <c r="W1284" s="417"/>
      <c r="X1284" s="417"/>
      <c r="Y1284" s="417"/>
      <c r="Z1284" s="417"/>
      <c r="AA1284" s="417"/>
      <c r="AB1284" s="417"/>
      <c r="AC1284" s="422"/>
      <c r="AD1284" s="417"/>
      <c r="AE1284" s="417"/>
      <c r="AF1284" s="417"/>
      <c r="AG1284" s="415"/>
      <c r="AH1284" s="415"/>
      <c r="AI1284" s="415"/>
      <c r="AJ1284" s="414"/>
      <c r="AK1284" s="415"/>
      <c r="AL1284" s="415"/>
      <c r="AM1284" s="415"/>
      <c r="AN1284" s="415"/>
      <c r="AO1284" s="415"/>
      <c r="AP1284" s="415"/>
      <c r="AQ1284" s="415"/>
      <c r="AR1284" s="415"/>
      <c r="AS1284" s="415"/>
      <c r="AT1284" s="415"/>
      <c r="AU1284" s="415"/>
      <c r="AV1284" s="415"/>
      <c r="AW1284" s="415"/>
      <c r="AX1284" s="415"/>
      <c r="AY1284" s="415"/>
      <c r="AZ1284" s="415"/>
      <c r="BA1284" s="415"/>
      <c r="BB1284" s="415"/>
      <c r="BC1284" s="415"/>
      <c r="BD1284" s="415"/>
      <c r="BE1284" s="415"/>
      <c r="BF1284" s="415"/>
      <c r="BG1284" s="415"/>
      <c r="BH1284" s="415"/>
      <c r="BI1284" s="417"/>
      <c r="BJ1284" s="415"/>
      <c r="BK1284" s="415"/>
      <c r="BL1284" s="415"/>
      <c r="CV1284">
        <v>2</v>
      </c>
    </row>
    <row r="1285" spans="1:100">
      <c r="A1285" s="417"/>
      <c r="B1285" s="417"/>
      <c r="C1285" s="417"/>
      <c r="D1285" s="415"/>
      <c r="E1285" s="417"/>
      <c r="F1285" s="422"/>
      <c r="G1285" s="422"/>
      <c r="H1285" s="422"/>
      <c r="I1285" s="422"/>
      <c r="J1285" s="422"/>
      <c r="K1285" s="422"/>
      <c r="L1285" s="422"/>
      <c r="M1285" s="422"/>
      <c r="N1285" s="422"/>
      <c r="O1285" s="422"/>
      <c r="P1285" s="422"/>
      <c r="Q1285" s="422"/>
      <c r="R1285" s="422"/>
      <c r="S1285" s="422"/>
      <c r="T1285" s="422"/>
      <c r="U1285" s="422"/>
      <c r="V1285" s="422"/>
      <c r="W1285" s="422"/>
      <c r="X1285" s="422"/>
      <c r="Y1285" s="422"/>
      <c r="Z1285" s="422"/>
      <c r="AA1285" s="417"/>
      <c r="AB1285" s="417"/>
      <c r="AC1285" s="422"/>
      <c r="AD1285" s="417"/>
      <c r="AE1285" s="417"/>
      <c r="AF1285" s="417"/>
      <c r="AG1285" s="415"/>
      <c r="AH1285" s="415"/>
      <c r="AI1285" s="415"/>
      <c r="AJ1285" s="414"/>
      <c r="AK1285" s="415"/>
      <c r="AL1285" s="417"/>
      <c r="AM1285" s="417"/>
      <c r="AN1285" s="417"/>
      <c r="AO1285" s="417"/>
      <c r="AP1285" s="417"/>
      <c r="AQ1285" s="417"/>
      <c r="AR1285" s="417"/>
      <c r="AS1285" s="417"/>
      <c r="AT1285" s="417"/>
      <c r="AU1285" s="417"/>
      <c r="AV1285" s="417"/>
      <c r="AW1285" s="417"/>
      <c r="AX1285" s="417"/>
      <c r="AY1285" s="417"/>
      <c r="AZ1285" s="417"/>
      <c r="BA1285" s="417"/>
      <c r="BB1285" s="417"/>
      <c r="BC1285" s="417"/>
      <c r="BD1285" s="417"/>
      <c r="BE1285" s="417"/>
      <c r="BF1285" s="417"/>
      <c r="BG1285" s="415"/>
      <c r="BH1285" s="415"/>
      <c r="BI1285" s="417"/>
      <c r="BJ1285" s="415"/>
      <c r="BK1285" s="415"/>
      <c r="BL1285" s="415"/>
      <c r="CV1285">
        <v>2</v>
      </c>
    </row>
    <row r="1286" spans="1:100">
      <c r="A1286" s="417"/>
      <c r="B1286" s="417"/>
      <c r="C1286" s="417"/>
      <c r="D1286" s="415"/>
      <c r="E1286" s="417"/>
      <c r="F1286" s="422"/>
      <c r="G1286" s="417"/>
      <c r="H1286" s="417"/>
      <c r="I1286" s="417"/>
      <c r="J1286" s="417"/>
      <c r="K1286" s="417"/>
      <c r="L1286" s="417"/>
      <c r="M1286" s="417"/>
      <c r="N1286" s="417"/>
      <c r="O1286" s="417"/>
      <c r="P1286" s="417"/>
      <c r="Q1286" s="417"/>
      <c r="R1286" s="417"/>
      <c r="S1286" s="417"/>
      <c r="T1286" s="417"/>
      <c r="U1286" s="417"/>
      <c r="V1286" s="417"/>
      <c r="W1286" s="417"/>
      <c r="X1286" s="417"/>
      <c r="Y1286" s="417"/>
      <c r="Z1286" s="417"/>
      <c r="AA1286" s="415"/>
      <c r="AB1286" s="417"/>
      <c r="AC1286" s="422"/>
      <c r="AD1286" s="417"/>
      <c r="AE1286" s="417"/>
      <c r="AF1286" s="417"/>
      <c r="AG1286" s="415"/>
      <c r="AH1286" s="415"/>
      <c r="AI1286" s="415"/>
      <c r="AJ1286" s="414"/>
      <c r="AK1286" s="415"/>
      <c r="AL1286" s="417"/>
      <c r="AM1286" s="415"/>
      <c r="AN1286" s="415"/>
      <c r="AO1286" s="415"/>
      <c r="AP1286" s="415"/>
      <c r="AQ1286" s="415"/>
      <c r="AR1286" s="415"/>
      <c r="AS1286" s="415"/>
      <c r="AT1286" s="415"/>
      <c r="AU1286" s="415"/>
      <c r="AV1286" s="415"/>
      <c r="AW1286" s="415"/>
      <c r="AX1286" s="415"/>
      <c r="AY1286" s="415"/>
      <c r="AZ1286" s="415"/>
      <c r="BA1286" s="415"/>
      <c r="BB1286" s="415"/>
      <c r="BC1286" s="415"/>
      <c r="BD1286" s="415"/>
      <c r="BE1286" s="415"/>
      <c r="BF1286" s="415"/>
      <c r="BG1286" s="414"/>
      <c r="BH1286" s="415"/>
      <c r="BI1286" s="417"/>
      <c r="BJ1286" s="415"/>
      <c r="BK1286" s="415"/>
      <c r="BL1286" s="415"/>
      <c r="CV1286">
        <v>2</v>
      </c>
    </row>
    <row r="1287" spans="1:100">
      <c r="CT1287">
        <v>6</v>
      </c>
      <c r="CU1287">
        <v>6</v>
      </c>
      <c r="CV1287">
        <v>2</v>
      </c>
    </row>
    <row r="1288" spans="1:100">
      <c r="A1288" s="417"/>
      <c r="B1288" s="417"/>
      <c r="C1288" s="417"/>
      <c r="D1288" s="415"/>
      <c r="E1288" s="417"/>
      <c r="F1288" s="417"/>
      <c r="G1288" s="415"/>
      <c r="H1288" s="415"/>
      <c r="I1288" s="415"/>
      <c r="J1288" s="415"/>
      <c r="K1288" s="415"/>
      <c r="L1288" s="415"/>
      <c r="M1288" s="415"/>
      <c r="N1288" s="415"/>
      <c r="O1288" s="415"/>
      <c r="P1288" s="415"/>
      <c r="Q1288" s="415"/>
      <c r="R1288" s="415"/>
      <c r="S1288" s="415"/>
      <c r="T1288" s="415"/>
      <c r="U1288" s="415"/>
      <c r="V1288" s="415"/>
      <c r="W1288" s="415"/>
      <c r="X1288" s="415"/>
      <c r="Y1288" s="415"/>
      <c r="Z1288" s="415"/>
      <c r="AA1288" s="415"/>
      <c r="AB1288" s="417"/>
      <c r="AC1288" s="422"/>
      <c r="AD1288" s="417"/>
      <c r="AE1288" s="417"/>
      <c r="AF1288" s="417"/>
      <c r="AG1288" s="415"/>
      <c r="AH1288" s="415"/>
      <c r="AI1288" s="415"/>
      <c r="AJ1288" s="414"/>
      <c r="AK1288" s="415"/>
      <c r="AL1288" s="415"/>
      <c r="AM1288" s="414"/>
      <c r="AN1288" s="414"/>
      <c r="AO1288" s="414"/>
      <c r="AP1288" s="414"/>
      <c r="AQ1288" s="414"/>
      <c r="AR1288" s="414"/>
      <c r="AS1288" s="414"/>
      <c r="AT1288" s="414"/>
      <c r="AU1288" s="414"/>
      <c r="AV1288" s="414"/>
      <c r="AW1288" s="414"/>
      <c r="AX1288" s="414"/>
      <c r="AY1288" s="414"/>
      <c r="AZ1288" s="414"/>
      <c r="BA1288" s="414"/>
      <c r="BB1288" s="414"/>
      <c r="BC1288" s="414"/>
      <c r="BD1288" s="414"/>
      <c r="BE1288" s="414"/>
      <c r="BF1288" s="414"/>
      <c r="BG1288" s="414"/>
      <c r="BH1288" s="415"/>
      <c r="BI1288" s="417"/>
      <c r="BJ1288" s="415"/>
      <c r="BK1288" s="415"/>
      <c r="BL1288" s="415"/>
      <c r="CV1288">
        <v>2</v>
      </c>
    </row>
    <row r="1289" spans="1:100">
      <c r="CT1289">
        <v>4</v>
      </c>
      <c r="CU1289">
        <v>4</v>
      </c>
      <c r="CV1289">
        <v>2</v>
      </c>
    </row>
    <row r="1290" spans="1:100">
      <c r="A1290" s="417"/>
      <c r="B1290" s="417"/>
      <c r="C1290" s="417"/>
      <c r="D1290" s="417"/>
      <c r="E1290" s="422"/>
      <c r="F1290" s="422"/>
      <c r="G1290" s="422"/>
      <c r="H1290" s="422"/>
      <c r="I1290" s="422"/>
      <c r="J1290" s="422"/>
      <c r="K1290" s="422"/>
      <c r="L1290" s="422"/>
      <c r="M1290" s="422"/>
      <c r="N1290" s="422"/>
      <c r="O1290" s="422"/>
      <c r="P1290" s="422"/>
      <c r="Q1290" s="422"/>
      <c r="R1290" s="422"/>
      <c r="S1290" s="422"/>
      <c r="T1290" s="422"/>
      <c r="U1290" s="422"/>
      <c r="V1290" s="422"/>
      <c r="W1290" s="422"/>
      <c r="X1290" s="422"/>
      <c r="Y1290" s="422"/>
      <c r="Z1290" s="422"/>
      <c r="AA1290" s="422"/>
      <c r="AB1290" s="422"/>
      <c r="AC1290" s="422"/>
      <c r="AD1290" s="417"/>
      <c r="AE1290" s="417"/>
      <c r="AF1290" s="417"/>
      <c r="AG1290" s="415"/>
      <c r="AH1290" s="415"/>
      <c r="AI1290" s="415"/>
      <c r="AJ1290" s="415"/>
      <c r="AK1290" s="417"/>
      <c r="AL1290" s="417"/>
      <c r="AM1290" s="417"/>
      <c r="AN1290" s="417"/>
      <c r="AO1290" s="417"/>
      <c r="AP1290" s="417"/>
      <c r="AQ1290" s="417"/>
      <c r="AR1290" s="417"/>
      <c r="AS1290" s="417"/>
      <c r="AT1290" s="417"/>
      <c r="AU1290" s="417"/>
      <c r="AV1290" s="417"/>
      <c r="AW1290" s="417"/>
      <c r="AX1290" s="417"/>
      <c r="AY1290" s="417"/>
      <c r="AZ1290" s="417"/>
      <c r="BA1290" s="417"/>
      <c r="BB1290" s="417"/>
      <c r="BC1290" s="417"/>
      <c r="BD1290" s="417"/>
      <c r="BE1290" s="417"/>
      <c r="BF1290" s="417"/>
      <c r="BG1290" s="417"/>
      <c r="BH1290" s="417"/>
      <c r="BI1290" s="417"/>
      <c r="BJ1290" s="415"/>
      <c r="BK1290" s="415"/>
      <c r="BL1290" s="415"/>
      <c r="CV1290">
        <v>2</v>
      </c>
    </row>
    <row r="1291" spans="1:100">
      <c r="CT1291">
        <v>1</v>
      </c>
      <c r="CU1291">
        <v>1</v>
      </c>
      <c r="CV1291">
        <v>2</v>
      </c>
    </row>
    <row r="1292" spans="1:100">
      <c r="CT1292">
        <v>1</v>
      </c>
      <c r="CU1292">
        <v>1</v>
      </c>
      <c r="CV1292">
        <v>2</v>
      </c>
    </row>
    <row r="1293" spans="1:100">
      <c r="A1293" s="417"/>
      <c r="B1293" s="417"/>
      <c r="C1293" s="417"/>
      <c r="D1293" s="415"/>
      <c r="E1293" s="415"/>
      <c r="F1293" s="415"/>
      <c r="G1293" s="415"/>
      <c r="H1293" s="415"/>
      <c r="I1293" s="415"/>
      <c r="J1293" s="415"/>
      <c r="K1293" s="415"/>
      <c r="L1293" s="415"/>
      <c r="M1293" s="415"/>
      <c r="N1293" s="415"/>
      <c r="O1293" s="415"/>
      <c r="P1293" s="415"/>
      <c r="Q1293" s="415"/>
      <c r="R1293" s="415"/>
      <c r="S1293" s="415"/>
      <c r="T1293" s="415"/>
      <c r="U1293" s="415"/>
      <c r="V1293" s="415"/>
      <c r="W1293" s="415"/>
      <c r="X1293" s="415"/>
      <c r="Y1293" s="415"/>
      <c r="Z1293" s="415"/>
      <c r="AA1293" s="415"/>
      <c r="AB1293" s="415"/>
      <c r="AC1293" s="417"/>
      <c r="AD1293" s="417"/>
      <c r="AE1293" s="417"/>
      <c r="AF1293" s="417"/>
      <c r="AG1293" s="415"/>
      <c r="AH1293" s="415"/>
      <c r="AI1293" s="415"/>
      <c r="AJ1293" s="414"/>
      <c r="AK1293" s="414"/>
      <c r="AL1293" s="414"/>
      <c r="AM1293" s="414"/>
      <c r="AN1293" s="414"/>
      <c r="AO1293" s="414"/>
      <c r="AP1293" s="414"/>
      <c r="AQ1293" s="414"/>
      <c r="AR1293" s="414"/>
      <c r="AS1293" s="414"/>
      <c r="AT1293" s="414"/>
      <c r="AU1293" s="414"/>
      <c r="AV1293" s="414"/>
      <c r="AW1293" s="414"/>
      <c r="AX1293" s="414"/>
      <c r="AY1293" s="414"/>
      <c r="AZ1293" s="414"/>
      <c r="BA1293" s="414"/>
      <c r="BB1293" s="414"/>
      <c r="BC1293" s="414"/>
      <c r="BD1293" s="414"/>
      <c r="BE1293" s="414"/>
      <c r="BF1293" s="414"/>
      <c r="BG1293" s="414"/>
      <c r="BH1293" s="414"/>
      <c r="BI1293" s="415"/>
      <c r="BJ1293" s="415"/>
      <c r="BK1293" s="415"/>
      <c r="BL1293" s="415"/>
      <c r="CV1293">
        <v>2</v>
      </c>
    </row>
    <row r="1294" spans="1:100">
      <c r="CT1294">
        <v>4</v>
      </c>
      <c r="CU1294">
        <v>4</v>
      </c>
      <c r="CV1294">
        <v>2</v>
      </c>
    </row>
    <row r="1295" spans="1:100">
      <c r="A1295" s="417"/>
      <c r="B1295" s="421"/>
      <c r="C1295" s="417"/>
      <c r="D1295" s="415"/>
      <c r="E1295" s="417"/>
      <c r="F1295" s="422"/>
      <c r="G1295" s="422"/>
      <c r="H1295" s="422"/>
      <c r="I1295" s="422"/>
      <c r="J1295" s="422"/>
      <c r="K1295" s="422"/>
      <c r="L1295" s="422"/>
      <c r="M1295" s="422"/>
      <c r="N1295" s="422"/>
      <c r="O1295" s="422"/>
      <c r="P1295" s="422"/>
      <c r="Q1295" s="422"/>
      <c r="R1295" s="422"/>
      <c r="S1295" s="422"/>
      <c r="T1295" s="422"/>
      <c r="U1295" s="422"/>
      <c r="V1295" s="422"/>
      <c r="W1295" s="422"/>
      <c r="X1295" s="422"/>
      <c r="Y1295" s="422"/>
      <c r="Z1295" s="422"/>
      <c r="AA1295" s="417"/>
      <c r="AB1295" s="417"/>
      <c r="AC1295" s="422"/>
      <c r="AD1295" s="417"/>
      <c r="AE1295" s="417"/>
      <c r="AF1295" s="417"/>
      <c r="AG1295" s="415"/>
      <c r="AH1295" s="421"/>
      <c r="AI1295" s="415"/>
      <c r="AJ1295" s="414"/>
      <c r="AK1295" s="415"/>
      <c r="AL1295" s="417"/>
      <c r="AM1295" s="417"/>
      <c r="AN1295" s="417"/>
      <c r="AO1295" s="417"/>
      <c r="AP1295" s="417"/>
      <c r="AQ1295" s="417"/>
      <c r="AR1295" s="417"/>
      <c r="AS1295" s="417"/>
      <c r="AT1295" s="417"/>
      <c r="AU1295" s="417"/>
      <c r="AV1295" s="417"/>
      <c r="AW1295" s="417"/>
      <c r="AX1295" s="417"/>
      <c r="AY1295" s="417"/>
      <c r="AZ1295" s="417"/>
      <c r="BA1295" s="417"/>
      <c r="BB1295" s="417"/>
      <c r="BC1295" s="417"/>
      <c r="BD1295" s="417"/>
      <c r="BE1295" s="417"/>
      <c r="BF1295" s="417"/>
      <c r="BG1295" s="415"/>
      <c r="BH1295" s="415"/>
      <c r="BI1295" s="417"/>
      <c r="BJ1295" s="415"/>
      <c r="BK1295" s="415"/>
      <c r="BL1295" s="415"/>
      <c r="CV1295">
        <v>2</v>
      </c>
    </row>
    <row r="1296" spans="1:100">
      <c r="A1296" s="421"/>
      <c r="B1296" s="439"/>
      <c r="C1296" s="416"/>
      <c r="D1296" s="415"/>
      <c r="E1296" s="417"/>
      <c r="F1296" s="422"/>
      <c r="G1296" s="417"/>
      <c r="H1296" s="417"/>
      <c r="I1296" s="417"/>
      <c r="J1296" s="417"/>
      <c r="K1296" s="417"/>
      <c r="L1296" s="417"/>
      <c r="M1296" s="417"/>
      <c r="N1296" s="417"/>
      <c r="O1296" s="417"/>
      <c r="P1296" s="417"/>
      <c r="Q1296" s="417"/>
      <c r="R1296" s="417"/>
      <c r="S1296" s="417"/>
      <c r="T1296" s="417"/>
      <c r="U1296" s="417"/>
      <c r="V1296" s="417"/>
      <c r="W1296" s="417"/>
      <c r="X1296" s="417"/>
      <c r="Y1296" s="417"/>
      <c r="Z1296" s="417"/>
      <c r="AA1296" s="415"/>
      <c r="AB1296" s="417"/>
      <c r="AC1296" s="422"/>
      <c r="AD1296" s="417"/>
      <c r="AE1296" s="417"/>
      <c r="AF1296" s="417"/>
      <c r="AG1296" s="421"/>
      <c r="AH1296" s="439"/>
      <c r="AI1296" s="416"/>
      <c r="AJ1296" s="414"/>
      <c r="AK1296" s="415"/>
      <c r="AL1296" s="417"/>
      <c r="AM1296" s="415"/>
      <c r="AN1296" s="415"/>
      <c r="AO1296" s="415"/>
      <c r="AP1296" s="415"/>
      <c r="AQ1296" s="415"/>
      <c r="AR1296" s="415"/>
      <c r="AS1296" s="415"/>
      <c r="AT1296" s="415"/>
      <c r="AU1296" s="415"/>
      <c r="AV1296" s="415"/>
      <c r="AW1296" s="415"/>
      <c r="AX1296" s="415"/>
      <c r="AY1296" s="415"/>
      <c r="AZ1296" s="415"/>
      <c r="BA1296" s="415"/>
      <c r="BB1296" s="415"/>
      <c r="BC1296" s="415"/>
      <c r="BD1296" s="415"/>
      <c r="BE1296" s="415"/>
      <c r="BF1296" s="415"/>
      <c r="BG1296" s="414"/>
      <c r="BH1296" s="415"/>
      <c r="BI1296" s="417"/>
      <c r="BJ1296" s="415"/>
      <c r="BK1296" s="415"/>
      <c r="BL1296" s="415"/>
      <c r="BM1296" s="1"/>
      <c r="BN1296" s="290"/>
      <c r="BO1296" s="161"/>
      <c r="BP1296" s="205"/>
      <c r="BQ1296" s="92"/>
      <c r="BR1296" s="92"/>
    </row>
    <row r="1297" spans="1:100">
      <c r="A1297" s="417"/>
      <c r="B1297" s="432"/>
      <c r="C1297" s="417"/>
      <c r="D1297" s="415"/>
      <c r="E1297" s="417"/>
      <c r="F1297" s="422"/>
      <c r="G1297" s="417"/>
      <c r="H1297" s="417"/>
      <c r="I1297" s="417"/>
      <c r="J1297" s="417"/>
      <c r="K1297" s="417"/>
      <c r="L1297" s="417"/>
      <c r="M1297" s="417"/>
      <c r="N1297" s="417"/>
      <c r="O1297" s="417"/>
      <c r="P1297" s="417"/>
      <c r="Q1297" s="417"/>
      <c r="R1297" s="417"/>
      <c r="S1297" s="417"/>
      <c r="T1297" s="417"/>
      <c r="U1297" s="417"/>
      <c r="V1297" s="417"/>
      <c r="W1297" s="417"/>
      <c r="X1297" s="417"/>
      <c r="Y1297" s="417"/>
      <c r="Z1297" s="417"/>
      <c r="AA1297" s="415"/>
      <c r="AB1297" s="417"/>
      <c r="AC1297" s="422"/>
      <c r="AD1297" s="417"/>
      <c r="AE1297" s="417"/>
      <c r="AF1297" s="417"/>
      <c r="AG1297" s="415"/>
      <c r="AH1297" s="432"/>
      <c r="AI1297" s="415"/>
      <c r="AJ1297" s="414"/>
      <c r="AK1297" s="415"/>
      <c r="AL1297" s="417"/>
      <c r="AM1297" s="415"/>
      <c r="AN1297" s="415"/>
      <c r="AO1297" s="415"/>
      <c r="AP1297" s="415"/>
      <c r="AQ1297" s="415"/>
      <c r="AR1297" s="415"/>
      <c r="AS1297" s="415"/>
      <c r="AT1297" s="415"/>
      <c r="AU1297" s="415"/>
      <c r="AV1297" s="415"/>
      <c r="AW1297" s="415"/>
      <c r="AX1297" s="415"/>
      <c r="AY1297" s="415"/>
      <c r="AZ1297" s="415"/>
      <c r="BA1297" s="415"/>
      <c r="BB1297" s="415"/>
      <c r="BC1297" s="415"/>
      <c r="BD1297" s="415"/>
      <c r="BE1297" s="415"/>
      <c r="BF1297" s="415"/>
      <c r="BG1297" s="414"/>
      <c r="BH1297" s="415"/>
      <c r="BI1297" s="417"/>
      <c r="BJ1297" s="415"/>
      <c r="BK1297" s="415"/>
      <c r="BL1297" s="415"/>
      <c r="CV1297">
        <v>16</v>
      </c>
    </row>
    <row r="1298" spans="1:100">
      <c r="A1298" s="417"/>
      <c r="B1298" s="432"/>
      <c r="C1298" s="417"/>
      <c r="D1298" s="415"/>
      <c r="E1298" s="417"/>
      <c r="F1298" s="417"/>
      <c r="G1298" s="415"/>
      <c r="H1298" s="415"/>
      <c r="I1298" s="415"/>
      <c r="J1298" s="415"/>
      <c r="K1298" s="415"/>
      <c r="L1298" s="415"/>
      <c r="M1298" s="415"/>
      <c r="N1298" s="415"/>
      <c r="O1298" s="415"/>
      <c r="P1298" s="415"/>
      <c r="Q1298" s="415"/>
      <c r="R1298" s="415"/>
      <c r="S1298" s="415"/>
      <c r="T1298" s="415"/>
      <c r="U1298" s="415"/>
      <c r="V1298" s="415"/>
      <c r="W1298" s="415"/>
      <c r="X1298" s="415"/>
      <c r="Y1298" s="415"/>
      <c r="Z1298" s="415"/>
      <c r="AA1298" s="415"/>
      <c r="AB1298" s="417"/>
      <c r="AC1298" s="422"/>
      <c r="AD1298" s="417"/>
      <c r="AE1298" s="417"/>
      <c r="AF1298" s="417"/>
      <c r="AG1298" s="415"/>
      <c r="AH1298" s="432"/>
      <c r="AI1298" s="415"/>
      <c r="AJ1298" s="414"/>
      <c r="AK1298" s="415"/>
      <c r="AL1298" s="415"/>
      <c r="AM1298" s="414"/>
      <c r="AN1298" s="414"/>
      <c r="AO1298" s="414"/>
      <c r="AP1298" s="414"/>
      <c r="AQ1298" s="414"/>
      <c r="AR1298" s="414"/>
      <c r="AS1298" s="414"/>
      <c r="AT1298" s="414"/>
      <c r="AU1298" s="414"/>
      <c r="AV1298" s="414"/>
      <c r="AW1298" s="414"/>
      <c r="AX1298" s="414"/>
      <c r="AY1298" s="414"/>
      <c r="AZ1298" s="414"/>
      <c r="BA1298" s="414"/>
      <c r="BB1298" s="414"/>
      <c r="BC1298" s="414"/>
      <c r="BD1298" s="414"/>
      <c r="BE1298" s="414"/>
      <c r="BF1298" s="414"/>
      <c r="BG1298" s="414"/>
      <c r="BH1298" s="415"/>
      <c r="BI1298" s="417"/>
      <c r="BJ1298" s="415"/>
      <c r="BK1298" s="415"/>
      <c r="BL1298" s="415"/>
      <c r="CV1298">
        <v>16</v>
      </c>
    </row>
    <row r="1299" spans="1:100">
      <c r="A1299" s="417"/>
      <c r="B1299" s="432"/>
      <c r="C1299" s="417"/>
      <c r="D1299" s="415"/>
      <c r="E1299" s="417"/>
      <c r="F1299" s="417"/>
      <c r="G1299" s="417"/>
      <c r="H1299" s="417"/>
      <c r="I1299" s="417"/>
      <c r="J1299" s="417"/>
      <c r="K1299" s="417"/>
      <c r="L1299" s="417"/>
      <c r="M1299" s="417"/>
      <c r="N1299" s="417"/>
      <c r="O1299" s="417"/>
      <c r="P1299" s="417"/>
      <c r="Q1299" s="417"/>
      <c r="R1299" s="417"/>
      <c r="S1299" s="417"/>
      <c r="T1299" s="417"/>
      <c r="U1299" s="417"/>
      <c r="V1299" s="417"/>
      <c r="W1299" s="417"/>
      <c r="X1299" s="417"/>
      <c r="Y1299" s="417"/>
      <c r="Z1299" s="417"/>
      <c r="AA1299" s="417"/>
      <c r="AB1299" s="417"/>
      <c r="AC1299" s="422"/>
      <c r="AD1299" s="417"/>
      <c r="AE1299" s="417"/>
      <c r="AF1299" s="417"/>
      <c r="AG1299" s="415"/>
      <c r="AH1299" s="432"/>
      <c r="AI1299" s="415"/>
      <c r="AJ1299" s="414"/>
      <c r="AK1299" s="415"/>
      <c r="AL1299" s="415"/>
      <c r="AM1299" s="415"/>
      <c r="AN1299" s="415"/>
      <c r="AO1299" s="415"/>
      <c r="AP1299" s="415"/>
      <c r="AQ1299" s="415"/>
      <c r="AR1299" s="415"/>
      <c r="AS1299" s="415"/>
      <c r="AT1299" s="415"/>
      <c r="AU1299" s="415"/>
      <c r="AV1299" s="415"/>
      <c r="AW1299" s="415"/>
      <c r="AX1299" s="415"/>
      <c r="AY1299" s="415"/>
      <c r="AZ1299" s="415"/>
      <c r="BA1299" s="415"/>
      <c r="BB1299" s="415"/>
      <c r="BC1299" s="415"/>
      <c r="BD1299" s="415"/>
      <c r="BE1299" s="415"/>
      <c r="BF1299" s="415"/>
      <c r="BG1299" s="415"/>
      <c r="BH1299" s="415"/>
      <c r="BI1299" s="417"/>
      <c r="BJ1299" s="415"/>
      <c r="BK1299" s="415"/>
      <c r="BL1299" s="415"/>
      <c r="CV1299">
        <v>2</v>
      </c>
    </row>
    <row r="1300" spans="1:100">
      <c r="A1300" s="420"/>
      <c r="B1300" s="421"/>
      <c r="C1300" s="416"/>
      <c r="D1300" s="417"/>
      <c r="E1300" s="422"/>
      <c r="F1300" s="422"/>
      <c r="G1300" s="422"/>
      <c r="H1300" s="422"/>
      <c r="I1300" s="422"/>
      <c r="J1300" s="422"/>
      <c r="K1300" s="422"/>
      <c r="L1300" s="422"/>
      <c r="M1300" s="422"/>
      <c r="N1300" s="422"/>
      <c r="O1300" s="422"/>
      <c r="P1300" s="422"/>
      <c r="Q1300" s="422"/>
      <c r="R1300" s="422"/>
      <c r="S1300" s="422"/>
      <c r="T1300" s="422"/>
      <c r="U1300" s="422"/>
      <c r="V1300" s="422"/>
      <c r="W1300" s="422"/>
      <c r="X1300" s="422"/>
      <c r="Y1300" s="422"/>
      <c r="Z1300" s="422"/>
      <c r="AA1300" s="422"/>
      <c r="AB1300" s="422"/>
      <c r="AC1300" s="422"/>
      <c r="AD1300" s="417"/>
      <c r="AE1300" s="417"/>
      <c r="AF1300" s="417"/>
      <c r="AG1300" s="420"/>
      <c r="AH1300" s="421"/>
      <c r="AI1300" s="416"/>
      <c r="AJ1300" s="415"/>
      <c r="AK1300" s="417"/>
      <c r="AL1300" s="417"/>
      <c r="AM1300" s="417"/>
      <c r="AN1300" s="417"/>
      <c r="AO1300" s="417"/>
      <c r="AP1300" s="417"/>
      <c r="AQ1300" s="417"/>
      <c r="AR1300" s="417"/>
      <c r="AS1300" s="417"/>
      <c r="AT1300" s="417"/>
      <c r="AU1300" s="417"/>
      <c r="AV1300" s="417"/>
      <c r="AW1300" s="417"/>
      <c r="AX1300" s="417"/>
      <c r="AY1300" s="417"/>
      <c r="AZ1300" s="417"/>
      <c r="BA1300" s="417"/>
      <c r="BB1300" s="417"/>
      <c r="BC1300" s="417"/>
      <c r="BD1300" s="417"/>
      <c r="BE1300" s="417"/>
      <c r="BF1300" s="417"/>
      <c r="BG1300" s="417"/>
      <c r="BH1300" s="417"/>
      <c r="BI1300" s="417"/>
      <c r="BJ1300" s="415"/>
      <c r="BK1300" s="415"/>
      <c r="BL1300" s="415"/>
      <c r="CV1300">
        <v>2</v>
      </c>
    </row>
    <row r="1301" spans="1:100">
      <c r="A1301" s="417"/>
      <c r="B1301" s="420"/>
      <c r="C1301" s="417"/>
      <c r="D1301" s="417"/>
      <c r="E1301" s="417"/>
      <c r="F1301" s="417"/>
      <c r="G1301" s="417"/>
      <c r="H1301" s="417"/>
      <c r="I1301" s="417"/>
      <c r="J1301" s="417"/>
      <c r="K1301" s="417"/>
      <c r="L1301" s="417"/>
      <c r="M1301" s="417"/>
      <c r="N1301" s="417"/>
      <c r="O1301" s="417"/>
      <c r="P1301" s="417"/>
      <c r="Q1301" s="417"/>
      <c r="R1301" s="417"/>
      <c r="S1301" s="417"/>
      <c r="T1301" s="417"/>
      <c r="U1301" s="417"/>
      <c r="V1301" s="417"/>
      <c r="W1301" s="417"/>
      <c r="X1301" s="417"/>
      <c r="Y1301" s="417"/>
      <c r="Z1301" s="417"/>
      <c r="AA1301" s="417"/>
      <c r="AB1301" s="417"/>
      <c r="AC1301" s="417"/>
      <c r="AD1301" s="417"/>
      <c r="AE1301" s="417"/>
      <c r="AF1301" s="417"/>
      <c r="AG1301" s="415"/>
      <c r="AH1301" s="420"/>
      <c r="AI1301" s="415"/>
      <c r="AJ1301" s="415"/>
      <c r="AK1301" s="415"/>
      <c r="AL1301" s="415"/>
      <c r="AM1301" s="415"/>
      <c r="AN1301" s="415"/>
      <c r="AO1301" s="415"/>
      <c r="AP1301" s="415"/>
      <c r="AQ1301" s="415"/>
      <c r="AR1301" s="415"/>
      <c r="AS1301" s="415"/>
      <c r="AT1301" s="415"/>
      <c r="AU1301" s="415"/>
      <c r="AV1301" s="415"/>
      <c r="AW1301" s="415"/>
      <c r="AX1301" s="415"/>
      <c r="AY1301" s="415"/>
      <c r="AZ1301" s="415"/>
      <c r="BA1301" s="415"/>
      <c r="BB1301" s="415"/>
      <c r="BC1301" s="415"/>
      <c r="BD1301" s="415"/>
      <c r="BE1301" s="415"/>
      <c r="BF1301" s="415"/>
      <c r="BG1301" s="415"/>
      <c r="BH1301" s="415"/>
      <c r="BI1301" s="415"/>
      <c r="BJ1301" s="415"/>
      <c r="BK1301" s="415"/>
      <c r="BL1301" s="415"/>
      <c r="CV1301">
        <v>2</v>
      </c>
    </row>
    <row r="1302" spans="1:100">
      <c r="CT1302">
        <v>1</v>
      </c>
      <c r="CU1302">
        <v>1</v>
      </c>
      <c r="CV1302">
        <v>2</v>
      </c>
    </row>
    <row r="1303" spans="1:100">
      <c r="CT1303">
        <v>3</v>
      </c>
      <c r="CU1303">
        <v>3</v>
      </c>
      <c r="CV1303">
        <v>2</v>
      </c>
    </row>
    <row r="1304" spans="1:100">
      <c r="CT1304">
        <v>4</v>
      </c>
      <c r="CU1304">
        <v>4</v>
      </c>
      <c r="CV1304">
        <v>2</v>
      </c>
    </row>
    <row r="1305" spans="1:100">
      <c r="CT1305">
        <v>5</v>
      </c>
      <c r="CU1305">
        <v>5</v>
      </c>
      <c r="CV1305">
        <v>2</v>
      </c>
    </row>
    <row r="1306" spans="1:100">
      <c r="CT1306">
        <v>6</v>
      </c>
      <c r="CU1306">
        <v>6</v>
      </c>
      <c r="CV1306">
        <v>2</v>
      </c>
    </row>
    <row r="1307" spans="1:100">
      <c r="CT1307">
        <v>6</v>
      </c>
      <c r="CU1307">
        <v>6</v>
      </c>
      <c r="CV1307">
        <v>2</v>
      </c>
    </row>
    <row r="1308" spans="1:100">
      <c r="CT1308">
        <v>8</v>
      </c>
      <c r="CU1308">
        <v>8</v>
      </c>
      <c r="CV1308">
        <v>2</v>
      </c>
    </row>
    <row r="1309" spans="1:100">
      <c r="CT1309">
        <v>4</v>
      </c>
      <c r="CU1309">
        <v>4</v>
      </c>
      <c r="CV1309">
        <v>2</v>
      </c>
    </row>
    <row r="1310" spans="1:100">
      <c r="CT1310">
        <v>10</v>
      </c>
      <c r="CU1310">
        <v>10</v>
      </c>
      <c r="CV1310">
        <v>2</v>
      </c>
    </row>
    <row r="1311" spans="1:100">
      <c r="BM1311" s="1"/>
      <c r="BQ1311" s="92"/>
      <c r="BR1311" s="92"/>
      <c r="CT1311">
        <v>1</v>
      </c>
      <c r="CU1311">
        <v>1</v>
      </c>
      <c r="CV1311">
        <v>2</v>
      </c>
    </row>
    <row r="1312" spans="1:100">
      <c r="BM1312" s="1"/>
      <c r="BN1312" s="206"/>
      <c r="BO1312" s="205"/>
      <c r="BP1312" s="205"/>
      <c r="BQ1312" s="92"/>
      <c r="BR1312" s="92"/>
      <c r="CT1312">
        <v>1</v>
      </c>
      <c r="CU1312">
        <v>1</v>
      </c>
    </row>
    <row r="1313" spans="1:100">
      <c r="A1313" s="199"/>
      <c r="B1313" s="420"/>
      <c r="C1313" s="420"/>
      <c r="D1313" s="420"/>
      <c r="E1313" s="420"/>
      <c r="F1313" s="420"/>
      <c r="G1313" s="420"/>
      <c r="H1313" s="420"/>
      <c r="I1313" s="420"/>
      <c r="J1313" s="420"/>
      <c r="K1313" s="420"/>
      <c r="L1313" s="420"/>
      <c r="M1313" s="420"/>
      <c r="N1313" s="415"/>
      <c r="O1313" s="420"/>
      <c r="P1313" s="420"/>
      <c r="Q1313" s="420"/>
      <c r="R1313" s="420"/>
      <c r="S1313" s="565"/>
      <c r="T1313" s="420"/>
      <c r="U1313" s="420"/>
      <c r="V1313" s="420"/>
      <c r="W1313" s="420"/>
      <c r="X1313" s="420"/>
      <c r="Y1313" s="420"/>
      <c r="Z1313" s="420"/>
      <c r="AA1313" s="420"/>
      <c r="AB1313" s="420"/>
      <c r="AC1313" s="420"/>
      <c r="AD1313" s="420"/>
      <c r="AE1313" s="420"/>
      <c r="AF1313" s="415"/>
      <c r="AG1313" s="565"/>
      <c r="AH1313" s="420"/>
      <c r="AI1313" s="420"/>
      <c r="AJ1313" s="420"/>
      <c r="AK1313" s="420"/>
      <c r="AL1313" s="420"/>
      <c r="AM1313" s="420"/>
      <c r="AN1313" s="420"/>
      <c r="AO1313" s="420"/>
      <c r="AP1313" s="420"/>
      <c r="AQ1313" s="420"/>
      <c r="AR1313" s="420"/>
      <c r="AS1313" s="420"/>
      <c r="AT1313" s="206"/>
      <c r="AU1313" s="420"/>
      <c r="AV1313" s="420"/>
      <c r="AW1313" s="420"/>
      <c r="AX1313" s="420"/>
      <c r="AY1313" s="565"/>
      <c r="AZ1313" s="420"/>
      <c r="BA1313" s="420"/>
      <c r="BB1313" s="420"/>
      <c r="BC1313" s="420"/>
      <c r="BD1313" s="420"/>
      <c r="BE1313" s="420"/>
      <c r="BF1313" s="420"/>
      <c r="BG1313" s="420"/>
      <c r="BH1313" s="420"/>
      <c r="BI1313" s="420"/>
      <c r="BJ1313" s="420"/>
      <c r="BK1313" s="420"/>
      <c r="BL1313" s="415"/>
      <c r="BM1313" s="565">
        <v>42</v>
      </c>
      <c r="BN1313" s="291"/>
      <c r="BO1313" s="291"/>
      <c r="BP1313" s="291"/>
      <c r="BQ1313" s="291"/>
      <c r="BR1313" s="92"/>
    </row>
    <row r="1314" spans="1:100">
      <c r="BM1314" s="420"/>
      <c r="BR1314" s="92"/>
      <c r="CT1314">
        <v>1</v>
      </c>
      <c r="CU1314">
        <v>1</v>
      </c>
      <c r="CV1314">
        <v>1</v>
      </c>
    </row>
    <row r="1315" spans="1:100">
      <c r="BM1315" s="92"/>
      <c r="BR1315" s="92"/>
      <c r="CT1315">
        <v>1</v>
      </c>
      <c r="CU1315">
        <v>1</v>
      </c>
      <c r="CV1315">
        <v>1</v>
      </c>
    </row>
    <row r="1316" spans="1:100">
      <c r="A1316" s="199"/>
      <c r="B1316" s="420"/>
      <c r="C1316" s="557"/>
      <c r="D1316" s="565"/>
      <c r="E1316" s="420"/>
      <c r="F1316" s="420"/>
      <c r="G1316" s="420"/>
      <c r="H1316" s="420"/>
      <c r="I1316" s="420"/>
      <c r="J1316" s="420"/>
      <c r="K1316" s="420"/>
      <c r="L1316" s="420"/>
      <c r="M1316" s="420"/>
      <c r="N1316" s="415"/>
      <c r="O1316" s="420"/>
      <c r="P1316" s="557"/>
      <c r="Q1316" s="565"/>
      <c r="R1316" s="420"/>
      <c r="S1316" s="201"/>
      <c r="T1316" s="420"/>
      <c r="U1316" s="420"/>
      <c r="V1316" s="420"/>
      <c r="W1316" s="420"/>
      <c r="X1316" s="420"/>
      <c r="Y1316" s="420"/>
      <c r="Z1316" s="420"/>
      <c r="AA1316" s="420"/>
      <c r="AB1316" s="420"/>
      <c r="AC1316" s="557"/>
      <c r="AD1316" s="565"/>
      <c r="AE1316" s="420"/>
      <c r="AF1316" s="415"/>
      <c r="AG1316" s="565"/>
      <c r="AH1316" s="420"/>
      <c r="AI1316" s="557"/>
      <c r="AJ1316" s="565"/>
      <c r="AK1316" s="420"/>
      <c r="AL1316" s="420"/>
      <c r="AM1316" s="420"/>
      <c r="AN1316" s="420"/>
      <c r="AO1316" s="420"/>
      <c r="AP1316" s="420"/>
      <c r="AQ1316" s="420"/>
      <c r="AR1316" s="420"/>
      <c r="AS1316" s="420"/>
      <c r="AT1316" s="206"/>
      <c r="AU1316" s="420"/>
      <c r="AV1316" s="557"/>
      <c r="AW1316" s="565"/>
      <c r="AX1316" s="420"/>
      <c r="AY1316" s="565"/>
      <c r="AZ1316" s="420"/>
      <c r="BA1316" s="420"/>
      <c r="BB1316" s="420"/>
      <c r="BC1316" s="420"/>
      <c r="BD1316" s="420"/>
      <c r="BE1316" s="420"/>
      <c r="BF1316" s="420"/>
      <c r="BG1316" s="420"/>
      <c r="BH1316" s="420"/>
      <c r="BI1316" s="557"/>
      <c r="BJ1316" s="565"/>
      <c r="BK1316" s="420"/>
      <c r="BL1316" s="415"/>
      <c r="BM1316" s="92"/>
      <c r="BN1316" s="291"/>
      <c r="BO1316" s="180"/>
      <c r="BP1316" s="191"/>
      <c r="BQ1316" s="291"/>
      <c r="BR1316" s="92"/>
    </row>
    <row r="1317" spans="1:100">
      <c r="A1317" s="199"/>
      <c r="B1317" s="420"/>
      <c r="C1317" s="555"/>
      <c r="D1317" s="415"/>
      <c r="E1317" s="420"/>
      <c r="F1317" s="420"/>
      <c r="G1317" s="420"/>
      <c r="H1317" s="420"/>
      <c r="I1317" s="420"/>
      <c r="J1317" s="420"/>
      <c r="K1317" s="420"/>
      <c r="L1317" s="420"/>
      <c r="M1317" s="420"/>
      <c r="N1317" s="415"/>
      <c r="O1317" s="420"/>
      <c r="P1317" s="555"/>
      <c r="Q1317" s="415"/>
      <c r="R1317" s="420"/>
      <c r="S1317" s="565"/>
      <c r="T1317" s="420"/>
      <c r="U1317" s="420"/>
      <c r="V1317" s="420"/>
      <c r="W1317" s="420"/>
      <c r="X1317" s="420"/>
      <c r="Y1317" s="420"/>
      <c r="Z1317" s="420"/>
      <c r="AA1317" s="420"/>
      <c r="AB1317" s="420"/>
      <c r="AC1317" s="555"/>
      <c r="AD1317" s="415"/>
      <c r="AE1317" s="420"/>
      <c r="AF1317" s="415"/>
      <c r="AG1317" s="565"/>
      <c r="AH1317" s="420"/>
      <c r="AI1317" s="565"/>
      <c r="AJ1317" s="205"/>
      <c r="AK1317" s="420"/>
      <c r="AL1317" s="420"/>
      <c r="AM1317" s="420"/>
      <c r="AN1317" s="420"/>
      <c r="AO1317" s="420"/>
      <c r="AP1317" s="420"/>
      <c r="AQ1317" s="420"/>
      <c r="AR1317" s="420"/>
      <c r="AS1317" s="420"/>
      <c r="AT1317" s="206"/>
      <c r="AU1317" s="420"/>
      <c r="AV1317" s="565"/>
      <c r="AW1317" s="205"/>
      <c r="AX1317" s="420"/>
      <c r="AY1317" s="565"/>
      <c r="AZ1317" s="420"/>
      <c r="BA1317" s="420"/>
      <c r="BB1317" s="420"/>
      <c r="BC1317" s="420"/>
      <c r="BD1317" s="420"/>
      <c r="BE1317" s="420"/>
      <c r="BF1317" s="420"/>
      <c r="BG1317" s="420"/>
      <c r="BH1317" s="420"/>
      <c r="BI1317" s="565"/>
      <c r="BJ1317" s="205"/>
      <c r="BK1317" s="420"/>
      <c r="BL1317" s="415"/>
      <c r="BM1317" s="92"/>
      <c r="BN1317" s="291"/>
      <c r="BO1317" s="191"/>
      <c r="BP1317" s="206"/>
      <c r="BQ1317" s="291"/>
      <c r="BR1317" s="92"/>
    </row>
    <row r="1318" spans="1:100">
      <c r="BM1318" s="92">
        <v>1</v>
      </c>
      <c r="BR1318" s="92"/>
      <c r="CT1318">
        <v>1</v>
      </c>
      <c r="CU1318">
        <v>1</v>
      </c>
      <c r="CV1318">
        <v>1</v>
      </c>
    </row>
    <row r="1319" spans="1:100">
      <c r="BM1319" s="92"/>
      <c r="BR1319" s="92"/>
      <c r="CT1319">
        <v>1</v>
      </c>
      <c r="CU1319">
        <v>1</v>
      </c>
      <c r="CV1319">
        <v>1</v>
      </c>
    </row>
    <row r="1320" spans="1:100">
      <c r="BM1320" s="92"/>
      <c r="BR1320" s="92"/>
      <c r="CT1320">
        <v>1</v>
      </c>
      <c r="CU1320">
        <v>1</v>
      </c>
      <c r="CV1320">
        <v>1</v>
      </c>
    </row>
    <row r="1321" spans="1:100">
      <c r="BM1321" s="92"/>
      <c r="BR1321" s="92"/>
      <c r="CT1321">
        <v>1</v>
      </c>
      <c r="CU1321">
        <v>1</v>
      </c>
      <c r="CV1321">
        <v>1</v>
      </c>
    </row>
    <row r="1322" spans="1:100">
      <c r="BM1322" s="92"/>
      <c r="BR1322" s="92"/>
      <c r="CT1322">
        <v>1</v>
      </c>
      <c r="CU1322">
        <v>1</v>
      </c>
      <c r="CV1322">
        <v>1</v>
      </c>
    </row>
    <row r="1323" spans="1:100">
      <c r="BM1323" s="92"/>
      <c r="BR1323" s="92"/>
      <c r="CT1323">
        <v>1</v>
      </c>
      <c r="CU1323">
        <v>1</v>
      </c>
      <c r="CV1323">
        <v>1</v>
      </c>
    </row>
    <row r="1324" spans="1:100">
      <c r="BM1324" s="92"/>
      <c r="BR1324" s="92"/>
      <c r="CT1324">
        <v>4</v>
      </c>
      <c r="CU1324">
        <v>4</v>
      </c>
      <c r="CV1324">
        <v>4</v>
      </c>
    </row>
    <row r="1325" spans="1:100">
      <c r="BM1325" s="92"/>
      <c r="BR1325" s="92"/>
      <c r="CT1325">
        <v>5</v>
      </c>
      <c r="CU1325">
        <v>5</v>
      </c>
      <c r="CV1325">
        <v>5</v>
      </c>
    </row>
    <row r="1326" spans="1:100">
      <c r="BM1326" s="92"/>
      <c r="BR1326" s="92"/>
      <c r="CT1326">
        <v>1</v>
      </c>
      <c r="CU1326">
        <v>1</v>
      </c>
      <c r="CV1326">
        <v>1</v>
      </c>
    </row>
    <row r="1327" spans="1:100">
      <c r="BM1327" s="92"/>
      <c r="BR1327" s="92"/>
      <c r="CT1327">
        <v>1</v>
      </c>
      <c r="CU1327">
        <v>1</v>
      </c>
      <c r="CV1327">
        <v>1</v>
      </c>
    </row>
    <row r="1328" spans="1:100">
      <c r="BM1328" s="92"/>
      <c r="BR1328" s="92"/>
      <c r="CT1328">
        <v>1</v>
      </c>
      <c r="CU1328">
        <v>1</v>
      </c>
      <c r="CV1328">
        <v>1</v>
      </c>
    </row>
    <row r="1329" spans="65:100">
      <c r="BM1329" s="92"/>
      <c r="BR1329" s="92"/>
      <c r="CT1329">
        <v>1</v>
      </c>
      <c r="CU1329">
        <v>1</v>
      </c>
      <c r="CV1329">
        <v>1</v>
      </c>
    </row>
    <row r="1330" spans="65:100">
      <c r="BM1330" s="92"/>
      <c r="BR1330" s="92"/>
      <c r="CT1330">
        <v>1</v>
      </c>
      <c r="CU1330">
        <v>1</v>
      </c>
      <c r="CV1330">
        <v>1</v>
      </c>
    </row>
    <row r="1331" spans="65:100">
      <c r="BM1331" s="92"/>
      <c r="BR1331" s="92"/>
      <c r="CT1331">
        <v>1</v>
      </c>
      <c r="CU1331">
        <v>1</v>
      </c>
      <c r="CV1331">
        <v>1</v>
      </c>
    </row>
    <row r="1332" spans="65:100">
      <c r="BM1332" s="92"/>
      <c r="BR1332" s="92"/>
      <c r="CT1332">
        <v>4</v>
      </c>
      <c r="CU1332">
        <v>4</v>
      </c>
      <c r="CV1332">
        <v>4</v>
      </c>
    </row>
    <row r="1333" spans="65:100">
      <c r="BM1333" s="92"/>
      <c r="BR1333" s="92"/>
      <c r="CT1333">
        <v>5</v>
      </c>
      <c r="CU1333">
        <v>5</v>
      </c>
      <c r="CV1333">
        <v>5</v>
      </c>
    </row>
    <row r="1334" spans="65:100">
      <c r="BM1334" s="92"/>
      <c r="BR1334" s="92"/>
      <c r="CT1334">
        <v>1</v>
      </c>
      <c r="CU1334">
        <v>1</v>
      </c>
      <c r="CV1334">
        <v>1</v>
      </c>
    </row>
    <row r="1335" spans="65:100">
      <c r="BM1335" s="92"/>
      <c r="BR1335" s="92"/>
      <c r="CT1335">
        <v>1</v>
      </c>
      <c r="CU1335">
        <v>1</v>
      </c>
      <c r="CV1335">
        <v>1</v>
      </c>
    </row>
    <row r="1336" spans="65:100">
      <c r="BM1336" s="92"/>
      <c r="BR1336" s="92"/>
      <c r="CT1336">
        <v>1</v>
      </c>
      <c r="CU1336">
        <v>1</v>
      </c>
      <c r="CV1336">
        <v>1</v>
      </c>
    </row>
    <row r="1337" spans="65:100">
      <c r="BM1337" s="92"/>
      <c r="BR1337" s="92"/>
      <c r="CT1337">
        <v>1</v>
      </c>
      <c r="CU1337">
        <v>1</v>
      </c>
      <c r="CV1337">
        <v>1</v>
      </c>
    </row>
    <row r="1338" spans="65:100">
      <c r="BM1338" s="92"/>
      <c r="BR1338" s="92"/>
      <c r="CT1338">
        <v>1</v>
      </c>
      <c r="CU1338">
        <v>1</v>
      </c>
      <c r="CV1338">
        <v>1</v>
      </c>
    </row>
    <row r="1339" spans="65:100">
      <c r="BM1339" s="92"/>
      <c r="BR1339" s="92"/>
      <c r="CT1339">
        <v>1</v>
      </c>
      <c r="CU1339">
        <v>1</v>
      </c>
      <c r="CV1339">
        <v>1</v>
      </c>
    </row>
    <row r="1340" spans="65:100">
      <c r="BM1340" s="92"/>
      <c r="BR1340" s="92"/>
      <c r="CT1340">
        <v>4</v>
      </c>
      <c r="CU1340">
        <v>4</v>
      </c>
      <c r="CV1340">
        <v>4</v>
      </c>
    </row>
    <row r="1341" spans="65:100">
      <c r="BM1341" s="92"/>
      <c r="BR1341" s="92"/>
      <c r="CT1341">
        <v>5</v>
      </c>
      <c r="CU1341">
        <v>5</v>
      </c>
      <c r="CV1341">
        <v>5</v>
      </c>
    </row>
    <row r="1342" spans="65:100">
      <c r="BM1342" s="92"/>
      <c r="BR1342" s="92"/>
      <c r="CT1342">
        <v>1</v>
      </c>
      <c r="CU1342">
        <v>1</v>
      </c>
      <c r="CV1342">
        <v>1</v>
      </c>
    </row>
    <row r="1343" spans="65:100">
      <c r="BM1343" s="92"/>
      <c r="BR1343" s="92"/>
      <c r="CT1343">
        <v>1</v>
      </c>
      <c r="CU1343">
        <v>1</v>
      </c>
      <c r="CV1343">
        <v>1</v>
      </c>
    </row>
    <row r="1344" spans="65:100">
      <c r="BM1344" s="103"/>
      <c r="BR1344" s="92"/>
      <c r="CT1344">
        <v>1</v>
      </c>
      <c r="CU1344">
        <v>1</v>
      </c>
      <c r="CV1344">
        <v>1</v>
      </c>
    </row>
    <row r="1345" spans="1:97">
      <c r="A1345" s="645"/>
      <c r="B1345" s="646"/>
      <c r="C1345" s="646"/>
      <c r="D1345" s="646"/>
      <c r="E1345" s="646"/>
      <c r="F1345" s="646"/>
      <c r="G1345" s="646"/>
      <c r="H1345" s="646"/>
      <c r="I1345" s="646"/>
      <c r="J1345" s="646"/>
      <c r="K1345" s="646"/>
      <c r="L1345" s="646"/>
      <c r="M1345" s="646"/>
      <c r="N1345" s="646"/>
      <c r="O1345" s="646"/>
      <c r="P1345" s="646"/>
      <c r="Q1345" s="646"/>
      <c r="R1345" s="646"/>
      <c r="S1345" s="646"/>
      <c r="T1345" s="646"/>
      <c r="U1345" s="646"/>
      <c r="V1345" s="646"/>
      <c r="W1345" s="646"/>
      <c r="X1345" s="646"/>
      <c r="Y1345" s="646"/>
      <c r="Z1345" s="646"/>
      <c r="AA1345" s="646"/>
      <c r="AB1345" s="646"/>
      <c r="AC1345" s="646"/>
      <c r="AD1345" s="646"/>
      <c r="AE1345" s="646"/>
      <c r="AF1345" s="647"/>
      <c r="AG1345" s="645"/>
      <c r="AH1345" s="646"/>
      <c r="AI1345" s="646"/>
      <c r="AJ1345" s="646"/>
      <c r="AK1345" s="646"/>
      <c r="AL1345" s="646"/>
      <c r="AM1345" s="646"/>
      <c r="AN1345" s="646"/>
      <c r="AO1345" s="646"/>
      <c r="AP1345" s="646"/>
      <c r="AQ1345" s="646"/>
      <c r="AR1345" s="646"/>
      <c r="AS1345" s="646"/>
      <c r="AT1345" s="646"/>
      <c r="AU1345" s="646"/>
      <c r="AV1345" s="646"/>
      <c r="AW1345" s="646"/>
      <c r="AX1345" s="646"/>
      <c r="AY1345" s="646"/>
      <c r="AZ1345" s="646"/>
      <c r="BA1345" s="646"/>
      <c r="BB1345" s="646"/>
      <c r="BC1345" s="646"/>
      <c r="BD1345" s="646"/>
      <c r="BE1345" s="646"/>
      <c r="BF1345" s="646"/>
      <c r="BG1345" s="646"/>
      <c r="BH1345" s="646"/>
      <c r="BI1345" s="646"/>
      <c r="BJ1345" s="646"/>
      <c r="BK1345" s="646"/>
      <c r="BL1345" s="647"/>
      <c r="BM1345" s="189">
        <v>43</v>
      </c>
      <c r="BN1345" s="194"/>
      <c r="BO1345" s="194"/>
      <c r="BP1345" s="194"/>
      <c r="BQ1345" s="194"/>
      <c r="BR1345" s="194"/>
      <c r="BS1345" s="194"/>
      <c r="BT1345" s="194"/>
      <c r="BU1345" s="194"/>
      <c r="BV1345" s="194"/>
      <c r="BW1345" s="194"/>
      <c r="BX1345" s="194"/>
      <c r="BY1345" s="194"/>
      <c r="BZ1345" s="194"/>
      <c r="CA1345" s="194"/>
      <c r="CB1345" s="194"/>
      <c r="CC1345" s="194"/>
      <c r="CD1345" s="194"/>
      <c r="CE1345" s="194"/>
      <c r="CF1345" s="194"/>
      <c r="CG1345" s="194"/>
      <c r="CH1345" s="194"/>
      <c r="CI1345" s="194"/>
      <c r="CJ1345" s="194"/>
      <c r="CK1345" s="194"/>
      <c r="CL1345" s="194"/>
      <c r="CM1345" s="194"/>
      <c r="CN1345" s="194"/>
      <c r="CO1345" s="194"/>
      <c r="CP1345" s="194"/>
      <c r="CQ1345" s="194"/>
      <c r="CR1345" s="194"/>
      <c r="CS1345" s="194"/>
    </row>
    <row r="1346" spans="1:97">
      <c r="A1346" s="648"/>
      <c r="B1346" s="321"/>
      <c r="C1346" s="321"/>
      <c r="D1346" s="321"/>
      <c r="E1346" s="321"/>
      <c r="F1346" s="321"/>
      <c r="G1346" s="321"/>
      <c r="H1346" s="321"/>
      <c r="I1346" s="321"/>
      <c r="J1346" s="321"/>
      <c r="K1346" s="321"/>
      <c r="L1346" s="410"/>
      <c r="M1346" s="321"/>
      <c r="N1346" s="321"/>
      <c r="O1346" s="321"/>
      <c r="P1346" s="321"/>
      <c r="Q1346" s="321"/>
      <c r="R1346" s="321"/>
      <c r="S1346" s="321"/>
      <c r="T1346" s="321"/>
      <c r="U1346" s="321"/>
      <c r="V1346" s="321"/>
      <c r="W1346" s="410"/>
      <c r="X1346" s="321"/>
      <c r="Y1346" s="321"/>
      <c r="Z1346" s="321"/>
      <c r="AA1346" s="321"/>
      <c r="AB1346" s="321"/>
      <c r="AC1346" s="410"/>
      <c r="AD1346" s="321"/>
      <c r="AE1346" s="321"/>
      <c r="AF1346" s="564"/>
      <c r="AG1346" s="648"/>
      <c r="AH1346" s="321"/>
      <c r="AI1346" s="321"/>
      <c r="AJ1346" s="321"/>
      <c r="AK1346" s="321"/>
      <c r="AL1346" s="321"/>
      <c r="AM1346" s="321"/>
      <c r="AN1346" s="321"/>
      <c r="AO1346" s="321"/>
      <c r="AP1346" s="321"/>
      <c r="AQ1346" s="321"/>
      <c r="AR1346" s="410"/>
      <c r="AS1346" s="321"/>
      <c r="AT1346" s="321"/>
      <c r="AU1346" s="321"/>
      <c r="AV1346" s="321"/>
      <c r="AW1346" s="321"/>
      <c r="AX1346" s="321"/>
      <c r="AY1346" s="321"/>
      <c r="AZ1346" s="321"/>
      <c r="BA1346" s="321"/>
      <c r="BB1346" s="321"/>
      <c r="BC1346" s="410"/>
      <c r="BD1346" s="321"/>
      <c r="BE1346" s="321"/>
      <c r="BF1346" s="321"/>
      <c r="BG1346" s="321"/>
      <c r="BH1346" s="321"/>
      <c r="BI1346" s="410"/>
      <c r="BJ1346" s="321"/>
      <c r="BK1346" s="321"/>
      <c r="BL1346" s="564"/>
      <c r="BM1346" s="189"/>
      <c r="BN1346" s="194"/>
      <c r="BO1346" s="2"/>
      <c r="BP1346" s="194"/>
      <c r="BQ1346" s="2"/>
      <c r="BR1346" s="2"/>
      <c r="BS1346" s="2"/>
      <c r="BT1346" s="2"/>
      <c r="BU1346" s="2"/>
      <c r="BV1346" s="2"/>
      <c r="BW1346" s="2"/>
      <c r="BX1346" s="2"/>
      <c r="BY1346" s="2"/>
      <c r="BZ1346" s="2"/>
      <c r="CA1346" s="2"/>
      <c r="CB1346" s="2"/>
      <c r="CC1346" s="2"/>
      <c r="CD1346" s="2"/>
      <c r="CE1346" s="2"/>
      <c r="CF1346" s="2"/>
      <c r="CG1346" s="2"/>
      <c r="CH1346" s="2"/>
      <c r="CI1346" s="2"/>
      <c r="CJ1346" s="2"/>
      <c r="CK1346" s="2"/>
      <c r="CL1346" s="2"/>
      <c r="CM1346" s="2"/>
      <c r="CN1346" s="2"/>
      <c r="CO1346" s="2"/>
      <c r="CP1346" s="2"/>
      <c r="CQ1346" s="2"/>
      <c r="CR1346" s="2"/>
      <c r="CS1346" s="2"/>
    </row>
    <row r="1347" spans="1:97">
      <c r="A1347" s="648"/>
      <c r="B1347" s="321"/>
      <c r="C1347" s="321"/>
      <c r="D1347" s="410"/>
      <c r="E1347" s="321"/>
      <c r="F1347" s="321"/>
      <c r="G1347" s="321"/>
      <c r="H1347" s="321"/>
      <c r="I1347" s="321"/>
      <c r="J1347" s="321"/>
      <c r="K1347" s="321"/>
      <c r="L1347" s="410"/>
      <c r="M1347" s="321"/>
      <c r="N1347" s="321"/>
      <c r="O1347" s="321"/>
      <c r="P1347" s="321"/>
      <c r="Q1347" s="321"/>
      <c r="R1347" s="321"/>
      <c r="S1347" s="321"/>
      <c r="T1347" s="321"/>
      <c r="U1347" s="321"/>
      <c r="V1347" s="321"/>
      <c r="W1347" s="410"/>
      <c r="X1347" s="321"/>
      <c r="Y1347" s="321"/>
      <c r="Z1347" s="321"/>
      <c r="AA1347" s="321"/>
      <c r="AB1347" s="321"/>
      <c r="AC1347" s="410"/>
      <c r="AD1347" s="321"/>
      <c r="AE1347" s="321"/>
      <c r="AF1347" s="564"/>
      <c r="AG1347" s="648"/>
      <c r="AH1347" s="321"/>
      <c r="AI1347" s="321"/>
      <c r="AJ1347" s="410"/>
      <c r="AK1347" s="321"/>
      <c r="AL1347" s="321"/>
      <c r="AM1347" s="321"/>
      <c r="AN1347" s="321"/>
      <c r="AO1347" s="321"/>
      <c r="AP1347" s="321"/>
      <c r="AQ1347" s="321"/>
      <c r="AR1347" s="410"/>
      <c r="AS1347" s="321"/>
      <c r="AT1347" s="321"/>
      <c r="AU1347" s="321"/>
      <c r="AV1347" s="321"/>
      <c r="AW1347" s="321"/>
      <c r="AX1347" s="321"/>
      <c r="AY1347" s="321"/>
      <c r="AZ1347" s="321"/>
      <c r="BA1347" s="321"/>
      <c r="BB1347" s="321"/>
      <c r="BC1347" s="410"/>
      <c r="BD1347" s="321"/>
      <c r="BE1347" s="321"/>
      <c r="BF1347" s="321"/>
      <c r="BG1347" s="321"/>
      <c r="BH1347" s="321"/>
      <c r="BI1347" s="410"/>
      <c r="BJ1347" s="321"/>
      <c r="BK1347" s="321"/>
      <c r="BL1347" s="564"/>
      <c r="BM1347" s="1"/>
      <c r="BN1347" s="194"/>
      <c r="BO1347" s="2"/>
      <c r="BP1347" s="194"/>
      <c r="BQ1347" s="2"/>
      <c r="BR1347" s="307"/>
      <c r="BS1347" s="307"/>
      <c r="BT1347" s="307"/>
      <c r="BU1347" s="307"/>
      <c r="BV1347" s="307"/>
      <c r="BW1347" s="307"/>
      <c r="BX1347" s="307"/>
      <c r="BY1347" s="307"/>
      <c r="BZ1347" s="307"/>
      <c r="CA1347" s="307"/>
      <c r="CB1347" s="307"/>
      <c r="CC1347" s="307"/>
      <c r="CD1347" s="307"/>
      <c r="CE1347" s="307"/>
      <c r="CF1347" s="307"/>
      <c r="CG1347" s="307"/>
      <c r="CH1347" s="307"/>
      <c r="CI1347" s="307"/>
      <c r="CJ1347" s="307"/>
      <c r="CK1347" s="307"/>
      <c r="CL1347" s="307"/>
      <c r="CM1347" s="307"/>
      <c r="CN1347" s="307"/>
      <c r="CO1347" s="2"/>
      <c r="CP1347" s="2"/>
      <c r="CQ1347" s="2"/>
      <c r="CR1347" s="2"/>
      <c r="CS1347" s="2"/>
    </row>
    <row r="1348" spans="1:97">
      <c r="A1348" s="648"/>
      <c r="B1348" s="321"/>
      <c r="C1348" s="321"/>
      <c r="D1348" s="410"/>
      <c r="E1348" s="321"/>
      <c r="F1348" s="321"/>
      <c r="G1348" s="321"/>
      <c r="H1348" s="321"/>
      <c r="I1348" s="321"/>
      <c r="J1348" s="321"/>
      <c r="K1348" s="321"/>
      <c r="L1348" s="321"/>
      <c r="M1348" s="321"/>
      <c r="N1348" s="321"/>
      <c r="O1348" s="321"/>
      <c r="P1348" s="321"/>
      <c r="Q1348" s="321"/>
      <c r="R1348" s="321"/>
      <c r="S1348" s="321"/>
      <c r="T1348" s="321"/>
      <c r="U1348" s="321"/>
      <c r="V1348" s="321"/>
      <c r="W1348" s="321"/>
      <c r="X1348" s="321"/>
      <c r="Y1348" s="321"/>
      <c r="Z1348" s="321"/>
      <c r="AA1348" s="321"/>
      <c r="AB1348" s="321"/>
      <c r="AC1348" s="410"/>
      <c r="AD1348" s="321"/>
      <c r="AE1348" s="321"/>
      <c r="AF1348" s="564"/>
      <c r="AG1348" s="648"/>
      <c r="AH1348" s="321"/>
      <c r="AI1348" s="321"/>
      <c r="AJ1348" s="410"/>
      <c r="AK1348" s="321"/>
      <c r="AL1348" s="321"/>
      <c r="AM1348" s="321"/>
      <c r="AN1348" s="321"/>
      <c r="AO1348" s="321"/>
      <c r="AP1348" s="321"/>
      <c r="AQ1348" s="321"/>
      <c r="AR1348" s="321"/>
      <c r="AS1348" s="321"/>
      <c r="AT1348" s="321"/>
      <c r="AU1348" s="321"/>
      <c r="AV1348" s="321"/>
      <c r="AW1348" s="321"/>
      <c r="AX1348" s="321"/>
      <c r="AY1348" s="321"/>
      <c r="AZ1348" s="321"/>
      <c r="BA1348" s="321"/>
      <c r="BB1348" s="321"/>
      <c r="BC1348" s="321"/>
      <c r="BD1348" s="321"/>
      <c r="BE1348" s="321"/>
      <c r="BF1348" s="321"/>
      <c r="BG1348" s="321"/>
      <c r="BH1348" s="321"/>
      <c r="BI1348" s="410"/>
      <c r="BJ1348" s="321"/>
      <c r="BK1348" s="321"/>
      <c r="BL1348" s="564"/>
      <c r="BM1348" s="51"/>
      <c r="BN1348" s="194"/>
      <c r="BO1348" s="2"/>
      <c r="BP1348" s="194"/>
      <c r="BQ1348" s="2"/>
      <c r="BR1348" s="307"/>
      <c r="BS1348" s="2"/>
      <c r="BT1348" s="2"/>
      <c r="BU1348" s="180"/>
      <c r="BV1348" s="180"/>
      <c r="BW1348" s="180"/>
      <c r="BX1348" s="180"/>
      <c r="BY1348" s="180"/>
      <c r="BZ1348" s="180"/>
      <c r="CA1348" s="180"/>
      <c r="CB1348" s="180"/>
      <c r="CC1348" s="180"/>
      <c r="CD1348" s="180"/>
      <c r="CE1348" s="180"/>
      <c r="CF1348" s="180"/>
      <c r="CG1348" s="180"/>
      <c r="CH1348" s="180"/>
      <c r="CI1348" s="180"/>
      <c r="CJ1348" s="180"/>
      <c r="CK1348" s="180"/>
      <c r="CL1348" s="180"/>
      <c r="CM1348" s="301"/>
      <c r="CN1348" s="301"/>
      <c r="CO1348" s="293"/>
      <c r="CP1348" s="2"/>
      <c r="CQ1348" s="2"/>
      <c r="CR1348" s="2"/>
      <c r="CS1348" s="194"/>
    </row>
    <row r="1349" spans="1:97">
      <c r="A1349" s="648"/>
      <c r="B1349" s="321"/>
      <c r="C1349" s="321"/>
      <c r="D1349" s="410"/>
      <c r="E1349" s="321"/>
      <c r="F1349" s="321"/>
      <c r="G1349" s="321"/>
      <c r="H1349" s="321"/>
      <c r="I1349" s="321"/>
      <c r="J1349" s="321"/>
      <c r="K1349" s="321"/>
      <c r="L1349" s="410"/>
      <c r="M1349" s="321"/>
      <c r="N1349" s="321"/>
      <c r="O1349" s="321"/>
      <c r="P1349" s="321"/>
      <c r="Q1349" s="321"/>
      <c r="R1349" s="321"/>
      <c r="S1349" s="321"/>
      <c r="T1349" s="321"/>
      <c r="U1349" s="321"/>
      <c r="V1349" s="321"/>
      <c r="W1349" s="410"/>
      <c r="X1349" s="321"/>
      <c r="Y1349" s="321"/>
      <c r="Z1349" s="321"/>
      <c r="AA1349" s="321"/>
      <c r="AB1349" s="321"/>
      <c r="AC1349" s="410"/>
      <c r="AD1349" s="321"/>
      <c r="AE1349" s="321"/>
      <c r="AF1349" s="564"/>
      <c r="AG1349" s="648"/>
      <c r="AH1349" s="321"/>
      <c r="AI1349" s="321"/>
      <c r="AJ1349" s="410"/>
      <c r="AK1349" s="321"/>
      <c r="AL1349" s="321"/>
      <c r="AM1349" s="321"/>
      <c r="AN1349" s="321"/>
      <c r="AO1349" s="321"/>
      <c r="AP1349" s="321"/>
      <c r="AQ1349" s="321"/>
      <c r="AR1349" s="410"/>
      <c r="AS1349" s="321"/>
      <c r="AT1349" s="321"/>
      <c r="AU1349" s="321"/>
      <c r="AV1349" s="321"/>
      <c r="AW1349" s="321"/>
      <c r="AX1349" s="321"/>
      <c r="AY1349" s="321"/>
      <c r="AZ1349" s="321"/>
      <c r="BA1349" s="321"/>
      <c r="BB1349" s="321"/>
      <c r="BC1349" s="410"/>
      <c r="BD1349" s="321"/>
      <c r="BE1349" s="321"/>
      <c r="BF1349" s="321"/>
      <c r="BG1349" s="321"/>
      <c r="BH1349" s="321"/>
      <c r="BI1349" s="410"/>
      <c r="BJ1349" s="321"/>
      <c r="BK1349" s="321"/>
      <c r="BL1349" s="564"/>
      <c r="BM1349" s="51"/>
      <c r="BN1349" s="194"/>
      <c r="BO1349" s="2"/>
      <c r="BP1349" s="194"/>
      <c r="BQ1349" s="2"/>
      <c r="BR1349" s="307"/>
      <c r="BS1349" s="2"/>
      <c r="BT1349" s="2"/>
      <c r="BU1349" s="180"/>
      <c r="BV1349" s="291"/>
      <c r="BW1349" s="291"/>
      <c r="BX1349" s="291"/>
      <c r="BY1349" s="452"/>
      <c r="BZ1349" s="291"/>
      <c r="CA1349" s="291"/>
      <c r="CB1349" s="291"/>
      <c r="CC1349" s="291"/>
      <c r="CD1349" s="452"/>
      <c r="CE1349" s="291"/>
      <c r="CF1349" s="416"/>
      <c r="CG1349" s="416"/>
      <c r="CH1349" s="291"/>
      <c r="CI1349" s="291"/>
      <c r="CJ1349" s="291"/>
      <c r="CK1349" s="206"/>
      <c r="CL1349" s="189"/>
      <c r="CM1349" s="316"/>
      <c r="CN1349" s="308"/>
      <c r="CO1349" s="293"/>
      <c r="CP1349" s="2"/>
      <c r="CQ1349" s="2"/>
      <c r="CR1349" s="2"/>
      <c r="CS1349" s="194"/>
    </row>
    <row r="1350" spans="1:97">
      <c r="A1350" s="648"/>
      <c r="B1350" s="321"/>
      <c r="C1350" s="321"/>
      <c r="D1350" s="321"/>
      <c r="E1350" s="321"/>
      <c r="F1350" s="321"/>
      <c r="G1350" s="321"/>
      <c r="H1350" s="321"/>
      <c r="I1350" s="321"/>
      <c r="J1350" s="321"/>
      <c r="K1350" s="321"/>
      <c r="L1350" s="410"/>
      <c r="M1350" s="321"/>
      <c r="N1350" s="321"/>
      <c r="O1350" s="321"/>
      <c r="P1350" s="321"/>
      <c r="Q1350" s="321"/>
      <c r="R1350" s="321"/>
      <c r="S1350" s="321"/>
      <c r="T1350" s="321"/>
      <c r="U1350" s="321"/>
      <c r="V1350" s="321"/>
      <c r="W1350" s="321"/>
      <c r="X1350" s="321"/>
      <c r="Y1350" s="321"/>
      <c r="Z1350" s="321"/>
      <c r="AA1350" s="321"/>
      <c r="AB1350" s="321"/>
      <c r="AC1350" s="410"/>
      <c r="AD1350" s="321"/>
      <c r="AE1350" s="321"/>
      <c r="AF1350" s="649"/>
      <c r="AG1350" s="648"/>
      <c r="AH1350" s="321"/>
      <c r="AI1350" s="321"/>
      <c r="AJ1350" s="321"/>
      <c r="AK1350" s="321"/>
      <c r="AL1350" s="321"/>
      <c r="AM1350" s="321"/>
      <c r="AN1350" s="321"/>
      <c r="AO1350" s="321"/>
      <c r="AP1350" s="321"/>
      <c r="AQ1350" s="321"/>
      <c r="AR1350" s="410"/>
      <c r="AS1350" s="321"/>
      <c r="AT1350" s="321"/>
      <c r="AU1350" s="321"/>
      <c r="AV1350" s="321"/>
      <c r="AW1350" s="321"/>
      <c r="AX1350" s="321"/>
      <c r="AY1350" s="321"/>
      <c r="AZ1350" s="321"/>
      <c r="BA1350" s="321"/>
      <c r="BB1350" s="321"/>
      <c r="BC1350" s="321"/>
      <c r="BD1350" s="321"/>
      <c r="BE1350" s="321"/>
      <c r="BF1350" s="321"/>
      <c r="BG1350" s="321"/>
      <c r="BH1350" s="321"/>
      <c r="BI1350" s="410"/>
      <c r="BJ1350" s="321"/>
      <c r="BK1350" s="321"/>
      <c r="BL1350" s="649"/>
      <c r="BM1350" s="51"/>
      <c r="BN1350" s="194"/>
      <c r="BO1350" s="2"/>
      <c r="BP1350" s="2"/>
      <c r="BQ1350" s="2"/>
      <c r="BR1350" s="307"/>
      <c r="BS1350" s="2"/>
      <c r="BT1350" s="2"/>
      <c r="BU1350" s="180"/>
      <c r="BV1350" s="291"/>
      <c r="BW1350" s="161"/>
      <c r="BX1350" s="161"/>
      <c r="BY1350" s="416"/>
      <c r="BZ1350" s="452"/>
      <c r="CA1350" s="291"/>
      <c r="CB1350" s="291"/>
      <c r="CC1350" s="452"/>
      <c r="CD1350" s="291"/>
      <c r="CE1350" s="416"/>
      <c r="CF1350" s="416"/>
      <c r="CG1350" s="416"/>
      <c r="CH1350" s="416"/>
      <c r="CI1350" s="416"/>
      <c r="CJ1350" s="206"/>
      <c r="CK1350" s="439"/>
      <c r="CL1350" s="189"/>
      <c r="CM1350" s="308"/>
      <c r="CN1350" s="298"/>
      <c r="CO1350" s="293"/>
      <c r="CP1350" s="2"/>
      <c r="CQ1350" s="2"/>
      <c r="CR1350" s="2"/>
      <c r="CS1350" s="194"/>
    </row>
    <row r="1351" spans="1:97">
      <c r="A1351" s="648"/>
      <c r="B1351" s="321"/>
      <c r="C1351" s="321"/>
      <c r="D1351" s="321"/>
      <c r="E1351" s="321"/>
      <c r="F1351" s="321"/>
      <c r="G1351" s="321"/>
      <c r="H1351" s="321"/>
      <c r="I1351" s="321"/>
      <c r="J1351" s="321"/>
      <c r="K1351" s="321"/>
      <c r="L1351" s="410"/>
      <c r="M1351" s="321"/>
      <c r="N1351" s="321"/>
      <c r="O1351" s="321"/>
      <c r="P1351" s="321"/>
      <c r="Q1351" s="321"/>
      <c r="R1351" s="321"/>
      <c r="S1351" s="321"/>
      <c r="T1351" s="321"/>
      <c r="U1351" s="321"/>
      <c r="V1351" s="321"/>
      <c r="W1351" s="321"/>
      <c r="X1351" s="321"/>
      <c r="Y1351" s="321"/>
      <c r="Z1351" s="321"/>
      <c r="AA1351" s="321"/>
      <c r="AB1351" s="321"/>
      <c r="AC1351" s="410"/>
      <c r="AD1351" s="321"/>
      <c r="AE1351" s="321"/>
      <c r="AF1351" s="649"/>
      <c r="AG1351" s="648"/>
      <c r="AH1351" s="321"/>
      <c r="AI1351" s="321"/>
      <c r="AJ1351" s="321"/>
      <c r="AK1351" s="321"/>
      <c r="AL1351" s="321"/>
      <c r="AM1351" s="321"/>
      <c r="AN1351" s="321"/>
      <c r="AO1351" s="321"/>
      <c r="AP1351" s="321"/>
      <c r="AQ1351" s="321"/>
      <c r="AR1351" s="410"/>
      <c r="AS1351" s="321"/>
      <c r="AT1351" s="321"/>
      <c r="AU1351" s="321"/>
      <c r="AV1351" s="321"/>
      <c r="AW1351" s="321"/>
      <c r="AX1351" s="321"/>
      <c r="AY1351" s="321"/>
      <c r="AZ1351" s="321"/>
      <c r="BA1351" s="321"/>
      <c r="BB1351" s="321"/>
      <c r="BC1351" s="321"/>
      <c r="BD1351" s="321"/>
      <c r="BE1351" s="321"/>
      <c r="BF1351" s="321"/>
      <c r="BG1351" s="321"/>
      <c r="BH1351" s="321"/>
      <c r="BI1351" s="410"/>
      <c r="BJ1351" s="321"/>
      <c r="BK1351" s="321"/>
      <c r="BL1351" s="649"/>
      <c r="BM1351" s="51"/>
      <c r="BN1351" s="194"/>
      <c r="BO1351" s="2"/>
      <c r="BP1351" s="2"/>
      <c r="BQ1351" s="2"/>
      <c r="BR1351" s="307"/>
      <c r="BS1351" s="2"/>
      <c r="BT1351" s="2"/>
      <c r="BU1351" s="180"/>
      <c r="BV1351" s="291"/>
      <c r="BW1351" s="161"/>
      <c r="BX1351" s="416"/>
      <c r="BY1351" s="416"/>
      <c r="BZ1351" s="291"/>
      <c r="CA1351" s="439"/>
      <c r="CB1351" s="452"/>
      <c r="CC1351" s="416"/>
      <c r="CD1351" s="416"/>
      <c r="CE1351" s="416"/>
      <c r="CF1351" s="439"/>
      <c r="CG1351" s="452"/>
      <c r="CH1351" s="291"/>
      <c r="CI1351" s="416"/>
      <c r="CJ1351" s="439"/>
      <c r="CK1351" s="206"/>
      <c r="CL1351" s="189"/>
      <c r="CM1351" s="301"/>
      <c r="CN1351" s="301"/>
      <c r="CO1351" s="293"/>
      <c r="CP1351" s="2"/>
      <c r="CQ1351" s="2"/>
      <c r="CR1351" s="2"/>
      <c r="CS1351" s="194"/>
    </row>
    <row r="1352" spans="1:97">
      <c r="A1352" s="648"/>
      <c r="B1352" s="321"/>
      <c r="C1352" s="321"/>
      <c r="D1352" s="321"/>
      <c r="E1352" s="321"/>
      <c r="F1352" s="321"/>
      <c r="G1352" s="321"/>
      <c r="H1352" s="321"/>
      <c r="I1352" s="321"/>
      <c r="J1352" s="321"/>
      <c r="K1352" s="321"/>
      <c r="L1352" s="321"/>
      <c r="M1352" s="321"/>
      <c r="N1352" s="321"/>
      <c r="O1352" s="321"/>
      <c r="P1352" s="321"/>
      <c r="Q1352" s="321"/>
      <c r="R1352" s="321"/>
      <c r="S1352" s="321"/>
      <c r="T1352" s="321"/>
      <c r="U1352" s="321"/>
      <c r="V1352" s="321"/>
      <c r="W1352" s="321"/>
      <c r="X1352" s="321"/>
      <c r="Y1352" s="321"/>
      <c r="Z1352" s="321"/>
      <c r="AA1352" s="321"/>
      <c r="AB1352" s="321"/>
      <c r="AC1352" s="321"/>
      <c r="AD1352" s="321"/>
      <c r="AE1352" s="321"/>
      <c r="AF1352" s="649"/>
      <c r="AG1352" s="648"/>
      <c r="AH1352" s="321"/>
      <c r="AI1352" s="321"/>
      <c r="AJ1352" s="321"/>
      <c r="AK1352" s="321"/>
      <c r="AL1352" s="321"/>
      <c r="AM1352" s="321"/>
      <c r="AN1352" s="321"/>
      <c r="AO1352" s="321"/>
      <c r="AP1352" s="321"/>
      <c r="AQ1352" s="321"/>
      <c r="AR1352" s="321"/>
      <c r="AS1352" s="321"/>
      <c r="AT1352" s="321"/>
      <c r="AU1352" s="321"/>
      <c r="AV1352" s="321"/>
      <c r="AW1352" s="321"/>
      <c r="AX1352" s="321"/>
      <c r="AY1352" s="321"/>
      <c r="AZ1352" s="321"/>
      <c r="BA1352" s="321"/>
      <c r="BB1352" s="321"/>
      <c r="BC1352" s="321"/>
      <c r="BD1352" s="321"/>
      <c r="BE1352" s="321"/>
      <c r="BF1352" s="321"/>
      <c r="BG1352" s="321"/>
      <c r="BH1352" s="321"/>
      <c r="BI1352" s="321"/>
      <c r="BJ1352" s="321"/>
      <c r="BK1352" s="321"/>
      <c r="BL1352" s="649"/>
      <c r="BM1352" s="51"/>
      <c r="BN1352" s="194"/>
      <c r="BO1352" s="2"/>
      <c r="BP1352" s="2"/>
      <c r="BQ1352" s="2"/>
      <c r="BR1352" s="307"/>
      <c r="BS1352" s="2"/>
      <c r="BT1352" s="2"/>
      <c r="BU1352" s="180"/>
      <c r="BV1352" s="291"/>
      <c r="BW1352" s="161"/>
      <c r="BX1352" s="416"/>
      <c r="BY1352" s="439"/>
      <c r="BZ1352" s="416"/>
      <c r="CA1352" s="416"/>
      <c r="CB1352" s="416"/>
      <c r="CC1352" s="439"/>
      <c r="CD1352" s="416"/>
      <c r="CE1352" s="416"/>
      <c r="CF1352" s="416"/>
      <c r="CG1352" s="416"/>
      <c r="CH1352" s="416"/>
      <c r="CI1352" s="416"/>
      <c r="CJ1352" s="452"/>
      <c r="CK1352" s="206"/>
      <c r="CL1352" s="189"/>
      <c r="CM1352" s="313"/>
      <c r="CN1352" s="309"/>
      <c r="CO1352" s="293"/>
      <c r="CP1352" s="2"/>
      <c r="CQ1352" s="2"/>
      <c r="CR1352" s="2"/>
      <c r="CS1352" s="194"/>
    </row>
    <row r="1353" spans="1:97">
      <c r="A1353" s="648"/>
      <c r="B1353" s="321"/>
      <c r="C1353" s="321"/>
      <c r="D1353" s="321"/>
      <c r="E1353" s="321"/>
      <c r="F1353" s="321"/>
      <c r="G1353" s="321"/>
      <c r="H1353" s="321"/>
      <c r="I1353" s="321"/>
      <c r="J1353" s="321"/>
      <c r="K1353" s="321"/>
      <c r="L1353" s="321"/>
      <c r="M1353" s="321"/>
      <c r="N1353" s="321"/>
      <c r="O1353" s="321"/>
      <c r="P1353" s="321"/>
      <c r="Q1353" s="321"/>
      <c r="R1353" s="321"/>
      <c r="S1353" s="321"/>
      <c r="T1353" s="321"/>
      <c r="U1353" s="321"/>
      <c r="V1353" s="321"/>
      <c r="W1353" s="321"/>
      <c r="X1353" s="321"/>
      <c r="Y1353" s="321"/>
      <c r="Z1353" s="321"/>
      <c r="AA1353" s="321"/>
      <c r="AB1353" s="321"/>
      <c r="AC1353" s="321"/>
      <c r="AD1353" s="321"/>
      <c r="AE1353" s="321"/>
      <c r="AF1353" s="649"/>
      <c r="AG1353" s="648"/>
      <c r="AH1353" s="321"/>
      <c r="AI1353" s="321"/>
      <c r="AJ1353" s="321"/>
      <c r="AK1353" s="321"/>
      <c r="AL1353" s="321"/>
      <c r="AM1353" s="321"/>
      <c r="AN1353" s="321"/>
      <c r="AO1353" s="321"/>
      <c r="AP1353" s="321"/>
      <c r="AQ1353" s="321"/>
      <c r="AR1353" s="321"/>
      <c r="AS1353" s="321"/>
      <c r="AT1353" s="321"/>
      <c r="AU1353" s="321"/>
      <c r="AV1353" s="321"/>
      <c r="AW1353" s="321"/>
      <c r="AX1353" s="321"/>
      <c r="AY1353" s="321"/>
      <c r="AZ1353" s="321"/>
      <c r="BA1353" s="321"/>
      <c r="BB1353" s="321"/>
      <c r="BC1353" s="321"/>
      <c r="BD1353" s="321"/>
      <c r="BE1353" s="321"/>
      <c r="BF1353" s="321"/>
      <c r="BG1353" s="321"/>
      <c r="BH1353" s="321"/>
      <c r="BI1353" s="321"/>
      <c r="BJ1353" s="321"/>
      <c r="BK1353" s="321"/>
      <c r="BL1353" s="649"/>
      <c r="BM1353" s="51"/>
      <c r="BN1353" s="194"/>
      <c r="BO1353" s="2"/>
      <c r="BP1353" s="194"/>
      <c r="BQ1353" s="2"/>
      <c r="BR1353" s="307"/>
      <c r="BS1353" s="2"/>
      <c r="BT1353" s="2"/>
      <c r="BU1353" s="180"/>
      <c r="BV1353" s="291"/>
      <c r="BW1353" s="416"/>
      <c r="BX1353" s="439"/>
      <c r="BY1353" s="416"/>
      <c r="BZ1353" s="416"/>
      <c r="CA1353" s="416"/>
      <c r="CB1353" s="416"/>
      <c r="CC1353" s="452"/>
      <c r="CD1353" s="416"/>
      <c r="CE1353" s="416"/>
      <c r="CF1353" s="416"/>
      <c r="CG1353" s="416"/>
      <c r="CH1353" s="452"/>
      <c r="CI1353" s="439"/>
      <c r="CJ1353" s="416"/>
      <c r="CK1353" s="416"/>
      <c r="CL1353" s="189"/>
      <c r="CM1353" s="302"/>
      <c r="CN1353" s="299"/>
      <c r="CO1353" s="293"/>
      <c r="CP1353" s="2"/>
      <c r="CQ1353" s="2"/>
      <c r="CR1353" s="2"/>
      <c r="CS1353" s="194"/>
    </row>
    <row r="1354" spans="1:97">
      <c r="A1354" s="648"/>
      <c r="B1354" s="321"/>
      <c r="C1354" s="321"/>
      <c r="D1354" s="321"/>
      <c r="E1354" s="321"/>
      <c r="F1354" s="321"/>
      <c r="G1354" s="321"/>
      <c r="H1354" s="321"/>
      <c r="I1354" s="321"/>
      <c r="J1354" s="321"/>
      <c r="K1354" s="321"/>
      <c r="L1354" s="321"/>
      <c r="M1354" s="321"/>
      <c r="N1354" s="321"/>
      <c r="O1354" s="321"/>
      <c r="P1354" s="321"/>
      <c r="Q1354" s="321"/>
      <c r="R1354" s="321"/>
      <c r="S1354" s="321"/>
      <c r="T1354" s="321"/>
      <c r="U1354" s="321"/>
      <c r="V1354" s="321"/>
      <c r="W1354" s="321"/>
      <c r="X1354" s="321"/>
      <c r="Y1354" s="321"/>
      <c r="Z1354" s="321"/>
      <c r="AA1354" s="321"/>
      <c r="AB1354" s="321"/>
      <c r="AC1354" s="321"/>
      <c r="AD1354" s="321"/>
      <c r="AE1354" s="321"/>
      <c r="AF1354" s="649"/>
      <c r="AG1354" s="648"/>
      <c r="AH1354" s="321"/>
      <c r="AI1354" s="321"/>
      <c r="AJ1354" s="321"/>
      <c r="AK1354" s="321"/>
      <c r="AL1354" s="321"/>
      <c r="AM1354" s="321"/>
      <c r="AN1354" s="321"/>
      <c r="AO1354" s="321"/>
      <c r="AP1354" s="321"/>
      <c r="AQ1354" s="321"/>
      <c r="AR1354" s="321"/>
      <c r="AS1354" s="321"/>
      <c r="AT1354" s="321"/>
      <c r="AU1354" s="321"/>
      <c r="AV1354" s="321"/>
      <c r="AW1354" s="321"/>
      <c r="AX1354" s="321"/>
      <c r="AY1354" s="321"/>
      <c r="AZ1354" s="321"/>
      <c r="BA1354" s="321"/>
      <c r="BB1354" s="321"/>
      <c r="BC1354" s="321"/>
      <c r="BD1354" s="321"/>
      <c r="BE1354" s="321"/>
      <c r="BF1354" s="321"/>
      <c r="BG1354" s="321"/>
      <c r="BH1354" s="321"/>
      <c r="BI1354" s="321"/>
      <c r="BJ1354" s="321"/>
      <c r="BK1354" s="321"/>
      <c r="BL1354" s="649"/>
      <c r="BM1354" s="51"/>
      <c r="BN1354" s="194"/>
      <c r="BO1354" s="2"/>
      <c r="BP1354" s="194"/>
      <c r="BQ1354" s="2"/>
      <c r="BR1354" s="307"/>
      <c r="BS1354" s="2"/>
      <c r="BT1354" s="2"/>
      <c r="BU1354" s="180"/>
      <c r="BV1354" s="291"/>
      <c r="BW1354" s="416"/>
      <c r="BX1354" s="291"/>
      <c r="BY1354" s="416"/>
      <c r="BZ1354" s="416"/>
      <c r="CA1354" s="416"/>
      <c r="CB1354" s="416"/>
      <c r="CC1354" s="291"/>
      <c r="CD1354" s="291"/>
      <c r="CE1354" s="439"/>
      <c r="CF1354" s="439"/>
      <c r="CG1354" s="452"/>
      <c r="CH1354" s="416"/>
      <c r="CI1354" s="206"/>
      <c r="CJ1354" s="416"/>
      <c r="CK1354" s="416"/>
      <c r="CL1354" s="189"/>
      <c r="CM1354" s="301"/>
      <c r="CN1354" s="301"/>
      <c r="CO1354" s="293"/>
      <c r="CP1354" s="2"/>
      <c r="CQ1354" s="2"/>
      <c r="CR1354" s="2"/>
      <c r="CS1354" s="194"/>
    </row>
    <row r="1355" spans="1:97">
      <c r="A1355" s="648"/>
      <c r="B1355" s="321"/>
      <c r="C1355" s="321"/>
      <c r="D1355" s="321"/>
      <c r="E1355" s="321"/>
      <c r="F1355" s="321"/>
      <c r="G1355" s="321"/>
      <c r="H1355" s="321"/>
      <c r="I1355" s="321"/>
      <c r="J1355" s="321"/>
      <c r="K1355" s="321"/>
      <c r="L1355" s="321"/>
      <c r="M1355" s="321"/>
      <c r="N1355" s="321"/>
      <c r="O1355" s="321"/>
      <c r="P1355" s="321"/>
      <c r="Q1355" s="321"/>
      <c r="R1355" s="321"/>
      <c r="S1355" s="321"/>
      <c r="T1355" s="321"/>
      <c r="U1355" s="321"/>
      <c r="V1355" s="321"/>
      <c r="W1355" s="321"/>
      <c r="X1355" s="321"/>
      <c r="Y1355" s="321"/>
      <c r="Z1355" s="321"/>
      <c r="AA1355" s="321"/>
      <c r="AB1355" s="321"/>
      <c r="AC1355" s="321"/>
      <c r="AD1355" s="321"/>
      <c r="AE1355" s="321"/>
      <c r="AF1355" s="649"/>
      <c r="AG1355" s="648"/>
      <c r="AH1355" s="321"/>
      <c r="AI1355" s="321"/>
      <c r="AJ1355" s="321"/>
      <c r="AK1355" s="321"/>
      <c r="AL1355" s="321"/>
      <c r="AM1355" s="321"/>
      <c r="AN1355" s="321"/>
      <c r="AO1355" s="321"/>
      <c r="AP1355" s="321"/>
      <c r="AQ1355" s="321"/>
      <c r="AR1355" s="321"/>
      <c r="AS1355" s="321"/>
      <c r="AT1355" s="321"/>
      <c r="AU1355" s="321"/>
      <c r="AV1355" s="321"/>
      <c r="AW1355" s="321"/>
      <c r="AX1355" s="321"/>
      <c r="AY1355" s="321"/>
      <c r="AZ1355" s="321"/>
      <c r="BA1355" s="321"/>
      <c r="BB1355" s="321"/>
      <c r="BC1355" s="321"/>
      <c r="BD1355" s="321"/>
      <c r="BE1355" s="321"/>
      <c r="BF1355" s="321"/>
      <c r="BG1355" s="321"/>
      <c r="BH1355" s="321"/>
      <c r="BI1355" s="321"/>
      <c r="BJ1355" s="321"/>
      <c r="BK1355" s="321"/>
      <c r="BL1355" s="649"/>
      <c r="BM1355" s="51"/>
      <c r="BN1355" s="194"/>
      <c r="BO1355" s="2"/>
      <c r="BP1355" s="2"/>
      <c r="BQ1355" s="2"/>
      <c r="BR1355" s="307"/>
      <c r="BS1355" s="2"/>
      <c r="BT1355" s="2"/>
      <c r="BU1355" s="180"/>
      <c r="BV1355" s="291"/>
      <c r="BW1355" s="452"/>
      <c r="BX1355" s="291"/>
      <c r="BY1355" s="416"/>
      <c r="BZ1355" s="416"/>
      <c r="CA1355" s="416"/>
      <c r="CB1355" s="416"/>
      <c r="CC1355" s="452"/>
      <c r="CD1355" s="452"/>
      <c r="CE1355" s="413"/>
      <c r="CF1355" s="413"/>
      <c r="CG1355" s="439"/>
      <c r="CH1355" s="416"/>
      <c r="CI1355" s="416"/>
      <c r="CJ1355" s="416"/>
      <c r="CK1355" s="416"/>
      <c r="CL1355" s="189"/>
      <c r="CM1355" s="157"/>
      <c r="CN1355" s="159"/>
      <c r="CO1355" s="293"/>
      <c r="CP1355" s="2"/>
      <c r="CQ1355" s="2"/>
      <c r="CR1355" s="2"/>
      <c r="CS1355" s="194"/>
    </row>
    <row r="1356" spans="1:97">
      <c r="A1356" s="648"/>
      <c r="B1356" s="321"/>
      <c r="C1356" s="321"/>
      <c r="D1356" s="321"/>
      <c r="E1356" s="321"/>
      <c r="F1356" s="321"/>
      <c r="G1356" s="321"/>
      <c r="H1356" s="321"/>
      <c r="I1356" s="321"/>
      <c r="J1356" s="321"/>
      <c r="K1356" s="321"/>
      <c r="L1356" s="321"/>
      <c r="M1356" s="321"/>
      <c r="N1356" s="321"/>
      <c r="O1356" s="321"/>
      <c r="P1356" s="321"/>
      <c r="Q1356" s="321"/>
      <c r="R1356" s="321"/>
      <c r="S1356" s="321"/>
      <c r="T1356" s="321"/>
      <c r="U1356" s="321"/>
      <c r="V1356" s="321"/>
      <c r="W1356" s="321"/>
      <c r="X1356" s="321"/>
      <c r="Y1356" s="321"/>
      <c r="Z1356" s="321"/>
      <c r="AA1356" s="321"/>
      <c r="AB1356" s="321"/>
      <c r="AC1356" s="321"/>
      <c r="AD1356" s="321"/>
      <c r="AE1356" s="321"/>
      <c r="AF1356" s="649"/>
      <c r="AG1356" s="648"/>
      <c r="AH1356" s="321"/>
      <c r="AI1356" s="321"/>
      <c r="AJ1356" s="321"/>
      <c r="AK1356" s="321"/>
      <c r="AL1356" s="321"/>
      <c r="AM1356" s="321"/>
      <c r="AN1356" s="321"/>
      <c r="AO1356" s="321"/>
      <c r="AP1356" s="321"/>
      <c r="AQ1356" s="321"/>
      <c r="AR1356" s="321"/>
      <c r="AS1356" s="321"/>
      <c r="AT1356" s="321"/>
      <c r="AU1356" s="321"/>
      <c r="AV1356" s="321"/>
      <c r="AW1356" s="321"/>
      <c r="AX1356" s="321"/>
      <c r="AY1356" s="321"/>
      <c r="AZ1356" s="321"/>
      <c r="BA1356" s="321"/>
      <c r="BB1356" s="321"/>
      <c r="BC1356" s="321"/>
      <c r="BD1356" s="321"/>
      <c r="BE1356" s="321"/>
      <c r="BF1356" s="321"/>
      <c r="BG1356" s="321"/>
      <c r="BH1356" s="321"/>
      <c r="BI1356" s="321"/>
      <c r="BJ1356" s="321"/>
      <c r="BK1356" s="321"/>
      <c r="BL1356" s="649"/>
      <c r="BM1356" s="51"/>
      <c r="BN1356" s="194"/>
      <c r="BO1356" s="2"/>
      <c r="BP1356" s="2"/>
      <c r="BQ1356" s="2"/>
      <c r="BR1356" s="307"/>
      <c r="BS1356" s="2"/>
      <c r="BT1356" s="2"/>
      <c r="BU1356" s="180"/>
      <c r="BV1356" s="291"/>
      <c r="BW1356" s="416"/>
      <c r="BX1356" s="452"/>
      <c r="BY1356" s="452"/>
      <c r="BZ1356" s="416"/>
      <c r="CA1356" s="416"/>
      <c r="CB1356" s="452"/>
      <c r="CC1356" s="413"/>
      <c r="CD1356" s="413"/>
      <c r="CE1356" s="413"/>
      <c r="CF1356" s="439"/>
      <c r="CG1356" s="291"/>
      <c r="CH1356" s="416"/>
      <c r="CI1356" s="452"/>
      <c r="CJ1356" s="416"/>
      <c r="CK1356" s="416"/>
      <c r="CL1356" s="189"/>
      <c r="CM1356" s="162"/>
      <c r="CN1356" s="158"/>
      <c r="CO1356" s="293"/>
      <c r="CP1356" s="2"/>
      <c r="CQ1356" s="2"/>
      <c r="CR1356" s="2"/>
      <c r="CS1356" s="2"/>
    </row>
    <row r="1357" spans="1:97">
      <c r="A1357" s="648"/>
      <c r="B1357" s="321"/>
      <c r="C1357" s="321"/>
      <c r="D1357" s="321"/>
      <c r="E1357" s="321"/>
      <c r="F1357" s="321"/>
      <c r="G1357" s="321"/>
      <c r="H1357" s="321"/>
      <c r="I1357" s="321"/>
      <c r="J1357" s="321"/>
      <c r="K1357" s="321"/>
      <c r="L1357" s="321"/>
      <c r="M1357" s="321"/>
      <c r="N1357" s="321"/>
      <c r="O1357" s="321"/>
      <c r="P1357" s="321"/>
      <c r="Q1357" s="321"/>
      <c r="R1357" s="321"/>
      <c r="S1357" s="321"/>
      <c r="T1357" s="321"/>
      <c r="U1357" s="321"/>
      <c r="V1357" s="321"/>
      <c r="W1357" s="321"/>
      <c r="X1357" s="321"/>
      <c r="Y1357" s="321"/>
      <c r="Z1357" s="321"/>
      <c r="AA1357" s="321"/>
      <c r="AB1357" s="321"/>
      <c r="AC1357" s="321"/>
      <c r="AD1357" s="321"/>
      <c r="AE1357" s="321"/>
      <c r="AF1357" s="649"/>
      <c r="AG1357" s="648"/>
      <c r="AH1357" s="321"/>
      <c r="AI1357" s="321"/>
      <c r="AJ1357" s="321"/>
      <c r="AK1357" s="321"/>
      <c r="AL1357" s="321"/>
      <c r="AM1357" s="321"/>
      <c r="AN1357" s="321"/>
      <c r="AO1357" s="321"/>
      <c r="AP1357" s="321"/>
      <c r="AQ1357" s="321"/>
      <c r="AR1357" s="321"/>
      <c r="AS1357" s="321"/>
      <c r="AT1357" s="321"/>
      <c r="AU1357" s="321"/>
      <c r="AV1357" s="321"/>
      <c r="AW1357" s="321"/>
      <c r="AX1357" s="321"/>
      <c r="AY1357" s="321"/>
      <c r="AZ1357" s="321"/>
      <c r="BA1357" s="321"/>
      <c r="BB1357" s="321"/>
      <c r="BC1357" s="321"/>
      <c r="BD1357" s="321"/>
      <c r="BE1357" s="321"/>
      <c r="BF1357" s="321"/>
      <c r="BG1357" s="321"/>
      <c r="BH1357" s="321"/>
      <c r="BI1357" s="321"/>
      <c r="BJ1357" s="321"/>
      <c r="BK1357" s="321"/>
      <c r="BL1357" s="649"/>
      <c r="BM1357" s="51"/>
      <c r="BN1357" s="194"/>
      <c r="BO1357" s="2"/>
      <c r="BP1357" s="2"/>
      <c r="BQ1357" s="2"/>
      <c r="BR1357" s="307"/>
      <c r="BS1357" s="2"/>
      <c r="BT1357" s="2"/>
      <c r="BU1357" s="180"/>
      <c r="BV1357" s="291"/>
      <c r="BW1357" s="416"/>
      <c r="BX1357" s="416"/>
      <c r="BY1357" s="416"/>
      <c r="BZ1357" s="452"/>
      <c r="CA1357" s="452"/>
      <c r="CB1357" s="413"/>
      <c r="CC1357" s="413"/>
      <c r="CD1357" s="413"/>
      <c r="CE1357" s="413"/>
      <c r="CF1357" s="452"/>
      <c r="CG1357" s="291"/>
      <c r="CH1357" s="416"/>
      <c r="CI1357" s="206"/>
      <c r="CJ1357" s="416"/>
      <c r="CK1357" s="206"/>
      <c r="CL1357" s="189"/>
      <c r="CM1357" s="301"/>
      <c r="CN1357" s="301"/>
      <c r="CO1357" s="293"/>
      <c r="CP1357" s="2"/>
      <c r="CQ1357" s="2"/>
      <c r="CR1357" s="2"/>
      <c r="CS1357" s="2"/>
    </row>
    <row r="1358" spans="1:97">
      <c r="A1358" s="648"/>
      <c r="B1358" s="321"/>
      <c r="C1358" s="321"/>
      <c r="D1358" s="321"/>
      <c r="E1358" s="321"/>
      <c r="F1358" s="321"/>
      <c r="G1358" s="321"/>
      <c r="H1358" s="321"/>
      <c r="I1358" s="321"/>
      <c r="J1358" s="321"/>
      <c r="K1358" s="321"/>
      <c r="L1358" s="321"/>
      <c r="M1358" s="321"/>
      <c r="N1358" s="321"/>
      <c r="O1358" s="321"/>
      <c r="P1358" s="321"/>
      <c r="Q1358" s="321"/>
      <c r="R1358" s="321"/>
      <c r="S1358" s="321"/>
      <c r="T1358" s="321"/>
      <c r="U1358" s="321"/>
      <c r="V1358" s="321"/>
      <c r="W1358" s="321"/>
      <c r="X1358" s="321"/>
      <c r="Y1358" s="321"/>
      <c r="Z1358" s="321"/>
      <c r="AA1358" s="321"/>
      <c r="AB1358" s="321"/>
      <c r="AC1358" s="321"/>
      <c r="AD1358" s="321"/>
      <c r="AE1358" s="321"/>
      <c r="AF1358" s="564"/>
      <c r="AG1358" s="648"/>
      <c r="AH1358" s="321"/>
      <c r="AI1358" s="321"/>
      <c r="AJ1358" s="321"/>
      <c r="AK1358" s="321"/>
      <c r="AL1358" s="321"/>
      <c r="AM1358" s="321"/>
      <c r="AN1358" s="321"/>
      <c r="AO1358" s="321"/>
      <c r="AP1358" s="321"/>
      <c r="AQ1358" s="321"/>
      <c r="AR1358" s="321"/>
      <c r="AS1358" s="321"/>
      <c r="AT1358" s="321"/>
      <c r="AU1358" s="321"/>
      <c r="AV1358" s="321"/>
      <c r="AW1358" s="321"/>
      <c r="AX1358" s="321"/>
      <c r="AY1358" s="321"/>
      <c r="AZ1358" s="321"/>
      <c r="BA1358" s="321"/>
      <c r="BB1358" s="321"/>
      <c r="BC1358" s="321"/>
      <c r="BD1358" s="321"/>
      <c r="BE1358" s="321"/>
      <c r="BF1358" s="321"/>
      <c r="BG1358" s="321"/>
      <c r="BH1358" s="321"/>
      <c r="BI1358" s="321"/>
      <c r="BJ1358" s="321"/>
      <c r="BK1358" s="321"/>
      <c r="BL1358" s="564"/>
      <c r="BM1358" s="51"/>
      <c r="BN1358" s="194"/>
      <c r="BO1358" s="2"/>
      <c r="BP1358" s="2"/>
      <c r="BQ1358" s="2"/>
      <c r="BR1358" s="307"/>
      <c r="BS1358" s="2"/>
      <c r="BT1358" s="2"/>
      <c r="BU1358" s="180"/>
      <c r="BV1358" s="291"/>
      <c r="BW1358" s="416"/>
      <c r="BX1358" s="291"/>
      <c r="BY1358" s="416"/>
      <c r="BZ1358" s="416"/>
      <c r="CA1358" s="439"/>
      <c r="CB1358" s="413"/>
      <c r="CC1358" s="413"/>
      <c r="CD1358" s="413"/>
      <c r="CE1358" s="452"/>
      <c r="CF1358" s="291"/>
      <c r="CG1358" s="452"/>
      <c r="CH1358" s="416"/>
      <c r="CI1358" s="206"/>
      <c r="CJ1358" s="416"/>
      <c r="CK1358" s="206"/>
      <c r="CL1358" s="189"/>
      <c r="CM1358" s="301"/>
      <c r="CN1358" s="301"/>
      <c r="CO1358" s="293"/>
      <c r="CP1358" s="2"/>
      <c r="CQ1358" s="2"/>
      <c r="CR1358" s="2"/>
      <c r="CS1358" s="2"/>
    </row>
    <row r="1359" spans="1:97">
      <c r="A1359" s="648"/>
      <c r="B1359" s="321"/>
      <c r="C1359" s="321"/>
      <c r="D1359" s="321"/>
      <c r="E1359" s="321"/>
      <c r="F1359" s="321"/>
      <c r="G1359" s="321"/>
      <c r="H1359" s="321"/>
      <c r="I1359" s="321"/>
      <c r="J1359" s="321"/>
      <c r="K1359" s="321"/>
      <c r="L1359" s="321"/>
      <c r="M1359" s="321"/>
      <c r="N1359" s="321"/>
      <c r="O1359" s="321"/>
      <c r="P1359" s="321"/>
      <c r="Q1359" s="321"/>
      <c r="R1359" s="321"/>
      <c r="S1359" s="321"/>
      <c r="T1359" s="321"/>
      <c r="U1359" s="321"/>
      <c r="V1359" s="321"/>
      <c r="W1359" s="321"/>
      <c r="X1359" s="321"/>
      <c r="Y1359" s="321"/>
      <c r="Z1359" s="321"/>
      <c r="AA1359" s="321"/>
      <c r="AB1359" s="321"/>
      <c r="AC1359" s="321"/>
      <c r="AD1359" s="321"/>
      <c r="AE1359" s="321"/>
      <c r="AF1359" s="564"/>
      <c r="AG1359" s="648"/>
      <c r="AH1359" s="321"/>
      <c r="AI1359" s="321"/>
      <c r="AJ1359" s="321"/>
      <c r="AK1359" s="321"/>
      <c r="AL1359" s="321"/>
      <c r="AM1359" s="321"/>
      <c r="AN1359" s="321"/>
      <c r="AO1359" s="321"/>
      <c r="AP1359" s="321"/>
      <c r="AQ1359" s="321"/>
      <c r="AR1359" s="321"/>
      <c r="AS1359" s="321"/>
      <c r="AT1359" s="321"/>
      <c r="AU1359" s="321"/>
      <c r="AV1359" s="321"/>
      <c r="AW1359" s="321"/>
      <c r="AX1359" s="321"/>
      <c r="AY1359" s="321"/>
      <c r="AZ1359" s="321"/>
      <c r="BA1359" s="321"/>
      <c r="BB1359" s="321"/>
      <c r="BC1359" s="321"/>
      <c r="BD1359" s="321"/>
      <c r="BE1359" s="321"/>
      <c r="BF1359" s="321"/>
      <c r="BG1359" s="321"/>
      <c r="BH1359" s="321"/>
      <c r="BI1359" s="321"/>
      <c r="BJ1359" s="321"/>
      <c r="BK1359" s="321"/>
      <c r="BL1359" s="564"/>
      <c r="BM1359" s="51"/>
      <c r="BN1359" s="194"/>
      <c r="BO1359" s="2"/>
      <c r="BP1359" s="2"/>
      <c r="BQ1359" s="2"/>
      <c r="BR1359" s="307"/>
      <c r="BS1359" s="2"/>
      <c r="BT1359" s="2"/>
      <c r="BU1359" s="180"/>
      <c r="BV1359" s="416"/>
      <c r="BW1359" s="416"/>
      <c r="BX1359" s="416"/>
      <c r="BY1359" s="416"/>
      <c r="BZ1359" s="416"/>
      <c r="CA1359" s="452"/>
      <c r="CB1359" s="413"/>
      <c r="CC1359" s="413"/>
      <c r="CD1359" s="413"/>
      <c r="CE1359" s="452"/>
      <c r="CF1359" s="416"/>
      <c r="CG1359" s="416"/>
      <c r="CH1359" s="452"/>
      <c r="CI1359" s="439"/>
      <c r="CJ1359" s="416"/>
      <c r="CK1359" s="206"/>
      <c r="CL1359" s="189"/>
      <c r="CM1359" s="301"/>
      <c r="CN1359" s="301"/>
      <c r="CO1359" s="293"/>
      <c r="CP1359" s="2"/>
      <c r="CQ1359" s="2"/>
      <c r="CR1359" s="2"/>
      <c r="CS1359" s="2"/>
    </row>
    <row r="1360" spans="1:97">
      <c r="A1360" s="648"/>
      <c r="B1360" s="321"/>
      <c r="C1360" s="321"/>
      <c r="D1360" s="321"/>
      <c r="E1360" s="321"/>
      <c r="F1360" s="321"/>
      <c r="G1360" s="321"/>
      <c r="H1360" s="321"/>
      <c r="I1360" s="321"/>
      <c r="J1360" s="321"/>
      <c r="K1360" s="321"/>
      <c r="L1360" s="321"/>
      <c r="M1360" s="321"/>
      <c r="N1360" s="321"/>
      <c r="O1360" s="321"/>
      <c r="P1360" s="321"/>
      <c r="Q1360" s="321"/>
      <c r="R1360" s="321"/>
      <c r="S1360" s="321"/>
      <c r="T1360" s="321"/>
      <c r="U1360" s="321"/>
      <c r="V1360" s="321"/>
      <c r="W1360" s="321"/>
      <c r="X1360" s="321"/>
      <c r="Y1360" s="321"/>
      <c r="Z1360" s="321"/>
      <c r="AA1360" s="321"/>
      <c r="AB1360" s="321"/>
      <c r="AC1360" s="321"/>
      <c r="AD1360" s="321"/>
      <c r="AE1360" s="321"/>
      <c r="AF1360" s="564"/>
      <c r="AG1360" s="648"/>
      <c r="AH1360" s="321"/>
      <c r="AI1360" s="321"/>
      <c r="AJ1360" s="321"/>
      <c r="AK1360" s="321"/>
      <c r="AL1360" s="321"/>
      <c r="AM1360" s="321"/>
      <c r="AN1360" s="321"/>
      <c r="AO1360" s="321"/>
      <c r="AP1360" s="321"/>
      <c r="AQ1360" s="321"/>
      <c r="AR1360" s="321"/>
      <c r="AS1360" s="321"/>
      <c r="AT1360" s="321"/>
      <c r="AU1360" s="321"/>
      <c r="AV1360" s="321"/>
      <c r="AW1360" s="321"/>
      <c r="AX1360" s="321"/>
      <c r="AY1360" s="321"/>
      <c r="AZ1360" s="321"/>
      <c r="BA1360" s="321"/>
      <c r="BB1360" s="321"/>
      <c r="BC1360" s="321"/>
      <c r="BD1360" s="321"/>
      <c r="BE1360" s="321"/>
      <c r="BF1360" s="321"/>
      <c r="BG1360" s="321"/>
      <c r="BH1360" s="321"/>
      <c r="BI1360" s="321"/>
      <c r="BJ1360" s="321"/>
      <c r="BK1360" s="321"/>
      <c r="BL1360" s="564"/>
      <c r="BM1360" s="51"/>
      <c r="BN1360" s="194"/>
      <c r="BO1360" s="2"/>
      <c r="BP1360" s="2"/>
      <c r="BQ1360" s="2"/>
      <c r="BR1360" s="307"/>
      <c r="BS1360" s="2"/>
      <c r="BT1360" s="2"/>
      <c r="BU1360" s="180"/>
      <c r="BV1360" s="416"/>
      <c r="BW1360" s="416"/>
      <c r="BX1360" s="416"/>
      <c r="BY1360" s="416"/>
      <c r="BZ1360" s="416"/>
      <c r="CA1360" s="452"/>
      <c r="CB1360" s="413"/>
      <c r="CC1360" s="452"/>
      <c r="CD1360" s="413"/>
      <c r="CE1360" s="452"/>
      <c r="CF1360" s="416"/>
      <c r="CG1360" s="416"/>
      <c r="CH1360" s="416"/>
      <c r="CI1360" s="416"/>
      <c r="CJ1360" s="452"/>
      <c r="CK1360" s="206"/>
      <c r="CL1360" s="189"/>
      <c r="CM1360" s="301"/>
      <c r="CN1360" s="301"/>
      <c r="CO1360" s="293"/>
      <c r="CP1360" s="2"/>
      <c r="CQ1360" s="2"/>
      <c r="CR1360" s="2"/>
      <c r="CS1360" s="2"/>
    </row>
    <row r="1361" spans="1:100">
      <c r="A1361" s="648"/>
      <c r="B1361" s="321"/>
      <c r="C1361" s="321"/>
      <c r="D1361" s="321"/>
      <c r="E1361" s="321"/>
      <c r="F1361" s="321"/>
      <c r="G1361" s="321"/>
      <c r="H1361" s="321"/>
      <c r="I1361" s="321"/>
      <c r="J1361" s="321"/>
      <c r="K1361" s="321"/>
      <c r="L1361" s="321"/>
      <c r="M1361" s="321"/>
      <c r="N1361" s="321"/>
      <c r="O1361" s="321"/>
      <c r="P1361" s="321"/>
      <c r="Q1361" s="321"/>
      <c r="R1361" s="321"/>
      <c r="S1361" s="321"/>
      <c r="T1361" s="321"/>
      <c r="U1361" s="321"/>
      <c r="V1361" s="321"/>
      <c r="W1361" s="321"/>
      <c r="X1361" s="321"/>
      <c r="Y1361" s="321"/>
      <c r="Z1361" s="321"/>
      <c r="AA1361" s="321"/>
      <c r="AB1361" s="321"/>
      <c r="AC1361" s="321"/>
      <c r="AD1361" s="321"/>
      <c r="AE1361" s="321"/>
      <c r="AF1361" s="564"/>
      <c r="AG1361" s="648"/>
      <c r="AH1361" s="321"/>
      <c r="AI1361" s="321"/>
      <c r="AJ1361" s="321"/>
      <c r="AK1361" s="411"/>
      <c r="AL1361" s="321"/>
      <c r="AM1361" s="321"/>
      <c r="AN1361" s="321"/>
      <c r="AO1361" s="321"/>
      <c r="AP1361" s="321"/>
      <c r="AQ1361" s="321"/>
      <c r="AR1361" s="321"/>
      <c r="AS1361" s="321"/>
      <c r="AT1361" s="321"/>
      <c r="AU1361" s="321"/>
      <c r="AV1361" s="321"/>
      <c r="AW1361" s="321"/>
      <c r="AX1361" s="321"/>
      <c r="AY1361" s="321"/>
      <c r="AZ1361" s="321"/>
      <c r="BA1361" s="321"/>
      <c r="BB1361" s="321"/>
      <c r="BC1361" s="321"/>
      <c r="BD1361" s="321"/>
      <c r="BE1361" s="321"/>
      <c r="BF1361" s="321"/>
      <c r="BG1361" s="321"/>
      <c r="BH1361" s="321"/>
      <c r="BI1361" s="321"/>
      <c r="BJ1361" s="321"/>
      <c r="BK1361" s="321"/>
      <c r="BL1361" s="650"/>
      <c r="BM1361" s="51"/>
      <c r="BN1361" s="194"/>
      <c r="BO1361" s="2"/>
      <c r="BP1361" s="2"/>
      <c r="BQ1361" s="2"/>
      <c r="BR1361" s="307"/>
      <c r="BS1361" s="2"/>
      <c r="BT1361" s="2"/>
      <c r="BU1361" s="180"/>
      <c r="BV1361" s="416"/>
      <c r="BW1361" s="416"/>
      <c r="BX1361" s="291"/>
      <c r="BY1361" s="439"/>
      <c r="BZ1361" s="452"/>
      <c r="CA1361" s="416"/>
      <c r="CB1361" s="452"/>
      <c r="CC1361" s="439"/>
      <c r="CD1361" s="452"/>
      <c r="CE1361" s="291"/>
      <c r="CF1361" s="416"/>
      <c r="CG1361" s="416"/>
      <c r="CH1361" s="416"/>
      <c r="CI1361" s="416"/>
      <c r="CJ1361" s="416"/>
      <c r="CK1361" s="439"/>
      <c r="CL1361" s="189"/>
      <c r="CM1361" s="301"/>
      <c r="CN1361" s="301"/>
      <c r="CO1361" s="293"/>
      <c r="CP1361" s="2"/>
      <c r="CQ1361" s="2"/>
      <c r="CR1361" s="2"/>
      <c r="CS1361" s="301"/>
    </row>
    <row r="1362" spans="1:100">
      <c r="A1362" s="648"/>
      <c r="B1362" s="321"/>
      <c r="C1362" s="321"/>
      <c r="D1362" s="321"/>
      <c r="E1362" s="321"/>
      <c r="F1362" s="321"/>
      <c r="G1362" s="321"/>
      <c r="H1362" s="321"/>
      <c r="I1362" s="321"/>
      <c r="J1362" s="321"/>
      <c r="K1362" s="321"/>
      <c r="L1362" s="321"/>
      <c r="M1362" s="321"/>
      <c r="N1362" s="321"/>
      <c r="O1362" s="321"/>
      <c r="P1362" s="321"/>
      <c r="Q1362" s="321"/>
      <c r="R1362" s="321"/>
      <c r="S1362" s="321"/>
      <c r="T1362" s="321"/>
      <c r="U1362" s="321"/>
      <c r="V1362" s="321"/>
      <c r="W1362" s="321"/>
      <c r="X1362" s="321"/>
      <c r="Y1362" s="321"/>
      <c r="Z1362" s="321"/>
      <c r="AA1362" s="321"/>
      <c r="AB1362" s="321"/>
      <c r="AC1362" s="321"/>
      <c r="AD1362" s="321"/>
      <c r="AE1362" s="321"/>
      <c r="AF1362" s="564"/>
      <c r="AG1362" s="648"/>
      <c r="AH1362" s="321"/>
      <c r="AI1362" s="321"/>
      <c r="AJ1362" s="321"/>
      <c r="AK1362" s="321"/>
      <c r="AL1362" s="321"/>
      <c r="AM1362" s="321"/>
      <c r="AN1362" s="321"/>
      <c r="AO1362" s="321"/>
      <c r="AP1362" s="321"/>
      <c r="AQ1362" s="321"/>
      <c r="AR1362" s="321"/>
      <c r="AS1362" s="321"/>
      <c r="AT1362" s="321"/>
      <c r="AU1362" s="321"/>
      <c r="AV1362" s="321"/>
      <c r="AW1362" s="321"/>
      <c r="AX1362" s="321"/>
      <c r="AY1362" s="321"/>
      <c r="AZ1362" s="321"/>
      <c r="BA1362" s="321"/>
      <c r="BB1362" s="321"/>
      <c r="BC1362" s="321"/>
      <c r="BD1362" s="321"/>
      <c r="BE1362" s="321"/>
      <c r="BF1362" s="321"/>
      <c r="BG1362" s="321"/>
      <c r="BH1362" s="321"/>
      <c r="BI1362" s="321"/>
      <c r="BJ1362" s="321"/>
      <c r="BK1362" s="321"/>
      <c r="BL1362" s="564"/>
      <c r="BM1362" s="51"/>
      <c r="BN1362" s="194"/>
      <c r="BO1362" s="2"/>
      <c r="BP1362" s="2"/>
      <c r="BQ1362" s="2"/>
      <c r="BR1362" s="307"/>
      <c r="BS1362" s="2"/>
      <c r="BT1362" s="2"/>
      <c r="BU1362" s="180"/>
      <c r="BV1362" s="291"/>
      <c r="BW1362" s="291"/>
      <c r="BX1362" s="452"/>
      <c r="BY1362" s="416"/>
      <c r="BZ1362" s="416"/>
      <c r="CA1362" s="452"/>
      <c r="CB1362" s="416"/>
      <c r="CC1362" s="416"/>
      <c r="CD1362" s="416"/>
      <c r="CE1362" s="452"/>
      <c r="CF1362" s="416"/>
      <c r="CG1362" s="416"/>
      <c r="CH1362" s="206"/>
      <c r="CI1362" s="416"/>
      <c r="CJ1362" s="206"/>
      <c r="CK1362" s="206"/>
      <c r="CL1362" s="189"/>
      <c r="CM1362" s="301"/>
      <c r="CN1362" s="301"/>
      <c r="CO1362" s="293"/>
      <c r="CP1362" s="2"/>
      <c r="CQ1362" s="2"/>
      <c r="CR1362" s="2"/>
      <c r="CS1362" s="2"/>
    </row>
    <row r="1363" spans="1:100">
      <c r="A1363" s="648"/>
      <c r="B1363" s="321"/>
      <c r="C1363" s="321"/>
      <c r="D1363" s="321"/>
      <c r="E1363" s="321"/>
      <c r="F1363" s="321"/>
      <c r="G1363" s="321"/>
      <c r="H1363" s="321"/>
      <c r="I1363" s="321"/>
      <c r="J1363" s="321"/>
      <c r="K1363" s="321"/>
      <c r="L1363" s="321"/>
      <c r="M1363" s="321"/>
      <c r="N1363" s="321"/>
      <c r="O1363" s="321"/>
      <c r="P1363" s="321"/>
      <c r="Q1363" s="321"/>
      <c r="R1363" s="321"/>
      <c r="S1363" s="321"/>
      <c r="T1363" s="321"/>
      <c r="U1363" s="321"/>
      <c r="V1363" s="321"/>
      <c r="W1363" s="321"/>
      <c r="X1363" s="321"/>
      <c r="Y1363" s="321"/>
      <c r="Z1363" s="321"/>
      <c r="AA1363" s="321"/>
      <c r="AB1363" s="321"/>
      <c r="AC1363" s="321"/>
      <c r="AD1363" s="321"/>
      <c r="AE1363" s="321"/>
      <c r="AF1363" s="564"/>
      <c r="AG1363" s="648"/>
      <c r="AH1363" s="321"/>
      <c r="AI1363" s="321"/>
      <c r="AJ1363" s="321"/>
      <c r="AK1363" s="321"/>
      <c r="AL1363" s="321"/>
      <c r="AM1363" s="321"/>
      <c r="AN1363" s="321"/>
      <c r="AO1363" s="321"/>
      <c r="AP1363" s="321"/>
      <c r="AQ1363" s="321"/>
      <c r="AR1363" s="321"/>
      <c r="AS1363" s="321"/>
      <c r="AT1363" s="321"/>
      <c r="AU1363" s="321"/>
      <c r="AV1363" s="321"/>
      <c r="AW1363" s="321"/>
      <c r="AX1363" s="321"/>
      <c r="AY1363" s="321"/>
      <c r="AZ1363" s="321"/>
      <c r="BA1363" s="321"/>
      <c r="BB1363" s="321"/>
      <c r="BC1363" s="321"/>
      <c r="BD1363" s="321"/>
      <c r="BE1363" s="321"/>
      <c r="BF1363" s="321"/>
      <c r="BG1363" s="321"/>
      <c r="BH1363" s="321"/>
      <c r="BI1363" s="321"/>
      <c r="BJ1363" s="321"/>
      <c r="BK1363" s="321"/>
      <c r="BL1363" s="564"/>
      <c r="BM1363" s="51"/>
      <c r="BN1363" s="194"/>
      <c r="BO1363" s="2"/>
      <c r="BP1363" s="2"/>
      <c r="BQ1363" s="2"/>
      <c r="BR1363" s="307"/>
      <c r="BS1363" s="2"/>
      <c r="BT1363" s="2"/>
      <c r="BU1363" s="180"/>
      <c r="BV1363" s="291"/>
      <c r="BW1363" s="452"/>
      <c r="BX1363" s="416"/>
      <c r="BY1363" s="416"/>
      <c r="BZ1363" s="291"/>
      <c r="CA1363" s="452"/>
      <c r="CB1363" s="416"/>
      <c r="CC1363" s="416"/>
      <c r="CD1363" s="416"/>
      <c r="CE1363" s="416"/>
      <c r="CF1363" s="439"/>
      <c r="CG1363" s="416"/>
      <c r="CH1363" s="416"/>
      <c r="CI1363" s="206"/>
      <c r="CJ1363" s="414"/>
      <c r="CK1363" s="206"/>
      <c r="CL1363" s="189"/>
      <c r="CM1363" s="293"/>
      <c r="CN1363" s="293"/>
      <c r="CO1363" s="293"/>
      <c r="CP1363" s="2"/>
      <c r="CQ1363" s="2"/>
      <c r="CR1363" s="2"/>
      <c r="CS1363" s="2"/>
    </row>
    <row r="1364" spans="1:100">
      <c r="A1364" s="648"/>
      <c r="B1364" s="321"/>
      <c r="C1364" s="321"/>
      <c r="D1364" s="321"/>
      <c r="E1364" s="321"/>
      <c r="F1364" s="321"/>
      <c r="G1364" s="321"/>
      <c r="H1364" s="321"/>
      <c r="I1364" s="321"/>
      <c r="J1364" s="321"/>
      <c r="K1364" s="321"/>
      <c r="L1364" s="321"/>
      <c r="M1364" s="321"/>
      <c r="N1364" s="321"/>
      <c r="O1364" s="321"/>
      <c r="P1364" s="321"/>
      <c r="Q1364" s="321"/>
      <c r="R1364" s="321"/>
      <c r="S1364" s="321"/>
      <c r="T1364" s="321"/>
      <c r="U1364" s="321"/>
      <c r="V1364" s="321"/>
      <c r="W1364" s="321"/>
      <c r="X1364" s="321"/>
      <c r="Y1364" s="321"/>
      <c r="Z1364" s="321"/>
      <c r="AA1364" s="321"/>
      <c r="AB1364" s="321"/>
      <c r="AC1364" s="321"/>
      <c r="AD1364" s="321"/>
      <c r="AE1364" s="321"/>
      <c r="AF1364" s="564"/>
      <c r="AG1364" s="648"/>
      <c r="AH1364" s="321"/>
      <c r="AI1364" s="321"/>
      <c r="AJ1364" s="321"/>
      <c r="AK1364" s="321"/>
      <c r="AL1364" s="321"/>
      <c r="AM1364" s="321"/>
      <c r="AN1364" s="321"/>
      <c r="AO1364" s="321"/>
      <c r="AP1364" s="321"/>
      <c r="AQ1364" s="321"/>
      <c r="AR1364" s="321"/>
      <c r="AS1364" s="321"/>
      <c r="AT1364" s="321"/>
      <c r="AU1364" s="321"/>
      <c r="AV1364" s="321"/>
      <c r="AW1364" s="321"/>
      <c r="AX1364" s="411"/>
      <c r="AY1364" s="321"/>
      <c r="AZ1364" s="321"/>
      <c r="BA1364" s="321"/>
      <c r="BB1364" s="321"/>
      <c r="BC1364" s="321"/>
      <c r="BD1364" s="321"/>
      <c r="BE1364" s="321"/>
      <c r="BF1364" s="321"/>
      <c r="BG1364" s="321"/>
      <c r="BH1364" s="321"/>
      <c r="BI1364" s="321"/>
      <c r="BJ1364" s="321"/>
      <c r="BK1364" s="321"/>
      <c r="BL1364" s="564"/>
      <c r="BM1364" s="51"/>
      <c r="BN1364" s="194"/>
      <c r="BO1364" s="2"/>
      <c r="BP1364" s="2"/>
      <c r="BQ1364" s="2"/>
      <c r="BR1364" s="307"/>
      <c r="BS1364" s="2"/>
      <c r="BT1364" s="2"/>
      <c r="BU1364" s="180"/>
      <c r="BV1364" s="452"/>
      <c r="BW1364" s="291"/>
      <c r="BX1364" s="416"/>
      <c r="BY1364" s="416"/>
      <c r="BZ1364" s="439"/>
      <c r="CA1364" s="416"/>
      <c r="CB1364" s="416"/>
      <c r="CC1364" s="416"/>
      <c r="CD1364" s="416"/>
      <c r="CE1364" s="416"/>
      <c r="CF1364" s="452"/>
      <c r="CG1364" s="206"/>
      <c r="CH1364" s="414"/>
      <c r="CI1364" s="414"/>
      <c r="CJ1364" s="414"/>
      <c r="CK1364" s="206"/>
      <c r="CL1364" s="189"/>
      <c r="CM1364" s="301"/>
      <c r="CN1364" s="301"/>
      <c r="CO1364" s="293"/>
      <c r="CP1364" s="2"/>
      <c r="CQ1364" s="2"/>
      <c r="CR1364" s="2"/>
      <c r="CS1364" s="2"/>
    </row>
    <row r="1365" spans="1:100">
      <c r="A1365" s="648"/>
      <c r="B1365" s="321"/>
      <c r="C1365" s="321"/>
      <c r="D1365" s="321"/>
      <c r="E1365" s="321"/>
      <c r="F1365" s="321"/>
      <c r="G1365" s="321"/>
      <c r="H1365" s="321"/>
      <c r="I1365" s="321"/>
      <c r="J1365" s="411"/>
      <c r="K1365" s="321"/>
      <c r="L1365" s="321"/>
      <c r="M1365" s="321"/>
      <c r="N1365" s="321"/>
      <c r="O1365" s="321"/>
      <c r="P1365" s="321"/>
      <c r="Q1365" s="321"/>
      <c r="R1365" s="321"/>
      <c r="S1365" s="321"/>
      <c r="T1365" s="321"/>
      <c r="U1365" s="321"/>
      <c r="V1365" s="321"/>
      <c r="W1365" s="321"/>
      <c r="X1365" s="321"/>
      <c r="Y1365" s="321"/>
      <c r="Z1365" s="321"/>
      <c r="AA1365" s="321"/>
      <c r="AB1365" s="321"/>
      <c r="AC1365" s="321"/>
      <c r="AD1365" s="321"/>
      <c r="AE1365" s="321"/>
      <c r="AF1365" s="564"/>
      <c r="AG1365" s="648"/>
      <c r="AH1365" s="321"/>
      <c r="AI1365" s="321"/>
      <c r="AJ1365" s="321"/>
      <c r="AK1365" s="321"/>
      <c r="AL1365" s="321"/>
      <c r="AM1365" s="321"/>
      <c r="AN1365" s="321"/>
      <c r="AO1365" s="321"/>
      <c r="AP1365" s="321"/>
      <c r="AQ1365" s="321"/>
      <c r="AR1365" s="321"/>
      <c r="AS1365" s="321"/>
      <c r="AT1365" s="321"/>
      <c r="AU1365" s="321"/>
      <c r="AV1365" s="321"/>
      <c r="AW1365" s="321"/>
      <c r="AX1365" s="321"/>
      <c r="AY1365" s="321"/>
      <c r="AZ1365" s="321"/>
      <c r="BA1365" s="321"/>
      <c r="BB1365" s="321"/>
      <c r="BC1365" s="321"/>
      <c r="BD1365" s="321"/>
      <c r="BE1365" s="321"/>
      <c r="BF1365" s="321"/>
      <c r="BG1365" s="321"/>
      <c r="BH1365" s="321"/>
      <c r="BI1365" s="321"/>
      <c r="BJ1365" s="321"/>
      <c r="BK1365" s="321"/>
      <c r="BL1365" s="564"/>
      <c r="BM1365" s="51"/>
      <c r="BN1365" s="194"/>
      <c r="BO1365" s="2"/>
      <c r="BP1365" s="2"/>
      <c r="BQ1365" s="2"/>
      <c r="BR1365" s="307"/>
      <c r="BS1365" s="2"/>
      <c r="BT1365" s="2"/>
      <c r="BU1365" s="180"/>
      <c r="BV1365" s="291"/>
      <c r="BW1365" s="206"/>
      <c r="BX1365" s="206"/>
      <c r="BY1365" s="206"/>
      <c r="BZ1365" s="416"/>
      <c r="CA1365" s="416"/>
      <c r="CB1365" s="416"/>
      <c r="CC1365" s="206"/>
      <c r="CD1365" s="206"/>
      <c r="CE1365" s="206"/>
      <c r="CF1365" s="206"/>
      <c r="CG1365" s="439"/>
      <c r="CH1365" s="206"/>
      <c r="CI1365" s="206"/>
      <c r="CJ1365" s="206"/>
      <c r="CK1365" s="416"/>
      <c r="CL1365" s="189"/>
      <c r="CM1365" s="293"/>
      <c r="CN1365" s="293"/>
      <c r="CO1365" s="293"/>
      <c r="CP1365" s="2"/>
      <c r="CQ1365" s="2"/>
      <c r="CR1365" s="2"/>
      <c r="CS1365" s="2"/>
    </row>
    <row r="1366" spans="1:100">
      <c r="A1366" s="648"/>
      <c r="B1366" s="321"/>
      <c r="C1366" s="321"/>
      <c r="D1366" s="321"/>
      <c r="E1366" s="321"/>
      <c r="F1366" s="321"/>
      <c r="G1366" s="321"/>
      <c r="H1366" s="321"/>
      <c r="I1366" s="321"/>
      <c r="J1366" s="321"/>
      <c r="K1366" s="321"/>
      <c r="L1366" s="321"/>
      <c r="M1366" s="321"/>
      <c r="N1366" s="321"/>
      <c r="O1366" s="321"/>
      <c r="P1366" s="321"/>
      <c r="Q1366" s="321"/>
      <c r="R1366" s="321"/>
      <c r="S1366" s="321"/>
      <c r="T1366" s="321"/>
      <c r="U1366" s="321"/>
      <c r="V1366" s="321"/>
      <c r="W1366" s="321"/>
      <c r="X1366" s="321"/>
      <c r="Y1366" s="321"/>
      <c r="Z1366" s="321"/>
      <c r="AA1366" s="321"/>
      <c r="AB1366" s="321"/>
      <c r="AC1366" s="321"/>
      <c r="AD1366" s="321"/>
      <c r="AE1366" s="321"/>
      <c r="AF1366" s="564"/>
      <c r="AG1366" s="648"/>
      <c r="AH1366" s="321"/>
      <c r="AI1366" s="321"/>
      <c r="AJ1366" s="321"/>
      <c r="AK1366" s="321"/>
      <c r="AL1366" s="321"/>
      <c r="AM1366" s="321"/>
      <c r="AN1366" s="321"/>
      <c r="AO1366" s="321"/>
      <c r="AP1366" s="321"/>
      <c r="AQ1366" s="321"/>
      <c r="AR1366" s="321"/>
      <c r="AS1366" s="321"/>
      <c r="AT1366" s="321"/>
      <c r="AU1366" s="321"/>
      <c r="AV1366" s="321"/>
      <c r="AW1366" s="321"/>
      <c r="AX1366" s="321"/>
      <c r="AY1366" s="321"/>
      <c r="AZ1366" s="321"/>
      <c r="BA1366" s="321"/>
      <c r="BB1366" s="321"/>
      <c r="BC1366" s="321"/>
      <c r="BD1366" s="321"/>
      <c r="BE1366" s="321"/>
      <c r="BF1366" s="321"/>
      <c r="BG1366" s="321"/>
      <c r="BH1366" s="321"/>
      <c r="BI1366" s="321"/>
      <c r="BJ1366" s="321"/>
      <c r="BK1366" s="321"/>
      <c r="BL1366" s="650"/>
      <c r="BM1366" s="51"/>
      <c r="BN1366" s="194"/>
      <c r="BO1366" s="2"/>
      <c r="BP1366" s="2"/>
      <c r="BQ1366" s="2"/>
      <c r="BR1366" s="307"/>
      <c r="BS1366" s="2"/>
      <c r="BT1366" s="2"/>
      <c r="BU1366" s="180"/>
      <c r="BV1366" s="189"/>
      <c r="BW1366" s="189"/>
      <c r="BX1366" s="189"/>
      <c r="BY1366" s="189"/>
      <c r="BZ1366" s="189"/>
      <c r="CA1366" s="189"/>
      <c r="CB1366" s="189"/>
      <c r="CC1366" s="189"/>
      <c r="CD1366" s="189"/>
      <c r="CE1366" s="189"/>
      <c r="CF1366" s="189"/>
      <c r="CG1366" s="189"/>
      <c r="CH1366" s="189"/>
      <c r="CI1366" s="189"/>
      <c r="CJ1366" s="189"/>
      <c r="CK1366" s="189"/>
      <c r="CL1366" s="189"/>
      <c r="CM1366" s="301"/>
      <c r="CN1366" s="301"/>
      <c r="CO1366" s="293"/>
      <c r="CP1366" s="2"/>
      <c r="CQ1366" s="2"/>
      <c r="CR1366" s="2"/>
      <c r="CS1366" s="301"/>
    </row>
    <row r="1367" spans="1:100">
      <c r="A1367" s="648"/>
      <c r="B1367" s="321"/>
      <c r="C1367" s="321"/>
      <c r="D1367" s="321"/>
      <c r="E1367" s="321"/>
      <c r="F1367" s="321"/>
      <c r="G1367" s="321"/>
      <c r="H1367" s="321"/>
      <c r="I1367" s="321"/>
      <c r="J1367" s="321"/>
      <c r="K1367" s="321"/>
      <c r="L1367" s="321"/>
      <c r="M1367" s="321"/>
      <c r="N1367" s="321"/>
      <c r="O1367" s="321"/>
      <c r="P1367" s="321"/>
      <c r="Q1367" s="321"/>
      <c r="R1367" s="321"/>
      <c r="S1367" s="321"/>
      <c r="T1367" s="321"/>
      <c r="U1367" s="321"/>
      <c r="V1367" s="321"/>
      <c r="W1367" s="321"/>
      <c r="X1367" s="321"/>
      <c r="Y1367" s="321"/>
      <c r="Z1367" s="411"/>
      <c r="AA1367" s="321"/>
      <c r="AB1367" s="321"/>
      <c r="AC1367" s="321"/>
      <c r="AD1367" s="321"/>
      <c r="AE1367" s="321"/>
      <c r="AF1367" s="564"/>
      <c r="AG1367" s="648"/>
      <c r="AH1367" s="321"/>
      <c r="AI1367" s="321"/>
      <c r="AJ1367" s="321"/>
      <c r="AK1367" s="321"/>
      <c r="AL1367" s="321"/>
      <c r="AM1367" s="321"/>
      <c r="AN1367" s="321"/>
      <c r="AO1367" s="321"/>
      <c r="AP1367" s="411"/>
      <c r="AQ1367" s="321"/>
      <c r="AR1367" s="321"/>
      <c r="AS1367" s="321"/>
      <c r="AT1367" s="321"/>
      <c r="AU1367" s="321"/>
      <c r="AV1367" s="321"/>
      <c r="AW1367" s="321"/>
      <c r="AX1367" s="321"/>
      <c r="AY1367" s="321"/>
      <c r="AZ1367" s="321"/>
      <c r="BA1367" s="321"/>
      <c r="BB1367" s="321"/>
      <c r="BC1367" s="321"/>
      <c r="BD1367" s="321"/>
      <c r="BE1367" s="321"/>
      <c r="BF1367" s="411"/>
      <c r="BG1367" s="321"/>
      <c r="BH1367" s="321"/>
      <c r="BI1367" s="321"/>
      <c r="BJ1367" s="321"/>
      <c r="BK1367" s="321"/>
      <c r="BL1367" s="564"/>
      <c r="BM1367" s="52"/>
      <c r="BN1367" s="194"/>
      <c r="BO1367" s="2"/>
      <c r="BP1367" s="2"/>
      <c r="BQ1367" s="2"/>
      <c r="BR1367" s="180"/>
      <c r="BS1367" s="180"/>
      <c r="BT1367" s="180"/>
      <c r="BU1367" s="293"/>
      <c r="BV1367" s="293"/>
      <c r="BW1367" s="293"/>
      <c r="BX1367" s="293"/>
      <c r="BY1367" s="293"/>
      <c r="BZ1367" s="293"/>
      <c r="CA1367" s="293"/>
      <c r="CB1367" s="293"/>
      <c r="CC1367" s="293"/>
      <c r="CD1367" s="293"/>
      <c r="CE1367" s="293"/>
      <c r="CF1367" s="293"/>
      <c r="CG1367" s="293"/>
      <c r="CH1367" s="293"/>
      <c r="CI1367" s="293"/>
      <c r="CJ1367" s="293"/>
      <c r="CK1367" s="293"/>
      <c r="CL1367" s="293"/>
      <c r="CM1367" s="293"/>
      <c r="CN1367" s="293"/>
      <c r="CO1367" s="293"/>
      <c r="CP1367" s="2"/>
      <c r="CQ1367" s="2"/>
      <c r="CR1367" s="2"/>
      <c r="CS1367" s="2"/>
    </row>
    <row r="1368" spans="1:100">
      <c r="A1368" s="648"/>
      <c r="B1368" s="321"/>
      <c r="C1368" s="321"/>
      <c r="D1368" s="321"/>
      <c r="E1368" s="321"/>
      <c r="F1368" s="321"/>
      <c r="G1368" s="321"/>
      <c r="H1368" s="321"/>
      <c r="I1368" s="321"/>
      <c r="J1368" s="321"/>
      <c r="K1368" s="321"/>
      <c r="L1368" s="321"/>
      <c r="M1368" s="321"/>
      <c r="N1368" s="321"/>
      <c r="O1368" s="321"/>
      <c r="P1368" s="321"/>
      <c r="Q1368" s="321"/>
      <c r="R1368" s="321"/>
      <c r="S1368" s="321"/>
      <c r="T1368" s="321"/>
      <c r="U1368" s="321"/>
      <c r="V1368" s="321"/>
      <c r="W1368" s="321"/>
      <c r="X1368" s="321"/>
      <c r="Y1368" s="321"/>
      <c r="Z1368" s="321"/>
      <c r="AA1368" s="321"/>
      <c r="AB1368" s="321"/>
      <c r="AC1368" s="321"/>
      <c r="AD1368" s="321"/>
      <c r="AE1368" s="321"/>
      <c r="AF1368" s="564"/>
      <c r="AG1368" s="648"/>
      <c r="AH1368" s="321"/>
      <c r="AI1368" s="321"/>
      <c r="AJ1368" s="321"/>
      <c r="AK1368" s="411"/>
      <c r="AL1368" s="321"/>
      <c r="AM1368" s="321"/>
      <c r="AN1368" s="321"/>
      <c r="AO1368" s="321"/>
      <c r="AP1368" s="321"/>
      <c r="AQ1368" s="321"/>
      <c r="AR1368" s="321"/>
      <c r="AS1368" s="321"/>
      <c r="AT1368" s="321"/>
      <c r="AU1368" s="321"/>
      <c r="AV1368" s="321"/>
      <c r="AW1368" s="321"/>
      <c r="AX1368" s="321"/>
      <c r="AY1368" s="321"/>
      <c r="AZ1368" s="321"/>
      <c r="BA1368" s="321"/>
      <c r="BB1368" s="321"/>
      <c r="BC1368" s="321"/>
      <c r="BD1368" s="321"/>
      <c r="BE1368" s="321"/>
      <c r="BF1368" s="321"/>
      <c r="BG1368" s="321"/>
      <c r="BH1368" s="321"/>
      <c r="BI1368" s="321"/>
      <c r="BJ1368" s="321"/>
      <c r="BK1368" s="321"/>
      <c r="BL1368" s="650"/>
      <c r="BM1368" s="52"/>
      <c r="BN1368" s="194"/>
      <c r="BO1368" s="2"/>
      <c r="BP1368" s="2"/>
      <c r="BQ1368" s="2"/>
      <c r="BR1368" s="301"/>
      <c r="BS1368" s="2"/>
      <c r="BT1368" s="2"/>
      <c r="BU1368" s="2"/>
      <c r="BV1368" s="2"/>
      <c r="BW1368" s="2"/>
      <c r="BX1368" s="2"/>
      <c r="BY1368" s="2"/>
      <c r="BZ1368" s="2"/>
      <c r="CA1368" s="2"/>
      <c r="CB1368" s="2"/>
      <c r="CC1368" s="2"/>
      <c r="CD1368" s="2"/>
      <c r="CE1368" s="2"/>
      <c r="CF1368" s="2"/>
      <c r="CG1368" s="2"/>
      <c r="CH1368" s="2"/>
      <c r="CI1368" s="2"/>
      <c r="CJ1368" s="2"/>
      <c r="CK1368" s="2"/>
      <c r="CL1368" s="2"/>
      <c r="CM1368" s="2"/>
      <c r="CN1368" s="2"/>
      <c r="CO1368" s="2"/>
      <c r="CP1368" s="2"/>
      <c r="CQ1368" s="2"/>
      <c r="CR1368" s="2"/>
      <c r="CS1368" s="301"/>
    </row>
    <row r="1369" spans="1:100">
      <c r="A1369" s="648"/>
      <c r="B1369" s="321"/>
      <c r="C1369" s="321"/>
      <c r="D1369" s="321"/>
      <c r="E1369" s="321"/>
      <c r="F1369" s="321"/>
      <c r="G1369" s="321"/>
      <c r="H1369" s="321"/>
      <c r="I1369" s="321"/>
      <c r="J1369" s="321"/>
      <c r="K1369" s="321"/>
      <c r="L1369" s="321"/>
      <c r="M1369" s="321"/>
      <c r="N1369" s="321"/>
      <c r="O1369" s="321"/>
      <c r="P1369" s="321"/>
      <c r="Q1369" s="321"/>
      <c r="R1369" s="321"/>
      <c r="S1369" s="321"/>
      <c r="T1369" s="321"/>
      <c r="U1369" s="321"/>
      <c r="V1369" s="321"/>
      <c r="W1369" s="321"/>
      <c r="X1369" s="321"/>
      <c r="Y1369" s="321"/>
      <c r="Z1369" s="321"/>
      <c r="AA1369" s="321"/>
      <c r="AB1369" s="321"/>
      <c r="AC1369" s="321"/>
      <c r="AD1369" s="321"/>
      <c r="AE1369" s="321"/>
      <c r="AF1369" s="564"/>
      <c r="AG1369" s="648"/>
      <c r="AH1369" s="321"/>
      <c r="AI1369" s="321"/>
      <c r="AJ1369" s="321"/>
      <c r="AK1369" s="321"/>
      <c r="AL1369" s="321"/>
      <c r="AM1369" s="321"/>
      <c r="AN1369" s="321"/>
      <c r="AO1369" s="321"/>
      <c r="AP1369" s="321"/>
      <c r="AQ1369" s="321"/>
      <c r="AR1369" s="321"/>
      <c r="AS1369" s="321"/>
      <c r="AT1369" s="321"/>
      <c r="AU1369" s="321"/>
      <c r="AV1369" s="321"/>
      <c r="AW1369" s="321"/>
      <c r="AX1369" s="411"/>
      <c r="AY1369" s="321"/>
      <c r="AZ1369" s="321"/>
      <c r="BA1369" s="321"/>
      <c r="BB1369" s="321"/>
      <c r="BC1369" s="321"/>
      <c r="BD1369" s="321"/>
      <c r="BE1369" s="321"/>
      <c r="BF1369" s="321"/>
      <c r="BG1369" s="321"/>
      <c r="BH1369" s="321"/>
      <c r="BI1369" s="321"/>
      <c r="BJ1369" s="321"/>
      <c r="BK1369" s="321"/>
      <c r="BL1369" s="650"/>
      <c r="BM1369" s="52"/>
      <c r="BN1369" s="194"/>
      <c r="BO1369" s="2"/>
      <c r="BP1369" s="2"/>
      <c r="BQ1369" s="2"/>
      <c r="BR1369" s="2"/>
      <c r="BS1369" s="2"/>
      <c r="BT1369" s="2"/>
      <c r="BU1369" s="2"/>
      <c r="BV1369" s="2"/>
      <c r="BW1369" s="2"/>
      <c r="BX1369" s="2"/>
      <c r="BY1369" s="2"/>
      <c r="BZ1369" s="2"/>
      <c r="CA1369" s="2"/>
      <c r="CB1369" s="2"/>
      <c r="CC1369" s="2"/>
      <c r="CD1369" s="2"/>
      <c r="CE1369" s="301"/>
      <c r="CF1369" s="2"/>
      <c r="CG1369" s="2"/>
      <c r="CH1369" s="2"/>
      <c r="CI1369" s="2"/>
      <c r="CJ1369" s="2"/>
      <c r="CK1369" s="2"/>
      <c r="CL1369" s="2"/>
      <c r="CM1369" s="2"/>
      <c r="CN1369" s="2"/>
      <c r="CO1369" s="2"/>
      <c r="CP1369" s="2"/>
      <c r="CQ1369" s="2"/>
      <c r="CR1369" s="2"/>
      <c r="CS1369" s="301"/>
    </row>
    <row r="1370" spans="1:100">
      <c r="A1370" s="648"/>
      <c r="B1370" s="321"/>
      <c r="C1370" s="321"/>
      <c r="D1370" s="321"/>
      <c r="E1370" s="411"/>
      <c r="F1370" s="321"/>
      <c r="G1370" s="321"/>
      <c r="H1370" s="321"/>
      <c r="I1370" s="321"/>
      <c r="J1370" s="321"/>
      <c r="K1370" s="321"/>
      <c r="L1370" s="321"/>
      <c r="M1370" s="321"/>
      <c r="N1370" s="321"/>
      <c r="O1370" s="321"/>
      <c r="P1370" s="321"/>
      <c r="Q1370" s="321"/>
      <c r="R1370" s="321"/>
      <c r="S1370" s="321"/>
      <c r="T1370" s="321"/>
      <c r="U1370" s="321"/>
      <c r="V1370" s="321"/>
      <c r="W1370" s="321"/>
      <c r="X1370" s="321"/>
      <c r="Y1370" s="321"/>
      <c r="Z1370" s="321"/>
      <c r="AA1370" s="321"/>
      <c r="AB1370" s="321"/>
      <c r="AC1370" s="321"/>
      <c r="AD1370" s="321"/>
      <c r="AE1370" s="321"/>
      <c r="AF1370" s="650"/>
      <c r="AG1370" s="648"/>
      <c r="AH1370" s="321"/>
      <c r="AI1370" s="321"/>
      <c r="AJ1370" s="321"/>
      <c r="AK1370" s="411"/>
      <c r="AL1370" s="321"/>
      <c r="AM1370" s="321"/>
      <c r="AN1370" s="321"/>
      <c r="AO1370" s="321"/>
      <c r="AP1370" s="321"/>
      <c r="AQ1370" s="321"/>
      <c r="AR1370" s="321"/>
      <c r="AS1370" s="321"/>
      <c r="AT1370" s="321"/>
      <c r="AU1370" s="321"/>
      <c r="AV1370" s="321"/>
      <c r="AW1370" s="321"/>
      <c r="AX1370" s="321"/>
      <c r="AY1370" s="321"/>
      <c r="AZ1370" s="321"/>
      <c r="BA1370" s="321"/>
      <c r="BB1370" s="321"/>
      <c r="BC1370" s="321"/>
      <c r="BD1370" s="321"/>
      <c r="BE1370" s="321"/>
      <c r="BF1370" s="321"/>
      <c r="BG1370" s="321"/>
      <c r="BH1370" s="321"/>
      <c r="BI1370" s="321"/>
      <c r="BJ1370" s="321"/>
      <c r="BK1370" s="321"/>
      <c r="BL1370" s="564"/>
      <c r="BM1370" s="52"/>
      <c r="BN1370" s="194"/>
      <c r="BO1370" s="2"/>
      <c r="BP1370" s="2"/>
      <c r="BQ1370" s="2"/>
      <c r="BR1370" s="301"/>
      <c r="BS1370" s="2"/>
      <c r="BT1370" s="2"/>
      <c r="BU1370" s="2"/>
      <c r="BV1370" s="2"/>
      <c r="BW1370" s="2"/>
      <c r="BX1370" s="2"/>
      <c r="BY1370" s="2"/>
      <c r="BZ1370" s="2"/>
      <c r="CA1370" s="2"/>
      <c r="CB1370" s="2"/>
      <c r="CC1370" s="2"/>
      <c r="CD1370" s="2"/>
      <c r="CE1370" s="2"/>
      <c r="CF1370" s="2"/>
      <c r="CG1370" s="2"/>
      <c r="CH1370" s="2"/>
      <c r="CI1370" s="2"/>
      <c r="CJ1370" s="2"/>
      <c r="CK1370" s="2"/>
      <c r="CL1370" s="2"/>
      <c r="CM1370" s="2"/>
      <c r="CN1370" s="2"/>
      <c r="CO1370" s="2"/>
      <c r="CP1370" s="2"/>
      <c r="CQ1370" s="2"/>
      <c r="CR1370" s="2"/>
      <c r="CS1370" s="2"/>
    </row>
    <row r="1371" spans="1:100">
      <c r="A1371" s="648"/>
      <c r="B1371" s="321"/>
      <c r="C1371" s="321"/>
      <c r="D1371" s="321"/>
      <c r="E1371" s="321"/>
      <c r="F1371" s="321"/>
      <c r="G1371" s="321"/>
      <c r="H1371" s="321"/>
      <c r="I1371" s="321"/>
      <c r="J1371" s="411"/>
      <c r="K1371" s="321"/>
      <c r="L1371" s="321"/>
      <c r="M1371" s="321"/>
      <c r="N1371" s="321"/>
      <c r="O1371" s="321"/>
      <c r="P1371" s="321"/>
      <c r="Q1371" s="411"/>
      <c r="R1371" s="321"/>
      <c r="S1371" s="321"/>
      <c r="T1371" s="321"/>
      <c r="U1371" s="321"/>
      <c r="V1371" s="321"/>
      <c r="W1371" s="321"/>
      <c r="X1371" s="321"/>
      <c r="Y1371" s="321"/>
      <c r="Z1371" s="321"/>
      <c r="AA1371" s="321"/>
      <c r="AB1371" s="321"/>
      <c r="AC1371" s="321"/>
      <c r="AD1371" s="321"/>
      <c r="AE1371" s="321"/>
      <c r="AF1371" s="650"/>
      <c r="AG1371" s="648"/>
      <c r="AH1371" s="321"/>
      <c r="AI1371" s="321"/>
      <c r="AJ1371" s="321"/>
      <c r="AK1371" s="411"/>
      <c r="AL1371" s="321"/>
      <c r="AM1371" s="321"/>
      <c r="AN1371" s="321"/>
      <c r="AO1371" s="321"/>
      <c r="AP1371" s="411"/>
      <c r="AQ1371" s="321"/>
      <c r="AR1371" s="321"/>
      <c r="AS1371" s="321"/>
      <c r="AT1371" s="321"/>
      <c r="AU1371" s="321"/>
      <c r="AV1371" s="321"/>
      <c r="AW1371" s="321"/>
      <c r="AX1371" s="321"/>
      <c r="AY1371" s="321"/>
      <c r="AZ1371" s="321"/>
      <c r="BA1371" s="321"/>
      <c r="BB1371" s="321"/>
      <c r="BC1371" s="321"/>
      <c r="BD1371" s="321"/>
      <c r="BE1371" s="321"/>
      <c r="BF1371" s="321"/>
      <c r="BG1371" s="321"/>
      <c r="BH1371" s="321"/>
      <c r="BI1371" s="411"/>
      <c r="BJ1371" s="321"/>
      <c r="BK1371" s="321"/>
      <c r="BL1371" s="650"/>
      <c r="BM1371" s="52"/>
      <c r="BN1371" s="194"/>
      <c r="BO1371" s="2"/>
      <c r="BP1371" s="2"/>
      <c r="BQ1371" s="2"/>
      <c r="BR1371" s="301"/>
      <c r="BS1371" s="2"/>
      <c r="BT1371" s="2"/>
      <c r="BU1371" s="2"/>
      <c r="BV1371" s="2"/>
      <c r="BW1371" s="301"/>
      <c r="BX1371" s="2"/>
      <c r="BY1371" s="2"/>
      <c r="BZ1371" s="2"/>
      <c r="CA1371" s="2"/>
      <c r="CB1371" s="2"/>
      <c r="CC1371" s="2"/>
      <c r="CD1371" s="2"/>
      <c r="CE1371" s="2"/>
      <c r="CF1371" s="2"/>
      <c r="CG1371" s="2"/>
      <c r="CH1371" s="2"/>
      <c r="CI1371" s="2"/>
      <c r="CJ1371" s="2"/>
      <c r="CK1371" s="2"/>
      <c r="CL1371" s="2"/>
      <c r="CM1371" s="2"/>
      <c r="CN1371" s="2"/>
      <c r="CO1371" s="2"/>
      <c r="CP1371" s="301"/>
      <c r="CQ1371" s="2"/>
      <c r="CR1371" s="2"/>
      <c r="CS1371" s="301"/>
    </row>
    <row r="1372" spans="1:100">
      <c r="A1372" s="648"/>
      <c r="B1372" s="321"/>
      <c r="C1372" s="321"/>
      <c r="D1372" s="321"/>
      <c r="E1372" s="411"/>
      <c r="F1372" s="321"/>
      <c r="G1372" s="321"/>
      <c r="H1372" s="321"/>
      <c r="I1372" s="321"/>
      <c r="J1372" s="411"/>
      <c r="K1372" s="321"/>
      <c r="L1372" s="321"/>
      <c r="M1372" s="321"/>
      <c r="N1372" s="321"/>
      <c r="O1372" s="321"/>
      <c r="P1372" s="321"/>
      <c r="Q1372" s="321"/>
      <c r="R1372" s="321"/>
      <c r="S1372" s="321"/>
      <c r="T1372" s="321"/>
      <c r="U1372" s="321"/>
      <c r="V1372" s="321"/>
      <c r="W1372" s="321"/>
      <c r="X1372" s="321"/>
      <c r="Y1372" s="321"/>
      <c r="Z1372" s="321"/>
      <c r="AA1372" s="321"/>
      <c r="AB1372" s="321"/>
      <c r="AC1372" s="321"/>
      <c r="AD1372" s="321"/>
      <c r="AE1372" s="321"/>
      <c r="AF1372" s="564"/>
      <c r="AG1372" s="648"/>
      <c r="AH1372" s="321"/>
      <c r="AI1372" s="321"/>
      <c r="AJ1372" s="321"/>
      <c r="AK1372" s="411"/>
      <c r="AL1372" s="321"/>
      <c r="AM1372" s="321"/>
      <c r="AN1372" s="321"/>
      <c r="AO1372" s="321"/>
      <c r="AP1372" s="321"/>
      <c r="AQ1372" s="321"/>
      <c r="AR1372" s="321"/>
      <c r="AS1372" s="321"/>
      <c r="AT1372" s="321"/>
      <c r="AU1372" s="321"/>
      <c r="AV1372" s="321"/>
      <c r="AW1372" s="321"/>
      <c r="AX1372" s="411"/>
      <c r="AY1372" s="321"/>
      <c r="AZ1372" s="321"/>
      <c r="BA1372" s="321"/>
      <c r="BB1372" s="321"/>
      <c r="BC1372" s="321"/>
      <c r="BD1372" s="321"/>
      <c r="BE1372" s="321"/>
      <c r="BF1372" s="321"/>
      <c r="BG1372" s="321"/>
      <c r="BH1372" s="321"/>
      <c r="BI1372" s="321"/>
      <c r="BJ1372" s="321"/>
      <c r="BK1372" s="321"/>
      <c r="BL1372" s="650"/>
      <c r="BM1372" s="52"/>
      <c r="BN1372" s="194"/>
      <c r="BO1372" s="2"/>
      <c r="BP1372" s="2"/>
      <c r="BQ1372" s="2"/>
      <c r="BR1372" s="301"/>
      <c r="BS1372" s="2"/>
      <c r="BT1372" s="2"/>
      <c r="BU1372" s="2"/>
      <c r="BV1372" s="2"/>
      <c r="BW1372" s="2"/>
      <c r="BX1372" s="2"/>
      <c r="BY1372" s="2"/>
      <c r="BZ1372" s="2"/>
      <c r="CA1372" s="2"/>
      <c r="CB1372" s="2"/>
      <c r="CC1372" s="2"/>
      <c r="CD1372" s="2"/>
      <c r="CE1372" s="301"/>
      <c r="CF1372" s="2"/>
      <c r="CG1372" s="2"/>
      <c r="CH1372" s="2"/>
      <c r="CI1372" s="2"/>
      <c r="CJ1372" s="2"/>
      <c r="CK1372" s="2"/>
      <c r="CL1372" s="2"/>
      <c r="CM1372" s="2"/>
      <c r="CN1372" s="2"/>
      <c r="CO1372" s="2"/>
      <c r="CP1372" s="2"/>
      <c r="CQ1372" s="2"/>
      <c r="CR1372" s="2"/>
      <c r="CS1372" s="301"/>
    </row>
    <row r="1373" spans="1:100">
      <c r="A1373" s="648"/>
      <c r="B1373" s="321"/>
      <c r="C1373" s="321"/>
      <c r="D1373" s="321"/>
      <c r="E1373" s="411"/>
      <c r="F1373" s="321"/>
      <c r="G1373" s="321"/>
      <c r="H1373" s="321"/>
      <c r="I1373" s="321"/>
      <c r="J1373" s="411"/>
      <c r="K1373" s="321"/>
      <c r="L1373" s="321"/>
      <c r="M1373" s="321"/>
      <c r="N1373" s="321"/>
      <c r="O1373" s="321"/>
      <c r="P1373" s="321"/>
      <c r="Q1373" s="321"/>
      <c r="R1373" s="321"/>
      <c r="S1373" s="321"/>
      <c r="T1373" s="321"/>
      <c r="U1373" s="321"/>
      <c r="V1373" s="321"/>
      <c r="W1373" s="321"/>
      <c r="X1373" s="321"/>
      <c r="Y1373" s="321"/>
      <c r="Z1373" s="411"/>
      <c r="AA1373" s="321"/>
      <c r="AB1373" s="321"/>
      <c r="AC1373" s="321"/>
      <c r="AD1373" s="321"/>
      <c r="AE1373" s="321"/>
      <c r="AF1373" s="650"/>
      <c r="AG1373" s="648"/>
      <c r="AH1373" s="321"/>
      <c r="AI1373" s="321"/>
      <c r="AJ1373" s="321"/>
      <c r="AK1373" s="321"/>
      <c r="AL1373" s="321"/>
      <c r="AM1373" s="321"/>
      <c r="AN1373" s="321"/>
      <c r="AO1373" s="321"/>
      <c r="AP1373" s="411"/>
      <c r="AQ1373" s="321"/>
      <c r="AR1373" s="321"/>
      <c r="AS1373" s="321"/>
      <c r="AT1373" s="321"/>
      <c r="AU1373" s="321"/>
      <c r="AV1373" s="321"/>
      <c r="AW1373" s="321"/>
      <c r="AX1373" s="411"/>
      <c r="AY1373" s="321"/>
      <c r="AZ1373" s="321"/>
      <c r="BA1373" s="321"/>
      <c r="BB1373" s="321"/>
      <c r="BC1373" s="321"/>
      <c r="BD1373" s="321"/>
      <c r="BE1373" s="321"/>
      <c r="BF1373" s="411"/>
      <c r="BG1373" s="321"/>
      <c r="BH1373" s="321"/>
      <c r="BI1373" s="321"/>
      <c r="BJ1373" s="321"/>
      <c r="BK1373" s="321"/>
      <c r="BL1373" s="650"/>
      <c r="BM1373" s="52"/>
      <c r="BN1373" s="194"/>
      <c r="BO1373" s="2"/>
      <c r="BP1373" s="2"/>
      <c r="BQ1373" s="2"/>
      <c r="BR1373" s="2"/>
      <c r="BS1373" s="2"/>
      <c r="BT1373" s="2"/>
      <c r="BU1373" s="2"/>
      <c r="BV1373" s="2"/>
      <c r="BW1373" s="301"/>
      <c r="BX1373" s="2"/>
      <c r="BY1373" s="2"/>
      <c r="BZ1373" s="2"/>
      <c r="CA1373" s="2"/>
      <c r="CB1373" s="2"/>
      <c r="CC1373" s="2"/>
      <c r="CD1373" s="2"/>
      <c r="CE1373" s="301"/>
      <c r="CF1373" s="2"/>
      <c r="CG1373" s="2"/>
      <c r="CH1373" s="2"/>
      <c r="CI1373" s="2"/>
      <c r="CJ1373" s="2"/>
      <c r="CK1373" s="2"/>
      <c r="CL1373" s="2"/>
      <c r="CM1373" s="301"/>
      <c r="CN1373" s="2"/>
      <c r="CO1373" s="2"/>
      <c r="CP1373" s="2"/>
      <c r="CQ1373" s="2"/>
      <c r="CR1373" s="2"/>
      <c r="CS1373" s="301"/>
    </row>
    <row r="1374" spans="1:100">
      <c r="A1374" s="648"/>
      <c r="B1374" s="321"/>
      <c r="C1374" s="321"/>
      <c r="D1374" s="321"/>
      <c r="E1374" s="411"/>
      <c r="F1374" s="321"/>
      <c r="G1374" s="321"/>
      <c r="H1374" s="321"/>
      <c r="I1374" s="321"/>
      <c r="J1374" s="321"/>
      <c r="K1374" s="321"/>
      <c r="L1374" s="321"/>
      <c r="M1374" s="321"/>
      <c r="N1374" s="321"/>
      <c r="O1374" s="321"/>
      <c r="P1374" s="321"/>
      <c r="Q1374" s="411"/>
      <c r="R1374" s="321"/>
      <c r="S1374" s="321"/>
      <c r="T1374" s="321"/>
      <c r="U1374" s="321"/>
      <c r="V1374" s="321"/>
      <c r="W1374" s="321"/>
      <c r="X1374" s="321"/>
      <c r="Y1374" s="321"/>
      <c r="Z1374" s="411"/>
      <c r="AA1374" s="321"/>
      <c r="AB1374" s="321"/>
      <c r="AC1374" s="321"/>
      <c r="AD1374" s="321"/>
      <c r="AE1374" s="321"/>
      <c r="AF1374" s="650"/>
      <c r="AG1374" s="648"/>
      <c r="AH1374" s="321"/>
      <c r="AI1374" s="321"/>
      <c r="AJ1374" s="321"/>
      <c r="AK1374" s="321"/>
      <c r="AL1374" s="321"/>
      <c r="AM1374" s="321"/>
      <c r="AN1374" s="321"/>
      <c r="AO1374" s="321"/>
      <c r="AP1374" s="411"/>
      <c r="AQ1374" s="321"/>
      <c r="AR1374" s="321"/>
      <c r="AS1374" s="321"/>
      <c r="AT1374" s="321"/>
      <c r="AU1374" s="321"/>
      <c r="AV1374" s="321"/>
      <c r="AW1374" s="321"/>
      <c r="AX1374" s="411"/>
      <c r="AY1374" s="321"/>
      <c r="AZ1374" s="321"/>
      <c r="BA1374" s="321"/>
      <c r="BB1374" s="321"/>
      <c r="BC1374" s="321"/>
      <c r="BD1374" s="321"/>
      <c r="BE1374" s="321"/>
      <c r="BF1374" s="411"/>
      <c r="BG1374" s="321"/>
      <c r="BH1374" s="321"/>
      <c r="BI1374" s="411"/>
      <c r="BJ1374" s="321"/>
      <c r="BK1374" s="321"/>
      <c r="BL1374" s="650"/>
      <c r="BM1374" s="52"/>
      <c r="BN1374" s="194"/>
      <c r="BO1374" s="2"/>
      <c r="BP1374" s="2"/>
      <c r="BQ1374" s="2"/>
      <c r="BR1374" s="2"/>
      <c r="BS1374" s="2"/>
      <c r="BT1374" s="2"/>
      <c r="BU1374" s="2"/>
      <c r="BV1374" s="2"/>
      <c r="BW1374" s="301"/>
      <c r="BX1374" s="2"/>
      <c r="BY1374" s="2"/>
      <c r="BZ1374" s="2"/>
      <c r="CA1374" s="2"/>
      <c r="CB1374" s="2"/>
      <c r="CC1374" s="2"/>
      <c r="CD1374" s="2"/>
      <c r="CE1374" s="301"/>
      <c r="CF1374" s="2"/>
      <c r="CG1374" s="2"/>
      <c r="CH1374" s="2"/>
      <c r="CI1374" s="2"/>
      <c r="CJ1374" s="2"/>
      <c r="CK1374" s="2"/>
      <c r="CL1374" s="2"/>
      <c r="CM1374" s="301"/>
      <c r="CN1374" s="2"/>
      <c r="CO1374" s="2"/>
      <c r="CP1374" s="301"/>
      <c r="CQ1374" s="2"/>
      <c r="CR1374" s="2"/>
      <c r="CS1374" s="301"/>
    </row>
    <row r="1375" spans="1:100">
      <c r="CT1375">
        <v>30</v>
      </c>
      <c r="CU1375">
        <v>30</v>
      </c>
      <c r="CV1375">
        <v>30</v>
      </c>
    </row>
    <row r="1376" spans="1:100">
      <c r="A1376" s="483"/>
      <c r="B1376" s="321"/>
      <c r="C1376" s="321"/>
      <c r="D1376" s="321"/>
      <c r="E1376" s="411"/>
      <c r="F1376" s="321"/>
      <c r="G1376" s="321"/>
      <c r="H1376" s="321"/>
      <c r="I1376" s="321"/>
      <c r="J1376" s="321"/>
      <c r="K1376" s="321"/>
      <c r="L1376" s="321"/>
      <c r="M1376" s="321"/>
      <c r="N1376" s="321"/>
      <c r="O1376" s="321"/>
      <c r="P1376" s="321"/>
      <c r="Q1376" s="411"/>
      <c r="R1376" s="321"/>
      <c r="S1376" s="321"/>
      <c r="T1376" s="321"/>
      <c r="U1376" s="321"/>
      <c r="V1376" s="321"/>
      <c r="W1376" s="321"/>
      <c r="X1376" s="321"/>
      <c r="Y1376" s="321"/>
      <c r="Z1376" s="411"/>
      <c r="AA1376" s="321"/>
      <c r="AB1376" s="321"/>
      <c r="AC1376" s="321"/>
      <c r="AD1376" s="321"/>
      <c r="AE1376" s="321"/>
      <c r="AF1376" s="650"/>
      <c r="AG1376" s="702"/>
      <c r="AH1376" s="411"/>
      <c r="AI1376" s="411"/>
      <c r="AJ1376" s="411"/>
      <c r="AK1376" s="411"/>
      <c r="AL1376" s="411"/>
      <c r="AM1376" s="411"/>
      <c r="AN1376" s="411"/>
      <c r="AO1376" s="411"/>
      <c r="AP1376" s="411"/>
      <c r="AQ1376" s="411"/>
      <c r="AR1376" s="411"/>
      <c r="AS1376" s="411"/>
      <c r="AT1376" s="411"/>
      <c r="AU1376" s="411"/>
      <c r="AV1376" s="411"/>
      <c r="AW1376" s="411"/>
      <c r="AX1376" s="411"/>
      <c r="AY1376" s="411"/>
      <c r="AZ1376" s="411"/>
      <c r="BA1376" s="411"/>
      <c r="BB1376" s="411"/>
      <c r="BC1376" s="411"/>
      <c r="BD1376" s="411"/>
      <c r="BE1376" s="411"/>
      <c r="BF1376" s="411"/>
      <c r="BG1376" s="411"/>
      <c r="BH1376" s="411"/>
      <c r="BI1376" s="411"/>
      <c r="BJ1376" s="411"/>
      <c r="BK1376" s="411"/>
      <c r="BL1376" s="650"/>
      <c r="BM1376" s="52"/>
      <c r="BN1376" s="41"/>
      <c r="BO1376" s="301"/>
      <c r="BP1376" s="301"/>
      <c r="BQ1376" s="301"/>
      <c r="BR1376" s="301"/>
      <c r="BS1376" s="301"/>
      <c r="BT1376" s="301"/>
      <c r="BU1376" s="301"/>
      <c r="BV1376" s="301"/>
      <c r="BW1376" s="301"/>
      <c r="BX1376" s="301"/>
      <c r="BY1376" s="301"/>
      <c r="BZ1376" s="301"/>
      <c r="CA1376" s="301"/>
      <c r="CB1376" s="301"/>
      <c r="CC1376" s="301"/>
      <c r="CD1376" s="301"/>
      <c r="CE1376" s="301"/>
      <c r="CF1376" s="301"/>
      <c r="CG1376" s="301"/>
      <c r="CH1376" s="301"/>
      <c r="CI1376" s="301"/>
      <c r="CJ1376" s="301"/>
      <c r="CK1376" s="301"/>
      <c r="CL1376" s="301"/>
      <c r="CM1376" s="301"/>
      <c r="CN1376" s="301"/>
      <c r="CO1376" s="301"/>
      <c r="CP1376" s="301"/>
      <c r="CQ1376" s="301"/>
      <c r="CR1376" s="301"/>
      <c r="CS1376" s="301"/>
    </row>
    <row r="1377" spans="1:98">
      <c r="A1377" s="654"/>
      <c r="B1377" s="655"/>
      <c r="C1377" s="655"/>
      <c r="D1377" s="655"/>
      <c r="E1377" s="655"/>
      <c r="F1377" s="655"/>
      <c r="G1377" s="655"/>
      <c r="H1377" s="655"/>
      <c r="I1377" s="655"/>
      <c r="J1377" s="655"/>
      <c r="K1377" s="655"/>
      <c r="L1377" s="655"/>
      <c r="M1377" s="655"/>
      <c r="N1377" s="655"/>
      <c r="O1377" s="655"/>
      <c r="P1377" s="655"/>
      <c r="Q1377" s="655"/>
      <c r="R1377" s="655"/>
      <c r="S1377" s="655"/>
      <c r="T1377" s="655"/>
      <c r="U1377" s="655"/>
      <c r="V1377" s="655"/>
      <c r="W1377" s="655"/>
      <c r="X1377" s="655"/>
      <c r="Y1377" s="655"/>
      <c r="Z1377" s="655"/>
      <c r="AA1377" s="655"/>
      <c r="AB1377" s="655"/>
      <c r="AC1377" s="655"/>
      <c r="AD1377" s="655"/>
      <c r="AE1377" s="655"/>
      <c r="AF1377" s="655"/>
      <c r="AG1377" s="656"/>
      <c r="AH1377" s="657"/>
      <c r="AI1377" s="657"/>
      <c r="AJ1377" s="657"/>
      <c r="AK1377" s="657"/>
      <c r="AL1377" s="657"/>
      <c r="AM1377" s="657"/>
      <c r="AN1377" s="657"/>
      <c r="AO1377" s="657"/>
      <c r="AP1377" s="657"/>
      <c r="AQ1377" s="657"/>
      <c r="AR1377" s="657"/>
      <c r="AS1377" s="657"/>
      <c r="AT1377" s="657"/>
      <c r="AU1377" s="657"/>
      <c r="AV1377" s="657"/>
      <c r="AW1377" s="657"/>
      <c r="AX1377" s="657"/>
      <c r="AY1377" s="657"/>
      <c r="AZ1377" s="657"/>
      <c r="BA1377" s="657"/>
      <c r="BB1377" s="657"/>
      <c r="BC1377" s="657"/>
      <c r="BD1377" s="657"/>
      <c r="BE1377" s="657"/>
      <c r="BF1377" s="657"/>
      <c r="BG1377" s="657"/>
      <c r="BH1377" s="657"/>
      <c r="BI1377" s="657"/>
      <c r="BJ1377" s="657"/>
      <c r="BK1377" s="657"/>
      <c r="BL1377" s="161"/>
      <c r="BM1377" s="438">
        <v>44</v>
      </c>
      <c r="BN1377" s="161"/>
      <c r="BO1377" s="161"/>
      <c r="BP1377" s="161"/>
      <c r="BQ1377" s="163"/>
      <c r="BR1377" s="163"/>
      <c r="BS1377" s="163"/>
      <c r="BT1377" s="163"/>
      <c r="BU1377" s="163"/>
      <c r="BV1377" s="163"/>
      <c r="BW1377" s="163"/>
      <c r="BX1377" s="163"/>
      <c r="BY1377" s="163"/>
      <c r="BZ1377" s="163"/>
      <c r="CA1377" s="163"/>
      <c r="CB1377" s="163"/>
      <c r="CC1377" s="163"/>
      <c r="CD1377" s="163"/>
      <c r="CE1377" s="163"/>
      <c r="CF1377" s="163"/>
      <c r="CG1377" s="163"/>
      <c r="CH1377" s="163"/>
      <c r="CI1377" s="163"/>
      <c r="CJ1377" s="163"/>
      <c r="CK1377" s="163"/>
      <c r="CL1377" s="163"/>
      <c r="CM1377" s="163"/>
      <c r="CN1377" s="163"/>
      <c r="CO1377" s="163"/>
      <c r="CP1377" s="163"/>
      <c r="CQ1377" s="161"/>
      <c r="CR1377" s="161"/>
      <c r="CS1377" s="161"/>
    </row>
    <row r="1378" spans="1:98">
      <c r="A1378" s="658"/>
      <c r="B1378" s="431"/>
      <c r="C1378" s="412"/>
      <c r="D1378" s="431"/>
      <c r="E1378" s="412"/>
      <c r="F1378" s="431"/>
      <c r="G1378" s="412"/>
      <c r="H1378" s="431"/>
      <c r="I1378" s="412"/>
      <c r="J1378" s="431"/>
      <c r="K1378" s="412"/>
      <c r="L1378" s="431"/>
      <c r="M1378" s="412"/>
      <c r="N1378" s="431"/>
      <c r="O1378" s="412"/>
      <c r="P1378" s="431"/>
      <c r="Q1378" s="412"/>
      <c r="R1378" s="431"/>
      <c r="S1378" s="412"/>
      <c r="T1378" s="431"/>
      <c r="U1378" s="412"/>
      <c r="V1378" s="431"/>
      <c r="W1378" s="412"/>
      <c r="X1378" s="431"/>
      <c r="Y1378" s="412"/>
      <c r="Z1378" s="431"/>
      <c r="AA1378" s="412"/>
      <c r="AB1378" s="431"/>
      <c r="AC1378" s="412"/>
      <c r="AD1378" s="431"/>
      <c r="AE1378" s="412"/>
      <c r="AF1378" s="431"/>
      <c r="AG1378" s="658"/>
      <c r="AH1378" s="412"/>
      <c r="AI1378" s="412"/>
      <c r="AJ1378" s="412"/>
      <c r="AK1378" s="412"/>
      <c r="AL1378" s="412"/>
      <c r="AM1378" s="412"/>
      <c r="AN1378" s="412"/>
      <c r="AO1378" s="412"/>
      <c r="AP1378" s="412"/>
      <c r="AQ1378" s="412"/>
      <c r="AR1378" s="412"/>
      <c r="AS1378" s="412"/>
      <c r="AT1378" s="412"/>
      <c r="AU1378" s="412"/>
      <c r="AV1378" s="412"/>
      <c r="AW1378" s="412"/>
      <c r="AX1378" s="412"/>
      <c r="AY1378" s="412"/>
      <c r="AZ1378" s="412"/>
      <c r="BA1378" s="412"/>
      <c r="BB1378" s="412"/>
      <c r="BC1378" s="412"/>
      <c r="BD1378" s="412"/>
      <c r="BE1378" s="412"/>
      <c r="BF1378" s="412"/>
      <c r="BG1378" s="412"/>
      <c r="BH1378" s="412"/>
      <c r="BI1378" s="412"/>
      <c r="BJ1378" s="412"/>
      <c r="BK1378" s="412"/>
      <c r="BL1378" s="659"/>
      <c r="BM1378" s="431"/>
      <c r="BN1378" s="161"/>
      <c r="BO1378" s="163"/>
      <c r="BP1378" s="163"/>
      <c r="BQ1378" s="158"/>
      <c r="BR1378" s="163"/>
      <c r="BS1378" s="158"/>
      <c r="BT1378" s="163"/>
      <c r="BU1378" s="158"/>
      <c r="BV1378" s="163"/>
      <c r="BW1378" s="158"/>
      <c r="BX1378" s="163"/>
      <c r="BY1378" s="158"/>
      <c r="BZ1378" s="163"/>
      <c r="CA1378" s="158"/>
      <c r="CB1378" s="163"/>
      <c r="CC1378" s="158"/>
      <c r="CD1378" s="163"/>
      <c r="CE1378" s="158"/>
      <c r="CF1378" s="163"/>
      <c r="CG1378" s="158"/>
      <c r="CH1378" s="163"/>
      <c r="CI1378" s="158"/>
      <c r="CJ1378" s="163"/>
      <c r="CK1378" s="158"/>
      <c r="CL1378" s="163"/>
      <c r="CM1378" s="158"/>
      <c r="CN1378" s="163"/>
      <c r="CO1378" s="158"/>
      <c r="CP1378" s="163"/>
      <c r="CQ1378" s="158"/>
      <c r="CR1378" s="163"/>
      <c r="CS1378" s="161"/>
    </row>
    <row r="1379" spans="1:98">
      <c r="A1379" s="482"/>
      <c r="B1379" s="431"/>
      <c r="C1379" s="431"/>
      <c r="D1379" s="431"/>
      <c r="E1379" s="431"/>
      <c r="F1379" s="431"/>
      <c r="G1379" s="431"/>
      <c r="H1379" s="431"/>
      <c r="I1379" s="431"/>
      <c r="J1379" s="431"/>
      <c r="K1379" s="431"/>
      <c r="L1379" s="431"/>
      <c r="M1379" s="431"/>
      <c r="N1379" s="431"/>
      <c r="O1379" s="431"/>
      <c r="P1379" s="431"/>
      <c r="Q1379" s="431"/>
      <c r="R1379" s="431"/>
      <c r="S1379" s="431"/>
      <c r="T1379" s="431"/>
      <c r="U1379" s="431"/>
      <c r="V1379" s="431"/>
      <c r="W1379" s="431"/>
      <c r="X1379" s="431"/>
      <c r="Y1379" s="431"/>
      <c r="Z1379" s="431"/>
      <c r="AA1379" s="431"/>
      <c r="AB1379" s="431"/>
      <c r="AC1379" s="431"/>
      <c r="AD1379" s="431"/>
      <c r="AE1379" s="431"/>
      <c r="AF1379" s="431"/>
      <c r="AG1379" s="658"/>
      <c r="AH1379" s="93"/>
      <c r="AI1379" s="412"/>
      <c r="AJ1379" s="93"/>
      <c r="AK1379" s="412"/>
      <c r="AL1379" s="93"/>
      <c r="AM1379" s="412"/>
      <c r="AN1379" s="93"/>
      <c r="AO1379" s="412"/>
      <c r="AP1379" s="93"/>
      <c r="AQ1379" s="412"/>
      <c r="AR1379" s="93"/>
      <c r="AS1379" s="412"/>
      <c r="AT1379" s="93"/>
      <c r="AU1379" s="412"/>
      <c r="AV1379" s="93"/>
      <c r="AW1379" s="412"/>
      <c r="AX1379" s="93"/>
      <c r="AY1379" s="412"/>
      <c r="AZ1379" s="93"/>
      <c r="BA1379" s="412"/>
      <c r="BB1379" s="93"/>
      <c r="BC1379" s="412"/>
      <c r="BD1379" s="93"/>
      <c r="BE1379" s="412"/>
      <c r="BF1379" s="93"/>
      <c r="BG1379" s="412"/>
      <c r="BH1379" s="93"/>
      <c r="BI1379" s="412"/>
      <c r="BJ1379" s="93"/>
      <c r="BK1379" s="412"/>
      <c r="BL1379" s="79"/>
      <c r="BM1379" s="540"/>
      <c r="BN1379" s="163"/>
      <c r="BO1379" s="158"/>
      <c r="BP1379" s="158"/>
      <c r="BQ1379" s="158"/>
      <c r="BR1379" s="158"/>
      <c r="BS1379" s="158"/>
      <c r="BT1379" s="158"/>
      <c r="BU1379" s="158"/>
      <c r="BV1379" s="158"/>
      <c r="BW1379" s="158"/>
      <c r="BX1379" s="158"/>
      <c r="BY1379" s="158"/>
      <c r="BZ1379" s="158"/>
      <c r="CA1379" s="158"/>
      <c r="CB1379" s="158"/>
      <c r="CC1379" s="158"/>
      <c r="CD1379" s="158"/>
      <c r="CE1379" s="158"/>
      <c r="CF1379" s="158"/>
      <c r="CG1379" s="158"/>
      <c r="CH1379" s="158"/>
      <c r="CI1379" s="158"/>
      <c r="CJ1379" s="158"/>
      <c r="CK1379" s="158"/>
      <c r="CL1379" s="158"/>
      <c r="CM1379" s="158"/>
      <c r="CN1379" s="158"/>
      <c r="CO1379" s="158"/>
      <c r="CP1379" s="158"/>
      <c r="CQ1379" s="158"/>
      <c r="CR1379" s="158"/>
      <c r="CS1379" s="163"/>
    </row>
    <row r="1380" spans="1:98">
      <c r="A1380" s="699"/>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c r="AF1380" s="93"/>
      <c r="AG1380" s="699"/>
      <c r="AH1380" s="93"/>
      <c r="AI1380" s="93"/>
      <c r="AJ1380" s="93"/>
      <c r="AK1380" s="93"/>
      <c r="AL1380" s="93"/>
      <c r="AM1380" s="93"/>
      <c r="AN1380" s="93"/>
      <c r="AO1380" s="93"/>
      <c r="AP1380" s="93"/>
      <c r="AQ1380" s="93"/>
      <c r="AR1380" s="93"/>
      <c r="AS1380" s="93"/>
      <c r="AT1380" s="93"/>
      <c r="AU1380" s="93"/>
      <c r="AV1380" s="93"/>
      <c r="AW1380" s="93"/>
      <c r="AX1380" s="93"/>
      <c r="AY1380" s="93"/>
      <c r="AZ1380" s="93"/>
      <c r="BA1380" s="93"/>
      <c r="BB1380" s="93"/>
      <c r="BC1380" s="93"/>
      <c r="BD1380" s="93"/>
      <c r="BE1380" s="93"/>
      <c r="BF1380" s="93"/>
      <c r="BG1380" s="93"/>
      <c r="BH1380" s="93"/>
      <c r="BI1380" s="93"/>
      <c r="BJ1380" s="93"/>
      <c r="BK1380" s="93"/>
      <c r="BL1380" s="79"/>
      <c r="BM1380" s="540">
        <v>350</v>
      </c>
      <c r="BN1380" s="162"/>
      <c r="BO1380" s="162"/>
      <c r="BP1380" s="159"/>
      <c r="BQ1380" s="159"/>
      <c r="BR1380" s="159"/>
      <c r="BS1380" s="159"/>
      <c r="BT1380" s="159"/>
      <c r="BU1380" s="159"/>
      <c r="BV1380" s="159"/>
      <c r="BW1380" s="159"/>
      <c r="BX1380" s="159"/>
      <c r="BY1380" s="159"/>
      <c r="BZ1380" s="159"/>
      <c r="CA1380" s="159"/>
      <c r="CB1380" s="156"/>
      <c r="CC1380" s="156"/>
      <c r="CD1380" s="162"/>
      <c r="CE1380" s="162"/>
      <c r="CF1380" s="162"/>
      <c r="CG1380" s="162"/>
      <c r="CH1380" s="162"/>
      <c r="CI1380" s="162"/>
      <c r="CJ1380" s="162"/>
      <c r="CK1380" s="162"/>
      <c r="CL1380" s="162"/>
      <c r="CM1380" s="162"/>
      <c r="CN1380" s="162"/>
      <c r="CO1380" s="162"/>
      <c r="CP1380" s="162"/>
      <c r="CQ1380" s="162"/>
      <c r="CR1380" s="158"/>
      <c r="CS1380" s="158"/>
    </row>
    <row r="1381" spans="1:98">
      <c r="A1381" s="699"/>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c r="AF1381" s="93"/>
      <c r="AG1381" s="699"/>
      <c r="AH1381" s="93"/>
      <c r="AI1381" s="93"/>
      <c r="AJ1381" s="93"/>
      <c r="AK1381" s="93"/>
      <c r="AL1381" s="93"/>
      <c r="AM1381" s="93"/>
      <c r="AN1381" s="93"/>
      <c r="AO1381" s="93"/>
      <c r="AP1381" s="93"/>
      <c r="AQ1381" s="93"/>
      <c r="AR1381" s="93"/>
      <c r="AS1381" s="93"/>
      <c r="AT1381" s="93"/>
      <c r="AU1381" s="93"/>
      <c r="AV1381" s="93"/>
      <c r="AW1381" s="93"/>
      <c r="AX1381" s="93"/>
      <c r="AY1381" s="93"/>
      <c r="AZ1381" s="93"/>
      <c r="BA1381" s="93"/>
      <c r="BB1381" s="93"/>
      <c r="BC1381" s="93"/>
      <c r="BD1381" s="93"/>
      <c r="BE1381" s="93"/>
      <c r="BF1381" s="93"/>
      <c r="BG1381" s="93"/>
      <c r="BH1381" s="93"/>
      <c r="BI1381" s="93"/>
      <c r="BJ1381" s="93"/>
      <c r="BK1381" s="93"/>
      <c r="BL1381" s="79"/>
      <c r="BM1381" s="540"/>
      <c r="BN1381" s="159"/>
      <c r="BO1381" s="159"/>
      <c r="BP1381" s="159"/>
      <c r="BQ1381" s="156"/>
      <c r="BR1381" s="162"/>
      <c r="BS1381" s="162"/>
      <c r="BT1381" s="162"/>
      <c r="BU1381" s="158"/>
      <c r="BV1381" s="158"/>
      <c r="BW1381" s="158"/>
      <c r="BX1381" s="158"/>
      <c r="BY1381" s="158"/>
      <c r="BZ1381" s="158"/>
      <c r="CA1381" s="158"/>
      <c r="CB1381" s="159"/>
      <c r="CC1381" s="162"/>
      <c r="CD1381" s="158"/>
      <c r="CE1381" s="158"/>
      <c r="CF1381" s="158"/>
      <c r="CG1381" s="158"/>
      <c r="CH1381" s="158"/>
      <c r="CI1381" s="158"/>
      <c r="CJ1381" s="158"/>
      <c r="CK1381" s="158"/>
      <c r="CL1381" s="158"/>
      <c r="CM1381" s="158"/>
      <c r="CN1381" s="158"/>
      <c r="CO1381" s="158"/>
      <c r="CP1381" s="158"/>
      <c r="CQ1381" s="162"/>
      <c r="CR1381" s="162"/>
      <c r="CS1381" s="158"/>
    </row>
    <row r="1382" spans="1:98">
      <c r="A1382" s="482"/>
      <c r="B1382" s="431"/>
      <c r="C1382" s="431"/>
      <c r="D1382" s="431"/>
      <c r="E1382" s="431"/>
      <c r="F1382" s="431"/>
      <c r="G1382" s="431"/>
      <c r="H1382" s="93"/>
      <c r="I1382" s="93"/>
      <c r="J1382" s="431"/>
      <c r="K1382" s="431"/>
      <c r="L1382" s="431"/>
      <c r="M1382" s="431"/>
      <c r="N1382" s="431"/>
      <c r="O1382" s="431"/>
      <c r="P1382" s="431"/>
      <c r="Q1382" s="431"/>
      <c r="R1382" s="431"/>
      <c r="S1382" s="431"/>
      <c r="T1382" s="431"/>
      <c r="U1382" s="431"/>
      <c r="V1382" s="431"/>
      <c r="W1382" s="431"/>
      <c r="X1382" s="93"/>
      <c r="Y1382" s="93"/>
      <c r="Z1382" s="431"/>
      <c r="AA1382" s="431"/>
      <c r="AB1382" s="431"/>
      <c r="AC1382" s="431"/>
      <c r="AD1382" s="431"/>
      <c r="AE1382" s="431"/>
      <c r="AF1382" s="431"/>
      <c r="AG1382" s="658"/>
      <c r="AH1382" s="412"/>
      <c r="AI1382" s="412"/>
      <c r="AJ1382" s="412"/>
      <c r="AK1382" s="412"/>
      <c r="AL1382" s="412"/>
      <c r="AM1382" s="412"/>
      <c r="AN1382" s="93"/>
      <c r="AO1382" s="93"/>
      <c r="AP1382" s="412"/>
      <c r="AQ1382" s="412"/>
      <c r="AR1382" s="412"/>
      <c r="AS1382" s="412"/>
      <c r="AT1382" s="412"/>
      <c r="AU1382" s="412"/>
      <c r="AV1382" s="412"/>
      <c r="AW1382" s="412"/>
      <c r="AX1382" s="412"/>
      <c r="AY1382" s="412"/>
      <c r="AZ1382" s="412"/>
      <c r="BA1382" s="412"/>
      <c r="BB1382" s="412"/>
      <c r="BC1382" s="412"/>
      <c r="BD1382" s="93"/>
      <c r="BE1382" s="93"/>
      <c r="BF1382" s="412"/>
      <c r="BG1382" s="412"/>
      <c r="BH1382" s="412"/>
      <c r="BI1382" s="412"/>
      <c r="BJ1382" s="412"/>
      <c r="BK1382" s="412"/>
      <c r="BL1382" s="659"/>
      <c r="BM1382" s="540">
        <v>2</v>
      </c>
      <c r="BN1382" s="162"/>
      <c r="BO1382" s="162"/>
      <c r="BP1382" s="156"/>
      <c r="BQ1382" s="170"/>
      <c r="BR1382" s="170"/>
      <c r="BS1382" s="170"/>
      <c r="BT1382" s="170"/>
      <c r="BU1382" s="170"/>
      <c r="BV1382" s="170"/>
      <c r="BW1382" s="170"/>
      <c r="BX1382" s="170"/>
      <c r="BY1382" s="170"/>
      <c r="BZ1382" s="170"/>
      <c r="CA1382" s="158"/>
      <c r="CB1382" s="159"/>
      <c r="CC1382" s="162"/>
      <c r="CD1382" s="158"/>
      <c r="CE1382" s="170"/>
      <c r="CF1382" s="170"/>
      <c r="CG1382" s="170"/>
      <c r="CH1382" s="170"/>
      <c r="CI1382" s="170"/>
      <c r="CJ1382" s="170"/>
      <c r="CK1382" s="170"/>
      <c r="CL1382" s="170"/>
      <c r="CM1382" s="170"/>
      <c r="CN1382" s="170"/>
      <c r="CO1382" s="170"/>
      <c r="CP1382" s="170"/>
      <c r="CQ1382" s="163"/>
      <c r="CR1382" s="163"/>
      <c r="CS1382" s="163"/>
    </row>
    <row r="1383" spans="1:98">
      <c r="A1383" s="661"/>
      <c r="B1383" s="455"/>
      <c r="C1383" s="455"/>
      <c r="D1383" s="455"/>
      <c r="E1383" s="455"/>
      <c r="F1383" s="455"/>
      <c r="G1383" s="445"/>
      <c r="H1383" s="93"/>
      <c r="I1383" s="93"/>
      <c r="J1383" s="431"/>
      <c r="K1383" s="455"/>
      <c r="L1383" s="455"/>
      <c r="M1383" s="455"/>
      <c r="N1383" s="455"/>
      <c r="O1383" s="455"/>
      <c r="P1383" s="455"/>
      <c r="Q1383" s="455"/>
      <c r="R1383" s="455"/>
      <c r="S1383" s="455"/>
      <c r="T1383" s="455"/>
      <c r="U1383" s="455"/>
      <c r="V1383" s="455"/>
      <c r="W1383" s="445"/>
      <c r="X1383" s="93"/>
      <c r="Y1383" s="93"/>
      <c r="Z1383" s="431"/>
      <c r="AA1383" s="455"/>
      <c r="AB1383" s="455"/>
      <c r="AC1383" s="455"/>
      <c r="AD1383" s="455"/>
      <c r="AE1383" s="455"/>
      <c r="AF1383" s="455"/>
      <c r="AG1383" s="663"/>
      <c r="AH1383" s="448"/>
      <c r="AI1383" s="448"/>
      <c r="AJ1383" s="448"/>
      <c r="AK1383" s="448"/>
      <c r="AL1383" s="448"/>
      <c r="AM1383" s="438"/>
      <c r="AN1383" s="93"/>
      <c r="AO1383" s="93"/>
      <c r="AP1383" s="412"/>
      <c r="AQ1383" s="448"/>
      <c r="AR1383" s="448"/>
      <c r="AS1383" s="448"/>
      <c r="AT1383" s="448"/>
      <c r="AU1383" s="448"/>
      <c r="AV1383" s="448"/>
      <c r="AW1383" s="448"/>
      <c r="AX1383" s="448"/>
      <c r="AY1383" s="448"/>
      <c r="AZ1383" s="448"/>
      <c r="BA1383" s="448"/>
      <c r="BB1383" s="448"/>
      <c r="BC1383" s="438"/>
      <c r="BD1383" s="93"/>
      <c r="BE1383" s="93"/>
      <c r="BF1383" s="412"/>
      <c r="BG1383" s="448"/>
      <c r="BH1383" s="448"/>
      <c r="BI1383" s="448"/>
      <c r="BJ1383" s="448"/>
      <c r="BK1383" s="448"/>
      <c r="BL1383" s="664"/>
      <c r="BM1383" s="540"/>
      <c r="BN1383" s="170"/>
      <c r="BO1383" s="170"/>
      <c r="BP1383" s="170"/>
      <c r="BQ1383" s="170"/>
      <c r="BR1383" s="170"/>
      <c r="BS1383" s="170"/>
      <c r="BT1383" s="170"/>
      <c r="BU1383" s="170"/>
      <c r="BV1383" s="170"/>
      <c r="BW1383" s="170"/>
      <c r="BX1383" s="170"/>
      <c r="BY1383" s="170"/>
      <c r="BZ1383" s="170"/>
      <c r="CA1383" s="170"/>
      <c r="CB1383" s="156"/>
      <c r="CC1383" s="162"/>
      <c r="CD1383" s="170"/>
      <c r="CE1383" s="170"/>
      <c r="CF1383" s="170"/>
      <c r="CG1383" s="170"/>
      <c r="CH1383" s="170"/>
      <c r="CI1383" s="170"/>
      <c r="CJ1383" s="170"/>
      <c r="CK1383" s="174"/>
      <c r="CL1383" s="174"/>
      <c r="CM1383" s="170"/>
      <c r="CN1383" s="170"/>
      <c r="CO1383" s="170"/>
      <c r="CP1383" s="170"/>
      <c r="CQ1383" s="170"/>
      <c r="CR1383" s="170"/>
      <c r="CS1383" s="170"/>
    </row>
    <row r="1384" spans="1:98">
      <c r="A1384" s="661"/>
      <c r="B1384" s="455"/>
      <c r="C1384" s="455"/>
      <c r="D1384" s="455"/>
      <c r="E1384" s="461"/>
      <c r="F1384" s="461"/>
      <c r="G1384" s="445"/>
      <c r="H1384" s="93"/>
      <c r="I1384" s="93"/>
      <c r="J1384" s="431"/>
      <c r="K1384" s="455"/>
      <c r="L1384" s="455"/>
      <c r="M1384" s="455"/>
      <c r="N1384" s="455"/>
      <c r="O1384" s="455"/>
      <c r="P1384" s="455"/>
      <c r="Q1384" s="455"/>
      <c r="R1384" s="455"/>
      <c r="S1384" s="455"/>
      <c r="T1384" s="455"/>
      <c r="U1384" s="461"/>
      <c r="V1384" s="461"/>
      <c r="W1384" s="445"/>
      <c r="X1384" s="93"/>
      <c r="Y1384" s="93"/>
      <c r="Z1384" s="431"/>
      <c r="AA1384" s="455"/>
      <c r="AB1384" s="455"/>
      <c r="AC1384" s="455"/>
      <c r="AD1384" s="455"/>
      <c r="AE1384" s="455"/>
      <c r="AF1384" s="455"/>
      <c r="AG1384" s="663"/>
      <c r="AH1384" s="448"/>
      <c r="AI1384" s="448"/>
      <c r="AJ1384" s="448"/>
      <c r="AK1384" s="455"/>
      <c r="AL1384" s="455"/>
      <c r="AM1384" s="438"/>
      <c r="AN1384" s="93"/>
      <c r="AO1384" s="93"/>
      <c r="AP1384" s="412"/>
      <c r="AQ1384" s="448"/>
      <c r="AR1384" s="448"/>
      <c r="AS1384" s="448"/>
      <c r="AT1384" s="448"/>
      <c r="AU1384" s="448"/>
      <c r="AV1384" s="448"/>
      <c r="AW1384" s="448"/>
      <c r="AX1384" s="448"/>
      <c r="AY1384" s="448"/>
      <c r="AZ1384" s="448"/>
      <c r="BA1384" s="455"/>
      <c r="BB1384" s="455"/>
      <c r="BC1384" s="438"/>
      <c r="BD1384" s="93"/>
      <c r="BE1384" s="93"/>
      <c r="BF1384" s="412"/>
      <c r="BG1384" s="448"/>
      <c r="BH1384" s="448"/>
      <c r="BI1384" s="448"/>
      <c r="BJ1384" s="448"/>
      <c r="BK1384" s="448"/>
      <c r="BL1384" s="664"/>
      <c r="BM1384" s="540"/>
      <c r="BN1384" s="170"/>
      <c r="BO1384" s="170"/>
      <c r="BP1384" s="170"/>
      <c r="BQ1384" s="170"/>
      <c r="BR1384" s="170"/>
      <c r="BS1384" s="170"/>
      <c r="BT1384" s="170"/>
      <c r="BU1384" s="170"/>
      <c r="BV1384" s="170"/>
      <c r="BW1384" s="170"/>
      <c r="BX1384" s="170"/>
      <c r="BY1384" s="170"/>
      <c r="BZ1384" s="169"/>
      <c r="CA1384" s="169"/>
      <c r="CB1384" s="156"/>
      <c r="CC1384" s="162"/>
      <c r="CD1384" s="170"/>
      <c r="CE1384" s="170"/>
      <c r="CF1384" s="170"/>
      <c r="CG1384" s="170"/>
      <c r="CH1384" s="170"/>
      <c r="CI1384" s="170"/>
      <c r="CJ1384" s="174"/>
      <c r="CK1384" s="172"/>
      <c r="CL1384" s="172"/>
      <c r="CM1384" s="174"/>
      <c r="CN1384" s="170"/>
      <c r="CO1384" s="170"/>
      <c r="CP1384" s="169"/>
      <c r="CQ1384" s="169"/>
      <c r="CR1384" s="170"/>
      <c r="CS1384" s="170"/>
    </row>
    <row r="1385" spans="1:98">
      <c r="A1385" s="661"/>
      <c r="B1385" s="455"/>
      <c r="C1385" s="461"/>
      <c r="D1385" s="461"/>
      <c r="E1385" s="461"/>
      <c r="F1385" s="461"/>
      <c r="G1385" s="445"/>
      <c r="H1385" s="93"/>
      <c r="I1385" s="93"/>
      <c r="J1385" s="451"/>
      <c r="K1385" s="455"/>
      <c r="L1385" s="455"/>
      <c r="M1385" s="455"/>
      <c r="N1385" s="455"/>
      <c r="O1385" s="455"/>
      <c r="P1385" s="455"/>
      <c r="Q1385" s="455"/>
      <c r="R1385" s="455"/>
      <c r="S1385" s="461"/>
      <c r="T1385" s="461"/>
      <c r="U1385" s="461"/>
      <c r="V1385" s="461"/>
      <c r="W1385" s="445"/>
      <c r="X1385" s="93"/>
      <c r="Y1385" s="93"/>
      <c r="Z1385" s="451"/>
      <c r="AA1385" s="455"/>
      <c r="AB1385" s="455"/>
      <c r="AC1385" s="455"/>
      <c r="AD1385" s="455"/>
      <c r="AE1385" s="455"/>
      <c r="AF1385" s="455"/>
      <c r="AG1385" s="663"/>
      <c r="AH1385" s="448"/>
      <c r="AI1385" s="455"/>
      <c r="AJ1385" s="455"/>
      <c r="AK1385" s="455"/>
      <c r="AL1385" s="455"/>
      <c r="AM1385" s="438"/>
      <c r="AN1385" s="93"/>
      <c r="AO1385" s="93"/>
      <c r="AP1385" s="438"/>
      <c r="AQ1385" s="448"/>
      <c r="AR1385" s="448"/>
      <c r="AS1385" s="448"/>
      <c r="AT1385" s="448"/>
      <c r="AU1385" s="448"/>
      <c r="AV1385" s="448"/>
      <c r="AW1385" s="448"/>
      <c r="AX1385" s="448"/>
      <c r="AY1385" s="455"/>
      <c r="AZ1385" s="455"/>
      <c r="BA1385" s="455"/>
      <c r="BB1385" s="455"/>
      <c r="BC1385" s="438"/>
      <c r="BD1385" s="93"/>
      <c r="BE1385" s="93"/>
      <c r="BF1385" s="438"/>
      <c r="BG1385" s="448"/>
      <c r="BH1385" s="448"/>
      <c r="BI1385" s="448"/>
      <c r="BJ1385" s="448"/>
      <c r="BK1385" s="448"/>
      <c r="BL1385" s="664"/>
      <c r="BM1385" s="540"/>
      <c r="BN1385" s="170"/>
      <c r="BO1385" s="170"/>
      <c r="BP1385" s="170"/>
      <c r="BQ1385" s="170"/>
      <c r="BR1385" s="170"/>
      <c r="BS1385" s="170"/>
      <c r="BT1385" s="170"/>
      <c r="BU1385" s="170"/>
      <c r="BV1385" s="170"/>
      <c r="BW1385" s="170"/>
      <c r="BX1385" s="169"/>
      <c r="BY1385" s="169"/>
      <c r="BZ1385" s="169"/>
      <c r="CA1385" s="169"/>
      <c r="CB1385" s="156"/>
      <c r="CC1385" s="162"/>
      <c r="CD1385" s="170"/>
      <c r="CE1385" s="170"/>
      <c r="CF1385" s="170"/>
      <c r="CG1385" s="170"/>
      <c r="CH1385" s="170"/>
      <c r="CI1385" s="170"/>
      <c r="CJ1385" s="172"/>
      <c r="CK1385" s="172"/>
      <c r="CL1385" s="172"/>
      <c r="CM1385" s="172"/>
      <c r="CN1385" s="170"/>
      <c r="CO1385" s="169"/>
      <c r="CP1385" s="169"/>
      <c r="CQ1385" s="169"/>
      <c r="CR1385" s="170"/>
      <c r="CS1385" s="170"/>
    </row>
    <row r="1386" spans="1:98">
      <c r="A1386" s="665"/>
      <c r="B1386" s="461"/>
      <c r="C1386" s="461"/>
      <c r="D1386" s="461"/>
      <c r="E1386" s="461"/>
      <c r="F1386" s="461"/>
      <c r="G1386" s="445"/>
      <c r="H1386" s="93"/>
      <c r="I1386" s="93"/>
      <c r="J1386" s="451"/>
      <c r="K1386" s="455"/>
      <c r="L1386" s="455"/>
      <c r="M1386" s="455"/>
      <c r="N1386" s="455"/>
      <c r="O1386" s="455"/>
      <c r="P1386" s="455"/>
      <c r="Q1386" s="461"/>
      <c r="R1386" s="461"/>
      <c r="S1386" s="461"/>
      <c r="T1386" s="461"/>
      <c r="U1386" s="461"/>
      <c r="V1386" s="461"/>
      <c r="W1386" s="445"/>
      <c r="X1386" s="93"/>
      <c r="Y1386" s="93"/>
      <c r="Z1386" s="451"/>
      <c r="AA1386" s="455"/>
      <c r="AB1386" s="455"/>
      <c r="AC1386" s="455"/>
      <c r="AD1386" s="455"/>
      <c r="AE1386" s="455"/>
      <c r="AF1386" s="455"/>
      <c r="AG1386" s="661"/>
      <c r="AH1386" s="455"/>
      <c r="AI1386" s="455"/>
      <c r="AJ1386" s="455"/>
      <c r="AK1386" s="455"/>
      <c r="AL1386" s="455"/>
      <c r="AM1386" s="438"/>
      <c r="AN1386" s="93"/>
      <c r="AO1386" s="93"/>
      <c r="AP1386" s="438"/>
      <c r="AQ1386" s="448"/>
      <c r="AR1386" s="448"/>
      <c r="AS1386" s="448"/>
      <c r="AT1386" s="448"/>
      <c r="AU1386" s="448"/>
      <c r="AV1386" s="448"/>
      <c r="AW1386" s="455"/>
      <c r="AX1386" s="455"/>
      <c r="AY1386" s="455"/>
      <c r="AZ1386" s="455"/>
      <c r="BA1386" s="455"/>
      <c r="BB1386" s="455"/>
      <c r="BC1386" s="438"/>
      <c r="BD1386" s="93"/>
      <c r="BE1386" s="93"/>
      <c r="BF1386" s="438"/>
      <c r="BG1386" s="448"/>
      <c r="BH1386" s="448"/>
      <c r="BI1386" s="448"/>
      <c r="BJ1386" s="448"/>
      <c r="BK1386" s="448"/>
      <c r="BL1386" s="664"/>
      <c r="BM1386" s="540"/>
      <c r="BN1386" s="170"/>
      <c r="BO1386" s="170"/>
      <c r="BP1386" s="170"/>
      <c r="BQ1386" s="170"/>
      <c r="BR1386" s="170"/>
      <c r="BS1386" s="170"/>
      <c r="BT1386" s="170"/>
      <c r="BU1386" s="170"/>
      <c r="BV1386" s="169"/>
      <c r="BW1386" s="169"/>
      <c r="BX1386" s="169"/>
      <c r="BY1386" s="169"/>
      <c r="BZ1386" s="169"/>
      <c r="CA1386" s="169"/>
      <c r="CB1386" s="156"/>
      <c r="CC1386" s="162"/>
      <c r="CD1386" s="170"/>
      <c r="CE1386" s="170"/>
      <c r="CF1386" s="170"/>
      <c r="CG1386" s="170"/>
      <c r="CH1386" s="170"/>
      <c r="CI1386" s="170"/>
      <c r="CJ1386" s="174"/>
      <c r="CK1386" s="172"/>
      <c r="CL1386" s="172"/>
      <c r="CM1386" s="174"/>
      <c r="CN1386" s="170"/>
      <c r="CO1386" s="169"/>
      <c r="CP1386" s="169"/>
      <c r="CQ1386" s="169"/>
      <c r="CR1386" s="170"/>
      <c r="CS1386" s="170"/>
    </row>
    <row r="1387" spans="1:98">
      <c r="A1387" s="665"/>
      <c r="B1387" s="461"/>
      <c r="C1387" s="461"/>
      <c r="D1387" s="461"/>
      <c r="E1387" s="461"/>
      <c r="F1387" s="461"/>
      <c r="G1387" s="445"/>
      <c r="H1387" s="93"/>
      <c r="I1387" s="93"/>
      <c r="J1387" s="451"/>
      <c r="K1387" s="455"/>
      <c r="L1387" s="455"/>
      <c r="M1387" s="455"/>
      <c r="N1387" s="455"/>
      <c r="O1387" s="461"/>
      <c r="P1387" s="461"/>
      <c r="Q1387" s="461"/>
      <c r="R1387" s="461"/>
      <c r="S1387" s="461"/>
      <c r="T1387" s="461"/>
      <c r="U1387" s="461"/>
      <c r="V1387" s="461"/>
      <c r="W1387" s="445"/>
      <c r="X1387" s="93"/>
      <c r="Y1387" s="93"/>
      <c r="Z1387" s="451"/>
      <c r="AA1387" s="455"/>
      <c r="AB1387" s="455"/>
      <c r="AC1387" s="455"/>
      <c r="AD1387" s="455"/>
      <c r="AE1387" s="461"/>
      <c r="AF1387" s="461"/>
      <c r="AG1387" s="661"/>
      <c r="AH1387" s="455"/>
      <c r="AI1387" s="455"/>
      <c r="AJ1387" s="455"/>
      <c r="AK1387" s="455"/>
      <c r="AL1387" s="461"/>
      <c r="AM1387" s="438"/>
      <c r="AN1387" s="93"/>
      <c r="AO1387" s="93"/>
      <c r="AP1387" s="438"/>
      <c r="AQ1387" s="448"/>
      <c r="AR1387" s="448"/>
      <c r="AS1387" s="448"/>
      <c r="AT1387" s="448"/>
      <c r="AU1387" s="455"/>
      <c r="AV1387" s="455"/>
      <c r="AW1387" s="455"/>
      <c r="AX1387" s="455"/>
      <c r="AY1387" s="455"/>
      <c r="AZ1387" s="455"/>
      <c r="BA1387" s="455"/>
      <c r="BB1387" s="461"/>
      <c r="BC1387" s="438"/>
      <c r="BD1387" s="93"/>
      <c r="BE1387" s="93"/>
      <c r="BF1387" s="438"/>
      <c r="BG1387" s="448"/>
      <c r="BH1387" s="448"/>
      <c r="BI1387" s="448"/>
      <c r="BJ1387" s="448"/>
      <c r="BK1387" s="455"/>
      <c r="BL1387" s="662"/>
      <c r="BM1387" s="540"/>
      <c r="BN1387" s="170"/>
      <c r="BO1387" s="170"/>
      <c r="BP1387" s="170"/>
      <c r="BQ1387" s="170"/>
      <c r="BR1387" s="170"/>
      <c r="BS1387" s="170"/>
      <c r="BT1387" s="169"/>
      <c r="BU1387" s="169"/>
      <c r="BV1387" s="169"/>
      <c r="BW1387" s="169"/>
      <c r="BX1387" s="169"/>
      <c r="BY1387" s="169"/>
      <c r="BZ1387" s="169"/>
      <c r="CA1387" s="169"/>
      <c r="CB1387" s="156"/>
      <c r="CC1387" s="162"/>
      <c r="CD1387" s="170"/>
      <c r="CE1387" s="170"/>
      <c r="CF1387" s="170"/>
      <c r="CG1387" s="170"/>
      <c r="CH1387" s="170"/>
      <c r="CI1387" s="170"/>
      <c r="CJ1387" s="172"/>
      <c r="CK1387" s="172"/>
      <c r="CL1387" s="172"/>
      <c r="CM1387" s="172"/>
      <c r="CN1387" s="169"/>
      <c r="CO1387" s="169"/>
      <c r="CP1387" s="169"/>
      <c r="CQ1387" s="169"/>
      <c r="CR1387" s="169"/>
      <c r="CS1387" s="169"/>
    </row>
    <row r="1388" spans="1:98">
      <c r="A1388" s="665"/>
      <c r="B1388" s="461"/>
      <c r="C1388" s="461"/>
      <c r="D1388" s="461"/>
      <c r="E1388" s="461"/>
      <c r="F1388" s="461"/>
      <c r="G1388" s="451"/>
      <c r="H1388" s="93"/>
      <c r="I1388" s="93"/>
      <c r="J1388" s="451"/>
      <c r="K1388" s="455"/>
      <c r="L1388" s="455"/>
      <c r="M1388" s="455"/>
      <c r="N1388" s="461"/>
      <c r="O1388" s="461"/>
      <c r="P1388" s="461"/>
      <c r="Q1388" s="461"/>
      <c r="R1388" s="461"/>
      <c r="S1388" s="461"/>
      <c r="T1388" s="461"/>
      <c r="U1388" s="461"/>
      <c r="V1388" s="461"/>
      <c r="W1388" s="451"/>
      <c r="X1388" s="93"/>
      <c r="Y1388" s="93"/>
      <c r="Z1388" s="451"/>
      <c r="AA1388" s="455"/>
      <c r="AB1388" s="455"/>
      <c r="AC1388" s="455"/>
      <c r="AD1388" s="461"/>
      <c r="AE1388" s="461"/>
      <c r="AF1388" s="461"/>
      <c r="AG1388" s="661"/>
      <c r="AH1388" s="455"/>
      <c r="AI1388" s="455"/>
      <c r="AJ1388" s="461"/>
      <c r="AK1388" s="461"/>
      <c r="AL1388" s="461"/>
      <c r="AM1388" s="438"/>
      <c r="AN1388" s="93"/>
      <c r="AO1388" s="93"/>
      <c r="AP1388" s="438"/>
      <c r="AQ1388" s="448"/>
      <c r="AR1388" s="448"/>
      <c r="AS1388" s="448"/>
      <c r="AT1388" s="455"/>
      <c r="AU1388" s="455"/>
      <c r="AV1388" s="455"/>
      <c r="AW1388" s="455"/>
      <c r="AX1388" s="455"/>
      <c r="AY1388" s="455"/>
      <c r="AZ1388" s="461"/>
      <c r="BA1388" s="461"/>
      <c r="BB1388" s="461"/>
      <c r="BC1388" s="438"/>
      <c r="BD1388" s="93"/>
      <c r="BE1388" s="93"/>
      <c r="BF1388" s="438"/>
      <c r="BG1388" s="448"/>
      <c r="BH1388" s="448"/>
      <c r="BI1388" s="448"/>
      <c r="BJ1388" s="455"/>
      <c r="BK1388" s="455"/>
      <c r="BL1388" s="662"/>
      <c r="BM1388" s="540"/>
      <c r="BN1388" s="170"/>
      <c r="BO1388" s="170"/>
      <c r="BP1388" s="170"/>
      <c r="BQ1388" s="170"/>
      <c r="BR1388" s="170"/>
      <c r="BS1388" s="169"/>
      <c r="BT1388" s="169"/>
      <c r="BU1388" s="169"/>
      <c r="BV1388" s="169"/>
      <c r="BW1388" s="169"/>
      <c r="BX1388" s="169"/>
      <c r="BY1388" s="169"/>
      <c r="BZ1388" s="169"/>
      <c r="CA1388" s="158"/>
      <c r="CB1388" s="159"/>
      <c r="CC1388" s="156"/>
      <c r="CD1388" s="158"/>
      <c r="CE1388" s="170"/>
      <c r="CF1388" s="170"/>
      <c r="CG1388" s="170"/>
      <c r="CH1388" s="170"/>
      <c r="CI1388" s="174"/>
      <c r="CJ1388" s="172"/>
      <c r="CK1388" s="172"/>
      <c r="CL1388" s="172"/>
      <c r="CM1388" s="172"/>
      <c r="CN1388" s="170"/>
      <c r="CO1388" s="169"/>
      <c r="CP1388" s="169"/>
      <c r="CQ1388" s="169"/>
      <c r="CR1388" s="169"/>
      <c r="CS1388" s="169"/>
    </row>
    <row r="1389" spans="1:98">
      <c r="A1389" s="665"/>
      <c r="B1389" s="461"/>
      <c r="C1389" s="461"/>
      <c r="D1389" s="461"/>
      <c r="E1389" s="461"/>
      <c r="F1389" s="461"/>
      <c r="G1389" s="451"/>
      <c r="H1389" s="93"/>
      <c r="I1389" s="93"/>
      <c r="J1389" s="458"/>
      <c r="K1389" s="455"/>
      <c r="L1389" s="455"/>
      <c r="M1389" s="461"/>
      <c r="N1389" s="461"/>
      <c r="O1389" s="461"/>
      <c r="P1389" s="461"/>
      <c r="Q1389" s="461"/>
      <c r="R1389" s="461"/>
      <c r="S1389" s="461"/>
      <c r="T1389" s="461"/>
      <c r="U1389" s="461"/>
      <c r="V1389" s="461"/>
      <c r="W1389" s="451"/>
      <c r="X1389" s="93"/>
      <c r="Y1389" s="93"/>
      <c r="Z1389" s="458"/>
      <c r="AA1389" s="455"/>
      <c r="AB1389" s="455"/>
      <c r="AC1389" s="461"/>
      <c r="AD1389" s="461"/>
      <c r="AE1389" s="461"/>
      <c r="AF1389" s="461"/>
      <c r="AG1389" s="661"/>
      <c r="AH1389" s="461"/>
      <c r="AI1389" s="461"/>
      <c r="AJ1389" s="461"/>
      <c r="AK1389" s="461"/>
      <c r="AL1389" s="461"/>
      <c r="AM1389" s="438"/>
      <c r="AN1389" s="93"/>
      <c r="AO1389" s="93"/>
      <c r="AP1389" s="438"/>
      <c r="AQ1389" s="448"/>
      <c r="AR1389" s="448"/>
      <c r="AS1389" s="455"/>
      <c r="AT1389" s="455"/>
      <c r="AU1389" s="455"/>
      <c r="AV1389" s="455"/>
      <c r="AW1389" s="455"/>
      <c r="AX1389" s="461"/>
      <c r="AY1389" s="461"/>
      <c r="AZ1389" s="461"/>
      <c r="BA1389" s="461"/>
      <c r="BB1389" s="461"/>
      <c r="BC1389" s="438"/>
      <c r="BD1389" s="93"/>
      <c r="BE1389" s="93"/>
      <c r="BF1389" s="438"/>
      <c r="BG1389" s="448"/>
      <c r="BH1389" s="448"/>
      <c r="BI1389" s="455"/>
      <c r="BJ1389" s="455"/>
      <c r="BK1389" s="455"/>
      <c r="BL1389" s="662"/>
      <c r="BM1389" s="540"/>
      <c r="BN1389" s="170"/>
      <c r="BO1389" s="170"/>
      <c r="BP1389" s="170"/>
      <c r="BQ1389" s="170"/>
      <c r="BR1389" s="169"/>
      <c r="BS1389" s="169"/>
      <c r="BT1389" s="169"/>
      <c r="BU1389" s="169"/>
      <c r="BV1389" s="169"/>
      <c r="BW1389" s="169"/>
      <c r="BX1389" s="169"/>
      <c r="BY1389" s="169"/>
      <c r="BZ1389" s="169"/>
      <c r="CA1389" s="156"/>
      <c r="CB1389" s="159"/>
      <c r="CC1389" s="156"/>
      <c r="CD1389" s="158"/>
      <c r="CE1389" s="170"/>
      <c r="CF1389" s="170"/>
      <c r="CG1389" s="170"/>
      <c r="CH1389" s="170"/>
      <c r="CI1389" s="172"/>
      <c r="CJ1389" s="172"/>
      <c r="CK1389" s="172"/>
      <c r="CL1389" s="172"/>
      <c r="CM1389" s="172"/>
      <c r="CN1389" s="172"/>
      <c r="CO1389" s="169"/>
      <c r="CP1389" s="169"/>
      <c r="CQ1389" s="169"/>
      <c r="CR1389" s="169"/>
      <c r="CS1389" s="169"/>
    </row>
    <row r="1390" spans="1:98">
      <c r="A1390" s="665"/>
      <c r="B1390" s="461"/>
      <c r="C1390" s="461"/>
      <c r="D1390" s="461"/>
      <c r="E1390" s="461"/>
      <c r="F1390" s="461"/>
      <c r="G1390" s="451"/>
      <c r="H1390" s="93"/>
      <c r="I1390" s="93"/>
      <c r="J1390" s="458"/>
      <c r="K1390" s="455"/>
      <c r="L1390" s="461"/>
      <c r="M1390" s="461"/>
      <c r="N1390" s="461"/>
      <c r="O1390" s="461"/>
      <c r="P1390" s="461"/>
      <c r="Q1390" s="461"/>
      <c r="R1390" s="461"/>
      <c r="S1390" s="461"/>
      <c r="T1390" s="461"/>
      <c r="U1390" s="461"/>
      <c r="V1390" s="461"/>
      <c r="W1390" s="451"/>
      <c r="X1390" s="93"/>
      <c r="Y1390" s="93"/>
      <c r="Z1390" s="458"/>
      <c r="AA1390" s="455"/>
      <c r="AB1390" s="461"/>
      <c r="AC1390" s="461"/>
      <c r="AD1390" s="461"/>
      <c r="AE1390" s="461"/>
      <c r="AF1390" s="461"/>
      <c r="AG1390" s="665"/>
      <c r="AH1390" s="461"/>
      <c r="AI1390" s="461"/>
      <c r="AJ1390" s="461"/>
      <c r="AK1390" s="461"/>
      <c r="AL1390" s="461"/>
      <c r="AM1390" s="438"/>
      <c r="AN1390" s="93"/>
      <c r="AO1390" s="93"/>
      <c r="AP1390" s="438"/>
      <c r="AQ1390" s="448"/>
      <c r="AR1390" s="455"/>
      <c r="AS1390" s="455"/>
      <c r="AT1390" s="455"/>
      <c r="AU1390" s="455"/>
      <c r="AV1390" s="461"/>
      <c r="AW1390" s="461"/>
      <c r="AX1390" s="461"/>
      <c r="AY1390" s="461"/>
      <c r="AZ1390" s="461"/>
      <c r="BA1390" s="461"/>
      <c r="BB1390" s="461"/>
      <c r="BC1390" s="438"/>
      <c r="BD1390" s="93"/>
      <c r="BE1390" s="93"/>
      <c r="BF1390" s="438"/>
      <c r="BG1390" s="448"/>
      <c r="BH1390" s="455"/>
      <c r="BI1390" s="455"/>
      <c r="BJ1390" s="455"/>
      <c r="BK1390" s="455"/>
      <c r="BL1390" s="666"/>
      <c r="BM1390" s="540"/>
      <c r="BN1390" s="170"/>
      <c r="BO1390" s="170"/>
      <c r="BP1390" s="170"/>
      <c r="BQ1390" s="169"/>
      <c r="BR1390" s="169"/>
      <c r="BS1390" s="169"/>
      <c r="BT1390" s="170"/>
      <c r="BU1390" s="170"/>
      <c r="BV1390" s="170"/>
      <c r="BW1390" s="169"/>
      <c r="BX1390" s="169"/>
      <c r="BY1390" s="169"/>
      <c r="BZ1390" s="169"/>
      <c r="CA1390" s="156"/>
      <c r="CB1390" s="159"/>
      <c r="CC1390" s="156"/>
      <c r="CD1390" s="162"/>
      <c r="CE1390" s="170"/>
      <c r="CF1390" s="170"/>
      <c r="CG1390" s="169"/>
      <c r="CH1390" s="169"/>
      <c r="CI1390" s="170"/>
      <c r="CJ1390" s="172"/>
      <c r="CK1390" s="172"/>
      <c r="CL1390" s="172"/>
      <c r="CM1390" s="172"/>
      <c r="CN1390" s="174"/>
      <c r="CO1390" s="170"/>
      <c r="CP1390" s="169"/>
      <c r="CQ1390" s="169"/>
      <c r="CR1390" s="169"/>
      <c r="CS1390" s="169"/>
    </row>
    <row r="1391" spans="1:98">
      <c r="AG1391" s="665"/>
      <c r="AH1391" s="461"/>
      <c r="AI1391" s="461"/>
      <c r="AJ1391" s="461"/>
      <c r="AK1391" s="461"/>
      <c r="AL1391" s="461"/>
      <c r="AM1391" s="438"/>
      <c r="AN1391" s="93"/>
      <c r="AO1391" s="93"/>
      <c r="AP1391" s="438"/>
      <c r="AQ1391" s="448"/>
      <c r="AR1391" s="455"/>
      <c r="AS1391" s="455"/>
      <c r="AT1391" s="455"/>
      <c r="AU1391" s="461"/>
      <c r="AV1391" s="461"/>
      <c r="AW1391" s="461"/>
      <c r="AX1391" s="461"/>
      <c r="AY1391" s="461"/>
      <c r="AZ1391" s="461"/>
      <c r="BA1391" s="461"/>
      <c r="BB1391" s="461"/>
      <c r="BC1391" s="438"/>
      <c r="BD1391" s="93"/>
      <c r="BE1391" s="93"/>
      <c r="BF1391" s="438"/>
      <c r="BG1391" s="448"/>
      <c r="BH1391" s="455"/>
      <c r="BI1391" s="455"/>
      <c r="BJ1391" s="455"/>
      <c r="BK1391" s="461"/>
      <c r="BL1391" s="666"/>
      <c r="BM1391" s="540"/>
      <c r="BN1391" s="170"/>
      <c r="BO1391" s="170"/>
      <c r="BP1391" s="170"/>
      <c r="BQ1391" s="169"/>
      <c r="BR1391" s="169"/>
      <c r="BS1391" s="170"/>
      <c r="BT1391" s="170"/>
      <c r="BU1391" s="170"/>
      <c r="BV1391" s="170"/>
      <c r="BW1391" s="170"/>
      <c r="BX1391" s="169"/>
      <c r="BY1391" s="169"/>
      <c r="BZ1391" s="169"/>
      <c r="CA1391" s="159"/>
      <c r="CB1391" s="159"/>
      <c r="CC1391" s="156"/>
      <c r="CD1391" s="162"/>
      <c r="CE1391" s="170"/>
      <c r="CF1391" s="170"/>
      <c r="CG1391" s="169"/>
      <c r="CH1391" s="170"/>
      <c r="CI1391" s="172"/>
      <c r="CJ1391" s="172"/>
      <c r="CK1391" s="172"/>
      <c r="CL1391" s="172"/>
      <c r="CM1391" s="172"/>
      <c r="CN1391" s="172"/>
      <c r="CO1391" s="169"/>
      <c r="CP1391" s="169"/>
      <c r="CQ1391" s="169"/>
      <c r="CR1391" s="169"/>
      <c r="CS1391" s="169"/>
      <c r="CT1391">
        <v>14</v>
      </c>
    </row>
    <row r="1392" spans="1:98">
      <c r="AG1392" s="665"/>
      <c r="AH1392" s="461"/>
      <c r="AI1392" s="461"/>
      <c r="AJ1392" s="461"/>
      <c r="AK1392" s="461"/>
      <c r="AL1392" s="461"/>
      <c r="AM1392" s="438"/>
      <c r="AN1392" s="93"/>
      <c r="AO1392" s="93"/>
      <c r="AP1392" s="438"/>
      <c r="AQ1392" s="448"/>
      <c r="AR1392" s="455"/>
      <c r="AS1392" s="455"/>
      <c r="AT1392" s="461"/>
      <c r="AU1392" s="461"/>
      <c r="AV1392" s="461"/>
      <c r="AW1392" s="461"/>
      <c r="AX1392" s="461"/>
      <c r="AY1392" s="461"/>
      <c r="AZ1392" s="461"/>
      <c r="BA1392" s="461"/>
      <c r="BB1392" s="461"/>
      <c r="BC1392" s="438"/>
      <c r="BD1392" s="93"/>
      <c r="BE1392" s="93"/>
      <c r="BF1392" s="438"/>
      <c r="BG1392" s="448"/>
      <c r="BH1392" s="455"/>
      <c r="BI1392" s="455"/>
      <c r="BJ1392" s="461"/>
      <c r="BK1392" s="461"/>
      <c r="BL1392" s="666"/>
      <c r="BM1392" s="540"/>
      <c r="BN1392" s="170"/>
      <c r="BO1392" s="170"/>
      <c r="BP1392" s="170"/>
      <c r="BQ1392" s="169"/>
      <c r="BR1392" s="169"/>
      <c r="BS1392" s="170"/>
      <c r="BT1392" s="170"/>
      <c r="BU1392" s="170"/>
      <c r="BV1392" s="170"/>
      <c r="BW1392" s="170"/>
      <c r="BX1392" s="169"/>
      <c r="BY1392" s="169"/>
      <c r="BZ1392" s="169"/>
      <c r="CA1392" s="159"/>
      <c r="CB1392" s="159"/>
      <c r="CC1392" s="156"/>
      <c r="CD1392" s="162"/>
      <c r="CE1392" s="170"/>
      <c r="CF1392" s="170"/>
      <c r="CG1392" s="169"/>
      <c r="CH1392" s="170"/>
      <c r="CI1392" s="174"/>
      <c r="CJ1392" s="172"/>
      <c r="CK1392" s="172"/>
      <c r="CL1392" s="172"/>
      <c r="CM1392" s="172"/>
      <c r="CN1392" s="172"/>
      <c r="CO1392" s="170"/>
      <c r="CP1392" s="169"/>
      <c r="CQ1392" s="169"/>
      <c r="CR1392" s="169"/>
      <c r="CS1392" s="169"/>
      <c r="CT1392">
        <v>14</v>
      </c>
    </row>
    <row r="1393" spans="1:97">
      <c r="A1393" s="667"/>
      <c r="B1393" s="464"/>
      <c r="C1393" s="464"/>
      <c r="D1393" s="464"/>
      <c r="E1393" s="464"/>
      <c r="F1393" s="464"/>
      <c r="G1393" s="464"/>
      <c r="H1393" s="93"/>
      <c r="I1393" s="93"/>
      <c r="J1393" s="458"/>
      <c r="K1393" s="464"/>
      <c r="L1393" s="464"/>
      <c r="M1393" s="464"/>
      <c r="N1393" s="464"/>
      <c r="O1393" s="464"/>
      <c r="P1393" s="464"/>
      <c r="Q1393" s="464"/>
      <c r="R1393" s="464"/>
      <c r="S1393" s="464"/>
      <c r="T1393" s="464"/>
      <c r="U1393" s="464"/>
      <c r="V1393" s="464"/>
      <c r="W1393" s="464"/>
      <c r="X1393" s="93"/>
      <c r="Y1393" s="93"/>
      <c r="Z1393" s="458"/>
      <c r="AA1393" s="464"/>
      <c r="AB1393" s="464"/>
      <c r="AC1393" s="464"/>
      <c r="AD1393" s="464"/>
      <c r="AE1393" s="464"/>
      <c r="AF1393" s="464"/>
      <c r="AG1393" s="668"/>
      <c r="AH1393" s="445"/>
      <c r="AI1393" s="445"/>
      <c r="AJ1393" s="445"/>
      <c r="AK1393" s="445"/>
      <c r="AL1393" s="445"/>
      <c r="AM1393" s="445"/>
      <c r="AN1393" s="93"/>
      <c r="AO1393" s="93"/>
      <c r="AP1393" s="438"/>
      <c r="AQ1393" s="445"/>
      <c r="AR1393" s="445"/>
      <c r="AS1393" s="445"/>
      <c r="AT1393" s="445"/>
      <c r="AU1393" s="445"/>
      <c r="AV1393" s="445"/>
      <c r="AW1393" s="445"/>
      <c r="AX1393" s="445"/>
      <c r="AY1393" s="445"/>
      <c r="AZ1393" s="445"/>
      <c r="BA1393" s="445"/>
      <c r="BB1393" s="445"/>
      <c r="BC1393" s="445"/>
      <c r="BD1393" s="93"/>
      <c r="BE1393" s="93"/>
      <c r="BF1393" s="438"/>
      <c r="BG1393" s="445"/>
      <c r="BH1393" s="445"/>
      <c r="BI1393" s="445"/>
      <c r="BJ1393" s="445"/>
      <c r="BK1393" s="445"/>
      <c r="BL1393" s="669"/>
      <c r="BM1393" s="540"/>
      <c r="BN1393" s="167"/>
      <c r="BO1393" s="167"/>
      <c r="BP1393" s="157"/>
      <c r="BQ1393" s="169"/>
      <c r="BR1393" s="169"/>
      <c r="BS1393" s="170"/>
      <c r="BT1393" s="170"/>
      <c r="BU1393" s="170"/>
      <c r="BV1393" s="170"/>
      <c r="BW1393" s="170"/>
      <c r="BX1393" s="169"/>
      <c r="BY1393" s="169"/>
      <c r="BZ1393" s="156"/>
      <c r="CA1393" s="159"/>
      <c r="CB1393" s="156"/>
      <c r="CC1393" s="156"/>
      <c r="CD1393" s="162"/>
      <c r="CE1393" s="158"/>
      <c r="CF1393" s="170"/>
      <c r="CG1393" s="170"/>
      <c r="CH1393" s="170"/>
      <c r="CI1393" s="172"/>
      <c r="CJ1393" s="172"/>
      <c r="CK1393" s="172"/>
      <c r="CL1393" s="172"/>
      <c r="CM1393" s="172"/>
      <c r="CN1393" s="172"/>
      <c r="CO1393" s="172"/>
      <c r="CP1393" s="169"/>
      <c r="CQ1393" s="158"/>
      <c r="CR1393" s="158"/>
      <c r="CS1393" s="158"/>
    </row>
    <row r="1394" spans="1:97">
      <c r="A1394" s="699"/>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c r="AF1394" s="93"/>
      <c r="AG1394" s="699"/>
      <c r="AH1394" s="93"/>
      <c r="AI1394" s="93"/>
      <c r="AJ1394" s="93"/>
      <c r="AK1394" s="93"/>
      <c r="AL1394" s="93"/>
      <c r="AM1394" s="93"/>
      <c r="AN1394" s="93"/>
      <c r="AO1394" s="93"/>
      <c r="AP1394" s="93"/>
      <c r="AQ1394" s="93"/>
      <c r="AR1394" s="93"/>
      <c r="AS1394" s="93"/>
      <c r="AT1394" s="93"/>
      <c r="AU1394" s="93"/>
      <c r="AV1394" s="93"/>
      <c r="AW1394" s="93"/>
      <c r="AX1394" s="93"/>
      <c r="AY1394" s="93"/>
      <c r="AZ1394" s="93"/>
      <c r="BA1394" s="93"/>
      <c r="BB1394" s="93"/>
      <c r="BC1394" s="93"/>
      <c r="BD1394" s="93"/>
      <c r="BE1394" s="93"/>
      <c r="BF1394" s="93"/>
      <c r="BG1394" s="93"/>
      <c r="BH1394" s="93"/>
      <c r="BI1394" s="93"/>
      <c r="BJ1394" s="93"/>
      <c r="BK1394" s="93"/>
      <c r="BL1394" s="79"/>
      <c r="BM1394" s="540"/>
      <c r="BN1394" s="159"/>
      <c r="BO1394" s="159"/>
      <c r="BP1394" s="159"/>
      <c r="BQ1394" s="157"/>
      <c r="BR1394" s="157"/>
      <c r="BS1394" s="157"/>
      <c r="BT1394" s="157"/>
      <c r="BU1394" s="157"/>
      <c r="BV1394" s="157"/>
      <c r="BW1394" s="167"/>
      <c r="BX1394" s="167"/>
      <c r="BY1394" s="167"/>
      <c r="BZ1394" s="167"/>
      <c r="CA1394" s="167"/>
      <c r="CB1394" s="159"/>
      <c r="CC1394" s="162"/>
      <c r="CD1394" s="167"/>
      <c r="CE1394" s="167"/>
      <c r="CF1394" s="157"/>
      <c r="CG1394" s="156"/>
      <c r="CH1394" s="156"/>
      <c r="CI1394" s="156"/>
      <c r="CJ1394" s="156"/>
      <c r="CK1394" s="156"/>
      <c r="CL1394" s="156"/>
      <c r="CM1394" s="156"/>
      <c r="CN1394" s="156"/>
      <c r="CO1394" s="156"/>
      <c r="CP1394" s="156"/>
      <c r="CQ1394" s="162"/>
      <c r="CR1394" s="162"/>
      <c r="CS1394" s="162"/>
    </row>
    <row r="1395" spans="1:97">
      <c r="A1395" s="699"/>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c r="AF1395" s="93"/>
      <c r="AG1395" s="699"/>
      <c r="AH1395" s="93"/>
      <c r="AI1395" s="93"/>
      <c r="AJ1395" s="93"/>
      <c r="AK1395" s="93"/>
      <c r="AL1395" s="93"/>
      <c r="AM1395" s="93"/>
      <c r="AN1395" s="93"/>
      <c r="AO1395" s="93"/>
      <c r="AP1395" s="93"/>
      <c r="AQ1395" s="93"/>
      <c r="AR1395" s="93"/>
      <c r="AS1395" s="93"/>
      <c r="AT1395" s="93"/>
      <c r="AU1395" s="93"/>
      <c r="AV1395" s="93"/>
      <c r="AW1395" s="93"/>
      <c r="AX1395" s="93"/>
      <c r="AY1395" s="93"/>
      <c r="AZ1395" s="93"/>
      <c r="BA1395" s="93"/>
      <c r="BB1395" s="93"/>
      <c r="BC1395" s="93"/>
      <c r="BD1395" s="93"/>
      <c r="BE1395" s="93"/>
      <c r="BF1395" s="93"/>
      <c r="BG1395" s="93"/>
      <c r="BH1395" s="93"/>
      <c r="BI1395" s="93"/>
      <c r="BJ1395" s="93"/>
      <c r="BK1395" s="93"/>
      <c r="BL1395" s="79"/>
      <c r="BM1395" s="540"/>
      <c r="BN1395" s="159"/>
      <c r="BO1395" s="159"/>
      <c r="BP1395" s="159"/>
      <c r="BQ1395" s="159"/>
      <c r="BR1395" s="159"/>
      <c r="BS1395" s="159"/>
      <c r="BT1395" s="159"/>
      <c r="BU1395" s="159"/>
      <c r="BV1395" s="159"/>
      <c r="BW1395" s="159"/>
      <c r="BX1395" s="167"/>
      <c r="BY1395" s="167"/>
      <c r="BZ1395" s="167"/>
      <c r="CA1395" s="159"/>
      <c r="CB1395" s="159"/>
      <c r="CC1395" s="156"/>
      <c r="CD1395" s="162"/>
      <c r="CE1395" s="162"/>
      <c r="CF1395" s="162"/>
      <c r="CG1395" s="162"/>
      <c r="CH1395" s="162"/>
      <c r="CI1395" s="162"/>
      <c r="CJ1395" s="162"/>
      <c r="CK1395" s="162"/>
      <c r="CL1395" s="162"/>
      <c r="CM1395" s="162"/>
      <c r="CN1395" s="162"/>
      <c r="CO1395" s="162"/>
      <c r="CP1395" s="162"/>
      <c r="CQ1395" s="162"/>
      <c r="CR1395" s="162"/>
      <c r="CS1395" s="162"/>
    </row>
    <row r="1396" spans="1:97">
      <c r="A1396" s="482"/>
      <c r="B1396" s="431"/>
      <c r="C1396" s="431"/>
      <c r="D1396" s="431"/>
      <c r="E1396" s="431"/>
      <c r="F1396" s="431"/>
      <c r="G1396" s="431"/>
      <c r="H1396" s="431"/>
      <c r="I1396" s="431"/>
      <c r="J1396" s="431"/>
      <c r="K1396" s="431"/>
      <c r="L1396" s="431"/>
      <c r="M1396" s="431"/>
      <c r="N1396" s="431"/>
      <c r="O1396" s="431"/>
      <c r="P1396" s="431"/>
      <c r="Q1396" s="431"/>
      <c r="R1396" s="431"/>
      <c r="S1396" s="431"/>
      <c r="T1396" s="431"/>
      <c r="U1396" s="431"/>
      <c r="V1396" s="431"/>
      <c r="W1396" s="431"/>
      <c r="X1396" s="431"/>
      <c r="Y1396" s="431"/>
      <c r="Z1396" s="431"/>
      <c r="AA1396" s="431"/>
      <c r="AB1396" s="431"/>
      <c r="AC1396" s="431"/>
      <c r="AD1396" s="431"/>
      <c r="AE1396" s="431"/>
      <c r="AF1396" s="431"/>
      <c r="AG1396" s="658"/>
      <c r="AH1396" s="412"/>
      <c r="AI1396" s="412"/>
      <c r="AJ1396" s="412"/>
      <c r="AK1396" s="412"/>
      <c r="AL1396" s="412"/>
      <c r="AM1396" s="412"/>
      <c r="AN1396" s="412"/>
      <c r="AO1396" s="412"/>
      <c r="AP1396" s="412"/>
      <c r="AQ1396" s="412"/>
      <c r="AR1396" s="412"/>
      <c r="AS1396" s="412"/>
      <c r="AT1396" s="412"/>
      <c r="AU1396" s="412"/>
      <c r="AV1396" s="412"/>
      <c r="AW1396" s="412"/>
      <c r="AX1396" s="412"/>
      <c r="AY1396" s="412"/>
      <c r="AZ1396" s="412"/>
      <c r="BA1396" s="412"/>
      <c r="BB1396" s="412"/>
      <c r="BC1396" s="412"/>
      <c r="BD1396" s="412"/>
      <c r="BE1396" s="412"/>
      <c r="BF1396" s="412"/>
      <c r="BG1396" s="412"/>
      <c r="BH1396" s="412"/>
      <c r="BI1396" s="412"/>
      <c r="BJ1396" s="412"/>
      <c r="BK1396" s="412"/>
      <c r="BL1396" s="659"/>
      <c r="BM1396" s="540"/>
      <c r="BN1396" s="162"/>
      <c r="BO1396" s="162"/>
      <c r="BP1396" s="159"/>
      <c r="BQ1396" s="159"/>
      <c r="BR1396" s="159"/>
      <c r="BS1396" s="159"/>
      <c r="BT1396" s="159"/>
      <c r="BU1396" s="167"/>
      <c r="BV1396" s="167"/>
      <c r="BW1396" s="167"/>
      <c r="BX1396" s="167"/>
      <c r="BY1396" s="167"/>
      <c r="BZ1396" s="159"/>
      <c r="CA1396" s="159"/>
      <c r="CB1396" s="159"/>
      <c r="CC1396" s="156"/>
      <c r="CD1396" s="162"/>
      <c r="CE1396" s="162"/>
      <c r="CF1396" s="162"/>
      <c r="CG1396" s="156"/>
      <c r="CH1396" s="156"/>
      <c r="CI1396" s="156"/>
      <c r="CJ1396" s="156"/>
      <c r="CK1396" s="156"/>
      <c r="CL1396" s="156"/>
      <c r="CM1396" s="162"/>
      <c r="CN1396" s="162"/>
      <c r="CO1396" s="162"/>
      <c r="CP1396" s="162"/>
      <c r="CQ1396" s="162"/>
      <c r="CR1396" s="158"/>
      <c r="CS1396" s="158"/>
    </row>
    <row r="1397" spans="1:97">
      <c r="A1397" s="668"/>
      <c r="B1397" s="445"/>
      <c r="C1397" s="445"/>
      <c r="D1397" s="445"/>
      <c r="E1397" s="445"/>
      <c r="F1397" s="445"/>
      <c r="G1397" s="445"/>
      <c r="H1397" s="445"/>
      <c r="I1397" s="445"/>
      <c r="J1397" s="445"/>
      <c r="K1397" s="445"/>
      <c r="L1397" s="445"/>
      <c r="M1397" s="445"/>
      <c r="N1397" s="445"/>
      <c r="O1397" s="445"/>
      <c r="P1397" s="445"/>
      <c r="Q1397" s="445"/>
      <c r="R1397" s="445"/>
      <c r="S1397" s="445"/>
      <c r="T1397" s="445"/>
      <c r="U1397" s="445"/>
      <c r="V1397" s="445"/>
      <c r="W1397" s="445"/>
      <c r="X1397" s="445"/>
      <c r="Y1397" s="445"/>
      <c r="Z1397" s="445"/>
      <c r="AA1397" s="445"/>
      <c r="AB1397" s="445"/>
      <c r="AC1397" s="445"/>
      <c r="AD1397" s="445"/>
      <c r="AE1397" s="445"/>
      <c r="AF1397" s="445"/>
      <c r="AG1397" s="660"/>
      <c r="AH1397" s="438"/>
      <c r="AI1397" s="438"/>
      <c r="AJ1397" s="438"/>
      <c r="AK1397" s="438"/>
      <c r="AL1397" s="438"/>
      <c r="AM1397" s="438"/>
      <c r="AN1397" s="438"/>
      <c r="AO1397" s="438"/>
      <c r="AP1397" s="438"/>
      <c r="AQ1397" s="438"/>
      <c r="AR1397" s="438"/>
      <c r="AS1397" s="438"/>
      <c r="AT1397" s="438"/>
      <c r="AU1397" s="438"/>
      <c r="AV1397" s="438"/>
      <c r="AW1397" s="438"/>
      <c r="AX1397" s="438"/>
      <c r="AY1397" s="438"/>
      <c r="AZ1397" s="438"/>
      <c r="BA1397" s="438"/>
      <c r="BB1397" s="438"/>
      <c r="BC1397" s="438"/>
      <c r="BD1397" s="438"/>
      <c r="BE1397" s="438"/>
      <c r="BF1397" s="438"/>
      <c r="BG1397" s="438"/>
      <c r="BH1397" s="438"/>
      <c r="BI1397" s="438"/>
      <c r="BJ1397" s="438"/>
      <c r="BK1397" s="438"/>
      <c r="BL1397" s="636"/>
      <c r="BM1397" s="540"/>
      <c r="BN1397" s="157"/>
      <c r="BO1397" s="162"/>
      <c r="BP1397" s="162"/>
      <c r="BQ1397" s="162"/>
      <c r="BR1397" s="162"/>
      <c r="BS1397" s="162"/>
      <c r="BT1397" s="159"/>
      <c r="BU1397" s="159"/>
      <c r="BV1397" s="167"/>
      <c r="BW1397" s="167"/>
      <c r="BX1397" s="167"/>
      <c r="BY1397" s="159"/>
      <c r="BZ1397" s="159"/>
      <c r="CA1397" s="159"/>
      <c r="CB1397" s="156"/>
      <c r="CC1397" s="162"/>
      <c r="CD1397" s="162"/>
      <c r="CE1397" s="162"/>
      <c r="CF1397" s="162"/>
      <c r="CG1397" s="162"/>
      <c r="CH1397" s="156"/>
      <c r="CI1397" s="156"/>
      <c r="CJ1397" s="156"/>
      <c r="CK1397" s="156"/>
      <c r="CL1397" s="162"/>
      <c r="CM1397" s="162"/>
      <c r="CN1397" s="158"/>
      <c r="CO1397" s="158"/>
      <c r="CP1397" s="158"/>
      <c r="CQ1397" s="158"/>
      <c r="CR1397" s="158"/>
      <c r="CS1397" s="159"/>
    </row>
    <row r="1398" spans="1:97">
      <c r="A1398" s="699"/>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c r="AF1398" s="93"/>
      <c r="AG1398" s="699"/>
      <c r="AH1398" s="93"/>
      <c r="AI1398" s="93"/>
      <c r="AJ1398" s="93"/>
      <c r="AK1398" s="93"/>
      <c r="AL1398" s="93"/>
      <c r="AM1398" s="93"/>
      <c r="AN1398" s="93"/>
      <c r="AO1398" s="93"/>
      <c r="AP1398" s="93"/>
      <c r="AQ1398" s="93"/>
      <c r="AR1398" s="93"/>
      <c r="AS1398" s="93"/>
      <c r="AT1398" s="93"/>
      <c r="AU1398" s="93"/>
      <c r="AV1398" s="93"/>
      <c r="AW1398" s="93"/>
      <c r="AX1398" s="93"/>
      <c r="AY1398" s="93"/>
      <c r="AZ1398" s="93"/>
      <c r="BA1398" s="93"/>
      <c r="BB1398" s="93"/>
      <c r="BC1398" s="93"/>
      <c r="BD1398" s="93"/>
      <c r="BE1398" s="93"/>
      <c r="BF1398" s="93"/>
      <c r="BG1398" s="93"/>
      <c r="BH1398" s="93"/>
      <c r="BI1398" s="93"/>
      <c r="BJ1398" s="93"/>
      <c r="BK1398" s="93"/>
      <c r="BL1398" s="79"/>
      <c r="BM1398" s="540"/>
      <c r="BN1398" s="162"/>
      <c r="BO1398" s="162"/>
      <c r="BP1398" s="307"/>
      <c r="BQ1398" s="314"/>
      <c r="BR1398" s="161"/>
      <c r="BS1398" s="162"/>
      <c r="BT1398" s="162"/>
      <c r="BU1398" s="159"/>
      <c r="BV1398" s="167"/>
      <c r="BW1398" s="167"/>
      <c r="BX1398" s="167"/>
      <c r="BY1398" s="159"/>
      <c r="BZ1398" s="159"/>
      <c r="CA1398" s="159"/>
      <c r="CB1398" s="159"/>
      <c r="CC1398" s="156"/>
      <c r="CD1398" s="162"/>
      <c r="CE1398" s="162"/>
      <c r="CF1398" s="162"/>
      <c r="CG1398" s="162"/>
      <c r="CH1398" s="162"/>
      <c r="CI1398" s="156"/>
      <c r="CJ1398" s="156"/>
      <c r="CK1398" s="162"/>
      <c r="CL1398" s="162"/>
      <c r="CM1398" s="158"/>
      <c r="CN1398" s="158"/>
      <c r="CO1398" s="307"/>
      <c r="CP1398" s="314"/>
      <c r="CQ1398" s="161"/>
      <c r="CR1398" s="158"/>
      <c r="CS1398" s="158"/>
    </row>
    <row r="1399" spans="1:97">
      <c r="A1399" s="699"/>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c r="AF1399" s="93"/>
      <c r="AG1399" s="699"/>
      <c r="AH1399" s="93"/>
      <c r="AI1399" s="93"/>
      <c r="AJ1399" s="93"/>
      <c r="AK1399" s="93"/>
      <c r="AL1399" s="93"/>
      <c r="AM1399" s="93"/>
      <c r="AN1399" s="93"/>
      <c r="AO1399" s="93"/>
      <c r="AP1399" s="93"/>
      <c r="AQ1399" s="93"/>
      <c r="AR1399" s="93"/>
      <c r="AS1399" s="93"/>
      <c r="AT1399" s="93"/>
      <c r="AU1399" s="93"/>
      <c r="AV1399" s="93"/>
      <c r="AW1399" s="93"/>
      <c r="AX1399" s="93"/>
      <c r="AY1399" s="93"/>
      <c r="AZ1399" s="93"/>
      <c r="BA1399" s="93"/>
      <c r="BB1399" s="93"/>
      <c r="BC1399" s="93"/>
      <c r="BD1399" s="93"/>
      <c r="BE1399" s="93"/>
      <c r="BF1399" s="93"/>
      <c r="BG1399" s="93"/>
      <c r="BH1399" s="93"/>
      <c r="BI1399" s="93"/>
      <c r="BJ1399" s="93"/>
      <c r="BK1399" s="93"/>
      <c r="BL1399" s="79"/>
      <c r="BM1399" s="540"/>
      <c r="BN1399" s="159"/>
      <c r="BO1399" s="307"/>
      <c r="BP1399" s="481"/>
      <c r="BQ1399" s="481"/>
      <c r="BR1399" s="481"/>
      <c r="BS1399" s="161"/>
      <c r="BT1399" s="162"/>
      <c r="BU1399" s="159"/>
      <c r="BV1399" s="167"/>
      <c r="BW1399" s="167"/>
      <c r="BX1399" s="159"/>
      <c r="BY1399" s="159"/>
      <c r="BZ1399" s="159"/>
      <c r="CA1399" s="156"/>
      <c r="CB1399" s="156"/>
      <c r="CC1399" s="162"/>
      <c r="CD1399" s="162"/>
      <c r="CE1399" s="162"/>
      <c r="CF1399" s="162"/>
      <c r="CG1399" s="162"/>
      <c r="CH1399" s="162"/>
      <c r="CI1399" s="156"/>
      <c r="CJ1399" s="156"/>
      <c r="CK1399" s="162"/>
      <c r="CL1399" s="162"/>
      <c r="CM1399" s="158"/>
      <c r="CN1399" s="307"/>
      <c r="CO1399" s="481"/>
      <c r="CP1399" s="481"/>
      <c r="CQ1399" s="481"/>
      <c r="CR1399" s="161"/>
      <c r="CS1399" s="162"/>
    </row>
    <row r="1400" spans="1:97">
      <c r="A1400" s="699"/>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c r="AF1400" s="93"/>
      <c r="AG1400" s="699"/>
      <c r="AH1400" s="93"/>
      <c r="AI1400" s="93"/>
      <c r="AJ1400" s="93"/>
      <c r="AK1400" s="93"/>
      <c r="AL1400" s="93"/>
      <c r="AM1400" s="93"/>
      <c r="AN1400" s="93"/>
      <c r="AO1400" s="93"/>
      <c r="AP1400" s="93"/>
      <c r="AQ1400" s="93"/>
      <c r="AR1400" s="93"/>
      <c r="AS1400" s="93"/>
      <c r="AT1400" s="93"/>
      <c r="AU1400" s="93"/>
      <c r="AV1400" s="93"/>
      <c r="AW1400" s="93"/>
      <c r="AX1400" s="93"/>
      <c r="AY1400" s="93"/>
      <c r="AZ1400" s="93"/>
      <c r="BA1400" s="93"/>
      <c r="BB1400" s="93"/>
      <c r="BC1400" s="93"/>
      <c r="BD1400" s="93"/>
      <c r="BE1400" s="93"/>
      <c r="BF1400" s="93"/>
      <c r="BG1400" s="93"/>
      <c r="BH1400" s="93"/>
      <c r="BI1400" s="93"/>
      <c r="BJ1400" s="93"/>
      <c r="BK1400" s="93"/>
      <c r="BL1400" s="79"/>
      <c r="BM1400" s="540"/>
      <c r="BN1400" s="159"/>
      <c r="BO1400" s="314"/>
      <c r="BP1400" s="481"/>
      <c r="BQ1400" s="307"/>
      <c r="BR1400" s="481"/>
      <c r="BS1400" s="314"/>
      <c r="BT1400" s="162"/>
      <c r="BU1400" s="159"/>
      <c r="BV1400" s="167"/>
      <c r="BW1400" s="159"/>
      <c r="BX1400" s="159"/>
      <c r="BY1400" s="159"/>
      <c r="BZ1400" s="159"/>
      <c r="CA1400" s="159"/>
      <c r="CB1400" s="159"/>
      <c r="CC1400" s="156"/>
      <c r="CD1400" s="156"/>
      <c r="CE1400" s="156"/>
      <c r="CF1400" s="162"/>
      <c r="CG1400" s="162"/>
      <c r="CH1400" s="162"/>
      <c r="CI1400" s="162"/>
      <c r="CJ1400" s="156"/>
      <c r="CK1400" s="162"/>
      <c r="CL1400" s="162"/>
      <c r="CM1400" s="158"/>
      <c r="CN1400" s="314"/>
      <c r="CO1400" s="481"/>
      <c r="CP1400" s="307"/>
      <c r="CQ1400" s="481"/>
      <c r="CR1400" s="314"/>
      <c r="CS1400" s="162"/>
    </row>
    <row r="1401" spans="1:97">
      <c r="A1401" s="482"/>
      <c r="B1401" s="412"/>
      <c r="C1401" s="431"/>
      <c r="D1401" s="412"/>
      <c r="E1401" s="431"/>
      <c r="F1401" s="412"/>
      <c r="G1401" s="431"/>
      <c r="H1401" s="412"/>
      <c r="I1401" s="431"/>
      <c r="J1401" s="412"/>
      <c r="K1401" s="431"/>
      <c r="L1401" s="412"/>
      <c r="M1401" s="431"/>
      <c r="N1401" s="412"/>
      <c r="O1401" s="431"/>
      <c r="P1401" s="412"/>
      <c r="Q1401" s="431"/>
      <c r="R1401" s="412"/>
      <c r="S1401" s="431"/>
      <c r="T1401" s="412"/>
      <c r="U1401" s="431"/>
      <c r="V1401" s="412"/>
      <c r="W1401" s="431"/>
      <c r="X1401" s="412"/>
      <c r="Y1401" s="431"/>
      <c r="Z1401" s="412"/>
      <c r="AA1401" s="431"/>
      <c r="AB1401" s="412"/>
      <c r="AC1401" s="431"/>
      <c r="AD1401" s="412"/>
      <c r="AE1401" s="431"/>
      <c r="AF1401" s="412"/>
      <c r="AG1401" s="699"/>
      <c r="AH1401" s="412"/>
      <c r="AI1401" s="93"/>
      <c r="AJ1401" s="412"/>
      <c r="AK1401" s="93"/>
      <c r="AL1401" s="412"/>
      <c r="AM1401" s="93"/>
      <c r="AN1401" s="412"/>
      <c r="AO1401" s="93"/>
      <c r="AP1401" s="412"/>
      <c r="AQ1401" s="93"/>
      <c r="AR1401" s="412"/>
      <c r="AS1401" s="93"/>
      <c r="AT1401" s="412"/>
      <c r="AU1401" s="93"/>
      <c r="AV1401" s="412"/>
      <c r="AW1401" s="93"/>
      <c r="AX1401" s="412"/>
      <c r="AY1401" s="93"/>
      <c r="AZ1401" s="412"/>
      <c r="BA1401" s="93"/>
      <c r="BB1401" s="412"/>
      <c r="BC1401" s="93"/>
      <c r="BD1401" s="412"/>
      <c r="BE1401" s="93"/>
      <c r="BF1401" s="412"/>
      <c r="BG1401" s="93"/>
      <c r="BH1401" s="412"/>
      <c r="BI1401" s="93"/>
      <c r="BJ1401" s="412"/>
      <c r="BK1401" s="93"/>
      <c r="BL1401" s="659"/>
      <c r="BM1401" s="540"/>
      <c r="BN1401" s="159"/>
      <c r="BO1401" s="307"/>
      <c r="BP1401" s="481"/>
      <c r="BQ1401" s="481"/>
      <c r="BR1401" s="481"/>
      <c r="BS1401" s="161"/>
      <c r="BT1401" s="162"/>
      <c r="BU1401" s="159"/>
      <c r="BV1401" s="159"/>
      <c r="BW1401" s="159"/>
      <c r="BX1401" s="159"/>
      <c r="BY1401" s="156"/>
      <c r="BZ1401" s="156"/>
      <c r="CA1401" s="156"/>
      <c r="CB1401" s="156"/>
      <c r="CC1401" s="162"/>
      <c r="CD1401" s="162"/>
      <c r="CE1401" s="162"/>
      <c r="CF1401" s="162"/>
      <c r="CG1401" s="162"/>
      <c r="CH1401" s="162"/>
      <c r="CI1401" s="162"/>
      <c r="CJ1401" s="162"/>
      <c r="CK1401" s="162"/>
      <c r="CL1401" s="162"/>
      <c r="CM1401" s="158"/>
      <c r="CN1401" s="307"/>
      <c r="CO1401" s="481"/>
      <c r="CP1401" s="481"/>
      <c r="CQ1401" s="481"/>
      <c r="CR1401" s="161"/>
      <c r="CS1401" s="162"/>
    </row>
    <row r="1402" spans="1:97">
      <c r="A1402" s="658"/>
      <c r="B1402" s="412"/>
      <c r="C1402" s="412"/>
      <c r="D1402" s="431"/>
      <c r="E1402" s="412"/>
      <c r="F1402" s="431"/>
      <c r="G1402" s="412"/>
      <c r="H1402" s="431"/>
      <c r="I1402" s="412"/>
      <c r="J1402" s="431"/>
      <c r="K1402" s="412"/>
      <c r="L1402" s="412"/>
      <c r="M1402" s="412"/>
      <c r="N1402" s="412"/>
      <c r="O1402" s="412"/>
      <c r="P1402" s="412"/>
      <c r="Q1402" s="412"/>
      <c r="R1402" s="412"/>
      <c r="S1402" s="412"/>
      <c r="T1402" s="412"/>
      <c r="U1402" s="412"/>
      <c r="V1402" s="412"/>
      <c r="W1402" s="412"/>
      <c r="X1402" s="412"/>
      <c r="Y1402" s="412"/>
      <c r="Z1402" s="412"/>
      <c r="AA1402" s="412"/>
      <c r="AB1402" s="412"/>
      <c r="AC1402" s="412"/>
      <c r="AD1402" s="412"/>
      <c r="AE1402" s="412"/>
      <c r="AF1402" s="412"/>
      <c r="AG1402" s="658"/>
      <c r="AH1402" s="412"/>
      <c r="AI1402" s="412"/>
      <c r="AJ1402" s="412"/>
      <c r="AK1402" s="412"/>
      <c r="AL1402" s="412"/>
      <c r="AM1402" s="412"/>
      <c r="AN1402" s="412"/>
      <c r="AO1402" s="412"/>
      <c r="AP1402" s="412"/>
      <c r="AQ1402" s="412"/>
      <c r="AR1402" s="412"/>
      <c r="AS1402" s="412"/>
      <c r="AT1402" s="412"/>
      <c r="AU1402" s="412"/>
      <c r="AV1402" s="412"/>
      <c r="AW1402" s="412"/>
      <c r="AX1402" s="412"/>
      <c r="AY1402" s="412"/>
      <c r="AZ1402" s="412"/>
      <c r="BA1402" s="412"/>
      <c r="BB1402" s="412"/>
      <c r="BC1402" s="412"/>
      <c r="BD1402" s="412"/>
      <c r="BE1402" s="412"/>
      <c r="BF1402" s="412"/>
      <c r="BG1402" s="412"/>
      <c r="BH1402" s="412"/>
      <c r="BI1402" s="412"/>
      <c r="BJ1402" s="412"/>
      <c r="BK1402" s="412"/>
      <c r="BL1402" s="659"/>
      <c r="BM1402" s="540"/>
      <c r="BN1402" s="162"/>
      <c r="BO1402" s="162"/>
      <c r="BP1402" s="307"/>
      <c r="BQ1402" s="314"/>
      <c r="BR1402" s="161"/>
      <c r="BS1402" s="162"/>
      <c r="BT1402" s="162"/>
      <c r="BU1402" s="159"/>
      <c r="BV1402" s="307"/>
      <c r="BW1402" s="297"/>
      <c r="BX1402" s="159"/>
      <c r="BY1402" s="159"/>
      <c r="BZ1402" s="159"/>
      <c r="CA1402" s="159"/>
      <c r="CB1402" s="159"/>
      <c r="CC1402" s="156"/>
      <c r="CD1402" s="156"/>
      <c r="CE1402" s="156"/>
      <c r="CF1402" s="156"/>
      <c r="CG1402" s="156"/>
      <c r="CH1402" s="162"/>
      <c r="CI1402" s="162"/>
      <c r="CJ1402" s="307"/>
      <c r="CK1402" s="293"/>
      <c r="CL1402" s="162"/>
      <c r="CM1402" s="158"/>
      <c r="CN1402" s="158"/>
      <c r="CO1402" s="307"/>
      <c r="CP1402" s="314"/>
      <c r="CQ1402" s="161"/>
      <c r="CR1402" s="158"/>
      <c r="CS1402" s="158"/>
    </row>
    <row r="1403" spans="1:97">
      <c r="A1403" s="670"/>
      <c r="B1403" s="421"/>
      <c r="C1403" s="412"/>
      <c r="D1403" s="421"/>
      <c r="E1403" s="421"/>
      <c r="F1403" s="412"/>
      <c r="G1403" s="421"/>
      <c r="H1403" s="421"/>
      <c r="I1403" s="412"/>
      <c r="J1403" s="421"/>
      <c r="K1403" s="421"/>
      <c r="L1403" s="412"/>
      <c r="M1403" s="421"/>
      <c r="N1403" s="421"/>
      <c r="O1403" s="412"/>
      <c r="P1403" s="421"/>
      <c r="Q1403" s="421"/>
      <c r="R1403" s="412"/>
      <c r="S1403" s="421"/>
      <c r="T1403" s="421"/>
      <c r="U1403" s="412"/>
      <c r="V1403" s="421"/>
      <c r="W1403" s="421"/>
      <c r="X1403" s="412"/>
      <c r="Y1403" s="421"/>
      <c r="Z1403" s="421"/>
      <c r="AA1403" s="412"/>
      <c r="AB1403" s="421"/>
      <c r="AC1403" s="421"/>
      <c r="AD1403" s="412"/>
      <c r="AE1403" s="421"/>
      <c r="AF1403" s="421"/>
      <c r="AG1403" s="670"/>
      <c r="AH1403" s="421"/>
      <c r="AI1403" s="412"/>
      <c r="AJ1403" s="421"/>
      <c r="AK1403" s="421"/>
      <c r="AL1403" s="412"/>
      <c r="AM1403" s="421"/>
      <c r="AN1403" s="421"/>
      <c r="AO1403" s="412"/>
      <c r="AP1403" s="421"/>
      <c r="AQ1403" s="421"/>
      <c r="AR1403" s="412"/>
      <c r="AS1403" s="421"/>
      <c r="AT1403" s="421"/>
      <c r="AU1403" s="412"/>
      <c r="AV1403" s="421"/>
      <c r="AW1403" s="421"/>
      <c r="AX1403" s="412"/>
      <c r="AY1403" s="421"/>
      <c r="AZ1403" s="421"/>
      <c r="BA1403" s="412"/>
      <c r="BB1403" s="421"/>
      <c r="BC1403" s="421"/>
      <c r="BD1403" s="412"/>
      <c r="BE1403" s="421"/>
      <c r="BF1403" s="421"/>
      <c r="BG1403" s="412"/>
      <c r="BH1403" s="421"/>
      <c r="BI1403" s="421"/>
      <c r="BJ1403" s="412"/>
      <c r="BK1403" s="421"/>
      <c r="BL1403" s="671"/>
      <c r="BM1403" s="540"/>
      <c r="BN1403" s="158"/>
      <c r="BO1403" s="162"/>
      <c r="BP1403" s="158"/>
      <c r="BQ1403" s="158"/>
      <c r="BR1403" s="158"/>
      <c r="BS1403" s="162"/>
      <c r="BT1403" s="159"/>
      <c r="BU1403" s="159"/>
      <c r="BV1403" s="307"/>
      <c r="BW1403" s="297"/>
      <c r="BX1403" s="156"/>
      <c r="BY1403" s="156"/>
      <c r="BZ1403" s="156"/>
      <c r="CA1403" s="156"/>
      <c r="CB1403" s="156"/>
      <c r="CC1403" s="162"/>
      <c r="CD1403" s="162"/>
      <c r="CE1403" s="162"/>
      <c r="CF1403" s="162"/>
      <c r="CG1403" s="162"/>
      <c r="CH1403" s="162"/>
      <c r="CI1403" s="162"/>
      <c r="CJ1403" s="189"/>
      <c r="CK1403" s="161"/>
      <c r="CL1403" s="162"/>
      <c r="CM1403" s="162"/>
      <c r="CN1403" s="158"/>
      <c r="CO1403" s="158"/>
      <c r="CP1403" s="158"/>
      <c r="CQ1403" s="158"/>
      <c r="CR1403" s="158"/>
      <c r="CS1403" s="163"/>
    </row>
    <row r="1404" spans="1:97">
      <c r="A1404" s="670"/>
      <c r="B1404" s="421"/>
      <c r="C1404" s="421"/>
      <c r="D1404" s="421"/>
      <c r="E1404" s="421"/>
      <c r="F1404" s="421"/>
      <c r="G1404" s="421"/>
      <c r="H1404" s="421"/>
      <c r="I1404" s="421"/>
      <c r="J1404" s="421"/>
      <c r="K1404" s="421"/>
      <c r="L1404" s="421"/>
      <c r="M1404" s="421"/>
      <c r="N1404" s="421"/>
      <c r="O1404" s="421"/>
      <c r="P1404" s="421"/>
      <c r="Q1404" s="421"/>
      <c r="R1404" s="421"/>
      <c r="S1404" s="421"/>
      <c r="T1404" s="421"/>
      <c r="U1404" s="421"/>
      <c r="V1404" s="421"/>
      <c r="W1404" s="421"/>
      <c r="X1404" s="421"/>
      <c r="Y1404" s="421"/>
      <c r="Z1404" s="421"/>
      <c r="AA1404" s="421"/>
      <c r="AB1404" s="421"/>
      <c r="AC1404" s="421"/>
      <c r="AD1404" s="421"/>
      <c r="AE1404" s="421"/>
      <c r="AF1404" s="421"/>
      <c r="AG1404" s="292"/>
      <c r="AH1404" s="292"/>
      <c r="AI1404" s="292"/>
      <c r="AJ1404" s="292"/>
      <c r="AK1404" s="292"/>
      <c r="AL1404" s="292"/>
      <c r="AM1404" s="292"/>
      <c r="AN1404" s="292"/>
      <c r="AO1404" s="292"/>
      <c r="AP1404" s="292"/>
      <c r="AQ1404" s="292"/>
      <c r="AR1404" s="292"/>
      <c r="AS1404" s="292"/>
      <c r="AT1404" s="292"/>
      <c r="AU1404" s="292"/>
      <c r="AV1404" s="292"/>
      <c r="AW1404" s="292"/>
      <c r="AX1404" s="292"/>
      <c r="AY1404" s="292"/>
      <c r="AZ1404" s="292"/>
      <c r="BA1404" s="292"/>
      <c r="BB1404" s="292"/>
      <c r="BC1404" s="292"/>
      <c r="BD1404" s="292"/>
      <c r="BE1404" s="292"/>
      <c r="BF1404" s="292"/>
      <c r="BG1404" s="292"/>
      <c r="BH1404" s="292"/>
      <c r="BI1404" s="292"/>
      <c r="BJ1404" s="292"/>
      <c r="BK1404" s="292"/>
      <c r="BL1404" s="292"/>
      <c r="BM1404" s="540"/>
      <c r="BN1404" s="161"/>
      <c r="BO1404" s="301"/>
      <c r="BP1404" s="189"/>
      <c r="BQ1404" s="307"/>
      <c r="BR1404" s="307"/>
      <c r="BS1404" s="307"/>
      <c r="BT1404" s="189"/>
      <c r="BU1404" s="189"/>
      <c r="BV1404" s="307"/>
      <c r="BW1404" s="301"/>
      <c r="BX1404" s="189"/>
      <c r="BY1404" s="189"/>
      <c r="BZ1404" s="189"/>
      <c r="CA1404" s="189"/>
      <c r="CB1404" s="301"/>
      <c r="CC1404" s="301"/>
      <c r="CD1404" s="301"/>
      <c r="CE1404" s="297"/>
      <c r="CF1404" s="297"/>
      <c r="CG1404" s="297"/>
      <c r="CH1404" s="293"/>
      <c r="CI1404" s="293"/>
      <c r="CJ1404" s="297"/>
      <c r="CK1404" s="206"/>
      <c r="CL1404" s="206"/>
      <c r="CM1404" s="293"/>
      <c r="CN1404" s="293"/>
      <c r="CO1404" s="297"/>
      <c r="CP1404" s="297"/>
      <c r="CQ1404" s="293"/>
      <c r="CR1404" s="206"/>
      <c r="CS1404" s="206"/>
    </row>
    <row r="1405" spans="1:97">
      <c r="A1405" s="413"/>
      <c r="B1405" s="206"/>
      <c r="C1405" s="432"/>
      <c r="D1405" s="439"/>
      <c r="E1405" s="206"/>
      <c r="F1405" s="432"/>
      <c r="G1405" s="293"/>
      <c r="H1405" s="206"/>
      <c r="I1405" s="672"/>
      <c r="J1405" s="672"/>
      <c r="K1405" s="672"/>
      <c r="L1405" s="672"/>
      <c r="M1405" s="672"/>
      <c r="N1405" s="672"/>
      <c r="O1405" s="672"/>
      <c r="P1405" s="672"/>
      <c r="Q1405" s="672"/>
      <c r="R1405" s="672"/>
      <c r="S1405" s="672"/>
      <c r="T1405" s="672"/>
      <c r="U1405" s="672"/>
      <c r="V1405" s="672"/>
      <c r="W1405" s="672"/>
      <c r="X1405" s="672"/>
      <c r="Y1405" s="206"/>
      <c r="Z1405" s="432"/>
      <c r="AA1405" s="439"/>
      <c r="AB1405" s="206"/>
      <c r="AC1405" s="432"/>
      <c r="AD1405" s="432"/>
      <c r="AE1405" s="206"/>
      <c r="AF1405" s="413"/>
      <c r="AG1405" s="413"/>
      <c r="AH1405" s="206"/>
      <c r="AI1405" s="432"/>
      <c r="AJ1405" s="432"/>
      <c r="AK1405" s="206"/>
      <c r="AL1405" s="432"/>
      <c r="AM1405" s="293"/>
      <c r="AN1405" s="206"/>
      <c r="AO1405" s="672"/>
      <c r="AP1405" s="672"/>
      <c r="AQ1405" s="672"/>
      <c r="AR1405" s="672"/>
      <c r="AS1405" s="672"/>
      <c r="AT1405" s="672"/>
      <c r="AU1405" s="672"/>
      <c r="AV1405" s="672"/>
      <c r="AW1405" s="672"/>
      <c r="AX1405" s="672"/>
      <c r="AY1405" s="672"/>
      <c r="AZ1405" s="672"/>
      <c r="BA1405" s="672"/>
      <c r="BB1405" s="672"/>
      <c r="BC1405" s="672"/>
      <c r="BD1405" s="672"/>
      <c r="BE1405" s="206"/>
      <c r="BF1405" s="432"/>
      <c r="BG1405" s="432"/>
      <c r="BH1405" s="206"/>
      <c r="BI1405" s="432"/>
      <c r="BJ1405" s="432"/>
      <c r="BK1405" s="206"/>
      <c r="BL1405" s="413"/>
      <c r="BM1405" s="540"/>
      <c r="BN1405" s="205"/>
      <c r="BO1405" s="297"/>
      <c r="BP1405" s="301"/>
      <c r="BQ1405" s="189"/>
      <c r="BR1405" s="307"/>
      <c r="BS1405" s="307"/>
      <c r="BT1405" s="307"/>
      <c r="BU1405" s="189"/>
      <c r="BV1405" s="307"/>
      <c r="BW1405" s="297"/>
      <c r="BX1405" s="189"/>
      <c r="BY1405" s="189"/>
      <c r="BZ1405" s="189"/>
      <c r="CA1405" s="189"/>
      <c r="CB1405" s="189"/>
      <c r="CC1405" s="301"/>
      <c r="CD1405" s="301"/>
      <c r="CE1405" s="301"/>
      <c r="CF1405" s="297"/>
      <c r="CG1405" s="297"/>
      <c r="CH1405" s="297"/>
      <c r="CI1405" s="293"/>
      <c r="CJ1405" s="297"/>
      <c r="CK1405" s="206"/>
      <c r="CL1405" s="206"/>
      <c r="CM1405" s="293"/>
      <c r="CN1405" s="293"/>
      <c r="CO1405" s="293"/>
      <c r="CP1405" s="297"/>
      <c r="CQ1405" s="297"/>
      <c r="CR1405" s="293"/>
      <c r="CS1405" s="206"/>
    </row>
    <row r="1406" spans="1:97">
      <c r="A1406" s="205"/>
      <c r="B1406" s="205"/>
      <c r="C1406" s="439"/>
      <c r="D1406" s="432"/>
      <c r="E1406" s="432"/>
      <c r="F1406" s="432"/>
      <c r="G1406" s="206"/>
      <c r="H1406" s="205"/>
      <c r="I1406" s="205"/>
      <c r="J1406" s="205"/>
      <c r="K1406" s="205"/>
      <c r="L1406" s="205"/>
      <c r="M1406" s="205"/>
      <c r="N1406" s="205"/>
      <c r="O1406" s="205"/>
      <c r="P1406" s="205"/>
      <c r="Q1406" s="205"/>
      <c r="R1406" s="205"/>
      <c r="S1406" s="205"/>
      <c r="T1406" s="205"/>
      <c r="U1406" s="205"/>
      <c r="V1406" s="205"/>
      <c r="W1406" s="205"/>
      <c r="X1406" s="205"/>
      <c r="Y1406" s="205"/>
      <c r="Z1406" s="439"/>
      <c r="AA1406" s="432"/>
      <c r="AB1406" s="432"/>
      <c r="AC1406" s="432"/>
      <c r="AD1406" s="415"/>
      <c r="AE1406" s="205"/>
      <c r="AF1406" s="205"/>
      <c r="AG1406" s="205"/>
      <c r="AH1406" s="205"/>
      <c r="AI1406" s="206"/>
      <c r="AJ1406" s="432"/>
      <c r="AK1406" s="432"/>
      <c r="AL1406" s="432"/>
      <c r="AM1406" s="206"/>
      <c r="AN1406" s="205"/>
      <c r="AO1406" s="205"/>
      <c r="AP1406" s="205"/>
      <c r="AQ1406" s="205"/>
      <c r="AR1406" s="205"/>
      <c r="AS1406" s="205"/>
      <c r="AT1406" s="205"/>
      <c r="AU1406" s="205"/>
      <c r="AV1406" s="205"/>
      <c r="AW1406" s="205"/>
      <c r="AX1406" s="205"/>
      <c r="AY1406" s="205"/>
      <c r="AZ1406" s="205"/>
      <c r="BA1406" s="205"/>
      <c r="BB1406" s="205"/>
      <c r="BC1406" s="205"/>
      <c r="BD1406" s="205"/>
      <c r="BE1406" s="205"/>
      <c r="BF1406" s="206"/>
      <c r="BG1406" s="432"/>
      <c r="BH1406" s="432"/>
      <c r="BI1406" s="432"/>
      <c r="BJ1406" s="415"/>
      <c r="BK1406" s="205"/>
      <c r="BL1406" s="205"/>
      <c r="BM1406" s="540"/>
      <c r="BN1406" s="413"/>
      <c r="BO1406" s="206"/>
      <c r="BP1406" s="297"/>
      <c r="BQ1406" s="293"/>
      <c r="BR1406" s="205"/>
      <c r="BS1406" s="413"/>
      <c r="BT1406" s="413"/>
      <c r="BU1406" s="413"/>
      <c r="BV1406" s="413"/>
      <c r="BW1406" s="413"/>
      <c r="BX1406" s="413"/>
      <c r="BY1406" s="413"/>
      <c r="BZ1406" s="413"/>
      <c r="CA1406" s="413"/>
      <c r="CB1406" s="413"/>
      <c r="CC1406" s="413"/>
      <c r="CD1406" s="413"/>
      <c r="CE1406" s="413"/>
      <c r="CF1406" s="413"/>
      <c r="CG1406" s="413"/>
      <c r="CH1406" s="413"/>
      <c r="CI1406" s="413"/>
      <c r="CJ1406" s="413"/>
      <c r="CK1406" s="413"/>
      <c r="CL1406" s="413"/>
      <c r="CM1406" s="413"/>
      <c r="CN1406" s="206"/>
      <c r="CO1406" s="297"/>
      <c r="CP1406" s="293"/>
      <c r="CQ1406" s="205"/>
      <c r="CR1406" s="413"/>
      <c r="CS1406" s="413"/>
    </row>
    <row r="1407" spans="1:97">
      <c r="A1407" s="206"/>
      <c r="B1407" s="206"/>
      <c r="C1407" s="415"/>
      <c r="D1407" s="205"/>
      <c r="E1407" s="205"/>
      <c r="F1407" s="205"/>
      <c r="G1407" s="415"/>
      <c r="H1407" s="206"/>
      <c r="I1407" s="206"/>
      <c r="J1407" s="206"/>
      <c r="K1407" s="206"/>
      <c r="L1407" s="206"/>
      <c r="M1407" s="206"/>
      <c r="N1407" s="206"/>
      <c r="O1407" s="206"/>
      <c r="P1407" s="206"/>
      <c r="Q1407" s="206"/>
      <c r="R1407" s="206"/>
      <c r="S1407" s="206"/>
      <c r="T1407" s="206"/>
      <c r="U1407" s="206"/>
      <c r="V1407" s="206"/>
      <c r="W1407" s="206"/>
      <c r="X1407" s="206"/>
      <c r="Y1407" s="206"/>
      <c r="Z1407" s="415"/>
      <c r="AA1407" s="205"/>
      <c r="AB1407" s="205"/>
      <c r="AC1407" s="205"/>
      <c r="AD1407" s="415"/>
      <c r="AE1407" s="206"/>
      <c r="AF1407" s="206"/>
      <c r="AG1407" s="206"/>
      <c r="AH1407" s="206"/>
      <c r="AI1407" s="415"/>
      <c r="AJ1407" s="205"/>
      <c r="AK1407" s="205"/>
      <c r="AL1407" s="205"/>
      <c r="AM1407" s="415"/>
      <c r="AN1407" s="206"/>
      <c r="AO1407" s="206"/>
      <c r="AP1407" s="206"/>
      <c r="AQ1407" s="206"/>
      <c r="AR1407" s="206"/>
      <c r="AS1407" s="206"/>
      <c r="AT1407" s="206"/>
      <c r="AU1407" s="206"/>
      <c r="AV1407" s="206"/>
      <c r="AW1407" s="206"/>
      <c r="AX1407" s="206"/>
      <c r="AY1407" s="206"/>
      <c r="AZ1407" s="206"/>
      <c r="BA1407" s="206"/>
      <c r="BB1407" s="206"/>
      <c r="BC1407" s="206"/>
      <c r="BD1407" s="206"/>
      <c r="BE1407" s="206"/>
      <c r="BF1407" s="415"/>
      <c r="BG1407" s="205"/>
      <c r="BH1407" s="205"/>
      <c r="BI1407" s="205"/>
      <c r="BJ1407" s="415"/>
      <c r="BK1407" s="206"/>
      <c r="BL1407" s="206"/>
      <c r="BM1407" s="540"/>
      <c r="BN1407" s="205"/>
      <c r="BO1407" s="205"/>
      <c r="BP1407" s="297"/>
      <c r="BQ1407" s="293"/>
      <c r="BR1407" s="206"/>
      <c r="BS1407" s="205"/>
      <c r="BT1407" s="205"/>
      <c r="BU1407" s="205"/>
      <c r="BV1407" s="205"/>
      <c r="BW1407" s="205"/>
      <c r="BX1407" s="205"/>
      <c r="BY1407" s="205"/>
      <c r="BZ1407" s="205"/>
      <c r="CA1407" s="205"/>
      <c r="CB1407" s="205"/>
      <c r="CC1407" s="205"/>
      <c r="CD1407" s="205"/>
      <c r="CE1407" s="205"/>
      <c r="CF1407" s="205"/>
      <c r="CG1407" s="205"/>
      <c r="CH1407" s="205"/>
      <c r="CI1407" s="205"/>
      <c r="CJ1407" s="205"/>
      <c r="CK1407" s="205"/>
      <c r="CL1407" s="205"/>
      <c r="CM1407" s="205"/>
      <c r="CN1407" s="205"/>
      <c r="CO1407" s="297"/>
      <c r="CP1407" s="293"/>
      <c r="CQ1407" s="206"/>
      <c r="CR1407" s="205"/>
      <c r="CS1407" s="205"/>
    </row>
    <row r="1408" spans="1:97">
      <c r="A1408" s="206"/>
      <c r="B1408" s="206"/>
      <c r="C1408" s="206"/>
      <c r="D1408" s="206"/>
      <c r="E1408" s="206"/>
      <c r="F1408" s="206"/>
      <c r="G1408" s="206"/>
      <c r="H1408" s="206"/>
      <c r="I1408" s="206"/>
      <c r="J1408" s="206"/>
      <c r="K1408" s="206"/>
      <c r="L1408" s="206"/>
      <c r="M1408" s="206"/>
      <c r="N1408" s="206"/>
      <c r="O1408" s="206"/>
      <c r="P1408" s="206"/>
      <c r="Q1408" s="206"/>
      <c r="R1408" s="206"/>
      <c r="S1408" s="206"/>
      <c r="T1408" s="206"/>
      <c r="U1408" s="206"/>
      <c r="V1408" s="206"/>
      <c r="W1408" s="206"/>
      <c r="X1408" s="206"/>
      <c r="Y1408" s="206"/>
      <c r="Z1408" s="206"/>
      <c r="AA1408" s="206"/>
      <c r="AB1408" s="206"/>
      <c r="AC1408" s="206"/>
      <c r="AD1408" s="206"/>
      <c r="AE1408" s="206"/>
      <c r="AF1408" s="206"/>
      <c r="AG1408" s="206"/>
      <c r="AH1408" s="206"/>
      <c r="AI1408" s="206"/>
      <c r="AJ1408" s="206"/>
      <c r="AK1408" s="206"/>
      <c r="AL1408" s="206"/>
      <c r="AM1408" s="206"/>
      <c r="AN1408" s="206"/>
      <c r="AO1408" s="206"/>
      <c r="AP1408" s="206"/>
      <c r="AQ1408" s="206"/>
      <c r="AR1408" s="206"/>
      <c r="AS1408" s="206"/>
      <c r="AT1408" s="206"/>
      <c r="AU1408" s="206"/>
      <c r="AV1408" s="206"/>
      <c r="AW1408" s="206"/>
      <c r="AX1408" s="206"/>
      <c r="AY1408" s="206"/>
      <c r="AZ1408" s="206"/>
      <c r="BA1408" s="206"/>
      <c r="BB1408" s="206"/>
      <c r="BC1408" s="206"/>
      <c r="BD1408" s="206"/>
      <c r="BE1408" s="206"/>
      <c r="BF1408" s="206"/>
      <c r="BG1408" s="206"/>
      <c r="BH1408" s="206"/>
      <c r="BI1408" s="206"/>
      <c r="BJ1408" s="206"/>
      <c r="BK1408" s="206"/>
      <c r="BL1408" s="206"/>
      <c r="BM1408" s="540"/>
      <c r="BN1408" s="206"/>
      <c r="BO1408" s="206"/>
      <c r="BP1408" s="206"/>
      <c r="BQ1408" s="206"/>
      <c r="BR1408" s="206"/>
      <c r="BS1408" s="206"/>
      <c r="BT1408" s="206"/>
      <c r="BU1408" s="206"/>
      <c r="BV1408" s="206"/>
      <c r="BW1408" s="206"/>
      <c r="BX1408" s="206"/>
      <c r="BY1408" s="206"/>
      <c r="BZ1408" s="206"/>
      <c r="CA1408" s="206"/>
      <c r="CB1408" s="206"/>
      <c r="CC1408" s="206"/>
      <c r="CD1408" s="206"/>
      <c r="CE1408" s="206"/>
      <c r="CF1408" s="206"/>
      <c r="CG1408" s="206"/>
      <c r="CH1408" s="206"/>
      <c r="CI1408" s="206"/>
      <c r="CJ1408" s="206"/>
      <c r="CK1408" s="206"/>
      <c r="CL1408" s="206"/>
      <c r="CM1408" s="206"/>
      <c r="CN1408" s="206"/>
      <c r="CO1408" s="206"/>
      <c r="CP1408" s="206"/>
      <c r="CQ1408" s="206"/>
      <c r="CR1408" s="206"/>
      <c r="CS1408" s="206"/>
    </row>
    <row r="1409" spans="1:100">
      <c r="A1409" s="648"/>
      <c r="B1409" s="410"/>
      <c r="C1409" s="410"/>
      <c r="D1409" s="410"/>
      <c r="E1409" s="410"/>
      <c r="F1409" s="410"/>
      <c r="G1409" s="410"/>
      <c r="H1409" s="410"/>
      <c r="I1409" s="410"/>
      <c r="J1409" s="410"/>
      <c r="K1409" s="410"/>
      <c r="L1409" s="410"/>
      <c r="M1409" s="410"/>
      <c r="N1409" s="410"/>
      <c r="O1409" s="410"/>
      <c r="P1409" s="410"/>
      <c r="Q1409" s="410"/>
      <c r="R1409" s="410"/>
      <c r="S1409" s="410"/>
      <c r="T1409" s="410"/>
      <c r="U1409" s="410"/>
      <c r="V1409" s="410"/>
      <c r="W1409" s="410"/>
      <c r="X1409" s="410"/>
      <c r="Y1409" s="410"/>
      <c r="Z1409" s="410"/>
      <c r="AA1409" s="410"/>
      <c r="AB1409" s="410"/>
      <c r="AC1409" s="410"/>
      <c r="AD1409" s="410"/>
      <c r="AE1409" s="410"/>
      <c r="AF1409" s="649"/>
      <c r="AG1409" s="648"/>
      <c r="AH1409" s="410"/>
      <c r="AI1409" s="410"/>
      <c r="AJ1409" s="410"/>
      <c r="AK1409" s="410"/>
      <c r="AL1409" s="410"/>
      <c r="AM1409" s="410"/>
      <c r="AN1409" s="410"/>
      <c r="AO1409" s="410"/>
      <c r="AP1409" s="410"/>
      <c r="AQ1409" s="410"/>
      <c r="AR1409" s="410"/>
      <c r="AS1409" s="410"/>
      <c r="AT1409" s="410"/>
      <c r="AU1409" s="410"/>
      <c r="AV1409" s="410"/>
      <c r="AW1409" s="410"/>
      <c r="AX1409" s="410"/>
      <c r="AY1409" s="410"/>
      <c r="AZ1409" s="410"/>
      <c r="BA1409" s="410"/>
      <c r="BB1409" s="410"/>
      <c r="BC1409" s="410"/>
      <c r="BD1409" s="410"/>
      <c r="BE1409" s="410"/>
      <c r="BF1409" s="410"/>
      <c r="BG1409" s="410"/>
      <c r="BH1409" s="410"/>
      <c r="BI1409" s="410"/>
      <c r="BJ1409" s="410"/>
      <c r="BK1409" s="410"/>
      <c r="BL1409" s="649"/>
      <c r="BM1409" s="189">
        <v>45</v>
      </c>
      <c r="BN1409" s="167"/>
      <c r="BO1409" s="167"/>
      <c r="BP1409" s="167"/>
      <c r="BQ1409" s="167"/>
      <c r="BR1409" s="167"/>
      <c r="BS1409" s="167"/>
      <c r="BT1409" s="167"/>
      <c r="BU1409" s="167"/>
      <c r="BV1409" s="167"/>
      <c r="BW1409" s="167"/>
      <c r="BX1409" s="167"/>
      <c r="BY1409" s="167"/>
      <c r="BZ1409" s="167"/>
      <c r="CA1409" s="167"/>
      <c r="CB1409" s="167"/>
      <c r="CC1409" s="167"/>
      <c r="CD1409" s="167"/>
      <c r="CE1409" s="167"/>
      <c r="CF1409" s="167"/>
      <c r="CG1409" s="167"/>
      <c r="CH1409" s="167"/>
      <c r="CI1409" s="167"/>
      <c r="CJ1409" s="167"/>
      <c r="CK1409" s="167"/>
      <c r="CL1409" s="167"/>
      <c r="CM1409" s="167"/>
      <c r="CN1409" s="167"/>
      <c r="CO1409" s="167"/>
      <c r="CP1409" s="167"/>
      <c r="CQ1409" s="167"/>
      <c r="CR1409" s="167"/>
      <c r="CS1409" s="167"/>
    </row>
    <row r="1410" spans="1:100">
      <c r="A1410" s="648"/>
      <c r="B1410" s="321"/>
      <c r="C1410" s="321"/>
      <c r="D1410" s="321"/>
      <c r="E1410" s="321"/>
      <c r="F1410" s="321"/>
      <c r="G1410" s="321"/>
      <c r="H1410" s="321"/>
      <c r="I1410" s="321"/>
      <c r="J1410" s="321"/>
      <c r="K1410" s="321"/>
      <c r="L1410" s="410"/>
      <c r="M1410" s="321"/>
      <c r="N1410" s="321"/>
      <c r="O1410" s="321"/>
      <c r="P1410" s="321"/>
      <c r="Q1410" s="321"/>
      <c r="R1410" s="321"/>
      <c r="S1410" s="321"/>
      <c r="T1410" s="321"/>
      <c r="U1410" s="321"/>
      <c r="V1410" s="321"/>
      <c r="W1410" s="410"/>
      <c r="X1410" s="321"/>
      <c r="Y1410" s="321"/>
      <c r="Z1410" s="321"/>
      <c r="AA1410" s="321"/>
      <c r="AB1410" s="321"/>
      <c r="AC1410" s="410"/>
      <c r="AD1410" s="321"/>
      <c r="AE1410" s="321"/>
      <c r="AF1410" s="564"/>
      <c r="AG1410" s="648"/>
      <c r="AH1410" s="321"/>
      <c r="AI1410" s="321"/>
      <c r="AJ1410" s="321"/>
      <c r="AK1410" s="321"/>
      <c r="AL1410" s="321"/>
      <c r="AM1410" s="321"/>
      <c r="AN1410" s="321"/>
      <c r="AO1410" s="321"/>
      <c r="AP1410" s="321"/>
      <c r="AQ1410" s="321"/>
      <c r="AR1410" s="410"/>
      <c r="AS1410" s="321"/>
      <c r="AT1410" s="321"/>
      <c r="AU1410" s="321"/>
      <c r="AV1410" s="321"/>
      <c r="AW1410" s="321"/>
      <c r="AX1410" s="321"/>
      <c r="AY1410" s="321"/>
      <c r="AZ1410" s="321"/>
      <c r="BA1410" s="321"/>
      <c r="BB1410" s="321"/>
      <c r="BC1410" s="410"/>
      <c r="BD1410" s="321"/>
      <c r="BE1410" s="321"/>
      <c r="BF1410" s="321"/>
      <c r="BG1410" s="321"/>
      <c r="BH1410" s="321"/>
      <c r="BI1410" s="410"/>
      <c r="BJ1410" s="321"/>
      <c r="BK1410" s="321"/>
      <c r="BL1410" s="564"/>
      <c r="BM1410" s="189"/>
      <c r="CV1410">
        <v>1</v>
      </c>
    </row>
    <row r="1411" spans="1:100">
      <c r="A1411" s="648"/>
      <c r="B1411" s="321"/>
      <c r="C1411" s="321"/>
      <c r="D1411" s="410"/>
      <c r="E1411" s="321"/>
      <c r="F1411" s="321"/>
      <c r="G1411" s="321"/>
      <c r="H1411" s="321"/>
      <c r="I1411" s="321"/>
      <c r="J1411" s="321"/>
      <c r="K1411" s="321"/>
      <c r="L1411" s="410"/>
      <c r="M1411" s="321"/>
      <c r="N1411" s="321"/>
      <c r="O1411" s="321"/>
      <c r="P1411" s="321"/>
      <c r="Q1411" s="321"/>
      <c r="R1411" s="321"/>
      <c r="S1411" s="321"/>
      <c r="T1411" s="321"/>
      <c r="U1411" s="321"/>
      <c r="V1411" s="321"/>
      <c r="W1411" s="410"/>
      <c r="X1411" s="321"/>
      <c r="Y1411" s="321"/>
      <c r="Z1411" s="321"/>
      <c r="AA1411" s="321"/>
      <c r="AB1411" s="321"/>
      <c r="AC1411" s="410"/>
      <c r="AD1411" s="321"/>
      <c r="AE1411" s="321"/>
      <c r="AF1411" s="564"/>
      <c r="AG1411" s="648"/>
      <c r="AH1411" s="321"/>
      <c r="AI1411" s="321"/>
      <c r="AJ1411" s="410"/>
      <c r="AK1411" s="321"/>
      <c r="AL1411" s="321"/>
      <c r="AM1411" s="321"/>
      <c r="AN1411" s="321"/>
      <c r="AO1411" s="321"/>
      <c r="AP1411" s="321"/>
      <c r="AQ1411" s="321"/>
      <c r="AR1411" s="410"/>
      <c r="AS1411" s="321"/>
      <c r="AT1411" s="321"/>
      <c r="AU1411" s="321"/>
      <c r="AV1411" s="321"/>
      <c r="AW1411" s="321"/>
      <c r="AX1411" s="321"/>
      <c r="AY1411" s="321"/>
      <c r="AZ1411" s="321"/>
      <c r="BA1411" s="321"/>
      <c r="BB1411" s="321"/>
      <c r="BC1411" s="410"/>
      <c r="BD1411" s="321"/>
      <c r="BE1411" s="321"/>
      <c r="BF1411" s="321"/>
      <c r="BG1411" s="321"/>
      <c r="BH1411" s="321"/>
      <c r="BI1411" s="410"/>
      <c r="BJ1411" s="321"/>
      <c r="BK1411" s="321"/>
      <c r="BL1411" s="564"/>
      <c r="BM1411" s="1"/>
      <c r="CV1411">
        <v>1</v>
      </c>
    </row>
    <row r="1412" spans="1:100">
      <c r="A1412" s="648"/>
      <c r="B1412" s="321"/>
      <c r="C1412" s="321"/>
      <c r="D1412" s="410"/>
      <c r="E1412" s="321"/>
      <c r="F1412" s="321"/>
      <c r="G1412" s="321"/>
      <c r="H1412" s="321"/>
      <c r="I1412" s="321"/>
      <c r="J1412" s="321"/>
      <c r="K1412" s="321"/>
      <c r="L1412" s="321"/>
      <c r="M1412" s="321"/>
      <c r="N1412" s="321"/>
      <c r="O1412" s="321"/>
      <c r="P1412" s="321"/>
      <c r="Q1412" s="321"/>
      <c r="R1412" s="321"/>
      <c r="S1412" s="321"/>
      <c r="T1412" s="321"/>
      <c r="U1412" s="321"/>
      <c r="V1412" s="321"/>
      <c r="W1412" s="321"/>
      <c r="X1412" s="321"/>
      <c r="Y1412" s="321"/>
      <c r="Z1412" s="321"/>
      <c r="AA1412" s="321"/>
      <c r="AB1412" s="321"/>
      <c r="AC1412" s="410"/>
      <c r="AD1412" s="321"/>
      <c r="AE1412" s="321"/>
      <c r="AF1412" s="564"/>
      <c r="AG1412" s="648"/>
      <c r="AH1412" s="321"/>
      <c r="AI1412" s="321"/>
      <c r="AJ1412" s="410"/>
      <c r="AK1412" s="321"/>
      <c r="AL1412" s="321"/>
      <c r="AM1412" s="321"/>
      <c r="AN1412" s="321"/>
      <c r="AO1412" s="321"/>
      <c r="AP1412" s="321"/>
      <c r="AQ1412" s="321"/>
      <c r="AR1412" s="321"/>
      <c r="AS1412" s="321"/>
      <c r="AT1412" s="321"/>
      <c r="AU1412" s="321"/>
      <c r="AV1412" s="321"/>
      <c r="AW1412" s="321"/>
      <c r="AX1412" s="321"/>
      <c r="AY1412" s="321"/>
      <c r="AZ1412" s="321"/>
      <c r="BA1412" s="321"/>
      <c r="BB1412" s="321"/>
      <c r="BC1412" s="321"/>
      <c r="BD1412" s="321"/>
      <c r="BE1412" s="321"/>
      <c r="BF1412" s="321"/>
      <c r="BG1412" s="321"/>
      <c r="BH1412" s="321"/>
      <c r="BI1412" s="410"/>
      <c r="BJ1412" s="321"/>
      <c r="BK1412" s="321"/>
      <c r="BL1412" s="564"/>
      <c r="BM1412" s="51">
        <v>320</v>
      </c>
      <c r="BN1412" s="157"/>
      <c r="BO1412" s="157"/>
      <c r="BP1412" s="157"/>
      <c r="BQ1412" s="157"/>
      <c r="BR1412" s="157"/>
      <c r="BS1412" s="157"/>
      <c r="BT1412" s="157"/>
      <c r="BU1412" s="157"/>
      <c r="BV1412" s="157"/>
      <c r="BW1412" s="157"/>
      <c r="BX1412" s="157"/>
      <c r="BY1412" s="157"/>
      <c r="BZ1412" s="157"/>
      <c r="CA1412" s="157"/>
      <c r="CB1412" s="157"/>
      <c r="CC1412" s="157"/>
      <c r="CD1412" s="157"/>
      <c r="CE1412" s="157"/>
      <c r="CF1412" s="157"/>
      <c r="CG1412" s="157"/>
      <c r="CH1412" s="157"/>
      <c r="CI1412" s="157"/>
      <c r="CJ1412" s="157"/>
      <c r="CK1412" s="157"/>
      <c r="CL1412" s="157"/>
      <c r="CM1412" s="157"/>
      <c r="CN1412" s="157"/>
      <c r="CO1412" s="157"/>
      <c r="CP1412" s="157"/>
      <c r="CQ1412" s="157"/>
      <c r="CR1412" s="157"/>
      <c r="CS1412" s="157"/>
    </row>
    <row r="1413" spans="1:100">
      <c r="A1413" s="648"/>
      <c r="B1413" s="321"/>
      <c r="C1413" s="321"/>
      <c r="D1413" s="410"/>
      <c r="E1413" s="321"/>
      <c r="F1413" s="321"/>
      <c r="G1413" s="321"/>
      <c r="H1413" s="321"/>
      <c r="I1413" s="321"/>
      <c r="J1413" s="321"/>
      <c r="K1413" s="321"/>
      <c r="L1413" s="410"/>
      <c r="M1413" s="321"/>
      <c r="N1413" s="321"/>
      <c r="O1413" s="321"/>
      <c r="P1413" s="321"/>
      <c r="Q1413" s="321"/>
      <c r="R1413" s="321"/>
      <c r="S1413" s="321"/>
      <c r="T1413" s="321"/>
      <c r="U1413" s="321"/>
      <c r="V1413" s="321"/>
      <c r="W1413" s="410"/>
      <c r="X1413" s="321"/>
      <c r="Y1413" s="321"/>
      <c r="Z1413" s="321"/>
      <c r="AA1413" s="321"/>
      <c r="AB1413" s="321"/>
      <c r="AC1413" s="410"/>
      <c r="AD1413" s="321"/>
      <c r="AE1413" s="321"/>
      <c r="AF1413" s="564"/>
      <c r="AG1413" s="648"/>
      <c r="AH1413" s="321"/>
      <c r="AI1413" s="321"/>
      <c r="AJ1413" s="410"/>
      <c r="AK1413" s="321"/>
      <c r="AL1413" s="321"/>
      <c r="AM1413" s="321"/>
      <c r="AN1413" s="321"/>
      <c r="AO1413" s="321"/>
      <c r="AP1413" s="321"/>
      <c r="AQ1413" s="321"/>
      <c r="AR1413" s="410"/>
      <c r="AS1413" s="321"/>
      <c r="AT1413" s="321"/>
      <c r="AU1413" s="321"/>
      <c r="AV1413" s="321"/>
      <c r="AW1413" s="321"/>
      <c r="AX1413" s="321"/>
      <c r="AY1413" s="321"/>
      <c r="AZ1413" s="321"/>
      <c r="BA1413" s="321"/>
      <c r="BB1413" s="321"/>
      <c r="BC1413" s="410"/>
      <c r="BD1413" s="321"/>
      <c r="BE1413" s="321"/>
      <c r="BF1413" s="321"/>
      <c r="BG1413" s="321"/>
      <c r="BH1413" s="321"/>
      <c r="BI1413" s="410"/>
      <c r="BJ1413" s="321"/>
      <c r="BK1413" s="321"/>
      <c r="BL1413" s="564"/>
      <c r="BM1413" s="51"/>
      <c r="CV1413">
        <v>4</v>
      </c>
    </row>
    <row r="1414" spans="1:100">
      <c r="A1414" s="648"/>
      <c r="B1414" s="321"/>
      <c r="C1414" s="321"/>
      <c r="D1414" s="321"/>
      <c r="E1414" s="321"/>
      <c r="F1414" s="321"/>
      <c r="G1414" s="321"/>
      <c r="H1414" s="321"/>
      <c r="I1414" s="321"/>
      <c r="J1414" s="321"/>
      <c r="K1414" s="321"/>
      <c r="L1414" s="410"/>
      <c r="M1414" s="321"/>
      <c r="N1414" s="321"/>
      <c r="O1414" s="321"/>
      <c r="P1414" s="321"/>
      <c r="Q1414" s="321"/>
      <c r="R1414" s="321"/>
      <c r="S1414" s="321"/>
      <c r="T1414" s="321"/>
      <c r="U1414" s="321"/>
      <c r="V1414" s="321"/>
      <c r="W1414" s="321"/>
      <c r="X1414" s="321"/>
      <c r="Y1414" s="321"/>
      <c r="Z1414" s="321"/>
      <c r="AA1414" s="321"/>
      <c r="AB1414" s="321"/>
      <c r="AC1414" s="410"/>
      <c r="AD1414" s="321"/>
      <c r="AE1414" s="321"/>
      <c r="AF1414" s="649"/>
      <c r="AG1414" s="648"/>
      <c r="AH1414" s="321"/>
      <c r="AI1414" s="321"/>
      <c r="AJ1414" s="321"/>
      <c r="AK1414" s="321"/>
      <c r="AL1414" s="321"/>
      <c r="AM1414" s="321"/>
      <c r="AN1414" s="321"/>
      <c r="AO1414" s="321"/>
      <c r="AP1414" s="321"/>
      <c r="AQ1414" s="321"/>
      <c r="AR1414" s="410"/>
      <c r="AS1414" s="321"/>
      <c r="AT1414" s="321"/>
      <c r="AU1414" s="321"/>
      <c r="AV1414" s="321"/>
      <c r="AW1414" s="321"/>
      <c r="AX1414" s="321"/>
      <c r="AY1414" s="321"/>
      <c r="AZ1414" s="321"/>
      <c r="BA1414" s="321"/>
      <c r="BB1414" s="321"/>
      <c r="BC1414" s="321"/>
      <c r="BD1414" s="321"/>
      <c r="BE1414" s="321"/>
      <c r="BF1414" s="321"/>
      <c r="BG1414" s="321"/>
      <c r="BH1414" s="321"/>
      <c r="BI1414" s="410"/>
      <c r="BJ1414" s="321"/>
      <c r="BK1414" s="321"/>
      <c r="BL1414" s="649"/>
      <c r="BM1414" s="51"/>
      <c r="CV1414">
        <v>4</v>
      </c>
    </row>
    <row r="1415" spans="1:100">
      <c r="A1415" s="648"/>
      <c r="B1415" s="321"/>
      <c r="C1415" s="321"/>
      <c r="D1415" s="321"/>
      <c r="E1415" s="321"/>
      <c r="F1415" s="321"/>
      <c r="G1415" s="321"/>
      <c r="H1415" s="321"/>
      <c r="I1415" s="321"/>
      <c r="J1415" s="321"/>
      <c r="K1415" s="321"/>
      <c r="L1415" s="410"/>
      <c r="M1415" s="321"/>
      <c r="N1415" s="321"/>
      <c r="O1415" s="321"/>
      <c r="P1415" s="321"/>
      <c r="Q1415" s="321"/>
      <c r="R1415" s="321"/>
      <c r="S1415" s="321"/>
      <c r="T1415" s="321"/>
      <c r="U1415" s="321"/>
      <c r="V1415" s="321"/>
      <c r="W1415" s="321"/>
      <c r="X1415" s="321"/>
      <c r="Y1415" s="321"/>
      <c r="Z1415" s="321"/>
      <c r="AA1415" s="321"/>
      <c r="AB1415" s="321"/>
      <c r="AC1415" s="410"/>
      <c r="AD1415" s="321"/>
      <c r="AE1415" s="321"/>
      <c r="AF1415" s="649"/>
      <c r="AG1415" s="648"/>
      <c r="AH1415" s="321"/>
      <c r="AI1415" s="321"/>
      <c r="AJ1415" s="321"/>
      <c r="AK1415" s="321"/>
      <c r="AL1415" s="321"/>
      <c r="AM1415" s="321"/>
      <c r="AN1415" s="321"/>
      <c r="AO1415" s="321"/>
      <c r="AP1415" s="321"/>
      <c r="AQ1415" s="321"/>
      <c r="AR1415" s="410"/>
      <c r="AS1415" s="321"/>
      <c r="AT1415" s="321"/>
      <c r="AU1415" s="321"/>
      <c r="AV1415" s="321"/>
      <c r="AW1415" s="321"/>
      <c r="AX1415" s="321"/>
      <c r="AY1415" s="321"/>
      <c r="AZ1415" s="321"/>
      <c r="BA1415" s="321"/>
      <c r="BB1415" s="321"/>
      <c r="BC1415" s="321"/>
      <c r="BD1415" s="321"/>
      <c r="BE1415" s="321"/>
      <c r="BF1415" s="321"/>
      <c r="BG1415" s="321"/>
      <c r="BH1415" s="321"/>
      <c r="BI1415" s="410"/>
      <c r="BJ1415" s="321"/>
      <c r="BK1415" s="321"/>
      <c r="BL1415" s="649"/>
      <c r="BM1415" s="51"/>
      <c r="CV1415">
        <v>4</v>
      </c>
    </row>
    <row r="1416" spans="1:100">
      <c r="A1416" s="648"/>
      <c r="B1416" s="321"/>
      <c r="C1416" s="321"/>
      <c r="D1416" s="321"/>
      <c r="E1416" s="321"/>
      <c r="F1416" s="321"/>
      <c r="G1416" s="321"/>
      <c r="H1416" s="321"/>
      <c r="I1416" s="321"/>
      <c r="J1416" s="321"/>
      <c r="K1416" s="321"/>
      <c r="L1416" s="321"/>
      <c r="M1416" s="321"/>
      <c r="N1416" s="321"/>
      <c r="O1416" s="321"/>
      <c r="P1416" s="321"/>
      <c r="Q1416" s="321"/>
      <c r="R1416" s="321"/>
      <c r="S1416" s="321"/>
      <c r="T1416" s="321"/>
      <c r="U1416" s="321"/>
      <c r="V1416" s="321"/>
      <c r="W1416" s="321"/>
      <c r="X1416" s="321"/>
      <c r="Y1416" s="321"/>
      <c r="Z1416" s="321"/>
      <c r="AA1416" s="321"/>
      <c r="AB1416" s="321"/>
      <c r="AC1416" s="321"/>
      <c r="AD1416" s="321"/>
      <c r="AE1416" s="321"/>
      <c r="AF1416" s="649"/>
      <c r="AG1416" s="648"/>
      <c r="AH1416" s="321"/>
      <c r="AI1416" s="321"/>
      <c r="AJ1416" s="321"/>
      <c r="AK1416" s="321"/>
      <c r="AL1416" s="321"/>
      <c r="AM1416" s="321"/>
      <c r="AN1416" s="321"/>
      <c r="AO1416" s="321"/>
      <c r="AP1416" s="321"/>
      <c r="AQ1416" s="321"/>
      <c r="AR1416" s="321"/>
      <c r="AS1416" s="321"/>
      <c r="AT1416" s="321"/>
      <c r="AU1416" s="321"/>
      <c r="AV1416" s="321"/>
      <c r="AW1416" s="321"/>
      <c r="AX1416" s="321"/>
      <c r="AY1416" s="321"/>
      <c r="AZ1416" s="321"/>
      <c r="BA1416" s="321"/>
      <c r="BB1416" s="321"/>
      <c r="BC1416" s="321"/>
      <c r="BD1416" s="321"/>
      <c r="BE1416" s="321"/>
      <c r="BF1416" s="321"/>
      <c r="BG1416" s="321"/>
      <c r="BH1416" s="321"/>
      <c r="BI1416" s="321"/>
      <c r="BJ1416" s="321"/>
      <c r="BK1416" s="321"/>
      <c r="BL1416" s="649"/>
      <c r="BM1416" s="51"/>
      <c r="CV1416">
        <v>4</v>
      </c>
    </row>
    <row r="1417" spans="1:100">
      <c r="A1417" s="648"/>
      <c r="B1417" s="321"/>
      <c r="C1417" s="321"/>
      <c r="D1417" s="321"/>
      <c r="E1417" s="321"/>
      <c r="F1417" s="321"/>
      <c r="G1417" s="321"/>
      <c r="H1417" s="321"/>
      <c r="I1417" s="321"/>
      <c r="J1417" s="321"/>
      <c r="K1417" s="321"/>
      <c r="L1417" s="321"/>
      <c r="M1417" s="321"/>
      <c r="N1417" s="321"/>
      <c r="O1417" s="321"/>
      <c r="P1417" s="321"/>
      <c r="Q1417" s="321"/>
      <c r="R1417" s="321"/>
      <c r="S1417" s="321"/>
      <c r="T1417" s="321"/>
      <c r="U1417" s="321"/>
      <c r="V1417" s="321"/>
      <c r="W1417" s="321"/>
      <c r="X1417" s="321"/>
      <c r="Y1417" s="321"/>
      <c r="Z1417" s="321"/>
      <c r="AA1417" s="321"/>
      <c r="AB1417" s="321"/>
      <c r="AC1417" s="321"/>
      <c r="AD1417" s="321"/>
      <c r="AE1417" s="321"/>
      <c r="AF1417" s="649"/>
      <c r="AG1417" s="648"/>
      <c r="AH1417" s="321"/>
      <c r="AI1417" s="321"/>
      <c r="AJ1417" s="321"/>
      <c r="AK1417" s="321"/>
      <c r="AL1417" s="321"/>
      <c r="AM1417" s="321"/>
      <c r="AN1417" s="321"/>
      <c r="AO1417" s="321"/>
      <c r="AP1417" s="321"/>
      <c r="AQ1417" s="321"/>
      <c r="AR1417" s="321"/>
      <c r="AS1417" s="321"/>
      <c r="AT1417" s="321"/>
      <c r="AU1417" s="321"/>
      <c r="AV1417" s="321"/>
      <c r="AW1417" s="321"/>
      <c r="AX1417" s="321"/>
      <c r="AY1417" s="321"/>
      <c r="AZ1417" s="321"/>
      <c r="BA1417" s="321"/>
      <c r="BB1417" s="321"/>
      <c r="BC1417" s="321"/>
      <c r="BD1417" s="321"/>
      <c r="BE1417" s="321"/>
      <c r="BF1417" s="321"/>
      <c r="BG1417" s="321"/>
      <c r="BH1417" s="321"/>
      <c r="BI1417" s="321"/>
      <c r="BJ1417" s="321"/>
      <c r="BK1417" s="321"/>
      <c r="BL1417" s="649"/>
      <c r="BM1417" s="51"/>
      <c r="CV1417">
        <v>4</v>
      </c>
    </row>
    <row r="1418" spans="1:100">
      <c r="A1418" s="648"/>
      <c r="B1418" s="321"/>
      <c r="C1418" s="321"/>
      <c r="D1418" s="321"/>
      <c r="E1418" s="321"/>
      <c r="F1418" s="321"/>
      <c r="G1418" s="321"/>
      <c r="H1418" s="321"/>
      <c r="I1418" s="321"/>
      <c r="J1418" s="321"/>
      <c r="K1418" s="321"/>
      <c r="L1418" s="321"/>
      <c r="M1418" s="321"/>
      <c r="N1418" s="321"/>
      <c r="O1418" s="321"/>
      <c r="P1418" s="321"/>
      <c r="Q1418" s="321"/>
      <c r="R1418" s="321"/>
      <c r="S1418" s="321"/>
      <c r="T1418" s="321"/>
      <c r="U1418" s="321"/>
      <c r="V1418" s="321"/>
      <c r="W1418" s="321"/>
      <c r="X1418" s="321"/>
      <c r="Y1418" s="321"/>
      <c r="Z1418" s="321"/>
      <c r="AA1418" s="321"/>
      <c r="AB1418" s="321"/>
      <c r="AC1418" s="321"/>
      <c r="AD1418" s="321"/>
      <c r="AE1418" s="321"/>
      <c r="AF1418" s="649"/>
      <c r="AG1418" s="648"/>
      <c r="AH1418" s="321"/>
      <c r="AI1418" s="321"/>
      <c r="AJ1418" s="321"/>
      <c r="AK1418" s="321"/>
      <c r="AL1418" s="321"/>
      <c r="AM1418" s="321"/>
      <c r="AN1418" s="321"/>
      <c r="AO1418" s="321"/>
      <c r="AP1418" s="321"/>
      <c r="AQ1418" s="321"/>
      <c r="AR1418" s="321"/>
      <c r="AS1418" s="321"/>
      <c r="AT1418" s="321"/>
      <c r="AU1418" s="321"/>
      <c r="AV1418" s="321"/>
      <c r="AW1418" s="321"/>
      <c r="AX1418" s="321"/>
      <c r="AY1418" s="321"/>
      <c r="AZ1418" s="321"/>
      <c r="BA1418" s="321"/>
      <c r="BB1418" s="321"/>
      <c r="BC1418" s="321"/>
      <c r="BD1418" s="321"/>
      <c r="BE1418" s="321"/>
      <c r="BF1418" s="321"/>
      <c r="BG1418" s="321"/>
      <c r="BH1418" s="321"/>
      <c r="BI1418" s="321"/>
      <c r="BJ1418" s="321"/>
      <c r="BK1418" s="321"/>
      <c r="BL1418" s="649"/>
      <c r="BM1418" s="51">
        <v>1</v>
      </c>
      <c r="BN1418" s="174"/>
      <c r="BO1418" s="174"/>
      <c r="BP1418" s="174"/>
      <c r="BQ1418" s="174"/>
      <c r="BR1418" s="174"/>
      <c r="BS1418" s="174"/>
      <c r="BT1418" s="174"/>
      <c r="BU1418" s="174"/>
      <c r="BV1418" s="174"/>
      <c r="BW1418" s="174"/>
      <c r="BX1418" s="174"/>
      <c r="BY1418" s="174"/>
      <c r="BZ1418" s="174"/>
      <c r="CA1418" s="174"/>
      <c r="CB1418" s="174"/>
      <c r="CC1418" s="174"/>
      <c r="CD1418" s="174"/>
      <c r="CE1418" s="174"/>
      <c r="CF1418" s="174"/>
      <c r="CG1418" s="174"/>
      <c r="CH1418" s="174"/>
      <c r="CI1418" s="174"/>
      <c r="CJ1418" s="174"/>
      <c r="CK1418" s="174"/>
      <c r="CL1418" s="174"/>
      <c r="CM1418" s="174"/>
      <c r="CN1418" s="174"/>
      <c r="CO1418" s="174"/>
      <c r="CP1418" s="174"/>
      <c r="CQ1418" s="174"/>
      <c r="CR1418" s="174"/>
      <c r="CS1418" s="174"/>
    </row>
    <row r="1419" spans="1:100">
      <c r="A1419" s="648"/>
      <c r="B1419" s="321"/>
      <c r="C1419" s="321"/>
      <c r="D1419" s="321"/>
      <c r="E1419" s="321"/>
      <c r="F1419" s="321"/>
      <c r="G1419" s="321"/>
      <c r="H1419" s="321"/>
      <c r="I1419" s="321"/>
      <c r="J1419" s="321"/>
      <c r="K1419" s="321"/>
      <c r="L1419" s="321"/>
      <c r="M1419" s="321"/>
      <c r="N1419" s="321"/>
      <c r="O1419" s="321"/>
      <c r="P1419" s="321"/>
      <c r="Q1419" s="321"/>
      <c r="R1419" s="321"/>
      <c r="S1419" s="321"/>
      <c r="T1419" s="321"/>
      <c r="U1419" s="321"/>
      <c r="V1419" s="321"/>
      <c r="W1419" s="321"/>
      <c r="X1419" s="321"/>
      <c r="Y1419" s="321"/>
      <c r="Z1419" s="321"/>
      <c r="AA1419" s="321"/>
      <c r="AB1419" s="321"/>
      <c r="AC1419" s="321"/>
      <c r="AD1419" s="321"/>
      <c r="AE1419" s="321"/>
      <c r="AF1419" s="649"/>
      <c r="AG1419" s="648"/>
      <c r="AH1419" s="321"/>
      <c r="AI1419" s="321"/>
      <c r="AJ1419" s="321"/>
      <c r="AK1419" s="321"/>
      <c r="AL1419" s="321"/>
      <c r="AM1419" s="321"/>
      <c r="AN1419" s="321"/>
      <c r="AO1419" s="321"/>
      <c r="AP1419" s="321"/>
      <c r="AQ1419" s="321"/>
      <c r="AR1419" s="321"/>
      <c r="AS1419" s="321"/>
      <c r="AT1419" s="321"/>
      <c r="AU1419" s="321"/>
      <c r="AV1419" s="321"/>
      <c r="AW1419" s="321"/>
      <c r="AX1419" s="321"/>
      <c r="AY1419" s="321"/>
      <c r="AZ1419" s="321"/>
      <c r="BA1419" s="321"/>
      <c r="BB1419" s="321"/>
      <c r="BC1419" s="321"/>
      <c r="BD1419" s="321"/>
      <c r="BE1419" s="321"/>
      <c r="BF1419" s="321"/>
      <c r="BG1419" s="321"/>
      <c r="BH1419" s="321"/>
      <c r="BI1419" s="321"/>
      <c r="BJ1419" s="321"/>
      <c r="BK1419" s="321"/>
      <c r="BL1419" s="649"/>
      <c r="BM1419" s="51"/>
      <c r="BN1419" s="170"/>
      <c r="BO1419" s="170"/>
      <c r="BP1419" s="170"/>
      <c r="BQ1419" s="170"/>
      <c r="BR1419" s="170"/>
      <c r="BS1419" s="170"/>
      <c r="BT1419" s="170"/>
      <c r="BU1419" s="170"/>
      <c r="BV1419" s="170"/>
      <c r="BW1419" s="170"/>
      <c r="BX1419" s="170"/>
      <c r="BY1419" s="309"/>
      <c r="BZ1419" s="304"/>
      <c r="CA1419" s="170"/>
      <c r="CB1419" s="170"/>
      <c r="CC1419" s="170"/>
      <c r="CD1419" s="170"/>
      <c r="CE1419" s="170"/>
      <c r="CF1419" s="170"/>
      <c r="CG1419" s="170"/>
      <c r="CH1419" s="170"/>
      <c r="CI1419" s="170"/>
      <c r="CJ1419" s="170"/>
      <c r="CK1419" s="170"/>
      <c r="CL1419" s="170"/>
      <c r="CM1419" s="304"/>
      <c r="CN1419" s="170"/>
      <c r="CO1419" s="304"/>
      <c r="CP1419" s="170"/>
      <c r="CQ1419" s="170"/>
      <c r="CR1419" s="170"/>
      <c r="CS1419" s="170"/>
    </row>
    <row r="1420" spans="1:100">
      <c r="A1420" s="648"/>
      <c r="B1420" s="321"/>
      <c r="C1420" s="321"/>
      <c r="D1420" s="321"/>
      <c r="E1420" s="321"/>
      <c r="F1420" s="321"/>
      <c r="G1420" s="321"/>
      <c r="H1420" s="321"/>
      <c r="I1420" s="321"/>
      <c r="J1420" s="321"/>
      <c r="K1420" s="321"/>
      <c r="L1420" s="321"/>
      <c r="M1420" s="321"/>
      <c r="N1420" s="321"/>
      <c r="O1420" s="321"/>
      <c r="P1420" s="321"/>
      <c r="Q1420" s="321"/>
      <c r="R1420" s="321"/>
      <c r="S1420" s="321"/>
      <c r="T1420" s="321"/>
      <c r="U1420" s="321"/>
      <c r="V1420" s="321"/>
      <c r="W1420" s="321"/>
      <c r="X1420" s="321"/>
      <c r="Y1420" s="321"/>
      <c r="Z1420" s="321"/>
      <c r="AA1420" s="321"/>
      <c r="AB1420" s="321"/>
      <c r="AC1420" s="321"/>
      <c r="AD1420" s="321"/>
      <c r="AE1420" s="321"/>
      <c r="AF1420" s="649"/>
      <c r="AG1420" s="648"/>
      <c r="AH1420" s="321"/>
      <c r="AI1420" s="321"/>
      <c r="AJ1420" s="321"/>
      <c r="AK1420" s="321"/>
      <c r="AL1420" s="321"/>
      <c r="AM1420" s="321"/>
      <c r="AN1420" s="321"/>
      <c r="AO1420" s="321"/>
      <c r="AP1420" s="321"/>
      <c r="AQ1420" s="321"/>
      <c r="AR1420" s="321"/>
      <c r="AS1420" s="321"/>
      <c r="AT1420" s="321"/>
      <c r="AU1420" s="321"/>
      <c r="AV1420" s="321"/>
      <c r="AW1420" s="321"/>
      <c r="AX1420" s="321"/>
      <c r="AY1420" s="321"/>
      <c r="AZ1420" s="321"/>
      <c r="BA1420" s="321"/>
      <c r="BB1420" s="321"/>
      <c r="BC1420" s="321"/>
      <c r="BD1420" s="321"/>
      <c r="BE1420" s="321"/>
      <c r="BF1420" s="321"/>
      <c r="BG1420" s="321"/>
      <c r="BH1420" s="321"/>
      <c r="BI1420" s="321"/>
      <c r="BJ1420" s="321"/>
      <c r="BK1420" s="321"/>
      <c r="BL1420" s="649"/>
      <c r="BM1420" s="51"/>
      <c r="BN1420" s="169"/>
      <c r="BO1420" s="169"/>
      <c r="BP1420" s="169"/>
      <c r="BQ1420" s="169"/>
      <c r="BR1420" s="169"/>
      <c r="BS1420" s="169"/>
      <c r="BT1420" s="169"/>
      <c r="BU1420" s="313"/>
      <c r="BV1420" s="313"/>
      <c r="BW1420" s="169"/>
      <c r="BX1420" s="313"/>
      <c r="BY1420" s="169"/>
      <c r="BZ1420" s="169"/>
      <c r="CA1420" s="304"/>
      <c r="CB1420" s="169"/>
      <c r="CC1420" s="169"/>
      <c r="CD1420" s="169"/>
      <c r="CE1420" s="169"/>
      <c r="CF1420" s="169"/>
      <c r="CG1420" s="169"/>
      <c r="CH1420" s="169"/>
      <c r="CI1420" s="169"/>
      <c r="CJ1420" s="313"/>
      <c r="CK1420" s="313"/>
      <c r="CL1420" s="309"/>
      <c r="CM1420" s="313"/>
      <c r="CN1420" s="313"/>
      <c r="CO1420" s="309"/>
      <c r="CP1420" s="304"/>
      <c r="CQ1420" s="304"/>
      <c r="CR1420" s="169"/>
      <c r="CS1420" s="169"/>
    </row>
    <row r="1421" spans="1:100">
      <c r="A1421" s="648"/>
      <c r="B1421" s="321"/>
      <c r="C1421" s="321"/>
      <c r="D1421" s="321"/>
      <c r="E1421" s="321"/>
      <c r="F1421" s="321"/>
      <c r="G1421" s="321"/>
      <c r="H1421" s="321"/>
      <c r="I1421" s="321"/>
      <c r="J1421" s="321"/>
      <c r="K1421" s="321"/>
      <c r="L1421" s="321"/>
      <c r="M1421" s="321"/>
      <c r="N1421" s="321"/>
      <c r="O1421" s="321"/>
      <c r="P1421" s="321"/>
      <c r="Q1421" s="321"/>
      <c r="R1421" s="321"/>
      <c r="S1421" s="321"/>
      <c r="T1421" s="321"/>
      <c r="U1421" s="321"/>
      <c r="V1421" s="321"/>
      <c r="W1421" s="321"/>
      <c r="X1421" s="321"/>
      <c r="Y1421" s="321"/>
      <c r="Z1421" s="321"/>
      <c r="AA1421" s="321"/>
      <c r="AB1421" s="321"/>
      <c r="AC1421" s="321"/>
      <c r="AD1421" s="321"/>
      <c r="AE1421" s="321"/>
      <c r="AF1421" s="649"/>
      <c r="AG1421" s="648"/>
      <c r="AH1421" s="321"/>
      <c r="AI1421" s="321"/>
      <c r="AJ1421" s="321"/>
      <c r="AK1421" s="321"/>
      <c r="AL1421" s="321"/>
      <c r="AM1421" s="321"/>
      <c r="AN1421" s="321"/>
      <c r="AO1421" s="321"/>
      <c r="AP1421" s="321"/>
      <c r="AQ1421" s="321"/>
      <c r="AR1421" s="321"/>
      <c r="AS1421" s="321"/>
      <c r="AT1421" s="321"/>
      <c r="AU1421" s="321"/>
      <c r="AV1421" s="321"/>
      <c r="AW1421" s="321"/>
      <c r="AX1421" s="321"/>
      <c r="AY1421" s="321"/>
      <c r="AZ1421" s="321"/>
      <c r="BA1421" s="321"/>
      <c r="BB1421" s="321"/>
      <c r="BC1421" s="321"/>
      <c r="BD1421" s="321"/>
      <c r="BE1421" s="321"/>
      <c r="BF1421" s="321"/>
      <c r="BG1421" s="321"/>
      <c r="BH1421" s="321"/>
      <c r="BI1421" s="321"/>
      <c r="BJ1421" s="321"/>
      <c r="BK1421" s="321"/>
      <c r="BL1421" s="649"/>
      <c r="BM1421" s="51"/>
      <c r="BN1421" s="310"/>
      <c r="BO1421" s="310"/>
      <c r="BP1421" s="310"/>
      <c r="BQ1421" s="310"/>
      <c r="BR1421" s="310"/>
      <c r="BS1421" s="310"/>
      <c r="BT1421" s="309"/>
      <c r="BU1421" s="310"/>
      <c r="BV1421" s="304"/>
      <c r="BW1421" s="304"/>
      <c r="BX1421" s="309"/>
      <c r="BY1421" s="313"/>
      <c r="BZ1421" s="309"/>
      <c r="CA1421" s="310"/>
      <c r="CB1421" s="310"/>
      <c r="CC1421" s="310"/>
      <c r="CD1421" s="310"/>
      <c r="CE1421" s="310"/>
      <c r="CF1421" s="310"/>
      <c r="CG1421" s="310"/>
      <c r="CH1421" s="310"/>
      <c r="CI1421" s="309"/>
      <c r="CJ1421" s="310"/>
      <c r="CK1421" s="310"/>
      <c r="CL1421" s="313"/>
      <c r="CM1421" s="304"/>
      <c r="CN1421" s="199"/>
      <c r="CO1421" s="313"/>
      <c r="CP1421" s="309"/>
      <c r="CQ1421" s="310"/>
      <c r="CR1421" s="304"/>
      <c r="CS1421" s="310"/>
    </row>
    <row r="1422" spans="1:100">
      <c r="A1422" s="648"/>
      <c r="B1422" s="321"/>
      <c r="C1422" s="321"/>
      <c r="D1422" s="321"/>
      <c r="E1422" s="321"/>
      <c r="F1422" s="321"/>
      <c r="G1422" s="321"/>
      <c r="H1422" s="321"/>
      <c r="I1422" s="321"/>
      <c r="J1422" s="321"/>
      <c r="K1422" s="321"/>
      <c r="L1422" s="321"/>
      <c r="M1422" s="321"/>
      <c r="N1422" s="321"/>
      <c r="O1422" s="321"/>
      <c r="P1422" s="321"/>
      <c r="Q1422" s="321"/>
      <c r="R1422" s="321"/>
      <c r="S1422" s="321"/>
      <c r="T1422" s="321"/>
      <c r="U1422" s="321"/>
      <c r="V1422" s="321"/>
      <c r="W1422" s="321"/>
      <c r="X1422" s="321"/>
      <c r="Y1422" s="321"/>
      <c r="Z1422" s="321"/>
      <c r="AA1422" s="321"/>
      <c r="AB1422" s="321"/>
      <c r="AC1422" s="321"/>
      <c r="AD1422" s="321"/>
      <c r="AE1422" s="321"/>
      <c r="AF1422" s="564"/>
      <c r="AG1422" s="648"/>
      <c r="AH1422" s="321"/>
      <c r="AI1422" s="321"/>
      <c r="AJ1422" s="321"/>
      <c r="AK1422" s="321"/>
      <c r="AL1422" s="321"/>
      <c r="AM1422" s="321"/>
      <c r="AN1422" s="321"/>
      <c r="AO1422" s="321"/>
      <c r="AP1422" s="321"/>
      <c r="AQ1422" s="321"/>
      <c r="AR1422" s="321"/>
      <c r="AS1422" s="321"/>
      <c r="AT1422" s="321"/>
      <c r="AU1422" s="321"/>
      <c r="AV1422" s="321"/>
      <c r="AW1422" s="321"/>
      <c r="AX1422" s="321"/>
      <c r="AY1422" s="321"/>
      <c r="AZ1422" s="321"/>
      <c r="BA1422" s="321"/>
      <c r="BB1422" s="321"/>
      <c r="BC1422" s="321"/>
      <c r="BD1422" s="321"/>
      <c r="BE1422" s="321"/>
      <c r="BF1422" s="321"/>
      <c r="BG1422" s="321"/>
      <c r="BH1422" s="321"/>
      <c r="BI1422" s="321"/>
      <c r="BJ1422" s="321"/>
      <c r="BK1422" s="321"/>
      <c r="BL1422" s="564"/>
      <c r="BM1422" s="51"/>
      <c r="BN1422" s="310"/>
      <c r="BO1422" s="310"/>
      <c r="BP1422" s="310"/>
      <c r="BQ1422" s="310"/>
      <c r="BR1422" s="310"/>
      <c r="BS1422" s="310"/>
      <c r="BT1422" s="310"/>
      <c r="BU1422" s="304"/>
      <c r="BV1422" s="310"/>
      <c r="BW1422" s="310"/>
      <c r="BX1422" s="199"/>
      <c r="BY1422" s="310"/>
      <c r="BZ1422" s="310"/>
      <c r="CA1422" s="304"/>
      <c r="CB1422" s="310"/>
      <c r="CC1422" s="310"/>
      <c r="CD1422" s="310"/>
      <c r="CE1422" s="310"/>
      <c r="CF1422" s="310"/>
      <c r="CG1422" s="310"/>
      <c r="CH1422" s="310"/>
      <c r="CI1422" s="310"/>
      <c r="CJ1422" s="310"/>
      <c r="CK1422" s="309"/>
      <c r="CL1422" s="310"/>
      <c r="CM1422" s="310"/>
      <c r="CN1422" s="201"/>
      <c r="CO1422" s="310"/>
      <c r="CP1422" s="310"/>
      <c r="CQ1422" s="309"/>
      <c r="CR1422" s="310"/>
      <c r="CS1422" s="310"/>
    </row>
    <row r="1423" spans="1:100">
      <c r="A1423" s="648"/>
      <c r="B1423" s="321"/>
      <c r="C1423" s="321"/>
      <c r="D1423" s="321"/>
      <c r="E1423" s="321"/>
      <c r="F1423" s="321"/>
      <c r="G1423" s="321"/>
      <c r="H1423" s="321"/>
      <c r="I1423" s="321"/>
      <c r="J1423" s="321"/>
      <c r="K1423" s="321"/>
      <c r="L1423" s="321"/>
      <c r="M1423" s="321"/>
      <c r="N1423" s="321"/>
      <c r="O1423" s="321"/>
      <c r="P1423" s="321"/>
      <c r="Q1423" s="321"/>
      <c r="R1423" s="321"/>
      <c r="S1423" s="321"/>
      <c r="T1423" s="321"/>
      <c r="U1423" s="321"/>
      <c r="V1423" s="321"/>
      <c r="W1423" s="321"/>
      <c r="X1423" s="321"/>
      <c r="Y1423" s="321"/>
      <c r="Z1423" s="321"/>
      <c r="AA1423" s="321"/>
      <c r="AB1423" s="321"/>
      <c r="AC1423" s="321"/>
      <c r="AD1423" s="321"/>
      <c r="AE1423" s="321"/>
      <c r="AF1423" s="564"/>
      <c r="AG1423" s="648"/>
      <c r="AH1423" s="321"/>
      <c r="AI1423" s="321"/>
      <c r="AJ1423" s="321"/>
      <c r="AK1423" s="321"/>
      <c r="AL1423" s="321"/>
      <c r="AM1423" s="321"/>
      <c r="AN1423" s="321"/>
      <c r="AO1423" s="321"/>
      <c r="AP1423" s="321"/>
      <c r="AQ1423" s="321"/>
      <c r="AR1423" s="321"/>
      <c r="AS1423" s="321"/>
      <c r="AT1423" s="321"/>
      <c r="AU1423" s="321"/>
      <c r="AV1423" s="321"/>
      <c r="AW1423" s="321"/>
      <c r="AX1423" s="321"/>
      <c r="AY1423" s="321"/>
      <c r="AZ1423" s="321"/>
      <c r="BA1423" s="321"/>
      <c r="BB1423" s="321"/>
      <c r="BC1423" s="321"/>
      <c r="BD1423" s="321"/>
      <c r="BE1423" s="321"/>
      <c r="BF1423" s="321"/>
      <c r="BG1423" s="321"/>
      <c r="BH1423" s="321"/>
      <c r="BI1423" s="321"/>
      <c r="BJ1423" s="321"/>
      <c r="BK1423" s="321"/>
      <c r="BL1423" s="564"/>
      <c r="BM1423" s="51"/>
      <c r="BN1423" s="295"/>
      <c r="BO1423" s="295"/>
      <c r="BP1423" s="295"/>
      <c r="BQ1423" s="295"/>
      <c r="BR1423" s="295"/>
      <c r="BS1423" s="295"/>
      <c r="BT1423" s="295"/>
      <c r="BU1423" s="295"/>
      <c r="BV1423" s="295"/>
      <c r="BW1423" s="295"/>
      <c r="BX1423" s="201"/>
      <c r="BY1423" s="295"/>
      <c r="BZ1423" s="295"/>
      <c r="CA1423" s="295"/>
      <c r="CB1423" s="295"/>
      <c r="CC1423" s="295"/>
      <c r="CD1423" s="295"/>
      <c r="CE1423" s="295"/>
      <c r="CF1423" s="295"/>
      <c r="CG1423" s="295"/>
      <c r="CH1423" s="295"/>
      <c r="CI1423" s="295"/>
      <c r="CJ1423" s="295"/>
      <c r="CK1423" s="295"/>
      <c r="CL1423" s="295"/>
      <c r="CM1423" s="295"/>
      <c r="CN1423" s="199"/>
      <c r="CO1423" s="295"/>
      <c r="CP1423" s="295"/>
      <c r="CQ1423" s="295"/>
      <c r="CR1423" s="295"/>
      <c r="CS1423" s="295"/>
    </row>
    <row r="1424" spans="1:100">
      <c r="A1424" s="648"/>
      <c r="B1424" s="321"/>
      <c r="C1424" s="321"/>
      <c r="D1424" s="321"/>
      <c r="E1424" s="321"/>
      <c r="F1424" s="321"/>
      <c r="G1424" s="321"/>
      <c r="H1424" s="321"/>
      <c r="I1424" s="321"/>
      <c r="J1424" s="321"/>
      <c r="K1424" s="321"/>
      <c r="L1424" s="321"/>
      <c r="M1424" s="321"/>
      <c r="N1424" s="321"/>
      <c r="O1424" s="321"/>
      <c r="P1424" s="321"/>
      <c r="Q1424" s="321"/>
      <c r="R1424" s="321"/>
      <c r="S1424" s="321"/>
      <c r="T1424" s="321"/>
      <c r="U1424" s="321"/>
      <c r="V1424" s="321"/>
      <c r="W1424" s="321"/>
      <c r="X1424" s="321"/>
      <c r="Y1424" s="321"/>
      <c r="Z1424" s="321"/>
      <c r="AA1424" s="321"/>
      <c r="AB1424" s="321"/>
      <c r="AC1424" s="321"/>
      <c r="AD1424" s="321"/>
      <c r="AE1424" s="321"/>
      <c r="AF1424" s="564"/>
      <c r="AG1424" s="648"/>
      <c r="AH1424" s="321"/>
      <c r="AI1424" s="321"/>
      <c r="AJ1424" s="321"/>
      <c r="AK1424" s="321"/>
      <c r="AL1424" s="321"/>
      <c r="AM1424" s="321"/>
      <c r="AN1424" s="321"/>
      <c r="AO1424" s="321"/>
      <c r="AP1424" s="321"/>
      <c r="AQ1424" s="321"/>
      <c r="AR1424" s="321"/>
      <c r="AS1424" s="321"/>
      <c r="AT1424" s="321"/>
      <c r="AU1424" s="321"/>
      <c r="AV1424" s="321"/>
      <c r="AW1424" s="321"/>
      <c r="AX1424" s="321"/>
      <c r="AY1424" s="321"/>
      <c r="AZ1424" s="321"/>
      <c r="BA1424" s="321"/>
      <c r="BB1424" s="321"/>
      <c r="BC1424" s="321"/>
      <c r="BD1424" s="321"/>
      <c r="BE1424" s="321"/>
      <c r="BF1424" s="321"/>
      <c r="BG1424" s="321"/>
      <c r="BH1424" s="321"/>
      <c r="BI1424" s="321"/>
      <c r="BJ1424" s="321"/>
      <c r="BK1424" s="321"/>
      <c r="BL1424" s="564"/>
      <c r="BM1424" s="51"/>
      <c r="BN1424" s="299"/>
      <c r="BO1424" s="299"/>
      <c r="BP1424" s="299"/>
      <c r="BQ1424" s="299"/>
      <c r="BR1424" s="299"/>
      <c r="BS1424" s="299"/>
      <c r="BT1424" s="299"/>
      <c r="BU1424" s="299"/>
      <c r="BV1424" s="299"/>
      <c r="BW1424" s="299"/>
      <c r="BX1424" s="199"/>
      <c r="BY1424" s="299"/>
      <c r="BZ1424" s="299"/>
      <c r="CA1424" s="299"/>
      <c r="CB1424" s="299"/>
      <c r="CC1424" s="299"/>
      <c r="CD1424" s="299"/>
      <c r="CE1424" s="299"/>
      <c r="CF1424" s="299"/>
      <c r="CG1424" s="299"/>
      <c r="CH1424" s="299"/>
      <c r="CI1424" s="299"/>
      <c r="CJ1424" s="299"/>
      <c r="CK1424" s="299"/>
      <c r="CL1424" s="299"/>
      <c r="CM1424" s="299"/>
      <c r="CN1424" s="201"/>
      <c r="CO1424" s="299"/>
      <c r="CP1424" s="299"/>
      <c r="CQ1424" s="299"/>
      <c r="CR1424" s="299"/>
      <c r="CS1424" s="299"/>
    </row>
    <row r="1425" spans="1:100">
      <c r="A1425" s="648"/>
      <c r="B1425" s="321"/>
      <c r="C1425" s="321"/>
      <c r="D1425" s="321"/>
      <c r="E1425" s="321"/>
      <c r="F1425" s="321"/>
      <c r="G1425" s="321"/>
      <c r="H1425" s="321"/>
      <c r="I1425" s="321"/>
      <c r="J1425" s="321"/>
      <c r="K1425" s="321"/>
      <c r="L1425" s="321"/>
      <c r="M1425" s="321"/>
      <c r="N1425" s="321"/>
      <c r="O1425" s="321"/>
      <c r="P1425" s="321"/>
      <c r="Q1425" s="321"/>
      <c r="R1425" s="321"/>
      <c r="S1425" s="321"/>
      <c r="T1425" s="321"/>
      <c r="U1425" s="321"/>
      <c r="V1425" s="321"/>
      <c r="W1425" s="321"/>
      <c r="X1425" s="321"/>
      <c r="Y1425" s="321"/>
      <c r="Z1425" s="321"/>
      <c r="AA1425" s="321"/>
      <c r="AB1425" s="321"/>
      <c r="AC1425" s="321"/>
      <c r="AD1425" s="321"/>
      <c r="AE1425" s="321"/>
      <c r="AF1425" s="564"/>
      <c r="AG1425" s="648"/>
      <c r="AH1425" s="321"/>
      <c r="AI1425" s="321"/>
      <c r="AJ1425" s="321"/>
      <c r="AK1425" s="411"/>
      <c r="AL1425" s="321"/>
      <c r="AM1425" s="321"/>
      <c r="AN1425" s="321"/>
      <c r="AO1425" s="321"/>
      <c r="AP1425" s="321"/>
      <c r="AQ1425" s="321"/>
      <c r="AR1425" s="321"/>
      <c r="AS1425" s="321"/>
      <c r="AT1425" s="321"/>
      <c r="AU1425" s="321"/>
      <c r="AV1425" s="321"/>
      <c r="AW1425" s="321"/>
      <c r="AX1425" s="321"/>
      <c r="AY1425" s="321"/>
      <c r="AZ1425" s="321"/>
      <c r="BA1425" s="321"/>
      <c r="BB1425" s="321"/>
      <c r="BC1425" s="321"/>
      <c r="BD1425" s="321"/>
      <c r="BE1425" s="321"/>
      <c r="BF1425" s="321"/>
      <c r="BG1425" s="321"/>
      <c r="BH1425" s="321"/>
      <c r="BI1425" s="321"/>
      <c r="BJ1425" s="321"/>
      <c r="BK1425" s="321"/>
      <c r="BL1425" s="650"/>
      <c r="BM1425" s="51"/>
      <c r="BN1425" s="299"/>
      <c r="BO1425" s="299"/>
      <c r="BP1425" s="299"/>
      <c r="BQ1425" s="299"/>
      <c r="BR1425" s="299"/>
      <c r="BS1425" s="299"/>
      <c r="BT1425" s="299"/>
      <c r="BU1425" s="299"/>
      <c r="BV1425" s="299"/>
      <c r="BW1425" s="299"/>
      <c r="BX1425" s="201"/>
      <c r="BY1425" s="299"/>
      <c r="BZ1425" s="299"/>
      <c r="CA1425" s="299"/>
      <c r="CB1425" s="299"/>
      <c r="CC1425" s="299"/>
      <c r="CD1425" s="299"/>
      <c r="CE1425" s="299"/>
      <c r="CF1425" s="299"/>
      <c r="CG1425" s="299"/>
      <c r="CH1425" s="299"/>
      <c r="CI1425" s="299"/>
      <c r="CJ1425" s="299"/>
      <c r="CK1425" s="299"/>
      <c r="CL1425" s="299"/>
      <c r="CM1425" s="299"/>
      <c r="CN1425" s="199"/>
      <c r="CO1425" s="299"/>
      <c r="CP1425" s="299"/>
      <c r="CQ1425" s="299"/>
      <c r="CR1425" s="299"/>
      <c r="CS1425" s="299"/>
    </row>
    <row r="1426" spans="1:100">
      <c r="A1426" s="648"/>
      <c r="B1426" s="321"/>
      <c r="C1426" s="321"/>
      <c r="D1426" s="321"/>
      <c r="E1426" s="321"/>
      <c r="F1426" s="321"/>
      <c r="G1426" s="321"/>
      <c r="H1426" s="321"/>
      <c r="I1426" s="321"/>
      <c r="J1426" s="321"/>
      <c r="K1426" s="321"/>
      <c r="L1426" s="321"/>
      <c r="M1426" s="321"/>
      <c r="N1426" s="321"/>
      <c r="O1426" s="321"/>
      <c r="P1426" s="321"/>
      <c r="Q1426" s="321"/>
      <c r="R1426" s="321"/>
      <c r="S1426" s="321"/>
      <c r="T1426" s="321"/>
      <c r="U1426" s="321"/>
      <c r="V1426" s="321"/>
      <c r="W1426" s="321"/>
      <c r="X1426" s="321"/>
      <c r="Y1426" s="321"/>
      <c r="Z1426" s="321"/>
      <c r="AA1426" s="321"/>
      <c r="AB1426" s="321"/>
      <c r="AC1426" s="321"/>
      <c r="AD1426" s="321"/>
      <c r="AE1426" s="321"/>
      <c r="AF1426" s="564"/>
      <c r="AG1426" s="648"/>
      <c r="AH1426" s="321"/>
      <c r="AI1426" s="321"/>
      <c r="AJ1426" s="321"/>
      <c r="AK1426" s="321"/>
      <c r="AL1426" s="321"/>
      <c r="AM1426" s="321"/>
      <c r="AN1426" s="321"/>
      <c r="AO1426" s="321"/>
      <c r="AP1426" s="321"/>
      <c r="AQ1426" s="321"/>
      <c r="AR1426" s="321"/>
      <c r="AS1426" s="321"/>
      <c r="AT1426" s="321"/>
      <c r="AU1426" s="321"/>
      <c r="AV1426" s="321"/>
      <c r="AW1426" s="321"/>
      <c r="AX1426" s="321"/>
      <c r="AY1426" s="321"/>
      <c r="AZ1426" s="321"/>
      <c r="BA1426" s="321"/>
      <c r="BB1426" s="321"/>
      <c r="BC1426" s="321"/>
      <c r="BD1426" s="321"/>
      <c r="BE1426" s="321"/>
      <c r="BF1426" s="321"/>
      <c r="BG1426" s="321"/>
      <c r="BH1426" s="321"/>
      <c r="BI1426" s="321"/>
      <c r="BJ1426" s="321"/>
      <c r="BK1426" s="321"/>
      <c r="BL1426" s="564"/>
      <c r="BM1426" s="51"/>
      <c r="BN1426" s="302"/>
      <c r="BO1426" s="302"/>
      <c r="BP1426" s="304"/>
      <c r="BQ1426" s="302"/>
      <c r="BR1426" s="302"/>
      <c r="BS1426" s="302"/>
      <c r="BT1426" s="302"/>
      <c r="BU1426" s="302"/>
      <c r="BV1426" s="302"/>
      <c r="BW1426" s="302"/>
      <c r="BX1426" s="199"/>
      <c r="BY1426" s="302"/>
      <c r="BZ1426" s="302"/>
      <c r="CA1426" s="304"/>
      <c r="CB1426" s="302"/>
      <c r="CC1426" s="302"/>
      <c r="CD1426" s="302"/>
      <c r="CE1426" s="302"/>
      <c r="CF1426" s="302"/>
      <c r="CG1426" s="302"/>
      <c r="CH1426" s="302"/>
      <c r="CI1426" s="302"/>
      <c r="CJ1426" s="302"/>
      <c r="CK1426" s="302"/>
      <c r="CL1426" s="302"/>
      <c r="CM1426" s="302"/>
      <c r="CN1426" s="201"/>
      <c r="CO1426" s="302"/>
      <c r="CP1426" s="302"/>
      <c r="CQ1426" s="302"/>
      <c r="CR1426" s="302"/>
      <c r="CS1426" s="304"/>
    </row>
    <row r="1427" spans="1:100">
      <c r="A1427" s="648"/>
      <c r="B1427" s="321"/>
      <c r="C1427" s="321"/>
      <c r="D1427" s="321"/>
      <c r="E1427" s="321"/>
      <c r="F1427" s="321"/>
      <c r="G1427" s="321"/>
      <c r="H1427" s="321"/>
      <c r="I1427" s="321"/>
      <c r="J1427" s="321"/>
      <c r="K1427" s="321"/>
      <c r="L1427" s="321"/>
      <c r="M1427" s="321"/>
      <c r="N1427" s="321"/>
      <c r="O1427" s="321"/>
      <c r="P1427" s="321"/>
      <c r="Q1427" s="321"/>
      <c r="R1427" s="321"/>
      <c r="S1427" s="321"/>
      <c r="T1427" s="321"/>
      <c r="U1427" s="321"/>
      <c r="V1427" s="321"/>
      <c r="W1427" s="321"/>
      <c r="X1427" s="321"/>
      <c r="Y1427" s="321"/>
      <c r="Z1427" s="321"/>
      <c r="AA1427" s="321"/>
      <c r="AB1427" s="321"/>
      <c r="AC1427" s="321"/>
      <c r="AD1427" s="321"/>
      <c r="AE1427" s="321"/>
      <c r="AF1427" s="564"/>
      <c r="AG1427" s="648"/>
      <c r="AH1427" s="321"/>
      <c r="AI1427" s="321"/>
      <c r="AJ1427" s="321"/>
      <c r="AK1427" s="321"/>
      <c r="AL1427" s="321"/>
      <c r="AM1427" s="321"/>
      <c r="AN1427" s="321"/>
      <c r="AO1427" s="321"/>
      <c r="AP1427" s="321"/>
      <c r="AQ1427" s="321"/>
      <c r="AR1427" s="321"/>
      <c r="AS1427" s="321"/>
      <c r="AT1427" s="321"/>
      <c r="AU1427" s="321"/>
      <c r="AV1427" s="321"/>
      <c r="AW1427" s="321"/>
      <c r="AX1427" s="321"/>
      <c r="AY1427" s="321"/>
      <c r="AZ1427" s="321"/>
      <c r="BA1427" s="321"/>
      <c r="BB1427" s="321"/>
      <c r="BC1427" s="321"/>
      <c r="BD1427" s="321"/>
      <c r="BE1427" s="321"/>
      <c r="BF1427" s="321"/>
      <c r="BG1427" s="321"/>
      <c r="BH1427" s="321"/>
      <c r="BI1427" s="321"/>
      <c r="BJ1427" s="321"/>
      <c r="BK1427" s="321"/>
      <c r="BL1427" s="564"/>
      <c r="BM1427" s="51"/>
      <c r="BN1427" s="302"/>
      <c r="BO1427" s="302"/>
      <c r="BP1427" s="302"/>
      <c r="BQ1427" s="302"/>
      <c r="BR1427" s="302"/>
      <c r="BS1427" s="304"/>
      <c r="BT1427" s="302"/>
      <c r="BU1427" s="302"/>
      <c r="BV1427" s="302"/>
      <c r="BW1427" s="302"/>
      <c r="BX1427" s="302"/>
      <c r="BY1427" s="302"/>
      <c r="BZ1427" s="302"/>
      <c r="CA1427" s="302"/>
      <c r="CB1427" s="302"/>
      <c r="CC1427" s="302"/>
      <c r="CD1427" s="302"/>
      <c r="CE1427" s="302"/>
      <c r="CF1427" s="302"/>
      <c r="CG1427" s="302"/>
      <c r="CH1427" s="302"/>
      <c r="CI1427" s="302"/>
      <c r="CJ1427" s="302"/>
      <c r="CK1427" s="304"/>
      <c r="CL1427" s="302"/>
      <c r="CM1427" s="302"/>
      <c r="CN1427" s="302"/>
      <c r="CO1427" s="302"/>
      <c r="CP1427" s="302"/>
      <c r="CQ1427" s="302"/>
      <c r="CR1427" s="302"/>
      <c r="CS1427" s="302"/>
    </row>
    <row r="1428" spans="1:100">
      <c r="A1428" s="648"/>
      <c r="B1428" s="321"/>
      <c r="C1428" s="321"/>
      <c r="D1428" s="321"/>
      <c r="E1428" s="321"/>
      <c r="F1428" s="321"/>
      <c r="G1428" s="321"/>
      <c r="H1428" s="321"/>
      <c r="I1428" s="321"/>
      <c r="J1428" s="321"/>
      <c r="K1428" s="321"/>
      <c r="L1428" s="321"/>
      <c r="M1428" s="321"/>
      <c r="N1428" s="321"/>
      <c r="O1428" s="321"/>
      <c r="P1428" s="321"/>
      <c r="Q1428" s="321"/>
      <c r="R1428" s="321"/>
      <c r="S1428" s="321"/>
      <c r="T1428" s="321"/>
      <c r="U1428" s="321"/>
      <c r="V1428" s="321"/>
      <c r="W1428" s="321"/>
      <c r="X1428" s="321"/>
      <c r="Y1428" s="321"/>
      <c r="Z1428" s="321"/>
      <c r="AA1428" s="321"/>
      <c r="AB1428" s="321"/>
      <c r="AC1428" s="321"/>
      <c r="AD1428" s="321"/>
      <c r="AE1428" s="321"/>
      <c r="AF1428" s="564"/>
      <c r="AG1428" s="648"/>
      <c r="AH1428" s="321"/>
      <c r="AI1428" s="321"/>
      <c r="AJ1428" s="321"/>
      <c r="AK1428" s="321"/>
      <c r="AL1428" s="321"/>
      <c r="AM1428" s="321"/>
      <c r="AN1428" s="321"/>
      <c r="AO1428" s="321"/>
      <c r="AP1428" s="321"/>
      <c r="AQ1428" s="321"/>
      <c r="AR1428" s="321"/>
      <c r="AS1428" s="321"/>
      <c r="AT1428" s="321"/>
      <c r="AU1428" s="321"/>
      <c r="AV1428" s="321"/>
      <c r="AW1428" s="321"/>
      <c r="AX1428" s="411"/>
      <c r="AY1428" s="321"/>
      <c r="AZ1428" s="321"/>
      <c r="BA1428" s="321"/>
      <c r="BB1428" s="321"/>
      <c r="BC1428" s="321"/>
      <c r="BD1428" s="321"/>
      <c r="BE1428" s="321"/>
      <c r="BF1428" s="321"/>
      <c r="BG1428" s="321"/>
      <c r="BH1428" s="321"/>
      <c r="BI1428" s="321"/>
      <c r="BJ1428" s="321"/>
      <c r="BK1428" s="321"/>
      <c r="BL1428" s="564"/>
      <c r="BM1428" s="51"/>
      <c r="BN1428" s="291"/>
      <c r="BO1428" s="291"/>
      <c r="BP1428" s="291"/>
      <c r="BQ1428" s="291"/>
      <c r="BR1428" s="291"/>
      <c r="BS1428" s="291"/>
      <c r="BT1428" s="291"/>
      <c r="BU1428" s="291"/>
      <c r="BV1428" s="291"/>
      <c r="BW1428" s="291"/>
      <c r="BX1428" s="291"/>
      <c r="BY1428" s="291"/>
      <c r="BZ1428" s="291"/>
      <c r="CA1428" s="291"/>
      <c r="CB1428" s="291"/>
      <c r="CC1428" s="291"/>
      <c r="CD1428" s="291"/>
      <c r="CE1428" s="291"/>
      <c r="CF1428" s="291"/>
      <c r="CG1428" s="291"/>
      <c r="CH1428" s="291"/>
      <c r="CI1428" s="291"/>
      <c r="CJ1428" s="291"/>
      <c r="CK1428" s="291"/>
      <c r="CL1428" s="291"/>
      <c r="CM1428" s="291"/>
      <c r="CN1428" s="291"/>
      <c r="CO1428" s="291"/>
      <c r="CP1428" s="291"/>
      <c r="CQ1428" s="291"/>
      <c r="CR1428" s="291"/>
      <c r="CS1428" s="291"/>
    </row>
    <row r="1429" spans="1:100">
      <c r="A1429" s="648"/>
      <c r="B1429" s="321"/>
      <c r="C1429" s="321"/>
      <c r="D1429" s="321"/>
      <c r="E1429" s="321"/>
      <c r="F1429" s="321"/>
      <c r="G1429" s="321"/>
      <c r="H1429" s="321"/>
      <c r="I1429" s="321"/>
      <c r="J1429" s="411"/>
      <c r="K1429" s="321"/>
      <c r="L1429" s="321"/>
      <c r="M1429" s="321"/>
      <c r="N1429" s="321"/>
      <c r="O1429" s="321"/>
      <c r="P1429" s="321"/>
      <c r="Q1429" s="321"/>
      <c r="R1429" s="321"/>
      <c r="S1429" s="321"/>
      <c r="T1429" s="321"/>
      <c r="U1429" s="321"/>
      <c r="V1429" s="321"/>
      <c r="W1429" s="321"/>
      <c r="X1429" s="321"/>
      <c r="Y1429" s="321"/>
      <c r="Z1429" s="321"/>
      <c r="AA1429" s="321"/>
      <c r="AB1429" s="321"/>
      <c r="AC1429" s="321"/>
      <c r="AD1429" s="321"/>
      <c r="AE1429" s="321"/>
      <c r="AF1429" s="564"/>
      <c r="AG1429" s="648"/>
      <c r="AH1429" s="321"/>
      <c r="AI1429" s="321"/>
      <c r="AJ1429" s="321"/>
      <c r="AK1429" s="321"/>
      <c r="AL1429" s="321"/>
      <c r="AM1429" s="321"/>
      <c r="AN1429" s="321"/>
      <c r="AO1429" s="321"/>
      <c r="AP1429" s="321"/>
      <c r="AQ1429" s="321"/>
      <c r="AR1429" s="321"/>
      <c r="AS1429" s="321"/>
      <c r="AT1429" s="321"/>
      <c r="AU1429" s="321"/>
      <c r="AV1429" s="321"/>
      <c r="AW1429" s="321"/>
      <c r="AX1429" s="321"/>
      <c r="AY1429" s="321"/>
      <c r="AZ1429" s="321"/>
      <c r="BA1429" s="321"/>
      <c r="BB1429" s="321"/>
      <c r="BC1429" s="321"/>
      <c r="BD1429" s="321"/>
      <c r="BE1429" s="321"/>
      <c r="BF1429" s="321"/>
      <c r="BG1429" s="321"/>
      <c r="BH1429" s="321"/>
      <c r="BI1429" s="321"/>
      <c r="BJ1429" s="321"/>
      <c r="BK1429" s="321"/>
      <c r="BL1429" s="564"/>
      <c r="BM1429" s="51"/>
      <c r="CV1429">
        <v>20</v>
      </c>
    </row>
    <row r="1430" spans="1:100">
      <c r="A1430" s="648"/>
      <c r="B1430" s="321"/>
      <c r="C1430" s="321"/>
      <c r="D1430" s="321"/>
      <c r="E1430" s="321"/>
      <c r="F1430" s="321"/>
      <c r="G1430" s="321"/>
      <c r="H1430" s="321"/>
      <c r="I1430" s="321"/>
      <c r="J1430" s="321"/>
      <c r="K1430" s="321"/>
      <c r="L1430" s="321"/>
      <c r="M1430" s="321"/>
      <c r="N1430" s="321"/>
      <c r="O1430" s="321"/>
      <c r="P1430" s="321"/>
      <c r="Q1430" s="321"/>
      <c r="R1430" s="321"/>
      <c r="S1430" s="321"/>
      <c r="T1430" s="321"/>
      <c r="U1430" s="321"/>
      <c r="V1430" s="321"/>
      <c r="W1430" s="321"/>
      <c r="X1430" s="321"/>
      <c r="Y1430" s="321"/>
      <c r="Z1430" s="321"/>
      <c r="AA1430" s="321"/>
      <c r="AB1430" s="321"/>
      <c r="AC1430" s="321"/>
      <c r="AD1430" s="321"/>
      <c r="AE1430" s="321"/>
      <c r="AF1430" s="564"/>
      <c r="AG1430" s="648"/>
      <c r="AH1430" s="321"/>
      <c r="AI1430" s="321"/>
      <c r="AJ1430" s="321"/>
      <c r="AK1430" s="321"/>
      <c r="AL1430" s="321"/>
      <c r="AM1430" s="321"/>
      <c r="AN1430" s="321"/>
      <c r="AO1430" s="321"/>
      <c r="AP1430" s="321"/>
      <c r="AQ1430" s="321"/>
      <c r="AR1430" s="321"/>
      <c r="AS1430" s="321"/>
      <c r="AT1430" s="321"/>
      <c r="AU1430" s="321"/>
      <c r="AV1430" s="321"/>
      <c r="AW1430" s="321"/>
      <c r="AX1430" s="321"/>
      <c r="AY1430" s="321"/>
      <c r="AZ1430" s="321"/>
      <c r="BA1430" s="321"/>
      <c r="BB1430" s="321"/>
      <c r="BC1430" s="321"/>
      <c r="BD1430" s="321"/>
      <c r="BE1430" s="321"/>
      <c r="BF1430" s="321"/>
      <c r="BG1430" s="321"/>
      <c r="BH1430" s="321"/>
      <c r="BI1430" s="321"/>
      <c r="BJ1430" s="321"/>
      <c r="BK1430" s="321"/>
      <c r="BL1430" s="650"/>
      <c r="BM1430" s="51"/>
      <c r="BN1430" s="291"/>
      <c r="BO1430" s="291"/>
      <c r="BP1430" s="411"/>
      <c r="BQ1430" s="301"/>
      <c r="BR1430" s="291"/>
      <c r="BS1430" s="291"/>
      <c r="BT1430" s="301"/>
      <c r="BU1430" s="301"/>
      <c r="BV1430" s="291"/>
      <c r="BW1430" s="291"/>
      <c r="BX1430" s="301"/>
      <c r="BY1430" s="301"/>
      <c r="BZ1430" s="291"/>
      <c r="CA1430" s="291"/>
      <c r="CB1430" s="301"/>
      <c r="CC1430" s="301"/>
      <c r="CD1430" s="291"/>
      <c r="CE1430" s="291"/>
      <c r="CF1430" s="301"/>
      <c r="CG1430" s="301"/>
      <c r="CH1430" s="291"/>
      <c r="CI1430" s="291"/>
      <c r="CJ1430" s="301"/>
      <c r="CK1430" s="301"/>
      <c r="CL1430" s="291"/>
      <c r="CM1430" s="291"/>
      <c r="CN1430" s="301"/>
      <c r="CO1430" s="301"/>
      <c r="CP1430" s="291"/>
      <c r="CQ1430" s="291"/>
      <c r="CR1430" s="301"/>
      <c r="CS1430" s="301"/>
    </row>
    <row r="1431" spans="1:100">
      <c r="A1431" s="648"/>
      <c r="B1431" s="321"/>
      <c r="C1431" s="321"/>
      <c r="D1431" s="321"/>
      <c r="E1431" s="321"/>
      <c r="F1431" s="321"/>
      <c r="G1431" s="321"/>
      <c r="H1431" s="321"/>
      <c r="I1431" s="321"/>
      <c r="J1431" s="321"/>
      <c r="K1431" s="321"/>
      <c r="L1431" s="321"/>
      <c r="M1431" s="321"/>
      <c r="N1431" s="321"/>
      <c r="O1431" s="321"/>
      <c r="P1431" s="321"/>
      <c r="Q1431" s="321"/>
      <c r="R1431" s="321"/>
      <c r="S1431" s="321"/>
      <c r="T1431" s="321"/>
      <c r="U1431" s="321"/>
      <c r="V1431" s="321"/>
      <c r="W1431" s="321"/>
      <c r="X1431" s="321"/>
      <c r="Y1431" s="321"/>
      <c r="Z1431" s="411"/>
      <c r="AA1431" s="321"/>
      <c r="AB1431" s="321"/>
      <c r="AC1431" s="321"/>
      <c r="AD1431" s="321"/>
      <c r="AE1431" s="321"/>
      <c r="AF1431" s="564"/>
      <c r="AG1431" s="648"/>
      <c r="AH1431" s="321"/>
      <c r="AI1431" s="321"/>
      <c r="AJ1431" s="321"/>
      <c r="AK1431" s="321"/>
      <c r="AL1431" s="321"/>
      <c r="AM1431" s="321"/>
      <c r="AN1431" s="321"/>
      <c r="AO1431" s="321"/>
      <c r="AP1431" s="411"/>
      <c r="AQ1431" s="321"/>
      <c r="AR1431" s="321"/>
      <c r="AS1431" s="321"/>
      <c r="AT1431" s="321"/>
      <c r="AU1431" s="321"/>
      <c r="AV1431" s="321"/>
      <c r="AW1431" s="321"/>
      <c r="AX1431" s="321"/>
      <c r="AY1431" s="321"/>
      <c r="AZ1431" s="321"/>
      <c r="BA1431" s="321"/>
      <c r="BB1431" s="321"/>
      <c r="BC1431" s="321"/>
      <c r="BD1431" s="321"/>
      <c r="BE1431" s="411"/>
      <c r="BF1431" s="321"/>
      <c r="BG1431" s="321"/>
      <c r="BH1431" s="321"/>
      <c r="BI1431" s="321"/>
      <c r="BJ1431" s="321"/>
      <c r="BK1431" s="321"/>
      <c r="BL1431" s="564"/>
      <c r="BM1431" s="52"/>
      <c r="BN1431" s="293"/>
      <c r="BO1431" s="293"/>
      <c r="BP1431" s="293"/>
      <c r="BQ1431" s="293"/>
      <c r="BR1431" s="293"/>
      <c r="BS1431" s="293"/>
      <c r="BT1431" s="293"/>
      <c r="BU1431" s="293"/>
      <c r="BV1431" s="293"/>
      <c r="BW1431" s="293"/>
      <c r="BX1431" s="293"/>
      <c r="BY1431" s="293"/>
      <c r="BZ1431" s="293"/>
      <c r="CA1431" s="293"/>
      <c r="CB1431" s="293"/>
      <c r="CC1431" s="293"/>
      <c r="CD1431" s="293"/>
      <c r="CE1431" s="293"/>
      <c r="CF1431" s="293"/>
      <c r="CG1431" s="293"/>
      <c r="CH1431" s="293"/>
      <c r="CI1431" s="293"/>
      <c r="CJ1431" s="293"/>
      <c r="CK1431" s="293"/>
      <c r="CL1431" s="293"/>
      <c r="CM1431" s="293"/>
      <c r="CN1431" s="293"/>
      <c r="CO1431" s="293"/>
      <c r="CP1431" s="293"/>
      <c r="CQ1431" s="293"/>
      <c r="CR1431" s="293"/>
      <c r="CS1431" s="293"/>
    </row>
    <row r="1432" spans="1:100">
      <c r="A1432" s="648"/>
      <c r="B1432" s="321"/>
      <c r="C1432" s="321"/>
      <c r="D1432" s="321"/>
      <c r="E1432" s="321"/>
      <c r="F1432" s="321"/>
      <c r="G1432" s="321"/>
      <c r="H1432" s="321"/>
      <c r="I1432" s="321"/>
      <c r="J1432" s="321"/>
      <c r="K1432" s="321"/>
      <c r="L1432" s="321"/>
      <c r="M1432" s="321"/>
      <c r="N1432" s="321"/>
      <c r="O1432" s="321"/>
      <c r="P1432" s="321"/>
      <c r="Q1432" s="321"/>
      <c r="R1432" s="321"/>
      <c r="S1432" s="321"/>
      <c r="T1432" s="321"/>
      <c r="U1432" s="321"/>
      <c r="V1432" s="321"/>
      <c r="W1432" s="321"/>
      <c r="X1432" s="321"/>
      <c r="Y1432" s="321"/>
      <c r="Z1432" s="321"/>
      <c r="AA1432" s="321"/>
      <c r="AB1432" s="321"/>
      <c r="AC1432" s="321"/>
      <c r="AD1432" s="321"/>
      <c r="AE1432" s="321"/>
      <c r="AF1432" s="564"/>
      <c r="AG1432" s="648"/>
      <c r="AH1432" s="321"/>
      <c r="AI1432" s="321"/>
      <c r="AJ1432" s="321"/>
      <c r="AK1432" s="411"/>
      <c r="AL1432" s="321"/>
      <c r="AM1432" s="321"/>
      <c r="AN1432" s="321"/>
      <c r="AO1432" s="321"/>
      <c r="AP1432" s="321"/>
      <c r="AQ1432" s="321"/>
      <c r="AR1432" s="321"/>
      <c r="AS1432" s="321"/>
      <c r="AT1432" s="321"/>
      <c r="AU1432" s="321"/>
      <c r="AV1432" s="321"/>
      <c r="AW1432" s="321"/>
      <c r="AX1432" s="321"/>
      <c r="AY1432" s="321"/>
      <c r="AZ1432" s="321"/>
      <c r="BA1432" s="321"/>
      <c r="BB1432" s="321"/>
      <c r="BC1432" s="321"/>
      <c r="BD1432" s="321"/>
      <c r="BE1432" s="321"/>
      <c r="BF1432" s="321"/>
      <c r="BG1432" s="321"/>
      <c r="BH1432" s="321"/>
      <c r="BI1432" s="321"/>
      <c r="BJ1432" s="321"/>
      <c r="BK1432" s="321"/>
      <c r="BL1432" s="650"/>
      <c r="BM1432" s="52"/>
      <c r="CV1432">
        <v>23</v>
      </c>
    </row>
    <row r="1433" spans="1:100">
      <c r="A1433" s="648"/>
      <c r="B1433" s="321"/>
      <c r="C1433" s="321"/>
      <c r="D1433" s="321"/>
      <c r="E1433" s="321"/>
      <c r="F1433" s="321"/>
      <c r="G1433" s="321"/>
      <c r="H1433" s="321"/>
      <c r="I1433" s="321"/>
      <c r="J1433" s="321"/>
      <c r="K1433" s="321"/>
      <c r="L1433" s="321"/>
      <c r="M1433" s="321"/>
      <c r="N1433" s="321"/>
      <c r="O1433" s="321"/>
      <c r="P1433" s="321"/>
      <c r="Q1433" s="321"/>
      <c r="R1433" s="321"/>
      <c r="S1433" s="321"/>
      <c r="T1433" s="321"/>
      <c r="U1433" s="321"/>
      <c r="V1433" s="321"/>
      <c r="W1433" s="321"/>
      <c r="X1433" s="321"/>
      <c r="Y1433" s="321"/>
      <c r="Z1433" s="321"/>
      <c r="AA1433" s="321"/>
      <c r="AB1433" s="321"/>
      <c r="AC1433" s="321"/>
      <c r="AD1433" s="321"/>
      <c r="AE1433" s="321"/>
      <c r="AF1433" s="564"/>
      <c r="AG1433" s="648"/>
      <c r="AH1433" s="321"/>
      <c r="AI1433" s="321"/>
      <c r="AJ1433" s="321"/>
      <c r="AK1433" s="321"/>
      <c r="AL1433" s="321"/>
      <c r="AM1433" s="321"/>
      <c r="AN1433" s="321"/>
      <c r="AO1433" s="321"/>
      <c r="AP1433" s="321"/>
      <c r="AQ1433" s="321"/>
      <c r="AR1433" s="321"/>
      <c r="AS1433" s="321"/>
      <c r="AT1433" s="321"/>
      <c r="AU1433" s="321"/>
      <c r="AV1433" s="321"/>
      <c r="AW1433" s="321"/>
      <c r="AX1433" s="411"/>
      <c r="AY1433" s="321"/>
      <c r="AZ1433" s="321"/>
      <c r="BA1433" s="321"/>
      <c r="BB1433" s="321"/>
      <c r="BC1433" s="321"/>
      <c r="BD1433" s="321"/>
      <c r="BE1433" s="321"/>
      <c r="BF1433" s="321"/>
      <c r="BG1433" s="321"/>
      <c r="BH1433" s="321"/>
      <c r="BI1433" s="321"/>
      <c r="BJ1433" s="321"/>
      <c r="BK1433" s="321"/>
      <c r="BL1433" s="650"/>
      <c r="BM1433" s="52"/>
      <c r="BN1433" s="293"/>
      <c r="BO1433" s="297"/>
      <c r="BP1433" s="297"/>
      <c r="BQ1433" s="297"/>
      <c r="BR1433" s="297"/>
      <c r="BS1433" s="297"/>
      <c r="BT1433" s="297"/>
      <c r="BU1433" s="297"/>
      <c r="BV1433" s="293"/>
      <c r="BW1433" s="297"/>
      <c r="BX1433" s="297"/>
      <c r="BY1433" s="297"/>
      <c r="BZ1433" s="297"/>
      <c r="CA1433" s="297"/>
      <c r="CB1433" s="297"/>
      <c r="CC1433" s="297"/>
      <c r="CD1433" s="293"/>
      <c r="CE1433" s="297"/>
      <c r="CF1433" s="297"/>
      <c r="CG1433" s="297"/>
      <c r="CH1433" s="297"/>
      <c r="CI1433" s="297"/>
      <c r="CJ1433" s="297"/>
      <c r="CK1433" s="297"/>
      <c r="CL1433" s="293"/>
      <c r="CM1433" s="297"/>
      <c r="CN1433" s="297"/>
      <c r="CO1433" s="297"/>
      <c r="CP1433" s="297"/>
      <c r="CQ1433" s="297"/>
      <c r="CR1433" s="297"/>
      <c r="CS1433" s="297"/>
    </row>
    <row r="1434" spans="1:100">
      <c r="A1434" s="648"/>
      <c r="B1434" s="321"/>
      <c r="C1434" s="321"/>
      <c r="D1434" s="321"/>
      <c r="E1434" s="411"/>
      <c r="F1434" s="321"/>
      <c r="G1434" s="321"/>
      <c r="H1434" s="321"/>
      <c r="I1434" s="321"/>
      <c r="J1434" s="321"/>
      <c r="K1434" s="321"/>
      <c r="L1434" s="321"/>
      <c r="M1434" s="321"/>
      <c r="N1434" s="321"/>
      <c r="O1434" s="321"/>
      <c r="P1434" s="321"/>
      <c r="Q1434" s="321"/>
      <c r="R1434" s="321"/>
      <c r="S1434" s="321"/>
      <c r="T1434" s="321"/>
      <c r="U1434" s="321"/>
      <c r="V1434" s="321"/>
      <c r="W1434" s="321"/>
      <c r="X1434" s="321"/>
      <c r="Y1434" s="321"/>
      <c r="Z1434" s="321"/>
      <c r="AA1434" s="321"/>
      <c r="AB1434" s="321"/>
      <c r="AC1434" s="321"/>
      <c r="AD1434" s="321"/>
      <c r="AE1434" s="321"/>
      <c r="AF1434" s="650"/>
      <c r="AG1434" s="648"/>
      <c r="AH1434" s="321"/>
      <c r="AI1434" s="321"/>
      <c r="AJ1434" s="321"/>
      <c r="AK1434" s="411"/>
      <c r="AL1434" s="321"/>
      <c r="AM1434" s="321"/>
      <c r="AN1434" s="321"/>
      <c r="AO1434" s="321"/>
      <c r="AP1434" s="321"/>
      <c r="AQ1434" s="321"/>
      <c r="AR1434" s="321"/>
      <c r="AS1434" s="321"/>
      <c r="AT1434" s="321"/>
      <c r="AU1434" s="321"/>
      <c r="AV1434" s="321"/>
      <c r="AW1434" s="321"/>
      <c r="AX1434" s="321"/>
      <c r="AY1434" s="321"/>
      <c r="AZ1434" s="321"/>
      <c r="BA1434" s="321"/>
      <c r="BB1434" s="321"/>
      <c r="BC1434" s="321"/>
      <c r="BD1434" s="321"/>
      <c r="BE1434" s="321"/>
      <c r="BF1434" s="321"/>
      <c r="BG1434" s="321"/>
      <c r="BH1434" s="321"/>
      <c r="BI1434" s="321"/>
      <c r="BJ1434" s="321"/>
      <c r="BK1434" s="321"/>
      <c r="BL1434" s="564"/>
      <c r="BM1434" s="52"/>
      <c r="BN1434" s="199"/>
      <c r="BO1434" s="199"/>
      <c r="BP1434" s="199"/>
      <c r="BQ1434" s="201"/>
      <c r="BR1434" s="201"/>
      <c r="BS1434" s="201"/>
      <c r="BT1434" s="201"/>
      <c r="BU1434" s="201"/>
      <c r="BV1434" s="201"/>
      <c r="BW1434" s="201"/>
      <c r="BX1434" s="199"/>
      <c r="BY1434" s="199"/>
      <c r="BZ1434" s="199"/>
      <c r="CA1434" s="199"/>
      <c r="CB1434" s="199"/>
      <c r="CC1434" s="199"/>
      <c r="CD1434" s="199"/>
      <c r="CE1434" s="201"/>
      <c r="CF1434" s="201"/>
      <c r="CG1434" s="201"/>
      <c r="CH1434" s="201"/>
      <c r="CI1434" s="201"/>
      <c r="CJ1434" s="201"/>
      <c r="CK1434" s="201"/>
      <c r="CL1434" s="201"/>
      <c r="CM1434" s="201"/>
      <c r="CN1434" s="201"/>
      <c r="CO1434" s="201"/>
      <c r="CP1434" s="201"/>
      <c r="CQ1434" s="199"/>
      <c r="CR1434" s="199"/>
      <c r="CS1434" s="199"/>
    </row>
    <row r="1435" spans="1:100">
      <c r="A1435" s="648"/>
      <c r="B1435" s="321"/>
      <c r="C1435" s="321"/>
      <c r="D1435" s="321"/>
      <c r="E1435" s="321"/>
      <c r="F1435" s="321"/>
      <c r="G1435" s="321"/>
      <c r="H1435" s="321"/>
      <c r="I1435" s="321"/>
      <c r="J1435" s="411"/>
      <c r="K1435" s="321"/>
      <c r="L1435" s="321"/>
      <c r="M1435" s="321"/>
      <c r="N1435" s="321"/>
      <c r="O1435" s="321"/>
      <c r="P1435" s="321"/>
      <c r="Q1435" s="411"/>
      <c r="R1435" s="321"/>
      <c r="S1435" s="321"/>
      <c r="T1435" s="321"/>
      <c r="U1435" s="321"/>
      <c r="V1435" s="321"/>
      <c r="W1435" s="321"/>
      <c r="X1435" s="321"/>
      <c r="Y1435" s="321"/>
      <c r="Z1435" s="321"/>
      <c r="AA1435" s="321"/>
      <c r="AB1435" s="321"/>
      <c r="AC1435" s="321"/>
      <c r="AD1435" s="321"/>
      <c r="AE1435" s="321"/>
      <c r="AF1435" s="650"/>
      <c r="AG1435" s="648"/>
      <c r="AH1435" s="321"/>
      <c r="AI1435" s="321"/>
      <c r="AJ1435" s="321"/>
      <c r="AK1435" s="411"/>
      <c r="AL1435" s="321"/>
      <c r="AM1435" s="321"/>
      <c r="AN1435" s="321"/>
      <c r="AO1435" s="321"/>
      <c r="AP1435" s="411"/>
      <c r="AQ1435" s="321"/>
      <c r="AR1435" s="321"/>
      <c r="AS1435" s="321"/>
      <c r="AT1435" s="321"/>
      <c r="AU1435" s="321"/>
      <c r="AV1435" s="321"/>
      <c r="AW1435" s="321"/>
      <c r="AX1435" s="321"/>
      <c r="AY1435" s="321"/>
      <c r="AZ1435" s="321"/>
      <c r="BA1435" s="321"/>
      <c r="BB1435" s="321"/>
      <c r="BC1435" s="321"/>
      <c r="BD1435" s="321"/>
      <c r="BE1435" s="321"/>
      <c r="BF1435" s="321"/>
      <c r="BG1435" s="321"/>
      <c r="BH1435" s="411"/>
      <c r="BI1435" s="321"/>
      <c r="BJ1435" s="321"/>
      <c r="BK1435" s="321"/>
      <c r="BL1435" s="650"/>
      <c r="BM1435" s="52"/>
      <c r="BN1435" s="304"/>
      <c r="BO1435" s="304"/>
      <c r="BP1435" s="304"/>
      <c r="BQ1435" s="304"/>
      <c r="BR1435" s="304"/>
      <c r="BS1435" s="304"/>
      <c r="BT1435" s="304"/>
      <c r="BU1435" s="304"/>
      <c r="BV1435" s="304"/>
      <c r="BW1435" s="304"/>
      <c r="BX1435" s="304"/>
      <c r="BY1435" s="304"/>
      <c r="BZ1435" s="304"/>
      <c r="CA1435" s="304"/>
      <c r="CB1435" s="304"/>
      <c r="CC1435" s="304"/>
      <c r="CD1435" s="304"/>
      <c r="CE1435" s="304"/>
      <c r="CF1435" s="304"/>
      <c r="CG1435" s="304"/>
      <c r="CH1435" s="304"/>
      <c r="CI1435" s="304"/>
      <c r="CJ1435" s="304"/>
      <c r="CK1435" s="304"/>
      <c r="CL1435" s="304"/>
      <c r="CM1435" s="304"/>
      <c r="CN1435" s="304"/>
      <c r="CO1435" s="304"/>
      <c r="CP1435" s="304"/>
      <c r="CQ1435" s="304"/>
      <c r="CR1435" s="304"/>
      <c r="CS1435" s="304"/>
    </row>
    <row r="1436" spans="1:100">
      <c r="A1436" s="648"/>
      <c r="B1436" s="321"/>
      <c r="C1436" s="321"/>
      <c r="D1436" s="321"/>
      <c r="E1436" s="411"/>
      <c r="F1436" s="321"/>
      <c r="G1436" s="321"/>
      <c r="H1436" s="321"/>
      <c r="I1436" s="321"/>
      <c r="J1436" s="411"/>
      <c r="K1436" s="321"/>
      <c r="L1436" s="321"/>
      <c r="M1436" s="321"/>
      <c r="N1436" s="321"/>
      <c r="O1436" s="321"/>
      <c r="P1436" s="321"/>
      <c r="Q1436" s="321"/>
      <c r="R1436" s="321"/>
      <c r="S1436" s="321"/>
      <c r="T1436" s="321"/>
      <c r="U1436" s="321"/>
      <c r="V1436" s="321"/>
      <c r="W1436" s="321"/>
      <c r="X1436" s="321"/>
      <c r="Y1436" s="321"/>
      <c r="Z1436" s="321"/>
      <c r="AA1436" s="321"/>
      <c r="AB1436" s="321"/>
      <c r="AC1436" s="321"/>
      <c r="AD1436" s="321"/>
      <c r="AE1436" s="321"/>
      <c r="AF1436" s="564"/>
      <c r="AG1436" s="648"/>
      <c r="AH1436" s="321"/>
      <c r="AI1436" s="321"/>
      <c r="AJ1436" s="321"/>
      <c r="AK1436" s="411"/>
      <c r="AL1436" s="321"/>
      <c r="AM1436" s="321"/>
      <c r="AN1436" s="321"/>
      <c r="AO1436" s="321"/>
      <c r="AP1436" s="321"/>
      <c r="AQ1436" s="321"/>
      <c r="AR1436" s="321"/>
      <c r="AS1436" s="321"/>
      <c r="AT1436" s="321"/>
      <c r="AU1436" s="321"/>
      <c r="AV1436" s="321"/>
      <c r="AW1436" s="321"/>
      <c r="AX1436" s="411"/>
      <c r="AY1436" s="321"/>
      <c r="AZ1436" s="321"/>
      <c r="BA1436" s="321"/>
      <c r="BB1436" s="321"/>
      <c r="BC1436" s="321"/>
      <c r="BD1436" s="321"/>
      <c r="BE1436" s="321"/>
      <c r="BF1436" s="321"/>
      <c r="BG1436" s="321"/>
      <c r="BH1436" s="321"/>
      <c r="BI1436" s="321"/>
      <c r="BJ1436" s="321"/>
      <c r="BK1436" s="321"/>
      <c r="BL1436" s="650"/>
      <c r="BM1436" s="52"/>
      <c r="CV1436">
        <v>27</v>
      </c>
    </row>
    <row r="1437" spans="1:100">
      <c r="A1437" s="648"/>
      <c r="B1437" s="321"/>
      <c r="C1437" s="321"/>
      <c r="D1437" s="321"/>
      <c r="E1437" s="411"/>
      <c r="F1437" s="321"/>
      <c r="G1437" s="321"/>
      <c r="H1437" s="321"/>
      <c r="I1437" s="321"/>
      <c r="J1437" s="411"/>
      <c r="K1437" s="321"/>
      <c r="L1437" s="321"/>
      <c r="M1437" s="321"/>
      <c r="N1437" s="321"/>
      <c r="O1437" s="321"/>
      <c r="P1437" s="321"/>
      <c r="Q1437" s="321"/>
      <c r="R1437" s="321"/>
      <c r="S1437" s="321"/>
      <c r="T1437" s="321"/>
      <c r="U1437" s="321"/>
      <c r="V1437" s="321"/>
      <c r="W1437" s="321"/>
      <c r="X1437" s="321"/>
      <c r="Y1437" s="321"/>
      <c r="Z1437" s="411"/>
      <c r="AA1437" s="321"/>
      <c r="AB1437" s="321"/>
      <c r="AC1437" s="321"/>
      <c r="AD1437" s="321"/>
      <c r="AE1437" s="321"/>
      <c r="AF1437" s="650"/>
      <c r="AG1437" s="648"/>
      <c r="AH1437" s="321"/>
      <c r="AI1437" s="321"/>
      <c r="AJ1437" s="321"/>
      <c r="AK1437" s="321"/>
      <c r="AL1437" s="321"/>
      <c r="AM1437" s="321"/>
      <c r="AN1437" s="321"/>
      <c r="AO1437" s="321"/>
      <c r="AP1437" s="411"/>
      <c r="AQ1437" s="321"/>
      <c r="AR1437" s="321"/>
      <c r="AS1437" s="321"/>
      <c r="AT1437" s="321"/>
      <c r="AU1437" s="321"/>
      <c r="AV1437" s="321"/>
      <c r="AW1437" s="321"/>
      <c r="AX1437" s="411"/>
      <c r="AY1437" s="321"/>
      <c r="AZ1437" s="321"/>
      <c r="BA1437" s="321"/>
      <c r="BB1437" s="321"/>
      <c r="BC1437" s="321"/>
      <c r="BD1437" s="321"/>
      <c r="BE1437" s="411"/>
      <c r="BF1437" s="321"/>
      <c r="BG1437" s="321"/>
      <c r="BH1437" s="321"/>
      <c r="BI1437" s="321"/>
      <c r="BJ1437" s="321"/>
      <c r="BK1437" s="321"/>
      <c r="BL1437" s="650"/>
      <c r="BM1437" s="52"/>
      <c r="CV1437">
        <v>27</v>
      </c>
    </row>
    <row r="1438" spans="1:100">
      <c r="A1438" s="648"/>
      <c r="B1438" s="321"/>
      <c r="C1438" s="321"/>
      <c r="D1438" s="321"/>
      <c r="E1438" s="411"/>
      <c r="F1438" s="321"/>
      <c r="G1438" s="321"/>
      <c r="H1438" s="321"/>
      <c r="I1438" s="321"/>
      <c r="J1438" s="321"/>
      <c r="K1438" s="321"/>
      <c r="L1438" s="321"/>
      <c r="M1438" s="321"/>
      <c r="N1438" s="321"/>
      <c r="O1438" s="321"/>
      <c r="P1438" s="321"/>
      <c r="Q1438" s="411"/>
      <c r="R1438" s="321"/>
      <c r="S1438" s="321"/>
      <c r="T1438" s="321"/>
      <c r="U1438" s="321"/>
      <c r="V1438" s="321"/>
      <c r="W1438" s="321"/>
      <c r="X1438" s="321"/>
      <c r="Y1438" s="321"/>
      <c r="Z1438" s="411"/>
      <c r="AA1438" s="321"/>
      <c r="AB1438" s="321"/>
      <c r="AC1438" s="321"/>
      <c r="AD1438" s="321"/>
      <c r="AE1438" s="321"/>
      <c r="AF1438" s="650"/>
      <c r="AG1438" s="648"/>
      <c r="AH1438" s="321"/>
      <c r="AI1438" s="321"/>
      <c r="AJ1438" s="321"/>
      <c r="AK1438" s="321"/>
      <c r="AL1438" s="321"/>
      <c r="AM1438" s="321"/>
      <c r="AN1438" s="321"/>
      <c r="AO1438" s="321"/>
      <c r="AP1438" s="411"/>
      <c r="AQ1438" s="321"/>
      <c r="AR1438" s="321"/>
      <c r="AS1438" s="321"/>
      <c r="AT1438" s="321"/>
      <c r="AU1438" s="321"/>
      <c r="AV1438" s="321"/>
      <c r="AW1438" s="321"/>
      <c r="AX1438" s="411"/>
      <c r="AY1438" s="321"/>
      <c r="AZ1438" s="321"/>
      <c r="BA1438" s="321"/>
      <c r="BB1438" s="321"/>
      <c r="BC1438" s="321"/>
      <c r="BD1438" s="321"/>
      <c r="BE1438" s="411"/>
      <c r="BF1438" s="321"/>
      <c r="BG1438" s="321"/>
      <c r="BH1438" s="411"/>
      <c r="BI1438" s="321"/>
      <c r="BJ1438" s="321"/>
      <c r="BK1438" s="321"/>
      <c r="BL1438" s="650"/>
      <c r="BM1438" s="52"/>
      <c r="BN1438" s="309"/>
      <c r="BO1438" s="309"/>
      <c r="BP1438" s="309"/>
      <c r="BQ1438" s="309"/>
      <c r="BR1438" s="309"/>
      <c r="BS1438" s="309"/>
      <c r="BT1438" s="309"/>
      <c r="BU1438" s="309"/>
      <c r="BV1438" s="309"/>
      <c r="BW1438" s="309"/>
      <c r="BX1438" s="309"/>
      <c r="BY1438" s="309"/>
      <c r="BZ1438" s="309"/>
      <c r="CA1438" s="309"/>
      <c r="CB1438" s="309"/>
      <c r="CC1438" s="309"/>
      <c r="CD1438" s="309"/>
      <c r="CE1438" s="309"/>
      <c r="CF1438" s="309"/>
      <c r="CG1438" s="309"/>
      <c r="CH1438" s="309"/>
      <c r="CI1438" s="309"/>
      <c r="CJ1438" s="309"/>
      <c r="CK1438" s="309"/>
      <c r="CL1438" s="309"/>
      <c r="CM1438" s="309"/>
      <c r="CN1438" s="309"/>
      <c r="CO1438" s="309"/>
      <c r="CP1438" s="309"/>
      <c r="CQ1438" s="309"/>
      <c r="CR1438" s="309"/>
      <c r="CS1438" s="309"/>
    </row>
    <row r="1439" spans="1:100">
      <c r="A1439" s="648"/>
      <c r="B1439" s="321"/>
      <c r="C1439" s="321"/>
      <c r="D1439" s="321"/>
      <c r="E1439" s="411"/>
      <c r="F1439" s="321"/>
      <c r="G1439" s="321"/>
      <c r="H1439" s="321"/>
      <c r="I1439" s="321"/>
      <c r="J1439" s="321"/>
      <c r="K1439" s="321"/>
      <c r="L1439" s="321"/>
      <c r="M1439" s="321"/>
      <c r="N1439" s="321"/>
      <c r="O1439" s="321"/>
      <c r="P1439" s="321"/>
      <c r="Q1439" s="411"/>
      <c r="R1439" s="321"/>
      <c r="S1439" s="321"/>
      <c r="T1439" s="321"/>
      <c r="U1439" s="321"/>
      <c r="V1439" s="321"/>
      <c r="W1439" s="321"/>
      <c r="X1439" s="321"/>
      <c r="Y1439" s="321"/>
      <c r="Z1439" s="411"/>
      <c r="AA1439" s="321"/>
      <c r="AB1439" s="321"/>
      <c r="AC1439" s="321"/>
      <c r="AD1439" s="321"/>
      <c r="AE1439" s="321"/>
      <c r="AF1439" s="650"/>
      <c r="AG1439" s="648"/>
      <c r="AH1439" s="321"/>
      <c r="AI1439" s="321"/>
      <c r="AJ1439" s="321"/>
      <c r="AK1439" s="321"/>
      <c r="AL1439" s="321"/>
      <c r="AM1439" s="321"/>
      <c r="AN1439" s="321"/>
      <c r="AO1439" s="321"/>
      <c r="AP1439" s="321"/>
      <c r="AQ1439" s="321"/>
      <c r="AR1439" s="321"/>
      <c r="AS1439" s="321"/>
      <c r="AT1439" s="321"/>
      <c r="AU1439" s="321"/>
      <c r="AV1439" s="321"/>
      <c r="AW1439" s="321"/>
      <c r="AX1439" s="411"/>
      <c r="AY1439" s="321"/>
      <c r="AZ1439" s="321"/>
      <c r="BA1439" s="321"/>
      <c r="BB1439" s="321"/>
      <c r="BC1439" s="321"/>
      <c r="BD1439" s="321"/>
      <c r="BE1439" s="411"/>
      <c r="BF1439" s="321"/>
      <c r="BG1439" s="321"/>
      <c r="BH1439" s="411"/>
      <c r="BI1439" s="321"/>
      <c r="BJ1439" s="321"/>
      <c r="BK1439" s="321"/>
      <c r="BL1439" s="650"/>
      <c r="BM1439" s="52"/>
      <c r="CV1439">
        <v>30</v>
      </c>
    </row>
    <row r="1440" spans="1:100">
      <c r="A1440" s="651"/>
      <c r="B1440" s="569"/>
      <c r="C1440" s="569"/>
      <c r="D1440" s="569"/>
      <c r="E1440" s="582"/>
      <c r="F1440" s="569"/>
      <c r="G1440" s="569"/>
      <c r="H1440" s="569"/>
      <c r="I1440" s="569"/>
      <c r="J1440" s="569"/>
      <c r="K1440" s="569"/>
      <c r="L1440" s="569"/>
      <c r="M1440" s="569"/>
      <c r="N1440" s="569"/>
      <c r="O1440" s="569"/>
      <c r="P1440" s="569"/>
      <c r="Q1440" s="582"/>
      <c r="R1440" s="569"/>
      <c r="S1440" s="569"/>
      <c r="T1440" s="569"/>
      <c r="U1440" s="569"/>
      <c r="V1440" s="569"/>
      <c r="W1440" s="569"/>
      <c r="X1440" s="569"/>
      <c r="Y1440" s="569"/>
      <c r="Z1440" s="582"/>
      <c r="AA1440" s="569"/>
      <c r="AB1440" s="569"/>
      <c r="AC1440" s="569"/>
      <c r="AD1440" s="569"/>
      <c r="AE1440" s="569"/>
      <c r="AF1440" s="652"/>
      <c r="AG1440" s="653"/>
      <c r="AH1440" s="582"/>
      <c r="AI1440" s="582"/>
      <c r="AJ1440" s="582"/>
      <c r="AK1440" s="582"/>
      <c r="AL1440" s="582"/>
      <c r="AM1440" s="582"/>
      <c r="AN1440" s="582"/>
      <c r="AO1440" s="582"/>
      <c r="AP1440" s="582"/>
      <c r="AQ1440" s="582"/>
      <c r="AR1440" s="582"/>
      <c r="AS1440" s="582"/>
      <c r="AT1440" s="582"/>
      <c r="AU1440" s="582"/>
      <c r="AV1440" s="582"/>
      <c r="AW1440" s="582"/>
      <c r="AX1440" s="582"/>
      <c r="AY1440" s="582"/>
      <c r="AZ1440" s="582"/>
      <c r="BA1440" s="582"/>
      <c r="BB1440" s="582"/>
      <c r="BC1440" s="582"/>
      <c r="BD1440" s="582"/>
      <c r="BE1440" s="582"/>
      <c r="BF1440" s="582"/>
      <c r="BG1440" s="582"/>
      <c r="BH1440" s="582"/>
      <c r="BI1440" s="582"/>
      <c r="BJ1440" s="582"/>
      <c r="BK1440" s="582"/>
      <c r="BL1440" s="652"/>
      <c r="BM1440" s="52"/>
      <c r="CV1440">
        <v>30</v>
      </c>
    </row>
    <row r="1441" spans="1:65">
      <c r="A1441" s="25"/>
      <c r="B1441" s="438">
        <v>2</v>
      </c>
      <c r="C1441" s="438">
        <v>2</v>
      </c>
      <c r="D1441" s="25"/>
      <c r="E1441" s="25"/>
      <c r="F1441" s="438">
        <v>2</v>
      </c>
      <c r="G1441" s="438">
        <v>2</v>
      </c>
      <c r="H1441" s="438">
        <v>2</v>
      </c>
      <c r="I1441" s="438">
        <v>2</v>
      </c>
      <c r="J1441" s="295"/>
      <c r="K1441" s="295"/>
      <c r="L1441" s="438">
        <v>2</v>
      </c>
      <c r="M1441" s="438">
        <v>2</v>
      </c>
      <c r="N1441" s="438">
        <v>2</v>
      </c>
      <c r="O1441" s="438">
        <v>2</v>
      </c>
      <c r="P1441" s="438">
        <v>2</v>
      </c>
      <c r="Q1441" s="438">
        <v>2</v>
      </c>
      <c r="R1441" s="438">
        <v>2</v>
      </c>
      <c r="S1441" s="438">
        <v>2</v>
      </c>
      <c r="T1441" s="438">
        <v>2</v>
      </c>
      <c r="U1441" s="438">
        <v>2</v>
      </c>
      <c r="V1441" s="438">
        <v>2</v>
      </c>
      <c r="W1441" s="295"/>
      <c r="X1441" s="295"/>
      <c r="Y1441" s="438">
        <v>2</v>
      </c>
      <c r="Z1441" s="438">
        <v>2</v>
      </c>
      <c r="AA1441" s="438">
        <v>2</v>
      </c>
      <c r="AB1441" s="25"/>
      <c r="AC1441" s="25"/>
      <c r="AD1441" s="25"/>
      <c r="AE1441" s="25"/>
      <c r="AF1441" s="25"/>
      <c r="AG1441" s="438">
        <v>2</v>
      </c>
      <c r="AH1441" s="438">
        <v>2</v>
      </c>
      <c r="AI1441" s="438">
        <v>2</v>
      </c>
      <c r="AJ1441" s="8"/>
      <c r="AK1441" s="8"/>
      <c r="AL1441" s="438">
        <v>2</v>
      </c>
      <c r="AM1441" s="438">
        <v>2</v>
      </c>
      <c r="AN1441" s="438">
        <v>2</v>
      </c>
      <c r="AO1441" s="438">
        <v>2</v>
      </c>
      <c r="AP1441" s="295"/>
      <c r="AQ1441" s="295"/>
      <c r="AR1441" s="438">
        <v>2</v>
      </c>
      <c r="AS1441" s="438">
        <v>2</v>
      </c>
      <c r="AT1441" s="438">
        <v>2</v>
      </c>
      <c r="AU1441" s="438">
        <v>2</v>
      </c>
      <c r="AV1441" s="438">
        <v>2</v>
      </c>
      <c r="AW1441" s="438">
        <v>2</v>
      </c>
      <c r="AX1441" s="438">
        <v>2</v>
      </c>
      <c r="AY1441" s="438">
        <v>2</v>
      </c>
      <c r="AZ1441" s="438">
        <v>2</v>
      </c>
      <c r="BA1441" s="438">
        <v>2</v>
      </c>
      <c r="BB1441" s="438">
        <v>2</v>
      </c>
      <c r="BC1441" s="295"/>
      <c r="BD1441" s="295"/>
      <c r="BE1441" s="438">
        <v>2</v>
      </c>
      <c r="BF1441" s="438">
        <v>2</v>
      </c>
      <c r="BG1441" s="438">
        <v>2</v>
      </c>
      <c r="BH1441" s="438">
        <v>2</v>
      </c>
      <c r="BI1441" s="8"/>
      <c r="BJ1441" s="8"/>
      <c r="BK1441" s="438">
        <v>2</v>
      </c>
      <c r="BL1441" s="438">
        <v>2</v>
      </c>
      <c r="BM1441" s="8">
        <v>46</v>
      </c>
    </row>
    <row r="1442" spans="1:65">
      <c r="A1442" s="438">
        <v>2</v>
      </c>
      <c r="B1442" s="321">
        <v>0</v>
      </c>
      <c r="C1442" s="321">
        <v>0</v>
      </c>
      <c r="D1442" s="25"/>
      <c r="E1442" s="25"/>
      <c r="F1442" s="321">
        <v>0</v>
      </c>
      <c r="G1442" s="321">
        <v>0</v>
      </c>
      <c r="H1442" s="321">
        <v>0</v>
      </c>
      <c r="I1442" s="321">
        <v>0</v>
      </c>
      <c r="J1442" s="321">
        <v>0</v>
      </c>
      <c r="K1442" s="321">
        <v>0</v>
      </c>
      <c r="L1442" s="321">
        <v>0</v>
      </c>
      <c r="M1442" s="321">
        <v>0</v>
      </c>
      <c r="N1442" s="25"/>
      <c r="O1442" s="25"/>
      <c r="P1442" s="321">
        <v>0</v>
      </c>
      <c r="Q1442" s="321">
        <v>0</v>
      </c>
      <c r="R1442" s="321">
        <v>0</v>
      </c>
      <c r="S1442" s="321">
        <v>0</v>
      </c>
      <c r="T1442" s="321">
        <v>0</v>
      </c>
      <c r="U1442" s="321">
        <v>0</v>
      </c>
      <c r="V1442" s="321">
        <v>0</v>
      </c>
      <c r="W1442" s="321">
        <v>0</v>
      </c>
      <c r="X1442" s="552">
        <v>1</v>
      </c>
      <c r="Y1442" s="321">
        <v>0</v>
      </c>
      <c r="Z1442" s="321">
        <v>0</v>
      </c>
      <c r="AA1442" s="321">
        <v>0</v>
      </c>
      <c r="AB1442" s="321">
        <v>0</v>
      </c>
      <c r="AC1442" s="321">
        <v>0</v>
      </c>
      <c r="AD1442" s="321">
        <v>0</v>
      </c>
      <c r="AE1442" s="321">
        <v>0</v>
      </c>
      <c r="AF1442" s="438">
        <v>1</v>
      </c>
      <c r="AG1442" s="438">
        <v>2</v>
      </c>
      <c r="AH1442" s="321">
        <v>0</v>
      </c>
      <c r="AI1442" s="321">
        <v>0</v>
      </c>
      <c r="AJ1442" s="8"/>
      <c r="AK1442" s="8"/>
      <c r="AL1442" s="321">
        <v>0</v>
      </c>
      <c r="AM1442" s="321">
        <v>0</v>
      </c>
      <c r="AN1442" s="321">
        <v>0</v>
      </c>
      <c r="AO1442" s="321">
        <v>0</v>
      </c>
      <c r="AP1442" s="321">
        <v>0</v>
      </c>
      <c r="AQ1442" s="321">
        <v>0</v>
      </c>
      <c r="AR1442" s="321">
        <v>0</v>
      </c>
      <c r="AS1442" s="321">
        <v>0</v>
      </c>
      <c r="AT1442" s="304"/>
      <c r="AU1442" s="8"/>
      <c r="AV1442" s="321">
        <v>0</v>
      </c>
      <c r="AW1442" s="321">
        <v>0</v>
      </c>
      <c r="AX1442" s="321">
        <v>0</v>
      </c>
      <c r="AY1442" s="321">
        <v>0</v>
      </c>
      <c r="AZ1442" s="321">
        <v>0</v>
      </c>
      <c r="BA1442" s="321">
        <v>0</v>
      </c>
      <c r="BB1442" s="321">
        <v>0</v>
      </c>
      <c r="BC1442" s="321">
        <v>0</v>
      </c>
      <c r="BD1442" s="321">
        <v>0</v>
      </c>
      <c r="BE1442" s="321">
        <v>0</v>
      </c>
      <c r="BF1442" s="321">
        <v>0</v>
      </c>
      <c r="BG1442" s="321">
        <v>0</v>
      </c>
      <c r="BH1442" s="321">
        <v>0</v>
      </c>
      <c r="BI1442" s="321">
        <v>0</v>
      </c>
      <c r="BJ1442" s="321">
        <v>0</v>
      </c>
      <c r="BK1442" s="321">
        <v>0</v>
      </c>
      <c r="BL1442" s="438">
        <v>1</v>
      </c>
      <c r="BM1442" s="25"/>
    </row>
    <row r="1443" spans="1:65">
      <c r="A1443" s="304"/>
      <c r="B1443" s="304"/>
      <c r="C1443" s="321">
        <v>0</v>
      </c>
      <c r="D1443" s="321">
        <v>0</v>
      </c>
      <c r="E1443" s="321">
        <v>0</v>
      </c>
      <c r="F1443" s="321">
        <v>0</v>
      </c>
      <c r="G1443" s="304"/>
      <c r="H1443" s="304"/>
      <c r="I1443" s="321">
        <v>0</v>
      </c>
      <c r="J1443" s="321">
        <v>0</v>
      </c>
      <c r="K1443" s="321">
        <v>0</v>
      </c>
      <c r="L1443" s="321">
        <v>0</v>
      </c>
      <c r="M1443" s="321">
        <v>0</v>
      </c>
      <c r="N1443" s="25"/>
      <c r="O1443" s="25"/>
      <c r="P1443" s="321">
        <v>0</v>
      </c>
      <c r="Q1443" s="321">
        <v>0</v>
      </c>
      <c r="R1443" s="321">
        <v>0</v>
      </c>
      <c r="S1443" s="321">
        <v>0</v>
      </c>
      <c r="T1443" s="321">
        <v>0</v>
      </c>
      <c r="U1443" s="321">
        <v>0</v>
      </c>
      <c r="V1443" s="321">
        <v>0</v>
      </c>
      <c r="W1443" s="552">
        <v>1</v>
      </c>
      <c r="X1443" s="321">
        <v>0</v>
      </c>
      <c r="Y1443" s="321">
        <v>0</v>
      </c>
      <c r="Z1443" s="321">
        <v>0</v>
      </c>
      <c r="AA1443" s="321">
        <v>0</v>
      </c>
      <c r="AB1443" s="321">
        <v>0</v>
      </c>
      <c r="AC1443" s="321">
        <v>0</v>
      </c>
      <c r="AD1443" s="321">
        <v>0</v>
      </c>
      <c r="AE1443" s="295"/>
      <c r="AF1443" s="295"/>
      <c r="AG1443" s="8"/>
      <c r="AH1443" s="8"/>
      <c r="AI1443" s="321">
        <v>0</v>
      </c>
      <c r="AJ1443" s="321">
        <v>0</v>
      </c>
      <c r="AK1443" s="321">
        <v>0</v>
      </c>
      <c r="AL1443" s="321">
        <v>0</v>
      </c>
      <c r="AM1443" s="304"/>
      <c r="AN1443" s="304"/>
      <c r="AO1443" s="321">
        <v>0</v>
      </c>
      <c r="AP1443" s="321">
        <v>0</v>
      </c>
      <c r="AQ1443" s="321">
        <v>0</v>
      </c>
      <c r="AR1443" s="321">
        <v>0</v>
      </c>
      <c r="AS1443" s="321">
        <v>0</v>
      </c>
      <c r="AT1443" s="321">
        <v>0</v>
      </c>
      <c r="AU1443" s="8"/>
      <c r="AV1443" s="321">
        <v>0</v>
      </c>
      <c r="AW1443" s="321">
        <v>0</v>
      </c>
      <c r="AX1443" s="321">
        <v>0</v>
      </c>
      <c r="AY1443" s="321">
        <v>0</v>
      </c>
      <c r="AZ1443" s="321">
        <v>0</v>
      </c>
      <c r="BA1443" s="321">
        <v>0</v>
      </c>
      <c r="BB1443" s="321">
        <v>0</v>
      </c>
      <c r="BC1443" s="552">
        <v>1</v>
      </c>
      <c r="BD1443" s="321">
        <v>0</v>
      </c>
      <c r="BE1443" s="8"/>
      <c r="BF1443" s="8"/>
      <c r="BG1443" s="321">
        <v>0</v>
      </c>
      <c r="BH1443" s="321">
        <v>0</v>
      </c>
      <c r="BI1443" s="321">
        <v>0</v>
      </c>
      <c r="BJ1443" s="321">
        <v>0</v>
      </c>
      <c r="BK1443" s="295"/>
      <c r="BL1443" s="295"/>
    </row>
    <row r="1444" spans="1:65">
      <c r="A1444" s="438">
        <v>2</v>
      </c>
      <c r="B1444" s="321">
        <v>0</v>
      </c>
      <c r="C1444" s="321">
        <v>0</v>
      </c>
      <c r="D1444" s="321">
        <v>0</v>
      </c>
      <c r="E1444" s="321">
        <v>0</v>
      </c>
      <c r="F1444" s="321">
        <v>0</v>
      </c>
      <c r="G1444" s="321">
        <v>0</v>
      </c>
      <c r="H1444" s="321">
        <v>0</v>
      </c>
      <c r="I1444" s="321">
        <v>0</v>
      </c>
      <c r="J1444" s="321">
        <v>0</v>
      </c>
      <c r="K1444" s="321">
        <v>0</v>
      </c>
      <c r="L1444" s="321">
        <v>0</v>
      </c>
      <c r="M1444" s="321">
        <v>0</v>
      </c>
      <c r="N1444" s="321">
        <v>0</v>
      </c>
      <c r="O1444" s="321">
        <v>0</v>
      </c>
      <c r="P1444" s="321">
        <v>0</v>
      </c>
      <c r="Q1444" s="321">
        <v>0</v>
      </c>
      <c r="R1444" s="321">
        <v>0</v>
      </c>
      <c r="S1444" s="304"/>
      <c r="T1444" s="304"/>
      <c r="U1444" s="321">
        <v>0</v>
      </c>
      <c r="V1444" s="552">
        <v>1</v>
      </c>
      <c r="W1444" s="321">
        <v>0</v>
      </c>
      <c r="X1444" s="321">
        <v>0</v>
      </c>
      <c r="Y1444" s="321">
        <v>0</v>
      </c>
      <c r="Z1444" s="321">
        <v>0</v>
      </c>
      <c r="AA1444" s="321">
        <v>0</v>
      </c>
      <c r="AB1444" s="321">
        <v>0</v>
      </c>
      <c r="AC1444" s="321">
        <v>0</v>
      </c>
      <c r="AD1444" s="321">
        <v>0</v>
      </c>
      <c r="AE1444" s="321">
        <v>0</v>
      </c>
      <c r="AF1444" s="438">
        <v>1</v>
      </c>
      <c r="AG1444" s="438">
        <v>2</v>
      </c>
      <c r="AH1444" s="321">
        <v>0</v>
      </c>
      <c r="AI1444" s="321">
        <v>0</v>
      </c>
      <c r="AJ1444" s="321">
        <v>0</v>
      </c>
      <c r="AK1444" s="321">
        <v>0</v>
      </c>
      <c r="AL1444" s="321">
        <v>0</v>
      </c>
      <c r="AM1444" s="321">
        <v>0</v>
      </c>
      <c r="AN1444" s="321">
        <v>0</v>
      </c>
      <c r="AO1444" s="321">
        <v>0</v>
      </c>
      <c r="AP1444" s="321">
        <v>0</v>
      </c>
      <c r="AQ1444" s="321">
        <v>0</v>
      </c>
      <c r="AR1444" s="321">
        <v>0</v>
      </c>
      <c r="AS1444" s="321">
        <v>0</v>
      </c>
      <c r="AT1444" s="321">
        <v>0</v>
      </c>
      <c r="AU1444" s="321">
        <v>0</v>
      </c>
      <c r="AV1444" s="321">
        <v>0</v>
      </c>
      <c r="AW1444" s="321">
        <v>0</v>
      </c>
      <c r="AX1444" s="321">
        <v>0</v>
      </c>
      <c r="AY1444" s="304"/>
      <c r="AZ1444" s="304"/>
      <c r="BA1444" s="321">
        <v>0</v>
      </c>
      <c r="BB1444" s="552">
        <v>1</v>
      </c>
      <c r="BC1444" s="321">
        <v>0</v>
      </c>
      <c r="BD1444" s="321">
        <v>0</v>
      </c>
      <c r="BE1444" s="8"/>
      <c r="BF1444" s="8"/>
      <c r="BG1444" s="321">
        <v>0</v>
      </c>
      <c r="BH1444" s="321">
        <v>0</v>
      </c>
      <c r="BI1444" s="321">
        <v>0</v>
      </c>
      <c r="BJ1444" s="321">
        <v>0</v>
      </c>
      <c r="BK1444" s="321">
        <v>0</v>
      </c>
      <c r="BL1444" s="438">
        <v>1</v>
      </c>
    </row>
    <row r="1445" spans="1:65">
      <c r="A1445" s="438">
        <v>2</v>
      </c>
      <c r="B1445" s="321">
        <v>0</v>
      </c>
      <c r="C1445" s="295"/>
      <c r="D1445" s="295"/>
      <c r="E1445" s="321">
        <v>0</v>
      </c>
      <c r="F1445" s="321">
        <v>0</v>
      </c>
      <c r="G1445" s="321">
        <v>0</v>
      </c>
      <c r="H1445" s="321">
        <v>0</v>
      </c>
      <c r="I1445" s="321">
        <v>0</v>
      </c>
      <c r="J1445" s="321">
        <v>0</v>
      </c>
      <c r="K1445" s="321">
        <v>0</v>
      </c>
      <c r="L1445" s="321">
        <v>0</v>
      </c>
      <c r="M1445" s="552">
        <v>1</v>
      </c>
      <c r="N1445" s="321">
        <v>0</v>
      </c>
      <c r="O1445" s="321">
        <v>0</v>
      </c>
      <c r="P1445" s="321">
        <v>0</v>
      </c>
      <c r="Q1445" s="321">
        <v>0</v>
      </c>
      <c r="R1445" s="321">
        <v>0</v>
      </c>
      <c r="S1445" s="321">
        <v>0</v>
      </c>
      <c r="T1445" s="321">
        <v>0</v>
      </c>
      <c r="U1445" s="321">
        <v>0</v>
      </c>
      <c r="V1445" s="321">
        <v>0</v>
      </c>
      <c r="W1445" s="321">
        <v>0</v>
      </c>
      <c r="X1445" s="321">
        <v>0</v>
      </c>
      <c r="Y1445" s="321">
        <v>0</v>
      </c>
      <c r="Z1445" s="321">
        <v>0</v>
      </c>
      <c r="AA1445" s="321">
        <v>0</v>
      </c>
      <c r="AB1445" s="304"/>
      <c r="AC1445" s="304"/>
      <c r="AD1445" s="321">
        <v>0</v>
      </c>
      <c r="AE1445" s="321">
        <v>0</v>
      </c>
      <c r="AF1445" s="438">
        <v>1</v>
      </c>
      <c r="AG1445" s="438">
        <v>2</v>
      </c>
      <c r="AH1445" s="321">
        <v>0</v>
      </c>
      <c r="AI1445" s="295"/>
      <c r="AJ1445" s="295"/>
      <c r="AK1445" s="321">
        <v>0</v>
      </c>
      <c r="AL1445" s="321">
        <v>0</v>
      </c>
      <c r="AM1445" s="321">
        <v>0</v>
      </c>
      <c r="AN1445" s="321">
        <v>0</v>
      </c>
      <c r="AO1445" s="321">
        <v>0</v>
      </c>
      <c r="AP1445" s="321">
        <v>0</v>
      </c>
      <c r="AQ1445" s="321">
        <v>0</v>
      </c>
      <c r="AR1445" s="321">
        <v>0</v>
      </c>
      <c r="AS1445" s="552">
        <v>1</v>
      </c>
      <c r="AT1445" s="321">
        <v>0</v>
      </c>
      <c r="AU1445" s="321">
        <v>0</v>
      </c>
      <c r="AV1445" s="321">
        <v>0</v>
      </c>
      <c r="AW1445" s="321">
        <v>0</v>
      </c>
      <c r="AX1445" s="321">
        <v>0</v>
      </c>
      <c r="AY1445" s="321">
        <v>0</v>
      </c>
      <c r="AZ1445" s="321">
        <v>0</v>
      </c>
      <c r="BA1445" s="552">
        <v>1</v>
      </c>
      <c r="BB1445" s="321">
        <v>0</v>
      </c>
      <c r="BC1445" s="321">
        <v>0</v>
      </c>
      <c r="BD1445" s="321">
        <v>0</v>
      </c>
      <c r="BE1445" s="321">
        <v>0</v>
      </c>
      <c r="BF1445" s="321">
        <v>0</v>
      </c>
      <c r="BG1445" s="321">
        <v>0</v>
      </c>
      <c r="BH1445" s="304"/>
      <c r="BI1445" s="304"/>
      <c r="BJ1445" s="321">
        <v>0</v>
      </c>
      <c r="BK1445" s="321">
        <v>0</v>
      </c>
      <c r="BL1445" s="438">
        <v>1</v>
      </c>
    </row>
    <row r="1446" spans="1:65">
      <c r="A1446" s="438">
        <v>2</v>
      </c>
      <c r="B1446" s="295"/>
      <c r="C1446" s="321">
        <v>0</v>
      </c>
      <c r="D1446" s="321">
        <v>0</v>
      </c>
      <c r="E1446" s="321">
        <v>0</v>
      </c>
      <c r="F1446" s="321">
        <v>0</v>
      </c>
      <c r="G1446" s="321">
        <v>0</v>
      </c>
      <c r="H1446" s="321">
        <v>0</v>
      </c>
      <c r="I1446" s="295"/>
      <c r="J1446" s="295"/>
      <c r="K1446" s="321">
        <v>0</v>
      </c>
      <c r="L1446" s="552">
        <v>1</v>
      </c>
      <c r="M1446" s="321">
        <v>0</v>
      </c>
      <c r="N1446" s="321">
        <v>0</v>
      </c>
      <c r="O1446" s="321">
        <v>0</v>
      </c>
      <c r="P1446" s="321">
        <v>0</v>
      </c>
      <c r="Q1446" s="321">
        <v>0</v>
      </c>
      <c r="R1446" s="321">
        <v>0</v>
      </c>
      <c r="S1446" s="321">
        <v>0</v>
      </c>
      <c r="T1446" s="321">
        <v>0</v>
      </c>
      <c r="U1446" s="321">
        <v>0</v>
      </c>
      <c r="V1446" s="321">
        <v>0</v>
      </c>
      <c r="W1446" s="295"/>
      <c r="X1446" s="295"/>
      <c r="Y1446" s="321">
        <v>0</v>
      </c>
      <c r="Z1446" s="321">
        <v>0</v>
      </c>
      <c r="AA1446" s="321">
        <v>0</v>
      </c>
      <c r="AB1446" s="321">
        <v>0</v>
      </c>
      <c r="AC1446" s="321">
        <v>0</v>
      </c>
      <c r="AD1446" s="321">
        <v>0</v>
      </c>
      <c r="AE1446" s="321">
        <v>0</v>
      </c>
      <c r="AF1446" s="438">
        <v>1</v>
      </c>
      <c r="AG1446" s="438">
        <v>2</v>
      </c>
      <c r="AH1446" s="295"/>
      <c r="AI1446" s="321">
        <v>0</v>
      </c>
      <c r="AJ1446" s="321">
        <v>0</v>
      </c>
      <c r="AK1446" s="321">
        <v>0</v>
      </c>
      <c r="AL1446" s="321">
        <v>0</v>
      </c>
      <c r="AM1446" s="321">
        <v>0</v>
      </c>
      <c r="AN1446" s="321">
        <v>0</v>
      </c>
      <c r="AO1446" s="295"/>
      <c r="AP1446" s="295"/>
      <c r="AQ1446" s="321">
        <v>0</v>
      </c>
      <c r="AR1446" s="552">
        <v>1</v>
      </c>
      <c r="AS1446" s="321">
        <v>0</v>
      </c>
      <c r="AT1446" s="8"/>
      <c r="AU1446" s="8"/>
      <c r="AV1446" s="321">
        <v>0</v>
      </c>
      <c r="AW1446" s="321">
        <v>0</v>
      </c>
      <c r="AX1446" s="321">
        <v>0</v>
      </c>
      <c r="AY1446" s="321">
        <v>0</v>
      </c>
      <c r="AZ1446" s="321">
        <v>0</v>
      </c>
      <c r="BA1446" s="321">
        <v>0</v>
      </c>
      <c r="BB1446" s="321">
        <v>0</v>
      </c>
      <c r="BC1446" s="295"/>
      <c r="BD1446" s="295"/>
      <c r="BE1446" s="321">
        <v>0</v>
      </c>
      <c r="BF1446" s="321">
        <v>0</v>
      </c>
      <c r="BG1446" s="321">
        <v>0</v>
      </c>
      <c r="BH1446" s="321">
        <v>0</v>
      </c>
      <c r="BI1446" s="321">
        <v>0</v>
      </c>
      <c r="BJ1446" s="321">
        <v>0</v>
      </c>
      <c r="BK1446" s="321">
        <v>0</v>
      </c>
      <c r="BL1446" s="438">
        <v>1</v>
      </c>
    </row>
    <row r="1447" spans="1:65">
      <c r="A1447" s="438">
        <v>2</v>
      </c>
      <c r="B1447" s="321">
        <v>0</v>
      </c>
      <c r="C1447" s="321">
        <v>0</v>
      </c>
      <c r="D1447" s="321">
        <v>0</v>
      </c>
      <c r="E1447" s="321">
        <v>0</v>
      </c>
      <c r="F1447" s="321">
        <v>0</v>
      </c>
      <c r="G1447" s="321">
        <v>0</v>
      </c>
      <c r="H1447" s="321">
        <v>0</v>
      </c>
      <c r="I1447" s="321">
        <v>0</v>
      </c>
      <c r="J1447" s="321">
        <v>0</v>
      </c>
      <c r="K1447" s="552">
        <v>1</v>
      </c>
      <c r="L1447" s="321">
        <v>0</v>
      </c>
      <c r="M1447" s="321">
        <v>0</v>
      </c>
      <c r="N1447" s="304"/>
      <c r="O1447" s="304"/>
      <c r="P1447" s="321">
        <v>0</v>
      </c>
      <c r="Q1447" s="321">
        <v>0</v>
      </c>
      <c r="R1447" s="321">
        <v>0</v>
      </c>
      <c r="S1447" s="321">
        <v>0</v>
      </c>
      <c r="T1447" s="321">
        <v>0</v>
      </c>
      <c r="U1447" s="321">
        <v>0</v>
      </c>
      <c r="V1447" s="321">
        <v>0</v>
      </c>
      <c r="W1447" s="321">
        <v>0</v>
      </c>
      <c r="X1447" s="321">
        <v>0</v>
      </c>
      <c r="Y1447" s="321">
        <v>0</v>
      </c>
      <c r="Z1447" s="321">
        <v>0</v>
      </c>
      <c r="AA1447" s="321">
        <v>0</v>
      </c>
      <c r="AB1447" s="552">
        <v>1</v>
      </c>
      <c r="AC1447" s="321">
        <v>0</v>
      </c>
      <c r="AD1447" s="321">
        <v>0</v>
      </c>
      <c r="AE1447" s="321">
        <v>0</v>
      </c>
      <c r="AF1447" s="438">
        <v>1</v>
      </c>
      <c r="AG1447" s="438">
        <v>2</v>
      </c>
      <c r="AH1447" s="321">
        <v>0</v>
      </c>
      <c r="AI1447" s="321">
        <v>0</v>
      </c>
      <c r="AJ1447" s="321">
        <v>0</v>
      </c>
      <c r="AK1447" s="321">
        <v>0</v>
      </c>
      <c r="AL1447" s="321">
        <v>0</v>
      </c>
      <c r="AM1447" s="321">
        <v>0</v>
      </c>
      <c r="AN1447" s="321">
        <v>0</v>
      </c>
      <c r="AO1447" s="321">
        <v>0</v>
      </c>
      <c r="AP1447" s="321">
        <v>0</v>
      </c>
      <c r="AQ1447" s="552">
        <v>1</v>
      </c>
      <c r="AR1447" s="321">
        <v>0</v>
      </c>
      <c r="AS1447" s="321">
        <v>0</v>
      </c>
      <c r="AT1447" s="8"/>
      <c r="AU1447" s="8"/>
      <c r="AV1447" s="321">
        <v>0</v>
      </c>
      <c r="AW1447" s="321">
        <v>0</v>
      </c>
      <c r="AX1447" s="321">
        <v>0</v>
      </c>
      <c r="AY1447" s="321">
        <v>0</v>
      </c>
      <c r="AZ1447" s="321">
        <v>0</v>
      </c>
      <c r="BA1447" s="321">
        <v>0</v>
      </c>
      <c r="BB1447" s="321">
        <v>0</v>
      </c>
      <c r="BC1447" s="321">
        <v>0</v>
      </c>
      <c r="BD1447" s="321">
        <v>0</v>
      </c>
      <c r="BE1447" s="321">
        <v>0</v>
      </c>
      <c r="BF1447" s="321">
        <v>0</v>
      </c>
      <c r="BG1447" s="321">
        <v>0</v>
      </c>
      <c r="BH1447" s="552">
        <v>1</v>
      </c>
      <c r="BI1447" s="321">
        <v>0</v>
      </c>
      <c r="BJ1447" s="321">
        <v>0</v>
      </c>
      <c r="BK1447" s="321">
        <v>0</v>
      </c>
      <c r="BL1447" s="438">
        <v>1</v>
      </c>
    </row>
    <row r="1448" spans="1:65">
      <c r="A1448" s="438">
        <v>2</v>
      </c>
      <c r="B1448" s="321">
        <v>0</v>
      </c>
      <c r="C1448" s="321">
        <v>0</v>
      </c>
      <c r="D1448" s="304"/>
      <c r="E1448" s="304"/>
      <c r="F1448" s="321">
        <v>0</v>
      </c>
      <c r="G1448" s="321">
        <v>0</v>
      </c>
      <c r="H1448" s="25"/>
      <c r="I1448" s="321">
        <v>0</v>
      </c>
      <c r="J1448" s="552">
        <v>1</v>
      </c>
      <c r="K1448" s="321">
        <v>0</v>
      </c>
      <c r="L1448" s="321">
        <v>0</v>
      </c>
      <c r="M1448" s="321">
        <v>0</v>
      </c>
      <c r="N1448" s="321">
        <v>0</v>
      </c>
      <c r="O1448" s="321">
        <v>0</v>
      </c>
      <c r="P1448" s="321">
        <v>0</v>
      </c>
      <c r="Q1448" s="321">
        <v>0</v>
      </c>
      <c r="R1448" s="304"/>
      <c r="S1448" s="321">
        <v>0</v>
      </c>
      <c r="T1448" s="321">
        <v>0</v>
      </c>
      <c r="U1448" s="321">
        <v>0</v>
      </c>
      <c r="V1448" s="321">
        <v>0</v>
      </c>
      <c r="W1448" s="321">
        <v>0</v>
      </c>
      <c r="X1448" s="321">
        <v>0</v>
      </c>
      <c r="Y1448" s="321">
        <v>0</v>
      </c>
      <c r="Z1448" s="321">
        <v>0</v>
      </c>
      <c r="AA1448" s="552">
        <v>1</v>
      </c>
      <c r="AB1448" s="321">
        <v>0</v>
      </c>
      <c r="AC1448" s="321">
        <v>0</v>
      </c>
      <c r="AD1448" s="295"/>
      <c r="AE1448" s="295"/>
      <c r="AF1448" s="438">
        <v>1</v>
      </c>
      <c r="AG1448" s="438">
        <v>2</v>
      </c>
      <c r="AH1448" s="321">
        <v>0</v>
      </c>
      <c r="AI1448" s="321">
        <v>0</v>
      </c>
      <c r="AJ1448" s="304"/>
      <c r="AK1448" s="304"/>
      <c r="AL1448" s="321">
        <v>0</v>
      </c>
      <c r="AM1448" s="321">
        <v>0</v>
      </c>
      <c r="AN1448" s="304"/>
      <c r="AO1448" s="321">
        <v>0</v>
      </c>
      <c r="AP1448" s="552">
        <v>1</v>
      </c>
      <c r="AQ1448" s="321">
        <v>0</v>
      </c>
      <c r="AR1448" s="321">
        <v>0</v>
      </c>
      <c r="AS1448" s="321">
        <v>0</v>
      </c>
      <c r="AT1448" s="321">
        <v>0</v>
      </c>
      <c r="AU1448" s="321">
        <v>0</v>
      </c>
      <c r="AV1448" s="321">
        <v>0</v>
      </c>
      <c r="AW1448" s="321">
        <v>0</v>
      </c>
      <c r="AX1448" s="304"/>
      <c r="AY1448" s="321">
        <v>0</v>
      </c>
      <c r="AZ1448" s="321">
        <v>0</v>
      </c>
      <c r="BA1448" s="321">
        <v>0</v>
      </c>
      <c r="BB1448" s="321">
        <v>0</v>
      </c>
      <c r="BC1448" s="321">
        <v>0</v>
      </c>
      <c r="BD1448" s="321">
        <v>0</v>
      </c>
      <c r="BE1448" s="321">
        <v>0</v>
      </c>
      <c r="BF1448" s="321">
        <v>0</v>
      </c>
      <c r="BG1448" s="552">
        <v>1</v>
      </c>
      <c r="BH1448" s="321">
        <v>0</v>
      </c>
      <c r="BI1448" s="321">
        <v>0</v>
      </c>
      <c r="BJ1448" s="295"/>
      <c r="BK1448" s="295"/>
      <c r="BL1448" s="438">
        <v>1</v>
      </c>
    </row>
    <row r="1449" spans="1:65">
      <c r="A1449" s="438">
        <v>2</v>
      </c>
      <c r="B1449" s="321">
        <v>0</v>
      </c>
      <c r="C1449" s="552">
        <v>1</v>
      </c>
      <c r="D1449" s="321">
        <v>0</v>
      </c>
      <c r="E1449" s="304"/>
      <c r="F1449" s="304"/>
      <c r="G1449" s="321">
        <v>0</v>
      </c>
      <c r="H1449" s="321">
        <v>0</v>
      </c>
      <c r="I1449" s="321">
        <v>0</v>
      </c>
      <c r="J1449" s="321">
        <v>0</v>
      </c>
      <c r="K1449" s="321">
        <v>0</v>
      </c>
      <c r="L1449" s="321">
        <v>0</v>
      </c>
      <c r="M1449" s="321">
        <v>0</v>
      </c>
      <c r="N1449" s="321">
        <v>0</v>
      </c>
      <c r="O1449" s="321">
        <v>0</v>
      </c>
      <c r="P1449" s="321">
        <v>0</v>
      </c>
      <c r="Q1449" s="321">
        <v>0</v>
      </c>
      <c r="R1449" s="321">
        <v>0</v>
      </c>
      <c r="S1449" s="321">
        <v>0</v>
      </c>
      <c r="T1449" s="321">
        <v>0</v>
      </c>
      <c r="U1449" s="321">
        <v>0</v>
      </c>
      <c r="V1449" s="321">
        <v>0</v>
      </c>
      <c r="W1449" s="321">
        <v>0</v>
      </c>
      <c r="X1449" s="321">
        <v>0</v>
      </c>
      <c r="Y1449" s="321">
        <v>0</v>
      </c>
      <c r="Z1449" s="552">
        <v>1</v>
      </c>
      <c r="AA1449" s="321">
        <v>0</v>
      </c>
      <c r="AB1449" s="321">
        <v>0</v>
      </c>
      <c r="AC1449" s="321">
        <v>0</v>
      </c>
      <c r="AD1449" s="321">
        <v>0</v>
      </c>
      <c r="AE1449" s="321">
        <v>0</v>
      </c>
      <c r="AF1449" s="438">
        <v>1</v>
      </c>
      <c r="AG1449" s="438">
        <v>2</v>
      </c>
      <c r="AH1449" s="321">
        <v>0</v>
      </c>
      <c r="AI1449" s="321">
        <v>0</v>
      </c>
      <c r="AJ1449" s="321">
        <v>0</v>
      </c>
      <c r="AK1449" s="304"/>
      <c r="AL1449" s="304"/>
      <c r="AM1449" s="321">
        <v>0</v>
      </c>
      <c r="AN1449" s="321">
        <v>0</v>
      </c>
      <c r="AO1449" s="321">
        <v>0</v>
      </c>
      <c r="AP1449" s="321">
        <v>0</v>
      </c>
      <c r="AQ1449" s="321">
        <v>0</v>
      </c>
      <c r="AR1449" s="321">
        <v>0</v>
      </c>
      <c r="AS1449" s="321">
        <v>0</v>
      </c>
      <c r="AT1449" s="321">
        <v>0</v>
      </c>
      <c r="AU1449" s="552">
        <v>1</v>
      </c>
      <c r="AV1449" s="321">
        <v>0</v>
      </c>
      <c r="AW1449" s="321">
        <v>0</v>
      </c>
      <c r="AX1449" s="321">
        <v>0</v>
      </c>
      <c r="AY1449" s="321">
        <v>0</v>
      </c>
      <c r="AZ1449" s="321">
        <v>0</v>
      </c>
      <c r="BA1449" s="321">
        <v>0</v>
      </c>
      <c r="BB1449" s="321">
        <v>0</v>
      </c>
      <c r="BC1449" s="321">
        <v>0</v>
      </c>
      <c r="BD1449" s="321">
        <v>0</v>
      </c>
      <c r="BE1449" s="321">
        <v>0</v>
      </c>
      <c r="BF1449" s="552">
        <v>1</v>
      </c>
      <c r="BG1449" s="321">
        <v>0</v>
      </c>
      <c r="BH1449" s="321">
        <v>0</v>
      </c>
      <c r="BI1449" s="321">
        <v>0</v>
      </c>
      <c r="BJ1449" s="321">
        <v>0</v>
      </c>
      <c r="BK1449" s="321">
        <v>0</v>
      </c>
      <c r="BL1449" s="438">
        <v>1</v>
      </c>
    </row>
    <row r="1450" spans="1:65">
      <c r="A1450" s="438">
        <v>2</v>
      </c>
      <c r="B1450" s="552">
        <v>1</v>
      </c>
      <c r="C1450" s="321">
        <v>0</v>
      </c>
      <c r="D1450" s="321">
        <v>0</v>
      </c>
      <c r="E1450" s="321">
        <v>0</v>
      </c>
      <c r="F1450" s="304"/>
      <c r="G1450" s="321">
        <v>0</v>
      </c>
      <c r="H1450" s="321">
        <v>0</v>
      </c>
      <c r="I1450" s="321">
        <v>0</v>
      </c>
      <c r="J1450" s="321">
        <v>0</v>
      </c>
      <c r="K1450" s="309"/>
      <c r="L1450" s="321">
        <v>0</v>
      </c>
      <c r="M1450" s="321">
        <v>0</v>
      </c>
      <c r="N1450" s="321">
        <v>0</v>
      </c>
      <c r="O1450" s="321">
        <v>0</v>
      </c>
      <c r="P1450" s="552">
        <v>1</v>
      </c>
      <c r="Q1450" s="321">
        <v>0</v>
      </c>
      <c r="R1450" s="321">
        <v>0</v>
      </c>
      <c r="S1450" s="321">
        <v>0</v>
      </c>
      <c r="T1450" s="321">
        <v>0</v>
      </c>
      <c r="U1450" s="321">
        <v>0</v>
      </c>
      <c r="V1450" s="321">
        <v>0</v>
      </c>
      <c r="W1450" s="321">
        <v>0</v>
      </c>
      <c r="X1450" s="304"/>
      <c r="Y1450" s="552">
        <v>1</v>
      </c>
      <c r="Z1450" s="321">
        <v>0</v>
      </c>
      <c r="AA1450" s="321">
        <v>0</v>
      </c>
      <c r="AB1450" s="304"/>
      <c r="AC1450" s="304"/>
      <c r="AD1450" s="321">
        <v>0</v>
      </c>
      <c r="AE1450" s="321">
        <v>0</v>
      </c>
      <c r="AF1450" s="438">
        <v>1</v>
      </c>
      <c r="AG1450" s="438">
        <v>2</v>
      </c>
      <c r="AH1450" s="321">
        <v>0</v>
      </c>
      <c r="AI1450" s="321">
        <v>0</v>
      </c>
      <c r="AJ1450" s="321">
        <v>0</v>
      </c>
      <c r="AK1450" s="321">
        <v>0</v>
      </c>
      <c r="AL1450" s="321">
        <v>0</v>
      </c>
      <c r="AM1450" s="321">
        <v>0</v>
      </c>
      <c r="AN1450" s="321">
        <v>0</v>
      </c>
      <c r="AO1450" s="321">
        <v>0</v>
      </c>
      <c r="AP1450" s="321">
        <v>0</v>
      </c>
      <c r="AQ1450" s="304"/>
      <c r="AR1450" s="321">
        <v>0</v>
      </c>
      <c r="AS1450" s="321">
        <v>0</v>
      </c>
      <c r="AT1450" s="552">
        <v>1</v>
      </c>
      <c r="AU1450" s="321">
        <v>0</v>
      </c>
      <c r="AV1450" s="321">
        <v>0</v>
      </c>
      <c r="AW1450" s="321">
        <v>0</v>
      </c>
      <c r="AX1450" s="321">
        <v>0</v>
      </c>
      <c r="AY1450" s="321">
        <v>0</v>
      </c>
      <c r="AZ1450" s="8"/>
      <c r="BA1450" s="304"/>
      <c r="BB1450" s="321">
        <v>0</v>
      </c>
      <c r="BC1450" s="321">
        <v>0</v>
      </c>
      <c r="BD1450" s="304"/>
      <c r="BE1450" s="552">
        <v>1</v>
      </c>
      <c r="BF1450" s="321">
        <v>0</v>
      </c>
      <c r="BG1450" s="321">
        <v>0</v>
      </c>
      <c r="BH1450" s="304"/>
      <c r="BI1450" s="304"/>
      <c r="BJ1450" s="321">
        <v>0</v>
      </c>
      <c r="BK1450" s="321">
        <v>0</v>
      </c>
      <c r="BL1450" s="438">
        <v>1</v>
      </c>
    </row>
    <row r="1451" spans="1:65">
      <c r="A1451" s="438">
        <v>2</v>
      </c>
      <c r="B1451" s="321">
        <v>0</v>
      </c>
      <c r="C1451" s="321">
        <v>0</v>
      </c>
      <c r="D1451" s="321">
        <v>0</v>
      </c>
      <c r="E1451" s="321">
        <v>0</v>
      </c>
      <c r="F1451" s="321">
        <v>0</v>
      </c>
      <c r="G1451" s="321">
        <v>0</v>
      </c>
      <c r="H1451" s="321">
        <v>0</v>
      </c>
      <c r="I1451" s="321">
        <v>0</v>
      </c>
      <c r="J1451" s="309"/>
      <c r="K1451" s="309"/>
      <c r="L1451" s="321">
        <v>0</v>
      </c>
      <c r="M1451" s="321">
        <v>0</v>
      </c>
      <c r="N1451" s="321">
        <v>0</v>
      </c>
      <c r="O1451" s="552">
        <v>1</v>
      </c>
      <c r="P1451" s="321">
        <v>0</v>
      </c>
      <c r="Q1451" s="321">
        <v>0</v>
      </c>
      <c r="R1451" s="321">
        <v>0</v>
      </c>
      <c r="S1451" s="321">
        <v>0</v>
      </c>
      <c r="T1451" s="304"/>
      <c r="U1451" s="304"/>
      <c r="V1451" s="321">
        <v>0</v>
      </c>
      <c r="W1451" s="321">
        <v>0</v>
      </c>
      <c r="X1451" s="321">
        <v>0</v>
      </c>
      <c r="Y1451" s="321">
        <v>0</v>
      </c>
      <c r="Z1451" s="321">
        <v>0</v>
      </c>
      <c r="AA1451" s="304"/>
      <c r="AB1451" s="304"/>
      <c r="AC1451" s="321">
        <v>0</v>
      </c>
      <c r="AD1451" s="321">
        <v>0</v>
      </c>
      <c r="AE1451" s="321">
        <v>0</v>
      </c>
      <c r="AF1451" s="438">
        <v>1</v>
      </c>
      <c r="AG1451" s="438">
        <v>2</v>
      </c>
      <c r="AH1451" s="321">
        <v>0</v>
      </c>
      <c r="AI1451" s="321">
        <v>0</v>
      </c>
      <c r="AJ1451" s="321">
        <v>0</v>
      </c>
      <c r="AK1451" s="321">
        <v>0</v>
      </c>
      <c r="AL1451" s="321">
        <v>0</v>
      </c>
      <c r="AM1451" s="321">
        <v>0</v>
      </c>
      <c r="AN1451" s="321">
        <v>0</v>
      </c>
      <c r="AO1451" s="321">
        <v>0</v>
      </c>
      <c r="AP1451" s="304"/>
      <c r="AQ1451" s="304"/>
      <c r="AR1451" s="321">
        <v>0</v>
      </c>
      <c r="AS1451" s="552">
        <v>1</v>
      </c>
      <c r="AT1451" s="321">
        <v>0</v>
      </c>
      <c r="AU1451" s="321">
        <v>0</v>
      </c>
      <c r="AV1451" s="321">
        <v>0</v>
      </c>
      <c r="AW1451" s="321">
        <v>0</v>
      </c>
      <c r="AX1451" s="321">
        <v>0</v>
      </c>
      <c r="AY1451" s="321">
        <v>0</v>
      </c>
      <c r="AZ1451" s="8"/>
      <c r="BA1451" s="304"/>
      <c r="BB1451" s="321">
        <v>0</v>
      </c>
      <c r="BC1451" s="321">
        <v>0</v>
      </c>
      <c r="BD1451" s="321">
        <v>0</v>
      </c>
      <c r="BE1451" s="321">
        <v>0</v>
      </c>
      <c r="BF1451" s="321">
        <v>0</v>
      </c>
      <c r="BG1451" s="304"/>
      <c r="BH1451" s="304"/>
      <c r="BI1451" s="321">
        <v>0</v>
      </c>
      <c r="BJ1451" s="321">
        <v>0</v>
      </c>
      <c r="BK1451" s="321">
        <v>0</v>
      </c>
      <c r="BL1451" s="438">
        <v>1</v>
      </c>
    </row>
    <row r="1452" spans="1:65">
      <c r="A1452" s="438">
        <v>2</v>
      </c>
      <c r="B1452" s="321">
        <v>0</v>
      </c>
      <c r="C1452" s="321">
        <v>0</v>
      </c>
      <c r="D1452" s="321">
        <v>0</v>
      </c>
      <c r="E1452" s="295"/>
      <c r="F1452" s="295"/>
      <c r="G1452" s="321">
        <v>0</v>
      </c>
      <c r="H1452" s="321">
        <v>0</v>
      </c>
      <c r="I1452" s="321">
        <v>0</v>
      </c>
      <c r="J1452" s="321">
        <v>0</v>
      </c>
      <c r="K1452" s="321">
        <v>0</v>
      </c>
      <c r="L1452" s="321">
        <v>0</v>
      </c>
      <c r="M1452" s="321">
        <v>0</v>
      </c>
      <c r="N1452" s="321">
        <v>0</v>
      </c>
      <c r="O1452" s="321">
        <v>0</v>
      </c>
      <c r="P1452" s="321">
        <v>0</v>
      </c>
      <c r="Q1452" s="321">
        <v>0</v>
      </c>
      <c r="R1452" s="321">
        <v>0</v>
      </c>
      <c r="S1452" s="321">
        <v>0</v>
      </c>
      <c r="T1452" s="552">
        <v>1</v>
      </c>
      <c r="U1452" s="321">
        <v>0</v>
      </c>
      <c r="V1452" s="321">
        <v>0</v>
      </c>
      <c r="W1452" s="321">
        <v>0</v>
      </c>
      <c r="X1452" s="321">
        <v>0</v>
      </c>
      <c r="Y1452" s="321">
        <v>0</v>
      </c>
      <c r="Z1452" s="321">
        <v>0</v>
      </c>
      <c r="AA1452" s="304"/>
      <c r="AB1452" s="321">
        <v>0</v>
      </c>
      <c r="AC1452" s="321">
        <v>0</v>
      </c>
      <c r="AD1452" s="321">
        <v>0</v>
      </c>
      <c r="AE1452" s="321">
        <v>0</v>
      </c>
      <c r="AF1452" s="438">
        <v>1</v>
      </c>
      <c r="AG1452" s="438">
        <v>2</v>
      </c>
      <c r="AH1452" s="321">
        <v>0</v>
      </c>
      <c r="AI1452" s="321">
        <v>0</v>
      </c>
      <c r="AJ1452" s="321">
        <v>0</v>
      </c>
      <c r="AK1452" s="295"/>
      <c r="AL1452" s="295"/>
      <c r="AM1452" s="321">
        <v>0</v>
      </c>
      <c r="AN1452" s="321">
        <v>0</v>
      </c>
      <c r="AO1452" s="321">
        <v>0</v>
      </c>
      <c r="AP1452" s="321">
        <v>0</v>
      </c>
      <c r="AQ1452" s="321">
        <v>0</v>
      </c>
      <c r="AR1452" s="552">
        <v>1</v>
      </c>
      <c r="AS1452" s="321">
        <v>0</v>
      </c>
      <c r="AT1452" s="321">
        <v>0</v>
      </c>
      <c r="AU1452" s="321">
        <v>0</v>
      </c>
      <c r="AV1452" s="321">
        <v>0</v>
      </c>
      <c r="AW1452" s="321">
        <v>0</v>
      </c>
      <c r="AX1452" s="321">
        <v>0</v>
      </c>
      <c r="AY1452" s="321">
        <v>0</v>
      </c>
      <c r="AZ1452" s="321">
        <v>0</v>
      </c>
      <c r="BA1452" s="552">
        <v>1</v>
      </c>
      <c r="BB1452" s="321">
        <v>0</v>
      </c>
      <c r="BC1452" s="321">
        <v>0</v>
      </c>
      <c r="BD1452" s="321">
        <v>0</v>
      </c>
      <c r="BE1452" s="321">
        <v>0</v>
      </c>
      <c r="BF1452" s="321">
        <v>0</v>
      </c>
      <c r="BG1452" s="8"/>
      <c r="BH1452" s="321">
        <v>0</v>
      </c>
      <c r="BI1452" s="321">
        <v>0</v>
      </c>
      <c r="BJ1452" s="321">
        <v>0</v>
      </c>
      <c r="BK1452" s="321">
        <v>0</v>
      </c>
      <c r="BL1452" s="438">
        <v>1</v>
      </c>
    </row>
    <row r="1453" spans="1:65">
      <c r="A1453" s="25"/>
      <c r="B1453" s="25"/>
      <c r="C1453" s="321">
        <v>0</v>
      </c>
      <c r="D1453" s="321">
        <v>0</v>
      </c>
      <c r="E1453" s="321">
        <v>0</v>
      </c>
      <c r="F1453" s="321">
        <v>0</v>
      </c>
      <c r="G1453" s="321">
        <v>0</v>
      </c>
      <c r="H1453" s="321">
        <v>0</v>
      </c>
      <c r="I1453" s="321">
        <v>0</v>
      </c>
      <c r="J1453" s="321">
        <v>0</v>
      </c>
      <c r="K1453" s="321">
        <v>0</v>
      </c>
      <c r="L1453" s="321">
        <v>0</v>
      </c>
      <c r="M1453" s="321">
        <v>0</v>
      </c>
      <c r="N1453" s="321">
        <v>0</v>
      </c>
      <c r="O1453" s="309"/>
      <c r="P1453" s="309"/>
      <c r="Q1453" s="321">
        <v>0</v>
      </c>
      <c r="R1453" s="321">
        <v>0</v>
      </c>
      <c r="S1453" s="552">
        <v>1</v>
      </c>
      <c r="T1453" s="321">
        <v>0</v>
      </c>
      <c r="U1453" s="321">
        <v>0</v>
      </c>
      <c r="V1453" s="321">
        <v>0</v>
      </c>
      <c r="W1453" s="321">
        <v>0</v>
      </c>
      <c r="X1453" s="321">
        <v>0</v>
      </c>
      <c r="Y1453" s="321">
        <v>0</v>
      </c>
      <c r="Z1453" s="321">
        <v>0</v>
      </c>
      <c r="AA1453" s="321">
        <v>0</v>
      </c>
      <c r="AB1453" s="321">
        <v>0</v>
      </c>
      <c r="AC1453" s="321">
        <v>0</v>
      </c>
      <c r="AD1453" s="321">
        <v>0</v>
      </c>
      <c r="AE1453" s="321">
        <v>0</v>
      </c>
      <c r="AF1453" s="438">
        <v>1</v>
      </c>
      <c r="AG1453" s="438">
        <v>2</v>
      </c>
      <c r="AH1453" s="321">
        <v>0</v>
      </c>
      <c r="AI1453" s="321">
        <v>0</v>
      </c>
      <c r="AJ1453" s="321">
        <v>0</v>
      </c>
      <c r="AK1453" s="321">
        <v>0</v>
      </c>
      <c r="AL1453" s="321">
        <v>0</v>
      </c>
      <c r="AM1453" s="321">
        <v>0</v>
      </c>
      <c r="AN1453" s="321">
        <v>0</v>
      </c>
      <c r="AO1453" s="321">
        <v>0</v>
      </c>
      <c r="AP1453" s="321">
        <v>0</v>
      </c>
      <c r="AQ1453" s="552">
        <v>1</v>
      </c>
      <c r="AR1453" s="321">
        <v>0</v>
      </c>
      <c r="AS1453" s="321">
        <v>0</v>
      </c>
      <c r="AT1453" s="321">
        <v>0</v>
      </c>
      <c r="AU1453" s="304"/>
      <c r="AV1453" s="304"/>
      <c r="AW1453" s="321">
        <v>0</v>
      </c>
      <c r="AX1453" s="321">
        <v>0</v>
      </c>
      <c r="AY1453" s="321">
        <v>0</v>
      </c>
      <c r="AZ1453" s="552">
        <v>1</v>
      </c>
      <c r="BA1453" s="321">
        <v>0</v>
      </c>
      <c r="BB1453" s="321">
        <v>0</v>
      </c>
      <c r="BC1453" s="321">
        <v>0</v>
      </c>
      <c r="BD1453" s="321">
        <v>0</v>
      </c>
      <c r="BE1453" s="321">
        <v>0</v>
      </c>
      <c r="BF1453" s="321">
        <v>0</v>
      </c>
      <c r="BG1453" s="8"/>
      <c r="BH1453" s="321">
        <v>0</v>
      </c>
      <c r="BI1453" s="321">
        <v>0</v>
      </c>
      <c r="BJ1453" s="321">
        <v>0</v>
      </c>
      <c r="BK1453" s="321">
        <v>0</v>
      </c>
      <c r="BL1453" s="438">
        <v>1</v>
      </c>
    </row>
    <row r="1454" spans="1:65">
      <c r="A1454" s="25"/>
      <c r="B1454" s="25"/>
      <c r="C1454" s="321">
        <v>0</v>
      </c>
      <c r="D1454" s="321">
        <v>0</v>
      </c>
      <c r="E1454" s="321">
        <v>0</v>
      </c>
      <c r="F1454" s="321">
        <v>0</v>
      </c>
      <c r="G1454" s="321">
        <v>0</v>
      </c>
      <c r="H1454" s="321">
        <v>0</v>
      </c>
      <c r="I1454" s="321">
        <v>0</v>
      </c>
      <c r="J1454" s="321">
        <v>0</v>
      </c>
      <c r="K1454" s="321">
        <v>0</v>
      </c>
      <c r="L1454" s="321">
        <v>0</v>
      </c>
      <c r="M1454" s="321">
        <v>0</v>
      </c>
      <c r="N1454" s="321">
        <v>0</v>
      </c>
      <c r="O1454" s="321">
        <v>0</v>
      </c>
      <c r="P1454" s="321">
        <v>0</v>
      </c>
      <c r="Q1454" s="321">
        <v>0</v>
      </c>
      <c r="R1454" s="552">
        <v>1</v>
      </c>
      <c r="S1454" s="321">
        <v>0</v>
      </c>
      <c r="T1454" s="321">
        <v>0</v>
      </c>
      <c r="U1454" s="321">
        <v>0</v>
      </c>
      <c r="V1454" s="321">
        <v>0</v>
      </c>
      <c r="W1454" s="321">
        <v>0</v>
      </c>
      <c r="X1454" s="321">
        <v>0</v>
      </c>
      <c r="Y1454" s="321">
        <v>0</v>
      </c>
      <c r="Z1454" s="321">
        <v>0</v>
      </c>
      <c r="AA1454" s="321">
        <v>0</v>
      </c>
      <c r="AB1454" s="321">
        <v>0</v>
      </c>
      <c r="AC1454" s="321">
        <v>0</v>
      </c>
      <c r="AD1454" s="321">
        <v>0</v>
      </c>
      <c r="AE1454" s="321">
        <v>0</v>
      </c>
      <c r="AF1454" s="438">
        <v>1</v>
      </c>
      <c r="AG1454" s="295"/>
      <c r="AH1454" s="295"/>
      <c r="AI1454" s="321">
        <v>0</v>
      </c>
      <c r="AJ1454" s="321">
        <v>0</v>
      </c>
      <c r="AK1454" s="321">
        <v>0</v>
      </c>
      <c r="AL1454" s="321">
        <v>0</v>
      </c>
      <c r="AM1454" s="321">
        <v>0</v>
      </c>
      <c r="AN1454" s="321">
        <v>0</v>
      </c>
      <c r="AO1454" s="321">
        <v>0</v>
      </c>
      <c r="AP1454" s="552">
        <v>1</v>
      </c>
      <c r="AQ1454" s="321">
        <v>0</v>
      </c>
      <c r="AR1454" s="321">
        <v>0</v>
      </c>
      <c r="AS1454" s="321">
        <v>0</v>
      </c>
      <c r="AT1454" s="321">
        <v>0</v>
      </c>
      <c r="AU1454" s="321">
        <v>0</v>
      </c>
      <c r="AV1454" s="321">
        <v>0</v>
      </c>
      <c r="AW1454" s="321">
        <v>0</v>
      </c>
      <c r="AX1454" s="321">
        <v>0</v>
      </c>
      <c r="AY1454" s="552">
        <v>1</v>
      </c>
      <c r="AZ1454" s="321">
        <v>0</v>
      </c>
      <c r="BA1454" s="321">
        <v>0</v>
      </c>
      <c r="BB1454" s="321">
        <v>0</v>
      </c>
      <c r="BC1454" s="321">
        <v>0</v>
      </c>
      <c r="BD1454" s="321">
        <v>0</v>
      </c>
      <c r="BE1454" s="321">
        <v>0</v>
      </c>
      <c r="BF1454" s="321">
        <v>0</v>
      </c>
      <c r="BG1454" s="321">
        <v>0</v>
      </c>
      <c r="BH1454" s="321">
        <v>0</v>
      </c>
      <c r="BI1454" s="321">
        <v>0</v>
      </c>
      <c r="BJ1454" s="321">
        <v>0</v>
      </c>
      <c r="BK1454" s="321">
        <v>0</v>
      </c>
      <c r="BL1454" s="438">
        <v>1</v>
      </c>
    </row>
    <row r="1455" spans="1:65">
      <c r="A1455" s="438">
        <v>2</v>
      </c>
      <c r="B1455" s="321">
        <v>0</v>
      </c>
      <c r="C1455" s="321">
        <v>0</v>
      </c>
      <c r="D1455" s="321">
        <v>0</v>
      </c>
      <c r="E1455" s="321">
        <v>0</v>
      </c>
      <c r="F1455" s="309"/>
      <c r="G1455" s="309"/>
      <c r="H1455" s="321">
        <v>0</v>
      </c>
      <c r="I1455" s="321">
        <v>0</v>
      </c>
      <c r="J1455" s="321">
        <v>0</v>
      </c>
      <c r="K1455" s="321">
        <v>0</v>
      </c>
      <c r="L1455" s="321">
        <v>0</v>
      </c>
      <c r="M1455" s="321">
        <v>0</v>
      </c>
      <c r="N1455" s="321">
        <v>0</v>
      </c>
      <c r="O1455" s="321">
        <v>0</v>
      </c>
      <c r="P1455" s="321">
        <v>0</v>
      </c>
      <c r="Q1455" s="552">
        <v>1</v>
      </c>
      <c r="R1455" s="321">
        <v>0</v>
      </c>
      <c r="S1455" s="321">
        <v>0</v>
      </c>
      <c r="T1455" s="8"/>
      <c r="U1455" s="8"/>
      <c r="V1455" s="321">
        <v>0</v>
      </c>
      <c r="W1455" s="321">
        <v>0</v>
      </c>
      <c r="X1455" s="321">
        <v>0</v>
      </c>
      <c r="Y1455" s="321">
        <v>0</v>
      </c>
      <c r="Z1455" s="321">
        <v>0</v>
      </c>
      <c r="AA1455" s="321">
        <v>0</v>
      </c>
      <c r="AB1455" s="321">
        <v>0</v>
      </c>
      <c r="AC1455" s="25"/>
      <c r="AD1455" s="25"/>
      <c r="AE1455" s="321">
        <v>0</v>
      </c>
      <c r="AF1455" s="438">
        <v>1</v>
      </c>
      <c r="AG1455" s="438">
        <v>2</v>
      </c>
      <c r="AH1455" s="321">
        <v>0</v>
      </c>
      <c r="AI1455" s="321">
        <v>0</v>
      </c>
      <c r="AJ1455" s="321">
        <v>0</v>
      </c>
      <c r="AK1455" s="321">
        <v>0</v>
      </c>
      <c r="AL1455" s="8"/>
      <c r="AM1455" s="8"/>
      <c r="AN1455" s="321">
        <v>0</v>
      </c>
      <c r="AO1455" s="321">
        <v>0</v>
      </c>
      <c r="AP1455" s="321">
        <v>0</v>
      </c>
      <c r="AQ1455" s="321">
        <v>0</v>
      </c>
      <c r="AR1455" s="321">
        <v>0</v>
      </c>
      <c r="AS1455" s="321">
        <v>0</v>
      </c>
      <c r="AT1455" s="321">
        <v>0</v>
      </c>
      <c r="AU1455" s="321">
        <v>0</v>
      </c>
      <c r="AV1455" s="321">
        <v>0</v>
      </c>
      <c r="AW1455" s="321">
        <v>0</v>
      </c>
      <c r="AX1455" s="552">
        <v>1</v>
      </c>
      <c r="AY1455" s="321">
        <v>0</v>
      </c>
      <c r="AZ1455" s="8"/>
      <c r="BA1455" s="8"/>
      <c r="BB1455" s="321">
        <v>0</v>
      </c>
      <c r="BC1455" s="321">
        <v>0</v>
      </c>
      <c r="BD1455" s="321">
        <v>0</v>
      </c>
      <c r="BE1455" s="321">
        <v>0</v>
      </c>
      <c r="BF1455" s="321">
        <v>0</v>
      </c>
      <c r="BG1455" s="321">
        <v>0</v>
      </c>
      <c r="BH1455" s="321">
        <v>0</v>
      </c>
      <c r="BI1455" s="295"/>
      <c r="BJ1455" s="295"/>
      <c r="BK1455" s="321">
        <v>0</v>
      </c>
      <c r="BL1455" s="438">
        <v>1</v>
      </c>
    </row>
    <row r="1456" spans="1:65">
      <c r="A1456" s="438">
        <v>2</v>
      </c>
      <c r="B1456" s="321">
        <v>0</v>
      </c>
      <c r="C1456" s="321">
        <v>0</v>
      </c>
      <c r="D1456" s="321">
        <v>0</v>
      </c>
      <c r="E1456" s="321">
        <v>0</v>
      </c>
      <c r="F1456" s="321">
        <v>0</v>
      </c>
      <c r="G1456" s="309"/>
      <c r="H1456" s="321">
        <v>0</v>
      </c>
      <c r="I1456" s="552">
        <v>1</v>
      </c>
      <c r="J1456" s="321">
        <v>0</v>
      </c>
      <c r="K1456" s="304"/>
      <c r="L1456" s="304"/>
      <c r="M1456" s="321">
        <v>0</v>
      </c>
      <c r="N1456" s="321">
        <v>0</v>
      </c>
      <c r="O1456" s="321">
        <v>0</v>
      </c>
      <c r="P1456" s="552">
        <v>1</v>
      </c>
      <c r="Q1456" s="321">
        <v>0</v>
      </c>
      <c r="R1456" s="321">
        <v>0</v>
      </c>
      <c r="S1456" s="321">
        <v>0</v>
      </c>
      <c r="T1456" s="321">
        <v>0</v>
      </c>
      <c r="U1456" s="321">
        <v>0</v>
      </c>
      <c r="V1456" s="321">
        <v>0</v>
      </c>
      <c r="W1456" s="321">
        <v>0</v>
      </c>
      <c r="X1456" s="321">
        <v>0</v>
      </c>
      <c r="Y1456" s="321">
        <v>0</v>
      </c>
      <c r="Z1456" s="321">
        <v>0</v>
      </c>
      <c r="AA1456" s="321">
        <v>0</v>
      </c>
      <c r="AB1456" s="321">
        <v>0</v>
      </c>
      <c r="AC1456" s="25"/>
      <c r="AD1456" s="25"/>
      <c r="AE1456" s="321">
        <v>0</v>
      </c>
      <c r="AF1456" s="438">
        <v>1</v>
      </c>
      <c r="AG1456" s="438">
        <v>2</v>
      </c>
      <c r="AH1456" s="321">
        <v>0</v>
      </c>
      <c r="AI1456" s="321">
        <v>0</v>
      </c>
      <c r="AJ1456" s="321">
        <v>0</v>
      </c>
      <c r="AK1456" s="321">
        <v>0</v>
      </c>
      <c r="AL1456" s="321">
        <v>0</v>
      </c>
      <c r="AM1456" s="8"/>
      <c r="AN1456" s="321">
        <v>0</v>
      </c>
      <c r="AO1456" s="321">
        <v>0</v>
      </c>
      <c r="AP1456" s="321">
        <v>0</v>
      </c>
      <c r="AQ1456" s="304"/>
      <c r="AR1456" s="304"/>
      <c r="AS1456" s="321">
        <v>0</v>
      </c>
      <c r="AT1456" s="321">
        <v>0</v>
      </c>
      <c r="AU1456" s="321">
        <v>0</v>
      </c>
      <c r="AV1456" s="321">
        <v>0</v>
      </c>
      <c r="AW1456" s="321">
        <v>0</v>
      </c>
      <c r="AX1456" s="321">
        <v>0</v>
      </c>
      <c r="AY1456" s="321">
        <v>0</v>
      </c>
      <c r="AZ1456" s="321">
        <v>0</v>
      </c>
      <c r="BA1456" s="321">
        <v>0</v>
      </c>
      <c r="BB1456" s="321">
        <v>0</v>
      </c>
      <c r="BC1456" s="321">
        <v>0</v>
      </c>
      <c r="BD1456" s="321">
        <v>0</v>
      </c>
      <c r="BE1456" s="321">
        <v>0</v>
      </c>
      <c r="BF1456" s="321">
        <v>0</v>
      </c>
      <c r="BG1456" s="321">
        <v>0</v>
      </c>
      <c r="BH1456" s="321">
        <v>0</v>
      </c>
      <c r="BI1456" s="321">
        <v>0</v>
      </c>
      <c r="BJ1456" s="295"/>
      <c r="BK1456" s="321">
        <v>0</v>
      </c>
      <c r="BL1456" s="438">
        <v>1</v>
      </c>
    </row>
    <row r="1457" spans="1:64">
      <c r="A1457" s="438">
        <v>2</v>
      </c>
      <c r="B1457" s="321">
        <v>0</v>
      </c>
      <c r="C1457" s="321">
        <v>0</v>
      </c>
      <c r="D1457" s="321">
        <v>0</v>
      </c>
      <c r="E1457" s="321">
        <v>0</v>
      </c>
      <c r="F1457" s="321">
        <v>0</v>
      </c>
      <c r="G1457" s="321">
        <v>0</v>
      </c>
      <c r="H1457" s="552">
        <v>1</v>
      </c>
      <c r="I1457" s="321">
        <v>0</v>
      </c>
      <c r="J1457" s="321">
        <v>0</v>
      </c>
      <c r="K1457" s="321">
        <v>0</v>
      </c>
      <c r="L1457" s="321">
        <v>0</v>
      </c>
      <c r="M1457" s="321">
        <v>0</v>
      </c>
      <c r="N1457" s="321">
        <v>0</v>
      </c>
      <c r="O1457" s="321">
        <v>0</v>
      </c>
      <c r="P1457" s="309"/>
      <c r="Q1457" s="321">
        <v>0</v>
      </c>
      <c r="R1457" s="321">
        <v>0</v>
      </c>
      <c r="S1457" s="321">
        <v>0</v>
      </c>
      <c r="T1457" s="321">
        <v>0</v>
      </c>
      <c r="U1457" s="321">
        <v>0</v>
      </c>
      <c r="V1457" s="321">
        <v>0</v>
      </c>
      <c r="W1457" s="321">
        <v>0</v>
      </c>
      <c r="X1457" s="321">
        <v>0</v>
      </c>
      <c r="Y1457" s="304"/>
      <c r="Z1457" s="304"/>
      <c r="AA1457" s="321">
        <v>0</v>
      </c>
      <c r="AB1457" s="321">
        <v>0</v>
      </c>
      <c r="AC1457" s="321">
        <v>0</v>
      </c>
      <c r="AD1457" s="321">
        <v>0</v>
      </c>
      <c r="AE1457" s="321">
        <v>0</v>
      </c>
      <c r="AF1457" s="438">
        <v>1</v>
      </c>
      <c r="AG1457" s="438">
        <v>2</v>
      </c>
      <c r="AH1457" s="321">
        <v>0</v>
      </c>
      <c r="AI1457" s="321">
        <v>0</v>
      </c>
      <c r="AJ1457" s="321">
        <v>0</v>
      </c>
      <c r="AK1457" s="321">
        <v>0</v>
      </c>
      <c r="AL1457" s="321">
        <v>0</v>
      </c>
      <c r="AM1457" s="321">
        <v>0</v>
      </c>
      <c r="AN1457" s="321">
        <v>0</v>
      </c>
      <c r="AO1457" s="321">
        <v>0</v>
      </c>
      <c r="AP1457" s="321">
        <v>0</v>
      </c>
      <c r="AQ1457" s="304"/>
      <c r="AR1457" s="304"/>
      <c r="AS1457" s="321">
        <v>0</v>
      </c>
      <c r="AT1457" s="321">
        <v>0</v>
      </c>
      <c r="AU1457" s="321">
        <v>0</v>
      </c>
      <c r="AV1457" s="304"/>
      <c r="AW1457" s="321">
        <v>0</v>
      </c>
      <c r="AX1457" s="321">
        <v>0</v>
      </c>
      <c r="AY1457" s="321">
        <v>0</v>
      </c>
      <c r="AZ1457" s="321">
        <v>0</v>
      </c>
      <c r="BA1457" s="321">
        <v>0</v>
      </c>
      <c r="BB1457" s="321">
        <v>0</v>
      </c>
      <c r="BC1457" s="321">
        <v>0</v>
      </c>
      <c r="BD1457" s="321">
        <v>0</v>
      </c>
      <c r="BE1457" s="8"/>
      <c r="BF1457" s="8"/>
      <c r="BG1457" s="321">
        <v>0</v>
      </c>
      <c r="BH1457" s="321">
        <v>0</v>
      </c>
      <c r="BI1457" s="321">
        <v>0</v>
      </c>
      <c r="BJ1457" s="321">
        <v>0</v>
      </c>
      <c r="BK1457" s="321">
        <v>0</v>
      </c>
      <c r="BL1457" s="438">
        <v>1</v>
      </c>
    </row>
    <row r="1458" spans="1:64">
      <c r="A1458" s="438">
        <v>2</v>
      </c>
      <c r="B1458" s="321">
        <v>0</v>
      </c>
      <c r="C1458" s="321">
        <v>0</v>
      </c>
      <c r="D1458" s="321">
        <v>0</v>
      </c>
      <c r="E1458" s="321">
        <v>0</v>
      </c>
      <c r="F1458" s="321">
        <v>0</v>
      </c>
      <c r="G1458" s="552">
        <v>1</v>
      </c>
      <c r="H1458" s="321">
        <v>0</v>
      </c>
      <c r="I1458" s="321">
        <v>0</v>
      </c>
      <c r="J1458" s="321">
        <v>0</v>
      </c>
      <c r="K1458" s="321">
        <v>0</v>
      </c>
      <c r="L1458" s="321">
        <v>0</v>
      </c>
      <c r="M1458" s="321">
        <v>0</v>
      </c>
      <c r="N1458" s="321">
        <v>0</v>
      </c>
      <c r="O1458" s="309"/>
      <c r="P1458" s="309"/>
      <c r="Q1458" s="321">
        <v>0</v>
      </c>
      <c r="R1458" s="321">
        <v>0</v>
      </c>
      <c r="S1458" s="321">
        <v>0</v>
      </c>
      <c r="T1458" s="321">
        <v>0</v>
      </c>
      <c r="U1458" s="321">
        <v>0</v>
      </c>
      <c r="V1458" s="321">
        <v>0</v>
      </c>
      <c r="W1458" s="321">
        <v>0</v>
      </c>
      <c r="X1458" s="321">
        <v>0</v>
      </c>
      <c r="Y1458" s="321">
        <v>0</v>
      </c>
      <c r="Z1458" s="321">
        <v>0</v>
      </c>
      <c r="AA1458" s="321">
        <v>0</v>
      </c>
      <c r="AB1458" s="321">
        <v>0</v>
      </c>
      <c r="AC1458" s="321">
        <v>0</v>
      </c>
      <c r="AD1458" s="321">
        <v>0</v>
      </c>
      <c r="AE1458" s="321">
        <v>0</v>
      </c>
      <c r="AF1458" s="438">
        <v>1</v>
      </c>
      <c r="AG1458" s="438">
        <v>2</v>
      </c>
      <c r="AH1458" s="321">
        <v>0</v>
      </c>
      <c r="AI1458" s="321">
        <v>0</v>
      </c>
      <c r="AJ1458" s="321">
        <v>0</v>
      </c>
      <c r="AK1458" s="321">
        <v>0</v>
      </c>
      <c r="AL1458" s="321">
        <v>0</v>
      </c>
      <c r="AM1458" s="321">
        <v>0</v>
      </c>
      <c r="AN1458" s="321">
        <v>0</v>
      </c>
      <c r="AO1458" s="321">
        <v>0</v>
      </c>
      <c r="AP1458" s="321">
        <v>0</v>
      </c>
      <c r="AQ1458" s="321">
        <v>0</v>
      </c>
      <c r="AR1458" s="321">
        <v>0</v>
      </c>
      <c r="AS1458" s="321">
        <v>0</v>
      </c>
      <c r="AT1458" s="321">
        <v>0</v>
      </c>
      <c r="AU1458" s="304"/>
      <c r="AV1458" s="304"/>
      <c r="AW1458" s="321">
        <v>0</v>
      </c>
      <c r="AX1458" s="321">
        <v>0</v>
      </c>
      <c r="AY1458" s="321">
        <v>0</v>
      </c>
      <c r="AZ1458" s="552">
        <v>1</v>
      </c>
      <c r="BA1458" s="321">
        <v>0</v>
      </c>
      <c r="BB1458" s="321">
        <v>0</v>
      </c>
      <c r="BC1458" s="321">
        <v>0</v>
      </c>
      <c r="BD1458" s="321">
        <v>0</v>
      </c>
      <c r="BE1458" s="321">
        <v>0</v>
      </c>
      <c r="BF1458" s="321">
        <v>0</v>
      </c>
      <c r="BG1458" s="321">
        <v>0</v>
      </c>
      <c r="BH1458" s="321">
        <v>0</v>
      </c>
      <c r="BI1458" s="8"/>
      <c r="BJ1458" s="8"/>
      <c r="BK1458" s="321">
        <v>0</v>
      </c>
      <c r="BL1458" s="438">
        <v>1</v>
      </c>
    </row>
    <row r="1459" spans="1:64">
      <c r="A1459" s="438">
        <v>2</v>
      </c>
      <c r="B1459" s="304"/>
      <c r="C1459" s="304"/>
      <c r="D1459" s="321">
        <v>0</v>
      </c>
      <c r="E1459" s="321">
        <v>0</v>
      </c>
      <c r="F1459" s="552">
        <v>1</v>
      </c>
      <c r="G1459" s="321">
        <v>0</v>
      </c>
      <c r="H1459" s="321">
        <v>0</v>
      </c>
      <c r="I1459" s="321">
        <v>0</v>
      </c>
      <c r="J1459" s="321">
        <v>0</v>
      </c>
      <c r="K1459" s="321">
        <v>0</v>
      </c>
      <c r="L1459" s="321">
        <v>0</v>
      </c>
      <c r="M1459" s="321">
        <v>0</v>
      </c>
      <c r="N1459" s="321">
        <v>0</v>
      </c>
      <c r="O1459" s="321">
        <v>0</v>
      </c>
      <c r="P1459" s="321">
        <v>0</v>
      </c>
      <c r="Q1459" s="321">
        <v>0</v>
      </c>
      <c r="R1459" s="321">
        <v>0</v>
      </c>
      <c r="S1459" s="321">
        <v>0</v>
      </c>
      <c r="T1459" s="321">
        <v>0</v>
      </c>
      <c r="U1459" s="309"/>
      <c r="V1459" s="321">
        <v>0</v>
      </c>
      <c r="W1459" s="321">
        <v>0</v>
      </c>
      <c r="X1459" s="321">
        <v>0</v>
      </c>
      <c r="Y1459" s="321">
        <v>0</v>
      </c>
      <c r="Z1459" s="552">
        <v>1</v>
      </c>
      <c r="AA1459" s="321">
        <v>0</v>
      </c>
      <c r="AB1459" s="321">
        <v>0</v>
      </c>
      <c r="AC1459" s="321">
        <v>0</v>
      </c>
      <c r="AD1459" s="321">
        <v>0</v>
      </c>
      <c r="AE1459" s="321">
        <v>0</v>
      </c>
      <c r="AF1459" s="438">
        <v>1</v>
      </c>
      <c r="AG1459" s="438">
        <v>2</v>
      </c>
      <c r="AH1459" s="304"/>
      <c r="AI1459" s="304"/>
      <c r="AJ1459" s="321">
        <v>0</v>
      </c>
      <c r="AK1459" s="321">
        <v>0</v>
      </c>
      <c r="AL1459" s="321">
        <v>0</v>
      </c>
      <c r="AM1459" s="321">
        <v>0</v>
      </c>
      <c r="AN1459" s="321">
        <v>0</v>
      </c>
      <c r="AO1459" s="321">
        <v>0</v>
      </c>
      <c r="AP1459" s="321">
        <v>0</v>
      </c>
      <c r="AQ1459" s="321">
        <v>0</v>
      </c>
      <c r="AR1459" s="321">
        <v>0</v>
      </c>
      <c r="AS1459" s="321">
        <v>0</v>
      </c>
      <c r="AT1459" s="321">
        <v>0</v>
      </c>
      <c r="AU1459" s="321">
        <v>0</v>
      </c>
      <c r="AV1459" s="321">
        <v>0</v>
      </c>
      <c r="AW1459" s="321">
        <v>0</v>
      </c>
      <c r="AX1459" s="321">
        <v>0</v>
      </c>
      <c r="AY1459" s="552">
        <v>1</v>
      </c>
      <c r="AZ1459" s="321">
        <v>0</v>
      </c>
      <c r="BA1459" s="304"/>
      <c r="BB1459" s="321">
        <v>0</v>
      </c>
      <c r="BC1459" s="321">
        <v>0</v>
      </c>
      <c r="BD1459" s="321">
        <v>0</v>
      </c>
      <c r="BE1459" s="321">
        <v>0</v>
      </c>
      <c r="BF1459" s="321">
        <v>0</v>
      </c>
      <c r="BG1459" s="321">
        <v>0</v>
      </c>
      <c r="BH1459" s="321">
        <v>0</v>
      </c>
      <c r="BI1459" s="8"/>
      <c r="BJ1459" s="8"/>
      <c r="BK1459" s="321">
        <v>0</v>
      </c>
      <c r="BL1459" s="438">
        <v>1</v>
      </c>
    </row>
    <row r="1460" spans="1:64">
      <c r="A1460" s="438">
        <v>2</v>
      </c>
      <c r="B1460" s="321">
        <v>0</v>
      </c>
      <c r="C1460" s="304"/>
      <c r="D1460" s="304"/>
      <c r="E1460" s="321">
        <v>0</v>
      </c>
      <c r="F1460" s="321">
        <v>0</v>
      </c>
      <c r="G1460" s="321">
        <v>0</v>
      </c>
      <c r="H1460" s="295"/>
      <c r="I1460" s="295"/>
      <c r="J1460" s="321">
        <v>0</v>
      </c>
      <c r="K1460" s="321">
        <v>0</v>
      </c>
      <c r="L1460" s="321">
        <v>0</v>
      </c>
      <c r="M1460" s="321">
        <v>0</v>
      </c>
      <c r="N1460" s="321">
        <v>0</v>
      </c>
      <c r="O1460" s="321">
        <v>0</v>
      </c>
      <c r="P1460" s="321">
        <v>0</v>
      </c>
      <c r="Q1460" s="321">
        <v>0</v>
      </c>
      <c r="R1460" s="321">
        <v>0</v>
      </c>
      <c r="S1460" s="321">
        <v>0</v>
      </c>
      <c r="T1460" s="321">
        <v>0</v>
      </c>
      <c r="U1460" s="309"/>
      <c r="V1460" s="309"/>
      <c r="W1460" s="321">
        <v>0</v>
      </c>
      <c r="X1460" s="321">
        <v>0</v>
      </c>
      <c r="Y1460" s="552">
        <v>1</v>
      </c>
      <c r="Z1460" s="321">
        <v>0</v>
      </c>
      <c r="AA1460" s="304"/>
      <c r="AB1460" s="304"/>
      <c r="AC1460" s="321">
        <v>0</v>
      </c>
      <c r="AD1460" s="321">
        <v>0</v>
      </c>
      <c r="AE1460" s="321">
        <v>0</v>
      </c>
      <c r="AF1460" s="438">
        <v>1</v>
      </c>
      <c r="AG1460" s="438">
        <v>2</v>
      </c>
      <c r="AH1460" s="321">
        <v>0</v>
      </c>
      <c r="AI1460" s="304"/>
      <c r="AJ1460" s="304"/>
      <c r="AK1460" s="321">
        <v>0</v>
      </c>
      <c r="AL1460" s="321">
        <v>0</v>
      </c>
      <c r="AM1460" s="321">
        <v>0</v>
      </c>
      <c r="AN1460" s="8"/>
      <c r="AO1460" s="8"/>
      <c r="AP1460" s="321">
        <v>0</v>
      </c>
      <c r="AQ1460" s="321">
        <v>0</v>
      </c>
      <c r="AR1460" s="321">
        <v>0</v>
      </c>
      <c r="AS1460" s="321">
        <v>0</v>
      </c>
      <c r="AT1460" s="321">
        <v>0</v>
      </c>
      <c r="AU1460" s="321">
        <v>0</v>
      </c>
      <c r="AV1460" s="321">
        <v>0</v>
      </c>
      <c r="AW1460" s="321">
        <v>0</v>
      </c>
      <c r="AX1460" s="552">
        <v>1</v>
      </c>
      <c r="AY1460" s="321">
        <v>0</v>
      </c>
      <c r="AZ1460" s="321">
        <v>0</v>
      </c>
      <c r="BA1460" s="304"/>
      <c r="BB1460" s="304"/>
      <c r="BC1460" s="321">
        <v>0</v>
      </c>
      <c r="BD1460" s="321">
        <v>0</v>
      </c>
      <c r="BE1460" s="321">
        <v>0</v>
      </c>
      <c r="BF1460" s="321">
        <v>0</v>
      </c>
      <c r="BG1460" s="304"/>
      <c r="BH1460" s="321">
        <v>0</v>
      </c>
      <c r="BI1460" s="321">
        <v>0</v>
      </c>
      <c r="BJ1460" s="321">
        <v>0</v>
      </c>
      <c r="BK1460" s="321">
        <v>0</v>
      </c>
      <c r="BL1460" s="438">
        <v>1</v>
      </c>
    </row>
    <row r="1461" spans="1:64">
      <c r="A1461" s="438">
        <v>2</v>
      </c>
      <c r="B1461" s="321">
        <v>0</v>
      </c>
      <c r="C1461" s="321">
        <v>0</v>
      </c>
      <c r="D1461" s="304"/>
      <c r="E1461" s="321">
        <v>0</v>
      </c>
      <c r="F1461" s="321">
        <v>0</v>
      </c>
      <c r="G1461" s="321">
        <v>0</v>
      </c>
      <c r="H1461" s="321">
        <v>0</v>
      </c>
      <c r="I1461" s="321">
        <v>0</v>
      </c>
      <c r="J1461" s="321">
        <v>0</v>
      </c>
      <c r="K1461" s="321">
        <v>0</v>
      </c>
      <c r="L1461" s="321">
        <v>0</v>
      </c>
      <c r="M1461" s="321">
        <v>0</v>
      </c>
      <c r="N1461" s="321">
        <v>0</v>
      </c>
      <c r="O1461" s="321">
        <v>0</v>
      </c>
      <c r="P1461" s="321">
        <v>0</v>
      </c>
      <c r="Q1461" s="552">
        <v>1</v>
      </c>
      <c r="R1461" s="321">
        <v>0</v>
      </c>
      <c r="S1461" s="321">
        <v>0</v>
      </c>
      <c r="T1461" s="321">
        <v>0</v>
      </c>
      <c r="U1461" s="321">
        <v>0</v>
      </c>
      <c r="V1461" s="321">
        <v>0</v>
      </c>
      <c r="W1461" s="321">
        <v>0</v>
      </c>
      <c r="X1461" s="552">
        <v>1</v>
      </c>
      <c r="Y1461" s="321">
        <v>0</v>
      </c>
      <c r="Z1461" s="321">
        <v>0</v>
      </c>
      <c r="AA1461" s="304"/>
      <c r="AB1461" s="304"/>
      <c r="AC1461" s="321">
        <v>0</v>
      </c>
      <c r="AD1461" s="321">
        <v>0</v>
      </c>
      <c r="AE1461" s="321">
        <v>0</v>
      </c>
      <c r="AF1461" s="438">
        <v>1</v>
      </c>
      <c r="AG1461" s="438">
        <v>2</v>
      </c>
      <c r="AH1461" s="321">
        <v>0</v>
      </c>
      <c r="AI1461" s="321">
        <v>0</v>
      </c>
      <c r="AJ1461" s="8"/>
      <c r="AK1461" s="321">
        <v>0</v>
      </c>
      <c r="AL1461" s="321">
        <v>0</v>
      </c>
      <c r="AM1461" s="321">
        <v>0</v>
      </c>
      <c r="AN1461" s="321">
        <v>0</v>
      </c>
      <c r="AO1461" s="321">
        <v>0</v>
      </c>
      <c r="AP1461" s="321">
        <v>0</v>
      </c>
      <c r="AQ1461" s="321">
        <v>0</v>
      </c>
      <c r="AR1461" s="552">
        <v>1</v>
      </c>
      <c r="AS1461" s="321">
        <v>0</v>
      </c>
      <c r="AT1461" s="321">
        <v>0</v>
      </c>
      <c r="AU1461" s="321">
        <v>0</v>
      </c>
      <c r="AV1461" s="321">
        <v>0</v>
      </c>
      <c r="AW1461" s="552">
        <v>1</v>
      </c>
      <c r="AX1461" s="321">
        <v>0</v>
      </c>
      <c r="AY1461" s="321">
        <v>0</v>
      </c>
      <c r="AZ1461" s="321">
        <v>0</v>
      </c>
      <c r="BA1461" s="321">
        <v>0</v>
      </c>
      <c r="BB1461" s="321">
        <v>0</v>
      </c>
      <c r="BC1461" s="321">
        <v>0</v>
      </c>
      <c r="BD1461" s="321">
        <v>0</v>
      </c>
      <c r="BE1461" s="321">
        <v>0</v>
      </c>
      <c r="BF1461" s="321">
        <v>0</v>
      </c>
      <c r="BG1461" s="304"/>
      <c r="BH1461" s="304"/>
      <c r="BI1461" s="321">
        <v>0</v>
      </c>
      <c r="BJ1461" s="321">
        <v>0</v>
      </c>
      <c r="BK1461" s="321">
        <v>0</v>
      </c>
      <c r="BL1461" s="438">
        <v>1</v>
      </c>
    </row>
    <row r="1462" spans="1:64">
      <c r="A1462" s="25"/>
      <c r="B1462" s="25"/>
      <c r="C1462" s="321">
        <v>0</v>
      </c>
      <c r="D1462" s="321">
        <v>0</v>
      </c>
      <c r="E1462" s="321">
        <v>0</v>
      </c>
      <c r="F1462" s="321">
        <v>0</v>
      </c>
      <c r="G1462" s="321">
        <v>0</v>
      </c>
      <c r="H1462" s="321">
        <v>0</v>
      </c>
      <c r="I1462" s="321">
        <v>0</v>
      </c>
      <c r="J1462" s="321">
        <v>0</v>
      </c>
      <c r="K1462" s="321">
        <v>0</v>
      </c>
      <c r="L1462" s="309"/>
      <c r="M1462" s="309"/>
      <c r="N1462" s="321">
        <v>0</v>
      </c>
      <c r="O1462" s="321">
        <v>0</v>
      </c>
      <c r="P1462" s="552">
        <v>1</v>
      </c>
      <c r="Q1462" s="321">
        <v>0</v>
      </c>
      <c r="R1462" s="321">
        <v>0</v>
      </c>
      <c r="S1462" s="321">
        <v>0</v>
      </c>
      <c r="T1462" s="321">
        <v>0</v>
      </c>
      <c r="U1462" s="321">
        <v>0</v>
      </c>
      <c r="V1462" s="321">
        <v>0</v>
      </c>
      <c r="W1462" s="552">
        <v>1</v>
      </c>
      <c r="X1462" s="321">
        <v>0</v>
      </c>
      <c r="Y1462" s="321">
        <v>0</v>
      </c>
      <c r="Z1462" s="321">
        <v>0</v>
      </c>
      <c r="AA1462" s="304"/>
      <c r="AB1462" s="321">
        <v>0</v>
      </c>
      <c r="AC1462" s="321">
        <v>0</v>
      </c>
      <c r="AD1462" s="321">
        <v>0</v>
      </c>
      <c r="AE1462" s="295"/>
      <c r="AF1462" s="295"/>
      <c r="AG1462" s="438">
        <v>2</v>
      </c>
      <c r="AH1462" s="321">
        <v>0</v>
      </c>
      <c r="AI1462" s="321">
        <v>0</v>
      </c>
      <c r="AJ1462" s="8"/>
      <c r="AK1462" s="321">
        <v>0</v>
      </c>
      <c r="AL1462" s="321">
        <v>0</v>
      </c>
      <c r="AM1462" s="321">
        <v>0</v>
      </c>
      <c r="AN1462" s="321">
        <v>0</v>
      </c>
      <c r="AO1462" s="321">
        <v>0</v>
      </c>
      <c r="AP1462" s="321">
        <v>0</v>
      </c>
      <c r="AQ1462" s="552">
        <v>1</v>
      </c>
      <c r="AR1462" s="8"/>
      <c r="AS1462" s="8"/>
      <c r="AT1462" s="321">
        <v>0</v>
      </c>
      <c r="AU1462" s="321">
        <v>0</v>
      </c>
      <c r="AV1462" s="321">
        <v>0</v>
      </c>
      <c r="AW1462" s="321">
        <v>0</v>
      </c>
      <c r="AX1462" s="321">
        <v>0</v>
      </c>
      <c r="AY1462" s="321">
        <v>0</v>
      </c>
      <c r="AZ1462" s="321">
        <v>0</v>
      </c>
      <c r="BA1462" s="321">
        <v>0</v>
      </c>
      <c r="BB1462" s="321">
        <v>0</v>
      </c>
      <c r="BC1462" s="321">
        <v>0</v>
      </c>
      <c r="BD1462" s="321">
        <v>0</v>
      </c>
      <c r="BE1462" s="321">
        <v>0</v>
      </c>
      <c r="BF1462" s="321">
        <v>0</v>
      </c>
      <c r="BG1462" s="321">
        <v>0</v>
      </c>
      <c r="BH1462" s="321">
        <v>0</v>
      </c>
      <c r="BI1462" s="321">
        <v>0</v>
      </c>
      <c r="BJ1462" s="321">
        <v>0</v>
      </c>
      <c r="BK1462" s="295"/>
      <c r="BL1462" s="295"/>
    </row>
    <row r="1463" spans="1:64">
      <c r="A1463" s="25"/>
      <c r="B1463" s="25"/>
      <c r="C1463" s="321">
        <v>0</v>
      </c>
      <c r="D1463" s="321">
        <v>0</v>
      </c>
      <c r="E1463" s="321">
        <v>0</v>
      </c>
      <c r="F1463" s="321">
        <v>0</v>
      </c>
      <c r="G1463" s="321">
        <v>0</v>
      </c>
      <c r="H1463" s="321">
        <v>0</v>
      </c>
      <c r="I1463" s="321">
        <v>0</v>
      </c>
      <c r="J1463" s="321">
        <v>0</v>
      </c>
      <c r="K1463" s="321">
        <v>0</v>
      </c>
      <c r="L1463" s="321">
        <v>0</v>
      </c>
      <c r="M1463" s="321">
        <v>0</v>
      </c>
      <c r="N1463" s="321">
        <v>0</v>
      </c>
      <c r="O1463" s="552">
        <v>1</v>
      </c>
      <c r="P1463" s="321">
        <v>0</v>
      </c>
      <c r="Q1463" s="304"/>
      <c r="R1463" s="304"/>
      <c r="S1463" s="321">
        <v>0</v>
      </c>
      <c r="T1463" s="321">
        <v>0</v>
      </c>
      <c r="U1463" s="321">
        <v>0</v>
      </c>
      <c r="V1463" s="552">
        <v>1</v>
      </c>
      <c r="W1463" s="321">
        <v>0</v>
      </c>
      <c r="X1463" s="321">
        <v>0</v>
      </c>
      <c r="Y1463" s="321">
        <v>0</v>
      </c>
      <c r="Z1463" s="321">
        <v>0</v>
      </c>
      <c r="AA1463" s="321">
        <v>0</v>
      </c>
      <c r="AB1463" s="321">
        <v>0</v>
      </c>
      <c r="AC1463" s="321">
        <v>0</v>
      </c>
      <c r="AD1463" s="321">
        <v>0</v>
      </c>
      <c r="AE1463" s="321">
        <v>0</v>
      </c>
      <c r="AF1463" s="438">
        <v>1</v>
      </c>
      <c r="AG1463" s="438">
        <v>2</v>
      </c>
      <c r="AH1463" s="321">
        <v>0</v>
      </c>
      <c r="AI1463" s="321">
        <v>0</v>
      </c>
      <c r="AJ1463" s="321">
        <v>0</v>
      </c>
      <c r="AK1463" s="321">
        <v>0</v>
      </c>
      <c r="AL1463" s="321">
        <v>0</v>
      </c>
      <c r="AM1463" s="321">
        <v>0</v>
      </c>
      <c r="AN1463" s="321">
        <v>0</v>
      </c>
      <c r="AO1463" s="321">
        <v>0</v>
      </c>
      <c r="AP1463" s="552">
        <v>1</v>
      </c>
      <c r="AQ1463" s="321">
        <v>0</v>
      </c>
      <c r="AR1463" s="321">
        <v>0</v>
      </c>
      <c r="AS1463" s="321">
        <v>0</v>
      </c>
      <c r="AT1463" s="321">
        <v>0</v>
      </c>
      <c r="AU1463" s="321">
        <v>0</v>
      </c>
      <c r="AV1463" s="321">
        <v>0</v>
      </c>
      <c r="AW1463" s="304"/>
      <c r="AX1463" s="304"/>
      <c r="AY1463" s="321">
        <v>0</v>
      </c>
      <c r="AZ1463" s="321">
        <v>0</v>
      </c>
      <c r="BA1463" s="321">
        <v>0</v>
      </c>
      <c r="BB1463" s="321">
        <v>0</v>
      </c>
      <c r="BC1463" s="321">
        <v>0</v>
      </c>
      <c r="BD1463" s="321">
        <v>0</v>
      </c>
      <c r="BE1463" s="321">
        <v>0</v>
      </c>
      <c r="BF1463" s="321">
        <v>0</v>
      </c>
      <c r="BG1463" s="321">
        <v>0</v>
      </c>
      <c r="BH1463" s="552">
        <v>1</v>
      </c>
      <c r="BI1463" s="321">
        <v>0</v>
      </c>
      <c r="BJ1463" s="321">
        <v>0</v>
      </c>
      <c r="BK1463" s="321">
        <v>0</v>
      </c>
      <c r="BL1463" s="438">
        <v>1</v>
      </c>
    </row>
    <row r="1464" spans="1:64">
      <c r="A1464" s="438">
        <v>2</v>
      </c>
      <c r="B1464" s="321">
        <v>0</v>
      </c>
      <c r="C1464" s="321">
        <v>0</v>
      </c>
      <c r="D1464" s="321">
        <v>0</v>
      </c>
      <c r="E1464" s="295"/>
      <c r="F1464" s="295"/>
      <c r="G1464" s="321">
        <v>0</v>
      </c>
      <c r="H1464" s="321">
        <v>0</v>
      </c>
      <c r="I1464" s="321">
        <v>0</v>
      </c>
      <c r="J1464" s="321">
        <v>0</v>
      </c>
      <c r="K1464" s="321">
        <v>0</v>
      </c>
      <c r="L1464" s="321">
        <v>0</v>
      </c>
      <c r="M1464" s="321">
        <v>0</v>
      </c>
      <c r="N1464" s="552">
        <v>1</v>
      </c>
      <c r="O1464" s="321">
        <v>0</v>
      </c>
      <c r="P1464" s="321">
        <v>0</v>
      </c>
      <c r="Q1464" s="321">
        <v>0</v>
      </c>
      <c r="R1464" s="304"/>
      <c r="S1464" s="304"/>
      <c r="T1464" s="321">
        <v>0</v>
      </c>
      <c r="U1464" s="321">
        <v>0</v>
      </c>
      <c r="V1464" s="321">
        <v>0</v>
      </c>
      <c r="W1464" s="295"/>
      <c r="X1464" s="295"/>
      <c r="Y1464" s="321">
        <v>0</v>
      </c>
      <c r="Z1464" s="321">
        <v>0</v>
      </c>
      <c r="AA1464" s="321">
        <v>0</v>
      </c>
      <c r="AB1464" s="321">
        <v>0</v>
      </c>
      <c r="AC1464" s="321">
        <v>0</v>
      </c>
      <c r="AD1464" s="321">
        <v>0</v>
      </c>
      <c r="AE1464" s="321">
        <v>0</v>
      </c>
      <c r="AF1464" s="438">
        <v>1</v>
      </c>
      <c r="AG1464" s="438">
        <v>2</v>
      </c>
      <c r="AH1464" s="321">
        <v>0</v>
      </c>
      <c r="AI1464" s="321">
        <v>0</v>
      </c>
      <c r="AJ1464" s="321">
        <v>0</v>
      </c>
      <c r="AK1464" s="295"/>
      <c r="AL1464" s="295"/>
      <c r="AM1464" s="321">
        <v>0</v>
      </c>
      <c r="AN1464" s="321">
        <v>0</v>
      </c>
      <c r="AO1464" s="552">
        <v>1</v>
      </c>
      <c r="AP1464" s="321">
        <v>0</v>
      </c>
      <c r="AQ1464" s="321">
        <v>0</v>
      </c>
      <c r="AR1464" s="321">
        <v>0</v>
      </c>
      <c r="AS1464" s="321">
        <v>0</v>
      </c>
      <c r="AT1464" s="321">
        <v>0</v>
      </c>
      <c r="AU1464" s="321">
        <v>0</v>
      </c>
      <c r="AV1464" s="304"/>
      <c r="AW1464" s="304"/>
      <c r="AX1464" s="321">
        <v>0</v>
      </c>
      <c r="AY1464" s="321">
        <v>0</v>
      </c>
      <c r="AZ1464" s="321">
        <v>0</v>
      </c>
      <c r="BA1464" s="552">
        <v>1</v>
      </c>
      <c r="BB1464" s="321">
        <v>0</v>
      </c>
      <c r="BC1464" s="295"/>
      <c r="BD1464" s="295"/>
      <c r="BE1464" s="321">
        <v>0</v>
      </c>
      <c r="BF1464" s="321">
        <v>0</v>
      </c>
      <c r="BG1464" s="552">
        <v>1</v>
      </c>
      <c r="BH1464" s="321">
        <v>0</v>
      </c>
      <c r="BI1464" s="321">
        <v>0</v>
      </c>
      <c r="BJ1464" s="321">
        <v>0</v>
      </c>
      <c r="BK1464" s="321">
        <v>0</v>
      </c>
      <c r="BL1464" s="438">
        <v>1</v>
      </c>
    </row>
    <row r="1465" spans="1:64">
      <c r="A1465" s="438">
        <v>2</v>
      </c>
      <c r="B1465" s="321">
        <v>0</v>
      </c>
      <c r="C1465" s="321">
        <v>0</v>
      </c>
      <c r="D1465" s="321">
        <v>0</v>
      </c>
      <c r="E1465" s="321">
        <v>0</v>
      </c>
      <c r="F1465" s="321">
        <v>0</v>
      </c>
      <c r="G1465" s="321">
        <v>0</v>
      </c>
      <c r="H1465" s="321">
        <v>0</v>
      </c>
      <c r="I1465" s="321">
        <v>0</v>
      </c>
      <c r="J1465" s="321">
        <v>0</v>
      </c>
      <c r="K1465" s="321">
        <v>0</v>
      </c>
      <c r="L1465" s="321">
        <v>0</v>
      </c>
      <c r="M1465" s="552">
        <v>1</v>
      </c>
      <c r="N1465" s="321">
        <v>0</v>
      </c>
      <c r="O1465" s="321">
        <v>0</v>
      </c>
      <c r="P1465" s="321">
        <v>0</v>
      </c>
      <c r="Q1465" s="321">
        <v>0</v>
      </c>
      <c r="R1465" s="321">
        <v>0</v>
      </c>
      <c r="S1465" s="304"/>
      <c r="T1465" s="321">
        <v>0</v>
      </c>
      <c r="U1465" s="321">
        <v>0</v>
      </c>
      <c r="V1465" s="321">
        <v>0</v>
      </c>
      <c r="W1465" s="321">
        <v>0</v>
      </c>
      <c r="X1465" s="321">
        <v>0</v>
      </c>
      <c r="Y1465" s="321">
        <v>0</v>
      </c>
      <c r="Z1465" s="321">
        <v>0</v>
      </c>
      <c r="AA1465" s="321">
        <v>0</v>
      </c>
      <c r="AB1465" s="321">
        <v>0</v>
      </c>
      <c r="AC1465" s="321">
        <v>0</v>
      </c>
      <c r="AD1465" s="321">
        <v>0</v>
      </c>
      <c r="AE1465" s="321">
        <v>0</v>
      </c>
      <c r="AF1465" s="438">
        <v>1</v>
      </c>
      <c r="AG1465" s="438">
        <v>2</v>
      </c>
      <c r="AH1465" s="321">
        <v>0</v>
      </c>
      <c r="AI1465" s="321">
        <v>0</v>
      </c>
      <c r="AJ1465" s="321">
        <v>0</v>
      </c>
      <c r="AK1465" s="321">
        <v>0</v>
      </c>
      <c r="AL1465" s="321">
        <v>0</v>
      </c>
      <c r="AM1465" s="321">
        <v>0</v>
      </c>
      <c r="AN1465" s="321">
        <v>0</v>
      </c>
      <c r="AO1465" s="321">
        <v>0</v>
      </c>
      <c r="AP1465" s="321">
        <v>0</v>
      </c>
      <c r="AQ1465" s="321">
        <v>0</v>
      </c>
      <c r="AR1465" s="321">
        <v>0</v>
      </c>
      <c r="AS1465" s="321">
        <v>0</v>
      </c>
      <c r="AT1465" s="321">
        <v>0</v>
      </c>
      <c r="AU1465" s="321">
        <v>0</v>
      </c>
      <c r="AV1465" s="321">
        <v>0</v>
      </c>
      <c r="AW1465" s="321">
        <v>0</v>
      </c>
      <c r="AX1465" s="321">
        <v>0</v>
      </c>
      <c r="AY1465" s="321">
        <v>0</v>
      </c>
      <c r="AZ1465" s="552">
        <v>1</v>
      </c>
      <c r="BA1465" s="321">
        <v>0</v>
      </c>
      <c r="BB1465" s="321">
        <v>0</v>
      </c>
      <c r="BC1465" s="321">
        <v>0</v>
      </c>
      <c r="BD1465" s="321">
        <v>0</v>
      </c>
      <c r="BE1465" s="321">
        <v>0</v>
      </c>
      <c r="BF1465" s="552">
        <v>1</v>
      </c>
      <c r="BG1465" s="321">
        <v>0</v>
      </c>
      <c r="BH1465" s="8"/>
      <c r="BI1465" s="8"/>
      <c r="BJ1465" s="321">
        <v>0</v>
      </c>
      <c r="BK1465" s="321">
        <v>0</v>
      </c>
      <c r="BL1465" s="438">
        <v>1</v>
      </c>
    </row>
    <row r="1466" spans="1:64">
      <c r="A1466" s="438">
        <v>2</v>
      </c>
      <c r="B1466" s="321">
        <v>0</v>
      </c>
      <c r="C1466" s="552">
        <v>1</v>
      </c>
      <c r="D1466" s="321">
        <v>0</v>
      </c>
      <c r="E1466" s="321">
        <v>0</v>
      </c>
      <c r="F1466" s="321">
        <v>0</v>
      </c>
      <c r="G1466" s="321">
        <v>0</v>
      </c>
      <c r="H1466" s="321">
        <v>0</v>
      </c>
      <c r="I1466" s="321">
        <v>0</v>
      </c>
      <c r="J1466" s="321">
        <v>0</v>
      </c>
      <c r="K1466" s="321">
        <v>0</v>
      </c>
      <c r="L1466" s="321">
        <v>0</v>
      </c>
      <c r="M1466" s="321">
        <v>0</v>
      </c>
      <c r="N1466" s="321">
        <v>0</v>
      </c>
      <c r="O1466" s="321">
        <v>0</v>
      </c>
      <c r="P1466" s="321">
        <v>0</v>
      </c>
      <c r="Q1466" s="321">
        <v>0</v>
      </c>
      <c r="R1466" s="321">
        <v>0</v>
      </c>
      <c r="S1466" s="321">
        <v>0</v>
      </c>
      <c r="T1466" s="321">
        <v>0</v>
      </c>
      <c r="U1466" s="321">
        <v>0</v>
      </c>
      <c r="V1466" s="321">
        <v>0</v>
      </c>
      <c r="W1466" s="321">
        <v>0</v>
      </c>
      <c r="X1466" s="321">
        <v>0</v>
      </c>
      <c r="Y1466" s="321">
        <v>0</v>
      </c>
      <c r="Z1466" s="321">
        <v>0</v>
      </c>
      <c r="AA1466" s="321">
        <v>0</v>
      </c>
      <c r="AB1466" s="304"/>
      <c r="AC1466" s="304"/>
      <c r="AD1466" s="321">
        <v>0</v>
      </c>
      <c r="AE1466" s="321">
        <v>0</v>
      </c>
      <c r="AF1466" s="438">
        <v>1</v>
      </c>
      <c r="AG1466" s="8"/>
      <c r="AH1466" s="8"/>
      <c r="AI1466" s="321">
        <v>0</v>
      </c>
      <c r="AJ1466" s="321">
        <v>0</v>
      </c>
      <c r="AK1466" s="321">
        <v>0</v>
      </c>
      <c r="AL1466" s="321">
        <v>0</v>
      </c>
      <c r="AM1466" s="321">
        <v>0</v>
      </c>
      <c r="AN1466" s="321">
        <v>0</v>
      </c>
      <c r="AO1466" s="321">
        <v>0</v>
      </c>
      <c r="AP1466" s="321">
        <v>0</v>
      </c>
      <c r="AQ1466" s="321">
        <v>0</v>
      </c>
      <c r="AR1466" s="321">
        <v>0</v>
      </c>
      <c r="AS1466" s="321">
        <v>0</v>
      </c>
      <c r="AT1466" s="552">
        <v>1</v>
      </c>
      <c r="AU1466" s="321">
        <v>0</v>
      </c>
      <c r="AV1466" s="321">
        <v>0</v>
      </c>
      <c r="AW1466" s="321">
        <v>0</v>
      </c>
      <c r="AX1466" s="321">
        <v>0</v>
      </c>
      <c r="AY1466" s="552">
        <v>1</v>
      </c>
      <c r="AZ1466" s="321">
        <v>0</v>
      </c>
      <c r="BA1466" s="321">
        <v>0</v>
      </c>
      <c r="BB1466" s="321">
        <v>0</v>
      </c>
      <c r="BC1466" s="321">
        <v>0</v>
      </c>
      <c r="BD1466" s="321">
        <v>0</v>
      </c>
      <c r="BE1466" s="552">
        <v>1</v>
      </c>
      <c r="BF1466" s="321">
        <v>0</v>
      </c>
      <c r="BG1466" s="321">
        <v>0</v>
      </c>
      <c r="BH1466" s="8"/>
      <c r="BI1466" s="8"/>
      <c r="BJ1466" s="321">
        <v>0</v>
      </c>
      <c r="BK1466" s="321">
        <v>0</v>
      </c>
      <c r="BL1466" s="438">
        <v>1</v>
      </c>
    </row>
    <row r="1467" spans="1:64">
      <c r="A1467" s="438">
        <v>2</v>
      </c>
      <c r="B1467" s="552">
        <v>1</v>
      </c>
      <c r="C1467" s="321">
        <v>0</v>
      </c>
      <c r="D1467" s="321">
        <v>0</v>
      </c>
      <c r="E1467" s="321">
        <v>0</v>
      </c>
      <c r="F1467" s="321">
        <v>0</v>
      </c>
      <c r="G1467" s="321">
        <v>0</v>
      </c>
      <c r="H1467" s="321">
        <v>0</v>
      </c>
      <c r="I1467" s="321">
        <v>0</v>
      </c>
      <c r="J1467" s="321">
        <v>0</v>
      </c>
      <c r="K1467" s="295"/>
      <c r="L1467" s="295"/>
      <c r="M1467" s="321">
        <v>0</v>
      </c>
      <c r="N1467" s="321">
        <v>0</v>
      </c>
      <c r="O1467" s="321">
        <v>0</v>
      </c>
      <c r="P1467" s="321">
        <v>0</v>
      </c>
      <c r="Q1467" s="321">
        <v>0</v>
      </c>
      <c r="R1467" s="321">
        <v>0</v>
      </c>
      <c r="S1467" s="321">
        <v>0</v>
      </c>
      <c r="T1467" s="321">
        <v>0</v>
      </c>
      <c r="U1467" s="321">
        <v>0</v>
      </c>
      <c r="V1467" s="321">
        <v>0</v>
      </c>
      <c r="W1467" s="321">
        <v>0</v>
      </c>
      <c r="X1467" s="321">
        <v>0</v>
      </c>
      <c r="Y1467" s="321">
        <v>0</v>
      </c>
      <c r="Z1467" s="321">
        <v>0</v>
      </c>
      <c r="AA1467" s="321">
        <v>0</v>
      </c>
      <c r="AB1467" s="321">
        <v>0</v>
      </c>
      <c r="AC1467" s="304"/>
      <c r="AD1467" s="321">
        <v>0</v>
      </c>
      <c r="AE1467" s="552">
        <v>1</v>
      </c>
      <c r="AF1467" s="438">
        <v>1</v>
      </c>
      <c r="AG1467" s="438">
        <v>2</v>
      </c>
      <c r="AH1467" s="321">
        <v>0</v>
      </c>
      <c r="AI1467" s="321">
        <v>0</v>
      </c>
      <c r="AJ1467" s="321">
        <v>0</v>
      </c>
      <c r="AK1467" s="321">
        <v>0</v>
      </c>
      <c r="AL1467" s="321">
        <v>0</v>
      </c>
      <c r="AM1467" s="321">
        <v>0</v>
      </c>
      <c r="AN1467" s="321">
        <v>0</v>
      </c>
      <c r="AO1467" s="321">
        <v>0</v>
      </c>
      <c r="AP1467" s="321">
        <v>0</v>
      </c>
      <c r="AQ1467" s="295"/>
      <c r="AR1467" s="295"/>
      <c r="AS1467" s="552">
        <v>1</v>
      </c>
      <c r="AT1467" s="321">
        <v>0</v>
      </c>
      <c r="AU1467" s="321">
        <v>0</v>
      </c>
      <c r="AV1467" s="321">
        <v>0</v>
      </c>
      <c r="AW1467" s="321">
        <v>0</v>
      </c>
      <c r="AX1467" s="552">
        <v>1</v>
      </c>
      <c r="AY1467" s="321">
        <v>0</v>
      </c>
      <c r="AZ1467" s="321">
        <v>0</v>
      </c>
      <c r="BA1467" s="321">
        <v>0</v>
      </c>
      <c r="BB1467" s="321">
        <v>0</v>
      </c>
      <c r="BC1467" s="321">
        <v>0</v>
      </c>
      <c r="BD1467" s="321">
        <v>0</v>
      </c>
      <c r="BE1467" s="321">
        <v>0</v>
      </c>
      <c r="BF1467" s="321">
        <v>0</v>
      </c>
      <c r="BG1467" s="321">
        <v>0</v>
      </c>
      <c r="BH1467" s="321">
        <v>0</v>
      </c>
      <c r="BI1467" s="321">
        <v>0</v>
      </c>
      <c r="BJ1467" s="321">
        <v>0</v>
      </c>
      <c r="BK1467" s="321">
        <v>0</v>
      </c>
      <c r="BL1467" s="438">
        <v>1</v>
      </c>
    </row>
    <row r="1468" spans="1:64">
      <c r="A1468" s="438">
        <v>2</v>
      </c>
      <c r="B1468" s="321">
        <v>0</v>
      </c>
      <c r="C1468" s="321">
        <v>0</v>
      </c>
      <c r="D1468" s="321">
        <v>0</v>
      </c>
      <c r="E1468" s="321">
        <v>0</v>
      </c>
      <c r="F1468" s="321">
        <v>0</v>
      </c>
      <c r="G1468" s="25"/>
      <c r="H1468" s="321">
        <v>0</v>
      </c>
      <c r="I1468" s="321">
        <v>0</v>
      </c>
      <c r="J1468" s="321">
        <v>0</v>
      </c>
      <c r="K1468" s="321">
        <v>0</v>
      </c>
      <c r="L1468" s="321">
        <v>0</v>
      </c>
      <c r="M1468" s="321">
        <v>0</v>
      </c>
      <c r="N1468" s="321">
        <v>0</v>
      </c>
      <c r="O1468" s="321">
        <v>0</v>
      </c>
      <c r="P1468" s="25"/>
      <c r="Q1468" s="321">
        <v>0</v>
      </c>
      <c r="R1468" s="321">
        <v>0</v>
      </c>
      <c r="S1468" s="321">
        <v>0</v>
      </c>
      <c r="T1468" s="321">
        <v>0</v>
      </c>
      <c r="U1468" s="321">
        <v>0</v>
      </c>
      <c r="V1468" s="321">
        <v>0</v>
      </c>
      <c r="W1468" s="321">
        <v>0</v>
      </c>
      <c r="X1468" s="321">
        <v>0</v>
      </c>
      <c r="Y1468" s="321">
        <v>0</v>
      </c>
      <c r="Z1468" s="321">
        <v>0</v>
      </c>
      <c r="AA1468" s="321">
        <v>0</v>
      </c>
      <c r="AB1468" s="321">
        <v>0</v>
      </c>
      <c r="AC1468" s="321">
        <v>0</v>
      </c>
      <c r="AD1468" s="552">
        <v>1</v>
      </c>
      <c r="AE1468" s="321">
        <v>0</v>
      </c>
      <c r="AF1468" s="438">
        <v>1</v>
      </c>
      <c r="AG1468" s="438">
        <v>2</v>
      </c>
      <c r="AH1468" s="321">
        <v>0</v>
      </c>
      <c r="AI1468" s="321">
        <v>0</v>
      </c>
      <c r="AJ1468" s="321">
        <v>0</v>
      </c>
      <c r="AK1468" s="321">
        <v>0</v>
      </c>
      <c r="AL1468" s="321">
        <v>0</v>
      </c>
      <c r="AM1468" s="8"/>
      <c r="AN1468" s="321">
        <v>0</v>
      </c>
      <c r="AO1468" s="321">
        <v>0</v>
      </c>
      <c r="AP1468" s="321">
        <v>0</v>
      </c>
      <c r="AQ1468" s="321">
        <v>0</v>
      </c>
      <c r="AR1468" s="552">
        <v>1</v>
      </c>
      <c r="AS1468" s="321">
        <v>0</v>
      </c>
      <c r="AT1468" s="321">
        <v>0</v>
      </c>
      <c r="AU1468" s="321">
        <v>0</v>
      </c>
      <c r="AV1468" s="8"/>
      <c r="AW1468" s="321">
        <v>0</v>
      </c>
      <c r="AX1468" s="321">
        <v>0</v>
      </c>
      <c r="AY1468" s="321">
        <v>0</v>
      </c>
      <c r="AZ1468" s="8"/>
      <c r="BA1468" s="8"/>
      <c r="BB1468" s="321">
        <v>0</v>
      </c>
      <c r="BC1468" s="321">
        <v>0</v>
      </c>
      <c r="BD1468" s="321">
        <v>0</v>
      </c>
      <c r="BE1468" s="321">
        <v>0</v>
      </c>
      <c r="BF1468" s="321">
        <v>0</v>
      </c>
      <c r="BG1468" s="321">
        <v>0</v>
      </c>
      <c r="BH1468" s="321">
        <v>0</v>
      </c>
      <c r="BI1468" s="321">
        <v>0</v>
      </c>
      <c r="BJ1468" s="321">
        <v>0</v>
      </c>
      <c r="BK1468" s="321">
        <v>0</v>
      </c>
      <c r="BL1468" s="438">
        <v>1</v>
      </c>
    </row>
    <row r="1469" spans="1:64">
      <c r="A1469" s="438">
        <v>2</v>
      </c>
      <c r="B1469" s="321">
        <v>0</v>
      </c>
      <c r="C1469" s="304"/>
      <c r="D1469" s="304"/>
      <c r="E1469" s="321">
        <v>0</v>
      </c>
      <c r="F1469" s="321">
        <v>0</v>
      </c>
      <c r="G1469" s="321">
        <v>0</v>
      </c>
      <c r="H1469" s="321">
        <v>0</v>
      </c>
      <c r="I1469" s="321">
        <v>0</v>
      </c>
      <c r="J1469" s="321">
        <v>0</v>
      </c>
      <c r="K1469" s="321">
        <v>0</v>
      </c>
      <c r="L1469" s="321">
        <v>0</v>
      </c>
      <c r="M1469" s="321">
        <v>0</v>
      </c>
      <c r="N1469" s="321">
        <v>0</v>
      </c>
      <c r="O1469" s="321">
        <v>0</v>
      </c>
      <c r="P1469" s="321">
        <v>0</v>
      </c>
      <c r="Q1469" s="321">
        <v>0</v>
      </c>
      <c r="R1469" s="321">
        <v>0</v>
      </c>
      <c r="S1469" s="321">
        <v>0</v>
      </c>
      <c r="T1469" s="304"/>
      <c r="U1469" s="304"/>
      <c r="V1469" s="321">
        <v>0</v>
      </c>
      <c r="W1469" s="321">
        <v>0</v>
      </c>
      <c r="X1469" s="321">
        <v>0</v>
      </c>
      <c r="Y1469" s="25"/>
      <c r="Z1469" s="25"/>
      <c r="AA1469" s="321">
        <v>0</v>
      </c>
      <c r="AB1469" s="321">
        <v>0</v>
      </c>
      <c r="AC1469" s="552">
        <v>1</v>
      </c>
      <c r="AD1469" s="321">
        <v>0</v>
      </c>
      <c r="AE1469" s="321">
        <v>0</v>
      </c>
      <c r="AF1469" s="438">
        <v>1</v>
      </c>
      <c r="AG1469" s="438">
        <v>2</v>
      </c>
      <c r="AH1469" s="321">
        <v>0</v>
      </c>
      <c r="AI1469" s="8"/>
      <c r="AJ1469" s="8"/>
      <c r="AK1469" s="321">
        <v>0</v>
      </c>
      <c r="AL1469" s="321">
        <v>0</v>
      </c>
      <c r="AM1469" s="321">
        <v>0</v>
      </c>
      <c r="AN1469" s="321">
        <v>0</v>
      </c>
      <c r="AO1469" s="321">
        <v>0</v>
      </c>
      <c r="AP1469" s="321">
        <v>0</v>
      </c>
      <c r="AQ1469" s="552">
        <v>1</v>
      </c>
      <c r="AR1469" s="321">
        <v>0</v>
      </c>
      <c r="AS1469" s="321">
        <v>0</v>
      </c>
      <c r="AT1469" s="321">
        <v>0</v>
      </c>
      <c r="AU1469" s="321">
        <v>0</v>
      </c>
      <c r="AV1469" s="321">
        <v>0</v>
      </c>
      <c r="AW1469" s="321">
        <v>0</v>
      </c>
      <c r="AX1469" s="321">
        <v>0</v>
      </c>
      <c r="AY1469" s="321">
        <v>0</v>
      </c>
      <c r="AZ1469" s="8"/>
      <c r="BA1469" s="8"/>
      <c r="BB1469" s="321">
        <v>0</v>
      </c>
      <c r="BC1469" s="321">
        <v>0</v>
      </c>
      <c r="BD1469" s="321">
        <v>0</v>
      </c>
      <c r="BE1469" s="8"/>
      <c r="BF1469" s="8"/>
      <c r="BG1469" s="321">
        <v>0</v>
      </c>
      <c r="BH1469" s="321">
        <v>0</v>
      </c>
      <c r="BI1469" s="321">
        <v>0</v>
      </c>
      <c r="BJ1469" s="321">
        <v>0</v>
      </c>
      <c r="BK1469" s="321">
        <v>0</v>
      </c>
      <c r="BL1469" s="438">
        <v>1</v>
      </c>
    </row>
    <row r="1470" spans="1:64">
      <c r="A1470" s="438">
        <v>2</v>
      </c>
      <c r="B1470" s="321">
        <v>0</v>
      </c>
      <c r="C1470" s="321">
        <v>0</v>
      </c>
      <c r="D1470" s="304"/>
      <c r="E1470" s="304"/>
      <c r="F1470" s="321">
        <v>0</v>
      </c>
      <c r="G1470" s="321">
        <v>0</v>
      </c>
      <c r="H1470" s="321">
        <v>0</v>
      </c>
      <c r="I1470" s="321">
        <v>0</v>
      </c>
      <c r="J1470" s="321">
        <v>0</v>
      </c>
      <c r="K1470" s="321">
        <v>0</v>
      </c>
      <c r="L1470" s="321">
        <v>0</v>
      </c>
      <c r="M1470" s="321">
        <v>0</v>
      </c>
      <c r="N1470" s="321">
        <v>0</v>
      </c>
      <c r="O1470" s="321">
        <v>0</v>
      </c>
      <c r="P1470" s="321">
        <v>0</v>
      </c>
      <c r="Q1470" s="321">
        <v>0</v>
      </c>
      <c r="R1470" s="321">
        <v>0</v>
      </c>
      <c r="S1470" s="321">
        <v>0</v>
      </c>
      <c r="T1470" s="321">
        <v>0</v>
      </c>
      <c r="U1470" s="321">
        <v>0</v>
      </c>
      <c r="V1470" s="321">
        <v>0</v>
      </c>
      <c r="W1470" s="321">
        <v>0</v>
      </c>
      <c r="X1470" s="321">
        <v>0</v>
      </c>
      <c r="Y1470" s="321">
        <v>0</v>
      </c>
      <c r="Z1470" s="321">
        <v>0</v>
      </c>
      <c r="AA1470" s="321">
        <v>0</v>
      </c>
      <c r="AB1470" s="552">
        <v>1</v>
      </c>
      <c r="AC1470" s="321">
        <v>0</v>
      </c>
      <c r="AD1470" s="321">
        <v>0</v>
      </c>
      <c r="AE1470" s="321">
        <v>0</v>
      </c>
      <c r="AF1470" s="438">
        <v>1</v>
      </c>
      <c r="AG1470" s="438">
        <v>2</v>
      </c>
      <c r="AH1470" s="321">
        <v>0</v>
      </c>
      <c r="AI1470" s="321">
        <v>0</v>
      </c>
      <c r="AJ1470" s="8"/>
      <c r="AK1470" s="8"/>
      <c r="AL1470" s="321">
        <v>0</v>
      </c>
      <c r="AM1470" s="321">
        <v>0</v>
      </c>
      <c r="AN1470" s="321">
        <v>0</v>
      </c>
      <c r="AO1470" s="321">
        <v>0</v>
      </c>
      <c r="AP1470" s="321">
        <v>0</v>
      </c>
      <c r="AQ1470" s="321">
        <v>0</v>
      </c>
      <c r="AR1470" s="321">
        <v>0</v>
      </c>
      <c r="AS1470" s="321">
        <v>0</v>
      </c>
      <c r="AT1470" s="321">
        <v>0</v>
      </c>
      <c r="AU1470" s="321">
        <v>0</v>
      </c>
      <c r="AV1470" s="321">
        <v>0</v>
      </c>
      <c r="AW1470" s="321">
        <v>0</v>
      </c>
      <c r="AX1470" s="321">
        <v>0</v>
      </c>
      <c r="AY1470" s="321">
        <v>0</v>
      </c>
      <c r="AZ1470" s="321">
        <v>0</v>
      </c>
      <c r="BA1470" s="8"/>
      <c r="BB1470" s="321">
        <v>0</v>
      </c>
      <c r="BC1470" s="321">
        <v>0</v>
      </c>
      <c r="BD1470" s="321">
        <v>0</v>
      </c>
      <c r="BE1470" s="321">
        <v>0</v>
      </c>
      <c r="BF1470" s="321">
        <v>0</v>
      </c>
      <c r="BG1470" s="321">
        <v>0</v>
      </c>
      <c r="BH1470" s="321">
        <v>0</v>
      </c>
      <c r="BI1470" s="321">
        <v>0</v>
      </c>
      <c r="BJ1470" s="321">
        <v>0</v>
      </c>
      <c r="BK1470" s="321">
        <v>0</v>
      </c>
      <c r="BL1470" s="438">
        <v>1</v>
      </c>
    </row>
    <row r="1471" spans="1:64">
      <c r="A1471" s="25"/>
      <c r="B1471" s="321">
        <v>0</v>
      </c>
      <c r="C1471" s="321">
        <v>0</v>
      </c>
      <c r="D1471" s="321">
        <v>0</v>
      </c>
      <c r="E1471" s="321">
        <v>0</v>
      </c>
      <c r="F1471" s="321">
        <v>0</v>
      </c>
      <c r="G1471" s="321">
        <v>0</v>
      </c>
      <c r="H1471" s="321">
        <v>0</v>
      </c>
      <c r="I1471" s="321">
        <v>0</v>
      </c>
      <c r="J1471" s="321">
        <v>0</v>
      </c>
      <c r="K1471" s="25"/>
      <c r="L1471" s="25"/>
      <c r="M1471" s="321">
        <v>0</v>
      </c>
      <c r="N1471" s="321">
        <v>0</v>
      </c>
      <c r="O1471" s="321">
        <v>0</v>
      </c>
      <c r="P1471" s="25"/>
      <c r="Q1471" s="25"/>
      <c r="R1471" s="295"/>
      <c r="S1471" s="321">
        <v>0</v>
      </c>
      <c r="T1471" s="321">
        <v>0</v>
      </c>
      <c r="U1471" s="321">
        <v>0</v>
      </c>
      <c r="V1471" s="321">
        <v>0</v>
      </c>
      <c r="W1471" s="321">
        <v>0</v>
      </c>
      <c r="X1471" s="321">
        <v>0</v>
      </c>
      <c r="Y1471" s="321">
        <v>0</v>
      </c>
      <c r="Z1471" s="321">
        <v>0</v>
      </c>
      <c r="AA1471" s="321">
        <v>0</v>
      </c>
      <c r="AB1471" s="321">
        <v>0</v>
      </c>
      <c r="AC1471" s="321">
        <v>0</v>
      </c>
      <c r="AD1471" s="321">
        <v>0</v>
      </c>
      <c r="AE1471" s="321">
        <v>0</v>
      </c>
      <c r="AF1471" s="438">
        <v>1</v>
      </c>
      <c r="AG1471" s="438">
        <v>2</v>
      </c>
      <c r="AH1471" s="321">
        <v>0</v>
      </c>
      <c r="AI1471" s="321">
        <v>0</v>
      </c>
      <c r="AJ1471" s="321">
        <v>0</v>
      </c>
      <c r="AK1471" s="321">
        <v>0</v>
      </c>
      <c r="AL1471" s="321">
        <v>0</v>
      </c>
      <c r="AM1471" s="321">
        <v>0</v>
      </c>
      <c r="AN1471" s="321">
        <v>0</v>
      </c>
      <c r="AO1471" s="321">
        <v>0</v>
      </c>
      <c r="AP1471" s="321">
        <v>0</v>
      </c>
      <c r="AQ1471" s="8"/>
      <c r="AR1471" s="8"/>
      <c r="AS1471" s="321">
        <v>0</v>
      </c>
      <c r="AT1471" s="321">
        <v>0</v>
      </c>
      <c r="AU1471" s="321">
        <v>0</v>
      </c>
      <c r="AV1471" s="321">
        <v>0</v>
      </c>
      <c r="AW1471" s="295"/>
      <c r="AX1471" s="295"/>
      <c r="AY1471" s="321">
        <v>0</v>
      </c>
      <c r="AZ1471" s="321">
        <v>0</v>
      </c>
      <c r="BA1471" s="321">
        <v>0</v>
      </c>
      <c r="BB1471" s="321">
        <v>0</v>
      </c>
      <c r="BC1471" s="321">
        <v>0</v>
      </c>
      <c r="BD1471" s="321">
        <v>0</v>
      </c>
      <c r="BE1471" s="321">
        <v>0</v>
      </c>
      <c r="BF1471" s="321">
        <v>0</v>
      </c>
      <c r="BG1471" s="321">
        <v>0</v>
      </c>
      <c r="BH1471" s="321">
        <v>0</v>
      </c>
      <c r="BI1471" s="321">
        <v>0</v>
      </c>
      <c r="BJ1471" s="321">
        <v>0</v>
      </c>
      <c r="BK1471" s="321">
        <v>0</v>
      </c>
      <c r="BL1471" s="438">
        <v>1</v>
      </c>
    </row>
    <row r="1472" spans="1:64">
      <c r="A1472" s="25"/>
      <c r="B1472" s="25"/>
      <c r="C1472" s="438">
        <v>1</v>
      </c>
      <c r="D1472" s="438">
        <v>1</v>
      </c>
      <c r="E1472" s="25"/>
      <c r="F1472" s="25"/>
      <c r="G1472" s="438">
        <v>1</v>
      </c>
      <c r="H1472" s="438">
        <v>1</v>
      </c>
      <c r="I1472" s="438">
        <v>1</v>
      </c>
      <c r="J1472" s="438">
        <v>1</v>
      </c>
      <c r="K1472" s="438">
        <v>1</v>
      </c>
      <c r="L1472" s="438">
        <v>1</v>
      </c>
      <c r="M1472" s="438">
        <v>1</v>
      </c>
      <c r="N1472" s="438">
        <v>1</v>
      </c>
      <c r="O1472" s="438">
        <v>1</v>
      </c>
      <c r="P1472" s="25"/>
      <c r="Q1472" s="25"/>
      <c r="R1472" s="438">
        <v>1</v>
      </c>
      <c r="S1472" s="438">
        <v>1</v>
      </c>
      <c r="T1472" s="438">
        <v>1</v>
      </c>
      <c r="U1472" s="438">
        <v>1</v>
      </c>
      <c r="V1472" s="438">
        <v>1</v>
      </c>
      <c r="W1472" s="438">
        <v>1</v>
      </c>
      <c r="X1472" s="438">
        <v>1</v>
      </c>
      <c r="Y1472" s="438">
        <v>1</v>
      </c>
      <c r="Z1472" s="25"/>
      <c r="AA1472" s="25"/>
      <c r="AB1472" s="438">
        <v>1</v>
      </c>
      <c r="AC1472" s="438">
        <v>1</v>
      </c>
      <c r="AD1472" s="438">
        <v>1</v>
      </c>
      <c r="AE1472" s="295"/>
      <c r="AF1472" s="295"/>
      <c r="AG1472" s="438">
        <v>1</v>
      </c>
      <c r="AH1472" s="438">
        <v>1</v>
      </c>
      <c r="AI1472" s="438">
        <v>1</v>
      </c>
      <c r="AJ1472" s="438">
        <v>1</v>
      </c>
      <c r="AK1472" s="295"/>
      <c r="AL1472" s="295"/>
      <c r="AM1472" s="438">
        <v>1</v>
      </c>
      <c r="AN1472" s="438">
        <v>1</v>
      </c>
      <c r="AO1472" s="8"/>
      <c r="AP1472" s="8"/>
      <c r="AQ1472" s="438">
        <v>1</v>
      </c>
      <c r="AR1472" s="438">
        <v>1</v>
      </c>
      <c r="AS1472" s="438">
        <v>1</v>
      </c>
      <c r="AT1472" s="438">
        <v>1</v>
      </c>
      <c r="AU1472" s="438">
        <v>1</v>
      </c>
      <c r="AV1472" s="295"/>
      <c r="AW1472" s="295"/>
      <c r="AX1472" s="438">
        <v>1</v>
      </c>
      <c r="AY1472" s="438">
        <v>1</v>
      </c>
      <c r="AZ1472" s="438">
        <v>1</v>
      </c>
      <c r="BA1472" s="8"/>
      <c r="BB1472" s="8"/>
      <c r="BC1472" s="438">
        <v>1</v>
      </c>
      <c r="BD1472" s="438">
        <v>1</v>
      </c>
      <c r="BE1472" s="438">
        <v>1</v>
      </c>
      <c r="BF1472" s="295"/>
      <c r="BG1472" s="295"/>
      <c r="BH1472" s="438">
        <v>1</v>
      </c>
      <c r="BI1472" s="438">
        <v>1</v>
      </c>
      <c r="BJ1472" s="438">
        <v>1</v>
      </c>
      <c r="BK1472" s="295"/>
      <c r="BL1472" s="295"/>
    </row>
    <row r="1473" spans="1:100">
      <c r="A1473" s="326"/>
      <c r="B1473" s="326"/>
      <c r="C1473" s="326"/>
      <c r="D1473" s="326"/>
      <c r="E1473" s="326"/>
      <c r="F1473" s="326"/>
      <c r="G1473" s="326"/>
      <c r="H1473" s="326"/>
      <c r="I1473" s="326"/>
      <c r="J1473" s="326"/>
      <c r="K1473" s="326"/>
      <c r="L1473" s="326"/>
      <c r="M1473" s="326"/>
      <c r="N1473" s="326"/>
      <c r="O1473" s="326"/>
      <c r="P1473" s="326"/>
      <c r="Q1473" s="326"/>
      <c r="R1473" s="326"/>
      <c r="S1473" s="326"/>
      <c r="T1473" s="326"/>
      <c r="U1473" s="326"/>
      <c r="V1473" s="326"/>
      <c r="W1473" s="326"/>
      <c r="X1473" s="326"/>
      <c r="Y1473" s="326"/>
      <c r="Z1473" s="326"/>
      <c r="AA1473" s="326"/>
      <c r="AB1473" s="326"/>
      <c r="AC1473" s="326"/>
      <c r="AD1473" s="326"/>
      <c r="AE1473" s="326"/>
      <c r="AF1473" s="326"/>
      <c r="AG1473" s="326"/>
      <c r="AH1473" s="326"/>
      <c r="AI1473" s="326"/>
      <c r="AJ1473" s="326"/>
      <c r="AK1473" s="326"/>
      <c r="AL1473" s="326"/>
      <c r="AM1473" s="326"/>
      <c r="AN1473" s="326"/>
      <c r="AO1473" s="326"/>
      <c r="AP1473" s="326"/>
      <c r="AQ1473" s="326"/>
      <c r="AR1473" s="326"/>
      <c r="AS1473" s="326"/>
      <c r="AT1473" s="326"/>
      <c r="AU1473" s="326"/>
      <c r="AV1473" s="326"/>
      <c r="AW1473" s="326"/>
      <c r="AX1473" s="326"/>
      <c r="AY1473" s="326"/>
      <c r="AZ1473" s="326"/>
      <c r="BA1473" s="326"/>
      <c r="BB1473" s="326"/>
      <c r="BC1473" s="326"/>
      <c r="BD1473" s="326"/>
      <c r="BE1473" s="326"/>
      <c r="BF1473" s="326"/>
      <c r="BG1473" s="326"/>
      <c r="BH1473" s="326"/>
      <c r="BI1473" s="326"/>
      <c r="BJ1473" s="326"/>
      <c r="BK1473" s="326"/>
      <c r="BL1473" s="326"/>
      <c r="BM1473" s="301">
        <v>47</v>
      </c>
    </row>
    <row r="1474" spans="1:100">
      <c r="A1474" s="326"/>
      <c r="B1474" s="326"/>
      <c r="C1474" s="326"/>
      <c r="D1474" s="326"/>
      <c r="E1474" s="326"/>
      <c r="F1474" s="326"/>
      <c r="G1474" s="326"/>
      <c r="H1474" s="326"/>
      <c r="I1474" s="326"/>
      <c r="J1474" s="326"/>
      <c r="K1474" s="326"/>
      <c r="L1474" s="326"/>
      <c r="M1474" s="326"/>
      <c r="N1474" s="326"/>
      <c r="O1474" s="326"/>
      <c r="P1474" s="326"/>
      <c r="Q1474" s="326"/>
      <c r="R1474" s="326"/>
      <c r="S1474" s="326"/>
      <c r="T1474" s="326"/>
      <c r="U1474" s="326"/>
      <c r="V1474" s="326"/>
      <c r="W1474" s="326"/>
      <c r="X1474" s="326"/>
      <c r="Y1474" s="326"/>
      <c r="Z1474" s="326"/>
      <c r="AA1474" s="326"/>
      <c r="AB1474" s="326"/>
      <c r="AC1474" s="326"/>
      <c r="AD1474" s="326"/>
      <c r="AE1474" s="326"/>
      <c r="AF1474" s="326"/>
      <c r="AG1474" s="326"/>
      <c r="AH1474" s="326"/>
      <c r="AI1474" s="326"/>
      <c r="AJ1474" s="326"/>
      <c r="AK1474" s="326"/>
      <c r="AL1474" s="326"/>
      <c r="AM1474" s="326"/>
      <c r="AN1474" s="326"/>
      <c r="AO1474" s="326"/>
      <c r="AP1474" s="326"/>
      <c r="AQ1474" s="326"/>
      <c r="AR1474" s="326"/>
      <c r="AS1474" s="326"/>
      <c r="AT1474" s="326"/>
      <c r="AU1474" s="326"/>
      <c r="AV1474" s="326"/>
      <c r="AW1474" s="326"/>
      <c r="AX1474" s="326"/>
      <c r="AY1474" s="326"/>
      <c r="AZ1474" s="326"/>
      <c r="BA1474" s="326"/>
      <c r="BB1474" s="326"/>
      <c r="BC1474" s="326"/>
      <c r="BD1474" s="326"/>
      <c r="BE1474" s="326"/>
      <c r="BF1474" s="326"/>
      <c r="BG1474" s="326"/>
      <c r="BH1474" s="326"/>
      <c r="BI1474" s="326"/>
      <c r="BJ1474" s="326"/>
      <c r="BK1474" s="326"/>
      <c r="BL1474" s="326"/>
      <c r="BM1474" s="297"/>
    </row>
    <row r="1475" spans="1:100">
      <c r="A1475" s="326"/>
      <c r="B1475" s="326"/>
      <c r="C1475" s="326"/>
      <c r="D1475" s="326"/>
      <c r="E1475" s="326"/>
      <c r="F1475" s="326"/>
      <c r="G1475" s="326"/>
      <c r="H1475" s="326"/>
      <c r="I1475" s="326"/>
      <c r="J1475" s="326"/>
      <c r="K1475" s="326"/>
      <c r="L1475" s="326"/>
      <c r="M1475" s="326"/>
      <c r="N1475" s="326"/>
      <c r="O1475" s="326"/>
      <c r="P1475" s="326"/>
      <c r="Q1475" s="326"/>
      <c r="R1475" s="326"/>
      <c r="S1475" s="326"/>
      <c r="T1475" s="326"/>
      <c r="U1475" s="326"/>
      <c r="V1475" s="326"/>
      <c r="W1475" s="326"/>
      <c r="X1475" s="326"/>
      <c r="Y1475" s="326"/>
      <c r="Z1475" s="326"/>
      <c r="AA1475" s="326"/>
      <c r="AB1475" s="326"/>
      <c r="AC1475" s="326"/>
      <c r="AD1475" s="326"/>
      <c r="AE1475" s="326"/>
      <c r="AF1475" s="326"/>
      <c r="AG1475" s="326"/>
      <c r="AH1475" s="326"/>
      <c r="AI1475" s="326"/>
      <c r="AJ1475" s="326"/>
      <c r="AK1475" s="326"/>
      <c r="AL1475" s="326"/>
      <c r="AM1475" s="326"/>
      <c r="AN1475" s="326"/>
      <c r="AO1475" s="326"/>
      <c r="AP1475" s="326"/>
      <c r="AQ1475" s="326"/>
      <c r="AR1475" s="326"/>
      <c r="AS1475" s="326"/>
      <c r="AT1475" s="326"/>
      <c r="AU1475" s="326"/>
      <c r="AV1475" s="326"/>
      <c r="AW1475" s="326"/>
      <c r="AX1475" s="326"/>
      <c r="AY1475" s="326"/>
      <c r="AZ1475" s="326"/>
      <c r="BA1475" s="326"/>
      <c r="BB1475" s="326"/>
      <c r="BC1475" s="326"/>
      <c r="BD1475" s="326"/>
      <c r="BE1475" s="326"/>
      <c r="BF1475" s="326"/>
      <c r="BG1475" s="326"/>
      <c r="BH1475" s="326"/>
      <c r="BI1475" s="326"/>
      <c r="BJ1475" s="326"/>
      <c r="BK1475" s="326"/>
      <c r="BL1475" s="326"/>
      <c r="BM1475" s="1"/>
    </row>
    <row r="1476" spans="1:100">
      <c r="A1476" s="326"/>
      <c r="B1476" s="326"/>
      <c r="C1476" s="326"/>
      <c r="D1476" s="326"/>
      <c r="E1476" s="326"/>
      <c r="F1476" s="326"/>
      <c r="G1476" s="326"/>
      <c r="H1476" s="326"/>
      <c r="I1476" s="326"/>
      <c r="J1476" s="326"/>
      <c r="K1476" s="326"/>
      <c r="L1476" s="326"/>
      <c r="M1476" s="326"/>
      <c r="N1476" s="326"/>
      <c r="O1476" s="326"/>
      <c r="P1476" s="326"/>
      <c r="Q1476" s="326"/>
      <c r="R1476" s="326"/>
      <c r="S1476" s="326"/>
      <c r="T1476" s="326"/>
      <c r="U1476" s="326"/>
      <c r="V1476" s="326"/>
      <c r="W1476" s="326"/>
      <c r="X1476" s="326"/>
      <c r="Y1476" s="326"/>
      <c r="Z1476" s="326"/>
      <c r="AA1476" s="326"/>
      <c r="AB1476" s="326"/>
      <c r="AC1476" s="326"/>
      <c r="AD1476" s="326"/>
      <c r="AE1476" s="326"/>
      <c r="AF1476" s="326"/>
      <c r="AG1476" s="326"/>
      <c r="AH1476" s="326"/>
      <c r="AI1476" s="326"/>
      <c r="AJ1476" s="326"/>
      <c r="AK1476" s="326"/>
      <c r="AL1476" s="326"/>
      <c r="AM1476" s="326"/>
      <c r="AN1476" s="326"/>
      <c r="AO1476" s="326"/>
      <c r="AP1476" s="326"/>
      <c r="AQ1476" s="326"/>
      <c r="AR1476" s="326"/>
      <c r="AS1476" s="326"/>
      <c r="AT1476" s="326"/>
      <c r="AU1476" s="326"/>
      <c r="AV1476" s="326"/>
      <c r="AW1476" s="326"/>
      <c r="AX1476" s="326"/>
      <c r="AY1476" s="326"/>
      <c r="AZ1476" s="326"/>
      <c r="BA1476" s="326"/>
      <c r="BB1476" s="326"/>
      <c r="BC1476" s="326"/>
      <c r="BD1476" s="326"/>
      <c r="BE1476" s="326"/>
      <c r="BF1476" s="326"/>
      <c r="BG1476" s="326"/>
      <c r="BH1476" s="326"/>
      <c r="BI1476" s="326"/>
      <c r="BJ1476" s="326"/>
      <c r="BK1476" s="326"/>
      <c r="BL1476" s="326"/>
      <c r="BM1476" s="1"/>
    </row>
    <row r="1477" spans="1:100">
      <c r="A1477" s="326"/>
      <c r="B1477" s="326"/>
      <c r="C1477" s="326"/>
      <c r="D1477" s="326"/>
      <c r="E1477" s="326"/>
      <c r="F1477" s="326"/>
      <c r="G1477" s="326"/>
      <c r="H1477" s="326"/>
      <c r="I1477" s="326"/>
      <c r="J1477" s="326"/>
      <c r="K1477" s="326"/>
      <c r="L1477" s="326"/>
      <c r="M1477" s="326"/>
      <c r="N1477" s="326"/>
      <c r="O1477" s="326"/>
      <c r="P1477" s="326"/>
      <c r="Q1477" s="326"/>
      <c r="R1477" s="326"/>
      <c r="S1477" s="326"/>
      <c r="T1477" s="326"/>
      <c r="U1477" s="326"/>
      <c r="V1477" s="326"/>
      <c r="W1477" s="326"/>
      <c r="X1477" s="326"/>
      <c r="Y1477" s="326"/>
      <c r="Z1477" s="326"/>
      <c r="AA1477" s="326"/>
      <c r="AB1477" s="326"/>
      <c r="AC1477" s="326"/>
      <c r="AD1477" s="326"/>
      <c r="AE1477" s="326"/>
      <c r="AF1477" s="326"/>
      <c r="AG1477" s="326"/>
      <c r="AH1477" s="326"/>
      <c r="AI1477" s="326"/>
      <c r="AJ1477" s="326"/>
      <c r="AK1477" s="326"/>
      <c r="AL1477" s="326"/>
      <c r="AM1477" s="326"/>
      <c r="AN1477" s="326"/>
      <c r="AO1477" s="326"/>
      <c r="AP1477" s="326"/>
      <c r="AQ1477" s="326"/>
      <c r="AR1477" s="326"/>
      <c r="AS1477" s="326"/>
      <c r="AT1477" s="326"/>
      <c r="AU1477" s="326"/>
      <c r="AV1477" s="326"/>
      <c r="AW1477" s="326"/>
      <c r="AX1477" s="326"/>
      <c r="AY1477" s="326"/>
      <c r="AZ1477" s="326"/>
      <c r="BA1477" s="326"/>
      <c r="BB1477" s="326"/>
      <c r="BC1477" s="326"/>
      <c r="BD1477" s="326"/>
      <c r="BE1477" s="326"/>
      <c r="BF1477" s="326"/>
      <c r="BG1477" s="326"/>
      <c r="BH1477" s="326"/>
      <c r="BI1477" s="326"/>
      <c r="BJ1477" s="326"/>
      <c r="BK1477" s="326"/>
      <c r="BL1477" s="326"/>
      <c r="BM1477" s="1"/>
    </row>
    <row r="1478" spans="1:100">
      <c r="A1478" s="326"/>
      <c r="B1478" s="326"/>
      <c r="C1478" s="326"/>
      <c r="D1478" s="326"/>
      <c r="E1478" s="326"/>
      <c r="F1478" s="326"/>
      <c r="G1478" s="326"/>
      <c r="H1478" s="326"/>
      <c r="I1478" s="326"/>
      <c r="J1478" s="326"/>
      <c r="K1478" s="326"/>
      <c r="L1478" s="326"/>
      <c r="M1478" s="326"/>
      <c r="N1478" s="326"/>
      <c r="O1478" s="326"/>
      <c r="P1478" s="326"/>
      <c r="Q1478" s="326"/>
      <c r="R1478" s="326"/>
      <c r="S1478" s="326"/>
      <c r="T1478" s="326"/>
      <c r="U1478" s="326"/>
      <c r="V1478" s="326"/>
      <c r="W1478" s="326"/>
      <c r="X1478" s="326"/>
      <c r="Y1478" s="326"/>
      <c r="Z1478" s="326"/>
      <c r="AA1478" s="326"/>
      <c r="AB1478" s="326"/>
      <c r="AC1478" s="326"/>
      <c r="AD1478" s="326"/>
      <c r="AE1478" s="326"/>
      <c r="AF1478" s="326"/>
      <c r="AG1478" s="326"/>
      <c r="AH1478" s="326"/>
      <c r="AI1478" s="326"/>
      <c r="AJ1478" s="326"/>
      <c r="AK1478" s="326"/>
      <c r="AL1478" s="326"/>
      <c r="AM1478" s="326"/>
      <c r="AN1478" s="326"/>
      <c r="AO1478" s="326"/>
      <c r="AP1478" s="326"/>
      <c r="AQ1478" s="326"/>
      <c r="AR1478" s="326"/>
      <c r="AS1478" s="326"/>
      <c r="AT1478" s="326"/>
      <c r="AU1478" s="326"/>
      <c r="AV1478" s="326"/>
      <c r="AW1478" s="326"/>
      <c r="AX1478" s="326"/>
      <c r="AY1478" s="326"/>
      <c r="AZ1478" s="326"/>
      <c r="BA1478" s="326"/>
      <c r="BB1478" s="326"/>
      <c r="BC1478" s="326"/>
      <c r="BD1478" s="326"/>
      <c r="BE1478" s="326"/>
      <c r="BF1478" s="326"/>
      <c r="BG1478" s="326"/>
      <c r="BH1478" s="326"/>
      <c r="BI1478" s="326"/>
      <c r="BJ1478" s="326"/>
      <c r="BK1478" s="326"/>
      <c r="BL1478" s="326"/>
      <c r="BM1478" s="1">
        <v>2</v>
      </c>
    </row>
    <row r="1479" spans="1:100">
      <c r="A1479" s="326"/>
      <c r="B1479" s="326"/>
      <c r="C1479" s="326"/>
      <c r="D1479" s="326"/>
      <c r="E1479" s="326"/>
      <c r="F1479" s="326"/>
      <c r="G1479" s="326"/>
      <c r="H1479" s="326"/>
      <c r="I1479" s="326"/>
      <c r="J1479" s="326"/>
      <c r="K1479" s="326"/>
      <c r="L1479" s="326"/>
      <c r="M1479" s="326"/>
      <c r="N1479" s="326"/>
      <c r="O1479" s="326"/>
      <c r="P1479" s="326"/>
      <c r="Q1479" s="326"/>
      <c r="R1479" s="326"/>
      <c r="S1479" s="326"/>
      <c r="T1479" s="326"/>
      <c r="U1479" s="326"/>
      <c r="V1479" s="326"/>
      <c r="W1479" s="326"/>
      <c r="X1479" s="326"/>
      <c r="Y1479" s="326"/>
      <c r="Z1479" s="326"/>
      <c r="AA1479" s="326"/>
      <c r="AB1479" s="326"/>
      <c r="AC1479" s="326"/>
      <c r="AD1479" s="326"/>
      <c r="AE1479" s="326"/>
      <c r="AF1479" s="326"/>
      <c r="AG1479" s="326"/>
      <c r="AH1479" s="326"/>
      <c r="AI1479" s="326"/>
      <c r="AJ1479" s="326"/>
      <c r="AK1479" s="326"/>
      <c r="AL1479" s="326"/>
      <c r="AM1479" s="326"/>
      <c r="AN1479" s="326"/>
      <c r="AO1479" s="326"/>
      <c r="AP1479" s="326"/>
      <c r="AQ1479" s="326"/>
      <c r="AR1479" s="326"/>
      <c r="AS1479" s="326"/>
      <c r="AT1479" s="326"/>
      <c r="AU1479" s="326"/>
      <c r="AV1479" s="326"/>
      <c r="AW1479" s="326"/>
      <c r="AX1479" s="326"/>
      <c r="AY1479" s="326"/>
      <c r="AZ1479" s="326"/>
      <c r="BA1479" s="326"/>
      <c r="BB1479" s="326"/>
      <c r="BC1479" s="326"/>
      <c r="BD1479" s="326"/>
      <c r="BE1479" s="326"/>
      <c r="BF1479" s="326"/>
      <c r="BG1479" s="326"/>
      <c r="BH1479" s="326"/>
      <c r="BI1479" s="326"/>
      <c r="BJ1479" s="326"/>
      <c r="BK1479" s="326"/>
      <c r="BL1479" s="326"/>
      <c r="BM1479" s="1"/>
    </row>
    <row r="1480" spans="1:100">
      <c r="A1480" s="611"/>
      <c r="B1480" s="326"/>
      <c r="C1480" s="326"/>
      <c r="D1480" s="326"/>
      <c r="E1480" s="326"/>
      <c r="F1480" s="326"/>
      <c r="G1480" s="326"/>
      <c r="H1480" s="326"/>
      <c r="I1480" s="326"/>
      <c r="J1480" s="326"/>
      <c r="K1480" s="612"/>
      <c r="L1480" s="326"/>
      <c r="M1480" s="326"/>
      <c r="N1480" s="326"/>
      <c r="O1480" s="326"/>
      <c r="P1480" s="612"/>
      <c r="Q1480" s="326"/>
      <c r="R1480" s="326"/>
      <c r="S1480" s="326"/>
      <c r="T1480" s="326"/>
      <c r="U1480" s="612"/>
      <c r="V1480" s="326"/>
      <c r="W1480" s="326"/>
      <c r="X1480" s="326"/>
      <c r="Y1480" s="326"/>
      <c r="Z1480" s="326"/>
      <c r="AA1480" s="326"/>
      <c r="AB1480" s="326"/>
      <c r="AC1480" s="326"/>
      <c r="AD1480" s="326"/>
      <c r="AE1480" s="326"/>
      <c r="AF1480" s="612"/>
      <c r="AG1480" s="611"/>
      <c r="AH1480" s="326"/>
      <c r="AI1480" s="326"/>
      <c r="AJ1480" s="326"/>
      <c r="AK1480" s="326"/>
      <c r="AL1480" s="326"/>
      <c r="AM1480" s="326"/>
      <c r="AN1480" s="326"/>
      <c r="AO1480" s="326"/>
      <c r="AP1480" s="326"/>
      <c r="AQ1480" s="612"/>
      <c r="AR1480" s="326"/>
      <c r="AS1480" s="326"/>
      <c r="AT1480" s="326"/>
      <c r="AU1480" s="326"/>
      <c r="AV1480" s="612"/>
      <c r="AW1480" s="326"/>
      <c r="AX1480" s="326"/>
      <c r="AY1480" s="326"/>
      <c r="AZ1480" s="326"/>
      <c r="BA1480" s="612"/>
      <c r="BB1480" s="326"/>
      <c r="BC1480" s="326"/>
      <c r="BD1480" s="326"/>
      <c r="BE1480" s="326"/>
      <c r="BF1480" s="326"/>
      <c r="BG1480" s="326"/>
      <c r="BH1480" s="326"/>
      <c r="BI1480" s="326"/>
      <c r="BJ1480" s="326"/>
      <c r="BK1480" s="326"/>
      <c r="BL1480" s="612"/>
      <c r="BM1480" s="1"/>
      <c r="BN1480" s="181"/>
      <c r="BO1480" s="90"/>
    </row>
    <row r="1481" spans="1:100">
      <c r="A1481" s="611"/>
      <c r="B1481" s="553"/>
      <c r="C1481" s="326"/>
      <c r="D1481" s="326"/>
      <c r="E1481" s="326"/>
      <c r="F1481" s="612"/>
      <c r="G1481" s="326"/>
      <c r="H1481" s="326"/>
      <c r="I1481" s="326"/>
      <c r="J1481" s="326"/>
      <c r="K1481" s="612"/>
      <c r="L1481" s="553"/>
      <c r="M1481" s="326"/>
      <c r="N1481" s="326"/>
      <c r="O1481" s="326"/>
      <c r="P1481" s="612"/>
      <c r="Q1481" s="553"/>
      <c r="R1481" s="326"/>
      <c r="S1481" s="326"/>
      <c r="T1481" s="326"/>
      <c r="U1481" s="612"/>
      <c r="V1481" s="553"/>
      <c r="W1481" s="326"/>
      <c r="X1481" s="326"/>
      <c r="Y1481" s="326"/>
      <c r="Z1481" s="612"/>
      <c r="AA1481" s="326"/>
      <c r="AB1481" s="326"/>
      <c r="AC1481" s="326"/>
      <c r="AD1481" s="326"/>
      <c r="AE1481" s="611"/>
      <c r="AF1481" s="612"/>
      <c r="AG1481" s="611"/>
      <c r="AH1481" s="553"/>
      <c r="AI1481" s="326"/>
      <c r="AJ1481" s="326"/>
      <c r="AK1481" s="326"/>
      <c r="AL1481" s="612"/>
      <c r="AM1481" s="326"/>
      <c r="AN1481" s="326"/>
      <c r="AO1481" s="326"/>
      <c r="AP1481" s="326"/>
      <c r="AQ1481" s="612"/>
      <c r="AR1481" s="553"/>
      <c r="AS1481" s="326"/>
      <c r="AT1481" s="326"/>
      <c r="AU1481" s="326"/>
      <c r="AV1481" s="612"/>
      <c r="AW1481" s="553"/>
      <c r="AX1481" s="326"/>
      <c r="AY1481" s="326"/>
      <c r="AZ1481" s="326"/>
      <c r="BA1481" s="612"/>
      <c r="BB1481" s="553"/>
      <c r="BC1481" s="326"/>
      <c r="BD1481" s="326"/>
      <c r="BE1481" s="326"/>
      <c r="BF1481" s="612"/>
      <c r="BG1481" s="326"/>
      <c r="BH1481" s="326"/>
      <c r="BI1481" s="326"/>
      <c r="BJ1481" s="326"/>
      <c r="BK1481" s="611"/>
      <c r="BL1481" s="612"/>
      <c r="BM1481" s="1"/>
      <c r="CV1481">
        <v>8</v>
      </c>
    </row>
    <row r="1482" spans="1:100">
      <c r="A1482" s="611"/>
      <c r="B1482" s="553"/>
      <c r="C1482" s="326"/>
      <c r="D1482" s="326"/>
      <c r="E1482" s="326"/>
      <c r="F1482" s="612"/>
      <c r="G1482" s="553"/>
      <c r="H1482" s="326"/>
      <c r="I1482" s="326"/>
      <c r="J1482" s="326"/>
      <c r="K1482" s="612"/>
      <c r="L1482" s="553"/>
      <c r="M1482" s="326"/>
      <c r="N1482" s="326"/>
      <c r="O1482" s="326"/>
      <c r="P1482" s="612"/>
      <c r="Q1482" s="553"/>
      <c r="R1482" s="326"/>
      <c r="S1482" s="326"/>
      <c r="T1482" s="326"/>
      <c r="U1482" s="612"/>
      <c r="V1482" s="553"/>
      <c r="W1482" s="326"/>
      <c r="X1482" s="326"/>
      <c r="Y1482" s="326"/>
      <c r="Z1482" s="612"/>
      <c r="AA1482" s="553"/>
      <c r="AB1482" s="326"/>
      <c r="AC1482" s="326"/>
      <c r="AD1482" s="326"/>
      <c r="AE1482" s="611"/>
      <c r="AF1482" s="612"/>
      <c r="AG1482" s="611"/>
      <c r="AH1482" s="553"/>
      <c r="AI1482" s="326"/>
      <c r="AJ1482" s="326"/>
      <c r="AK1482" s="326"/>
      <c r="AL1482" s="612"/>
      <c r="AM1482" s="553"/>
      <c r="AN1482" s="326"/>
      <c r="AO1482" s="326"/>
      <c r="AP1482" s="326"/>
      <c r="AQ1482" s="612"/>
      <c r="AR1482" s="553"/>
      <c r="AS1482" s="326"/>
      <c r="AT1482" s="326"/>
      <c r="AU1482" s="326"/>
      <c r="AV1482" s="612"/>
      <c r="AW1482" s="553"/>
      <c r="AX1482" s="326"/>
      <c r="AY1482" s="326"/>
      <c r="AZ1482" s="326"/>
      <c r="BA1482" s="612"/>
      <c r="BB1482" s="553"/>
      <c r="BC1482" s="326"/>
      <c r="BD1482" s="326"/>
      <c r="BE1482" s="326"/>
      <c r="BF1482" s="612"/>
      <c r="BG1482" s="553"/>
      <c r="BH1482" s="326"/>
      <c r="BI1482" s="326"/>
      <c r="BJ1482" s="326"/>
      <c r="BK1482" s="611"/>
      <c r="BL1482" s="612"/>
      <c r="BM1482" s="1"/>
      <c r="CV1482">
        <v>8</v>
      </c>
    </row>
    <row r="1483" spans="1:100">
      <c r="BM1483" s="1"/>
      <c r="CT1483">
        <v>10</v>
      </c>
      <c r="CU1483">
        <v>10</v>
      </c>
      <c r="CV1483">
        <v>8</v>
      </c>
    </row>
    <row r="1484" spans="1:100">
      <c r="BM1484" s="1"/>
      <c r="CT1484">
        <v>10</v>
      </c>
      <c r="CU1484">
        <v>10</v>
      </c>
      <c r="CV1484">
        <v>8</v>
      </c>
    </row>
    <row r="1485" spans="1:100">
      <c r="BM1485" s="1"/>
      <c r="CT1485">
        <v>10</v>
      </c>
      <c r="CU1485">
        <v>10</v>
      </c>
      <c r="CV1485">
        <v>8</v>
      </c>
    </row>
    <row r="1486" spans="1:100">
      <c r="BM1486" s="1"/>
      <c r="CT1486">
        <v>10</v>
      </c>
      <c r="CU1486">
        <v>10</v>
      </c>
      <c r="CV1486">
        <v>8</v>
      </c>
    </row>
    <row r="1487" spans="1:100">
      <c r="A1487" s="611"/>
      <c r="B1487" s="553"/>
      <c r="C1487" s="611"/>
      <c r="D1487" s="611"/>
      <c r="E1487" s="612"/>
      <c r="F1487" s="612"/>
      <c r="G1487" s="553"/>
      <c r="H1487" s="611"/>
      <c r="I1487" s="611"/>
      <c r="J1487" s="612"/>
      <c r="K1487" s="612"/>
      <c r="L1487" s="553"/>
      <c r="M1487" s="611"/>
      <c r="N1487" s="611"/>
      <c r="O1487" s="612"/>
      <c r="P1487" s="612"/>
      <c r="Q1487" s="553"/>
      <c r="R1487" s="611"/>
      <c r="S1487" s="611"/>
      <c r="T1487" s="612"/>
      <c r="U1487" s="612"/>
      <c r="V1487" s="553"/>
      <c r="W1487" s="611"/>
      <c r="X1487" s="611"/>
      <c r="Y1487" s="612"/>
      <c r="Z1487" s="612"/>
      <c r="AA1487" s="553"/>
      <c r="AB1487" s="611"/>
      <c r="AC1487" s="611"/>
      <c r="AD1487" s="612"/>
      <c r="AE1487" s="611"/>
      <c r="AF1487" s="612"/>
      <c r="AG1487" s="611"/>
      <c r="AH1487" s="553"/>
      <c r="AI1487" s="611"/>
      <c r="AJ1487" s="611"/>
      <c r="AK1487" s="612"/>
      <c r="AL1487" s="612"/>
      <c r="AM1487" s="553"/>
      <c r="AN1487" s="611"/>
      <c r="AO1487" s="611"/>
      <c r="AP1487" s="612"/>
      <c r="AQ1487" s="612"/>
      <c r="AR1487" s="553"/>
      <c r="AS1487" s="611"/>
      <c r="AT1487" s="611"/>
      <c r="AU1487" s="612"/>
      <c r="AV1487" s="612"/>
      <c r="AW1487" s="553"/>
      <c r="AX1487" s="611"/>
      <c r="AY1487" s="611"/>
      <c r="AZ1487" s="612"/>
      <c r="BA1487" s="612"/>
      <c r="BB1487" s="553"/>
      <c r="BC1487" s="611"/>
      <c r="BD1487" s="611"/>
      <c r="BE1487" s="612"/>
      <c r="BF1487" s="612"/>
      <c r="BG1487" s="553"/>
      <c r="BH1487" s="611"/>
      <c r="BI1487" s="611"/>
      <c r="BJ1487" s="612"/>
      <c r="BK1487" s="611"/>
      <c r="BL1487" s="612"/>
      <c r="BM1487" s="1"/>
      <c r="CV1487">
        <v>8</v>
      </c>
    </row>
    <row r="1488" spans="1:100">
      <c r="BM1488" s="1"/>
      <c r="CT1488">
        <v>10</v>
      </c>
      <c r="CU1488">
        <v>10</v>
      </c>
      <c r="CV1488">
        <v>8</v>
      </c>
    </row>
    <row r="1489" spans="1:100">
      <c r="BM1489" s="1"/>
      <c r="CT1489">
        <v>10</v>
      </c>
      <c r="CU1489">
        <v>10</v>
      </c>
      <c r="CV1489">
        <v>8</v>
      </c>
    </row>
    <row r="1490" spans="1:100">
      <c r="BM1490" s="1"/>
      <c r="CT1490">
        <v>10</v>
      </c>
      <c r="CU1490">
        <v>10</v>
      </c>
      <c r="CV1490">
        <v>8</v>
      </c>
    </row>
    <row r="1491" spans="1:100">
      <c r="BM1491" s="1"/>
      <c r="CT1491">
        <v>10</v>
      </c>
      <c r="CU1491">
        <v>10</v>
      </c>
      <c r="CV1491">
        <v>8</v>
      </c>
    </row>
    <row r="1492" spans="1:100">
      <c r="BM1492" s="1"/>
      <c r="BN1492" s="180"/>
      <c r="BO1492" s="90"/>
      <c r="CT1492">
        <v>10</v>
      </c>
      <c r="CU1492">
        <v>10</v>
      </c>
    </row>
    <row r="1493" spans="1:100">
      <c r="BM1493" s="1"/>
      <c r="CT1493">
        <v>10</v>
      </c>
      <c r="CU1493">
        <v>10</v>
      </c>
      <c r="CV1493">
        <v>20</v>
      </c>
    </row>
    <row r="1494" spans="1:100">
      <c r="BM1494" s="1"/>
      <c r="CT1494">
        <v>10</v>
      </c>
      <c r="CU1494">
        <v>10</v>
      </c>
      <c r="CV1494">
        <v>20</v>
      </c>
    </row>
    <row r="1495" spans="1:100">
      <c r="BM1495" s="1"/>
      <c r="CT1495">
        <v>10</v>
      </c>
      <c r="CU1495">
        <v>10</v>
      </c>
      <c r="CV1495">
        <v>20</v>
      </c>
    </row>
    <row r="1496" spans="1:100">
      <c r="BM1496" s="1"/>
      <c r="CT1496">
        <v>10</v>
      </c>
      <c r="CU1496">
        <v>10</v>
      </c>
      <c r="CV1496">
        <v>20</v>
      </c>
    </row>
    <row r="1497" spans="1:100">
      <c r="BM1497" s="1"/>
      <c r="CT1497">
        <v>10</v>
      </c>
      <c r="CU1497">
        <v>10</v>
      </c>
      <c r="CV1497">
        <v>20</v>
      </c>
    </row>
    <row r="1498" spans="1:100">
      <c r="BM1498" s="1"/>
      <c r="BN1498" s="178"/>
      <c r="BO1498" s="90"/>
      <c r="CT1498">
        <v>10</v>
      </c>
      <c r="CU1498">
        <v>10</v>
      </c>
    </row>
    <row r="1499" spans="1:100">
      <c r="BM1499" s="1"/>
      <c r="CT1499">
        <v>10</v>
      </c>
      <c r="CU1499">
        <v>10</v>
      </c>
      <c r="CV1499">
        <v>26</v>
      </c>
    </row>
    <row r="1500" spans="1:100">
      <c r="BM1500" s="1"/>
      <c r="CT1500">
        <v>10</v>
      </c>
      <c r="CU1500">
        <v>10</v>
      </c>
      <c r="CV1500">
        <v>26</v>
      </c>
    </row>
    <row r="1501" spans="1:100">
      <c r="BM1501" s="1"/>
      <c r="CT1501">
        <v>10</v>
      </c>
      <c r="CU1501">
        <v>10</v>
      </c>
      <c r="CV1501">
        <v>26</v>
      </c>
    </row>
    <row r="1502" spans="1:100">
      <c r="BM1502" s="1"/>
      <c r="CT1502">
        <v>10</v>
      </c>
      <c r="CU1502">
        <v>10</v>
      </c>
      <c r="CV1502">
        <v>26</v>
      </c>
    </row>
    <row r="1503" spans="1:100">
      <c r="A1503" s="611"/>
      <c r="B1503" s="553"/>
      <c r="C1503" s="612"/>
      <c r="D1503" s="612"/>
      <c r="E1503" s="612"/>
      <c r="F1503" s="612"/>
      <c r="G1503" s="553"/>
      <c r="H1503" s="612"/>
      <c r="I1503" s="612"/>
      <c r="J1503" s="612"/>
      <c r="K1503" s="612"/>
      <c r="L1503" s="553"/>
      <c r="M1503" s="612"/>
      <c r="N1503" s="612"/>
      <c r="O1503" s="612"/>
      <c r="P1503" s="612"/>
      <c r="Q1503" s="553"/>
      <c r="R1503" s="612"/>
      <c r="S1503" s="612"/>
      <c r="T1503" s="612"/>
      <c r="U1503" s="612"/>
      <c r="V1503" s="553"/>
      <c r="W1503" s="612"/>
      <c r="X1503" s="612"/>
      <c r="Y1503" s="612"/>
      <c r="Z1503" s="612"/>
      <c r="AA1503" s="553"/>
      <c r="AB1503" s="612"/>
      <c r="AC1503" s="612"/>
      <c r="AD1503" s="612"/>
      <c r="AE1503" s="611"/>
      <c r="AF1503" s="612"/>
      <c r="AG1503" s="611"/>
      <c r="AH1503" s="553"/>
      <c r="AI1503" s="612"/>
      <c r="AJ1503" s="612"/>
      <c r="AK1503" s="612"/>
      <c r="AL1503" s="612"/>
      <c r="AM1503" s="553"/>
      <c r="AN1503" s="612"/>
      <c r="AO1503" s="612"/>
      <c r="AP1503" s="612"/>
      <c r="AQ1503" s="612"/>
      <c r="AR1503" s="553"/>
      <c r="AS1503" s="612"/>
      <c r="AT1503" s="612"/>
      <c r="AU1503" s="612"/>
      <c r="AV1503" s="612"/>
      <c r="AW1503" s="553"/>
      <c r="AX1503" s="612"/>
      <c r="AY1503" s="612"/>
      <c r="AZ1503" s="612"/>
      <c r="BA1503" s="612"/>
      <c r="BB1503" s="553"/>
      <c r="BC1503" s="612"/>
      <c r="BD1503" s="612"/>
      <c r="BE1503" s="612"/>
      <c r="BF1503" s="612"/>
      <c r="BG1503" s="553"/>
      <c r="BH1503" s="612"/>
      <c r="BI1503" s="612"/>
      <c r="BJ1503" s="612"/>
      <c r="BK1503" s="611"/>
      <c r="BL1503" s="612"/>
      <c r="BM1503" s="1"/>
      <c r="BN1503" s="179"/>
      <c r="BO1503" s="90"/>
    </row>
    <row r="1504" spans="1:100">
      <c r="BM1504" s="74"/>
      <c r="CT1504">
        <v>10</v>
      </c>
      <c r="CU1504">
        <v>10</v>
      </c>
      <c r="CV1504">
        <v>31</v>
      </c>
    </row>
    <row r="1505" spans="1:99">
      <c r="A1505" s="158"/>
      <c r="B1505" s="158"/>
      <c r="C1505" s="158"/>
      <c r="D1505" s="158"/>
      <c r="E1505" s="158"/>
      <c r="F1505" s="158"/>
      <c r="G1505" s="158"/>
      <c r="H1505" s="163"/>
      <c r="I1505" s="158"/>
      <c r="J1505" s="158"/>
      <c r="K1505" s="158"/>
      <c r="L1505" s="158"/>
      <c r="M1505" s="158"/>
      <c r="N1505" s="158"/>
      <c r="O1505" s="158"/>
      <c r="P1505" s="163"/>
      <c r="Q1505" s="158"/>
      <c r="R1505" s="158"/>
      <c r="S1505" s="158"/>
      <c r="T1505" s="158"/>
      <c r="U1505" s="158"/>
      <c r="V1505" s="158"/>
      <c r="W1505" s="158"/>
      <c r="X1505" s="163"/>
      <c r="Y1505" s="158"/>
      <c r="Z1505" s="158"/>
      <c r="AA1505" s="158"/>
      <c r="AB1505" s="158"/>
      <c r="AC1505" s="158"/>
      <c r="AD1505" s="158"/>
      <c r="AE1505" s="158"/>
      <c r="AF1505" s="163"/>
      <c r="AG1505" s="162"/>
      <c r="AH1505" s="162"/>
      <c r="AI1505" s="162"/>
      <c r="AJ1505" s="162"/>
      <c r="AK1505" s="162"/>
      <c r="AL1505" s="162"/>
      <c r="AM1505" s="162"/>
      <c r="AN1505" s="158"/>
      <c r="AO1505" s="162"/>
      <c r="AP1505" s="162"/>
      <c r="AQ1505" s="162"/>
      <c r="AR1505" s="162"/>
      <c r="AS1505" s="162"/>
      <c r="AT1505" s="162"/>
      <c r="AU1505" s="162"/>
      <c r="AV1505" s="158"/>
      <c r="AW1505" s="162"/>
      <c r="AX1505" s="162"/>
      <c r="AY1505" s="162"/>
      <c r="AZ1505" s="162"/>
      <c r="BA1505" s="162"/>
      <c r="BB1505" s="162"/>
      <c r="BC1505" s="162"/>
      <c r="BD1505" s="158"/>
      <c r="BE1505" s="162"/>
      <c r="BF1505" s="162"/>
      <c r="BG1505" s="162"/>
      <c r="BH1505" s="162"/>
      <c r="BI1505" s="162"/>
      <c r="BJ1505" s="162"/>
      <c r="BK1505" s="162"/>
      <c r="BL1505" s="158"/>
      <c r="BM1505" s="156">
        <v>48</v>
      </c>
    </row>
    <row r="1506" spans="1:99">
      <c r="A1506" s="158"/>
      <c r="B1506" s="163"/>
      <c r="C1506" s="163"/>
      <c r="D1506" s="163"/>
      <c r="E1506" s="163"/>
      <c r="F1506" s="163"/>
      <c r="G1506" s="163"/>
      <c r="H1506" s="161"/>
      <c r="I1506" s="158"/>
      <c r="J1506" s="163"/>
      <c r="K1506" s="163"/>
      <c r="L1506" s="163"/>
      <c r="M1506" s="163"/>
      <c r="N1506" s="163"/>
      <c r="O1506" s="163"/>
      <c r="P1506" s="161"/>
      <c r="Q1506" s="158"/>
      <c r="R1506" s="163"/>
      <c r="S1506" s="163"/>
      <c r="T1506" s="163"/>
      <c r="U1506" s="163"/>
      <c r="V1506" s="163"/>
      <c r="W1506" s="163"/>
      <c r="X1506" s="161"/>
      <c r="Y1506" s="158"/>
      <c r="Z1506" s="163"/>
      <c r="AA1506" s="163"/>
      <c r="AB1506" s="163"/>
      <c r="AC1506" s="163"/>
      <c r="AD1506" s="163"/>
      <c r="AE1506" s="163"/>
      <c r="AF1506" s="161"/>
      <c r="AG1506" s="162"/>
      <c r="AH1506" s="158"/>
      <c r="AI1506" s="158"/>
      <c r="AJ1506" s="158"/>
      <c r="AK1506" s="158"/>
      <c r="AL1506" s="158"/>
      <c r="AM1506" s="158"/>
      <c r="AN1506" s="163"/>
      <c r="AO1506" s="162"/>
      <c r="AP1506" s="158"/>
      <c r="AQ1506" s="158"/>
      <c r="AR1506" s="158"/>
      <c r="AS1506" s="158"/>
      <c r="AT1506" s="158"/>
      <c r="AU1506" s="158"/>
      <c r="AV1506" s="163"/>
      <c r="AW1506" s="162"/>
      <c r="AX1506" s="158"/>
      <c r="AY1506" s="158"/>
      <c r="AZ1506" s="158"/>
      <c r="BA1506" s="158"/>
      <c r="BB1506" s="158"/>
      <c r="BC1506" s="158"/>
      <c r="BD1506" s="163"/>
      <c r="BE1506" s="162"/>
      <c r="BF1506" s="158"/>
      <c r="BG1506" s="158"/>
      <c r="BH1506" s="158"/>
      <c r="BI1506" s="158"/>
      <c r="BJ1506" s="158"/>
      <c r="BK1506" s="158"/>
      <c r="BL1506" s="163"/>
      <c r="BM1506" s="159"/>
    </row>
    <row r="1507" spans="1:99">
      <c r="CT1507">
        <v>2</v>
      </c>
      <c r="CU1507">
        <v>2</v>
      </c>
    </row>
    <row r="1508" spans="1:99">
      <c r="CT1508">
        <v>2</v>
      </c>
      <c r="CU1508">
        <v>2</v>
      </c>
    </row>
    <row r="1509" spans="1:99">
      <c r="CT1509">
        <v>2</v>
      </c>
      <c r="CU1509">
        <v>2</v>
      </c>
    </row>
    <row r="1510" spans="1:99">
      <c r="BM1510">
        <v>2</v>
      </c>
      <c r="CT1510">
        <v>2</v>
      </c>
      <c r="CU1510">
        <v>2</v>
      </c>
    </row>
    <row r="1511" spans="1:99">
      <c r="CT1511">
        <v>2</v>
      </c>
      <c r="CU1511">
        <v>2</v>
      </c>
    </row>
    <row r="1512" spans="1:99">
      <c r="A1512" s="163"/>
      <c r="B1512" s="161"/>
      <c r="C1512" s="161"/>
      <c r="D1512" s="161"/>
      <c r="E1512" s="161"/>
      <c r="F1512" s="161"/>
      <c r="G1512" s="161"/>
      <c r="H1512" s="161"/>
      <c r="I1512" s="163"/>
      <c r="J1512" s="161"/>
      <c r="K1512" s="161"/>
      <c r="L1512" s="161"/>
      <c r="M1512" s="161"/>
      <c r="N1512" s="161"/>
      <c r="O1512" s="161"/>
      <c r="P1512" s="161"/>
      <c r="Q1512" s="163"/>
      <c r="R1512" s="161"/>
      <c r="S1512" s="161"/>
      <c r="T1512" s="161"/>
      <c r="U1512" s="161"/>
      <c r="V1512" s="161"/>
      <c r="W1512" s="161"/>
      <c r="X1512" s="161"/>
      <c r="Y1512" s="163"/>
      <c r="Z1512" s="161"/>
      <c r="AA1512" s="161"/>
      <c r="AB1512" s="161"/>
      <c r="AC1512" s="161"/>
      <c r="AD1512" s="161"/>
      <c r="AE1512" s="161"/>
      <c r="AF1512" s="161"/>
      <c r="AG1512" s="158"/>
      <c r="AH1512" s="163"/>
      <c r="AI1512" s="163"/>
      <c r="AJ1512" s="163"/>
      <c r="AK1512" s="163"/>
      <c r="AL1512" s="163"/>
      <c r="AM1512" s="163"/>
      <c r="AN1512" s="163"/>
      <c r="AO1512" s="158"/>
      <c r="AP1512" s="163"/>
      <c r="AQ1512" s="163"/>
      <c r="AR1512" s="163"/>
      <c r="AS1512" s="163"/>
      <c r="AT1512" s="163"/>
      <c r="AU1512" s="163"/>
      <c r="AV1512" s="163"/>
      <c r="AW1512" s="158"/>
      <c r="AX1512" s="163"/>
      <c r="AY1512" s="163"/>
      <c r="AZ1512" s="163"/>
      <c r="BA1512" s="163"/>
      <c r="BB1512" s="163"/>
      <c r="BC1512" s="163"/>
      <c r="BD1512" s="163"/>
      <c r="BE1512" s="158"/>
      <c r="BF1512" s="163"/>
      <c r="BG1512" s="163"/>
      <c r="BH1512" s="163"/>
      <c r="BI1512" s="163"/>
      <c r="BJ1512" s="163"/>
      <c r="BK1512" s="163"/>
      <c r="BL1512" s="163"/>
    </row>
    <row r="1513" spans="1:99">
      <c r="A1513" s="159"/>
      <c r="B1513" s="159"/>
      <c r="C1513" s="159"/>
      <c r="D1513" s="159"/>
      <c r="E1513" s="159"/>
      <c r="F1513" s="159"/>
      <c r="G1513" s="159"/>
      <c r="I1513" s="159"/>
      <c r="J1513" s="159"/>
      <c r="K1513" s="159"/>
      <c r="L1513" s="159"/>
      <c r="M1513" s="159"/>
      <c r="N1513" s="159"/>
      <c r="O1513" s="159"/>
      <c r="Q1513" s="159"/>
      <c r="R1513" s="159"/>
      <c r="S1513" s="159"/>
      <c r="T1513" s="159"/>
      <c r="U1513" s="159"/>
      <c r="V1513" s="159"/>
      <c r="W1513" s="159"/>
      <c r="Y1513" s="159"/>
      <c r="Z1513" s="159"/>
      <c r="AA1513" s="159"/>
      <c r="AB1513" s="159"/>
      <c r="AC1513" s="159"/>
      <c r="AD1513" s="159"/>
      <c r="AE1513" s="159"/>
      <c r="AG1513" s="167"/>
      <c r="AH1513" s="167"/>
      <c r="AI1513" s="167"/>
      <c r="AJ1513" s="167"/>
      <c r="AK1513" s="167"/>
      <c r="AL1513" s="167"/>
      <c r="AM1513" s="167"/>
      <c r="AO1513" s="167"/>
      <c r="AP1513" s="167"/>
      <c r="AQ1513" s="167"/>
      <c r="AR1513" s="167"/>
      <c r="AS1513" s="167"/>
      <c r="AT1513" s="167"/>
      <c r="AU1513" s="167"/>
      <c r="AW1513" s="167"/>
      <c r="AX1513" s="167"/>
      <c r="AY1513" s="167"/>
      <c r="AZ1513" s="167"/>
      <c r="BA1513" s="167"/>
      <c r="BB1513" s="167"/>
      <c r="BC1513" s="167"/>
      <c r="BE1513" s="167"/>
      <c r="BF1513" s="167"/>
      <c r="BG1513" s="167"/>
      <c r="BH1513" s="167"/>
      <c r="BI1513" s="167"/>
      <c r="BJ1513" s="167"/>
      <c r="BK1513" s="167"/>
    </row>
    <row r="1514" spans="1:99">
      <c r="A1514" s="159"/>
      <c r="H1514" s="162"/>
      <c r="I1514" s="159"/>
      <c r="P1514" s="162"/>
      <c r="Q1514" s="159"/>
      <c r="X1514" s="162"/>
      <c r="Y1514" s="159"/>
      <c r="AF1514" s="162"/>
      <c r="AG1514" s="167"/>
      <c r="AN1514" s="156"/>
      <c r="AO1514" s="167"/>
      <c r="AV1514" s="156"/>
      <c r="AW1514" s="167"/>
      <c r="BD1514" s="156"/>
      <c r="BE1514" s="167"/>
      <c r="BL1514" s="156"/>
    </row>
    <row r="1515" spans="1:99">
      <c r="CT1515">
        <v>10</v>
      </c>
      <c r="CU1515">
        <v>10</v>
      </c>
    </row>
    <row r="1516" spans="1:99">
      <c r="CT1516">
        <v>10</v>
      </c>
      <c r="CU1516">
        <v>10</v>
      </c>
    </row>
    <row r="1517" spans="1:99">
      <c r="CT1517">
        <v>10</v>
      </c>
      <c r="CU1517">
        <v>10</v>
      </c>
    </row>
    <row r="1518" spans="1:99">
      <c r="CT1518">
        <v>10</v>
      </c>
      <c r="CU1518">
        <v>10</v>
      </c>
    </row>
    <row r="1519" spans="1:99">
      <c r="CT1519">
        <v>10</v>
      </c>
      <c r="CU1519">
        <v>10</v>
      </c>
    </row>
    <row r="1520" spans="1:99">
      <c r="B1520" s="162"/>
      <c r="C1520" s="162"/>
      <c r="D1520" s="162"/>
      <c r="E1520" s="162"/>
      <c r="F1520" s="162"/>
      <c r="G1520" s="162"/>
      <c r="H1520" s="162"/>
      <c r="J1520" s="162"/>
      <c r="K1520" s="162"/>
      <c r="L1520" s="162"/>
      <c r="M1520" s="162"/>
      <c r="N1520" s="162"/>
      <c r="O1520" s="162"/>
      <c r="P1520" s="162"/>
      <c r="R1520" s="162"/>
      <c r="S1520" s="162"/>
      <c r="T1520" s="162"/>
      <c r="U1520" s="162"/>
      <c r="V1520" s="162"/>
      <c r="W1520" s="162"/>
      <c r="X1520" s="162"/>
      <c r="Z1520" s="162"/>
      <c r="AA1520" s="162"/>
      <c r="AB1520" s="162"/>
      <c r="AC1520" s="162"/>
      <c r="AD1520" s="162"/>
      <c r="AE1520" s="162"/>
      <c r="AF1520" s="162"/>
      <c r="AH1520" s="156"/>
      <c r="AI1520" s="156"/>
      <c r="AJ1520" s="156"/>
      <c r="AK1520" s="156"/>
      <c r="AL1520" s="156"/>
      <c r="AM1520" s="156"/>
      <c r="AN1520" s="156"/>
      <c r="AP1520" s="156"/>
      <c r="AQ1520" s="156"/>
      <c r="AR1520" s="156"/>
      <c r="AS1520" s="156"/>
      <c r="AT1520" s="156"/>
      <c r="AU1520" s="156"/>
      <c r="AV1520" s="156"/>
      <c r="AX1520" s="156"/>
      <c r="AY1520" s="156"/>
      <c r="AZ1520" s="156"/>
      <c r="BA1520" s="156"/>
      <c r="BB1520" s="156"/>
      <c r="BC1520" s="156"/>
      <c r="BD1520" s="156"/>
      <c r="BF1520" s="156"/>
      <c r="BG1520" s="156"/>
      <c r="BH1520" s="156"/>
      <c r="BI1520" s="156"/>
      <c r="BJ1520" s="156"/>
      <c r="BK1520" s="156"/>
      <c r="BL1520" s="156"/>
    </row>
    <row r="1521" spans="98:99">
      <c r="CT1521">
        <v>1</v>
      </c>
      <c r="CU1521">
        <v>1</v>
      </c>
    </row>
    <row r="1522" spans="98:99">
      <c r="CT1522">
        <v>2</v>
      </c>
      <c r="CU1522">
        <v>2</v>
      </c>
    </row>
    <row r="1523" spans="98:99">
      <c r="CT1523">
        <v>2</v>
      </c>
      <c r="CU1523">
        <v>2</v>
      </c>
    </row>
    <row r="1524" spans="98:99">
      <c r="CT1524">
        <v>2</v>
      </c>
      <c r="CU1524">
        <v>2</v>
      </c>
    </row>
    <row r="1525" spans="98:99">
      <c r="CT1525">
        <v>2</v>
      </c>
      <c r="CU1525">
        <v>2</v>
      </c>
    </row>
    <row r="1526" spans="98:99">
      <c r="CT1526">
        <v>2</v>
      </c>
      <c r="CU1526">
        <v>2</v>
      </c>
    </row>
    <row r="1527" spans="98:99">
      <c r="CT1527">
        <v>2</v>
      </c>
      <c r="CU1527">
        <v>2</v>
      </c>
    </row>
    <row r="1528" spans="98:99">
      <c r="CT1528">
        <v>8</v>
      </c>
      <c r="CU1528">
        <v>8</v>
      </c>
    </row>
    <row r="1529" spans="98:99">
      <c r="CT1529">
        <v>9</v>
      </c>
      <c r="CU1529">
        <v>9</v>
      </c>
    </row>
    <row r="1530" spans="98:99">
      <c r="CT1530">
        <v>10</v>
      </c>
      <c r="CU1530">
        <v>10</v>
      </c>
    </row>
    <row r="1531" spans="98:99">
      <c r="CT1531">
        <v>10</v>
      </c>
      <c r="CU1531">
        <v>10</v>
      </c>
    </row>
    <row r="1532" spans="98:99">
      <c r="CT1532">
        <v>10</v>
      </c>
      <c r="CU1532">
        <v>10</v>
      </c>
    </row>
    <row r="1533" spans="98:99">
      <c r="CT1533">
        <v>10</v>
      </c>
      <c r="CU1533">
        <v>10</v>
      </c>
    </row>
    <row r="1534" spans="98:99">
      <c r="CT1534">
        <v>10</v>
      </c>
      <c r="CU1534">
        <v>10</v>
      </c>
    </row>
    <row r="1535" spans="98:99">
      <c r="CT1535">
        <v>10</v>
      </c>
      <c r="CU1535">
        <v>10</v>
      </c>
    </row>
    <row r="1536" spans="98:99">
      <c r="CT1536">
        <v>16</v>
      </c>
      <c r="CU1536">
        <v>16</v>
      </c>
    </row>
    <row r="1537" spans="1:65">
      <c r="A1537" s="307"/>
      <c r="B1537" s="307"/>
      <c r="C1537" s="51"/>
      <c r="D1537" s="51"/>
      <c r="E1537" s="51"/>
      <c r="F1537" s="301"/>
      <c r="G1537" s="51"/>
      <c r="H1537" s="301"/>
      <c r="I1537" s="301"/>
      <c r="J1537" s="51"/>
      <c r="K1537" s="301"/>
      <c r="L1537" s="51"/>
      <c r="M1537" s="51"/>
      <c r="N1537" s="51"/>
      <c r="O1537" s="51"/>
      <c r="P1537" s="307"/>
      <c r="Q1537" s="307"/>
      <c r="R1537" s="307"/>
      <c r="S1537" s="51"/>
      <c r="T1537" s="51"/>
      <c r="U1537" s="51"/>
      <c r="V1537" s="51"/>
      <c r="W1537" s="301"/>
      <c r="X1537" s="301"/>
      <c r="Y1537" s="301"/>
      <c r="Z1537" s="301"/>
      <c r="AA1537" s="301"/>
      <c r="AB1537" s="51"/>
      <c r="AC1537" s="51"/>
      <c r="AD1537" s="297"/>
      <c r="AE1537" s="51"/>
      <c r="AF1537" s="51"/>
      <c r="AG1537" s="189"/>
      <c r="AH1537" s="189"/>
      <c r="AI1537" s="51"/>
      <c r="AJ1537" s="51"/>
      <c r="AK1537" s="51"/>
      <c r="AL1537" s="297"/>
      <c r="AM1537" s="51"/>
      <c r="AN1537" s="297"/>
      <c r="AO1537" s="297"/>
      <c r="AP1537" s="51"/>
      <c r="AQ1537" s="297"/>
      <c r="AR1537" s="51"/>
      <c r="AS1537" s="51"/>
      <c r="AT1537" s="51"/>
      <c r="AU1537" s="51"/>
      <c r="AV1537" s="189"/>
      <c r="AW1537" s="189"/>
      <c r="AX1537" s="189"/>
      <c r="AY1537" s="51"/>
      <c r="AZ1537" s="51"/>
      <c r="BA1537" s="51"/>
      <c r="BB1537" s="51"/>
      <c r="BC1537" s="297"/>
      <c r="BD1537" s="297"/>
      <c r="BE1537" s="297"/>
      <c r="BF1537" s="297"/>
      <c r="BG1537" s="297"/>
      <c r="BH1537" s="51"/>
      <c r="BI1537" s="51"/>
      <c r="BJ1537" s="297"/>
      <c r="BK1537" s="51"/>
      <c r="BL1537" s="51"/>
      <c r="BM1537" s="189">
        <v>49</v>
      </c>
    </row>
    <row r="1538" spans="1:65">
      <c r="A1538" s="307"/>
      <c r="B1538" s="307"/>
      <c r="C1538" s="307"/>
      <c r="D1538" s="51"/>
      <c r="E1538" s="51"/>
      <c r="F1538" s="51"/>
      <c r="G1538" s="301"/>
      <c r="H1538" s="301"/>
      <c r="I1538" s="301"/>
      <c r="J1538" s="301"/>
      <c r="K1538" s="301"/>
      <c r="L1538" s="301"/>
      <c r="M1538" s="51"/>
      <c r="N1538" s="51"/>
      <c r="O1538" s="51"/>
      <c r="P1538" s="51"/>
      <c r="Q1538" s="307"/>
      <c r="R1538" s="307"/>
      <c r="S1538" s="307"/>
      <c r="T1538" s="51"/>
      <c r="U1538" s="51"/>
      <c r="V1538" s="51"/>
      <c r="W1538" s="51"/>
      <c r="X1538" s="301"/>
      <c r="Y1538" s="301"/>
      <c r="Z1538" s="301"/>
      <c r="AA1538" s="301"/>
      <c r="AB1538" s="301"/>
      <c r="AC1538" s="51"/>
      <c r="AD1538" s="51"/>
      <c r="AE1538" s="297"/>
      <c r="AF1538" s="51"/>
      <c r="AG1538" s="189"/>
      <c r="AH1538" s="307"/>
      <c r="AI1538" s="189"/>
      <c r="AJ1538" s="51"/>
      <c r="AK1538" s="51"/>
      <c r="AL1538" s="51"/>
      <c r="AM1538" s="297"/>
      <c r="AN1538" s="297"/>
      <c r="AO1538" s="297"/>
      <c r="AP1538" s="297"/>
      <c r="AQ1538" s="297"/>
      <c r="AR1538" s="297"/>
      <c r="AS1538" s="51"/>
      <c r="AT1538" s="51"/>
      <c r="AU1538" s="51"/>
      <c r="AV1538" s="51"/>
      <c r="AW1538" s="189"/>
      <c r="AX1538" s="307"/>
      <c r="AY1538" s="189"/>
      <c r="AZ1538" s="51"/>
      <c r="BA1538" s="51"/>
      <c r="BB1538" s="51"/>
      <c r="BC1538" s="51"/>
      <c r="BD1538" s="297"/>
      <c r="BE1538" s="297"/>
      <c r="BF1538" s="297"/>
      <c r="BG1538" s="297"/>
      <c r="BH1538" s="297"/>
      <c r="BI1538" s="51"/>
      <c r="BJ1538" s="51"/>
      <c r="BK1538" s="297"/>
      <c r="BL1538" s="51"/>
      <c r="BM1538" s="301"/>
    </row>
    <row r="1539" spans="1:65">
      <c r="A1539" s="51"/>
      <c r="B1539" s="307"/>
      <c r="C1539" s="307"/>
      <c r="D1539" s="307"/>
      <c r="E1539" s="51"/>
      <c r="F1539" s="51"/>
      <c r="G1539" s="51"/>
      <c r="H1539" s="301"/>
      <c r="I1539" s="51"/>
      <c r="J1539" s="301"/>
      <c r="K1539" s="301"/>
      <c r="L1539" s="51"/>
      <c r="M1539" s="301"/>
      <c r="N1539" s="51"/>
      <c r="O1539" s="51"/>
      <c r="P1539" s="51"/>
      <c r="Q1539" s="51"/>
      <c r="R1539" s="307"/>
      <c r="S1539" s="307"/>
      <c r="T1539" s="307"/>
      <c r="U1539" s="51"/>
      <c r="V1539" s="51"/>
      <c r="W1539" s="51"/>
      <c r="X1539" s="51"/>
      <c r="Y1539" s="301"/>
      <c r="Z1539" s="301"/>
      <c r="AA1539" s="301"/>
      <c r="AB1539" s="301"/>
      <c r="AC1539" s="301"/>
      <c r="AD1539" s="51"/>
      <c r="AE1539" s="51"/>
      <c r="AF1539" s="297"/>
      <c r="AG1539" s="51"/>
      <c r="AH1539" s="189"/>
      <c r="AI1539" s="189"/>
      <c r="AJ1539" s="189"/>
      <c r="AK1539" s="51"/>
      <c r="AL1539" s="51"/>
      <c r="AM1539" s="51"/>
      <c r="AN1539" s="297"/>
      <c r="AO1539" s="51"/>
      <c r="AP1539" s="297"/>
      <c r="AQ1539" s="297"/>
      <c r="AR1539" s="51"/>
      <c r="AS1539" s="297"/>
      <c r="AT1539" s="51"/>
      <c r="AU1539" s="51"/>
      <c r="AV1539" s="51"/>
      <c r="AW1539" s="51"/>
      <c r="AX1539" s="189"/>
      <c r="AY1539" s="189"/>
      <c r="AZ1539" s="189"/>
      <c r="BA1539" s="51"/>
      <c r="BB1539" s="51"/>
      <c r="BC1539" s="51"/>
      <c r="BD1539" s="51"/>
      <c r="BE1539" s="297"/>
      <c r="BF1539" s="297"/>
      <c r="BG1539" s="297"/>
      <c r="BH1539" s="297"/>
      <c r="BI1539" s="297"/>
      <c r="BJ1539" s="51"/>
      <c r="BK1539" s="51"/>
      <c r="BL1539" s="297"/>
    </row>
    <row r="1540" spans="1:65">
      <c r="A1540" s="51"/>
      <c r="B1540" s="51"/>
      <c r="C1540" s="307"/>
      <c r="D1540" s="307"/>
      <c r="E1540" s="307"/>
      <c r="F1540" s="51"/>
      <c r="G1540" s="51"/>
      <c r="H1540" s="51"/>
      <c r="I1540" s="301"/>
      <c r="J1540" s="301"/>
      <c r="K1540" s="301"/>
      <c r="L1540" s="301"/>
      <c r="M1540" s="301"/>
      <c r="N1540" s="301"/>
      <c r="O1540" s="51"/>
      <c r="P1540" s="51"/>
      <c r="Q1540" s="51"/>
      <c r="R1540" s="51"/>
      <c r="S1540" s="307"/>
      <c r="T1540" s="307"/>
      <c r="U1540" s="307"/>
      <c r="V1540" s="51"/>
      <c r="W1540" s="51"/>
      <c r="X1540" s="51"/>
      <c r="Y1540" s="51"/>
      <c r="Z1540" s="301"/>
      <c r="AA1540" s="301"/>
      <c r="AB1540" s="301"/>
      <c r="AC1540" s="301"/>
      <c r="AD1540" s="301"/>
      <c r="AE1540" s="51"/>
      <c r="AF1540" s="51"/>
      <c r="AG1540" s="51"/>
      <c r="AH1540" s="51"/>
      <c r="AI1540" s="189"/>
      <c r="AJ1540" s="307"/>
      <c r="AK1540" s="189"/>
      <c r="AL1540" s="51"/>
      <c r="AM1540" s="51"/>
      <c r="AN1540" s="51"/>
      <c r="AO1540" s="297"/>
      <c r="AP1540" s="297"/>
      <c r="AQ1540" s="297"/>
      <c r="AR1540" s="297"/>
      <c r="AS1540" s="297"/>
      <c r="AT1540" s="297"/>
      <c r="AU1540" s="51"/>
      <c r="AV1540" s="51"/>
      <c r="AW1540" s="51"/>
      <c r="AX1540" s="51"/>
      <c r="AY1540" s="189"/>
      <c r="AZ1540" s="307"/>
      <c r="BA1540" s="189"/>
      <c r="BB1540" s="51"/>
      <c r="BC1540" s="51"/>
      <c r="BD1540" s="51"/>
      <c r="BE1540" s="51"/>
      <c r="BF1540" s="297"/>
      <c r="BG1540" s="297"/>
      <c r="BH1540" s="297"/>
      <c r="BI1540" s="297"/>
      <c r="BJ1540" s="297"/>
      <c r="BK1540" s="51"/>
      <c r="BL1540" s="51"/>
    </row>
    <row r="1541" spans="1:65">
      <c r="A1541" s="51"/>
      <c r="B1541" s="51"/>
      <c r="C1541" s="51"/>
      <c r="D1541" s="307"/>
      <c r="E1541" s="307"/>
      <c r="F1541" s="307"/>
      <c r="G1541" s="51"/>
      <c r="H1541" s="51"/>
      <c r="I1541" s="51"/>
      <c r="J1541" s="301"/>
      <c r="K1541" s="51"/>
      <c r="L1541" s="301"/>
      <c r="M1541" s="301"/>
      <c r="N1541" s="301"/>
      <c r="O1541" s="301"/>
      <c r="P1541" s="51"/>
      <c r="Q1541" s="51"/>
      <c r="R1541" s="51"/>
      <c r="S1541" s="51"/>
      <c r="T1541" s="307"/>
      <c r="U1541" s="307"/>
      <c r="V1541" s="307"/>
      <c r="W1541" s="51"/>
      <c r="X1541" s="51"/>
      <c r="Y1541" s="51"/>
      <c r="Z1541" s="51"/>
      <c r="AA1541" s="301"/>
      <c r="AB1541" s="301"/>
      <c r="AC1541" s="301"/>
      <c r="AD1541" s="301"/>
      <c r="AE1541" s="301"/>
      <c r="AF1541" s="51"/>
      <c r="AG1541" s="51"/>
      <c r="AH1541" s="51"/>
      <c r="AI1541" s="51"/>
      <c r="AJ1541" s="189"/>
      <c r="AK1541" s="307"/>
      <c r="AL1541" s="189"/>
      <c r="AM1541" s="51"/>
      <c r="AN1541" s="51"/>
      <c r="AO1541" s="51"/>
      <c r="AP1541" s="297"/>
      <c r="AQ1541" s="51"/>
      <c r="AR1541" s="297"/>
      <c r="AS1541" s="297"/>
      <c r="AT1541" s="297"/>
      <c r="AU1541" s="297"/>
      <c r="AV1541" s="51"/>
      <c r="AW1541" s="51"/>
      <c r="AX1541" s="51"/>
      <c r="AY1541" s="51"/>
      <c r="AZ1541" s="189"/>
      <c r="BA1541" s="189"/>
      <c r="BB1541" s="189"/>
      <c r="BC1541" s="51"/>
      <c r="BD1541" s="51"/>
      <c r="BE1541" s="51"/>
      <c r="BF1541" s="51"/>
      <c r="BG1541" s="297"/>
      <c r="BH1541" s="297"/>
      <c r="BI1541" s="297"/>
      <c r="BJ1541" s="297"/>
      <c r="BK1541" s="297"/>
      <c r="BL1541" s="51"/>
    </row>
    <row r="1542" spans="1:65">
      <c r="A1542" s="51"/>
      <c r="B1542" s="51"/>
      <c r="C1542" s="51"/>
      <c r="D1542" s="51"/>
      <c r="E1542" s="307"/>
      <c r="F1542" s="307"/>
      <c r="G1542" s="307"/>
      <c r="H1542" s="51"/>
      <c r="I1542" s="51"/>
      <c r="J1542" s="51"/>
      <c r="K1542" s="301"/>
      <c r="L1542" s="301"/>
      <c r="M1542" s="301"/>
      <c r="N1542" s="301"/>
      <c r="O1542" s="301"/>
      <c r="P1542" s="301"/>
      <c r="Q1542" s="51"/>
      <c r="R1542" s="51"/>
      <c r="S1542" s="51"/>
      <c r="T1542" s="51"/>
      <c r="U1542" s="307"/>
      <c r="V1542" s="307"/>
      <c r="W1542" s="307"/>
      <c r="X1542" s="51"/>
      <c r="Y1542" s="51"/>
      <c r="Z1542" s="51"/>
      <c r="AA1542" s="51"/>
      <c r="AB1542" s="301"/>
      <c r="AC1542" s="301"/>
      <c r="AD1542" s="301"/>
      <c r="AE1542" s="301"/>
      <c r="AF1542" s="301"/>
      <c r="AG1542" s="51"/>
      <c r="AH1542" s="51"/>
      <c r="AI1542" s="51"/>
      <c r="AJ1542" s="51"/>
      <c r="AK1542" s="189"/>
      <c r="AL1542" s="307"/>
      <c r="AM1542" s="189"/>
      <c r="AN1542" s="51"/>
      <c r="AO1542" s="51"/>
      <c r="AP1542" s="51"/>
      <c r="AQ1542" s="297"/>
      <c r="AR1542" s="297"/>
      <c r="AS1542" s="297"/>
      <c r="AT1542" s="297"/>
      <c r="AU1542" s="297"/>
      <c r="AV1542" s="297"/>
      <c r="AW1542" s="51"/>
      <c r="AX1542" s="51"/>
      <c r="AY1542" s="51"/>
      <c r="AZ1542" s="51"/>
      <c r="BA1542" s="189"/>
      <c r="BB1542" s="307"/>
      <c r="BC1542" s="189"/>
      <c r="BD1542" s="51"/>
      <c r="BE1542" s="51"/>
      <c r="BF1542" s="51"/>
      <c r="BG1542" s="51"/>
      <c r="BH1542" s="297"/>
      <c r="BI1542" s="297"/>
      <c r="BJ1542" s="297"/>
      <c r="BK1542" s="297"/>
      <c r="BL1542" s="297"/>
      <c r="BM1542">
        <v>4</v>
      </c>
    </row>
    <row r="1543" spans="1:65">
      <c r="A1543" s="301"/>
      <c r="B1543" s="51"/>
      <c r="C1543" s="51"/>
      <c r="D1543" s="51"/>
      <c r="E1543" s="51"/>
      <c r="F1543" s="307"/>
      <c r="G1543" s="307"/>
      <c r="H1543" s="307"/>
      <c r="I1543" s="51"/>
      <c r="J1543" s="51"/>
      <c r="K1543" s="51"/>
      <c r="L1543" s="301"/>
      <c r="M1543" s="51"/>
      <c r="N1543" s="301"/>
      <c r="O1543" s="301"/>
      <c r="P1543" s="301"/>
      <c r="Q1543" s="301"/>
      <c r="R1543" s="51"/>
      <c r="S1543" s="51"/>
      <c r="T1543" s="51"/>
      <c r="U1543" s="51"/>
      <c r="V1543" s="307"/>
      <c r="W1543" s="307"/>
      <c r="X1543" s="307"/>
      <c r="Y1543" s="51"/>
      <c r="Z1543" s="51"/>
      <c r="AA1543" s="51"/>
      <c r="AB1543" s="51"/>
      <c r="AC1543" s="301"/>
      <c r="AD1543" s="301"/>
      <c r="AE1543" s="301"/>
      <c r="AF1543" s="301"/>
      <c r="AG1543" s="297"/>
      <c r="AH1543" s="51"/>
      <c r="AI1543" s="51"/>
      <c r="AJ1543" s="51"/>
      <c r="AK1543" s="51"/>
      <c r="AL1543" s="189"/>
      <c r="AM1543" s="307"/>
      <c r="AN1543" s="189"/>
      <c r="AO1543" s="51"/>
      <c r="AP1543" s="51"/>
      <c r="AQ1543" s="51"/>
      <c r="AR1543" s="297"/>
      <c r="AS1543" s="51"/>
      <c r="AT1543" s="297"/>
      <c r="AU1543" s="297"/>
      <c r="AV1543" s="297"/>
      <c r="AW1543" s="297"/>
      <c r="AX1543" s="51"/>
      <c r="AY1543" s="51"/>
      <c r="AZ1543" s="51"/>
      <c r="BA1543" s="51"/>
      <c r="BB1543" s="189"/>
      <c r="BC1543" s="307"/>
      <c r="BD1543" s="189"/>
      <c r="BE1543" s="51"/>
      <c r="BF1543" s="51"/>
      <c r="BG1543" s="51"/>
      <c r="BH1543" s="51"/>
      <c r="BI1543" s="297"/>
      <c r="BJ1543" s="297"/>
      <c r="BK1543" s="297"/>
      <c r="BL1543" s="297"/>
    </row>
    <row r="1544" spans="1:65">
      <c r="A1544" s="301"/>
      <c r="B1544" s="301"/>
      <c r="C1544" s="51"/>
      <c r="D1544" s="51"/>
      <c r="E1544" s="51"/>
      <c r="F1544" s="51"/>
      <c r="G1544" s="307"/>
      <c r="H1544" s="307"/>
      <c r="I1544" s="307"/>
      <c r="J1544" s="51"/>
      <c r="K1544" s="51"/>
      <c r="L1544" s="51"/>
      <c r="M1544" s="301"/>
      <c r="N1544" s="301"/>
      <c r="O1544" s="301"/>
      <c r="P1544" s="301"/>
      <c r="Q1544" s="301"/>
      <c r="R1544" s="301"/>
      <c r="S1544" s="51"/>
      <c r="T1544" s="51"/>
      <c r="U1544" s="51"/>
      <c r="V1544" s="51"/>
      <c r="W1544" s="307"/>
      <c r="X1544" s="307"/>
      <c r="Y1544" s="307"/>
      <c r="Z1544" s="51"/>
      <c r="AA1544" s="51"/>
      <c r="AB1544" s="51"/>
      <c r="AC1544" s="51"/>
      <c r="AD1544" s="301"/>
      <c r="AE1544" s="301"/>
      <c r="AF1544" s="301"/>
      <c r="AG1544" s="297"/>
      <c r="AH1544" s="297"/>
      <c r="AI1544" s="51"/>
      <c r="AJ1544" s="51"/>
      <c r="AK1544" s="51"/>
      <c r="AL1544" s="51"/>
      <c r="AM1544" s="189"/>
      <c r="AN1544" s="189"/>
      <c r="AO1544" s="189"/>
      <c r="AP1544" s="51"/>
      <c r="AQ1544" s="51"/>
      <c r="AR1544" s="51"/>
      <c r="AS1544" s="297"/>
      <c r="AT1544" s="297"/>
      <c r="AU1544" s="297"/>
      <c r="AV1544" s="297"/>
      <c r="AW1544" s="297"/>
      <c r="AX1544" s="297"/>
      <c r="AY1544" s="51"/>
      <c r="AZ1544" s="51"/>
      <c r="BA1544" s="51"/>
      <c r="BB1544" s="51"/>
      <c r="BC1544" s="189"/>
      <c r="BD1544" s="307"/>
      <c r="BE1544" s="189"/>
      <c r="BF1544" s="51"/>
      <c r="BG1544" s="51"/>
      <c r="BH1544" s="51"/>
      <c r="BI1544" s="51"/>
      <c r="BJ1544" s="297"/>
      <c r="BK1544" s="297"/>
      <c r="BL1544" s="297"/>
    </row>
    <row r="1545" spans="1:65">
      <c r="A1545" s="301"/>
      <c r="B1545" s="301"/>
      <c r="C1545" s="301"/>
      <c r="D1545" s="51"/>
      <c r="E1545" s="51"/>
      <c r="F1545" s="51"/>
      <c r="G1545" s="51"/>
      <c r="H1545" s="307"/>
      <c r="I1545" s="307"/>
      <c r="J1545" s="307"/>
      <c r="K1545" s="51"/>
      <c r="L1545" s="51"/>
      <c r="M1545" s="51"/>
      <c r="N1545" s="301"/>
      <c r="O1545" s="51"/>
      <c r="P1545" s="301"/>
      <c r="Q1545" s="301"/>
      <c r="R1545" s="301"/>
      <c r="S1545" s="301"/>
      <c r="T1545" s="51"/>
      <c r="U1545" s="51"/>
      <c r="V1545" s="51"/>
      <c r="W1545" s="51"/>
      <c r="X1545" s="307"/>
      <c r="Y1545" s="307"/>
      <c r="Z1545" s="307"/>
      <c r="AA1545" s="51"/>
      <c r="AB1545" s="51"/>
      <c r="AC1545" s="51"/>
      <c r="AD1545" s="51"/>
      <c r="AE1545" s="301"/>
      <c r="AF1545" s="301"/>
      <c r="AG1545" s="297"/>
      <c r="AH1545" s="297"/>
      <c r="AI1545" s="297"/>
      <c r="AJ1545" s="51"/>
      <c r="AK1545" s="51"/>
      <c r="AL1545" s="51"/>
      <c r="AM1545" s="51"/>
      <c r="AN1545" s="189"/>
      <c r="AO1545" s="307"/>
      <c r="AP1545" s="189"/>
      <c r="AQ1545" s="51"/>
      <c r="AR1545" s="51"/>
      <c r="AS1545" s="51"/>
      <c r="AT1545" s="297"/>
      <c r="AU1545" s="51"/>
      <c r="AV1545" s="297"/>
      <c r="AW1545" s="297"/>
      <c r="AX1545" s="297"/>
      <c r="AY1545" s="297"/>
      <c r="AZ1545" s="51"/>
      <c r="BA1545" s="51"/>
      <c r="BB1545" s="51"/>
      <c r="BC1545" s="51"/>
      <c r="BD1545" s="189"/>
      <c r="BE1545" s="307"/>
      <c r="BF1545" s="189"/>
      <c r="BG1545" s="51"/>
      <c r="BH1545" s="51"/>
      <c r="BI1545" s="51"/>
      <c r="BJ1545" s="51"/>
      <c r="BK1545" s="297"/>
      <c r="BL1545" s="297"/>
    </row>
    <row r="1546" spans="1:65">
      <c r="A1546" s="301"/>
      <c r="B1546" s="301"/>
      <c r="C1546" s="301"/>
      <c r="D1546" s="301"/>
      <c r="E1546" s="51"/>
      <c r="F1546" s="51"/>
      <c r="G1546" s="51"/>
      <c r="H1546" s="51"/>
      <c r="I1546" s="307"/>
      <c r="J1546" s="307"/>
      <c r="K1546" s="307"/>
      <c r="L1546" s="51"/>
      <c r="M1546" s="51"/>
      <c r="N1546" s="51"/>
      <c r="O1546" s="301"/>
      <c r="P1546" s="51"/>
      <c r="Q1546" s="301"/>
      <c r="R1546" s="301"/>
      <c r="S1546" s="301"/>
      <c r="T1546" s="301"/>
      <c r="U1546" s="51"/>
      <c r="V1546" s="51"/>
      <c r="W1546" s="51"/>
      <c r="X1546" s="51"/>
      <c r="Y1546" s="307"/>
      <c r="Z1546" s="307"/>
      <c r="AA1546" s="307"/>
      <c r="AB1546" s="51"/>
      <c r="AC1546" s="51"/>
      <c r="AD1546" s="51"/>
      <c r="AE1546" s="51"/>
      <c r="AF1546" s="301"/>
      <c r="AG1546" s="297"/>
      <c r="AH1546" s="297"/>
      <c r="AI1546" s="297"/>
      <c r="AJ1546" s="297"/>
      <c r="AK1546" s="51"/>
      <c r="AL1546" s="51"/>
      <c r="AM1546" s="51"/>
      <c r="AN1546" s="51"/>
      <c r="AO1546" s="189"/>
      <c r="AP1546" s="189"/>
      <c r="AQ1546" s="189"/>
      <c r="AR1546" s="51"/>
      <c r="AS1546" s="51"/>
      <c r="AT1546" s="51"/>
      <c r="AU1546" s="297"/>
      <c r="AV1546" s="51"/>
      <c r="AW1546" s="297"/>
      <c r="AX1546" s="297"/>
      <c r="AY1546" s="297"/>
      <c r="AZ1546" s="297"/>
      <c r="BA1546" s="51"/>
      <c r="BB1546" s="51"/>
      <c r="BC1546" s="51"/>
      <c r="BD1546" s="51"/>
      <c r="BE1546" s="189"/>
      <c r="BF1546" s="307"/>
      <c r="BG1546" s="189"/>
      <c r="BH1546" s="51"/>
      <c r="BI1546" s="51"/>
      <c r="BJ1546" s="51"/>
      <c r="BK1546" s="51"/>
      <c r="BL1546" s="297"/>
    </row>
    <row r="1547" spans="1:65">
      <c r="A1547" s="301"/>
      <c r="B1547" s="301"/>
      <c r="C1547" s="301"/>
      <c r="D1547" s="301"/>
      <c r="E1547" s="301"/>
      <c r="F1547" s="51"/>
      <c r="G1547" s="51"/>
      <c r="H1547" s="51"/>
      <c r="I1547" s="51"/>
      <c r="J1547" s="307"/>
      <c r="K1547" s="307"/>
      <c r="L1547" s="307"/>
      <c r="M1547" s="51"/>
      <c r="N1547" s="51"/>
      <c r="O1547" s="51"/>
      <c r="P1547" s="301"/>
      <c r="Q1547" s="301"/>
      <c r="R1547" s="301"/>
      <c r="S1547" s="301"/>
      <c r="T1547" s="301"/>
      <c r="U1547" s="301"/>
      <c r="V1547" s="51"/>
      <c r="W1547" s="51"/>
      <c r="X1547" s="51"/>
      <c r="Y1547" s="51"/>
      <c r="Z1547" s="307"/>
      <c r="AA1547" s="307"/>
      <c r="AB1547" s="307"/>
      <c r="AC1547" s="51"/>
      <c r="AD1547" s="51"/>
      <c r="AE1547" s="51"/>
      <c r="AF1547" s="51"/>
      <c r="AG1547" s="297"/>
      <c r="AH1547" s="297"/>
      <c r="AI1547" s="297"/>
      <c r="AJ1547" s="297"/>
      <c r="AK1547" s="297"/>
      <c r="AL1547" s="51"/>
      <c r="AM1547" s="51"/>
      <c r="AN1547" s="51"/>
      <c r="AO1547" s="51"/>
      <c r="AP1547" s="189"/>
      <c r="AQ1547" s="307"/>
      <c r="AR1547" s="189"/>
      <c r="AS1547" s="51"/>
      <c r="AT1547" s="51"/>
      <c r="AU1547" s="51"/>
      <c r="AV1547" s="297"/>
      <c r="AW1547" s="297"/>
      <c r="AX1547" s="297"/>
      <c r="AY1547" s="297"/>
      <c r="AZ1547" s="297"/>
      <c r="BA1547" s="297"/>
      <c r="BB1547" s="51"/>
      <c r="BC1547" s="51"/>
      <c r="BD1547" s="51"/>
      <c r="BE1547" s="51"/>
      <c r="BF1547" s="189"/>
      <c r="BG1547" s="189"/>
      <c r="BH1547" s="189"/>
      <c r="BI1547" s="51"/>
      <c r="BJ1547" s="51"/>
      <c r="BK1547" s="51"/>
      <c r="BL1547" s="51"/>
    </row>
    <row r="1548" spans="1:65">
      <c r="A1548" s="51"/>
      <c r="B1548" s="301"/>
      <c r="C1548" s="301"/>
      <c r="D1548" s="301"/>
      <c r="E1548" s="301"/>
      <c r="F1548" s="301"/>
      <c r="G1548" s="51"/>
      <c r="H1548" s="51"/>
      <c r="I1548" s="51"/>
      <c r="J1548" s="51"/>
      <c r="K1548" s="307"/>
      <c r="L1548" s="307"/>
      <c r="M1548" s="51"/>
      <c r="N1548" s="51"/>
      <c r="O1548" s="51"/>
      <c r="P1548" s="51"/>
      <c r="Q1548" s="301"/>
      <c r="R1548" s="51"/>
      <c r="S1548" s="301"/>
      <c r="T1548" s="301"/>
      <c r="U1548" s="301"/>
      <c r="V1548" s="301"/>
      <c r="W1548" s="51"/>
      <c r="X1548" s="51"/>
      <c r="Y1548" s="51"/>
      <c r="Z1548" s="51"/>
      <c r="AA1548" s="307"/>
      <c r="AB1548" s="307"/>
      <c r="AC1548" s="307"/>
      <c r="AD1548" s="51"/>
      <c r="AE1548" s="51"/>
      <c r="AF1548" s="51"/>
      <c r="AG1548" s="51"/>
      <c r="AH1548" s="297"/>
      <c r="AI1548" s="297"/>
      <c r="AJ1548" s="297"/>
      <c r="AK1548" s="297"/>
      <c r="AL1548" s="297"/>
      <c r="AM1548" s="51"/>
      <c r="AN1548" s="51"/>
      <c r="AO1548" s="51"/>
      <c r="AP1548" s="51"/>
      <c r="AQ1548" s="189"/>
      <c r="AR1548" s="189"/>
      <c r="AS1548" s="51"/>
      <c r="AT1548" s="51"/>
      <c r="AU1548" s="51"/>
      <c r="AV1548" s="51"/>
      <c r="AW1548" s="297"/>
      <c r="AX1548" s="51"/>
      <c r="AY1548" s="297"/>
      <c r="AZ1548" s="297"/>
      <c r="BA1548" s="297"/>
      <c r="BB1548" s="297"/>
      <c r="BC1548" s="51"/>
      <c r="BD1548" s="51"/>
      <c r="BE1548" s="51"/>
      <c r="BF1548" s="51"/>
      <c r="BG1548" s="189"/>
      <c r="BH1548" s="307"/>
      <c r="BI1548" s="189"/>
      <c r="BJ1548" s="51"/>
      <c r="BK1548" s="51"/>
      <c r="BL1548" s="51"/>
    </row>
    <row r="1549" spans="1:65">
      <c r="A1549" s="51"/>
      <c r="B1549" s="51"/>
      <c r="C1549" s="301"/>
      <c r="D1549" s="301"/>
      <c r="E1549" s="301"/>
      <c r="F1549" s="301"/>
      <c r="G1549" s="301"/>
      <c r="H1549" s="51"/>
      <c r="I1549" s="51"/>
      <c r="J1549" s="51"/>
      <c r="K1549" s="51"/>
      <c r="L1549" s="51"/>
      <c r="M1549" s="307"/>
      <c r="N1549" s="51"/>
      <c r="O1549" s="51"/>
      <c r="P1549" s="51"/>
      <c r="Q1549" s="51"/>
      <c r="R1549" s="301"/>
      <c r="S1549" s="51"/>
      <c r="T1549" s="301"/>
      <c r="U1549" s="301"/>
      <c r="V1549" s="301"/>
      <c r="W1549" s="301"/>
      <c r="X1549" s="51"/>
      <c r="Y1549" s="51"/>
      <c r="Z1549" s="51"/>
      <c r="AA1549" s="51"/>
      <c r="AB1549" s="307"/>
      <c r="AC1549" s="307"/>
      <c r="AD1549" s="307"/>
      <c r="AE1549" s="51"/>
      <c r="AF1549" s="51"/>
      <c r="AG1549" s="51"/>
      <c r="AH1549" s="51"/>
      <c r="AI1549" s="297"/>
      <c r="AJ1549" s="297"/>
      <c r="AK1549" s="297"/>
      <c r="AL1549" s="297"/>
      <c r="AM1549" s="297"/>
      <c r="AN1549" s="51"/>
      <c r="AO1549" s="51"/>
      <c r="AP1549" s="51"/>
      <c r="AQ1549" s="51"/>
      <c r="AR1549" s="51"/>
      <c r="AS1549" s="189"/>
      <c r="AT1549" s="51"/>
      <c r="AU1549" s="51"/>
      <c r="AV1549" s="51"/>
      <c r="AW1549" s="51"/>
      <c r="AX1549" s="297"/>
      <c r="AY1549" s="51"/>
      <c r="AZ1549" s="297"/>
      <c r="BA1549" s="297"/>
      <c r="BB1549" s="297"/>
      <c r="BC1549" s="297"/>
      <c r="BD1549" s="51"/>
      <c r="BE1549" s="51"/>
      <c r="BF1549" s="51"/>
      <c r="BG1549" s="51"/>
      <c r="BH1549" s="189"/>
      <c r="BI1549" s="189"/>
      <c r="BJ1549" s="189"/>
      <c r="BK1549" s="51"/>
      <c r="BL1549" s="51"/>
    </row>
    <row r="1550" spans="1:65">
      <c r="A1550" s="51"/>
      <c r="B1550" s="51"/>
      <c r="C1550" s="51"/>
      <c r="D1550" s="301"/>
      <c r="E1550" s="301"/>
      <c r="F1550" s="301"/>
      <c r="G1550" s="301"/>
      <c r="H1550" s="301"/>
      <c r="I1550" s="51"/>
      <c r="J1550" s="51"/>
      <c r="K1550" s="51"/>
      <c r="L1550" s="51"/>
      <c r="M1550" s="51"/>
      <c r="N1550" s="307"/>
      <c r="O1550" s="51"/>
      <c r="P1550" s="51"/>
      <c r="Q1550" s="51"/>
      <c r="R1550" s="51"/>
      <c r="S1550" s="301"/>
      <c r="T1550" s="51"/>
      <c r="U1550" s="301"/>
      <c r="V1550" s="301"/>
      <c r="W1550" s="301"/>
      <c r="X1550" s="301"/>
      <c r="Y1550" s="51"/>
      <c r="Z1550" s="51"/>
      <c r="AA1550" s="51"/>
      <c r="AB1550" s="51"/>
      <c r="AC1550" s="307"/>
      <c r="AD1550" s="307"/>
      <c r="AE1550" s="307"/>
      <c r="AF1550" s="51"/>
      <c r="AG1550" s="51"/>
      <c r="AH1550" s="51"/>
      <c r="AI1550" s="51"/>
      <c r="AJ1550" s="297"/>
      <c r="AK1550" s="297"/>
      <c r="AL1550" s="297"/>
      <c r="AM1550" s="297"/>
      <c r="AN1550" s="297"/>
      <c r="AO1550" s="51"/>
      <c r="AP1550" s="51"/>
      <c r="AQ1550" s="51"/>
      <c r="AR1550" s="51"/>
      <c r="AS1550" s="51"/>
      <c r="AT1550" s="189"/>
      <c r="AU1550" s="51"/>
      <c r="AV1550" s="51"/>
      <c r="AW1550" s="51"/>
      <c r="AX1550" s="51"/>
      <c r="AY1550" s="297"/>
      <c r="AZ1550" s="51"/>
      <c r="BA1550" s="297"/>
      <c r="BB1550" s="297"/>
      <c r="BC1550" s="297"/>
      <c r="BD1550" s="297"/>
      <c r="BE1550" s="51"/>
      <c r="BF1550" s="51"/>
      <c r="BG1550" s="51"/>
      <c r="BH1550" s="51"/>
      <c r="BI1550" s="189"/>
      <c r="BJ1550" s="307"/>
      <c r="BK1550" s="189"/>
      <c r="BL1550" s="51"/>
    </row>
    <row r="1551" spans="1:65">
      <c r="A1551" s="51"/>
      <c r="B1551" s="51"/>
      <c r="C1551" s="51"/>
      <c r="D1551" s="51"/>
      <c r="E1551" s="301"/>
      <c r="F1551" s="301"/>
      <c r="G1551" s="301"/>
      <c r="H1551" s="301"/>
      <c r="I1551" s="301"/>
      <c r="J1551" s="51"/>
      <c r="K1551" s="51"/>
      <c r="L1551" s="51"/>
      <c r="M1551" s="51"/>
      <c r="N1551" s="51"/>
      <c r="O1551" s="51"/>
      <c r="P1551" s="51"/>
      <c r="Q1551" s="51"/>
      <c r="R1551" s="51"/>
      <c r="S1551" s="51"/>
      <c r="T1551" s="301"/>
      <c r="U1551" s="51"/>
      <c r="V1551" s="301"/>
      <c r="W1551" s="301"/>
      <c r="X1551" s="301"/>
      <c r="Y1551" s="301"/>
      <c r="Z1551" s="51"/>
      <c r="AA1551" s="51"/>
      <c r="AB1551" s="51"/>
      <c r="AC1551" s="51"/>
      <c r="AD1551" s="307"/>
      <c r="AE1551" s="307"/>
      <c r="AF1551" s="307"/>
      <c r="AG1551" s="51"/>
      <c r="AH1551" s="51"/>
      <c r="AI1551" s="51"/>
      <c r="AJ1551" s="51"/>
      <c r="AK1551" s="297"/>
      <c r="AL1551" s="297"/>
      <c r="AM1551" s="297"/>
      <c r="AN1551" s="297"/>
      <c r="AO1551" s="297"/>
      <c r="AP1551" s="51"/>
      <c r="AQ1551" s="51"/>
      <c r="AR1551" s="51"/>
      <c r="AS1551" s="51"/>
      <c r="AT1551" s="51"/>
      <c r="AU1551" s="51"/>
      <c r="AV1551" s="51"/>
      <c r="AW1551" s="51"/>
      <c r="AX1551" s="51"/>
      <c r="AY1551" s="51"/>
      <c r="AZ1551" s="297"/>
      <c r="BA1551" s="51"/>
      <c r="BB1551" s="297"/>
      <c r="BC1551" s="297"/>
      <c r="BD1551" s="297"/>
      <c r="BE1551" s="297"/>
      <c r="BF1551" s="51"/>
      <c r="BG1551" s="51"/>
      <c r="BH1551" s="51"/>
      <c r="BI1551" s="51"/>
      <c r="BJ1551" s="189"/>
      <c r="BK1551" s="189"/>
      <c r="BL1551" s="189"/>
    </row>
    <row r="1552" spans="1:65">
      <c r="A1552" s="307"/>
      <c r="B1552" s="51"/>
      <c r="C1552" s="51"/>
      <c r="D1552" s="51"/>
      <c r="E1552" s="51"/>
      <c r="F1552" s="301"/>
      <c r="G1552" s="301"/>
      <c r="H1552" s="301"/>
      <c r="I1552" s="301"/>
      <c r="J1552" s="301"/>
      <c r="K1552" s="51"/>
      <c r="L1552" s="51"/>
      <c r="M1552" s="51"/>
      <c r="N1552" s="51"/>
      <c r="O1552" s="51"/>
      <c r="P1552" s="51"/>
      <c r="Q1552" s="51"/>
      <c r="R1552" s="51"/>
      <c r="S1552" s="51"/>
      <c r="T1552" s="51"/>
      <c r="U1552" s="301"/>
      <c r="V1552" s="301"/>
      <c r="W1552" s="301"/>
      <c r="X1552" s="301"/>
      <c r="Y1552" s="301"/>
      <c r="Z1552" s="301"/>
      <c r="AA1552" s="51"/>
      <c r="AB1552" s="51"/>
      <c r="AC1552" s="51"/>
      <c r="AD1552" s="51"/>
      <c r="AE1552" s="307"/>
      <c r="AF1552" s="307"/>
      <c r="AG1552" s="189"/>
      <c r="AH1552" s="51"/>
      <c r="AI1552" s="51"/>
      <c r="AJ1552" s="51"/>
      <c r="AK1552" s="51"/>
      <c r="AL1552" s="297"/>
      <c r="AM1552" s="297"/>
      <c r="AN1552" s="297"/>
      <c r="AO1552" s="297"/>
      <c r="AP1552" s="297"/>
      <c r="AQ1552" s="51"/>
      <c r="AR1552" s="51"/>
      <c r="AS1552" s="51"/>
      <c r="AT1552" s="51"/>
      <c r="AU1552" s="51"/>
      <c r="AV1552" s="51"/>
      <c r="AW1552" s="51"/>
      <c r="AX1552" s="51"/>
      <c r="AY1552" s="51"/>
      <c r="AZ1552" s="51"/>
      <c r="BA1552" s="297"/>
      <c r="BB1552" s="297"/>
      <c r="BC1552" s="297"/>
      <c r="BD1552" s="297"/>
      <c r="BE1552" s="297"/>
      <c r="BF1552" s="297"/>
      <c r="BG1552" s="51"/>
      <c r="BH1552" s="51"/>
      <c r="BI1552" s="51"/>
      <c r="BJ1552" s="51"/>
      <c r="BK1552" s="189"/>
      <c r="BL1552" s="307"/>
    </row>
    <row r="1553" spans="1:64">
      <c r="A1553" s="307"/>
      <c r="B1553" s="307"/>
      <c r="C1553" s="51"/>
      <c r="D1553" s="51"/>
      <c r="E1553" s="51"/>
      <c r="F1553" s="51"/>
      <c r="G1553" s="301"/>
      <c r="H1553" s="301"/>
      <c r="I1553" s="301"/>
      <c r="J1553" s="301"/>
      <c r="K1553" s="301"/>
      <c r="L1553" s="51"/>
      <c r="M1553" s="51"/>
      <c r="N1553" s="51"/>
      <c r="O1553" s="51"/>
      <c r="P1553" s="51"/>
      <c r="Q1553" s="51"/>
      <c r="R1553" s="51"/>
      <c r="S1553" s="51"/>
      <c r="T1553" s="51"/>
      <c r="U1553" s="51"/>
      <c r="V1553" s="301"/>
      <c r="W1553" s="51"/>
      <c r="X1553" s="301"/>
      <c r="Y1553" s="301"/>
      <c r="Z1553" s="301"/>
      <c r="AA1553" s="301"/>
      <c r="AB1553" s="51"/>
      <c r="AC1553" s="51"/>
      <c r="AD1553" s="51"/>
      <c r="AE1553" s="51"/>
      <c r="AF1553" s="307"/>
      <c r="AG1553" s="307"/>
      <c r="AH1553" s="189"/>
      <c r="AI1553" s="51"/>
      <c r="AJ1553" s="51"/>
      <c r="AK1553" s="51"/>
      <c r="AL1553" s="51"/>
      <c r="AM1553" s="297"/>
      <c r="AN1553" s="297"/>
      <c r="AO1553" s="297"/>
      <c r="AP1553" s="297"/>
      <c r="AQ1553" s="297"/>
      <c r="AR1553" s="51"/>
      <c r="AS1553" s="51"/>
      <c r="AT1553" s="51"/>
      <c r="AU1553" s="51"/>
      <c r="AV1553" s="51"/>
      <c r="AW1553" s="51"/>
      <c r="AX1553" s="51"/>
      <c r="AY1553" s="51"/>
      <c r="AZ1553" s="51"/>
      <c r="BA1553" s="51"/>
      <c r="BB1553" s="297"/>
      <c r="BC1553" s="51"/>
      <c r="BD1553" s="297"/>
      <c r="BE1553" s="297"/>
      <c r="BF1553" s="297"/>
      <c r="BG1553" s="297"/>
      <c r="BH1553" s="51"/>
      <c r="BI1553" s="51"/>
      <c r="BJ1553" s="51"/>
      <c r="BK1553" s="51"/>
      <c r="BL1553" s="189"/>
    </row>
    <row r="1554" spans="1:64">
      <c r="A1554" s="307"/>
      <c r="B1554" s="307"/>
      <c r="C1554" s="307"/>
      <c r="D1554" s="51"/>
      <c r="E1554" s="51"/>
      <c r="F1554" s="51"/>
      <c r="G1554" s="51"/>
      <c r="H1554" s="301"/>
      <c r="I1554" s="301"/>
      <c r="J1554" s="301"/>
      <c r="K1554" s="301"/>
      <c r="L1554" s="301"/>
      <c r="M1554" s="51"/>
      <c r="N1554" s="51"/>
      <c r="O1554" s="51"/>
      <c r="P1554" s="51"/>
      <c r="Q1554" s="51"/>
      <c r="R1554" s="307"/>
      <c r="S1554" s="51"/>
      <c r="T1554" s="51"/>
      <c r="U1554" s="51"/>
      <c r="V1554" s="51"/>
      <c r="W1554" s="301"/>
      <c r="X1554" s="51"/>
      <c r="Y1554" s="301"/>
      <c r="Z1554" s="301"/>
      <c r="AA1554" s="301"/>
      <c r="AB1554" s="301"/>
      <c r="AC1554" s="51"/>
      <c r="AD1554" s="51"/>
      <c r="AE1554" s="51"/>
      <c r="AF1554" s="51"/>
      <c r="AG1554" s="189"/>
      <c r="AH1554" s="189"/>
      <c r="AI1554" s="189"/>
      <c r="AJ1554" s="51"/>
      <c r="AK1554" s="51"/>
      <c r="AL1554" s="51"/>
      <c r="AM1554" s="51"/>
      <c r="AN1554" s="297"/>
      <c r="AO1554" s="297"/>
      <c r="AP1554" s="297"/>
      <c r="AQ1554" s="297"/>
      <c r="AR1554" s="297"/>
      <c r="AS1554" s="51"/>
      <c r="AT1554" s="51"/>
      <c r="AU1554" s="51"/>
      <c r="AV1554" s="51"/>
      <c r="AW1554" s="51"/>
      <c r="AX1554" s="189"/>
      <c r="AY1554" s="51"/>
      <c r="AZ1554" s="51"/>
      <c r="BA1554" s="51"/>
      <c r="BB1554" s="51"/>
      <c r="BC1554" s="297"/>
      <c r="BD1554" s="51"/>
      <c r="BE1554" s="297"/>
      <c r="BF1554" s="297"/>
      <c r="BG1554" s="297"/>
      <c r="BH1554" s="297"/>
      <c r="BI1554" s="51"/>
      <c r="BJ1554" s="51"/>
      <c r="BK1554" s="51"/>
      <c r="BL1554" s="51"/>
    </row>
    <row r="1555" spans="1:64">
      <c r="A1555" s="51"/>
      <c r="B1555" s="307"/>
      <c r="C1555" s="307"/>
      <c r="D1555" s="307"/>
      <c r="E1555" s="51"/>
      <c r="F1555" s="51"/>
      <c r="G1555" s="51"/>
      <c r="H1555" s="51"/>
      <c r="I1555" s="301"/>
      <c r="J1555" s="301"/>
      <c r="K1555" s="301"/>
      <c r="L1555" s="301"/>
      <c r="M1555" s="301"/>
      <c r="N1555" s="51"/>
      <c r="O1555" s="51"/>
      <c r="P1555" s="51"/>
      <c r="Q1555" s="51"/>
      <c r="R1555" s="51"/>
      <c r="S1555" s="307"/>
      <c r="T1555" s="51"/>
      <c r="U1555" s="51"/>
      <c r="V1555" s="51"/>
      <c r="W1555" s="51"/>
      <c r="X1555" s="301"/>
      <c r="Y1555" s="301"/>
      <c r="Z1555" s="301"/>
      <c r="AA1555" s="301"/>
      <c r="AB1555" s="301"/>
      <c r="AC1555" s="301"/>
      <c r="AD1555" s="51"/>
      <c r="AE1555" s="51"/>
      <c r="AF1555" s="51"/>
      <c r="AG1555" s="51"/>
      <c r="AH1555" s="189"/>
      <c r="AI1555" s="307"/>
      <c r="AJ1555" s="189"/>
      <c r="AK1555" s="51"/>
      <c r="AL1555" s="51"/>
      <c r="AM1555" s="51"/>
      <c r="AN1555" s="51"/>
      <c r="AO1555" s="297"/>
      <c r="AP1555" s="297"/>
      <c r="AQ1555" s="297"/>
      <c r="AR1555" s="297"/>
      <c r="AS1555" s="297"/>
      <c r="AT1555" s="51"/>
      <c r="AU1555" s="51"/>
      <c r="AV1555" s="51"/>
      <c r="AW1555" s="51"/>
      <c r="AX1555" s="51"/>
      <c r="AY1555" s="189"/>
      <c r="AZ1555" s="51"/>
      <c r="BA1555" s="51"/>
      <c r="BB1555" s="51"/>
      <c r="BC1555" s="51"/>
      <c r="BD1555" s="297"/>
      <c r="BE1555" s="297"/>
      <c r="BF1555" s="297"/>
      <c r="BG1555" s="297"/>
      <c r="BH1555" s="297"/>
      <c r="BI1555" s="297"/>
      <c r="BJ1555" s="51"/>
      <c r="BK1555" s="51"/>
      <c r="BL1555" s="51"/>
    </row>
    <row r="1556" spans="1:64">
      <c r="A1556" s="51"/>
      <c r="B1556" s="51"/>
      <c r="C1556" s="307"/>
      <c r="D1556" s="307"/>
      <c r="E1556" s="307"/>
      <c r="F1556" s="51"/>
      <c r="G1556" s="51"/>
      <c r="H1556" s="51"/>
      <c r="I1556" s="51"/>
      <c r="J1556" s="301"/>
      <c r="K1556" s="301"/>
      <c r="L1556" s="301"/>
      <c r="M1556" s="301"/>
      <c r="N1556" s="301"/>
      <c r="O1556" s="51"/>
      <c r="P1556" s="51"/>
      <c r="Q1556" s="51"/>
      <c r="R1556" s="51"/>
      <c r="S1556" s="51"/>
      <c r="T1556" s="307"/>
      <c r="U1556" s="307"/>
      <c r="V1556" s="51"/>
      <c r="W1556" s="51"/>
      <c r="X1556" s="51"/>
      <c r="Y1556" s="301"/>
      <c r="Z1556" s="51"/>
      <c r="AA1556" s="301"/>
      <c r="AB1556" s="301"/>
      <c r="AC1556" s="301"/>
      <c r="AD1556" s="301"/>
      <c r="AE1556" s="51"/>
      <c r="AF1556" s="51"/>
      <c r="AG1556" s="51"/>
      <c r="AH1556" s="51"/>
      <c r="AI1556" s="189"/>
      <c r="AJ1556" s="189"/>
      <c r="AK1556" s="189"/>
      <c r="AL1556" s="51"/>
      <c r="AM1556" s="51"/>
      <c r="AN1556" s="51"/>
      <c r="AO1556" s="51"/>
      <c r="AP1556" s="297"/>
      <c r="AQ1556" s="297"/>
      <c r="AR1556" s="297"/>
      <c r="AS1556" s="297"/>
      <c r="AT1556" s="297"/>
      <c r="AU1556" s="51"/>
      <c r="AV1556" s="51"/>
      <c r="AW1556" s="51"/>
      <c r="AX1556" s="51"/>
      <c r="AY1556" s="51"/>
      <c r="AZ1556" s="189"/>
      <c r="BA1556" s="189"/>
      <c r="BB1556" s="51"/>
      <c r="BC1556" s="51"/>
      <c r="BD1556" s="51"/>
      <c r="BE1556" s="297"/>
      <c r="BF1556" s="51"/>
      <c r="BG1556" s="297"/>
      <c r="BH1556" s="297"/>
      <c r="BI1556" s="297"/>
      <c r="BJ1556" s="297"/>
      <c r="BK1556" s="51"/>
      <c r="BL1556" s="51"/>
    </row>
    <row r="1557" spans="1:64">
      <c r="A1557" s="51"/>
      <c r="B1557" s="51"/>
      <c r="C1557" s="51"/>
      <c r="D1557" s="307"/>
      <c r="E1557" s="307"/>
      <c r="F1557" s="307"/>
      <c r="G1557" s="51"/>
      <c r="H1557" s="51"/>
      <c r="I1557" s="51"/>
      <c r="J1557" s="51"/>
      <c r="K1557" s="301"/>
      <c r="L1557" s="301"/>
      <c r="M1557" s="301"/>
      <c r="N1557" s="301"/>
      <c r="O1557" s="301"/>
      <c r="P1557" s="51"/>
      <c r="Q1557" s="51"/>
      <c r="R1557" s="51"/>
      <c r="S1557" s="51"/>
      <c r="T1557" s="307"/>
      <c r="U1557" s="307"/>
      <c r="V1557" s="307"/>
      <c r="W1557" s="51"/>
      <c r="X1557" s="51"/>
      <c r="Y1557" s="51"/>
      <c r="Z1557" s="301"/>
      <c r="AA1557" s="301"/>
      <c r="AB1557" s="301"/>
      <c r="AC1557" s="301"/>
      <c r="AD1557" s="51"/>
      <c r="AE1557" s="301"/>
      <c r="AF1557" s="51"/>
      <c r="AG1557" s="51"/>
      <c r="AH1557" s="51"/>
      <c r="AI1557" s="51"/>
      <c r="AJ1557" s="189"/>
      <c r="AK1557" s="307"/>
      <c r="AL1557" s="189"/>
      <c r="AM1557" s="51"/>
      <c r="AN1557" s="51"/>
      <c r="AO1557" s="51"/>
      <c r="AP1557" s="51"/>
      <c r="AQ1557" s="297"/>
      <c r="AR1557" s="297"/>
      <c r="AS1557" s="297"/>
      <c r="AT1557" s="297"/>
      <c r="AU1557" s="297"/>
      <c r="AV1557" s="51"/>
      <c r="AW1557" s="51"/>
      <c r="AX1557" s="51"/>
      <c r="AY1557" s="51"/>
      <c r="AZ1557" s="189"/>
      <c r="BA1557" s="307"/>
      <c r="BB1557" s="189"/>
      <c r="BC1557" s="51"/>
      <c r="BD1557" s="51"/>
      <c r="BE1557" s="51"/>
      <c r="BF1557" s="297"/>
      <c r="BG1557" s="297"/>
      <c r="BH1557" s="297"/>
      <c r="BI1557" s="297"/>
      <c r="BJ1557" s="51"/>
      <c r="BK1557" s="297"/>
      <c r="BL1557" s="51"/>
    </row>
    <row r="1558" spans="1:64">
      <c r="A1558" s="51"/>
      <c r="B1558" s="51"/>
      <c r="C1558" s="51"/>
      <c r="D1558" s="51"/>
      <c r="E1558" s="307"/>
      <c r="F1558" s="307"/>
      <c r="G1558" s="307"/>
      <c r="H1558" s="307"/>
      <c r="I1558" s="51"/>
      <c r="J1558" s="51"/>
      <c r="K1558" s="51"/>
      <c r="L1558" s="301"/>
      <c r="M1558" s="301"/>
      <c r="N1558" s="301"/>
      <c r="O1558" s="301"/>
      <c r="P1558" s="301"/>
      <c r="Q1558" s="51"/>
      <c r="R1558" s="51"/>
      <c r="S1558" s="51"/>
      <c r="T1558" s="51"/>
      <c r="U1558" s="307"/>
      <c r="V1558" s="307"/>
      <c r="W1558" s="307"/>
      <c r="X1558" s="51"/>
      <c r="Y1558" s="51"/>
      <c r="Z1558" s="51"/>
      <c r="AA1558" s="301"/>
      <c r="AB1558" s="51"/>
      <c r="AC1558" s="301"/>
      <c r="AD1558" s="301"/>
      <c r="AE1558" s="301"/>
      <c r="AF1558" s="301"/>
      <c r="AG1558" s="51"/>
      <c r="AH1558" s="51"/>
      <c r="AI1558" s="51"/>
      <c r="AJ1558" s="51"/>
      <c r="AK1558" s="189"/>
      <c r="AL1558" s="307"/>
      <c r="AM1558" s="307"/>
      <c r="AN1558" s="189"/>
      <c r="AO1558" s="51"/>
      <c r="AP1558" s="51"/>
      <c r="AQ1558" s="51"/>
      <c r="AR1558" s="297"/>
      <c r="AS1558" s="297"/>
      <c r="AT1558" s="297"/>
      <c r="AU1558" s="297"/>
      <c r="AV1558" s="297"/>
      <c r="AW1558" s="51"/>
      <c r="AX1558" s="51"/>
      <c r="AY1558" s="51"/>
      <c r="AZ1558" s="51"/>
      <c r="BA1558" s="189"/>
      <c r="BB1558" s="189"/>
      <c r="BC1558" s="189"/>
      <c r="BD1558" s="51"/>
      <c r="BE1558" s="51"/>
      <c r="BF1558" s="51"/>
      <c r="BG1558" s="297"/>
      <c r="BH1558" s="51"/>
      <c r="BI1558" s="297"/>
      <c r="BJ1558" s="297"/>
      <c r="BK1558" s="297"/>
      <c r="BL1558" s="297"/>
    </row>
    <row r="1559" spans="1:64">
      <c r="A1559" s="301"/>
      <c r="B1559" s="51"/>
      <c r="C1559" s="51"/>
      <c r="D1559" s="51"/>
      <c r="E1559" s="51"/>
      <c r="F1559" s="307"/>
      <c r="G1559" s="307"/>
      <c r="H1559" s="307"/>
      <c r="I1559" s="307"/>
      <c r="J1559" s="51"/>
      <c r="K1559" s="51"/>
      <c r="L1559" s="51"/>
      <c r="M1559" s="301"/>
      <c r="N1559" s="301"/>
      <c r="O1559" s="301"/>
      <c r="P1559" s="301"/>
      <c r="Q1559" s="301"/>
      <c r="R1559" s="51"/>
      <c r="S1559" s="51"/>
      <c r="T1559" s="51"/>
      <c r="U1559" s="51"/>
      <c r="V1559" s="307"/>
      <c r="W1559" s="307"/>
      <c r="X1559" s="307"/>
      <c r="Y1559" s="51"/>
      <c r="Z1559" s="51"/>
      <c r="AA1559" s="51"/>
      <c r="AB1559" s="301"/>
      <c r="AC1559" s="301"/>
      <c r="AD1559" s="301"/>
      <c r="AE1559" s="301"/>
      <c r="AF1559" s="51"/>
      <c r="AG1559" s="297"/>
      <c r="AH1559" s="51"/>
      <c r="AI1559" s="51"/>
      <c r="AJ1559" s="51"/>
      <c r="AK1559" s="51"/>
      <c r="AL1559" s="307"/>
      <c r="AM1559" s="307"/>
      <c r="AN1559" s="307"/>
      <c r="AO1559" s="189"/>
      <c r="AP1559" s="51"/>
      <c r="AQ1559" s="51"/>
      <c r="AR1559" s="51"/>
      <c r="AS1559" s="297"/>
      <c r="AT1559" s="297"/>
      <c r="AU1559" s="297"/>
      <c r="AV1559" s="297"/>
      <c r="AW1559" s="297"/>
      <c r="AX1559" s="51"/>
      <c r="AY1559" s="51"/>
      <c r="AZ1559" s="51"/>
      <c r="BA1559" s="51"/>
      <c r="BB1559" s="189"/>
      <c r="BC1559" s="307"/>
      <c r="BD1559" s="189"/>
      <c r="BE1559" s="51"/>
      <c r="BF1559" s="51"/>
      <c r="BG1559" s="51"/>
      <c r="BH1559" s="297"/>
      <c r="BI1559" s="297"/>
      <c r="BJ1559" s="297"/>
      <c r="BK1559" s="297"/>
      <c r="BL1559" s="51"/>
    </row>
    <row r="1560" spans="1:64">
      <c r="A1560" s="301"/>
      <c r="B1560" s="301"/>
      <c r="C1560" s="51"/>
      <c r="D1560" s="51"/>
      <c r="E1560" s="51"/>
      <c r="F1560" s="307"/>
      <c r="G1560" s="307"/>
      <c r="H1560" s="307"/>
      <c r="I1560" s="307"/>
      <c r="J1560" s="307"/>
      <c r="K1560" s="51"/>
      <c r="L1560" s="51"/>
      <c r="M1560" s="51"/>
      <c r="N1560" s="301"/>
      <c r="O1560" s="301"/>
      <c r="P1560" s="301"/>
      <c r="Q1560" s="301"/>
      <c r="R1560" s="301"/>
      <c r="S1560" s="51"/>
      <c r="T1560" s="51"/>
      <c r="U1560" s="51"/>
      <c r="V1560" s="51"/>
      <c r="W1560" s="307"/>
      <c r="X1560" s="307"/>
      <c r="Y1560" s="307"/>
      <c r="Z1560" s="51"/>
      <c r="AA1560" s="51"/>
      <c r="AB1560" s="51"/>
      <c r="AC1560" s="301"/>
      <c r="AD1560" s="51"/>
      <c r="AE1560" s="301"/>
      <c r="AF1560" s="301"/>
      <c r="AG1560" s="51"/>
      <c r="AH1560" s="297"/>
      <c r="AI1560" s="51"/>
      <c r="AJ1560" s="51"/>
      <c r="AK1560" s="51"/>
      <c r="AL1560" s="189"/>
      <c r="AM1560" s="307"/>
      <c r="AN1560" s="307"/>
      <c r="AO1560" s="307"/>
      <c r="AP1560" s="189"/>
      <c r="AQ1560" s="51"/>
      <c r="AR1560" s="51"/>
      <c r="AS1560" s="51"/>
      <c r="AT1560" s="297"/>
      <c r="AU1560" s="297"/>
      <c r="AV1560" s="297"/>
      <c r="AW1560" s="297"/>
      <c r="AX1560" s="297"/>
      <c r="AY1560" s="51"/>
      <c r="AZ1560" s="51"/>
      <c r="BA1560" s="51"/>
      <c r="BB1560" s="51"/>
      <c r="BC1560" s="189"/>
      <c r="BD1560" s="189"/>
      <c r="BE1560" s="189"/>
      <c r="BF1560" s="51"/>
      <c r="BG1560" s="51"/>
      <c r="BH1560" s="51"/>
      <c r="BI1560" s="297"/>
      <c r="BJ1560" s="51"/>
      <c r="BK1560" s="297"/>
      <c r="BL1560" s="297"/>
    </row>
    <row r="1561" spans="1:64">
      <c r="A1561" s="301"/>
      <c r="B1561" s="51"/>
      <c r="C1561" s="301"/>
      <c r="D1561" s="51"/>
      <c r="E1561" s="51"/>
      <c r="F1561" s="51"/>
      <c r="G1561" s="307"/>
      <c r="H1561" s="307"/>
      <c r="I1561" s="307"/>
      <c r="J1561" s="307"/>
      <c r="K1561" s="51"/>
      <c r="L1561" s="51"/>
      <c r="M1561" s="51"/>
      <c r="N1561" s="51"/>
      <c r="O1561" s="301"/>
      <c r="P1561" s="301"/>
      <c r="Q1561" s="301"/>
      <c r="R1561" s="301"/>
      <c r="S1561" s="301"/>
      <c r="T1561" s="51"/>
      <c r="U1561" s="51"/>
      <c r="V1561" s="51"/>
      <c r="W1561" s="51"/>
      <c r="X1561" s="307"/>
      <c r="Y1561" s="307"/>
      <c r="Z1561" s="307"/>
      <c r="AA1561" s="51"/>
      <c r="AB1561" s="51"/>
      <c r="AC1561" s="51"/>
      <c r="AD1561" s="301"/>
      <c r="AE1561" s="301"/>
      <c r="AF1561" s="301"/>
      <c r="AG1561" s="297"/>
      <c r="AH1561" s="297"/>
      <c r="AI1561" s="297"/>
      <c r="AJ1561" s="51"/>
      <c r="AK1561" s="51"/>
      <c r="AL1561" s="51"/>
      <c r="AM1561" s="189"/>
      <c r="AN1561" s="307"/>
      <c r="AO1561" s="307"/>
      <c r="AP1561" s="307"/>
      <c r="AQ1561" s="51"/>
      <c r="AR1561" s="51"/>
      <c r="AS1561" s="51"/>
      <c r="AT1561" s="51"/>
      <c r="AU1561" s="297"/>
      <c r="AV1561" s="297"/>
      <c r="AW1561" s="297"/>
      <c r="AX1561" s="297"/>
      <c r="AY1561" s="297"/>
      <c r="AZ1561" s="51"/>
      <c r="BA1561" s="51"/>
      <c r="BB1561" s="51"/>
      <c r="BC1561" s="51"/>
      <c r="BD1561" s="189"/>
      <c r="BE1561" s="307"/>
      <c r="BF1561" s="189"/>
      <c r="BG1561" s="51"/>
      <c r="BH1561" s="51"/>
      <c r="BI1561" s="51"/>
      <c r="BJ1561" s="297"/>
      <c r="BK1561" s="297"/>
      <c r="BL1561" s="297"/>
    </row>
    <row r="1562" spans="1:64">
      <c r="A1562" s="301"/>
      <c r="B1562" s="301"/>
      <c r="C1562" s="51"/>
      <c r="D1562" s="301"/>
      <c r="E1562" s="51"/>
      <c r="F1562" s="51"/>
      <c r="G1562" s="51"/>
      <c r="H1562" s="307"/>
      <c r="I1562" s="307"/>
      <c r="J1562" s="307"/>
      <c r="K1562" s="307"/>
      <c r="L1562" s="51"/>
      <c r="M1562" s="51"/>
      <c r="N1562" s="51"/>
      <c r="O1562" s="51"/>
      <c r="P1562" s="301"/>
      <c r="Q1562" s="301"/>
      <c r="R1562" s="301"/>
      <c r="S1562" s="301"/>
      <c r="T1562" s="301"/>
      <c r="U1562" s="51"/>
      <c r="V1562" s="51"/>
      <c r="W1562" s="51"/>
      <c r="X1562" s="51"/>
      <c r="Y1562" s="307"/>
      <c r="Z1562" s="307"/>
      <c r="AA1562" s="307"/>
      <c r="AB1562" s="51"/>
      <c r="AC1562" s="51"/>
      <c r="AD1562" s="51"/>
      <c r="AE1562" s="301"/>
      <c r="AF1562" s="51"/>
      <c r="AG1562" s="297"/>
      <c r="AH1562" s="297"/>
      <c r="AI1562" s="51"/>
      <c r="AJ1562" s="297"/>
      <c r="AK1562" s="51"/>
      <c r="AL1562" s="51"/>
      <c r="AM1562" s="51"/>
      <c r="AN1562" s="189"/>
      <c r="AO1562" s="307"/>
      <c r="AP1562" s="307"/>
      <c r="AQ1562" s="189"/>
      <c r="AR1562" s="51"/>
      <c r="AS1562" s="51"/>
      <c r="AT1562" s="51"/>
      <c r="AU1562" s="51"/>
      <c r="AV1562" s="297"/>
      <c r="AW1562" s="297"/>
      <c r="AX1562" s="297"/>
      <c r="AY1562" s="297"/>
      <c r="AZ1562" s="297"/>
      <c r="BA1562" s="51"/>
      <c r="BB1562" s="51"/>
      <c r="BC1562" s="51"/>
      <c r="BD1562" s="51"/>
      <c r="BE1562" s="189"/>
      <c r="BF1562" s="307"/>
      <c r="BG1562" s="189"/>
      <c r="BH1562" s="51"/>
      <c r="BI1562" s="51"/>
      <c r="BJ1562" s="51"/>
      <c r="BK1562" s="297"/>
      <c r="BL1562" s="51"/>
    </row>
    <row r="1563" spans="1:64">
      <c r="A1563" s="301"/>
      <c r="B1563" s="301"/>
      <c r="C1563" s="301"/>
      <c r="D1563" s="51"/>
      <c r="E1563" s="301"/>
      <c r="F1563" s="51"/>
      <c r="G1563" s="51"/>
      <c r="H1563" s="51"/>
      <c r="I1563" s="51"/>
      <c r="J1563" s="307"/>
      <c r="K1563" s="307"/>
      <c r="L1563" s="307"/>
      <c r="M1563" s="51"/>
      <c r="N1563" s="51"/>
      <c r="O1563" s="51"/>
      <c r="P1563" s="51"/>
      <c r="Q1563" s="301"/>
      <c r="R1563" s="301"/>
      <c r="S1563" s="301"/>
      <c r="T1563" s="301"/>
      <c r="U1563" s="301"/>
      <c r="V1563" s="51"/>
      <c r="W1563" s="51"/>
      <c r="X1563" s="51"/>
      <c r="Y1563" s="51"/>
      <c r="Z1563" s="307"/>
      <c r="AA1563" s="307"/>
      <c r="AB1563" s="307"/>
      <c r="AC1563" s="51"/>
      <c r="AD1563" s="51"/>
      <c r="AE1563" s="51"/>
      <c r="AF1563" s="301"/>
      <c r="AG1563" s="297"/>
      <c r="AH1563" s="297"/>
      <c r="AI1563" s="297"/>
      <c r="AJ1563" s="51"/>
      <c r="AK1563" s="297"/>
      <c r="AL1563" s="51"/>
      <c r="AM1563" s="51"/>
      <c r="AN1563" s="51"/>
      <c r="AO1563" s="51"/>
      <c r="AP1563" s="189"/>
      <c r="AQ1563" s="307"/>
      <c r="AR1563" s="189"/>
      <c r="AS1563" s="51"/>
      <c r="AT1563" s="51"/>
      <c r="AU1563" s="51"/>
      <c r="AV1563" s="51"/>
      <c r="AW1563" s="297"/>
      <c r="AX1563" s="297"/>
      <c r="AY1563" s="297"/>
      <c r="AZ1563" s="297"/>
      <c r="BA1563" s="297"/>
      <c r="BB1563" s="51"/>
      <c r="BC1563" s="51"/>
      <c r="BD1563" s="51"/>
      <c r="BE1563" s="51"/>
      <c r="BF1563" s="189"/>
      <c r="BG1563" s="307"/>
      <c r="BH1563" s="189"/>
      <c r="BI1563" s="51"/>
      <c r="BJ1563" s="51"/>
      <c r="BK1563" s="51"/>
      <c r="BL1563" s="297"/>
    </row>
    <row r="1564" spans="1:64">
      <c r="A1564" s="301"/>
      <c r="B1564" s="301"/>
      <c r="C1564" s="301"/>
      <c r="D1564" s="301"/>
      <c r="E1564" s="51"/>
      <c r="F1564" s="301"/>
      <c r="G1564" s="51"/>
      <c r="H1564" s="51"/>
      <c r="I1564" s="51"/>
      <c r="J1564" s="51"/>
      <c r="K1564" s="307"/>
      <c r="L1564" s="307"/>
      <c r="M1564" s="307"/>
      <c r="N1564" s="51"/>
      <c r="O1564" s="51"/>
      <c r="P1564" s="51"/>
      <c r="Q1564" s="51"/>
      <c r="R1564" s="301"/>
      <c r="S1564" s="301"/>
      <c r="T1564" s="301"/>
      <c r="U1564" s="301"/>
      <c r="V1564" s="301"/>
      <c r="W1564" s="51"/>
      <c r="X1564" s="51"/>
      <c r="Y1564" s="51"/>
      <c r="Z1564" s="51"/>
      <c r="AA1564" s="307"/>
      <c r="AB1564" s="307"/>
      <c r="AC1564" s="307"/>
      <c r="AD1564" s="51"/>
      <c r="AE1564" s="51"/>
      <c r="AF1564" s="51"/>
      <c r="AG1564" s="297"/>
      <c r="AH1564" s="297"/>
      <c r="AI1564" s="297"/>
      <c r="AJ1564" s="297"/>
      <c r="AK1564" s="51"/>
      <c r="AL1564" s="297"/>
      <c r="AM1564" s="51"/>
      <c r="AN1564" s="51"/>
      <c r="AO1564" s="51"/>
      <c r="AP1564" s="51"/>
      <c r="AQ1564" s="189"/>
      <c r="AR1564" s="189"/>
      <c r="AS1564" s="189"/>
      <c r="AT1564" s="51"/>
      <c r="AU1564" s="51"/>
      <c r="AV1564" s="51"/>
      <c r="AW1564" s="51"/>
      <c r="AX1564" s="297"/>
      <c r="AY1564" s="297"/>
      <c r="AZ1564" s="297"/>
      <c r="BA1564" s="297"/>
      <c r="BB1564" s="297"/>
      <c r="BC1564" s="51"/>
      <c r="BD1564" s="51"/>
      <c r="BE1564" s="51"/>
      <c r="BF1564" s="51"/>
      <c r="BG1564" s="189"/>
      <c r="BH1564" s="307"/>
      <c r="BI1564" s="189"/>
      <c r="BJ1564" s="51"/>
      <c r="BK1564" s="51"/>
      <c r="BL1564" s="51"/>
    </row>
    <row r="1565" spans="1:64">
      <c r="A1565" s="51"/>
      <c r="B1565" s="301"/>
      <c r="C1565" s="301"/>
      <c r="D1565" s="301"/>
      <c r="E1565" s="301"/>
      <c r="F1565" s="51"/>
      <c r="G1565" s="301"/>
      <c r="H1565" s="51"/>
      <c r="I1565" s="51"/>
      <c r="J1565" s="51"/>
      <c r="K1565" s="51"/>
      <c r="L1565" s="307"/>
      <c r="M1565" s="307"/>
      <c r="N1565" s="307"/>
      <c r="O1565" s="51"/>
      <c r="P1565" s="51"/>
      <c r="Q1565" s="51"/>
      <c r="R1565" s="51"/>
      <c r="S1565" s="301"/>
      <c r="T1565" s="301"/>
      <c r="U1565" s="301"/>
      <c r="V1565" s="301"/>
      <c r="W1565" s="301"/>
      <c r="X1565" s="51"/>
      <c r="Y1565" s="51"/>
      <c r="Z1565" s="51"/>
      <c r="AA1565" s="51"/>
      <c r="AB1565" s="307"/>
      <c r="AC1565" s="307"/>
      <c r="AD1565" s="307"/>
      <c r="AE1565" s="51"/>
      <c r="AF1565" s="51"/>
      <c r="AG1565" s="51"/>
      <c r="AH1565" s="297"/>
      <c r="AI1565" s="297"/>
      <c r="AJ1565" s="297"/>
      <c r="AK1565" s="297"/>
      <c r="AL1565" s="51"/>
      <c r="AM1565" s="297"/>
      <c r="AN1565" s="51"/>
      <c r="AO1565" s="51"/>
      <c r="AP1565" s="51"/>
      <c r="AQ1565" s="51"/>
      <c r="AR1565" s="189"/>
      <c r="AS1565" s="307"/>
      <c r="AT1565" s="189"/>
      <c r="AU1565" s="51"/>
      <c r="AV1565" s="51"/>
      <c r="AW1565" s="51"/>
      <c r="AX1565" s="51"/>
      <c r="AY1565" s="297"/>
      <c r="AZ1565" s="297"/>
      <c r="BA1565" s="297"/>
      <c r="BB1565" s="297"/>
      <c r="BC1565" s="297"/>
      <c r="BD1565" s="51"/>
      <c r="BE1565" s="51"/>
      <c r="BF1565" s="51"/>
      <c r="BG1565" s="51"/>
      <c r="BH1565" s="189"/>
      <c r="BI1565" s="307"/>
      <c r="BJ1565" s="189"/>
      <c r="BK1565" s="51"/>
      <c r="BL1565" s="51"/>
    </row>
    <row r="1566" spans="1:64">
      <c r="A1566" s="51"/>
      <c r="B1566" s="297"/>
      <c r="C1566" s="301"/>
      <c r="D1566" s="301"/>
      <c r="E1566" s="301"/>
      <c r="F1566" s="301"/>
      <c r="G1566" s="51"/>
      <c r="H1566" s="301"/>
      <c r="I1566" s="51"/>
      <c r="J1566" s="51"/>
      <c r="K1566" s="51"/>
      <c r="L1566" s="51"/>
      <c r="M1566" s="307"/>
      <c r="N1566" s="307"/>
      <c r="O1566" s="307"/>
      <c r="P1566" s="51"/>
      <c r="Q1566" s="51"/>
      <c r="R1566" s="51"/>
      <c r="S1566" s="51"/>
      <c r="T1566" s="301"/>
      <c r="U1566" s="301"/>
      <c r="V1566" s="301"/>
      <c r="W1566" s="301"/>
      <c r="X1566" s="301"/>
      <c r="Y1566" s="51"/>
      <c r="Z1566" s="51"/>
      <c r="AA1566" s="51"/>
      <c r="AB1566" s="51"/>
      <c r="AC1566" s="307"/>
      <c r="AD1566" s="307"/>
      <c r="AE1566" s="307"/>
      <c r="AF1566" s="51"/>
      <c r="AG1566" s="51"/>
      <c r="AH1566" s="297"/>
      <c r="AI1566" s="297"/>
      <c r="AJ1566" s="297"/>
      <c r="AK1566" s="297"/>
      <c r="AL1566" s="297"/>
      <c r="AM1566" s="51"/>
      <c r="AN1566" s="297"/>
      <c r="AO1566" s="51"/>
      <c r="AP1566" s="51"/>
      <c r="AQ1566" s="51"/>
      <c r="AR1566" s="51"/>
      <c r="AS1566" s="189"/>
      <c r="AT1566" s="189"/>
      <c r="AU1566" s="189"/>
      <c r="AV1566" s="51"/>
      <c r="AW1566" s="51"/>
      <c r="AX1566" s="51"/>
      <c r="AY1566" s="51"/>
      <c r="AZ1566" s="297"/>
      <c r="BA1566" s="297"/>
      <c r="BB1566" s="297"/>
      <c r="BC1566" s="297"/>
      <c r="BD1566" s="297"/>
      <c r="BE1566" s="51"/>
      <c r="BF1566" s="51"/>
      <c r="BG1566" s="51"/>
      <c r="BH1566" s="51"/>
      <c r="BI1566" s="189"/>
      <c r="BJ1566" s="189"/>
      <c r="BK1566" s="189"/>
      <c r="BL1566" s="51"/>
    </row>
    <row r="1567" spans="1:64">
      <c r="A1567" s="51"/>
      <c r="B1567" s="51"/>
      <c r="C1567" s="297"/>
      <c r="D1567" s="301"/>
      <c r="E1567" s="301"/>
      <c r="F1567" s="301"/>
      <c r="G1567" s="301"/>
      <c r="H1567" s="51"/>
      <c r="I1567" s="301"/>
      <c r="J1567" s="51"/>
      <c r="K1567" s="51"/>
      <c r="L1567" s="51"/>
      <c r="M1567" s="51"/>
      <c r="N1567" s="307"/>
      <c r="O1567" s="307"/>
      <c r="P1567" s="307"/>
      <c r="Q1567" s="51"/>
      <c r="R1567" s="51"/>
      <c r="S1567" s="51"/>
      <c r="T1567" s="51"/>
      <c r="U1567" s="301"/>
      <c r="V1567" s="301"/>
      <c r="W1567" s="301"/>
      <c r="X1567" s="301"/>
      <c r="Y1567" s="301"/>
      <c r="Z1567" s="51"/>
      <c r="AA1567" s="51"/>
      <c r="AB1567" s="51"/>
      <c r="AC1567" s="51"/>
      <c r="AD1567" s="307"/>
      <c r="AE1567" s="307"/>
      <c r="AF1567" s="307"/>
      <c r="AG1567" s="51"/>
      <c r="AH1567" s="51"/>
      <c r="AI1567" s="297"/>
      <c r="AJ1567" s="297"/>
      <c r="AK1567" s="297"/>
      <c r="AL1567" s="297"/>
      <c r="AM1567" s="297"/>
      <c r="AN1567" s="297"/>
      <c r="AO1567" s="297"/>
      <c r="AP1567" s="51"/>
      <c r="AQ1567" s="51"/>
      <c r="AR1567" s="51"/>
      <c r="AS1567" s="51"/>
      <c r="AT1567" s="189"/>
      <c r="AU1567" s="307"/>
      <c r="AV1567" s="189"/>
      <c r="AW1567" s="51"/>
      <c r="AX1567" s="51"/>
      <c r="AY1567" s="51"/>
      <c r="AZ1567" s="51"/>
      <c r="BA1567" s="297"/>
      <c r="BB1567" s="297"/>
      <c r="BC1567" s="297"/>
      <c r="BD1567" s="297"/>
      <c r="BE1567" s="297"/>
      <c r="BF1567" s="51"/>
      <c r="BG1567" s="51"/>
      <c r="BH1567" s="51"/>
      <c r="BI1567" s="51"/>
      <c r="BJ1567" s="189"/>
      <c r="BK1567" s="307"/>
      <c r="BL1567" s="189"/>
    </row>
    <row r="1568" spans="1:64">
      <c r="A1568" s="51"/>
      <c r="B1568" s="51"/>
      <c r="C1568" s="51"/>
      <c r="D1568" s="51"/>
      <c r="E1568" s="301"/>
      <c r="F1568" s="301"/>
      <c r="G1568" s="301"/>
      <c r="H1568" s="301"/>
      <c r="I1568" s="51"/>
      <c r="J1568" s="301"/>
      <c r="K1568" s="51"/>
      <c r="L1568" s="51"/>
      <c r="M1568" s="51"/>
      <c r="N1568" s="51"/>
      <c r="O1568" s="307"/>
      <c r="P1568" s="307"/>
      <c r="Q1568" s="307"/>
      <c r="R1568" s="51"/>
      <c r="S1568" s="51"/>
      <c r="T1568" s="51"/>
      <c r="U1568" s="51"/>
      <c r="V1568" s="301"/>
      <c r="W1568" s="301"/>
      <c r="X1568" s="301"/>
      <c r="Y1568" s="301"/>
      <c r="Z1568" s="301"/>
      <c r="AA1568" s="51"/>
      <c r="AB1568" s="51"/>
      <c r="AC1568" s="51"/>
      <c r="AD1568" s="51"/>
      <c r="AE1568" s="307"/>
      <c r="AF1568" s="307"/>
      <c r="AG1568" s="51"/>
      <c r="AH1568" s="51"/>
      <c r="AI1568" s="51"/>
      <c r="AJ1568" s="51"/>
      <c r="AK1568" s="297"/>
      <c r="AL1568" s="297"/>
      <c r="AM1568" s="297"/>
      <c r="AN1568" s="297"/>
      <c r="AO1568" s="51"/>
      <c r="AP1568" s="297"/>
      <c r="AQ1568" s="51"/>
      <c r="AR1568" s="51"/>
      <c r="AS1568" s="51"/>
      <c r="AT1568" s="51"/>
      <c r="AU1568" s="189"/>
      <c r="AV1568" s="189"/>
      <c r="AW1568" s="189"/>
      <c r="AX1568" s="51"/>
      <c r="AY1568" s="51"/>
      <c r="AZ1568" s="51"/>
      <c r="BA1568" s="51"/>
      <c r="BB1568" s="297"/>
      <c r="BC1568" s="297"/>
      <c r="BD1568" s="297"/>
      <c r="BE1568" s="297"/>
      <c r="BF1568" s="297"/>
      <c r="BG1568" s="51"/>
      <c r="BH1568" s="51"/>
      <c r="BI1568" s="51"/>
      <c r="BJ1568" s="51"/>
      <c r="BK1568" s="189"/>
      <c r="BL1568" s="189"/>
    </row>
    <row r="1569" spans="1:65">
      <c r="A1569" s="552"/>
      <c r="B1569" s="552"/>
      <c r="C1569" s="552"/>
      <c r="D1569" s="552"/>
      <c r="E1569" s="552"/>
      <c r="F1569" s="552"/>
      <c r="G1569" s="552"/>
      <c r="H1569" s="552"/>
      <c r="I1569" s="552"/>
      <c r="J1569" s="552"/>
      <c r="K1569" s="552"/>
      <c r="L1569" s="552"/>
      <c r="M1569" s="552"/>
      <c r="N1569" s="552"/>
      <c r="O1569" s="552"/>
      <c r="P1569" s="552"/>
      <c r="Q1569" s="552"/>
      <c r="R1569" s="552"/>
      <c r="S1569" s="552"/>
      <c r="T1569" s="552"/>
      <c r="U1569" s="552"/>
      <c r="V1569" s="552"/>
      <c r="W1569" s="552"/>
      <c r="X1569" s="552"/>
      <c r="Y1569" s="552"/>
      <c r="Z1569" s="552"/>
      <c r="AA1569" s="552"/>
      <c r="AB1569" s="552"/>
      <c r="AC1569" s="552"/>
      <c r="AD1569" s="552"/>
      <c r="AE1569" s="552"/>
      <c r="AF1569" s="452"/>
      <c r="AG1569" s="552"/>
      <c r="AH1569" s="552"/>
      <c r="AI1569" s="552"/>
      <c r="AJ1569" s="552"/>
      <c r="AK1569" s="552"/>
      <c r="AL1569" s="552"/>
      <c r="AM1569" s="552"/>
      <c r="AN1569" s="552"/>
      <c r="AO1569" s="552"/>
      <c r="AP1569" s="552"/>
      <c r="AQ1569" s="552"/>
      <c r="AR1569" s="552"/>
      <c r="AS1569" s="552"/>
      <c r="AT1569" s="552"/>
      <c r="AU1569" s="552"/>
      <c r="AV1569" s="552"/>
      <c r="AW1569" s="552"/>
      <c r="AX1569" s="552"/>
      <c r="AY1569" s="552"/>
      <c r="AZ1569" s="552"/>
      <c r="BA1569" s="552"/>
      <c r="BB1569" s="552"/>
      <c r="BC1569" s="552"/>
      <c r="BD1569" s="552"/>
      <c r="BE1569" s="552"/>
      <c r="BF1569" s="552"/>
      <c r="BG1569" s="552"/>
      <c r="BH1569" s="552"/>
      <c r="BI1569" s="552"/>
      <c r="BJ1569" s="552"/>
      <c r="BK1569" s="552"/>
      <c r="BL1569" s="553"/>
      <c r="BM1569" s="189">
        <v>50</v>
      </c>
    </row>
    <row r="1570" spans="1:65">
      <c r="A1570" s="552"/>
      <c r="B1570" s="322"/>
      <c r="C1570" s="322"/>
      <c r="D1570" s="322"/>
      <c r="E1570" s="322"/>
      <c r="F1570" s="322"/>
      <c r="G1570" s="322"/>
      <c r="H1570" s="322"/>
      <c r="I1570" s="322"/>
      <c r="J1570" s="322"/>
      <c r="K1570" s="322"/>
      <c r="L1570" s="322"/>
      <c r="M1570" s="322"/>
      <c r="N1570" s="322"/>
      <c r="O1570" s="322"/>
      <c r="P1570" s="322"/>
      <c r="Q1570" s="322"/>
      <c r="R1570" s="322"/>
      <c r="S1570" s="322"/>
      <c r="T1570" s="322"/>
      <c r="U1570" s="322"/>
      <c r="V1570" s="322"/>
      <c r="W1570" s="322"/>
      <c r="X1570" s="322"/>
      <c r="Y1570" s="322"/>
      <c r="Z1570" s="322"/>
      <c r="AA1570" s="322"/>
      <c r="AB1570" s="322"/>
      <c r="AC1570" s="322"/>
      <c r="AD1570" s="322"/>
      <c r="AE1570" s="322"/>
      <c r="AF1570" s="439"/>
      <c r="AG1570" s="552"/>
      <c r="AH1570" s="322"/>
      <c r="AI1570" s="322"/>
      <c r="AJ1570" s="322"/>
      <c r="AK1570" s="322"/>
      <c r="AL1570" s="322"/>
      <c r="AM1570" s="322"/>
      <c r="AN1570" s="322"/>
      <c r="AO1570" s="322"/>
      <c r="AP1570" s="322"/>
      <c r="AQ1570" s="322"/>
      <c r="AR1570" s="322"/>
      <c r="AS1570" s="322"/>
      <c r="AT1570" s="322"/>
      <c r="AU1570" s="322"/>
      <c r="AV1570" s="322"/>
      <c r="AW1570" s="322"/>
      <c r="AX1570" s="322"/>
      <c r="AY1570" s="322"/>
      <c r="AZ1570" s="322"/>
      <c r="BA1570" s="439"/>
      <c r="BB1570" s="322"/>
      <c r="BC1570" s="322"/>
      <c r="BD1570" s="322"/>
      <c r="BE1570" s="322"/>
      <c r="BF1570" s="322"/>
      <c r="BG1570" s="322"/>
      <c r="BH1570" s="322"/>
      <c r="BI1570" s="322"/>
      <c r="BJ1570" s="322"/>
      <c r="BK1570" s="322"/>
      <c r="BL1570" s="555"/>
      <c r="BM1570" s="301"/>
    </row>
    <row r="1571" spans="1:65">
      <c r="A1571" s="552"/>
      <c r="B1571" s="322"/>
      <c r="C1571" s="322"/>
      <c r="D1571" s="322"/>
      <c r="E1571" s="322"/>
      <c r="F1571" s="322"/>
      <c r="G1571" s="322"/>
      <c r="H1571" s="322"/>
      <c r="I1571" s="322"/>
      <c r="J1571" s="322"/>
      <c r="K1571" s="322"/>
      <c r="L1571" s="322"/>
      <c r="M1571" s="411"/>
      <c r="N1571" s="322"/>
      <c r="O1571" s="322"/>
      <c r="P1571" s="322"/>
      <c r="Q1571" s="322"/>
      <c r="R1571" s="322"/>
      <c r="S1571" s="322"/>
      <c r="T1571" s="322"/>
      <c r="U1571" s="322"/>
      <c r="V1571" s="322"/>
      <c r="W1571" s="322"/>
      <c r="X1571" s="322"/>
      <c r="Y1571" s="322"/>
      <c r="Z1571" s="322"/>
      <c r="AA1571" s="322"/>
      <c r="AB1571" s="322"/>
      <c r="AC1571" s="322"/>
      <c r="AD1571" s="322"/>
      <c r="AE1571" s="322"/>
      <c r="AF1571" s="439"/>
      <c r="AG1571" s="552"/>
      <c r="AH1571" s="322"/>
      <c r="AI1571" s="322"/>
      <c r="AJ1571" s="322"/>
      <c r="AK1571" s="322"/>
      <c r="AL1571" s="322"/>
      <c r="AM1571" s="322"/>
      <c r="AN1571" s="322"/>
      <c r="AO1571" s="322"/>
      <c r="AP1571" s="322"/>
      <c r="AQ1571" s="322"/>
      <c r="AR1571" s="322"/>
      <c r="AS1571" s="322"/>
      <c r="AT1571" s="322"/>
      <c r="AU1571" s="322"/>
      <c r="AV1571" s="322"/>
      <c r="AW1571" s="322"/>
      <c r="AX1571" s="322"/>
      <c r="AY1571" s="322"/>
      <c r="AZ1571" s="322"/>
      <c r="BA1571" s="322"/>
      <c r="BB1571" s="322"/>
      <c r="BC1571" s="322"/>
      <c r="BD1571" s="322"/>
      <c r="BE1571" s="322"/>
      <c r="BF1571" s="322"/>
      <c r="BG1571" s="322"/>
      <c r="BH1571" s="322"/>
      <c r="BI1571" s="322"/>
      <c r="BJ1571" s="322"/>
      <c r="BK1571" s="322"/>
      <c r="BL1571" s="555"/>
      <c r="BM1571" s="1"/>
    </row>
    <row r="1572" spans="1:65">
      <c r="A1572" s="552"/>
      <c r="B1572" s="322"/>
      <c r="C1572" s="322"/>
      <c r="D1572" s="322"/>
      <c r="E1572" s="322"/>
      <c r="F1572" s="322"/>
      <c r="G1572" s="322"/>
      <c r="H1572" s="322"/>
      <c r="I1572" s="322"/>
      <c r="J1572" s="322"/>
      <c r="K1572" s="322"/>
      <c r="L1572" s="322"/>
      <c r="M1572" s="322"/>
      <c r="N1572" s="322"/>
      <c r="O1572" s="322"/>
      <c r="P1572" s="322"/>
      <c r="Q1572" s="322"/>
      <c r="R1572" s="322"/>
      <c r="S1572" s="322"/>
      <c r="T1572" s="322"/>
      <c r="U1572" s="322"/>
      <c r="V1572" s="322"/>
      <c r="W1572" s="322"/>
      <c r="X1572" s="322"/>
      <c r="Y1572" s="322"/>
      <c r="Z1572" s="322"/>
      <c r="AA1572" s="322"/>
      <c r="AB1572" s="322"/>
      <c r="AC1572" s="322"/>
      <c r="AD1572" s="322"/>
      <c r="AE1572" s="322"/>
      <c r="AF1572" s="439"/>
      <c r="AG1572" s="552"/>
      <c r="AH1572" s="322"/>
      <c r="AI1572" s="322"/>
      <c r="AJ1572" s="322"/>
      <c r="AK1572" s="322"/>
      <c r="AL1572" s="322"/>
      <c r="AM1572" s="322"/>
      <c r="AN1572" s="322"/>
      <c r="AO1572" s="322"/>
      <c r="AP1572" s="322"/>
      <c r="AQ1572" s="322"/>
      <c r="AR1572" s="322"/>
      <c r="AS1572" s="322"/>
      <c r="AT1572" s="322"/>
      <c r="AU1572" s="322"/>
      <c r="AV1572" s="322"/>
      <c r="AW1572" s="322"/>
      <c r="AX1572" s="322"/>
      <c r="AY1572" s="322"/>
      <c r="AZ1572" s="322"/>
      <c r="BA1572" s="322"/>
      <c r="BB1572" s="322"/>
      <c r="BC1572" s="322"/>
      <c r="BD1572" s="322"/>
      <c r="BE1572" s="322"/>
      <c r="BF1572" s="322"/>
      <c r="BG1572" s="322"/>
      <c r="BH1572" s="322"/>
      <c r="BI1572" s="322"/>
      <c r="BJ1572" s="322"/>
      <c r="BK1572" s="322"/>
      <c r="BL1572" s="555"/>
      <c r="BM1572" s="51"/>
    </row>
    <row r="1573" spans="1:65">
      <c r="A1573" s="552"/>
      <c r="B1573" s="322"/>
      <c r="C1573" s="322"/>
      <c r="D1573" s="322"/>
      <c r="E1573" s="161"/>
      <c r="F1573" s="293"/>
      <c r="G1573" s="293"/>
      <c r="H1573" s="293"/>
      <c r="I1573" s="293"/>
      <c r="J1573" s="293"/>
      <c r="K1573" s="293"/>
      <c r="L1573" s="293"/>
      <c r="M1573" s="293"/>
      <c r="N1573" s="293"/>
      <c r="O1573" s="293"/>
      <c r="P1573" s="293"/>
      <c r="Q1573" s="293"/>
      <c r="R1573" s="293"/>
      <c r="S1573" s="293"/>
      <c r="T1573" s="293"/>
      <c r="U1573" s="293"/>
      <c r="V1573" s="293"/>
      <c r="W1573" s="293"/>
      <c r="X1573" s="293"/>
      <c r="Y1573" s="293"/>
      <c r="Z1573" s="293"/>
      <c r="AA1573" s="293"/>
      <c r="AB1573" s="297"/>
      <c r="AC1573" s="322"/>
      <c r="AD1573" s="322"/>
      <c r="AE1573" s="322"/>
      <c r="AF1573" s="439"/>
      <c r="AG1573" s="552"/>
      <c r="AH1573" s="322"/>
      <c r="AI1573" s="322"/>
      <c r="AJ1573" s="322"/>
      <c r="AK1573" s="161"/>
      <c r="AL1573" s="161"/>
      <c r="AM1573" s="161"/>
      <c r="AN1573" s="161"/>
      <c r="AO1573" s="161"/>
      <c r="AP1573" s="161"/>
      <c r="AQ1573" s="161"/>
      <c r="AR1573" s="161"/>
      <c r="AS1573" s="161"/>
      <c r="AT1573" s="161"/>
      <c r="AU1573" s="161"/>
      <c r="AV1573" s="161"/>
      <c r="AW1573" s="161"/>
      <c r="AX1573" s="161"/>
      <c r="AY1573" s="161"/>
      <c r="AZ1573" s="161"/>
      <c r="BA1573" s="161"/>
      <c r="BB1573" s="161"/>
      <c r="BC1573" s="161"/>
      <c r="BD1573" s="161"/>
      <c r="BE1573" s="161"/>
      <c r="BF1573" s="161"/>
      <c r="BG1573" s="161"/>
      <c r="BH1573" s="555"/>
      <c r="BI1573" s="322"/>
      <c r="BJ1573" s="322"/>
      <c r="BK1573" s="322"/>
      <c r="BL1573" s="555"/>
      <c r="BM1573" s="51"/>
    </row>
    <row r="1574" spans="1:65">
      <c r="A1574" s="552"/>
      <c r="B1574" s="322"/>
      <c r="C1574" s="322"/>
      <c r="D1574" s="322"/>
      <c r="E1574" s="293"/>
      <c r="F1574" s="161"/>
      <c r="G1574" s="293"/>
      <c r="H1574" s="293"/>
      <c r="I1574" s="293"/>
      <c r="J1574" s="293"/>
      <c r="K1574" s="293"/>
      <c r="L1574" s="293"/>
      <c r="M1574" s="293"/>
      <c r="N1574" s="293"/>
      <c r="O1574" s="293"/>
      <c r="P1574" s="293"/>
      <c r="Q1574" s="293"/>
      <c r="R1574" s="293"/>
      <c r="S1574" s="293"/>
      <c r="T1574" s="293"/>
      <c r="U1574" s="293"/>
      <c r="V1574" s="293"/>
      <c r="W1574" s="293"/>
      <c r="X1574" s="293"/>
      <c r="Y1574" s="293"/>
      <c r="Z1574" s="293"/>
      <c r="AA1574" s="297"/>
      <c r="AB1574" s="301"/>
      <c r="AC1574" s="322"/>
      <c r="AD1574" s="322"/>
      <c r="AE1574" s="322"/>
      <c r="AF1574" s="439"/>
      <c r="AG1574" s="552"/>
      <c r="AH1574" s="322"/>
      <c r="AI1574" s="322"/>
      <c r="AJ1574" s="322"/>
      <c r="AK1574" s="161"/>
      <c r="AL1574" s="161"/>
      <c r="AM1574" s="161"/>
      <c r="AN1574" s="161"/>
      <c r="AO1574" s="161"/>
      <c r="AP1574" s="161"/>
      <c r="AQ1574" s="161"/>
      <c r="AR1574" s="161"/>
      <c r="AS1574" s="161"/>
      <c r="AT1574" s="161"/>
      <c r="AU1574" s="161"/>
      <c r="AV1574" s="161"/>
      <c r="AW1574" s="161"/>
      <c r="AX1574" s="161"/>
      <c r="AY1574" s="161"/>
      <c r="AZ1574" s="161"/>
      <c r="BA1574" s="161"/>
      <c r="BB1574" s="161"/>
      <c r="BC1574" s="161"/>
      <c r="BD1574" s="161"/>
      <c r="BE1574" s="161"/>
      <c r="BF1574" s="161"/>
      <c r="BG1574" s="555"/>
      <c r="BH1574" s="297"/>
      <c r="BI1574" s="322"/>
      <c r="BJ1574" s="322"/>
      <c r="BK1574" s="322"/>
      <c r="BL1574" s="555"/>
      <c r="BM1574" s="51">
        <v>2</v>
      </c>
    </row>
    <row r="1575" spans="1:65">
      <c r="A1575" s="552"/>
      <c r="B1575" s="322"/>
      <c r="C1575" s="322"/>
      <c r="D1575" s="322"/>
      <c r="E1575" s="293"/>
      <c r="F1575" s="293"/>
      <c r="G1575" s="290"/>
      <c r="H1575" s="290"/>
      <c r="I1575" s="290"/>
      <c r="J1575" s="290"/>
      <c r="K1575" s="290"/>
      <c r="L1575" s="290"/>
      <c r="M1575" s="290"/>
      <c r="N1575" s="290"/>
      <c r="O1575" s="290"/>
      <c r="P1575" s="290"/>
      <c r="Q1575" s="290"/>
      <c r="R1575" s="290"/>
      <c r="S1575" s="290"/>
      <c r="T1575" s="290"/>
      <c r="U1575" s="290"/>
      <c r="V1575" s="290"/>
      <c r="W1575" s="290"/>
      <c r="X1575" s="290"/>
      <c r="Y1575" s="290"/>
      <c r="Z1575" s="290"/>
      <c r="AA1575" s="301"/>
      <c r="AB1575" s="301"/>
      <c r="AC1575" s="322"/>
      <c r="AD1575" s="322"/>
      <c r="AE1575" s="322"/>
      <c r="AF1575" s="439"/>
      <c r="AG1575" s="552"/>
      <c r="AH1575" s="322"/>
      <c r="AI1575" s="322"/>
      <c r="AJ1575" s="322"/>
      <c r="AK1575" s="161"/>
      <c r="AL1575" s="161"/>
      <c r="AM1575" s="290"/>
      <c r="AN1575" s="290"/>
      <c r="AO1575" s="290"/>
      <c r="AP1575" s="290"/>
      <c r="AQ1575" s="290"/>
      <c r="AR1575" s="290"/>
      <c r="AS1575" s="290"/>
      <c r="AT1575" s="290"/>
      <c r="AU1575" s="290"/>
      <c r="AV1575" s="290"/>
      <c r="AW1575" s="290"/>
      <c r="AX1575" s="290"/>
      <c r="AY1575" s="290"/>
      <c r="AZ1575" s="290"/>
      <c r="BA1575" s="290"/>
      <c r="BB1575" s="290"/>
      <c r="BC1575" s="290"/>
      <c r="BD1575" s="290"/>
      <c r="BE1575" s="290"/>
      <c r="BF1575" s="290"/>
      <c r="BG1575" s="297"/>
      <c r="BH1575" s="297"/>
      <c r="BI1575" s="322"/>
      <c r="BJ1575" s="322"/>
      <c r="BK1575" s="322"/>
      <c r="BL1575" s="555"/>
      <c r="BM1575" s="51">
        <v>1</v>
      </c>
    </row>
    <row r="1576" spans="1:65">
      <c r="A1576" s="552"/>
      <c r="B1576" s="322"/>
      <c r="C1576" s="322"/>
      <c r="D1576" s="322"/>
      <c r="E1576" s="293"/>
      <c r="F1576" s="293"/>
      <c r="G1576" s="290"/>
      <c r="H1576" s="161"/>
      <c r="I1576" s="161"/>
      <c r="J1576" s="161"/>
      <c r="K1576" s="161"/>
      <c r="L1576" s="161"/>
      <c r="M1576" s="161"/>
      <c r="N1576" s="161"/>
      <c r="O1576" s="161"/>
      <c r="P1576" s="290"/>
      <c r="Q1576" s="290"/>
      <c r="R1576" s="161"/>
      <c r="S1576" s="161"/>
      <c r="T1576" s="161"/>
      <c r="U1576" s="161"/>
      <c r="V1576" s="161"/>
      <c r="W1576" s="161"/>
      <c r="X1576" s="161"/>
      <c r="Y1576" s="163"/>
      <c r="Z1576" s="290"/>
      <c r="AA1576" s="301"/>
      <c r="AB1576" s="301"/>
      <c r="AC1576" s="322"/>
      <c r="AD1576" s="322"/>
      <c r="AE1576" s="322"/>
      <c r="AF1576" s="439"/>
      <c r="AG1576" s="552"/>
      <c r="AH1576" s="322"/>
      <c r="AI1576" s="322"/>
      <c r="AJ1576" s="322"/>
      <c r="AK1576" s="161"/>
      <c r="AL1576" s="161"/>
      <c r="AM1576" s="290"/>
      <c r="AN1576" s="161"/>
      <c r="AO1576" s="161"/>
      <c r="AP1576" s="161"/>
      <c r="AQ1576" s="161"/>
      <c r="AR1576" s="161"/>
      <c r="AS1576" s="161"/>
      <c r="AT1576" s="161"/>
      <c r="AU1576" s="161"/>
      <c r="AV1576" s="290"/>
      <c r="AW1576" s="290"/>
      <c r="AX1576" s="161"/>
      <c r="AY1576" s="161"/>
      <c r="AZ1576" s="161"/>
      <c r="BA1576" s="161"/>
      <c r="BB1576" s="161"/>
      <c r="BC1576" s="161"/>
      <c r="BD1576" s="161"/>
      <c r="BE1576" s="161"/>
      <c r="BF1576" s="290"/>
      <c r="BG1576" s="297"/>
      <c r="BH1576" s="297"/>
      <c r="BI1576" s="322"/>
      <c r="BJ1576" s="322"/>
      <c r="BK1576" s="322"/>
      <c r="BL1576" s="555"/>
      <c r="BM1576" s="51"/>
    </row>
    <row r="1577" spans="1:65">
      <c r="A1577" s="552"/>
      <c r="B1577" s="322"/>
      <c r="C1577" s="322"/>
      <c r="D1577" s="322"/>
      <c r="E1577" s="293"/>
      <c r="F1577" s="293"/>
      <c r="G1577" s="290"/>
      <c r="H1577" s="161"/>
      <c r="I1577" s="163"/>
      <c r="J1577" s="163"/>
      <c r="K1577" s="163"/>
      <c r="L1577" s="163"/>
      <c r="M1577" s="163"/>
      <c r="N1577" s="163"/>
      <c r="O1577" s="158"/>
      <c r="P1577" s="290"/>
      <c r="Q1577" s="290"/>
      <c r="R1577" s="161"/>
      <c r="S1577" s="163"/>
      <c r="T1577" s="163"/>
      <c r="U1577" s="163"/>
      <c r="V1577" s="163"/>
      <c r="W1577" s="163"/>
      <c r="X1577" s="163"/>
      <c r="Y1577" s="158"/>
      <c r="Z1577" s="290"/>
      <c r="AA1577" s="301"/>
      <c r="AB1577" s="301"/>
      <c r="AC1577" s="322"/>
      <c r="AD1577" s="322"/>
      <c r="AE1577" s="322"/>
      <c r="AF1577" s="439"/>
      <c r="AG1577" s="552"/>
      <c r="AH1577" s="322"/>
      <c r="AI1577" s="322"/>
      <c r="AJ1577" s="322"/>
      <c r="AK1577" s="161"/>
      <c r="AL1577" s="161"/>
      <c r="AM1577" s="290"/>
      <c r="AN1577" s="161"/>
      <c r="AO1577" s="163"/>
      <c r="AP1577" s="163"/>
      <c r="AQ1577" s="163"/>
      <c r="AR1577" s="163"/>
      <c r="AS1577" s="163"/>
      <c r="AT1577" s="163"/>
      <c r="AU1577" s="163"/>
      <c r="AV1577" s="290"/>
      <c r="AW1577" s="290"/>
      <c r="AX1577" s="161"/>
      <c r="AY1577" s="163"/>
      <c r="AZ1577" s="163"/>
      <c r="BA1577" s="163"/>
      <c r="BB1577" s="163"/>
      <c r="BC1577" s="163"/>
      <c r="BD1577" s="163"/>
      <c r="BE1577" s="163"/>
      <c r="BF1577" s="290"/>
      <c r="BG1577" s="297"/>
      <c r="BH1577" s="297"/>
      <c r="BI1577" s="322"/>
      <c r="BJ1577" s="322"/>
      <c r="BK1577" s="322"/>
      <c r="BL1577" s="555"/>
      <c r="BM1577" s="51"/>
    </row>
    <row r="1578" spans="1:65">
      <c r="A1578" s="552"/>
      <c r="B1578" s="322"/>
      <c r="C1578" s="322"/>
      <c r="D1578" s="322"/>
      <c r="E1578" s="293"/>
      <c r="F1578" s="293"/>
      <c r="G1578" s="290"/>
      <c r="H1578" s="161"/>
      <c r="I1578" s="163"/>
      <c r="J1578" s="163"/>
      <c r="K1578" s="163"/>
      <c r="L1578" s="163"/>
      <c r="M1578" s="163"/>
      <c r="N1578" s="158"/>
      <c r="O1578" s="158"/>
      <c r="P1578" s="290"/>
      <c r="Q1578" s="290"/>
      <c r="R1578" s="161"/>
      <c r="S1578" s="163"/>
      <c r="T1578" s="163"/>
      <c r="U1578" s="163"/>
      <c r="V1578" s="163"/>
      <c r="W1578" s="163"/>
      <c r="X1578" s="158"/>
      <c r="Y1578" s="158"/>
      <c r="Z1578" s="290"/>
      <c r="AA1578" s="301"/>
      <c r="AB1578" s="301"/>
      <c r="AC1578" s="322"/>
      <c r="AD1578" s="322"/>
      <c r="AE1578" s="322"/>
      <c r="AF1578" s="439"/>
      <c r="AG1578" s="552"/>
      <c r="AH1578" s="322"/>
      <c r="AI1578" s="322"/>
      <c r="AJ1578" s="452"/>
      <c r="AK1578" s="161"/>
      <c r="AL1578" s="161"/>
      <c r="AM1578" s="290"/>
      <c r="AN1578" s="161"/>
      <c r="AO1578" s="163"/>
      <c r="AP1578" s="163"/>
      <c r="AQ1578" s="163"/>
      <c r="AR1578" s="163"/>
      <c r="AS1578" s="163"/>
      <c r="AT1578" s="163"/>
      <c r="AU1578" s="163"/>
      <c r="AV1578" s="290"/>
      <c r="AW1578" s="290"/>
      <c r="AX1578" s="161"/>
      <c r="AY1578" s="163"/>
      <c r="AZ1578" s="163"/>
      <c r="BA1578" s="163"/>
      <c r="BB1578" s="163"/>
      <c r="BC1578" s="163"/>
      <c r="BD1578" s="163"/>
      <c r="BE1578" s="163"/>
      <c r="BF1578" s="290"/>
      <c r="BG1578" s="297"/>
      <c r="BH1578" s="297"/>
      <c r="BI1578" s="322"/>
      <c r="BJ1578" s="322"/>
      <c r="BK1578" s="322"/>
      <c r="BL1578" s="555"/>
      <c r="BM1578" s="51"/>
    </row>
    <row r="1579" spans="1:65">
      <c r="A1579" s="552"/>
      <c r="B1579" s="322"/>
      <c r="C1579" s="322"/>
      <c r="D1579" s="322"/>
      <c r="E1579" s="293"/>
      <c r="F1579" s="293"/>
      <c r="G1579" s="290"/>
      <c r="H1579" s="161"/>
      <c r="I1579" s="163"/>
      <c r="J1579" s="163"/>
      <c r="K1579" s="163"/>
      <c r="L1579" s="163"/>
      <c r="M1579" s="158"/>
      <c r="N1579" s="158"/>
      <c r="O1579" s="158"/>
      <c r="P1579" s="290"/>
      <c r="Q1579" s="290"/>
      <c r="R1579" s="161"/>
      <c r="S1579" s="163"/>
      <c r="T1579" s="163"/>
      <c r="U1579" s="163"/>
      <c r="V1579" s="163"/>
      <c r="W1579" s="158"/>
      <c r="X1579" s="158"/>
      <c r="Y1579" s="158"/>
      <c r="Z1579" s="294"/>
      <c r="AA1579" s="301"/>
      <c r="AB1579" s="301"/>
      <c r="AC1579" s="322"/>
      <c r="AD1579" s="322"/>
      <c r="AE1579" s="322"/>
      <c r="AF1579" s="439"/>
      <c r="AG1579" s="552"/>
      <c r="AH1579" s="322"/>
      <c r="AI1579" s="322"/>
      <c r="AJ1579" s="322"/>
      <c r="AK1579" s="161"/>
      <c r="AL1579" s="161"/>
      <c r="AM1579" s="290"/>
      <c r="AN1579" s="161"/>
      <c r="AO1579" s="163"/>
      <c r="AP1579" s="163"/>
      <c r="AQ1579" s="163"/>
      <c r="AR1579" s="163"/>
      <c r="AS1579" s="163"/>
      <c r="AT1579" s="163"/>
      <c r="AU1579" s="163"/>
      <c r="AV1579" s="290"/>
      <c r="AW1579" s="290"/>
      <c r="AX1579" s="161"/>
      <c r="AY1579" s="163"/>
      <c r="AZ1579" s="163"/>
      <c r="BA1579" s="163"/>
      <c r="BB1579" s="163"/>
      <c r="BC1579" s="163"/>
      <c r="BD1579" s="163"/>
      <c r="BE1579" s="163"/>
      <c r="BF1579" s="294"/>
      <c r="BG1579" s="297"/>
      <c r="BH1579" s="297"/>
      <c r="BI1579" s="322"/>
      <c r="BJ1579" s="322"/>
      <c r="BK1579" s="322"/>
      <c r="BL1579" s="555"/>
      <c r="BM1579" s="51"/>
    </row>
    <row r="1580" spans="1:65">
      <c r="A1580" s="552"/>
      <c r="B1580" s="322"/>
      <c r="C1580" s="322"/>
      <c r="D1580" s="322"/>
      <c r="E1580" s="293"/>
      <c r="F1580" s="293"/>
      <c r="G1580" s="290"/>
      <c r="H1580" s="161"/>
      <c r="I1580" s="163"/>
      <c r="J1580" s="163"/>
      <c r="K1580" s="163"/>
      <c r="L1580" s="158"/>
      <c r="M1580" s="158"/>
      <c r="N1580" s="158"/>
      <c r="O1580" s="158"/>
      <c r="P1580" s="290"/>
      <c r="Q1580" s="290"/>
      <c r="R1580" s="161"/>
      <c r="S1580" s="163"/>
      <c r="T1580" s="163"/>
      <c r="U1580" s="163"/>
      <c r="V1580" s="158"/>
      <c r="W1580" s="158"/>
      <c r="X1580" s="158"/>
      <c r="Y1580" s="158"/>
      <c r="Z1580" s="294"/>
      <c r="AA1580" s="301"/>
      <c r="AB1580" s="301"/>
      <c r="AC1580" s="322"/>
      <c r="AD1580" s="322"/>
      <c r="AE1580" s="322"/>
      <c r="AF1580" s="439"/>
      <c r="AG1580" s="552"/>
      <c r="AH1580" s="322"/>
      <c r="AI1580" s="322"/>
      <c r="AJ1580" s="322"/>
      <c r="AK1580" s="161"/>
      <c r="AL1580" s="161"/>
      <c r="AM1580" s="290"/>
      <c r="AN1580" s="161"/>
      <c r="AO1580" s="163"/>
      <c r="AP1580" s="163"/>
      <c r="AQ1580" s="163"/>
      <c r="AR1580" s="163"/>
      <c r="AS1580" s="163"/>
      <c r="AT1580" s="163"/>
      <c r="AU1580" s="163"/>
      <c r="AV1580" s="290"/>
      <c r="AW1580" s="290"/>
      <c r="AX1580" s="161"/>
      <c r="AY1580" s="163"/>
      <c r="AZ1580" s="163"/>
      <c r="BA1580" s="163"/>
      <c r="BB1580" s="163"/>
      <c r="BC1580" s="163"/>
      <c r="BD1580" s="163"/>
      <c r="BE1580" s="158"/>
      <c r="BF1580" s="294"/>
      <c r="BG1580" s="297"/>
      <c r="BH1580" s="297"/>
      <c r="BI1580" s="322"/>
      <c r="BJ1580" s="322"/>
      <c r="BK1580" s="322"/>
      <c r="BL1580" s="555"/>
      <c r="BM1580" s="51"/>
    </row>
    <row r="1581" spans="1:65">
      <c r="A1581" s="552"/>
      <c r="B1581" s="322"/>
      <c r="C1581" s="322"/>
      <c r="D1581" s="322"/>
      <c r="E1581" s="293"/>
      <c r="F1581" s="293"/>
      <c r="G1581" s="290"/>
      <c r="H1581" s="161"/>
      <c r="I1581" s="163"/>
      <c r="J1581" s="163"/>
      <c r="K1581" s="163"/>
      <c r="L1581" s="158"/>
      <c r="M1581" s="158"/>
      <c r="N1581" s="158"/>
      <c r="O1581" s="158"/>
      <c r="P1581" s="290"/>
      <c r="Q1581" s="290"/>
      <c r="R1581" s="161"/>
      <c r="S1581" s="163"/>
      <c r="T1581" s="163"/>
      <c r="U1581" s="163"/>
      <c r="V1581" s="158"/>
      <c r="W1581" s="158"/>
      <c r="X1581" s="158"/>
      <c r="Y1581" s="158"/>
      <c r="Z1581" s="294"/>
      <c r="AA1581" s="301"/>
      <c r="AB1581" s="301"/>
      <c r="AC1581" s="322"/>
      <c r="AD1581" s="322"/>
      <c r="AE1581" s="322"/>
      <c r="AF1581" s="439"/>
      <c r="AG1581" s="552"/>
      <c r="AH1581" s="322"/>
      <c r="AI1581" s="322"/>
      <c r="AJ1581" s="322"/>
      <c r="AK1581" s="161"/>
      <c r="AL1581" s="161"/>
      <c r="AM1581" s="290"/>
      <c r="AN1581" s="161"/>
      <c r="AO1581" s="163"/>
      <c r="AP1581" s="163"/>
      <c r="AQ1581" s="163"/>
      <c r="AR1581" s="163"/>
      <c r="AS1581" s="163"/>
      <c r="AT1581" s="163"/>
      <c r="AU1581" s="158"/>
      <c r="AV1581" s="290"/>
      <c r="AW1581" s="290"/>
      <c r="AX1581" s="161"/>
      <c r="AY1581" s="163"/>
      <c r="AZ1581" s="163"/>
      <c r="BA1581" s="163"/>
      <c r="BB1581" s="163"/>
      <c r="BC1581" s="163"/>
      <c r="BD1581" s="158"/>
      <c r="BE1581" s="158"/>
      <c r="BF1581" s="294"/>
      <c r="BG1581" s="297"/>
      <c r="BH1581" s="297"/>
      <c r="BI1581" s="322"/>
      <c r="BJ1581" s="322"/>
      <c r="BK1581" s="322"/>
      <c r="BL1581" s="555"/>
      <c r="BM1581" s="51"/>
    </row>
    <row r="1582" spans="1:65">
      <c r="A1582" s="552"/>
      <c r="B1582" s="322"/>
      <c r="C1582" s="322"/>
      <c r="D1582" s="322"/>
      <c r="E1582" s="293"/>
      <c r="F1582" s="293"/>
      <c r="G1582" s="290"/>
      <c r="H1582" s="161"/>
      <c r="I1582" s="163"/>
      <c r="J1582" s="163"/>
      <c r="K1582" s="158"/>
      <c r="L1582" s="158"/>
      <c r="M1582" s="158"/>
      <c r="N1582" s="158"/>
      <c r="O1582" s="158"/>
      <c r="P1582" s="290"/>
      <c r="Q1582" s="290"/>
      <c r="R1582" s="161"/>
      <c r="S1582" s="163"/>
      <c r="T1582" s="163"/>
      <c r="U1582" s="158"/>
      <c r="V1582" s="158"/>
      <c r="W1582" s="158"/>
      <c r="X1582" s="158"/>
      <c r="Y1582" s="158"/>
      <c r="Z1582" s="294"/>
      <c r="AA1582" s="301"/>
      <c r="AB1582" s="301"/>
      <c r="AC1582" s="322"/>
      <c r="AD1582" s="322"/>
      <c r="AE1582" s="322"/>
      <c r="AF1582" s="439"/>
      <c r="AG1582" s="552"/>
      <c r="AH1582" s="322"/>
      <c r="AI1582" s="322"/>
      <c r="AJ1582" s="322"/>
      <c r="AK1582" s="161"/>
      <c r="AL1582" s="161"/>
      <c r="AM1582" s="290"/>
      <c r="AN1582" s="161"/>
      <c r="AO1582" s="163"/>
      <c r="AP1582" s="163"/>
      <c r="AQ1582" s="163"/>
      <c r="AR1582" s="163"/>
      <c r="AS1582" s="163"/>
      <c r="AT1582" s="158"/>
      <c r="AU1582" s="158"/>
      <c r="AV1582" s="290"/>
      <c r="AW1582" s="290"/>
      <c r="AX1582" s="161"/>
      <c r="AY1582" s="163"/>
      <c r="AZ1582" s="163"/>
      <c r="BA1582" s="163"/>
      <c r="BB1582" s="163"/>
      <c r="BC1582" s="158"/>
      <c r="BD1582" s="158"/>
      <c r="BE1582" s="158"/>
      <c r="BF1582" s="294"/>
      <c r="BG1582" s="297"/>
      <c r="BH1582" s="297"/>
      <c r="BI1582" s="322"/>
      <c r="BJ1582" s="322"/>
      <c r="BK1582" s="322"/>
      <c r="BL1582" s="555"/>
      <c r="BM1582" s="51"/>
    </row>
    <row r="1583" spans="1:65">
      <c r="A1583" s="552"/>
      <c r="B1583" s="322"/>
      <c r="C1583" s="322"/>
      <c r="D1583" s="322"/>
      <c r="E1583" s="293"/>
      <c r="F1583" s="293"/>
      <c r="G1583" s="290"/>
      <c r="H1583" s="161"/>
      <c r="I1583" s="163"/>
      <c r="J1583" s="163"/>
      <c r="K1583" s="158"/>
      <c r="L1583" s="158"/>
      <c r="M1583" s="158"/>
      <c r="N1583" s="158"/>
      <c r="O1583" s="158"/>
      <c r="P1583" s="290"/>
      <c r="Q1583" s="290"/>
      <c r="R1583" s="161"/>
      <c r="S1583" s="163"/>
      <c r="T1583" s="163"/>
      <c r="U1583" s="158"/>
      <c r="V1583" s="158"/>
      <c r="W1583" s="158"/>
      <c r="X1583" s="158"/>
      <c r="Y1583" s="158"/>
      <c r="Z1583" s="294"/>
      <c r="AA1583" s="301"/>
      <c r="AB1583" s="301"/>
      <c r="AC1583" s="322"/>
      <c r="AD1583" s="322"/>
      <c r="AE1583" s="322"/>
      <c r="AF1583" s="439"/>
      <c r="AG1583" s="552"/>
      <c r="AH1583" s="322"/>
      <c r="AI1583" s="322"/>
      <c r="AJ1583" s="322"/>
      <c r="AK1583" s="161"/>
      <c r="AL1583" s="161"/>
      <c r="AM1583" s="290"/>
      <c r="AN1583" s="161"/>
      <c r="AO1583" s="163"/>
      <c r="AP1583" s="163"/>
      <c r="AQ1583" s="163"/>
      <c r="AR1583" s="163"/>
      <c r="AS1583" s="158"/>
      <c r="AT1583" s="158"/>
      <c r="AU1583" s="158"/>
      <c r="AV1583" s="290"/>
      <c r="AW1583" s="290"/>
      <c r="AX1583" s="161"/>
      <c r="AY1583" s="163"/>
      <c r="AZ1583" s="163"/>
      <c r="BA1583" s="163"/>
      <c r="BB1583" s="163"/>
      <c r="BC1583" s="158"/>
      <c r="BD1583" s="158"/>
      <c r="BE1583" s="158"/>
      <c r="BF1583" s="294"/>
      <c r="BG1583" s="297"/>
      <c r="BH1583" s="297"/>
      <c r="BI1583" s="322"/>
      <c r="BJ1583" s="322"/>
      <c r="BK1583" s="322"/>
      <c r="BL1583" s="555"/>
      <c r="BM1583" s="51"/>
    </row>
    <row r="1584" spans="1:65">
      <c r="A1584" s="553"/>
      <c r="B1584" s="411"/>
      <c r="C1584" s="411"/>
      <c r="D1584" s="411"/>
      <c r="E1584" s="293"/>
      <c r="F1584" s="293"/>
      <c r="G1584" s="290"/>
      <c r="H1584" s="161"/>
      <c r="I1584" s="163"/>
      <c r="J1584" s="158"/>
      <c r="K1584" s="158"/>
      <c r="L1584" s="158"/>
      <c r="M1584" s="158"/>
      <c r="N1584" s="158"/>
      <c r="O1584" s="158"/>
      <c r="P1584" s="290"/>
      <c r="Q1584" s="290"/>
      <c r="R1584" s="161"/>
      <c r="S1584" s="163"/>
      <c r="T1584" s="158"/>
      <c r="U1584" s="158"/>
      <c r="V1584" s="158"/>
      <c r="W1584" s="158"/>
      <c r="X1584" s="158"/>
      <c r="Y1584" s="158"/>
      <c r="Z1584" s="294"/>
      <c r="AA1584" s="301"/>
      <c r="AB1584" s="301"/>
      <c r="AC1584" s="411"/>
      <c r="AD1584" s="411"/>
      <c r="AE1584" s="411"/>
      <c r="AF1584" s="555"/>
      <c r="AG1584" s="553"/>
      <c r="AH1584" s="439"/>
      <c r="AI1584" s="439"/>
      <c r="AJ1584" s="439"/>
      <c r="AK1584" s="161"/>
      <c r="AL1584" s="161"/>
      <c r="AM1584" s="290"/>
      <c r="AN1584" s="161"/>
      <c r="AO1584" s="163"/>
      <c r="AP1584" s="163"/>
      <c r="AQ1584" s="163"/>
      <c r="AR1584" s="158"/>
      <c r="AS1584" s="158"/>
      <c r="AT1584" s="158"/>
      <c r="AU1584" s="158"/>
      <c r="AV1584" s="290"/>
      <c r="AW1584" s="290"/>
      <c r="AX1584" s="161"/>
      <c r="AY1584" s="163"/>
      <c r="AZ1584" s="163"/>
      <c r="BA1584" s="163"/>
      <c r="BB1584" s="158"/>
      <c r="BC1584" s="158"/>
      <c r="BD1584" s="158"/>
      <c r="BE1584" s="158"/>
      <c r="BF1584" s="294"/>
      <c r="BG1584" s="297"/>
      <c r="BH1584" s="297"/>
      <c r="BI1584" s="439"/>
      <c r="BJ1584" s="439"/>
      <c r="BK1584" s="439"/>
      <c r="BL1584" s="555"/>
      <c r="BM1584" s="51"/>
    </row>
    <row r="1585" spans="1:99">
      <c r="A1585" s="552"/>
      <c r="B1585" s="552"/>
      <c r="C1585" s="552"/>
      <c r="D1585" s="552"/>
      <c r="E1585" s="293"/>
      <c r="F1585" s="293"/>
      <c r="G1585" s="290"/>
      <c r="H1585" s="161"/>
      <c r="I1585" s="163"/>
      <c r="J1585" s="158"/>
      <c r="K1585" s="158"/>
      <c r="L1585" s="158"/>
      <c r="M1585" s="158"/>
      <c r="N1585" s="158"/>
      <c r="O1585" s="158"/>
      <c r="P1585" s="290"/>
      <c r="Q1585" s="294"/>
      <c r="R1585" s="161"/>
      <c r="S1585" s="163"/>
      <c r="T1585" s="158"/>
      <c r="U1585" s="158"/>
      <c r="V1585" s="158"/>
      <c r="W1585" s="158"/>
      <c r="X1585" s="158"/>
      <c r="Y1585" s="158"/>
      <c r="Z1585" s="294"/>
      <c r="AA1585" s="301"/>
      <c r="AB1585" s="301"/>
      <c r="AC1585" s="552"/>
      <c r="AD1585" s="552"/>
      <c r="AE1585" s="552"/>
      <c r="AF1585" s="557"/>
      <c r="AG1585" s="552"/>
      <c r="AH1585" s="452"/>
      <c r="AI1585" s="452"/>
      <c r="AJ1585" s="452"/>
      <c r="AK1585" s="161"/>
      <c r="AL1585" s="161"/>
      <c r="AM1585" s="290"/>
      <c r="AN1585" s="161"/>
      <c r="AO1585" s="163"/>
      <c r="AP1585" s="163"/>
      <c r="AQ1585" s="158"/>
      <c r="AR1585" s="158"/>
      <c r="AS1585" s="158"/>
      <c r="AT1585" s="158"/>
      <c r="AU1585" s="158"/>
      <c r="AV1585" s="290"/>
      <c r="AW1585" s="290"/>
      <c r="AX1585" s="161"/>
      <c r="AY1585" s="163"/>
      <c r="AZ1585" s="163"/>
      <c r="BA1585" s="163"/>
      <c r="BB1585" s="158"/>
      <c r="BC1585" s="158"/>
      <c r="BD1585" s="158"/>
      <c r="BE1585" s="158"/>
      <c r="BF1585" s="294"/>
      <c r="BG1585" s="297"/>
      <c r="BH1585" s="297"/>
      <c r="BI1585" s="452"/>
      <c r="BJ1585" s="452"/>
      <c r="BK1585" s="452"/>
      <c r="BL1585" s="557"/>
      <c r="BM1585" s="51"/>
    </row>
    <row r="1586" spans="1:99">
      <c r="A1586" s="552"/>
      <c r="B1586" s="322"/>
      <c r="C1586" s="322"/>
      <c r="D1586" s="322"/>
      <c r="E1586" s="293"/>
      <c r="F1586" s="293"/>
      <c r="G1586" s="290"/>
      <c r="H1586" s="161"/>
      <c r="I1586" s="163"/>
      <c r="J1586" s="158"/>
      <c r="K1586" s="158"/>
      <c r="L1586" s="158"/>
      <c r="M1586" s="158"/>
      <c r="N1586" s="158"/>
      <c r="O1586" s="158"/>
      <c r="P1586" s="290"/>
      <c r="Q1586" s="294"/>
      <c r="R1586" s="161"/>
      <c r="S1586" s="163"/>
      <c r="T1586" s="158"/>
      <c r="U1586" s="158"/>
      <c r="V1586" s="158"/>
      <c r="W1586" s="158"/>
      <c r="X1586" s="158"/>
      <c r="Y1586" s="158"/>
      <c r="Z1586" s="294"/>
      <c r="AA1586" s="301"/>
      <c r="AB1586" s="301"/>
      <c r="AC1586" s="322"/>
      <c r="AD1586" s="322"/>
      <c r="AE1586" s="322"/>
      <c r="AF1586" s="439"/>
      <c r="AG1586" s="552"/>
      <c r="AH1586" s="322"/>
      <c r="AI1586" s="322"/>
      <c r="AJ1586" s="322"/>
      <c r="AK1586" s="161"/>
      <c r="AL1586" s="161"/>
      <c r="AM1586" s="290"/>
      <c r="AN1586" s="161"/>
      <c r="AO1586" s="163"/>
      <c r="AP1586" s="163"/>
      <c r="AQ1586" s="158"/>
      <c r="AR1586" s="158"/>
      <c r="AS1586" s="158"/>
      <c r="AT1586" s="158"/>
      <c r="AU1586" s="158"/>
      <c r="AV1586" s="290"/>
      <c r="AW1586" s="290"/>
      <c r="AX1586" s="161"/>
      <c r="AY1586" s="163"/>
      <c r="AZ1586" s="163"/>
      <c r="BA1586" s="158"/>
      <c r="BB1586" s="158"/>
      <c r="BC1586" s="158"/>
      <c r="BD1586" s="158"/>
      <c r="BE1586" s="158"/>
      <c r="BF1586" s="294"/>
      <c r="BG1586" s="297"/>
      <c r="BH1586" s="297"/>
      <c r="BI1586" s="322"/>
      <c r="BJ1586" s="322"/>
      <c r="BK1586" s="322"/>
      <c r="BL1586" s="555"/>
      <c r="BM1586" s="51"/>
    </row>
    <row r="1587" spans="1:99">
      <c r="A1587" s="552"/>
      <c r="B1587" s="322"/>
      <c r="C1587" s="322"/>
      <c r="D1587" s="322"/>
      <c r="E1587" s="293"/>
      <c r="F1587" s="293"/>
      <c r="G1587" s="290"/>
      <c r="H1587" s="161"/>
      <c r="I1587" s="158"/>
      <c r="J1587" s="158"/>
      <c r="K1587" s="158"/>
      <c r="L1587" s="158"/>
      <c r="M1587" s="158"/>
      <c r="N1587" s="158"/>
      <c r="O1587" s="158"/>
      <c r="P1587" s="290"/>
      <c r="Q1587" s="294"/>
      <c r="R1587" s="161"/>
      <c r="S1587" s="158"/>
      <c r="T1587" s="158"/>
      <c r="U1587" s="158"/>
      <c r="V1587" s="158"/>
      <c r="W1587" s="158"/>
      <c r="X1587" s="158"/>
      <c r="Y1587" s="158"/>
      <c r="Z1587" s="294"/>
      <c r="AA1587" s="301"/>
      <c r="AB1587" s="301"/>
      <c r="AC1587" s="322"/>
      <c r="AD1587" s="322"/>
      <c r="AE1587" s="322"/>
      <c r="AF1587" s="439"/>
      <c r="AG1587" s="552"/>
      <c r="AH1587" s="322"/>
      <c r="AI1587" s="322"/>
      <c r="AJ1587" s="322"/>
      <c r="AK1587" s="161"/>
      <c r="AL1587" s="161"/>
      <c r="AM1587" s="290"/>
      <c r="AN1587" s="161"/>
      <c r="AO1587" s="163"/>
      <c r="AP1587" s="158"/>
      <c r="AQ1587" s="158"/>
      <c r="AR1587" s="158"/>
      <c r="AS1587" s="158"/>
      <c r="AT1587" s="158"/>
      <c r="AU1587" s="158"/>
      <c r="AV1587" s="290"/>
      <c r="AW1587" s="290"/>
      <c r="AX1587" s="161"/>
      <c r="AY1587" s="163"/>
      <c r="AZ1587" s="163"/>
      <c r="BA1587" s="158"/>
      <c r="BB1587" s="158"/>
      <c r="BC1587" s="158"/>
      <c r="BD1587" s="158"/>
      <c r="BE1587" s="158"/>
      <c r="BF1587" s="294"/>
      <c r="BG1587" s="297"/>
      <c r="BH1587" s="297"/>
      <c r="BI1587" s="322"/>
      <c r="BJ1587" s="322"/>
      <c r="BK1587" s="322"/>
      <c r="BL1587" s="555"/>
      <c r="BM1587" s="51"/>
    </row>
    <row r="1588" spans="1:99">
      <c r="AG1588" s="552"/>
      <c r="AH1588" s="322"/>
      <c r="AI1588" s="322"/>
      <c r="AJ1588" s="322"/>
      <c r="AK1588" s="161"/>
      <c r="AL1588" s="161"/>
      <c r="AM1588" s="290"/>
      <c r="AN1588" s="161"/>
      <c r="AO1588" s="163"/>
      <c r="AP1588" s="158"/>
      <c r="AQ1588" s="158"/>
      <c r="AR1588" s="158"/>
      <c r="AS1588" s="158"/>
      <c r="AT1588" s="158"/>
      <c r="AU1588" s="158"/>
      <c r="AV1588" s="290"/>
      <c r="AW1588" s="290"/>
      <c r="AX1588" s="161"/>
      <c r="AY1588" s="163"/>
      <c r="AZ1588" s="158"/>
      <c r="BA1588" s="158"/>
      <c r="BB1588" s="158"/>
      <c r="BC1588" s="158"/>
      <c r="BD1588" s="158"/>
      <c r="BE1588" s="158"/>
      <c r="BF1588" s="294"/>
      <c r="BG1588" s="297"/>
      <c r="BH1588" s="297"/>
      <c r="BI1588" s="322"/>
      <c r="BJ1588" s="322"/>
      <c r="BK1588" s="322"/>
      <c r="BL1588" s="555"/>
      <c r="BM1588" s="51"/>
      <c r="CT1588">
        <v>19</v>
      </c>
    </row>
    <row r="1589" spans="1:99">
      <c r="AG1589" s="552"/>
      <c r="AH1589" s="322"/>
      <c r="AI1589" s="322"/>
      <c r="AJ1589" s="322"/>
      <c r="AK1589" s="161"/>
      <c r="AL1589" s="161"/>
      <c r="AM1589" s="290"/>
      <c r="AN1589" s="161"/>
      <c r="AO1589" s="163"/>
      <c r="AP1589" s="158"/>
      <c r="AQ1589" s="158"/>
      <c r="AR1589" s="158"/>
      <c r="AS1589" s="158"/>
      <c r="AT1589" s="158"/>
      <c r="AU1589" s="158"/>
      <c r="AV1589" s="290"/>
      <c r="AW1589" s="290"/>
      <c r="AX1589" s="161"/>
      <c r="AY1589" s="163"/>
      <c r="AZ1589" s="158"/>
      <c r="BA1589" s="158"/>
      <c r="BB1589" s="158"/>
      <c r="BC1589" s="158"/>
      <c r="BD1589" s="158"/>
      <c r="BE1589" s="158"/>
      <c r="BF1589" s="294"/>
      <c r="BG1589" s="297"/>
      <c r="BH1589" s="297"/>
      <c r="BI1589" s="322"/>
      <c r="BJ1589" s="322"/>
      <c r="BK1589" s="322"/>
      <c r="BL1589" s="555"/>
      <c r="BM1589" s="51"/>
      <c r="CT1589">
        <v>19</v>
      </c>
    </row>
    <row r="1590" spans="1:99">
      <c r="AG1590" s="552"/>
      <c r="AH1590" s="322"/>
      <c r="AI1590" s="322"/>
      <c r="AJ1590" s="322"/>
      <c r="AK1590" s="161"/>
      <c r="AL1590" s="161"/>
      <c r="AM1590" s="290"/>
      <c r="AN1590" s="161"/>
      <c r="AO1590" s="158"/>
      <c r="AP1590" s="158"/>
      <c r="AQ1590" s="158"/>
      <c r="AR1590" s="158"/>
      <c r="AS1590" s="158"/>
      <c r="AT1590" s="158"/>
      <c r="AU1590" s="158"/>
      <c r="AV1590" s="290"/>
      <c r="AW1590" s="294"/>
      <c r="AX1590" s="161"/>
      <c r="AY1590" s="158"/>
      <c r="AZ1590" s="158"/>
      <c r="BA1590" s="158"/>
      <c r="BB1590" s="158"/>
      <c r="BC1590" s="158"/>
      <c r="BD1590" s="158"/>
      <c r="BE1590" s="158"/>
      <c r="BF1590" s="294"/>
      <c r="BG1590" s="297"/>
      <c r="BH1590" s="297"/>
      <c r="BI1590" s="322"/>
      <c r="BJ1590" s="322"/>
      <c r="BK1590" s="322"/>
      <c r="BL1590" s="555"/>
      <c r="BM1590" s="51"/>
      <c r="CT1590">
        <v>19</v>
      </c>
    </row>
    <row r="1591" spans="1:99">
      <c r="BM1591" s="52"/>
      <c r="CT1591">
        <v>19</v>
      </c>
      <c r="CU1591">
        <v>22</v>
      </c>
    </row>
    <row r="1592" spans="1:99">
      <c r="BM1592" s="52"/>
      <c r="CT1592">
        <v>19</v>
      </c>
      <c r="CU1592">
        <v>22</v>
      </c>
    </row>
    <row r="1593" spans="1:99">
      <c r="A1593" s="552"/>
      <c r="B1593" s="322"/>
      <c r="C1593" s="322"/>
      <c r="D1593" s="322"/>
      <c r="E1593" s="293"/>
      <c r="F1593" s="293"/>
      <c r="G1593" s="290"/>
      <c r="H1593" s="290"/>
      <c r="I1593" s="290"/>
      <c r="J1593" s="290"/>
      <c r="K1593" s="290"/>
      <c r="L1593" s="290"/>
      <c r="M1593" s="294"/>
      <c r="N1593" s="294"/>
      <c r="O1593" s="294"/>
      <c r="P1593" s="290"/>
      <c r="Q1593" s="290"/>
      <c r="R1593" s="290"/>
      <c r="S1593" s="294"/>
      <c r="T1593" s="294"/>
      <c r="U1593" s="294"/>
      <c r="V1593" s="294"/>
      <c r="W1593" s="294"/>
      <c r="X1593" s="294"/>
      <c r="Y1593" s="294"/>
      <c r="Z1593" s="290"/>
      <c r="AA1593" s="301"/>
      <c r="AB1593" s="301"/>
      <c r="AC1593" s="322"/>
      <c r="AD1593" s="322"/>
      <c r="AE1593" s="322"/>
      <c r="AF1593" s="439"/>
      <c r="AG1593" s="552"/>
      <c r="AH1593" s="322"/>
      <c r="AI1593" s="322"/>
      <c r="AJ1593" s="322"/>
      <c r="AK1593" s="161"/>
      <c r="AL1593" s="161"/>
      <c r="AM1593" s="290"/>
      <c r="AN1593" s="290"/>
      <c r="AO1593" s="290"/>
      <c r="AP1593" s="290"/>
      <c r="AQ1593" s="290"/>
      <c r="AR1593" s="290"/>
      <c r="AS1593" s="290"/>
      <c r="AT1593" s="290"/>
      <c r="AU1593" s="290"/>
      <c r="AV1593" s="290"/>
      <c r="AW1593" s="290"/>
      <c r="AX1593" s="290"/>
      <c r="AY1593" s="290"/>
      <c r="AZ1593" s="290"/>
      <c r="BA1593" s="294"/>
      <c r="BB1593" s="294"/>
      <c r="BC1593" s="294"/>
      <c r="BD1593" s="294"/>
      <c r="BE1593" s="294"/>
      <c r="BF1593" s="290"/>
      <c r="BG1593" s="297"/>
      <c r="BH1593" s="297"/>
      <c r="BI1593" s="322"/>
      <c r="BJ1593" s="322"/>
      <c r="BK1593" s="322"/>
      <c r="BL1593" s="555"/>
      <c r="BM1593" s="52"/>
    </row>
    <row r="1594" spans="1:99">
      <c r="A1594" s="552"/>
      <c r="B1594" s="322"/>
      <c r="C1594" s="322"/>
      <c r="D1594" s="322"/>
      <c r="E1594" s="293"/>
      <c r="F1594" s="301"/>
      <c r="G1594" s="301"/>
      <c r="H1594" s="301"/>
      <c r="I1594" s="301"/>
      <c r="J1594" s="301"/>
      <c r="K1594" s="301"/>
      <c r="L1594" s="301"/>
      <c r="M1594" s="301"/>
      <c r="N1594" s="301"/>
      <c r="O1594" s="301"/>
      <c r="P1594" s="301"/>
      <c r="Q1594" s="301"/>
      <c r="R1594" s="301"/>
      <c r="S1594" s="301"/>
      <c r="T1594" s="301"/>
      <c r="U1594" s="301"/>
      <c r="V1594" s="301"/>
      <c r="W1594" s="301"/>
      <c r="X1594" s="301"/>
      <c r="Y1594" s="301"/>
      <c r="Z1594" s="301"/>
      <c r="AA1594" s="297"/>
      <c r="AB1594" s="301"/>
      <c r="AC1594" s="322"/>
      <c r="AD1594" s="322"/>
      <c r="AE1594" s="322"/>
      <c r="AF1594" s="439"/>
      <c r="AG1594" s="552"/>
      <c r="AH1594" s="322"/>
      <c r="AI1594" s="322"/>
      <c r="AJ1594" s="322"/>
      <c r="AK1594" s="161"/>
      <c r="AL1594" s="555"/>
      <c r="AM1594" s="297"/>
      <c r="AN1594" s="297"/>
      <c r="AO1594" s="297"/>
      <c r="AP1594" s="297"/>
      <c r="AQ1594" s="297"/>
      <c r="AR1594" s="297"/>
      <c r="AS1594" s="297"/>
      <c r="AT1594" s="297"/>
      <c r="AU1594" s="297"/>
      <c r="AV1594" s="297"/>
      <c r="AW1594" s="297"/>
      <c r="AX1594" s="297"/>
      <c r="AY1594" s="297"/>
      <c r="AZ1594" s="297"/>
      <c r="BA1594" s="297"/>
      <c r="BB1594" s="297"/>
      <c r="BC1594" s="297"/>
      <c r="BD1594" s="297"/>
      <c r="BE1594" s="297"/>
      <c r="BF1594" s="297"/>
      <c r="BG1594" s="297"/>
      <c r="BH1594" s="555"/>
      <c r="BI1594" s="322"/>
      <c r="BJ1594" s="322"/>
      <c r="BK1594" s="322"/>
      <c r="BL1594" s="555"/>
      <c r="BM1594" s="52"/>
    </row>
    <row r="1595" spans="1:99">
      <c r="A1595" s="552"/>
      <c r="B1595" s="322"/>
      <c r="C1595" s="322"/>
      <c r="D1595" s="322"/>
      <c r="E1595" s="322"/>
      <c r="F1595" s="322"/>
      <c r="G1595" s="322"/>
      <c r="H1595" s="322"/>
      <c r="I1595" s="322"/>
      <c r="J1595" s="322"/>
      <c r="K1595" s="322"/>
      <c r="L1595" s="322"/>
      <c r="M1595" s="322"/>
      <c r="N1595" s="322"/>
      <c r="O1595" s="322"/>
      <c r="P1595" s="322"/>
      <c r="Q1595" s="322"/>
      <c r="R1595" s="322"/>
      <c r="S1595" s="322"/>
      <c r="T1595" s="322"/>
      <c r="U1595" s="322"/>
      <c r="V1595" s="322"/>
      <c r="W1595" s="322"/>
      <c r="X1595" s="322"/>
      <c r="Y1595" s="322"/>
      <c r="Z1595" s="322"/>
      <c r="AA1595" s="322"/>
      <c r="AB1595" s="322"/>
      <c r="AC1595" s="322"/>
      <c r="AD1595" s="322"/>
      <c r="AE1595" s="322"/>
      <c r="AF1595" s="439"/>
      <c r="AG1595" s="552"/>
      <c r="AH1595" s="322"/>
      <c r="AI1595" s="322"/>
      <c r="AJ1595" s="322"/>
      <c r="AK1595" s="322"/>
      <c r="AL1595" s="322"/>
      <c r="AM1595" s="322"/>
      <c r="AN1595" s="322"/>
      <c r="AO1595" s="322"/>
      <c r="AP1595" s="322"/>
      <c r="AQ1595" s="322"/>
      <c r="AR1595" s="322"/>
      <c r="AS1595" s="322"/>
      <c r="AT1595" s="322"/>
      <c r="AU1595" s="322"/>
      <c r="AV1595" s="322"/>
      <c r="AW1595" s="322"/>
      <c r="AX1595" s="322"/>
      <c r="AY1595" s="322"/>
      <c r="AZ1595" s="322"/>
      <c r="BA1595" s="322"/>
      <c r="BB1595" s="322"/>
      <c r="BC1595" s="322"/>
      <c r="BD1595" s="322"/>
      <c r="BE1595" s="322"/>
      <c r="BF1595" s="322"/>
      <c r="BG1595" s="322"/>
      <c r="BH1595" s="322"/>
      <c r="BI1595" s="322"/>
      <c r="BJ1595" s="322"/>
      <c r="BK1595" s="322"/>
      <c r="BL1595" s="555"/>
      <c r="BM1595" s="52"/>
    </row>
    <row r="1596" spans="1:99">
      <c r="A1596" s="552"/>
      <c r="B1596" s="322"/>
      <c r="C1596" s="322"/>
      <c r="D1596" s="322"/>
      <c r="E1596" s="322"/>
      <c r="F1596" s="322"/>
      <c r="G1596" s="322"/>
      <c r="H1596" s="322"/>
      <c r="I1596" s="322"/>
      <c r="J1596" s="322"/>
      <c r="K1596" s="322"/>
      <c r="L1596" s="322"/>
      <c r="M1596" s="322"/>
      <c r="N1596" s="322"/>
      <c r="O1596" s="322"/>
      <c r="P1596" s="322"/>
      <c r="Q1596" s="322"/>
      <c r="R1596" s="322"/>
      <c r="S1596" s="322"/>
      <c r="T1596" s="322"/>
      <c r="U1596" s="322"/>
      <c r="V1596" s="322"/>
      <c r="W1596" s="411"/>
      <c r="X1596" s="322"/>
      <c r="Y1596" s="322"/>
      <c r="Z1596" s="322"/>
      <c r="AA1596" s="322"/>
      <c r="AB1596" s="322"/>
      <c r="AC1596" s="322"/>
      <c r="AD1596" s="322"/>
      <c r="AE1596" s="322"/>
      <c r="AF1596" s="439"/>
      <c r="AG1596" s="552"/>
      <c r="AH1596" s="322"/>
      <c r="AI1596" s="322"/>
      <c r="AJ1596" s="322"/>
      <c r="AK1596" s="322"/>
      <c r="AL1596" s="322"/>
      <c r="AM1596" s="322"/>
      <c r="AN1596" s="322"/>
      <c r="AO1596" s="322"/>
      <c r="AP1596" s="322"/>
      <c r="AQ1596" s="322"/>
      <c r="AR1596" s="322"/>
      <c r="AS1596" s="322"/>
      <c r="AT1596" s="322"/>
      <c r="AU1596" s="322"/>
      <c r="AV1596" s="322"/>
      <c r="AW1596" s="322"/>
      <c r="AX1596" s="322"/>
      <c r="AY1596" s="322"/>
      <c r="AZ1596" s="322"/>
      <c r="BA1596" s="322"/>
      <c r="BB1596" s="322"/>
      <c r="BC1596" s="322"/>
      <c r="BD1596" s="322"/>
      <c r="BE1596" s="322"/>
      <c r="BF1596" s="452"/>
      <c r="BG1596" s="322"/>
      <c r="BH1596" s="322"/>
      <c r="BI1596" s="322"/>
      <c r="BJ1596" s="322"/>
      <c r="BK1596" s="322"/>
      <c r="BL1596" s="555"/>
      <c r="BM1596" s="52"/>
    </row>
    <row r="1597" spans="1:99">
      <c r="A1597" s="552"/>
      <c r="B1597" s="322"/>
      <c r="C1597" s="322"/>
      <c r="D1597" s="322"/>
      <c r="E1597" s="322"/>
      <c r="F1597" s="322"/>
      <c r="G1597" s="322"/>
      <c r="H1597" s="322"/>
      <c r="I1597" s="322"/>
      <c r="J1597" s="322"/>
      <c r="K1597" s="322"/>
      <c r="L1597" s="322"/>
      <c r="M1597" s="322"/>
      <c r="N1597" s="322"/>
      <c r="O1597" s="322"/>
      <c r="P1597" s="322"/>
      <c r="Q1597" s="322"/>
      <c r="R1597" s="322"/>
      <c r="S1597" s="322"/>
      <c r="T1597" s="322"/>
      <c r="U1597" s="322"/>
      <c r="V1597" s="322"/>
      <c r="W1597" s="322"/>
      <c r="X1597" s="322"/>
      <c r="Y1597" s="322"/>
      <c r="Z1597" s="322"/>
      <c r="AA1597" s="322"/>
      <c r="AB1597" s="322"/>
      <c r="AC1597" s="322"/>
      <c r="AD1597" s="322"/>
      <c r="AE1597" s="322"/>
      <c r="AF1597" s="439"/>
      <c r="AG1597" s="552"/>
      <c r="AH1597" s="322"/>
      <c r="AI1597" s="322"/>
      <c r="AJ1597" s="439"/>
      <c r="AK1597" s="322"/>
      <c r="AL1597" s="322"/>
      <c r="AM1597" s="322"/>
      <c r="AN1597" s="322"/>
      <c r="AO1597" s="322"/>
      <c r="AP1597" s="322"/>
      <c r="AQ1597" s="322"/>
      <c r="AR1597" s="322"/>
      <c r="AS1597" s="322"/>
      <c r="AT1597" s="322"/>
      <c r="AU1597" s="322"/>
      <c r="AV1597" s="322"/>
      <c r="AW1597" s="322"/>
      <c r="AX1597" s="322"/>
      <c r="AY1597" s="322"/>
      <c r="AZ1597" s="322"/>
      <c r="BA1597" s="322"/>
      <c r="BB1597" s="322"/>
      <c r="BC1597" s="322"/>
      <c r="BD1597" s="322"/>
      <c r="BE1597" s="322"/>
      <c r="BF1597" s="322"/>
      <c r="BG1597" s="322"/>
      <c r="BH1597" s="322"/>
      <c r="BI1597" s="322"/>
      <c r="BJ1597" s="322"/>
      <c r="BK1597" s="322"/>
      <c r="BL1597" s="555"/>
      <c r="BM1597" s="52"/>
    </row>
    <row r="1598" spans="1:99">
      <c r="AG1598" s="552"/>
      <c r="AH1598" s="322"/>
      <c r="AI1598" s="322"/>
      <c r="AJ1598" s="322"/>
      <c r="AK1598" s="322"/>
      <c r="AL1598" s="322"/>
      <c r="AM1598" s="322"/>
      <c r="AN1598" s="322"/>
      <c r="AO1598" s="322"/>
      <c r="AP1598" s="322"/>
      <c r="AQ1598" s="322"/>
      <c r="AR1598" s="322"/>
      <c r="AS1598" s="322"/>
      <c r="AT1598" s="322"/>
      <c r="AU1598" s="322"/>
      <c r="AV1598" s="322"/>
      <c r="AW1598" s="322"/>
      <c r="AX1598" s="322"/>
      <c r="AY1598" s="322"/>
      <c r="AZ1598" s="322"/>
      <c r="BA1598" s="322"/>
      <c r="BB1598" s="322"/>
      <c r="BC1598" s="322"/>
      <c r="BD1598" s="322"/>
      <c r="BE1598" s="322"/>
      <c r="BF1598" s="322"/>
      <c r="BG1598" s="322"/>
      <c r="BH1598" s="322"/>
      <c r="BI1598" s="322"/>
      <c r="BJ1598" s="322"/>
      <c r="BK1598" s="322"/>
      <c r="BL1598" s="555"/>
      <c r="BM1598" s="52"/>
      <c r="CT1598">
        <v>29</v>
      </c>
    </row>
    <row r="1599" spans="1:99">
      <c r="BM1599" s="52"/>
      <c r="CT1599">
        <v>29</v>
      </c>
      <c r="CU1599">
        <v>30</v>
      </c>
    </row>
    <row r="1600" spans="1:99">
      <c r="A1600" s="560"/>
      <c r="B1600" s="580"/>
      <c r="C1600" s="580"/>
      <c r="D1600" s="580"/>
      <c r="E1600" s="580"/>
      <c r="F1600" s="580"/>
      <c r="G1600" s="580"/>
      <c r="H1600" s="580"/>
      <c r="I1600" s="580"/>
      <c r="J1600" s="580"/>
      <c r="K1600" s="580"/>
      <c r="L1600" s="580"/>
      <c r="M1600" s="580"/>
      <c r="N1600" s="580"/>
      <c r="O1600" s="580"/>
      <c r="P1600" s="580"/>
      <c r="Q1600" s="580"/>
      <c r="R1600" s="580"/>
      <c r="S1600" s="580"/>
      <c r="T1600" s="580"/>
      <c r="U1600" s="580"/>
      <c r="V1600" s="580"/>
      <c r="W1600" s="580"/>
      <c r="X1600" s="580"/>
      <c r="Y1600" s="580"/>
      <c r="Z1600" s="580"/>
      <c r="AA1600" s="580"/>
      <c r="AB1600" s="580"/>
      <c r="AC1600" s="580"/>
      <c r="AD1600" s="580"/>
      <c r="AE1600" s="580"/>
      <c r="AF1600" s="561"/>
      <c r="AG1600" s="560"/>
      <c r="AH1600" s="561"/>
      <c r="AI1600" s="561"/>
      <c r="AJ1600" s="561"/>
      <c r="AK1600" s="561"/>
      <c r="AL1600" s="561"/>
      <c r="AM1600" s="561"/>
      <c r="AN1600" s="561"/>
      <c r="AO1600" s="561"/>
      <c r="AP1600" s="561"/>
      <c r="AQ1600" s="561"/>
      <c r="AR1600" s="561"/>
      <c r="AS1600" s="561"/>
      <c r="AT1600" s="561"/>
      <c r="AU1600" s="561"/>
      <c r="AV1600" s="561"/>
      <c r="AW1600" s="561"/>
      <c r="AX1600" s="561"/>
      <c r="AY1600" s="561"/>
      <c r="AZ1600" s="561"/>
      <c r="BA1600" s="561"/>
      <c r="BB1600" s="561"/>
      <c r="BC1600" s="561"/>
      <c r="BD1600" s="561"/>
      <c r="BE1600" s="561"/>
      <c r="BF1600" s="561"/>
      <c r="BG1600" s="561"/>
      <c r="BH1600" s="561"/>
      <c r="BI1600" s="561"/>
      <c r="BJ1600" s="561"/>
      <c r="BK1600" s="561"/>
      <c r="BL1600" s="561"/>
      <c r="BM1600" s="74"/>
    </row>
    <row r="1601" spans="1:97">
      <c r="A1601" s="1233"/>
      <c r="B1601" s="1234"/>
      <c r="C1601" s="1234"/>
      <c r="D1601" s="1234"/>
      <c r="E1601" s="295"/>
      <c r="F1601" s="299"/>
      <c r="G1601" s="299"/>
      <c r="H1601" s="299"/>
      <c r="I1601" s="299"/>
      <c r="J1601" s="302"/>
      <c r="K1601" s="302"/>
      <c r="L1601" s="302"/>
      <c r="M1601" s="302"/>
      <c r="N1601" s="304"/>
      <c r="O1601" s="302"/>
      <c r="P1601" s="299"/>
      <c r="Q1601" s="299"/>
      <c r="R1601" s="299"/>
      <c r="S1601" s="299"/>
      <c r="T1601" s="299"/>
      <c r="U1601" s="295"/>
      <c r="V1601" s="295"/>
      <c r="W1601" s="1234"/>
      <c r="X1601" s="1234"/>
      <c r="Y1601" s="1234"/>
      <c r="Z1601" s="295"/>
      <c r="AA1601" s="299"/>
      <c r="AB1601" s="302"/>
      <c r="AC1601" s="299"/>
      <c r="AD1601" s="295"/>
      <c r="AE1601" s="193"/>
      <c r="AF1601" s="1235"/>
      <c r="AG1601" s="1233"/>
      <c r="AH1601" s="1234"/>
      <c r="AI1601" s="1234"/>
      <c r="AJ1601" s="1234"/>
      <c r="AK1601" s="295"/>
      <c r="AL1601" s="299"/>
      <c r="AM1601" s="299"/>
      <c r="AN1601" s="299"/>
      <c r="AO1601" s="299"/>
      <c r="AP1601" s="302"/>
      <c r="AQ1601" s="302"/>
      <c r="AR1601" s="302"/>
      <c r="AS1601" s="302"/>
      <c r="AT1601" s="302"/>
      <c r="AU1601" s="299"/>
      <c r="AV1601" s="299"/>
      <c r="AW1601" s="299"/>
      <c r="AX1601" s="299"/>
      <c r="AY1601" s="299"/>
      <c r="AZ1601" s="299"/>
      <c r="BA1601" s="295"/>
      <c r="BB1601" s="295"/>
      <c r="BC1601" s="1234"/>
      <c r="BD1601" s="1234"/>
      <c r="BE1601" s="1234"/>
      <c r="BF1601" s="295"/>
      <c r="BG1601" s="299"/>
      <c r="BH1601" s="302"/>
      <c r="BI1601" s="299"/>
      <c r="BJ1601" s="295"/>
      <c r="BK1601" s="193"/>
      <c r="BL1601" s="1235"/>
      <c r="BM1601" s="294">
        <v>51</v>
      </c>
      <c r="BO1601" s="295"/>
      <c r="BP1601" s="299"/>
      <c r="BQ1601" s="299"/>
      <c r="BR1601" s="299"/>
      <c r="BS1601" s="299"/>
      <c r="BT1601" s="295"/>
      <c r="BU1601" s="295"/>
      <c r="BV1601" s="295"/>
      <c r="BW1601" s="295"/>
      <c r="CA1601" s="294"/>
      <c r="CB1601" s="294"/>
      <c r="CC1601" s="298"/>
      <c r="CD1601" s="294"/>
      <c r="CJ1601" s="295"/>
      <c r="CK1601" s="295"/>
      <c r="CL1601" s="295"/>
    </row>
    <row r="1602" spans="1:97">
      <c r="A1602" s="193"/>
      <c r="B1602" s="328"/>
      <c r="C1602" s="328"/>
      <c r="D1602" s="295"/>
      <c r="E1602" s="299"/>
      <c r="F1602" s="304"/>
      <c r="G1602" s="302"/>
      <c r="H1602" s="302"/>
      <c r="I1602" s="302"/>
      <c r="J1602" s="299"/>
      <c r="K1602" s="299"/>
      <c r="L1602" s="299"/>
      <c r="M1602" s="299"/>
      <c r="N1602" s="299"/>
      <c r="O1602" s="302"/>
      <c r="P1602" s="302"/>
      <c r="Q1602" s="302"/>
      <c r="R1602" s="302"/>
      <c r="S1602" s="302"/>
      <c r="T1602" s="302"/>
      <c r="U1602" s="302"/>
      <c r="V1602" s="299"/>
      <c r="W1602" s="295"/>
      <c r="X1602" s="295"/>
      <c r="Y1602" s="299"/>
      <c r="Z1602" s="299"/>
      <c r="AA1602" s="302"/>
      <c r="AB1602" s="299"/>
      <c r="AC1602" s="295"/>
      <c r="AD1602" s="193"/>
      <c r="AE1602" s="328"/>
      <c r="AF1602" s="295"/>
      <c r="AG1602" s="193"/>
      <c r="AH1602" s="328"/>
      <c r="AI1602" s="328"/>
      <c r="AJ1602" s="295"/>
      <c r="AK1602" s="299"/>
      <c r="AL1602" s="302"/>
      <c r="AM1602" s="302"/>
      <c r="AN1602" s="302"/>
      <c r="AO1602" s="302"/>
      <c r="AP1602" s="299"/>
      <c r="AQ1602" s="299"/>
      <c r="AR1602" s="299"/>
      <c r="AS1602" s="299"/>
      <c r="AT1602" s="299"/>
      <c r="AU1602" s="302"/>
      <c r="AV1602" s="302"/>
      <c r="AW1602" s="302"/>
      <c r="AX1602" s="302"/>
      <c r="AY1602" s="302"/>
      <c r="AZ1602" s="302"/>
      <c r="BA1602" s="302"/>
      <c r="BB1602" s="299"/>
      <c r="BC1602" s="295"/>
      <c r="BD1602" s="295"/>
      <c r="BE1602" s="299"/>
      <c r="BF1602" s="299"/>
      <c r="BG1602" s="302"/>
      <c r="BH1602" s="299"/>
      <c r="BI1602" s="295"/>
      <c r="BJ1602" s="193"/>
      <c r="BK1602" s="328"/>
      <c r="BL1602" s="295"/>
      <c r="BM1602" s="290"/>
      <c r="BN1602" s="295"/>
      <c r="BO1602" s="299"/>
      <c r="BP1602" s="302"/>
      <c r="BQ1602" s="302"/>
      <c r="BR1602" s="302"/>
      <c r="BS1602" s="302"/>
      <c r="BT1602" s="302"/>
      <c r="BU1602" s="299"/>
      <c r="BV1602" s="299"/>
      <c r="BW1602" s="299"/>
      <c r="BX1602" s="295"/>
      <c r="BY1602" s="295"/>
      <c r="BZ1602" s="294"/>
      <c r="CA1602" s="298"/>
      <c r="CB1602" s="298"/>
      <c r="CC1602" s="294"/>
      <c r="CD1602" s="298"/>
      <c r="CE1602" s="294"/>
      <c r="CH1602" s="295"/>
      <c r="CI1602" s="295"/>
      <c r="CJ1602" s="299"/>
      <c r="CK1602" s="299"/>
      <c r="CL1602" s="299"/>
      <c r="CM1602" s="299"/>
      <c r="CN1602" s="295"/>
    </row>
    <row r="1603" spans="1:97">
      <c r="A1603" s="295"/>
      <c r="B1603" s="328"/>
      <c r="C1603" s="328"/>
      <c r="D1603" s="299"/>
      <c r="E1603" s="304"/>
      <c r="F1603" s="299"/>
      <c r="G1603" s="299"/>
      <c r="H1603" s="299"/>
      <c r="I1603" s="295"/>
      <c r="J1603" s="295"/>
      <c r="K1603" s="193"/>
      <c r="L1603" s="193"/>
      <c r="M1603" s="328"/>
      <c r="N1603" s="295"/>
      <c r="O1603" s="299"/>
      <c r="P1603" s="299"/>
      <c r="Q1603" s="299"/>
      <c r="R1603" s="299"/>
      <c r="S1603" s="299"/>
      <c r="T1603" s="299"/>
      <c r="U1603" s="299"/>
      <c r="V1603" s="302"/>
      <c r="W1603" s="299"/>
      <c r="X1603" s="299"/>
      <c r="Y1603" s="304"/>
      <c r="Z1603" s="302"/>
      <c r="AA1603" s="299"/>
      <c r="AB1603" s="295"/>
      <c r="AC1603" s="193"/>
      <c r="AD1603" s="328"/>
      <c r="AE1603" s="295"/>
      <c r="AF1603" s="299"/>
      <c r="AG1603" s="295"/>
      <c r="AH1603" s="328"/>
      <c r="AI1603" s="328"/>
      <c r="AJ1603" s="299"/>
      <c r="AK1603" s="302"/>
      <c r="AL1603" s="299"/>
      <c r="AM1603" s="299"/>
      <c r="AN1603" s="299"/>
      <c r="AO1603" s="295"/>
      <c r="AP1603" s="295"/>
      <c r="AQ1603" s="193"/>
      <c r="AR1603" s="193"/>
      <c r="AS1603" s="328"/>
      <c r="AT1603" s="295"/>
      <c r="AU1603" s="299"/>
      <c r="AV1603" s="299"/>
      <c r="AW1603" s="299"/>
      <c r="AX1603" s="299"/>
      <c r="AY1603" s="299"/>
      <c r="AZ1603" s="299"/>
      <c r="BA1603" s="299"/>
      <c r="BB1603" s="302"/>
      <c r="BC1603" s="299"/>
      <c r="BD1603" s="299"/>
      <c r="BE1603" s="302"/>
      <c r="BF1603" s="302"/>
      <c r="BG1603" s="299"/>
      <c r="BH1603" s="295"/>
      <c r="BI1603" s="193"/>
      <c r="BJ1603" s="328"/>
      <c r="BK1603" s="295"/>
      <c r="BL1603" s="299"/>
      <c r="BN1603" s="302"/>
      <c r="BO1603" s="302"/>
      <c r="BP1603" s="299"/>
      <c r="BQ1603" s="299"/>
      <c r="BR1603" s="299"/>
      <c r="BS1603" s="299"/>
      <c r="BT1603" s="299"/>
      <c r="BU1603" s="302"/>
      <c r="BV1603" s="302"/>
      <c r="BW1603" s="302"/>
      <c r="BX1603" s="299"/>
      <c r="BY1603" s="295"/>
      <c r="BZ1603" s="295"/>
      <c r="CA1603" s="298"/>
      <c r="CB1603" s="294"/>
      <c r="CD1603" s="294"/>
      <c r="CE1603" s="298"/>
      <c r="CF1603" s="294"/>
      <c r="CG1603" s="295"/>
      <c r="CH1603" s="299"/>
      <c r="CI1603" s="302"/>
      <c r="CJ1603" s="302"/>
      <c r="CK1603" s="302"/>
      <c r="CL1603" s="302"/>
      <c r="CM1603" s="299"/>
      <c r="CN1603" s="299"/>
      <c r="CO1603" s="295"/>
      <c r="CP1603" s="295"/>
      <c r="CQ1603" s="295"/>
      <c r="CR1603" s="295"/>
      <c r="CS1603" s="295"/>
    </row>
    <row r="1604" spans="1:97">
      <c r="A1604" s="299"/>
      <c r="B1604" s="295"/>
      <c r="C1604" s="328"/>
      <c r="D1604" s="299"/>
      <c r="E1604" s="302"/>
      <c r="F1604" s="299"/>
      <c r="G1604" s="295"/>
      <c r="H1604" s="193"/>
      <c r="I1604" s="328"/>
      <c r="J1604" s="328"/>
      <c r="K1604" s="328"/>
      <c r="L1604" s="328"/>
      <c r="M1604" s="299"/>
      <c r="N1604" s="299"/>
      <c r="O1604" s="295"/>
      <c r="P1604" s="295"/>
      <c r="Q1604" s="193"/>
      <c r="R1604" s="193"/>
      <c r="S1604" s="193"/>
      <c r="T1604" s="328"/>
      <c r="U1604" s="295"/>
      <c r="V1604" s="299"/>
      <c r="W1604" s="302"/>
      <c r="X1604" s="302"/>
      <c r="Y1604" s="299"/>
      <c r="Z1604" s="299"/>
      <c r="AA1604" s="295"/>
      <c r="AB1604" s="193"/>
      <c r="AC1604" s="328"/>
      <c r="AD1604" s="295"/>
      <c r="AE1604" s="299"/>
      <c r="AF1604" s="302"/>
      <c r="AG1604" s="299"/>
      <c r="AH1604" s="295"/>
      <c r="AI1604" s="328"/>
      <c r="AJ1604" s="299"/>
      <c r="AK1604" s="302"/>
      <c r="AL1604" s="299"/>
      <c r="AM1604" s="295"/>
      <c r="AN1604" s="193"/>
      <c r="AO1604" s="328"/>
      <c r="AP1604" s="328"/>
      <c r="AQ1604" s="328"/>
      <c r="AR1604" s="328"/>
      <c r="AS1604" s="299"/>
      <c r="AT1604" s="299"/>
      <c r="AU1604" s="295"/>
      <c r="AV1604" s="295"/>
      <c r="AW1604" s="193"/>
      <c r="AX1604" s="193"/>
      <c r="AY1604" s="193"/>
      <c r="AZ1604" s="328"/>
      <c r="BA1604" s="295"/>
      <c r="BB1604" s="299"/>
      <c r="BC1604" s="302"/>
      <c r="BD1604" s="302"/>
      <c r="BE1604" s="299"/>
      <c r="BF1604" s="299"/>
      <c r="BG1604" s="295"/>
      <c r="BH1604" s="193"/>
      <c r="BI1604" s="328"/>
      <c r="BJ1604" s="295"/>
      <c r="BK1604" s="299"/>
      <c r="BL1604" s="302"/>
      <c r="BN1604" s="299"/>
      <c r="BO1604" s="299"/>
      <c r="BP1604" s="295"/>
      <c r="BQ1604" s="295"/>
      <c r="BR1604" s="193"/>
      <c r="BS1604" s="193"/>
      <c r="BT1604" s="295"/>
      <c r="BU1604" s="299"/>
      <c r="BV1604" s="299"/>
      <c r="BW1604" s="299"/>
      <c r="BX1604" s="302"/>
      <c r="BY1604" s="299"/>
      <c r="BZ1604" s="295"/>
      <c r="CA1604" s="295"/>
      <c r="CE1604" s="294"/>
      <c r="CF1604" s="295"/>
      <c r="CG1604" s="299"/>
      <c r="CH1604" s="302"/>
      <c r="CI1604" s="299"/>
      <c r="CJ1604" s="299"/>
      <c r="CK1604" s="299"/>
      <c r="CL1604" s="299"/>
      <c r="CM1604" s="302"/>
      <c r="CN1604" s="302"/>
      <c r="CO1604" s="299"/>
      <c r="CP1604" s="299"/>
      <c r="CQ1604" s="299"/>
      <c r="CR1604" s="299"/>
      <c r="CS1604" s="299"/>
    </row>
    <row r="1605" spans="1:97">
      <c r="A1605" s="302"/>
      <c r="B1605" s="299"/>
      <c r="C1605" s="295"/>
      <c r="D1605" s="328"/>
      <c r="E1605" s="299"/>
      <c r="F1605" s="302"/>
      <c r="G1605" s="299"/>
      <c r="H1605" s="193"/>
      <c r="I1605" s="328"/>
      <c r="J1605" s="328"/>
      <c r="K1605" s="299"/>
      <c r="L1605" s="299"/>
      <c r="M1605" s="304"/>
      <c r="N1605" s="302"/>
      <c r="O1605" s="302"/>
      <c r="P1605" s="299"/>
      <c r="Q1605" s="299"/>
      <c r="R1605" s="328"/>
      <c r="S1605" s="328"/>
      <c r="T1605" s="299"/>
      <c r="U1605" s="304"/>
      <c r="V1605" s="302"/>
      <c r="W1605" s="299"/>
      <c r="X1605" s="299"/>
      <c r="Y1605" s="295"/>
      <c r="Z1605" s="193"/>
      <c r="AA1605" s="193"/>
      <c r="AB1605" s="328"/>
      <c r="AC1605" s="295"/>
      <c r="AD1605" s="299"/>
      <c r="AE1605" s="302"/>
      <c r="AF1605" s="299"/>
      <c r="AG1605" s="302"/>
      <c r="AH1605" s="299"/>
      <c r="AI1605" s="295"/>
      <c r="AJ1605" s="328"/>
      <c r="AK1605" s="299"/>
      <c r="AL1605" s="302"/>
      <c r="AM1605" s="299"/>
      <c r="AN1605" s="193"/>
      <c r="AO1605" s="328"/>
      <c r="AP1605" s="328"/>
      <c r="AQ1605" s="299"/>
      <c r="AR1605" s="299"/>
      <c r="AS1605" s="302"/>
      <c r="AT1605" s="302"/>
      <c r="AU1605" s="302"/>
      <c r="AV1605" s="299"/>
      <c r="AW1605" s="299"/>
      <c r="AX1605" s="328"/>
      <c r="AY1605" s="328"/>
      <c r="AZ1605" s="299"/>
      <c r="BA1605" s="302"/>
      <c r="BB1605" s="302"/>
      <c r="BC1605" s="299"/>
      <c r="BD1605" s="299"/>
      <c r="BE1605" s="295"/>
      <c r="BF1605" s="193"/>
      <c r="BG1605" s="193"/>
      <c r="BH1605" s="328"/>
      <c r="BI1605" s="295"/>
      <c r="BJ1605" s="299"/>
      <c r="BK1605" s="302"/>
      <c r="BL1605" s="299"/>
      <c r="BN1605" s="299"/>
      <c r="BO1605" s="295"/>
      <c r="BP1605" s="193"/>
      <c r="BT1605" s="294"/>
      <c r="BU1605" s="295"/>
      <c r="BV1605" s="295"/>
      <c r="BW1605" s="299"/>
      <c r="BX1605" s="299"/>
      <c r="BY1605" s="302"/>
      <c r="BZ1605" s="299"/>
      <c r="CA1605" s="295"/>
      <c r="CB1605" s="295"/>
      <c r="CE1605" s="294"/>
      <c r="CF1605" s="295"/>
      <c r="CG1605" s="302"/>
      <c r="CH1605" s="299"/>
      <c r="CI1605" s="295"/>
      <c r="CJ1605" s="193"/>
      <c r="CK1605" s="193"/>
      <c r="CL1605" s="295"/>
      <c r="CM1605" s="299"/>
      <c r="CN1605" s="299"/>
      <c r="CO1605" s="302"/>
      <c r="CP1605" s="302"/>
      <c r="CQ1605" s="302"/>
      <c r="CR1605" s="302"/>
      <c r="CS1605" s="302"/>
    </row>
    <row r="1606" spans="1:97">
      <c r="A1606" s="299"/>
      <c r="B1606" s="302"/>
      <c r="C1606" s="299"/>
      <c r="D1606" s="295"/>
      <c r="E1606" s="328"/>
      <c r="F1606" s="299"/>
      <c r="G1606" s="295"/>
      <c r="H1606" s="295"/>
      <c r="I1606" s="299"/>
      <c r="J1606" s="299"/>
      <c r="K1606" s="304"/>
      <c r="L1606" s="302"/>
      <c r="M1606" s="302"/>
      <c r="N1606" s="299"/>
      <c r="O1606" s="299"/>
      <c r="P1606" s="302"/>
      <c r="Q1606" s="302"/>
      <c r="R1606" s="299"/>
      <c r="S1606" s="299"/>
      <c r="T1606" s="302"/>
      <c r="U1606" s="299"/>
      <c r="V1606" s="299"/>
      <c r="W1606" s="295"/>
      <c r="X1606" s="193"/>
      <c r="Y1606" s="193"/>
      <c r="Z1606" s="328"/>
      <c r="AA1606" s="328"/>
      <c r="AB1606" s="295"/>
      <c r="AC1606" s="299"/>
      <c r="AD1606" s="302"/>
      <c r="AE1606" s="299"/>
      <c r="AF1606" s="295"/>
      <c r="AG1606" s="299"/>
      <c r="AH1606" s="302"/>
      <c r="AI1606" s="299"/>
      <c r="AJ1606" s="295"/>
      <c r="AK1606" s="328"/>
      <c r="AL1606" s="299"/>
      <c r="AM1606" s="295"/>
      <c r="AN1606" s="295"/>
      <c r="AO1606" s="299"/>
      <c r="AP1606" s="299"/>
      <c r="AQ1606" s="302"/>
      <c r="AR1606" s="302"/>
      <c r="AS1606" s="302"/>
      <c r="AT1606" s="299"/>
      <c r="AU1606" s="299"/>
      <c r="AV1606" s="302"/>
      <c r="AW1606" s="302"/>
      <c r="AX1606" s="299"/>
      <c r="AY1606" s="299"/>
      <c r="AZ1606" s="302"/>
      <c r="BA1606" s="299"/>
      <c r="BB1606" s="299"/>
      <c r="BC1606" s="295"/>
      <c r="BD1606" s="193"/>
      <c r="BE1606" s="193"/>
      <c r="BF1606" s="328"/>
      <c r="BG1606" s="328"/>
      <c r="BH1606" s="295"/>
      <c r="BI1606" s="299"/>
      <c r="BJ1606" s="302"/>
      <c r="BK1606" s="299"/>
      <c r="BL1606" s="295"/>
      <c r="BN1606" s="295"/>
      <c r="BS1606" s="294"/>
      <c r="BT1606" s="298"/>
      <c r="BU1606" s="294"/>
      <c r="BV1606" s="294"/>
      <c r="BW1606" s="295"/>
      <c r="BX1606" s="299"/>
      <c r="BY1606" s="299"/>
      <c r="BZ1606" s="302"/>
      <c r="CA1606" s="299"/>
      <c r="CB1606" s="295"/>
      <c r="CE1606" s="295"/>
      <c r="CF1606" s="299"/>
      <c r="CG1606" s="302"/>
      <c r="CH1606" s="299"/>
      <c r="CI1606" s="193"/>
      <c r="CJ1606" s="193"/>
      <c r="CL1606" s="193"/>
      <c r="CM1606" s="295"/>
      <c r="CN1606" s="299"/>
      <c r="CO1606" s="299"/>
      <c r="CP1606" s="302"/>
      <c r="CQ1606" s="299"/>
      <c r="CR1606" s="295"/>
      <c r="CS1606" s="295"/>
    </row>
    <row r="1607" spans="1:97">
      <c r="A1607" s="295"/>
      <c r="B1607" s="299"/>
      <c r="C1607" s="302"/>
      <c r="D1607" s="299"/>
      <c r="E1607" s="299"/>
      <c r="F1607" s="299"/>
      <c r="G1607" s="299"/>
      <c r="H1607" s="304"/>
      <c r="I1607" s="302"/>
      <c r="J1607" s="302"/>
      <c r="K1607" s="302"/>
      <c r="L1607" s="299"/>
      <c r="M1607" s="299"/>
      <c r="N1607" s="295"/>
      <c r="O1607" s="295"/>
      <c r="P1607" s="299"/>
      <c r="Q1607" s="299"/>
      <c r="R1607" s="302"/>
      <c r="S1607" s="304"/>
      <c r="T1607" s="299"/>
      <c r="U1607" s="295"/>
      <c r="V1607" s="295"/>
      <c r="W1607" s="193"/>
      <c r="X1607" s="193"/>
      <c r="Y1607" s="328"/>
      <c r="Z1607" s="328"/>
      <c r="AA1607" s="299"/>
      <c r="AB1607" s="302"/>
      <c r="AC1607" s="302"/>
      <c r="AD1607" s="299"/>
      <c r="AE1607" s="295"/>
      <c r="AF1607" s="1237"/>
      <c r="AG1607" s="295"/>
      <c r="AH1607" s="299"/>
      <c r="AI1607" s="302"/>
      <c r="AJ1607" s="299"/>
      <c r="AK1607" s="299"/>
      <c r="AL1607" s="299"/>
      <c r="AM1607" s="299"/>
      <c r="AN1607" s="302"/>
      <c r="AO1607" s="302"/>
      <c r="AP1607" s="302"/>
      <c r="AQ1607" s="302"/>
      <c r="AR1607" s="299"/>
      <c r="AS1607" s="299"/>
      <c r="AT1607" s="295"/>
      <c r="AU1607" s="295"/>
      <c r="AV1607" s="299"/>
      <c r="AW1607" s="299"/>
      <c r="AX1607" s="302"/>
      <c r="AY1607" s="302"/>
      <c r="AZ1607" s="299"/>
      <c r="BA1607" s="295"/>
      <c r="BB1607" s="295"/>
      <c r="BC1607" s="193"/>
      <c r="BD1607" s="193"/>
      <c r="BE1607" s="328"/>
      <c r="BF1607" s="328"/>
      <c r="BG1607" s="299"/>
      <c r="BH1607" s="302"/>
      <c r="BI1607" s="302"/>
      <c r="BJ1607" s="299"/>
      <c r="BK1607" s="295"/>
      <c r="BL1607" s="1237"/>
      <c r="BR1607" s="294"/>
      <c r="BS1607" s="298"/>
      <c r="BT1607" s="294"/>
      <c r="BX1607" s="295"/>
      <c r="BY1607" s="299"/>
      <c r="BZ1607" s="302"/>
      <c r="CA1607" s="299"/>
      <c r="CB1607" s="295"/>
      <c r="CC1607" s="295"/>
      <c r="CE1607" s="295"/>
      <c r="CF1607" s="299"/>
      <c r="CG1607" s="302"/>
      <c r="CH1607" s="299"/>
      <c r="CI1607" s="193"/>
      <c r="CN1607" s="295"/>
      <c r="CO1607" s="299"/>
      <c r="CP1607" s="302"/>
      <c r="CQ1607" s="299"/>
      <c r="CR1607" s="295"/>
      <c r="CS1607" s="193"/>
    </row>
    <row r="1608" spans="1:97">
      <c r="A1608" s="1236"/>
      <c r="B1608" s="295"/>
      <c r="C1608" s="299"/>
      <c r="D1608" s="304"/>
      <c r="E1608" s="302"/>
      <c r="F1608" s="302"/>
      <c r="G1608" s="302"/>
      <c r="H1608" s="302"/>
      <c r="I1608" s="302"/>
      <c r="J1608" s="299"/>
      <c r="K1608" s="299"/>
      <c r="L1608" s="295"/>
      <c r="M1608" s="193"/>
      <c r="N1608" s="193"/>
      <c r="O1608" s="328"/>
      <c r="P1608" s="328"/>
      <c r="Q1608" s="295"/>
      <c r="R1608" s="299"/>
      <c r="S1608" s="304"/>
      <c r="T1608" s="299"/>
      <c r="U1608" s="295"/>
      <c r="V1608" s="193"/>
      <c r="W1608" s="193"/>
      <c r="X1608" s="328"/>
      <c r="Y1608" s="328"/>
      <c r="Z1608" s="299"/>
      <c r="AA1608" s="302"/>
      <c r="AB1608" s="299"/>
      <c r="AC1608" s="299"/>
      <c r="AD1608" s="302"/>
      <c r="AE1608" s="299"/>
      <c r="AF1608" s="295"/>
      <c r="AG1608" s="1236"/>
      <c r="AH1608" s="295"/>
      <c r="AI1608" s="299"/>
      <c r="AJ1608" s="302"/>
      <c r="AK1608" s="302"/>
      <c r="AL1608" s="302"/>
      <c r="AM1608" s="302"/>
      <c r="AN1608" s="302"/>
      <c r="AO1608" s="302"/>
      <c r="AP1608" s="299"/>
      <c r="AQ1608" s="299"/>
      <c r="AR1608" s="295"/>
      <c r="AS1608" s="193"/>
      <c r="AT1608" s="193"/>
      <c r="AU1608" s="328"/>
      <c r="AV1608" s="328"/>
      <c r="AW1608" s="295"/>
      <c r="AX1608" s="299"/>
      <c r="AY1608" s="302"/>
      <c r="AZ1608" s="299"/>
      <c r="BA1608" s="295"/>
      <c r="BB1608" s="193"/>
      <c r="BC1608" s="193"/>
      <c r="BD1608" s="328"/>
      <c r="BE1608" s="328"/>
      <c r="BF1608" s="299"/>
      <c r="BG1608" s="302"/>
      <c r="BH1608" s="299"/>
      <c r="BI1608" s="299"/>
      <c r="BJ1608" s="302"/>
      <c r="BK1608" s="299"/>
      <c r="BL1608" s="295"/>
      <c r="BQ1608" s="294"/>
      <c r="BR1608" s="298"/>
      <c r="BS1608" s="294"/>
      <c r="BX1608" s="295"/>
      <c r="BY1608" s="299"/>
      <c r="BZ1608" s="299"/>
      <c r="CA1608" s="302"/>
      <c r="CB1608" s="299"/>
      <c r="CC1608" s="295"/>
      <c r="CE1608" s="295"/>
      <c r="CF1608" s="299"/>
      <c r="CG1608" s="302"/>
      <c r="CH1608" s="299"/>
      <c r="CI1608" s="193"/>
      <c r="CJ1608" s="193"/>
      <c r="CL1608" s="294"/>
      <c r="CO1608" s="295"/>
      <c r="CP1608" s="299"/>
      <c r="CQ1608" s="302"/>
      <c r="CR1608" s="295"/>
    </row>
    <row r="1609" spans="1:97">
      <c r="A1609" s="299"/>
      <c r="B1609" s="299"/>
      <c r="C1609" s="304"/>
      <c r="D1609" s="302"/>
      <c r="E1609" s="302"/>
      <c r="F1609" s="299"/>
      <c r="G1609" s="299"/>
      <c r="H1609" s="302"/>
      <c r="I1609" s="299"/>
      <c r="J1609" s="295"/>
      <c r="K1609" s="193"/>
      <c r="L1609" s="328"/>
      <c r="M1609" s="328"/>
      <c r="N1609" s="328"/>
      <c r="O1609" s="328"/>
      <c r="P1609" s="328"/>
      <c r="Q1609" s="328"/>
      <c r="R1609" s="299"/>
      <c r="S1609" s="302"/>
      <c r="T1609" s="299"/>
      <c r="U1609" s="295"/>
      <c r="V1609" s="193"/>
      <c r="W1609" s="328"/>
      <c r="X1609" s="328"/>
      <c r="Y1609" s="299"/>
      <c r="Z1609" s="304"/>
      <c r="AA1609" s="299"/>
      <c r="AB1609" s="295"/>
      <c r="AC1609" s="295"/>
      <c r="AD1609" s="299"/>
      <c r="AE1609" s="302"/>
      <c r="AF1609" s="299"/>
      <c r="AG1609" s="299"/>
      <c r="AH1609" s="299"/>
      <c r="AI1609" s="302"/>
      <c r="AJ1609" s="302"/>
      <c r="AK1609" s="302"/>
      <c r="AL1609" s="299"/>
      <c r="AM1609" s="299"/>
      <c r="AN1609" s="302"/>
      <c r="AO1609" s="299"/>
      <c r="AP1609" s="295"/>
      <c r="AQ1609" s="193"/>
      <c r="AR1609" s="328"/>
      <c r="AS1609" s="328"/>
      <c r="AT1609" s="328"/>
      <c r="AU1609" s="328"/>
      <c r="AV1609" s="328"/>
      <c r="AW1609" s="328"/>
      <c r="AX1609" s="299"/>
      <c r="AY1609" s="302"/>
      <c r="AZ1609" s="299"/>
      <c r="BA1609" s="295"/>
      <c r="BB1609" s="193"/>
      <c r="BC1609" s="328"/>
      <c r="BD1609" s="328"/>
      <c r="BE1609" s="299"/>
      <c r="BF1609" s="302"/>
      <c r="BG1609" s="299"/>
      <c r="BH1609" s="295"/>
      <c r="BI1609" s="295"/>
      <c r="BJ1609" s="299"/>
      <c r="BK1609" s="302"/>
      <c r="BL1609" s="299"/>
      <c r="BN1609" s="295"/>
      <c r="BP1609" s="294"/>
      <c r="BQ1609" s="298"/>
      <c r="BR1609" s="295"/>
      <c r="BS1609" s="295"/>
      <c r="BT1609" s="295"/>
      <c r="BY1609" s="295"/>
      <c r="BZ1609" s="299"/>
      <c r="CA1609" s="302"/>
      <c r="CB1609" s="206"/>
      <c r="CC1609" s="295"/>
      <c r="CE1609" s="206"/>
      <c r="CF1609" s="302"/>
      <c r="CG1609" s="299"/>
      <c r="CH1609" s="299"/>
      <c r="CI1609" s="295"/>
      <c r="CJ1609" s="193"/>
      <c r="CK1609" s="294"/>
      <c r="CL1609" s="298"/>
      <c r="CM1609" s="294"/>
      <c r="CP1609" s="295"/>
      <c r="CQ1609" s="299"/>
      <c r="CR1609" s="302"/>
      <c r="CS1609" s="295"/>
    </row>
    <row r="1610" spans="1:97">
      <c r="A1610" s="299"/>
      <c r="B1610" s="302"/>
      <c r="C1610" s="299"/>
      <c r="D1610" s="299"/>
      <c r="E1610" s="295"/>
      <c r="F1610" s="295"/>
      <c r="G1610" s="299"/>
      <c r="H1610" s="302"/>
      <c r="I1610" s="295"/>
      <c r="J1610" s="193"/>
      <c r="K1610" s="328"/>
      <c r="L1610" s="298"/>
      <c r="M1610" s="207"/>
      <c r="N1610" s="207"/>
      <c r="O1610" s="298"/>
      <c r="P1610" s="328"/>
      <c r="Q1610" s="328"/>
      <c r="R1610" s="295"/>
      <c r="S1610" s="299"/>
      <c r="T1610" s="302"/>
      <c r="U1610" s="295"/>
      <c r="V1610" s="193"/>
      <c r="W1610" s="328"/>
      <c r="X1610" s="328"/>
      <c r="Y1610" s="299"/>
      <c r="Z1610" s="302"/>
      <c r="AA1610" s="295"/>
      <c r="AB1610" s="193"/>
      <c r="AC1610" s="193"/>
      <c r="AD1610" s="295"/>
      <c r="AE1610" s="299"/>
      <c r="AF1610" s="302"/>
      <c r="AG1610" s="299"/>
      <c r="AH1610" s="302"/>
      <c r="AI1610" s="299"/>
      <c r="AJ1610" s="299"/>
      <c r="AK1610" s="295"/>
      <c r="AL1610" s="295"/>
      <c r="AM1610" s="299"/>
      <c r="AN1610" s="302"/>
      <c r="AO1610" s="295"/>
      <c r="AP1610" s="193"/>
      <c r="AQ1610" s="328"/>
      <c r="AR1610" s="294"/>
      <c r="AS1610" s="298"/>
      <c r="AT1610" s="298"/>
      <c r="AU1610" s="298"/>
      <c r="AV1610" s="294"/>
      <c r="AW1610" s="328"/>
      <c r="AX1610" s="295"/>
      <c r="AY1610" s="299"/>
      <c r="AZ1610" s="302"/>
      <c r="BA1610" s="295"/>
      <c r="BB1610" s="193"/>
      <c r="BC1610" s="328"/>
      <c r="BD1610" s="328"/>
      <c r="BE1610" s="299"/>
      <c r="BF1610" s="302"/>
      <c r="BG1610" s="295"/>
      <c r="BH1610" s="193"/>
      <c r="BI1610" s="193"/>
      <c r="BJ1610" s="295"/>
      <c r="BK1610" s="299"/>
      <c r="BL1610" s="302"/>
      <c r="BN1610" s="299"/>
      <c r="BO1610" s="295"/>
      <c r="BP1610" s="295"/>
      <c r="BQ1610" s="295"/>
      <c r="BR1610" s="299"/>
      <c r="BS1610" s="299"/>
      <c r="BT1610" s="299"/>
      <c r="BU1610" s="295"/>
      <c r="BY1610" s="206"/>
      <c r="BZ1610" s="295"/>
      <c r="CA1610" s="193"/>
      <c r="CB1610" s="193"/>
      <c r="CC1610" s="193"/>
      <c r="CD1610" s="193"/>
      <c r="CE1610" s="193"/>
      <c r="CF1610" s="295"/>
      <c r="CG1610" s="193"/>
      <c r="CH1610" s="206"/>
      <c r="CI1610" s="295"/>
      <c r="CJ1610" s="294"/>
      <c r="CK1610" s="298"/>
      <c r="CL1610" s="294"/>
      <c r="CM1610" s="298"/>
      <c r="CN1610" s="294"/>
      <c r="CQ1610" s="295"/>
      <c r="CR1610" s="299"/>
      <c r="CS1610" s="302"/>
    </row>
    <row r="1611" spans="1:97">
      <c r="A1611" s="302"/>
      <c r="B1611" s="295"/>
      <c r="C1611" s="295"/>
      <c r="D1611" s="328"/>
      <c r="E1611" s="328"/>
      <c r="F1611" s="299"/>
      <c r="G1611" s="302"/>
      <c r="H1611" s="299"/>
      <c r="I1611" s="193"/>
      <c r="J1611" s="328"/>
      <c r="K1611" s="328"/>
      <c r="L1611" s="207"/>
      <c r="M1611" s="298"/>
      <c r="N1611" s="298"/>
      <c r="O1611" s="207"/>
      <c r="P1611" s="207"/>
      <c r="Q1611" s="298"/>
      <c r="R1611" s="328"/>
      <c r="S1611" s="299"/>
      <c r="T1611" s="304"/>
      <c r="U1611" s="295"/>
      <c r="V1611" s="193"/>
      <c r="W1611" s="328"/>
      <c r="X1611" s="299"/>
      <c r="Y1611" s="304"/>
      <c r="Z1611" s="299"/>
      <c r="AA1611" s="193"/>
      <c r="AB1611" s="328"/>
      <c r="AC1611" s="201"/>
      <c r="AD1611" s="193"/>
      <c r="AE1611" s="295"/>
      <c r="AF1611" s="299"/>
      <c r="AG1611" s="302"/>
      <c r="AH1611" s="295"/>
      <c r="AI1611" s="295"/>
      <c r="AJ1611" s="328"/>
      <c r="AK1611" s="328"/>
      <c r="AL1611" s="299"/>
      <c r="AM1611" s="302"/>
      <c r="AN1611" s="299"/>
      <c r="AO1611" s="193"/>
      <c r="AP1611" s="328"/>
      <c r="AQ1611" s="294"/>
      <c r="AR1611" s="298"/>
      <c r="AS1611" s="294"/>
      <c r="AT1611" s="294"/>
      <c r="AU1611" s="294"/>
      <c r="AV1611" s="298"/>
      <c r="AW1611" s="294"/>
      <c r="AX1611" s="328"/>
      <c r="AY1611" s="299"/>
      <c r="AZ1611" s="302"/>
      <c r="BA1611" s="295"/>
      <c r="BB1611" s="193"/>
      <c r="BC1611" s="328"/>
      <c r="BD1611" s="299"/>
      <c r="BE1611" s="302"/>
      <c r="BF1611" s="299"/>
      <c r="BG1611" s="193"/>
      <c r="BH1611" s="328"/>
      <c r="BI1611" s="201"/>
      <c r="BJ1611" s="193"/>
      <c r="BK1611" s="295"/>
      <c r="BL1611" s="299"/>
      <c r="BN1611" s="302"/>
      <c r="BO1611" s="299"/>
      <c r="BP1611" s="299"/>
      <c r="BQ1611" s="299"/>
      <c r="BR1611" s="302"/>
      <c r="BS1611" s="302"/>
      <c r="BT1611" s="302"/>
      <c r="BU1611" s="299"/>
      <c r="BV1611" s="295"/>
      <c r="BY1611" s="193"/>
      <c r="BZ1611" s="193"/>
      <c r="CA1611" s="193"/>
      <c r="CB1611" s="299"/>
      <c r="CC1611" s="302"/>
      <c r="CD1611" s="302"/>
      <c r="CE1611" s="299"/>
      <c r="CF1611" s="193"/>
      <c r="CG1611" s="193"/>
      <c r="CH1611" s="193"/>
      <c r="CI1611" s="295"/>
      <c r="CJ1611" s="298"/>
      <c r="CK1611" s="294"/>
      <c r="CM1611" s="294"/>
      <c r="CN1611" s="298"/>
      <c r="CO1611" s="294"/>
      <c r="CP1611" s="294"/>
      <c r="CQ1611" s="294"/>
      <c r="CR1611" s="295"/>
      <c r="CS1611" s="299"/>
    </row>
    <row r="1612" spans="1:97">
      <c r="A1612" s="295"/>
      <c r="B1612" s="328"/>
      <c r="C1612" s="328"/>
      <c r="D1612" s="328"/>
      <c r="E1612" s="328"/>
      <c r="F1612" s="299"/>
      <c r="G1612" s="302"/>
      <c r="H1612" s="295"/>
      <c r="I1612" s="328"/>
      <c r="J1612" s="328"/>
      <c r="K1612" s="207"/>
      <c r="L1612" s="298"/>
      <c r="M1612" s="328"/>
      <c r="N1612" s="328"/>
      <c r="O1612" s="328"/>
      <c r="P1612" s="298"/>
      <c r="Q1612" s="207"/>
      <c r="R1612" s="328"/>
      <c r="S1612" s="299"/>
      <c r="T1612" s="302"/>
      <c r="U1612" s="299"/>
      <c r="V1612" s="193"/>
      <c r="W1612" s="328"/>
      <c r="X1612" s="299"/>
      <c r="Y1612" s="302"/>
      <c r="Z1612" s="295"/>
      <c r="AA1612" s="193"/>
      <c r="AB1612" s="199"/>
      <c r="AC1612" s="291"/>
      <c r="AD1612" s="328"/>
      <c r="AE1612" s="193"/>
      <c r="AF1612" s="295"/>
      <c r="AG1612" s="295"/>
      <c r="AH1612" s="328"/>
      <c r="AI1612" s="328"/>
      <c r="AJ1612" s="328"/>
      <c r="AK1612" s="328"/>
      <c r="AL1612" s="299"/>
      <c r="AM1612" s="302"/>
      <c r="AN1612" s="295"/>
      <c r="AO1612" s="328"/>
      <c r="AP1612" s="328"/>
      <c r="AQ1612" s="298"/>
      <c r="AR1612" s="294"/>
      <c r="AS1612" s="328"/>
      <c r="AT1612" s="328"/>
      <c r="AU1612" s="328"/>
      <c r="AV1612" s="294"/>
      <c r="AW1612" s="298"/>
      <c r="AX1612" s="328"/>
      <c r="AY1612" s="299"/>
      <c r="AZ1612" s="302"/>
      <c r="BA1612" s="299"/>
      <c r="BB1612" s="193"/>
      <c r="BC1612" s="328"/>
      <c r="BD1612" s="299"/>
      <c r="BE1612" s="302"/>
      <c r="BF1612" s="295"/>
      <c r="BG1612" s="193"/>
      <c r="BH1612" s="201"/>
      <c r="BI1612" s="291"/>
      <c r="BJ1612" s="328"/>
      <c r="BK1612" s="193"/>
      <c r="BL1612" s="295"/>
      <c r="BN1612" s="299"/>
      <c r="BO1612" s="302"/>
      <c r="BP1612" s="302"/>
      <c r="BQ1612" s="302"/>
      <c r="BR1612" s="299"/>
      <c r="BS1612" s="295"/>
      <c r="BT1612" s="299"/>
      <c r="BU1612" s="302"/>
      <c r="BV1612" s="299"/>
      <c r="BW1612" s="206"/>
      <c r="BX1612" s="295"/>
      <c r="BY1612" s="193"/>
      <c r="BZ1612" s="299"/>
      <c r="CA1612" s="295"/>
      <c r="CB1612" s="293"/>
      <c r="CC1612" s="293"/>
      <c r="CD1612" s="293"/>
      <c r="CE1612" s="293"/>
      <c r="CF1612" s="295"/>
      <c r="CG1612" s="295"/>
      <c r="CH1612" s="193"/>
      <c r="CI1612" s="295"/>
      <c r="CJ1612" s="206"/>
      <c r="CN1612" s="294"/>
      <c r="CO1612" s="294"/>
      <c r="CP1612" s="298"/>
      <c r="CQ1612" s="294"/>
      <c r="CS1612" s="295"/>
    </row>
    <row r="1613" spans="1:97">
      <c r="A1613" s="1236"/>
      <c r="B1613" s="328"/>
      <c r="C1613" s="328"/>
      <c r="D1613" s="328"/>
      <c r="E1613" s="299"/>
      <c r="F1613" s="302"/>
      <c r="G1613" s="299"/>
      <c r="H1613" s="193"/>
      <c r="I1613" s="328"/>
      <c r="J1613" s="298"/>
      <c r="K1613" s="207"/>
      <c r="L1613" s="328"/>
      <c r="M1613" s="328"/>
      <c r="N1613" s="328"/>
      <c r="O1613" s="328"/>
      <c r="P1613" s="328"/>
      <c r="Q1613" s="207"/>
      <c r="R1613" s="298"/>
      <c r="S1613" s="295"/>
      <c r="T1613" s="299"/>
      <c r="U1613" s="299"/>
      <c r="V1613" s="295"/>
      <c r="W1613" s="328"/>
      <c r="X1613" s="299"/>
      <c r="Y1613" s="302"/>
      <c r="Z1613" s="299"/>
      <c r="AA1613" s="295"/>
      <c r="AB1613" s="291"/>
      <c r="AC1613" s="328"/>
      <c r="AD1613" s="328"/>
      <c r="AE1613" s="294"/>
      <c r="AF1613" s="193"/>
      <c r="AG1613" s="1236"/>
      <c r="AH1613" s="328"/>
      <c r="AI1613" s="328"/>
      <c r="AJ1613" s="328"/>
      <c r="AK1613" s="299"/>
      <c r="AL1613" s="302"/>
      <c r="AM1613" s="299"/>
      <c r="AN1613" s="193"/>
      <c r="AO1613" s="328"/>
      <c r="AP1613" s="294"/>
      <c r="AQ1613" s="298"/>
      <c r="AR1613" s="294"/>
      <c r="AS1613" s="328"/>
      <c r="AT1613" s="328"/>
      <c r="AU1613" s="328"/>
      <c r="AV1613" s="294"/>
      <c r="AW1613" s="298"/>
      <c r="AX1613" s="294"/>
      <c r="AY1613" s="295"/>
      <c r="AZ1613" s="299"/>
      <c r="BA1613" s="299"/>
      <c r="BB1613" s="295"/>
      <c r="BC1613" s="328"/>
      <c r="BD1613" s="299"/>
      <c r="BE1613" s="302"/>
      <c r="BF1613" s="299"/>
      <c r="BG1613" s="295"/>
      <c r="BH1613" s="291"/>
      <c r="BI1613" s="328"/>
      <c r="BJ1613" s="328"/>
      <c r="BK1613" s="294"/>
      <c r="BL1613" s="193"/>
      <c r="BN1613" s="295"/>
      <c r="BO1613" s="295"/>
      <c r="BP1613" s="299"/>
      <c r="BQ1613" s="302"/>
      <c r="BR1613" s="295"/>
      <c r="BS1613" s="193"/>
      <c r="BT1613" s="295"/>
      <c r="BU1613" s="299"/>
      <c r="BV1613" s="302"/>
      <c r="BW1613" s="193"/>
      <c r="BX1613" s="193"/>
      <c r="BY1613" s="302"/>
      <c r="BZ1613" s="293"/>
      <c r="CA1613" s="301"/>
      <c r="CB1613" s="189"/>
      <c r="CC1613" s="189"/>
      <c r="CD1613" s="301"/>
      <c r="CE1613" s="297"/>
      <c r="CF1613" s="297"/>
      <c r="CG1613" s="293"/>
      <c r="CH1613" s="295"/>
      <c r="CI1613" s="205"/>
      <c r="CM1613" s="295"/>
      <c r="CN1613" s="299"/>
      <c r="CO1613" s="299"/>
      <c r="CP1613" s="295"/>
      <c r="CQ1613" s="298"/>
      <c r="CR1613" s="294"/>
    </row>
    <row r="1614" spans="1:97">
      <c r="A1614" s="1236"/>
      <c r="B1614" s="328"/>
      <c r="C1614" s="328"/>
      <c r="D1614" s="299"/>
      <c r="E1614" s="302"/>
      <c r="F1614" s="299"/>
      <c r="G1614" s="295"/>
      <c r="H1614" s="328"/>
      <c r="I1614" s="328"/>
      <c r="J1614" s="207"/>
      <c r="K1614" s="298"/>
      <c r="L1614" s="328"/>
      <c r="M1614" s="328"/>
      <c r="N1614" s="328"/>
      <c r="O1614" s="328"/>
      <c r="P1614" s="328"/>
      <c r="Q1614" s="328"/>
      <c r="R1614" s="298"/>
      <c r="S1614" s="328"/>
      <c r="T1614" s="299"/>
      <c r="U1614" s="302"/>
      <c r="V1614" s="295"/>
      <c r="W1614" s="328"/>
      <c r="X1614" s="328"/>
      <c r="Y1614" s="299"/>
      <c r="Z1614" s="302"/>
      <c r="AA1614" s="299"/>
      <c r="AB1614" s="328"/>
      <c r="AC1614" s="328"/>
      <c r="AD1614" s="298"/>
      <c r="AE1614" s="298"/>
      <c r="AF1614" s="298"/>
      <c r="AG1614" s="1236"/>
      <c r="AH1614" s="328"/>
      <c r="AI1614" s="328"/>
      <c r="AJ1614" s="299"/>
      <c r="AK1614" s="302"/>
      <c r="AL1614" s="299"/>
      <c r="AM1614" s="295"/>
      <c r="AN1614" s="328"/>
      <c r="AO1614" s="294"/>
      <c r="AP1614" s="298"/>
      <c r="AQ1614" s="294"/>
      <c r="AR1614" s="328"/>
      <c r="AS1614" s="328"/>
      <c r="AT1614" s="328"/>
      <c r="AU1614" s="328"/>
      <c r="AV1614" s="328"/>
      <c r="AW1614" s="294"/>
      <c r="AX1614" s="298"/>
      <c r="AY1614" s="328"/>
      <c r="AZ1614" s="299"/>
      <c r="BA1614" s="302"/>
      <c r="BB1614" s="295"/>
      <c r="BC1614" s="328"/>
      <c r="BD1614" s="328"/>
      <c r="BE1614" s="299"/>
      <c r="BF1614" s="302"/>
      <c r="BG1614" s="299"/>
      <c r="BH1614" s="328"/>
      <c r="BI1614" s="328"/>
      <c r="BJ1614" s="294"/>
      <c r="BK1614" s="298"/>
      <c r="BL1614" s="294"/>
      <c r="BO1614" s="295"/>
      <c r="BP1614" s="302"/>
      <c r="BQ1614" s="299"/>
      <c r="BR1614" s="193"/>
      <c r="BU1614" s="295"/>
      <c r="BV1614" s="299"/>
      <c r="BW1614" s="295"/>
      <c r="BX1614" s="299"/>
      <c r="BY1614" s="293"/>
      <c r="BZ1614" s="301"/>
      <c r="CA1614" s="189"/>
      <c r="CB1614" s="301"/>
      <c r="CC1614" s="297"/>
      <c r="CD1614" s="297"/>
      <c r="CE1614" s="294"/>
      <c r="CF1614" s="293"/>
      <c r="CG1614" s="297"/>
      <c r="CH1614" s="161"/>
      <c r="CI1614" s="295"/>
      <c r="CJ1614" s="193"/>
      <c r="CK1614" s="193"/>
      <c r="CL1614" s="295"/>
      <c r="CM1614" s="299"/>
      <c r="CN1614" s="302"/>
      <c r="CO1614" s="302"/>
      <c r="CP1614" s="299"/>
      <c r="CQ1614" s="295"/>
      <c r="CR1614" s="298"/>
      <c r="CS1614" s="294"/>
    </row>
    <row r="1615" spans="1:97">
      <c r="A1615" s="1236"/>
      <c r="B1615" s="328"/>
      <c r="C1615" s="299"/>
      <c r="D1615" s="302"/>
      <c r="E1615" s="299"/>
      <c r="F1615" s="295"/>
      <c r="G1615" s="328"/>
      <c r="H1615" s="328"/>
      <c r="I1615" s="298"/>
      <c r="J1615" s="298"/>
      <c r="K1615" s="328"/>
      <c r="L1615" s="328"/>
      <c r="M1615" s="328"/>
      <c r="N1615" s="295"/>
      <c r="O1615" s="299"/>
      <c r="P1615" s="299"/>
      <c r="Q1615" s="299"/>
      <c r="R1615" s="295"/>
      <c r="S1615" s="328"/>
      <c r="T1615" s="299"/>
      <c r="U1615" s="304"/>
      <c r="V1615" s="299"/>
      <c r="W1615" s="328"/>
      <c r="X1615" s="328"/>
      <c r="Y1615" s="295"/>
      <c r="Z1615" s="299"/>
      <c r="AA1615" s="302"/>
      <c r="AB1615" s="295"/>
      <c r="AC1615" s="298"/>
      <c r="AD1615" s="207"/>
      <c r="AE1615" s="298"/>
      <c r="AF1615" s="328"/>
      <c r="AG1615" s="1236"/>
      <c r="AH1615" s="328"/>
      <c r="AI1615" s="299"/>
      <c r="AJ1615" s="302"/>
      <c r="AK1615" s="299"/>
      <c r="AL1615" s="295"/>
      <c r="AM1615" s="328"/>
      <c r="AN1615" s="328"/>
      <c r="AO1615" s="294"/>
      <c r="AP1615" s="298"/>
      <c r="AQ1615" s="328"/>
      <c r="AR1615" s="328"/>
      <c r="AS1615" s="328"/>
      <c r="AT1615" s="295"/>
      <c r="AU1615" s="299"/>
      <c r="AV1615" s="299"/>
      <c r="AW1615" s="299"/>
      <c r="AX1615" s="295"/>
      <c r="AY1615" s="328"/>
      <c r="AZ1615" s="299"/>
      <c r="BA1615" s="302"/>
      <c r="BB1615" s="299"/>
      <c r="BC1615" s="328"/>
      <c r="BD1615" s="328"/>
      <c r="BE1615" s="295"/>
      <c r="BF1615" s="299"/>
      <c r="BG1615" s="302"/>
      <c r="BH1615" s="295"/>
      <c r="BI1615" s="294"/>
      <c r="BJ1615" s="298"/>
      <c r="BK1615" s="294"/>
      <c r="BL1615" s="328"/>
      <c r="BN1615" s="295"/>
      <c r="BO1615" s="302"/>
      <c r="BP1615" s="299"/>
      <c r="BQ1615" s="295"/>
      <c r="BT1615" s="294"/>
      <c r="BU1615" s="298"/>
      <c r="BV1615" s="206"/>
      <c r="BW1615" s="193"/>
      <c r="BX1615" s="293"/>
      <c r="BY1615" s="301"/>
      <c r="BZ1615" s="189"/>
      <c r="CA1615" s="301"/>
      <c r="CB1615" s="297"/>
      <c r="CC1615" s="298"/>
      <c r="CD1615" s="294"/>
      <c r="CE1615" s="290"/>
      <c r="CF1615" s="290"/>
      <c r="CG1615" s="297"/>
      <c r="CH1615" s="293"/>
      <c r="CI1615" s="161"/>
      <c r="CJ1615" s="193"/>
      <c r="CK1615" s="299"/>
      <c r="CL1615" s="299"/>
      <c r="CM1615" s="302"/>
      <c r="CN1615" s="302"/>
      <c r="CO1615" s="302"/>
      <c r="CP1615" s="302"/>
      <c r="CQ1615" s="299"/>
      <c r="CR1615" s="294"/>
      <c r="CS1615" s="298"/>
    </row>
    <row r="1616" spans="1:97">
      <c r="A1616" s="1236"/>
      <c r="B1616" s="328"/>
      <c r="C1616" s="299"/>
      <c r="D1616" s="302"/>
      <c r="E1616" s="295"/>
      <c r="F1616" s="328"/>
      <c r="G1616" s="298"/>
      <c r="H1616" s="328"/>
      <c r="I1616" s="207"/>
      <c r="J1616" s="298"/>
      <c r="K1616" s="328"/>
      <c r="L1616" s="295"/>
      <c r="M1616" s="299"/>
      <c r="N1616" s="299"/>
      <c r="O1616" s="302"/>
      <c r="P1616" s="302"/>
      <c r="Q1616" s="302"/>
      <c r="R1616" s="299"/>
      <c r="S1616" s="299"/>
      <c r="T1616" s="299"/>
      <c r="U1616" s="302"/>
      <c r="V1616" s="299"/>
      <c r="W1616" s="328"/>
      <c r="X1616" s="328"/>
      <c r="Y1616" s="328"/>
      <c r="Z1616" s="299"/>
      <c r="AA1616" s="302"/>
      <c r="AB1616" s="299"/>
      <c r="AC1616" s="298"/>
      <c r="AD1616" s="298"/>
      <c r="AE1616" s="207"/>
      <c r="AF1616" s="298"/>
      <c r="AG1616" s="1236"/>
      <c r="AH1616" s="328"/>
      <c r="AI1616" s="299"/>
      <c r="AJ1616" s="302"/>
      <c r="AK1616" s="295"/>
      <c r="AL1616" s="328"/>
      <c r="AM1616" s="298"/>
      <c r="AN1616" s="328"/>
      <c r="AO1616" s="298"/>
      <c r="AP1616" s="294"/>
      <c r="AQ1616" s="328"/>
      <c r="AR1616" s="295"/>
      <c r="AS1616" s="299"/>
      <c r="AT1616" s="299"/>
      <c r="AU1616" s="302"/>
      <c r="AV1616" s="302"/>
      <c r="AW1616" s="302"/>
      <c r="AX1616" s="299"/>
      <c r="AY1616" s="299"/>
      <c r="AZ1616" s="299"/>
      <c r="BA1616" s="302"/>
      <c r="BB1616" s="299"/>
      <c r="BC1616" s="328"/>
      <c r="BD1616" s="328"/>
      <c r="BE1616" s="328"/>
      <c r="BF1616" s="299"/>
      <c r="BG1616" s="302"/>
      <c r="BH1616" s="299"/>
      <c r="BI1616" s="298"/>
      <c r="BJ1616" s="294"/>
      <c r="BK1616" s="298"/>
      <c r="BL1616" s="294"/>
      <c r="BN1616" s="295"/>
      <c r="BO1616" s="299"/>
      <c r="BP1616" s="295"/>
      <c r="BQ1616" s="193"/>
      <c r="BS1616" s="294"/>
      <c r="BT1616" s="298"/>
      <c r="BU1616" s="294"/>
      <c r="BV1616" s="295"/>
      <c r="BW1616" s="299"/>
      <c r="BX1616" s="293"/>
      <c r="BY1616" s="301"/>
      <c r="BZ1616" s="189"/>
      <c r="CA1616" s="297"/>
      <c r="CB1616" s="207"/>
      <c r="CC1616" s="297"/>
      <c r="CD1616" s="160"/>
      <c r="CE1616" s="290"/>
      <c r="CF1616" s="294"/>
      <c r="CG1616" s="293"/>
      <c r="CH1616" s="297"/>
      <c r="CI1616" s="161"/>
      <c r="CJ1616" s="193"/>
      <c r="CK1616" s="206"/>
      <c r="CL1616" s="299"/>
      <c r="CM1616" s="302"/>
      <c r="CN1616" s="299"/>
      <c r="CO1616" s="299"/>
      <c r="CP1616" s="302"/>
      <c r="CQ1616" s="299"/>
      <c r="CR1616" s="193"/>
      <c r="CS1616" s="294"/>
    </row>
    <row r="1617" spans="1:97">
      <c r="A1617" s="1236"/>
      <c r="B1617" s="299"/>
      <c r="C1617" s="302"/>
      <c r="D1617" s="299"/>
      <c r="E1617" s="193"/>
      <c r="F1617" s="298"/>
      <c r="G1617" s="328"/>
      <c r="H1617" s="298"/>
      <c r="I1617" s="207"/>
      <c r="J1617" s="328"/>
      <c r="K1617" s="295"/>
      <c r="L1617" s="299"/>
      <c r="M1617" s="304"/>
      <c r="N1617" s="302"/>
      <c r="O1617" s="299"/>
      <c r="P1617" s="295"/>
      <c r="Q1617" s="299"/>
      <c r="R1617" s="302"/>
      <c r="S1617" s="302"/>
      <c r="T1617" s="299"/>
      <c r="U1617" s="299"/>
      <c r="V1617" s="302"/>
      <c r="W1617" s="295"/>
      <c r="X1617" s="328"/>
      <c r="Y1617" s="328"/>
      <c r="Z1617" s="295"/>
      <c r="AA1617" s="299"/>
      <c r="AB1617" s="302"/>
      <c r="AC1617" s="295"/>
      <c r="AD1617" s="328"/>
      <c r="AE1617" s="298"/>
      <c r="AF1617" s="298"/>
      <c r="AG1617" s="1236"/>
      <c r="AH1617" s="299"/>
      <c r="AI1617" s="302"/>
      <c r="AJ1617" s="299"/>
      <c r="AK1617" s="193"/>
      <c r="AL1617" s="298"/>
      <c r="AM1617" s="294"/>
      <c r="AN1617" s="294"/>
      <c r="AO1617" s="298"/>
      <c r="AP1617" s="328"/>
      <c r="AQ1617" s="295"/>
      <c r="AR1617" s="299"/>
      <c r="AS1617" s="302"/>
      <c r="AT1617" s="302"/>
      <c r="AU1617" s="299"/>
      <c r="AV1617" s="295"/>
      <c r="AW1617" s="299"/>
      <c r="AX1617" s="302"/>
      <c r="AY1617" s="302"/>
      <c r="AZ1617" s="299"/>
      <c r="BA1617" s="299"/>
      <c r="BB1617" s="302"/>
      <c r="BC1617" s="295"/>
      <c r="BD1617" s="328"/>
      <c r="BE1617" s="328"/>
      <c r="BF1617" s="295"/>
      <c r="BG1617" s="299"/>
      <c r="BH1617" s="302"/>
      <c r="BI1617" s="295"/>
      <c r="BJ1617" s="328"/>
      <c r="BK1617" s="294"/>
      <c r="BL1617" s="298"/>
      <c r="BN1617" s="299"/>
      <c r="BO1617" s="295"/>
      <c r="BP1617" s="193"/>
      <c r="BQ1617" s="294"/>
      <c r="BR1617" s="294"/>
      <c r="BS1617" s="298"/>
      <c r="BT1617" s="294"/>
      <c r="BV1617" s="295"/>
      <c r="BW1617" s="299"/>
      <c r="BX1617" s="293"/>
      <c r="BY1617" s="297"/>
      <c r="BZ1617" s="301"/>
      <c r="CA1617" s="294"/>
      <c r="CB1617" s="294"/>
      <c r="CC1617" s="160"/>
      <c r="CD1617" s="160"/>
      <c r="CE1617" s="206"/>
      <c r="CF1617" s="206"/>
      <c r="CG1617" s="293"/>
      <c r="CH1617" s="297"/>
      <c r="CI1617" s="161"/>
      <c r="CJ1617" s="295"/>
      <c r="CK1617" s="295"/>
      <c r="CL1617" s="299"/>
      <c r="CM1617" s="299"/>
      <c r="CN1617" s="295"/>
      <c r="CO1617" s="299"/>
      <c r="CP1617" s="302"/>
      <c r="CQ1617" s="299"/>
    </row>
    <row r="1618" spans="1:97">
      <c r="A1618" s="1236"/>
      <c r="B1618" s="299"/>
      <c r="C1618" s="299"/>
      <c r="D1618" s="295"/>
      <c r="E1618" s="294"/>
      <c r="F1618" s="207"/>
      <c r="G1618" s="328"/>
      <c r="H1618" s="298"/>
      <c r="I1618" s="328"/>
      <c r="J1618" s="295"/>
      <c r="K1618" s="299"/>
      <c r="L1618" s="302"/>
      <c r="M1618" s="299"/>
      <c r="N1618" s="295"/>
      <c r="O1618" s="193"/>
      <c r="P1618" s="193"/>
      <c r="Q1618" s="193"/>
      <c r="R1618" s="295"/>
      <c r="S1618" s="299"/>
      <c r="T1618" s="302"/>
      <c r="U1618" s="299"/>
      <c r="V1618" s="302"/>
      <c r="W1618" s="295"/>
      <c r="X1618" s="328"/>
      <c r="Y1618" s="328"/>
      <c r="Z1618" s="328"/>
      <c r="AA1618" s="299"/>
      <c r="AB1618" s="302"/>
      <c r="AC1618" s="299"/>
      <c r="AD1618" s="295"/>
      <c r="AE1618" s="328"/>
      <c r="AF1618" s="298"/>
      <c r="AG1618" s="1236"/>
      <c r="AH1618" s="299"/>
      <c r="AI1618" s="299"/>
      <c r="AJ1618" s="295"/>
      <c r="AK1618" s="294"/>
      <c r="AL1618" s="298"/>
      <c r="AM1618" s="294"/>
      <c r="AN1618" s="298"/>
      <c r="AO1618" s="294"/>
      <c r="AP1618" s="295"/>
      <c r="AQ1618" s="299"/>
      <c r="AR1618" s="302"/>
      <c r="AS1618" s="299"/>
      <c r="AT1618" s="295"/>
      <c r="AU1618" s="193"/>
      <c r="AV1618" s="193"/>
      <c r="AW1618" s="193"/>
      <c r="AX1618" s="295"/>
      <c r="AY1618" s="299"/>
      <c r="AZ1618" s="302"/>
      <c r="BA1618" s="299"/>
      <c r="BB1618" s="302"/>
      <c r="BC1618" s="295"/>
      <c r="BD1618" s="328"/>
      <c r="BE1618" s="328"/>
      <c r="BF1618" s="328"/>
      <c r="BG1618" s="299"/>
      <c r="BH1618" s="302"/>
      <c r="BI1618" s="299"/>
      <c r="BJ1618" s="295"/>
      <c r="BK1618" s="328"/>
      <c r="BL1618" s="298"/>
      <c r="BN1618" s="295"/>
      <c r="BO1618" s="299"/>
      <c r="BP1618" s="299"/>
      <c r="BQ1618" s="193"/>
      <c r="BR1618" s="298"/>
      <c r="BS1618" s="294"/>
      <c r="BU1618" s="295"/>
      <c r="BV1618" s="295"/>
      <c r="BW1618" s="193"/>
      <c r="BX1618" s="193"/>
      <c r="BY1618" s="297"/>
      <c r="BZ1618" s="297"/>
      <c r="CA1618" s="294"/>
      <c r="CB1618" s="290"/>
      <c r="CC1618" s="290"/>
      <c r="CD1618" s="206"/>
      <c r="CE1618" s="290"/>
      <c r="CF1618" s="205"/>
      <c r="CG1618" s="297"/>
      <c r="CH1618" s="293"/>
      <c r="CI1618" s="193"/>
      <c r="CJ1618" s="295"/>
      <c r="CK1618" s="299"/>
      <c r="CL1618" s="299"/>
      <c r="CM1618" s="295"/>
      <c r="CN1618" s="193"/>
      <c r="CO1618" s="299"/>
      <c r="CP1618" s="302"/>
      <c r="CQ1618" s="193"/>
      <c r="CS1618" s="295"/>
    </row>
    <row r="1619" spans="1:97">
      <c r="A1619" s="295"/>
      <c r="B1619" s="302"/>
      <c r="C1619" s="295"/>
      <c r="D1619" s="328"/>
      <c r="E1619" s="207"/>
      <c r="F1619" s="298"/>
      <c r="G1619" s="298"/>
      <c r="H1619" s="207"/>
      <c r="I1619" s="328"/>
      <c r="J1619" s="299"/>
      <c r="K1619" s="304"/>
      <c r="L1619" s="299"/>
      <c r="M1619" s="295"/>
      <c r="N1619" s="193"/>
      <c r="O1619" s="328"/>
      <c r="P1619" s="328"/>
      <c r="Q1619" s="328"/>
      <c r="R1619" s="298"/>
      <c r="S1619" s="295"/>
      <c r="T1619" s="299"/>
      <c r="U1619" s="302"/>
      <c r="V1619" s="302"/>
      <c r="W1619" s="299"/>
      <c r="X1619" s="328"/>
      <c r="Y1619" s="328"/>
      <c r="Z1619" s="328"/>
      <c r="AA1619" s="295"/>
      <c r="AB1619" s="299"/>
      <c r="AC1619" s="302"/>
      <c r="AD1619" s="299"/>
      <c r="AE1619" s="295"/>
      <c r="AF1619" s="328"/>
      <c r="AG1619" s="295"/>
      <c r="AH1619" s="302"/>
      <c r="AI1619" s="295"/>
      <c r="AJ1619" s="328"/>
      <c r="AK1619" s="298"/>
      <c r="AL1619" s="294"/>
      <c r="AM1619" s="294"/>
      <c r="AN1619" s="298"/>
      <c r="AO1619" s="328"/>
      <c r="AP1619" s="299"/>
      <c r="AQ1619" s="302"/>
      <c r="AR1619" s="299"/>
      <c r="AS1619" s="295"/>
      <c r="AT1619" s="193"/>
      <c r="AU1619" s="328"/>
      <c r="AV1619" s="328"/>
      <c r="AW1619" s="294"/>
      <c r="AX1619" s="294"/>
      <c r="AY1619" s="295"/>
      <c r="AZ1619" s="299"/>
      <c r="BA1619" s="302"/>
      <c r="BB1619" s="302"/>
      <c r="BC1619" s="299"/>
      <c r="BD1619" s="328"/>
      <c r="BE1619" s="328"/>
      <c r="BF1619" s="328"/>
      <c r="BG1619" s="295"/>
      <c r="BH1619" s="299"/>
      <c r="BI1619" s="302"/>
      <c r="BJ1619" s="299"/>
      <c r="BK1619" s="295"/>
      <c r="BL1619" s="328"/>
      <c r="BN1619" s="206"/>
      <c r="BO1619" s="193"/>
      <c r="BP1619" s="193"/>
      <c r="BQ1619" s="294"/>
      <c r="BR1619" s="294"/>
      <c r="BT1619" s="295"/>
      <c r="BU1619" s="299"/>
      <c r="BV1619" s="299"/>
      <c r="BW1619" s="206"/>
      <c r="BX1619" s="295"/>
      <c r="BY1619" s="293"/>
      <c r="BZ1619" s="297"/>
      <c r="CA1619" s="297"/>
      <c r="CB1619" s="294"/>
      <c r="CC1619" s="294"/>
      <c r="CD1619" s="206"/>
      <c r="CE1619" s="205"/>
      <c r="CF1619" s="293"/>
      <c r="CG1619" s="297"/>
      <c r="CH1619" s="161"/>
      <c r="CI1619" s="193"/>
      <c r="CJ1619" s="206"/>
      <c r="CK1619" s="295"/>
      <c r="CL1619" s="295"/>
      <c r="CM1619" s="193"/>
      <c r="CN1619" s="295"/>
      <c r="CO1619" s="299"/>
      <c r="CP1619" s="302"/>
      <c r="CQ1619" s="295"/>
      <c r="CR1619" s="295"/>
      <c r="CS1619" s="299"/>
    </row>
    <row r="1620" spans="1:97">
      <c r="A1620" s="299"/>
      <c r="B1620" s="295"/>
      <c r="C1620" s="193"/>
      <c r="D1620" s="328"/>
      <c r="E1620" s="298"/>
      <c r="F1620" s="207"/>
      <c r="G1620" s="207"/>
      <c r="H1620" s="328"/>
      <c r="I1620" s="295"/>
      <c r="J1620" s="302"/>
      <c r="K1620" s="299"/>
      <c r="L1620" s="295"/>
      <c r="M1620" s="193"/>
      <c r="N1620" s="328"/>
      <c r="O1620" s="298"/>
      <c r="P1620" s="298"/>
      <c r="Q1620" s="298"/>
      <c r="R1620" s="207"/>
      <c r="S1620" s="298"/>
      <c r="T1620" s="295"/>
      <c r="U1620" s="299"/>
      <c r="V1620" s="302"/>
      <c r="W1620" s="299"/>
      <c r="X1620" s="328"/>
      <c r="Y1620" s="328"/>
      <c r="Z1620" s="298"/>
      <c r="AA1620" s="298"/>
      <c r="AB1620" s="299"/>
      <c r="AC1620" s="302"/>
      <c r="AD1620" s="302"/>
      <c r="AE1620" s="299"/>
      <c r="AF1620" s="295"/>
      <c r="AG1620" s="299"/>
      <c r="AH1620" s="295"/>
      <c r="AI1620" s="193"/>
      <c r="AJ1620" s="328"/>
      <c r="AK1620" s="294"/>
      <c r="AL1620" s="298"/>
      <c r="AM1620" s="298"/>
      <c r="AN1620" s="294"/>
      <c r="AO1620" s="295"/>
      <c r="AP1620" s="302"/>
      <c r="AQ1620" s="299"/>
      <c r="AR1620" s="295"/>
      <c r="AS1620" s="193"/>
      <c r="AT1620" s="328"/>
      <c r="AU1620" s="328"/>
      <c r="AV1620" s="328"/>
      <c r="AW1620" s="294"/>
      <c r="AX1620" s="298"/>
      <c r="AY1620" s="328"/>
      <c r="AZ1620" s="295"/>
      <c r="BA1620" s="299"/>
      <c r="BB1620" s="302"/>
      <c r="BC1620" s="299"/>
      <c r="BD1620" s="328"/>
      <c r="BE1620" s="328"/>
      <c r="BF1620" s="294"/>
      <c r="BG1620" s="294"/>
      <c r="BH1620" s="299"/>
      <c r="BI1620" s="302"/>
      <c r="BJ1620" s="302"/>
      <c r="BK1620" s="299"/>
      <c r="BL1620" s="295"/>
      <c r="BN1620" s="295"/>
      <c r="BO1620" s="295"/>
      <c r="BS1620" s="295"/>
      <c r="BT1620" s="299"/>
      <c r="BU1620" s="299"/>
      <c r="BV1620" s="302"/>
      <c r="BW1620" s="295"/>
      <c r="BX1620" s="193"/>
      <c r="BY1620" s="193"/>
      <c r="BZ1620" s="293"/>
      <c r="CA1620" s="297"/>
      <c r="CB1620" s="297"/>
      <c r="CC1620" s="297"/>
      <c r="CD1620" s="297"/>
      <c r="CE1620" s="297"/>
      <c r="CF1620" s="297"/>
      <c r="CG1620" s="161"/>
      <c r="CH1620" s="193"/>
      <c r="CI1620" s="295"/>
      <c r="CJ1620" s="295"/>
      <c r="CK1620" s="295"/>
      <c r="CL1620" s="193"/>
      <c r="CN1620" s="295"/>
      <c r="CO1620" s="299"/>
      <c r="CP1620" s="302"/>
      <c r="CQ1620" s="299"/>
      <c r="CR1620" s="299"/>
      <c r="CS1620" s="302"/>
    </row>
    <row r="1621" spans="1:97">
      <c r="A1621" s="295"/>
      <c r="B1621" s="193"/>
      <c r="C1621" s="328"/>
      <c r="D1621" s="328"/>
      <c r="E1621" s="328"/>
      <c r="F1621" s="328"/>
      <c r="G1621" s="328"/>
      <c r="H1621" s="328"/>
      <c r="I1621" s="299"/>
      <c r="J1621" s="302"/>
      <c r="K1621" s="295"/>
      <c r="L1621" s="193"/>
      <c r="M1621" s="328"/>
      <c r="N1621" s="328"/>
      <c r="O1621" s="328"/>
      <c r="P1621" s="207"/>
      <c r="Q1621" s="207"/>
      <c r="R1621" s="298"/>
      <c r="S1621" s="328"/>
      <c r="T1621" s="328"/>
      <c r="U1621" s="295"/>
      <c r="V1621" s="299"/>
      <c r="W1621" s="299"/>
      <c r="X1621" s="295"/>
      <c r="Y1621" s="328"/>
      <c r="Z1621" s="207"/>
      <c r="AA1621" s="298"/>
      <c r="AB1621" s="295"/>
      <c r="AC1621" s="299"/>
      <c r="AD1621" s="302"/>
      <c r="AE1621" s="302"/>
      <c r="AF1621" s="299"/>
      <c r="AG1621" s="295"/>
      <c r="AH1621" s="193"/>
      <c r="AI1621" s="328"/>
      <c r="AJ1621" s="328"/>
      <c r="AK1621" s="328"/>
      <c r="AL1621" s="328"/>
      <c r="AM1621" s="328"/>
      <c r="AN1621" s="328"/>
      <c r="AO1621" s="299"/>
      <c r="AP1621" s="302"/>
      <c r="AQ1621" s="295"/>
      <c r="AR1621" s="193"/>
      <c r="AS1621" s="328"/>
      <c r="AT1621" s="328"/>
      <c r="AU1621" s="328"/>
      <c r="AV1621" s="294"/>
      <c r="AW1621" s="298"/>
      <c r="AX1621" s="294"/>
      <c r="AY1621" s="328"/>
      <c r="AZ1621" s="328"/>
      <c r="BA1621" s="295"/>
      <c r="BB1621" s="299"/>
      <c r="BC1621" s="299"/>
      <c r="BD1621" s="295"/>
      <c r="BE1621" s="328"/>
      <c r="BF1621" s="298"/>
      <c r="BG1621" s="294"/>
      <c r="BH1621" s="295"/>
      <c r="BI1621" s="299"/>
      <c r="BJ1621" s="302"/>
      <c r="BK1621" s="302"/>
      <c r="BL1621" s="299"/>
      <c r="BN1621" s="302"/>
      <c r="BO1621" s="299"/>
      <c r="BP1621" s="295"/>
      <c r="BQ1621" s="295"/>
      <c r="BR1621" s="299"/>
      <c r="BS1621" s="299"/>
      <c r="BT1621" s="299"/>
      <c r="BU1621" s="302"/>
      <c r="BV1621" s="299"/>
      <c r="BW1621" s="295"/>
      <c r="BX1621" s="206"/>
      <c r="BY1621" s="299"/>
      <c r="BZ1621" s="193"/>
      <c r="CA1621" s="161"/>
      <c r="CB1621" s="161"/>
      <c r="CC1621" s="161"/>
      <c r="CD1621" s="161"/>
      <c r="CE1621" s="161"/>
      <c r="CF1621" s="161"/>
      <c r="CG1621" s="193"/>
      <c r="CI1621" s="193"/>
      <c r="CJ1621" s="193"/>
      <c r="CK1621" s="193"/>
      <c r="CL1621" s="291"/>
      <c r="CO1621" s="295"/>
      <c r="CP1621" s="299"/>
      <c r="CQ1621" s="302"/>
      <c r="CR1621" s="302"/>
      <c r="CS1621" s="299"/>
    </row>
    <row r="1622" spans="1:97">
      <c r="A1622" s="290"/>
      <c r="B1622" s="328"/>
      <c r="C1622" s="328"/>
      <c r="D1622" s="328"/>
      <c r="E1622" s="328"/>
      <c r="F1622" s="295"/>
      <c r="G1622" s="295"/>
      <c r="H1622" s="295"/>
      <c r="I1622" s="302"/>
      <c r="J1622" s="299"/>
      <c r="K1622" s="295"/>
      <c r="L1622" s="193"/>
      <c r="M1622" s="328"/>
      <c r="N1622" s="328"/>
      <c r="O1622" s="328"/>
      <c r="P1622" s="328"/>
      <c r="Q1622" s="328"/>
      <c r="R1622" s="328"/>
      <c r="S1622" s="328"/>
      <c r="T1622" s="328"/>
      <c r="U1622" s="302"/>
      <c r="V1622" s="299"/>
      <c r="W1622" s="302"/>
      <c r="X1622" s="295"/>
      <c r="Y1622" s="298"/>
      <c r="Z1622" s="298"/>
      <c r="AA1622" s="328"/>
      <c r="AB1622" s="328"/>
      <c r="AC1622" s="299"/>
      <c r="AD1622" s="302"/>
      <c r="AE1622" s="299"/>
      <c r="AF1622" s="302"/>
      <c r="AG1622" s="290"/>
      <c r="AH1622" s="328"/>
      <c r="AI1622" s="328"/>
      <c r="AJ1622" s="328"/>
      <c r="AK1622" s="328"/>
      <c r="AL1622" s="295"/>
      <c r="AM1622" s="295"/>
      <c r="AN1622" s="295"/>
      <c r="AO1622" s="302"/>
      <c r="AP1622" s="299"/>
      <c r="AQ1622" s="295"/>
      <c r="AR1622" s="193"/>
      <c r="AS1622" s="328"/>
      <c r="AT1622" s="328"/>
      <c r="AU1622" s="328"/>
      <c r="AV1622" s="294"/>
      <c r="AW1622" s="294"/>
      <c r="AX1622" s="328"/>
      <c r="AY1622" s="328"/>
      <c r="AZ1622" s="328"/>
      <c r="BA1622" s="302"/>
      <c r="BB1622" s="299"/>
      <c r="BC1622" s="302"/>
      <c r="BD1622" s="295"/>
      <c r="BE1622" s="294"/>
      <c r="BF1622" s="298"/>
      <c r="BG1622" s="328"/>
      <c r="BH1622" s="328"/>
      <c r="BI1622" s="299"/>
      <c r="BJ1622" s="302"/>
      <c r="BK1622" s="299"/>
      <c r="BL1622" s="302"/>
      <c r="BN1622" s="299"/>
      <c r="BO1622" s="302"/>
      <c r="BP1622" s="302"/>
      <c r="BQ1622" s="302"/>
      <c r="BR1622" s="302"/>
      <c r="BS1622" s="302"/>
      <c r="BT1622" s="302"/>
      <c r="BU1622" s="299"/>
      <c r="BV1622" s="295"/>
      <c r="BW1622" s="193"/>
      <c r="BX1622" s="201"/>
      <c r="BY1622" s="199"/>
      <c r="BZ1622" s="193"/>
      <c r="CA1622" s="193"/>
      <c r="CB1622" s="193"/>
      <c r="CC1622" s="193"/>
      <c r="CD1622" s="193"/>
      <c r="CE1622" s="193"/>
      <c r="CF1622" s="193"/>
      <c r="CG1622" s="295"/>
      <c r="CH1622" s="295"/>
      <c r="CJ1622" s="201"/>
      <c r="CK1622" s="201"/>
      <c r="CL1622" s="201"/>
      <c r="CM1622" s="291"/>
      <c r="CO1622" s="295"/>
      <c r="CP1622" s="299"/>
      <c r="CQ1622" s="302"/>
      <c r="CR1622" s="299"/>
      <c r="CS1622" s="295"/>
    </row>
    <row r="1623" spans="1:97">
      <c r="A1623" s="199"/>
      <c r="B1623" s="290"/>
      <c r="C1623" s="328"/>
      <c r="D1623" s="295"/>
      <c r="E1623" s="299"/>
      <c r="F1623" s="299"/>
      <c r="G1623" s="299"/>
      <c r="H1623" s="299"/>
      <c r="I1623" s="302"/>
      <c r="J1623" s="299"/>
      <c r="K1623" s="295"/>
      <c r="L1623" s="193"/>
      <c r="M1623" s="328"/>
      <c r="N1623" s="328"/>
      <c r="O1623" s="298"/>
      <c r="P1623" s="207"/>
      <c r="Q1623" s="207"/>
      <c r="R1623" s="298"/>
      <c r="S1623" s="328"/>
      <c r="T1623" s="299"/>
      <c r="U1623" s="299"/>
      <c r="V1623" s="299"/>
      <c r="W1623" s="302"/>
      <c r="X1623" s="299"/>
      <c r="Y1623" s="298"/>
      <c r="Z1623" s="298"/>
      <c r="AA1623" s="328"/>
      <c r="AB1623" s="328"/>
      <c r="AC1623" s="299"/>
      <c r="AD1623" s="302"/>
      <c r="AE1623" s="299"/>
      <c r="AF1623" s="295"/>
      <c r="AG1623" s="201"/>
      <c r="AH1623" s="290"/>
      <c r="AI1623" s="328"/>
      <c r="AJ1623" s="295"/>
      <c r="AK1623" s="299"/>
      <c r="AL1623" s="299"/>
      <c r="AM1623" s="299"/>
      <c r="AN1623" s="299"/>
      <c r="AO1623" s="302"/>
      <c r="AP1623" s="299"/>
      <c r="AQ1623" s="295"/>
      <c r="AR1623" s="193"/>
      <c r="AS1623" s="328"/>
      <c r="AT1623" s="328"/>
      <c r="AU1623" s="294"/>
      <c r="AV1623" s="298"/>
      <c r="AW1623" s="298"/>
      <c r="AX1623" s="294"/>
      <c r="AY1623" s="328"/>
      <c r="AZ1623" s="299"/>
      <c r="BA1623" s="299"/>
      <c r="BB1623" s="299"/>
      <c r="BC1623" s="302"/>
      <c r="BD1623" s="299"/>
      <c r="BE1623" s="294"/>
      <c r="BF1623" s="294"/>
      <c r="BG1623" s="328"/>
      <c r="BH1623" s="328"/>
      <c r="BI1623" s="299"/>
      <c r="BJ1623" s="302"/>
      <c r="BK1623" s="299"/>
      <c r="BL1623" s="295"/>
      <c r="BN1623" s="295"/>
      <c r="BO1623" s="299"/>
      <c r="BP1623" s="299"/>
      <c r="BQ1623" s="299"/>
      <c r="BR1623" s="299"/>
      <c r="BS1623" s="302"/>
      <c r="BT1623" s="299"/>
      <c r="BU1623" s="295"/>
      <c r="BV1623" s="193"/>
      <c r="BW1623" s="201"/>
      <c r="BX1623" s="199"/>
      <c r="BY1623" s="201"/>
      <c r="BZ1623" s="205"/>
      <c r="CA1623" s="294"/>
      <c r="CB1623" s="298"/>
      <c r="CC1623" s="205"/>
      <c r="CD1623" s="295"/>
      <c r="CE1623" s="295"/>
      <c r="CF1623" s="193"/>
      <c r="CG1623" s="206"/>
      <c r="CH1623" s="295"/>
      <c r="CK1623" s="201"/>
      <c r="CL1623" s="199"/>
      <c r="CM1623" s="199"/>
      <c r="CN1623" s="201"/>
      <c r="CP1623" s="295"/>
      <c r="CQ1623" s="299"/>
      <c r="CR1623" s="295"/>
      <c r="CS1623" s="193"/>
    </row>
    <row r="1624" spans="1:97">
      <c r="A1624" s="290"/>
      <c r="B1624" s="201"/>
      <c r="C1624" s="295"/>
      <c r="D1624" s="299"/>
      <c r="E1624" s="304"/>
      <c r="F1624" s="302"/>
      <c r="G1624" s="302"/>
      <c r="H1624" s="302"/>
      <c r="I1624" s="302"/>
      <c r="J1624" s="299"/>
      <c r="K1624" s="295"/>
      <c r="L1624" s="193"/>
      <c r="M1624" s="298"/>
      <c r="N1624" s="207"/>
      <c r="O1624" s="207"/>
      <c r="P1624" s="298"/>
      <c r="Q1624" s="298"/>
      <c r="R1624" s="207"/>
      <c r="S1624" s="299"/>
      <c r="T1624" s="295"/>
      <c r="U1624" s="295"/>
      <c r="V1624" s="295"/>
      <c r="W1624" s="299"/>
      <c r="X1624" s="299"/>
      <c r="Y1624" s="295"/>
      <c r="Z1624" s="328"/>
      <c r="AA1624" s="328"/>
      <c r="AB1624" s="328"/>
      <c r="AC1624" s="299"/>
      <c r="AD1624" s="302"/>
      <c r="AE1624" s="299"/>
      <c r="AF1624" s="290"/>
      <c r="AG1624" s="290"/>
      <c r="AH1624" s="201"/>
      <c r="AI1624" s="295"/>
      <c r="AJ1624" s="299"/>
      <c r="AK1624" s="302"/>
      <c r="AL1624" s="302"/>
      <c r="AM1624" s="302"/>
      <c r="AN1624" s="302"/>
      <c r="AO1624" s="302"/>
      <c r="AP1624" s="299"/>
      <c r="AQ1624" s="295"/>
      <c r="AR1624" s="193"/>
      <c r="AS1624" s="294"/>
      <c r="AT1624" s="298"/>
      <c r="AU1624" s="298"/>
      <c r="AV1624" s="294"/>
      <c r="AW1624" s="294"/>
      <c r="AX1624" s="298"/>
      <c r="AY1624" s="299"/>
      <c r="AZ1624" s="295"/>
      <c r="BA1624" s="295"/>
      <c r="BB1624" s="295"/>
      <c r="BC1624" s="299"/>
      <c r="BD1624" s="299"/>
      <c r="BE1624" s="295"/>
      <c r="BF1624" s="328"/>
      <c r="BG1624" s="328"/>
      <c r="BH1624" s="328"/>
      <c r="BI1624" s="299"/>
      <c r="BJ1624" s="302"/>
      <c r="BK1624" s="299"/>
      <c r="BL1624" s="290"/>
      <c r="BO1624" s="295"/>
      <c r="BP1624" s="295"/>
      <c r="BQ1624" s="299"/>
      <c r="BR1624" s="302"/>
      <c r="BS1624" s="299"/>
      <c r="BT1624" s="295"/>
      <c r="BU1624" s="193"/>
      <c r="BV1624" s="201"/>
      <c r="BW1624" s="199"/>
      <c r="BX1624" s="201"/>
      <c r="BY1624" s="291"/>
      <c r="CA1624" s="298"/>
      <c r="CB1624" s="294"/>
      <c r="CC1624" s="193"/>
      <c r="CD1624" s="295"/>
      <c r="CE1624" s="299"/>
      <c r="CF1624" s="302"/>
      <c r="CG1624" s="299"/>
      <c r="CH1624" s="299"/>
      <c r="CI1624" s="295"/>
      <c r="CL1624" s="291"/>
      <c r="CM1624" s="201"/>
      <c r="CN1624" s="199"/>
      <c r="CO1624" s="201"/>
      <c r="CP1624" s="193"/>
      <c r="CQ1624" s="193"/>
      <c r="CR1624" s="193"/>
      <c r="CS1624" s="199"/>
    </row>
    <row r="1625" spans="1:97">
      <c r="A1625" s="328"/>
      <c r="B1625" s="295"/>
      <c r="C1625" s="299"/>
      <c r="D1625" s="302"/>
      <c r="E1625" s="299"/>
      <c r="F1625" s="299"/>
      <c r="G1625" s="299"/>
      <c r="H1625" s="299"/>
      <c r="I1625" s="299"/>
      <c r="J1625" s="304"/>
      <c r="K1625" s="299"/>
      <c r="L1625" s="295"/>
      <c r="M1625" s="298"/>
      <c r="N1625" s="298"/>
      <c r="O1625" s="328"/>
      <c r="P1625" s="328"/>
      <c r="Q1625" s="298"/>
      <c r="R1625" s="207"/>
      <c r="S1625" s="298"/>
      <c r="T1625" s="328"/>
      <c r="U1625" s="328"/>
      <c r="V1625" s="193"/>
      <c r="W1625" s="299"/>
      <c r="X1625" s="302"/>
      <c r="Y1625" s="295"/>
      <c r="Z1625" s="328"/>
      <c r="AA1625" s="328"/>
      <c r="AB1625" s="328"/>
      <c r="AC1625" s="299"/>
      <c r="AD1625" s="299"/>
      <c r="AE1625" s="299"/>
      <c r="AF1625" s="290"/>
      <c r="AG1625" s="328"/>
      <c r="AH1625" s="295"/>
      <c r="AI1625" s="299"/>
      <c r="AJ1625" s="302"/>
      <c r="AK1625" s="299"/>
      <c r="AL1625" s="299"/>
      <c r="AM1625" s="299"/>
      <c r="AN1625" s="299"/>
      <c r="AO1625" s="299"/>
      <c r="AP1625" s="302"/>
      <c r="AQ1625" s="299"/>
      <c r="AR1625" s="295"/>
      <c r="AS1625" s="294"/>
      <c r="AT1625" s="294"/>
      <c r="AU1625" s="328"/>
      <c r="AV1625" s="328"/>
      <c r="AW1625" s="294"/>
      <c r="AX1625" s="298"/>
      <c r="AY1625" s="294"/>
      <c r="AZ1625" s="328"/>
      <c r="BA1625" s="328"/>
      <c r="BB1625" s="193"/>
      <c r="BC1625" s="299"/>
      <c r="BD1625" s="302"/>
      <c r="BE1625" s="295"/>
      <c r="BF1625" s="328"/>
      <c r="BG1625" s="328"/>
      <c r="BH1625" s="328"/>
      <c r="BI1625" s="299"/>
      <c r="BJ1625" s="299"/>
      <c r="BK1625" s="299"/>
      <c r="BL1625" s="290"/>
      <c r="BO1625" s="295"/>
      <c r="BP1625" s="299"/>
      <c r="BQ1625" s="302"/>
      <c r="BR1625" s="299"/>
      <c r="BS1625" s="295"/>
      <c r="BT1625" s="193"/>
      <c r="BU1625" s="291"/>
      <c r="BV1625" s="199"/>
      <c r="BW1625" s="295"/>
      <c r="BX1625" s="299"/>
      <c r="BY1625" s="299"/>
      <c r="BZ1625" s="295"/>
      <c r="CA1625" s="294"/>
      <c r="CB1625" s="294"/>
      <c r="CD1625" s="295"/>
      <c r="CE1625" s="295"/>
      <c r="CF1625" s="299"/>
      <c r="CG1625" s="302"/>
      <c r="CH1625" s="299"/>
      <c r="CI1625" s="295"/>
      <c r="CJ1625" s="193"/>
      <c r="CN1625" s="201"/>
      <c r="CO1625" s="199"/>
      <c r="CP1625" s="201"/>
      <c r="CQ1625" s="201"/>
      <c r="CR1625" s="199"/>
    </row>
    <row r="1626" spans="1:97">
      <c r="A1626" s="328"/>
      <c r="B1626" s="299"/>
      <c r="C1626" s="304"/>
      <c r="D1626" s="299"/>
      <c r="E1626" s="295"/>
      <c r="F1626" s="295"/>
      <c r="G1626" s="201"/>
      <c r="H1626" s="193"/>
      <c r="I1626" s="295"/>
      <c r="J1626" s="302"/>
      <c r="K1626" s="299"/>
      <c r="L1626" s="295"/>
      <c r="M1626" s="328"/>
      <c r="N1626" s="328"/>
      <c r="O1626" s="328"/>
      <c r="P1626" s="299"/>
      <c r="Q1626" s="298"/>
      <c r="R1626" s="298"/>
      <c r="S1626" s="207"/>
      <c r="T1626" s="328"/>
      <c r="U1626" s="298"/>
      <c r="V1626" s="298"/>
      <c r="W1626" s="299"/>
      <c r="X1626" s="302"/>
      <c r="Y1626" s="299"/>
      <c r="Z1626" s="328"/>
      <c r="AA1626" s="328"/>
      <c r="AB1626" s="291"/>
      <c r="AC1626" s="295"/>
      <c r="AD1626" s="299"/>
      <c r="AE1626" s="302"/>
      <c r="AF1626" s="295"/>
      <c r="AG1626" s="328"/>
      <c r="AH1626" s="299"/>
      <c r="AI1626" s="302"/>
      <c r="AJ1626" s="299"/>
      <c r="AK1626" s="295"/>
      <c r="AL1626" s="295"/>
      <c r="AM1626" s="201"/>
      <c r="AN1626" s="193"/>
      <c r="AO1626" s="295"/>
      <c r="AP1626" s="302"/>
      <c r="AQ1626" s="299"/>
      <c r="AR1626" s="295"/>
      <c r="AS1626" s="328"/>
      <c r="AT1626" s="328"/>
      <c r="AU1626" s="328"/>
      <c r="AV1626" s="299"/>
      <c r="AW1626" s="294"/>
      <c r="AX1626" s="298"/>
      <c r="AY1626" s="294"/>
      <c r="AZ1626" s="328"/>
      <c r="BA1626" s="294"/>
      <c r="BB1626" s="294"/>
      <c r="BC1626" s="299"/>
      <c r="BD1626" s="302"/>
      <c r="BE1626" s="299"/>
      <c r="BF1626" s="328"/>
      <c r="BG1626" s="328"/>
      <c r="BH1626" s="291"/>
      <c r="BI1626" s="295"/>
      <c r="BJ1626" s="299"/>
      <c r="BK1626" s="302"/>
      <c r="BL1626" s="295"/>
      <c r="BN1626" s="295"/>
      <c r="BO1626" s="299"/>
      <c r="BP1626" s="302"/>
      <c r="BQ1626" s="299"/>
      <c r="BR1626" s="302"/>
      <c r="BS1626" s="299"/>
      <c r="BT1626" s="193"/>
      <c r="BU1626" s="199"/>
      <c r="BV1626" s="295"/>
      <c r="BW1626" s="302"/>
      <c r="BX1626" s="302"/>
      <c r="BY1626" s="302"/>
      <c r="BZ1626" s="299"/>
      <c r="CA1626" s="295"/>
      <c r="CB1626" s="298"/>
      <c r="CC1626" s="294"/>
      <c r="CE1626" s="295"/>
      <c r="CF1626" s="295"/>
      <c r="CG1626" s="299"/>
      <c r="CH1626" s="302"/>
      <c r="CI1626" s="299"/>
      <c r="CJ1626" s="295"/>
      <c r="CK1626" s="193"/>
      <c r="CO1626" s="291"/>
      <c r="CP1626" s="291"/>
      <c r="CQ1626" s="201"/>
      <c r="CR1626" s="201"/>
      <c r="CS1626" s="295"/>
    </row>
    <row r="1627" spans="1:97">
      <c r="A1627" s="295"/>
      <c r="B1627" s="302"/>
      <c r="C1627" s="299"/>
      <c r="D1627" s="295"/>
      <c r="E1627" s="193"/>
      <c r="F1627" s="201"/>
      <c r="G1627" s="199"/>
      <c r="H1627" s="328"/>
      <c r="I1627" s="294"/>
      <c r="J1627" s="299"/>
      <c r="K1627" s="302"/>
      <c r="L1627" s="299"/>
      <c r="M1627" s="328"/>
      <c r="N1627" s="299"/>
      <c r="O1627" s="299"/>
      <c r="P1627" s="295"/>
      <c r="Q1627" s="328"/>
      <c r="R1627" s="298"/>
      <c r="S1627" s="207"/>
      <c r="T1627" s="298"/>
      <c r="U1627" s="207"/>
      <c r="V1627" s="328"/>
      <c r="W1627" s="299"/>
      <c r="X1627" s="302"/>
      <c r="Y1627" s="299"/>
      <c r="Z1627" s="193"/>
      <c r="AA1627" s="291"/>
      <c r="AB1627" s="199"/>
      <c r="AC1627" s="291"/>
      <c r="AD1627" s="299"/>
      <c r="AE1627" s="302"/>
      <c r="AF1627" s="299"/>
      <c r="AG1627" s="295"/>
      <c r="AH1627" s="302"/>
      <c r="AI1627" s="299"/>
      <c r="AJ1627" s="295"/>
      <c r="AK1627" s="193"/>
      <c r="AL1627" s="201"/>
      <c r="AM1627" s="328"/>
      <c r="AN1627" s="328"/>
      <c r="AO1627" s="294"/>
      <c r="AP1627" s="299"/>
      <c r="AQ1627" s="302"/>
      <c r="AR1627" s="299"/>
      <c r="AS1627" s="328"/>
      <c r="AT1627" s="328"/>
      <c r="AU1627" s="299"/>
      <c r="AV1627" s="295"/>
      <c r="AW1627" s="328"/>
      <c r="AX1627" s="294"/>
      <c r="AY1627" s="298"/>
      <c r="AZ1627" s="298"/>
      <c r="BA1627" s="298"/>
      <c r="BB1627" s="328"/>
      <c r="BC1627" s="299"/>
      <c r="BD1627" s="302"/>
      <c r="BE1627" s="299"/>
      <c r="BF1627" s="193"/>
      <c r="BG1627" s="291"/>
      <c r="BH1627" s="201"/>
      <c r="BI1627" s="291"/>
      <c r="BJ1627" s="299"/>
      <c r="BK1627" s="302"/>
      <c r="BL1627" s="302"/>
      <c r="BN1627" s="302"/>
      <c r="BO1627" s="302"/>
      <c r="BP1627" s="299"/>
      <c r="BQ1627" s="295"/>
      <c r="BR1627" s="299"/>
      <c r="BS1627" s="302"/>
      <c r="BT1627" s="299"/>
      <c r="BU1627" s="295"/>
      <c r="BV1627" s="302"/>
      <c r="BW1627" s="299"/>
      <c r="BX1627" s="299"/>
      <c r="BY1627" s="299"/>
      <c r="BZ1627" s="302"/>
      <c r="CA1627" s="299"/>
      <c r="CB1627" s="295"/>
      <c r="CC1627" s="298"/>
      <c r="CD1627" s="294"/>
      <c r="CF1627" s="295"/>
      <c r="CG1627" s="295"/>
      <c r="CH1627" s="299"/>
      <c r="CI1627" s="302"/>
      <c r="CJ1627" s="299"/>
      <c r="CK1627" s="295"/>
      <c r="CL1627" s="295"/>
      <c r="CQ1627" s="295"/>
      <c r="CR1627" s="299"/>
      <c r="CS1627" s="299"/>
    </row>
    <row r="1628" spans="1:97">
      <c r="A1628" s="299"/>
      <c r="B1628" s="302"/>
      <c r="C1628" s="295"/>
      <c r="D1628" s="193"/>
      <c r="E1628" s="201"/>
      <c r="F1628" s="199"/>
      <c r="G1628" s="328"/>
      <c r="H1628" s="328"/>
      <c r="I1628" s="298"/>
      <c r="J1628" s="295"/>
      <c r="K1628" s="302"/>
      <c r="L1628" s="299"/>
      <c r="M1628" s="295"/>
      <c r="N1628" s="328"/>
      <c r="O1628" s="328"/>
      <c r="P1628" s="328"/>
      <c r="Q1628" s="328"/>
      <c r="R1628" s="328"/>
      <c r="S1628" s="207"/>
      <c r="T1628" s="207"/>
      <c r="U1628" s="328"/>
      <c r="V1628" s="328"/>
      <c r="W1628" s="295"/>
      <c r="X1628" s="299"/>
      <c r="Y1628" s="299"/>
      <c r="Z1628" s="295"/>
      <c r="AA1628" s="199"/>
      <c r="AB1628" s="291"/>
      <c r="AC1628" s="328"/>
      <c r="AD1628" s="299"/>
      <c r="AE1628" s="302"/>
      <c r="AF1628" s="295"/>
      <c r="AG1628" s="299"/>
      <c r="AH1628" s="302"/>
      <c r="AI1628" s="295"/>
      <c r="AJ1628" s="193"/>
      <c r="AK1628" s="201"/>
      <c r="AL1628" s="199"/>
      <c r="AM1628" s="328"/>
      <c r="AN1628" s="294"/>
      <c r="AO1628" s="298"/>
      <c r="AP1628" s="295"/>
      <c r="AQ1628" s="302"/>
      <c r="AR1628" s="299"/>
      <c r="AS1628" s="295"/>
      <c r="AT1628" s="328"/>
      <c r="AU1628" s="328"/>
      <c r="AV1628" s="299"/>
      <c r="AW1628" s="328"/>
      <c r="AX1628" s="328"/>
      <c r="AY1628" s="298"/>
      <c r="AZ1628" s="294"/>
      <c r="BA1628" s="328"/>
      <c r="BB1628" s="328"/>
      <c r="BC1628" s="295"/>
      <c r="BD1628" s="299"/>
      <c r="BE1628" s="299"/>
      <c r="BF1628" s="295"/>
      <c r="BG1628" s="199"/>
      <c r="BH1628" s="291"/>
      <c r="BI1628" s="328"/>
      <c r="BJ1628" s="299"/>
      <c r="BK1628" s="302"/>
      <c r="BL1628" s="299"/>
      <c r="BN1628" s="299"/>
      <c r="BO1628" s="299"/>
      <c r="BP1628" s="295"/>
      <c r="BQ1628" s="193"/>
      <c r="BR1628" s="295"/>
      <c r="BS1628" s="299"/>
      <c r="BT1628" s="302"/>
      <c r="BU1628" s="302"/>
      <c r="BV1628" s="299"/>
      <c r="BW1628" s="295"/>
      <c r="BX1628" s="295"/>
      <c r="BY1628" s="295"/>
      <c r="BZ1628" s="299"/>
      <c r="CA1628" s="302"/>
      <c r="CB1628" s="299"/>
      <c r="CC1628" s="295"/>
      <c r="CD1628" s="298"/>
      <c r="CE1628" s="298"/>
      <c r="CF1628" s="298"/>
      <c r="CG1628" s="295"/>
      <c r="CH1628" s="295"/>
      <c r="CI1628" s="299"/>
      <c r="CJ1628" s="302"/>
      <c r="CK1628" s="299"/>
      <c r="CL1628" s="299"/>
      <c r="CM1628" s="295"/>
      <c r="CN1628" s="295"/>
      <c r="CO1628" s="193"/>
      <c r="CP1628" s="295"/>
      <c r="CQ1628" s="299"/>
      <c r="CR1628" s="302"/>
      <c r="CS1628" s="302"/>
    </row>
    <row r="1629" spans="1:97">
      <c r="A1629" s="299"/>
      <c r="B1629" s="302"/>
      <c r="C1629" s="299"/>
      <c r="D1629" s="295"/>
      <c r="E1629" s="201"/>
      <c r="F1629" s="328"/>
      <c r="G1629" s="328"/>
      <c r="H1629" s="207"/>
      <c r="I1629" s="328"/>
      <c r="J1629" s="328"/>
      <c r="K1629" s="299"/>
      <c r="L1629" s="302"/>
      <c r="M1629" s="299"/>
      <c r="N1629" s="295"/>
      <c r="O1629" s="328"/>
      <c r="P1629" s="328"/>
      <c r="Q1629" s="328"/>
      <c r="R1629" s="298"/>
      <c r="S1629" s="207"/>
      <c r="T1629" s="298"/>
      <c r="U1629" s="328"/>
      <c r="V1629" s="328"/>
      <c r="W1629" s="328"/>
      <c r="X1629" s="299"/>
      <c r="Y1629" s="302"/>
      <c r="Z1629" s="295"/>
      <c r="AA1629" s="201"/>
      <c r="AB1629" s="328"/>
      <c r="AC1629" s="328"/>
      <c r="AD1629" s="299"/>
      <c r="AE1629" s="302"/>
      <c r="AF1629" s="295"/>
      <c r="AG1629" s="299"/>
      <c r="AH1629" s="302"/>
      <c r="AI1629" s="299"/>
      <c r="AJ1629" s="295"/>
      <c r="AK1629" s="201"/>
      <c r="AL1629" s="328"/>
      <c r="AM1629" s="294"/>
      <c r="AN1629" s="298"/>
      <c r="AO1629" s="294"/>
      <c r="AP1629" s="328"/>
      <c r="AQ1629" s="299"/>
      <c r="AR1629" s="302"/>
      <c r="AS1629" s="299"/>
      <c r="AT1629" s="295"/>
      <c r="AU1629" s="328"/>
      <c r="AV1629" s="328"/>
      <c r="AW1629" s="328"/>
      <c r="AX1629" s="294"/>
      <c r="AY1629" s="298"/>
      <c r="AZ1629" s="294"/>
      <c r="BA1629" s="328"/>
      <c r="BB1629" s="328"/>
      <c r="BC1629" s="328"/>
      <c r="BD1629" s="299"/>
      <c r="BE1629" s="302"/>
      <c r="BF1629" s="295"/>
      <c r="BG1629" s="201"/>
      <c r="BH1629" s="328"/>
      <c r="BI1629" s="328"/>
      <c r="BJ1629" s="299"/>
      <c r="BK1629" s="302"/>
      <c r="BL1629" s="295"/>
      <c r="BN1629" s="295"/>
      <c r="BO1629" s="295"/>
      <c r="BP1629" s="193"/>
      <c r="BR1629" s="201"/>
      <c r="BS1629" s="295"/>
      <c r="BT1629" s="299"/>
      <c r="BU1629" s="299"/>
      <c r="BV1629" s="295"/>
      <c r="BW1629" s="193"/>
      <c r="BX1629" s="193"/>
      <c r="BY1629" s="295"/>
      <c r="BZ1629" s="299"/>
      <c r="CA1629" s="302"/>
      <c r="CB1629" s="302"/>
      <c r="CC1629" s="299"/>
      <c r="CD1629" s="295"/>
      <c r="CE1629" s="294"/>
      <c r="CF1629" s="294"/>
      <c r="CG1629" s="298"/>
      <c r="CH1629" s="193"/>
      <c r="CI1629" s="295"/>
      <c r="CJ1629" s="299"/>
      <c r="CK1629" s="302"/>
      <c r="CL1629" s="302"/>
      <c r="CM1629" s="299"/>
      <c r="CN1629" s="299"/>
      <c r="CO1629" s="299"/>
      <c r="CP1629" s="302"/>
      <c r="CQ1629" s="302"/>
      <c r="CR1629" s="299"/>
      <c r="CS1629" s="295"/>
    </row>
    <row r="1630" spans="1:97">
      <c r="A1630" s="295"/>
      <c r="B1630" s="299"/>
      <c r="C1630" s="302"/>
      <c r="D1630" s="299"/>
      <c r="E1630" s="328"/>
      <c r="F1630" s="328"/>
      <c r="G1630" s="207"/>
      <c r="H1630" s="328"/>
      <c r="I1630" s="328"/>
      <c r="J1630" s="328"/>
      <c r="K1630" s="193"/>
      <c r="L1630" s="299"/>
      <c r="M1630" s="302"/>
      <c r="N1630" s="299"/>
      <c r="O1630" s="295"/>
      <c r="P1630" s="328"/>
      <c r="Q1630" s="298"/>
      <c r="R1630" s="207"/>
      <c r="S1630" s="298"/>
      <c r="T1630" s="207"/>
      <c r="U1630" s="298"/>
      <c r="V1630" s="328"/>
      <c r="W1630" s="328"/>
      <c r="X1630" s="299"/>
      <c r="Y1630" s="302"/>
      <c r="Z1630" s="295"/>
      <c r="AA1630" s="193"/>
      <c r="AB1630" s="328"/>
      <c r="AC1630" s="299"/>
      <c r="AD1630" s="302"/>
      <c r="AE1630" s="299"/>
      <c r="AF1630" s="290"/>
      <c r="AG1630" s="295"/>
      <c r="AH1630" s="299"/>
      <c r="AI1630" s="302"/>
      <c r="AJ1630" s="299"/>
      <c r="AK1630" s="328"/>
      <c r="AL1630" s="294"/>
      <c r="AM1630" s="294"/>
      <c r="AN1630" s="294"/>
      <c r="AO1630" s="328"/>
      <c r="AP1630" s="328"/>
      <c r="AQ1630" s="193"/>
      <c r="AR1630" s="299"/>
      <c r="AS1630" s="302"/>
      <c r="AT1630" s="299"/>
      <c r="AU1630" s="295"/>
      <c r="AV1630" s="328"/>
      <c r="AW1630" s="294"/>
      <c r="AX1630" s="298"/>
      <c r="AY1630" s="294"/>
      <c r="AZ1630" s="298"/>
      <c r="BA1630" s="294"/>
      <c r="BB1630" s="328"/>
      <c r="BC1630" s="328"/>
      <c r="BD1630" s="299"/>
      <c r="BE1630" s="302"/>
      <c r="BF1630" s="295"/>
      <c r="BG1630" s="193"/>
      <c r="BH1630" s="328"/>
      <c r="BI1630" s="299"/>
      <c r="BJ1630" s="302"/>
      <c r="BK1630" s="299"/>
      <c r="BL1630" s="290"/>
      <c r="BO1630" s="201"/>
      <c r="BP1630" s="199"/>
      <c r="BQ1630" s="201"/>
      <c r="BR1630" s="199"/>
      <c r="BS1630" s="201"/>
      <c r="BT1630" s="295"/>
      <c r="BU1630" s="295"/>
      <c r="BV1630" s="193"/>
      <c r="BX1630" s="295"/>
      <c r="BY1630" s="299"/>
      <c r="BZ1630" s="302"/>
      <c r="CA1630" s="299"/>
      <c r="CB1630" s="299"/>
      <c r="CC1630" s="302"/>
      <c r="CD1630" s="299"/>
      <c r="CE1630" s="295"/>
      <c r="CG1630" s="294"/>
      <c r="CH1630" s="298"/>
      <c r="CI1630" s="193"/>
      <c r="CJ1630" s="295"/>
      <c r="CK1630" s="295"/>
      <c r="CL1630" s="299"/>
      <c r="CM1630" s="302"/>
      <c r="CN1630" s="302"/>
      <c r="CO1630" s="302"/>
      <c r="CP1630" s="299"/>
      <c r="CQ1630" s="299"/>
      <c r="CR1630" s="295"/>
      <c r="CS1630" s="193"/>
    </row>
    <row r="1631" spans="1:97">
      <c r="A1631" s="193"/>
      <c r="B1631" s="295"/>
      <c r="C1631" s="299"/>
      <c r="D1631" s="302"/>
      <c r="E1631" s="295"/>
      <c r="F1631" s="298"/>
      <c r="G1631" s="328"/>
      <c r="H1631" s="207"/>
      <c r="I1631" s="328"/>
      <c r="J1631" s="328"/>
      <c r="K1631" s="328"/>
      <c r="L1631" s="193"/>
      <c r="M1631" s="299"/>
      <c r="N1631" s="302"/>
      <c r="O1631" s="299"/>
      <c r="P1631" s="295"/>
      <c r="Q1631" s="298"/>
      <c r="R1631" s="298"/>
      <c r="S1631" s="328"/>
      <c r="T1631" s="298"/>
      <c r="U1631" s="207"/>
      <c r="V1631" s="298"/>
      <c r="W1631" s="328"/>
      <c r="X1631" s="295"/>
      <c r="Y1631" s="299"/>
      <c r="Z1631" s="302"/>
      <c r="AA1631" s="299"/>
      <c r="AB1631" s="299"/>
      <c r="AC1631" s="299"/>
      <c r="AD1631" s="302"/>
      <c r="AE1631" s="295"/>
      <c r="AF1631" s="290"/>
      <c r="AG1631" s="193"/>
      <c r="AH1631" s="295"/>
      <c r="AI1631" s="299"/>
      <c r="AJ1631" s="302"/>
      <c r="AK1631" s="295"/>
      <c r="AL1631" s="298"/>
      <c r="AM1631" s="294"/>
      <c r="AN1631" s="298"/>
      <c r="AO1631" s="294"/>
      <c r="AP1631" s="294"/>
      <c r="AQ1631" s="290"/>
      <c r="AR1631" s="193"/>
      <c r="AS1631" s="299"/>
      <c r="AT1631" s="302"/>
      <c r="AU1631" s="299"/>
      <c r="AV1631" s="295"/>
      <c r="AW1631" s="298"/>
      <c r="AX1631" s="294"/>
      <c r="AY1631" s="328"/>
      <c r="AZ1631" s="294"/>
      <c r="BA1631" s="298"/>
      <c r="BB1631" s="294"/>
      <c r="BC1631" s="328"/>
      <c r="BD1631" s="295"/>
      <c r="BE1631" s="299"/>
      <c r="BF1631" s="302"/>
      <c r="BG1631" s="299"/>
      <c r="BH1631" s="299"/>
      <c r="BI1631" s="299"/>
      <c r="BJ1631" s="302"/>
      <c r="BK1631" s="295"/>
      <c r="BL1631" s="290"/>
      <c r="BO1631" s="291"/>
      <c r="BP1631" s="201"/>
      <c r="BQ1631" s="201"/>
      <c r="BR1631" s="201"/>
      <c r="BS1631" s="291"/>
      <c r="BW1631" s="295"/>
      <c r="BX1631" s="299"/>
      <c r="BY1631" s="302"/>
      <c r="BZ1631" s="299"/>
      <c r="CA1631" s="295"/>
      <c r="CB1631" s="295"/>
      <c r="CC1631" s="299"/>
      <c r="CD1631" s="302"/>
      <c r="CE1631" s="299"/>
      <c r="CF1631" s="295"/>
      <c r="CH1631" s="294"/>
      <c r="CI1631" s="298"/>
      <c r="CJ1631" s="294"/>
      <c r="CK1631" s="193"/>
      <c r="CL1631" s="295"/>
      <c r="CM1631" s="295"/>
      <c r="CN1631" s="299"/>
      <c r="CO1631" s="299"/>
      <c r="CP1631" s="295"/>
      <c r="CQ1631" s="193"/>
    </row>
    <row r="1632" spans="1:97">
      <c r="A1632" s="328"/>
      <c r="B1632" s="193"/>
      <c r="C1632" s="299"/>
      <c r="D1632" s="302"/>
      <c r="E1632" s="299"/>
      <c r="F1632" s="295"/>
      <c r="G1632" s="294"/>
      <c r="H1632" s="294"/>
      <c r="I1632" s="298"/>
      <c r="J1632" s="328"/>
      <c r="K1632" s="328"/>
      <c r="L1632" s="328"/>
      <c r="M1632" s="193"/>
      <c r="N1632" s="299"/>
      <c r="O1632" s="302"/>
      <c r="P1632" s="299"/>
      <c r="Q1632" s="295"/>
      <c r="R1632" s="328"/>
      <c r="S1632" s="328"/>
      <c r="T1632" s="328"/>
      <c r="U1632" s="298"/>
      <c r="V1632" s="207"/>
      <c r="W1632" s="298"/>
      <c r="X1632" s="328"/>
      <c r="Y1632" s="295"/>
      <c r="Z1632" s="299"/>
      <c r="AA1632" s="302"/>
      <c r="AB1632" s="302"/>
      <c r="AC1632" s="302"/>
      <c r="AD1632" s="295"/>
      <c r="AE1632" s="290"/>
      <c r="AF1632" s="290"/>
      <c r="AG1632" s="328"/>
      <c r="AH1632" s="193"/>
      <c r="AI1632" s="299"/>
      <c r="AJ1632" s="302"/>
      <c r="AK1632" s="299"/>
      <c r="AL1632" s="295"/>
      <c r="AM1632" s="294"/>
      <c r="AN1632" s="294"/>
      <c r="AO1632" s="298"/>
      <c r="AP1632" s="294"/>
      <c r="AQ1632" s="294"/>
      <c r="AR1632" s="290"/>
      <c r="AS1632" s="193"/>
      <c r="AT1632" s="299"/>
      <c r="AU1632" s="302"/>
      <c r="AV1632" s="299"/>
      <c r="AW1632" s="295"/>
      <c r="AX1632" s="328"/>
      <c r="AY1632" s="328"/>
      <c r="AZ1632" s="328"/>
      <c r="BA1632" s="294"/>
      <c r="BB1632" s="298"/>
      <c r="BC1632" s="294"/>
      <c r="BD1632" s="328"/>
      <c r="BE1632" s="295"/>
      <c r="BF1632" s="299"/>
      <c r="BG1632" s="302"/>
      <c r="BH1632" s="302"/>
      <c r="BI1632" s="302"/>
      <c r="BJ1632" s="295"/>
      <c r="BK1632" s="290"/>
      <c r="BL1632" s="290"/>
      <c r="BP1632" s="291"/>
      <c r="BQ1632" s="291"/>
      <c r="BR1632" s="291"/>
      <c r="BV1632" s="295"/>
      <c r="BW1632" s="299"/>
      <c r="BX1632" s="302"/>
      <c r="BY1632" s="299"/>
      <c r="BZ1632" s="295"/>
      <c r="CC1632" s="295"/>
      <c r="CD1632" s="299"/>
      <c r="CE1632" s="302"/>
      <c r="CF1632" s="299"/>
      <c r="CG1632" s="295"/>
      <c r="CI1632" s="294"/>
      <c r="CJ1632" s="298"/>
      <c r="CK1632" s="294"/>
      <c r="CM1632" s="193"/>
      <c r="CN1632" s="193"/>
      <c r="CO1632" s="193"/>
    </row>
    <row r="1633" spans="1:100">
      <c r="A1633" s="310"/>
      <c r="B1633" s="310"/>
      <c r="C1633" s="305"/>
      <c r="D1633" s="305"/>
      <c r="E1633" s="305"/>
      <c r="F1633" s="305"/>
      <c r="G1633" s="305"/>
      <c r="H1633" s="305"/>
      <c r="I1633" s="305"/>
      <c r="J1633" s="305"/>
      <c r="K1633" s="305"/>
      <c r="L1633" s="305"/>
      <c r="M1633" s="305"/>
      <c r="N1633" s="305"/>
      <c r="O1633" s="200"/>
      <c r="P1633" s="200"/>
      <c r="Q1633" s="200"/>
      <c r="R1633" s="200"/>
      <c r="S1633" s="200"/>
      <c r="T1633" s="200"/>
      <c r="U1633" s="200"/>
      <c r="V1633" s="200"/>
      <c r="W1633" s="200"/>
      <c r="X1633" s="200"/>
      <c r="Y1633" s="200"/>
      <c r="Z1633" s="200"/>
      <c r="AA1633" s="200"/>
      <c r="AB1633" s="200"/>
      <c r="AC1633" s="200"/>
      <c r="AD1633" s="200"/>
      <c r="AE1633" s="200"/>
      <c r="AF1633" s="291"/>
      <c r="AG1633" s="310"/>
      <c r="AH1633" s="310"/>
      <c r="AI1633" s="305"/>
      <c r="AJ1633" s="305"/>
      <c r="AK1633" s="305"/>
      <c r="AL1633" s="305"/>
      <c r="AM1633" s="305"/>
      <c r="AN1633" s="200"/>
      <c r="AO1633" s="200"/>
      <c r="AP1633" s="200"/>
      <c r="AQ1633" s="200"/>
      <c r="AR1633" s="200"/>
      <c r="AS1633" s="200"/>
      <c r="AT1633" s="200"/>
      <c r="AU1633" s="200"/>
      <c r="AV1633" s="200"/>
      <c r="AW1633" s="200"/>
      <c r="AX1633" s="200"/>
      <c r="AY1633" s="200"/>
      <c r="AZ1633" s="200"/>
      <c r="BA1633" s="200"/>
      <c r="BB1633" s="200"/>
      <c r="BC1633" s="200"/>
      <c r="BD1633" s="200"/>
      <c r="BE1633" s="200"/>
      <c r="BF1633" s="200"/>
      <c r="BG1633" s="200"/>
      <c r="BH1633" s="200"/>
      <c r="BI1633" s="200"/>
      <c r="BJ1633" s="200"/>
      <c r="BK1633" s="200"/>
      <c r="BL1633" s="291"/>
      <c r="BM1633" s="199">
        <v>52</v>
      </c>
      <c r="BN1633" s="310"/>
      <c r="BO1633" s="310"/>
      <c r="BP1633" s="305"/>
      <c r="BQ1633" s="305"/>
      <c r="BR1633" s="305"/>
      <c r="BS1633" s="200"/>
    </row>
    <row r="1634" spans="1:100">
      <c r="A1634" s="310"/>
      <c r="B1634" s="297"/>
      <c r="C1634" s="293"/>
      <c r="D1634" s="199"/>
      <c r="E1634" s="199"/>
      <c r="F1634" s="200"/>
      <c r="G1634" s="200"/>
      <c r="H1634" s="199"/>
      <c r="I1634" s="199"/>
      <c r="J1634" s="199"/>
      <c r="K1634" s="199"/>
      <c r="L1634" s="199"/>
      <c r="M1634" s="297"/>
      <c r="N1634" s="297"/>
      <c r="O1634" s="301"/>
      <c r="P1634" s="301"/>
      <c r="Q1634" s="301"/>
      <c r="R1634" s="301"/>
      <c r="S1634" s="301"/>
      <c r="T1634" s="301"/>
      <c r="U1634" s="199"/>
      <c r="V1634" s="199"/>
      <c r="W1634" s="199"/>
      <c r="X1634" s="199"/>
      <c r="Y1634" s="199"/>
      <c r="Z1634" s="199"/>
      <c r="AA1634" s="200"/>
      <c r="AB1634" s="200"/>
      <c r="AC1634" s="199"/>
      <c r="AD1634" s="297"/>
      <c r="AE1634" s="293"/>
      <c r="AF1634" s="291"/>
      <c r="AG1634" s="310"/>
      <c r="AH1634" s="297"/>
      <c r="AI1634" s="293"/>
      <c r="AJ1634" s="199"/>
      <c r="AK1634" s="199"/>
      <c r="AL1634" s="200"/>
      <c r="AM1634" s="200"/>
      <c r="AN1634" s="199"/>
      <c r="AO1634" s="199"/>
      <c r="AP1634" s="199"/>
      <c r="AQ1634" s="199"/>
      <c r="AR1634" s="199"/>
      <c r="AS1634" s="200"/>
      <c r="AT1634" s="200"/>
      <c r="AU1634" s="305"/>
      <c r="AV1634" s="310"/>
      <c r="AW1634" s="310"/>
      <c r="AX1634" s="310"/>
      <c r="AY1634" s="310"/>
      <c r="AZ1634" s="305"/>
      <c r="BA1634" s="199"/>
      <c r="BB1634" s="199"/>
      <c r="BC1634" s="199"/>
      <c r="BD1634" s="199"/>
      <c r="BE1634" s="199"/>
      <c r="BF1634" s="199"/>
      <c r="BG1634" s="200"/>
      <c r="BH1634" s="200"/>
      <c r="BI1634" s="199"/>
      <c r="BJ1634" s="297"/>
      <c r="BK1634" s="293"/>
      <c r="BL1634" s="291"/>
      <c r="BM1634" s="201"/>
      <c r="BN1634" s="310"/>
      <c r="BO1634" s="305"/>
      <c r="BP1634" s="305"/>
      <c r="BQ1634" s="305"/>
      <c r="BR1634" s="305"/>
      <c r="BS1634" s="200"/>
    </row>
    <row r="1635" spans="1:100">
      <c r="A1635" s="310"/>
      <c r="B1635" s="293"/>
      <c r="C1635" s="161"/>
      <c r="D1635" s="199"/>
      <c r="E1635" s="200"/>
      <c r="F1635" s="305"/>
      <c r="G1635" s="305"/>
      <c r="H1635" s="200"/>
      <c r="I1635" s="200"/>
      <c r="J1635" s="199"/>
      <c r="K1635" s="297"/>
      <c r="L1635" s="301"/>
      <c r="M1635" s="293"/>
      <c r="N1635" s="293"/>
      <c r="O1635" s="293"/>
      <c r="P1635" s="293"/>
      <c r="Q1635" s="293"/>
      <c r="R1635" s="293"/>
      <c r="S1635" s="293"/>
      <c r="T1635" s="293"/>
      <c r="U1635" s="301"/>
      <c r="V1635" s="301"/>
      <c r="W1635" s="199"/>
      <c r="X1635" s="199"/>
      <c r="Y1635" s="200"/>
      <c r="Z1635" s="200"/>
      <c r="AA1635" s="305"/>
      <c r="AB1635" s="310"/>
      <c r="AC1635" s="200"/>
      <c r="AD1635" s="293"/>
      <c r="AE1635" s="205"/>
      <c r="AF1635" s="291"/>
      <c r="AG1635" s="310"/>
      <c r="AH1635" s="293"/>
      <c r="AI1635" s="161"/>
      <c r="AJ1635" s="199"/>
      <c r="AK1635" s="200"/>
      <c r="AL1635" s="305"/>
      <c r="AM1635" s="305"/>
      <c r="AN1635" s="200"/>
      <c r="AO1635" s="200"/>
      <c r="AP1635" s="199"/>
      <c r="AQ1635" s="200"/>
      <c r="AR1635" s="305"/>
      <c r="AS1635" s="201"/>
      <c r="AT1635" s="201"/>
      <c r="AU1635" s="201"/>
      <c r="AV1635" s="201"/>
      <c r="AW1635" s="201"/>
      <c r="AX1635" s="201"/>
      <c r="AY1635" s="201"/>
      <c r="AZ1635" s="201"/>
      <c r="BA1635" s="305"/>
      <c r="BB1635" s="305"/>
      <c r="BC1635" s="199"/>
      <c r="BD1635" s="199"/>
      <c r="BE1635" s="200"/>
      <c r="BF1635" s="200"/>
      <c r="BG1635" s="305"/>
      <c r="BH1635" s="310"/>
      <c r="BI1635" s="200"/>
      <c r="BJ1635" s="293"/>
      <c r="BK1635" s="205"/>
      <c r="BL1635" s="291"/>
      <c r="BN1635" s="310"/>
      <c r="BO1635" s="305"/>
      <c r="BP1635" s="207"/>
      <c r="BQ1635" s="207"/>
      <c r="BR1635" s="305"/>
      <c r="BS1635" s="200"/>
    </row>
    <row r="1636" spans="1:100">
      <c r="A1636" s="305"/>
      <c r="B1636" s="199"/>
      <c r="C1636" s="199"/>
      <c r="D1636" s="200"/>
      <c r="E1636" s="200"/>
      <c r="F1636" s="200"/>
      <c r="G1636" s="200"/>
      <c r="H1636" s="310"/>
      <c r="I1636" s="305"/>
      <c r="J1636" s="200"/>
      <c r="K1636" s="293"/>
      <c r="L1636" s="293"/>
      <c r="M1636" s="199"/>
      <c r="N1636" s="199"/>
      <c r="O1636" s="199"/>
      <c r="P1636" s="199"/>
      <c r="Q1636" s="199"/>
      <c r="R1636" s="199"/>
      <c r="S1636" s="199"/>
      <c r="T1636" s="199"/>
      <c r="U1636" s="199"/>
      <c r="V1636" s="199"/>
      <c r="W1636" s="293"/>
      <c r="X1636" s="200"/>
      <c r="Y1636" s="305"/>
      <c r="Z1636" s="310"/>
      <c r="AA1636" s="200"/>
      <c r="AB1636" s="200"/>
      <c r="AC1636" s="200"/>
      <c r="AD1636" s="200"/>
      <c r="AE1636" s="199"/>
      <c r="AF1636" s="291"/>
      <c r="AG1636" s="305"/>
      <c r="AH1636" s="199"/>
      <c r="AI1636" s="199"/>
      <c r="AJ1636" s="200"/>
      <c r="AK1636" s="200"/>
      <c r="AL1636" s="200"/>
      <c r="AM1636" s="200"/>
      <c r="AN1636" s="310"/>
      <c r="AO1636" s="305"/>
      <c r="AP1636" s="200"/>
      <c r="AQ1636" s="201"/>
      <c r="AR1636" s="201"/>
      <c r="AS1636" s="199"/>
      <c r="AT1636" s="199"/>
      <c r="AU1636" s="199"/>
      <c r="AV1636" s="199"/>
      <c r="AW1636" s="199"/>
      <c r="AX1636" s="199"/>
      <c r="AY1636" s="199"/>
      <c r="AZ1636" s="199"/>
      <c r="BA1636" s="199"/>
      <c r="BB1636" s="199"/>
      <c r="BC1636" s="201"/>
      <c r="BD1636" s="200"/>
      <c r="BE1636" s="305"/>
      <c r="BF1636" s="310"/>
      <c r="BG1636" s="200"/>
      <c r="BH1636" s="200"/>
      <c r="BI1636" s="200"/>
      <c r="BJ1636" s="200"/>
      <c r="BK1636" s="199"/>
      <c r="BL1636" s="291"/>
      <c r="BN1636" s="310"/>
      <c r="BO1636" s="305"/>
      <c r="BP1636" s="204"/>
      <c r="BQ1636" s="207"/>
      <c r="BR1636" s="305"/>
      <c r="BS1636" s="200"/>
    </row>
    <row r="1637" spans="1:100">
      <c r="A1637" s="305"/>
      <c r="B1637" s="199"/>
      <c r="C1637" s="199"/>
      <c r="D1637" s="200"/>
      <c r="E1637" s="199"/>
      <c r="F1637" s="199"/>
      <c r="G1637" s="199"/>
      <c r="H1637" s="200"/>
      <c r="I1637" s="310"/>
      <c r="J1637" s="305"/>
      <c r="K1637" s="200"/>
      <c r="L1637" s="199"/>
      <c r="M1637" s="199"/>
      <c r="N1637" s="199"/>
      <c r="O1637" s="199"/>
      <c r="P1637" s="199"/>
      <c r="Q1637" s="199"/>
      <c r="R1637" s="199"/>
      <c r="S1637" s="199"/>
      <c r="T1637" s="199"/>
      <c r="U1637" s="199"/>
      <c r="V1637" s="199"/>
      <c r="W1637" s="200"/>
      <c r="X1637" s="305"/>
      <c r="Y1637" s="310"/>
      <c r="Z1637" s="200"/>
      <c r="AA1637" s="199"/>
      <c r="AB1637" s="199"/>
      <c r="AC1637" s="199"/>
      <c r="AD1637" s="200"/>
      <c r="AE1637" s="199"/>
      <c r="AF1637" s="291"/>
      <c r="AG1637" s="305"/>
      <c r="AH1637" s="199"/>
      <c r="AI1637" s="199"/>
      <c r="AJ1637" s="200"/>
      <c r="AK1637" s="199"/>
      <c r="AL1637" s="199"/>
      <c r="AM1637" s="199"/>
      <c r="AN1637" s="200"/>
      <c r="AO1637" s="310"/>
      <c r="AP1637" s="305"/>
      <c r="AQ1637" s="200"/>
      <c r="AR1637" s="199"/>
      <c r="AS1637" s="199"/>
      <c r="AT1637" s="199"/>
      <c r="AU1637" s="199"/>
      <c r="AV1637" s="199"/>
      <c r="AW1637" s="199"/>
      <c r="AX1637" s="199"/>
      <c r="AY1637" s="199"/>
      <c r="AZ1637" s="199"/>
      <c r="BA1637" s="199"/>
      <c r="BB1637" s="199"/>
      <c r="BC1637" s="200"/>
      <c r="BD1637" s="305"/>
      <c r="BE1637" s="310"/>
      <c r="BF1637" s="200"/>
      <c r="BG1637" s="199"/>
      <c r="BH1637" s="199"/>
      <c r="BI1637" s="199"/>
      <c r="BJ1637" s="200"/>
      <c r="BK1637" s="199"/>
      <c r="BL1637" s="291"/>
      <c r="BN1637" s="305"/>
      <c r="BO1637" s="305"/>
      <c r="BP1637" s="204"/>
      <c r="BQ1637" s="207"/>
      <c r="BR1637" s="305"/>
      <c r="BS1637" s="200"/>
    </row>
    <row r="1638" spans="1:100">
      <c r="A1638" s="305"/>
      <c r="B1638" s="199"/>
      <c r="C1638" s="199"/>
      <c r="D1638" s="199"/>
      <c r="E1638" s="199"/>
      <c r="F1638" s="199"/>
      <c r="G1638" s="297"/>
      <c r="H1638" s="293"/>
      <c r="I1638" s="200"/>
      <c r="J1638" s="310"/>
      <c r="K1638" s="305"/>
      <c r="L1638" s="200"/>
      <c r="M1638" s="199"/>
      <c r="N1638" s="199"/>
      <c r="O1638" s="199"/>
      <c r="P1638" s="199"/>
      <c r="Q1638" s="199"/>
      <c r="R1638" s="199"/>
      <c r="S1638" s="199"/>
      <c r="T1638" s="199"/>
      <c r="U1638" s="199"/>
      <c r="V1638" s="200"/>
      <c r="W1638" s="305"/>
      <c r="X1638" s="310"/>
      <c r="Y1638" s="200"/>
      <c r="Z1638" s="201"/>
      <c r="AA1638" s="201"/>
      <c r="AB1638" s="199"/>
      <c r="AC1638" s="199"/>
      <c r="AD1638" s="199"/>
      <c r="AE1638" s="199"/>
      <c r="AF1638" s="291"/>
      <c r="AG1638" s="305"/>
      <c r="AH1638" s="199"/>
      <c r="AI1638" s="199"/>
      <c r="AJ1638" s="199"/>
      <c r="AK1638" s="199"/>
      <c r="AL1638" s="199"/>
      <c r="AM1638" s="200"/>
      <c r="AN1638" s="201"/>
      <c r="AO1638" s="200"/>
      <c r="AP1638" s="310"/>
      <c r="AQ1638" s="305"/>
      <c r="AR1638" s="200"/>
      <c r="AS1638" s="199"/>
      <c r="AT1638" s="199"/>
      <c r="AU1638" s="199"/>
      <c r="AV1638" s="199"/>
      <c r="AW1638" s="199"/>
      <c r="AX1638" s="199"/>
      <c r="AY1638" s="199"/>
      <c r="AZ1638" s="199"/>
      <c r="BA1638" s="199"/>
      <c r="BB1638" s="200"/>
      <c r="BC1638" s="305"/>
      <c r="BD1638" s="310"/>
      <c r="BE1638" s="200"/>
      <c r="BF1638" s="201"/>
      <c r="BG1638" s="201"/>
      <c r="BH1638" s="199"/>
      <c r="BI1638" s="199"/>
      <c r="BJ1638" s="199"/>
      <c r="BK1638" s="199"/>
      <c r="BL1638" s="291"/>
      <c r="BM1638">
        <v>3</v>
      </c>
      <c r="CV1638">
        <v>5</v>
      </c>
    </row>
    <row r="1639" spans="1:100">
      <c r="A1639" s="305"/>
      <c r="B1639" s="199"/>
      <c r="C1639" s="199"/>
      <c r="D1639" s="199"/>
      <c r="E1639" s="199"/>
      <c r="F1639" s="301"/>
      <c r="G1639" s="293"/>
      <c r="H1639" s="199"/>
      <c r="I1639" s="200"/>
      <c r="J1639" s="305"/>
      <c r="K1639" s="310"/>
      <c r="L1639" s="305"/>
      <c r="M1639" s="200"/>
      <c r="N1639" s="199"/>
      <c r="O1639" s="199"/>
      <c r="P1639" s="199"/>
      <c r="Q1639" s="199"/>
      <c r="R1639" s="199"/>
      <c r="S1639" s="199"/>
      <c r="T1639" s="199"/>
      <c r="U1639" s="200"/>
      <c r="V1639" s="305"/>
      <c r="W1639" s="310"/>
      <c r="X1639" s="305"/>
      <c r="Y1639" s="200"/>
      <c r="Z1639" s="201"/>
      <c r="AA1639" s="297"/>
      <c r="AB1639" s="293"/>
      <c r="AC1639" s="199"/>
      <c r="AD1639" s="199"/>
      <c r="AE1639" s="199"/>
      <c r="AF1639" s="291"/>
      <c r="AG1639" s="305"/>
      <c r="AH1639" s="199"/>
      <c r="AI1639" s="199"/>
      <c r="AJ1639" s="199"/>
      <c r="AK1639" s="199"/>
      <c r="AL1639" s="310"/>
      <c r="AM1639" s="201"/>
      <c r="AN1639" s="199"/>
      <c r="AO1639" s="200"/>
      <c r="AP1639" s="305"/>
      <c r="AQ1639" s="310"/>
      <c r="AR1639" s="305"/>
      <c r="AS1639" s="200"/>
      <c r="AT1639" s="199"/>
      <c r="AU1639" s="199"/>
      <c r="AV1639" s="199"/>
      <c r="AW1639" s="199"/>
      <c r="AX1639" s="199"/>
      <c r="AY1639" s="199"/>
      <c r="AZ1639" s="199"/>
      <c r="BA1639" s="200"/>
      <c r="BB1639" s="305"/>
      <c r="BC1639" s="310"/>
      <c r="BD1639" s="305"/>
      <c r="BE1639" s="200"/>
      <c r="BF1639" s="201"/>
      <c r="BG1639" s="200"/>
      <c r="BH1639" s="201"/>
      <c r="BI1639" s="199"/>
      <c r="BJ1639" s="199"/>
      <c r="BK1639" s="199"/>
      <c r="BL1639" s="291"/>
      <c r="BN1639" s="305"/>
      <c r="BO1639" s="305"/>
      <c r="BP1639" s="207"/>
      <c r="BQ1639" s="207"/>
      <c r="BR1639" s="305"/>
      <c r="BS1639" s="200"/>
    </row>
    <row r="1640" spans="1:100">
      <c r="A1640" s="305"/>
      <c r="B1640" s="199"/>
      <c r="C1640" s="199"/>
      <c r="D1640" s="199"/>
      <c r="E1640" s="301"/>
      <c r="F1640" s="293"/>
      <c r="G1640" s="199"/>
      <c r="H1640" s="199"/>
      <c r="I1640" s="199"/>
      <c r="J1640" s="200"/>
      <c r="K1640" s="310"/>
      <c r="L1640" s="310"/>
      <c r="M1640" s="305"/>
      <c r="N1640" s="200"/>
      <c r="O1640" s="200"/>
      <c r="P1640" s="200"/>
      <c r="Q1640" s="200"/>
      <c r="R1640" s="200"/>
      <c r="S1640" s="200"/>
      <c r="T1640" s="200"/>
      <c r="U1640" s="305"/>
      <c r="V1640" s="310"/>
      <c r="W1640" s="310"/>
      <c r="X1640" s="200"/>
      <c r="Y1640" s="199"/>
      <c r="Z1640" s="201"/>
      <c r="AA1640" s="199"/>
      <c r="AB1640" s="297"/>
      <c r="AC1640" s="293"/>
      <c r="AD1640" s="199"/>
      <c r="AE1640" s="199"/>
      <c r="AF1640" s="291"/>
      <c r="AG1640" s="200"/>
      <c r="AH1640" s="199"/>
      <c r="AI1640" s="199"/>
      <c r="AJ1640" s="199"/>
      <c r="AK1640" s="310"/>
      <c r="AL1640" s="201"/>
      <c r="AM1640" s="199"/>
      <c r="AN1640" s="199"/>
      <c r="AO1640" s="199"/>
      <c r="AP1640" s="200"/>
      <c r="AQ1640" s="310"/>
      <c r="AR1640" s="310"/>
      <c r="AS1640" s="305"/>
      <c r="AT1640" s="200"/>
      <c r="AU1640" s="200"/>
      <c r="AV1640" s="200"/>
      <c r="AW1640" s="200"/>
      <c r="AX1640" s="200"/>
      <c r="AY1640" s="200"/>
      <c r="AZ1640" s="200"/>
      <c r="BA1640" s="305"/>
      <c r="BB1640" s="310"/>
      <c r="BC1640" s="310"/>
      <c r="BD1640" s="200"/>
      <c r="BE1640" s="199"/>
      <c r="BF1640" s="201"/>
      <c r="BG1640" s="199"/>
      <c r="BH1640" s="200"/>
      <c r="BI1640" s="201"/>
      <c r="BJ1640" s="199"/>
      <c r="BK1640" s="199"/>
      <c r="BL1640" s="291"/>
      <c r="BN1640" s="200"/>
      <c r="BO1640" s="305"/>
      <c r="BP1640" s="207"/>
      <c r="BQ1640" s="207"/>
      <c r="BR1640" s="305"/>
      <c r="BS1640" s="200"/>
    </row>
    <row r="1641" spans="1:100">
      <c r="A1641" s="305"/>
      <c r="B1641" s="199"/>
      <c r="C1641" s="199"/>
      <c r="D1641" s="199"/>
      <c r="E1641" s="297"/>
      <c r="F1641" s="293"/>
      <c r="G1641" s="199"/>
      <c r="H1641" s="199"/>
      <c r="I1641" s="199"/>
      <c r="J1641" s="200"/>
      <c r="K1641" s="305"/>
      <c r="L1641" s="314"/>
      <c r="M1641" s="310"/>
      <c r="N1641" s="305"/>
      <c r="O1641" s="305"/>
      <c r="P1641" s="305"/>
      <c r="Q1641" s="305"/>
      <c r="R1641" s="305"/>
      <c r="S1641" s="305"/>
      <c r="T1641" s="305"/>
      <c r="U1641" s="310"/>
      <c r="V1641" s="314"/>
      <c r="W1641" s="305"/>
      <c r="X1641" s="200"/>
      <c r="Y1641" s="201"/>
      <c r="Z1641" s="199"/>
      <c r="AA1641" s="199"/>
      <c r="AB1641" s="301"/>
      <c r="AC1641" s="293"/>
      <c r="AD1641" s="199"/>
      <c r="AE1641" s="199"/>
      <c r="AF1641" s="291"/>
      <c r="AG1641" s="200"/>
      <c r="AH1641" s="199"/>
      <c r="AI1641" s="199"/>
      <c r="AJ1641" s="199"/>
      <c r="AK1641" s="200"/>
      <c r="AL1641" s="201"/>
      <c r="AM1641" s="199"/>
      <c r="AN1641" s="199"/>
      <c r="AO1641" s="199"/>
      <c r="AP1641" s="200"/>
      <c r="AQ1641" s="305"/>
      <c r="AR1641" s="314"/>
      <c r="AS1641" s="310"/>
      <c r="AT1641" s="305"/>
      <c r="AU1641" s="305"/>
      <c r="AV1641" s="305"/>
      <c r="AW1641" s="305"/>
      <c r="AX1641" s="305"/>
      <c r="AY1641" s="305"/>
      <c r="AZ1641" s="305"/>
      <c r="BA1641" s="310"/>
      <c r="BB1641" s="314"/>
      <c r="BC1641" s="305"/>
      <c r="BD1641" s="200"/>
      <c r="BE1641" s="201"/>
      <c r="BF1641" s="199"/>
      <c r="BG1641" s="199"/>
      <c r="BH1641" s="310"/>
      <c r="BI1641" s="201"/>
      <c r="BJ1641" s="199"/>
      <c r="BK1641" s="199"/>
      <c r="BL1641" s="291"/>
      <c r="CV1641">
        <v>8</v>
      </c>
    </row>
    <row r="1642" spans="1:100">
      <c r="A1642" s="305"/>
      <c r="B1642" s="199"/>
      <c r="C1642" s="199"/>
      <c r="D1642" s="301"/>
      <c r="E1642" s="293"/>
      <c r="F1642" s="199"/>
      <c r="G1642" s="199"/>
      <c r="H1642" s="199"/>
      <c r="I1642" s="199"/>
      <c r="J1642" s="199"/>
      <c r="K1642" s="200"/>
      <c r="L1642" s="310"/>
      <c r="M1642" s="314"/>
      <c r="N1642" s="310"/>
      <c r="O1642" s="305"/>
      <c r="P1642" s="310"/>
      <c r="Q1642" s="310"/>
      <c r="R1642" s="310"/>
      <c r="S1642" s="305"/>
      <c r="T1642" s="310"/>
      <c r="U1642" s="314"/>
      <c r="V1642" s="310"/>
      <c r="W1642" s="200"/>
      <c r="X1642" s="199"/>
      <c r="Y1642" s="201"/>
      <c r="Z1642" s="199"/>
      <c r="AA1642" s="199"/>
      <c r="AB1642" s="199"/>
      <c r="AC1642" s="297"/>
      <c r="AD1642" s="293"/>
      <c r="AE1642" s="199"/>
      <c r="AF1642" s="291"/>
      <c r="AG1642" s="200"/>
      <c r="AH1642" s="199"/>
      <c r="AI1642" s="199"/>
      <c r="AJ1642" s="310"/>
      <c r="AK1642" s="201"/>
      <c r="AL1642" s="199"/>
      <c r="AM1642" s="199"/>
      <c r="AN1642" s="199"/>
      <c r="AO1642" s="199"/>
      <c r="AP1642" s="199"/>
      <c r="AQ1642" s="200"/>
      <c r="AR1642" s="310"/>
      <c r="AS1642" s="314"/>
      <c r="AT1642" s="310"/>
      <c r="AU1642" s="305"/>
      <c r="AV1642" s="310"/>
      <c r="AW1642" s="310"/>
      <c r="AX1642" s="310"/>
      <c r="AY1642" s="305"/>
      <c r="AZ1642" s="310"/>
      <c r="BA1642" s="314"/>
      <c r="BB1642" s="310"/>
      <c r="BC1642" s="200"/>
      <c r="BD1642" s="199"/>
      <c r="BE1642" s="201"/>
      <c r="BF1642" s="199"/>
      <c r="BG1642" s="199"/>
      <c r="BH1642" s="199"/>
      <c r="BI1642" s="200"/>
      <c r="BJ1642" s="201"/>
      <c r="BK1642" s="199"/>
      <c r="BL1642" s="291"/>
      <c r="BN1642" s="200"/>
      <c r="BO1642" s="305"/>
      <c r="BP1642" s="207"/>
      <c r="BQ1642" s="298"/>
      <c r="BR1642" s="305"/>
      <c r="BS1642" s="200"/>
    </row>
    <row r="1643" spans="1:100">
      <c r="A1643" s="305"/>
      <c r="B1643" s="199"/>
      <c r="C1643" s="199"/>
      <c r="D1643" s="297"/>
      <c r="E1643" s="293"/>
      <c r="F1643" s="199"/>
      <c r="G1643" s="199"/>
      <c r="H1643" s="199"/>
      <c r="I1643" s="199"/>
      <c r="J1643" s="199"/>
      <c r="K1643" s="200"/>
      <c r="L1643" s="305"/>
      <c r="M1643" s="310"/>
      <c r="N1643" s="314"/>
      <c r="O1643" s="310"/>
      <c r="P1643" s="310"/>
      <c r="Q1643" s="310"/>
      <c r="R1643" s="310"/>
      <c r="S1643" s="310"/>
      <c r="T1643" s="314"/>
      <c r="U1643" s="310"/>
      <c r="V1643" s="305"/>
      <c r="W1643" s="200"/>
      <c r="X1643" s="199"/>
      <c r="Y1643" s="199"/>
      <c r="Z1643" s="199"/>
      <c r="AA1643" s="199"/>
      <c r="AB1643" s="199"/>
      <c r="AC1643" s="301"/>
      <c r="AD1643" s="293"/>
      <c r="AE1643" s="199"/>
      <c r="AF1643" s="291"/>
      <c r="AG1643" s="200"/>
      <c r="AH1643" s="199"/>
      <c r="AI1643" s="199"/>
      <c r="AJ1643" s="200"/>
      <c r="AK1643" s="201"/>
      <c r="AL1643" s="199"/>
      <c r="AM1643" s="199"/>
      <c r="AN1643" s="199"/>
      <c r="AO1643" s="199"/>
      <c r="AP1643" s="199"/>
      <c r="AQ1643" s="200"/>
      <c r="AR1643" s="305"/>
      <c r="AS1643" s="310"/>
      <c r="AT1643" s="314"/>
      <c r="AU1643" s="310"/>
      <c r="AV1643" s="310"/>
      <c r="AW1643" s="310"/>
      <c r="AX1643" s="310"/>
      <c r="AY1643" s="310"/>
      <c r="AZ1643" s="314"/>
      <c r="BA1643" s="310"/>
      <c r="BB1643" s="305"/>
      <c r="BC1643" s="200"/>
      <c r="BD1643" s="199"/>
      <c r="BE1643" s="199"/>
      <c r="BF1643" s="199"/>
      <c r="BG1643" s="199"/>
      <c r="BH1643" s="199"/>
      <c r="BI1643" s="310"/>
      <c r="BJ1643" s="201"/>
      <c r="BK1643" s="199"/>
      <c r="BL1643" s="291"/>
      <c r="CV1643">
        <v>10</v>
      </c>
    </row>
    <row r="1644" spans="1:100">
      <c r="A1644" s="305"/>
      <c r="B1644" s="199"/>
      <c r="C1644" s="301"/>
      <c r="D1644" s="293"/>
      <c r="E1644" s="199"/>
      <c r="F1644" s="199"/>
      <c r="G1644" s="199"/>
      <c r="H1644" s="199"/>
      <c r="I1644" s="199"/>
      <c r="J1644" s="199"/>
      <c r="K1644" s="199"/>
      <c r="L1644" s="200"/>
      <c r="M1644" s="310"/>
      <c r="N1644" s="305"/>
      <c r="O1644" s="305"/>
      <c r="P1644" s="310"/>
      <c r="Q1644" s="310"/>
      <c r="R1644" s="310"/>
      <c r="S1644" s="305"/>
      <c r="T1644" s="305"/>
      <c r="U1644" s="310"/>
      <c r="V1644" s="200"/>
      <c r="W1644" s="199"/>
      <c r="X1644" s="199"/>
      <c r="Y1644" s="199"/>
      <c r="Z1644" s="199"/>
      <c r="AA1644" s="199"/>
      <c r="AB1644" s="199"/>
      <c r="AC1644" s="199"/>
      <c r="AD1644" s="297"/>
      <c r="AE1644" s="293"/>
      <c r="AF1644" s="291"/>
      <c r="AG1644" s="200"/>
      <c r="AH1644" s="199"/>
      <c r="AI1644" s="310"/>
      <c r="AJ1644" s="201"/>
      <c r="AK1644" s="199"/>
      <c r="AL1644" s="199"/>
      <c r="AM1644" s="199"/>
      <c r="AN1644" s="199"/>
      <c r="AO1644" s="199"/>
      <c r="AP1644" s="199"/>
      <c r="AQ1644" s="199"/>
      <c r="AR1644" s="200"/>
      <c r="AS1644" s="310"/>
      <c r="AT1644" s="305"/>
      <c r="AU1644" s="305"/>
      <c r="AV1644" s="310"/>
      <c r="AW1644" s="310"/>
      <c r="AX1644" s="310"/>
      <c r="AY1644" s="305"/>
      <c r="AZ1644" s="305"/>
      <c r="BA1644" s="310"/>
      <c r="BB1644" s="200"/>
      <c r="BC1644" s="199"/>
      <c r="BD1644" s="199"/>
      <c r="BE1644" s="199"/>
      <c r="BF1644" s="199"/>
      <c r="BG1644" s="199"/>
      <c r="BH1644" s="199"/>
      <c r="BI1644" s="199"/>
      <c r="BJ1644" s="200"/>
      <c r="BK1644" s="201"/>
      <c r="BL1644" s="291"/>
      <c r="CV1644">
        <v>10</v>
      </c>
    </row>
    <row r="1645" spans="1:100">
      <c r="A1645" s="305"/>
      <c r="B1645" s="199"/>
      <c r="C1645" s="301"/>
      <c r="D1645" s="293"/>
      <c r="E1645" s="199"/>
      <c r="F1645" s="199"/>
      <c r="G1645" s="199"/>
      <c r="H1645" s="199"/>
      <c r="I1645" s="199"/>
      <c r="J1645" s="199"/>
      <c r="K1645" s="199"/>
      <c r="L1645" s="200"/>
      <c r="M1645" s="305"/>
      <c r="N1645" s="200"/>
      <c r="O1645" s="200"/>
      <c r="P1645" s="305"/>
      <c r="Q1645" s="310"/>
      <c r="R1645" s="305"/>
      <c r="S1645" s="200"/>
      <c r="T1645" s="200"/>
      <c r="U1645" s="305"/>
      <c r="V1645" s="200"/>
      <c r="W1645" s="199"/>
      <c r="X1645" s="201"/>
      <c r="Y1645" s="199"/>
      <c r="Z1645" s="199"/>
      <c r="AA1645" s="199"/>
      <c r="AB1645" s="199"/>
      <c r="AC1645" s="199"/>
      <c r="AD1645" s="301"/>
      <c r="AE1645" s="293"/>
      <c r="AF1645" s="291"/>
      <c r="AG1645" s="200"/>
      <c r="AH1645" s="199"/>
      <c r="AI1645" s="305"/>
      <c r="AJ1645" s="201"/>
      <c r="AK1645" s="199"/>
      <c r="AL1645" s="199"/>
      <c r="AM1645" s="199"/>
      <c r="AN1645" s="199"/>
      <c r="AO1645" s="199"/>
      <c r="AP1645" s="199"/>
      <c r="AQ1645" s="199"/>
      <c r="AR1645" s="200"/>
      <c r="AS1645" s="305"/>
      <c r="AT1645" s="200"/>
      <c r="AU1645" s="200"/>
      <c r="AV1645" s="305"/>
      <c r="AW1645" s="310"/>
      <c r="AX1645" s="305"/>
      <c r="AY1645" s="200"/>
      <c r="AZ1645" s="200"/>
      <c r="BA1645" s="305"/>
      <c r="BB1645" s="200"/>
      <c r="BC1645" s="199"/>
      <c r="BD1645" s="201"/>
      <c r="BE1645" s="199"/>
      <c r="BF1645" s="199"/>
      <c r="BG1645" s="199"/>
      <c r="BH1645" s="199"/>
      <c r="BI1645" s="199"/>
      <c r="BJ1645" s="310"/>
      <c r="BK1645" s="201"/>
      <c r="BL1645" s="291"/>
      <c r="CV1645">
        <v>10</v>
      </c>
    </row>
    <row r="1646" spans="1:100">
      <c r="A1646" s="200"/>
      <c r="B1646" s="199"/>
      <c r="C1646" s="297"/>
      <c r="D1646" s="293"/>
      <c r="E1646" s="199"/>
      <c r="F1646" s="199"/>
      <c r="G1646" s="199"/>
      <c r="H1646" s="199"/>
      <c r="I1646" s="199"/>
      <c r="J1646" s="199"/>
      <c r="K1646" s="199"/>
      <c r="L1646" s="200"/>
      <c r="M1646" s="200"/>
      <c r="N1646" s="199"/>
      <c r="O1646" s="199"/>
      <c r="P1646" s="200"/>
      <c r="Q1646" s="305"/>
      <c r="R1646" s="200"/>
      <c r="S1646" s="199"/>
      <c r="T1646" s="199"/>
      <c r="U1646" s="200"/>
      <c r="V1646" s="200"/>
      <c r="W1646" s="199"/>
      <c r="X1646" s="201"/>
      <c r="Y1646" s="199"/>
      <c r="Z1646" s="199"/>
      <c r="AA1646" s="199"/>
      <c r="AB1646" s="199"/>
      <c r="AC1646" s="199"/>
      <c r="AD1646" s="301"/>
      <c r="AE1646" s="293"/>
      <c r="AF1646" s="291"/>
      <c r="AG1646" s="200"/>
      <c r="AH1646" s="199"/>
      <c r="AI1646" s="200"/>
      <c r="AJ1646" s="201"/>
      <c r="AK1646" s="199"/>
      <c r="AL1646" s="199"/>
      <c r="AM1646" s="199"/>
      <c r="AN1646" s="199"/>
      <c r="AO1646" s="199"/>
      <c r="AP1646" s="199"/>
      <c r="AQ1646" s="199"/>
      <c r="AR1646" s="200"/>
      <c r="AS1646" s="200"/>
      <c r="AT1646" s="199"/>
      <c r="AU1646" s="199"/>
      <c r="AV1646" s="200"/>
      <c r="AW1646" s="305"/>
      <c r="AX1646" s="200"/>
      <c r="AY1646" s="199"/>
      <c r="AZ1646" s="199"/>
      <c r="BA1646" s="200"/>
      <c r="BB1646" s="200"/>
      <c r="BC1646" s="199"/>
      <c r="BD1646" s="201"/>
      <c r="BE1646" s="199"/>
      <c r="BF1646" s="199"/>
      <c r="BG1646" s="199"/>
      <c r="BH1646" s="199"/>
      <c r="BI1646" s="199"/>
      <c r="BJ1646" s="310"/>
      <c r="BK1646" s="201"/>
      <c r="BL1646" s="291"/>
      <c r="CV1646">
        <v>10</v>
      </c>
    </row>
    <row r="1647" spans="1:100">
      <c r="A1647" s="200"/>
      <c r="B1647" s="301"/>
      <c r="C1647" s="293"/>
      <c r="D1647" s="199"/>
      <c r="E1647" s="199"/>
      <c r="F1647" s="199"/>
      <c r="G1647" s="199"/>
      <c r="H1647" s="199"/>
      <c r="I1647" s="199"/>
      <c r="J1647" s="199"/>
      <c r="K1647" s="199"/>
      <c r="L1647" s="200"/>
      <c r="M1647" s="199"/>
      <c r="N1647" s="199"/>
      <c r="O1647" s="200"/>
      <c r="P1647" s="305"/>
      <c r="Q1647" s="199"/>
      <c r="R1647" s="305"/>
      <c r="S1647" s="200"/>
      <c r="T1647" s="199"/>
      <c r="U1647" s="199"/>
      <c r="V1647" s="200"/>
      <c r="W1647" s="199"/>
      <c r="X1647" s="199"/>
      <c r="Y1647" s="199"/>
      <c r="Z1647" s="199"/>
      <c r="AA1647" s="199"/>
      <c r="AB1647" s="199"/>
      <c r="AC1647" s="199"/>
      <c r="AD1647" s="199"/>
      <c r="AE1647" s="301"/>
      <c r="AF1647" s="291"/>
      <c r="AG1647" s="200"/>
      <c r="AH1647" s="310"/>
      <c r="AI1647" s="201"/>
      <c r="AJ1647" s="199"/>
      <c r="AK1647" s="199"/>
      <c r="AL1647" s="199"/>
      <c r="AM1647" s="199"/>
      <c r="AN1647" s="199"/>
      <c r="AO1647" s="199"/>
      <c r="AP1647" s="199"/>
      <c r="AQ1647" s="199"/>
      <c r="AR1647" s="200"/>
      <c r="AS1647" s="199"/>
      <c r="AT1647" s="199"/>
      <c r="AU1647" s="200"/>
      <c r="AV1647" s="305"/>
      <c r="AW1647" s="199"/>
      <c r="AX1647" s="305"/>
      <c r="AY1647" s="200"/>
      <c r="AZ1647" s="199"/>
      <c r="BA1647" s="199"/>
      <c r="BB1647" s="200"/>
      <c r="BC1647" s="199"/>
      <c r="BD1647" s="199"/>
      <c r="BE1647" s="199"/>
      <c r="BF1647" s="199"/>
      <c r="BG1647" s="199"/>
      <c r="BH1647" s="199"/>
      <c r="BI1647" s="199"/>
      <c r="BJ1647" s="199"/>
      <c r="BK1647" s="200"/>
      <c r="BL1647" s="291"/>
      <c r="CV1647">
        <v>10</v>
      </c>
    </row>
    <row r="1648" spans="1:100">
      <c r="A1648" s="200"/>
      <c r="B1648" s="301"/>
      <c r="C1648" s="293"/>
      <c r="D1648" s="199"/>
      <c r="E1648" s="199"/>
      <c r="F1648" s="199"/>
      <c r="G1648" s="199"/>
      <c r="H1648" s="199"/>
      <c r="I1648" s="199"/>
      <c r="J1648" s="200"/>
      <c r="K1648" s="200"/>
      <c r="L1648" s="200"/>
      <c r="M1648" s="200"/>
      <c r="N1648" s="200"/>
      <c r="O1648" s="305"/>
      <c r="P1648" s="200"/>
      <c r="Q1648" s="200"/>
      <c r="R1648" s="200"/>
      <c r="S1648" s="305"/>
      <c r="T1648" s="200"/>
      <c r="U1648" s="200"/>
      <c r="V1648" s="200"/>
      <c r="W1648" s="200"/>
      <c r="X1648" s="200"/>
      <c r="Y1648" s="199"/>
      <c r="Z1648" s="199"/>
      <c r="AA1648" s="199"/>
      <c r="AB1648" s="199"/>
      <c r="AC1648" s="199"/>
      <c r="AD1648" s="199"/>
      <c r="AE1648" s="301"/>
      <c r="AF1648" s="291"/>
      <c r="AG1648" s="200"/>
      <c r="AH1648" s="310"/>
      <c r="AI1648" s="201"/>
      <c r="AJ1648" s="199"/>
      <c r="AK1648" s="199"/>
      <c r="AL1648" s="199"/>
      <c r="AM1648" s="199"/>
      <c r="AN1648" s="199"/>
      <c r="AO1648" s="199"/>
      <c r="AP1648" s="200"/>
      <c r="AQ1648" s="200"/>
      <c r="AR1648" s="200"/>
      <c r="AS1648" s="200"/>
      <c r="AT1648" s="200"/>
      <c r="AU1648" s="305"/>
      <c r="AV1648" s="200"/>
      <c r="AW1648" s="200"/>
      <c r="AX1648" s="200"/>
      <c r="AY1648" s="305"/>
      <c r="AZ1648" s="200"/>
      <c r="BA1648" s="200"/>
      <c r="BB1648" s="200"/>
      <c r="BC1648" s="200"/>
      <c r="BD1648" s="200"/>
      <c r="BE1648" s="199"/>
      <c r="BF1648" s="199"/>
      <c r="BG1648" s="199"/>
      <c r="BH1648" s="199"/>
      <c r="BI1648" s="199"/>
      <c r="BJ1648" s="199"/>
      <c r="BK1648" s="310"/>
      <c r="BL1648" s="291"/>
      <c r="BN1648" s="199"/>
      <c r="BO1648" s="305"/>
      <c r="BP1648" s="207"/>
      <c r="BQ1648" s="298"/>
      <c r="BR1648" s="305"/>
      <c r="BS1648" s="200"/>
    </row>
    <row r="1649" spans="1:100">
      <c r="A1649" s="200"/>
      <c r="B1649" s="301"/>
      <c r="C1649" s="293"/>
      <c r="D1649" s="199"/>
      <c r="E1649" s="199"/>
      <c r="F1649" s="199"/>
      <c r="G1649" s="199"/>
      <c r="H1649" s="199"/>
      <c r="I1649" s="200"/>
      <c r="J1649" s="305"/>
      <c r="K1649" s="305"/>
      <c r="L1649" s="200"/>
      <c r="M1649" s="200"/>
      <c r="N1649" s="305"/>
      <c r="O1649" s="200"/>
      <c r="P1649" s="200"/>
      <c r="Q1649" s="305"/>
      <c r="R1649" s="200"/>
      <c r="S1649" s="200"/>
      <c r="T1649" s="305"/>
      <c r="U1649" s="200"/>
      <c r="V1649" s="200"/>
      <c r="W1649" s="305"/>
      <c r="X1649" s="305"/>
      <c r="Y1649" s="200"/>
      <c r="Z1649" s="199"/>
      <c r="AA1649" s="199"/>
      <c r="AB1649" s="199"/>
      <c r="AC1649" s="199"/>
      <c r="AD1649" s="199"/>
      <c r="AE1649" s="301"/>
      <c r="AF1649" s="291"/>
      <c r="AG1649" s="200"/>
      <c r="AH1649" s="310"/>
      <c r="AI1649" s="201"/>
      <c r="AJ1649" s="199"/>
      <c r="AK1649" s="199"/>
      <c r="AL1649" s="199"/>
      <c r="AM1649" s="199"/>
      <c r="AN1649" s="199"/>
      <c r="AO1649" s="200"/>
      <c r="AP1649" s="305"/>
      <c r="AQ1649" s="305"/>
      <c r="AR1649" s="200"/>
      <c r="AS1649" s="200"/>
      <c r="AT1649" s="305"/>
      <c r="AU1649" s="200"/>
      <c r="AV1649" s="200"/>
      <c r="AW1649" s="305"/>
      <c r="AX1649" s="200"/>
      <c r="AY1649" s="200"/>
      <c r="AZ1649" s="305"/>
      <c r="BA1649" s="200"/>
      <c r="BB1649" s="200"/>
      <c r="BC1649" s="305"/>
      <c r="BD1649" s="305"/>
      <c r="BE1649" s="200"/>
      <c r="BF1649" s="199"/>
      <c r="BG1649" s="199"/>
      <c r="BH1649" s="199"/>
      <c r="BI1649" s="199"/>
      <c r="BJ1649" s="199"/>
      <c r="BK1649" s="310"/>
      <c r="BL1649" s="291"/>
      <c r="BN1649" s="199"/>
      <c r="BO1649" s="305"/>
      <c r="BP1649" s="298"/>
      <c r="BQ1649" s="298"/>
      <c r="BR1649" s="305"/>
      <c r="BS1649" s="200"/>
    </row>
    <row r="1650" spans="1:100">
      <c r="A1650" s="200"/>
      <c r="B1650" s="301"/>
      <c r="C1650" s="293"/>
      <c r="D1650" s="199"/>
      <c r="E1650" s="199"/>
      <c r="F1650" s="199"/>
      <c r="G1650" s="199"/>
      <c r="H1650" s="200"/>
      <c r="I1650" s="305"/>
      <c r="J1650" s="200"/>
      <c r="K1650" s="199"/>
      <c r="L1650" s="305"/>
      <c r="M1650" s="305"/>
      <c r="N1650" s="200"/>
      <c r="O1650" s="200"/>
      <c r="P1650" s="200"/>
      <c r="Q1650" s="310"/>
      <c r="R1650" s="200"/>
      <c r="S1650" s="200"/>
      <c r="T1650" s="200"/>
      <c r="U1650" s="305"/>
      <c r="V1650" s="305"/>
      <c r="W1650" s="199"/>
      <c r="X1650" s="200"/>
      <c r="Y1650" s="305"/>
      <c r="Z1650" s="200"/>
      <c r="AA1650" s="199"/>
      <c r="AB1650" s="199"/>
      <c r="AC1650" s="199"/>
      <c r="AD1650" s="199"/>
      <c r="AE1650" s="301"/>
      <c r="AF1650" s="291"/>
      <c r="AG1650" s="200"/>
      <c r="AH1650" s="305"/>
      <c r="AI1650" s="201"/>
      <c r="AJ1650" s="199"/>
      <c r="AK1650" s="199"/>
      <c r="AL1650" s="199"/>
      <c r="AM1650" s="199"/>
      <c r="AN1650" s="200"/>
      <c r="AO1650" s="305"/>
      <c r="AP1650" s="200"/>
      <c r="AQ1650" s="199"/>
      <c r="AR1650" s="305"/>
      <c r="AS1650" s="305"/>
      <c r="AT1650" s="200"/>
      <c r="AU1650" s="200"/>
      <c r="AV1650" s="200"/>
      <c r="AW1650" s="310"/>
      <c r="AX1650" s="200"/>
      <c r="AY1650" s="200"/>
      <c r="AZ1650" s="200"/>
      <c r="BA1650" s="305"/>
      <c r="BB1650" s="305"/>
      <c r="BC1650" s="199"/>
      <c r="BD1650" s="200"/>
      <c r="BE1650" s="305"/>
      <c r="BF1650" s="200"/>
      <c r="BG1650" s="199"/>
      <c r="BH1650" s="199"/>
      <c r="BI1650" s="199"/>
      <c r="BJ1650" s="199"/>
      <c r="BK1650" s="200"/>
      <c r="BL1650" s="291"/>
      <c r="BN1650" s="199"/>
      <c r="BO1650" s="200"/>
      <c r="BP1650" s="298"/>
      <c r="BQ1650" s="298"/>
      <c r="BR1650" s="305"/>
      <c r="BS1650" s="200"/>
    </row>
    <row r="1651" spans="1:100">
      <c r="A1651" s="200"/>
      <c r="B1651" s="199"/>
      <c r="C1651" s="301"/>
      <c r="D1651" s="293"/>
      <c r="E1651" s="199"/>
      <c r="F1651" s="199"/>
      <c r="G1651" s="200"/>
      <c r="H1651" s="305"/>
      <c r="I1651" s="200"/>
      <c r="J1651" s="199"/>
      <c r="K1651" s="200"/>
      <c r="L1651" s="200"/>
      <c r="M1651" s="200"/>
      <c r="N1651" s="200"/>
      <c r="O1651" s="200"/>
      <c r="P1651" s="199"/>
      <c r="Q1651" s="200"/>
      <c r="R1651" s="199"/>
      <c r="S1651" s="200"/>
      <c r="T1651" s="200"/>
      <c r="U1651" s="200"/>
      <c r="V1651" s="200"/>
      <c r="W1651" s="200"/>
      <c r="X1651" s="199"/>
      <c r="Y1651" s="200"/>
      <c r="Z1651" s="305"/>
      <c r="AA1651" s="200"/>
      <c r="AB1651" s="199"/>
      <c r="AC1651" s="199"/>
      <c r="AD1651" s="301"/>
      <c r="AE1651" s="293"/>
      <c r="AF1651" s="291"/>
      <c r="AG1651" s="200"/>
      <c r="AH1651" s="199"/>
      <c r="AI1651" s="310"/>
      <c r="AJ1651" s="201"/>
      <c r="AK1651" s="199"/>
      <c r="AL1651" s="199"/>
      <c r="AM1651" s="200"/>
      <c r="AN1651" s="305"/>
      <c r="AO1651" s="200"/>
      <c r="AP1651" s="199"/>
      <c r="AQ1651" s="200"/>
      <c r="AR1651" s="200"/>
      <c r="AS1651" s="200"/>
      <c r="AT1651" s="200"/>
      <c r="AU1651" s="200"/>
      <c r="AV1651" s="199"/>
      <c r="AW1651" s="200"/>
      <c r="AX1651" s="199"/>
      <c r="AY1651" s="200"/>
      <c r="AZ1651" s="200"/>
      <c r="BA1651" s="200"/>
      <c r="BB1651" s="200"/>
      <c r="BC1651" s="200"/>
      <c r="BD1651" s="199"/>
      <c r="BE1651" s="200"/>
      <c r="BF1651" s="305"/>
      <c r="BG1651" s="200"/>
      <c r="BH1651" s="199"/>
      <c r="BI1651" s="199"/>
      <c r="BJ1651" s="310"/>
      <c r="BK1651" s="201"/>
      <c r="BL1651" s="291"/>
      <c r="CV1651">
        <v>18</v>
      </c>
    </row>
    <row r="1652" spans="1:100">
      <c r="A1652" s="200"/>
      <c r="B1652" s="199"/>
      <c r="C1652" s="301"/>
      <c r="D1652" s="293"/>
      <c r="E1652" s="199"/>
      <c r="F1652" s="200"/>
      <c r="G1652" s="310"/>
      <c r="H1652" s="305"/>
      <c r="I1652" s="200"/>
      <c r="J1652" s="200"/>
      <c r="K1652" s="200"/>
      <c r="L1652" s="200"/>
      <c r="M1652" s="200"/>
      <c r="N1652" s="305"/>
      <c r="O1652" s="200"/>
      <c r="P1652" s="200"/>
      <c r="Q1652" s="200"/>
      <c r="R1652" s="200"/>
      <c r="S1652" s="200"/>
      <c r="T1652" s="200"/>
      <c r="U1652" s="200"/>
      <c r="V1652" s="200"/>
      <c r="W1652" s="200"/>
      <c r="X1652" s="200"/>
      <c r="Y1652" s="305"/>
      <c r="Z1652" s="310"/>
      <c r="AA1652" s="305"/>
      <c r="AB1652" s="200"/>
      <c r="AC1652" s="199"/>
      <c r="AD1652" s="301"/>
      <c r="AE1652" s="293"/>
      <c r="AF1652" s="291"/>
      <c r="AG1652" s="200"/>
      <c r="AH1652" s="199"/>
      <c r="AI1652" s="310"/>
      <c r="AJ1652" s="201"/>
      <c r="AK1652" s="199"/>
      <c r="AL1652" s="200"/>
      <c r="AM1652" s="310"/>
      <c r="AN1652" s="305"/>
      <c r="AO1652" s="200"/>
      <c r="AP1652" s="200"/>
      <c r="AQ1652" s="200"/>
      <c r="AR1652" s="200"/>
      <c r="AS1652" s="200"/>
      <c r="AT1652" s="305"/>
      <c r="AU1652" s="200"/>
      <c r="AV1652" s="200"/>
      <c r="AW1652" s="200"/>
      <c r="AX1652" s="200"/>
      <c r="AY1652" s="200"/>
      <c r="AZ1652" s="200"/>
      <c r="BA1652" s="200"/>
      <c r="BB1652" s="200"/>
      <c r="BC1652" s="200"/>
      <c r="BD1652" s="200"/>
      <c r="BE1652" s="305"/>
      <c r="BF1652" s="310"/>
      <c r="BG1652" s="305"/>
      <c r="BH1652" s="200"/>
      <c r="BI1652" s="199"/>
      <c r="BJ1652" s="310"/>
      <c r="BK1652" s="201"/>
      <c r="BL1652" s="291"/>
      <c r="BN1652" s="199"/>
      <c r="BO1652" s="200"/>
      <c r="BP1652" s="298"/>
      <c r="BQ1652" s="298"/>
      <c r="BR1652" s="305"/>
      <c r="BS1652" s="199"/>
    </row>
    <row r="1653" spans="1:100">
      <c r="A1653" s="200"/>
      <c r="B1653" s="199"/>
      <c r="C1653" s="301"/>
      <c r="D1653" s="293"/>
      <c r="E1653" s="200"/>
      <c r="F1653" s="310"/>
      <c r="G1653" s="305"/>
      <c r="H1653" s="200"/>
      <c r="I1653" s="200"/>
      <c r="J1653" s="199"/>
      <c r="K1653" s="199"/>
      <c r="L1653" s="199"/>
      <c r="M1653" s="199"/>
      <c r="N1653" s="305"/>
      <c r="O1653" s="200"/>
      <c r="P1653" s="199"/>
      <c r="Q1653" s="305"/>
      <c r="R1653" s="199"/>
      <c r="S1653" s="200"/>
      <c r="T1653" s="305"/>
      <c r="U1653" s="199"/>
      <c r="V1653" s="199"/>
      <c r="W1653" s="199"/>
      <c r="X1653" s="199"/>
      <c r="Y1653" s="200"/>
      <c r="Z1653" s="200"/>
      <c r="AA1653" s="310"/>
      <c r="AB1653" s="305"/>
      <c r="AC1653" s="200"/>
      <c r="AD1653" s="297"/>
      <c r="AE1653" s="293"/>
      <c r="AF1653" s="291"/>
      <c r="AG1653" s="200"/>
      <c r="AH1653" s="199"/>
      <c r="AI1653" s="305"/>
      <c r="AJ1653" s="201"/>
      <c r="AK1653" s="200"/>
      <c r="AL1653" s="310"/>
      <c r="AM1653" s="305"/>
      <c r="AN1653" s="200"/>
      <c r="AO1653" s="200"/>
      <c r="AP1653" s="199"/>
      <c r="AQ1653" s="199"/>
      <c r="AR1653" s="199"/>
      <c r="AS1653" s="199"/>
      <c r="AT1653" s="305"/>
      <c r="AU1653" s="200"/>
      <c r="AV1653" s="199"/>
      <c r="AW1653" s="305"/>
      <c r="AX1653" s="199"/>
      <c r="AY1653" s="200"/>
      <c r="AZ1653" s="305"/>
      <c r="BA1653" s="199"/>
      <c r="BB1653" s="199"/>
      <c r="BC1653" s="199"/>
      <c r="BD1653" s="199"/>
      <c r="BE1653" s="200"/>
      <c r="BF1653" s="200"/>
      <c r="BG1653" s="310"/>
      <c r="BH1653" s="305"/>
      <c r="BI1653" s="200"/>
      <c r="BJ1653" s="200"/>
      <c r="BK1653" s="201"/>
      <c r="BL1653" s="291"/>
      <c r="BN1653" s="199"/>
      <c r="BO1653" s="200"/>
      <c r="BP1653" s="298"/>
      <c r="BQ1653" s="298"/>
      <c r="BR1653" s="200"/>
      <c r="BS1653" s="199"/>
    </row>
    <row r="1654" spans="1:100">
      <c r="A1654" s="200"/>
      <c r="B1654" s="199"/>
      <c r="C1654" s="199"/>
      <c r="D1654" s="297"/>
      <c r="E1654" s="310"/>
      <c r="F1654" s="200"/>
      <c r="G1654" s="200"/>
      <c r="H1654" s="199"/>
      <c r="I1654" s="199"/>
      <c r="J1654" s="199"/>
      <c r="K1654" s="201"/>
      <c r="L1654" s="201"/>
      <c r="M1654" s="199"/>
      <c r="N1654" s="200"/>
      <c r="O1654" s="310"/>
      <c r="P1654" s="200"/>
      <c r="Q1654" s="199"/>
      <c r="R1654" s="200"/>
      <c r="S1654" s="200"/>
      <c r="T1654" s="305"/>
      <c r="U1654" s="199"/>
      <c r="V1654" s="201"/>
      <c r="W1654" s="201"/>
      <c r="X1654" s="199"/>
      <c r="Y1654" s="199"/>
      <c r="Z1654" s="199"/>
      <c r="AA1654" s="200"/>
      <c r="AB1654" s="200"/>
      <c r="AC1654" s="310"/>
      <c r="AD1654" s="293"/>
      <c r="AE1654" s="199"/>
      <c r="AF1654" s="291"/>
      <c r="AG1654" s="200"/>
      <c r="AH1654" s="199"/>
      <c r="AI1654" s="199"/>
      <c r="AJ1654" s="201"/>
      <c r="AK1654" s="310"/>
      <c r="AL1654" s="200"/>
      <c r="AM1654" s="200"/>
      <c r="AN1654" s="199"/>
      <c r="AO1654" s="199"/>
      <c r="AP1654" s="199"/>
      <c r="AQ1654" s="201"/>
      <c r="AR1654" s="201"/>
      <c r="AS1654" s="199"/>
      <c r="AT1654" s="200"/>
      <c r="AU1654" s="310"/>
      <c r="AV1654" s="200"/>
      <c r="AW1654" s="199"/>
      <c r="AX1654" s="200"/>
      <c r="AY1654" s="200"/>
      <c r="AZ1654" s="305"/>
      <c r="BA1654" s="199"/>
      <c r="BB1654" s="201"/>
      <c r="BC1654" s="201"/>
      <c r="BD1654" s="199"/>
      <c r="BE1654" s="199"/>
      <c r="BF1654" s="199"/>
      <c r="BG1654" s="200"/>
      <c r="BH1654" s="200"/>
      <c r="BI1654" s="310"/>
      <c r="BJ1654" s="201"/>
      <c r="BK1654" s="199"/>
      <c r="BL1654" s="291"/>
      <c r="BN1654" s="199"/>
      <c r="BO1654" s="200"/>
      <c r="BP1654" s="298"/>
      <c r="BQ1654" s="294"/>
      <c r="BR1654" s="200"/>
      <c r="BS1654" s="199"/>
    </row>
    <row r="1655" spans="1:100">
      <c r="A1655" s="200"/>
      <c r="B1655" s="199"/>
      <c r="C1655" s="199"/>
      <c r="D1655" s="310"/>
      <c r="E1655" s="200"/>
      <c r="F1655" s="199"/>
      <c r="G1655" s="199"/>
      <c r="H1655" s="199"/>
      <c r="I1655" s="201"/>
      <c r="J1655" s="201"/>
      <c r="K1655" s="199"/>
      <c r="L1655" s="199"/>
      <c r="M1655" s="199"/>
      <c r="N1655" s="200"/>
      <c r="O1655" s="305"/>
      <c r="P1655" s="200"/>
      <c r="Q1655" s="200"/>
      <c r="R1655" s="200"/>
      <c r="S1655" s="305"/>
      <c r="T1655" s="200"/>
      <c r="U1655" s="199"/>
      <c r="V1655" s="199"/>
      <c r="W1655" s="199"/>
      <c r="X1655" s="199"/>
      <c r="Y1655" s="199"/>
      <c r="Z1655" s="199"/>
      <c r="AA1655" s="199"/>
      <c r="AB1655" s="199"/>
      <c r="AC1655" s="200"/>
      <c r="AD1655" s="305"/>
      <c r="AE1655" s="199"/>
      <c r="AF1655" s="291"/>
      <c r="AG1655" s="200"/>
      <c r="AH1655" s="199"/>
      <c r="AI1655" s="199"/>
      <c r="AJ1655" s="310"/>
      <c r="AK1655" s="200"/>
      <c r="AL1655" s="199"/>
      <c r="AM1655" s="199"/>
      <c r="AN1655" s="199"/>
      <c r="AO1655" s="201"/>
      <c r="AP1655" s="201"/>
      <c r="AQ1655" s="199"/>
      <c r="AR1655" s="199"/>
      <c r="AS1655" s="199"/>
      <c r="AT1655" s="200"/>
      <c r="AU1655" s="305"/>
      <c r="AV1655" s="200"/>
      <c r="AW1655" s="200"/>
      <c r="AX1655" s="200"/>
      <c r="AY1655" s="305"/>
      <c r="AZ1655" s="200"/>
      <c r="BA1655" s="199"/>
      <c r="BB1655" s="199"/>
      <c r="BC1655" s="199"/>
      <c r="BD1655" s="199"/>
      <c r="BE1655" s="199"/>
      <c r="BF1655" s="199"/>
      <c r="BG1655" s="199"/>
      <c r="BH1655" s="199"/>
      <c r="BI1655" s="200"/>
      <c r="BJ1655" s="305"/>
      <c r="BK1655" s="199"/>
      <c r="BL1655" s="291"/>
      <c r="CV1655">
        <v>22</v>
      </c>
    </row>
    <row r="1656" spans="1:100">
      <c r="A1656" s="200"/>
      <c r="B1656" s="199"/>
      <c r="C1656" s="199"/>
      <c r="D1656" s="305"/>
      <c r="E1656" s="297"/>
      <c r="F1656" s="293"/>
      <c r="G1656" s="201"/>
      <c r="H1656" s="201"/>
      <c r="I1656" s="199"/>
      <c r="J1656" s="199"/>
      <c r="K1656" s="199"/>
      <c r="L1656" s="199"/>
      <c r="M1656" s="199"/>
      <c r="N1656" s="199"/>
      <c r="O1656" s="200"/>
      <c r="P1656" s="310"/>
      <c r="Q1656" s="200"/>
      <c r="R1656" s="200"/>
      <c r="S1656" s="200"/>
      <c r="T1656" s="199"/>
      <c r="U1656" s="201"/>
      <c r="V1656" s="199"/>
      <c r="W1656" s="199"/>
      <c r="X1656" s="199"/>
      <c r="Y1656" s="199"/>
      <c r="Z1656" s="199"/>
      <c r="AA1656" s="199"/>
      <c r="AB1656" s="301"/>
      <c r="AC1656" s="293"/>
      <c r="AD1656" s="200"/>
      <c r="AE1656" s="199"/>
      <c r="AF1656" s="291"/>
      <c r="AG1656" s="200"/>
      <c r="AH1656" s="199"/>
      <c r="AI1656" s="199"/>
      <c r="AJ1656" s="305"/>
      <c r="AK1656" s="200"/>
      <c r="AL1656" s="201"/>
      <c r="AM1656" s="201"/>
      <c r="AN1656" s="201"/>
      <c r="AO1656" s="199"/>
      <c r="AP1656" s="199"/>
      <c r="AQ1656" s="199"/>
      <c r="AR1656" s="199"/>
      <c r="AS1656" s="199"/>
      <c r="AT1656" s="199"/>
      <c r="AU1656" s="200"/>
      <c r="AV1656" s="310"/>
      <c r="AW1656" s="200"/>
      <c r="AX1656" s="200"/>
      <c r="AY1656" s="200"/>
      <c r="AZ1656" s="199"/>
      <c r="BA1656" s="201"/>
      <c r="BB1656" s="199"/>
      <c r="BC1656" s="199"/>
      <c r="BD1656" s="199"/>
      <c r="BE1656" s="199"/>
      <c r="BF1656" s="199"/>
      <c r="BG1656" s="199"/>
      <c r="BH1656" s="310"/>
      <c r="BI1656" s="201"/>
      <c r="BJ1656" s="200"/>
      <c r="BK1656" s="199"/>
      <c r="BL1656" s="291"/>
      <c r="BN1656" s="201"/>
      <c r="BO1656" s="200"/>
      <c r="BP1656" s="298"/>
      <c r="BQ1656" s="294"/>
      <c r="BR1656" s="200"/>
      <c r="BS1656" s="199"/>
    </row>
    <row r="1657" spans="1:100">
      <c r="A1657" s="200"/>
      <c r="B1657" s="199"/>
      <c r="C1657" s="199"/>
      <c r="D1657" s="199"/>
      <c r="E1657" s="301"/>
      <c r="F1657" s="201"/>
      <c r="G1657" s="199"/>
      <c r="H1657" s="199"/>
      <c r="I1657" s="199"/>
      <c r="J1657" s="199"/>
      <c r="K1657" s="199"/>
      <c r="L1657" s="199"/>
      <c r="M1657" s="199"/>
      <c r="N1657" s="199"/>
      <c r="O1657" s="200"/>
      <c r="P1657" s="305"/>
      <c r="Q1657" s="200"/>
      <c r="R1657" s="305"/>
      <c r="S1657" s="200"/>
      <c r="T1657" s="199"/>
      <c r="U1657" s="201"/>
      <c r="V1657" s="199"/>
      <c r="W1657" s="199"/>
      <c r="X1657" s="199"/>
      <c r="Y1657" s="199"/>
      <c r="Z1657" s="199"/>
      <c r="AA1657" s="199"/>
      <c r="AB1657" s="297"/>
      <c r="AC1657" s="293"/>
      <c r="AD1657" s="199"/>
      <c r="AE1657" s="199"/>
      <c r="AF1657" s="291"/>
      <c r="AG1657" s="200"/>
      <c r="AH1657" s="199"/>
      <c r="AI1657" s="199"/>
      <c r="AJ1657" s="199"/>
      <c r="AK1657" s="305"/>
      <c r="AL1657" s="201"/>
      <c r="AM1657" s="199"/>
      <c r="AN1657" s="199"/>
      <c r="AO1657" s="199"/>
      <c r="AP1657" s="199"/>
      <c r="AQ1657" s="199"/>
      <c r="AR1657" s="199"/>
      <c r="AS1657" s="199"/>
      <c r="AT1657" s="199"/>
      <c r="AU1657" s="200"/>
      <c r="AV1657" s="305"/>
      <c r="AW1657" s="200"/>
      <c r="AX1657" s="305"/>
      <c r="AY1657" s="200"/>
      <c r="AZ1657" s="199"/>
      <c r="BA1657" s="201"/>
      <c r="BB1657" s="199"/>
      <c r="BC1657" s="199"/>
      <c r="BD1657" s="199"/>
      <c r="BE1657" s="199"/>
      <c r="BF1657" s="199"/>
      <c r="BG1657" s="199"/>
      <c r="BH1657" s="200"/>
      <c r="BI1657" s="201"/>
      <c r="BJ1657" s="199"/>
      <c r="BK1657" s="199"/>
      <c r="BL1657" s="291"/>
      <c r="BN1657" s="201"/>
      <c r="BO1657" s="200"/>
      <c r="BP1657" s="294"/>
      <c r="BQ1657" s="294"/>
      <c r="BR1657" s="200"/>
      <c r="BS1657" s="199"/>
    </row>
    <row r="1658" spans="1:100">
      <c r="A1658" s="200"/>
      <c r="B1658" s="199"/>
      <c r="C1658" s="201"/>
      <c r="D1658" s="199"/>
      <c r="E1658" s="199"/>
      <c r="F1658" s="301"/>
      <c r="G1658" s="293"/>
      <c r="H1658" s="199"/>
      <c r="I1658" s="199"/>
      <c r="J1658" s="199"/>
      <c r="K1658" s="199"/>
      <c r="L1658" s="199"/>
      <c r="M1658" s="199"/>
      <c r="N1658" s="199"/>
      <c r="O1658" s="199"/>
      <c r="P1658" s="200"/>
      <c r="Q1658" s="305"/>
      <c r="R1658" s="200"/>
      <c r="S1658" s="199"/>
      <c r="T1658" s="201"/>
      <c r="U1658" s="199"/>
      <c r="V1658" s="199"/>
      <c r="W1658" s="199"/>
      <c r="X1658" s="199"/>
      <c r="Y1658" s="199"/>
      <c r="Z1658" s="199"/>
      <c r="AA1658" s="301"/>
      <c r="AB1658" s="293"/>
      <c r="AC1658" s="199"/>
      <c r="AD1658" s="201"/>
      <c r="AE1658" s="199"/>
      <c r="AF1658" s="291"/>
      <c r="AG1658" s="200"/>
      <c r="AH1658" s="199"/>
      <c r="AI1658" s="201"/>
      <c r="AJ1658" s="199"/>
      <c r="AK1658" s="199"/>
      <c r="AL1658" s="305"/>
      <c r="AM1658" s="201"/>
      <c r="AN1658" s="199"/>
      <c r="AO1658" s="199"/>
      <c r="AP1658" s="199"/>
      <c r="AQ1658" s="199"/>
      <c r="AR1658" s="199"/>
      <c r="AS1658" s="199"/>
      <c r="AT1658" s="199"/>
      <c r="AU1658" s="199"/>
      <c r="AV1658" s="200"/>
      <c r="AW1658" s="305"/>
      <c r="AX1658" s="200"/>
      <c r="AY1658" s="199"/>
      <c r="AZ1658" s="201"/>
      <c r="BA1658" s="199"/>
      <c r="BB1658" s="199"/>
      <c r="BC1658" s="199"/>
      <c r="BD1658" s="199"/>
      <c r="BE1658" s="199"/>
      <c r="BF1658" s="199"/>
      <c r="BG1658" s="310"/>
      <c r="BH1658" s="201"/>
      <c r="BI1658" s="199"/>
      <c r="BJ1658" s="201"/>
      <c r="BK1658" s="199"/>
      <c r="BL1658" s="291"/>
      <c r="BN1658" s="201"/>
      <c r="BO1658" s="199"/>
      <c r="BP1658" s="294"/>
      <c r="BQ1658" s="294"/>
      <c r="BR1658" s="200"/>
      <c r="BS1658" s="201"/>
    </row>
    <row r="1659" spans="1:100">
      <c r="A1659" s="200"/>
      <c r="B1659" s="199"/>
      <c r="C1659" s="199"/>
      <c r="D1659" s="199"/>
      <c r="E1659" s="199"/>
      <c r="F1659" s="199"/>
      <c r="G1659" s="301"/>
      <c r="H1659" s="293"/>
      <c r="I1659" s="199"/>
      <c r="J1659" s="199"/>
      <c r="K1659" s="199"/>
      <c r="L1659" s="199"/>
      <c r="M1659" s="199"/>
      <c r="N1659" s="199"/>
      <c r="O1659" s="199"/>
      <c r="P1659" s="200"/>
      <c r="Q1659" s="305"/>
      <c r="R1659" s="200"/>
      <c r="S1659" s="199"/>
      <c r="T1659" s="201"/>
      <c r="U1659" s="199"/>
      <c r="V1659" s="199"/>
      <c r="W1659" s="199"/>
      <c r="X1659" s="199"/>
      <c r="Y1659" s="199"/>
      <c r="Z1659" s="301"/>
      <c r="AA1659" s="293"/>
      <c r="AB1659" s="199"/>
      <c r="AC1659" s="199"/>
      <c r="AD1659" s="199"/>
      <c r="AE1659" s="199"/>
      <c r="AF1659" s="291"/>
      <c r="AG1659" s="200"/>
      <c r="AH1659" s="199"/>
      <c r="AI1659" s="199"/>
      <c r="AJ1659" s="199"/>
      <c r="AK1659" s="199"/>
      <c r="AL1659" s="199"/>
      <c r="AM1659" s="305"/>
      <c r="AN1659" s="201"/>
      <c r="AO1659" s="199"/>
      <c r="AP1659" s="199"/>
      <c r="AQ1659" s="199"/>
      <c r="AR1659" s="199"/>
      <c r="AS1659" s="199"/>
      <c r="AT1659" s="199"/>
      <c r="AU1659" s="199"/>
      <c r="AV1659" s="200"/>
      <c r="AW1659" s="305"/>
      <c r="AX1659" s="200"/>
      <c r="AY1659" s="199"/>
      <c r="AZ1659" s="201"/>
      <c r="BA1659" s="199"/>
      <c r="BB1659" s="199"/>
      <c r="BC1659" s="199"/>
      <c r="BD1659" s="199"/>
      <c r="BE1659" s="199"/>
      <c r="BF1659" s="310"/>
      <c r="BG1659" s="201"/>
      <c r="BH1659" s="199"/>
      <c r="BI1659" s="199"/>
      <c r="BJ1659" s="199"/>
      <c r="BK1659" s="199"/>
      <c r="BL1659" s="291"/>
      <c r="CV1659">
        <v>26</v>
      </c>
    </row>
    <row r="1660" spans="1:100">
      <c r="A1660" s="200"/>
      <c r="B1660" s="201"/>
      <c r="C1660" s="199"/>
      <c r="D1660" s="199"/>
      <c r="E1660" s="201"/>
      <c r="F1660" s="199"/>
      <c r="G1660" s="199"/>
      <c r="H1660" s="297"/>
      <c r="I1660" s="199"/>
      <c r="J1660" s="199"/>
      <c r="K1660" s="199"/>
      <c r="L1660" s="199"/>
      <c r="M1660" s="199"/>
      <c r="N1660" s="199"/>
      <c r="O1660" s="199"/>
      <c r="P1660" s="199"/>
      <c r="Q1660" s="200"/>
      <c r="R1660" s="199"/>
      <c r="S1660" s="201"/>
      <c r="T1660" s="199"/>
      <c r="U1660" s="199"/>
      <c r="V1660" s="199"/>
      <c r="W1660" s="199"/>
      <c r="X1660" s="199"/>
      <c r="Y1660" s="301"/>
      <c r="Z1660" s="293"/>
      <c r="AA1660" s="199"/>
      <c r="AB1660" s="201"/>
      <c r="AC1660" s="199"/>
      <c r="AD1660" s="199"/>
      <c r="AE1660" s="201"/>
      <c r="AF1660" s="291"/>
      <c r="AG1660" s="200"/>
      <c r="AH1660" s="201"/>
      <c r="AI1660" s="199"/>
      <c r="AJ1660" s="199"/>
      <c r="AK1660" s="201"/>
      <c r="AL1660" s="199"/>
      <c r="AM1660" s="199"/>
      <c r="AN1660" s="200"/>
      <c r="AO1660" s="199"/>
      <c r="AP1660" s="199"/>
      <c r="AQ1660" s="199"/>
      <c r="AR1660" s="199"/>
      <c r="AS1660" s="199"/>
      <c r="AT1660" s="199"/>
      <c r="AU1660" s="199"/>
      <c r="AV1660" s="199"/>
      <c r="AW1660" s="200"/>
      <c r="AX1660" s="199"/>
      <c r="AY1660" s="201"/>
      <c r="AZ1660" s="199"/>
      <c r="BA1660" s="199"/>
      <c r="BB1660" s="199"/>
      <c r="BC1660" s="199"/>
      <c r="BD1660" s="199"/>
      <c r="BE1660" s="305"/>
      <c r="BF1660" s="201"/>
      <c r="BG1660" s="199"/>
      <c r="BH1660" s="201"/>
      <c r="BI1660" s="199"/>
      <c r="BJ1660" s="199"/>
      <c r="BK1660" s="201"/>
      <c r="BL1660" s="291"/>
      <c r="BN1660" s="201"/>
      <c r="BO1660" s="199"/>
      <c r="BP1660" s="294"/>
      <c r="BQ1660" s="294"/>
      <c r="BR1660" s="199"/>
      <c r="BS1660" s="201"/>
    </row>
    <row r="1661" spans="1:100">
      <c r="A1661" s="200"/>
      <c r="B1661" s="199"/>
      <c r="C1661" s="201"/>
      <c r="D1661" s="199"/>
      <c r="E1661" s="199"/>
      <c r="F1661" s="199"/>
      <c r="G1661" s="199"/>
      <c r="H1661" s="199"/>
      <c r="I1661" s="297"/>
      <c r="J1661" s="301"/>
      <c r="K1661" s="199"/>
      <c r="L1661" s="199"/>
      <c r="M1661" s="199"/>
      <c r="N1661" s="199"/>
      <c r="O1661" s="199"/>
      <c r="P1661" s="199"/>
      <c r="Q1661" s="200"/>
      <c r="R1661" s="199"/>
      <c r="S1661" s="201"/>
      <c r="T1661" s="199"/>
      <c r="U1661" s="199"/>
      <c r="V1661" s="199"/>
      <c r="W1661" s="301"/>
      <c r="X1661" s="297"/>
      <c r="Y1661" s="293"/>
      <c r="Z1661" s="199"/>
      <c r="AA1661" s="199"/>
      <c r="AB1661" s="199"/>
      <c r="AC1661" s="199"/>
      <c r="AD1661" s="201"/>
      <c r="AE1661" s="199"/>
      <c r="AF1661" s="291"/>
      <c r="AG1661" s="200"/>
      <c r="AH1661" s="199"/>
      <c r="AI1661" s="201"/>
      <c r="AJ1661" s="199"/>
      <c r="AK1661" s="199"/>
      <c r="AL1661" s="199"/>
      <c r="AM1661" s="199"/>
      <c r="AN1661" s="199"/>
      <c r="AO1661" s="200"/>
      <c r="AP1661" s="310"/>
      <c r="AQ1661" s="199"/>
      <c r="AR1661" s="199"/>
      <c r="AS1661" s="199"/>
      <c r="AT1661" s="199"/>
      <c r="AU1661" s="199"/>
      <c r="AV1661" s="199"/>
      <c r="AW1661" s="200"/>
      <c r="AX1661" s="199"/>
      <c r="AY1661" s="201"/>
      <c r="AZ1661" s="199"/>
      <c r="BA1661" s="199"/>
      <c r="BB1661" s="199"/>
      <c r="BC1661" s="305"/>
      <c r="BD1661" s="200"/>
      <c r="BE1661" s="201"/>
      <c r="BF1661" s="199"/>
      <c r="BG1661" s="199"/>
      <c r="BH1661" s="199"/>
      <c r="BI1661" s="199"/>
      <c r="BJ1661" s="201"/>
      <c r="BK1661" s="199"/>
      <c r="BL1661" s="291"/>
      <c r="CV1661">
        <v>28</v>
      </c>
    </row>
    <row r="1662" spans="1:100">
      <c r="A1662" s="200"/>
      <c r="B1662" s="301"/>
      <c r="C1662" s="297"/>
      <c r="D1662" s="201"/>
      <c r="E1662" s="199"/>
      <c r="F1662" s="199"/>
      <c r="G1662" s="201"/>
      <c r="H1662" s="199"/>
      <c r="I1662" s="199"/>
      <c r="J1662" s="293"/>
      <c r="K1662" s="297"/>
      <c r="L1662" s="301"/>
      <c r="M1662" s="199"/>
      <c r="N1662" s="199"/>
      <c r="O1662" s="199"/>
      <c r="P1662" s="199"/>
      <c r="Q1662" s="199"/>
      <c r="R1662" s="199"/>
      <c r="S1662" s="201"/>
      <c r="T1662" s="199"/>
      <c r="U1662" s="301"/>
      <c r="V1662" s="297"/>
      <c r="W1662" s="293"/>
      <c r="X1662" s="293"/>
      <c r="Y1662" s="199"/>
      <c r="Z1662" s="201"/>
      <c r="AA1662" s="199"/>
      <c r="AB1662" s="199"/>
      <c r="AC1662" s="201"/>
      <c r="AD1662" s="297"/>
      <c r="AE1662" s="293"/>
      <c r="AF1662" s="291"/>
      <c r="AG1662" s="200"/>
      <c r="AH1662" s="301"/>
      <c r="AI1662" s="297"/>
      <c r="AJ1662" s="201"/>
      <c r="AK1662" s="199"/>
      <c r="AL1662" s="199"/>
      <c r="AM1662" s="201"/>
      <c r="AN1662" s="199"/>
      <c r="AO1662" s="199"/>
      <c r="AP1662" s="201"/>
      <c r="AQ1662" s="200"/>
      <c r="AR1662" s="310"/>
      <c r="AS1662" s="199"/>
      <c r="AT1662" s="199"/>
      <c r="AU1662" s="199"/>
      <c r="AV1662" s="199"/>
      <c r="AW1662" s="199"/>
      <c r="AX1662" s="199"/>
      <c r="AY1662" s="201"/>
      <c r="AZ1662" s="199"/>
      <c r="BA1662" s="305"/>
      <c r="BB1662" s="200"/>
      <c r="BC1662" s="201"/>
      <c r="BD1662" s="201"/>
      <c r="BE1662" s="199"/>
      <c r="BF1662" s="201"/>
      <c r="BG1662" s="199"/>
      <c r="BH1662" s="199"/>
      <c r="BI1662" s="201"/>
      <c r="BJ1662" s="297"/>
      <c r="BK1662" s="293"/>
      <c r="BL1662" s="291"/>
      <c r="CV1662">
        <v>29</v>
      </c>
    </row>
    <row r="1663" spans="1:100">
      <c r="A1663" s="200"/>
      <c r="B1663" s="293"/>
      <c r="C1663" s="161"/>
      <c r="D1663" s="199"/>
      <c r="E1663" s="201"/>
      <c r="F1663" s="199"/>
      <c r="G1663" s="199"/>
      <c r="H1663" s="199"/>
      <c r="I1663" s="199"/>
      <c r="J1663" s="199"/>
      <c r="K1663" s="199"/>
      <c r="L1663" s="293"/>
      <c r="M1663" s="297"/>
      <c r="N1663" s="297"/>
      <c r="O1663" s="301"/>
      <c r="P1663" s="301"/>
      <c r="Q1663" s="301"/>
      <c r="R1663" s="301"/>
      <c r="S1663" s="301"/>
      <c r="T1663" s="301"/>
      <c r="U1663" s="293"/>
      <c r="V1663" s="293"/>
      <c r="W1663" s="199"/>
      <c r="X1663" s="199"/>
      <c r="Y1663" s="199"/>
      <c r="Z1663" s="199"/>
      <c r="AA1663" s="199"/>
      <c r="AB1663" s="201"/>
      <c r="AC1663" s="199"/>
      <c r="AD1663" s="293"/>
      <c r="AE1663" s="205"/>
      <c r="AF1663" s="291"/>
      <c r="AG1663" s="200"/>
      <c r="AH1663" s="293"/>
      <c r="AI1663" s="161"/>
      <c r="AJ1663" s="199"/>
      <c r="AK1663" s="201"/>
      <c r="AL1663" s="199"/>
      <c r="AM1663" s="199"/>
      <c r="AN1663" s="199"/>
      <c r="AO1663" s="199"/>
      <c r="AP1663" s="199"/>
      <c r="AQ1663" s="199"/>
      <c r="AR1663" s="201"/>
      <c r="AS1663" s="200"/>
      <c r="AT1663" s="200"/>
      <c r="AU1663" s="310"/>
      <c r="AV1663" s="310"/>
      <c r="AW1663" s="310"/>
      <c r="AX1663" s="310"/>
      <c r="AY1663" s="310"/>
      <c r="AZ1663" s="200"/>
      <c r="BA1663" s="201"/>
      <c r="BB1663" s="201"/>
      <c r="BC1663" s="199"/>
      <c r="BD1663" s="199"/>
      <c r="BE1663" s="199"/>
      <c r="BF1663" s="199"/>
      <c r="BG1663" s="199"/>
      <c r="BH1663" s="201"/>
      <c r="BI1663" s="199"/>
      <c r="BJ1663" s="293"/>
      <c r="BK1663" s="205"/>
      <c r="BL1663" s="291"/>
      <c r="BN1663" s="201"/>
      <c r="BO1663" s="199"/>
      <c r="BP1663" s="199"/>
      <c r="BQ1663" s="199"/>
      <c r="BR1663" s="199"/>
      <c r="BS1663" s="201"/>
    </row>
    <row r="1664" spans="1:100">
      <c r="A1664" s="291"/>
      <c r="B1664" s="291"/>
      <c r="C1664" s="291"/>
      <c r="D1664" s="291"/>
      <c r="E1664" s="291"/>
      <c r="F1664" s="291"/>
      <c r="G1664" s="291"/>
      <c r="H1664" s="291"/>
      <c r="I1664" s="291"/>
      <c r="J1664" s="291"/>
      <c r="K1664" s="291"/>
      <c r="L1664" s="291"/>
      <c r="M1664" s="291"/>
      <c r="N1664" s="291"/>
      <c r="O1664" s="291"/>
      <c r="P1664" s="291"/>
      <c r="Q1664" s="291"/>
      <c r="R1664" s="291"/>
      <c r="S1664" s="291"/>
      <c r="T1664" s="291"/>
      <c r="U1664" s="291"/>
      <c r="V1664" s="291"/>
      <c r="W1664" s="291"/>
      <c r="X1664" s="291"/>
      <c r="Y1664" s="291"/>
      <c r="Z1664" s="291"/>
      <c r="AA1664" s="291"/>
      <c r="AB1664" s="291"/>
      <c r="AC1664" s="291"/>
      <c r="AD1664" s="291"/>
      <c r="AE1664" s="291"/>
      <c r="AF1664" s="291"/>
      <c r="AG1664" s="291"/>
      <c r="AH1664" s="291"/>
      <c r="AI1664" s="291"/>
      <c r="AJ1664" s="291"/>
      <c r="AK1664" s="291"/>
      <c r="AL1664" s="291"/>
      <c r="AM1664" s="291"/>
      <c r="AN1664" s="291"/>
      <c r="AO1664" s="291"/>
      <c r="AP1664" s="291"/>
      <c r="AQ1664" s="291"/>
      <c r="AR1664" s="291"/>
      <c r="AS1664" s="291"/>
      <c r="AT1664" s="291"/>
      <c r="AU1664" s="291"/>
      <c r="AV1664" s="291"/>
      <c r="AW1664" s="291"/>
      <c r="AX1664" s="291"/>
      <c r="AY1664" s="291"/>
      <c r="AZ1664" s="291"/>
      <c r="BA1664" s="291"/>
      <c r="BB1664" s="291"/>
      <c r="BC1664" s="291"/>
      <c r="BD1664" s="291"/>
      <c r="BE1664" s="291"/>
      <c r="BF1664" s="291"/>
      <c r="BG1664" s="291"/>
      <c r="BH1664" s="291"/>
      <c r="BI1664" s="291"/>
      <c r="BJ1664" s="291"/>
      <c r="BK1664" s="291"/>
      <c r="BL1664" s="291"/>
      <c r="BN1664" s="201"/>
      <c r="BO1664" s="201"/>
      <c r="BP1664" s="201"/>
      <c r="BQ1664" s="201"/>
      <c r="BR1664" s="201"/>
      <c r="BS1664" s="201"/>
    </row>
    <row r="1665" spans="1:97">
      <c r="A1665" s="302">
        <v>1</v>
      </c>
      <c r="B1665" s="302">
        <v>1</v>
      </c>
      <c r="C1665" s="302">
        <v>1</v>
      </c>
      <c r="D1665" s="302">
        <v>1</v>
      </c>
      <c r="E1665" s="302">
        <v>1</v>
      </c>
      <c r="F1665" s="302">
        <v>1</v>
      </c>
      <c r="G1665" s="302">
        <v>1</v>
      </c>
      <c r="H1665" s="302">
        <v>1</v>
      </c>
      <c r="I1665" s="302">
        <v>1</v>
      </c>
      <c r="J1665" s="302">
        <v>1</v>
      </c>
      <c r="K1665" s="295"/>
      <c r="L1665" s="302">
        <v>1</v>
      </c>
      <c r="M1665" s="302">
        <v>1</v>
      </c>
      <c r="N1665" s="302">
        <v>1</v>
      </c>
      <c r="O1665" s="304"/>
      <c r="P1665" s="302">
        <v>1</v>
      </c>
      <c r="Q1665" s="302">
        <v>1</v>
      </c>
      <c r="R1665" s="302">
        <v>1</v>
      </c>
      <c r="S1665" s="309"/>
      <c r="T1665" s="313"/>
      <c r="U1665" s="302">
        <v>1</v>
      </c>
      <c r="V1665" s="299"/>
      <c r="W1665" s="302">
        <v>1</v>
      </c>
      <c r="X1665" s="302">
        <v>1</v>
      </c>
      <c r="Y1665" s="302">
        <v>1</v>
      </c>
      <c r="Z1665" s="302">
        <v>1</v>
      </c>
      <c r="AA1665" s="299"/>
      <c r="AB1665" s="302">
        <v>1</v>
      </c>
      <c r="AC1665" s="302">
        <v>1</v>
      </c>
      <c r="AD1665" s="302">
        <v>1</v>
      </c>
      <c r="AE1665" s="302">
        <v>1</v>
      </c>
      <c r="AF1665" s="302">
        <v>1</v>
      </c>
      <c r="AG1665" s="309"/>
      <c r="AH1665" s="299">
        <v>1</v>
      </c>
      <c r="AI1665" s="299">
        <v>1</v>
      </c>
      <c r="AJ1665" s="299">
        <v>1</v>
      </c>
      <c r="AK1665" s="299">
        <v>1</v>
      </c>
      <c r="AL1665" s="295"/>
      <c r="AM1665" s="299">
        <v>1</v>
      </c>
      <c r="AN1665" s="299">
        <v>1</v>
      </c>
      <c r="AO1665" s="299">
        <v>1</v>
      </c>
      <c r="AP1665" s="299">
        <v>1</v>
      </c>
      <c r="AQ1665" s="295"/>
      <c r="AR1665" s="299">
        <v>1</v>
      </c>
      <c r="AS1665" s="302"/>
      <c r="AT1665" s="299">
        <v>1</v>
      </c>
      <c r="AU1665" s="193"/>
      <c r="AV1665" s="299">
        <v>1</v>
      </c>
      <c r="AW1665" s="299">
        <v>1</v>
      </c>
      <c r="AX1665" s="299">
        <v>1</v>
      </c>
      <c r="AY1665" s="299">
        <v>1</v>
      </c>
      <c r="AZ1665" s="299">
        <v>1</v>
      </c>
      <c r="BA1665" s="299">
        <v>1</v>
      </c>
      <c r="BB1665" s="299">
        <v>1</v>
      </c>
      <c r="BC1665" s="299">
        <v>1</v>
      </c>
      <c r="BD1665" s="302"/>
      <c r="BE1665" s="299">
        <v>1</v>
      </c>
      <c r="BF1665" s="299">
        <v>1</v>
      </c>
      <c r="BG1665" s="295"/>
      <c r="BH1665" s="299">
        <v>1</v>
      </c>
      <c r="BI1665" s="299">
        <v>1</v>
      </c>
      <c r="BJ1665" s="299">
        <v>1</v>
      </c>
      <c r="BK1665" s="295"/>
      <c r="BL1665" s="299">
        <v>1</v>
      </c>
      <c r="BM1665" s="302">
        <v>53</v>
      </c>
      <c r="BN1665" s="555"/>
      <c r="BO1665" s="421"/>
      <c r="BP1665" s="421"/>
      <c r="BQ1665" s="193"/>
      <c r="BR1665" s="193"/>
      <c r="BS1665" s="193"/>
      <c r="BT1665" s="193"/>
      <c r="BU1665" s="193"/>
      <c r="BV1665" s="421"/>
      <c r="BW1665" s="421"/>
      <c r="BX1665" s="421"/>
      <c r="BY1665" s="421"/>
      <c r="BZ1665" s="421"/>
      <c r="CA1665" s="421"/>
      <c r="CB1665" s="421"/>
      <c r="CC1665" s="421"/>
      <c r="CD1665" s="555"/>
      <c r="CE1665" s="555"/>
      <c r="CF1665" s="421"/>
      <c r="CG1665" s="421"/>
      <c r="CH1665" s="421"/>
      <c r="CI1665" s="421"/>
      <c r="CJ1665" s="421"/>
      <c r="CK1665" s="421"/>
      <c r="CL1665" s="421"/>
      <c r="CM1665" s="421"/>
      <c r="CN1665" s="421"/>
      <c r="CO1665" s="421"/>
      <c r="CP1665" s="421"/>
      <c r="CQ1665" s="421"/>
      <c r="CR1665" s="421"/>
      <c r="CS1665" s="421"/>
    </row>
    <row r="1666" spans="1:97">
      <c r="A1666" s="302">
        <v>1</v>
      </c>
      <c r="B1666" s="302">
        <v>1</v>
      </c>
      <c r="C1666" s="304"/>
      <c r="D1666" s="302">
        <v>1</v>
      </c>
      <c r="E1666" s="302">
        <v>1</v>
      </c>
      <c r="F1666" s="302">
        <v>1</v>
      </c>
      <c r="G1666" s="302">
        <v>1</v>
      </c>
      <c r="H1666" s="302">
        <v>1</v>
      </c>
      <c r="I1666" s="302">
        <v>1</v>
      </c>
      <c r="J1666" s="302">
        <v>1</v>
      </c>
      <c r="K1666" s="295"/>
      <c r="L1666" s="302">
        <v>1</v>
      </c>
      <c r="M1666" s="302">
        <v>1</v>
      </c>
      <c r="N1666" s="302">
        <v>1</v>
      </c>
      <c r="O1666" s="304"/>
      <c r="P1666" s="302">
        <v>1</v>
      </c>
      <c r="Q1666" s="302">
        <v>1</v>
      </c>
      <c r="R1666" s="299"/>
      <c r="S1666" s="304"/>
      <c r="T1666" s="309"/>
      <c r="U1666" s="302">
        <v>1</v>
      </c>
      <c r="V1666" s="299"/>
      <c r="W1666" s="302">
        <v>1</v>
      </c>
      <c r="X1666" s="302">
        <v>1</v>
      </c>
      <c r="Y1666" s="302">
        <v>1</v>
      </c>
      <c r="Z1666" s="302">
        <v>1</v>
      </c>
      <c r="AA1666" s="299"/>
      <c r="AB1666" s="302">
        <v>1</v>
      </c>
      <c r="AC1666" s="304"/>
      <c r="AD1666" s="302">
        <v>1</v>
      </c>
      <c r="AE1666" s="302">
        <v>1</v>
      </c>
      <c r="AF1666" s="302">
        <v>1</v>
      </c>
      <c r="AG1666" s="304"/>
      <c r="AH1666" s="299">
        <v>1</v>
      </c>
      <c r="AI1666" s="299">
        <v>1</v>
      </c>
      <c r="AJ1666" s="299">
        <v>1</v>
      </c>
      <c r="AK1666" s="299">
        <v>1</v>
      </c>
      <c r="AL1666" s="295"/>
      <c r="AM1666" s="299">
        <v>1</v>
      </c>
      <c r="AN1666" s="299">
        <v>1</v>
      </c>
      <c r="AO1666" s="299">
        <v>1</v>
      </c>
      <c r="AP1666" s="299">
        <v>1</v>
      </c>
      <c r="AQ1666" s="295"/>
      <c r="AR1666" s="299">
        <v>1</v>
      </c>
      <c r="AS1666" s="302"/>
      <c r="AT1666" s="299">
        <v>1</v>
      </c>
      <c r="AU1666" s="193"/>
      <c r="AV1666" s="299">
        <v>1</v>
      </c>
      <c r="AW1666" s="295"/>
      <c r="AX1666" s="299">
        <v>1</v>
      </c>
      <c r="AY1666" s="299">
        <v>1</v>
      </c>
      <c r="AZ1666" s="309"/>
      <c r="BA1666" s="299">
        <v>1</v>
      </c>
      <c r="BB1666" s="299">
        <v>1</v>
      </c>
      <c r="BC1666" s="299">
        <v>1</v>
      </c>
      <c r="BD1666" s="302"/>
      <c r="BE1666" s="299">
        <v>1</v>
      </c>
      <c r="BF1666" s="299">
        <v>1</v>
      </c>
      <c r="BG1666" s="295"/>
      <c r="BH1666" s="299">
        <v>1</v>
      </c>
      <c r="BI1666" s="299">
        <v>1</v>
      </c>
      <c r="BJ1666" s="299">
        <v>1</v>
      </c>
      <c r="BK1666" s="295"/>
      <c r="BL1666" s="299">
        <v>1</v>
      </c>
      <c r="BM1666" s="299"/>
      <c r="BN1666" s="583"/>
      <c r="BO1666" s="421"/>
      <c r="BP1666" s="557"/>
      <c r="BQ1666" s="557"/>
      <c r="BR1666" s="555"/>
      <c r="BS1666" s="193"/>
      <c r="BT1666" s="555"/>
      <c r="BU1666" s="557"/>
      <c r="BV1666" s="557"/>
      <c r="BW1666" s="557"/>
      <c r="BX1666" s="557"/>
      <c r="BY1666" s="557"/>
      <c r="BZ1666" s="557"/>
      <c r="CA1666" s="557"/>
      <c r="CB1666" s="557"/>
      <c r="CC1666" s="557"/>
      <c r="CD1666" s="583"/>
      <c r="CE1666" s="421"/>
      <c r="CF1666" s="301"/>
      <c r="CG1666" s="301"/>
      <c r="CH1666" s="301"/>
      <c r="CI1666" s="301"/>
      <c r="CJ1666" s="301"/>
      <c r="CK1666" s="301"/>
      <c r="CL1666" s="301"/>
      <c r="CM1666" s="301"/>
      <c r="CN1666" s="557"/>
      <c r="CO1666" s="193"/>
      <c r="CP1666" s="193"/>
      <c r="CQ1666" s="557"/>
      <c r="CR1666" s="301"/>
      <c r="CS1666" s="301"/>
    </row>
    <row r="1667" spans="1:97">
      <c r="A1667" s="302">
        <v>1</v>
      </c>
      <c r="B1667" s="302">
        <v>1</v>
      </c>
      <c r="C1667" s="309"/>
      <c r="D1667" s="302">
        <v>1</v>
      </c>
      <c r="E1667" s="302">
        <v>1</v>
      </c>
      <c r="F1667" s="302">
        <v>1</v>
      </c>
      <c r="G1667" s="302">
        <v>1</v>
      </c>
      <c r="H1667" s="304"/>
      <c r="I1667" s="302">
        <v>1</v>
      </c>
      <c r="J1667" s="302">
        <v>1</v>
      </c>
      <c r="K1667" s="295"/>
      <c r="L1667" s="302">
        <v>1</v>
      </c>
      <c r="M1667" s="302">
        <v>1</v>
      </c>
      <c r="N1667" s="302">
        <v>1</v>
      </c>
      <c r="O1667" s="304"/>
      <c r="P1667" s="302">
        <v>1</v>
      </c>
      <c r="Q1667" s="299"/>
      <c r="R1667" s="302">
        <v>1</v>
      </c>
      <c r="S1667" s="304"/>
      <c r="T1667" s="302">
        <v>1</v>
      </c>
      <c r="U1667" s="302">
        <v>1</v>
      </c>
      <c r="V1667" s="299"/>
      <c r="W1667" s="302">
        <v>1</v>
      </c>
      <c r="X1667" s="302">
        <v>1</v>
      </c>
      <c r="Y1667" s="302">
        <v>1</v>
      </c>
      <c r="Z1667" s="302">
        <v>1</v>
      </c>
      <c r="AA1667" s="299"/>
      <c r="AB1667" s="302">
        <v>1</v>
      </c>
      <c r="AC1667" s="304"/>
      <c r="AD1667" s="302">
        <v>1</v>
      </c>
      <c r="AE1667" s="302">
        <v>1</v>
      </c>
      <c r="AF1667" s="302">
        <v>1</v>
      </c>
      <c r="AG1667" s="302"/>
      <c r="AH1667" s="299">
        <v>1</v>
      </c>
      <c r="AI1667" s="299">
        <v>1</v>
      </c>
      <c r="AJ1667" s="299">
        <v>1</v>
      </c>
      <c r="AK1667" s="299">
        <v>1</v>
      </c>
      <c r="AL1667" s="295"/>
      <c r="AM1667" s="299">
        <v>1</v>
      </c>
      <c r="AN1667" s="302"/>
      <c r="AO1667" s="299">
        <v>1</v>
      </c>
      <c r="AP1667" s="299">
        <v>1</v>
      </c>
      <c r="AQ1667" s="295"/>
      <c r="AR1667" s="299">
        <v>1</v>
      </c>
      <c r="AS1667" s="302"/>
      <c r="AT1667" s="299">
        <v>1</v>
      </c>
      <c r="AU1667" s="193"/>
      <c r="AV1667" s="299">
        <v>1</v>
      </c>
      <c r="AW1667" s="295"/>
      <c r="AX1667" s="299">
        <v>1</v>
      </c>
      <c r="AY1667" s="299">
        <v>1</v>
      </c>
      <c r="AZ1667" s="304"/>
      <c r="BA1667" s="299">
        <v>1</v>
      </c>
      <c r="BB1667" s="193"/>
      <c r="BC1667" s="299">
        <v>1</v>
      </c>
      <c r="BD1667" s="302"/>
      <c r="BE1667" s="299">
        <v>1</v>
      </c>
      <c r="BF1667" s="299">
        <v>1</v>
      </c>
      <c r="BG1667" s="295"/>
      <c r="BH1667" s="299">
        <v>1</v>
      </c>
      <c r="BI1667" s="299">
        <v>1</v>
      </c>
      <c r="BJ1667" s="299">
        <v>1</v>
      </c>
      <c r="BK1667" s="295"/>
      <c r="BL1667" s="299">
        <v>1</v>
      </c>
      <c r="BN1667" s="583"/>
      <c r="BO1667" s="421"/>
      <c r="BP1667" s="557"/>
      <c r="BQ1667" s="557"/>
      <c r="BR1667" s="555"/>
      <c r="BS1667" s="193"/>
      <c r="BT1667" s="555"/>
      <c r="BU1667" s="557"/>
      <c r="BV1667" s="557"/>
      <c r="BW1667" s="557"/>
      <c r="BX1667" s="557"/>
      <c r="BY1667" s="557"/>
      <c r="BZ1667" s="557"/>
      <c r="CA1667" s="557"/>
      <c r="CB1667" s="557"/>
      <c r="CC1667" s="557"/>
      <c r="CD1667" s="583"/>
      <c r="CE1667" s="421"/>
      <c r="CF1667" s="301"/>
      <c r="CG1667" s="301"/>
      <c r="CH1667" s="301"/>
      <c r="CI1667" s="301"/>
      <c r="CJ1667" s="301"/>
      <c r="CK1667" s="301"/>
      <c r="CL1667" s="301"/>
      <c r="CM1667" s="301"/>
      <c r="CN1667" s="557"/>
      <c r="CO1667" s="193"/>
      <c r="CP1667" s="193"/>
      <c r="CQ1667" s="557"/>
      <c r="CR1667" s="301"/>
      <c r="CS1667" s="301"/>
    </row>
    <row r="1668" spans="1:97">
      <c r="A1668" s="302">
        <v>1</v>
      </c>
      <c r="B1668" s="302">
        <v>1</v>
      </c>
      <c r="C1668" s="313"/>
      <c r="D1668" s="302">
        <v>1</v>
      </c>
      <c r="E1668" s="302">
        <v>1</v>
      </c>
      <c r="F1668" s="302">
        <v>1</v>
      </c>
      <c r="G1668" s="302">
        <v>1</v>
      </c>
      <c r="H1668" s="304"/>
      <c r="I1668" s="302">
        <v>1</v>
      </c>
      <c r="J1668" s="302">
        <v>1</v>
      </c>
      <c r="K1668" s="295"/>
      <c r="L1668" s="302">
        <v>1</v>
      </c>
      <c r="M1668" s="302">
        <v>1</v>
      </c>
      <c r="N1668" s="304"/>
      <c r="O1668" s="313"/>
      <c r="P1668" s="302">
        <v>1</v>
      </c>
      <c r="Q1668" s="299"/>
      <c r="R1668" s="302">
        <v>1</v>
      </c>
      <c r="S1668" s="302">
        <v>1</v>
      </c>
      <c r="T1668" s="299"/>
      <c r="U1668" s="299"/>
      <c r="V1668" s="302">
        <v>1</v>
      </c>
      <c r="W1668" s="302">
        <v>1</v>
      </c>
      <c r="X1668" s="302">
        <v>1</v>
      </c>
      <c r="Y1668" s="302">
        <v>1</v>
      </c>
      <c r="Z1668" s="302">
        <v>1</v>
      </c>
      <c r="AA1668" s="299"/>
      <c r="AB1668" s="302">
        <v>1</v>
      </c>
      <c r="AC1668" s="304"/>
      <c r="AD1668" s="302">
        <v>1</v>
      </c>
      <c r="AE1668" s="302">
        <v>1</v>
      </c>
      <c r="AF1668" s="302">
        <v>1</v>
      </c>
      <c r="AG1668" s="302"/>
      <c r="AH1668" s="299">
        <v>1</v>
      </c>
      <c r="AI1668" s="299">
        <v>1</v>
      </c>
      <c r="AJ1668" s="302"/>
      <c r="AK1668" s="299">
        <v>1</v>
      </c>
      <c r="AL1668" s="295"/>
      <c r="AM1668" s="299">
        <v>1</v>
      </c>
      <c r="AN1668" s="302"/>
      <c r="AO1668" s="299">
        <v>1</v>
      </c>
      <c r="AP1668" s="299">
        <v>1</v>
      </c>
      <c r="AQ1668" s="295"/>
      <c r="AR1668" s="299">
        <v>1</v>
      </c>
      <c r="AS1668" s="302"/>
      <c r="AT1668" s="299">
        <v>1</v>
      </c>
      <c r="AU1668" s="299">
        <v>1</v>
      </c>
      <c r="AV1668" s="299">
        <v>1</v>
      </c>
      <c r="AW1668" s="295"/>
      <c r="AX1668" s="299">
        <v>1</v>
      </c>
      <c r="AY1668" s="299">
        <v>1</v>
      </c>
      <c r="AZ1668" s="302"/>
      <c r="BA1668" s="299">
        <v>1</v>
      </c>
      <c r="BB1668" s="193"/>
      <c r="BC1668" s="299">
        <v>1</v>
      </c>
      <c r="BD1668" s="299">
        <v>1</v>
      </c>
      <c r="BE1668" s="299">
        <v>1</v>
      </c>
      <c r="BF1668" s="299">
        <v>1</v>
      </c>
      <c r="BG1668" s="295"/>
      <c r="BH1668" s="299">
        <v>1</v>
      </c>
      <c r="BI1668" s="302"/>
      <c r="BJ1668" s="299">
        <v>1</v>
      </c>
      <c r="BK1668" s="295"/>
      <c r="BL1668" s="299">
        <v>1</v>
      </c>
      <c r="BN1668" s="583"/>
      <c r="BO1668" s="421"/>
      <c r="BP1668" s="557"/>
      <c r="BQ1668" s="557"/>
      <c r="BR1668" s="557"/>
      <c r="BS1668" s="555"/>
      <c r="BT1668" s="557"/>
      <c r="BU1668" s="557"/>
      <c r="BV1668" s="557"/>
      <c r="BW1668" s="557"/>
      <c r="BX1668" s="557"/>
      <c r="BY1668" s="557"/>
      <c r="BZ1668" s="557"/>
      <c r="CA1668" s="557"/>
      <c r="CB1668" s="557"/>
      <c r="CC1668" s="557"/>
      <c r="CD1668" s="583"/>
      <c r="CE1668" s="421"/>
      <c r="CF1668" s="301"/>
      <c r="CG1668" s="301"/>
      <c r="CH1668" s="301"/>
      <c r="CI1668" s="301"/>
      <c r="CJ1668" s="301"/>
      <c r="CK1668" s="301"/>
      <c r="CL1668" s="301"/>
      <c r="CM1668" s="301"/>
      <c r="CN1668" s="557"/>
      <c r="CO1668" s="193"/>
      <c r="CP1668" s="557"/>
      <c r="CQ1668" s="301"/>
      <c r="CR1668" s="301"/>
      <c r="CS1668" s="301"/>
    </row>
    <row r="1669" spans="1:97">
      <c r="A1669" s="302">
        <v>1</v>
      </c>
      <c r="B1669" s="302">
        <v>1</v>
      </c>
      <c r="C1669" s="313"/>
      <c r="D1669" s="302">
        <v>1</v>
      </c>
      <c r="E1669" s="302">
        <v>1</v>
      </c>
      <c r="F1669" s="302">
        <v>1</v>
      </c>
      <c r="G1669" s="302">
        <v>1</v>
      </c>
      <c r="H1669" s="304"/>
      <c r="I1669" s="302">
        <v>1</v>
      </c>
      <c r="J1669" s="302">
        <v>1</v>
      </c>
      <c r="K1669" s="295"/>
      <c r="L1669" s="302">
        <v>1</v>
      </c>
      <c r="M1669" s="302">
        <v>1</v>
      </c>
      <c r="N1669" s="304"/>
      <c r="O1669" s="309"/>
      <c r="P1669" s="302">
        <v>1</v>
      </c>
      <c r="Q1669" s="299"/>
      <c r="R1669" s="302">
        <v>1</v>
      </c>
      <c r="S1669" s="302">
        <v>1</v>
      </c>
      <c r="T1669" s="302">
        <v>1</v>
      </c>
      <c r="U1669" s="302">
        <v>1</v>
      </c>
      <c r="V1669" s="302">
        <v>1</v>
      </c>
      <c r="W1669" s="302">
        <v>1</v>
      </c>
      <c r="X1669" s="302">
        <v>1</v>
      </c>
      <c r="Y1669" s="302">
        <v>1</v>
      </c>
      <c r="Z1669" s="302">
        <v>1</v>
      </c>
      <c r="AA1669" s="302">
        <v>1</v>
      </c>
      <c r="AB1669" s="302">
        <v>1</v>
      </c>
      <c r="AC1669" s="304"/>
      <c r="AD1669" s="302">
        <v>1</v>
      </c>
      <c r="AE1669" s="302">
        <v>1</v>
      </c>
      <c r="AF1669" s="302">
        <v>1</v>
      </c>
      <c r="AG1669" s="302"/>
      <c r="AH1669" s="299">
        <v>1</v>
      </c>
      <c r="AI1669" s="299">
        <v>1</v>
      </c>
      <c r="AJ1669" s="302"/>
      <c r="AK1669" s="299">
        <v>1</v>
      </c>
      <c r="AL1669" s="295"/>
      <c r="AM1669" s="299">
        <v>1</v>
      </c>
      <c r="AN1669" s="302"/>
      <c r="AO1669" s="299">
        <v>1</v>
      </c>
      <c r="AP1669" s="299">
        <v>1</v>
      </c>
      <c r="AQ1669" s="299">
        <v>1</v>
      </c>
      <c r="AR1669" s="299">
        <v>1</v>
      </c>
      <c r="AS1669" s="302"/>
      <c r="AT1669" s="299">
        <v>1</v>
      </c>
      <c r="AU1669" s="299">
        <v>1</v>
      </c>
      <c r="AV1669" s="299">
        <v>1</v>
      </c>
      <c r="AW1669" s="295"/>
      <c r="AX1669" s="299">
        <v>1</v>
      </c>
      <c r="AY1669" s="299">
        <v>1</v>
      </c>
      <c r="AZ1669" s="302"/>
      <c r="BA1669" s="299">
        <v>1</v>
      </c>
      <c r="BB1669" s="193"/>
      <c r="BC1669" s="299">
        <v>1</v>
      </c>
      <c r="BD1669" s="299">
        <v>1</v>
      </c>
      <c r="BE1669" s="299">
        <v>1</v>
      </c>
      <c r="BF1669" s="299">
        <v>1</v>
      </c>
      <c r="BG1669" s="295"/>
      <c r="BH1669" s="299">
        <v>1</v>
      </c>
      <c r="BI1669" s="302"/>
      <c r="BJ1669" s="299">
        <v>1</v>
      </c>
      <c r="BK1669" s="295"/>
      <c r="BL1669" s="299">
        <v>1</v>
      </c>
      <c r="BN1669" s="583"/>
      <c r="BO1669" s="421"/>
      <c r="BP1669" s="557"/>
      <c r="BQ1669" s="557"/>
      <c r="BR1669" s="557"/>
      <c r="BS1669" s="557"/>
      <c r="BT1669" s="557"/>
      <c r="BU1669" s="557"/>
      <c r="BV1669" s="557"/>
      <c r="BW1669" s="557"/>
      <c r="BX1669" s="557"/>
      <c r="BY1669" s="557"/>
      <c r="BZ1669" s="557"/>
      <c r="CA1669" s="557"/>
      <c r="CB1669" s="557"/>
      <c r="CC1669" s="557"/>
      <c r="CD1669" s="583"/>
      <c r="CE1669" s="421"/>
      <c r="CF1669" s="301"/>
      <c r="CG1669" s="301"/>
      <c r="CH1669" s="301"/>
      <c r="CI1669" s="301"/>
      <c r="CJ1669" s="301"/>
      <c r="CK1669" s="301"/>
      <c r="CL1669" s="301"/>
      <c r="CM1669" s="301"/>
      <c r="CN1669" s="557"/>
      <c r="CO1669" s="193"/>
      <c r="CP1669" s="557"/>
      <c r="CQ1669" s="301"/>
      <c r="CR1669" s="301"/>
      <c r="CS1669" s="301"/>
    </row>
    <row r="1670" spans="1:97">
      <c r="A1670" s="302">
        <v>1</v>
      </c>
      <c r="B1670" s="302">
        <v>1</v>
      </c>
      <c r="C1670" s="313"/>
      <c r="D1670" s="302">
        <v>1</v>
      </c>
      <c r="E1670" s="302">
        <v>1</v>
      </c>
      <c r="F1670" s="302">
        <v>1</v>
      </c>
      <c r="G1670" s="309"/>
      <c r="H1670" s="304"/>
      <c r="I1670" s="302">
        <v>1</v>
      </c>
      <c r="J1670" s="302">
        <v>1</v>
      </c>
      <c r="K1670" s="302">
        <v>1</v>
      </c>
      <c r="L1670" s="302">
        <v>1</v>
      </c>
      <c r="M1670" s="302">
        <v>1</v>
      </c>
      <c r="N1670" s="304"/>
      <c r="O1670" s="302">
        <v>1</v>
      </c>
      <c r="P1670" s="302">
        <v>1</v>
      </c>
      <c r="Q1670" s="299"/>
      <c r="R1670" s="302">
        <v>1</v>
      </c>
      <c r="S1670" s="302">
        <v>1</v>
      </c>
      <c r="T1670" s="302">
        <v>1</v>
      </c>
      <c r="U1670" s="304"/>
      <c r="V1670" s="302">
        <v>1</v>
      </c>
      <c r="W1670" s="302">
        <v>1</v>
      </c>
      <c r="X1670" s="302">
        <v>1</v>
      </c>
      <c r="Y1670" s="302">
        <v>1</v>
      </c>
      <c r="Z1670" s="302">
        <v>1</v>
      </c>
      <c r="AA1670" s="302">
        <v>1</v>
      </c>
      <c r="AB1670" s="302">
        <v>1</v>
      </c>
      <c r="AC1670" s="304"/>
      <c r="AD1670" s="302">
        <v>1</v>
      </c>
      <c r="AE1670" s="302">
        <v>1</v>
      </c>
      <c r="AF1670" s="302">
        <v>1</v>
      </c>
      <c r="AG1670" s="299">
        <v>1</v>
      </c>
      <c r="AH1670" s="299">
        <v>1</v>
      </c>
      <c r="AI1670" s="299">
        <v>1</v>
      </c>
      <c r="AJ1670" s="302"/>
      <c r="AK1670" s="299">
        <v>1</v>
      </c>
      <c r="AL1670" s="295"/>
      <c r="AM1670" s="299">
        <v>1</v>
      </c>
      <c r="AN1670" s="302"/>
      <c r="AO1670" s="299">
        <v>1</v>
      </c>
      <c r="AP1670" s="299">
        <v>1</v>
      </c>
      <c r="AQ1670" s="299">
        <v>1</v>
      </c>
      <c r="AR1670" s="299">
        <v>1</v>
      </c>
      <c r="AS1670" s="302"/>
      <c r="AT1670" s="299">
        <v>1</v>
      </c>
      <c r="AU1670" s="299">
        <v>1</v>
      </c>
      <c r="AV1670" s="299">
        <v>1</v>
      </c>
      <c r="AW1670" s="295"/>
      <c r="AX1670" s="299">
        <v>1</v>
      </c>
      <c r="AY1670" s="299">
        <v>1</v>
      </c>
      <c r="AZ1670" s="302"/>
      <c r="BA1670" s="299">
        <v>1</v>
      </c>
      <c r="BB1670" s="193"/>
      <c r="BC1670" s="299">
        <v>1</v>
      </c>
      <c r="BD1670" s="299">
        <v>1</v>
      </c>
      <c r="BE1670" s="299">
        <v>1</v>
      </c>
      <c r="BF1670" s="299">
        <v>1</v>
      </c>
      <c r="BG1670" s="295"/>
      <c r="BH1670" s="299">
        <v>1</v>
      </c>
      <c r="BI1670" s="302"/>
      <c r="BJ1670" s="299">
        <v>1</v>
      </c>
      <c r="BK1670" s="295"/>
      <c r="BL1670" s="299">
        <v>1</v>
      </c>
      <c r="BM1670">
        <v>1</v>
      </c>
      <c r="BN1670" s="583"/>
      <c r="BO1670" s="421"/>
      <c r="BP1670" s="557"/>
      <c r="BQ1670" s="557"/>
      <c r="BR1670" s="557"/>
      <c r="BS1670" s="557"/>
      <c r="BT1670" s="557"/>
      <c r="BU1670" s="557"/>
      <c r="BV1670" s="557"/>
      <c r="BW1670" s="557"/>
      <c r="BX1670" s="557"/>
      <c r="BY1670" s="557"/>
      <c r="BZ1670" s="557"/>
      <c r="CA1670" s="557"/>
      <c r="CB1670" s="557"/>
      <c r="CC1670" s="557"/>
      <c r="CD1670" s="583"/>
      <c r="CE1670" s="421"/>
      <c r="CF1670" s="301"/>
      <c r="CG1670" s="301"/>
      <c r="CH1670" s="301"/>
      <c r="CI1670" s="301"/>
      <c r="CJ1670" s="301"/>
      <c r="CK1670" s="301"/>
      <c r="CL1670" s="301"/>
      <c r="CM1670" s="301"/>
      <c r="CN1670" s="301"/>
      <c r="CO1670" s="557"/>
      <c r="CP1670" s="301"/>
      <c r="CQ1670" s="301"/>
      <c r="CR1670" s="301"/>
      <c r="CS1670" s="301"/>
    </row>
    <row r="1671" spans="1:97">
      <c r="A1671" s="302">
        <v>1</v>
      </c>
      <c r="B1671" s="302">
        <v>1</v>
      </c>
      <c r="C1671" s="309"/>
      <c r="D1671" s="302">
        <v>1</v>
      </c>
      <c r="E1671" s="302">
        <v>1</v>
      </c>
      <c r="F1671" s="302">
        <v>1</v>
      </c>
      <c r="G1671" s="309"/>
      <c r="H1671" s="302">
        <v>1</v>
      </c>
      <c r="I1671" s="302">
        <v>1</v>
      </c>
      <c r="J1671" s="302">
        <v>1</v>
      </c>
      <c r="K1671" s="302">
        <v>1</v>
      </c>
      <c r="L1671" s="302">
        <v>1</v>
      </c>
      <c r="M1671" s="302">
        <v>1</v>
      </c>
      <c r="N1671" s="302">
        <v>1</v>
      </c>
      <c r="O1671" s="299"/>
      <c r="P1671" s="299"/>
      <c r="Q1671" s="302">
        <v>1</v>
      </c>
      <c r="R1671" s="302">
        <v>1</v>
      </c>
      <c r="S1671" s="302">
        <v>1</v>
      </c>
      <c r="T1671" s="302">
        <v>1</v>
      </c>
      <c r="U1671" s="309"/>
      <c r="V1671" s="302">
        <v>1</v>
      </c>
      <c r="W1671" s="302">
        <v>1</v>
      </c>
      <c r="X1671" s="302">
        <v>1</v>
      </c>
      <c r="Y1671" s="302">
        <v>1</v>
      </c>
      <c r="Z1671" s="302">
        <v>1</v>
      </c>
      <c r="AA1671" s="302">
        <v>1</v>
      </c>
      <c r="AB1671" s="302">
        <v>1</v>
      </c>
      <c r="AC1671" s="302">
        <v>1</v>
      </c>
      <c r="AD1671" s="302">
        <v>1</v>
      </c>
      <c r="AE1671" s="302">
        <v>1</v>
      </c>
      <c r="AF1671" s="302">
        <v>1</v>
      </c>
      <c r="AG1671" s="295"/>
      <c r="AH1671" s="299">
        <v>1</v>
      </c>
      <c r="AI1671" s="299">
        <v>1</v>
      </c>
      <c r="AJ1671" s="304"/>
      <c r="AK1671" s="299">
        <v>1</v>
      </c>
      <c r="AL1671" s="299">
        <v>1</v>
      </c>
      <c r="AM1671" s="299">
        <v>1</v>
      </c>
      <c r="AN1671" s="302"/>
      <c r="AO1671" s="299">
        <v>1</v>
      </c>
      <c r="AP1671" s="299">
        <v>1</v>
      </c>
      <c r="AQ1671" s="193"/>
      <c r="AR1671" s="299">
        <v>1</v>
      </c>
      <c r="AS1671" s="302"/>
      <c r="AT1671" s="299">
        <v>1</v>
      </c>
      <c r="AU1671" s="299">
        <v>1</v>
      </c>
      <c r="AV1671" s="302"/>
      <c r="AW1671" s="295"/>
      <c r="AX1671" s="299">
        <v>1</v>
      </c>
      <c r="AY1671" s="299">
        <v>1</v>
      </c>
      <c r="AZ1671" s="299">
        <v>1</v>
      </c>
      <c r="BA1671" s="299">
        <v>1</v>
      </c>
      <c r="BB1671" s="193"/>
      <c r="BC1671" s="299">
        <v>1</v>
      </c>
      <c r="BD1671" s="299">
        <v>1</v>
      </c>
      <c r="BE1671" s="299">
        <v>1</v>
      </c>
      <c r="BF1671" s="299">
        <v>1</v>
      </c>
      <c r="BG1671" s="295"/>
      <c r="BH1671" s="299">
        <v>1</v>
      </c>
      <c r="BI1671" s="302"/>
      <c r="BJ1671" s="299">
        <v>1</v>
      </c>
      <c r="BK1671" s="295"/>
      <c r="BL1671" s="299">
        <v>1</v>
      </c>
      <c r="BM1671">
        <v>1</v>
      </c>
      <c r="BN1671" s="583"/>
      <c r="BO1671" s="421"/>
      <c r="BP1671" s="557"/>
      <c r="BQ1671" s="557"/>
      <c r="BR1671" s="557"/>
      <c r="BS1671" s="557"/>
      <c r="BT1671" s="557"/>
      <c r="BU1671" s="557"/>
      <c r="BV1671" s="557"/>
      <c r="BW1671" s="557"/>
      <c r="BX1671" s="557"/>
      <c r="BY1671" s="557"/>
      <c r="BZ1671" s="557"/>
      <c r="CA1671" s="557"/>
      <c r="CB1671" s="557"/>
      <c r="CC1671" s="557"/>
      <c r="CD1671" s="583"/>
      <c r="CE1671" s="421"/>
      <c r="CF1671" s="301"/>
      <c r="CG1671" s="301"/>
      <c r="CH1671" s="301"/>
      <c r="CI1671" s="301"/>
      <c r="CJ1671" s="301"/>
      <c r="CK1671" s="301"/>
      <c r="CL1671" s="301"/>
      <c r="CM1671" s="301"/>
      <c r="CN1671" s="301"/>
      <c r="CO1671" s="301"/>
      <c r="CP1671" s="301"/>
      <c r="CQ1671" s="301"/>
      <c r="CR1671" s="301"/>
      <c r="CS1671" s="301"/>
    </row>
    <row r="1672" spans="1:97">
      <c r="A1672" s="302">
        <v>1</v>
      </c>
      <c r="B1672" s="302">
        <v>1</v>
      </c>
      <c r="C1672" s="309"/>
      <c r="D1672" s="302">
        <v>1</v>
      </c>
      <c r="E1672" s="302">
        <v>1</v>
      </c>
      <c r="F1672" s="302">
        <v>1</v>
      </c>
      <c r="G1672" s="309"/>
      <c r="H1672" s="302">
        <v>1</v>
      </c>
      <c r="I1672" s="302">
        <v>1</v>
      </c>
      <c r="J1672" s="302">
        <v>1</v>
      </c>
      <c r="K1672" s="302">
        <v>1</v>
      </c>
      <c r="L1672" s="302">
        <v>1</v>
      </c>
      <c r="M1672" s="302">
        <v>1</v>
      </c>
      <c r="N1672" s="302">
        <v>1</v>
      </c>
      <c r="O1672" s="302">
        <v>1</v>
      </c>
      <c r="P1672" s="302">
        <v>1</v>
      </c>
      <c r="Q1672" s="302">
        <v>1</v>
      </c>
      <c r="R1672" s="302">
        <v>1</v>
      </c>
      <c r="S1672" s="302">
        <v>1</v>
      </c>
      <c r="T1672" s="302">
        <v>1</v>
      </c>
      <c r="U1672" s="313"/>
      <c r="V1672" s="302">
        <v>1</v>
      </c>
      <c r="W1672" s="302">
        <v>1</v>
      </c>
      <c r="X1672" s="302">
        <v>1</v>
      </c>
      <c r="Y1672" s="302">
        <v>1</v>
      </c>
      <c r="Z1672" s="302">
        <v>1</v>
      </c>
      <c r="AA1672" s="302">
        <v>1</v>
      </c>
      <c r="AB1672" s="313"/>
      <c r="AC1672" s="302">
        <v>1</v>
      </c>
      <c r="AD1672" s="302">
        <v>1</v>
      </c>
      <c r="AE1672" s="302">
        <v>1</v>
      </c>
      <c r="AF1672" s="302">
        <v>1</v>
      </c>
      <c r="AG1672" s="299">
        <v>1</v>
      </c>
      <c r="AH1672" s="299">
        <v>1</v>
      </c>
      <c r="AI1672" s="302"/>
      <c r="AJ1672" s="309"/>
      <c r="AK1672" s="299">
        <v>1</v>
      </c>
      <c r="AL1672" s="299">
        <v>1</v>
      </c>
      <c r="AM1672" s="299">
        <v>1</v>
      </c>
      <c r="AN1672" s="302"/>
      <c r="AO1672" s="299">
        <v>1</v>
      </c>
      <c r="AP1672" s="299">
        <v>1</v>
      </c>
      <c r="AQ1672" s="193"/>
      <c r="AR1672" s="299">
        <v>1</v>
      </c>
      <c r="AS1672" s="299">
        <v>1</v>
      </c>
      <c r="AT1672" s="299">
        <v>1</v>
      </c>
      <c r="AU1672" s="299">
        <v>1</v>
      </c>
      <c r="AV1672" s="302"/>
      <c r="AW1672" s="299">
        <v>1</v>
      </c>
      <c r="AX1672" s="299">
        <v>1</v>
      </c>
      <c r="AY1672" s="299">
        <v>1</v>
      </c>
      <c r="AZ1672" s="295"/>
      <c r="BA1672" s="299">
        <v>1</v>
      </c>
      <c r="BB1672" s="299">
        <v>1</v>
      </c>
      <c r="BC1672" s="299">
        <v>1</v>
      </c>
      <c r="BD1672" s="299">
        <v>1</v>
      </c>
      <c r="BE1672" s="299">
        <v>1</v>
      </c>
      <c r="BF1672" s="302"/>
      <c r="BG1672" s="295"/>
      <c r="BH1672" s="299">
        <v>1</v>
      </c>
      <c r="BI1672" s="302"/>
      <c r="BJ1672" s="299">
        <v>1</v>
      </c>
      <c r="BK1672" s="295"/>
      <c r="BL1672" s="299">
        <v>1</v>
      </c>
      <c r="BN1672" s="583"/>
      <c r="BO1672" s="421"/>
      <c r="BP1672" s="583"/>
      <c r="BQ1672" s="583"/>
      <c r="BR1672" s="583"/>
      <c r="BS1672" s="583"/>
      <c r="BT1672" s="583"/>
      <c r="BU1672" s="583"/>
      <c r="BV1672" s="583"/>
      <c r="BW1672" s="583"/>
      <c r="BX1672" s="583"/>
      <c r="BY1672" s="583"/>
      <c r="BZ1672" s="583"/>
      <c r="CA1672" s="583"/>
      <c r="CB1672" s="583"/>
      <c r="CC1672" s="583"/>
      <c r="CD1672" s="583"/>
      <c r="CE1672" s="421"/>
      <c r="CF1672" s="583"/>
      <c r="CG1672" s="583"/>
      <c r="CH1672" s="583"/>
      <c r="CI1672" s="583"/>
      <c r="CJ1672" s="583"/>
      <c r="CK1672" s="583"/>
      <c r="CL1672" s="583"/>
      <c r="CM1672" s="583"/>
      <c r="CN1672" s="583"/>
      <c r="CO1672" s="583"/>
      <c r="CP1672" s="583"/>
      <c r="CQ1672" s="583"/>
      <c r="CR1672" s="583"/>
      <c r="CS1672" s="583"/>
    </row>
    <row r="1673" spans="1:97">
      <c r="A1673" s="302">
        <v>1</v>
      </c>
      <c r="B1673" s="302">
        <v>1</v>
      </c>
      <c r="C1673" s="304"/>
      <c r="D1673" s="302">
        <v>1</v>
      </c>
      <c r="E1673" s="302">
        <v>1</v>
      </c>
      <c r="F1673" s="302">
        <v>1</v>
      </c>
      <c r="G1673" s="304"/>
      <c r="H1673" s="302">
        <v>1</v>
      </c>
      <c r="I1673" s="299"/>
      <c r="J1673" s="302">
        <v>1</v>
      </c>
      <c r="K1673" s="302">
        <v>1</v>
      </c>
      <c r="L1673" s="302">
        <v>1</v>
      </c>
      <c r="M1673" s="302">
        <v>1</v>
      </c>
      <c r="N1673" s="302">
        <v>1</v>
      </c>
      <c r="O1673" s="302">
        <v>1</v>
      </c>
      <c r="P1673" s="302">
        <v>1</v>
      </c>
      <c r="Q1673" s="302">
        <v>1</v>
      </c>
      <c r="R1673" s="302">
        <v>1</v>
      </c>
      <c r="S1673" s="302">
        <v>1</v>
      </c>
      <c r="T1673" s="302">
        <v>1</v>
      </c>
      <c r="U1673" s="313"/>
      <c r="V1673" s="302">
        <v>1</v>
      </c>
      <c r="W1673" s="302">
        <v>1</v>
      </c>
      <c r="X1673" s="302">
        <v>1</v>
      </c>
      <c r="Y1673" s="304"/>
      <c r="Z1673" s="302">
        <v>1</v>
      </c>
      <c r="AA1673" s="302">
        <v>1</v>
      </c>
      <c r="AB1673" s="313"/>
      <c r="AC1673" s="302">
        <v>1</v>
      </c>
      <c r="AD1673" s="302">
        <v>1</v>
      </c>
      <c r="AE1673" s="302">
        <v>1</v>
      </c>
      <c r="AF1673" s="302">
        <v>1</v>
      </c>
      <c r="AG1673" s="299">
        <v>1</v>
      </c>
      <c r="AH1673" s="295"/>
      <c r="AI1673" s="302"/>
      <c r="AJ1673" s="309"/>
      <c r="AK1673" s="299">
        <v>1</v>
      </c>
      <c r="AL1673" s="299">
        <v>1</v>
      </c>
      <c r="AM1673" s="193"/>
      <c r="AN1673" s="302"/>
      <c r="AO1673" s="299">
        <v>1</v>
      </c>
      <c r="AP1673" s="299">
        <v>1</v>
      </c>
      <c r="AQ1673" s="193"/>
      <c r="AR1673" s="299">
        <v>1</v>
      </c>
      <c r="AS1673" s="299">
        <v>1</v>
      </c>
      <c r="AT1673" s="299">
        <v>1</v>
      </c>
      <c r="AU1673" s="299">
        <v>1</v>
      </c>
      <c r="AV1673" s="302"/>
      <c r="AW1673" s="299">
        <v>1</v>
      </c>
      <c r="AX1673" s="299">
        <v>1</v>
      </c>
      <c r="AY1673" s="295"/>
      <c r="AZ1673" s="299">
        <v>1</v>
      </c>
      <c r="BA1673" s="299">
        <v>1</v>
      </c>
      <c r="BB1673" s="299">
        <v>1</v>
      </c>
      <c r="BC1673" s="299">
        <v>1</v>
      </c>
      <c r="BD1673" s="299">
        <v>1</v>
      </c>
      <c r="BE1673" s="299">
        <v>1</v>
      </c>
      <c r="BF1673" s="302"/>
      <c r="BG1673" s="299">
        <v>1</v>
      </c>
      <c r="BH1673" s="299">
        <v>1</v>
      </c>
      <c r="BI1673" s="302"/>
      <c r="BJ1673" s="299">
        <v>1</v>
      </c>
      <c r="BK1673" s="295"/>
      <c r="BL1673" s="299">
        <v>1</v>
      </c>
      <c r="BM1673">
        <v>3</v>
      </c>
      <c r="BN1673" s="193"/>
      <c r="BO1673" s="193"/>
      <c r="BP1673" s="193"/>
      <c r="BQ1673" s="555"/>
      <c r="BR1673" s="555"/>
      <c r="BS1673" s="555"/>
      <c r="BT1673" s="555"/>
      <c r="BU1673" s="193"/>
      <c r="BV1673" s="193"/>
      <c r="BW1673" s="193"/>
      <c r="BX1673" s="193"/>
      <c r="BY1673" s="193"/>
      <c r="BZ1673" s="193"/>
      <c r="CA1673" s="193"/>
      <c r="CB1673" s="193"/>
      <c r="CC1673" s="193"/>
      <c r="CD1673" s="193"/>
      <c r="CE1673" s="193"/>
      <c r="CF1673" s="193"/>
      <c r="CG1673" s="193"/>
      <c r="CH1673" s="555"/>
      <c r="CI1673" s="555"/>
      <c r="CJ1673" s="193"/>
      <c r="CK1673" s="193"/>
      <c r="CL1673" s="193"/>
      <c r="CM1673" s="193"/>
      <c r="CN1673" s="193"/>
      <c r="CO1673" s="193"/>
      <c r="CP1673" s="555"/>
      <c r="CQ1673" s="555"/>
      <c r="CR1673" s="193"/>
      <c r="CS1673" s="555"/>
    </row>
    <row r="1674" spans="1:97">
      <c r="A1674" s="302">
        <v>1</v>
      </c>
      <c r="B1674" s="302">
        <v>1</v>
      </c>
      <c r="C1674" s="304"/>
      <c r="D1674" s="302">
        <v>1</v>
      </c>
      <c r="E1674" s="302">
        <v>1</v>
      </c>
      <c r="F1674" s="302">
        <v>1</v>
      </c>
      <c r="G1674" s="304"/>
      <c r="H1674" s="302">
        <v>1</v>
      </c>
      <c r="I1674" s="299"/>
      <c r="J1674" s="302">
        <v>1</v>
      </c>
      <c r="K1674" s="299">
        <v>1</v>
      </c>
      <c r="L1674" s="302">
        <v>1</v>
      </c>
      <c r="M1674" s="302">
        <v>1</v>
      </c>
      <c r="N1674" s="302">
        <v>1</v>
      </c>
      <c r="O1674" s="302">
        <v>1</v>
      </c>
      <c r="P1674" s="302">
        <v>1</v>
      </c>
      <c r="Q1674" s="302">
        <v>1</v>
      </c>
      <c r="R1674" s="299"/>
      <c r="S1674" s="302">
        <v>1</v>
      </c>
      <c r="T1674" s="302">
        <v>1</v>
      </c>
      <c r="U1674" s="309"/>
      <c r="V1674" s="302">
        <v>1</v>
      </c>
      <c r="W1674" s="302">
        <v>1</v>
      </c>
      <c r="X1674" s="302">
        <v>1</v>
      </c>
      <c r="Y1674" s="304"/>
      <c r="Z1674" s="302">
        <v>1</v>
      </c>
      <c r="AA1674" s="302">
        <v>1</v>
      </c>
      <c r="AB1674" s="313"/>
      <c r="AC1674" s="302">
        <v>1</v>
      </c>
      <c r="AD1674" s="302">
        <v>1</v>
      </c>
      <c r="AE1674" s="304"/>
      <c r="AF1674" s="302">
        <v>1</v>
      </c>
      <c r="AG1674" s="299">
        <v>1</v>
      </c>
      <c r="AH1674" s="295"/>
      <c r="AI1674" s="304"/>
      <c r="AJ1674" s="304"/>
      <c r="AK1674" s="299">
        <v>1</v>
      </c>
      <c r="AL1674" s="299">
        <v>1</v>
      </c>
      <c r="AM1674" s="193"/>
      <c r="AN1674" s="299">
        <v>1</v>
      </c>
      <c r="AO1674" s="299">
        <v>1</v>
      </c>
      <c r="AP1674" s="299">
        <v>1</v>
      </c>
      <c r="AQ1674" s="193"/>
      <c r="AR1674" s="299">
        <v>1</v>
      </c>
      <c r="AS1674" s="299">
        <v>1</v>
      </c>
      <c r="AT1674" s="299">
        <v>1</v>
      </c>
      <c r="AU1674" s="299">
        <v>1</v>
      </c>
      <c r="AV1674" s="302"/>
      <c r="AW1674" s="299">
        <v>1</v>
      </c>
      <c r="AX1674" s="299">
        <v>1</v>
      </c>
      <c r="AY1674" s="295"/>
      <c r="AZ1674" s="299">
        <v>1</v>
      </c>
      <c r="BA1674" s="299">
        <v>1</v>
      </c>
      <c r="BB1674" s="299">
        <v>1</v>
      </c>
      <c r="BC1674" s="299">
        <v>1</v>
      </c>
      <c r="BD1674" s="299">
        <v>1</v>
      </c>
      <c r="BE1674" s="299">
        <v>1</v>
      </c>
      <c r="BF1674" s="302"/>
      <c r="BG1674" s="299">
        <v>1</v>
      </c>
      <c r="BH1674" s="299">
        <v>1</v>
      </c>
      <c r="BI1674" s="302"/>
      <c r="BJ1674" s="299">
        <v>1</v>
      </c>
      <c r="BK1674" s="295"/>
      <c r="BL1674" s="299">
        <v>1</v>
      </c>
      <c r="BN1674" s="193"/>
      <c r="BO1674" s="555"/>
      <c r="BP1674" s="557"/>
      <c r="BQ1674" s="557"/>
      <c r="BR1674" s="557"/>
      <c r="BS1674" s="557"/>
      <c r="BT1674" s="557"/>
      <c r="BU1674" s="557"/>
      <c r="BV1674" s="193"/>
      <c r="BW1674" s="193"/>
      <c r="BX1674" s="301"/>
      <c r="BY1674" s="193"/>
      <c r="BZ1674" s="193"/>
      <c r="CA1674" s="557"/>
      <c r="CB1674" s="301"/>
      <c r="CC1674" s="301"/>
      <c r="CD1674" s="301"/>
      <c r="CE1674" s="301"/>
      <c r="CF1674" s="301"/>
      <c r="CG1674" s="301"/>
      <c r="CH1674" s="301"/>
      <c r="CI1674" s="301"/>
      <c r="CJ1674" s="301"/>
      <c r="CK1674" s="193"/>
      <c r="CL1674" s="193"/>
      <c r="CM1674" s="193"/>
      <c r="CN1674" s="557"/>
      <c r="CO1674" s="301"/>
      <c r="CP1674" s="301"/>
      <c r="CQ1674" s="301"/>
      <c r="CR1674" s="557"/>
      <c r="CS1674" s="193"/>
    </row>
    <row r="1675" spans="1:97">
      <c r="A1675" s="302">
        <v>1</v>
      </c>
      <c r="B1675" s="302">
        <v>1</v>
      </c>
      <c r="C1675" s="302">
        <v>1</v>
      </c>
      <c r="D1675" s="302">
        <v>1</v>
      </c>
      <c r="E1675" s="302">
        <v>1</v>
      </c>
      <c r="F1675" s="302">
        <v>1</v>
      </c>
      <c r="G1675" s="304"/>
      <c r="H1675" s="302">
        <v>1</v>
      </c>
      <c r="I1675" s="299"/>
      <c r="J1675" s="302">
        <v>1</v>
      </c>
      <c r="K1675" s="299">
        <v>1</v>
      </c>
      <c r="L1675" s="302">
        <v>1</v>
      </c>
      <c r="M1675" s="302">
        <v>1</v>
      </c>
      <c r="N1675" s="302">
        <v>1</v>
      </c>
      <c r="O1675" s="302">
        <v>1</v>
      </c>
      <c r="P1675" s="302">
        <v>1</v>
      </c>
      <c r="Q1675" s="302">
        <v>1</v>
      </c>
      <c r="R1675" s="299"/>
      <c r="S1675" s="302">
        <v>1</v>
      </c>
      <c r="T1675" s="302">
        <v>1</v>
      </c>
      <c r="U1675" s="304"/>
      <c r="V1675" s="302">
        <v>1</v>
      </c>
      <c r="W1675" s="302">
        <v>1</v>
      </c>
      <c r="X1675" s="302">
        <v>1</v>
      </c>
      <c r="Y1675" s="304"/>
      <c r="Z1675" s="302">
        <v>1</v>
      </c>
      <c r="AA1675" s="302">
        <v>1</v>
      </c>
      <c r="AB1675" s="313"/>
      <c r="AC1675" s="302">
        <v>1</v>
      </c>
      <c r="AD1675" s="302">
        <v>1</v>
      </c>
      <c r="AE1675" s="309"/>
      <c r="AF1675" s="302">
        <v>1</v>
      </c>
      <c r="AG1675" s="299">
        <v>1</v>
      </c>
      <c r="AH1675" s="295"/>
      <c r="AI1675" s="309"/>
      <c r="AJ1675" s="302"/>
      <c r="AK1675" s="299">
        <v>1</v>
      </c>
      <c r="AL1675" s="299">
        <v>1</v>
      </c>
      <c r="AM1675" s="193"/>
      <c r="AN1675" s="299">
        <v>1</v>
      </c>
      <c r="AO1675" s="299">
        <v>1</v>
      </c>
      <c r="AP1675" s="299">
        <v>1</v>
      </c>
      <c r="AQ1675" s="193"/>
      <c r="AR1675" s="299">
        <v>1</v>
      </c>
      <c r="AS1675" s="299">
        <v>1</v>
      </c>
      <c r="AT1675" s="299">
        <v>1</v>
      </c>
      <c r="AU1675" s="302"/>
      <c r="AV1675" s="299">
        <v>1</v>
      </c>
      <c r="AW1675" s="299">
        <v>1</v>
      </c>
      <c r="AX1675" s="299">
        <v>1</v>
      </c>
      <c r="AY1675" s="295"/>
      <c r="AZ1675" s="299">
        <v>1</v>
      </c>
      <c r="BA1675" s="299">
        <v>1</v>
      </c>
      <c r="BB1675" s="302"/>
      <c r="BC1675" s="299">
        <v>1</v>
      </c>
      <c r="BD1675" s="295"/>
      <c r="BE1675" s="299">
        <v>1</v>
      </c>
      <c r="BF1675" s="302"/>
      <c r="BG1675" s="299">
        <v>1</v>
      </c>
      <c r="BH1675" s="299">
        <v>1</v>
      </c>
      <c r="BI1675" s="302"/>
      <c r="BJ1675" s="299">
        <v>1</v>
      </c>
      <c r="BK1675" s="299">
        <v>1</v>
      </c>
      <c r="BL1675" s="299">
        <v>1</v>
      </c>
      <c r="BN1675" s="193"/>
      <c r="BO1675" s="555"/>
      <c r="BP1675" s="557"/>
      <c r="BQ1675" s="557"/>
      <c r="BR1675" s="557"/>
      <c r="BS1675" s="557"/>
      <c r="BT1675" s="557"/>
      <c r="BU1675" s="557"/>
      <c r="BV1675" s="555"/>
      <c r="BW1675" s="193"/>
      <c r="BX1675" s="301"/>
      <c r="BY1675" s="193"/>
      <c r="BZ1675" s="193"/>
      <c r="CA1675" s="557"/>
      <c r="CB1675" s="301"/>
      <c r="CC1675" s="301"/>
      <c r="CD1675" s="301"/>
      <c r="CE1675" s="301"/>
      <c r="CF1675" s="301"/>
      <c r="CG1675" s="301"/>
      <c r="CH1675" s="301"/>
      <c r="CI1675" s="301"/>
      <c r="CJ1675" s="301"/>
      <c r="CK1675" s="193"/>
      <c r="CL1675" s="193"/>
      <c r="CM1675" s="193"/>
      <c r="CN1675" s="557"/>
      <c r="CO1675" s="301"/>
      <c r="CP1675" s="301"/>
      <c r="CQ1675" s="301"/>
      <c r="CR1675" s="557"/>
      <c r="CS1675" s="193"/>
    </row>
    <row r="1676" spans="1:97">
      <c r="A1676" s="302">
        <v>1</v>
      </c>
      <c r="B1676" s="302">
        <v>1</v>
      </c>
      <c r="C1676" s="299"/>
      <c r="D1676" s="302">
        <v>1</v>
      </c>
      <c r="E1676" s="302">
        <v>1</v>
      </c>
      <c r="F1676" s="302">
        <v>1</v>
      </c>
      <c r="G1676" s="302">
        <v>1</v>
      </c>
      <c r="H1676" s="299"/>
      <c r="I1676" s="302">
        <v>1</v>
      </c>
      <c r="J1676" s="302">
        <v>1</v>
      </c>
      <c r="K1676" s="299">
        <v>1</v>
      </c>
      <c r="L1676" s="302">
        <v>1</v>
      </c>
      <c r="M1676" s="302">
        <v>1</v>
      </c>
      <c r="N1676" s="309"/>
      <c r="O1676" s="302">
        <v>1</v>
      </c>
      <c r="P1676" s="302">
        <v>1</v>
      </c>
      <c r="Q1676" s="302">
        <v>1</v>
      </c>
      <c r="R1676" s="299"/>
      <c r="S1676" s="302">
        <v>1</v>
      </c>
      <c r="T1676" s="302">
        <v>1</v>
      </c>
      <c r="U1676" s="304"/>
      <c r="V1676" s="302">
        <v>1</v>
      </c>
      <c r="W1676" s="302">
        <v>1</v>
      </c>
      <c r="X1676" s="304"/>
      <c r="Y1676" s="304"/>
      <c r="Z1676" s="302">
        <v>1</v>
      </c>
      <c r="AA1676" s="302">
        <v>1</v>
      </c>
      <c r="AB1676" s="313"/>
      <c r="AC1676" s="302">
        <v>1</v>
      </c>
      <c r="AD1676" s="302">
        <v>1</v>
      </c>
      <c r="AE1676" s="309"/>
      <c r="AF1676" s="302">
        <v>1</v>
      </c>
      <c r="AG1676" s="299">
        <v>1</v>
      </c>
      <c r="AH1676" s="295"/>
      <c r="AI1676" s="304"/>
      <c r="AJ1676" s="302"/>
      <c r="AK1676" s="299">
        <v>1</v>
      </c>
      <c r="AL1676" s="299">
        <v>1</v>
      </c>
      <c r="AM1676" s="193"/>
      <c r="AN1676" s="299">
        <v>1</v>
      </c>
      <c r="AO1676" s="299">
        <v>1</v>
      </c>
      <c r="AP1676" s="304"/>
      <c r="AQ1676" s="299">
        <v>1</v>
      </c>
      <c r="AR1676" s="299">
        <v>1</v>
      </c>
      <c r="AS1676" s="299">
        <v>1</v>
      </c>
      <c r="AT1676" s="299">
        <v>1</v>
      </c>
      <c r="AU1676" s="302"/>
      <c r="AV1676" s="299">
        <v>1</v>
      </c>
      <c r="AW1676" s="299">
        <v>1</v>
      </c>
      <c r="AX1676" s="299">
        <v>1</v>
      </c>
      <c r="AY1676" s="295"/>
      <c r="AZ1676" s="299">
        <v>1</v>
      </c>
      <c r="BA1676" s="299">
        <v>1</v>
      </c>
      <c r="BB1676" s="302"/>
      <c r="BC1676" s="299">
        <v>1</v>
      </c>
      <c r="BD1676" s="295"/>
      <c r="BE1676" s="299">
        <v>1</v>
      </c>
      <c r="BF1676" s="304"/>
      <c r="BG1676" s="299">
        <v>1</v>
      </c>
      <c r="BH1676" s="299">
        <v>1</v>
      </c>
      <c r="BI1676" s="302"/>
      <c r="BJ1676" s="299">
        <v>1</v>
      </c>
      <c r="BK1676" s="299">
        <v>1</v>
      </c>
      <c r="BL1676" s="299">
        <v>1</v>
      </c>
      <c r="BN1676" s="193"/>
      <c r="BO1676" s="555"/>
      <c r="BP1676" s="557"/>
      <c r="BQ1676" s="557"/>
      <c r="BR1676" s="557"/>
      <c r="BS1676" s="557"/>
      <c r="BT1676" s="557"/>
      <c r="BU1676" s="557"/>
      <c r="BV1676" s="555"/>
      <c r="BW1676" s="193"/>
      <c r="BX1676" s="301"/>
      <c r="BY1676" s="193"/>
      <c r="BZ1676" s="193"/>
      <c r="CA1676" s="557"/>
      <c r="CB1676" s="301"/>
      <c r="CC1676" s="301"/>
      <c r="CD1676" s="301"/>
      <c r="CE1676" s="301"/>
      <c r="CF1676" s="301"/>
      <c r="CG1676" s="301"/>
      <c r="CH1676" s="301"/>
      <c r="CI1676" s="301"/>
      <c r="CJ1676" s="301"/>
      <c r="CK1676" s="555"/>
      <c r="CL1676" s="193"/>
      <c r="CM1676" s="193"/>
      <c r="CN1676" s="557"/>
      <c r="CO1676" s="301"/>
      <c r="CP1676" s="301"/>
      <c r="CQ1676" s="301"/>
      <c r="CR1676" s="557"/>
      <c r="CS1676" s="193"/>
    </row>
    <row r="1677" spans="1:97">
      <c r="A1677" s="302">
        <v>1</v>
      </c>
      <c r="B1677" s="302">
        <v>1</v>
      </c>
      <c r="C1677" s="302">
        <v>1</v>
      </c>
      <c r="D1677" s="302">
        <v>1</v>
      </c>
      <c r="E1677" s="302">
        <v>1</v>
      </c>
      <c r="F1677" s="302">
        <v>1</v>
      </c>
      <c r="G1677" s="302">
        <v>1</v>
      </c>
      <c r="H1677" s="302">
        <v>1</v>
      </c>
      <c r="I1677" s="302">
        <v>1</v>
      </c>
      <c r="J1677" s="302">
        <v>1</v>
      </c>
      <c r="K1677" s="299">
        <v>1</v>
      </c>
      <c r="L1677" s="302">
        <v>1</v>
      </c>
      <c r="M1677" s="302">
        <v>1</v>
      </c>
      <c r="N1677" s="309"/>
      <c r="O1677" s="302">
        <v>1</v>
      </c>
      <c r="P1677" s="302">
        <v>1</v>
      </c>
      <c r="Q1677" s="302">
        <v>1</v>
      </c>
      <c r="R1677" s="299"/>
      <c r="S1677" s="302">
        <v>1</v>
      </c>
      <c r="T1677" s="302">
        <v>1</v>
      </c>
      <c r="U1677" s="302">
        <v>1</v>
      </c>
      <c r="V1677" s="302">
        <v>1</v>
      </c>
      <c r="W1677" s="302">
        <v>1</v>
      </c>
      <c r="X1677" s="309"/>
      <c r="Y1677" s="309"/>
      <c r="Z1677" s="302">
        <v>1</v>
      </c>
      <c r="AA1677" s="302">
        <v>1</v>
      </c>
      <c r="AB1677" s="302">
        <v>1</v>
      </c>
      <c r="AC1677" s="302">
        <v>1</v>
      </c>
      <c r="AD1677" s="302">
        <v>1</v>
      </c>
      <c r="AE1677" s="313"/>
      <c r="AF1677" s="302">
        <v>1</v>
      </c>
      <c r="AG1677" s="299">
        <v>1</v>
      </c>
      <c r="AH1677" s="295"/>
      <c r="AI1677" s="302"/>
      <c r="AJ1677" s="302"/>
      <c r="AK1677" s="299">
        <v>1</v>
      </c>
      <c r="AL1677" s="299">
        <v>1</v>
      </c>
      <c r="AM1677" s="193"/>
      <c r="AN1677" s="299">
        <v>1</v>
      </c>
      <c r="AO1677" s="299">
        <v>1</v>
      </c>
      <c r="AP1677" s="309"/>
      <c r="AQ1677" s="299">
        <v>1</v>
      </c>
      <c r="AR1677" s="299">
        <v>1</v>
      </c>
      <c r="AS1677" s="299">
        <v>1</v>
      </c>
      <c r="AT1677" s="299">
        <v>1</v>
      </c>
      <c r="AU1677" s="302"/>
      <c r="AV1677" s="299">
        <v>1</v>
      </c>
      <c r="AW1677" s="295"/>
      <c r="AX1677" s="299">
        <v>1</v>
      </c>
      <c r="AY1677" s="295"/>
      <c r="AZ1677" s="299">
        <v>1</v>
      </c>
      <c r="BA1677" s="299">
        <v>1</v>
      </c>
      <c r="BB1677" s="304"/>
      <c r="BC1677" s="299">
        <v>1</v>
      </c>
      <c r="BD1677" s="295"/>
      <c r="BE1677" s="299">
        <v>1</v>
      </c>
      <c r="BF1677" s="309"/>
      <c r="BG1677" s="299">
        <v>1</v>
      </c>
      <c r="BH1677" s="299">
        <v>1</v>
      </c>
      <c r="BI1677" s="302"/>
      <c r="BJ1677" s="299">
        <v>1</v>
      </c>
      <c r="BK1677" s="299">
        <v>1</v>
      </c>
      <c r="BL1677" s="299">
        <v>1</v>
      </c>
      <c r="BN1677" s="193"/>
      <c r="BO1677" s="557"/>
      <c r="BP1677" s="557"/>
      <c r="BQ1677" s="301"/>
      <c r="BR1677" s="557"/>
      <c r="BS1677" s="557"/>
      <c r="BT1677" s="557"/>
      <c r="BU1677" s="557"/>
      <c r="BV1677" s="555"/>
      <c r="BW1677" s="193"/>
      <c r="BX1677" s="301"/>
      <c r="BY1677" s="557"/>
      <c r="BZ1677" s="193"/>
      <c r="CA1677" s="557"/>
      <c r="CB1677" s="301"/>
      <c r="CC1677" s="301"/>
      <c r="CD1677" s="301"/>
      <c r="CE1677" s="301"/>
      <c r="CF1677" s="301"/>
      <c r="CG1677" s="301"/>
      <c r="CH1677" s="301"/>
      <c r="CI1677" s="301"/>
      <c r="CJ1677" s="301"/>
      <c r="CK1677" s="555"/>
      <c r="CL1677" s="193"/>
      <c r="CM1677" s="193"/>
      <c r="CN1677" s="557"/>
      <c r="CO1677" s="301"/>
      <c r="CP1677" s="301"/>
      <c r="CQ1677" s="301"/>
      <c r="CR1677" s="557"/>
      <c r="CS1677" s="193"/>
    </row>
    <row r="1678" spans="1:97">
      <c r="A1678" s="302">
        <v>1</v>
      </c>
      <c r="B1678" s="302">
        <v>1</v>
      </c>
      <c r="C1678" s="302">
        <v>1</v>
      </c>
      <c r="D1678" s="302">
        <v>1</v>
      </c>
      <c r="E1678" s="313"/>
      <c r="F1678" s="302">
        <v>1</v>
      </c>
      <c r="G1678" s="302">
        <v>1</v>
      </c>
      <c r="H1678" s="302">
        <v>1</v>
      </c>
      <c r="I1678" s="302">
        <v>1</v>
      </c>
      <c r="J1678" s="302">
        <v>1</v>
      </c>
      <c r="K1678" s="299">
        <v>1</v>
      </c>
      <c r="L1678" s="302">
        <v>1</v>
      </c>
      <c r="M1678" s="302">
        <v>1</v>
      </c>
      <c r="N1678" s="309"/>
      <c r="O1678" s="302">
        <v>1</v>
      </c>
      <c r="P1678" s="302">
        <v>1</v>
      </c>
      <c r="Q1678" s="302">
        <v>1</v>
      </c>
      <c r="R1678" s="299"/>
      <c r="S1678" s="302">
        <v>1</v>
      </c>
      <c r="T1678" s="302">
        <v>1</v>
      </c>
      <c r="U1678" s="299"/>
      <c r="V1678" s="302">
        <v>1</v>
      </c>
      <c r="W1678" s="302">
        <v>1</v>
      </c>
      <c r="X1678" s="304"/>
      <c r="Y1678" s="309"/>
      <c r="Z1678" s="302">
        <v>1</v>
      </c>
      <c r="AA1678" s="302">
        <v>1</v>
      </c>
      <c r="AB1678" s="302">
        <v>1</v>
      </c>
      <c r="AC1678" s="302">
        <v>1</v>
      </c>
      <c r="AD1678" s="302">
        <v>1</v>
      </c>
      <c r="AE1678" s="309"/>
      <c r="AF1678" s="302">
        <v>1</v>
      </c>
      <c r="AG1678" s="299">
        <v>1</v>
      </c>
      <c r="AH1678" s="295"/>
      <c r="AI1678" s="302"/>
      <c r="AJ1678" s="302"/>
      <c r="AK1678" s="299">
        <v>1</v>
      </c>
      <c r="AL1678" s="299">
        <v>1</v>
      </c>
      <c r="AM1678" s="299">
        <v>1</v>
      </c>
      <c r="AN1678" s="299">
        <v>1</v>
      </c>
      <c r="AO1678" s="299">
        <v>1</v>
      </c>
      <c r="AP1678" s="304"/>
      <c r="AQ1678" s="299">
        <v>1</v>
      </c>
      <c r="AR1678" s="299">
        <v>1</v>
      </c>
      <c r="AS1678" s="299">
        <v>1</v>
      </c>
      <c r="AT1678" s="299">
        <v>1</v>
      </c>
      <c r="AU1678" s="302"/>
      <c r="AV1678" s="299">
        <v>1</v>
      </c>
      <c r="AW1678" s="295"/>
      <c r="AX1678" s="299">
        <v>1</v>
      </c>
      <c r="AY1678" s="295"/>
      <c r="AZ1678" s="299">
        <v>1</v>
      </c>
      <c r="BA1678" s="299">
        <v>1</v>
      </c>
      <c r="BB1678" s="304"/>
      <c r="BC1678" s="299">
        <v>1</v>
      </c>
      <c r="BD1678" s="295"/>
      <c r="BE1678" s="299">
        <v>1</v>
      </c>
      <c r="BF1678" s="304"/>
      <c r="BG1678" s="299">
        <v>1</v>
      </c>
      <c r="BH1678" s="299">
        <v>1</v>
      </c>
      <c r="BI1678" s="302"/>
      <c r="BJ1678" s="299">
        <v>1</v>
      </c>
      <c r="BK1678" s="299">
        <v>1</v>
      </c>
      <c r="BL1678" s="299">
        <v>1</v>
      </c>
      <c r="BN1678" s="193"/>
      <c r="BO1678" s="557"/>
      <c r="BP1678" s="557"/>
      <c r="BQ1678" s="557"/>
      <c r="BR1678" s="557"/>
      <c r="BS1678" s="557"/>
      <c r="BT1678" s="557"/>
      <c r="BU1678" s="557"/>
      <c r="BV1678" s="555"/>
      <c r="BW1678" s="557"/>
      <c r="BX1678" s="301"/>
      <c r="BY1678" s="301"/>
      <c r="BZ1678" s="193"/>
      <c r="CA1678" s="557"/>
      <c r="CB1678" s="301"/>
      <c r="CC1678" s="301"/>
      <c r="CD1678" s="301"/>
      <c r="CE1678" s="301"/>
      <c r="CF1678" s="301"/>
      <c r="CG1678" s="301"/>
      <c r="CH1678" s="301"/>
      <c r="CI1678" s="301"/>
      <c r="CJ1678" s="301"/>
      <c r="CK1678" s="555"/>
      <c r="CL1678" s="193"/>
      <c r="CM1678" s="557"/>
      <c r="CN1678" s="301"/>
      <c r="CO1678" s="301"/>
      <c r="CP1678" s="557"/>
      <c r="CQ1678" s="301"/>
      <c r="CR1678" s="301"/>
      <c r="CS1678" s="557"/>
    </row>
    <row r="1679" spans="1:97">
      <c r="A1679" s="302">
        <v>1</v>
      </c>
      <c r="B1679" s="299"/>
      <c r="C1679" s="302">
        <v>1</v>
      </c>
      <c r="D1679" s="302">
        <v>1</v>
      </c>
      <c r="E1679" s="313"/>
      <c r="F1679" s="302">
        <v>1</v>
      </c>
      <c r="G1679" s="302">
        <v>1</v>
      </c>
      <c r="H1679" s="302">
        <v>1</v>
      </c>
      <c r="I1679" s="304"/>
      <c r="J1679" s="302">
        <v>1</v>
      </c>
      <c r="K1679" s="299">
        <v>1</v>
      </c>
      <c r="L1679" s="302">
        <v>1</v>
      </c>
      <c r="M1679" s="302">
        <v>1</v>
      </c>
      <c r="N1679" s="309"/>
      <c r="O1679" s="302">
        <v>1</v>
      </c>
      <c r="P1679" s="302">
        <v>1</v>
      </c>
      <c r="Q1679" s="302">
        <v>1</v>
      </c>
      <c r="R1679" s="299"/>
      <c r="S1679" s="302">
        <v>1</v>
      </c>
      <c r="T1679" s="302">
        <v>1</v>
      </c>
      <c r="U1679" s="302">
        <v>1</v>
      </c>
      <c r="V1679" s="302">
        <v>1</v>
      </c>
      <c r="W1679" s="302">
        <v>1</v>
      </c>
      <c r="X1679" s="304"/>
      <c r="Y1679" s="309"/>
      <c r="Z1679" s="299"/>
      <c r="AA1679" s="302">
        <v>1</v>
      </c>
      <c r="AB1679" s="302">
        <v>1</v>
      </c>
      <c r="AC1679" s="302">
        <v>1</v>
      </c>
      <c r="AD1679" s="302">
        <v>1</v>
      </c>
      <c r="AE1679" s="309"/>
      <c r="AF1679" s="302">
        <v>1</v>
      </c>
      <c r="AG1679" s="299">
        <v>1</v>
      </c>
      <c r="AH1679" s="295"/>
      <c r="AI1679" s="302"/>
      <c r="AJ1679" s="299">
        <v>1</v>
      </c>
      <c r="AK1679" s="299">
        <v>1</v>
      </c>
      <c r="AL1679" s="299">
        <v>1</v>
      </c>
      <c r="AM1679" s="299">
        <v>1</v>
      </c>
      <c r="AN1679" s="299">
        <v>1</v>
      </c>
      <c r="AO1679" s="295"/>
      <c r="AP1679" s="302"/>
      <c r="AQ1679" s="299">
        <v>1</v>
      </c>
      <c r="AR1679" s="299">
        <v>1</v>
      </c>
      <c r="AS1679" s="299">
        <v>1</v>
      </c>
      <c r="AT1679" s="299">
        <v>1</v>
      </c>
      <c r="AU1679" s="299">
        <v>1</v>
      </c>
      <c r="AV1679" s="295"/>
      <c r="AW1679" s="299">
        <v>1</v>
      </c>
      <c r="AX1679" s="299">
        <v>1</v>
      </c>
      <c r="AY1679" s="295"/>
      <c r="AZ1679" s="299">
        <v>1</v>
      </c>
      <c r="BA1679" s="299">
        <v>1</v>
      </c>
      <c r="BB1679" s="309"/>
      <c r="BC1679" s="299">
        <v>1</v>
      </c>
      <c r="BD1679" s="295"/>
      <c r="BE1679" s="299">
        <v>1</v>
      </c>
      <c r="BF1679" s="302"/>
      <c r="BG1679" s="299">
        <v>1</v>
      </c>
      <c r="BH1679" s="299">
        <v>1</v>
      </c>
      <c r="BI1679" s="302"/>
      <c r="BJ1679" s="299">
        <v>1</v>
      </c>
      <c r="BK1679" s="299">
        <v>1</v>
      </c>
      <c r="BL1679" s="299">
        <v>1</v>
      </c>
      <c r="BN1679" s="555"/>
      <c r="BO1679" s="557"/>
      <c r="BP1679" s="557"/>
      <c r="BQ1679" s="557"/>
      <c r="BR1679" s="557"/>
      <c r="BS1679" s="557"/>
      <c r="BT1679" s="557"/>
      <c r="BU1679" s="557"/>
      <c r="BV1679" s="555"/>
      <c r="BW1679" s="557"/>
      <c r="BX1679" s="301"/>
      <c r="BY1679" s="301"/>
      <c r="BZ1679" s="557"/>
      <c r="CA1679" s="301"/>
      <c r="CB1679" s="301"/>
      <c r="CC1679" s="301"/>
      <c r="CD1679" s="301"/>
      <c r="CE1679" s="301"/>
      <c r="CF1679" s="301"/>
      <c r="CG1679" s="301"/>
      <c r="CH1679" s="301"/>
      <c r="CI1679" s="301"/>
      <c r="CJ1679" s="301"/>
      <c r="CK1679" s="555"/>
      <c r="CL1679" s="193"/>
      <c r="CM1679" s="557"/>
      <c r="CN1679" s="301"/>
      <c r="CO1679" s="301"/>
      <c r="CP1679" s="301"/>
      <c r="CQ1679" s="301"/>
      <c r="CR1679" s="301"/>
      <c r="CS1679" s="301"/>
    </row>
    <row r="1680" spans="1:97">
      <c r="A1680" s="302">
        <v>1</v>
      </c>
      <c r="B1680" s="299"/>
      <c r="C1680" s="302">
        <v>1</v>
      </c>
      <c r="D1680" s="302">
        <v>1</v>
      </c>
      <c r="E1680" s="313"/>
      <c r="F1680" s="302">
        <v>1</v>
      </c>
      <c r="G1680" s="302">
        <v>1</v>
      </c>
      <c r="H1680" s="302">
        <v>1</v>
      </c>
      <c r="I1680" s="309"/>
      <c r="J1680" s="302">
        <v>1</v>
      </c>
      <c r="K1680" s="302">
        <v>1</v>
      </c>
      <c r="L1680" s="302">
        <v>1</v>
      </c>
      <c r="M1680" s="302">
        <v>1</v>
      </c>
      <c r="N1680" s="309"/>
      <c r="O1680" s="302">
        <v>1</v>
      </c>
      <c r="P1680" s="302">
        <v>1</v>
      </c>
      <c r="Q1680" s="302">
        <v>1</v>
      </c>
      <c r="R1680" s="295"/>
      <c r="S1680" s="302">
        <v>1</v>
      </c>
      <c r="T1680" s="302">
        <v>1</v>
      </c>
      <c r="U1680" s="302">
        <v>1</v>
      </c>
      <c r="V1680" s="302">
        <v>1</v>
      </c>
      <c r="W1680" s="302">
        <v>1</v>
      </c>
      <c r="X1680" s="304"/>
      <c r="Y1680" s="302">
        <v>1</v>
      </c>
      <c r="Z1680" s="299"/>
      <c r="AA1680" s="302">
        <v>1</v>
      </c>
      <c r="AB1680" s="302">
        <v>1</v>
      </c>
      <c r="AC1680" s="299"/>
      <c r="AD1680" s="302">
        <v>1</v>
      </c>
      <c r="AE1680" s="304"/>
      <c r="AF1680" s="302">
        <v>1</v>
      </c>
      <c r="AG1680" s="299">
        <v>1</v>
      </c>
      <c r="AH1680" s="295"/>
      <c r="AI1680" s="299">
        <v>1</v>
      </c>
      <c r="AJ1680" s="299">
        <v>1</v>
      </c>
      <c r="AK1680" s="299">
        <v>1</v>
      </c>
      <c r="AL1680" s="299">
        <v>1</v>
      </c>
      <c r="AM1680" s="299">
        <v>1</v>
      </c>
      <c r="AN1680" s="299">
        <v>1</v>
      </c>
      <c r="AO1680" s="295"/>
      <c r="AP1680" s="302"/>
      <c r="AQ1680" s="299">
        <v>1</v>
      </c>
      <c r="AR1680" s="295"/>
      <c r="AS1680" s="299">
        <v>1</v>
      </c>
      <c r="AT1680" s="299">
        <v>1</v>
      </c>
      <c r="AU1680" s="299">
        <v>1</v>
      </c>
      <c r="AV1680" s="299">
        <v>1</v>
      </c>
      <c r="AW1680" s="299">
        <v>1</v>
      </c>
      <c r="AX1680" s="299">
        <v>1</v>
      </c>
      <c r="AY1680" s="295"/>
      <c r="AZ1680" s="299">
        <v>1</v>
      </c>
      <c r="BA1680" s="299">
        <v>1</v>
      </c>
      <c r="BB1680" s="309"/>
      <c r="BC1680" s="302"/>
      <c r="BD1680" s="295"/>
      <c r="BE1680" s="299">
        <v>1</v>
      </c>
      <c r="BF1680" s="302"/>
      <c r="BG1680" s="299">
        <v>1</v>
      </c>
      <c r="BH1680" s="193"/>
      <c r="BI1680" s="299">
        <v>1</v>
      </c>
      <c r="BJ1680" s="299">
        <v>1</v>
      </c>
      <c r="BK1680" s="299">
        <v>1</v>
      </c>
      <c r="BL1680" s="295"/>
      <c r="BN1680" s="583"/>
      <c r="BO1680" s="583"/>
      <c r="BP1680" s="583"/>
      <c r="BQ1680" s="583"/>
      <c r="BR1680" s="583"/>
      <c r="BS1680" s="583"/>
      <c r="BT1680" s="583"/>
      <c r="BU1680" s="583"/>
      <c r="BV1680" s="583"/>
      <c r="BW1680" s="583"/>
      <c r="BX1680" s="583"/>
      <c r="BY1680" s="583"/>
      <c r="BZ1680" s="583"/>
      <c r="CA1680" s="583"/>
      <c r="CB1680" s="583"/>
      <c r="CC1680" s="583"/>
      <c r="CD1680" s="583"/>
      <c r="CE1680" s="583"/>
      <c r="CF1680" s="583"/>
      <c r="CG1680" s="583"/>
      <c r="CH1680" s="583"/>
      <c r="CI1680" s="583"/>
      <c r="CJ1680" s="583"/>
      <c r="CK1680" s="583"/>
      <c r="CL1680" s="583"/>
      <c r="CM1680" s="583"/>
      <c r="CN1680" s="583"/>
      <c r="CO1680" s="583"/>
      <c r="CP1680" s="583"/>
      <c r="CQ1680" s="583"/>
      <c r="CR1680" s="583"/>
      <c r="CS1680" s="583"/>
    </row>
    <row r="1681" spans="1:100">
      <c r="A1681" s="302">
        <v>1</v>
      </c>
      <c r="B1681" s="299"/>
      <c r="C1681" s="302">
        <v>1</v>
      </c>
      <c r="D1681" s="302">
        <v>1</v>
      </c>
      <c r="E1681" s="313"/>
      <c r="F1681" s="302">
        <v>1</v>
      </c>
      <c r="G1681" s="302">
        <v>1</v>
      </c>
      <c r="H1681" s="302">
        <v>1</v>
      </c>
      <c r="I1681" s="313"/>
      <c r="J1681" s="302">
        <v>1</v>
      </c>
      <c r="K1681" s="302">
        <v>1</v>
      </c>
      <c r="L1681" s="302">
        <v>1</v>
      </c>
      <c r="M1681" s="302">
        <v>1</v>
      </c>
      <c r="N1681" s="302">
        <v>1</v>
      </c>
      <c r="O1681" s="302">
        <v>1</v>
      </c>
      <c r="P1681" s="302">
        <v>1</v>
      </c>
      <c r="Q1681" s="302">
        <v>1</v>
      </c>
      <c r="R1681" s="302">
        <v>1</v>
      </c>
      <c r="S1681" s="302">
        <v>1</v>
      </c>
      <c r="T1681" s="302">
        <v>1</v>
      </c>
      <c r="U1681" s="302">
        <v>1</v>
      </c>
      <c r="V1681" s="302">
        <v>1</v>
      </c>
      <c r="W1681" s="302">
        <v>1</v>
      </c>
      <c r="X1681" s="302">
        <v>1</v>
      </c>
      <c r="Y1681" s="299"/>
      <c r="Z1681" s="302">
        <v>1</v>
      </c>
      <c r="AA1681" s="302">
        <v>1</v>
      </c>
      <c r="AB1681" s="302">
        <v>1</v>
      </c>
      <c r="AC1681" s="299"/>
      <c r="AD1681" s="302">
        <v>1</v>
      </c>
      <c r="AE1681" s="304"/>
      <c r="AF1681" s="302">
        <v>1</v>
      </c>
      <c r="AG1681" s="299">
        <v>1</v>
      </c>
      <c r="AH1681" s="295"/>
      <c r="AI1681" s="299">
        <v>1</v>
      </c>
      <c r="AJ1681" s="295"/>
      <c r="AK1681" s="299">
        <v>1</v>
      </c>
      <c r="AL1681" s="299">
        <v>1</v>
      </c>
      <c r="AM1681" s="299">
        <v>1</v>
      </c>
      <c r="AN1681" s="299">
        <v>1</v>
      </c>
      <c r="AO1681" s="295"/>
      <c r="AP1681" s="302"/>
      <c r="AQ1681" s="299">
        <v>1</v>
      </c>
      <c r="AR1681" s="295"/>
      <c r="AS1681" s="299">
        <v>1</v>
      </c>
      <c r="AT1681" s="299">
        <v>1</v>
      </c>
      <c r="AU1681" s="299">
        <v>1</v>
      </c>
      <c r="AV1681" s="299">
        <v>1</v>
      </c>
      <c r="AW1681" s="299">
        <v>1</v>
      </c>
      <c r="AX1681" s="299">
        <v>1</v>
      </c>
      <c r="AY1681" s="295"/>
      <c r="AZ1681" s="299">
        <v>1</v>
      </c>
      <c r="BA1681" s="299">
        <v>1</v>
      </c>
      <c r="BB1681" s="304"/>
      <c r="BC1681" s="309"/>
      <c r="BD1681" s="295"/>
      <c r="BE1681" s="299">
        <v>1</v>
      </c>
      <c r="BF1681" s="302"/>
      <c r="BG1681" s="299">
        <v>1</v>
      </c>
      <c r="BH1681" s="193"/>
      <c r="BI1681" s="299">
        <v>1</v>
      </c>
      <c r="BJ1681" s="299">
        <v>1</v>
      </c>
      <c r="BK1681" s="299">
        <v>1</v>
      </c>
      <c r="BL1681" s="295"/>
      <c r="BN1681" s="555"/>
      <c r="BO1681" s="421"/>
      <c r="BP1681" s="193"/>
      <c r="BQ1681" s="193"/>
      <c r="BR1681" s="193"/>
      <c r="BS1681" s="193"/>
      <c r="BT1681" s="193"/>
      <c r="BU1681" s="193"/>
      <c r="BV1681" s="193"/>
      <c r="BW1681" s="555"/>
      <c r="BX1681" s="555"/>
      <c r="BY1681" s="555"/>
      <c r="BZ1681" s="555"/>
      <c r="CA1681" s="555"/>
      <c r="CB1681" s="555"/>
      <c r="CC1681" s="555"/>
      <c r="CD1681" s="583"/>
      <c r="CE1681" s="421"/>
      <c r="CF1681" s="555"/>
      <c r="CG1681" s="555"/>
      <c r="CH1681" s="193"/>
      <c r="CI1681" s="193"/>
      <c r="CJ1681" s="193"/>
      <c r="CK1681" s="193"/>
      <c r="CL1681" s="193"/>
      <c r="CM1681" s="193"/>
      <c r="CN1681" s="193"/>
      <c r="CO1681" s="193"/>
      <c r="CP1681" s="193"/>
      <c r="CQ1681" s="193"/>
      <c r="CR1681" s="555"/>
      <c r="CS1681" s="555"/>
    </row>
    <row r="1682" spans="1:100">
      <c r="A1682" s="302">
        <v>1</v>
      </c>
      <c r="B1682" s="299"/>
      <c r="C1682" s="302">
        <v>1</v>
      </c>
      <c r="D1682" s="302">
        <v>1</v>
      </c>
      <c r="E1682" s="302">
        <v>1</v>
      </c>
      <c r="F1682" s="302">
        <v>1</v>
      </c>
      <c r="G1682" s="302">
        <v>1</v>
      </c>
      <c r="H1682" s="302">
        <v>1</v>
      </c>
      <c r="I1682" s="309"/>
      <c r="J1682" s="302">
        <v>1</v>
      </c>
      <c r="K1682" s="302">
        <v>1</v>
      </c>
      <c r="L1682" s="299"/>
      <c r="M1682" s="302">
        <v>1</v>
      </c>
      <c r="N1682" s="302">
        <v>1</v>
      </c>
      <c r="O1682" s="302">
        <v>1</v>
      </c>
      <c r="P1682" s="302">
        <v>1</v>
      </c>
      <c r="Q1682" s="302">
        <v>1</v>
      </c>
      <c r="R1682" s="302">
        <v>1</v>
      </c>
      <c r="S1682" s="302">
        <v>1</v>
      </c>
      <c r="T1682" s="295"/>
      <c r="U1682" s="302">
        <v>1</v>
      </c>
      <c r="V1682" s="302">
        <v>1</v>
      </c>
      <c r="W1682" s="302">
        <v>1</v>
      </c>
      <c r="X1682" s="302">
        <v>1</v>
      </c>
      <c r="Y1682" s="302">
        <v>1</v>
      </c>
      <c r="Z1682" s="302">
        <v>1</v>
      </c>
      <c r="AA1682" s="302">
        <v>1</v>
      </c>
      <c r="AB1682" s="302">
        <v>1</v>
      </c>
      <c r="AC1682" s="299"/>
      <c r="AD1682" s="302">
        <v>1</v>
      </c>
      <c r="AE1682" s="302">
        <v>1</v>
      </c>
      <c r="AF1682" s="302">
        <v>1</v>
      </c>
      <c r="AG1682" s="299">
        <v>1</v>
      </c>
      <c r="AH1682" s="299">
        <v>1</v>
      </c>
      <c r="AI1682" s="299">
        <v>1</v>
      </c>
      <c r="AJ1682" s="295"/>
      <c r="AK1682" s="299">
        <v>1</v>
      </c>
      <c r="AL1682" s="304"/>
      <c r="AM1682" s="299">
        <v>1</v>
      </c>
      <c r="AN1682" s="299">
        <v>1</v>
      </c>
      <c r="AO1682" s="299">
        <v>1</v>
      </c>
      <c r="AP1682" s="299">
        <v>1</v>
      </c>
      <c r="AQ1682" s="299">
        <v>1</v>
      </c>
      <c r="AR1682" s="295"/>
      <c r="AS1682" s="299">
        <v>1</v>
      </c>
      <c r="AT1682" s="299">
        <v>1</v>
      </c>
      <c r="AU1682" s="299">
        <v>1</v>
      </c>
      <c r="AV1682" s="299">
        <v>1</v>
      </c>
      <c r="AW1682" s="302"/>
      <c r="AX1682" s="299">
        <v>1</v>
      </c>
      <c r="AY1682" s="295"/>
      <c r="AZ1682" s="299">
        <v>1</v>
      </c>
      <c r="BA1682" s="302"/>
      <c r="BB1682" s="299">
        <v>1</v>
      </c>
      <c r="BC1682" s="304"/>
      <c r="BD1682" s="295"/>
      <c r="BE1682" s="299">
        <v>1</v>
      </c>
      <c r="BF1682" s="299">
        <v>1</v>
      </c>
      <c r="BG1682" s="299">
        <v>1</v>
      </c>
      <c r="BH1682" s="193"/>
      <c r="BI1682" s="299">
        <v>1</v>
      </c>
      <c r="BJ1682" s="299">
        <v>1</v>
      </c>
      <c r="BK1682" s="299">
        <v>1</v>
      </c>
      <c r="BL1682" s="295"/>
      <c r="BN1682" s="583"/>
      <c r="BO1682" s="421"/>
      <c r="BP1682" s="193"/>
      <c r="BQ1682" s="557"/>
      <c r="BR1682" s="301"/>
      <c r="BS1682" s="301"/>
      <c r="BT1682" s="301"/>
      <c r="BU1682" s="301"/>
      <c r="BV1682" s="301"/>
      <c r="BW1682" s="301"/>
      <c r="BX1682" s="301"/>
      <c r="BY1682" s="301"/>
      <c r="BZ1682" s="301"/>
      <c r="CA1682" s="301"/>
      <c r="CB1682" s="301"/>
      <c r="CC1682" s="557"/>
      <c r="CD1682" s="583"/>
      <c r="CE1682" s="421"/>
      <c r="CF1682" s="555"/>
      <c r="CG1682" s="557"/>
      <c r="CH1682" s="555"/>
      <c r="CI1682" s="193"/>
      <c r="CJ1682" s="555"/>
      <c r="CK1682" s="557"/>
      <c r="CL1682" s="557"/>
      <c r="CM1682" s="557"/>
      <c r="CN1682" s="557"/>
      <c r="CO1682" s="557"/>
      <c r="CP1682" s="557"/>
      <c r="CQ1682" s="557"/>
      <c r="CR1682" s="557"/>
      <c r="CS1682" s="557"/>
    </row>
    <row r="1683" spans="1:100">
      <c r="A1683" s="302">
        <v>1</v>
      </c>
      <c r="B1683" s="299"/>
      <c r="C1683" s="302">
        <v>1</v>
      </c>
      <c r="D1683" s="302">
        <v>1</v>
      </c>
      <c r="E1683" s="302">
        <v>1</v>
      </c>
      <c r="F1683" s="302">
        <v>1</v>
      </c>
      <c r="G1683" s="302">
        <v>1</v>
      </c>
      <c r="H1683" s="302">
        <v>1</v>
      </c>
      <c r="I1683" s="309"/>
      <c r="J1683" s="302">
        <v>1</v>
      </c>
      <c r="K1683" s="302">
        <v>1</v>
      </c>
      <c r="L1683" s="299"/>
      <c r="M1683" s="302">
        <v>1</v>
      </c>
      <c r="N1683" s="302">
        <v>1</v>
      </c>
      <c r="O1683" s="302">
        <v>1</v>
      </c>
      <c r="P1683" s="302">
        <v>1</v>
      </c>
      <c r="Q1683" s="302">
        <v>1</v>
      </c>
      <c r="R1683" s="302">
        <v>1</v>
      </c>
      <c r="S1683" s="302">
        <v>1</v>
      </c>
      <c r="T1683" s="295"/>
      <c r="U1683" s="302">
        <v>1</v>
      </c>
      <c r="V1683" s="302">
        <v>1</v>
      </c>
      <c r="W1683" s="302">
        <v>1</v>
      </c>
      <c r="X1683" s="302">
        <v>1</v>
      </c>
      <c r="Y1683" s="302">
        <v>1</v>
      </c>
      <c r="Z1683" s="302">
        <v>1</v>
      </c>
      <c r="AA1683" s="302">
        <v>1</v>
      </c>
      <c r="AB1683" s="302">
        <v>1</v>
      </c>
      <c r="AC1683" s="299"/>
      <c r="AD1683" s="302">
        <v>1</v>
      </c>
      <c r="AE1683" s="299"/>
      <c r="AF1683" s="302">
        <v>1</v>
      </c>
      <c r="AG1683" s="299">
        <v>1</v>
      </c>
      <c r="AH1683" s="299">
        <v>1</v>
      </c>
      <c r="AI1683" s="299">
        <v>1</v>
      </c>
      <c r="AJ1683" s="295"/>
      <c r="AK1683" s="299">
        <v>1</v>
      </c>
      <c r="AL1683" s="304"/>
      <c r="AM1683" s="299">
        <v>1</v>
      </c>
      <c r="AN1683" s="299">
        <v>1</v>
      </c>
      <c r="AO1683" s="302"/>
      <c r="AP1683" s="295"/>
      <c r="AQ1683" s="299">
        <v>1</v>
      </c>
      <c r="AR1683" s="295"/>
      <c r="AS1683" s="299">
        <v>1</v>
      </c>
      <c r="AT1683" s="299">
        <v>1</v>
      </c>
      <c r="AU1683" s="299">
        <v>1</v>
      </c>
      <c r="AV1683" s="299">
        <v>1</v>
      </c>
      <c r="AW1683" s="302"/>
      <c r="AX1683" s="299">
        <v>1</v>
      </c>
      <c r="AY1683" s="295"/>
      <c r="AZ1683" s="299">
        <v>1</v>
      </c>
      <c r="BA1683" s="299">
        <v>1</v>
      </c>
      <c r="BB1683" s="302"/>
      <c r="BC1683" s="299">
        <v>1</v>
      </c>
      <c r="BD1683" s="299">
        <v>1</v>
      </c>
      <c r="BE1683" s="299">
        <v>1</v>
      </c>
      <c r="BF1683" s="295"/>
      <c r="BG1683" s="299">
        <v>1</v>
      </c>
      <c r="BH1683" s="193"/>
      <c r="BI1683" s="299">
        <v>1</v>
      </c>
      <c r="BJ1683" s="299">
        <v>1</v>
      </c>
      <c r="BK1683" s="299">
        <v>1</v>
      </c>
      <c r="BL1683" s="295"/>
      <c r="BN1683" s="583"/>
      <c r="BO1683" s="421"/>
      <c r="BP1683" s="193"/>
      <c r="BQ1683" s="557"/>
      <c r="BR1683" s="301"/>
      <c r="BS1683" s="301"/>
      <c r="BT1683" s="301"/>
      <c r="BU1683" s="301"/>
      <c r="BV1683" s="301"/>
      <c r="BW1683" s="301"/>
      <c r="BX1683" s="301"/>
      <c r="BY1683" s="301"/>
      <c r="BZ1683" s="301"/>
      <c r="CA1683" s="301"/>
      <c r="CB1683" s="301"/>
      <c r="CC1683" s="557"/>
      <c r="CD1683" s="583"/>
      <c r="CE1683" s="421"/>
      <c r="CF1683" s="555"/>
      <c r="CG1683" s="557"/>
      <c r="CH1683" s="555"/>
      <c r="CI1683" s="193"/>
      <c r="CJ1683" s="555"/>
      <c r="CK1683" s="557"/>
      <c r="CL1683" s="557"/>
      <c r="CM1683" s="557"/>
      <c r="CN1683" s="557"/>
      <c r="CO1683" s="557"/>
      <c r="CP1683" s="557"/>
      <c r="CQ1683" s="557"/>
      <c r="CR1683" s="557"/>
      <c r="CS1683" s="557"/>
    </row>
    <row r="1684" spans="1:100">
      <c r="A1684" s="302">
        <v>1</v>
      </c>
      <c r="B1684" s="295"/>
      <c r="C1684" s="302">
        <v>1</v>
      </c>
      <c r="D1684" s="302">
        <v>1</v>
      </c>
      <c r="E1684" s="302">
        <v>1</v>
      </c>
      <c r="F1684" s="302">
        <v>1</v>
      </c>
      <c r="G1684" s="302">
        <v>1</v>
      </c>
      <c r="H1684" s="302">
        <v>1</v>
      </c>
      <c r="I1684" s="309"/>
      <c r="J1684" s="302">
        <v>1</v>
      </c>
      <c r="K1684" s="302">
        <v>1</v>
      </c>
      <c r="L1684" s="299"/>
      <c r="M1684" s="302">
        <v>1</v>
      </c>
      <c r="N1684" s="302">
        <v>1</v>
      </c>
      <c r="O1684" s="302">
        <v>1</v>
      </c>
      <c r="P1684" s="304"/>
      <c r="Q1684" s="302">
        <v>1</v>
      </c>
      <c r="R1684" s="302">
        <v>1</v>
      </c>
      <c r="S1684" s="302">
        <v>1</v>
      </c>
      <c r="T1684" s="295"/>
      <c r="U1684" s="302">
        <v>1</v>
      </c>
      <c r="V1684" s="302">
        <v>1</v>
      </c>
      <c r="W1684" s="302">
        <v>1</v>
      </c>
      <c r="X1684" s="302">
        <v>1</v>
      </c>
      <c r="Y1684" s="302">
        <v>1</v>
      </c>
      <c r="Z1684" s="302">
        <v>1</v>
      </c>
      <c r="AA1684" s="304"/>
      <c r="AB1684" s="302">
        <v>1</v>
      </c>
      <c r="AC1684" s="299"/>
      <c r="AD1684" s="302">
        <v>1</v>
      </c>
      <c r="AE1684" s="302">
        <v>1</v>
      </c>
      <c r="AF1684" s="302">
        <v>1</v>
      </c>
      <c r="AG1684" s="299">
        <v>1</v>
      </c>
      <c r="AH1684" s="299">
        <v>1</v>
      </c>
      <c r="AI1684" s="299">
        <v>1</v>
      </c>
      <c r="AJ1684" s="295"/>
      <c r="AK1684" s="299">
        <v>1</v>
      </c>
      <c r="AL1684" s="309"/>
      <c r="AM1684" s="299">
        <v>1</v>
      </c>
      <c r="AN1684" s="299">
        <v>1</v>
      </c>
      <c r="AO1684" s="302"/>
      <c r="AP1684" s="299">
        <v>1</v>
      </c>
      <c r="AQ1684" s="299">
        <v>1</v>
      </c>
      <c r="AR1684" s="295"/>
      <c r="AS1684" s="299">
        <v>1</v>
      </c>
      <c r="AT1684" s="299">
        <v>1</v>
      </c>
      <c r="AU1684" s="299">
        <v>1</v>
      </c>
      <c r="AV1684" s="299">
        <v>1</v>
      </c>
      <c r="AW1684" s="304"/>
      <c r="AX1684" s="299">
        <v>1</v>
      </c>
      <c r="AY1684" s="299">
        <v>1</v>
      </c>
      <c r="AZ1684" s="299">
        <v>1</v>
      </c>
      <c r="BA1684" s="299">
        <v>1</v>
      </c>
      <c r="BB1684" s="299">
        <v>1</v>
      </c>
      <c r="BC1684" s="299">
        <v>1</v>
      </c>
      <c r="BD1684" s="299">
        <v>1</v>
      </c>
      <c r="BE1684" s="299">
        <v>1</v>
      </c>
      <c r="BF1684" s="299">
        <v>1</v>
      </c>
      <c r="BG1684" s="299">
        <v>1</v>
      </c>
      <c r="BH1684" s="193"/>
      <c r="BI1684" s="299">
        <v>1</v>
      </c>
      <c r="BJ1684" s="299">
        <v>1</v>
      </c>
      <c r="BK1684" s="302"/>
      <c r="BL1684" s="295"/>
      <c r="BN1684" s="583"/>
      <c r="BO1684" s="421"/>
      <c r="BP1684" s="193"/>
      <c r="BQ1684" s="557"/>
      <c r="BR1684" s="301"/>
      <c r="BS1684" s="301"/>
      <c r="BT1684" s="301"/>
      <c r="BU1684" s="301"/>
      <c r="BV1684" s="301"/>
      <c r="BW1684" s="301"/>
      <c r="BX1684" s="301"/>
      <c r="BY1684" s="301"/>
      <c r="BZ1684" s="301"/>
      <c r="CA1684" s="301"/>
      <c r="CB1684" s="301"/>
      <c r="CC1684" s="557"/>
      <c r="CD1684" s="583"/>
      <c r="CE1684" s="421"/>
      <c r="CF1684" s="557"/>
      <c r="CG1684" s="557"/>
      <c r="CH1684" s="557"/>
      <c r="CI1684" s="555"/>
      <c r="CJ1684" s="557"/>
      <c r="CK1684" s="557"/>
      <c r="CL1684" s="557"/>
      <c r="CM1684" s="557"/>
      <c r="CN1684" s="557"/>
      <c r="CO1684" s="557"/>
      <c r="CP1684" s="557"/>
      <c r="CQ1684" s="557"/>
      <c r="CR1684" s="557"/>
      <c r="CS1684" s="557"/>
    </row>
    <row r="1685" spans="1:100">
      <c r="A1685" s="302">
        <v>1</v>
      </c>
      <c r="B1685" s="302">
        <v>1</v>
      </c>
      <c r="C1685" s="302">
        <v>1</v>
      </c>
      <c r="D1685" s="302">
        <v>1</v>
      </c>
      <c r="E1685" s="302">
        <v>1</v>
      </c>
      <c r="F1685" s="304"/>
      <c r="G1685" s="302">
        <v>1</v>
      </c>
      <c r="H1685" s="302">
        <v>1</v>
      </c>
      <c r="I1685" s="304"/>
      <c r="J1685" s="302">
        <v>1</v>
      </c>
      <c r="K1685" s="302">
        <v>1</v>
      </c>
      <c r="L1685" s="299"/>
      <c r="M1685" s="302">
        <v>1</v>
      </c>
      <c r="N1685" s="302">
        <v>1</v>
      </c>
      <c r="O1685" s="302">
        <v>1</v>
      </c>
      <c r="P1685" s="304"/>
      <c r="Q1685" s="302">
        <v>1</v>
      </c>
      <c r="R1685" s="302">
        <v>1</v>
      </c>
      <c r="S1685" s="302">
        <v>1</v>
      </c>
      <c r="T1685" s="295"/>
      <c r="U1685" s="302">
        <v>1</v>
      </c>
      <c r="V1685" s="304"/>
      <c r="W1685" s="302">
        <v>1</v>
      </c>
      <c r="X1685" s="302">
        <v>1</v>
      </c>
      <c r="Y1685" s="302">
        <v>1</v>
      </c>
      <c r="Z1685" s="302">
        <v>1</v>
      </c>
      <c r="AA1685" s="309"/>
      <c r="AB1685" s="302">
        <v>1</v>
      </c>
      <c r="AC1685" s="299"/>
      <c r="AD1685" s="302">
        <v>1</v>
      </c>
      <c r="AE1685" s="304"/>
      <c r="AF1685" s="302">
        <v>1</v>
      </c>
      <c r="AG1685" s="299">
        <v>1</v>
      </c>
      <c r="AH1685" s="299">
        <v>1</v>
      </c>
      <c r="AI1685" s="299">
        <v>1</v>
      </c>
      <c r="AJ1685" s="295"/>
      <c r="AK1685" s="299">
        <v>1</v>
      </c>
      <c r="AL1685" s="304"/>
      <c r="AM1685" s="299">
        <v>1</v>
      </c>
      <c r="AN1685" s="299">
        <v>1</v>
      </c>
      <c r="AO1685" s="309"/>
      <c r="AP1685" s="302"/>
      <c r="AQ1685" s="299">
        <v>1</v>
      </c>
      <c r="AR1685" s="295"/>
      <c r="AS1685" s="299">
        <v>1</v>
      </c>
      <c r="AT1685" s="299">
        <v>1</v>
      </c>
      <c r="AU1685" s="299">
        <v>1</v>
      </c>
      <c r="AV1685" s="299">
        <v>1</v>
      </c>
      <c r="AW1685" s="309"/>
      <c r="AX1685" s="299">
        <v>1</v>
      </c>
      <c r="AY1685" s="299">
        <v>1</v>
      </c>
      <c r="AZ1685" s="299">
        <v>1</v>
      </c>
      <c r="BA1685" s="299">
        <v>1</v>
      </c>
      <c r="BB1685" s="302"/>
      <c r="BC1685" s="299">
        <v>1</v>
      </c>
      <c r="BD1685" s="299">
        <v>1</v>
      </c>
      <c r="BE1685" s="299">
        <v>1</v>
      </c>
      <c r="BF1685" s="302"/>
      <c r="BG1685" s="299">
        <v>1</v>
      </c>
      <c r="BH1685" s="193"/>
      <c r="BI1685" s="299">
        <v>1</v>
      </c>
      <c r="BJ1685" s="299">
        <v>1</v>
      </c>
      <c r="BK1685" s="302"/>
      <c r="BL1685" s="295"/>
      <c r="BN1685" s="583"/>
      <c r="BO1685" s="421"/>
      <c r="BP1685" s="557"/>
      <c r="BQ1685" s="301"/>
      <c r="BR1685" s="301"/>
      <c r="BS1685" s="301"/>
      <c r="BT1685" s="301"/>
      <c r="BU1685" s="301"/>
      <c r="BV1685" s="301"/>
      <c r="BW1685" s="301"/>
      <c r="BX1685" s="301"/>
      <c r="BY1685" s="301"/>
      <c r="BZ1685" s="301"/>
      <c r="CA1685" s="301"/>
      <c r="CB1685" s="301"/>
      <c r="CC1685" s="557"/>
      <c r="CD1685" s="583"/>
      <c r="CE1685" s="421"/>
      <c r="CF1685" s="557"/>
      <c r="CG1685" s="557"/>
      <c r="CH1685" s="557"/>
      <c r="CI1685" s="557"/>
      <c r="CJ1685" s="557"/>
      <c r="CK1685" s="557"/>
      <c r="CL1685" s="557"/>
      <c r="CM1685" s="557"/>
      <c r="CN1685" s="557"/>
      <c r="CO1685" s="557"/>
      <c r="CP1685" s="557"/>
      <c r="CQ1685" s="557"/>
      <c r="CR1685" s="557"/>
      <c r="CS1685" s="557"/>
    </row>
    <row r="1686" spans="1:100">
      <c r="A1686" s="302">
        <v>1</v>
      </c>
      <c r="B1686" s="302">
        <v>1</v>
      </c>
      <c r="C1686" s="302">
        <v>1</v>
      </c>
      <c r="D1686" s="302">
        <v>1</v>
      </c>
      <c r="E1686" s="302">
        <v>1</v>
      </c>
      <c r="F1686" s="304"/>
      <c r="G1686" s="302">
        <v>1</v>
      </c>
      <c r="H1686" s="302">
        <v>1</v>
      </c>
      <c r="I1686" s="304"/>
      <c r="J1686" s="302">
        <v>1</v>
      </c>
      <c r="K1686" s="302">
        <v>1</v>
      </c>
      <c r="L1686" s="299"/>
      <c r="M1686" s="302">
        <v>1</v>
      </c>
      <c r="N1686" s="302">
        <v>1</v>
      </c>
      <c r="O1686" s="302">
        <v>1</v>
      </c>
      <c r="P1686" s="304"/>
      <c r="Q1686" s="302">
        <v>1</v>
      </c>
      <c r="R1686" s="302">
        <v>1</v>
      </c>
      <c r="S1686" s="302">
        <v>1</v>
      </c>
      <c r="T1686" s="302">
        <v>1</v>
      </c>
      <c r="U1686" s="302">
        <v>1</v>
      </c>
      <c r="V1686" s="304"/>
      <c r="W1686" s="302">
        <v>1</v>
      </c>
      <c r="X1686" s="302">
        <v>1</v>
      </c>
      <c r="Y1686" s="302">
        <v>1</v>
      </c>
      <c r="Z1686" s="302">
        <v>1</v>
      </c>
      <c r="AA1686" s="313"/>
      <c r="AB1686" s="302">
        <v>1</v>
      </c>
      <c r="AC1686" s="295"/>
      <c r="AD1686" s="302">
        <v>1</v>
      </c>
      <c r="AE1686" s="304"/>
      <c r="AF1686" s="302">
        <v>1</v>
      </c>
      <c r="AG1686" s="299">
        <v>1</v>
      </c>
      <c r="AH1686" s="299">
        <v>1</v>
      </c>
      <c r="AI1686" s="299">
        <v>1</v>
      </c>
      <c r="AJ1686" s="295"/>
      <c r="AK1686" s="299">
        <v>1</v>
      </c>
      <c r="AL1686" s="302"/>
      <c r="AM1686" s="299">
        <v>1</v>
      </c>
      <c r="AN1686" s="299">
        <v>1</v>
      </c>
      <c r="AO1686" s="302"/>
      <c r="AP1686" s="304"/>
      <c r="AQ1686" s="299">
        <v>1</v>
      </c>
      <c r="AR1686" s="295"/>
      <c r="AS1686" s="299">
        <v>1</v>
      </c>
      <c r="AT1686" s="299">
        <v>1</v>
      </c>
      <c r="AU1686" s="299">
        <v>1</v>
      </c>
      <c r="AV1686" s="299">
        <v>1</v>
      </c>
      <c r="AW1686" s="304"/>
      <c r="AX1686" s="299">
        <v>1</v>
      </c>
      <c r="AY1686" s="299">
        <v>1</v>
      </c>
      <c r="AZ1686" s="193"/>
      <c r="BA1686" s="299">
        <v>1</v>
      </c>
      <c r="BB1686" s="302"/>
      <c r="BC1686" s="299">
        <v>1</v>
      </c>
      <c r="BD1686" s="299">
        <v>1</v>
      </c>
      <c r="BE1686" s="304"/>
      <c r="BF1686" s="302"/>
      <c r="BG1686" s="299">
        <v>1</v>
      </c>
      <c r="BH1686" s="193"/>
      <c r="BI1686" s="299">
        <v>1</v>
      </c>
      <c r="BJ1686" s="299">
        <v>1</v>
      </c>
      <c r="BK1686" s="304"/>
      <c r="BL1686" s="295"/>
      <c r="CV1686">
        <v>21</v>
      </c>
    </row>
    <row r="1687" spans="1:100">
      <c r="A1687" s="302">
        <v>1</v>
      </c>
      <c r="B1687" s="302">
        <v>1</v>
      </c>
      <c r="C1687" s="304"/>
      <c r="D1687" s="302">
        <v>1</v>
      </c>
      <c r="E1687" s="302">
        <v>1</v>
      </c>
      <c r="F1687" s="304"/>
      <c r="G1687" s="302">
        <v>1</v>
      </c>
      <c r="H1687" s="302">
        <v>1</v>
      </c>
      <c r="I1687" s="302">
        <v>1</v>
      </c>
      <c r="J1687" s="302">
        <v>1</v>
      </c>
      <c r="K1687" s="302">
        <v>1</v>
      </c>
      <c r="L1687" s="299"/>
      <c r="M1687" s="302">
        <v>1</v>
      </c>
      <c r="N1687" s="302">
        <v>1</v>
      </c>
      <c r="O1687" s="309"/>
      <c r="P1687" s="304"/>
      <c r="Q1687" s="302">
        <v>1</v>
      </c>
      <c r="R1687" s="302">
        <v>1</v>
      </c>
      <c r="S1687" s="302">
        <v>1</v>
      </c>
      <c r="T1687" s="302">
        <v>1</v>
      </c>
      <c r="U1687" s="302">
        <v>1</v>
      </c>
      <c r="V1687" s="304"/>
      <c r="W1687" s="309"/>
      <c r="X1687" s="302">
        <v>1</v>
      </c>
      <c r="Y1687" s="302">
        <v>1</v>
      </c>
      <c r="Z1687" s="302">
        <v>1</v>
      </c>
      <c r="AA1687" s="313"/>
      <c r="AB1687" s="302">
        <v>1</v>
      </c>
      <c r="AC1687" s="302">
        <v>1</v>
      </c>
      <c r="AD1687" s="302">
        <v>1</v>
      </c>
      <c r="AE1687" s="304"/>
      <c r="AF1687" s="302">
        <v>1</v>
      </c>
      <c r="AG1687" s="299">
        <v>1</v>
      </c>
      <c r="AH1687" s="302"/>
      <c r="AI1687" s="299">
        <v>1</v>
      </c>
      <c r="AJ1687" s="299">
        <v>1</v>
      </c>
      <c r="AK1687" s="304"/>
      <c r="AL1687" s="302"/>
      <c r="AM1687" s="299">
        <v>1</v>
      </c>
      <c r="AN1687" s="302"/>
      <c r="AO1687" s="299">
        <v>1</v>
      </c>
      <c r="AP1687" s="302"/>
      <c r="AQ1687" s="299">
        <v>1</v>
      </c>
      <c r="AR1687" s="295"/>
      <c r="AS1687" s="299">
        <v>1</v>
      </c>
      <c r="AT1687" s="299">
        <v>1</v>
      </c>
      <c r="AU1687" s="299">
        <v>1</v>
      </c>
      <c r="AV1687" s="299">
        <v>1</v>
      </c>
      <c r="AW1687" s="302"/>
      <c r="AX1687" s="299">
        <v>1</v>
      </c>
      <c r="AY1687" s="299">
        <v>1</v>
      </c>
      <c r="AZ1687" s="193"/>
      <c r="BA1687" s="299">
        <v>1</v>
      </c>
      <c r="BB1687" s="302"/>
      <c r="BC1687" s="299">
        <v>1</v>
      </c>
      <c r="BD1687" s="299">
        <v>1</v>
      </c>
      <c r="BE1687" s="309"/>
      <c r="BF1687" s="302"/>
      <c r="BG1687" s="299">
        <v>1</v>
      </c>
      <c r="BH1687" s="193"/>
      <c r="BI1687" s="299">
        <v>1</v>
      </c>
      <c r="BJ1687" s="299">
        <v>1</v>
      </c>
      <c r="BK1687" s="309"/>
      <c r="BL1687" s="295"/>
      <c r="CV1687">
        <v>21</v>
      </c>
    </row>
    <row r="1688" spans="1:100">
      <c r="A1688" s="302">
        <v>1</v>
      </c>
      <c r="B1688" s="302">
        <v>1</v>
      </c>
      <c r="C1688" s="304"/>
      <c r="D1688" s="302">
        <v>1</v>
      </c>
      <c r="E1688" s="302">
        <v>1</v>
      </c>
      <c r="F1688" s="304"/>
      <c r="G1688" s="302">
        <v>1</v>
      </c>
      <c r="H1688" s="302">
        <v>1</v>
      </c>
      <c r="I1688" s="299"/>
      <c r="J1688" s="302">
        <v>1</v>
      </c>
      <c r="K1688" s="302">
        <v>1</v>
      </c>
      <c r="L1688" s="299"/>
      <c r="M1688" s="302">
        <v>1</v>
      </c>
      <c r="N1688" s="302">
        <v>1</v>
      </c>
      <c r="O1688" s="304"/>
      <c r="P1688" s="313"/>
      <c r="Q1688" s="302">
        <v>1</v>
      </c>
      <c r="R1688" s="302">
        <v>1</v>
      </c>
      <c r="S1688" s="302">
        <v>1</v>
      </c>
      <c r="T1688" s="302">
        <v>1</v>
      </c>
      <c r="U1688" s="302">
        <v>1</v>
      </c>
      <c r="V1688" s="304"/>
      <c r="W1688" s="309"/>
      <c r="X1688" s="302">
        <v>1</v>
      </c>
      <c r="Y1688" s="302">
        <v>1</v>
      </c>
      <c r="Z1688" s="302">
        <v>1</v>
      </c>
      <c r="AA1688" s="309"/>
      <c r="AB1688" s="302">
        <v>1</v>
      </c>
      <c r="AC1688" s="302">
        <v>1</v>
      </c>
      <c r="AD1688" s="309"/>
      <c r="AE1688" s="304"/>
      <c r="AF1688" s="302">
        <v>1</v>
      </c>
      <c r="AG1688" s="299">
        <v>1</v>
      </c>
      <c r="AH1688" s="302"/>
      <c r="AI1688" s="299">
        <v>1</v>
      </c>
      <c r="AJ1688" s="299">
        <v>1</v>
      </c>
      <c r="AK1688" s="302"/>
      <c r="AL1688" s="299">
        <v>1</v>
      </c>
      <c r="AM1688" s="299">
        <v>1</v>
      </c>
      <c r="AN1688" s="299">
        <v>1</v>
      </c>
      <c r="AO1688" s="302"/>
      <c r="AP1688" s="299">
        <v>1</v>
      </c>
      <c r="AQ1688" s="299">
        <v>1</v>
      </c>
      <c r="AR1688" s="295"/>
      <c r="AS1688" s="299">
        <v>1</v>
      </c>
      <c r="AT1688" s="302"/>
      <c r="AU1688" s="299">
        <v>1</v>
      </c>
      <c r="AV1688" s="299">
        <v>1</v>
      </c>
      <c r="AW1688" s="302"/>
      <c r="AX1688" s="299">
        <v>1</v>
      </c>
      <c r="AY1688" s="299">
        <v>1</v>
      </c>
      <c r="AZ1688" s="193"/>
      <c r="BA1688" s="299">
        <v>1</v>
      </c>
      <c r="BB1688" s="302"/>
      <c r="BC1688" s="299">
        <v>1</v>
      </c>
      <c r="BD1688" s="299">
        <v>1</v>
      </c>
      <c r="BE1688" s="309"/>
      <c r="BF1688" s="302"/>
      <c r="BG1688" s="299">
        <v>1</v>
      </c>
      <c r="BH1688" s="299">
        <v>1</v>
      </c>
      <c r="BI1688" s="299">
        <v>1</v>
      </c>
      <c r="BJ1688" s="299">
        <v>1</v>
      </c>
      <c r="BK1688" s="304"/>
      <c r="BL1688" s="295"/>
      <c r="BN1688" s="583"/>
      <c r="BO1688" s="421"/>
      <c r="BP1688" s="583"/>
      <c r="BQ1688" s="583"/>
      <c r="BR1688" s="583"/>
      <c r="BS1688" s="583"/>
      <c r="BT1688" s="583"/>
      <c r="BU1688" s="583"/>
      <c r="BV1688" s="583"/>
      <c r="BW1688" s="583"/>
      <c r="BX1688" s="583"/>
      <c r="BY1688" s="583"/>
      <c r="BZ1688" s="583"/>
      <c r="CA1688" s="583"/>
      <c r="CB1688" s="583"/>
      <c r="CC1688" s="583"/>
      <c r="CD1688" s="583"/>
      <c r="CE1688" s="421"/>
      <c r="CF1688" s="583"/>
      <c r="CG1688" s="583"/>
      <c r="CH1688" s="583"/>
      <c r="CI1688" s="583"/>
      <c r="CJ1688" s="583"/>
      <c r="CK1688" s="583"/>
      <c r="CL1688" s="583"/>
      <c r="CM1688" s="583"/>
      <c r="CN1688" s="583"/>
      <c r="CO1688" s="583"/>
      <c r="CP1688" s="583"/>
      <c r="CQ1688" s="583"/>
      <c r="CR1688" s="583"/>
      <c r="CS1688" s="583"/>
    </row>
    <row r="1689" spans="1:100">
      <c r="A1689" s="302">
        <v>1</v>
      </c>
      <c r="B1689" s="302">
        <v>1</v>
      </c>
      <c r="C1689" s="304"/>
      <c r="D1689" s="302">
        <v>1</v>
      </c>
      <c r="E1689" s="302">
        <v>1</v>
      </c>
      <c r="F1689" s="302">
        <v>1</v>
      </c>
      <c r="G1689" s="302">
        <v>1</v>
      </c>
      <c r="H1689" s="302">
        <v>1</v>
      </c>
      <c r="I1689" s="302">
        <v>1</v>
      </c>
      <c r="J1689" s="302">
        <v>1</v>
      </c>
      <c r="K1689" s="302">
        <v>1</v>
      </c>
      <c r="L1689" s="295"/>
      <c r="M1689" s="302">
        <v>1</v>
      </c>
      <c r="N1689" s="302">
        <v>1</v>
      </c>
      <c r="O1689" s="304"/>
      <c r="P1689" s="309"/>
      <c r="Q1689" s="302">
        <v>1</v>
      </c>
      <c r="R1689" s="302">
        <v>1</v>
      </c>
      <c r="S1689" s="302">
        <v>1</v>
      </c>
      <c r="T1689" s="302">
        <v>1</v>
      </c>
      <c r="U1689" s="302">
        <v>1</v>
      </c>
      <c r="V1689" s="302">
        <v>1</v>
      </c>
      <c r="W1689" s="309"/>
      <c r="X1689" s="299"/>
      <c r="Y1689" s="302">
        <v>1</v>
      </c>
      <c r="Z1689" s="302">
        <v>1</v>
      </c>
      <c r="AA1689" s="309"/>
      <c r="AB1689" s="302">
        <v>1</v>
      </c>
      <c r="AC1689" s="302">
        <v>1</v>
      </c>
      <c r="AD1689" s="309"/>
      <c r="AE1689" s="313"/>
      <c r="AF1689" s="302">
        <v>1</v>
      </c>
      <c r="AG1689" s="299">
        <v>1</v>
      </c>
      <c r="AH1689" s="302"/>
      <c r="AI1689" s="299">
        <v>1</v>
      </c>
      <c r="AJ1689" s="299">
        <v>1</v>
      </c>
      <c r="AK1689" s="302"/>
      <c r="AL1689" s="299">
        <v>1</v>
      </c>
      <c r="AM1689" s="299">
        <v>1</v>
      </c>
      <c r="AN1689" s="299">
        <v>1</v>
      </c>
      <c r="AO1689" s="299">
        <v>1</v>
      </c>
      <c r="AP1689" s="299">
        <v>1</v>
      </c>
      <c r="AQ1689" s="299">
        <v>1</v>
      </c>
      <c r="AR1689" s="295"/>
      <c r="AS1689" s="299">
        <v>1</v>
      </c>
      <c r="AT1689" s="302"/>
      <c r="AU1689" s="299">
        <v>1</v>
      </c>
      <c r="AV1689" s="299">
        <v>1</v>
      </c>
      <c r="AW1689" s="302"/>
      <c r="AX1689" s="299">
        <v>1</v>
      </c>
      <c r="AY1689" s="299">
        <v>1</v>
      </c>
      <c r="AZ1689" s="193"/>
      <c r="BA1689" s="299">
        <v>1</v>
      </c>
      <c r="BB1689" s="302"/>
      <c r="BC1689" s="299">
        <v>1</v>
      </c>
      <c r="BD1689" s="304"/>
      <c r="BE1689" s="302"/>
      <c r="BF1689" s="299">
        <v>1</v>
      </c>
      <c r="BG1689" s="299">
        <v>1</v>
      </c>
      <c r="BH1689" s="299">
        <v>1</v>
      </c>
      <c r="BI1689" s="299">
        <v>1</v>
      </c>
      <c r="BJ1689" s="299">
        <v>1</v>
      </c>
      <c r="BK1689" s="302"/>
      <c r="BL1689" s="295"/>
      <c r="BN1689" s="555"/>
      <c r="BO1689" s="193"/>
      <c r="BP1689" s="193"/>
      <c r="BQ1689" s="193"/>
      <c r="BR1689" s="193"/>
      <c r="BS1689" s="193"/>
      <c r="BT1689" s="193"/>
      <c r="BU1689" s="193"/>
      <c r="BV1689" s="193"/>
      <c r="BW1689" s="555"/>
      <c r="BX1689" s="555"/>
      <c r="BY1689" s="555"/>
      <c r="BZ1689" s="555"/>
      <c r="CA1689" s="193"/>
      <c r="CB1689" s="193"/>
      <c r="CC1689" s="193"/>
      <c r="CD1689" s="193"/>
      <c r="CE1689" s="193"/>
      <c r="CF1689" s="193"/>
      <c r="CG1689" s="193"/>
      <c r="CH1689" s="555"/>
      <c r="CI1689" s="555"/>
      <c r="CJ1689" s="555"/>
      <c r="CK1689" s="555"/>
      <c r="CL1689" s="193"/>
      <c r="CM1689" s="193"/>
      <c r="CN1689" s="193"/>
      <c r="CO1689" s="193"/>
      <c r="CP1689" s="193"/>
      <c r="CQ1689" s="193"/>
      <c r="CR1689" s="193"/>
      <c r="CS1689" s="555"/>
    </row>
    <row r="1690" spans="1:100">
      <c r="A1690" s="302">
        <v>1</v>
      </c>
      <c r="B1690" s="309"/>
      <c r="C1690" s="304"/>
      <c r="D1690" s="302">
        <v>1</v>
      </c>
      <c r="E1690" s="302">
        <v>1</v>
      </c>
      <c r="F1690" s="302">
        <v>1</v>
      </c>
      <c r="G1690" s="302">
        <v>1</v>
      </c>
      <c r="H1690" s="302">
        <v>1</v>
      </c>
      <c r="I1690" s="302">
        <v>1</v>
      </c>
      <c r="J1690" s="302">
        <v>1</v>
      </c>
      <c r="K1690" s="302">
        <v>1</v>
      </c>
      <c r="L1690" s="302">
        <v>1</v>
      </c>
      <c r="M1690" s="302">
        <v>1</v>
      </c>
      <c r="N1690" s="302">
        <v>1</v>
      </c>
      <c r="O1690" s="304"/>
      <c r="P1690" s="309"/>
      <c r="Q1690" s="299"/>
      <c r="R1690" s="302">
        <v>1</v>
      </c>
      <c r="S1690" s="302">
        <v>1</v>
      </c>
      <c r="T1690" s="302">
        <v>1</v>
      </c>
      <c r="U1690" s="302">
        <v>1</v>
      </c>
      <c r="V1690" s="302">
        <v>1</v>
      </c>
      <c r="W1690" s="309"/>
      <c r="X1690" s="299"/>
      <c r="Y1690" s="302">
        <v>1</v>
      </c>
      <c r="Z1690" s="302">
        <v>1</v>
      </c>
      <c r="AA1690" s="304"/>
      <c r="AB1690" s="302">
        <v>1</v>
      </c>
      <c r="AC1690" s="302">
        <v>1</v>
      </c>
      <c r="AD1690" s="309"/>
      <c r="AE1690" s="302">
        <v>1</v>
      </c>
      <c r="AF1690" s="302">
        <v>1</v>
      </c>
      <c r="AG1690" s="299">
        <v>1</v>
      </c>
      <c r="AH1690" s="302"/>
      <c r="AI1690" s="299">
        <v>1</v>
      </c>
      <c r="AJ1690" s="299">
        <v>1</v>
      </c>
      <c r="AK1690" s="302"/>
      <c r="AL1690" s="299">
        <v>1</v>
      </c>
      <c r="AM1690" s="295"/>
      <c r="AN1690" s="299">
        <v>1</v>
      </c>
      <c r="AO1690" s="299">
        <v>1</v>
      </c>
      <c r="AP1690" s="299">
        <v>1</v>
      </c>
      <c r="AQ1690" s="299">
        <v>1</v>
      </c>
      <c r="AR1690" s="295"/>
      <c r="AS1690" s="299">
        <v>1</v>
      </c>
      <c r="AT1690" s="302"/>
      <c r="AU1690" s="299">
        <v>1</v>
      </c>
      <c r="AV1690" s="299">
        <v>1</v>
      </c>
      <c r="AW1690" s="299">
        <v>1</v>
      </c>
      <c r="AX1690" s="299">
        <v>1</v>
      </c>
      <c r="AY1690" s="299">
        <v>1</v>
      </c>
      <c r="AZ1690" s="193"/>
      <c r="BA1690" s="295"/>
      <c r="BB1690" s="302"/>
      <c r="BC1690" s="299">
        <v>1</v>
      </c>
      <c r="BD1690" s="309"/>
      <c r="BE1690" s="302"/>
      <c r="BF1690" s="299">
        <v>1</v>
      </c>
      <c r="BG1690" s="299">
        <v>1</v>
      </c>
      <c r="BH1690" s="299">
        <v>1</v>
      </c>
      <c r="BI1690" s="299">
        <v>1</v>
      </c>
      <c r="BJ1690" s="299">
        <v>1</v>
      </c>
      <c r="BK1690" s="302"/>
      <c r="BL1690" s="295"/>
      <c r="BN1690" s="193"/>
      <c r="BO1690" s="193"/>
      <c r="BP1690" s="193"/>
      <c r="BQ1690" s="193"/>
      <c r="BR1690" s="557"/>
      <c r="BS1690" s="301"/>
      <c r="BT1690" s="301"/>
      <c r="BU1690" s="193"/>
      <c r="BV1690" s="583"/>
      <c r="BW1690" s="555"/>
      <c r="BX1690" s="557"/>
      <c r="BY1690" s="557"/>
      <c r="BZ1690" s="557"/>
      <c r="CA1690" s="557"/>
      <c r="CB1690" s="193"/>
      <c r="CC1690" s="193"/>
      <c r="CD1690" s="557"/>
      <c r="CE1690" s="557"/>
      <c r="CF1690" s="557"/>
      <c r="CG1690" s="557"/>
      <c r="CH1690" s="557"/>
      <c r="CI1690" s="557"/>
      <c r="CJ1690" s="557"/>
      <c r="CK1690" s="555"/>
      <c r="CL1690" s="583"/>
      <c r="CM1690" s="193"/>
      <c r="CN1690" s="555"/>
      <c r="CO1690" s="557"/>
      <c r="CP1690" s="557"/>
      <c r="CQ1690" s="193"/>
      <c r="CR1690" s="193"/>
      <c r="CS1690" s="583"/>
    </row>
    <row r="1691" spans="1:100">
      <c r="A1691" s="302">
        <v>1</v>
      </c>
      <c r="B1691" s="304"/>
      <c r="C1691" s="309"/>
      <c r="D1691" s="302">
        <v>1</v>
      </c>
      <c r="E1691" s="302">
        <v>1</v>
      </c>
      <c r="F1691" s="302">
        <v>1</v>
      </c>
      <c r="G1691" s="302">
        <v>1</v>
      </c>
      <c r="H1691" s="299"/>
      <c r="I1691" s="302">
        <v>1</v>
      </c>
      <c r="J1691" s="302">
        <v>1</v>
      </c>
      <c r="K1691" s="302">
        <v>1</v>
      </c>
      <c r="L1691" s="302">
        <v>1</v>
      </c>
      <c r="M1691" s="302">
        <v>1</v>
      </c>
      <c r="N1691" s="302">
        <v>1</v>
      </c>
      <c r="O1691" s="304"/>
      <c r="P1691" s="302">
        <v>1</v>
      </c>
      <c r="Q1691" s="299"/>
      <c r="R1691" s="302">
        <v>1</v>
      </c>
      <c r="S1691" s="302">
        <v>1</v>
      </c>
      <c r="T1691" s="302">
        <v>1</v>
      </c>
      <c r="U1691" s="302">
        <v>1</v>
      </c>
      <c r="V1691" s="302">
        <v>1</v>
      </c>
      <c r="W1691" s="302">
        <v>1</v>
      </c>
      <c r="X1691" s="299"/>
      <c r="Y1691" s="302">
        <v>1</v>
      </c>
      <c r="Z1691" s="302">
        <v>1</v>
      </c>
      <c r="AA1691" s="304"/>
      <c r="AB1691" s="302">
        <v>1</v>
      </c>
      <c r="AC1691" s="302">
        <v>1</v>
      </c>
      <c r="AD1691" s="304"/>
      <c r="AE1691" s="302">
        <v>1</v>
      </c>
      <c r="AF1691" s="299"/>
      <c r="AG1691" s="299">
        <v>1</v>
      </c>
      <c r="AH1691" s="302"/>
      <c r="AI1691" s="299">
        <v>1</v>
      </c>
      <c r="AJ1691" s="299">
        <v>1</v>
      </c>
      <c r="AK1691" s="302"/>
      <c r="AL1691" s="299">
        <v>1</v>
      </c>
      <c r="AM1691" s="295"/>
      <c r="AN1691" s="299">
        <v>1</v>
      </c>
      <c r="AO1691" s="299">
        <v>1</v>
      </c>
      <c r="AP1691" s="299">
        <v>1</v>
      </c>
      <c r="AQ1691" s="299">
        <v>1</v>
      </c>
      <c r="AR1691" s="295"/>
      <c r="AS1691" s="299">
        <v>1</v>
      </c>
      <c r="AT1691" s="302"/>
      <c r="AU1691" s="299">
        <v>1</v>
      </c>
      <c r="AV1691" s="299">
        <v>1</v>
      </c>
      <c r="AW1691" s="295"/>
      <c r="AX1691" s="299">
        <v>1</v>
      </c>
      <c r="AY1691" s="299">
        <v>1</v>
      </c>
      <c r="AZ1691" s="193"/>
      <c r="BA1691" s="295"/>
      <c r="BB1691" s="302"/>
      <c r="BC1691" s="299">
        <v>1</v>
      </c>
      <c r="BD1691" s="302"/>
      <c r="BE1691" s="299">
        <v>1</v>
      </c>
      <c r="BF1691" s="299">
        <v>1</v>
      </c>
      <c r="BG1691" s="299">
        <v>1</v>
      </c>
      <c r="BH1691" s="299">
        <v>1</v>
      </c>
      <c r="BI1691" s="193"/>
      <c r="BJ1691" s="299">
        <v>1</v>
      </c>
      <c r="BK1691" s="302"/>
      <c r="BL1691" s="299">
        <v>1</v>
      </c>
      <c r="BN1691" s="193"/>
      <c r="BO1691" s="557"/>
      <c r="BP1691" s="193"/>
      <c r="BQ1691" s="557"/>
      <c r="BR1691" s="301"/>
      <c r="BS1691" s="301"/>
      <c r="BT1691" s="301"/>
      <c r="BU1691" s="193"/>
      <c r="BV1691" s="583"/>
      <c r="BW1691" s="555"/>
      <c r="BX1691" s="557"/>
      <c r="BY1691" s="557"/>
      <c r="BZ1691" s="557"/>
      <c r="CA1691" s="557"/>
      <c r="CB1691" s="193"/>
      <c r="CC1691" s="193"/>
      <c r="CD1691" s="557"/>
      <c r="CE1691" s="557"/>
      <c r="CF1691" s="557"/>
      <c r="CG1691" s="557"/>
      <c r="CH1691" s="557"/>
      <c r="CI1691" s="557"/>
      <c r="CJ1691" s="557"/>
      <c r="CK1691" s="555"/>
      <c r="CL1691" s="583"/>
      <c r="CM1691" s="193"/>
      <c r="CN1691" s="555"/>
      <c r="CO1691" s="557"/>
      <c r="CP1691" s="557"/>
      <c r="CQ1691" s="555"/>
      <c r="CR1691" s="193"/>
      <c r="CS1691" s="193"/>
    </row>
    <row r="1692" spans="1:100">
      <c r="A1692" s="302">
        <v>1</v>
      </c>
      <c r="B1692" s="304"/>
      <c r="C1692" s="313"/>
      <c r="D1692" s="302">
        <v>1</v>
      </c>
      <c r="E1692" s="302">
        <v>1</v>
      </c>
      <c r="F1692" s="302">
        <v>1</v>
      </c>
      <c r="G1692" s="302">
        <v>1</v>
      </c>
      <c r="H1692" s="299"/>
      <c r="I1692" s="302">
        <v>1</v>
      </c>
      <c r="J1692" s="302">
        <v>1</v>
      </c>
      <c r="K1692" s="302">
        <v>1</v>
      </c>
      <c r="L1692" s="302">
        <v>1</v>
      </c>
      <c r="M1692" s="302">
        <v>1</v>
      </c>
      <c r="N1692" s="302">
        <v>1</v>
      </c>
      <c r="O1692" s="302">
        <v>1</v>
      </c>
      <c r="P1692" s="299"/>
      <c r="Q1692" s="302">
        <v>1</v>
      </c>
      <c r="R1692" s="302">
        <v>1</v>
      </c>
      <c r="S1692" s="302">
        <v>1</v>
      </c>
      <c r="T1692" s="313"/>
      <c r="U1692" s="302">
        <v>1</v>
      </c>
      <c r="V1692" s="302">
        <v>1</v>
      </c>
      <c r="W1692" s="302">
        <v>1</v>
      </c>
      <c r="X1692" s="299"/>
      <c r="Y1692" s="302">
        <v>1</v>
      </c>
      <c r="Z1692" s="302">
        <v>1</v>
      </c>
      <c r="AA1692" s="302">
        <v>1</v>
      </c>
      <c r="AB1692" s="302">
        <v>1</v>
      </c>
      <c r="AC1692" s="302">
        <v>1</v>
      </c>
      <c r="AD1692" s="304"/>
      <c r="AE1692" s="302">
        <v>1</v>
      </c>
      <c r="AF1692" s="299"/>
      <c r="AG1692" s="299">
        <v>1</v>
      </c>
      <c r="AH1692" s="302"/>
      <c r="AI1692" s="299">
        <v>1</v>
      </c>
      <c r="AJ1692" s="299">
        <v>1</v>
      </c>
      <c r="AK1692" s="299">
        <v>1</v>
      </c>
      <c r="AL1692" s="295"/>
      <c r="AM1692" s="299">
        <v>1</v>
      </c>
      <c r="AN1692" s="299">
        <v>1</v>
      </c>
      <c r="AO1692" s="302"/>
      <c r="AP1692" s="299">
        <v>1</v>
      </c>
      <c r="AQ1692" s="299">
        <v>1</v>
      </c>
      <c r="AR1692" s="299">
        <v>1</v>
      </c>
      <c r="AS1692" s="299">
        <v>1</v>
      </c>
      <c r="AT1692" s="302"/>
      <c r="AU1692" s="299">
        <v>1</v>
      </c>
      <c r="AV1692" s="299">
        <v>1</v>
      </c>
      <c r="AW1692" s="299">
        <v>1</v>
      </c>
      <c r="AX1692" s="299">
        <v>1</v>
      </c>
      <c r="AY1692" s="299">
        <v>1</v>
      </c>
      <c r="AZ1692" s="299">
        <v>1</v>
      </c>
      <c r="BA1692" s="295"/>
      <c r="BB1692" s="302"/>
      <c r="BC1692" s="299">
        <v>1</v>
      </c>
      <c r="BD1692" s="302"/>
      <c r="BE1692" s="299">
        <v>1</v>
      </c>
      <c r="BF1692" s="299">
        <v>1</v>
      </c>
      <c r="BG1692" s="295"/>
      <c r="BH1692" s="299">
        <v>1</v>
      </c>
      <c r="BI1692" s="193"/>
      <c r="BJ1692" s="299">
        <v>1</v>
      </c>
      <c r="BK1692" s="299">
        <v>1</v>
      </c>
      <c r="BL1692" s="299">
        <v>1</v>
      </c>
      <c r="BN1692" s="193"/>
      <c r="BO1692" s="557"/>
      <c r="BP1692" s="193"/>
      <c r="BQ1692" s="557"/>
      <c r="BR1692" s="301"/>
      <c r="BS1692" s="301"/>
      <c r="BT1692" s="301"/>
      <c r="BU1692" s="193"/>
      <c r="BV1692" s="583"/>
      <c r="BW1692" s="555"/>
      <c r="BX1692" s="557"/>
      <c r="BY1692" s="557"/>
      <c r="BZ1692" s="557"/>
      <c r="CA1692" s="557"/>
      <c r="CB1692" s="557"/>
      <c r="CC1692" s="193"/>
      <c r="CD1692" s="557"/>
      <c r="CE1692" s="557"/>
      <c r="CF1692" s="557"/>
      <c r="CG1692" s="557"/>
      <c r="CH1692" s="557"/>
      <c r="CI1692" s="557"/>
      <c r="CJ1692" s="557"/>
      <c r="CK1692" s="555"/>
      <c r="CL1692" s="583"/>
      <c r="CM1692" s="555"/>
      <c r="CN1692" s="557"/>
      <c r="CO1692" s="557"/>
      <c r="CP1692" s="557"/>
      <c r="CQ1692" s="555"/>
      <c r="CR1692" s="193"/>
      <c r="CS1692" s="193"/>
    </row>
    <row r="1693" spans="1:100">
      <c r="A1693" s="302">
        <v>1</v>
      </c>
      <c r="B1693" s="304"/>
      <c r="C1693" s="313"/>
      <c r="D1693" s="302">
        <v>1</v>
      </c>
      <c r="E1693" s="299"/>
      <c r="F1693" s="302">
        <v>1</v>
      </c>
      <c r="G1693" s="302">
        <v>1</v>
      </c>
      <c r="H1693" s="299"/>
      <c r="I1693" s="302">
        <v>1</v>
      </c>
      <c r="J1693" s="302">
        <v>1</v>
      </c>
      <c r="K1693" s="304"/>
      <c r="L1693" s="302">
        <v>1</v>
      </c>
      <c r="M1693" s="302">
        <v>1</v>
      </c>
      <c r="N1693" s="302">
        <v>1</v>
      </c>
      <c r="O1693" s="302">
        <v>1</v>
      </c>
      <c r="P1693" s="302">
        <v>1</v>
      </c>
      <c r="Q1693" s="302">
        <v>1</v>
      </c>
      <c r="R1693" s="302">
        <v>1</v>
      </c>
      <c r="S1693" s="302">
        <v>1</v>
      </c>
      <c r="T1693" s="313"/>
      <c r="U1693" s="302">
        <v>1</v>
      </c>
      <c r="V1693" s="302">
        <v>1</v>
      </c>
      <c r="W1693" s="302">
        <v>1</v>
      </c>
      <c r="X1693" s="299"/>
      <c r="Y1693" s="302">
        <v>1</v>
      </c>
      <c r="Z1693" s="302">
        <v>1</v>
      </c>
      <c r="AA1693" s="299"/>
      <c r="AB1693" s="302">
        <v>1</v>
      </c>
      <c r="AC1693" s="302">
        <v>1</v>
      </c>
      <c r="AD1693" s="304"/>
      <c r="AE1693" s="302">
        <v>1</v>
      </c>
      <c r="AF1693" s="299"/>
      <c r="AG1693" s="299">
        <v>1</v>
      </c>
      <c r="AH1693" s="302"/>
      <c r="AI1693" s="299">
        <v>1</v>
      </c>
      <c r="AJ1693" s="299">
        <v>1</v>
      </c>
      <c r="AK1693" s="299">
        <v>1</v>
      </c>
      <c r="AL1693" s="299">
        <v>1</v>
      </c>
      <c r="AM1693" s="299">
        <v>1</v>
      </c>
      <c r="AN1693" s="299">
        <v>1</v>
      </c>
      <c r="AO1693" s="302"/>
      <c r="AP1693" s="299">
        <v>1</v>
      </c>
      <c r="AQ1693" s="299">
        <v>1</v>
      </c>
      <c r="AR1693" s="299">
        <v>1</v>
      </c>
      <c r="AS1693" s="299">
        <v>1</v>
      </c>
      <c r="AT1693" s="302"/>
      <c r="AU1693" s="193"/>
      <c r="AV1693" s="299">
        <v>1</v>
      </c>
      <c r="AW1693" s="299">
        <v>1</v>
      </c>
      <c r="AX1693" s="299">
        <v>1</v>
      </c>
      <c r="AY1693" s="299">
        <v>1</v>
      </c>
      <c r="AZ1693" s="299">
        <v>1</v>
      </c>
      <c r="BA1693" s="295"/>
      <c r="BB1693" s="299">
        <v>1</v>
      </c>
      <c r="BC1693" s="299">
        <v>1</v>
      </c>
      <c r="BD1693" s="302"/>
      <c r="BE1693" s="299">
        <v>1</v>
      </c>
      <c r="BF1693" s="299">
        <v>1</v>
      </c>
      <c r="BG1693" s="295"/>
      <c r="BH1693" s="299">
        <v>1</v>
      </c>
      <c r="BI1693" s="193"/>
      <c r="BJ1693" s="299">
        <v>1</v>
      </c>
      <c r="BK1693" s="295"/>
      <c r="BL1693" s="299">
        <v>1</v>
      </c>
      <c r="BN1693" s="193"/>
      <c r="BO1693" s="557"/>
      <c r="BP1693" s="557"/>
      <c r="BQ1693" s="301"/>
      <c r="BR1693" s="301"/>
      <c r="BS1693" s="301"/>
      <c r="BT1693" s="301"/>
      <c r="BU1693" s="193"/>
      <c r="BV1693" s="583"/>
      <c r="BW1693" s="555"/>
      <c r="BX1693" s="557"/>
      <c r="BY1693" s="557"/>
      <c r="BZ1693" s="557"/>
      <c r="CA1693" s="557"/>
      <c r="CB1693" s="557"/>
      <c r="CC1693" s="557"/>
      <c r="CD1693" s="557"/>
      <c r="CE1693" s="557"/>
      <c r="CF1693" s="557"/>
      <c r="CG1693" s="557"/>
      <c r="CH1693" s="557"/>
      <c r="CI1693" s="557"/>
      <c r="CJ1693" s="557"/>
      <c r="CK1693" s="555"/>
      <c r="CL1693" s="583"/>
      <c r="CM1693" s="557"/>
      <c r="CN1693" s="557"/>
      <c r="CO1693" s="557"/>
      <c r="CP1693" s="301"/>
      <c r="CQ1693" s="557"/>
      <c r="CR1693" s="555"/>
      <c r="CS1693" s="193"/>
    </row>
    <row r="1694" spans="1:100">
      <c r="A1694" s="302">
        <v>1</v>
      </c>
      <c r="B1694" s="304"/>
      <c r="C1694" s="309"/>
      <c r="D1694" s="302">
        <v>1</v>
      </c>
      <c r="E1694" s="299"/>
      <c r="F1694" s="302">
        <v>1</v>
      </c>
      <c r="G1694" s="302">
        <v>1</v>
      </c>
      <c r="H1694" s="299"/>
      <c r="I1694" s="302">
        <v>1</v>
      </c>
      <c r="J1694" s="302">
        <v>1</v>
      </c>
      <c r="K1694" s="309"/>
      <c r="L1694" s="302">
        <v>1</v>
      </c>
      <c r="M1694" s="302">
        <v>1</v>
      </c>
      <c r="N1694" s="302">
        <v>1</v>
      </c>
      <c r="O1694" s="302">
        <v>1</v>
      </c>
      <c r="P1694" s="302">
        <v>1</v>
      </c>
      <c r="Q1694" s="302">
        <v>1</v>
      </c>
      <c r="R1694" s="302">
        <v>1</v>
      </c>
      <c r="S1694" s="302">
        <v>1</v>
      </c>
      <c r="T1694" s="313"/>
      <c r="U1694" s="302">
        <v>1</v>
      </c>
      <c r="V1694" s="302">
        <v>1</v>
      </c>
      <c r="W1694" s="302">
        <v>1</v>
      </c>
      <c r="X1694" s="299"/>
      <c r="Y1694" s="302">
        <v>1</v>
      </c>
      <c r="Z1694" s="302">
        <v>1</v>
      </c>
      <c r="AA1694" s="302">
        <v>1</v>
      </c>
      <c r="AB1694" s="302">
        <v>1</v>
      </c>
      <c r="AC1694" s="302">
        <v>1</v>
      </c>
      <c r="AD1694" s="302">
        <v>1</v>
      </c>
      <c r="AE1694" s="299"/>
      <c r="AF1694" s="302">
        <v>1</v>
      </c>
      <c r="AG1694" s="299">
        <v>1</v>
      </c>
      <c r="AH1694" s="302"/>
      <c r="AI1694" s="299">
        <v>1</v>
      </c>
      <c r="AJ1694" s="299">
        <v>1</v>
      </c>
      <c r="AK1694" s="299">
        <v>1</v>
      </c>
      <c r="AL1694" s="295"/>
      <c r="AM1694" s="299">
        <v>1</v>
      </c>
      <c r="AN1694" s="299">
        <v>1</v>
      </c>
      <c r="AO1694" s="302"/>
      <c r="AP1694" s="299">
        <v>1</v>
      </c>
      <c r="AQ1694" s="299">
        <v>1</v>
      </c>
      <c r="AR1694" s="299">
        <v>1</v>
      </c>
      <c r="AS1694" s="299">
        <v>1</v>
      </c>
      <c r="AT1694" s="302"/>
      <c r="AU1694" s="193"/>
      <c r="AV1694" s="299">
        <v>1</v>
      </c>
      <c r="AW1694" s="299">
        <v>1</v>
      </c>
      <c r="AX1694" s="299">
        <v>1</v>
      </c>
      <c r="AY1694" s="299">
        <v>1</v>
      </c>
      <c r="AZ1694" s="299">
        <v>1</v>
      </c>
      <c r="BA1694" s="295"/>
      <c r="BB1694" s="299">
        <v>1</v>
      </c>
      <c r="BC1694" s="299">
        <v>1</v>
      </c>
      <c r="BD1694" s="302"/>
      <c r="BE1694" s="299">
        <v>1</v>
      </c>
      <c r="BF1694" s="299">
        <v>1</v>
      </c>
      <c r="BG1694" s="295"/>
      <c r="BH1694" s="299">
        <v>1</v>
      </c>
      <c r="BI1694" s="193"/>
      <c r="BJ1694" s="299">
        <v>1</v>
      </c>
      <c r="BK1694" s="299">
        <v>1</v>
      </c>
      <c r="BL1694" s="299">
        <v>1</v>
      </c>
      <c r="BN1694" s="193"/>
      <c r="BO1694" s="557"/>
      <c r="BP1694" s="301"/>
      <c r="BQ1694" s="301"/>
      <c r="BR1694" s="301"/>
      <c r="BS1694" s="301"/>
      <c r="BT1694" s="301"/>
      <c r="BU1694" s="557"/>
      <c r="BV1694" s="583"/>
      <c r="BW1694" s="555"/>
      <c r="BX1694" s="557"/>
      <c r="BY1694" s="557"/>
      <c r="BZ1694" s="557"/>
      <c r="CA1694" s="557"/>
      <c r="CB1694" s="557"/>
      <c r="CC1694" s="557"/>
      <c r="CD1694" s="557"/>
      <c r="CE1694" s="557"/>
      <c r="CF1694" s="557"/>
      <c r="CG1694" s="557"/>
      <c r="CH1694" s="557"/>
      <c r="CI1694" s="557"/>
      <c r="CJ1694" s="557"/>
      <c r="CK1694" s="555"/>
      <c r="CL1694" s="583"/>
      <c r="CM1694" s="557"/>
      <c r="CN1694" s="557"/>
      <c r="CO1694" s="557"/>
      <c r="CP1694" s="557"/>
      <c r="CQ1694" s="557"/>
      <c r="CR1694" s="555"/>
      <c r="CS1694" s="193"/>
    </row>
    <row r="1695" spans="1:100">
      <c r="A1695" s="302">
        <v>1</v>
      </c>
      <c r="B1695" s="304"/>
      <c r="C1695" s="302">
        <v>1</v>
      </c>
      <c r="D1695" s="302">
        <v>1</v>
      </c>
      <c r="E1695" s="299"/>
      <c r="F1695" s="302">
        <v>1</v>
      </c>
      <c r="G1695" s="302">
        <v>1</v>
      </c>
      <c r="H1695" s="299"/>
      <c r="I1695" s="302">
        <v>1</v>
      </c>
      <c r="J1695" s="302">
        <v>1</v>
      </c>
      <c r="K1695" s="304"/>
      <c r="L1695" s="302">
        <v>1</v>
      </c>
      <c r="M1695" s="302">
        <v>1</v>
      </c>
      <c r="N1695" s="302">
        <v>1</v>
      </c>
      <c r="O1695" s="309"/>
      <c r="P1695" s="302">
        <v>1</v>
      </c>
      <c r="Q1695" s="302">
        <v>1</v>
      </c>
      <c r="R1695" s="302">
        <v>1</v>
      </c>
      <c r="S1695" s="302">
        <v>1</v>
      </c>
      <c r="T1695" s="313"/>
      <c r="U1695" s="302">
        <v>1</v>
      </c>
      <c r="V1695" s="302">
        <v>1</v>
      </c>
      <c r="W1695" s="302">
        <v>1</v>
      </c>
      <c r="X1695" s="302">
        <v>1</v>
      </c>
      <c r="Y1695" s="302">
        <v>1</v>
      </c>
      <c r="Z1695" s="302">
        <v>1</v>
      </c>
      <c r="AA1695" s="302">
        <v>1</v>
      </c>
      <c r="AB1695" s="302">
        <v>1</v>
      </c>
      <c r="AC1695" s="302">
        <v>1</v>
      </c>
      <c r="AD1695" s="302">
        <v>1</v>
      </c>
      <c r="AE1695" s="302">
        <v>1</v>
      </c>
      <c r="AF1695" s="302">
        <v>1</v>
      </c>
      <c r="AG1695" s="299">
        <v>1</v>
      </c>
      <c r="AH1695" s="302"/>
      <c r="AI1695" s="299">
        <v>1</v>
      </c>
      <c r="AJ1695" s="299">
        <v>1</v>
      </c>
      <c r="AK1695" s="299">
        <v>1</v>
      </c>
      <c r="AL1695" s="295"/>
      <c r="AM1695" s="299">
        <v>1</v>
      </c>
      <c r="AN1695" s="299">
        <v>1</v>
      </c>
      <c r="AO1695" s="302"/>
      <c r="AP1695" s="299">
        <v>1</v>
      </c>
      <c r="AQ1695" s="299">
        <v>1</v>
      </c>
      <c r="AR1695" s="299">
        <v>1</v>
      </c>
      <c r="AS1695" s="299">
        <v>1</v>
      </c>
      <c r="AT1695" s="302"/>
      <c r="AU1695" s="193"/>
      <c r="AV1695" s="299">
        <v>1</v>
      </c>
      <c r="AW1695" s="299">
        <v>1</v>
      </c>
      <c r="AX1695" s="299">
        <v>1</v>
      </c>
      <c r="AY1695" s="299">
        <v>1</v>
      </c>
      <c r="AZ1695" s="299">
        <v>1</v>
      </c>
      <c r="BA1695" s="295"/>
      <c r="BB1695" s="299">
        <v>1</v>
      </c>
      <c r="BC1695" s="299">
        <v>1</v>
      </c>
      <c r="BD1695" s="302"/>
      <c r="BE1695" s="299">
        <v>1</v>
      </c>
      <c r="BF1695" s="299">
        <v>1</v>
      </c>
      <c r="BG1695" s="295"/>
      <c r="BH1695" s="299">
        <v>1</v>
      </c>
      <c r="BI1695" s="193"/>
      <c r="BJ1695" s="299">
        <v>1</v>
      </c>
      <c r="BK1695" s="299">
        <v>1</v>
      </c>
      <c r="BL1695" s="299">
        <v>1</v>
      </c>
      <c r="BN1695" s="557"/>
      <c r="BO1695" s="301"/>
      <c r="BP1695" s="301"/>
      <c r="BQ1695" s="301"/>
      <c r="BR1695" s="301"/>
      <c r="BS1695" s="301"/>
      <c r="BT1695" s="301"/>
      <c r="BU1695" s="557"/>
      <c r="BV1695" s="583"/>
      <c r="BW1695" s="555"/>
      <c r="BX1695" s="557"/>
      <c r="BY1695" s="557"/>
      <c r="BZ1695" s="557"/>
      <c r="CA1695" s="557"/>
      <c r="CB1695" s="557"/>
      <c r="CC1695" s="557"/>
      <c r="CD1695" s="557"/>
      <c r="CE1695" s="557"/>
      <c r="CF1695" s="557"/>
      <c r="CG1695" s="557"/>
      <c r="CH1695" s="557"/>
      <c r="CI1695" s="557"/>
      <c r="CJ1695" s="557"/>
      <c r="CK1695" s="555"/>
      <c r="CL1695" s="583"/>
      <c r="CM1695" s="557"/>
      <c r="CN1695" s="557"/>
      <c r="CO1695" s="557"/>
      <c r="CP1695" s="557"/>
      <c r="CQ1695" s="557"/>
      <c r="CR1695" s="557"/>
      <c r="CS1695" s="555"/>
    </row>
    <row r="1696" spans="1:100">
      <c r="A1696" s="302">
        <v>1</v>
      </c>
      <c r="B1696" s="302">
        <v>1</v>
      </c>
      <c r="C1696" s="299"/>
      <c r="D1696" s="299"/>
      <c r="E1696" s="302">
        <v>1</v>
      </c>
      <c r="F1696" s="302">
        <v>1</v>
      </c>
      <c r="G1696" s="302">
        <v>1</v>
      </c>
      <c r="H1696" s="299"/>
      <c r="I1696" s="302">
        <v>1</v>
      </c>
      <c r="J1696" s="302">
        <v>1</v>
      </c>
      <c r="K1696" s="302">
        <v>1</v>
      </c>
      <c r="L1696" s="302">
        <v>1</v>
      </c>
      <c r="M1696" s="302">
        <v>1</v>
      </c>
      <c r="N1696" s="302">
        <v>1</v>
      </c>
      <c r="O1696" s="304"/>
      <c r="P1696" s="302">
        <v>1</v>
      </c>
      <c r="Q1696" s="302">
        <v>1</v>
      </c>
      <c r="R1696" s="302">
        <v>1</v>
      </c>
      <c r="S1696" s="302">
        <v>1</v>
      </c>
      <c r="T1696" s="302">
        <v>1</v>
      </c>
      <c r="U1696" s="302">
        <v>1</v>
      </c>
      <c r="V1696" s="302">
        <v>1</v>
      </c>
      <c r="W1696" s="302">
        <v>1</v>
      </c>
      <c r="X1696" s="302">
        <v>1</v>
      </c>
      <c r="Y1696" s="302">
        <v>1</v>
      </c>
      <c r="Z1696" s="302">
        <v>1</v>
      </c>
      <c r="AA1696" s="299"/>
      <c r="AB1696" s="302">
        <v>1</v>
      </c>
      <c r="AC1696" s="302">
        <v>1</v>
      </c>
      <c r="AD1696" s="302">
        <v>1</v>
      </c>
      <c r="AE1696" s="302">
        <v>1</v>
      </c>
      <c r="AF1696" s="302">
        <v>1</v>
      </c>
      <c r="AG1696" s="299">
        <v>1</v>
      </c>
      <c r="AH1696" s="299">
        <v>1</v>
      </c>
      <c r="AI1696" s="299">
        <v>1</v>
      </c>
      <c r="AJ1696" s="299">
        <v>1</v>
      </c>
      <c r="AK1696" s="299">
        <v>1</v>
      </c>
      <c r="AL1696" s="295"/>
      <c r="AM1696" s="299">
        <v>1</v>
      </c>
      <c r="AN1696" s="299">
        <v>1</v>
      </c>
      <c r="AO1696" s="302"/>
      <c r="AP1696" s="299">
        <v>1</v>
      </c>
      <c r="AQ1696" s="295"/>
      <c r="AR1696" s="299">
        <v>1</v>
      </c>
      <c r="AS1696" s="299">
        <v>1</v>
      </c>
      <c r="AT1696" s="299">
        <v>1</v>
      </c>
      <c r="AU1696" s="193"/>
      <c r="AV1696" s="299">
        <v>1</v>
      </c>
      <c r="AW1696" s="299">
        <v>1</v>
      </c>
      <c r="AX1696" s="299">
        <v>1</v>
      </c>
      <c r="AY1696" s="299">
        <v>1</v>
      </c>
      <c r="AZ1696" s="299">
        <v>1</v>
      </c>
      <c r="BA1696" s="295"/>
      <c r="BB1696" s="299">
        <v>1</v>
      </c>
      <c r="BC1696" s="299">
        <v>1</v>
      </c>
      <c r="BD1696" s="299">
        <v>1</v>
      </c>
      <c r="BE1696" s="299">
        <v>1</v>
      </c>
      <c r="BF1696" s="295"/>
      <c r="BG1696" s="299">
        <v>1</v>
      </c>
      <c r="BH1696" s="299">
        <v>1</v>
      </c>
      <c r="BI1696" s="193"/>
      <c r="BJ1696" s="299">
        <v>1</v>
      </c>
      <c r="BK1696" s="299">
        <v>1</v>
      </c>
      <c r="BL1696" s="299">
        <v>1</v>
      </c>
      <c r="BN1696" s="583"/>
      <c r="BO1696" s="295"/>
      <c r="BP1696" s="295"/>
      <c r="BQ1696" s="290"/>
      <c r="BR1696" s="295"/>
      <c r="BS1696" s="295"/>
      <c r="BT1696" s="583"/>
      <c r="BU1696" s="295"/>
      <c r="BV1696" s="295"/>
      <c r="BW1696" s="295"/>
      <c r="BX1696" s="583"/>
      <c r="BY1696" s="583"/>
      <c r="BZ1696" s="583"/>
      <c r="CA1696" s="583"/>
      <c r="CB1696" s="583"/>
      <c r="CC1696" s="583"/>
      <c r="CD1696" s="583"/>
      <c r="CE1696" s="583"/>
      <c r="CF1696" s="583"/>
      <c r="CG1696" s="583"/>
      <c r="CH1696" s="583"/>
      <c r="CI1696" s="295"/>
      <c r="CJ1696" s="295"/>
      <c r="CK1696" s="295"/>
      <c r="CL1696" s="583"/>
      <c r="CM1696" s="295"/>
      <c r="CN1696" s="290"/>
      <c r="CO1696" s="295"/>
      <c r="CP1696" s="295"/>
      <c r="CQ1696" s="295"/>
      <c r="CR1696" s="295"/>
      <c r="CS1696" s="295"/>
    </row>
  </sheetData>
  <sheetProtection password="DF7C" sheet="1"/>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V448"/>
  <sheetViews>
    <sheetView topLeftCell="DT377" zoomScaleNormal="100" workbookViewId="0">
      <selection activeCell="FN410" sqref="FN410"/>
    </sheetView>
  </sheetViews>
  <sheetFormatPr defaultColWidth="1.7109375" defaultRowHeight="12.75"/>
  <cols>
    <col min="1" max="1" width="1.7109375" customWidth="1"/>
    <col min="17" max="17" width="1.7109375" customWidth="1"/>
    <col min="33" max="33" width="1.5703125" customWidth="1"/>
    <col min="49" max="49" width="1.7109375" customWidth="1"/>
    <col min="65" max="65" width="1.7109375" customWidth="1"/>
    <col min="81" max="81" width="1.7109375" customWidth="1"/>
    <col min="83" max="83" width="1.7109375" customWidth="1"/>
    <col min="97" max="97" width="1.7109375" customWidth="1"/>
    <col min="105" max="105" width="1.5703125" customWidth="1"/>
    <col min="113" max="113" width="1.5703125" customWidth="1"/>
    <col min="129" max="129" width="1.5703125" customWidth="1"/>
    <col min="145" max="145" width="1.5703125" customWidth="1"/>
    <col min="161" max="161" width="1.7109375" customWidth="1"/>
    <col min="177" max="177" width="1.7109375" customWidth="1"/>
    <col min="193" max="193" width="1.7109375" customWidth="1"/>
    <col min="209" max="209" width="1.85546875" customWidth="1"/>
    <col min="225" max="225" width="1.5703125" customWidth="1"/>
    <col min="227" max="227" width="1.85546875" bestFit="1" customWidth="1"/>
    <col min="241" max="241" width="1.7109375" customWidth="1"/>
  </cols>
  <sheetData>
    <row r="1" spans="1:256" s="328" customFormat="1" ht="8.25" customHeight="1">
      <c r="A1" s="483">
        <v>1</v>
      </c>
      <c r="B1" s="484"/>
      <c r="C1" s="484"/>
      <c r="D1" s="484"/>
      <c r="E1" s="484"/>
      <c r="F1" s="484"/>
      <c r="G1" s="484"/>
      <c r="H1" s="484"/>
      <c r="I1" s="484"/>
      <c r="J1" s="420"/>
      <c r="K1" s="484"/>
      <c r="L1" s="484"/>
      <c r="M1" s="484"/>
      <c r="N1" s="484"/>
      <c r="O1" s="484"/>
      <c r="P1" s="484"/>
      <c r="Q1" s="483">
        <v>2</v>
      </c>
      <c r="R1" s="321"/>
      <c r="S1" s="321"/>
      <c r="T1" s="438"/>
      <c r="U1" s="438"/>
      <c r="V1" s="438"/>
      <c r="W1" s="431"/>
      <c r="X1" s="412"/>
      <c r="Y1" s="321"/>
      <c r="Z1" s="412"/>
      <c r="AA1" s="431"/>
      <c r="AB1" s="438"/>
      <c r="AC1" s="438"/>
      <c r="AD1" s="321"/>
      <c r="AE1" s="321"/>
      <c r="AF1" s="564"/>
      <c r="AG1" s="483">
        <v>3</v>
      </c>
      <c r="AH1" s="321"/>
      <c r="AI1" s="321"/>
      <c r="AJ1" s="321"/>
      <c r="AK1" s="321"/>
      <c r="AL1" s="321"/>
      <c r="AM1" s="321"/>
      <c r="AN1" s="321"/>
      <c r="AO1" s="321"/>
      <c r="AP1" s="321"/>
      <c r="AQ1" s="321"/>
      <c r="AR1" s="321"/>
      <c r="AS1" s="484"/>
      <c r="AT1" s="484"/>
      <c r="AU1" s="321"/>
      <c r="AV1" s="564"/>
      <c r="AW1" s="483">
        <v>4</v>
      </c>
      <c r="AX1" s="321"/>
      <c r="AY1" s="321"/>
      <c r="AZ1" s="321"/>
      <c r="BA1" s="321"/>
      <c r="BB1" s="321"/>
      <c r="BC1" s="321"/>
      <c r="BD1" s="321"/>
      <c r="BE1" s="321"/>
      <c r="BF1" s="321"/>
      <c r="BG1" s="321"/>
      <c r="BH1" s="321"/>
      <c r="BI1" s="484"/>
      <c r="BJ1" s="484"/>
      <c r="BK1" s="321"/>
      <c r="BL1" s="321"/>
      <c r="BM1" s="483">
        <v>5</v>
      </c>
      <c r="BN1" s="484"/>
      <c r="BO1" s="484"/>
      <c r="BP1" s="484"/>
      <c r="BQ1" s="484"/>
      <c r="BR1" s="484"/>
      <c r="BS1" s="484"/>
      <c r="BT1" s="484"/>
      <c r="BU1" s="484"/>
      <c r="BV1" s="484"/>
      <c r="BW1" s="484"/>
      <c r="BX1" s="484"/>
      <c r="BY1" s="484"/>
      <c r="BZ1" s="484"/>
      <c r="CA1" s="484"/>
      <c r="CB1" s="696"/>
      <c r="CC1" s="483">
        <v>6</v>
      </c>
      <c r="CD1" s="484"/>
      <c r="CE1" s="484"/>
      <c r="CF1" s="321"/>
      <c r="CG1" s="484"/>
      <c r="CH1" s="484"/>
      <c r="CI1" s="484"/>
      <c r="CJ1" s="484"/>
      <c r="CK1" s="484"/>
      <c r="CL1" s="484"/>
      <c r="CM1" s="484"/>
      <c r="CN1" s="484"/>
      <c r="CO1" s="484"/>
      <c r="CP1" s="484"/>
      <c r="CQ1" s="484"/>
      <c r="CR1" s="696"/>
      <c r="CS1" s="483">
        <v>7</v>
      </c>
      <c r="CT1" s="484"/>
      <c r="CU1" s="484"/>
      <c r="CV1" s="484"/>
      <c r="CW1" s="484"/>
      <c r="CX1" s="484"/>
      <c r="CY1" s="484"/>
      <c r="CZ1" s="484"/>
      <c r="DA1" s="484"/>
      <c r="DB1" s="484"/>
      <c r="DC1" s="484"/>
      <c r="DD1" s="484"/>
      <c r="DE1" s="484"/>
      <c r="DF1" s="484"/>
      <c r="DG1" s="484"/>
      <c r="DH1" s="696"/>
      <c r="DI1" s="483">
        <v>8</v>
      </c>
      <c r="DJ1" s="484"/>
      <c r="DK1" s="484"/>
      <c r="DL1" s="484"/>
      <c r="DM1" s="484"/>
      <c r="DN1" s="484"/>
      <c r="DO1" s="484"/>
      <c r="DP1" s="484">
        <v>6</v>
      </c>
      <c r="DQ1" s="484"/>
      <c r="DR1" s="484"/>
      <c r="DS1" s="484"/>
      <c r="DT1" s="484"/>
      <c r="DU1" s="484"/>
      <c r="DV1" s="484"/>
      <c r="DW1" s="484"/>
      <c r="DX1" s="696"/>
      <c r="DY1" s="483">
        <v>9</v>
      </c>
      <c r="DZ1" s="484"/>
      <c r="EA1" s="484"/>
      <c r="EB1" s="484"/>
      <c r="EC1" s="484"/>
      <c r="ED1" s="484"/>
      <c r="EE1" s="484"/>
      <c r="EF1" s="484"/>
      <c r="EG1" s="484"/>
      <c r="EH1" s="484"/>
      <c r="EI1" s="484"/>
      <c r="EJ1" s="484"/>
      <c r="EK1" s="484"/>
      <c r="EL1" s="484"/>
      <c r="EM1" s="484"/>
      <c r="EN1" s="696"/>
      <c r="EO1" s="483">
        <v>10</v>
      </c>
      <c r="EP1" s="484"/>
      <c r="EQ1" s="484"/>
      <c r="ER1" s="484"/>
      <c r="ES1" s="484"/>
      <c r="ET1" s="484"/>
      <c r="EU1" s="484"/>
      <c r="EV1" s="484"/>
      <c r="EW1" s="484"/>
      <c r="EX1" s="484"/>
      <c r="EY1" s="484"/>
      <c r="EZ1" s="484"/>
      <c r="FA1" s="484"/>
      <c r="FB1" s="484"/>
      <c r="FC1" s="484"/>
      <c r="FD1" s="696"/>
      <c r="FE1" s="433">
        <v>11</v>
      </c>
      <c r="FF1" s="433"/>
      <c r="FG1" s="440"/>
      <c r="FH1" s="440"/>
      <c r="FI1" s="433"/>
      <c r="FJ1" s="426"/>
      <c r="FK1" s="426"/>
      <c r="FL1" s="422"/>
      <c r="FM1" s="426"/>
      <c r="FN1" s="426"/>
      <c r="FO1" s="433"/>
      <c r="FP1" s="440"/>
      <c r="FQ1" s="440"/>
      <c r="FR1" s="433"/>
      <c r="FS1" s="433"/>
      <c r="FT1" s="426"/>
      <c r="FU1" s="483">
        <v>12</v>
      </c>
      <c r="FV1" s="484"/>
      <c r="FW1" s="321"/>
      <c r="FX1" s="484"/>
      <c r="FY1" s="484"/>
      <c r="FZ1" s="446"/>
      <c r="GA1" s="459"/>
      <c r="GB1" s="459"/>
      <c r="GC1" s="459"/>
      <c r="GD1" s="459"/>
      <c r="GE1" s="446"/>
      <c r="GF1" s="484"/>
      <c r="GG1" s="484"/>
      <c r="GH1" s="484"/>
      <c r="GI1" s="484"/>
      <c r="GJ1" s="696"/>
      <c r="GK1" s="483">
        <v>13</v>
      </c>
      <c r="GL1" s="484"/>
      <c r="GM1" s="484"/>
      <c r="GN1" s="484"/>
      <c r="GO1" s="484"/>
      <c r="GP1" s="446"/>
      <c r="GQ1" s="453"/>
      <c r="GR1" s="484"/>
      <c r="GS1" s="484"/>
      <c r="GT1" s="453"/>
      <c r="GU1" s="446"/>
      <c r="GV1" s="484"/>
      <c r="GW1" s="484"/>
      <c r="GX1" s="484"/>
      <c r="GY1" s="484"/>
      <c r="GZ1" s="696"/>
      <c r="HA1" s="483">
        <v>14</v>
      </c>
      <c r="HB1" s="484"/>
      <c r="HC1" s="484"/>
      <c r="HD1" s="484"/>
      <c r="HE1" s="484"/>
      <c r="HF1" s="446"/>
      <c r="HG1" s="459"/>
      <c r="HH1" s="459"/>
      <c r="HI1" s="459"/>
      <c r="HJ1" s="459"/>
      <c r="HK1" s="484"/>
      <c r="HL1" s="484"/>
      <c r="HM1" s="484"/>
      <c r="HN1" s="484"/>
      <c r="HO1" s="484"/>
      <c r="HP1" s="696"/>
      <c r="HQ1" s="483">
        <v>15</v>
      </c>
      <c r="HR1" s="484"/>
      <c r="HS1" s="484"/>
      <c r="HT1" s="484"/>
      <c r="HU1" s="484"/>
      <c r="HV1" s="446"/>
      <c r="HW1" s="459"/>
      <c r="HX1" s="459"/>
      <c r="HY1" s="459"/>
      <c r="HZ1" s="459"/>
      <c r="IA1" s="484"/>
      <c r="IB1" s="484"/>
      <c r="IC1" s="484"/>
      <c r="ID1" s="484"/>
      <c r="IE1" s="484"/>
      <c r="IF1" s="696"/>
      <c r="IG1" s="483">
        <v>16</v>
      </c>
      <c r="IH1" s="484"/>
      <c r="II1" s="484"/>
      <c r="IJ1" s="484"/>
      <c r="IK1" s="484"/>
      <c r="IL1" s="484"/>
      <c r="IM1" s="484"/>
      <c r="IN1" s="446"/>
      <c r="IO1" s="453"/>
      <c r="IP1" s="484"/>
      <c r="IQ1" s="321"/>
      <c r="IR1" s="484"/>
      <c r="IS1" s="484"/>
      <c r="IT1" s="484"/>
      <c r="IU1" s="484"/>
      <c r="IV1" s="696"/>
    </row>
    <row r="2" spans="1:256" s="328" customFormat="1" ht="8.25" customHeight="1">
      <c r="A2" s="483"/>
      <c r="B2" s="321"/>
      <c r="C2" s="321"/>
      <c r="D2" s="420"/>
      <c r="E2" s="321"/>
      <c r="F2" s="321"/>
      <c r="G2" s="321"/>
      <c r="H2" s="321"/>
      <c r="I2" s="321"/>
      <c r="J2" s="420"/>
      <c r="K2" s="321"/>
      <c r="L2" s="321"/>
      <c r="M2" s="321"/>
      <c r="N2" s="321"/>
      <c r="O2" s="321"/>
      <c r="P2" s="321"/>
      <c r="Q2" s="483">
        <v>350</v>
      </c>
      <c r="R2" s="321"/>
      <c r="S2" s="431"/>
      <c r="T2" s="458"/>
      <c r="U2" s="458"/>
      <c r="V2" s="458"/>
      <c r="W2" s="438"/>
      <c r="X2" s="438"/>
      <c r="Y2" s="438"/>
      <c r="Z2" s="438"/>
      <c r="AA2" s="458"/>
      <c r="AB2" s="458"/>
      <c r="AC2" s="458"/>
      <c r="AD2" s="431"/>
      <c r="AE2" s="321"/>
      <c r="AF2" s="564"/>
      <c r="AG2" s="483"/>
      <c r="AH2" s="321"/>
      <c r="AI2" s="321"/>
      <c r="AJ2" s="321"/>
      <c r="AK2" s="321"/>
      <c r="AL2" s="321"/>
      <c r="AM2" s="321"/>
      <c r="AN2" s="321"/>
      <c r="AO2" s="321"/>
      <c r="AP2" s="321"/>
      <c r="AQ2" s="321"/>
      <c r="AR2" s="321"/>
      <c r="AS2" s="321"/>
      <c r="AT2" s="321"/>
      <c r="AU2" s="321"/>
      <c r="AV2" s="564"/>
      <c r="AW2" s="483"/>
      <c r="AX2" s="321"/>
      <c r="AY2" s="321"/>
      <c r="AZ2" s="321"/>
      <c r="BA2" s="321"/>
      <c r="BB2" s="321"/>
      <c r="BC2" s="321"/>
      <c r="BD2" s="321"/>
      <c r="BE2" s="321"/>
      <c r="BF2" s="321"/>
      <c r="BG2" s="321"/>
      <c r="BH2" s="321"/>
      <c r="BI2" s="321"/>
      <c r="BJ2" s="321"/>
      <c r="BK2" s="321"/>
      <c r="BL2" s="321"/>
      <c r="BM2" s="483">
        <v>300</v>
      </c>
      <c r="BN2" s="321"/>
      <c r="BO2" s="321"/>
      <c r="BP2" s="321"/>
      <c r="BQ2" s="321"/>
      <c r="BR2" s="321"/>
      <c r="BS2" s="321"/>
      <c r="BT2" s="321"/>
      <c r="BU2" s="321"/>
      <c r="BV2" s="321"/>
      <c r="BW2" s="321"/>
      <c r="BX2" s="321"/>
      <c r="BY2" s="321"/>
      <c r="BZ2" s="321"/>
      <c r="CA2" s="321"/>
      <c r="CB2" s="564"/>
      <c r="CC2" s="483">
        <v>250</v>
      </c>
      <c r="CD2" s="321"/>
      <c r="CE2" s="321"/>
      <c r="CF2" s="321"/>
      <c r="CG2" s="321"/>
      <c r="CH2" s="321"/>
      <c r="CI2" s="321"/>
      <c r="CJ2" s="321"/>
      <c r="CK2" s="321"/>
      <c r="CL2" s="321"/>
      <c r="CM2" s="321"/>
      <c r="CN2" s="321"/>
      <c r="CO2" s="321"/>
      <c r="CP2" s="321"/>
      <c r="CQ2" s="321"/>
      <c r="CR2" s="564"/>
      <c r="CS2" s="483">
        <v>200</v>
      </c>
      <c r="CT2" s="321"/>
      <c r="CU2" s="321"/>
      <c r="CV2" s="321"/>
      <c r="CW2" s="321"/>
      <c r="CX2" s="321"/>
      <c r="CY2" s="321"/>
      <c r="CZ2" s="321"/>
      <c r="DA2" s="321"/>
      <c r="DB2" s="321"/>
      <c r="DC2" s="321"/>
      <c r="DD2" s="321"/>
      <c r="DE2" s="321"/>
      <c r="DF2" s="321"/>
      <c r="DG2" s="321"/>
      <c r="DH2" s="564"/>
      <c r="DI2" s="483">
        <v>225</v>
      </c>
      <c r="DJ2" s="321"/>
      <c r="DK2" s="321"/>
      <c r="DL2" s="321"/>
      <c r="DM2" s="321"/>
      <c r="DN2" s="321"/>
      <c r="DO2" s="321"/>
      <c r="DP2" s="321"/>
      <c r="DQ2" s="321"/>
      <c r="DR2" s="321"/>
      <c r="DS2" s="321"/>
      <c r="DT2" s="321"/>
      <c r="DU2" s="321"/>
      <c r="DV2" s="321"/>
      <c r="DW2" s="321"/>
      <c r="DX2" s="564"/>
      <c r="DY2" s="483">
        <v>150</v>
      </c>
      <c r="DZ2" s="321"/>
      <c r="EA2" s="321"/>
      <c r="EB2" s="321"/>
      <c r="EC2" s="321"/>
      <c r="ED2" s="321"/>
      <c r="EE2" s="321"/>
      <c r="EF2" s="321"/>
      <c r="EG2" s="321"/>
      <c r="EH2" s="321"/>
      <c r="EI2" s="321"/>
      <c r="EJ2" s="321"/>
      <c r="EK2" s="321"/>
      <c r="EL2" s="321"/>
      <c r="EM2" s="321"/>
      <c r="EN2" s="564"/>
      <c r="EO2" s="483">
        <v>100</v>
      </c>
      <c r="EP2" s="321"/>
      <c r="EQ2" s="321"/>
      <c r="ER2" s="321"/>
      <c r="ES2" s="321"/>
      <c r="ET2" s="321"/>
      <c r="EU2" s="321"/>
      <c r="EV2" s="321"/>
      <c r="EW2" s="321"/>
      <c r="EX2" s="321"/>
      <c r="EY2" s="321"/>
      <c r="EZ2" s="321"/>
      <c r="FA2" s="321"/>
      <c r="FB2" s="321"/>
      <c r="FC2" s="321"/>
      <c r="FD2" s="564"/>
      <c r="FE2" s="440"/>
      <c r="FF2" s="440"/>
      <c r="FG2" s="446"/>
      <c r="FH2" s="446"/>
      <c r="FI2" s="440"/>
      <c r="FJ2" s="433"/>
      <c r="FK2" s="426"/>
      <c r="FL2" s="422"/>
      <c r="FM2" s="426"/>
      <c r="FN2" s="433"/>
      <c r="FO2" s="440"/>
      <c r="FP2" s="446"/>
      <c r="FQ2" s="446"/>
      <c r="FR2" s="440"/>
      <c r="FS2" s="440"/>
      <c r="FT2" s="433"/>
      <c r="FU2" s="483">
        <v>110</v>
      </c>
      <c r="FV2" s="321"/>
      <c r="FW2" s="321"/>
      <c r="FX2" s="321"/>
      <c r="FY2" s="321"/>
      <c r="FZ2" s="459"/>
      <c r="GA2" s="453"/>
      <c r="GB2" s="453"/>
      <c r="GC2" s="453"/>
      <c r="GD2" s="453"/>
      <c r="GE2" s="453"/>
      <c r="GF2" s="321"/>
      <c r="GG2" s="321"/>
      <c r="GH2" s="321"/>
      <c r="GI2" s="321"/>
      <c r="GJ2" s="564"/>
      <c r="GK2" s="483">
        <v>130</v>
      </c>
      <c r="GL2" s="321"/>
      <c r="GM2" s="321"/>
      <c r="GN2" s="321"/>
      <c r="GO2" s="321"/>
      <c r="GP2" s="459"/>
      <c r="GQ2" s="453"/>
      <c r="GR2" s="321"/>
      <c r="GS2" s="321"/>
      <c r="GT2" s="453"/>
      <c r="GU2" s="459"/>
      <c r="GV2" s="321"/>
      <c r="GW2" s="321"/>
      <c r="GX2" s="321"/>
      <c r="GY2" s="321"/>
      <c r="GZ2" s="564"/>
      <c r="HA2" s="483">
        <v>80</v>
      </c>
      <c r="HB2" s="321"/>
      <c r="HC2" s="321"/>
      <c r="HD2" s="321"/>
      <c r="HE2" s="321"/>
      <c r="HF2" s="446"/>
      <c r="HG2" s="446"/>
      <c r="HH2" s="446"/>
      <c r="HI2" s="446"/>
      <c r="HJ2" s="453"/>
      <c r="HK2" s="459"/>
      <c r="HL2" s="321"/>
      <c r="HM2" s="321"/>
      <c r="HN2" s="321"/>
      <c r="HO2" s="321"/>
      <c r="HP2" s="564"/>
      <c r="HQ2" s="483">
        <v>130</v>
      </c>
      <c r="HR2" s="321"/>
      <c r="HS2" s="321"/>
      <c r="HT2" s="321"/>
      <c r="HU2" s="321"/>
      <c r="HV2" s="446"/>
      <c r="HW2" s="446"/>
      <c r="HX2" s="446"/>
      <c r="HY2" s="446"/>
      <c r="HZ2" s="453"/>
      <c r="IA2" s="459"/>
      <c r="IB2" s="321"/>
      <c r="IC2" s="321"/>
      <c r="ID2" s="321"/>
      <c r="IE2" s="321"/>
      <c r="IF2" s="564"/>
      <c r="IG2" s="483">
        <v>130</v>
      </c>
      <c r="IH2" s="321"/>
      <c r="II2" s="321"/>
      <c r="IJ2" s="321"/>
      <c r="IK2" s="321"/>
      <c r="IL2" s="321"/>
      <c r="IM2" s="321"/>
      <c r="IN2" s="453"/>
      <c r="IO2" s="459"/>
      <c r="IP2" s="321"/>
      <c r="IQ2" s="321"/>
      <c r="IR2" s="321"/>
      <c r="IS2" s="321"/>
      <c r="IT2" s="321"/>
      <c r="IU2" s="321"/>
      <c r="IV2" s="564"/>
    </row>
    <row r="3" spans="1:256" s="328" customFormat="1" ht="8.25" customHeight="1">
      <c r="A3" s="483">
        <v>1</v>
      </c>
      <c r="B3" s="321"/>
      <c r="C3" s="321"/>
      <c r="D3" s="321"/>
      <c r="E3" s="420"/>
      <c r="F3" s="321"/>
      <c r="G3" s="321"/>
      <c r="H3" s="321"/>
      <c r="I3" s="321"/>
      <c r="J3" s="420"/>
      <c r="K3" s="321"/>
      <c r="L3" s="321"/>
      <c r="M3" s="321"/>
      <c r="N3" s="321"/>
      <c r="O3" s="321"/>
      <c r="P3" s="321"/>
      <c r="Q3" s="483"/>
      <c r="R3" s="321"/>
      <c r="S3" s="462">
        <v>11</v>
      </c>
      <c r="T3" s="462"/>
      <c r="U3" s="462"/>
      <c r="V3" s="462"/>
      <c r="W3" s="321">
        <v>11</v>
      </c>
      <c r="X3" s="458"/>
      <c r="Y3" s="438"/>
      <c r="Z3" s="321">
        <v>11</v>
      </c>
      <c r="AA3" s="462"/>
      <c r="AB3" s="462"/>
      <c r="AC3" s="462"/>
      <c r="AD3" s="462">
        <v>11</v>
      </c>
      <c r="AE3" s="321"/>
      <c r="AF3" s="564"/>
      <c r="AG3" s="483"/>
      <c r="AH3" s="321"/>
      <c r="AI3" s="321"/>
      <c r="AJ3" s="321"/>
      <c r="AK3" s="321"/>
      <c r="AL3" s="321"/>
      <c r="AM3" s="321"/>
      <c r="AN3" s="321"/>
      <c r="AO3" s="321"/>
      <c r="AP3" s="321"/>
      <c r="AQ3" s="321"/>
      <c r="AR3" s="321"/>
      <c r="AS3" s="321"/>
      <c r="AT3" s="321"/>
      <c r="AU3" s="321"/>
      <c r="AV3" s="564"/>
      <c r="AW3" s="483"/>
      <c r="AX3" s="321"/>
      <c r="AY3" s="321"/>
      <c r="AZ3" s="321"/>
      <c r="BA3" s="321"/>
      <c r="BB3" s="321"/>
      <c r="BC3" s="321"/>
      <c r="BD3" s="321"/>
      <c r="BE3" s="321"/>
      <c r="BF3" s="321"/>
      <c r="BG3" s="321"/>
      <c r="BH3" s="321"/>
      <c r="BI3" s="321"/>
      <c r="BJ3" s="321"/>
      <c r="BK3" s="321"/>
      <c r="BL3" s="321"/>
      <c r="BM3" s="483">
        <v>6</v>
      </c>
      <c r="BN3" s="321"/>
      <c r="BO3" s="321"/>
      <c r="BP3" s="321"/>
      <c r="BQ3" s="321"/>
      <c r="BR3" s="321"/>
      <c r="BS3" s="321"/>
      <c r="BT3" s="321"/>
      <c r="BU3" s="321"/>
      <c r="BV3" s="321"/>
      <c r="BW3" s="321"/>
      <c r="BX3" s="321"/>
      <c r="BY3" s="321"/>
      <c r="BZ3" s="321"/>
      <c r="CA3" s="321"/>
      <c r="CB3" s="564"/>
      <c r="CC3" s="483">
        <v>7</v>
      </c>
      <c r="CD3" s="321"/>
      <c r="CE3" s="321"/>
      <c r="CF3" s="321"/>
      <c r="CG3" s="321"/>
      <c r="CH3" s="321"/>
      <c r="CI3" s="321"/>
      <c r="CJ3" s="321"/>
      <c r="CK3" s="321"/>
      <c r="CL3" s="321"/>
      <c r="CM3" s="321"/>
      <c r="CN3" s="321"/>
      <c r="CO3" s="321"/>
      <c r="CP3" s="321"/>
      <c r="CQ3" s="321"/>
      <c r="CR3" s="564"/>
      <c r="CS3" s="483">
        <v>8</v>
      </c>
      <c r="CT3" s="321"/>
      <c r="CU3" s="321"/>
      <c r="CV3" s="321"/>
      <c r="CW3" s="321"/>
      <c r="CX3" s="321"/>
      <c r="CY3" s="321"/>
      <c r="CZ3" s="321"/>
      <c r="DA3" s="321"/>
      <c r="DB3" s="321"/>
      <c r="DC3" s="321"/>
      <c r="DD3" s="321"/>
      <c r="DE3" s="321"/>
      <c r="DF3" s="321"/>
      <c r="DG3" s="321"/>
      <c r="DH3" s="564"/>
      <c r="DI3" s="483">
        <v>5</v>
      </c>
      <c r="DJ3" s="321"/>
      <c r="DK3" s="321"/>
      <c r="DL3" s="321"/>
      <c r="DM3" s="321"/>
      <c r="DN3" s="321"/>
      <c r="DO3" s="321"/>
      <c r="DP3" s="321"/>
      <c r="DQ3" s="321"/>
      <c r="DR3" s="321"/>
      <c r="DS3" s="321"/>
      <c r="DT3" s="321"/>
      <c r="DU3" s="321"/>
      <c r="DV3" s="321"/>
      <c r="DW3" s="321"/>
      <c r="DX3" s="564"/>
      <c r="DY3" s="483">
        <v>10</v>
      </c>
      <c r="DZ3" s="321"/>
      <c r="EA3" s="321"/>
      <c r="EB3" s="321"/>
      <c r="EC3" s="321"/>
      <c r="ED3" s="321"/>
      <c r="EE3" s="321"/>
      <c r="EF3" s="321"/>
      <c r="EG3" s="321"/>
      <c r="EH3" s="321"/>
      <c r="EI3" s="321"/>
      <c r="EJ3" s="321"/>
      <c r="EK3" s="321"/>
      <c r="EL3" s="321"/>
      <c r="EM3" s="321"/>
      <c r="EN3" s="564"/>
      <c r="EO3" s="483">
        <v>9</v>
      </c>
      <c r="EP3" s="321"/>
      <c r="EQ3" s="321"/>
      <c r="ER3" s="321"/>
      <c r="ES3" s="321"/>
      <c r="ET3" s="321"/>
      <c r="EU3" s="321"/>
      <c r="EV3" s="321"/>
      <c r="EW3" s="321"/>
      <c r="EX3" s="321"/>
      <c r="EY3" s="321"/>
      <c r="EZ3" s="321"/>
      <c r="FA3" s="321"/>
      <c r="FB3" s="321"/>
      <c r="FC3" s="321"/>
      <c r="FD3" s="564"/>
      <c r="FE3" s="440"/>
      <c r="FF3" s="440"/>
      <c r="FG3" s="446"/>
      <c r="FH3" s="446"/>
      <c r="FI3" s="440"/>
      <c r="FJ3" s="433"/>
      <c r="FK3" s="426"/>
      <c r="FL3" s="422"/>
      <c r="FM3" s="426"/>
      <c r="FN3" s="433"/>
      <c r="FO3" s="440"/>
      <c r="FP3" s="446"/>
      <c r="FQ3" s="446"/>
      <c r="FR3" s="440"/>
      <c r="FS3" s="440"/>
      <c r="FT3" s="433"/>
      <c r="FU3" s="483">
        <v>13</v>
      </c>
      <c r="FV3" s="321"/>
      <c r="FW3" s="321"/>
      <c r="FX3" s="321"/>
      <c r="FY3" s="321"/>
      <c r="FZ3" s="459"/>
      <c r="GA3" s="453"/>
      <c r="GB3" s="321"/>
      <c r="GC3" s="321"/>
      <c r="GD3" s="321"/>
      <c r="GE3" s="321"/>
      <c r="GF3" s="321"/>
      <c r="GG3" s="321"/>
      <c r="GH3" s="321"/>
      <c r="GI3" s="321"/>
      <c r="GJ3" s="564"/>
      <c r="GK3" s="483">
        <v>14</v>
      </c>
      <c r="GL3" s="321"/>
      <c r="GM3" s="321"/>
      <c r="GN3" s="321"/>
      <c r="GO3" s="321"/>
      <c r="GP3" s="459"/>
      <c r="GQ3" s="453"/>
      <c r="GR3" s="321"/>
      <c r="GS3" s="321"/>
      <c r="GT3" s="453"/>
      <c r="GU3" s="459"/>
      <c r="GV3" s="321"/>
      <c r="GW3" s="321"/>
      <c r="GX3" s="321"/>
      <c r="GY3" s="321"/>
      <c r="GZ3" s="564"/>
      <c r="HA3" s="483">
        <v>15</v>
      </c>
      <c r="HB3" s="321"/>
      <c r="HC3" s="321"/>
      <c r="HD3" s="321"/>
      <c r="HE3" s="321"/>
      <c r="HF3" s="321"/>
      <c r="HG3" s="321"/>
      <c r="HH3" s="321"/>
      <c r="HI3" s="321"/>
      <c r="HJ3" s="453"/>
      <c r="HK3" s="459"/>
      <c r="HL3" s="321"/>
      <c r="HM3" s="321"/>
      <c r="HN3" s="321"/>
      <c r="HO3" s="321"/>
      <c r="HP3" s="564"/>
      <c r="HQ3" s="483">
        <v>16</v>
      </c>
      <c r="HR3" s="321"/>
      <c r="HS3" s="321"/>
      <c r="HT3" s="321"/>
      <c r="HU3" s="321"/>
      <c r="HV3" s="321"/>
      <c r="HW3" s="321"/>
      <c r="HX3" s="321"/>
      <c r="HY3" s="321"/>
      <c r="HZ3" s="453"/>
      <c r="IA3" s="459"/>
      <c r="IB3" s="321"/>
      <c r="IC3" s="321"/>
      <c r="ID3" s="321"/>
      <c r="IE3" s="321"/>
      <c r="IF3" s="564"/>
      <c r="IG3" s="483">
        <v>24</v>
      </c>
      <c r="IH3" s="321"/>
      <c r="II3" s="321"/>
      <c r="IJ3" s="321"/>
      <c r="IK3" s="321"/>
      <c r="IL3" s="321"/>
      <c r="IM3" s="321"/>
      <c r="IN3" s="453"/>
      <c r="IO3" s="459"/>
      <c r="IP3" s="321"/>
      <c r="IQ3" s="321"/>
      <c r="IR3" s="321"/>
      <c r="IS3" s="321"/>
      <c r="IT3" s="321"/>
      <c r="IU3" s="321"/>
      <c r="IV3" s="564"/>
    </row>
    <row r="4" spans="1:256" s="328" customFormat="1" ht="8.25" customHeight="1">
      <c r="A4" s="483">
        <v>30000</v>
      </c>
      <c r="B4" s="321"/>
      <c r="C4" s="321"/>
      <c r="D4" s="321"/>
      <c r="E4" s="321"/>
      <c r="F4" s="420"/>
      <c r="G4" s="321"/>
      <c r="H4" s="321"/>
      <c r="I4" s="420"/>
      <c r="J4" s="321"/>
      <c r="K4" s="321"/>
      <c r="L4" s="321"/>
      <c r="M4" s="321"/>
      <c r="N4" s="321"/>
      <c r="O4" s="321"/>
      <c r="P4" s="321"/>
      <c r="Q4" s="483"/>
      <c r="R4" s="321"/>
      <c r="S4" s="321">
        <v>11</v>
      </c>
      <c r="T4" s="321">
        <v>11</v>
      </c>
      <c r="U4" s="321">
        <v>11</v>
      </c>
      <c r="V4" s="321">
        <v>11</v>
      </c>
      <c r="W4" s="321"/>
      <c r="X4" s="445"/>
      <c r="Y4" s="438"/>
      <c r="Z4" s="321"/>
      <c r="AA4" s="321">
        <v>11</v>
      </c>
      <c r="AB4" s="321">
        <v>11</v>
      </c>
      <c r="AC4" s="321">
        <v>11</v>
      </c>
      <c r="AD4" s="321">
        <v>11</v>
      </c>
      <c r="AE4" s="321"/>
      <c r="AF4" s="564"/>
      <c r="AG4" s="483"/>
      <c r="AH4" s="321"/>
      <c r="AI4" s="321"/>
      <c r="AJ4" s="321"/>
      <c r="AK4" s="321"/>
      <c r="AL4" s="321"/>
      <c r="AM4" s="321"/>
      <c r="AN4" s="321"/>
      <c r="AO4" s="321"/>
      <c r="AP4" s="321"/>
      <c r="AQ4" s="321"/>
      <c r="AR4" s="321"/>
      <c r="AS4" s="321"/>
      <c r="AT4" s="321"/>
      <c r="AU4" s="321"/>
      <c r="AV4" s="564"/>
      <c r="AW4" s="483"/>
      <c r="AX4" s="321"/>
      <c r="AY4" s="321"/>
      <c r="AZ4" s="321"/>
      <c r="BA4" s="321"/>
      <c r="BB4" s="321"/>
      <c r="BC4" s="321"/>
      <c r="BD4" s="321"/>
      <c r="BE4" s="321"/>
      <c r="BF4" s="321"/>
      <c r="BG4" s="321"/>
      <c r="BH4" s="321"/>
      <c r="BI4" s="321"/>
      <c r="BJ4" s="321"/>
      <c r="BK4" s="321"/>
      <c r="BL4" s="321"/>
      <c r="BM4" s="483">
        <v>100</v>
      </c>
      <c r="BN4" s="321"/>
      <c r="BO4" s="321"/>
      <c r="BP4" s="321"/>
      <c r="BQ4" s="321"/>
      <c r="BR4" s="321"/>
      <c r="BS4" s="321"/>
      <c r="BT4" s="321"/>
      <c r="BU4" s="321"/>
      <c r="BV4" s="321"/>
      <c r="BW4" s="321"/>
      <c r="BX4" s="321"/>
      <c r="BY4" s="321"/>
      <c r="BZ4" s="321"/>
      <c r="CA4" s="321"/>
      <c r="CB4" s="564"/>
      <c r="CC4" s="483">
        <v>120</v>
      </c>
      <c r="CD4" s="321"/>
      <c r="CE4" s="321"/>
      <c r="CF4" s="321"/>
      <c r="CG4" s="321"/>
      <c r="CH4" s="321"/>
      <c r="CI4" s="321"/>
      <c r="CJ4" s="321"/>
      <c r="CK4" s="321"/>
      <c r="CL4" s="321"/>
      <c r="CM4" s="321"/>
      <c r="CN4" s="321"/>
      <c r="CO4" s="321"/>
      <c r="CP4" s="321"/>
      <c r="CQ4" s="321"/>
      <c r="CR4" s="564"/>
      <c r="CS4" s="483">
        <v>80</v>
      </c>
      <c r="CT4" s="321"/>
      <c r="CU4" s="321"/>
      <c r="CV4" s="321"/>
      <c r="CW4" s="321"/>
      <c r="CX4" s="321"/>
      <c r="CY4" s="321"/>
      <c r="CZ4" s="321">
        <v>7</v>
      </c>
      <c r="DA4" s="321"/>
      <c r="DB4" s="321"/>
      <c r="DC4" s="321"/>
      <c r="DD4" s="321"/>
      <c r="DE4" s="321"/>
      <c r="DF4" s="321"/>
      <c r="DG4" s="321"/>
      <c r="DH4" s="564"/>
      <c r="DI4" s="483">
        <v>120</v>
      </c>
      <c r="DJ4" s="321"/>
      <c r="DK4" s="321"/>
      <c r="DL4" s="321"/>
      <c r="DM4" s="321"/>
      <c r="DN4" s="321"/>
      <c r="DO4" s="321"/>
      <c r="DP4" s="321"/>
      <c r="DQ4" s="321"/>
      <c r="DR4" s="321"/>
      <c r="DS4" s="321"/>
      <c r="DT4" s="321"/>
      <c r="DU4" s="321"/>
      <c r="DV4" s="321"/>
      <c r="DW4" s="321"/>
      <c r="DX4" s="564"/>
      <c r="DY4" s="483">
        <v>100</v>
      </c>
      <c r="DZ4" s="321"/>
      <c r="EA4" s="321"/>
      <c r="EB4" s="321"/>
      <c r="EC4" s="321"/>
      <c r="ED4" s="321"/>
      <c r="EE4" s="321"/>
      <c r="EF4" s="321"/>
      <c r="EG4" s="321"/>
      <c r="EH4" s="321"/>
      <c r="EI4" s="321"/>
      <c r="EJ4" s="321"/>
      <c r="EK4" s="321"/>
      <c r="EL4" s="321"/>
      <c r="EM4" s="321"/>
      <c r="EN4" s="564"/>
      <c r="EO4" s="483">
        <v>350</v>
      </c>
      <c r="EP4" s="321"/>
      <c r="EQ4" s="321"/>
      <c r="ER4" s="321"/>
      <c r="ES4" s="321"/>
      <c r="ET4" s="321"/>
      <c r="EU4" s="321"/>
      <c r="EV4" s="321"/>
      <c r="EW4" s="321"/>
      <c r="EX4" s="321"/>
      <c r="EY4" s="321"/>
      <c r="EZ4" s="321"/>
      <c r="FA4" s="321"/>
      <c r="FB4" s="321"/>
      <c r="FC4" s="321"/>
      <c r="FD4" s="564"/>
      <c r="FE4" s="440"/>
      <c r="FF4" s="440"/>
      <c r="FG4" s="446"/>
      <c r="FH4" s="446"/>
      <c r="FI4" s="440"/>
      <c r="FJ4" s="433"/>
      <c r="FK4" s="426"/>
      <c r="FL4" s="422"/>
      <c r="FM4" s="426"/>
      <c r="FN4" s="433"/>
      <c r="FO4" s="440"/>
      <c r="FP4" s="446"/>
      <c r="FQ4" s="446"/>
      <c r="FR4" s="440"/>
      <c r="FS4" s="440"/>
      <c r="FT4" s="433"/>
      <c r="FU4" s="483">
        <v>1000</v>
      </c>
      <c r="FV4" s="321"/>
      <c r="FW4" s="321"/>
      <c r="FX4" s="321"/>
      <c r="FY4" s="321"/>
      <c r="FZ4" s="459"/>
      <c r="GA4" s="453"/>
      <c r="GB4" s="321"/>
      <c r="GC4" s="321"/>
      <c r="GD4" s="321"/>
      <c r="GE4" s="321"/>
      <c r="GF4" s="321"/>
      <c r="GG4" s="321"/>
      <c r="GH4" s="321"/>
      <c r="GI4" s="321"/>
      <c r="GJ4" s="564"/>
      <c r="GK4" s="483">
        <v>1000</v>
      </c>
      <c r="GL4" s="321"/>
      <c r="GM4" s="321"/>
      <c r="GN4" s="321"/>
      <c r="GO4" s="321"/>
      <c r="GP4" s="459"/>
      <c r="GQ4" s="453"/>
      <c r="GR4" s="321"/>
      <c r="GS4" s="321"/>
      <c r="GT4" s="453"/>
      <c r="GU4" s="459"/>
      <c r="GV4" s="321"/>
      <c r="GW4" s="321"/>
      <c r="GX4" s="321"/>
      <c r="GY4" s="321"/>
      <c r="GZ4" s="564"/>
      <c r="HA4" s="483">
        <v>1000</v>
      </c>
      <c r="HB4" s="321"/>
      <c r="HC4" s="321"/>
      <c r="HD4" s="321"/>
      <c r="HE4" s="321"/>
      <c r="HF4" s="321"/>
      <c r="HG4" s="321"/>
      <c r="HH4" s="321"/>
      <c r="HI4" s="321"/>
      <c r="HJ4" s="453"/>
      <c r="HK4" s="453"/>
      <c r="HL4" s="321"/>
      <c r="HM4" s="321"/>
      <c r="HN4" s="321"/>
      <c r="HO4" s="321"/>
      <c r="HP4" s="564"/>
      <c r="HQ4" s="483">
        <v>1000</v>
      </c>
      <c r="HR4" s="321"/>
      <c r="HS4" s="321"/>
      <c r="HT4" s="321"/>
      <c r="HU4" s="321"/>
      <c r="HV4" s="321"/>
      <c r="HW4" s="321"/>
      <c r="HX4" s="321"/>
      <c r="HY4" s="321"/>
      <c r="HZ4" s="453"/>
      <c r="IA4" s="459"/>
      <c r="IB4" s="321"/>
      <c r="IC4" s="321"/>
      <c r="ID4" s="321"/>
      <c r="IE4" s="321"/>
      <c r="IF4" s="564"/>
      <c r="IG4" s="483">
        <v>1000</v>
      </c>
      <c r="IH4" s="321"/>
      <c r="II4" s="321"/>
      <c r="IJ4" s="321"/>
      <c r="IK4" s="321"/>
      <c r="IL4" s="321"/>
      <c r="IM4" s="321"/>
      <c r="IN4" s="453"/>
      <c r="IO4" s="459"/>
      <c r="IP4" s="321"/>
      <c r="IQ4" s="321"/>
      <c r="IR4" s="321"/>
      <c r="IS4" s="321"/>
      <c r="IT4" s="321"/>
      <c r="IU4" s="321"/>
      <c r="IV4" s="564"/>
    </row>
    <row r="5" spans="1:256" s="328" customFormat="1" ht="8.25" customHeight="1">
      <c r="A5" s="483">
        <v>150</v>
      </c>
      <c r="B5" s="321"/>
      <c r="C5" s="321"/>
      <c r="D5" s="321"/>
      <c r="E5" s="321"/>
      <c r="F5" s="321"/>
      <c r="G5" s="420"/>
      <c r="H5" s="321"/>
      <c r="I5" s="420"/>
      <c r="J5" s="321"/>
      <c r="K5" s="321"/>
      <c r="L5" s="321"/>
      <c r="M5" s="321"/>
      <c r="N5" s="321"/>
      <c r="O5" s="321"/>
      <c r="P5" s="321"/>
      <c r="Q5" s="483">
        <v>1000</v>
      </c>
      <c r="R5" s="321">
        <v>10</v>
      </c>
      <c r="S5" s="321"/>
      <c r="T5" s="321">
        <v>10</v>
      </c>
      <c r="U5" s="321"/>
      <c r="V5" s="321">
        <v>10</v>
      </c>
      <c r="W5" s="321"/>
      <c r="X5" s="445"/>
      <c r="Y5" s="438"/>
      <c r="Z5" s="321"/>
      <c r="AA5" s="321">
        <v>10</v>
      </c>
      <c r="AB5" s="321"/>
      <c r="AC5" s="321">
        <v>10</v>
      </c>
      <c r="AD5" s="321"/>
      <c r="AE5" s="321">
        <v>10</v>
      </c>
      <c r="AF5" s="564"/>
      <c r="AG5" s="483">
        <v>60</v>
      </c>
      <c r="AH5" s="321"/>
      <c r="AI5" s="321"/>
      <c r="AJ5" s="321"/>
      <c r="AK5" s="321"/>
      <c r="AL5" s="321"/>
      <c r="AM5" s="321"/>
      <c r="AN5" s="321"/>
      <c r="AO5" s="321"/>
      <c r="AP5" s="321"/>
      <c r="AQ5" s="321"/>
      <c r="AR5" s="321"/>
      <c r="AS5" s="321"/>
      <c r="AT5" s="321"/>
      <c r="AU5" s="321"/>
      <c r="AV5" s="564"/>
      <c r="AW5" s="483">
        <v>30</v>
      </c>
      <c r="AX5" s="321"/>
      <c r="AY5" s="321"/>
      <c r="AZ5" s="321"/>
      <c r="BA5" s="321"/>
      <c r="BB5" s="321"/>
      <c r="BC5" s="321"/>
      <c r="BD5" s="321"/>
      <c r="BE5" s="321"/>
      <c r="BF5" s="321"/>
      <c r="BG5" s="321"/>
      <c r="BH5" s="321"/>
      <c r="BI5" s="321"/>
      <c r="BJ5" s="321"/>
      <c r="BK5" s="321"/>
      <c r="BL5" s="321"/>
      <c r="BM5" s="483">
        <v>99</v>
      </c>
      <c r="BN5" s="321"/>
      <c r="BO5" s="321"/>
      <c r="BP5" s="321"/>
      <c r="BQ5" s="321"/>
      <c r="BR5" s="321"/>
      <c r="BS5" s="321"/>
      <c r="BT5" s="321"/>
      <c r="BU5" s="321"/>
      <c r="BV5" s="321"/>
      <c r="BW5" s="321"/>
      <c r="BX5" s="321"/>
      <c r="BY5" s="321"/>
      <c r="BZ5" s="321"/>
      <c r="CA5" s="321"/>
      <c r="CB5" s="564"/>
      <c r="CC5" s="483">
        <v>99</v>
      </c>
      <c r="CD5" s="321"/>
      <c r="CE5" s="321"/>
      <c r="CF5" s="321"/>
      <c r="CG5" s="429">
        <v>6</v>
      </c>
      <c r="CH5" s="321"/>
      <c r="CI5" s="321"/>
      <c r="CJ5" s="321"/>
      <c r="CK5" s="321"/>
      <c r="CL5" s="321"/>
      <c r="CM5" s="321"/>
      <c r="CN5" s="321"/>
      <c r="CO5" s="321"/>
      <c r="CP5" s="321"/>
      <c r="CQ5" s="321"/>
      <c r="CR5" s="564"/>
      <c r="CS5" s="483">
        <v>99</v>
      </c>
      <c r="CT5" s="321"/>
      <c r="CU5" s="321"/>
      <c r="CV5" s="321"/>
      <c r="CW5" s="321"/>
      <c r="CX5" s="321"/>
      <c r="CY5" s="321"/>
      <c r="CZ5" s="321"/>
      <c r="DA5" s="321"/>
      <c r="DB5" s="321"/>
      <c r="DC5" s="321"/>
      <c r="DD5" s="321"/>
      <c r="DE5" s="321"/>
      <c r="DF5" s="321"/>
      <c r="DG5" s="321"/>
      <c r="DH5" s="564"/>
      <c r="DI5" s="483">
        <v>99</v>
      </c>
      <c r="DJ5" s="321"/>
      <c r="DK5" s="321"/>
      <c r="DL5" s="321"/>
      <c r="DM5" s="321"/>
      <c r="DN5" s="321"/>
      <c r="DO5" s="321"/>
      <c r="DP5" s="321"/>
      <c r="DQ5" s="321"/>
      <c r="DR5" s="321"/>
      <c r="DS5" s="321"/>
      <c r="DT5" s="321"/>
      <c r="DU5" s="321"/>
      <c r="DV5" s="321"/>
      <c r="DW5" s="321"/>
      <c r="DX5" s="564"/>
      <c r="DY5" s="483">
        <v>300</v>
      </c>
      <c r="DZ5" s="321"/>
      <c r="EA5" s="321"/>
      <c r="EB5" s="321"/>
      <c r="EC5" s="321"/>
      <c r="ED5" s="321"/>
      <c r="EE5" s="321"/>
      <c r="EF5" s="321"/>
      <c r="EG5" s="321"/>
      <c r="EH5" s="321"/>
      <c r="EI5" s="321"/>
      <c r="EJ5" s="321"/>
      <c r="EK5" s="321"/>
      <c r="EL5" s="321"/>
      <c r="EM5" s="321"/>
      <c r="EN5" s="564"/>
      <c r="EO5" s="483">
        <v>300</v>
      </c>
      <c r="EP5" s="321"/>
      <c r="EQ5" s="321"/>
      <c r="ER5" s="321"/>
      <c r="ES5" s="321"/>
      <c r="ET5" s="321"/>
      <c r="EU5" s="321"/>
      <c r="EV5" s="321"/>
      <c r="EW5" s="321"/>
      <c r="EX5" s="321"/>
      <c r="EY5" s="321"/>
      <c r="EZ5" s="321"/>
      <c r="FA5" s="321"/>
      <c r="FB5" s="321"/>
      <c r="FC5" s="321"/>
      <c r="FD5" s="564"/>
      <c r="FE5" s="440"/>
      <c r="FF5" s="440"/>
      <c r="FG5" s="446"/>
      <c r="FH5" s="446"/>
      <c r="FI5" s="440"/>
      <c r="FJ5" s="433"/>
      <c r="FK5" s="426"/>
      <c r="FL5" s="422"/>
      <c r="FM5" s="426"/>
      <c r="FN5" s="433"/>
      <c r="FO5" s="440"/>
      <c r="FP5" s="446"/>
      <c r="FQ5" s="446"/>
      <c r="FR5" s="440"/>
      <c r="FS5" s="440"/>
      <c r="FT5" s="433"/>
      <c r="FU5" s="483">
        <v>40</v>
      </c>
      <c r="FV5" s="321"/>
      <c r="FW5" s="321"/>
      <c r="FX5" s="321"/>
      <c r="FY5" s="321"/>
      <c r="FZ5" s="446"/>
      <c r="GA5" s="459"/>
      <c r="GB5" s="459"/>
      <c r="GC5" s="459"/>
      <c r="GD5" s="459"/>
      <c r="GE5" s="446"/>
      <c r="GF5" s="321"/>
      <c r="GG5" s="321"/>
      <c r="GH5" s="321"/>
      <c r="GI5" s="321"/>
      <c r="GJ5" s="564"/>
      <c r="GK5" s="483">
        <v>40</v>
      </c>
      <c r="GL5" s="321"/>
      <c r="GM5" s="321"/>
      <c r="GN5" s="321"/>
      <c r="GO5" s="321"/>
      <c r="GP5" s="459"/>
      <c r="GQ5" s="453"/>
      <c r="GR5" s="321"/>
      <c r="GS5" s="321"/>
      <c r="GT5" s="453"/>
      <c r="GU5" s="459"/>
      <c r="GV5" s="321"/>
      <c r="GW5" s="321"/>
      <c r="GX5" s="321"/>
      <c r="GY5" s="321"/>
      <c r="GZ5" s="564"/>
      <c r="HA5" s="483">
        <v>40</v>
      </c>
      <c r="HB5" s="321"/>
      <c r="HC5" s="321"/>
      <c r="HD5" s="321"/>
      <c r="HE5" s="321"/>
      <c r="HF5" s="446"/>
      <c r="HG5" s="459"/>
      <c r="HH5" s="459"/>
      <c r="HI5" s="459"/>
      <c r="HJ5" s="459"/>
      <c r="HK5" s="321"/>
      <c r="HL5" s="321"/>
      <c r="HM5" s="321"/>
      <c r="HN5" s="321"/>
      <c r="HO5" s="321"/>
      <c r="HP5" s="564"/>
      <c r="HQ5" s="483">
        <v>40</v>
      </c>
      <c r="HR5" s="321"/>
      <c r="HS5" s="321"/>
      <c r="HT5" s="321"/>
      <c r="HU5" s="321"/>
      <c r="HV5" s="321"/>
      <c r="HW5" s="321"/>
      <c r="HX5" s="321"/>
      <c r="HY5" s="321"/>
      <c r="HZ5" s="453"/>
      <c r="IA5" s="459"/>
      <c r="IB5" s="321"/>
      <c r="IC5" s="321"/>
      <c r="ID5" s="321"/>
      <c r="IE5" s="321"/>
      <c r="IF5" s="564"/>
      <c r="IG5" s="483">
        <v>40</v>
      </c>
      <c r="IH5" s="321"/>
      <c r="II5" s="321"/>
      <c r="IJ5" s="321"/>
      <c r="IK5" s="321"/>
      <c r="IL5" s="321"/>
      <c r="IM5" s="321"/>
      <c r="IN5" s="453"/>
      <c r="IO5" s="459"/>
      <c r="IP5" s="321"/>
      <c r="IQ5" s="321"/>
      <c r="IR5" s="321"/>
      <c r="IS5" s="321"/>
      <c r="IT5" s="321"/>
      <c r="IU5" s="321"/>
      <c r="IV5" s="321"/>
    </row>
    <row r="6" spans="1:256" s="328" customFormat="1" ht="8.25" customHeight="1">
      <c r="A6" s="420">
        <v>75</v>
      </c>
      <c r="B6" s="420"/>
      <c r="C6" s="420"/>
      <c r="D6" s="321"/>
      <c r="E6" s="321"/>
      <c r="F6" s="321"/>
      <c r="G6" s="420"/>
      <c r="H6" s="321"/>
      <c r="I6" s="409"/>
      <c r="J6" s="321"/>
      <c r="K6" s="321"/>
      <c r="L6" s="420"/>
      <c r="M6" s="321"/>
      <c r="N6" s="321"/>
      <c r="O6" s="321"/>
      <c r="P6" s="321"/>
      <c r="Q6" s="483">
        <v>71</v>
      </c>
      <c r="R6" s="321"/>
      <c r="S6" s="321"/>
      <c r="T6" s="321"/>
      <c r="U6" s="321"/>
      <c r="V6" s="321"/>
      <c r="W6" s="321"/>
      <c r="X6" s="445"/>
      <c r="Y6" s="438"/>
      <c r="Z6" s="321"/>
      <c r="AA6" s="321"/>
      <c r="AB6" s="321"/>
      <c r="AC6" s="321"/>
      <c r="AD6" s="321"/>
      <c r="AE6" s="321"/>
      <c r="AF6" s="564"/>
      <c r="AG6" s="483">
        <v>24</v>
      </c>
      <c r="AH6" s="321"/>
      <c r="AI6" s="321"/>
      <c r="AJ6" s="321"/>
      <c r="AK6" s="321"/>
      <c r="AL6" s="321"/>
      <c r="AM6" s="321"/>
      <c r="AN6" s="321"/>
      <c r="AO6" s="321"/>
      <c r="AP6" s="321"/>
      <c r="AQ6" s="321"/>
      <c r="AR6" s="321"/>
      <c r="AS6" s="321"/>
      <c r="AT6" s="321"/>
      <c r="AU6" s="321"/>
      <c r="AV6" s="564"/>
      <c r="AW6" s="483">
        <v>75</v>
      </c>
      <c r="AX6" s="321"/>
      <c r="AY6" s="321"/>
      <c r="AZ6" s="321"/>
      <c r="BA6" s="321"/>
      <c r="BB6" s="321"/>
      <c r="BC6" s="321"/>
      <c r="BD6" s="321"/>
      <c r="BE6" s="321"/>
      <c r="BF6" s="321"/>
      <c r="BG6" s="321"/>
      <c r="BH6" s="321"/>
      <c r="BI6" s="321"/>
      <c r="BJ6" s="321"/>
      <c r="BK6" s="321"/>
      <c r="BL6" s="321"/>
      <c r="BM6" s="483">
        <v>24</v>
      </c>
      <c r="BN6" s="321"/>
      <c r="BO6" s="321"/>
      <c r="BP6" s="321"/>
      <c r="BQ6" s="321"/>
      <c r="BR6" s="321"/>
      <c r="BS6" s="321"/>
      <c r="BT6" s="321"/>
      <c r="BU6" s="321"/>
      <c r="BV6" s="321"/>
      <c r="BW6" s="321"/>
      <c r="BX6" s="321"/>
      <c r="BY6" s="321"/>
      <c r="BZ6" s="321"/>
      <c r="CA6" s="321"/>
      <c r="CB6" s="564"/>
      <c r="CC6" s="483">
        <v>24</v>
      </c>
      <c r="CD6" s="321"/>
      <c r="CE6" s="321"/>
      <c r="CF6" s="321"/>
      <c r="CG6" s="321"/>
      <c r="CH6" s="321"/>
      <c r="CI6" s="321"/>
      <c r="CJ6" s="321"/>
      <c r="CK6" s="321"/>
      <c r="CL6" s="321"/>
      <c r="CM6" s="321"/>
      <c r="CN6" s="321"/>
      <c r="CO6" s="321"/>
      <c r="CP6" s="321"/>
      <c r="CQ6" s="321"/>
      <c r="CR6" s="564"/>
      <c r="CS6" s="483">
        <v>24</v>
      </c>
      <c r="CT6" s="321"/>
      <c r="CU6" s="321"/>
      <c r="CV6" s="321"/>
      <c r="CW6" s="321"/>
      <c r="CX6" s="321"/>
      <c r="CY6" s="321"/>
      <c r="CZ6" s="321"/>
      <c r="DA6" s="321"/>
      <c r="DB6" s="321"/>
      <c r="DC6" s="321"/>
      <c r="DD6" s="321"/>
      <c r="DE6" s="321"/>
      <c r="DF6" s="321"/>
      <c r="DG6" s="321"/>
      <c r="DH6" s="564"/>
      <c r="DI6" s="483">
        <v>24</v>
      </c>
      <c r="DJ6" s="321"/>
      <c r="DK6" s="321"/>
      <c r="DL6" s="321"/>
      <c r="DM6" s="321"/>
      <c r="DN6" s="321"/>
      <c r="DO6" s="321"/>
      <c r="DP6" s="321"/>
      <c r="DQ6" s="321"/>
      <c r="DR6" s="321"/>
      <c r="DS6" s="321"/>
      <c r="DT6" s="321"/>
      <c r="DU6" s="321"/>
      <c r="DV6" s="321"/>
      <c r="DW6" s="321"/>
      <c r="DX6" s="564"/>
      <c r="DY6" s="483">
        <v>72</v>
      </c>
      <c r="DZ6" s="321"/>
      <c r="EA6" s="321"/>
      <c r="EB6" s="321"/>
      <c r="EC6" s="321"/>
      <c r="ED6" s="321"/>
      <c r="EE6" s="321"/>
      <c r="EF6" s="321"/>
      <c r="EG6" s="321"/>
      <c r="EH6" s="321"/>
      <c r="EI6" s="321"/>
      <c r="EJ6" s="321"/>
      <c r="EK6" s="321"/>
      <c r="EL6" s="321"/>
      <c r="EM6" s="321"/>
      <c r="EN6" s="564"/>
      <c r="EO6" s="483">
        <v>72</v>
      </c>
      <c r="EP6" s="321"/>
      <c r="EQ6" s="321"/>
      <c r="ER6" s="321"/>
      <c r="ES6" s="321"/>
      <c r="ET6" s="321"/>
      <c r="EU6" s="321"/>
      <c r="EV6" s="321"/>
      <c r="EW6" s="321"/>
      <c r="EX6" s="321"/>
      <c r="EY6" s="321"/>
      <c r="EZ6" s="321"/>
      <c r="FA6" s="321"/>
      <c r="FB6" s="321"/>
      <c r="FC6" s="321"/>
      <c r="FD6" s="564"/>
      <c r="FE6" s="440"/>
      <c r="FF6" s="440"/>
      <c r="FG6" s="446"/>
      <c r="FH6" s="446"/>
      <c r="FI6" s="440"/>
      <c r="FJ6" s="433"/>
      <c r="FK6" s="426"/>
      <c r="FL6" s="422"/>
      <c r="FM6" s="426"/>
      <c r="FN6" s="433"/>
      <c r="FO6" s="440"/>
      <c r="FP6" s="446"/>
      <c r="FQ6" s="446"/>
      <c r="FR6" s="440"/>
      <c r="FS6" s="440"/>
      <c r="FT6" s="433"/>
      <c r="FU6" s="483">
        <v>24</v>
      </c>
      <c r="FV6" s="321"/>
      <c r="FW6" s="321"/>
      <c r="FX6" s="321"/>
      <c r="FY6" s="321"/>
      <c r="FZ6" s="321"/>
      <c r="GA6" s="446"/>
      <c r="GB6" s="446"/>
      <c r="GC6" s="446"/>
      <c r="GD6" s="446"/>
      <c r="GE6" s="459"/>
      <c r="GF6" s="321"/>
      <c r="GG6" s="321"/>
      <c r="GH6" s="321"/>
      <c r="GI6" s="321"/>
      <c r="GJ6" s="564"/>
      <c r="GK6" s="483">
        <v>24</v>
      </c>
      <c r="GL6" s="321"/>
      <c r="GM6" s="321"/>
      <c r="GN6" s="321"/>
      <c r="GO6" s="321"/>
      <c r="GP6" s="446"/>
      <c r="GQ6" s="459"/>
      <c r="GR6" s="459"/>
      <c r="GS6" s="459"/>
      <c r="GT6" s="459"/>
      <c r="GU6" s="453"/>
      <c r="GV6" s="321"/>
      <c r="GW6" s="321"/>
      <c r="GX6" s="321"/>
      <c r="GY6" s="321"/>
      <c r="GZ6" s="564"/>
      <c r="HA6" s="483">
        <v>24</v>
      </c>
      <c r="HB6" s="321"/>
      <c r="HC6" s="321"/>
      <c r="HD6" s="321"/>
      <c r="HE6" s="321"/>
      <c r="HF6" s="321"/>
      <c r="HG6" s="446"/>
      <c r="HH6" s="446"/>
      <c r="HI6" s="446"/>
      <c r="HJ6" s="446"/>
      <c r="HK6" s="459"/>
      <c r="HL6" s="321"/>
      <c r="HM6" s="321"/>
      <c r="HN6" s="321"/>
      <c r="HO6" s="321"/>
      <c r="HP6" s="564"/>
      <c r="HQ6" s="483">
        <v>24</v>
      </c>
      <c r="HR6" s="321"/>
      <c r="HS6" s="321"/>
      <c r="HT6" s="321"/>
      <c r="HU6" s="321"/>
      <c r="HV6" s="321"/>
      <c r="HW6" s="459"/>
      <c r="HX6" s="459"/>
      <c r="HY6" s="459"/>
      <c r="HZ6" s="459"/>
      <c r="IA6" s="446"/>
      <c r="IB6" s="321"/>
      <c r="IC6" s="321"/>
      <c r="ID6" s="321"/>
      <c r="IE6" s="321"/>
      <c r="IF6" s="564"/>
      <c r="IG6" s="483">
        <v>24</v>
      </c>
      <c r="IH6" s="321"/>
      <c r="II6" s="321"/>
      <c r="IJ6" s="321"/>
      <c r="IK6" s="321"/>
      <c r="IL6" s="321"/>
      <c r="IM6" s="321"/>
      <c r="IN6" s="453"/>
      <c r="IO6" s="459"/>
      <c r="IP6" s="321"/>
      <c r="IQ6" s="321"/>
      <c r="IR6" s="321"/>
      <c r="IS6" s="321"/>
      <c r="IT6" s="321"/>
      <c r="IU6" s="321"/>
      <c r="IV6" s="564"/>
    </row>
    <row r="7" spans="1:256" s="328" customFormat="1" ht="8.25" customHeight="1">
      <c r="A7" s="483"/>
      <c r="B7" s="321"/>
      <c r="C7" s="321"/>
      <c r="D7" s="420"/>
      <c r="E7" s="420"/>
      <c r="F7" s="321"/>
      <c r="G7" s="420"/>
      <c r="H7" s="321"/>
      <c r="I7" s="321"/>
      <c r="J7" s="420"/>
      <c r="K7" s="420"/>
      <c r="L7" s="321"/>
      <c r="M7" s="321"/>
      <c r="N7" s="321"/>
      <c r="O7" s="321"/>
      <c r="P7" s="321"/>
      <c r="Q7" s="483"/>
      <c r="R7" s="321"/>
      <c r="S7" s="321"/>
      <c r="T7" s="321"/>
      <c r="U7" s="321"/>
      <c r="V7" s="321"/>
      <c r="W7" s="321"/>
      <c r="X7" s="445"/>
      <c r="Y7" s="431"/>
      <c r="Z7" s="321"/>
      <c r="AA7" s="321"/>
      <c r="AB7" s="321"/>
      <c r="AC7" s="321"/>
      <c r="AD7" s="321"/>
      <c r="AE7" s="321"/>
      <c r="AF7" s="564"/>
      <c r="AG7" s="483"/>
      <c r="AH7" s="321"/>
      <c r="AI7" s="321"/>
      <c r="AJ7" s="321"/>
      <c r="AK7" s="321"/>
      <c r="AL7" s="321"/>
      <c r="AM7" s="321"/>
      <c r="AN7" s="321"/>
      <c r="AO7" s="321"/>
      <c r="AP7" s="321"/>
      <c r="AQ7" s="321"/>
      <c r="AR7" s="321"/>
      <c r="AS7" s="321"/>
      <c r="AT7" s="321"/>
      <c r="AU7" s="321"/>
      <c r="AV7" s="564"/>
      <c r="AW7" s="483"/>
      <c r="AX7" s="321"/>
      <c r="AY7" s="321"/>
      <c r="AZ7" s="321"/>
      <c r="BA7" s="321"/>
      <c r="BB7" s="321"/>
      <c r="BC7" s="321"/>
      <c r="BD7" s="321"/>
      <c r="BE7" s="321"/>
      <c r="BF7" s="321"/>
      <c r="BG7" s="321"/>
      <c r="BH7" s="321"/>
      <c r="BI7" s="321"/>
      <c r="BJ7" s="321"/>
      <c r="BK7" s="321"/>
      <c r="BL7" s="321"/>
      <c r="BM7" s="483"/>
      <c r="BN7" s="321"/>
      <c r="BO7" s="321"/>
      <c r="BP7" s="321"/>
      <c r="BQ7" s="321"/>
      <c r="BR7" s="321"/>
      <c r="BS7" s="321"/>
      <c r="BT7" s="321"/>
      <c r="BU7" s="321"/>
      <c r="BV7" s="321"/>
      <c r="BW7" s="321"/>
      <c r="BX7" s="321"/>
      <c r="BY7" s="321"/>
      <c r="BZ7" s="321"/>
      <c r="CA7" s="321"/>
      <c r="CB7" s="564"/>
      <c r="CC7" s="483"/>
      <c r="CD7" s="321"/>
      <c r="CE7" s="321"/>
      <c r="CF7" s="321"/>
      <c r="CG7" s="321"/>
      <c r="CH7" s="321"/>
      <c r="CI7" s="321"/>
      <c r="CJ7" s="321"/>
      <c r="CK7" s="321"/>
      <c r="CL7" s="321"/>
      <c r="CM7" s="321"/>
      <c r="CN7" s="321"/>
      <c r="CO7" s="321"/>
      <c r="CP7" s="321"/>
      <c r="CQ7" s="321"/>
      <c r="CR7" s="564"/>
      <c r="CS7" s="483"/>
      <c r="CT7" s="321"/>
      <c r="CU7" s="321"/>
      <c r="CV7" s="321"/>
      <c r="CW7" s="321"/>
      <c r="CX7" s="321"/>
      <c r="CY7" s="321"/>
      <c r="CZ7" s="321"/>
      <c r="DA7" s="321"/>
      <c r="DB7" s="321"/>
      <c r="DC7" s="321"/>
      <c r="DD7" s="321"/>
      <c r="DE7" s="321"/>
      <c r="DF7" s="321"/>
      <c r="DG7" s="321"/>
      <c r="DH7" s="564"/>
      <c r="DI7" s="483"/>
      <c r="DJ7" s="321"/>
      <c r="DK7" s="321"/>
      <c r="DL7" s="321"/>
      <c r="DM7" s="321"/>
      <c r="DN7" s="321"/>
      <c r="DO7" s="321"/>
      <c r="DP7" s="321"/>
      <c r="DQ7" s="321"/>
      <c r="DR7" s="321"/>
      <c r="DS7" s="321"/>
      <c r="DT7" s="321"/>
      <c r="DU7" s="321"/>
      <c r="DV7" s="321"/>
      <c r="DW7" s="321"/>
      <c r="DX7" s="564"/>
      <c r="DY7" s="483"/>
      <c r="DZ7" s="321"/>
      <c r="EA7" s="321"/>
      <c r="EB7" s="321"/>
      <c r="EC7" s="321"/>
      <c r="ED7" s="321"/>
      <c r="EE7" s="321"/>
      <c r="EF7" s="321"/>
      <c r="EG7" s="321"/>
      <c r="EH7" s="321"/>
      <c r="EI7" s="321"/>
      <c r="EJ7" s="321"/>
      <c r="EK7" s="321"/>
      <c r="EL7" s="321"/>
      <c r="EM7" s="321"/>
      <c r="EN7" s="564"/>
      <c r="EO7" s="483"/>
      <c r="EP7" s="321"/>
      <c r="EQ7" s="321"/>
      <c r="ER7" s="321"/>
      <c r="ES7" s="321"/>
      <c r="ET7" s="321"/>
      <c r="EU7" s="321"/>
      <c r="EV7" s="321"/>
      <c r="EW7" s="321"/>
      <c r="EX7" s="321"/>
      <c r="EY7" s="321"/>
      <c r="EZ7" s="321"/>
      <c r="FA7" s="321"/>
      <c r="FB7" s="321"/>
      <c r="FC7" s="321"/>
      <c r="FD7" s="564"/>
      <c r="FE7" s="440"/>
      <c r="FF7" s="440"/>
      <c r="FG7" s="446"/>
      <c r="FH7" s="446"/>
      <c r="FI7" s="440"/>
      <c r="FJ7" s="433"/>
      <c r="FK7" s="426"/>
      <c r="FL7" s="422"/>
      <c r="FM7" s="426"/>
      <c r="FN7" s="433"/>
      <c r="FO7" s="440"/>
      <c r="FP7" s="446"/>
      <c r="FQ7" s="446"/>
      <c r="FR7" s="440"/>
      <c r="FS7" s="440"/>
      <c r="FT7" s="433"/>
      <c r="FU7" s="483"/>
      <c r="FV7" s="321"/>
      <c r="FW7" s="321"/>
      <c r="FX7" s="321"/>
      <c r="FY7" s="321"/>
      <c r="FZ7" s="321"/>
      <c r="GA7" s="321"/>
      <c r="GB7" s="321"/>
      <c r="GC7" s="321"/>
      <c r="GD7" s="453"/>
      <c r="GE7" s="459"/>
      <c r="GF7" s="321"/>
      <c r="GG7" s="321"/>
      <c r="GH7" s="321"/>
      <c r="GI7" s="321"/>
      <c r="GJ7" s="564"/>
      <c r="GK7" s="483"/>
      <c r="GL7" s="321"/>
      <c r="GM7" s="321"/>
      <c r="GN7" s="321"/>
      <c r="GO7" s="321"/>
      <c r="GP7" s="321"/>
      <c r="GQ7" s="446"/>
      <c r="GR7" s="446"/>
      <c r="GS7" s="446"/>
      <c r="GT7" s="446"/>
      <c r="GU7" s="459"/>
      <c r="GV7" s="321"/>
      <c r="GW7" s="321"/>
      <c r="GX7" s="321"/>
      <c r="GY7" s="321"/>
      <c r="GZ7" s="564"/>
      <c r="HA7" s="483"/>
      <c r="HB7" s="321"/>
      <c r="HC7" s="321"/>
      <c r="HD7" s="321"/>
      <c r="HE7" s="321"/>
      <c r="HF7" s="321"/>
      <c r="HG7" s="321"/>
      <c r="HH7" s="321"/>
      <c r="HI7" s="321"/>
      <c r="HJ7" s="453"/>
      <c r="HK7" s="459"/>
      <c r="HL7" s="321"/>
      <c r="HM7" s="321"/>
      <c r="HN7" s="321"/>
      <c r="HO7" s="321"/>
      <c r="HP7" s="564"/>
      <c r="HQ7" s="483"/>
      <c r="HR7" s="321"/>
      <c r="HS7" s="321"/>
      <c r="HT7" s="321"/>
      <c r="HU7" s="321"/>
      <c r="HV7" s="459"/>
      <c r="HW7" s="453"/>
      <c r="HX7" s="446"/>
      <c r="HY7" s="446"/>
      <c r="HZ7" s="446"/>
      <c r="IA7" s="321"/>
      <c r="IB7" s="321"/>
      <c r="IC7" s="321"/>
      <c r="ID7" s="321"/>
      <c r="IE7" s="321"/>
      <c r="IF7" s="564"/>
      <c r="IG7" s="483"/>
      <c r="IH7" s="321"/>
      <c r="II7" s="321"/>
      <c r="IJ7" s="321"/>
      <c r="IK7" s="321"/>
      <c r="IL7" s="321"/>
      <c r="IM7" s="321"/>
      <c r="IN7" s="453"/>
      <c r="IO7" s="459"/>
      <c r="IP7" s="321"/>
      <c r="IQ7" s="321"/>
      <c r="IR7" s="321"/>
      <c r="IS7" s="321"/>
      <c r="IT7" s="321"/>
      <c r="IU7" s="321"/>
      <c r="IV7" s="564"/>
    </row>
    <row r="8" spans="1:256" s="328" customFormat="1" ht="8.25" customHeight="1">
      <c r="A8" s="483"/>
      <c r="B8" s="321"/>
      <c r="C8" s="321"/>
      <c r="D8" s="321"/>
      <c r="E8" s="420"/>
      <c r="F8" s="321"/>
      <c r="G8" s="420"/>
      <c r="H8" s="321"/>
      <c r="I8" s="321"/>
      <c r="J8" s="420"/>
      <c r="K8" s="321"/>
      <c r="L8" s="321"/>
      <c r="M8" s="321"/>
      <c r="N8" s="321"/>
      <c r="O8" s="321"/>
      <c r="P8" s="321"/>
      <c r="Q8" s="483"/>
      <c r="R8" s="321"/>
      <c r="S8" s="321"/>
      <c r="T8" s="321"/>
      <c r="U8" s="321"/>
      <c r="V8" s="321"/>
      <c r="W8" s="321"/>
      <c r="X8" s="445"/>
      <c r="Y8" s="431"/>
      <c r="Z8" s="321"/>
      <c r="AA8" s="321"/>
      <c r="AB8" s="321"/>
      <c r="AC8" s="321"/>
      <c r="AD8" s="321"/>
      <c r="AE8" s="321"/>
      <c r="AF8" s="564"/>
      <c r="AG8" s="483"/>
      <c r="AH8" s="321"/>
      <c r="AI8" s="321"/>
      <c r="AJ8" s="321"/>
      <c r="AK8" s="321"/>
      <c r="AL8" s="321"/>
      <c r="AM8" s="321"/>
      <c r="AN8" s="321"/>
      <c r="AO8" s="321"/>
      <c r="AP8" s="321"/>
      <c r="AQ8" s="321"/>
      <c r="AR8" s="321"/>
      <c r="AS8" s="321"/>
      <c r="AT8" s="321"/>
      <c r="AU8" s="321"/>
      <c r="AV8" s="564"/>
      <c r="AW8" s="483"/>
      <c r="AX8" s="321"/>
      <c r="AY8" s="321"/>
      <c r="AZ8" s="321"/>
      <c r="BA8" s="321"/>
      <c r="BB8" s="321"/>
      <c r="BC8" s="321"/>
      <c r="BD8" s="321"/>
      <c r="BE8" s="321"/>
      <c r="BF8" s="321"/>
      <c r="BG8" s="321"/>
      <c r="BH8" s="321"/>
      <c r="BI8" s="321"/>
      <c r="BJ8" s="321"/>
      <c r="BK8" s="321"/>
      <c r="BL8" s="321"/>
      <c r="BM8" s="483"/>
      <c r="BN8" s="321"/>
      <c r="BO8" s="321"/>
      <c r="BP8" s="321"/>
      <c r="BQ8" s="321"/>
      <c r="BR8" s="321"/>
      <c r="BS8" s="321"/>
      <c r="BT8" s="321"/>
      <c r="BU8" s="321"/>
      <c r="BV8" s="321"/>
      <c r="BW8" s="321"/>
      <c r="BX8" s="321"/>
      <c r="BY8" s="321"/>
      <c r="BZ8" s="321"/>
      <c r="CA8" s="321"/>
      <c r="CB8" s="564"/>
      <c r="CC8" s="483"/>
      <c r="CD8" s="321"/>
      <c r="CE8" s="321"/>
      <c r="CF8" s="321"/>
      <c r="CG8" s="321"/>
      <c r="CH8" s="321"/>
      <c r="CI8" s="321"/>
      <c r="CJ8" s="321">
        <v>8</v>
      </c>
      <c r="CK8" s="321"/>
      <c r="CL8" s="321"/>
      <c r="CM8" s="321"/>
      <c r="CN8" s="321"/>
      <c r="CO8" s="321"/>
      <c r="CP8" s="321"/>
      <c r="CQ8" s="321"/>
      <c r="CR8" s="564"/>
      <c r="CS8" s="483"/>
      <c r="CT8" s="321"/>
      <c r="CU8" s="321"/>
      <c r="CV8" s="321"/>
      <c r="CW8" s="321"/>
      <c r="CX8" s="321"/>
      <c r="CY8" s="321"/>
      <c r="CZ8" s="321"/>
      <c r="DA8" s="321"/>
      <c r="DB8" s="321"/>
      <c r="DC8" s="321"/>
      <c r="DD8" s="321"/>
      <c r="DE8" s="321"/>
      <c r="DF8" s="321"/>
      <c r="DG8" s="321"/>
      <c r="DH8" s="564"/>
      <c r="DI8" s="483"/>
      <c r="DJ8" s="321"/>
      <c r="DK8" s="321"/>
      <c r="DL8" s="321"/>
      <c r="DM8" s="321"/>
      <c r="DN8" s="321"/>
      <c r="DO8" s="321"/>
      <c r="DP8" s="321"/>
      <c r="DQ8" s="429">
        <v>6</v>
      </c>
      <c r="DR8" s="321"/>
      <c r="DS8" s="321"/>
      <c r="DT8" s="321"/>
      <c r="DU8" s="321"/>
      <c r="DV8" s="321"/>
      <c r="DW8" s="321"/>
      <c r="DX8" s="564"/>
      <c r="DY8" s="483"/>
      <c r="DZ8" s="321"/>
      <c r="EA8" s="321"/>
      <c r="EB8" s="321"/>
      <c r="EC8" s="321"/>
      <c r="ED8" s="321"/>
      <c r="EE8" s="321"/>
      <c r="EF8" s="321"/>
      <c r="EG8" s="321"/>
      <c r="EH8" s="321"/>
      <c r="EI8" s="321"/>
      <c r="EJ8" s="321"/>
      <c r="EK8" s="321"/>
      <c r="EL8" s="321"/>
      <c r="EM8" s="321"/>
      <c r="EN8" s="564"/>
      <c r="EO8" s="483"/>
      <c r="EP8" s="321"/>
      <c r="EQ8" s="321"/>
      <c r="ER8" s="321"/>
      <c r="ES8" s="321"/>
      <c r="ET8" s="321"/>
      <c r="EU8" s="321"/>
      <c r="EV8" s="321"/>
      <c r="EW8" s="321"/>
      <c r="EX8" s="321"/>
      <c r="EY8" s="321"/>
      <c r="EZ8" s="321"/>
      <c r="FA8" s="321"/>
      <c r="FB8" s="321"/>
      <c r="FC8" s="321"/>
      <c r="FD8" s="564"/>
      <c r="FE8" s="440"/>
      <c r="FF8" s="440"/>
      <c r="FG8" s="446"/>
      <c r="FH8" s="446"/>
      <c r="FI8" s="440"/>
      <c r="FJ8" s="433"/>
      <c r="FK8" s="426"/>
      <c r="FL8" s="422"/>
      <c r="FM8" s="426"/>
      <c r="FN8" s="433"/>
      <c r="FO8" s="440"/>
      <c r="FP8" s="446"/>
      <c r="FQ8" s="446"/>
      <c r="FR8" s="440"/>
      <c r="FS8" s="440"/>
      <c r="FT8" s="433"/>
      <c r="FU8" s="483"/>
      <c r="FV8" s="321"/>
      <c r="FW8" s="321"/>
      <c r="FX8" s="321"/>
      <c r="FY8" s="321"/>
      <c r="FZ8" s="321"/>
      <c r="GA8" s="321"/>
      <c r="GB8" s="321"/>
      <c r="GC8" s="321"/>
      <c r="GD8" s="453"/>
      <c r="GE8" s="459"/>
      <c r="GF8" s="321"/>
      <c r="GG8" s="321"/>
      <c r="GH8" s="321"/>
      <c r="GI8" s="321"/>
      <c r="GJ8" s="564"/>
      <c r="GK8" s="483"/>
      <c r="GL8" s="321"/>
      <c r="GM8" s="321"/>
      <c r="GN8" s="321"/>
      <c r="GO8" s="321"/>
      <c r="GP8" s="321"/>
      <c r="GQ8" s="321"/>
      <c r="GR8" s="321"/>
      <c r="GS8" s="321"/>
      <c r="GT8" s="453"/>
      <c r="GU8" s="459"/>
      <c r="GV8" s="321"/>
      <c r="GW8" s="321"/>
      <c r="GX8" s="321"/>
      <c r="GY8" s="321"/>
      <c r="GZ8" s="564"/>
      <c r="HA8" s="483"/>
      <c r="HB8" s="321"/>
      <c r="HC8" s="321"/>
      <c r="HD8" s="321"/>
      <c r="HE8" s="321"/>
      <c r="HF8" s="321"/>
      <c r="HG8" s="321"/>
      <c r="HH8" s="321"/>
      <c r="HI8" s="321"/>
      <c r="HJ8" s="453"/>
      <c r="HK8" s="459"/>
      <c r="HL8" s="321"/>
      <c r="HM8" s="321"/>
      <c r="HN8" s="321"/>
      <c r="HO8" s="321"/>
      <c r="HP8" s="564"/>
      <c r="HQ8" s="483"/>
      <c r="HR8" s="321"/>
      <c r="HS8" s="321"/>
      <c r="HT8" s="321"/>
      <c r="HU8" s="321"/>
      <c r="HV8" s="459"/>
      <c r="HW8" s="453"/>
      <c r="HX8" s="321"/>
      <c r="HY8" s="321"/>
      <c r="HZ8" s="321"/>
      <c r="IA8" s="321"/>
      <c r="IB8" s="321"/>
      <c r="IC8" s="321"/>
      <c r="ID8" s="321"/>
      <c r="IE8" s="321"/>
      <c r="IF8" s="564"/>
      <c r="IG8" s="483"/>
      <c r="IH8" s="321"/>
      <c r="II8" s="321"/>
      <c r="IJ8" s="321"/>
      <c r="IK8" s="321"/>
      <c r="IL8" s="321"/>
      <c r="IM8" s="321"/>
      <c r="IN8" s="453"/>
      <c r="IO8" s="459"/>
      <c r="IP8" s="321"/>
      <c r="IQ8" s="321"/>
      <c r="IR8" s="321"/>
      <c r="IS8" s="321"/>
      <c r="IT8" s="321"/>
      <c r="IU8" s="321"/>
      <c r="IV8" s="564"/>
    </row>
    <row r="9" spans="1:256" s="328" customFormat="1" ht="8.25" customHeight="1">
      <c r="A9" s="483"/>
      <c r="B9" s="321"/>
      <c r="C9" s="321"/>
      <c r="D9" s="321"/>
      <c r="E9" s="420"/>
      <c r="F9" s="321"/>
      <c r="G9" s="420"/>
      <c r="H9" s="321"/>
      <c r="I9" s="321"/>
      <c r="J9" s="420"/>
      <c r="K9" s="321"/>
      <c r="L9" s="321"/>
      <c r="M9" s="321"/>
      <c r="N9" s="321"/>
      <c r="O9" s="321"/>
      <c r="P9" s="321"/>
      <c r="Q9" s="483"/>
      <c r="R9" s="321"/>
      <c r="S9" s="321"/>
      <c r="T9" s="321"/>
      <c r="U9" s="321"/>
      <c r="V9" s="321"/>
      <c r="W9" s="321"/>
      <c r="X9" s="445"/>
      <c r="Y9" s="431"/>
      <c r="Z9" s="321"/>
      <c r="AA9" s="321"/>
      <c r="AB9" s="321"/>
      <c r="AC9" s="321"/>
      <c r="AD9" s="321"/>
      <c r="AE9" s="321"/>
      <c r="AF9" s="564"/>
      <c r="AG9" s="483"/>
      <c r="AH9" s="321"/>
      <c r="AI9" s="321"/>
      <c r="AJ9" s="321"/>
      <c r="AK9" s="321"/>
      <c r="AL9" s="321"/>
      <c r="AM9" s="321"/>
      <c r="AN9" s="321"/>
      <c r="AO9" s="321"/>
      <c r="AP9" s="321"/>
      <c r="AQ9" s="321"/>
      <c r="AR9" s="321"/>
      <c r="AS9" s="321"/>
      <c r="AT9" s="321"/>
      <c r="AU9" s="321"/>
      <c r="AV9" s="564"/>
      <c r="AW9" s="483"/>
      <c r="AX9" s="321"/>
      <c r="AY9" s="321"/>
      <c r="AZ9" s="321"/>
      <c r="BA9" s="321"/>
      <c r="BB9" s="321"/>
      <c r="BC9" s="321"/>
      <c r="BD9" s="321"/>
      <c r="BE9" s="321"/>
      <c r="BF9" s="321"/>
      <c r="BG9" s="321"/>
      <c r="BH9" s="321"/>
      <c r="BI9" s="321"/>
      <c r="BJ9" s="321"/>
      <c r="BK9" s="321"/>
      <c r="BL9" s="321"/>
      <c r="BM9" s="483"/>
      <c r="BN9" s="321"/>
      <c r="BO9" s="321"/>
      <c r="BP9" s="321"/>
      <c r="BQ9" s="436">
        <v>7</v>
      </c>
      <c r="BR9" s="321"/>
      <c r="BS9" s="321"/>
      <c r="BT9" s="321"/>
      <c r="BU9" s="321"/>
      <c r="BV9" s="321"/>
      <c r="BW9" s="321"/>
      <c r="BX9" s="321"/>
      <c r="BY9" s="321"/>
      <c r="BZ9" s="321"/>
      <c r="CA9" s="321"/>
      <c r="CB9" s="564"/>
      <c r="CC9" s="483"/>
      <c r="CD9" s="321"/>
      <c r="CE9" s="321"/>
      <c r="CF9" s="321"/>
      <c r="CG9" s="321"/>
      <c r="CH9" s="321"/>
      <c r="CI9" s="321"/>
      <c r="CJ9" s="321"/>
      <c r="CK9" s="321"/>
      <c r="CL9" s="321"/>
      <c r="CM9" s="321"/>
      <c r="CN9" s="321"/>
      <c r="CO9" s="321"/>
      <c r="CP9" s="321"/>
      <c r="CQ9" s="321"/>
      <c r="CR9" s="564"/>
      <c r="CS9" s="483"/>
      <c r="CT9" s="321"/>
      <c r="CU9" s="321"/>
      <c r="CV9" s="321"/>
      <c r="CW9" s="321"/>
      <c r="CX9" s="321"/>
      <c r="CY9" s="321"/>
      <c r="CZ9" s="321"/>
      <c r="DA9" s="321"/>
      <c r="DB9" s="321"/>
      <c r="DC9" s="321"/>
      <c r="DD9" s="321"/>
      <c r="DE9" s="321"/>
      <c r="DF9" s="321"/>
      <c r="DG9" s="321"/>
      <c r="DH9" s="564"/>
      <c r="DI9" s="483"/>
      <c r="DJ9" s="321"/>
      <c r="DK9" s="321"/>
      <c r="DL9" s="321"/>
      <c r="DM9" s="321"/>
      <c r="DN9" s="321"/>
      <c r="DO9" s="321"/>
      <c r="DP9" s="321"/>
      <c r="DQ9" s="321"/>
      <c r="DR9" s="321"/>
      <c r="DS9" s="321"/>
      <c r="DT9" s="321"/>
      <c r="DU9" s="321"/>
      <c r="DV9" s="321"/>
      <c r="DW9" s="321"/>
      <c r="DX9" s="564"/>
      <c r="DY9" s="483"/>
      <c r="DZ9" s="321"/>
      <c r="EA9" s="321"/>
      <c r="EB9" s="321"/>
      <c r="EC9" s="321"/>
      <c r="ED9" s="321"/>
      <c r="EE9" s="321"/>
      <c r="EF9" s="321"/>
      <c r="EG9" s="321"/>
      <c r="EH9" s="321"/>
      <c r="EI9" s="321"/>
      <c r="EJ9" s="321"/>
      <c r="EK9" s="321"/>
      <c r="EL9" s="321"/>
      <c r="EM9" s="321"/>
      <c r="EN9" s="564"/>
      <c r="EO9" s="483"/>
      <c r="EP9" s="321"/>
      <c r="EQ9" s="321"/>
      <c r="ER9" s="321"/>
      <c r="ES9" s="321"/>
      <c r="ET9" s="321"/>
      <c r="EU9" s="321"/>
      <c r="EV9" s="321"/>
      <c r="EW9" s="321"/>
      <c r="EX9" s="321"/>
      <c r="EY9" s="321"/>
      <c r="EZ9" s="321"/>
      <c r="FA9" s="321"/>
      <c r="FB9" s="321"/>
      <c r="FC9" s="321"/>
      <c r="FD9" s="564"/>
      <c r="FE9" s="440"/>
      <c r="FF9" s="440"/>
      <c r="FG9" s="446"/>
      <c r="FH9" s="446"/>
      <c r="FI9" s="440"/>
      <c r="FJ9" s="433"/>
      <c r="FK9" s="426"/>
      <c r="FL9" s="422"/>
      <c r="FM9" s="426"/>
      <c r="FN9" s="433"/>
      <c r="FO9" s="440"/>
      <c r="FP9" s="446"/>
      <c r="FQ9" s="446"/>
      <c r="FR9" s="440"/>
      <c r="FS9" s="440"/>
      <c r="FT9" s="433"/>
      <c r="FU9" s="483"/>
      <c r="FV9" s="321"/>
      <c r="FW9" s="321"/>
      <c r="FX9" s="321"/>
      <c r="FY9" s="321"/>
      <c r="FZ9" s="321"/>
      <c r="GA9" s="321"/>
      <c r="GB9" s="321"/>
      <c r="GC9" s="321"/>
      <c r="GD9" s="453"/>
      <c r="GE9" s="459"/>
      <c r="GF9" s="321"/>
      <c r="GG9" s="321"/>
      <c r="GH9" s="321"/>
      <c r="GI9" s="321"/>
      <c r="GJ9" s="564"/>
      <c r="GK9" s="483"/>
      <c r="GL9" s="321"/>
      <c r="GM9" s="321"/>
      <c r="GN9" s="321"/>
      <c r="GO9" s="321"/>
      <c r="GP9" s="321"/>
      <c r="GQ9" s="321"/>
      <c r="GR9" s="321"/>
      <c r="GS9" s="321"/>
      <c r="GT9" s="453"/>
      <c r="GU9" s="459"/>
      <c r="GV9" s="321"/>
      <c r="GW9" s="321"/>
      <c r="GX9" s="321"/>
      <c r="GY9" s="321"/>
      <c r="GZ9" s="564"/>
      <c r="HA9" s="483"/>
      <c r="HB9" s="321"/>
      <c r="HC9" s="321"/>
      <c r="HD9" s="321"/>
      <c r="HE9" s="321"/>
      <c r="HF9" s="321"/>
      <c r="HG9" s="321"/>
      <c r="HH9" s="321"/>
      <c r="HI9" s="321"/>
      <c r="HJ9" s="453"/>
      <c r="HK9" s="459"/>
      <c r="HL9" s="321"/>
      <c r="HM9" s="321"/>
      <c r="HN9" s="321"/>
      <c r="HO9" s="321"/>
      <c r="HP9" s="564"/>
      <c r="HQ9" s="483"/>
      <c r="HR9" s="321"/>
      <c r="HS9" s="321"/>
      <c r="HT9" s="321"/>
      <c r="HU9" s="321"/>
      <c r="HV9" s="459"/>
      <c r="HW9" s="453"/>
      <c r="HX9" s="321"/>
      <c r="HY9" s="321"/>
      <c r="HZ9" s="321"/>
      <c r="IA9" s="321"/>
      <c r="IB9" s="321"/>
      <c r="IC9" s="321"/>
      <c r="ID9" s="321"/>
      <c r="IE9" s="321"/>
      <c r="IF9" s="564"/>
      <c r="IG9" s="483"/>
      <c r="IH9" s="321"/>
      <c r="II9" s="321"/>
      <c r="IJ9" s="321"/>
      <c r="IK9" s="321"/>
      <c r="IL9" s="321"/>
      <c r="IM9" s="321"/>
      <c r="IN9" s="453"/>
      <c r="IO9" s="459"/>
      <c r="IP9" s="321"/>
      <c r="IQ9" s="321"/>
      <c r="IR9" s="321"/>
      <c r="IS9" s="321"/>
      <c r="IT9" s="321"/>
      <c r="IU9" s="321"/>
      <c r="IV9" s="564"/>
    </row>
    <row r="10" spans="1:256" s="328" customFormat="1" ht="8.25" customHeight="1">
      <c r="A10" s="483"/>
      <c r="B10" s="321"/>
      <c r="C10" s="321"/>
      <c r="D10" s="321"/>
      <c r="E10" s="321"/>
      <c r="F10" s="420"/>
      <c r="G10" s="321"/>
      <c r="H10" s="321"/>
      <c r="I10" s="420"/>
      <c r="J10" s="321"/>
      <c r="K10" s="321"/>
      <c r="L10" s="420"/>
      <c r="M10" s="321"/>
      <c r="N10" s="321"/>
      <c r="O10" s="321"/>
      <c r="P10" s="321"/>
      <c r="Q10" s="483"/>
      <c r="R10" s="321"/>
      <c r="S10" s="321"/>
      <c r="T10" s="321"/>
      <c r="U10" s="321"/>
      <c r="V10" s="321"/>
      <c r="W10" s="321"/>
      <c r="X10" s="445"/>
      <c r="Y10" s="431"/>
      <c r="Z10" s="321"/>
      <c r="AA10" s="321"/>
      <c r="AB10" s="321"/>
      <c r="AC10" s="321"/>
      <c r="AD10" s="321"/>
      <c r="AE10" s="321"/>
      <c r="AF10" s="564"/>
      <c r="AG10" s="483"/>
      <c r="AH10" s="321"/>
      <c r="AI10" s="321"/>
      <c r="AJ10" s="321"/>
      <c r="AK10" s="321"/>
      <c r="AL10" s="321"/>
      <c r="AM10" s="321"/>
      <c r="AN10" s="321"/>
      <c r="AO10" s="321"/>
      <c r="AP10" s="321"/>
      <c r="AQ10" s="321"/>
      <c r="AR10" s="321"/>
      <c r="AS10" s="321"/>
      <c r="AT10" s="321"/>
      <c r="AU10" s="321"/>
      <c r="AV10" s="564"/>
      <c r="AW10" s="483"/>
      <c r="AX10" s="321"/>
      <c r="AY10" s="321"/>
      <c r="AZ10" s="321"/>
      <c r="BA10" s="321"/>
      <c r="BB10" s="321"/>
      <c r="BC10" s="321"/>
      <c r="BD10" s="321"/>
      <c r="BE10" s="321"/>
      <c r="BF10" s="321"/>
      <c r="BG10" s="321"/>
      <c r="BH10" s="321"/>
      <c r="BI10" s="321"/>
      <c r="BJ10" s="321"/>
      <c r="BK10" s="321"/>
      <c r="BL10" s="321"/>
      <c r="BM10" s="483">
        <v>-2</v>
      </c>
      <c r="BN10" s="321"/>
      <c r="BO10" s="321"/>
      <c r="BP10" s="321"/>
      <c r="BQ10" s="321"/>
      <c r="BR10" s="321"/>
      <c r="BS10" s="321"/>
      <c r="BT10" s="321"/>
      <c r="BU10" s="321"/>
      <c r="BV10" s="321"/>
      <c r="BW10" s="321"/>
      <c r="BX10" s="321"/>
      <c r="BY10" s="321"/>
      <c r="BZ10" s="321"/>
      <c r="CA10" s="321"/>
      <c r="CB10" s="564"/>
      <c r="CC10" s="483"/>
      <c r="CD10" s="321"/>
      <c r="CE10" s="321"/>
      <c r="CF10" s="321"/>
      <c r="CG10" s="321"/>
      <c r="CH10" s="321"/>
      <c r="CI10" s="321"/>
      <c r="CJ10" s="321"/>
      <c r="CK10" s="321"/>
      <c r="CL10" s="321"/>
      <c r="CM10" s="321"/>
      <c r="CN10" s="321"/>
      <c r="CO10" s="321"/>
      <c r="CP10" s="321"/>
      <c r="CQ10" s="321"/>
      <c r="CR10" s="564"/>
      <c r="CS10" s="483">
        <v>-3</v>
      </c>
      <c r="CT10" s="321"/>
      <c r="CU10" s="321"/>
      <c r="CV10" s="321"/>
      <c r="CW10" s="321"/>
      <c r="CX10" s="321"/>
      <c r="CY10" s="321"/>
      <c r="CZ10" s="321"/>
      <c r="DA10" s="321"/>
      <c r="DB10" s="321"/>
      <c r="DC10" s="321"/>
      <c r="DD10" s="321"/>
      <c r="DE10" s="321"/>
      <c r="DF10" s="321"/>
      <c r="DG10" s="321"/>
      <c r="DH10" s="564"/>
      <c r="DI10" s="483"/>
      <c r="DJ10" s="321"/>
      <c r="DK10" s="321"/>
      <c r="DL10" s="321"/>
      <c r="DM10" s="321"/>
      <c r="DN10" s="321"/>
      <c r="DO10" s="321"/>
      <c r="DP10" s="321"/>
      <c r="DQ10" s="321"/>
      <c r="DR10" s="321"/>
      <c r="DS10" s="321"/>
      <c r="DT10" s="321"/>
      <c r="DU10" s="321"/>
      <c r="DV10" s="321"/>
      <c r="DW10" s="321"/>
      <c r="DX10" s="564"/>
      <c r="DY10" s="483">
        <v>20</v>
      </c>
      <c r="DZ10" s="321"/>
      <c r="EA10" s="321"/>
      <c r="EB10" s="321"/>
      <c r="EC10" s="321"/>
      <c r="ED10" s="321"/>
      <c r="EE10" s="321"/>
      <c r="EF10" s="321"/>
      <c r="EG10" s="321"/>
      <c r="EH10" s="321"/>
      <c r="EI10" s="321"/>
      <c r="EJ10" s="321"/>
      <c r="EK10" s="321"/>
      <c r="EL10" s="321"/>
      <c r="EM10" s="321"/>
      <c r="EN10" s="564"/>
      <c r="EO10" s="483">
        <v>20</v>
      </c>
      <c r="EP10" s="321"/>
      <c r="EQ10" s="321"/>
      <c r="ER10" s="321"/>
      <c r="ES10" s="321"/>
      <c r="ET10" s="321"/>
      <c r="EU10" s="321"/>
      <c r="EV10" s="321"/>
      <c r="EW10" s="321"/>
      <c r="EX10" s="321"/>
      <c r="EY10" s="321"/>
      <c r="EZ10" s="321"/>
      <c r="FA10" s="321"/>
      <c r="FB10" s="321"/>
      <c r="FC10" s="321"/>
      <c r="FD10" s="564"/>
      <c r="FE10" s="440"/>
      <c r="FF10" s="440"/>
      <c r="FG10" s="446"/>
      <c r="FH10" s="446"/>
      <c r="FI10" s="440"/>
      <c r="FJ10" s="433"/>
      <c r="FK10" s="426"/>
      <c r="FL10" s="422"/>
      <c r="FM10" s="426"/>
      <c r="FN10" s="433"/>
      <c r="FO10" s="440"/>
      <c r="FP10" s="446"/>
      <c r="FQ10" s="446"/>
      <c r="FR10" s="440"/>
      <c r="FS10" s="440"/>
      <c r="FT10" s="433"/>
      <c r="FU10" s="483"/>
      <c r="FV10" s="321"/>
      <c r="FW10" s="321"/>
      <c r="FX10" s="321"/>
      <c r="FY10" s="321"/>
      <c r="FZ10" s="446"/>
      <c r="GA10" s="459"/>
      <c r="GB10" s="459"/>
      <c r="GC10" s="459"/>
      <c r="GD10" s="459"/>
      <c r="GE10" s="446"/>
      <c r="GF10" s="321"/>
      <c r="GG10" s="321"/>
      <c r="GH10" s="321"/>
      <c r="GI10" s="321"/>
      <c r="GJ10" s="564"/>
      <c r="GK10" s="483"/>
      <c r="GL10" s="321"/>
      <c r="GM10" s="321"/>
      <c r="GN10" s="321"/>
      <c r="GO10" s="321"/>
      <c r="GP10" s="321"/>
      <c r="GQ10" s="321"/>
      <c r="GR10" s="321"/>
      <c r="GS10" s="321"/>
      <c r="GT10" s="453"/>
      <c r="GU10" s="459"/>
      <c r="GV10" s="321"/>
      <c r="GW10" s="321"/>
      <c r="GX10" s="321"/>
      <c r="GY10" s="321"/>
      <c r="GZ10" s="564"/>
      <c r="HA10" s="483"/>
      <c r="HB10" s="321"/>
      <c r="HC10" s="321"/>
      <c r="HD10" s="321"/>
      <c r="HE10" s="321"/>
      <c r="HF10" s="446"/>
      <c r="HG10" s="459"/>
      <c r="HH10" s="459"/>
      <c r="HI10" s="459"/>
      <c r="HJ10" s="459"/>
      <c r="HK10" s="446"/>
      <c r="HL10" s="321"/>
      <c r="HM10" s="321"/>
      <c r="HN10" s="321"/>
      <c r="HO10" s="321"/>
      <c r="HP10" s="564"/>
      <c r="HQ10" s="483"/>
      <c r="HR10" s="321"/>
      <c r="HS10" s="321"/>
      <c r="HT10" s="321"/>
      <c r="HU10" s="321"/>
      <c r="HV10" s="446"/>
      <c r="HW10" s="459"/>
      <c r="HX10" s="459"/>
      <c r="HY10" s="459"/>
      <c r="HZ10" s="459"/>
      <c r="IA10" s="446"/>
      <c r="IB10" s="321"/>
      <c r="IC10" s="321"/>
      <c r="ID10" s="321"/>
      <c r="IE10" s="321"/>
      <c r="IF10" s="564"/>
      <c r="IG10" s="483"/>
      <c r="IH10" s="321"/>
      <c r="II10" s="321"/>
      <c r="IJ10" s="321"/>
      <c r="IK10" s="321"/>
      <c r="IL10" s="321"/>
      <c r="IM10" s="321"/>
      <c r="IN10" s="453"/>
      <c r="IO10" s="459"/>
      <c r="IP10" s="321"/>
      <c r="IQ10" s="321"/>
      <c r="IR10" s="321"/>
      <c r="IS10" s="321"/>
      <c r="IT10" s="321"/>
      <c r="IU10" s="321"/>
      <c r="IV10" s="564"/>
    </row>
    <row r="11" spans="1:256" s="328" customFormat="1" ht="8.25" customHeight="1">
      <c r="A11" s="483"/>
      <c r="B11" s="321"/>
      <c r="C11" s="321"/>
      <c r="D11" s="321"/>
      <c r="E11" s="321"/>
      <c r="F11" s="321"/>
      <c r="G11" s="420"/>
      <c r="H11" s="321"/>
      <c r="I11" s="420"/>
      <c r="J11" s="420"/>
      <c r="K11" s="420"/>
      <c r="L11" s="321"/>
      <c r="M11" s="321"/>
      <c r="N11" s="321"/>
      <c r="O11" s="321"/>
      <c r="P11" s="321"/>
      <c r="Q11" s="483"/>
      <c r="R11" s="321"/>
      <c r="S11" s="321"/>
      <c r="T11" s="321"/>
      <c r="U11" s="321"/>
      <c r="V11" s="321"/>
      <c r="W11" s="321"/>
      <c r="X11" s="445"/>
      <c r="Y11" s="431"/>
      <c r="Z11" s="321"/>
      <c r="AA11" s="321"/>
      <c r="AB11" s="321"/>
      <c r="AC11" s="321"/>
      <c r="AD11" s="321"/>
      <c r="AE11" s="321"/>
      <c r="AF11" s="564"/>
      <c r="AG11" s="483"/>
      <c r="AH11" s="321"/>
      <c r="AI11" s="321"/>
      <c r="AJ11" s="321"/>
      <c r="AK11" s="321"/>
      <c r="AL11" s="321"/>
      <c r="AM11" s="321"/>
      <c r="AN11" s="321"/>
      <c r="AO11" s="321"/>
      <c r="AP11" s="321"/>
      <c r="AQ11" s="321"/>
      <c r="AR11" s="321"/>
      <c r="AS11" s="321"/>
      <c r="AT11" s="321"/>
      <c r="AU11" s="321"/>
      <c r="AV11" s="564"/>
      <c r="AW11" s="483"/>
      <c r="AX11" s="321"/>
      <c r="AY11" s="321"/>
      <c r="AZ11" s="321"/>
      <c r="BA11" s="321"/>
      <c r="BB11" s="321"/>
      <c r="BC11" s="321"/>
      <c r="BD11" s="321"/>
      <c r="BE11" s="321"/>
      <c r="BF11" s="321"/>
      <c r="BG11" s="321"/>
      <c r="BH11" s="321"/>
      <c r="BI11" s="321"/>
      <c r="BJ11" s="321"/>
      <c r="BK11" s="321"/>
      <c r="BL11" s="321"/>
      <c r="BM11" s="483">
        <v>16</v>
      </c>
      <c r="BN11" s="321"/>
      <c r="BO11" s="321"/>
      <c r="BP11" s="321"/>
      <c r="BQ11" s="321"/>
      <c r="BR11" s="321"/>
      <c r="BS11" s="321"/>
      <c r="BT11" s="321"/>
      <c r="BU11" s="321"/>
      <c r="BV11" s="321"/>
      <c r="BW11" s="321"/>
      <c r="BX11" s="321"/>
      <c r="BY11" s="321"/>
      <c r="BZ11" s="321"/>
      <c r="CA11" s="321"/>
      <c r="CB11" s="564"/>
      <c r="CC11" s="483"/>
      <c r="CD11" s="321"/>
      <c r="CE11" s="321"/>
      <c r="CF11" s="321"/>
      <c r="CG11" s="321"/>
      <c r="CH11" s="321"/>
      <c r="CI11" s="321"/>
      <c r="CJ11" s="321"/>
      <c r="CK11" s="321"/>
      <c r="CL11" s="321"/>
      <c r="CM11" s="429">
        <v>7</v>
      </c>
      <c r="CN11" s="321"/>
      <c r="CO11" s="321"/>
      <c r="CP11" s="321"/>
      <c r="CQ11" s="321"/>
      <c r="CR11" s="564"/>
      <c r="CS11" s="483">
        <v>12</v>
      </c>
      <c r="CT11" s="321"/>
      <c r="CU11" s="321"/>
      <c r="CV11" s="321"/>
      <c r="CW11" s="321"/>
      <c r="CX11" s="321"/>
      <c r="CY11" s="321"/>
      <c r="CZ11" s="321"/>
      <c r="DA11" s="321"/>
      <c r="DB11" s="321"/>
      <c r="DC11" s="321"/>
      <c r="DD11" s="321"/>
      <c r="DE11" s="321"/>
      <c r="DF11" s="321"/>
      <c r="DG11" s="321"/>
      <c r="DH11" s="564"/>
      <c r="DI11" s="483"/>
      <c r="DJ11" s="321"/>
      <c r="DK11" s="321"/>
      <c r="DL11" s="321"/>
      <c r="DM11" s="321"/>
      <c r="DN11" s="321"/>
      <c r="DO11" s="321"/>
      <c r="DP11" s="321"/>
      <c r="DQ11" s="321"/>
      <c r="DR11" s="321"/>
      <c r="DS11" s="321"/>
      <c r="DT11" s="321"/>
      <c r="DU11" s="321"/>
      <c r="DV11" s="321"/>
      <c r="DW11" s="321"/>
      <c r="DX11" s="564"/>
      <c r="DY11" s="483"/>
      <c r="DZ11" s="321"/>
      <c r="EA11" s="321"/>
      <c r="EB11" s="321"/>
      <c r="EC11" s="321"/>
      <c r="ED11" s="321"/>
      <c r="EE11" s="321"/>
      <c r="EF11" s="321"/>
      <c r="EG11" s="321"/>
      <c r="EH11" s="321"/>
      <c r="EI11" s="321"/>
      <c r="EJ11" s="321"/>
      <c r="EK11" s="321"/>
      <c r="EL11" s="321"/>
      <c r="EM11" s="321"/>
      <c r="EN11" s="564"/>
      <c r="EO11" s="483"/>
      <c r="EP11" s="321"/>
      <c r="EQ11" s="321"/>
      <c r="ER11" s="321"/>
      <c r="ES11" s="321"/>
      <c r="ET11" s="321"/>
      <c r="EU11" s="321"/>
      <c r="EV11" s="321"/>
      <c r="EW11" s="321"/>
      <c r="EX11" s="321"/>
      <c r="EY11" s="321"/>
      <c r="EZ11" s="321"/>
      <c r="FA11" s="321"/>
      <c r="FB11" s="321"/>
      <c r="FC11" s="321"/>
      <c r="FD11" s="564"/>
      <c r="FE11" s="440"/>
      <c r="FF11" s="440"/>
      <c r="FG11" s="446"/>
      <c r="FH11" s="446"/>
      <c r="FI11" s="440"/>
      <c r="FJ11" s="433"/>
      <c r="FK11" s="426"/>
      <c r="FL11" s="422"/>
      <c r="FM11" s="426"/>
      <c r="FN11" s="433"/>
      <c r="FO11" s="440"/>
      <c r="FP11" s="446"/>
      <c r="FQ11" s="446"/>
      <c r="FR11" s="440"/>
      <c r="FS11" s="440"/>
      <c r="FT11" s="433"/>
      <c r="FU11" s="483"/>
      <c r="FV11" s="321"/>
      <c r="FW11" s="321"/>
      <c r="FX11" s="321"/>
      <c r="FY11" s="321"/>
      <c r="FZ11" s="321"/>
      <c r="GA11" s="453"/>
      <c r="GB11" s="453"/>
      <c r="GC11" s="453"/>
      <c r="GD11" s="453"/>
      <c r="GE11" s="321"/>
      <c r="GF11" s="321"/>
      <c r="GG11" s="321"/>
      <c r="GH11" s="321"/>
      <c r="GI11" s="321"/>
      <c r="GJ11" s="564"/>
      <c r="GK11" s="483"/>
      <c r="GL11" s="321"/>
      <c r="GM11" s="321"/>
      <c r="GN11" s="321"/>
      <c r="GO11" s="321"/>
      <c r="GP11" s="321"/>
      <c r="GQ11" s="321"/>
      <c r="GR11" s="321"/>
      <c r="GS11" s="321"/>
      <c r="GT11" s="446"/>
      <c r="GU11" s="446"/>
      <c r="GV11" s="321"/>
      <c r="GW11" s="321"/>
      <c r="GX11" s="321"/>
      <c r="GY11" s="321"/>
      <c r="GZ11" s="564"/>
      <c r="HA11" s="483"/>
      <c r="HB11" s="321"/>
      <c r="HC11" s="321"/>
      <c r="HD11" s="321"/>
      <c r="HE11" s="321"/>
      <c r="HF11" s="446"/>
      <c r="HG11" s="446"/>
      <c r="HH11" s="446"/>
      <c r="HI11" s="446"/>
      <c r="HJ11" s="446"/>
      <c r="HK11" s="321"/>
      <c r="HL11" s="321"/>
      <c r="HM11" s="321"/>
      <c r="HN11" s="321"/>
      <c r="HO11" s="321"/>
      <c r="HP11" s="564"/>
      <c r="HQ11" s="483"/>
      <c r="HR11" s="321"/>
      <c r="HS11" s="321"/>
      <c r="HT11" s="321"/>
      <c r="HU11" s="321"/>
      <c r="HV11" s="446"/>
      <c r="HW11" s="446"/>
      <c r="HX11" s="446"/>
      <c r="HY11" s="446"/>
      <c r="HZ11" s="446"/>
      <c r="IA11" s="446"/>
      <c r="IB11" s="321"/>
      <c r="IC11" s="321"/>
      <c r="ID11" s="321"/>
      <c r="IE11" s="321"/>
      <c r="IF11" s="564"/>
      <c r="IG11" s="483"/>
      <c r="IH11" s="321"/>
      <c r="II11" s="321"/>
      <c r="IJ11" s="321"/>
      <c r="IK11" s="321"/>
      <c r="IL11" s="321"/>
      <c r="IM11" s="321"/>
      <c r="IN11" s="446"/>
      <c r="IO11" s="453"/>
      <c r="IP11" s="321"/>
      <c r="IQ11" s="321"/>
      <c r="IR11" s="321"/>
      <c r="IS11" s="321"/>
      <c r="IT11" s="321"/>
      <c r="IU11" s="321"/>
      <c r="IV11" s="564"/>
    </row>
    <row r="12" spans="1:256" s="328" customFormat="1" ht="8.25" customHeight="1">
      <c r="A12" s="483">
        <v>0</v>
      </c>
      <c r="B12" s="321"/>
      <c r="C12" s="321"/>
      <c r="D12" s="321"/>
      <c r="E12" s="321"/>
      <c r="F12" s="321"/>
      <c r="G12" s="420"/>
      <c r="H12" s="321"/>
      <c r="I12" s="420"/>
      <c r="J12" s="321"/>
      <c r="K12" s="321"/>
      <c r="L12" s="321"/>
      <c r="M12" s="321"/>
      <c r="N12" s="321"/>
      <c r="O12" s="420"/>
      <c r="P12" s="321"/>
      <c r="Q12" s="483">
        <v>0</v>
      </c>
      <c r="R12" s="321"/>
      <c r="S12" s="321"/>
      <c r="T12" s="321"/>
      <c r="U12" s="321"/>
      <c r="V12" s="321"/>
      <c r="W12" s="321"/>
      <c r="X12" s="445"/>
      <c r="Y12" s="431"/>
      <c r="Z12" s="321"/>
      <c r="AA12" s="321"/>
      <c r="AB12" s="321"/>
      <c r="AC12" s="321"/>
      <c r="AD12" s="321"/>
      <c r="AE12" s="321"/>
      <c r="AF12" s="564"/>
      <c r="AG12" s="483">
        <v>0</v>
      </c>
      <c r="AH12" s="321"/>
      <c r="AI12" s="321"/>
      <c r="AJ12" s="321"/>
      <c r="AK12" s="321"/>
      <c r="AL12" s="321"/>
      <c r="AM12" s="321"/>
      <c r="AN12" s="321"/>
      <c r="AO12" s="321"/>
      <c r="AP12" s="321"/>
      <c r="AQ12" s="321"/>
      <c r="AR12" s="321"/>
      <c r="AS12" s="321"/>
      <c r="AT12" s="321"/>
      <c r="AU12" s="321"/>
      <c r="AV12" s="564"/>
      <c r="AW12" s="483">
        <v>0</v>
      </c>
      <c r="AX12" s="321"/>
      <c r="AY12" s="321"/>
      <c r="AZ12" s="321"/>
      <c r="BA12" s="321"/>
      <c r="BB12" s="321"/>
      <c r="BC12" s="321"/>
      <c r="BD12" s="321"/>
      <c r="BE12" s="321"/>
      <c r="BF12" s="321"/>
      <c r="BG12" s="321"/>
      <c r="BH12" s="321"/>
      <c r="BI12" s="321"/>
      <c r="BJ12" s="321"/>
      <c r="BK12" s="321"/>
      <c r="BL12" s="321"/>
      <c r="BM12" s="483">
        <v>0</v>
      </c>
      <c r="BN12" s="321"/>
      <c r="BO12" s="321"/>
      <c r="BP12" s="321"/>
      <c r="BQ12" s="321"/>
      <c r="BR12" s="321"/>
      <c r="BS12" s="321"/>
      <c r="BT12" s="321">
        <v>10</v>
      </c>
      <c r="BU12" s="321"/>
      <c r="BV12" s="321"/>
      <c r="BW12" s="321"/>
      <c r="BX12" s="321"/>
      <c r="BY12" s="321"/>
      <c r="BZ12" s="321"/>
      <c r="CA12" s="321"/>
      <c r="CB12" s="564"/>
      <c r="CC12" s="483">
        <v>0</v>
      </c>
      <c r="CD12" s="321"/>
      <c r="CE12" s="321"/>
      <c r="CF12" s="321"/>
      <c r="CG12" s="321"/>
      <c r="CH12" s="321"/>
      <c r="CI12" s="321"/>
      <c r="CJ12" s="321"/>
      <c r="CK12" s="321"/>
      <c r="CL12" s="321"/>
      <c r="CM12" s="321"/>
      <c r="CN12" s="321"/>
      <c r="CO12" s="321"/>
      <c r="CP12" s="321"/>
      <c r="CQ12" s="321"/>
      <c r="CR12" s="564"/>
      <c r="CS12" s="483">
        <v>0</v>
      </c>
      <c r="CT12" s="321"/>
      <c r="CU12" s="321"/>
      <c r="CV12" s="321"/>
      <c r="CW12" s="321"/>
      <c r="CX12" s="321"/>
      <c r="CY12" s="321"/>
      <c r="CZ12" s="321"/>
      <c r="DA12" s="436">
        <v>8</v>
      </c>
      <c r="DB12" s="321"/>
      <c r="DC12" s="321"/>
      <c r="DD12" s="321"/>
      <c r="DE12" s="321"/>
      <c r="DF12" s="321"/>
      <c r="DG12" s="321"/>
      <c r="DH12" s="564"/>
      <c r="DI12" s="483">
        <v>0</v>
      </c>
      <c r="DJ12" s="321"/>
      <c r="DK12" s="321"/>
      <c r="DL12" s="321"/>
      <c r="DM12" s="321"/>
      <c r="DN12" s="321"/>
      <c r="DO12" s="321"/>
      <c r="DP12" s="321"/>
      <c r="DQ12" s="321"/>
      <c r="DR12" s="321"/>
      <c r="DS12" s="321"/>
      <c r="DT12" s="321"/>
      <c r="DU12" s="321"/>
      <c r="DV12" s="321"/>
      <c r="DW12" s="321"/>
      <c r="DX12" s="564"/>
      <c r="DY12" s="483">
        <v>0</v>
      </c>
      <c r="DZ12" s="321"/>
      <c r="EA12" s="321"/>
      <c r="EB12" s="321"/>
      <c r="EC12" s="321"/>
      <c r="ED12" s="321"/>
      <c r="EE12" s="321"/>
      <c r="EF12" s="321"/>
      <c r="EG12" s="321"/>
      <c r="EH12" s="321"/>
      <c r="EI12" s="321"/>
      <c r="EJ12" s="321"/>
      <c r="EK12" s="321"/>
      <c r="EL12" s="321"/>
      <c r="EM12" s="321"/>
      <c r="EN12" s="564"/>
      <c r="EO12" s="483">
        <v>0</v>
      </c>
      <c r="EP12" s="321"/>
      <c r="EQ12" s="321"/>
      <c r="ER12" s="321"/>
      <c r="ES12" s="321"/>
      <c r="ET12" s="321"/>
      <c r="EU12" s="321"/>
      <c r="EV12" s="321"/>
      <c r="EW12" s="321"/>
      <c r="EX12" s="321"/>
      <c r="EY12" s="321"/>
      <c r="EZ12" s="321"/>
      <c r="FA12" s="321"/>
      <c r="FB12" s="321"/>
      <c r="FC12" s="321"/>
      <c r="FD12" s="564"/>
      <c r="FE12" s="440"/>
      <c r="FF12" s="440"/>
      <c r="FG12" s="446"/>
      <c r="FH12" s="446"/>
      <c r="FI12" s="440"/>
      <c r="FJ12" s="433"/>
      <c r="FK12" s="426"/>
      <c r="FL12" s="422"/>
      <c r="FM12" s="426"/>
      <c r="FN12" s="433"/>
      <c r="FO12" s="440"/>
      <c r="FP12" s="446"/>
      <c r="FQ12" s="446"/>
      <c r="FR12" s="440"/>
      <c r="FS12" s="440"/>
      <c r="FT12" s="433"/>
      <c r="FU12" s="483">
        <v>0</v>
      </c>
      <c r="FV12" s="321"/>
      <c r="FW12" s="321"/>
      <c r="FX12" s="321"/>
      <c r="FY12" s="321"/>
      <c r="FZ12" s="321"/>
      <c r="GA12" s="321"/>
      <c r="GB12" s="321"/>
      <c r="GC12" s="321"/>
      <c r="GD12" s="321"/>
      <c r="GE12" s="321"/>
      <c r="GF12" s="321"/>
      <c r="GG12" s="321"/>
      <c r="GH12" s="321"/>
      <c r="GI12" s="321"/>
      <c r="GJ12" s="564"/>
      <c r="GK12" s="483">
        <v>0</v>
      </c>
      <c r="GL12" s="321"/>
      <c r="GM12" s="321"/>
      <c r="GN12" s="321"/>
      <c r="GO12" s="321"/>
      <c r="GP12" s="321"/>
      <c r="GQ12" s="321"/>
      <c r="GR12" s="321"/>
      <c r="GS12" s="321"/>
      <c r="GT12" s="321"/>
      <c r="GU12" s="321"/>
      <c r="GV12" s="321"/>
      <c r="GW12" s="321"/>
      <c r="GX12" s="321"/>
      <c r="GY12" s="321"/>
      <c r="GZ12" s="564"/>
      <c r="HA12" s="483">
        <v>0</v>
      </c>
      <c r="HB12" s="321"/>
      <c r="HC12" s="321"/>
      <c r="HD12" s="321"/>
      <c r="HE12" s="321"/>
      <c r="HF12" s="321"/>
      <c r="HG12" s="321"/>
      <c r="HH12" s="321"/>
      <c r="HI12" s="321"/>
      <c r="HJ12" s="321"/>
      <c r="HK12" s="321"/>
      <c r="HL12" s="321"/>
      <c r="HM12" s="321"/>
      <c r="HN12" s="321"/>
      <c r="HO12" s="321"/>
      <c r="HP12" s="564"/>
      <c r="HQ12" s="483">
        <v>0</v>
      </c>
      <c r="HR12" s="321"/>
      <c r="HS12" s="321"/>
      <c r="HT12" s="321"/>
      <c r="HU12" s="321"/>
      <c r="HV12" s="321"/>
      <c r="HW12" s="321"/>
      <c r="HX12" s="321"/>
      <c r="HY12" s="321"/>
      <c r="HZ12" s="321"/>
      <c r="IA12" s="321"/>
      <c r="IB12" s="321"/>
      <c r="IC12" s="321"/>
      <c r="ID12" s="321"/>
      <c r="IE12" s="321"/>
      <c r="IF12" s="564"/>
      <c r="IG12" s="483">
        <v>0</v>
      </c>
      <c r="IH12" s="321"/>
      <c r="II12" s="321"/>
      <c r="IJ12" s="321"/>
      <c r="IK12" s="321"/>
      <c r="IL12" s="321"/>
      <c r="IM12" s="321"/>
      <c r="IN12" s="321"/>
      <c r="IO12" s="321"/>
      <c r="IP12" s="321"/>
      <c r="IQ12" s="321"/>
      <c r="IR12" s="321"/>
      <c r="IS12" s="321"/>
      <c r="IT12" s="321"/>
      <c r="IU12" s="321"/>
      <c r="IV12" s="564"/>
    </row>
    <row r="13" spans="1:256" s="328" customFormat="1" ht="8.25" customHeight="1">
      <c r="A13" s="1308">
        <v>32</v>
      </c>
      <c r="B13" s="420"/>
      <c r="C13" s="321"/>
      <c r="D13" s="321"/>
      <c r="E13" s="420"/>
      <c r="F13" s="321"/>
      <c r="G13" s="321"/>
      <c r="H13" s="409"/>
      <c r="I13" s="409"/>
      <c r="J13" s="321"/>
      <c r="K13" s="321"/>
      <c r="L13" s="321"/>
      <c r="M13" s="420"/>
      <c r="N13" s="420"/>
      <c r="O13" s="321"/>
      <c r="P13" s="321"/>
      <c r="Q13" s="1308">
        <v>32</v>
      </c>
      <c r="R13" s="321"/>
      <c r="S13" s="321"/>
      <c r="T13" s="321"/>
      <c r="U13" s="321"/>
      <c r="V13" s="321"/>
      <c r="W13" s="321"/>
      <c r="X13" s="445"/>
      <c r="Y13" s="431"/>
      <c r="Z13" s="321"/>
      <c r="AA13" s="321"/>
      <c r="AB13" s="321"/>
      <c r="AC13" s="321"/>
      <c r="AD13" s="321"/>
      <c r="AE13" s="321"/>
      <c r="AF13" s="564"/>
      <c r="AG13" s="1308">
        <v>11</v>
      </c>
      <c r="AH13" s="321"/>
      <c r="AI13" s="321"/>
      <c r="AJ13" s="321"/>
      <c r="AK13" s="321"/>
      <c r="AL13" s="321"/>
      <c r="AM13" s="321"/>
      <c r="AN13" s="321"/>
      <c r="AO13" s="321"/>
      <c r="AP13" s="321"/>
      <c r="AQ13" s="321"/>
      <c r="AR13" s="321"/>
      <c r="AS13" s="321"/>
      <c r="AT13" s="321"/>
      <c r="AU13" s="321"/>
      <c r="AV13" s="564"/>
      <c r="AW13" s="1308">
        <v>10</v>
      </c>
      <c r="AX13" s="321"/>
      <c r="AY13" s="321"/>
      <c r="AZ13" s="321"/>
      <c r="BA13" s="321"/>
      <c r="BB13" s="321"/>
      <c r="BC13" s="321"/>
      <c r="BD13" s="321"/>
      <c r="BE13" s="321"/>
      <c r="BF13" s="321"/>
      <c r="BG13" s="321"/>
      <c r="BH13" s="321"/>
      <c r="BI13" s="321"/>
      <c r="BJ13" s="321"/>
      <c r="BK13" s="321"/>
      <c r="BL13" s="321"/>
      <c r="BM13" s="1308">
        <v>12</v>
      </c>
      <c r="BN13" s="321"/>
      <c r="BO13" s="321"/>
      <c r="BP13" s="321"/>
      <c r="BQ13" s="321"/>
      <c r="BR13" s="321"/>
      <c r="BS13" s="321"/>
      <c r="BT13" s="321"/>
      <c r="BU13" s="321"/>
      <c r="BV13" s="321"/>
      <c r="BW13" s="321"/>
      <c r="BX13" s="321"/>
      <c r="BY13" s="321"/>
      <c r="BZ13" s="321"/>
      <c r="CA13" s="321"/>
      <c r="CB13" s="564"/>
      <c r="CC13" s="1308">
        <v>12</v>
      </c>
      <c r="CD13" s="321"/>
      <c r="CE13" s="321"/>
      <c r="CF13" s="321"/>
      <c r="CG13" s="321"/>
      <c r="CH13" s="321"/>
      <c r="CI13" s="321"/>
      <c r="CJ13" s="321"/>
      <c r="CK13" s="321"/>
      <c r="CL13" s="321"/>
      <c r="CM13" s="321"/>
      <c r="CN13" s="321"/>
      <c r="CO13" s="321"/>
      <c r="CP13" s="321"/>
      <c r="CQ13" s="321"/>
      <c r="CR13" s="564"/>
      <c r="CS13" s="1308">
        <v>12</v>
      </c>
      <c r="CT13" s="321"/>
      <c r="CU13" s="321"/>
      <c r="CV13" s="321"/>
      <c r="CW13" s="321"/>
      <c r="CX13" s="321"/>
      <c r="CY13" s="321"/>
      <c r="CZ13" s="321"/>
      <c r="DA13" s="321"/>
      <c r="DB13" s="321"/>
      <c r="DC13" s="321"/>
      <c r="DD13" s="321"/>
      <c r="DE13" s="321"/>
      <c r="DF13" s="321"/>
      <c r="DG13" s="321"/>
      <c r="DH13" s="564"/>
      <c r="DI13" s="1308">
        <v>12</v>
      </c>
      <c r="DJ13" s="321"/>
      <c r="DK13" s="321"/>
      <c r="DL13" s="321"/>
      <c r="DM13" s="321"/>
      <c r="DN13" s="321"/>
      <c r="DO13" s="321"/>
      <c r="DP13" s="321"/>
      <c r="DQ13" s="321"/>
      <c r="DR13" s="321"/>
      <c r="DS13" s="321"/>
      <c r="DT13" s="321"/>
      <c r="DU13" s="321"/>
      <c r="DV13" s="321"/>
      <c r="DW13" s="321"/>
      <c r="DX13" s="564"/>
      <c r="DY13" s="1308">
        <v>4</v>
      </c>
      <c r="DZ13" s="321"/>
      <c r="EA13" s="321"/>
      <c r="EB13" s="321"/>
      <c r="EC13" s="321"/>
      <c r="ED13" s="321"/>
      <c r="EE13" s="321"/>
      <c r="EF13" s="321"/>
      <c r="EG13" s="321"/>
      <c r="EH13" s="321"/>
      <c r="EI13" s="321"/>
      <c r="EJ13" s="321"/>
      <c r="EK13" s="321"/>
      <c r="EL13" s="321"/>
      <c r="EM13" s="321"/>
      <c r="EN13" s="564"/>
      <c r="EO13" s="1308">
        <v>4</v>
      </c>
      <c r="EP13" s="321"/>
      <c r="EQ13" s="321"/>
      <c r="ER13" s="321"/>
      <c r="ES13" s="321"/>
      <c r="ET13" s="321"/>
      <c r="EU13" s="321"/>
      <c r="EV13" s="321"/>
      <c r="EW13" s="321"/>
      <c r="EX13" s="321"/>
      <c r="EY13" s="321"/>
      <c r="EZ13" s="321"/>
      <c r="FA13" s="321"/>
      <c r="FB13" s="321"/>
      <c r="FC13" s="321"/>
      <c r="FD13" s="564"/>
      <c r="FE13" s="440"/>
      <c r="FF13" s="440"/>
      <c r="FG13" s="446"/>
      <c r="FH13" s="446"/>
      <c r="FI13" s="440"/>
      <c r="FJ13" s="433"/>
      <c r="FK13" s="426"/>
      <c r="FL13" s="422"/>
      <c r="FM13" s="426"/>
      <c r="FN13" s="433"/>
      <c r="FO13" s="440"/>
      <c r="FP13" s="446"/>
      <c r="FQ13" s="446"/>
      <c r="FR13" s="440"/>
      <c r="FS13" s="440"/>
      <c r="FT13" s="433"/>
      <c r="FU13" s="1308">
        <v>16</v>
      </c>
      <c r="FV13" s="321"/>
      <c r="FW13" s="321"/>
      <c r="FX13" s="321"/>
      <c r="FY13" s="321"/>
      <c r="FZ13" s="321"/>
      <c r="GA13" s="321"/>
      <c r="GB13" s="321"/>
      <c r="GC13" s="321"/>
      <c r="GD13" s="321"/>
      <c r="GE13" s="321"/>
      <c r="GF13" s="321"/>
      <c r="GG13" s="321"/>
      <c r="GH13" s="321"/>
      <c r="GI13" s="321"/>
      <c r="GJ13" s="564"/>
      <c r="GK13" s="1308">
        <v>16</v>
      </c>
      <c r="GL13" s="321"/>
      <c r="GM13" s="321"/>
      <c r="GN13" s="321"/>
      <c r="GO13" s="321"/>
      <c r="GP13" s="321"/>
      <c r="GQ13" s="321"/>
      <c r="GR13" s="321"/>
      <c r="GS13" s="321"/>
      <c r="GT13" s="321"/>
      <c r="GU13" s="321"/>
      <c r="GV13" s="321"/>
      <c r="GW13" s="321"/>
      <c r="GX13" s="321"/>
      <c r="GY13" s="321"/>
      <c r="GZ13" s="564"/>
      <c r="HA13" s="1308">
        <v>16</v>
      </c>
      <c r="HB13" s="321"/>
      <c r="HC13" s="321"/>
      <c r="HD13" s="321"/>
      <c r="HE13" s="321"/>
      <c r="HF13" s="321"/>
      <c r="HG13" s="321"/>
      <c r="HH13" s="321"/>
      <c r="HI13" s="321"/>
      <c r="HJ13" s="321"/>
      <c r="HK13" s="321"/>
      <c r="HL13" s="321"/>
      <c r="HM13" s="321"/>
      <c r="HN13" s="321"/>
      <c r="HO13" s="321"/>
      <c r="HP13" s="564"/>
      <c r="HQ13" s="1308">
        <v>16</v>
      </c>
      <c r="HR13" s="321"/>
      <c r="HS13" s="321"/>
      <c r="HT13" s="321"/>
      <c r="HU13" s="321"/>
      <c r="HV13" s="321"/>
      <c r="HW13" s="321"/>
      <c r="HX13" s="321"/>
      <c r="HY13" s="321"/>
      <c r="HZ13" s="321"/>
      <c r="IA13" s="321"/>
      <c r="IB13" s="321"/>
      <c r="IC13" s="321"/>
      <c r="ID13" s="321"/>
      <c r="IE13" s="321"/>
      <c r="IF13" s="564"/>
      <c r="IG13" s="1308">
        <v>16</v>
      </c>
      <c r="IH13" s="321"/>
      <c r="II13" s="321"/>
      <c r="IJ13" s="321"/>
      <c r="IK13" s="321"/>
      <c r="IL13" s="321"/>
      <c r="IM13" s="321"/>
      <c r="IN13" s="321"/>
      <c r="IO13" s="321"/>
      <c r="IP13" s="321"/>
      <c r="IQ13" s="321"/>
      <c r="IR13" s="321"/>
      <c r="IS13" s="321"/>
      <c r="IT13" s="321"/>
      <c r="IU13" s="321"/>
      <c r="IV13" s="564"/>
    </row>
    <row r="14" spans="1:256" s="328" customFormat="1" ht="8.25" customHeight="1">
      <c r="A14" s="1308"/>
      <c r="B14" s="420"/>
      <c r="C14" s="321"/>
      <c r="D14" s="321"/>
      <c r="E14" s="321"/>
      <c r="F14" s="420"/>
      <c r="G14" s="321"/>
      <c r="H14" s="420"/>
      <c r="I14" s="321"/>
      <c r="J14" s="321"/>
      <c r="K14" s="321"/>
      <c r="L14" s="420"/>
      <c r="M14" s="321"/>
      <c r="N14" s="321"/>
      <c r="O14" s="321"/>
      <c r="P14" s="321"/>
      <c r="Q14" s="1308"/>
      <c r="R14" s="321"/>
      <c r="S14" s="321"/>
      <c r="T14" s="321"/>
      <c r="U14" s="321"/>
      <c r="V14" s="321"/>
      <c r="W14" s="321"/>
      <c r="X14" s="445"/>
      <c r="Y14" s="431"/>
      <c r="Z14" s="321"/>
      <c r="AA14" s="321"/>
      <c r="AB14" s="321"/>
      <c r="AC14" s="321"/>
      <c r="AD14" s="321"/>
      <c r="AE14" s="321"/>
      <c r="AF14" s="564"/>
      <c r="AG14" s="1308"/>
      <c r="AH14" s="321"/>
      <c r="AI14" s="321"/>
      <c r="AJ14" s="321"/>
      <c r="AK14" s="321"/>
      <c r="AL14" s="321"/>
      <c r="AM14" s="321"/>
      <c r="AN14" s="321"/>
      <c r="AO14" s="321"/>
      <c r="AP14" s="321"/>
      <c r="AQ14" s="321"/>
      <c r="AR14" s="321"/>
      <c r="AS14" s="321"/>
      <c r="AT14" s="321"/>
      <c r="AU14" s="321"/>
      <c r="AV14" s="564"/>
      <c r="AW14" s="1308"/>
      <c r="AX14" s="321"/>
      <c r="AY14" s="321"/>
      <c r="AZ14" s="321"/>
      <c r="BA14" s="321"/>
      <c r="BB14" s="321"/>
      <c r="BC14" s="321"/>
      <c r="BD14" s="321"/>
      <c r="BE14" s="321"/>
      <c r="BF14" s="321"/>
      <c r="BG14" s="321"/>
      <c r="BH14" s="321"/>
      <c r="BI14" s="321"/>
      <c r="BJ14" s="321"/>
      <c r="BK14" s="321"/>
      <c r="BL14" s="321"/>
      <c r="BM14" s="1308">
        <v>20</v>
      </c>
      <c r="BN14" s="321"/>
      <c r="BO14" s="321"/>
      <c r="BP14" s="321"/>
      <c r="BQ14" s="321"/>
      <c r="BR14" s="321"/>
      <c r="BS14" s="321"/>
      <c r="BT14" s="321"/>
      <c r="BU14" s="321"/>
      <c r="BV14" s="321"/>
      <c r="BW14" s="321"/>
      <c r="BX14" s="321"/>
      <c r="BY14" s="321"/>
      <c r="BZ14" s="321"/>
      <c r="CA14" s="321"/>
      <c r="CB14" s="564"/>
      <c r="CC14" s="1308"/>
      <c r="CD14" s="321"/>
      <c r="CE14" s="321"/>
      <c r="CF14" s="321"/>
      <c r="CG14" s="321"/>
      <c r="CH14" s="321"/>
      <c r="CI14" s="321"/>
      <c r="CJ14" s="321"/>
      <c r="CK14" s="321"/>
      <c r="CL14" s="321"/>
      <c r="CM14" s="321"/>
      <c r="CN14" s="321"/>
      <c r="CO14" s="321"/>
      <c r="CP14" s="321"/>
      <c r="CQ14" s="321"/>
      <c r="CR14" s="564"/>
      <c r="CS14" s="1308">
        <v>21</v>
      </c>
      <c r="CT14" s="321"/>
      <c r="CU14" s="321"/>
      <c r="CV14" s="321"/>
      <c r="CW14" s="321"/>
      <c r="CX14" s="321"/>
      <c r="CY14" s="321"/>
      <c r="CZ14" s="321"/>
      <c r="DA14" s="321"/>
      <c r="DB14" s="321"/>
      <c r="DC14" s="321"/>
      <c r="DD14" s="321"/>
      <c r="DE14" s="321"/>
      <c r="DF14" s="321"/>
      <c r="DG14" s="321"/>
      <c r="DH14" s="564"/>
      <c r="DI14" s="1308"/>
      <c r="DJ14" s="321"/>
      <c r="DK14" s="321"/>
      <c r="DL14" s="321"/>
      <c r="DM14" s="449">
        <v>9</v>
      </c>
      <c r="DN14" s="321"/>
      <c r="DO14" s="321"/>
      <c r="DP14" s="321"/>
      <c r="DQ14" s="321"/>
      <c r="DR14" s="321"/>
      <c r="DS14" s="321"/>
      <c r="DT14" s="321"/>
      <c r="DU14" s="321"/>
      <c r="DV14" s="321"/>
      <c r="DW14" s="321"/>
      <c r="DX14" s="564"/>
      <c r="DY14" s="1308"/>
      <c r="DZ14" s="321"/>
      <c r="EA14" s="321"/>
      <c r="EB14" s="321"/>
      <c r="EC14" s="321"/>
      <c r="ED14" s="321"/>
      <c r="EE14" s="321"/>
      <c r="EF14" s="321"/>
      <c r="EG14" s="321"/>
      <c r="EH14" s="321"/>
      <c r="EI14" s="321"/>
      <c r="EJ14" s="321"/>
      <c r="EK14" s="321"/>
      <c r="EL14" s="321"/>
      <c r="EM14" s="321"/>
      <c r="EN14" s="564"/>
      <c r="EO14" s="1308"/>
      <c r="EP14" s="321"/>
      <c r="EQ14" s="321"/>
      <c r="ER14" s="321"/>
      <c r="ES14" s="321"/>
      <c r="ET14" s="321"/>
      <c r="EU14" s="321"/>
      <c r="EV14" s="321"/>
      <c r="EW14" s="321"/>
      <c r="EX14" s="321"/>
      <c r="EY14" s="321"/>
      <c r="EZ14" s="321"/>
      <c r="FA14" s="321"/>
      <c r="FB14" s="321"/>
      <c r="FC14" s="321"/>
      <c r="FD14" s="564"/>
      <c r="FE14" s="440"/>
      <c r="FF14" s="440"/>
      <c r="FG14" s="446"/>
      <c r="FH14" s="446"/>
      <c r="FI14" s="440"/>
      <c r="FJ14" s="433"/>
      <c r="FK14" s="426"/>
      <c r="FL14" s="422"/>
      <c r="FM14" s="426"/>
      <c r="FN14" s="433"/>
      <c r="FO14" s="440"/>
      <c r="FP14" s="446"/>
      <c r="FQ14" s="446"/>
      <c r="FR14" s="440"/>
      <c r="FS14" s="440"/>
      <c r="FT14" s="433"/>
      <c r="FU14" s="1308">
        <v>20</v>
      </c>
      <c r="FV14" s="321"/>
      <c r="FW14" s="321"/>
      <c r="FX14" s="321"/>
      <c r="FY14" s="321"/>
      <c r="FZ14" s="321"/>
      <c r="GA14" s="321"/>
      <c r="GB14" s="321"/>
      <c r="GC14" s="321"/>
      <c r="GD14" s="321"/>
      <c r="GE14" s="321"/>
      <c r="GF14" s="321"/>
      <c r="GG14" s="321"/>
      <c r="GH14" s="321"/>
      <c r="GI14" s="321"/>
      <c r="GJ14" s="564"/>
      <c r="GK14" s="1308"/>
      <c r="GL14" s="321"/>
      <c r="GM14" s="321"/>
      <c r="GN14" s="321"/>
      <c r="GO14" s="321"/>
      <c r="GP14" s="321"/>
      <c r="GQ14" s="321"/>
      <c r="GR14" s="321"/>
      <c r="GS14" s="321"/>
      <c r="GT14" s="321"/>
      <c r="GU14" s="321"/>
      <c r="GV14" s="321"/>
      <c r="GW14" s="321"/>
      <c r="GX14" s="321"/>
      <c r="GY14" s="321"/>
      <c r="GZ14" s="564"/>
      <c r="HA14" s="1308">
        <v>21</v>
      </c>
      <c r="HB14" s="321"/>
      <c r="HC14" s="321"/>
      <c r="HD14" s="321"/>
      <c r="HE14" s="321"/>
      <c r="HF14" s="321"/>
      <c r="HG14" s="321"/>
      <c r="HH14" s="321"/>
      <c r="HI14" s="321"/>
      <c r="HJ14" s="321"/>
      <c r="HK14" s="321"/>
      <c r="HL14" s="321"/>
      <c r="HM14" s="321"/>
      <c r="HN14" s="321"/>
      <c r="HO14" s="321"/>
      <c r="HP14" s="564"/>
      <c r="HQ14" s="1308"/>
      <c r="HR14" s="321"/>
      <c r="HS14" s="321"/>
      <c r="HT14" s="321"/>
      <c r="HU14" s="321"/>
      <c r="HV14" s="321"/>
      <c r="HW14" s="321"/>
      <c r="HX14" s="321"/>
      <c r="HY14" s="321"/>
      <c r="HZ14" s="321"/>
      <c r="IA14" s="321"/>
      <c r="IB14" s="321"/>
      <c r="IC14" s="321"/>
      <c r="ID14" s="321"/>
      <c r="IE14" s="321"/>
      <c r="IF14" s="564"/>
      <c r="IG14" s="1308">
        <v>20</v>
      </c>
      <c r="IH14" s="321"/>
      <c r="II14" s="321"/>
      <c r="IJ14" s="321"/>
      <c r="IK14" s="321"/>
      <c r="IL14" s="321"/>
      <c r="IM14" s="321"/>
      <c r="IN14" s="321"/>
      <c r="IO14" s="321"/>
      <c r="IP14" s="321"/>
      <c r="IQ14" s="321"/>
      <c r="IR14" s="321"/>
      <c r="IS14" s="321"/>
      <c r="IT14" s="321"/>
      <c r="IU14" s="321"/>
      <c r="IV14" s="564"/>
    </row>
    <row r="15" spans="1:256" s="328" customFormat="1" ht="8.25" customHeight="1">
      <c r="A15" s="483"/>
      <c r="B15" s="420"/>
      <c r="C15" s="420"/>
      <c r="D15" s="321"/>
      <c r="E15" s="321"/>
      <c r="F15" s="321"/>
      <c r="G15" s="409"/>
      <c r="H15" s="420"/>
      <c r="I15" s="321"/>
      <c r="J15" s="321"/>
      <c r="K15" s="321"/>
      <c r="L15" s="420"/>
      <c r="M15" s="321"/>
      <c r="N15" s="321"/>
      <c r="O15" s="321"/>
      <c r="P15" s="321"/>
      <c r="Q15" s="483"/>
      <c r="R15" s="321"/>
      <c r="S15" s="321"/>
      <c r="T15" s="321"/>
      <c r="U15" s="321"/>
      <c r="V15" s="321"/>
      <c r="W15" s="321"/>
      <c r="X15" s="445"/>
      <c r="Y15" s="431"/>
      <c r="Z15" s="321"/>
      <c r="AA15" s="321"/>
      <c r="AB15" s="321"/>
      <c r="AC15" s="321"/>
      <c r="AD15" s="321"/>
      <c r="AE15" s="321"/>
      <c r="AF15" s="564"/>
      <c r="AG15" s="483"/>
      <c r="AH15" s="321"/>
      <c r="AI15" s="441"/>
      <c r="AJ15" s="441"/>
      <c r="AK15" s="423"/>
      <c r="AL15" s="423"/>
      <c r="AM15" s="423"/>
      <c r="AN15" s="418"/>
      <c r="AO15" s="418"/>
      <c r="AP15" s="418"/>
      <c r="AQ15" s="418"/>
      <c r="AR15" s="423"/>
      <c r="AS15" s="423"/>
      <c r="AT15" s="423"/>
      <c r="AU15" s="321"/>
      <c r="AV15" s="564"/>
      <c r="AW15" s="483"/>
      <c r="AX15" s="321"/>
      <c r="AY15" s="321"/>
      <c r="AZ15" s="321"/>
      <c r="BA15" s="321"/>
      <c r="BB15" s="321"/>
      <c r="BC15" s="321"/>
      <c r="BD15" s="321"/>
      <c r="BE15" s="321"/>
      <c r="BF15" s="321"/>
      <c r="BG15" s="321"/>
      <c r="BH15" s="321"/>
      <c r="BI15" s="321"/>
      <c r="BJ15" s="321"/>
      <c r="BK15" s="321"/>
      <c r="BL15" s="321"/>
      <c r="BM15" s="483">
        <v>32</v>
      </c>
      <c r="BN15" s="321"/>
      <c r="BO15" s="321"/>
      <c r="BP15" s="321"/>
      <c r="BQ15" s="321"/>
      <c r="BR15" s="321"/>
      <c r="BS15" s="321"/>
      <c r="BT15" s="321"/>
      <c r="BU15" s="321"/>
      <c r="BV15" s="321"/>
      <c r="BW15" s="436">
        <v>8</v>
      </c>
      <c r="BX15" s="321"/>
      <c r="BY15" s="321"/>
      <c r="BZ15" s="321"/>
      <c r="CA15" s="321"/>
      <c r="CB15" s="564"/>
      <c r="CC15" s="483"/>
      <c r="CD15" s="321"/>
      <c r="CE15" s="321"/>
      <c r="CF15" s="321"/>
      <c r="CG15" s="321"/>
      <c r="CH15" s="321"/>
      <c r="CI15" s="321"/>
      <c r="CJ15" s="321"/>
      <c r="CK15" s="436">
        <v>8</v>
      </c>
      <c r="CL15" s="321"/>
      <c r="CM15" s="321"/>
      <c r="CN15" s="321"/>
      <c r="CO15" s="321"/>
      <c r="CP15" s="321"/>
      <c r="CQ15" s="321"/>
      <c r="CR15" s="564"/>
      <c r="CS15" s="483">
        <v>24</v>
      </c>
      <c r="CT15" s="321"/>
      <c r="CU15" s="321"/>
      <c r="CV15" s="321"/>
      <c r="CW15" s="321"/>
      <c r="CX15" s="321"/>
      <c r="CY15" s="321"/>
      <c r="CZ15" s="321"/>
      <c r="DA15" s="321"/>
      <c r="DB15" s="321"/>
      <c r="DC15" s="321"/>
      <c r="DD15" s="321"/>
      <c r="DE15" s="321"/>
      <c r="DF15" s="321"/>
      <c r="DG15" s="321"/>
      <c r="DH15" s="564"/>
      <c r="DI15" s="483"/>
      <c r="DJ15" s="321"/>
      <c r="DK15" s="321"/>
      <c r="DL15" s="321"/>
      <c r="DM15" s="321"/>
      <c r="DN15" s="321"/>
      <c r="DO15" s="321"/>
      <c r="DP15" s="321"/>
      <c r="DQ15" s="321"/>
      <c r="DR15" s="321"/>
      <c r="DS15" s="321"/>
      <c r="DT15" s="321"/>
      <c r="DU15" s="321"/>
      <c r="DV15" s="321"/>
      <c r="DW15" s="321"/>
      <c r="DX15" s="564"/>
      <c r="DY15" s="483"/>
      <c r="DZ15" s="321"/>
      <c r="EA15" s="321"/>
      <c r="EB15" s="321"/>
      <c r="EC15" s="321"/>
      <c r="ED15" s="321"/>
      <c r="EE15" s="321"/>
      <c r="EF15" s="321"/>
      <c r="EG15" s="321"/>
      <c r="EH15" s="321"/>
      <c r="EI15" s="321"/>
      <c r="EJ15" s="321"/>
      <c r="EK15" s="321"/>
      <c r="EL15" s="321"/>
      <c r="EM15" s="321"/>
      <c r="EN15" s="564"/>
      <c r="EO15" s="483"/>
      <c r="EP15" s="321"/>
      <c r="EQ15" s="321"/>
      <c r="ER15" s="321"/>
      <c r="ES15" s="321"/>
      <c r="ET15" s="321"/>
      <c r="EU15" s="321"/>
      <c r="EV15" s="321"/>
      <c r="EW15" s="321"/>
      <c r="EX15" s="321"/>
      <c r="EY15" s="321"/>
      <c r="EZ15" s="321"/>
      <c r="FA15" s="321"/>
      <c r="FB15" s="321"/>
      <c r="FC15" s="321"/>
      <c r="FD15" s="564"/>
      <c r="FE15" s="417"/>
      <c r="FF15" s="417"/>
      <c r="FG15" s="422"/>
      <c r="FH15" s="422"/>
      <c r="FI15" s="417"/>
      <c r="FJ15" s="417"/>
      <c r="FK15" s="417"/>
      <c r="FL15" s="417"/>
      <c r="FM15" s="417"/>
      <c r="FN15" s="417"/>
      <c r="FO15" s="417"/>
      <c r="FP15" s="422"/>
      <c r="FQ15" s="422"/>
      <c r="FR15" s="417"/>
      <c r="FS15" s="417"/>
      <c r="FT15" s="417"/>
      <c r="FU15" s="1308">
        <v>16</v>
      </c>
      <c r="FV15" s="321"/>
      <c r="FW15" s="321"/>
      <c r="FX15" s="321"/>
      <c r="FY15" s="321"/>
      <c r="FZ15" s="321"/>
      <c r="GA15" s="321"/>
      <c r="GB15" s="321"/>
      <c r="GC15" s="321"/>
      <c r="GD15" s="321"/>
      <c r="GE15" s="321"/>
      <c r="GF15" s="321"/>
      <c r="GG15" s="321"/>
      <c r="GH15" s="321"/>
      <c r="GI15" s="321"/>
      <c r="GJ15" s="564"/>
      <c r="GK15" s="1308"/>
      <c r="GL15" s="321"/>
      <c r="GM15" s="321"/>
      <c r="GN15" s="321"/>
      <c r="GO15" s="321"/>
      <c r="GP15" s="321"/>
      <c r="GQ15" s="321"/>
      <c r="GR15" s="321"/>
      <c r="GS15" s="321"/>
      <c r="GT15" s="321"/>
      <c r="GU15" s="321"/>
      <c r="GV15" s="321"/>
      <c r="GW15" s="321"/>
      <c r="GX15" s="321"/>
      <c r="GY15" s="321"/>
      <c r="GZ15" s="564"/>
      <c r="HA15" s="1308">
        <v>24</v>
      </c>
      <c r="HB15" s="321"/>
      <c r="HC15" s="321"/>
      <c r="HD15" s="321"/>
      <c r="HE15" s="321"/>
      <c r="HF15" s="321"/>
      <c r="HG15" s="321"/>
      <c r="HH15" s="321"/>
      <c r="HI15" s="321"/>
      <c r="HJ15" s="321"/>
      <c r="HK15" s="321"/>
      <c r="HL15" s="321"/>
      <c r="HM15" s="321"/>
      <c r="HN15" s="321"/>
      <c r="HO15" s="321"/>
      <c r="HP15" s="564"/>
      <c r="HQ15" s="1308"/>
      <c r="HR15" s="321"/>
      <c r="HS15" s="321"/>
      <c r="HT15" s="321"/>
      <c r="HU15" s="321"/>
      <c r="HV15" s="321"/>
      <c r="HW15" s="321"/>
      <c r="HX15" s="321"/>
      <c r="HY15" s="321"/>
      <c r="HZ15" s="321"/>
      <c r="IA15" s="321"/>
      <c r="IB15" s="321"/>
      <c r="IC15" s="321"/>
      <c r="ID15" s="321"/>
      <c r="IE15" s="321"/>
      <c r="IF15" s="564"/>
      <c r="IG15" s="1308">
        <v>32</v>
      </c>
      <c r="IH15" s="321"/>
      <c r="II15" s="321"/>
      <c r="IJ15" s="321"/>
      <c r="IK15" s="321"/>
      <c r="IL15" s="321"/>
      <c r="IM15" s="321"/>
      <c r="IN15" s="321"/>
      <c r="IO15" s="321"/>
      <c r="IP15" s="321"/>
      <c r="IQ15" s="321"/>
      <c r="IR15" s="321"/>
      <c r="IS15" s="321"/>
      <c r="IT15" s="321"/>
      <c r="IU15" s="321"/>
      <c r="IV15" s="564"/>
    </row>
    <row r="16" spans="1:256" s="328" customFormat="1" ht="8.25" customHeight="1">
      <c r="A16" s="420"/>
      <c r="B16" s="321"/>
      <c r="C16" s="321"/>
      <c r="D16" s="420"/>
      <c r="E16" s="321"/>
      <c r="F16" s="321"/>
      <c r="G16" s="420"/>
      <c r="H16" s="321"/>
      <c r="I16" s="321"/>
      <c r="J16" s="321"/>
      <c r="K16" s="420"/>
      <c r="L16" s="321"/>
      <c r="M16" s="321"/>
      <c r="N16" s="321"/>
      <c r="O16" s="321"/>
      <c r="P16" s="321"/>
      <c r="Q16" s="483"/>
      <c r="R16" s="321"/>
      <c r="S16" s="321"/>
      <c r="T16" s="321"/>
      <c r="U16" s="321"/>
      <c r="V16" s="321"/>
      <c r="W16" s="321"/>
      <c r="X16" s="445"/>
      <c r="Y16" s="431"/>
      <c r="Z16" s="321"/>
      <c r="AA16" s="321"/>
      <c r="AB16" s="321"/>
      <c r="AC16" s="321"/>
      <c r="AD16" s="321"/>
      <c r="AE16" s="321"/>
      <c r="AF16" s="564"/>
      <c r="AG16" s="483">
        <v>285</v>
      </c>
      <c r="AH16" s="321"/>
      <c r="AI16" s="321"/>
      <c r="AJ16" s="423"/>
      <c r="AK16" s="427"/>
      <c r="AL16" s="427"/>
      <c r="AM16" s="423"/>
      <c r="AN16" s="423"/>
      <c r="AO16" s="423"/>
      <c r="AP16" s="418"/>
      <c r="AQ16" s="418"/>
      <c r="AR16" s="418"/>
      <c r="AS16" s="423"/>
      <c r="AT16" s="321"/>
      <c r="AU16" s="321"/>
      <c r="AV16" s="564"/>
      <c r="AW16" s="483">
        <v>286</v>
      </c>
      <c r="AX16" s="321"/>
      <c r="AY16" s="429"/>
      <c r="AZ16" s="409"/>
      <c r="BA16" s="409"/>
      <c r="BB16" s="409"/>
      <c r="BC16" s="409"/>
      <c r="BD16" s="409"/>
      <c r="BE16" s="409"/>
      <c r="BF16" s="409"/>
      <c r="BG16" s="409"/>
      <c r="BH16" s="409"/>
      <c r="BI16" s="420"/>
      <c r="BJ16" s="415"/>
      <c r="BK16" s="321"/>
      <c r="BL16" s="321"/>
      <c r="BM16" s="483">
        <v>285</v>
      </c>
      <c r="BN16" s="321"/>
      <c r="BO16" s="321"/>
      <c r="BP16" s="321"/>
      <c r="BQ16" s="321"/>
      <c r="BR16" s="321"/>
      <c r="BS16" s="321"/>
      <c r="BT16" s="321"/>
      <c r="BU16" s="321">
        <v>8</v>
      </c>
      <c r="BV16" s="321"/>
      <c r="BW16" s="321"/>
      <c r="BX16" s="321"/>
      <c r="BY16" s="321"/>
      <c r="BZ16" s="321"/>
      <c r="CA16" s="321"/>
      <c r="CB16" s="564"/>
      <c r="CC16" s="483">
        <v>285</v>
      </c>
      <c r="CD16" s="321"/>
      <c r="CE16" s="321"/>
      <c r="CF16" s="321"/>
      <c r="CG16" s="321"/>
      <c r="CH16" s="321"/>
      <c r="CI16" s="321"/>
      <c r="CJ16" s="321"/>
      <c r="CK16" s="321"/>
      <c r="CL16" s="321"/>
      <c r="CM16" s="321"/>
      <c r="CN16" s="321"/>
      <c r="CO16" s="321"/>
      <c r="CP16" s="321"/>
      <c r="CQ16" s="321"/>
      <c r="CR16" s="564"/>
      <c r="CS16" s="483">
        <v>285</v>
      </c>
      <c r="CT16" s="321"/>
      <c r="CU16" s="321"/>
      <c r="CV16" s="321"/>
      <c r="CW16" s="321"/>
      <c r="CX16" s="321"/>
      <c r="CY16" s="321"/>
      <c r="CZ16" s="321"/>
      <c r="DA16" s="321"/>
      <c r="DB16" s="321"/>
      <c r="DC16" s="321"/>
      <c r="DD16" s="321"/>
      <c r="DE16" s="321"/>
      <c r="DF16" s="321"/>
      <c r="DG16" s="321"/>
      <c r="DH16" s="564"/>
      <c r="DI16" s="483">
        <v>285</v>
      </c>
      <c r="DJ16" s="321"/>
      <c r="DK16" s="321"/>
      <c r="DL16" s="321"/>
      <c r="DM16" s="321"/>
      <c r="DN16" s="321"/>
      <c r="DO16" s="321"/>
      <c r="DP16" s="321"/>
      <c r="DQ16" s="321"/>
      <c r="DR16" s="321"/>
      <c r="DS16" s="321"/>
      <c r="DT16" s="321"/>
      <c r="DU16" s="321"/>
      <c r="DV16" s="321"/>
      <c r="DW16" s="321"/>
      <c r="DX16" s="564"/>
      <c r="DY16" s="483"/>
      <c r="DZ16" s="321"/>
      <c r="EA16" s="321"/>
      <c r="EB16" s="321"/>
      <c r="EC16" s="321"/>
      <c r="ED16" s="321"/>
      <c r="EE16" s="321"/>
      <c r="EF16" s="321"/>
      <c r="EG16" s="321"/>
      <c r="EH16" s="321"/>
      <c r="EI16" s="321"/>
      <c r="EJ16" s="321"/>
      <c r="EK16" s="321"/>
      <c r="EL16" s="321"/>
      <c r="EM16" s="321"/>
      <c r="EN16" s="564"/>
      <c r="EO16" s="483"/>
      <c r="EP16" s="321"/>
      <c r="EQ16" s="321"/>
      <c r="ER16" s="321"/>
      <c r="ES16" s="321"/>
      <c r="ET16" s="321"/>
      <c r="EU16" s="321"/>
      <c r="EV16" s="321"/>
      <c r="EW16" s="321"/>
      <c r="EX16" s="321"/>
      <c r="EY16" s="321"/>
      <c r="EZ16" s="321"/>
      <c r="FA16" s="321"/>
      <c r="FB16" s="321"/>
      <c r="FC16" s="321"/>
      <c r="FD16" s="564"/>
      <c r="FE16" s="417"/>
      <c r="FF16" s="417"/>
      <c r="FG16" s="422"/>
      <c r="FH16" s="422"/>
      <c r="FI16" s="417"/>
      <c r="FJ16" s="417"/>
      <c r="FK16" s="417"/>
      <c r="FL16" s="417"/>
      <c r="FM16" s="417"/>
      <c r="FN16" s="417"/>
      <c r="FO16" s="417"/>
      <c r="FP16" s="422"/>
      <c r="FQ16" s="422"/>
      <c r="FR16" s="417"/>
      <c r="FS16" s="417"/>
      <c r="FT16" s="417"/>
      <c r="FU16" s="483"/>
      <c r="FV16" s="321"/>
      <c r="FW16" s="321"/>
      <c r="FX16" s="321"/>
      <c r="FY16" s="321"/>
      <c r="FZ16" s="321"/>
      <c r="GA16" s="321"/>
      <c r="GB16" s="321"/>
      <c r="GC16" s="321"/>
      <c r="GD16" s="321"/>
      <c r="GE16" s="321"/>
      <c r="GF16" s="321"/>
      <c r="GG16" s="321"/>
      <c r="GH16" s="321"/>
      <c r="GI16" s="462"/>
      <c r="GJ16" s="564"/>
      <c r="GK16" s="483"/>
      <c r="GL16" s="321"/>
      <c r="GM16" s="321"/>
      <c r="GN16" s="321"/>
      <c r="GO16" s="321"/>
      <c r="GP16" s="321"/>
      <c r="GQ16" s="321"/>
      <c r="GR16" s="321"/>
      <c r="GS16" s="321"/>
      <c r="GT16" s="321"/>
      <c r="GU16" s="321"/>
      <c r="GV16" s="321"/>
      <c r="GW16" s="321"/>
      <c r="GX16" s="321"/>
      <c r="GY16" s="321"/>
      <c r="GZ16" s="564"/>
      <c r="HA16" s="483"/>
      <c r="HB16" s="321"/>
      <c r="HC16" s="321"/>
      <c r="HD16" s="321"/>
      <c r="HE16" s="321"/>
      <c r="HF16" s="321"/>
      <c r="HG16" s="321"/>
      <c r="HH16" s="321"/>
      <c r="HI16" s="321"/>
      <c r="HJ16" s="321"/>
      <c r="HK16" s="321"/>
      <c r="HL16" s="462"/>
      <c r="HM16" s="321"/>
      <c r="HN16" s="321"/>
      <c r="HO16" s="321"/>
      <c r="HP16" s="564"/>
      <c r="HQ16" s="483"/>
      <c r="HR16" s="321"/>
      <c r="HS16" s="321"/>
      <c r="HT16" s="321"/>
      <c r="HU16" s="321"/>
      <c r="HV16" s="321"/>
      <c r="HW16" s="321"/>
      <c r="HX16" s="321"/>
      <c r="HY16" s="321"/>
      <c r="HZ16" s="321"/>
      <c r="IA16" s="321"/>
      <c r="IB16" s="321"/>
      <c r="IC16" s="321"/>
      <c r="ID16" s="321"/>
      <c r="IE16" s="321"/>
      <c r="IF16" s="564"/>
      <c r="IG16" s="483"/>
      <c r="IH16" s="321"/>
      <c r="II16" s="321"/>
      <c r="IJ16" s="321"/>
      <c r="IK16" s="321"/>
      <c r="IL16" s="321"/>
      <c r="IM16" s="321"/>
      <c r="IN16" s="321"/>
      <c r="IO16" s="321"/>
      <c r="IP16" s="321"/>
      <c r="IQ16" s="321"/>
      <c r="IR16" s="321"/>
      <c r="IS16" s="321"/>
      <c r="IT16" s="321"/>
      <c r="IU16" s="321"/>
      <c r="IV16" s="564"/>
    </row>
    <row r="17" spans="1:256" s="328" customFormat="1" ht="8.25" customHeight="1">
      <c r="A17" s="483"/>
      <c r="B17" s="321"/>
      <c r="C17" s="321"/>
      <c r="D17" s="420"/>
      <c r="E17" s="321"/>
      <c r="F17" s="321"/>
      <c r="G17" s="420"/>
      <c r="H17" s="409"/>
      <c r="I17" s="321"/>
      <c r="J17" s="420"/>
      <c r="K17" s="321"/>
      <c r="L17" s="420"/>
      <c r="M17" s="321"/>
      <c r="N17" s="321"/>
      <c r="O17" s="321"/>
      <c r="P17" s="321"/>
      <c r="Q17" s="483"/>
      <c r="R17" s="321"/>
      <c r="S17" s="321"/>
      <c r="T17" s="321"/>
      <c r="U17" s="321"/>
      <c r="V17" s="321"/>
      <c r="W17" s="321"/>
      <c r="X17" s="445"/>
      <c r="Y17" s="431"/>
      <c r="Z17" s="321"/>
      <c r="AA17" s="321"/>
      <c r="AB17" s="321"/>
      <c r="AC17" s="321"/>
      <c r="AD17" s="321"/>
      <c r="AE17" s="321"/>
      <c r="AF17" s="564"/>
      <c r="AG17" s="483"/>
      <c r="AH17" s="321"/>
      <c r="AI17" s="321"/>
      <c r="AJ17" s="423"/>
      <c r="AK17" s="427"/>
      <c r="AL17" s="427"/>
      <c r="AM17" s="423"/>
      <c r="AN17" s="423"/>
      <c r="AO17" s="423"/>
      <c r="AP17" s="418"/>
      <c r="AQ17" s="418"/>
      <c r="AR17" s="418"/>
      <c r="AS17" s="423"/>
      <c r="AT17" s="321"/>
      <c r="AU17" s="321"/>
      <c r="AV17" s="564"/>
      <c r="AW17" s="420"/>
      <c r="AX17" s="429"/>
      <c r="AY17" s="429"/>
      <c r="AZ17" s="429"/>
      <c r="BA17" s="429"/>
      <c r="BB17" s="429"/>
      <c r="BC17" s="429"/>
      <c r="BD17" s="429"/>
      <c r="BE17" s="429"/>
      <c r="BF17" s="429"/>
      <c r="BG17" s="429"/>
      <c r="BH17" s="429"/>
      <c r="BI17" s="429"/>
      <c r="BJ17" s="429"/>
      <c r="BK17" s="429"/>
      <c r="BL17" s="415"/>
      <c r="BM17" s="483"/>
      <c r="BN17" s="321"/>
      <c r="BO17" s="321"/>
      <c r="BP17" s="321"/>
      <c r="BQ17" s="321"/>
      <c r="BR17" s="321"/>
      <c r="BS17" s="321"/>
      <c r="BT17" s="321"/>
      <c r="BU17" s="436">
        <v>8</v>
      </c>
      <c r="BV17" s="321"/>
      <c r="BW17" s="321">
        <v>8</v>
      </c>
      <c r="BX17" s="321"/>
      <c r="BY17" s="321"/>
      <c r="BZ17" s="321"/>
      <c r="CA17" s="321"/>
      <c r="CB17" s="564"/>
      <c r="CC17" s="483"/>
      <c r="CD17" s="321"/>
      <c r="CE17" s="321"/>
      <c r="CF17" s="321"/>
      <c r="CG17" s="321"/>
      <c r="CH17" s="321">
        <v>10</v>
      </c>
      <c r="CI17" s="321"/>
      <c r="CJ17" s="443">
        <v>8</v>
      </c>
      <c r="CK17" s="321">
        <v>8</v>
      </c>
      <c r="CL17" s="321"/>
      <c r="CM17" s="321"/>
      <c r="CN17" s="321"/>
      <c r="CO17" s="321"/>
      <c r="CP17" s="321"/>
      <c r="CQ17" s="321"/>
      <c r="CR17" s="564"/>
      <c r="CS17" s="483"/>
      <c r="CT17" s="321"/>
      <c r="CU17" s="321"/>
      <c r="CV17" s="321"/>
      <c r="CW17" s="321"/>
      <c r="CX17" s="321">
        <v>9</v>
      </c>
      <c r="CY17" s="321"/>
      <c r="CZ17" s="321"/>
      <c r="DA17" s="321">
        <v>9</v>
      </c>
      <c r="DB17" s="321"/>
      <c r="DC17" s="321"/>
      <c r="DD17" s="321"/>
      <c r="DE17" s="321"/>
      <c r="DF17" s="321"/>
      <c r="DG17" s="321"/>
      <c r="DH17" s="564"/>
      <c r="DI17" s="483"/>
      <c r="DJ17" s="321"/>
      <c r="DK17" s="321"/>
      <c r="DL17" s="321"/>
      <c r="DM17" s="321"/>
      <c r="DN17" s="321"/>
      <c r="DO17" s="321"/>
      <c r="DP17" s="321">
        <v>8</v>
      </c>
      <c r="DQ17" s="321"/>
      <c r="DR17" s="321"/>
      <c r="DS17" s="321"/>
      <c r="DT17" s="321"/>
      <c r="DU17" s="321"/>
      <c r="DV17" s="321"/>
      <c r="DW17" s="321"/>
      <c r="DX17" s="564"/>
      <c r="DY17" s="483"/>
      <c r="DZ17" s="321"/>
      <c r="EA17" s="321"/>
      <c r="EB17" s="321"/>
      <c r="EC17" s="321"/>
      <c r="ED17" s="321"/>
      <c r="EE17" s="321"/>
      <c r="EF17" s="321"/>
      <c r="EG17" s="321"/>
      <c r="EH17" s="321"/>
      <c r="EI17" s="321"/>
      <c r="EJ17" s="321"/>
      <c r="EK17" s="321"/>
      <c r="EL17" s="321"/>
      <c r="EM17" s="321"/>
      <c r="EN17" s="564"/>
      <c r="EO17" s="483"/>
      <c r="EP17" s="321"/>
      <c r="EQ17" s="321"/>
      <c r="ER17" s="321"/>
      <c r="ES17" s="321"/>
      <c r="ET17" s="321"/>
      <c r="EU17" s="321"/>
      <c r="EV17" s="321"/>
      <c r="EW17" s="321"/>
      <c r="EX17" s="321"/>
      <c r="EY17" s="321"/>
      <c r="EZ17" s="321"/>
      <c r="FA17" s="321"/>
      <c r="FB17" s="321"/>
      <c r="FC17" s="321"/>
      <c r="FD17" s="564"/>
      <c r="FE17" s="417"/>
      <c r="FF17" s="417"/>
      <c r="FG17" s="422"/>
      <c r="FH17" s="422"/>
      <c r="FI17" s="417"/>
      <c r="FJ17" s="417"/>
      <c r="FK17" s="417"/>
      <c r="FL17" s="417"/>
      <c r="FM17" s="417"/>
      <c r="FN17" s="417"/>
      <c r="FO17" s="417"/>
      <c r="FP17" s="422"/>
      <c r="FQ17" s="422"/>
      <c r="FR17" s="417"/>
      <c r="FS17" s="417"/>
      <c r="FT17" s="417"/>
      <c r="FU17" s="483"/>
      <c r="FV17" s="321"/>
      <c r="FW17" s="321"/>
      <c r="FX17" s="321"/>
      <c r="FY17" s="321"/>
      <c r="FZ17" s="321"/>
      <c r="GA17" s="321"/>
      <c r="GB17" s="321"/>
      <c r="GC17" s="321"/>
      <c r="GD17" s="321"/>
      <c r="GE17" s="321"/>
      <c r="GF17" s="321"/>
      <c r="GG17" s="321"/>
      <c r="GH17" s="321"/>
      <c r="GI17" s="462"/>
      <c r="GJ17" s="564"/>
      <c r="GK17" s="483"/>
      <c r="GL17" s="321"/>
      <c r="GM17" s="321"/>
      <c r="GN17" s="321"/>
      <c r="GO17" s="321"/>
      <c r="GP17" s="321"/>
      <c r="GQ17" s="321"/>
      <c r="GR17" s="321"/>
      <c r="GS17" s="321"/>
      <c r="GT17" s="321"/>
      <c r="GU17" s="321"/>
      <c r="GV17" s="321"/>
      <c r="GW17" s="321"/>
      <c r="GX17" s="321"/>
      <c r="GY17" s="321"/>
      <c r="GZ17" s="564"/>
      <c r="HA17" s="483"/>
      <c r="HB17" s="321"/>
      <c r="HC17" s="321"/>
      <c r="HD17" s="321"/>
      <c r="HE17" s="321"/>
      <c r="HF17" s="321"/>
      <c r="HG17" s="321"/>
      <c r="HH17" s="321"/>
      <c r="HI17" s="321"/>
      <c r="HJ17" s="321"/>
      <c r="HK17" s="321"/>
      <c r="HL17" s="462"/>
      <c r="HM17" s="321"/>
      <c r="HN17" s="321"/>
      <c r="HO17" s="321"/>
      <c r="HP17" s="564"/>
      <c r="HQ17" s="483"/>
      <c r="HR17" s="321"/>
      <c r="HS17" s="321"/>
      <c r="HT17" s="321"/>
      <c r="HU17" s="321"/>
      <c r="HV17" s="321"/>
      <c r="HW17" s="321"/>
      <c r="HX17" s="321"/>
      <c r="HY17" s="321"/>
      <c r="HZ17" s="321"/>
      <c r="IA17" s="321"/>
      <c r="IB17" s="321"/>
      <c r="IC17" s="321"/>
      <c r="ID17" s="321"/>
      <c r="IE17" s="321"/>
      <c r="IF17" s="564"/>
      <c r="IG17" s="483"/>
      <c r="IH17" s="321"/>
      <c r="II17" s="321"/>
      <c r="IJ17" s="321"/>
      <c r="IK17" s="321"/>
      <c r="IL17" s="321"/>
      <c r="IM17" s="321"/>
      <c r="IN17" s="321"/>
      <c r="IO17" s="321"/>
      <c r="IP17" s="321"/>
      <c r="IQ17" s="321"/>
      <c r="IR17" s="321"/>
      <c r="IS17" s="321"/>
      <c r="IT17" s="321"/>
      <c r="IU17" s="321"/>
      <c r="IV17" s="564"/>
    </row>
    <row r="18" spans="1:256" s="328" customFormat="1" ht="8.25" customHeight="1">
      <c r="A18" s="483"/>
      <c r="B18" s="321"/>
      <c r="C18" s="321"/>
      <c r="D18" s="321"/>
      <c r="E18" s="420"/>
      <c r="F18" s="321"/>
      <c r="G18" s="420"/>
      <c r="H18" s="420"/>
      <c r="I18" s="420"/>
      <c r="J18" s="321"/>
      <c r="K18" s="321"/>
      <c r="L18" s="321"/>
      <c r="M18" s="420"/>
      <c r="N18" s="321"/>
      <c r="O18" s="321"/>
      <c r="P18" s="321"/>
      <c r="Q18" s="483"/>
      <c r="R18" s="321"/>
      <c r="S18" s="321"/>
      <c r="T18" s="321"/>
      <c r="U18" s="321"/>
      <c r="V18" s="321"/>
      <c r="W18" s="321"/>
      <c r="X18" s="445"/>
      <c r="Y18" s="431"/>
      <c r="Z18" s="321"/>
      <c r="AA18" s="321"/>
      <c r="AB18" s="321"/>
      <c r="AC18" s="321"/>
      <c r="AD18" s="321"/>
      <c r="AE18" s="321"/>
      <c r="AF18" s="564"/>
      <c r="AG18" s="483"/>
      <c r="AH18" s="321"/>
      <c r="AI18" s="321"/>
      <c r="AJ18" s="423"/>
      <c r="AK18" s="427"/>
      <c r="AL18" s="427"/>
      <c r="AM18" s="423"/>
      <c r="AN18" s="423"/>
      <c r="AO18" s="423"/>
      <c r="AP18" s="418"/>
      <c r="AQ18" s="418"/>
      <c r="AR18" s="418"/>
      <c r="AS18" s="423"/>
      <c r="AT18" s="321"/>
      <c r="AU18" s="321"/>
      <c r="AV18" s="564"/>
      <c r="AW18" s="429"/>
      <c r="AX18" s="415"/>
      <c r="AY18" s="409"/>
      <c r="AZ18" s="409"/>
      <c r="BA18" s="409"/>
      <c r="BB18" s="409"/>
      <c r="BC18" s="409"/>
      <c r="BD18" s="409"/>
      <c r="BE18" s="409"/>
      <c r="BF18" s="409"/>
      <c r="BG18" s="409"/>
      <c r="BH18" s="409"/>
      <c r="BI18" s="409"/>
      <c r="BJ18" s="409"/>
      <c r="BK18" s="415"/>
      <c r="BL18" s="420"/>
      <c r="BM18" s="483"/>
      <c r="BN18" s="321"/>
      <c r="BO18" s="321"/>
      <c r="BP18" s="321"/>
      <c r="BQ18" s="321"/>
      <c r="BR18" s="321">
        <v>9</v>
      </c>
      <c r="BS18" s="321"/>
      <c r="BT18" s="436">
        <v>8</v>
      </c>
      <c r="BU18" s="443">
        <v>9</v>
      </c>
      <c r="BV18" s="321"/>
      <c r="BW18" s="436">
        <v>8</v>
      </c>
      <c r="BX18" s="321"/>
      <c r="BY18" s="321"/>
      <c r="BZ18" s="321"/>
      <c r="CA18" s="321"/>
      <c r="CB18" s="564"/>
      <c r="CC18" s="483"/>
      <c r="CD18" s="321"/>
      <c r="CE18" s="321"/>
      <c r="CF18" s="321"/>
      <c r="CG18" s="321"/>
      <c r="CH18" s="456">
        <v>9</v>
      </c>
      <c r="CI18" s="321"/>
      <c r="CJ18" s="449">
        <v>9</v>
      </c>
      <c r="CK18" s="436">
        <v>8</v>
      </c>
      <c r="CL18" s="321"/>
      <c r="CM18" s="321">
        <v>9</v>
      </c>
      <c r="CN18" s="321"/>
      <c r="CO18" s="321"/>
      <c r="CP18" s="321"/>
      <c r="CQ18" s="321"/>
      <c r="CR18" s="564"/>
      <c r="CS18" s="483"/>
      <c r="CT18" s="321"/>
      <c r="CU18" s="321"/>
      <c r="CV18" s="321"/>
      <c r="CW18" s="321"/>
      <c r="CX18" s="443">
        <v>8</v>
      </c>
      <c r="CY18" s="321"/>
      <c r="CZ18" s="321"/>
      <c r="DA18" s="436">
        <v>7</v>
      </c>
      <c r="DB18" s="321"/>
      <c r="DC18" s="321"/>
      <c r="DD18" s="321"/>
      <c r="DE18" s="321"/>
      <c r="DF18" s="321"/>
      <c r="DG18" s="321"/>
      <c r="DH18" s="564"/>
      <c r="DI18" s="483"/>
      <c r="DJ18" s="321"/>
      <c r="DK18" s="321"/>
      <c r="DL18" s="321"/>
      <c r="DM18" s="321"/>
      <c r="DN18" s="321"/>
      <c r="DO18" s="321"/>
      <c r="DP18" s="436">
        <v>8</v>
      </c>
      <c r="DQ18" s="321"/>
      <c r="DR18" s="321"/>
      <c r="DS18" s="321">
        <v>8</v>
      </c>
      <c r="DT18" s="321"/>
      <c r="DU18" s="321"/>
      <c r="DV18" s="321"/>
      <c r="DW18" s="321"/>
      <c r="DX18" s="564"/>
      <c r="DY18" s="483"/>
      <c r="DZ18" s="321"/>
      <c r="EA18" s="321"/>
      <c r="EB18" s="321"/>
      <c r="EC18" s="321"/>
      <c r="ED18" s="321"/>
      <c r="EE18" s="321"/>
      <c r="EF18" s="321"/>
      <c r="EG18" s="321"/>
      <c r="EH18" s="321"/>
      <c r="EI18" s="321"/>
      <c r="EJ18" s="321"/>
      <c r="EK18" s="321"/>
      <c r="EL18" s="321"/>
      <c r="EM18" s="321"/>
      <c r="EN18" s="564"/>
      <c r="EO18" s="483"/>
      <c r="EP18" s="321"/>
      <c r="EQ18" s="321"/>
      <c r="ER18" s="321"/>
      <c r="ES18" s="321"/>
      <c r="ET18" s="321"/>
      <c r="EU18" s="321"/>
      <c r="EV18" s="321"/>
      <c r="EW18" s="321"/>
      <c r="EX18" s="321"/>
      <c r="EY18" s="321"/>
      <c r="EZ18" s="321"/>
      <c r="FA18" s="321"/>
      <c r="FB18" s="321"/>
      <c r="FC18" s="321"/>
      <c r="FD18" s="564"/>
      <c r="FE18" s="417"/>
      <c r="FF18" s="417"/>
      <c r="FG18" s="422"/>
      <c r="FH18" s="422"/>
      <c r="FI18" s="417"/>
      <c r="FJ18" s="417"/>
      <c r="FK18" s="417"/>
      <c r="FL18" s="417"/>
      <c r="FM18" s="417"/>
      <c r="FN18" s="417"/>
      <c r="FO18" s="417"/>
      <c r="FP18" s="422"/>
      <c r="FQ18" s="422"/>
      <c r="FR18" s="417"/>
      <c r="FS18" s="417"/>
      <c r="FT18" s="417"/>
      <c r="FU18" s="483"/>
      <c r="FV18" s="321"/>
      <c r="FW18" s="321"/>
      <c r="FX18" s="321"/>
      <c r="FY18" s="321"/>
      <c r="FZ18" s="321"/>
      <c r="GA18" s="321"/>
      <c r="GB18" s="321"/>
      <c r="GC18" s="321"/>
      <c r="GD18" s="321"/>
      <c r="GE18" s="415"/>
      <c r="GF18" s="415"/>
      <c r="GG18" s="415"/>
      <c r="GH18" s="415"/>
      <c r="GI18" s="459"/>
      <c r="GJ18" s="462"/>
      <c r="GK18" s="483"/>
      <c r="GL18" s="321"/>
      <c r="GM18" s="321"/>
      <c r="GN18" s="321"/>
      <c r="GO18" s="321"/>
      <c r="GP18" s="321"/>
      <c r="GQ18" s="321"/>
      <c r="GR18" s="321"/>
      <c r="GS18" s="321"/>
      <c r="GT18" s="321"/>
      <c r="GU18" s="415"/>
      <c r="GV18" s="415"/>
      <c r="GW18" s="459"/>
      <c r="GX18" s="462"/>
      <c r="GY18" s="321"/>
      <c r="GZ18" s="564"/>
      <c r="HA18" s="483"/>
      <c r="HB18" s="321"/>
      <c r="HC18" s="321"/>
      <c r="HD18" s="321"/>
      <c r="HE18" s="321"/>
      <c r="HF18" s="321"/>
      <c r="HG18" s="321"/>
      <c r="HH18" s="321"/>
      <c r="HI18" s="321"/>
      <c r="HJ18" s="321"/>
      <c r="HK18" s="415"/>
      <c r="HL18" s="459"/>
      <c r="HM18" s="462"/>
      <c r="HN18" s="321"/>
      <c r="HO18" s="321"/>
      <c r="HP18" s="564"/>
      <c r="HQ18" s="483"/>
      <c r="HR18" s="321"/>
      <c r="HS18" s="321"/>
      <c r="HT18" s="321"/>
      <c r="HU18" s="321"/>
      <c r="HV18" s="321"/>
      <c r="HW18" s="321"/>
      <c r="HX18" s="321"/>
      <c r="HY18" s="321"/>
      <c r="HZ18" s="462"/>
      <c r="IA18" s="321"/>
      <c r="IB18" s="321"/>
      <c r="IC18" s="321"/>
      <c r="ID18" s="321"/>
      <c r="IE18" s="321"/>
      <c r="IF18" s="564"/>
      <c r="IG18" s="483"/>
      <c r="IH18" s="321"/>
      <c r="II18" s="321"/>
      <c r="IJ18" s="321"/>
      <c r="IK18" s="321"/>
      <c r="IL18" s="321"/>
      <c r="IM18" s="321"/>
      <c r="IN18" s="321"/>
      <c r="IO18" s="321"/>
      <c r="IP18" s="321"/>
      <c r="IQ18" s="321"/>
      <c r="IR18" s="321"/>
      <c r="IS18" s="321"/>
      <c r="IT18" s="321"/>
      <c r="IU18" s="321"/>
      <c r="IV18" s="564"/>
    </row>
    <row r="19" spans="1:256" s="328" customFormat="1" ht="8.25" customHeight="1">
      <c r="A19" s="483"/>
      <c r="B19" s="321"/>
      <c r="C19" s="321"/>
      <c r="D19" s="321"/>
      <c r="E19" s="321"/>
      <c r="F19" s="420"/>
      <c r="G19" s="420"/>
      <c r="H19" s="415"/>
      <c r="I19" s="420"/>
      <c r="J19" s="321"/>
      <c r="K19" s="321"/>
      <c r="L19" s="321"/>
      <c r="M19" s="321"/>
      <c r="N19" s="321"/>
      <c r="O19" s="321"/>
      <c r="P19" s="321"/>
      <c r="Q19" s="483"/>
      <c r="R19" s="321"/>
      <c r="S19" s="321"/>
      <c r="T19" s="321"/>
      <c r="U19" s="321"/>
      <c r="V19" s="321"/>
      <c r="W19" s="321"/>
      <c r="X19" s="445"/>
      <c r="Y19" s="412"/>
      <c r="Z19" s="321"/>
      <c r="AA19" s="321"/>
      <c r="AB19" s="321"/>
      <c r="AC19" s="321"/>
      <c r="AD19" s="321"/>
      <c r="AE19" s="321"/>
      <c r="AF19" s="564"/>
      <c r="AG19" s="483"/>
      <c r="AH19" s="321"/>
      <c r="AI19" s="321"/>
      <c r="AJ19" s="423"/>
      <c r="AK19" s="427"/>
      <c r="AL19" s="427"/>
      <c r="AM19" s="423"/>
      <c r="AN19" s="423"/>
      <c r="AO19" s="423"/>
      <c r="AP19" s="418"/>
      <c r="AQ19" s="418"/>
      <c r="AR19" s="418"/>
      <c r="AS19" s="423"/>
      <c r="AT19" s="321"/>
      <c r="AU19" s="321"/>
      <c r="AV19" s="564"/>
      <c r="AW19" s="429"/>
      <c r="AX19" s="409"/>
      <c r="AY19" s="420"/>
      <c r="AZ19" s="420"/>
      <c r="BA19" s="415"/>
      <c r="BB19" s="420"/>
      <c r="BC19" s="420"/>
      <c r="BD19" s="420"/>
      <c r="BE19" s="420"/>
      <c r="BF19" s="420"/>
      <c r="BG19" s="420"/>
      <c r="BH19" s="415"/>
      <c r="BI19" s="420"/>
      <c r="BJ19" s="420"/>
      <c r="BK19" s="409"/>
      <c r="BL19" s="420"/>
      <c r="BM19" s="483"/>
      <c r="BN19" s="321"/>
      <c r="BO19" s="321"/>
      <c r="BP19" s="321"/>
      <c r="BQ19" s="321"/>
      <c r="BR19" s="449">
        <v>10</v>
      </c>
      <c r="BS19" s="321"/>
      <c r="BT19" s="443">
        <v>9</v>
      </c>
      <c r="BU19" s="449">
        <v>10</v>
      </c>
      <c r="BV19" s="321">
        <v>10</v>
      </c>
      <c r="BW19" s="443">
        <v>9</v>
      </c>
      <c r="BX19" s="321">
        <v>9</v>
      </c>
      <c r="BY19" s="321"/>
      <c r="BZ19" s="321"/>
      <c r="CA19" s="321"/>
      <c r="CB19" s="564"/>
      <c r="CC19" s="483"/>
      <c r="CD19" s="321"/>
      <c r="CE19" s="321"/>
      <c r="CF19" s="321"/>
      <c r="CG19" s="321"/>
      <c r="CH19" s="321"/>
      <c r="CI19" s="321"/>
      <c r="CJ19" s="456">
        <v>10</v>
      </c>
      <c r="CK19" s="443">
        <v>8</v>
      </c>
      <c r="CL19" s="321">
        <v>9</v>
      </c>
      <c r="CM19" s="443">
        <v>8</v>
      </c>
      <c r="CN19" s="321"/>
      <c r="CO19" s="321"/>
      <c r="CP19" s="321"/>
      <c r="CQ19" s="321"/>
      <c r="CR19" s="564"/>
      <c r="CS19" s="483"/>
      <c r="CT19" s="321"/>
      <c r="CU19" s="321"/>
      <c r="CV19" s="321"/>
      <c r="CW19" s="449">
        <v>8</v>
      </c>
      <c r="CX19" s="456">
        <v>8</v>
      </c>
      <c r="CY19" s="449">
        <v>9</v>
      </c>
      <c r="CZ19" s="321">
        <v>9</v>
      </c>
      <c r="DA19" s="449">
        <v>9</v>
      </c>
      <c r="DB19" s="321">
        <v>9</v>
      </c>
      <c r="DC19" s="443">
        <v>8</v>
      </c>
      <c r="DD19" s="321"/>
      <c r="DE19" s="321"/>
      <c r="DF19" s="321"/>
      <c r="DG19" s="321"/>
      <c r="DH19" s="564"/>
      <c r="DI19" s="483"/>
      <c r="DJ19" s="321"/>
      <c r="DK19" s="321"/>
      <c r="DL19" s="321"/>
      <c r="DM19" s="321"/>
      <c r="DN19" s="321">
        <v>9</v>
      </c>
      <c r="DO19" s="321"/>
      <c r="DP19" s="443">
        <v>9</v>
      </c>
      <c r="DQ19" s="443">
        <v>9</v>
      </c>
      <c r="DR19" s="321">
        <v>9</v>
      </c>
      <c r="DS19" s="436">
        <v>8</v>
      </c>
      <c r="DT19" s="321"/>
      <c r="DU19" s="321"/>
      <c r="DV19" s="321"/>
      <c r="DW19" s="321"/>
      <c r="DX19" s="564"/>
      <c r="DY19" s="483"/>
      <c r="DZ19" s="321"/>
      <c r="EA19" s="321"/>
      <c r="EB19" s="321"/>
      <c r="EC19" s="321"/>
      <c r="ED19" s="321"/>
      <c r="EE19" s="321"/>
      <c r="EF19" s="321"/>
      <c r="EG19" s="321"/>
      <c r="EH19" s="321"/>
      <c r="EI19" s="321"/>
      <c r="EJ19" s="321"/>
      <c r="EK19" s="321"/>
      <c r="EL19" s="321"/>
      <c r="EM19" s="321"/>
      <c r="EN19" s="564"/>
      <c r="EO19" s="483"/>
      <c r="EP19" s="321"/>
      <c r="EQ19" s="321"/>
      <c r="ER19" s="321"/>
      <c r="ES19" s="321"/>
      <c r="ET19" s="321"/>
      <c r="EU19" s="321"/>
      <c r="EV19" s="321"/>
      <c r="EW19" s="321"/>
      <c r="EX19" s="321"/>
      <c r="EY19" s="321"/>
      <c r="EZ19" s="321"/>
      <c r="FA19" s="321"/>
      <c r="FB19" s="321"/>
      <c r="FC19" s="321"/>
      <c r="FD19" s="564"/>
      <c r="FE19" s="417"/>
      <c r="FF19" s="417"/>
      <c r="FG19" s="422"/>
      <c r="FH19" s="422"/>
      <c r="FI19" s="417"/>
      <c r="FJ19" s="417"/>
      <c r="FK19" s="417"/>
      <c r="FL19" s="417"/>
      <c r="FM19" s="417"/>
      <c r="FN19" s="417"/>
      <c r="FO19" s="417"/>
      <c r="FP19" s="422"/>
      <c r="FQ19" s="422"/>
      <c r="FR19" s="417"/>
      <c r="FS19" s="417"/>
      <c r="FT19" s="417"/>
      <c r="FU19" s="483"/>
      <c r="FV19" s="321"/>
      <c r="FW19" s="321"/>
      <c r="FX19" s="321"/>
      <c r="FY19" s="321"/>
      <c r="FZ19" s="321"/>
      <c r="GA19" s="321"/>
      <c r="GB19" s="321"/>
      <c r="GC19" s="321"/>
      <c r="GD19" s="415"/>
      <c r="GE19" s="321"/>
      <c r="GF19" s="321"/>
      <c r="GG19" s="321"/>
      <c r="GH19" s="321"/>
      <c r="GI19" s="321"/>
      <c r="GJ19" s="564"/>
      <c r="GK19" s="483"/>
      <c r="GL19" s="321"/>
      <c r="GM19" s="321"/>
      <c r="GN19" s="321"/>
      <c r="GO19" s="321"/>
      <c r="GP19" s="321"/>
      <c r="GQ19" s="321"/>
      <c r="GR19" s="321"/>
      <c r="GS19" s="321"/>
      <c r="GT19" s="415"/>
      <c r="GU19" s="321"/>
      <c r="GV19" s="321"/>
      <c r="GW19" s="462"/>
      <c r="GX19" s="321"/>
      <c r="GY19" s="321"/>
      <c r="GZ19" s="564"/>
      <c r="HA19" s="483"/>
      <c r="HB19" s="321"/>
      <c r="HC19" s="321"/>
      <c r="HD19" s="321"/>
      <c r="HE19" s="321"/>
      <c r="HF19" s="321"/>
      <c r="HG19" s="321"/>
      <c r="HH19" s="321"/>
      <c r="HI19" s="321"/>
      <c r="HJ19" s="415"/>
      <c r="HK19" s="321"/>
      <c r="HL19" s="456"/>
      <c r="HM19" s="321"/>
      <c r="HN19" s="321"/>
      <c r="HO19" s="321"/>
      <c r="HP19" s="564"/>
      <c r="HQ19" s="483"/>
      <c r="HR19" s="321"/>
      <c r="HS19" s="321"/>
      <c r="HT19" s="321"/>
      <c r="HU19" s="321"/>
      <c r="HV19" s="321"/>
      <c r="HW19" s="321"/>
      <c r="HX19" s="321"/>
      <c r="HY19" s="321"/>
      <c r="HZ19" s="459"/>
      <c r="IA19" s="462"/>
      <c r="IB19" s="321"/>
      <c r="IC19" s="321"/>
      <c r="ID19" s="321"/>
      <c r="IE19" s="321"/>
      <c r="IF19" s="564"/>
      <c r="IG19" s="483"/>
      <c r="IH19" s="321"/>
      <c r="II19" s="321"/>
      <c r="IJ19" s="321"/>
      <c r="IK19" s="321"/>
      <c r="IL19" s="321"/>
      <c r="IM19" s="321"/>
      <c r="IN19" s="321"/>
      <c r="IO19" s="321"/>
      <c r="IP19" s="321"/>
      <c r="IQ19" s="321"/>
      <c r="IR19" s="321"/>
      <c r="IS19" s="321"/>
      <c r="IT19" s="321"/>
      <c r="IU19" s="321"/>
      <c r="IV19" s="564"/>
    </row>
    <row r="20" spans="1:256" s="328" customFormat="1" ht="8.25" customHeight="1">
      <c r="A20" s="483"/>
      <c r="B20" s="321"/>
      <c r="C20" s="321"/>
      <c r="D20" s="321"/>
      <c r="E20" s="321"/>
      <c r="F20" s="321"/>
      <c r="G20" s="415"/>
      <c r="H20" s="420"/>
      <c r="I20" s="321"/>
      <c r="J20" s="321"/>
      <c r="K20" s="321"/>
      <c r="L20" s="321"/>
      <c r="M20" s="321"/>
      <c r="N20" s="321"/>
      <c r="O20" s="321"/>
      <c r="P20" s="321"/>
      <c r="Q20" s="483"/>
      <c r="R20" s="321"/>
      <c r="S20" s="321"/>
      <c r="T20" s="321"/>
      <c r="U20" s="321"/>
      <c r="V20" s="321"/>
      <c r="W20" s="321"/>
      <c r="X20" s="445"/>
      <c r="Y20" s="412"/>
      <c r="Z20" s="321"/>
      <c r="AA20" s="321"/>
      <c r="AB20" s="321"/>
      <c r="AC20" s="321"/>
      <c r="AD20" s="321"/>
      <c r="AE20" s="321"/>
      <c r="AF20" s="564"/>
      <c r="AG20" s="483"/>
      <c r="AH20" s="321"/>
      <c r="AI20" s="441"/>
      <c r="AJ20" s="441"/>
      <c r="AK20" s="441"/>
      <c r="AL20" s="427"/>
      <c r="AM20" s="427"/>
      <c r="AN20" s="423"/>
      <c r="AO20" s="423"/>
      <c r="AP20" s="418"/>
      <c r="AQ20" s="418"/>
      <c r="AR20" s="418"/>
      <c r="AS20" s="418"/>
      <c r="AT20" s="418"/>
      <c r="AU20" s="321"/>
      <c r="AV20" s="564"/>
      <c r="AW20" s="429"/>
      <c r="AX20" s="409"/>
      <c r="AY20" s="420"/>
      <c r="AZ20" s="429"/>
      <c r="BA20" s="429"/>
      <c r="BB20" s="415"/>
      <c r="BC20" s="429"/>
      <c r="BD20" s="429"/>
      <c r="BE20" s="429"/>
      <c r="BF20" s="409"/>
      <c r="BG20" s="415"/>
      <c r="BH20" s="429"/>
      <c r="BI20" s="429"/>
      <c r="BJ20" s="420"/>
      <c r="BK20" s="409"/>
      <c r="BL20" s="420"/>
      <c r="BM20" s="483"/>
      <c r="BN20" s="321"/>
      <c r="BO20" s="321"/>
      <c r="BP20" s="321"/>
      <c r="BQ20" s="436">
        <v>8</v>
      </c>
      <c r="BR20" s="443">
        <v>9</v>
      </c>
      <c r="BS20" s="321">
        <v>10</v>
      </c>
      <c r="BT20" s="443">
        <v>9</v>
      </c>
      <c r="BU20" s="456">
        <v>11</v>
      </c>
      <c r="BV20" s="443">
        <v>9</v>
      </c>
      <c r="BW20" s="456">
        <v>10</v>
      </c>
      <c r="BX20" s="321">
        <v>9</v>
      </c>
      <c r="BY20" s="321"/>
      <c r="BZ20" s="321"/>
      <c r="CA20" s="321"/>
      <c r="CB20" s="564"/>
      <c r="CC20" s="483"/>
      <c r="CD20" s="321"/>
      <c r="CE20" s="321"/>
      <c r="CF20" s="321"/>
      <c r="CG20" s="321"/>
      <c r="CH20" s="443">
        <v>8</v>
      </c>
      <c r="CI20" s="321">
        <v>9</v>
      </c>
      <c r="CJ20" s="449">
        <v>9</v>
      </c>
      <c r="CK20" s="449">
        <v>9</v>
      </c>
      <c r="CL20" s="443">
        <v>8</v>
      </c>
      <c r="CM20" s="456">
        <v>9</v>
      </c>
      <c r="CN20" s="321"/>
      <c r="CO20" s="321"/>
      <c r="CP20" s="321"/>
      <c r="CQ20" s="321"/>
      <c r="CR20" s="564"/>
      <c r="CS20" s="483"/>
      <c r="CT20" s="321"/>
      <c r="CU20" s="321"/>
      <c r="CV20" s="321"/>
      <c r="CW20" s="449">
        <v>8</v>
      </c>
      <c r="CX20" s="456">
        <v>9</v>
      </c>
      <c r="CY20" s="456">
        <v>10</v>
      </c>
      <c r="CZ20" s="436">
        <v>7</v>
      </c>
      <c r="DA20" s="462">
        <v>11</v>
      </c>
      <c r="DB20" s="443">
        <v>8</v>
      </c>
      <c r="DC20" s="449">
        <v>9</v>
      </c>
      <c r="DD20" s="429">
        <v>7</v>
      </c>
      <c r="DE20" s="321"/>
      <c r="DF20" s="321"/>
      <c r="DG20" s="321"/>
      <c r="DH20" s="564"/>
      <c r="DI20" s="483"/>
      <c r="DJ20" s="321"/>
      <c r="DK20" s="321"/>
      <c r="DL20" s="321"/>
      <c r="DM20" s="321">
        <v>9</v>
      </c>
      <c r="DN20" s="443">
        <v>9</v>
      </c>
      <c r="DO20" s="436">
        <v>8</v>
      </c>
      <c r="DP20" s="449">
        <v>11</v>
      </c>
      <c r="DQ20" s="449">
        <v>10</v>
      </c>
      <c r="DR20" s="436">
        <v>8</v>
      </c>
      <c r="DS20" s="449">
        <v>10</v>
      </c>
      <c r="DT20" s="321">
        <v>9</v>
      </c>
      <c r="DU20" s="321"/>
      <c r="DV20" s="321"/>
      <c r="DW20" s="321"/>
      <c r="DX20" s="564"/>
      <c r="DY20" s="483"/>
      <c r="DZ20" s="321"/>
      <c r="EA20" s="321"/>
      <c r="EB20" s="321"/>
      <c r="EC20" s="321"/>
      <c r="ED20" s="321"/>
      <c r="EE20" s="321"/>
      <c r="EF20" s="321"/>
      <c r="EG20" s="321"/>
      <c r="EH20" s="321"/>
      <c r="EI20" s="321"/>
      <c r="EJ20" s="321"/>
      <c r="EK20" s="321"/>
      <c r="EL20" s="321"/>
      <c r="EM20" s="321"/>
      <c r="EN20" s="564"/>
      <c r="EO20" s="483"/>
      <c r="EP20" s="321"/>
      <c r="EQ20" s="321"/>
      <c r="ER20" s="321"/>
      <c r="ES20" s="321"/>
      <c r="ET20" s="321"/>
      <c r="EU20" s="321"/>
      <c r="EV20" s="321"/>
      <c r="EW20" s="321"/>
      <c r="EX20" s="321"/>
      <c r="EY20" s="321"/>
      <c r="EZ20" s="321"/>
      <c r="FA20" s="321"/>
      <c r="FB20" s="321"/>
      <c r="FC20" s="321"/>
      <c r="FD20" s="564"/>
      <c r="FE20" s="417"/>
      <c r="FF20" s="417"/>
      <c r="FG20" s="422"/>
      <c r="FH20" s="422"/>
      <c r="FI20" s="417"/>
      <c r="FJ20" s="417"/>
      <c r="FK20" s="417"/>
      <c r="FL20" s="417"/>
      <c r="FM20" s="417"/>
      <c r="FN20" s="417"/>
      <c r="FO20" s="417"/>
      <c r="FP20" s="422"/>
      <c r="FQ20" s="422"/>
      <c r="FR20" s="417"/>
      <c r="FS20" s="417"/>
      <c r="FT20" s="417"/>
      <c r="FU20" s="483"/>
      <c r="FV20" s="321"/>
      <c r="FW20" s="321"/>
      <c r="FX20" s="321"/>
      <c r="FY20" s="321"/>
      <c r="FZ20" s="321"/>
      <c r="GA20" s="321"/>
      <c r="GB20" s="321"/>
      <c r="GC20" s="415"/>
      <c r="GD20" s="321"/>
      <c r="GE20" s="321"/>
      <c r="GF20" s="321"/>
      <c r="GG20" s="321"/>
      <c r="GH20" s="321"/>
      <c r="GI20" s="321"/>
      <c r="GJ20" s="564"/>
      <c r="GK20" s="483"/>
      <c r="GL20" s="321"/>
      <c r="GM20" s="321"/>
      <c r="GN20" s="321"/>
      <c r="GO20" s="321"/>
      <c r="GP20" s="321"/>
      <c r="GQ20" s="321"/>
      <c r="GR20" s="321"/>
      <c r="GS20" s="415"/>
      <c r="GT20" s="321"/>
      <c r="GU20" s="321"/>
      <c r="GV20" s="321"/>
      <c r="GW20" s="321"/>
      <c r="GX20" s="321"/>
      <c r="GY20" s="321"/>
      <c r="GZ20" s="564"/>
      <c r="HA20" s="483"/>
      <c r="HB20" s="321"/>
      <c r="HC20" s="321"/>
      <c r="HD20" s="321"/>
      <c r="HE20" s="321"/>
      <c r="HF20" s="321"/>
      <c r="HG20" s="321"/>
      <c r="HH20" s="321"/>
      <c r="HI20" s="415"/>
      <c r="HJ20" s="321"/>
      <c r="HK20" s="321"/>
      <c r="HL20" s="321"/>
      <c r="HM20" s="321"/>
      <c r="HN20" s="321"/>
      <c r="HO20" s="321"/>
      <c r="HP20" s="564"/>
      <c r="HQ20" s="483"/>
      <c r="HR20" s="321"/>
      <c r="HS20" s="321"/>
      <c r="HT20" s="321"/>
      <c r="HU20" s="321"/>
      <c r="HV20" s="321"/>
      <c r="HW20" s="321"/>
      <c r="HX20" s="321"/>
      <c r="HY20" s="415"/>
      <c r="HZ20" s="321"/>
      <c r="IA20" s="321"/>
      <c r="IB20" s="321"/>
      <c r="IC20" s="321"/>
      <c r="ID20" s="321"/>
      <c r="IE20" s="321"/>
      <c r="IF20" s="564"/>
      <c r="IG20" s="483"/>
      <c r="IH20" s="321"/>
      <c r="II20" s="321"/>
      <c r="IJ20" s="321"/>
      <c r="IK20" s="321"/>
      <c r="IL20" s="321"/>
      <c r="IM20" s="321"/>
      <c r="IN20" s="456"/>
      <c r="IO20" s="462"/>
      <c r="IP20" s="321"/>
      <c r="IQ20" s="321"/>
      <c r="IR20" s="321"/>
      <c r="IS20" s="321"/>
      <c r="IT20" s="321"/>
      <c r="IU20" s="321"/>
      <c r="IV20" s="564"/>
    </row>
    <row r="21" spans="1:256" s="328" customFormat="1" ht="8.25" customHeight="1">
      <c r="A21" s="483"/>
      <c r="B21" s="321"/>
      <c r="C21" s="321"/>
      <c r="D21" s="321"/>
      <c r="E21" s="321"/>
      <c r="F21" s="321"/>
      <c r="G21" s="420"/>
      <c r="H21" s="420"/>
      <c r="I21" s="321"/>
      <c r="J21" s="321"/>
      <c r="K21" s="321"/>
      <c r="L21" s="321"/>
      <c r="M21" s="321"/>
      <c r="N21" s="321"/>
      <c r="O21" s="321"/>
      <c r="P21" s="321"/>
      <c r="Q21" s="483"/>
      <c r="R21" s="321"/>
      <c r="S21" s="321"/>
      <c r="T21" s="321"/>
      <c r="U21" s="321"/>
      <c r="V21" s="321"/>
      <c r="W21" s="321"/>
      <c r="X21" s="445"/>
      <c r="Y21" s="412"/>
      <c r="Z21" s="321"/>
      <c r="AA21" s="321"/>
      <c r="AB21" s="321"/>
      <c r="AC21" s="321"/>
      <c r="AD21" s="321"/>
      <c r="AE21" s="321"/>
      <c r="AF21" s="564"/>
      <c r="AG21" s="483"/>
      <c r="AH21" s="321"/>
      <c r="AI21" s="321"/>
      <c r="AJ21" s="423"/>
      <c r="AK21" s="418"/>
      <c r="AL21" s="418"/>
      <c r="AM21" s="418"/>
      <c r="AN21" s="418"/>
      <c r="AO21" s="418"/>
      <c r="AP21" s="415"/>
      <c r="AQ21" s="415"/>
      <c r="AR21" s="415"/>
      <c r="AS21" s="423"/>
      <c r="AT21" s="321"/>
      <c r="AU21" s="321"/>
      <c r="AV21" s="564"/>
      <c r="AW21" s="429"/>
      <c r="AX21" s="409"/>
      <c r="AY21" s="415"/>
      <c r="AZ21" s="409"/>
      <c r="BA21" s="409"/>
      <c r="BB21" s="409"/>
      <c r="BC21" s="415"/>
      <c r="BD21" s="420"/>
      <c r="BE21" s="420"/>
      <c r="BF21" s="415"/>
      <c r="BG21" s="429"/>
      <c r="BH21" s="409"/>
      <c r="BI21" s="409"/>
      <c r="BJ21" s="415"/>
      <c r="BK21" s="409"/>
      <c r="BL21" s="420"/>
      <c r="BM21" s="1308"/>
      <c r="BN21" s="1309"/>
      <c r="BO21" s="1309"/>
      <c r="BP21" s="321"/>
      <c r="BQ21" s="443">
        <v>9</v>
      </c>
      <c r="BR21" s="456"/>
      <c r="BS21" s="409"/>
      <c r="BT21" s="456"/>
      <c r="BU21" s="462"/>
      <c r="BV21" s="456"/>
      <c r="BW21" s="456"/>
      <c r="BX21" s="409">
        <v>4</v>
      </c>
      <c r="BY21" s="1309"/>
      <c r="BZ21" s="1309"/>
      <c r="CA21" s="1309"/>
      <c r="CB21" s="1310"/>
      <c r="CC21" s="1308"/>
      <c r="CD21" s="1309"/>
      <c r="CE21" s="1309"/>
      <c r="CF21" s="1309"/>
      <c r="CG21" s="436"/>
      <c r="CH21" s="456"/>
      <c r="CI21" s="436"/>
      <c r="CJ21" s="456"/>
      <c r="CK21" s="456"/>
      <c r="CL21" s="436"/>
      <c r="CM21" s="456"/>
      <c r="CN21" s="409">
        <v>6</v>
      </c>
      <c r="CO21" s="1309"/>
      <c r="CP21" s="1309"/>
      <c r="CQ21" s="1309"/>
      <c r="CR21" s="1310"/>
      <c r="CS21" s="1308"/>
      <c r="CT21" s="1309"/>
      <c r="CU21" s="1309"/>
      <c r="CV21" s="1309"/>
      <c r="CW21" s="429">
        <v>7</v>
      </c>
      <c r="CX21" s="443"/>
      <c r="CY21" s="443"/>
      <c r="CZ21" s="449"/>
      <c r="DA21" s="443"/>
      <c r="DB21" s="462"/>
      <c r="DC21" s="456"/>
      <c r="DD21" s="443">
        <v>9</v>
      </c>
      <c r="DE21" s="1309"/>
      <c r="DF21" s="1309"/>
      <c r="DG21" s="1309"/>
      <c r="DH21" s="1310"/>
      <c r="DI21" s="1308"/>
      <c r="DJ21" s="1309"/>
      <c r="DK21" s="1309"/>
      <c r="DL21" s="1309"/>
      <c r="DM21" s="436">
        <v>8</v>
      </c>
      <c r="DN21" s="456"/>
      <c r="DO21" s="443"/>
      <c r="DP21" s="462"/>
      <c r="DQ21" s="456"/>
      <c r="DR21" s="443"/>
      <c r="DS21" s="456"/>
      <c r="DT21" s="409">
        <v>5</v>
      </c>
      <c r="DU21" s="1309"/>
      <c r="DV21" s="1309"/>
      <c r="DW21" s="1309"/>
      <c r="DX21" s="1310"/>
      <c r="DY21" s="1308"/>
      <c r="DZ21" s="321"/>
      <c r="EA21" s="321"/>
      <c r="EB21" s="321"/>
      <c r="EC21" s="321"/>
      <c r="ED21" s="321"/>
      <c r="EE21" s="321"/>
      <c r="EF21" s="321"/>
      <c r="EG21" s="321"/>
      <c r="EH21" s="321"/>
      <c r="EI21" s="321"/>
      <c r="EJ21" s="321"/>
      <c r="EK21" s="321"/>
      <c r="EL21" s="321"/>
      <c r="EM21" s="321"/>
      <c r="EN21" s="1310"/>
      <c r="EO21" s="1308"/>
      <c r="EP21" s="321"/>
      <c r="EQ21" s="321"/>
      <c r="ER21" s="321"/>
      <c r="ES21" s="321"/>
      <c r="ET21" s="321"/>
      <c r="EU21" s="321"/>
      <c r="EV21" s="321"/>
      <c r="EW21" s="321"/>
      <c r="EX21" s="321"/>
      <c r="EY21" s="321"/>
      <c r="EZ21" s="321"/>
      <c r="FA21" s="321"/>
      <c r="FB21" s="321"/>
      <c r="FC21" s="321"/>
      <c r="FD21" s="1310"/>
      <c r="FE21" s="417"/>
      <c r="FF21" s="417"/>
      <c r="FG21" s="422"/>
      <c r="FH21" s="422"/>
      <c r="FI21" s="417"/>
      <c r="FJ21" s="417"/>
      <c r="FK21" s="417"/>
      <c r="FL21" s="417"/>
      <c r="FM21" s="417"/>
      <c r="FN21" s="417"/>
      <c r="FO21" s="417"/>
      <c r="FP21" s="422"/>
      <c r="FQ21" s="422"/>
      <c r="FR21" s="417"/>
      <c r="FS21" s="417"/>
      <c r="FT21" s="417"/>
      <c r="FU21" s="483"/>
      <c r="FV21" s="321"/>
      <c r="FW21" s="321"/>
      <c r="FX21" s="321"/>
      <c r="FY21" s="321"/>
      <c r="FZ21" s="321"/>
      <c r="GA21" s="321"/>
      <c r="GB21" s="321"/>
      <c r="GC21" s="415"/>
      <c r="GD21" s="321"/>
      <c r="GE21" s="321"/>
      <c r="GF21" s="321"/>
      <c r="GG21" s="321"/>
      <c r="GH21" s="321"/>
      <c r="GI21" s="321"/>
      <c r="GJ21" s="564"/>
      <c r="GK21" s="483"/>
      <c r="GL21" s="321"/>
      <c r="GM21" s="321"/>
      <c r="GN21" s="321"/>
      <c r="GO21" s="321"/>
      <c r="GP21" s="321"/>
      <c r="GQ21" s="321"/>
      <c r="GR21" s="321"/>
      <c r="GS21" s="415"/>
      <c r="GT21" s="321"/>
      <c r="GU21" s="321"/>
      <c r="GV21" s="321"/>
      <c r="GW21" s="321"/>
      <c r="GX21" s="321"/>
      <c r="GY21" s="321"/>
      <c r="GZ21" s="564"/>
      <c r="HA21" s="483"/>
      <c r="HB21" s="321"/>
      <c r="HC21" s="321"/>
      <c r="HD21" s="321"/>
      <c r="HE21" s="321"/>
      <c r="HF21" s="321"/>
      <c r="HG21" s="321"/>
      <c r="HH21" s="321"/>
      <c r="HI21" s="415"/>
      <c r="HJ21" s="321"/>
      <c r="HK21" s="321"/>
      <c r="HL21" s="321"/>
      <c r="HM21" s="321"/>
      <c r="HN21" s="321"/>
      <c r="HO21" s="321"/>
      <c r="HP21" s="564"/>
      <c r="HQ21" s="483"/>
      <c r="HR21" s="321"/>
      <c r="HS21" s="321"/>
      <c r="HT21" s="321"/>
      <c r="HU21" s="321"/>
      <c r="HV21" s="321"/>
      <c r="HW21" s="321"/>
      <c r="HX21" s="321"/>
      <c r="HY21" s="415"/>
      <c r="HZ21" s="321"/>
      <c r="IA21" s="321"/>
      <c r="IB21" s="321"/>
      <c r="IC21" s="321"/>
      <c r="ID21" s="321"/>
      <c r="IE21" s="321"/>
      <c r="IF21" s="564"/>
      <c r="IG21" s="483"/>
      <c r="IH21" s="321"/>
      <c r="II21" s="321"/>
      <c r="IJ21" s="321"/>
      <c r="IK21" s="321"/>
      <c r="IL21" s="321"/>
      <c r="IM21" s="321"/>
      <c r="IN21" s="459"/>
      <c r="IO21" s="459"/>
      <c r="IP21" s="321"/>
      <c r="IQ21" s="321"/>
      <c r="IR21" s="321"/>
      <c r="IS21" s="321"/>
      <c r="IT21" s="321"/>
      <c r="IU21" s="321"/>
      <c r="IV21" s="564"/>
    </row>
    <row r="22" spans="1:256" s="328" customFormat="1" ht="8.25" customHeight="1">
      <c r="A22" s="483"/>
      <c r="B22" s="321"/>
      <c r="C22" s="321"/>
      <c r="D22" s="321"/>
      <c r="E22" s="321"/>
      <c r="F22" s="321"/>
      <c r="G22" s="409"/>
      <c r="H22" s="420"/>
      <c r="I22" s="321"/>
      <c r="J22" s="321"/>
      <c r="K22" s="321"/>
      <c r="L22" s="321"/>
      <c r="M22" s="321"/>
      <c r="N22" s="321"/>
      <c r="O22" s="321"/>
      <c r="P22" s="321"/>
      <c r="Q22" s="483"/>
      <c r="R22" s="321"/>
      <c r="S22" s="321"/>
      <c r="T22" s="321"/>
      <c r="U22" s="321"/>
      <c r="V22" s="321"/>
      <c r="W22" s="321"/>
      <c r="X22" s="445"/>
      <c r="Y22" s="412"/>
      <c r="Z22" s="321"/>
      <c r="AA22" s="321"/>
      <c r="AB22" s="321"/>
      <c r="AC22" s="321"/>
      <c r="AD22" s="321"/>
      <c r="AE22" s="321"/>
      <c r="AF22" s="564"/>
      <c r="AG22" s="483"/>
      <c r="AH22" s="321"/>
      <c r="AI22" s="321"/>
      <c r="AJ22" s="423"/>
      <c r="AK22" s="427"/>
      <c r="AL22" s="427"/>
      <c r="AM22" s="436"/>
      <c r="AN22" s="415"/>
      <c r="AO22" s="436"/>
      <c r="AP22" s="418"/>
      <c r="AQ22" s="418"/>
      <c r="AR22" s="418"/>
      <c r="AS22" s="423"/>
      <c r="AT22" s="321"/>
      <c r="AU22" s="321"/>
      <c r="AV22" s="564"/>
      <c r="AW22" s="429"/>
      <c r="AX22" s="409"/>
      <c r="AY22" s="420"/>
      <c r="AZ22" s="415"/>
      <c r="BA22" s="409"/>
      <c r="BB22" s="409"/>
      <c r="BC22" s="409"/>
      <c r="BD22" s="415"/>
      <c r="BE22" s="415"/>
      <c r="BF22" s="429"/>
      <c r="BG22" s="409"/>
      <c r="BH22" s="409"/>
      <c r="BI22" s="415"/>
      <c r="BJ22" s="420"/>
      <c r="BK22" s="409"/>
      <c r="BL22" s="420"/>
      <c r="BM22" s="1308"/>
      <c r="BN22" s="1309"/>
      <c r="BO22" s="415"/>
      <c r="BP22" s="409"/>
      <c r="BQ22" s="456"/>
      <c r="BR22" s="446"/>
      <c r="BS22" s="456"/>
      <c r="BT22" s="462"/>
      <c r="BU22" s="462"/>
      <c r="BV22" s="446"/>
      <c r="BW22" s="462"/>
      <c r="BX22" s="456"/>
      <c r="BY22" s="409"/>
      <c r="BZ22" s="415"/>
      <c r="CA22" s="1309"/>
      <c r="CB22" s="1310"/>
      <c r="CC22" s="1308"/>
      <c r="CD22" s="1309"/>
      <c r="CE22" s="415"/>
      <c r="CF22" s="409"/>
      <c r="CG22" s="443"/>
      <c r="CH22" s="459"/>
      <c r="CI22" s="456"/>
      <c r="CJ22" s="462"/>
      <c r="CK22" s="449"/>
      <c r="CL22" s="459"/>
      <c r="CM22" s="449"/>
      <c r="CN22" s="449"/>
      <c r="CO22" s="409"/>
      <c r="CP22" s="415"/>
      <c r="CQ22" s="1309"/>
      <c r="CR22" s="1310"/>
      <c r="CS22" s="1308"/>
      <c r="CT22" s="1309"/>
      <c r="CU22" s="415"/>
      <c r="CV22" s="415"/>
      <c r="CW22" s="436"/>
      <c r="CX22" s="426"/>
      <c r="CY22" s="443"/>
      <c r="CZ22" s="462"/>
      <c r="DA22" s="462"/>
      <c r="DB22" s="446"/>
      <c r="DC22" s="449"/>
      <c r="DD22" s="436"/>
      <c r="DE22" s="409"/>
      <c r="DF22" s="415"/>
      <c r="DG22" s="1309"/>
      <c r="DH22" s="1310"/>
      <c r="DI22" s="1308"/>
      <c r="DJ22" s="1309"/>
      <c r="DK22" s="415"/>
      <c r="DL22" s="409"/>
      <c r="DM22" s="443"/>
      <c r="DN22" s="446"/>
      <c r="DO22" s="456"/>
      <c r="DP22" s="462"/>
      <c r="DQ22" s="449"/>
      <c r="DR22" s="459"/>
      <c r="DS22" s="449"/>
      <c r="DT22" s="449"/>
      <c r="DU22" s="409"/>
      <c r="DV22" s="415"/>
      <c r="DW22" s="1309"/>
      <c r="DX22" s="1310"/>
      <c r="DY22" s="1308"/>
      <c r="DZ22" s="321"/>
      <c r="EA22" s="321"/>
      <c r="EB22" s="321"/>
      <c r="EC22" s="321"/>
      <c r="ED22" s="321"/>
      <c r="EE22" s="321"/>
      <c r="EF22" s="321"/>
      <c r="EG22" s="321"/>
      <c r="EH22" s="321"/>
      <c r="EI22" s="321"/>
      <c r="EJ22" s="321"/>
      <c r="EK22" s="321"/>
      <c r="EL22" s="321"/>
      <c r="EM22" s="321"/>
      <c r="EN22" s="1310"/>
      <c r="EO22" s="1308"/>
      <c r="EP22" s="321"/>
      <c r="EQ22" s="321"/>
      <c r="ER22" s="321"/>
      <c r="ES22" s="321"/>
      <c r="ET22" s="321"/>
      <c r="EU22" s="321"/>
      <c r="EV22" s="321"/>
      <c r="EW22" s="321"/>
      <c r="EX22" s="321"/>
      <c r="EY22" s="321"/>
      <c r="EZ22" s="321"/>
      <c r="FA22" s="321"/>
      <c r="FB22" s="321"/>
      <c r="FC22" s="321"/>
      <c r="FD22" s="1310"/>
      <c r="FE22" s="440"/>
      <c r="FF22" s="440"/>
      <c r="FG22" s="446"/>
      <c r="FH22" s="440"/>
      <c r="FI22" s="433"/>
      <c r="FJ22" s="426"/>
      <c r="FK22" s="422"/>
      <c r="FL22" s="417"/>
      <c r="FM22" s="422"/>
      <c r="FN22" s="426"/>
      <c r="FO22" s="433"/>
      <c r="FP22" s="440"/>
      <c r="FQ22" s="446"/>
      <c r="FR22" s="440"/>
      <c r="FS22" s="440"/>
      <c r="FT22" s="433"/>
      <c r="FU22" s="1308"/>
      <c r="FV22" s="321"/>
      <c r="FW22" s="321"/>
      <c r="FX22" s="321"/>
      <c r="FY22" s="321"/>
      <c r="FZ22" s="321"/>
      <c r="GA22" s="321"/>
      <c r="GB22" s="415"/>
      <c r="GC22" s="415"/>
      <c r="GD22" s="321"/>
      <c r="GE22" s="321"/>
      <c r="GF22" s="321"/>
      <c r="GG22" s="321"/>
      <c r="GH22" s="321"/>
      <c r="GI22" s="321"/>
      <c r="GJ22" s="564"/>
      <c r="GK22" s="483"/>
      <c r="GL22" s="321"/>
      <c r="GM22" s="321"/>
      <c r="GN22" s="321"/>
      <c r="GO22" s="321"/>
      <c r="GP22" s="321"/>
      <c r="GQ22" s="321"/>
      <c r="GR22" s="415"/>
      <c r="GS22" s="415"/>
      <c r="GT22" s="321"/>
      <c r="GU22" s="321"/>
      <c r="GV22" s="321"/>
      <c r="GW22" s="321"/>
      <c r="GX22" s="321"/>
      <c r="GY22" s="321"/>
      <c r="GZ22" s="564"/>
      <c r="HA22" s="483"/>
      <c r="HB22" s="321"/>
      <c r="HC22" s="321"/>
      <c r="HD22" s="321"/>
      <c r="HE22" s="321"/>
      <c r="HF22" s="321"/>
      <c r="HG22" s="321"/>
      <c r="HH22" s="415"/>
      <c r="HI22" s="415"/>
      <c r="HJ22" s="321"/>
      <c r="HK22" s="321"/>
      <c r="HL22" s="321"/>
      <c r="HM22" s="321"/>
      <c r="HN22" s="321"/>
      <c r="HO22" s="321"/>
      <c r="HP22" s="321"/>
      <c r="HQ22" s="483"/>
      <c r="HR22" s="321"/>
      <c r="HS22" s="321"/>
      <c r="HT22" s="321"/>
      <c r="HU22" s="321"/>
      <c r="HV22" s="321"/>
      <c r="HW22" s="321"/>
      <c r="HX22" s="415"/>
      <c r="HY22" s="415"/>
      <c r="HZ22" s="321"/>
      <c r="IA22" s="321"/>
      <c r="IB22" s="321"/>
      <c r="IC22" s="321"/>
      <c r="ID22" s="321"/>
      <c r="IE22" s="321"/>
      <c r="IF22" s="321"/>
      <c r="IG22" s="483"/>
      <c r="IH22" s="321"/>
      <c r="II22" s="321"/>
      <c r="IJ22" s="321"/>
      <c r="IK22" s="321"/>
      <c r="IL22" s="321"/>
      <c r="IM22" s="321"/>
      <c r="IN22" s="415"/>
      <c r="IO22" s="415"/>
      <c r="IP22" s="321"/>
      <c r="IQ22" s="321"/>
      <c r="IR22" s="321"/>
      <c r="IS22" s="321"/>
      <c r="IT22" s="321"/>
      <c r="IU22" s="321"/>
      <c r="IV22" s="321"/>
    </row>
    <row r="23" spans="1:256" s="328" customFormat="1" ht="8.25" customHeight="1">
      <c r="A23" s="483"/>
      <c r="B23" s="321"/>
      <c r="C23" s="321"/>
      <c r="D23" s="321"/>
      <c r="E23" s="321"/>
      <c r="F23" s="321"/>
      <c r="G23" s="420"/>
      <c r="H23" s="420"/>
      <c r="I23" s="321"/>
      <c r="J23" s="321"/>
      <c r="K23" s="321"/>
      <c r="L23" s="321"/>
      <c r="M23" s="321"/>
      <c r="N23" s="321"/>
      <c r="O23" s="321"/>
      <c r="P23" s="321"/>
      <c r="Q23" s="483"/>
      <c r="R23" s="321"/>
      <c r="S23" s="321"/>
      <c r="T23" s="321"/>
      <c r="U23" s="321"/>
      <c r="V23" s="321"/>
      <c r="W23" s="321"/>
      <c r="X23" s="445"/>
      <c r="Y23" s="412"/>
      <c r="Z23" s="321"/>
      <c r="AA23" s="321"/>
      <c r="AB23" s="321"/>
      <c r="AC23" s="321"/>
      <c r="AD23" s="321"/>
      <c r="AE23" s="321"/>
      <c r="AF23" s="564"/>
      <c r="AG23" s="483"/>
      <c r="AH23" s="321"/>
      <c r="AI23" s="321"/>
      <c r="AJ23" s="423"/>
      <c r="AK23" s="427"/>
      <c r="AL23" s="427"/>
      <c r="AM23" s="415"/>
      <c r="AN23" s="429"/>
      <c r="AO23" s="415"/>
      <c r="AP23" s="418"/>
      <c r="AQ23" s="418"/>
      <c r="AR23" s="418"/>
      <c r="AS23" s="423"/>
      <c r="AT23" s="321"/>
      <c r="AU23" s="321"/>
      <c r="AV23" s="564"/>
      <c r="AW23" s="429"/>
      <c r="AX23" s="409"/>
      <c r="AY23" s="420"/>
      <c r="AZ23" s="429"/>
      <c r="BA23" s="415"/>
      <c r="BB23" s="409"/>
      <c r="BC23" s="409"/>
      <c r="BD23" s="420"/>
      <c r="BE23" s="429"/>
      <c r="BF23" s="409"/>
      <c r="BG23" s="409"/>
      <c r="BH23" s="415"/>
      <c r="BI23" s="429"/>
      <c r="BJ23" s="420"/>
      <c r="BK23" s="409"/>
      <c r="BL23" s="420"/>
      <c r="BM23" s="1308"/>
      <c r="BN23" s="1309"/>
      <c r="BO23" s="1309"/>
      <c r="BP23" s="422"/>
      <c r="BQ23" s="415"/>
      <c r="BR23" s="415"/>
      <c r="BS23" s="415"/>
      <c r="BT23" s="415"/>
      <c r="BU23" s="415"/>
      <c r="BV23" s="415"/>
      <c r="BW23" s="415"/>
      <c r="BX23" s="415"/>
      <c r="BY23" s="422"/>
      <c r="BZ23" s="1309"/>
      <c r="CA23" s="1309"/>
      <c r="CB23" s="1310"/>
      <c r="CC23" s="1308"/>
      <c r="CD23" s="1309"/>
      <c r="CE23" s="1309"/>
      <c r="CF23" s="417"/>
      <c r="CG23" s="415"/>
      <c r="CH23" s="415"/>
      <c r="CI23" s="415"/>
      <c r="CJ23" s="415"/>
      <c r="CK23" s="415"/>
      <c r="CL23" s="415"/>
      <c r="CM23" s="415"/>
      <c r="CN23" s="415"/>
      <c r="CO23" s="417"/>
      <c r="CP23" s="1309"/>
      <c r="CQ23" s="1309"/>
      <c r="CR23" s="1310"/>
      <c r="CS23" s="1308"/>
      <c r="CT23" s="1309"/>
      <c r="CU23" s="1309"/>
      <c r="CV23" s="417"/>
      <c r="CW23" s="415"/>
      <c r="CX23" s="415"/>
      <c r="CY23" s="415"/>
      <c r="CZ23" s="415"/>
      <c r="DA23" s="415"/>
      <c r="DB23" s="415"/>
      <c r="DC23" s="415"/>
      <c r="DD23" s="415"/>
      <c r="DE23" s="417"/>
      <c r="DF23" s="1309"/>
      <c r="DG23" s="1309"/>
      <c r="DH23" s="1310"/>
      <c r="DI23" s="1308"/>
      <c r="DJ23" s="1309"/>
      <c r="DK23" s="1309"/>
      <c r="DL23" s="417"/>
      <c r="DM23" s="415"/>
      <c r="DN23" s="415"/>
      <c r="DO23" s="415"/>
      <c r="DP23" s="415"/>
      <c r="DQ23" s="415"/>
      <c r="DR23" s="415"/>
      <c r="DS23" s="415"/>
      <c r="DT23" s="415"/>
      <c r="DU23" s="417"/>
      <c r="DV23" s="1309"/>
      <c r="DW23" s="1309"/>
      <c r="DX23" s="1310"/>
      <c r="DY23" s="1308"/>
      <c r="DZ23" s="1309"/>
      <c r="EA23" s="321"/>
      <c r="EB23" s="321"/>
      <c r="EC23" s="321"/>
      <c r="ED23" s="321"/>
      <c r="EE23" s="452"/>
      <c r="EF23" s="452"/>
      <c r="EG23" s="452"/>
      <c r="EH23" s="411"/>
      <c r="EI23" s="321"/>
      <c r="EJ23" s="321"/>
      <c r="EK23" s="321"/>
      <c r="EL23" s="321"/>
      <c r="EM23" s="1309"/>
      <c r="EN23" s="1310"/>
      <c r="EO23" s="1308"/>
      <c r="EP23" s="1309"/>
      <c r="EQ23" s="321"/>
      <c r="ER23" s="321"/>
      <c r="ES23" s="321"/>
      <c r="ET23" s="321"/>
      <c r="EU23" s="411"/>
      <c r="EV23" s="452"/>
      <c r="EW23" s="411"/>
      <c r="EX23" s="439"/>
      <c r="EY23" s="321"/>
      <c r="EZ23" s="321"/>
      <c r="FA23" s="321"/>
      <c r="FB23" s="321"/>
      <c r="FC23" s="1309"/>
      <c r="FD23" s="1310"/>
      <c r="FE23" s="440"/>
      <c r="FF23" s="440"/>
      <c r="FG23" s="446"/>
      <c r="FH23" s="446"/>
      <c r="FI23" s="433"/>
      <c r="FJ23" s="426"/>
      <c r="FK23" s="422"/>
      <c r="FL23" s="417"/>
      <c r="FM23" s="422"/>
      <c r="FN23" s="426"/>
      <c r="FO23" s="433"/>
      <c r="FP23" s="446"/>
      <c r="FQ23" s="446"/>
      <c r="FR23" s="440"/>
      <c r="FS23" s="440"/>
      <c r="FT23" s="433"/>
      <c r="FU23" s="1308"/>
      <c r="FV23" s="321"/>
      <c r="FW23" s="321"/>
      <c r="FX23" s="321"/>
      <c r="FY23" s="321"/>
      <c r="FZ23" s="321"/>
      <c r="GA23" s="415"/>
      <c r="GB23" s="415"/>
      <c r="GC23" s="415"/>
      <c r="GD23" s="415"/>
      <c r="GE23" s="321"/>
      <c r="GF23" s="321"/>
      <c r="GG23" s="321"/>
      <c r="GH23" s="321"/>
      <c r="GI23" s="321"/>
      <c r="GJ23" s="321"/>
      <c r="GK23" s="1308"/>
      <c r="GL23" s="321"/>
      <c r="GM23" s="321"/>
      <c r="GN23" s="321"/>
      <c r="GO23" s="321"/>
      <c r="GP23" s="321"/>
      <c r="GQ23" s="415"/>
      <c r="GR23" s="415"/>
      <c r="GS23" s="415"/>
      <c r="GT23" s="415"/>
      <c r="GU23" s="321"/>
      <c r="GV23" s="321"/>
      <c r="GW23" s="321"/>
      <c r="GX23" s="321"/>
      <c r="GY23" s="321"/>
      <c r="GZ23" s="321"/>
      <c r="HA23" s="1308"/>
      <c r="HB23" s="321"/>
      <c r="HC23" s="321"/>
      <c r="HD23" s="321"/>
      <c r="HE23" s="321"/>
      <c r="HF23" s="321"/>
      <c r="HG23" s="415"/>
      <c r="HH23" s="415"/>
      <c r="HI23" s="415"/>
      <c r="HJ23" s="415"/>
      <c r="HK23" s="321"/>
      <c r="HL23" s="321"/>
      <c r="HM23" s="321"/>
      <c r="HN23" s="321"/>
      <c r="HO23" s="321"/>
      <c r="HP23" s="564"/>
      <c r="HQ23" s="1308"/>
      <c r="HR23" s="321"/>
      <c r="HS23" s="321"/>
      <c r="HT23" s="321"/>
      <c r="HU23" s="321"/>
      <c r="HV23" s="321"/>
      <c r="HW23" s="415"/>
      <c r="HX23" s="415"/>
      <c r="HY23" s="415"/>
      <c r="HZ23" s="415"/>
      <c r="IA23" s="321"/>
      <c r="IB23" s="321"/>
      <c r="IC23" s="321"/>
      <c r="ID23" s="321"/>
      <c r="IE23" s="321"/>
      <c r="IF23" s="564"/>
      <c r="IG23" s="1308"/>
      <c r="IH23" s="321"/>
      <c r="II23" s="321"/>
      <c r="IJ23" s="321"/>
      <c r="IK23" s="321"/>
      <c r="IL23" s="321"/>
      <c r="IM23" s="415"/>
      <c r="IN23" s="415"/>
      <c r="IO23" s="415"/>
      <c r="IP23" s="415"/>
      <c r="IQ23" s="321"/>
      <c r="IR23" s="321"/>
      <c r="IS23" s="321"/>
      <c r="IT23" s="321"/>
      <c r="IU23" s="321"/>
      <c r="IV23" s="564"/>
    </row>
    <row r="24" spans="1:256" s="328" customFormat="1" ht="8.25" customHeight="1">
      <c r="A24" s="483"/>
      <c r="B24" s="321"/>
      <c r="C24" s="321"/>
      <c r="D24" s="321"/>
      <c r="E24" s="321"/>
      <c r="F24" s="321"/>
      <c r="G24" s="415"/>
      <c r="H24" s="420"/>
      <c r="I24" s="321"/>
      <c r="J24" s="321"/>
      <c r="K24" s="321"/>
      <c r="L24" s="321"/>
      <c r="M24" s="321"/>
      <c r="N24" s="321"/>
      <c r="O24" s="321"/>
      <c r="P24" s="321"/>
      <c r="Q24" s="483"/>
      <c r="R24" s="321"/>
      <c r="S24" s="321"/>
      <c r="T24" s="321"/>
      <c r="U24" s="321"/>
      <c r="V24" s="321"/>
      <c r="W24" s="321"/>
      <c r="X24" s="445"/>
      <c r="Y24" s="412"/>
      <c r="Z24" s="321"/>
      <c r="AA24" s="321"/>
      <c r="AB24" s="321"/>
      <c r="AC24" s="321"/>
      <c r="AD24" s="321"/>
      <c r="AE24" s="321"/>
      <c r="AF24" s="564"/>
      <c r="AG24" s="483"/>
      <c r="AH24" s="321"/>
      <c r="AI24" s="441"/>
      <c r="AJ24" s="423"/>
      <c r="AK24" s="427"/>
      <c r="AL24" s="427"/>
      <c r="AM24" s="418"/>
      <c r="AN24" s="436"/>
      <c r="AO24" s="418"/>
      <c r="AP24" s="418"/>
      <c r="AQ24" s="418"/>
      <c r="AR24" s="418"/>
      <c r="AS24" s="423"/>
      <c r="AT24" s="321"/>
      <c r="AU24" s="321"/>
      <c r="AV24" s="564"/>
      <c r="AW24" s="429"/>
      <c r="AX24" s="409"/>
      <c r="AY24" s="420"/>
      <c r="AZ24" s="409"/>
      <c r="BA24" s="420"/>
      <c r="BB24" s="415"/>
      <c r="BC24" s="420"/>
      <c r="BD24" s="429"/>
      <c r="BE24" s="409"/>
      <c r="BF24" s="409"/>
      <c r="BG24" s="415"/>
      <c r="BH24" s="420"/>
      <c r="BI24" s="409"/>
      <c r="BJ24" s="420"/>
      <c r="BK24" s="409"/>
      <c r="BL24" s="420"/>
      <c r="BM24" s="1308"/>
      <c r="BN24" s="1309"/>
      <c r="BO24" s="1309"/>
      <c r="BP24" s="422"/>
      <c r="BQ24" s="422"/>
      <c r="BR24" s="426"/>
      <c r="BS24" s="422"/>
      <c r="BT24" s="417"/>
      <c r="BU24" s="417"/>
      <c r="BV24" s="417"/>
      <c r="BW24" s="417"/>
      <c r="BX24" s="422"/>
      <c r="BY24" s="422"/>
      <c r="BZ24" s="1309"/>
      <c r="CA24" s="1309"/>
      <c r="CB24" s="1310"/>
      <c r="CC24" s="1308"/>
      <c r="CD24" s="1309"/>
      <c r="CE24" s="1309"/>
      <c r="CF24" s="422"/>
      <c r="CG24" s="417"/>
      <c r="CH24" s="422"/>
      <c r="CI24" s="422"/>
      <c r="CJ24" s="417"/>
      <c r="CK24" s="417"/>
      <c r="CL24" s="417"/>
      <c r="CM24" s="417"/>
      <c r="CN24" s="422"/>
      <c r="CO24" s="422"/>
      <c r="CP24" s="1309"/>
      <c r="CQ24" s="1309"/>
      <c r="CR24" s="1310"/>
      <c r="CS24" s="1308"/>
      <c r="CT24" s="1309"/>
      <c r="CU24" s="1309"/>
      <c r="CV24" s="417"/>
      <c r="CW24" s="422"/>
      <c r="CX24" s="417"/>
      <c r="CY24" s="422"/>
      <c r="CZ24" s="417"/>
      <c r="DA24" s="415"/>
      <c r="DB24" s="417"/>
      <c r="DC24" s="415"/>
      <c r="DD24" s="417"/>
      <c r="DE24" s="422"/>
      <c r="DF24" s="1309"/>
      <c r="DG24" s="1309"/>
      <c r="DH24" s="1310"/>
      <c r="DI24" s="1308"/>
      <c r="DJ24" s="1309"/>
      <c r="DK24" s="1309"/>
      <c r="DL24" s="422"/>
      <c r="DM24" s="417"/>
      <c r="DN24" s="422"/>
      <c r="DO24" s="422"/>
      <c r="DP24" s="417"/>
      <c r="DQ24" s="415"/>
      <c r="DR24" s="417"/>
      <c r="DS24" s="417"/>
      <c r="DT24" s="422"/>
      <c r="DU24" s="422"/>
      <c r="DV24" s="1309"/>
      <c r="DW24" s="1309"/>
      <c r="DX24" s="1310"/>
      <c r="DY24" s="1308"/>
      <c r="DZ24" s="1309"/>
      <c r="EA24" s="321"/>
      <c r="EB24" s="321"/>
      <c r="EC24" s="321"/>
      <c r="ED24" s="321"/>
      <c r="EE24" s="452"/>
      <c r="EF24" s="411"/>
      <c r="EG24" s="411"/>
      <c r="EH24" s="411"/>
      <c r="EI24" s="321"/>
      <c r="EJ24" s="321"/>
      <c r="EK24" s="1309"/>
      <c r="EL24" s="1309"/>
      <c r="EM24" s="1309"/>
      <c r="EN24" s="1310"/>
      <c r="EO24" s="1308"/>
      <c r="EP24" s="1309"/>
      <c r="EQ24" s="321"/>
      <c r="ER24" s="321"/>
      <c r="ES24" s="321"/>
      <c r="ET24" s="321"/>
      <c r="EU24" s="411"/>
      <c r="EV24" s="411"/>
      <c r="EW24" s="439"/>
      <c r="EX24" s="439"/>
      <c r="EY24" s="321"/>
      <c r="EZ24" s="321"/>
      <c r="FA24" s="1309"/>
      <c r="FB24" s="1309"/>
      <c r="FC24" s="1309"/>
      <c r="FD24" s="1310"/>
      <c r="FE24" s="440"/>
      <c r="FF24" s="440"/>
      <c r="FG24" s="446"/>
      <c r="FH24" s="446"/>
      <c r="FI24" s="440"/>
      <c r="FJ24" s="426"/>
      <c r="FK24" s="422"/>
      <c r="FL24" s="417"/>
      <c r="FM24" s="422"/>
      <c r="FN24" s="426"/>
      <c r="FO24" s="440"/>
      <c r="FP24" s="446"/>
      <c r="FQ24" s="446"/>
      <c r="FR24" s="440"/>
      <c r="FS24" s="440"/>
      <c r="FT24" s="433"/>
      <c r="FU24" s="1308"/>
      <c r="FV24" s="321"/>
      <c r="FW24" s="321"/>
      <c r="FX24" s="321"/>
      <c r="FY24" s="321"/>
      <c r="FZ24" s="1318"/>
      <c r="GA24" s="1319"/>
      <c r="GB24" s="415"/>
      <c r="GC24" s="1319"/>
      <c r="GD24" s="1318"/>
      <c r="GE24" s="1318"/>
      <c r="GF24" s="321"/>
      <c r="GG24" s="321"/>
      <c r="GH24" s="321"/>
      <c r="GI24" s="321"/>
      <c r="GJ24" s="564"/>
      <c r="GK24" s="1308"/>
      <c r="GL24" s="321"/>
      <c r="GM24" s="321"/>
      <c r="GN24" s="321"/>
      <c r="GO24" s="321"/>
      <c r="GP24" s="1318"/>
      <c r="GQ24" s="1319"/>
      <c r="GR24" s="415"/>
      <c r="GS24" s="1319"/>
      <c r="GT24" s="1318"/>
      <c r="GU24" s="1318"/>
      <c r="GV24" s="321"/>
      <c r="GW24" s="321"/>
      <c r="GX24" s="321"/>
      <c r="GY24" s="321"/>
      <c r="GZ24" s="564"/>
      <c r="HA24" s="1308"/>
      <c r="HB24" s="321"/>
      <c r="HC24" s="321"/>
      <c r="HD24" s="321"/>
      <c r="HE24" s="321"/>
      <c r="HF24" s="1318"/>
      <c r="HG24" s="1319"/>
      <c r="HH24" s="415"/>
      <c r="HI24" s="1319"/>
      <c r="HJ24" s="1318"/>
      <c r="HK24" s="1318"/>
      <c r="HL24" s="321"/>
      <c r="HM24" s="321"/>
      <c r="HN24" s="321"/>
      <c r="HO24" s="321"/>
      <c r="HP24" s="564"/>
      <c r="HQ24" s="1308"/>
      <c r="HR24" s="321"/>
      <c r="HS24" s="321"/>
      <c r="HT24" s="321"/>
      <c r="HU24" s="321"/>
      <c r="HV24" s="1318"/>
      <c r="HW24" s="1319"/>
      <c r="HX24" s="415"/>
      <c r="HY24" s="1320"/>
      <c r="HZ24" s="1318"/>
      <c r="IA24" s="1318"/>
      <c r="IB24" s="321"/>
      <c r="IC24" s="321"/>
      <c r="ID24" s="321"/>
      <c r="IE24" s="321"/>
      <c r="IF24" s="564"/>
      <c r="IG24" s="1308"/>
      <c r="IH24" s="321"/>
      <c r="II24" s="321"/>
      <c r="IJ24" s="321"/>
      <c r="IK24" s="321"/>
      <c r="IL24" s="1318"/>
      <c r="IM24" s="1319"/>
      <c r="IN24" s="415"/>
      <c r="IO24" s="1320"/>
      <c r="IP24" s="1321"/>
      <c r="IQ24" s="1318"/>
      <c r="IR24" s="321"/>
      <c r="IS24" s="321"/>
      <c r="IT24" s="321"/>
      <c r="IU24" s="321"/>
      <c r="IV24" s="564"/>
    </row>
    <row r="25" spans="1:256" s="328" customFormat="1" ht="8.25" customHeight="1">
      <c r="A25" s="483"/>
      <c r="B25" s="321"/>
      <c r="C25" s="321"/>
      <c r="D25" s="321"/>
      <c r="E25" s="321"/>
      <c r="F25" s="321"/>
      <c r="G25" s="420"/>
      <c r="H25" s="420"/>
      <c r="I25" s="321"/>
      <c r="J25" s="321"/>
      <c r="K25" s="321"/>
      <c r="L25" s="321"/>
      <c r="M25" s="321"/>
      <c r="N25" s="321"/>
      <c r="O25" s="321"/>
      <c r="P25" s="321"/>
      <c r="Q25" s="483"/>
      <c r="R25" s="321"/>
      <c r="S25" s="321"/>
      <c r="T25" s="321"/>
      <c r="U25" s="321"/>
      <c r="V25" s="321"/>
      <c r="W25" s="321"/>
      <c r="X25" s="445"/>
      <c r="Y25" s="412"/>
      <c r="Z25" s="321"/>
      <c r="AA25" s="321"/>
      <c r="AB25" s="321"/>
      <c r="AC25" s="321"/>
      <c r="AD25" s="321"/>
      <c r="AE25" s="321"/>
      <c r="AF25" s="564"/>
      <c r="AG25" s="483"/>
      <c r="AH25" s="321"/>
      <c r="AI25" s="418"/>
      <c r="AJ25" s="441"/>
      <c r="AK25" s="441"/>
      <c r="AL25" s="427"/>
      <c r="AM25" s="423"/>
      <c r="AN25" s="423"/>
      <c r="AO25" s="423"/>
      <c r="AP25" s="418"/>
      <c r="AQ25" s="418"/>
      <c r="AR25" s="418"/>
      <c r="AS25" s="418"/>
      <c r="AT25" s="418"/>
      <c r="AU25" s="321"/>
      <c r="AV25" s="564"/>
      <c r="AW25" s="429"/>
      <c r="AX25" s="409"/>
      <c r="AY25" s="420"/>
      <c r="AZ25" s="409"/>
      <c r="BA25" s="420"/>
      <c r="BB25" s="415"/>
      <c r="BC25" s="429"/>
      <c r="BD25" s="409"/>
      <c r="BE25" s="409"/>
      <c r="BF25" s="420"/>
      <c r="BG25" s="415"/>
      <c r="BH25" s="420"/>
      <c r="BI25" s="409"/>
      <c r="BJ25" s="420"/>
      <c r="BK25" s="409"/>
      <c r="BL25" s="420"/>
      <c r="BM25" s="1308"/>
      <c r="BN25" s="1309"/>
      <c r="BO25" s="415"/>
      <c r="BP25" s="422"/>
      <c r="BQ25" s="422"/>
      <c r="BR25" s="426"/>
      <c r="BS25" s="422"/>
      <c r="BT25" s="422"/>
      <c r="BU25" s="417"/>
      <c r="BV25" s="417"/>
      <c r="BW25" s="417"/>
      <c r="BX25" s="422"/>
      <c r="BY25" s="422"/>
      <c r="BZ25" s="420"/>
      <c r="CA25" s="1309"/>
      <c r="CB25" s="1310"/>
      <c r="CC25" s="1308"/>
      <c r="CD25" s="1309"/>
      <c r="CE25" s="415"/>
      <c r="CF25" s="417"/>
      <c r="CG25" s="422"/>
      <c r="CH25" s="422"/>
      <c r="CI25" s="417"/>
      <c r="CJ25" s="422"/>
      <c r="CK25" s="417"/>
      <c r="CL25" s="415"/>
      <c r="CM25" s="417"/>
      <c r="CN25" s="417"/>
      <c r="CO25" s="422"/>
      <c r="CP25" s="420"/>
      <c r="CQ25" s="1309"/>
      <c r="CR25" s="1310"/>
      <c r="CS25" s="1308"/>
      <c r="CT25" s="1309"/>
      <c r="CU25" s="415"/>
      <c r="CV25" s="417"/>
      <c r="CW25" s="417"/>
      <c r="CX25" s="422"/>
      <c r="CY25" s="417"/>
      <c r="CZ25" s="417"/>
      <c r="DA25" s="417"/>
      <c r="DB25" s="415"/>
      <c r="DC25" s="417"/>
      <c r="DD25" s="417"/>
      <c r="DE25" s="422"/>
      <c r="DF25" s="415"/>
      <c r="DG25" s="1309"/>
      <c r="DH25" s="1310"/>
      <c r="DI25" s="1308"/>
      <c r="DJ25" s="1309"/>
      <c r="DK25" s="415"/>
      <c r="DL25" s="417"/>
      <c r="DM25" s="422"/>
      <c r="DN25" s="422"/>
      <c r="DO25" s="417"/>
      <c r="DP25" s="417"/>
      <c r="DQ25" s="417"/>
      <c r="DR25" s="415"/>
      <c r="DS25" s="417"/>
      <c r="DT25" s="417"/>
      <c r="DU25" s="422"/>
      <c r="DV25" s="420"/>
      <c r="DW25" s="1309"/>
      <c r="DX25" s="1310"/>
      <c r="DY25" s="1308"/>
      <c r="DZ25" s="1309"/>
      <c r="EA25" s="1309"/>
      <c r="EB25" s="1309"/>
      <c r="EC25" s="1309"/>
      <c r="ED25" s="321"/>
      <c r="EE25" s="452"/>
      <c r="EF25" s="452"/>
      <c r="EG25" s="452"/>
      <c r="EH25" s="411"/>
      <c r="EI25" s="321"/>
      <c r="EJ25" s="1309"/>
      <c r="EK25" s="1309"/>
      <c r="EL25" s="1309"/>
      <c r="EM25" s="1309"/>
      <c r="EN25" s="1310"/>
      <c r="EO25" s="1308"/>
      <c r="EP25" s="1309"/>
      <c r="EQ25" s="1309"/>
      <c r="ER25" s="1309"/>
      <c r="ES25" s="1309"/>
      <c r="ET25" s="321"/>
      <c r="EU25" s="411"/>
      <c r="EV25" s="452"/>
      <c r="EW25" s="411"/>
      <c r="EX25" s="439"/>
      <c r="EY25" s="321"/>
      <c r="EZ25" s="1309"/>
      <c r="FA25" s="1309"/>
      <c r="FB25" s="1309"/>
      <c r="FC25" s="1309"/>
      <c r="FD25" s="1310"/>
      <c r="FE25" s="440"/>
      <c r="FF25" s="440"/>
      <c r="FG25" s="446"/>
      <c r="FH25" s="446"/>
      <c r="FI25" s="440"/>
      <c r="FJ25" s="426"/>
      <c r="FK25" s="422"/>
      <c r="FL25" s="417"/>
      <c r="FM25" s="422"/>
      <c r="FN25" s="426"/>
      <c r="FO25" s="440"/>
      <c r="FP25" s="446"/>
      <c r="FQ25" s="446"/>
      <c r="FR25" s="440"/>
      <c r="FS25" s="440"/>
      <c r="FT25" s="433"/>
      <c r="FU25" s="321"/>
      <c r="FV25" s="321"/>
      <c r="FW25" s="321"/>
      <c r="FX25" s="321"/>
      <c r="FY25" s="321"/>
      <c r="FZ25" s="1318"/>
      <c r="GA25" s="1321"/>
      <c r="GB25" s="1321"/>
      <c r="GC25" s="1321"/>
      <c r="GD25" s="1321"/>
      <c r="GE25" s="1318"/>
      <c r="GF25" s="321"/>
      <c r="GG25" s="321"/>
      <c r="GH25" s="321"/>
      <c r="GI25" s="321"/>
      <c r="GJ25" s="564"/>
      <c r="GK25" s="1308"/>
      <c r="GL25" s="321"/>
      <c r="GM25" s="321"/>
      <c r="GN25" s="321"/>
      <c r="GO25" s="321"/>
      <c r="GP25" s="1318"/>
      <c r="GQ25" s="1321"/>
      <c r="GR25" s="1321"/>
      <c r="GS25" s="1321"/>
      <c r="GT25" s="1321"/>
      <c r="GU25" s="1318"/>
      <c r="GV25" s="321"/>
      <c r="GW25" s="321"/>
      <c r="GX25" s="321"/>
      <c r="GY25" s="321"/>
      <c r="GZ25" s="564"/>
      <c r="HA25" s="1308"/>
      <c r="HB25" s="321"/>
      <c r="HC25" s="321"/>
      <c r="HD25" s="321"/>
      <c r="HE25" s="321"/>
      <c r="HF25" s="1318"/>
      <c r="HG25" s="1321"/>
      <c r="HH25" s="1321"/>
      <c r="HI25" s="1321"/>
      <c r="HJ25" s="1321"/>
      <c r="HK25" s="1318"/>
      <c r="HL25" s="321"/>
      <c r="HM25" s="321"/>
      <c r="HN25" s="321"/>
      <c r="HO25" s="321"/>
      <c r="HP25" s="564"/>
      <c r="HQ25" s="1308"/>
      <c r="HR25" s="321"/>
      <c r="HS25" s="321"/>
      <c r="HT25" s="321"/>
      <c r="HU25" s="321"/>
      <c r="HV25" s="1318"/>
      <c r="HW25" s="1321"/>
      <c r="HX25" s="1321"/>
      <c r="HY25" s="1321"/>
      <c r="HZ25" s="1321"/>
      <c r="IA25" s="1318"/>
      <c r="IB25" s="321"/>
      <c r="IC25" s="321"/>
      <c r="ID25" s="321"/>
      <c r="IE25" s="321"/>
      <c r="IF25" s="564"/>
      <c r="IG25" s="1308"/>
      <c r="IH25" s="321"/>
      <c r="II25" s="321"/>
      <c r="IJ25" s="321"/>
      <c r="IK25" s="321"/>
      <c r="IL25" s="1318"/>
      <c r="IM25" s="1321"/>
      <c r="IN25" s="1321"/>
      <c r="IO25" s="1321"/>
      <c r="IP25" s="1321"/>
      <c r="IQ25" s="1318"/>
      <c r="IR25" s="321"/>
      <c r="IS25" s="321"/>
      <c r="IT25" s="321"/>
      <c r="IU25" s="321"/>
      <c r="IV25" s="564"/>
    </row>
    <row r="26" spans="1:256" s="328" customFormat="1" ht="8.25" customHeight="1">
      <c r="A26" s="483"/>
      <c r="B26" s="321"/>
      <c r="C26" s="321"/>
      <c r="D26" s="321"/>
      <c r="E26" s="321"/>
      <c r="F26" s="321"/>
      <c r="G26" s="420"/>
      <c r="H26" s="420"/>
      <c r="I26" s="415"/>
      <c r="J26" s="321"/>
      <c r="K26" s="321"/>
      <c r="L26" s="321"/>
      <c r="M26" s="321"/>
      <c r="N26" s="321"/>
      <c r="O26" s="321"/>
      <c r="P26" s="321"/>
      <c r="Q26" s="483"/>
      <c r="R26" s="321"/>
      <c r="S26" s="321"/>
      <c r="T26" s="321"/>
      <c r="U26" s="321"/>
      <c r="V26" s="321"/>
      <c r="W26" s="321"/>
      <c r="X26" s="445"/>
      <c r="Y26" s="412"/>
      <c r="Z26" s="321"/>
      <c r="AA26" s="321"/>
      <c r="AB26" s="321"/>
      <c r="AC26" s="321"/>
      <c r="AD26" s="321"/>
      <c r="AE26" s="321"/>
      <c r="AF26" s="564"/>
      <c r="AG26" s="483"/>
      <c r="AH26" s="321"/>
      <c r="AI26" s="321"/>
      <c r="AJ26" s="418"/>
      <c r="AK26" s="418"/>
      <c r="AL26" s="441"/>
      <c r="AM26" s="427"/>
      <c r="AN26" s="427"/>
      <c r="AO26" s="423"/>
      <c r="AP26" s="418"/>
      <c r="AQ26" s="418"/>
      <c r="AR26" s="418"/>
      <c r="AS26" s="418"/>
      <c r="AT26" s="321"/>
      <c r="AU26" s="321"/>
      <c r="AV26" s="564"/>
      <c r="AW26" s="429"/>
      <c r="AX26" s="409"/>
      <c r="AY26" s="420"/>
      <c r="AZ26" s="409"/>
      <c r="BA26" s="415"/>
      <c r="BB26" s="429"/>
      <c r="BC26" s="409"/>
      <c r="BD26" s="409"/>
      <c r="BE26" s="420"/>
      <c r="BF26" s="409"/>
      <c r="BG26" s="409"/>
      <c r="BH26" s="415"/>
      <c r="BI26" s="409"/>
      <c r="BJ26" s="420"/>
      <c r="BK26" s="409"/>
      <c r="BL26" s="420"/>
      <c r="BM26" s="1308"/>
      <c r="BN26" s="1309"/>
      <c r="BO26" s="1309"/>
      <c r="BP26" s="420"/>
      <c r="BQ26" s="420"/>
      <c r="BR26" s="422"/>
      <c r="BS26" s="422"/>
      <c r="BT26" s="417"/>
      <c r="BU26" s="417"/>
      <c r="BV26" s="417"/>
      <c r="BW26" s="417"/>
      <c r="BX26" s="415"/>
      <c r="BY26" s="420"/>
      <c r="BZ26" s="1309"/>
      <c r="CA26" s="1309"/>
      <c r="CB26" s="1310"/>
      <c r="CC26" s="1308"/>
      <c r="CD26" s="1309"/>
      <c r="CE26" s="1309"/>
      <c r="CF26" s="420"/>
      <c r="CG26" s="420"/>
      <c r="CH26" s="422"/>
      <c r="CI26" s="422"/>
      <c r="CJ26" s="417"/>
      <c r="CK26" s="417"/>
      <c r="CL26" s="417"/>
      <c r="CM26" s="417"/>
      <c r="CN26" s="415"/>
      <c r="CO26" s="420"/>
      <c r="CP26" s="1309"/>
      <c r="CQ26" s="1309"/>
      <c r="CR26" s="1310"/>
      <c r="CS26" s="1308"/>
      <c r="CT26" s="1309"/>
      <c r="CU26" s="1309"/>
      <c r="CV26" s="415"/>
      <c r="CW26" s="420"/>
      <c r="CX26" s="417"/>
      <c r="CY26" s="422"/>
      <c r="CZ26" s="417"/>
      <c r="DA26" s="415"/>
      <c r="DB26" s="417"/>
      <c r="DC26" s="415"/>
      <c r="DD26" s="415"/>
      <c r="DE26" s="415"/>
      <c r="DF26" s="1309"/>
      <c r="DG26" s="1309"/>
      <c r="DH26" s="1310"/>
      <c r="DI26" s="1308"/>
      <c r="DJ26" s="1309"/>
      <c r="DK26" s="1309"/>
      <c r="DL26" s="420"/>
      <c r="DM26" s="420"/>
      <c r="DN26" s="422"/>
      <c r="DO26" s="422"/>
      <c r="DP26" s="417"/>
      <c r="DQ26" s="415"/>
      <c r="DR26" s="417"/>
      <c r="DS26" s="417"/>
      <c r="DT26" s="415"/>
      <c r="DU26" s="420"/>
      <c r="DV26" s="1309"/>
      <c r="DW26" s="1309"/>
      <c r="DX26" s="1310"/>
      <c r="DY26" s="1308"/>
      <c r="DZ26" s="1309"/>
      <c r="EA26" s="1309"/>
      <c r="EB26" s="1309"/>
      <c r="EC26" s="1309"/>
      <c r="ED26" s="452"/>
      <c r="EE26" s="452"/>
      <c r="EF26" s="459"/>
      <c r="EG26" s="459"/>
      <c r="EH26" s="411"/>
      <c r="EI26" s="411"/>
      <c r="EJ26" s="1309"/>
      <c r="EK26" s="1309"/>
      <c r="EL26" s="1309"/>
      <c r="EM26" s="1309"/>
      <c r="EN26" s="1310"/>
      <c r="EO26" s="1308"/>
      <c r="EP26" s="1309"/>
      <c r="EQ26" s="1309"/>
      <c r="ER26" s="1309"/>
      <c r="ES26" s="1309"/>
      <c r="ET26" s="411"/>
      <c r="EU26" s="411"/>
      <c r="EV26" s="446"/>
      <c r="EW26" s="433"/>
      <c r="EX26" s="439"/>
      <c r="EY26" s="439"/>
      <c r="EZ26" s="1309"/>
      <c r="FA26" s="1309"/>
      <c r="FB26" s="1309"/>
      <c r="FC26" s="1309"/>
      <c r="FD26" s="1310"/>
      <c r="FE26" s="440"/>
      <c r="FF26" s="440"/>
      <c r="FG26" s="446"/>
      <c r="FH26" s="446"/>
      <c r="FI26" s="440"/>
      <c r="FJ26" s="433"/>
      <c r="FK26" s="422"/>
      <c r="FL26" s="417"/>
      <c r="FM26" s="422"/>
      <c r="FN26" s="433"/>
      <c r="FO26" s="440"/>
      <c r="FP26" s="446"/>
      <c r="FQ26" s="446"/>
      <c r="FR26" s="440"/>
      <c r="FS26" s="440"/>
      <c r="FT26" s="433"/>
      <c r="FU26" s="321"/>
      <c r="FV26" s="321"/>
      <c r="FW26" s="321"/>
      <c r="FX26" s="321"/>
      <c r="FY26" s="321"/>
      <c r="FZ26" s="1318"/>
      <c r="GA26" s="1319"/>
      <c r="GB26" s="1321"/>
      <c r="GC26" s="1319"/>
      <c r="GD26" s="1321"/>
      <c r="GE26" s="1318"/>
      <c r="GF26" s="321"/>
      <c r="GG26" s="321"/>
      <c r="GH26" s="321"/>
      <c r="GI26" s="321"/>
      <c r="GJ26" s="564"/>
      <c r="GK26" s="321"/>
      <c r="GL26" s="321"/>
      <c r="GM26" s="321"/>
      <c r="GN26" s="321"/>
      <c r="GO26" s="321"/>
      <c r="GP26" s="1318"/>
      <c r="GQ26" s="1319"/>
      <c r="GR26" s="1321"/>
      <c r="GS26" s="1319"/>
      <c r="GT26" s="1321"/>
      <c r="GU26" s="1318"/>
      <c r="GV26" s="321"/>
      <c r="GW26" s="321"/>
      <c r="GX26" s="321"/>
      <c r="GY26" s="321"/>
      <c r="GZ26" s="564"/>
      <c r="HA26" s="321"/>
      <c r="HB26" s="321"/>
      <c r="HC26" s="321"/>
      <c r="HD26" s="321"/>
      <c r="HE26" s="321"/>
      <c r="HF26" s="1318"/>
      <c r="HG26" s="1319"/>
      <c r="HH26" s="1321"/>
      <c r="HI26" s="1319"/>
      <c r="HJ26" s="1321"/>
      <c r="HK26" s="1318"/>
      <c r="HL26" s="321"/>
      <c r="HM26" s="321"/>
      <c r="HN26" s="321"/>
      <c r="HO26" s="321"/>
      <c r="HP26" s="564"/>
      <c r="HQ26" s="321"/>
      <c r="HR26" s="321"/>
      <c r="HS26" s="321"/>
      <c r="HT26" s="321"/>
      <c r="HU26" s="321"/>
      <c r="HV26" s="1318"/>
      <c r="HW26" s="1319"/>
      <c r="HX26" s="1321"/>
      <c r="HY26" s="1319"/>
      <c r="HZ26" s="1321"/>
      <c r="IA26" s="1318"/>
      <c r="IB26" s="321"/>
      <c r="IC26" s="321"/>
      <c r="ID26" s="321"/>
      <c r="IE26" s="321"/>
      <c r="IF26" s="564"/>
      <c r="IG26" s="321"/>
      <c r="IH26" s="321"/>
      <c r="II26" s="321"/>
      <c r="IJ26" s="321"/>
      <c r="IK26" s="321"/>
      <c r="IL26" s="1318"/>
      <c r="IM26" s="1319"/>
      <c r="IN26" s="1321"/>
      <c r="IO26" s="1319"/>
      <c r="IP26" s="1321"/>
      <c r="IQ26" s="1318"/>
      <c r="IR26" s="321"/>
      <c r="IS26" s="321"/>
      <c r="IT26" s="321"/>
      <c r="IU26" s="321"/>
      <c r="IV26" s="564"/>
    </row>
    <row r="27" spans="1:256" s="328" customFormat="1" ht="8.25" customHeight="1">
      <c r="A27" s="483"/>
      <c r="B27" s="321"/>
      <c r="C27" s="321"/>
      <c r="D27" s="321"/>
      <c r="E27" s="321"/>
      <c r="F27" s="321"/>
      <c r="G27" s="420"/>
      <c r="H27" s="420"/>
      <c r="I27" s="321"/>
      <c r="J27" s="321"/>
      <c r="K27" s="321"/>
      <c r="L27" s="321"/>
      <c r="M27" s="321"/>
      <c r="N27" s="321"/>
      <c r="O27" s="321"/>
      <c r="P27" s="321"/>
      <c r="Q27" s="483"/>
      <c r="R27" s="321"/>
      <c r="S27" s="321"/>
      <c r="T27" s="321"/>
      <c r="U27" s="321"/>
      <c r="V27" s="321"/>
      <c r="W27" s="321"/>
      <c r="X27" s="445"/>
      <c r="Y27" s="412"/>
      <c r="Z27" s="321"/>
      <c r="AA27" s="321"/>
      <c r="AB27" s="321"/>
      <c r="AC27" s="321"/>
      <c r="AD27" s="321"/>
      <c r="AE27" s="321"/>
      <c r="AF27" s="564"/>
      <c r="AG27" s="483"/>
      <c r="AH27" s="321"/>
      <c r="AI27" s="321"/>
      <c r="AJ27" s="423"/>
      <c r="AK27" s="427"/>
      <c r="AL27" s="418"/>
      <c r="AM27" s="418"/>
      <c r="AN27" s="418"/>
      <c r="AO27" s="418"/>
      <c r="AP27" s="415"/>
      <c r="AQ27" s="415"/>
      <c r="AR27" s="415"/>
      <c r="AS27" s="423"/>
      <c r="AT27" s="321"/>
      <c r="AU27" s="321"/>
      <c r="AV27" s="564"/>
      <c r="AW27" s="429"/>
      <c r="AX27" s="409"/>
      <c r="AY27" s="420"/>
      <c r="AZ27" s="415"/>
      <c r="BA27" s="429"/>
      <c r="BB27" s="409"/>
      <c r="BC27" s="409"/>
      <c r="BD27" s="415"/>
      <c r="BE27" s="415"/>
      <c r="BF27" s="409"/>
      <c r="BG27" s="409"/>
      <c r="BH27" s="409"/>
      <c r="BI27" s="415"/>
      <c r="BJ27" s="420"/>
      <c r="BK27" s="409"/>
      <c r="BL27" s="420"/>
      <c r="BM27" s="1308"/>
      <c r="BN27" s="1309"/>
      <c r="BO27" s="1309"/>
      <c r="BP27" s="422"/>
      <c r="BQ27" s="422"/>
      <c r="BR27" s="420"/>
      <c r="BS27" s="420"/>
      <c r="BT27" s="415"/>
      <c r="BU27" s="415"/>
      <c r="BV27" s="415"/>
      <c r="BW27" s="415"/>
      <c r="BX27" s="417"/>
      <c r="BY27" s="422"/>
      <c r="BZ27" s="1309"/>
      <c r="CA27" s="1309"/>
      <c r="CB27" s="1310"/>
      <c r="CC27" s="1308"/>
      <c r="CD27" s="1309"/>
      <c r="CE27" s="1309"/>
      <c r="CF27" s="417"/>
      <c r="CG27" s="422"/>
      <c r="CH27" s="420"/>
      <c r="CI27" s="420"/>
      <c r="CJ27" s="415"/>
      <c r="CK27" s="415"/>
      <c r="CL27" s="415"/>
      <c r="CM27" s="415"/>
      <c r="CN27" s="417"/>
      <c r="CO27" s="422"/>
      <c r="CP27" s="1309"/>
      <c r="CQ27" s="1309"/>
      <c r="CR27" s="1310"/>
      <c r="CS27" s="1308"/>
      <c r="CT27" s="1309"/>
      <c r="CU27" s="1309"/>
      <c r="CV27" s="417"/>
      <c r="CW27" s="417"/>
      <c r="CX27" s="415"/>
      <c r="CY27" s="415"/>
      <c r="CZ27" s="415"/>
      <c r="DA27" s="415"/>
      <c r="DB27" s="415"/>
      <c r="DC27" s="415"/>
      <c r="DD27" s="417"/>
      <c r="DE27" s="422"/>
      <c r="DF27" s="1309"/>
      <c r="DG27" s="1309"/>
      <c r="DH27" s="1310"/>
      <c r="DI27" s="1308"/>
      <c r="DJ27" s="1309"/>
      <c r="DK27" s="1309"/>
      <c r="DL27" s="417"/>
      <c r="DM27" s="422"/>
      <c r="DN27" s="420"/>
      <c r="DO27" s="420"/>
      <c r="DP27" s="415"/>
      <c r="DQ27" s="415"/>
      <c r="DR27" s="415"/>
      <c r="DS27" s="415"/>
      <c r="DT27" s="417"/>
      <c r="DU27" s="422"/>
      <c r="DV27" s="1309"/>
      <c r="DW27" s="1309"/>
      <c r="DX27" s="1310"/>
      <c r="DY27" s="1308"/>
      <c r="DZ27" s="1309"/>
      <c r="EA27" s="1309"/>
      <c r="EB27" s="1309"/>
      <c r="EC27" s="1309"/>
      <c r="ED27" s="452"/>
      <c r="EE27" s="410"/>
      <c r="EF27" s="459"/>
      <c r="EG27" s="446"/>
      <c r="EH27" s="452"/>
      <c r="EI27" s="411"/>
      <c r="EJ27" s="1309"/>
      <c r="EK27" s="1309"/>
      <c r="EL27" s="1309"/>
      <c r="EM27" s="1309"/>
      <c r="EN27" s="1310"/>
      <c r="EO27" s="1308"/>
      <c r="EP27" s="1309"/>
      <c r="EQ27" s="1309"/>
      <c r="ER27" s="1309"/>
      <c r="ES27" s="1309"/>
      <c r="ET27" s="411"/>
      <c r="EU27" s="452"/>
      <c r="EV27" s="446"/>
      <c r="EW27" s="433"/>
      <c r="EX27" s="411"/>
      <c r="EY27" s="439"/>
      <c r="EZ27" s="1309"/>
      <c r="FA27" s="1309"/>
      <c r="FB27" s="1309"/>
      <c r="FC27" s="1309"/>
      <c r="FD27" s="1310"/>
      <c r="FE27" s="440"/>
      <c r="FF27" s="440"/>
      <c r="FG27" s="446"/>
      <c r="FH27" s="446"/>
      <c r="FI27" s="440"/>
      <c r="FJ27" s="433"/>
      <c r="FK27" s="422"/>
      <c r="FL27" s="417"/>
      <c r="FM27" s="422"/>
      <c r="FN27" s="433"/>
      <c r="FO27" s="440"/>
      <c r="FP27" s="446"/>
      <c r="FQ27" s="446"/>
      <c r="FR27" s="440"/>
      <c r="FS27" s="440"/>
      <c r="FT27" s="433"/>
      <c r="FU27" s="321"/>
      <c r="FV27" s="321"/>
      <c r="FW27" s="321"/>
      <c r="FX27" s="321"/>
      <c r="FY27" s="321"/>
      <c r="FZ27" s="1322"/>
      <c r="GA27" s="1319"/>
      <c r="GB27" s="1321"/>
      <c r="GC27" s="1319"/>
      <c r="GD27" s="1321"/>
      <c r="GE27" s="1322"/>
      <c r="GF27" s="321"/>
      <c r="GG27" s="321"/>
      <c r="GH27" s="321"/>
      <c r="GI27" s="321"/>
      <c r="GJ27" s="564"/>
      <c r="GK27" s="321"/>
      <c r="GL27" s="321"/>
      <c r="GM27" s="321"/>
      <c r="GN27" s="321"/>
      <c r="GO27" s="321"/>
      <c r="GP27" s="1322"/>
      <c r="GQ27" s="1319"/>
      <c r="GR27" s="1321"/>
      <c r="GS27" s="1319"/>
      <c r="GT27" s="1321"/>
      <c r="GU27" s="1322"/>
      <c r="GV27" s="321"/>
      <c r="GW27" s="321"/>
      <c r="GX27" s="321"/>
      <c r="GY27" s="321"/>
      <c r="GZ27" s="564"/>
      <c r="HA27" s="321"/>
      <c r="HB27" s="321"/>
      <c r="HC27" s="321"/>
      <c r="HD27" s="321"/>
      <c r="HE27" s="321"/>
      <c r="HF27" s="1322"/>
      <c r="HG27" s="1319"/>
      <c r="HH27" s="1321"/>
      <c r="HI27" s="1319"/>
      <c r="HJ27" s="1321"/>
      <c r="HK27" s="1322"/>
      <c r="HL27" s="321"/>
      <c r="HM27" s="321"/>
      <c r="HN27" s="321"/>
      <c r="HO27" s="321"/>
      <c r="HP27" s="564"/>
      <c r="HQ27" s="321"/>
      <c r="HR27" s="321"/>
      <c r="HS27" s="321"/>
      <c r="HT27" s="321"/>
      <c r="HU27" s="321"/>
      <c r="HV27" s="1322"/>
      <c r="HW27" s="1319"/>
      <c r="HX27" s="1321"/>
      <c r="HY27" s="1319"/>
      <c r="HZ27" s="1321"/>
      <c r="IA27" s="1322"/>
      <c r="IB27" s="321"/>
      <c r="IC27" s="321"/>
      <c r="ID27" s="321"/>
      <c r="IE27" s="321"/>
      <c r="IF27" s="564"/>
      <c r="IG27" s="321"/>
      <c r="IH27" s="321"/>
      <c r="II27" s="321"/>
      <c r="IJ27" s="321"/>
      <c r="IK27" s="321"/>
      <c r="IL27" s="1322"/>
      <c r="IM27" s="1319"/>
      <c r="IN27" s="1321"/>
      <c r="IO27" s="1319"/>
      <c r="IP27" s="1321"/>
      <c r="IQ27" s="1322"/>
      <c r="IR27" s="321"/>
      <c r="IS27" s="321"/>
      <c r="IT27" s="321"/>
      <c r="IU27" s="321"/>
      <c r="IV27" s="564"/>
    </row>
    <row r="28" spans="1:256" s="328" customFormat="1" ht="8.25" customHeight="1">
      <c r="A28" s="483"/>
      <c r="B28" s="321"/>
      <c r="C28" s="321"/>
      <c r="D28" s="321"/>
      <c r="E28" s="321"/>
      <c r="F28" s="321"/>
      <c r="G28" s="415"/>
      <c r="H28" s="420"/>
      <c r="I28" s="321"/>
      <c r="J28" s="321"/>
      <c r="K28" s="321"/>
      <c r="L28" s="321"/>
      <c r="M28" s="321"/>
      <c r="N28" s="321"/>
      <c r="O28" s="321"/>
      <c r="P28" s="321"/>
      <c r="Q28" s="483"/>
      <c r="R28" s="321"/>
      <c r="S28" s="321"/>
      <c r="T28" s="321"/>
      <c r="U28" s="321"/>
      <c r="V28" s="321"/>
      <c r="W28" s="321"/>
      <c r="X28" s="445"/>
      <c r="Y28" s="412"/>
      <c r="Z28" s="321"/>
      <c r="AA28" s="321"/>
      <c r="AB28" s="321"/>
      <c r="AC28" s="321"/>
      <c r="AD28" s="321"/>
      <c r="AE28" s="321"/>
      <c r="AF28" s="564"/>
      <c r="AG28" s="483"/>
      <c r="AH28" s="321"/>
      <c r="AI28" s="321"/>
      <c r="AJ28" s="423"/>
      <c r="AK28" s="427"/>
      <c r="AL28" s="427"/>
      <c r="AM28" s="423"/>
      <c r="AN28" s="423"/>
      <c r="AO28" s="423"/>
      <c r="AP28" s="418"/>
      <c r="AQ28" s="418"/>
      <c r="AR28" s="418"/>
      <c r="AS28" s="423"/>
      <c r="AT28" s="321"/>
      <c r="AU28" s="321"/>
      <c r="AV28" s="564"/>
      <c r="AW28" s="429"/>
      <c r="AX28" s="409"/>
      <c r="AY28" s="415"/>
      <c r="AZ28" s="429"/>
      <c r="BA28" s="409"/>
      <c r="BB28" s="409"/>
      <c r="BC28" s="415"/>
      <c r="BD28" s="420"/>
      <c r="BE28" s="420"/>
      <c r="BF28" s="415"/>
      <c r="BG28" s="409"/>
      <c r="BH28" s="409"/>
      <c r="BI28" s="409"/>
      <c r="BJ28" s="415"/>
      <c r="BK28" s="409"/>
      <c r="BL28" s="420"/>
      <c r="BM28" s="1308"/>
      <c r="BN28" s="1309"/>
      <c r="BO28" s="1309"/>
      <c r="BP28" s="417"/>
      <c r="BQ28" s="422"/>
      <c r="BR28" s="426"/>
      <c r="BS28" s="422"/>
      <c r="BT28" s="417"/>
      <c r="BU28" s="417"/>
      <c r="BV28" s="417"/>
      <c r="BW28" s="417"/>
      <c r="BX28" s="422"/>
      <c r="BY28" s="422"/>
      <c r="BZ28" s="1309"/>
      <c r="CA28" s="1309"/>
      <c r="CB28" s="1310"/>
      <c r="CC28" s="1308"/>
      <c r="CD28" s="1309"/>
      <c r="CE28" s="1309"/>
      <c r="CF28" s="417"/>
      <c r="CG28" s="417"/>
      <c r="CH28" s="422"/>
      <c r="CI28" s="422"/>
      <c r="CJ28" s="417"/>
      <c r="CK28" s="417"/>
      <c r="CL28" s="415"/>
      <c r="CM28" s="417"/>
      <c r="CN28" s="422"/>
      <c r="CO28" s="417"/>
      <c r="CP28" s="1309"/>
      <c r="CQ28" s="1309"/>
      <c r="CR28" s="1310"/>
      <c r="CS28" s="1308"/>
      <c r="CT28" s="1309"/>
      <c r="CU28" s="1309"/>
      <c r="CV28" s="417"/>
      <c r="CW28" s="422"/>
      <c r="CX28" s="417"/>
      <c r="CY28" s="422"/>
      <c r="CZ28" s="417"/>
      <c r="DA28" s="417"/>
      <c r="DB28" s="415"/>
      <c r="DC28" s="417"/>
      <c r="DD28" s="417"/>
      <c r="DE28" s="417"/>
      <c r="DF28" s="1309"/>
      <c r="DG28" s="1309"/>
      <c r="DH28" s="1310"/>
      <c r="DI28" s="1308"/>
      <c r="DJ28" s="1309"/>
      <c r="DK28" s="1309"/>
      <c r="DL28" s="417"/>
      <c r="DM28" s="417"/>
      <c r="DN28" s="422"/>
      <c r="DO28" s="422"/>
      <c r="DP28" s="417"/>
      <c r="DQ28" s="417"/>
      <c r="DR28" s="415"/>
      <c r="DS28" s="417"/>
      <c r="DT28" s="422"/>
      <c r="DU28" s="417"/>
      <c r="DV28" s="1309"/>
      <c r="DW28" s="1309"/>
      <c r="DX28" s="1310"/>
      <c r="DY28" s="1308"/>
      <c r="DZ28" s="1309"/>
      <c r="EA28" s="1309"/>
      <c r="EB28" s="1309"/>
      <c r="EC28" s="1309"/>
      <c r="ED28" s="452"/>
      <c r="EE28" s="459"/>
      <c r="EF28" s="459"/>
      <c r="EG28" s="446"/>
      <c r="EH28" s="446"/>
      <c r="EI28" s="411"/>
      <c r="EJ28" s="1309"/>
      <c r="EK28" s="1309"/>
      <c r="EL28" s="1309"/>
      <c r="EM28" s="1309"/>
      <c r="EN28" s="1310"/>
      <c r="EO28" s="1308"/>
      <c r="EP28" s="1309"/>
      <c r="EQ28" s="1309"/>
      <c r="ER28" s="1309"/>
      <c r="ES28" s="1309"/>
      <c r="ET28" s="411"/>
      <c r="EU28" s="459"/>
      <c r="EV28" s="446"/>
      <c r="EW28" s="433"/>
      <c r="EX28" s="433"/>
      <c r="EY28" s="439"/>
      <c r="EZ28" s="1309"/>
      <c r="FA28" s="1309"/>
      <c r="FB28" s="1309"/>
      <c r="FC28" s="1309"/>
      <c r="FD28" s="1310"/>
      <c r="FE28" s="440"/>
      <c r="FF28" s="440"/>
      <c r="FG28" s="446"/>
      <c r="FH28" s="446"/>
      <c r="FI28" s="440"/>
      <c r="FJ28" s="433"/>
      <c r="FK28" s="426"/>
      <c r="FL28" s="417"/>
      <c r="FM28" s="426"/>
      <c r="FN28" s="433"/>
      <c r="FO28" s="440"/>
      <c r="FP28" s="446"/>
      <c r="FQ28" s="446"/>
      <c r="FR28" s="440"/>
      <c r="FS28" s="440"/>
      <c r="FT28" s="433"/>
      <c r="FU28" s="321"/>
      <c r="FV28" s="321"/>
      <c r="FW28" s="321"/>
      <c r="FX28" s="321"/>
      <c r="FY28" s="321"/>
      <c r="FZ28" s="1322"/>
      <c r="GA28" s="1323"/>
      <c r="GB28" s="1324"/>
      <c r="GC28" s="1323"/>
      <c r="GD28" s="1323"/>
      <c r="GE28" s="1322"/>
      <c r="GF28" s="321"/>
      <c r="GG28" s="321"/>
      <c r="GH28" s="321"/>
      <c r="GI28" s="321"/>
      <c r="GJ28" s="564"/>
      <c r="GK28" s="321"/>
      <c r="GL28" s="321"/>
      <c r="GM28" s="321"/>
      <c r="GN28" s="321"/>
      <c r="GO28" s="321"/>
      <c r="GP28" s="1322"/>
      <c r="GQ28" s="1323"/>
      <c r="GR28" s="1324"/>
      <c r="GS28" s="1323"/>
      <c r="GT28" s="1323"/>
      <c r="GU28" s="1322"/>
      <c r="GV28" s="321"/>
      <c r="GW28" s="321"/>
      <c r="GX28" s="321"/>
      <c r="GY28" s="321"/>
      <c r="GZ28" s="564"/>
      <c r="HA28" s="321"/>
      <c r="HB28" s="321"/>
      <c r="HC28" s="321"/>
      <c r="HD28" s="321"/>
      <c r="HE28" s="321"/>
      <c r="HF28" s="1322"/>
      <c r="HG28" s="1323"/>
      <c r="HH28" s="1324"/>
      <c r="HI28" s="1323"/>
      <c r="HJ28" s="1323"/>
      <c r="HK28" s="1322"/>
      <c r="HL28" s="321"/>
      <c r="HM28" s="321"/>
      <c r="HN28" s="321"/>
      <c r="HO28" s="321"/>
      <c r="HP28" s="564"/>
      <c r="HQ28" s="321"/>
      <c r="HR28" s="321"/>
      <c r="HS28" s="321"/>
      <c r="HT28" s="321"/>
      <c r="HU28" s="321"/>
      <c r="HV28" s="1322"/>
      <c r="HW28" s="1323"/>
      <c r="HX28" s="1324"/>
      <c r="HY28" s="1323"/>
      <c r="HZ28" s="1323"/>
      <c r="IA28" s="1322"/>
      <c r="IB28" s="321"/>
      <c r="IC28" s="321"/>
      <c r="ID28" s="321"/>
      <c r="IE28" s="321"/>
      <c r="IF28" s="564"/>
      <c r="IG28" s="321"/>
      <c r="IH28" s="321"/>
      <c r="II28" s="321"/>
      <c r="IJ28" s="321"/>
      <c r="IK28" s="321"/>
      <c r="IL28" s="1322"/>
      <c r="IM28" s="1323"/>
      <c r="IN28" s="1324"/>
      <c r="IO28" s="1323"/>
      <c r="IP28" s="1323"/>
      <c r="IQ28" s="1322"/>
      <c r="IR28" s="321"/>
      <c r="IS28" s="321"/>
      <c r="IT28" s="321"/>
      <c r="IU28" s="321"/>
      <c r="IV28" s="564"/>
    </row>
    <row r="29" spans="1:256" s="328" customFormat="1" ht="8.25" customHeight="1">
      <c r="A29" s="483"/>
      <c r="B29" s="321"/>
      <c r="C29" s="321"/>
      <c r="D29" s="321"/>
      <c r="E29" s="321"/>
      <c r="F29" s="321"/>
      <c r="G29" s="420"/>
      <c r="H29" s="409"/>
      <c r="I29" s="321"/>
      <c r="J29" s="321"/>
      <c r="K29" s="321"/>
      <c r="L29" s="321"/>
      <c r="M29" s="321"/>
      <c r="N29" s="321"/>
      <c r="O29" s="321"/>
      <c r="P29" s="321"/>
      <c r="Q29" s="483"/>
      <c r="R29" s="321"/>
      <c r="S29" s="321"/>
      <c r="T29" s="321"/>
      <c r="U29" s="321"/>
      <c r="V29" s="321"/>
      <c r="W29" s="321"/>
      <c r="X29" s="445"/>
      <c r="Y29" s="412"/>
      <c r="Z29" s="321"/>
      <c r="AA29" s="321"/>
      <c r="AB29" s="321"/>
      <c r="AC29" s="321"/>
      <c r="AD29" s="321"/>
      <c r="AE29" s="321"/>
      <c r="AF29" s="564"/>
      <c r="AG29" s="483"/>
      <c r="AH29" s="321"/>
      <c r="AI29" s="441"/>
      <c r="AJ29" s="423"/>
      <c r="AK29" s="427"/>
      <c r="AL29" s="427"/>
      <c r="AM29" s="423"/>
      <c r="AN29" s="423"/>
      <c r="AO29" s="423"/>
      <c r="AP29" s="418"/>
      <c r="AQ29" s="418"/>
      <c r="AR29" s="418"/>
      <c r="AS29" s="423"/>
      <c r="AT29" s="418"/>
      <c r="AU29" s="321"/>
      <c r="AV29" s="564"/>
      <c r="AW29" s="429"/>
      <c r="AX29" s="409"/>
      <c r="AY29" s="420"/>
      <c r="AZ29" s="409"/>
      <c r="BA29" s="409"/>
      <c r="BB29" s="415"/>
      <c r="BC29" s="429"/>
      <c r="BD29" s="429"/>
      <c r="BE29" s="429"/>
      <c r="BF29" s="409"/>
      <c r="BG29" s="415"/>
      <c r="BH29" s="409"/>
      <c r="BI29" s="409"/>
      <c r="BJ29" s="420"/>
      <c r="BK29" s="409"/>
      <c r="BL29" s="420"/>
      <c r="BM29" s="1308"/>
      <c r="BN29" s="1309"/>
      <c r="BO29" s="415"/>
      <c r="BP29" s="417"/>
      <c r="BQ29" s="422"/>
      <c r="BR29" s="426"/>
      <c r="BS29" s="422"/>
      <c r="BT29" s="422"/>
      <c r="BU29" s="417"/>
      <c r="BV29" s="417"/>
      <c r="BW29" s="417"/>
      <c r="BX29" s="417"/>
      <c r="BY29" s="422"/>
      <c r="BZ29" s="415"/>
      <c r="CA29" s="1309"/>
      <c r="CB29" s="1310"/>
      <c r="CC29" s="1308"/>
      <c r="CD29" s="1309"/>
      <c r="CE29" s="415"/>
      <c r="CF29" s="417"/>
      <c r="CG29" s="422"/>
      <c r="CH29" s="422"/>
      <c r="CI29" s="417"/>
      <c r="CJ29" s="422"/>
      <c r="CK29" s="417"/>
      <c r="CL29" s="417"/>
      <c r="CM29" s="417"/>
      <c r="CN29" s="417"/>
      <c r="CO29" s="422"/>
      <c r="CP29" s="415"/>
      <c r="CQ29" s="1309"/>
      <c r="CR29" s="1310"/>
      <c r="CS29" s="1308"/>
      <c r="CT29" s="1309"/>
      <c r="CU29" s="415"/>
      <c r="CV29" s="417"/>
      <c r="CW29" s="417"/>
      <c r="CX29" s="422"/>
      <c r="CY29" s="417"/>
      <c r="CZ29" s="417"/>
      <c r="DA29" s="415"/>
      <c r="DB29" s="417"/>
      <c r="DC29" s="415"/>
      <c r="DD29" s="417"/>
      <c r="DE29" s="422"/>
      <c r="DF29" s="415"/>
      <c r="DG29" s="1309"/>
      <c r="DH29" s="1310"/>
      <c r="DI29" s="1308"/>
      <c r="DJ29" s="1309"/>
      <c r="DK29" s="415"/>
      <c r="DL29" s="417"/>
      <c r="DM29" s="422"/>
      <c r="DN29" s="422"/>
      <c r="DO29" s="417"/>
      <c r="DP29" s="417"/>
      <c r="DQ29" s="415"/>
      <c r="DR29" s="417"/>
      <c r="DS29" s="417"/>
      <c r="DT29" s="417"/>
      <c r="DU29" s="422"/>
      <c r="DV29" s="415"/>
      <c r="DW29" s="1309"/>
      <c r="DX29" s="1310"/>
      <c r="DY29" s="1308"/>
      <c r="DZ29" s="1309"/>
      <c r="EA29" s="1309"/>
      <c r="EB29" s="1309"/>
      <c r="EC29" s="1309"/>
      <c r="ED29" s="452"/>
      <c r="EE29" s="459"/>
      <c r="EF29" s="459"/>
      <c r="EG29" s="446"/>
      <c r="EH29" s="446"/>
      <c r="EI29" s="411"/>
      <c r="EJ29" s="1309"/>
      <c r="EK29" s="1309"/>
      <c r="EL29" s="1309"/>
      <c r="EM29" s="1309"/>
      <c r="EN29" s="1310"/>
      <c r="EO29" s="1308"/>
      <c r="EP29" s="1309"/>
      <c r="EQ29" s="1309"/>
      <c r="ER29" s="1309"/>
      <c r="ES29" s="1309"/>
      <c r="ET29" s="411"/>
      <c r="EU29" s="459"/>
      <c r="EV29" s="446"/>
      <c r="EW29" s="433"/>
      <c r="EX29" s="433"/>
      <c r="EY29" s="439"/>
      <c r="EZ29" s="1309"/>
      <c r="FA29" s="1309"/>
      <c r="FB29" s="1309"/>
      <c r="FC29" s="1309"/>
      <c r="FD29" s="1310"/>
      <c r="FE29" s="440"/>
      <c r="FF29" s="440"/>
      <c r="FG29" s="446"/>
      <c r="FH29" s="446"/>
      <c r="FI29" s="440"/>
      <c r="FJ29" s="433"/>
      <c r="FK29" s="426"/>
      <c r="FL29" s="417"/>
      <c r="FM29" s="426"/>
      <c r="FN29" s="433"/>
      <c r="FO29" s="440"/>
      <c r="FP29" s="446"/>
      <c r="FQ29" s="446"/>
      <c r="FR29" s="440"/>
      <c r="FS29" s="440"/>
      <c r="FT29" s="433"/>
      <c r="FU29" s="321"/>
      <c r="FV29" s="321"/>
      <c r="FW29" s="321"/>
      <c r="FX29" s="321"/>
      <c r="FY29" s="321"/>
      <c r="FZ29" s="1322"/>
      <c r="GA29" s="1323"/>
      <c r="GB29" s="1324"/>
      <c r="GC29" s="1323"/>
      <c r="GD29" s="1323"/>
      <c r="GE29" s="1322"/>
      <c r="GF29" s="321"/>
      <c r="GG29" s="321"/>
      <c r="GH29" s="321"/>
      <c r="GI29" s="321"/>
      <c r="GJ29" s="564"/>
      <c r="GK29" s="321"/>
      <c r="GL29" s="321"/>
      <c r="GM29" s="321"/>
      <c r="GN29" s="321"/>
      <c r="GO29" s="321"/>
      <c r="GP29" s="1322"/>
      <c r="GQ29" s="1323"/>
      <c r="GR29" s="1324"/>
      <c r="GS29" s="1323"/>
      <c r="GT29" s="1323"/>
      <c r="GU29" s="1322"/>
      <c r="GV29" s="321"/>
      <c r="GW29" s="321"/>
      <c r="GX29" s="321"/>
      <c r="GY29" s="321"/>
      <c r="GZ29" s="564"/>
      <c r="HA29" s="321"/>
      <c r="HB29" s="321"/>
      <c r="HC29" s="321"/>
      <c r="HD29" s="321"/>
      <c r="HE29" s="321"/>
      <c r="HF29" s="1322"/>
      <c r="HG29" s="1323"/>
      <c r="HH29" s="1324"/>
      <c r="HI29" s="1323"/>
      <c r="HJ29" s="1323"/>
      <c r="HK29" s="1322"/>
      <c r="HL29" s="321"/>
      <c r="HM29" s="321"/>
      <c r="HN29" s="321"/>
      <c r="HO29" s="321"/>
      <c r="HP29" s="564"/>
      <c r="HQ29" s="321"/>
      <c r="HR29" s="321"/>
      <c r="HS29" s="321"/>
      <c r="HT29" s="321"/>
      <c r="HU29" s="321"/>
      <c r="HV29" s="1322"/>
      <c r="HW29" s="1323"/>
      <c r="HX29" s="1324"/>
      <c r="HY29" s="1323"/>
      <c r="HZ29" s="1323"/>
      <c r="IA29" s="1322"/>
      <c r="IB29" s="321"/>
      <c r="IC29" s="321"/>
      <c r="ID29" s="321"/>
      <c r="IE29" s="321"/>
      <c r="IF29" s="564"/>
      <c r="IG29" s="321"/>
      <c r="IH29" s="321"/>
      <c r="II29" s="321"/>
      <c r="IJ29" s="321"/>
      <c r="IK29" s="321"/>
      <c r="IL29" s="1322"/>
      <c r="IM29" s="1323"/>
      <c r="IN29" s="1324"/>
      <c r="IO29" s="1323"/>
      <c r="IP29" s="1323"/>
      <c r="IQ29" s="1322"/>
      <c r="IR29" s="321"/>
      <c r="IS29" s="321"/>
      <c r="IT29" s="321"/>
      <c r="IU29" s="321"/>
      <c r="IV29" s="564"/>
    </row>
    <row r="30" spans="1:256" s="328" customFormat="1" ht="8.25" customHeight="1">
      <c r="A30" s="483"/>
      <c r="B30" s="321"/>
      <c r="C30" s="321"/>
      <c r="D30" s="321"/>
      <c r="E30" s="321"/>
      <c r="F30" s="415"/>
      <c r="G30" s="409"/>
      <c r="H30" s="420"/>
      <c r="I30" s="420"/>
      <c r="J30" s="321"/>
      <c r="K30" s="321"/>
      <c r="L30" s="321"/>
      <c r="M30" s="321"/>
      <c r="N30" s="321"/>
      <c r="O30" s="321"/>
      <c r="P30" s="321"/>
      <c r="Q30" s="483"/>
      <c r="R30" s="321"/>
      <c r="S30" s="321"/>
      <c r="T30" s="321"/>
      <c r="U30" s="321"/>
      <c r="V30" s="321"/>
      <c r="W30" s="412"/>
      <c r="X30" s="438"/>
      <c r="Y30" s="431"/>
      <c r="Z30" s="412"/>
      <c r="AA30" s="321"/>
      <c r="AB30" s="321"/>
      <c r="AC30" s="321"/>
      <c r="AD30" s="321"/>
      <c r="AE30" s="321"/>
      <c r="AF30" s="564"/>
      <c r="AG30" s="483"/>
      <c r="AH30" s="321"/>
      <c r="AI30" s="423"/>
      <c r="AJ30" s="441"/>
      <c r="AK30" s="427"/>
      <c r="AL30" s="427"/>
      <c r="AM30" s="423"/>
      <c r="AN30" s="423"/>
      <c r="AO30" s="423"/>
      <c r="AP30" s="418"/>
      <c r="AQ30" s="418"/>
      <c r="AR30" s="418"/>
      <c r="AS30" s="423"/>
      <c r="AT30" s="418"/>
      <c r="AU30" s="321"/>
      <c r="AV30" s="564"/>
      <c r="AW30" s="429"/>
      <c r="AX30" s="409"/>
      <c r="AY30" s="420"/>
      <c r="AZ30" s="420"/>
      <c r="BA30" s="415"/>
      <c r="BB30" s="420"/>
      <c r="BC30" s="420"/>
      <c r="BD30" s="420"/>
      <c r="BE30" s="420"/>
      <c r="BF30" s="420"/>
      <c r="BG30" s="420"/>
      <c r="BH30" s="415"/>
      <c r="BI30" s="420"/>
      <c r="BJ30" s="420"/>
      <c r="BK30" s="409"/>
      <c r="BL30" s="420"/>
      <c r="BM30" s="1308"/>
      <c r="BN30" s="1309"/>
      <c r="BO30" s="415"/>
      <c r="BP30" s="417"/>
      <c r="BQ30" s="422"/>
      <c r="BR30" s="422"/>
      <c r="BS30" s="422"/>
      <c r="BT30" s="417"/>
      <c r="BU30" s="417"/>
      <c r="BV30" s="417"/>
      <c r="BW30" s="417"/>
      <c r="BX30" s="422"/>
      <c r="BY30" s="422"/>
      <c r="BZ30" s="415"/>
      <c r="CA30" s="1309"/>
      <c r="CB30" s="1310"/>
      <c r="CC30" s="1308"/>
      <c r="CD30" s="1309"/>
      <c r="CE30" s="415"/>
      <c r="CF30" s="417"/>
      <c r="CG30" s="417"/>
      <c r="CH30" s="422"/>
      <c r="CI30" s="422"/>
      <c r="CJ30" s="417"/>
      <c r="CK30" s="417"/>
      <c r="CL30" s="415"/>
      <c r="CM30" s="417"/>
      <c r="CN30" s="422"/>
      <c r="CO30" s="417"/>
      <c r="CP30" s="415"/>
      <c r="CQ30" s="1309"/>
      <c r="CR30" s="1310"/>
      <c r="CS30" s="1308"/>
      <c r="CT30" s="1309"/>
      <c r="CU30" s="415"/>
      <c r="CV30" s="417"/>
      <c r="CW30" s="422"/>
      <c r="CX30" s="417"/>
      <c r="CY30" s="422"/>
      <c r="CZ30" s="417"/>
      <c r="DA30" s="417"/>
      <c r="DB30" s="415"/>
      <c r="DC30" s="417"/>
      <c r="DD30" s="417"/>
      <c r="DE30" s="417"/>
      <c r="DF30" s="415"/>
      <c r="DG30" s="1309"/>
      <c r="DH30" s="1310"/>
      <c r="DI30" s="1308"/>
      <c r="DJ30" s="1309"/>
      <c r="DK30" s="415"/>
      <c r="DL30" s="417"/>
      <c r="DM30" s="417"/>
      <c r="DN30" s="422"/>
      <c r="DO30" s="422"/>
      <c r="DP30" s="417"/>
      <c r="DQ30" s="417"/>
      <c r="DR30" s="415"/>
      <c r="DS30" s="417"/>
      <c r="DT30" s="422"/>
      <c r="DU30" s="417"/>
      <c r="DV30" s="415"/>
      <c r="DW30" s="1309"/>
      <c r="DX30" s="1310"/>
      <c r="DY30" s="1308"/>
      <c r="DZ30" s="1309"/>
      <c r="EA30" s="1309"/>
      <c r="EB30" s="1309"/>
      <c r="EC30" s="1309"/>
      <c r="ED30" s="452"/>
      <c r="EE30" s="410"/>
      <c r="EF30" s="459"/>
      <c r="EG30" s="446"/>
      <c r="EH30" s="452"/>
      <c r="EI30" s="411"/>
      <c r="EJ30" s="1309"/>
      <c r="EK30" s="1309"/>
      <c r="EL30" s="1309"/>
      <c r="EM30" s="1309"/>
      <c r="EN30" s="1310"/>
      <c r="EO30" s="1308"/>
      <c r="EP30" s="1309"/>
      <c r="EQ30" s="1309"/>
      <c r="ER30" s="1309"/>
      <c r="ES30" s="1309"/>
      <c r="ET30" s="411"/>
      <c r="EU30" s="452"/>
      <c r="EV30" s="446"/>
      <c r="EW30" s="433"/>
      <c r="EX30" s="411"/>
      <c r="EY30" s="439"/>
      <c r="EZ30" s="1309"/>
      <c r="FA30" s="1309"/>
      <c r="FB30" s="1309"/>
      <c r="FC30" s="1309"/>
      <c r="FD30" s="1310"/>
      <c r="FE30" s="440"/>
      <c r="FF30" s="440"/>
      <c r="FG30" s="446"/>
      <c r="FH30" s="446"/>
      <c r="FI30" s="440"/>
      <c r="FJ30" s="433"/>
      <c r="FK30" s="426"/>
      <c r="FL30" s="417"/>
      <c r="FM30" s="426"/>
      <c r="FN30" s="433"/>
      <c r="FO30" s="440"/>
      <c r="FP30" s="446"/>
      <c r="FQ30" s="446"/>
      <c r="FR30" s="440"/>
      <c r="FS30" s="440"/>
      <c r="FT30" s="433"/>
      <c r="FU30" s="321"/>
      <c r="FV30" s="321"/>
      <c r="FW30" s="321"/>
      <c r="FX30" s="321"/>
      <c r="FY30" s="321"/>
      <c r="FZ30" s="1318"/>
      <c r="GA30" s="1323"/>
      <c r="GB30" s="1324"/>
      <c r="GC30" s="1323"/>
      <c r="GD30" s="1323"/>
      <c r="GE30" s="1318"/>
      <c r="GF30" s="321"/>
      <c r="GG30" s="321"/>
      <c r="GH30" s="321"/>
      <c r="GI30" s="321"/>
      <c r="GJ30" s="564"/>
      <c r="GK30" s="321"/>
      <c r="GL30" s="321"/>
      <c r="GM30" s="321"/>
      <c r="GN30" s="321"/>
      <c r="GO30" s="321"/>
      <c r="GP30" s="1318"/>
      <c r="GQ30" s="1323"/>
      <c r="GR30" s="1324"/>
      <c r="GS30" s="1323"/>
      <c r="GT30" s="1323"/>
      <c r="GU30" s="1318"/>
      <c r="GV30" s="321"/>
      <c r="GW30" s="321"/>
      <c r="GX30" s="321"/>
      <c r="GY30" s="321"/>
      <c r="GZ30" s="564"/>
      <c r="HA30" s="321"/>
      <c r="HB30" s="321"/>
      <c r="HC30" s="321"/>
      <c r="HD30" s="321"/>
      <c r="HE30" s="321"/>
      <c r="HF30" s="1318"/>
      <c r="HG30" s="1323"/>
      <c r="HH30" s="1324"/>
      <c r="HI30" s="1323"/>
      <c r="HJ30" s="1323"/>
      <c r="HK30" s="1318"/>
      <c r="HL30" s="321"/>
      <c r="HM30" s="321"/>
      <c r="HN30" s="321"/>
      <c r="HO30" s="321"/>
      <c r="HP30" s="564"/>
      <c r="HQ30" s="321"/>
      <c r="HR30" s="321"/>
      <c r="HS30" s="321"/>
      <c r="HT30" s="321"/>
      <c r="HU30" s="321"/>
      <c r="HV30" s="1318"/>
      <c r="HW30" s="1323"/>
      <c r="HX30" s="1324"/>
      <c r="HY30" s="1323"/>
      <c r="HZ30" s="1323"/>
      <c r="IA30" s="1318"/>
      <c r="IB30" s="321"/>
      <c r="IC30" s="321"/>
      <c r="ID30" s="321"/>
      <c r="IE30" s="321"/>
      <c r="IF30" s="564"/>
      <c r="IG30" s="321"/>
      <c r="IH30" s="321"/>
      <c r="II30" s="321"/>
      <c r="IJ30" s="321"/>
      <c r="IK30" s="321"/>
      <c r="IL30" s="1318"/>
      <c r="IM30" s="1323"/>
      <c r="IN30" s="1324"/>
      <c r="IO30" s="1323"/>
      <c r="IP30" s="1323"/>
      <c r="IQ30" s="1318"/>
      <c r="IR30" s="321"/>
      <c r="IS30" s="321"/>
      <c r="IT30" s="321"/>
      <c r="IU30" s="321"/>
      <c r="IV30" s="564"/>
    </row>
    <row r="31" spans="1:256" s="328" customFormat="1" ht="8.25" customHeight="1">
      <c r="A31" s="483"/>
      <c r="B31" s="321"/>
      <c r="C31" s="321"/>
      <c r="D31" s="321"/>
      <c r="E31" s="415"/>
      <c r="F31" s="409"/>
      <c r="G31" s="420"/>
      <c r="H31" s="420"/>
      <c r="I31" s="420"/>
      <c r="J31" s="409"/>
      <c r="K31" s="321"/>
      <c r="L31" s="321"/>
      <c r="M31" s="321"/>
      <c r="N31" s="321"/>
      <c r="O31" s="321"/>
      <c r="P31" s="321"/>
      <c r="Q31" s="483"/>
      <c r="R31" s="321"/>
      <c r="S31" s="321"/>
      <c r="T31" s="321"/>
      <c r="U31" s="321"/>
      <c r="V31" s="412"/>
      <c r="W31" s="438"/>
      <c r="X31" s="438"/>
      <c r="Y31" s="438"/>
      <c r="Z31" s="438"/>
      <c r="AA31" s="412"/>
      <c r="AB31" s="321"/>
      <c r="AC31" s="321"/>
      <c r="AD31" s="321"/>
      <c r="AE31" s="321"/>
      <c r="AF31" s="564"/>
      <c r="AG31" s="483"/>
      <c r="AH31" s="321"/>
      <c r="AI31" s="321"/>
      <c r="AJ31" s="418"/>
      <c r="AK31" s="418"/>
      <c r="AL31" s="441"/>
      <c r="AM31" s="423"/>
      <c r="AN31" s="423"/>
      <c r="AO31" s="423"/>
      <c r="AP31" s="418"/>
      <c r="AQ31" s="418"/>
      <c r="AR31" s="415"/>
      <c r="AS31" s="415"/>
      <c r="AT31" s="321"/>
      <c r="AU31" s="321"/>
      <c r="AV31" s="564"/>
      <c r="AW31" s="429"/>
      <c r="AX31" s="415"/>
      <c r="AY31" s="409"/>
      <c r="AZ31" s="409"/>
      <c r="BA31" s="409"/>
      <c r="BB31" s="409"/>
      <c r="BC31" s="409"/>
      <c r="BD31" s="409"/>
      <c r="BE31" s="409"/>
      <c r="BF31" s="409"/>
      <c r="BG31" s="409"/>
      <c r="BH31" s="409"/>
      <c r="BI31" s="409"/>
      <c r="BJ31" s="409"/>
      <c r="BK31" s="415"/>
      <c r="BL31" s="420"/>
      <c r="BM31" s="1308"/>
      <c r="BN31" s="1309"/>
      <c r="BO31" s="1309"/>
      <c r="BP31" s="415"/>
      <c r="BQ31" s="420"/>
      <c r="BR31" s="426"/>
      <c r="BS31" s="422"/>
      <c r="BT31" s="422"/>
      <c r="BU31" s="417"/>
      <c r="BV31" s="417"/>
      <c r="BW31" s="417"/>
      <c r="BX31" s="415"/>
      <c r="BY31" s="415"/>
      <c r="BZ31" s="1309"/>
      <c r="CA31" s="1309"/>
      <c r="CB31" s="1310"/>
      <c r="CC31" s="1308"/>
      <c r="CD31" s="1309"/>
      <c r="CE31" s="1309"/>
      <c r="CF31" s="415"/>
      <c r="CG31" s="420"/>
      <c r="CH31" s="422"/>
      <c r="CI31" s="417"/>
      <c r="CJ31" s="422"/>
      <c r="CK31" s="417"/>
      <c r="CL31" s="417"/>
      <c r="CM31" s="417"/>
      <c r="CN31" s="415"/>
      <c r="CO31" s="415"/>
      <c r="CP31" s="1309"/>
      <c r="CQ31" s="1309"/>
      <c r="CR31" s="1310"/>
      <c r="CS31" s="1308"/>
      <c r="CT31" s="1309"/>
      <c r="CU31" s="1309"/>
      <c r="CV31" s="415"/>
      <c r="CW31" s="420"/>
      <c r="CX31" s="422"/>
      <c r="CY31" s="417"/>
      <c r="CZ31" s="417"/>
      <c r="DA31" s="415"/>
      <c r="DB31" s="417"/>
      <c r="DC31" s="415"/>
      <c r="DD31" s="415"/>
      <c r="DE31" s="415"/>
      <c r="DF31" s="1309"/>
      <c r="DG31" s="1309"/>
      <c r="DH31" s="1310"/>
      <c r="DI31" s="1308"/>
      <c r="DJ31" s="1309"/>
      <c r="DK31" s="1309"/>
      <c r="DL31" s="415"/>
      <c r="DM31" s="420"/>
      <c r="DN31" s="422"/>
      <c r="DO31" s="417"/>
      <c r="DP31" s="417"/>
      <c r="DQ31" s="415"/>
      <c r="DR31" s="417"/>
      <c r="DS31" s="417"/>
      <c r="DT31" s="415"/>
      <c r="DU31" s="415"/>
      <c r="DV31" s="1309"/>
      <c r="DW31" s="1309"/>
      <c r="DX31" s="1310"/>
      <c r="DY31" s="1308"/>
      <c r="DZ31" s="1309"/>
      <c r="EA31" s="1309"/>
      <c r="EB31" s="1309"/>
      <c r="EC31" s="1309"/>
      <c r="ED31" s="452"/>
      <c r="EE31" s="452"/>
      <c r="EF31" s="459"/>
      <c r="EG31" s="446"/>
      <c r="EH31" s="452"/>
      <c r="EI31" s="411"/>
      <c r="EJ31" s="1309"/>
      <c r="EK31" s="1309"/>
      <c r="EL31" s="1309"/>
      <c r="EM31" s="1309"/>
      <c r="EN31" s="1310"/>
      <c r="EO31" s="1308"/>
      <c r="EP31" s="1309"/>
      <c r="EQ31" s="1309"/>
      <c r="ER31" s="1309"/>
      <c r="ES31" s="1309"/>
      <c r="ET31" s="411"/>
      <c r="EU31" s="452"/>
      <c r="EV31" s="446"/>
      <c r="EW31" s="433"/>
      <c r="EX31" s="411"/>
      <c r="EY31" s="439"/>
      <c r="EZ31" s="1309"/>
      <c r="FA31" s="1309"/>
      <c r="FB31" s="1309"/>
      <c r="FC31" s="1309"/>
      <c r="FD31" s="1310"/>
      <c r="FE31" s="440"/>
      <c r="FF31" s="440"/>
      <c r="FG31" s="446"/>
      <c r="FH31" s="446"/>
      <c r="FI31" s="440"/>
      <c r="FJ31" s="433"/>
      <c r="FK31" s="426"/>
      <c r="FL31" s="422"/>
      <c r="FM31" s="426"/>
      <c r="FN31" s="433"/>
      <c r="FO31" s="440"/>
      <c r="FP31" s="446"/>
      <c r="FQ31" s="446"/>
      <c r="FR31" s="440"/>
      <c r="FS31" s="440"/>
      <c r="FT31" s="433"/>
      <c r="FU31" s="321"/>
      <c r="FV31" s="321"/>
      <c r="FW31" s="321"/>
      <c r="FX31" s="321"/>
      <c r="FY31" s="321"/>
      <c r="FZ31" s="1318"/>
      <c r="GA31" s="1319"/>
      <c r="GB31" s="1318"/>
      <c r="GC31" s="1321"/>
      <c r="GD31" s="1321"/>
      <c r="GE31" s="1318"/>
      <c r="GF31" s="321"/>
      <c r="GG31" s="321"/>
      <c r="GH31" s="321"/>
      <c r="GI31" s="321"/>
      <c r="GJ31" s="564"/>
      <c r="GK31" s="321"/>
      <c r="GL31" s="321"/>
      <c r="GM31" s="321"/>
      <c r="GN31" s="321"/>
      <c r="GO31" s="321"/>
      <c r="GP31" s="1318"/>
      <c r="GQ31" s="1319"/>
      <c r="GR31" s="1318"/>
      <c r="GS31" s="1321"/>
      <c r="GT31" s="1321"/>
      <c r="GU31" s="1318"/>
      <c r="GV31" s="321"/>
      <c r="GW31" s="321"/>
      <c r="GX31" s="321"/>
      <c r="GY31" s="321"/>
      <c r="GZ31" s="564"/>
      <c r="HA31" s="321"/>
      <c r="HB31" s="321"/>
      <c r="HC31" s="321"/>
      <c r="HD31" s="321"/>
      <c r="HE31" s="321"/>
      <c r="HF31" s="1318"/>
      <c r="HG31" s="1319"/>
      <c r="HH31" s="1318"/>
      <c r="HI31" s="1321"/>
      <c r="HJ31" s="1321"/>
      <c r="HK31" s="1318"/>
      <c r="HL31" s="321"/>
      <c r="HM31" s="321"/>
      <c r="HN31" s="321"/>
      <c r="HO31" s="321"/>
      <c r="HP31" s="564"/>
      <c r="HQ31" s="321"/>
      <c r="HR31" s="321"/>
      <c r="HS31" s="321"/>
      <c r="HT31" s="321"/>
      <c r="HU31" s="321"/>
      <c r="HV31" s="1318"/>
      <c r="HW31" s="1319"/>
      <c r="HX31" s="1318"/>
      <c r="HY31" s="1321"/>
      <c r="HZ31" s="1321"/>
      <c r="IA31" s="1318"/>
      <c r="IB31" s="321"/>
      <c r="IC31" s="321"/>
      <c r="ID31" s="321"/>
      <c r="IE31" s="321"/>
      <c r="IF31" s="564"/>
      <c r="IG31" s="321"/>
      <c r="IH31" s="321"/>
      <c r="II31" s="321"/>
      <c r="IJ31" s="321"/>
      <c r="IK31" s="321"/>
      <c r="IL31" s="1318"/>
      <c r="IM31" s="1319"/>
      <c r="IN31" s="1318"/>
      <c r="IO31" s="1321"/>
      <c r="IP31" s="1321"/>
      <c r="IQ31" s="1318"/>
      <c r="IR31" s="321"/>
      <c r="IS31" s="321"/>
      <c r="IT31" s="321"/>
      <c r="IU31" s="321"/>
      <c r="IV31" s="564"/>
    </row>
    <row r="32" spans="1:256" s="479" customFormat="1" ht="8.25" customHeight="1">
      <c r="A32" s="483"/>
      <c r="B32" s="321"/>
      <c r="C32" s="321"/>
      <c r="D32" s="321"/>
      <c r="E32" s="321"/>
      <c r="F32" s="415"/>
      <c r="G32" s="420"/>
      <c r="H32" s="420"/>
      <c r="I32" s="409"/>
      <c r="J32" s="321"/>
      <c r="K32" s="321"/>
      <c r="L32" s="321"/>
      <c r="M32" s="321"/>
      <c r="N32" s="321"/>
      <c r="O32" s="321"/>
      <c r="P32" s="321"/>
      <c r="Q32" s="569"/>
      <c r="R32" s="569"/>
      <c r="S32" s="569"/>
      <c r="T32" s="569"/>
      <c r="U32" s="569"/>
      <c r="V32" s="569"/>
      <c r="W32" s="1239"/>
      <c r="X32" s="1239"/>
      <c r="Y32" s="1239"/>
      <c r="Z32" s="1239"/>
      <c r="AA32" s="569"/>
      <c r="AB32" s="569"/>
      <c r="AC32" s="569"/>
      <c r="AD32" s="569"/>
      <c r="AE32" s="569"/>
      <c r="AF32" s="570"/>
      <c r="AG32" s="651"/>
      <c r="AH32" s="569"/>
      <c r="AI32" s="569"/>
      <c r="AJ32" s="569"/>
      <c r="AK32" s="569"/>
      <c r="AL32" s="1311"/>
      <c r="AM32" s="1311"/>
      <c r="AN32" s="1311"/>
      <c r="AO32" s="1311"/>
      <c r="AP32" s="581"/>
      <c r="AQ32" s="581"/>
      <c r="AR32" s="569"/>
      <c r="AS32" s="569"/>
      <c r="AT32" s="569"/>
      <c r="AU32" s="569"/>
      <c r="AV32" s="570"/>
      <c r="AW32" s="572"/>
      <c r="AX32" s="581"/>
      <c r="AY32" s="581"/>
      <c r="AZ32" s="581"/>
      <c r="BA32" s="581"/>
      <c r="BB32" s="581"/>
      <c r="BC32" s="581"/>
      <c r="BD32" s="581"/>
      <c r="BE32" s="581"/>
      <c r="BF32" s="581"/>
      <c r="BG32" s="581"/>
      <c r="BH32" s="581"/>
      <c r="BI32" s="581"/>
      <c r="BJ32" s="581"/>
      <c r="BK32" s="581"/>
      <c r="BL32" s="581"/>
      <c r="BM32" s="1308"/>
      <c r="BN32" s="1309"/>
      <c r="BO32" s="1309"/>
      <c r="BP32" s="1309"/>
      <c r="BQ32" s="1309"/>
      <c r="BR32" s="420"/>
      <c r="BS32" s="420"/>
      <c r="BT32" s="415"/>
      <c r="BU32" s="415"/>
      <c r="BV32" s="415"/>
      <c r="BW32" s="415"/>
      <c r="BX32" s="1309"/>
      <c r="BY32" s="1309"/>
      <c r="BZ32" s="1309"/>
      <c r="CA32" s="1309"/>
      <c r="CB32" s="1310"/>
      <c r="CC32" s="1312"/>
      <c r="CD32" s="1313"/>
      <c r="CE32" s="1313"/>
      <c r="CF32" s="1313"/>
      <c r="CG32" s="1313"/>
      <c r="CH32" s="572"/>
      <c r="CI32" s="572"/>
      <c r="CJ32" s="581"/>
      <c r="CK32" s="581"/>
      <c r="CL32" s="581"/>
      <c r="CM32" s="581"/>
      <c r="CN32" s="1313"/>
      <c r="CO32" s="1313"/>
      <c r="CP32" s="1313"/>
      <c r="CQ32" s="1313"/>
      <c r="CR32" s="1314"/>
      <c r="CS32" s="1312"/>
      <c r="CT32" s="1313"/>
      <c r="CU32" s="1313"/>
      <c r="CV32" s="1313"/>
      <c r="CW32" s="1313"/>
      <c r="CX32" s="581"/>
      <c r="CY32" s="581"/>
      <c r="CZ32" s="581"/>
      <c r="DA32" s="581"/>
      <c r="DB32" s="581"/>
      <c r="DC32" s="581"/>
      <c r="DD32" s="1313"/>
      <c r="DE32" s="1313"/>
      <c r="DF32" s="1313"/>
      <c r="DG32" s="1313"/>
      <c r="DH32" s="1314"/>
      <c r="DI32" s="1312"/>
      <c r="DJ32" s="1313"/>
      <c r="DK32" s="1313"/>
      <c r="DL32" s="1313"/>
      <c r="DM32" s="1313"/>
      <c r="DN32" s="572"/>
      <c r="DO32" s="572"/>
      <c r="DP32" s="581"/>
      <c r="DQ32" s="581"/>
      <c r="DR32" s="581"/>
      <c r="DS32" s="581"/>
      <c r="DT32" s="1313"/>
      <c r="DU32" s="1313"/>
      <c r="DV32" s="1313"/>
      <c r="DW32" s="1313"/>
      <c r="DX32" s="1314"/>
      <c r="DY32" s="1312"/>
      <c r="DZ32" s="1313"/>
      <c r="EA32" s="1313"/>
      <c r="EB32" s="1313"/>
      <c r="EC32" s="1313"/>
      <c r="ED32" s="582"/>
      <c r="EE32" s="1306"/>
      <c r="EF32" s="1306"/>
      <c r="EG32" s="411"/>
      <c r="EH32" s="411"/>
      <c r="EI32" s="411"/>
      <c r="EJ32" s="1313"/>
      <c r="EK32" s="1313"/>
      <c r="EL32" s="1313"/>
      <c r="EM32" s="1313"/>
      <c r="EN32" s="1314"/>
      <c r="EO32" s="1312"/>
      <c r="EP32" s="1313"/>
      <c r="EQ32" s="1313"/>
      <c r="ER32" s="1313"/>
      <c r="ES32" s="1313"/>
      <c r="ET32" s="439"/>
      <c r="EU32" s="411"/>
      <c r="EV32" s="411"/>
      <c r="EW32" s="439"/>
      <c r="EX32" s="439"/>
      <c r="EY32" s="439"/>
      <c r="EZ32" s="1313"/>
      <c r="FA32" s="1313"/>
      <c r="FB32" s="1313"/>
      <c r="FC32" s="1313"/>
      <c r="FD32" s="1314"/>
      <c r="FE32" s="433"/>
      <c r="FF32" s="433"/>
      <c r="FG32" s="440"/>
      <c r="FH32" s="440"/>
      <c r="FI32" s="433"/>
      <c r="FJ32" s="426"/>
      <c r="FK32" s="426"/>
      <c r="FL32" s="422"/>
      <c r="FM32" s="426"/>
      <c r="FN32" s="426"/>
      <c r="FO32" s="433"/>
      <c r="FP32" s="440"/>
      <c r="FQ32" s="440"/>
      <c r="FR32" s="433"/>
      <c r="FS32" s="433"/>
      <c r="FT32" s="426"/>
      <c r="FU32" s="569"/>
      <c r="FV32" s="569"/>
      <c r="FW32" s="569"/>
      <c r="FX32" s="569"/>
      <c r="FY32" s="569"/>
      <c r="FZ32" s="569"/>
      <c r="GA32" s="1325"/>
      <c r="GB32" s="1326"/>
      <c r="GC32" s="1325"/>
      <c r="GD32" s="1326"/>
      <c r="GE32" s="569"/>
      <c r="GF32" s="569"/>
      <c r="GG32" s="569"/>
      <c r="GH32" s="569"/>
      <c r="GI32" s="569"/>
      <c r="GJ32" s="570"/>
      <c r="GK32" s="569"/>
      <c r="GL32" s="569"/>
      <c r="GM32" s="569"/>
      <c r="GN32" s="569"/>
      <c r="GO32" s="569"/>
      <c r="GP32" s="569"/>
      <c r="GQ32" s="1325"/>
      <c r="GR32" s="1326"/>
      <c r="GS32" s="1325"/>
      <c r="GT32" s="1326"/>
      <c r="GU32" s="569"/>
      <c r="GV32" s="569"/>
      <c r="GW32" s="569"/>
      <c r="GX32" s="569"/>
      <c r="GY32" s="569"/>
      <c r="GZ32" s="570"/>
      <c r="HA32" s="569"/>
      <c r="HB32" s="569"/>
      <c r="HC32" s="569"/>
      <c r="HD32" s="569"/>
      <c r="HE32" s="569"/>
      <c r="HF32" s="569"/>
      <c r="HG32" s="1325"/>
      <c r="HH32" s="1326"/>
      <c r="HI32" s="1325"/>
      <c r="HJ32" s="1326"/>
      <c r="HK32" s="569"/>
      <c r="HL32" s="569"/>
      <c r="HM32" s="569"/>
      <c r="HN32" s="569"/>
      <c r="HO32" s="569"/>
      <c r="HP32" s="570"/>
      <c r="HQ32" s="569"/>
      <c r="HR32" s="569"/>
      <c r="HS32" s="569"/>
      <c r="HT32" s="569"/>
      <c r="HU32" s="569"/>
      <c r="HV32" s="569"/>
      <c r="HW32" s="1325"/>
      <c r="HX32" s="1326"/>
      <c r="HY32" s="1325"/>
      <c r="HZ32" s="1326"/>
      <c r="IA32" s="569"/>
      <c r="IB32" s="569"/>
      <c r="IC32" s="569"/>
      <c r="ID32" s="569"/>
      <c r="IE32" s="569"/>
      <c r="IF32" s="570"/>
      <c r="IG32" s="569"/>
      <c r="IH32" s="569"/>
      <c r="II32" s="569"/>
      <c r="IJ32" s="569"/>
      <c r="IK32" s="569"/>
      <c r="IL32" s="569"/>
      <c r="IM32" s="1325"/>
      <c r="IN32" s="1326"/>
      <c r="IO32" s="1325"/>
      <c r="IP32" s="1326"/>
      <c r="IQ32" s="569"/>
      <c r="IR32" s="569"/>
      <c r="IS32" s="569"/>
      <c r="IT32" s="569"/>
      <c r="IU32" s="569"/>
      <c r="IV32" s="570"/>
    </row>
    <row r="33" spans="1:256" s="328" customFormat="1" ht="8.25" customHeight="1">
      <c r="A33" s="427">
        <v>17</v>
      </c>
      <c r="B33" s="423"/>
      <c r="C33" s="423"/>
      <c r="D33" s="409"/>
      <c r="E33" s="484"/>
      <c r="F33" s="409"/>
      <c r="G33" s="409"/>
      <c r="H33" s="420"/>
      <c r="I33" s="409"/>
      <c r="J33" s="484"/>
      <c r="K33" s="423"/>
      <c r="L33" s="420"/>
      <c r="M33" s="409"/>
      <c r="N33" s="423"/>
      <c r="O33" s="423"/>
      <c r="P33" s="696"/>
      <c r="Q33" s="321">
        <v>18</v>
      </c>
      <c r="R33" s="321"/>
      <c r="S33" s="321"/>
      <c r="T33" s="321"/>
      <c r="U33" s="321"/>
      <c r="V33" s="321"/>
      <c r="W33" s="321"/>
      <c r="X33" s="321"/>
      <c r="Y33" s="321"/>
      <c r="Z33" s="321"/>
      <c r="AA33" s="321"/>
      <c r="AB33" s="321"/>
      <c r="AC33" s="321"/>
      <c r="AD33" s="321"/>
      <c r="AE33" s="321"/>
      <c r="AF33" s="564"/>
      <c r="AG33" s="483">
        <v>19</v>
      </c>
      <c r="AH33" s="321"/>
      <c r="AI33" s="321"/>
      <c r="AJ33" s="321"/>
      <c r="AK33" s="321"/>
      <c r="AL33" s="321"/>
      <c r="AM33" s="321"/>
      <c r="AN33" s="321"/>
      <c r="AO33" s="321"/>
      <c r="AP33" s="321"/>
      <c r="AQ33" s="321"/>
      <c r="AR33" s="321"/>
      <c r="AS33" s="321"/>
      <c r="AT33" s="321"/>
      <c r="AU33" s="321"/>
      <c r="AV33" s="564"/>
      <c r="AW33" s="483">
        <v>20</v>
      </c>
      <c r="AX33" s="321"/>
      <c r="AY33" s="321"/>
      <c r="AZ33" s="321"/>
      <c r="BA33" s="321"/>
      <c r="BB33" s="321"/>
      <c r="BC33" s="321"/>
      <c r="BD33" s="321"/>
      <c r="BE33" s="321"/>
      <c r="BF33" s="321"/>
      <c r="BG33" s="321"/>
      <c r="BH33" s="321"/>
      <c r="BI33" s="321"/>
      <c r="BJ33" s="321"/>
      <c r="BK33" s="321"/>
      <c r="BL33" s="321"/>
      <c r="BM33" s="679">
        <v>21</v>
      </c>
      <c r="BN33" s="484"/>
      <c r="BO33" s="484"/>
      <c r="BP33" s="484"/>
      <c r="BQ33" s="484"/>
      <c r="BR33" s="484"/>
      <c r="BS33" s="484"/>
      <c r="BT33" s="484"/>
      <c r="BU33" s="484"/>
      <c r="BV33" s="484"/>
      <c r="BW33" s="484"/>
      <c r="BX33" s="484"/>
      <c r="BY33" s="484"/>
      <c r="BZ33" s="484"/>
      <c r="CA33" s="484"/>
      <c r="CB33" s="696"/>
      <c r="CC33" s="321">
        <v>22</v>
      </c>
      <c r="CD33" s="321"/>
      <c r="CE33" s="321"/>
      <c r="CF33" s="321"/>
      <c r="CG33" s="321"/>
      <c r="CH33" s="321"/>
      <c r="CI33" s="321"/>
      <c r="CJ33" s="321"/>
      <c r="CK33" s="321"/>
      <c r="CL33" s="321"/>
      <c r="CM33" s="321"/>
      <c r="CN33" s="321"/>
      <c r="CO33" s="321"/>
      <c r="CP33" s="321"/>
      <c r="CQ33" s="321"/>
      <c r="CR33" s="321"/>
      <c r="CS33" s="483">
        <v>23</v>
      </c>
      <c r="CT33" s="321"/>
      <c r="CU33" s="321"/>
      <c r="CV33" s="321"/>
      <c r="CW33" s="321"/>
      <c r="CX33" s="321"/>
      <c r="CY33" s="321"/>
      <c r="CZ33" s="321"/>
      <c r="DA33" s="321"/>
      <c r="DB33" s="321"/>
      <c r="DC33" s="321"/>
      <c r="DD33" s="321"/>
      <c r="DE33" s="321"/>
      <c r="DF33" s="321"/>
      <c r="DG33" s="321"/>
      <c r="DH33" s="564"/>
      <c r="DI33" s="483">
        <v>24</v>
      </c>
      <c r="DJ33" s="321"/>
      <c r="DK33" s="321"/>
      <c r="DL33" s="321"/>
      <c r="DM33" s="321"/>
      <c r="DN33" s="321"/>
      <c r="DO33" s="321"/>
      <c r="DP33" s="321"/>
      <c r="DQ33" s="321"/>
      <c r="DR33" s="321"/>
      <c r="DS33" s="321"/>
      <c r="DT33" s="321"/>
      <c r="DU33" s="321"/>
      <c r="DV33" s="321"/>
      <c r="DW33" s="321"/>
      <c r="DX33" s="564"/>
      <c r="DY33" s="483">
        <v>25</v>
      </c>
      <c r="DZ33" s="321"/>
      <c r="EA33" s="321"/>
      <c r="EB33" s="321"/>
      <c r="EC33" s="321"/>
      <c r="ED33" s="321"/>
      <c r="EE33" s="321"/>
      <c r="EF33" s="321"/>
      <c r="EG33" s="321"/>
      <c r="EH33" s="321"/>
      <c r="EI33" s="321"/>
      <c r="EJ33" s="321"/>
      <c r="EK33" s="321"/>
      <c r="EL33" s="321"/>
      <c r="EM33" s="321"/>
      <c r="EN33" s="564"/>
      <c r="EO33" s="483">
        <v>26</v>
      </c>
      <c r="EP33" s="321"/>
      <c r="EQ33" s="321"/>
      <c r="ER33" s="321"/>
      <c r="ES33" s="321"/>
      <c r="ET33" s="321"/>
      <c r="EU33" s="321"/>
      <c r="EV33" s="321"/>
      <c r="EW33" s="321"/>
      <c r="EX33" s="409"/>
      <c r="EY33" s="321"/>
      <c r="EZ33" s="321"/>
      <c r="FA33" s="321"/>
      <c r="FB33" s="321"/>
      <c r="FC33" s="321"/>
      <c r="FD33" s="564"/>
      <c r="FE33" s="483">
        <v>27</v>
      </c>
      <c r="FF33" s="321"/>
      <c r="FG33" s="321"/>
      <c r="FH33" s="321"/>
      <c r="FI33" s="321"/>
      <c r="FJ33" s="321"/>
      <c r="FK33" s="321"/>
      <c r="FL33" s="321"/>
      <c r="FM33" s="321"/>
      <c r="FN33" s="417"/>
      <c r="FO33" s="321"/>
      <c r="FP33" s="321"/>
      <c r="FQ33" s="321"/>
      <c r="FR33" s="321"/>
      <c r="FS33" s="321"/>
      <c r="FT33" s="564"/>
      <c r="FU33" s="483">
        <v>28</v>
      </c>
      <c r="FV33" s="321"/>
      <c r="FW33" s="321"/>
      <c r="FX33" s="321"/>
      <c r="FY33" s="417"/>
      <c r="FZ33" s="321"/>
      <c r="GA33" s="321"/>
      <c r="GB33" s="417"/>
      <c r="GC33" s="321"/>
      <c r="GD33" s="321"/>
      <c r="GE33" s="426"/>
      <c r="GF33" s="321"/>
      <c r="GG33" s="321"/>
      <c r="GH33" s="321"/>
      <c r="GI33" s="321"/>
      <c r="GJ33" s="564"/>
      <c r="GK33" s="483">
        <v>29</v>
      </c>
      <c r="GL33" s="321"/>
      <c r="GM33" s="321"/>
      <c r="GN33" s="321"/>
      <c r="GO33" s="321"/>
      <c r="GP33" s="321"/>
      <c r="GQ33" s="321"/>
      <c r="GR33" s="321"/>
      <c r="GS33" s="321"/>
      <c r="GT33" s="321"/>
      <c r="GU33" s="321"/>
      <c r="GV33" s="321"/>
      <c r="GW33" s="321"/>
      <c r="GX33" s="321"/>
      <c r="GY33" s="321"/>
      <c r="GZ33" s="564"/>
      <c r="HA33" s="483">
        <v>30</v>
      </c>
      <c r="HB33" s="321"/>
      <c r="HC33" s="321"/>
      <c r="HD33" s="321"/>
      <c r="HE33" s="321"/>
      <c r="HF33" s="321"/>
      <c r="HG33" s="321"/>
      <c r="HH33" s="321"/>
      <c r="HI33" s="321"/>
      <c r="HJ33" s="321"/>
      <c r="HK33" s="321"/>
      <c r="HL33" s="321"/>
      <c r="HM33" s="321"/>
      <c r="HN33" s="321"/>
      <c r="HO33" s="321"/>
      <c r="HP33" s="564"/>
      <c r="HQ33" s="483">
        <v>31</v>
      </c>
      <c r="HR33" s="321"/>
      <c r="HS33" s="321"/>
      <c r="HT33" s="321"/>
      <c r="HU33" s="321"/>
      <c r="HV33" s="321"/>
      <c r="HW33" s="321"/>
      <c r="HX33" s="321"/>
      <c r="HY33" s="321"/>
      <c r="HZ33" s="321"/>
      <c r="IA33" s="321"/>
      <c r="IB33" s="321"/>
      <c r="IC33" s="321"/>
      <c r="ID33" s="321"/>
      <c r="IE33" s="321"/>
      <c r="IF33" s="564"/>
      <c r="IG33" s="483">
        <v>32</v>
      </c>
      <c r="IH33" s="321"/>
      <c r="II33" s="321"/>
      <c r="IJ33" s="321"/>
      <c r="IK33" s="321"/>
      <c r="IL33" s="321"/>
      <c r="IM33" s="321"/>
      <c r="IN33" s="321"/>
      <c r="IO33" s="321"/>
      <c r="IP33" s="321"/>
      <c r="IQ33" s="321"/>
      <c r="IR33" s="321"/>
      <c r="IS33" s="321"/>
      <c r="IT33" s="321"/>
      <c r="IU33" s="321"/>
      <c r="IV33" s="564"/>
    </row>
    <row r="34" spans="1:256" s="328" customFormat="1" ht="8.25" customHeight="1">
      <c r="A34" s="483"/>
      <c r="B34" s="427"/>
      <c r="C34" s="427"/>
      <c r="D34" s="409"/>
      <c r="E34" s="409"/>
      <c r="F34" s="409"/>
      <c r="G34" s="409"/>
      <c r="H34" s="420"/>
      <c r="I34" s="409"/>
      <c r="J34" s="420"/>
      <c r="K34" s="420"/>
      <c r="L34" s="409"/>
      <c r="M34" s="427"/>
      <c r="N34" s="427"/>
      <c r="O34" s="321"/>
      <c r="P34" s="564"/>
      <c r="Q34" s="321"/>
      <c r="R34" s="321"/>
      <c r="S34" s="321"/>
      <c r="T34" s="321"/>
      <c r="U34" s="321"/>
      <c r="V34" s="321"/>
      <c r="W34" s="321"/>
      <c r="X34" s="321"/>
      <c r="Y34" s="321"/>
      <c r="Z34" s="321"/>
      <c r="AA34" s="321"/>
      <c r="AB34" s="321"/>
      <c r="AC34" s="321"/>
      <c r="AD34" s="321"/>
      <c r="AE34" s="321"/>
      <c r="AF34" s="564"/>
      <c r="AG34" s="483">
        <v>150</v>
      </c>
      <c r="AH34" s="321"/>
      <c r="AI34" s="321"/>
      <c r="AJ34" s="321"/>
      <c r="AK34" s="321"/>
      <c r="AL34" s="321"/>
      <c r="AM34" s="321"/>
      <c r="AN34" s="321"/>
      <c r="AO34" s="321"/>
      <c r="AP34" s="321"/>
      <c r="AQ34" s="321"/>
      <c r="AR34" s="321"/>
      <c r="AS34" s="321"/>
      <c r="AT34" s="321"/>
      <c r="AU34" s="321"/>
      <c r="AV34" s="564"/>
      <c r="AW34" s="483">
        <v>100</v>
      </c>
      <c r="AX34" s="321"/>
      <c r="AY34" s="321"/>
      <c r="AZ34" s="321"/>
      <c r="BA34" s="321"/>
      <c r="BB34" s="321"/>
      <c r="BC34" s="321"/>
      <c r="BD34" s="321"/>
      <c r="BE34" s="321"/>
      <c r="BF34" s="321"/>
      <c r="BG34" s="321"/>
      <c r="BH34" s="321"/>
      <c r="BI34" s="321"/>
      <c r="BJ34" s="321"/>
      <c r="BK34" s="321"/>
      <c r="BL34" s="321"/>
      <c r="BM34" s="483"/>
      <c r="BN34" s="201"/>
      <c r="BO34" s="321"/>
      <c r="BP34" s="321"/>
      <c r="BQ34" s="321"/>
      <c r="BR34" s="321"/>
      <c r="BS34" s="321"/>
      <c r="BT34" s="291"/>
      <c r="BU34" s="321"/>
      <c r="BV34" s="321"/>
      <c r="BW34" s="321"/>
      <c r="BX34" s="290"/>
      <c r="BY34" s="201"/>
      <c r="BZ34" s="321"/>
      <c r="CA34" s="321"/>
      <c r="CB34" s="564"/>
      <c r="CC34" s="321">
        <v>70</v>
      </c>
      <c r="CD34" s="321"/>
      <c r="CE34" s="321"/>
      <c r="CF34" s="321"/>
      <c r="CG34" s="321"/>
      <c r="CH34" s="321"/>
      <c r="CI34" s="321"/>
      <c r="CJ34" s="321"/>
      <c r="CK34" s="321"/>
      <c r="CL34" s="321"/>
      <c r="CM34" s="321"/>
      <c r="CN34" s="321"/>
      <c r="CO34" s="321"/>
      <c r="CP34" s="321"/>
      <c r="CQ34" s="321"/>
      <c r="CR34" s="321"/>
      <c r="CS34" s="483"/>
      <c r="CT34" s="321"/>
      <c r="CU34" s="321"/>
      <c r="CV34" s="321"/>
      <c r="CW34" s="321"/>
      <c r="CX34" s="321"/>
      <c r="CY34" s="321"/>
      <c r="CZ34" s="321"/>
      <c r="DA34" s="321"/>
      <c r="DB34" s="321"/>
      <c r="DC34" s="321"/>
      <c r="DD34" s="321"/>
      <c r="DE34" s="321"/>
      <c r="DF34" s="321"/>
      <c r="DG34" s="321"/>
      <c r="DH34" s="564"/>
      <c r="DI34" s="483">
        <v>400</v>
      </c>
      <c r="DJ34" s="321"/>
      <c r="DK34" s="321"/>
      <c r="DL34" s="321"/>
      <c r="DM34" s="321"/>
      <c r="DN34" s="321"/>
      <c r="DO34" s="321"/>
      <c r="DP34" s="321"/>
      <c r="DQ34" s="321"/>
      <c r="DR34" s="321"/>
      <c r="DS34" s="321"/>
      <c r="DT34" s="321"/>
      <c r="DU34" s="321"/>
      <c r="DV34" s="321"/>
      <c r="DW34" s="321"/>
      <c r="DX34" s="564"/>
      <c r="DY34" s="3108">
        <v>1000</v>
      </c>
      <c r="DZ34" s="321"/>
      <c r="EA34" s="321"/>
      <c r="EB34" s="321"/>
      <c r="EC34" s="321"/>
      <c r="ED34" s="321"/>
      <c r="EE34" s="321"/>
      <c r="EF34" s="321"/>
      <c r="EG34" s="321"/>
      <c r="EH34" s="321"/>
      <c r="EI34" s="321"/>
      <c r="EJ34" s="321"/>
      <c r="EK34" s="321"/>
      <c r="EL34" s="321"/>
      <c r="EM34" s="321"/>
      <c r="EN34" s="564"/>
      <c r="EO34" s="3108">
        <v>1000</v>
      </c>
      <c r="EP34" s="321"/>
      <c r="EQ34" s="321"/>
      <c r="ER34" s="321"/>
      <c r="ES34" s="321"/>
      <c r="ET34" s="321"/>
      <c r="EU34" s="321"/>
      <c r="EV34" s="321"/>
      <c r="EW34" s="321"/>
      <c r="EX34" s="321"/>
      <c r="EY34" s="321"/>
      <c r="EZ34" s="321"/>
      <c r="FA34" s="321"/>
      <c r="FB34" s="321"/>
      <c r="FC34" s="321"/>
      <c r="FD34" s="564"/>
      <c r="FE34" s="483">
        <v>600</v>
      </c>
      <c r="FF34" s="321"/>
      <c r="FG34" s="321"/>
      <c r="FH34" s="321"/>
      <c r="FI34" s="321"/>
      <c r="FJ34" s="417"/>
      <c r="FK34" s="321"/>
      <c r="FL34" s="417"/>
      <c r="FM34" s="417"/>
      <c r="FN34" s="321">
        <v>9</v>
      </c>
      <c r="FO34" s="417"/>
      <c r="FP34" s="321"/>
      <c r="FQ34" s="321"/>
      <c r="FR34" s="321"/>
      <c r="FS34" s="321"/>
      <c r="FT34" s="564"/>
      <c r="FU34" s="483">
        <v>200</v>
      </c>
      <c r="FV34" s="417"/>
      <c r="FW34" s="321"/>
      <c r="FX34" s="1318"/>
      <c r="FY34" s="321"/>
      <c r="FZ34" s="321">
        <v>9</v>
      </c>
      <c r="GA34" s="426"/>
      <c r="GB34" s="321"/>
      <c r="GC34" s="1324"/>
      <c r="GD34" s="1323"/>
      <c r="GE34" s="321"/>
      <c r="GF34" s="417"/>
      <c r="GG34" s="321"/>
      <c r="GH34" s="417"/>
      <c r="GI34" s="321"/>
      <c r="GJ34" s="564"/>
      <c r="GK34" s="483"/>
      <c r="GL34" s="321"/>
      <c r="GM34" s="321"/>
      <c r="GN34" s="321"/>
      <c r="GO34" s="321"/>
      <c r="GP34" s="321"/>
      <c r="GQ34" s="321"/>
      <c r="GR34" s="321"/>
      <c r="GS34" s="321"/>
      <c r="GT34" s="321"/>
      <c r="GU34" s="321"/>
      <c r="GV34" s="321"/>
      <c r="GW34" s="321"/>
      <c r="GX34" s="321"/>
      <c r="GY34" s="321"/>
      <c r="GZ34" s="564"/>
      <c r="HA34" s="483">
        <v>100</v>
      </c>
      <c r="HB34" s="321"/>
      <c r="HC34" s="321"/>
      <c r="HD34" s="321"/>
      <c r="HE34" s="321"/>
      <c r="HF34" s="321"/>
      <c r="HG34" s="321"/>
      <c r="HH34" s="321"/>
      <c r="HI34" s="321"/>
      <c r="HJ34" s="321"/>
      <c r="HK34" s="321"/>
      <c r="HL34" s="321"/>
      <c r="HM34" s="321"/>
      <c r="HN34" s="321"/>
      <c r="HO34" s="321"/>
      <c r="HP34" s="564"/>
      <c r="HQ34" s="483">
        <v>75</v>
      </c>
      <c r="HR34" s="321"/>
      <c r="HS34" s="321"/>
      <c r="HT34" s="321"/>
      <c r="HU34" s="321"/>
      <c r="HV34" s="321"/>
      <c r="HW34" s="321"/>
      <c r="HX34" s="321"/>
      <c r="HY34" s="321"/>
      <c r="HZ34" s="321"/>
      <c r="IA34" s="321"/>
      <c r="IB34" s="321"/>
      <c r="IC34" s="321"/>
      <c r="ID34" s="321"/>
      <c r="IE34" s="321"/>
      <c r="IF34" s="564"/>
      <c r="IG34" s="483">
        <v>50</v>
      </c>
      <c r="IH34" s="321"/>
      <c r="II34" s="321"/>
      <c r="IJ34" s="321"/>
      <c r="IK34" s="321"/>
      <c r="IL34" s="321"/>
      <c r="IM34" s="321"/>
      <c r="IN34" s="321"/>
      <c r="IO34" s="321"/>
      <c r="IP34" s="321"/>
      <c r="IQ34" s="321"/>
      <c r="IR34" s="321"/>
      <c r="IS34" s="321"/>
      <c r="IT34" s="321"/>
      <c r="IU34" s="321"/>
      <c r="IV34" s="564"/>
    </row>
    <row r="35" spans="1:256" s="328" customFormat="1" ht="8.25" customHeight="1">
      <c r="A35" s="483">
        <v>17</v>
      </c>
      <c r="B35" s="321"/>
      <c r="C35" s="321"/>
      <c r="D35" s="321"/>
      <c r="E35" s="409"/>
      <c r="F35" s="429"/>
      <c r="G35" s="409"/>
      <c r="H35" s="420"/>
      <c r="I35" s="409"/>
      <c r="J35" s="420"/>
      <c r="K35" s="409"/>
      <c r="L35" s="321"/>
      <c r="M35" s="321"/>
      <c r="N35" s="321"/>
      <c r="O35" s="321"/>
      <c r="P35" s="564"/>
      <c r="Q35" s="321"/>
      <c r="R35" s="321"/>
      <c r="S35" s="321"/>
      <c r="T35" s="321"/>
      <c r="U35" s="321"/>
      <c r="V35" s="321"/>
      <c r="W35" s="321"/>
      <c r="X35" s="321"/>
      <c r="Y35" s="321"/>
      <c r="Z35" s="321"/>
      <c r="AA35" s="321"/>
      <c r="AB35" s="321"/>
      <c r="AC35" s="321"/>
      <c r="AD35" s="321"/>
      <c r="AE35" s="321"/>
      <c r="AF35" s="564"/>
      <c r="AG35" s="483">
        <v>20</v>
      </c>
      <c r="AH35" s="321"/>
      <c r="AI35" s="321"/>
      <c r="AJ35" s="321"/>
      <c r="AK35" s="326"/>
      <c r="AL35" s="326"/>
      <c r="AM35" s="326"/>
      <c r="AN35" s="326"/>
      <c r="AO35" s="326"/>
      <c r="AP35" s="326"/>
      <c r="AQ35" s="326"/>
      <c r="AR35" s="326"/>
      <c r="AS35" s="326"/>
      <c r="AT35" s="321"/>
      <c r="AU35" s="321"/>
      <c r="AV35" s="564"/>
      <c r="AW35" s="483">
        <v>19</v>
      </c>
      <c r="AX35" s="321"/>
      <c r="AY35" s="321"/>
      <c r="AZ35" s="321"/>
      <c r="BA35" s="321"/>
      <c r="BB35" s="321"/>
      <c r="BC35" s="321"/>
      <c r="BD35" s="321"/>
      <c r="BE35" s="321"/>
      <c r="BF35" s="321"/>
      <c r="BG35" s="321"/>
      <c r="BH35" s="321"/>
      <c r="BI35" s="321"/>
      <c r="BJ35" s="321"/>
      <c r="BK35" s="321"/>
      <c r="BL35" s="321"/>
      <c r="BM35" s="483"/>
      <c r="BN35" s="291"/>
      <c r="BO35" s="321"/>
      <c r="BP35" s="321"/>
      <c r="BQ35" s="321"/>
      <c r="BR35" s="321"/>
      <c r="BS35" s="321"/>
      <c r="BT35" s="201"/>
      <c r="BU35" s="321"/>
      <c r="BV35" s="321"/>
      <c r="BW35" s="321"/>
      <c r="BX35" s="321"/>
      <c r="BY35" s="199"/>
      <c r="BZ35" s="193"/>
      <c r="CA35" s="321"/>
      <c r="CB35" s="564"/>
      <c r="CC35" s="321"/>
      <c r="CD35" s="321"/>
      <c r="CE35" s="321"/>
      <c r="CF35" s="321"/>
      <c r="CG35" s="321"/>
      <c r="CH35" s="321"/>
      <c r="CI35" s="321"/>
      <c r="CJ35" s="321"/>
      <c r="CK35" s="321"/>
      <c r="CL35" s="321"/>
      <c r="CM35" s="321"/>
      <c r="CN35" s="321"/>
      <c r="CO35" s="321"/>
      <c r="CP35" s="321"/>
      <c r="CQ35" s="321"/>
      <c r="CR35" s="321"/>
      <c r="CS35" s="483"/>
      <c r="CT35" s="321"/>
      <c r="CU35" s="321"/>
      <c r="CV35" s="321"/>
      <c r="CW35" s="321"/>
      <c r="CX35" s="321"/>
      <c r="CY35" s="321"/>
      <c r="CZ35" s="321"/>
      <c r="DA35" s="321"/>
      <c r="DB35" s="321"/>
      <c r="DC35" s="321"/>
      <c r="DD35" s="321"/>
      <c r="DE35" s="321"/>
      <c r="DF35" s="321"/>
      <c r="DG35" s="321"/>
      <c r="DH35" s="564"/>
      <c r="DI35" s="483">
        <v>25</v>
      </c>
      <c r="DJ35" s="321"/>
      <c r="DK35" s="321"/>
      <c r="DL35" s="321"/>
      <c r="DM35" s="321"/>
      <c r="DN35" s="321"/>
      <c r="DO35" s="321"/>
      <c r="DP35" s="321"/>
      <c r="DQ35" s="321"/>
      <c r="DR35" s="321"/>
      <c r="DS35" s="321"/>
      <c r="DT35" s="321"/>
      <c r="DU35" s="321"/>
      <c r="DV35" s="321"/>
      <c r="DW35" s="321"/>
      <c r="DX35" s="564"/>
      <c r="DY35" s="483">
        <v>26</v>
      </c>
      <c r="DZ35" s="321"/>
      <c r="EA35" s="321"/>
      <c r="EB35" s="321"/>
      <c r="EC35" s="321"/>
      <c r="ED35" s="321"/>
      <c r="EE35" s="321"/>
      <c r="EF35" s="321"/>
      <c r="EG35" s="321"/>
      <c r="EH35" s="321"/>
      <c r="EI35" s="321"/>
      <c r="EJ35" s="321"/>
      <c r="EK35" s="321"/>
      <c r="EL35" s="321"/>
      <c r="EM35" s="321"/>
      <c r="EN35" s="564"/>
      <c r="EO35" s="483">
        <v>27</v>
      </c>
      <c r="EP35" s="321"/>
      <c r="EQ35" s="321"/>
      <c r="ER35" s="321"/>
      <c r="ES35" s="321"/>
      <c r="ET35" s="321"/>
      <c r="EU35" s="321"/>
      <c r="EV35" s="321"/>
      <c r="EW35" s="321"/>
      <c r="EX35" s="321"/>
      <c r="EY35" s="321"/>
      <c r="EZ35" s="321"/>
      <c r="FA35" s="321"/>
      <c r="FB35" s="321"/>
      <c r="FC35" s="321"/>
      <c r="FD35" s="409"/>
      <c r="FE35" s="483">
        <v>28</v>
      </c>
      <c r="FF35" s="321"/>
      <c r="FG35" s="321"/>
      <c r="FH35" s="417"/>
      <c r="FI35" s="420"/>
      <c r="FJ35" s="417"/>
      <c r="FK35" s="420"/>
      <c r="FL35" s="417"/>
      <c r="FM35" s="420"/>
      <c r="FN35" s="417"/>
      <c r="FO35" s="426"/>
      <c r="FP35" s="417"/>
      <c r="FQ35" s="321"/>
      <c r="FR35" s="417"/>
      <c r="FS35" s="321"/>
      <c r="FT35" s="564"/>
      <c r="FU35" s="483">
        <v>-129</v>
      </c>
      <c r="FV35" s="321"/>
      <c r="FW35" s="321"/>
      <c r="FX35" s="420"/>
      <c r="FY35" s="426"/>
      <c r="FZ35" s="417"/>
      <c r="GA35" s="440">
        <v>9</v>
      </c>
      <c r="GB35" s="426"/>
      <c r="GC35" s="321"/>
      <c r="GD35" s="426"/>
      <c r="GE35" s="440">
        <v>8</v>
      </c>
      <c r="GF35" s="426"/>
      <c r="GG35" s="321">
        <v>9</v>
      </c>
      <c r="GH35" s="321"/>
      <c r="GI35" s="426"/>
      <c r="GJ35" s="564"/>
      <c r="GK35" s="483">
        <v>-129</v>
      </c>
      <c r="GL35" s="321"/>
      <c r="GM35" s="321"/>
      <c r="GN35" s="321"/>
      <c r="GO35" s="321"/>
      <c r="GP35" s="321"/>
      <c r="GQ35" s="321"/>
      <c r="GR35" s="321"/>
      <c r="GS35" s="321"/>
      <c r="GT35" s="321"/>
      <c r="GU35" s="321"/>
      <c r="GV35" s="321"/>
      <c r="GW35" s="321"/>
      <c r="GX35" s="321"/>
      <c r="GY35" s="321"/>
      <c r="GZ35" s="564"/>
      <c r="HA35" s="483">
        <v>31</v>
      </c>
      <c r="HB35" s="321"/>
      <c r="HC35" s="321"/>
      <c r="HD35" s="321"/>
      <c r="HE35" s="321"/>
      <c r="HF35" s="321"/>
      <c r="HG35" s="321"/>
      <c r="HH35" s="321"/>
      <c r="HI35" s="321"/>
      <c r="HJ35" s="321"/>
      <c r="HK35" s="321"/>
      <c r="HL35" s="321"/>
      <c r="HM35" s="321"/>
      <c r="HN35" s="321"/>
      <c r="HO35" s="321"/>
      <c r="HP35" s="564"/>
      <c r="HQ35" s="483">
        <v>32</v>
      </c>
      <c r="HR35" s="321"/>
      <c r="HS35" s="321"/>
      <c r="HT35" s="321"/>
      <c r="HU35" s="321"/>
      <c r="HV35" s="321"/>
      <c r="HW35" s="321"/>
      <c r="HX35" s="321"/>
      <c r="HY35" s="321"/>
      <c r="HZ35" s="321"/>
      <c r="IA35" s="321"/>
      <c r="IB35" s="321"/>
      <c r="IC35" s="321"/>
      <c r="ID35" s="321"/>
      <c r="IE35" s="321"/>
      <c r="IF35" s="564"/>
      <c r="IG35" s="483">
        <v>30</v>
      </c>
      <c r="IH35" s="321"/>
      <c r="II35" s="321"/>
      <c r="IJ35" s="321"/>
      <c r="IK35" s="321"/>
      <c r="IL35" s="321"/>
      <c r="IM35" s="321"/>
      <c r="IN35" s="321"/>
      <c r="IO35" s="321"/>
      <c r="IP35" s="321"/>
      <c r="IQ35" s="321"/>
      <c r="IR35" s="321"/>
      <c r="IS35" s="321"/>
      <c r="IT35" s="321"/>
      <c r="IU35" s="321"/>
      <c r="IV35" s="564"/>
    </row>
    <row r="36" spans="1:256" s="328" customFormat="1" ht="8.25" customHeight="1">
      <c r="A36" s="483">
        <v>30000</v>
      </c>
      <c r="B36" s="321"/>
      <c r="C36" s="321"/>
      <c r="D36" s="321"/>
      <c r="E36" s="321"/>
      <c r="F36" s="429"/>
      <c r="G36" s="409"/>
      <c r="H36" s="409"/>
      <c r="I36" s="409"/>
      <c r="J36" s="409"/>
      <c r="K36" s="321"/>
      <c r="L36" s="321"/>
      <c r="M36" s="321"/>
      <c r="N36" s="321"/>
      <c r="O36" s="321"/>
      <c r="P36" s="564"/>
      <c r="Q36" s="321"/>
      <c r="R36" s="321"/>
      <c r="S36" s="321"/>
      <c r="T36" s="321"/>
      <c r="U36" s="321"/>
      <c r="V36" s="321"/>
      <c r="W36" s="321"/>
      <c r="X36" s="321"/>
      <c r="Y36" s="321"/>
      <c r="Z36" s="321"/>
      <c r="AA36" s="321"/>
      <c r="AB36" s="321"/>
      <c r="AC36" s="321"/>
      <c r="AD36" s="321"/>
      <c r="AE36" s="321"/>
      <c r="AF36" s="564"/>
      <c r="AG36" s="483">
        <v>400</v>
      </c>
      <c r="AH36" s="321"/>
      <c r="AI36" s="321"/>
      <c r="AJ36" s="321"/>
      <c r="AK36" s="326"/>
      <c r="AL36" s="326"/>
      <c r="AM36" s="326"/>
      <c r="AN36" s="326"/>
      <c r="AO36" s="326"/>
      <c r="AP36" s="326"/>
      <c r="AQ36" s="326"/>
      <c r="AR36" s="326"/>
      <c r="AS36" s="326"/>
      <c r="AT36" s="321"/>
      <c r="AU36" s="321"/>
      <c r="AV36" s="564"/>
      <c r="AW36" s="483">
        <v>200</v>
      </c>
      <c r="AX36" s="321"/>
      <c r="AY36" s="321"/>
      <c r="AZ36" s="321"/>
      <c r="BA36" s="321"/>
      <c r="BB36" s="321"/>
      <c r="BC36" s="321"/>
      <c r="BD36" s="321"/>
      <c r="BE36" s="321"/>
      <c r="BF36" s="321"/>
      <c r="BG36" s="321"/>
      <c r="BH36" s="321"/>
      <c r="BI36" s="321"/>
      <c r="BJ36" s="321"/>
      <c r="BK36" s="321"/>
      <c r="BL36" s="321"/>
      <c r="BM36" s="483"/>
      <c r="BN36" s="201"/>
      <c r="BO36" s="321"/>
      <c r="BP36" s="321"/>
      <c r="BQ36" s="321"/>
      <c r="BR36" s="193"/>
      <c r="BS36" s="321"/>
      <c r="BT36" s="199"/>
      <c r="BU36" s="291"/>
      <c r="BV36" s="321"/>
      <c r="BW36" s="321"/>
      <c r="BX36" s="321"/>
      <c r="BY36" s="291"/>
      <c r="BZ36" s="201"/>
      <c r="CA36" s="201"/>
      <c r="CB36" s="564"/>
      <c r="CC36" s="321"/>
      <c r="CD36" s="321"/>
      <c r="CE36" s="321"/>
      <c r="CF36" s="321"/>
      <c r="CG36" s="321"/>
      <c r="CH36" s="321"/>
      <c r="CI36" s="321"/>
      <c r="CJ36" s="321"/>
      <c r="CK36" s="321"/>
      <c r="CL36" s="321"/>
      <c r="CM36" s="321"/>
      <c r="CN36" s="321"/>
      <c r="CO36" s="321"/>
      <c r="CP36" s="321"/>
      <c r="CQ36" s="321"/>
      <c r="CR36" s="321"/>
      <c r="CS36" s="483"/>
      <c r="CT36" s="321"/>
      <c r="CU36" s="321"/>
      <c r="CV36" s="321"/>
      <c r="CW36" s="321"/>
      <c r="CX36" s="321"/>
      <c r="CY36" s="321"/>
      <c r="CZ36" s="321"/>
      <c r="DA36" s="321"/>
      <c r="DB36" s="321"/>
      <c r="DC36" s="321"/>
      <c r="DD36" s="321"/>
      <c r="DE36" s="321"/>
      <c r="DF36" s="321"/>
      <c r="DG36" s="321"/>
      <c r="DH36" s="564"/>
      <c r="DI36" s="483">
        <v>70</v>
      </c>
      <c r="DJ36" s="321"/>
      <c r="DK36" s="321"/>
      <c r="DL36" s="321"/>
      <c r="DM36" s="321"/>
      <c r="DN36" s="321"/>
      <c r="DO36" s="321"/>
      <c r="DP36" s="321"/>
      <c r="DQ36" s="321"/>
      <c r="DR36" s="321"/>
      <c r="DS36" s="321"/>
      <c r="DT36" s="321"/>
      <c r="DU36" s="321"/>
      <c r="DV36" s="321"/>
      <c r="DW36" s="321"/>
      <c r="DX36" s="564"/>
      <c r="DY36" s="483">
        <v>80</v>
      </c>
      <c r="DZ36" s="321"/>
      <c r="EA36" s="321"/>
      <c r="EB36" s="321"/>
      <c r="EC36" s="321"/>
      <c r="ED36" s="321"/>
      <c r="EE36" s="321"/>
      <c r="EF36" s="321"/>
      <c r="EG36" s="321"/>
      <c r="EH36" s="321"/>
      <c r="EI36" s="321"/>
      <c r="EJ36" s="321"/>
      <c r="EK36" s="321"/>
      <c r="EL36" s="321"/>
      <c r="EM36" s="321"/>
      <c r="EN36" s="564"/>
      <c r="EO36" s="483">
        <v>90</v>
      </c>
      <c r="EP36" s="409"/>
      <c r="EQ36" s="321"/>
      <c r="ER36" s="321"/>
      <c r="ES36" s="321"/>
      <c r="ET36" s="321"/>
      <c r="EU36" s="321"/>
      <c r="EV36" s="321"/>
      <c r="EW36" s="321"/>
      <c r="EX36" s="321"/>
      <c r="EY36" s="321"/>
      <c r="EZ36" s="321"/>
      <c r="FA36" s="321"/>
      <c r="FB36" s="321"/>
      <c r="FC36" s="321"/>
      <c r="FD36" s="564"/>
      <c r="FE36" s="483">
        <v>100</v>
      </c>
      <c r="FF36" s="321"/>
      <c r="FG36" s="417"/>
      <c r="FH36" s="420"/>
      <c r="FI36" s="426"/>
      <c r="FJ36" s="417"/>
      <c r="FK36" s="440"/>
      <c r="FL36" s="426"/>
      <c r="FM36" s="417"/>
      <c r="FN36" s="426"/>
      <c r="FO36" s="440"/>
      <c r="FP36" s="417"/>
      <c r="FQ36" s="417"/>
      <c r="FR36" s="440"/>
      <c r="FS36" s="321"/>
      <c r="FT36" s="564"/>
      <c r="FU36" s="483">
        <v>80</v>
      </c>
      <c r="FV36" s="440">
        <v>8</v>
      </c>
      <c r="FW36" s="417"/>
      <c r="FX36" s="321"/>
      <c r="FY36" s="321">
        <v>9</v>
      </c>
      <c r="FZ36" s="417"/>
      <c r="GA36" s="417"/>
      <c r="GB36" s="426"/>
      <c r="GC36" s="417"/>
      <c r="GD36" s="426"/>
      <c r="GE36" s="420"/>
      <c r="GF36" s="426"/>
      <c r="GG36" s="417"/>
      <c r="GH36" s="417"/>
      <c r="GI36" s="321"/>
      <c r="GJ36" s="564"/>
      <c r="GK36" s="483">
        <v>30000</v>
      </c>
      <c r="GL36" s="321"/>
      <c r="GM36" s="321"/>
      <c r="GN36" s="321"/>
      <c r="GO36" s="321"/>
      <c r="GP36" s="321"/>
      <c r="GQ36" s="321"/>
      <c r="GR36" s="321"/>
      <c r="GS36" s="321"/>
      <c r="GT36" s="321"/>
      <c r="GU36" s="321"/>
      <c r="GV36" s="321"/>
      <c r="GW36" s="321"/>
      <c r="GX36" s="321"/>
      <c r="GY36" s="321"/>
      <c r="GZ36" s="564"/>
      <c r="HA36" s="483">
        <v>250</v>
      </c>
      <c r="HB36" s="321"/>
      <c r="HC36" s="321"/>
      <c r="HD36" s="321"/>
      <c r="HE36" s="321"/>
      <c r="HF36" s="321"/>
      <c r="HG36" s="321"/>
      <c r="HH36" s="321"/>
      <c r="HI36" s="321"/>
      <c r="HJ36" s="321"/>
      <c r="HK36" s="321"/>
      <c r="HL36" s="321"/>
      <c r="HM36" s="321"/>
      <c r="HN36" s="321"/>
      <c r="HO36" s="321"/>
      <c r="HP36" s="564"/>
      <c r="HQ36" s="483">
        <v>250</v>
      </c>
      <c r="HR36" s="321"/>
      <c r="HS36" s="321"/>
      <c r="HT36" s="321"/>
      <c r="HU36" s="321"/>
      <c r="HV36" s="321"/>
      <c r="HW36" s="321"/>
      <c r="HX36" s="321"/>
      <c r="HY36" s="321"/>
      <c r="HZ36" s="321"/>
      <c r="IA36" s="321"/>
      <c r="IB36" s="321"/>
      <c r="IC36" s="321"/>
      <c r="ID36" s="321"/>
      <c r="IE36" s="321"/>
      <c r="IF36" s="564"/>
      <c r="IG36" s="483">
        <v>250</v>
      </c>
      <c r="IH36" s="321"/>
      <c r="II36" s="321"/>
      <c r="IJ36" s="321"/>
      <c r="IK36" s="321"/>
      <c r="IL36" s="321"/>
      <c r="IM36" s="321"/>
      <c r="IN36" s="321"/>
      <c r="IO36" s="321"/>
      <c r="IP36" s="321"/>
      <c r="IQ36" s="321"/>
      <c r="IR36" s="321"/>
      <c r="IS36" s="321"/>
      <c r="IT36" s="321"/>
      <c r="IU36" s="321"/>
      <c r="IV36" s="564"/>
    </row>
    <row r="37" spans="1:256" s="328" customFormat="1" ht="8.25" customHeight="1">
      <c r="A37" s="483">
        <v>200</v>
      </c>
      <c r="B37" s="321"/>
      <c r="C37" s="321"/>
      <c r="D37" s="321"/>
      <c r="E37" s="321"/>
      <c r="F37" s="409"/>
      <c r="G37" s="420"/>
      <c r="H37" s="409"/>
      <c r="I37" s="409"/>
      <c r="J37" s="321"/>
      <c r="K37" s="321"/>
      <c r="L37" s="321"/>
      <c r="M37" s="321"/>
      <c r="N37" s="321"/>
      <c r="O37" s="321"/>
      <c r="P37" s="564"/>
      <c r="Q37" s="321"/>
      <c r="R37" s="321"/>
      <c r="S37" s="321"/>
      <c r="T37" s="321"/>
      <c r="U37" s="321"/>
      <c r="V37" s="321"/>
      <c r="W37" s="321"/>
      <c r="X37" s="321"/>
      <c r="Y37" s="321"/>
      <c r="Z37" s="321"/>
      <c r="AA37" s="321"/>
      <c r="AB37" s="321"/>
      <c r="AC37" s="321"/>
      <c r="AD37" s="321"/>
      <c r="AE37" s="321"/>
      <c r="AF37" s="564"/>
      <c r="AG37" s="483"/>
      <c r="AH37" s="321"/>
      <c r="AI37" s="321"/>
      <c r="AJ37" s="321"/>
      <c r="AK37" s="326"/>
      <c r="AL37" s="326"/>
      <c r="AM37" s="326"/>
      <c r="AN37" s="326"/>
      <c r="AO37" s="326"/>
      <c r="AP37" s="326"/>
      <c r="AQ37" s="326"/>
      <c r="AR37" s="326"/>
      <c r="AS37" s="326"/>
      <c r="AT37" s="321"/>
      <c r="AU37" s="321"/>
      <c r="AV37" s="564"/>
      <c r="AW37" s="483"/>
      <c r="AX37" s="321"/>
      <c r="AY37" s="321"/>
      <c r="AZ37" s="321"/>
      <c r="BA37" s="321"/>
      <c r="BB37" s="321"/>
      <c r="BC37" s="321"/>
      <c r="BD37" s="321"/>
      <c r="BE37" s="321"/>
      <c r="BF37" s="321"/>
      <c r="BG37" s="321"/>
      <c r="BH37" s="321"/>
      <c r="BI37" s="321"/>
      <c r="BJ37" s="321"/>
      <c r="BK37" s="321"/>
      <c r="BL37" s="321"/>
      <c r="BM37" s="483"/>
      <c r="BN37" s="199"/>
      <c r="BO37" s="321"/>
      <c r="BP37" s="321"/>
      <c r="BQ37" s="193"/>
      <c r="BR37" s="160"/>
      <c r="BS37" s="321"/>
      <c r="BT37" s="193"/>
      <c r="BU37" s="201"/>
      <c r="BV37" s="321"/>
      <c r="BW37" s="321"/>
      <c r="BX37" s="321"/>
      <c r="BY37" s="321"/>
      <c r="BZ37" s="199"/>
      <c r="CA37" s="291"/>
      <c r="CB37" s="564"/>
      <c r="CC37" s="321"/>
      <c r="CD37" s="321"/>
      <c r="CE37" s="321"/>
      <c r="CF37" s="321"/>
      <c r="CG37" s="321"/>
      <c r="CH37" s="321"/>
      <c r="CI37" s="321"/>
      <c r="CJ37" s="321"/>
      <c r="CK37" s="321"/>
      <c r="CL37" s="321"/>
      <c r="CM37" s="321"/>
      <c r="CN37" s="321"/>
      <c r="CO37" s="321"/>
      <c r="CP37" s="321"/>
      <c r="CQ37" s="321"/>
      <c r="CR37" s="321"/>
      <c r="CS37" s="483">
        <v>20</v>
      </c>
      <c r="CT37" s="321"/>
      <c r="CU37" s="321"/>
      <c r="CV37" s="321"/>
      <c r="CW37" s="321"/>
      <c r="CX37" s="321"/>
      <c r="CY37" s="321"/>
      <c r="CZ37" s="321"/>
      <c r="DA37" s="321"/>
      <c r="DB37" s="321"/>
      <c r="DC37" s="321"/>
      <c r="DD37" s="321"/>
      <c r="DE37" s="321"/>
      <c r="DF37" s="321"/>
      <c r="DG37" s="321"/>
      <c r="DH37" s="564"/>
      <c r="DI37" s="483"/>
      <c r="DJ37" s="321"/>
      <c r="DK37" s="321"/>
      <c r="DL37" s="321"/>
      <c r="DM37" s="321"/>
      <c r="DN37" s="321"/>
      <c r="DO37" s="321"/>
      <c r="DP37" s="321"/>
      <c r="DQ37" s="321"/>
      <c r="DR37" s="321"/>
      <c r="DS37" s="321"/>
      <c r="DT37" s="321"/>
      <c r="DU37" s="321"/>
      <c r="DV37" s="321"/>
      <c r="DW37" s="321"/>
      <c r="DX37" s="564"/>
      <c r="DY37" s="483"/>
      <c r="DZ37" s="321"/>
      <c r="EA37" s="321"/>
      <c r="EB37" s="321"/>
      <c r="EC37" s="321"/>
      <c r="ED37" s="321"/>
      <c r="EE37" s="321"/>
      <c r="EF37" s="321"/>
      <c r="EG37" s="321"/>
      <c r="EH37" s="321"/>
      <c r="EI37" s="321"/>
      <c r="EJ37" s="321"/>
      <c r="EK37" s="321"/>
      <c r="EL37" s="321"/>
      <c r="EM37" s="321"/>
      <c r="EN37" s="564"/>
      <c r="EO37" s="483"/>
      <c r="EP37" s="321"/>
      <c r="EQ37" s="321"/>
      <c r="ER37" s="321"/>
      <c r="ES37" s="321"/>
      <c r="ET37" s="321"/>
      <c r="EU37" s="321"/>
      <c r="EV37" s="321"/>
      <c r="EW37" s="321"/>
      <c r="EX37" s="321"/>
      <c r="EY37" s="321"/>
      <c r="EZ37" s="321"/>
      <c r="FA37" s="321"/>
      <c r="FB37" s="321"/>
      <c r="FC37" s="321"/>
      <c r="FD37" s="564"/>
      <c r="FE37" s="483"/>
      <c r="FF37" s="417"/>
      <c r="FG37" s="321">
        <v>9</v>
      </c>
      <c r="FH37" s="420"/>
      <c r="FI37" s="321">
        <v>9</v>
      </c>
      <c r="FJ37" s="426"/>
      <c r="FK37" s="409"/>
      <c r="FL37" s="417"/>
      <c r="FM37" s="417"/>
      <c r="FN37" s="417"/>
      <c r="FO37" s="409"/>
      <c r="FP37" s="417"/>
      <c r="FQ37" s="417"/>
      <c r="FR37" s="321">
        <v>9</v>
      </c>
      <c r="FS37" s="417"/>
      <c r="FT37" s="564"/>
      <c r="FU37" s="483"/>
      <c r="FV37" s="321"/>
      <c r="FW37" s="426">
        <v>5</v>
      </c>
      <c r="FX37" s="420"/>
      <c r="FY37" s="426"/>
      <c r="FZ37" s="440">
        <v>8</v>
      </c>
      <c r="GA37" s="321">
        <v>9</v>
      </c>
      <c r="GB37" s="417"/>
      <c r="GC37" s="417"/>
      <c r="GD37" s="321">
        <v>9</v>
      </c>
      <c r="GE37" s="420"/>
      <c r="GF37" s="564">
        <v>9</v>
      </c>
      <c r="GG37" s="417"/>
      <c r="GH37" s="426">
        <v>5</v>
      </c>
      <c r="GI37" s="417"/>
      <c r="GJ37" s="564"/>
      <c r="GK37" s="483">
        <v>1000</v>
      </c>
      <c r="GL37" s="321"/>
      <c r="GM37" s="321"/>
      <c r="GN37" s="321"/>
      <c r="GO37" s="321"/>
      <c r="GP37" s="321"/>
      <c r="GQ37" s="321"/>
      <c r="GR37" s="321"/>
      <c r="GS37" s="321"/>
      <c r="GT37" s="321"/>
      <c r="GU37" s="321"/>
      <c r="GV37" s="321"/>
      <c r="GW37" s="321"/>
      <c r="GX37" s="321"/>
      <c r="GY37" s="321"/>
      <c r="GZ37" s="564"/>
      <c r="HA37" s="483"/>
      <c r="HB37" s="321"/>
      <c r="HC37" s="321"/>
      <c r="HD37" s="321"/>
      <c r="HE37" s="321"/>
      <c r="HF37" s="321"/>
      <c r="HG37" s="321"/>
      <c r="HH37" s="321"/>
      <c r="HI37" s="321"/>
      <c r="HJ37" s="321"/>
      <c r="HK37" s="321"/>
      <c r="HL37" s="321"/>
      <c r="HM37" s="321"/>
      <c r="HN37" s="321"/>
      <c r="HO37" s="321"/>
      <c r="HP37" s="564"/>
      <c r="HQ37" s="483"/>
      <c r="HR37" s="321"/>
      <c r="HS37" s="321"/>
      <c r="HT37" s="321"/>
      <c r="HU37" s="321"/>
      <c r="HV37" s="321"/>
      <c r="HW37" s="321"/>
      <c r="HX37" s="321"/>
      <c r="HY37" s="321"/>
      <c r="HZ37" s="321"/>
      <c r="IA37" s="321"/>
      <c r="IB37" s="321"/>
      <c r="IC37" s="321"/>
      <c r="ID37" s="321"/>
      <c r="IE37" s="321"/>
      <c r="IF37" s="564"/>
      <c r="IG37" s="483"/>
      <c r="IH37" s="321"/>
      <c r="II37" s="321"/>
      <c r="IJ37" s="321"/>
      <c r="IK37" s="321"/>
      <c r="IL37" s="321"/>
      <c r="IM37" s="321"/>
      <c r="IN37" s="321"/>
      <c r="IO37" s="321"/>
      <c r="IP37" s="321"/>
      <c r="IQ37" s="321"/>
      <c r="IR37" s="321"/>
      <c r="IS37" s="321"/>
      <c r="IT37" s="321"/>
      <c r="IU37" s="321"/>
      <c r="IV37" s="564"/>
    </row>
    <row r="38" spans="1:256" s="328" customFormat="1" ht="8.25" customHeight="1">
      <c r="A38" s="321">
        <v>75</v>
      </c>
      <c r="B38" s="321"/>
      <c r="C38" s="321"/>
      <c r="D38" s="321"/>
      <c r="E38" s="321"/>
      <c r="F38" s="409"/>
      <c r="G38" s="420"/>
      <c r="H38" s="420"/>
      <c r="I38" s="409"/>
      <c r="J38" s="321"/>
      <c r="K38" s="321"/>
      <c r="L38" s="321"/>
      <c r="M38" s="321"/>
      <c r="N38" s="321"/>
      <c r="O38" s="321"/>
      <c r="P38" s="564"/>
      <c r="Q38" s="321"/>
      <c r="R38" s="321"/>
      <c r="S38" s="321"/>
      <c r="T38" s="321"/>
      <c r="U38" s="321"/>
      <c r="V38" s="321"/>
      <c r="W38" s="321"/>
      <c r="X38" s="321"/>
      <c r="Y38" s="321"/>
      <c r="Z38" s="321"/>
      <c r="AA38" s="321"/>
      <c r="AB38" s="321"/>
      <c r="AC38" s="321"/>
      <c r="AD38" s="321"/>
      <c r="AE38" s="321"/>
      <c r="AF38" s="564"/>
      <c r="AG38" s="483"/>
      <c r="AH38" s="321"/>
      <c r="AI38" s="321"/>
      <c r="AJ38" s="321"/>
      <c r="AK38" s="326"/>
      <c r="AL38" s="326"/>
      <c r="AM38" s="326"/>
      <c r="AN38" s="326"/>
      <c r="AO38" s="326"/>
      <c r="AP38" s="326"/>
      <c r="AQ38" s="326"/>
      <c r="AR38" s="326"/>
      <c r="AS38" s="326"/>
      <c r="AT38" s="321"/>
      <c r="AU38" s="321"/>
      <c r="AV38" s="564"/>
      <c r="AW38" s="483"/>
      <c r="AX38" s="321"/>
      <c r="AY38" s="321"/>
      <c r="AZ38" s="321"/>
      <c r="BA38" s="321"/>
      <c r="BB38" s="321"/>
      <c r="BC38" s="321"/>
      <c r="BD38" s="321"/>
      <c r="BE38" s="321"/>
      <c r="BF38" s="321"/>
      <c r="BG38" s="321"/>
      <c r="BH38" s="321"/>
      <c r="BI38" s="321"/>
      <c r="BJ38" s="321"/>
      <c r="BK38" s="321"/>
      <c r="BL38" s="321"/>
      <c r="BM38" s="483"/>
      <c r="BN38" s="193"/>
      <c r="BO38" s="321"/>
      <c r="BP38" s="321"/>
      <c r="BQ38" s="193"/>
      <c r="BR38" s="321"/>
      <c r="BS38" s="321"/>
      <c r="BT38" s="201"/>
      <c r="BU38" s="199"/>
      <c r="BV38" s="321"/>
      <c r="BW38" s="321"/>
      <c r="BX38" s="321"/>
      <c r="BY38" s="321"/>
      <c r="BZ38" s="193"/>
      <c r="CA38" s="321"/>
      <c r="CB38" s="564"/>
      <c r="CC38" s="321"/>
      <c r="CD38" s="321"/>
      <c r="CE38" s="321"/>
      <c r="CF38" s="321"/>
      <c r="CG38" s="321"/>
      <c r="CH38" s="321"/>
      <c r="CI38" s="321"/>
      <c r="CJ38" s="321"/>
      <c r="CK38" s="321"/>
      <c r="CL38" s="321"/>
      <c r="CM38" s="321"/>
      <c r="CN38" s="321"/>
      <c r="CO38" s="321"/>
      <c r="CP38" s="321"/>
      <c r="CQ38" s="321"/>
      <c r="CR38" s="321"/>
      <c r="CS38" s="483">
        <v>85</v>
      </c>
      <c r="CT38" s="321"/>
      <c r="CU38" s="321"/>
      <c r="CV38" s="321"/>
      <c r="CW38" s="321"/>
      <c r="CX38" s="321"/>
      <c r="DF38" s="321"/>
      <c r="DG38" s="321"/>
      <c r="DH38" s="564"/>
      <c r="DI38" s="483"/>
      <c r="DJ38" s="321"/>
      <c r="DK38" s="321"/>
      <c r="DL38" s="321"/>
      <c r="DM38" s="321"/>
      <c r="DN38" s="321"/>
      <c r="DO38" s="321"/>
      <c r="DP38" s="321"/>
      <c r="DQ38" s="321"/>
      <c r="DR38" s="321"/>
      <c r="DS38" s="321"/>
      <c r="DT38" s="321"/>
      <c r="DU38" s="321"/>
      <c r="DV38" s="321"/>
      <c r="DW38" s="321"/>
      <c r="DX38" s="564"/>
      <c r="DY38" s="483"/>
      <c r="DZ38" s="321"/>
      <c r="EA38" s="321"/>
      <c r="EB38" s="321"/>
      <c r="EC38" s="321"/>
      <c r="ED38" s="321"/>
      <c r="EE38" s="321"/>
      <c r="EF38" s="321"/>
      <c r="EG38" s="321"/>
      <c r="EH38" s="321"/>
      <c r="EI38" s="321"/>
      <c r="EJ38" s="321"/>
      <c r="EK38" s="321"/>
      <c r="EL38" s="321"/>
      <c r="EM38" s="321"/>
      <c r="EN38" s="564"/>
      <c r="EO38" s="483"/>
      <c r="EP38" s="321"/>
      <c r="EQ38" s="321"/>
      <c r="ER38" s="321"/>
      <c r="ES38" s="321"/>
      <c r="ET38" s="321"/>
      <c r="EU38" s="321"/>
      <c r="EV38" s="321"/>
      <c r="EW38" s="321">
        <v>9</v>
      </c>
      <c r="EX38" s="417"/>
      <c r="EY38" s="321"/>
      <c r="EZ38" s="321"/>
      <c r="FA38" s="321"/>
      <c r="FB38" s="321"/>
      <c r="FC38" s="321"/>
      <c r="FD38" s="564"/>
      <c r="FE38" s="440"/>
      <c r="FF38" s="417"/>
      <c r="FG38" s="417"/>
      <c r="FH38" s="426"/>
      <c r="FI38" s="426"/>
      <c r="FJ38" s="417"/>
      <c r="FK38" s="417"/>
      <c r="FL38" s="417"/>
      <c r="FM38" s="426"/>
      <c r="FN38" s="409"/>
      <c r="FO38" s="426"/>
      <c r="FP38" s="417"/>
      <c r="FQ38" s="420"/>
      <c r="FR38" s="417"/>
      <c r="FS38" s="417"/>
      <c r="FT38" s="417"/>
      <c r="FU38" s="483"/>
      <c r="FV38" s="321"/>
      <c r="FW38" s="417"/>
      <c r="FX38" s="321"/>
      <c r="FY38" s="420"/>
      <c r="FZ38" s="417"/>
      <c r="GA38" s="321"/>
      <c r="GB38" s="417"/>
      <c r="GC38" s="321">
        <v>9</v>
      </c>
      <c r="GD38" s="417"/>
      <c r="GE38" s="426"/>
      <c r="GF38" s="321"/>
      <c r="GG38" s="426">
        <v>5</v>
      </c>
      <c r="GH38" s="417"/>
      <c r="GI38" s="564">
        <v>9</v>
      </c>
      <c r="GJ38" s="417"/>
      <c r="GK38" s="483"/>
      <c r="GL38" s="321"/>
      <c r="GM38" s="321"/>
      <c r="GN38" s="321"/>
      <c r="GO38" s="321"/>
      <c r="GP38" s="321"/>
      <c r="GQ38" s="321"/>
      <c r="GR38" s="321"/>
      <c r="GS38" s="321"/>
      <c r="GT38" s="321"/>
      <c r="GU38" s="321"/>
      <c r="GV38" s="321"/>
      <c r="GW38" s="321"/>
      <c r="GX38" s="321"/>
      <c r="GY38" s="321"/>
      <c r="GZ38" s="564"/>
      <c r="HA38" s="483"/>
      <c r="HB38" s="321"/>
      <c r="HC38" s="321"/>
      <c r="HD38" s="321"/>
      <c r="HE38" s="321"/>
      <c r="HF38" s="321"/>
      <c r="HG38" s="321"/>
      <c r="HH38" s="321"/>
      <c r="HI38" s="321"/>
      <c r="HJ38" s="321"/>
      <c r="HK38" s="321"/>
      <c r="HL38" s="321"/>
      <c r="HM38" s="321"/>
      <c r="HN38" s="321"/>
      <c r="HO38" s="321"/>
      <c r="HP38" s="564"/>
      <c r="HQ38" s="483"/>
      <c r="HR38" s="321"/>
      <c r="HS38" s="321"/>
      <c r="HT38" s="321"/>
      <c r="HU38" s="321"/>
      <c r="HV38" s="321"/>
      <c r="HW38" s="321"/>
      <c r="HX38" s="321"/>
      <c r="HY38" s="321"/>
      <c r="HZ38" s="321"/>
      <c r="IA38" s="321"/>
      <c r="IB38" s="321"/>
      <c r="IC38" s="321"/>
      <c r="ID38" s="321"/>
      <c r="IE38" s="321"/>
      <c r="IF38" s="564"/>
      <c r="IG38" s="483"/>
      <c r="IH38" s="321"/>
      <c r="II38" s="321"/>
      <c r="IJ38" s="321"/>
      <c r="IK38" s="321"/>
      <c r="IL38" s="321"/>
      <c r="IM38" s="321"/>
      <c r="IN38" s="321"/>
      <c r="IO38" s="321"/>
      <c r="IP38" s="321"/>
      <c r="IQ38" s="321"/>
      <c r="IR38" s="321"/>
      <c r="IS38" s="321"/>
      <c r="IT38" s="321"/>
      <c r="IU38" s="321"/>
      <c r="IV38" s="564"/>
    </row>
    <row r="39" spans="1:256" s="328" customFormat="1" ht="8.25" customHeight="1">
      <c r="A39" s="483"/>
      <c r="B39" s="321"/>
      <c r="C39" s="321"/>
      <c r="D39" s="321"/>
      <c r="E39" s="321"/>
      <c r="F39" s="409"/>
      <c r="G39" s="420"/>
      <c r="H39" s="420"/>
      <c r="I39" s="409"/>
      <c r="J39" s="321"/>
      <c r="K39" s="321"/>
      <c r="L39" s="321"/>
      <c r="M39" s="321"/>
      <c r="N39" s="321"/>
      <c r="O39" s="321"/>
      <c r="P39" s="564"/>
      <c r="Q39" s="412"/>
      <c r="R39" s="412"/>
      <c r="S39" s="412"/>
      <c r="T39" s="412"/>
      <c r="U39" s="412"/>
      <c r="V39" s="431"/>
      <c r="W39" s="412"/>
      <c r="X39" s="431"/>
      <c r="Y39" s="431"/>
      <c r="Z39" s="431"/>
      <c r="AA39" s="412"/>
      <c r="AB39" s="431"/>
      <c r="AC39" s="412"/>
      <c r="AD39" s="412"/>
      <c r="AE39" s="412"/>
      <c r="AF39" s="412"/>
      <c r="AG39" s="483">
        <v>20</v>
      </c>
      <c r="AH39" s="321"/>
      <c r="AI39" s="321"/>
      <c r="AJ39" s="321"/>
      <c r="AK39" s="326"/>
      <c r="AL39" s="326"/>
      <c r="AM39" s="326"/>
      <c r="AN39" s="326"/>
      <c r="AO39" s="326"/>
      <c r="AP39" s="326"/>
      <c r="AQ39" s="326"/>
      <c r="AR39" s="326"/>
      <c r="AS39" s="326"/>
      <c r="AT39" s="321"/>
      <c r="AU39" s="321"/>
      <c r="AV39" s="564"/>
      <c r="AW39" s="483">
        <v>20</v>
      </c>
      <c r="AX39" s="321"/>
      <c r="AY39" s="321"/>
      <c r="AZ39" s="321"/>
      <c r="BA39" s="321"/>
      <c r="BB39" s="321"/>
      <c r="BC39" s="321"/>
      <c r="BD39" s="321"/>
      <c r="BE39" s="321"/>
      <c r="BF39" s="321"/>
      <c r="BG39" s="321"/>
      <c r="BH39" s="321"/>
      <c r="BI39" s="321"/>
      <c r="BJ39" s="321"/>
      <c r="BK39" s="321"/>
      <c r="BL39" s="321"/>
      <c r="BM39" s="483"/>
      <c r="BN39" s="321"/>
      <c r="BO39" s="321"/>
      <c r="BP39" s="321"/>
      <c r="BQ39" s="193"/>
      <c r="BR39" s="321"/>
      <c r="BS39" s="321"/>
      <c r="BT39" s="199"/>
      <c r="BU39" s="193"/>
      <c r="BV39" s="321"/>
      <c r="BW39" s="321"/>
      <c r="BX39" s="321"/>
      <c r="BY39" s="321"/>
      <c r="BZ39" s="321"/>
      <c r="CA39" s="321"/>
      <c r="CB39" s="564"/>
      <c r="CC39" s="321"/>
      <c r="CD39" s="321"/>
      <c r="CE39" s="321"/>
      <c r="CF39" s="321"/>
      <c r="CG39" s="321"/>
      <c r="CH39" s="321"/>
      <c r="CI39" s="321"/>
      <c r="CJ39" s="321"/>
      <c r="CK39" s="321"/>
      <c r="CL39" s="321"/>
      <c r="CM39" s="321"/>
      <c r="CN39" s="321"/>
      <c r="CO39" s="321"/>
      <c r="CP39" s="321"/>
      <c r="CQ39" s="321"/>
      <c r="CR39" s="321"/>
      <c r="CS39" s="483"/>
      <c r="CT39" s="321"/>
      <c r="CU39" s="321"/>
      <c r="CV39" s="321"/>
      <c r="CW39" s="321"/>
      <c r="CX39" s="321"/>
      <c r="DF39" s="321"/>
      <c r="DG39" s="321"/>
      <c r="DH39" s="564"/>
      <c r="DI39" s="483"/>
      <c r="DJ39" s="321"/>
      <c r="DK39" s="321"/>
      <c r="DL39" s="321"/>
      <c r="DM39" s="321"/>
      <c r="DN39" s="321"/>
      <c r="DO39" s="321"/>
      <c r="DP39" s="321"/>
      <c r="DQ39" s="321"/>
      <c r="DR39" s="321"/>
      <c r="DS39" s="321"/>
      <c r="DT39" s="321"/>
      <c r="DU39" s="321"/>
      <c r="DV39" s="321"/>
      <c r="DW39" s="321"/>
      <c r="DX39" s="564"/>
      <c r="DY39" s="483"/>
      <c r="DZ39" s="321"/>
      <c r="EA39" s="321"/>
      <c r="EB39" s="321"/>
      <c r="EC39" s="321"/>
      <c r="ED39" s="321"/>
      <c r="EE39" s="321"/>
      <c r="EF39" s="321"/>
      <c r="EG39" s="321"/>
      <c r="EH39" s="321"/>
      <c r="EI39" s="321"/>
      <c r="EJ39" s="321"/>
      <c r="EK39" s="321"/>
      <c r="EL39" s="321"/>
      <c r="EM39" s="321"/>
      <c r="EN39" s="564"/>
      <c r="EO39" s="483"/>
      <c r="EP39" s="321"/>
      <c r="EQ39" s="321"/>
      <c r="ER39" s="321">
        <v>9</v>
      </c>
      <c r="ES39" s="417"/>
      <c r="ET39" s="417"/>
      <c r="EU39" s="417"/>
      <c r="EV39" s="417"/>
      <c r="EW39" s="417"/>
      <c r="EX39" s="409"/>
      <c r="EY39" s="417"/>
      <c r="EZ39" s="321">
        <v>9</v>
      </c>
      <c r="FA39" s="321"/>
      <c r="FB39" s="321"/>
      <c r="FC39" s="321"/>
      <c r="FD39" s="564"/>
      <c r="FE39" s="417"/>
      <c r="FF39" s="440"/>
      <c r="FG39" s="409"/>
      <c r="FH39" s="417"/>
      <c r="FI39" s="417"/>
      <c r="FJ39" s="417"/>
      <c r="FK39" s="409"/>
      <c r="FL39" s="426"/>
      <c r="FM39" s="417"/>
      <c r="FN39" s="426"/>
      <c r="FO39" s="420"/>
      <c r="FP39" s="420"/>
      <c r="FQ39" s="409"/>
      <c r="FR39" s="417"/>
      <c r="FS39" s="321">
        <v>9</v>
      </c>
      <c r="FT39" s="417"/>
      <c r="FU39" s="483"/>
      <c r="FV39" s="321"/>
      <c r="FW39" s="321"/>
      <c r="FX39" s="417"/>
      <c r="FY39" s="321"/>
      <c r="FZ39" s="321"/>
      <c r="GA39" s="417"/>
      <c r="GB39" s="321"/>
      <c r="GC39" s="417"/>
      <c r="GD39" s="564">
        <v>9</v>
      </c>
      <c r="GE39" s="321"/>
      <c r="GF39" s="321"/>
      <c r="GG39" s="417"/>
      <c r="GH39" s="321">
        <v>9</v>
      </c>
      <c r="GI39" s="321"/>
      <c r="GJ39" s="564"/>
      <c r="GK39" s="483"/>
      <c r="GL39" s="321"/>
      <c r="GM39" s="321"/>
      <c r="GN39" s="321"/>
      <c r="GO39" s="321"/>
      <c r="GP39" s="321"/>
      <c r="GQ39" s="321"/>
      <c r="GR39" s="321"/>
      <c r="GS39" s="321"/>
      <c r="GT39" s="321"/>
      <c r="GU39" s="321"/>
      <c r="GV39" s="321"/>
      <c r="GW39" s="321"/>
      <c r="GX39" s="321"/>
      <c r="GY39" s="321"/>
      <c r="GZ39" s="564"/>
      <c r="HA39" s="483"/>
      <c r="HB39" s="321"/>
      <c r="HC39" s="321"/>
      <c r="HD39" s="321"/>
      <c r="HE39" s="321"/>
      <c r="HF39" s="321"/>
      <c r="HG39" s="321"/>
      <c r="HH39" s="321"/>
      <c r="HI39" s="321"/>
      <c r="HJ39" s="321"/>
      <c r="HK39" s="321"/>
      <c r="HL39" s="321"/>
      <c r="HM39" s="321"/>
      <c r="HN39" s="321"/>
      <c r="HO39" s="321"/>
      <c r="HP39" s="564"/>
      <c r="HQ39" s="483"/>
      <c r="HR39" s="321"/>
      <c r="HS39" s="321"/>
      <c r="HT39" s="321"/>
      <c r="HU39" s="321"/>
      <c r="HV39" s="321"/>
      <c r="HW39" s="321"/>
      <c r="HX39" s="321"/>
      <c r="HY39" s="321"/>
      <c r="HZ39" s="321"/>
      <c r="IA39" s="321"/>
      <c r="IB39" s="321"/>
      <c r="IC39" s="321"/>
      <c r="ID39" s="321"/>
      <c r="IE39" s="321"/>
      <c r="IF39" s="564"/>
      <c r="IG39" s="483"/>
      <c r="IH39" s="321"/>
      <c r="II39" s="321"/>
      <c r="IJ39" s="321"/>
      <c r="IK39" s="321"/>
      <c r="IL39" s="321"/>
      <c r="IM39" s="321"/>
      <c r="IN39" s="321"/>
      <c r="IO39" s="321"/>
      <c r="IP39" s="321"/>
      <c r="IQ39" s="321"/>
      <c r="IR39" s="321"/>
      <c r="IS39" s="321"/>
      <c r="IT39" s="321"/>
      <c r="IU39" s="321"/>
      <c r="IV39" s="564"/>
    </row>
    <row r="40" spans="1:256" s="328" customFormat="1" ht="8.25" customHeight="1">
      <c r="A40" s="483"/>
      <c r="B40" s="321"/>
      <c r="C40" s="321"/>
      <c r="D40" s="321"/>
      <c r="E40" s="321"/>
      <c r="F40" s="409"/>
      <c r="G40" s="409"/>
      <c r="H40" s="420"/>
      <c r="I40" s="409"/>
      <c r="J40" s="321"/>
      <c r="K40" s="321"/>
      <c r="L40" s="321"/>
      <c r="M40" s="321"/>
      <c r="N40" s="321"/>
      <c r="O40" s="321"/>
      <c r="P40" s="564"/>
      <c r="Q40" s="412"/>
      <c r="R40" s="429"/>
      <c r="S40" s="443"/>
      <c r="T40" s="443"/>
      <c r="U40" s="449"/>
      <c r="V40" s="449"/>
      <c r="W40" s="449"/>
      <c r="X40" s="431"/>
      <c r="Y40" s="456"/>
      <c r="Z40" s="431"/>
      <c r="AA40" s="431"/>
      <c r="AB40" s="449"/>
      <c r="AC40" s="443"/>
      <c r="AD40" s="443"/>
      <c r="AE40" s="412"/>
      <c r="AF40" s="412"/>
      <c r="AG40" s="483"/>
      <c r="AH40" s="321"/>
      <c r="AI40" s="321"/>
      <c r="AJ40" s="321"/>
      <c r="AK40" s="326"/>
      <c r="AL40" s="326"/>
      <c r="AM40" s="326"/>
      <c r="AN40" s="326"/>
      <c r="AO40" s="326"/>
      <c r="AP40" s="326"/>
      <c r="AQ40" s="326"/>
      <c r="AR40" s="326"/>
      <c r="AS40" s="326"/>
      <c r="AT40" s="321"/>
      <c r="AU40" s="321"/>
      <c r="AV40" s="564"/>
      <c r="AW40" s="483"/>
      <c r="AX40" s="321"/>
      <c r="AY40" s="321"/>
      <c r="AZ40" s="321"/>
      <c r="BA40" s="321"/>
      <c r="BB40" s="321"/>
      <c r="BC40" s="321"/>
      <c r="BD40" s="321"/>
      <c r="BE40" s="321"/>
      <c r="BF40" s="321"/>
      <c r="BG40" s="321"/>
      <c r="BH40" s="321"/>
      <c r="BI40" s="321"/>
      <c r="BJ40" s="321"/>
      <c r="BK40" s="321"/>
      <c r="BL40" s="321"/>
      <c r="BM40" s="709"/>
      <c r="BN40" s="321"/>
      <c r="BO40" s="321"/>
      <c r="BP40" s="321"/>
      <c r="BQ40" s="160"/>
      <c r="BR40" s="321"/>
      <c r="BS40" s="321"/>
      <c r="BT40" s="291"/>
      <c r="BU40" s="321"/>
      <c r="BV40" s="321"/>
      <c r="BW40" s="201"/>
      <c r="BX40" s="321"/>
      <c r="BY40" s="321"/>
      <c r="BZ40" s="321"/>
      <c r="CA40" s="321"/>
      <c r="CB40" s="564"/>
      <c r="CC40" s="321"/>
      <c r="CD40" s="321"/>
      <c r="CE40" s="321"/>
      <c r="CF40" s="321"/>
      <c r="CG40" s="321"/>
      <c r="CH40" s="321"/>
      <c r="CI40" s="321"/>
      <c r="CJ40" s="321"/>
      <c r="CK40" s="321"/>
      <c r="CL40" s="321"/>
      <c r="CM40" s="321"/>
      <c r="CN40" s="321"/>
      <c r="CO40" s="321"/>
      <c r="CP40" s="321"/>
      <c r="CQ40" s="321"/>
      <c r="CR40" s="321"/>
      <c r="CS40" s="483"/>
      <c r="CT40" s="321"/>
      <c r="CU40" s="321"/>
      <c r="CV40" s="321"/>
      <c r="CW40" s="321"/>
      <c r="CX40" s="321"/>
      <c r="DF40" s="321"/>
      <c r="DG40" s="321"/>
      <c r="DH40" s="564"/>
      <c r="DI40" s="483"/>
      <c r="DJ40" s="321"/>
      <c r="DK40" s="321"/>
      <c r="DL40" s="321"/>
      <c r="DM40" s="321"/>
      <c r="DN40" s="321"/>
      <c r="DO40" s="321"/>
      <c r="DP40" s="321"/>
      <c r="DQ40" s="321"/>
      <c r="DR40" s="321"/>
      <c r="DS40" s="321"/>
      <c r="DT40" s="321"/>
      <c r="DU40" s="321"/>
      <c r="DV40" s="321"/>
      <c r="DW40" s="321"/>
      <c r="DX40" s="564"/>
      <c r="DY40" s="483"/>
      <c r="DZ40" s="321"/>
      <c r="EA40" s="321"/>
      <c r="EB40" s="321"/>
      <c r="EC40" s="321"/>
      <c r="ED40" s="321"/>
      <c r="EE40" s="321"/>
      <c r="EF40" s="321"/>
      <c r="EG40" s="321"/>
      <c r="EH40" s="321"/>
      <c r="EI40" s="321"/>
      <c r="EJ40" s="321"/>
      <c r="EK40" s="321"/>
      <c r="EL40" s="321"/>
      <c r="EM40" s="321"/>
      <c r="EN40" s="564"/>
      <c r="EO40" s="483"/>
      <c r="EP40" s="321"/>
      <c r="EQ40" s="417"/>
      <c r="ER40" s="417"/>
      <c r="ES40" s="420"/>
      <c r="ET40" s="409"/>
      <c r="EU40" s="420"/>
      <c r="EV40" s="409"/>
      <c r="EW40" s="420"/>
      <c r="EX40" s="409"/>
      <c r="EY40" s="426"/>
      <c r="EZ40" s="409"/>
      <c r="FA40" s="417"/>
      <c r="FB40" s="321"/>
      <c r="FC40" s="321"/>
      <c r="FD40" s="564"/>
      <c r="FE40" s="483"/>
      <c r="FF40" s="417"/>
      <c r="FG40" s="426"/>
      <c r="FH40" s="426"/>
      <c r="FI40" s="409"/>
      <c r="FJ40" s="426"/>
      <c r="FK40" s="440"/>
      <c r="FL40" s="409"/>
      <c r="FM40" s="440"/>
      <c r="FN40" s="409"/>
      <c r="FO40" s="426"/>
      <c r="FP40" s="459"/>
      <c r="FQ40" s="417"/>
      <c r="FR40" s="417"/>
      <c r="FS40" s="409"/>
      <c r="FT40" s="417"/>
      <c r="FU40" s="483"/>
      <c r="FV40" s="321"/>
      <c r="FW40" s="321"/>
      <c r="FX40" s="321"/>
      <c r="FY40" s="321"/>
      <c r="FZ40" s="426">
        <v>6</v>
      </c>
      <c r="GA40" s="422"/>
      <c r="GB40" s="417"/>
      <c r="GC40" s="426">
        <v>6</v>
      </c>
      <c r="GD40" s="417"/>
      <c r="GE40" s="321"/>
      <c r="GF40" s="321"/>
      <c r="GG40" s="321"/>
      <c r="GH40" s="321"/>
      <c r="GI40" s="321"/>
      <c r="GJ40" s="564"/>
      <c r="GK40" s="483"/>
      <c r="GL40" s="321"/>
      <c r="GM40" s="321"/>
      <c r="GN40" s="321"/>
      <c r="GO40" s="321"/>
      <c r="GP40" s="321"/>
      <c r="GQ40" s="321"/>
      <c r="GR40" s="321"/>
      <c r="GS40" s="321"/>
      <c r="GT40" s="321"/>
      <c r="GU40" s="321"/>
      <c r="GV40" s="321"/>
      <c r="GW40" s="321"/>
      <c r="GX40" s="321"/>
      <c r="GY40" s="321"/>
      <c r="GZ40" s="564"/>
      <c r="HA40" s="483">
        <v>2</v>
      </c>
      <c r="HB40" s="321"/>
      <c r="HC40" s="321"/>
      <c r="HD40" s="321"/>
      <c r="HE40" s="321"/>
      <c r="HF40" s="321"/>
      <c r="HG40" s="321"/>
      <c r="HH40" s="321"/>
      <c r="HI40" s="321"/>
      <c r="HJ40" s="321"/>
      <c r="HK40" s="321"/>
      <c r="HL40" s="321"/>
      <c r="HM40" s="321"/>
      <c r="HN40" s="321"/>
      <c r="HO40" s="321"/>
      <c r="HP40" s="564"/>
      <c r="HQ40" s="483">
        <v>2</v>
      </c>
      <c r="HR40" s="321"/>
      <c r="HS40" s="321"/>
      <c r="HT40" s="321"/>
      <c r="HU40" s="321"/>
      <c r="HV40" s="321"/>
      <c r="HW40" s="321"/>
      <c r="HX40" s="321"/>
      <c r="HY40" s="321"/>
      <c r="HZ40" s="321"/>
      <c r="IA40" s="321"/>
      <c r="IB40" s="321"/>
      <c r="IC40" s="321"/>
      <c r="ID40" s="321"/>
      <c r="IE40" s="321"/>
      <c r="IF40" s="564"/>
      <c r="IG40" s="483">
        <v>2</v>
      </c>
      <c r="IH40" s="321"/>
      <c r="II40" s="321"/>
      <c r="IJ40" s="321"/>
      <c r="IK40" s="321"/>
      <c r="IL40" s="321"/>
      <c r="IM40" s="321"/>
      <c r="IN40" s="321"/>
      <c r="IO40" s="321"/>
      <c r="IP40" s="321"/>
      <c r="IQ40" s="321"/>
      <c r="IR40" s="321"/>
      <c r="IS40" s="321"/>
      <c r="IT40" s="321"/>
      <c r="IU40" s="321"/>
      <c r="IV40" s="564"/>
    </row>
    <row r="41" spans="1:256" s="328" customFormat="1" ht="8.25" customHeight="1">
      <c r="A41" s="483"/>
      <c r="B41" s="321"/>
      <c r="C41" s="321"/>
      <c r="D41" s="321"/>
      <c r="E41" s="321"/>
      <c r="F41" s="429"/>
      <c r="G41" s="409"/>
      <c r="H41" s="420"/>
      <c r="I41" s="420"/>
      <c r="J41" s="321"/>
      <c r="K41" s="321"/>
      <c r="L41" s="321"/>
      <c r="M41" s="321"/>
      <c r="N41" s="427"/>
      <c r="O41" s="321"/>
      <c r="P41" s="564"/>
      <c r="Q41" s="412"/>
      <c r="R41" s="443"/>
      <c r="S41" s="429"/>
      <c r="T41" s="412"/>
      <c r="U41" s="431"/>
      <c r="V41" s="449"/>
      <c r="W41" s="431"/>
      <c r="X41" s="449"/>
      <c r="Y41" s="429"/>
      <c r="Z41" s="449"/>
      <c r="AA41" s="431"/>
      <c r="AB41" s="449"/>
      <c r="AC41" s="412"/>
      <c r="AD41" s="429"/>
      <c r="AE41" s="443"/>
      <c r="AF41" s="412"/>
      <c r="AG41" s="483"/>
      <c r="AH41" s="321"/>
      <c r="AI41" s="321"/>
      <c r="AJ41" s="321"/>
      <c r="AK41" s="326"/>
      <c r="AL41" s="326"/>
      <c r="AM41" s="326"/>
      <c r="AN41" s="326"/>
      <c r="AO41" s="326"/>
      <c r="AP41" s="326"/>
      <c r="AQ41" s="326"/>
      <c r="AR41" s="326"/>
      <c r="AS41" s="326"/>
      <c r="AT41" s="321"/>
      <c r="AU41" s="321"/>
      <c r="AV41" s="564"/>
      <c r="AW41" s="483"/>
      <c r="AX41" s="321"/>
      <c r="AY41" s="321"/>
      <c r="AZ41" s="321"/>
      <c r="BA41" s="321"/>
      <c r="BB41" s="321"/>
      <c r="BC41" s="321"/>
      <c r="BD41" s="321"/>
      <c r="BE41" s="321"/>
      <c r="BF41" s="321"/>
      <c r="BG41" s="321"/>
      <c r="BH41" s="321"/>
      <c r="BI41" s="321"/>
      <c r="BJ41" s="321"/>
      <c r="BK41" s="321"/>
      <c r="BL41" s="321"/>
      <c r="BM41" s="864"/>
      <c r="BN41" s="321"/>
      <c r="BO41" s="321"/>
      <c r="BP41" s="321"/>
      <c r="BQ41" s="321"/>
      <c r="BR41" s="321"/>
      <c r="BS41" s="321"/>
      <c r="BT41" s="193"/>
      <c r="BU41" s="321"/>
      <c r="BV41" s="321"/>
      <c r="BW41" s="291"/>
      <c r="BX41" s="201"/>
      <c r="BY41" s="321"/>
      <c r="BZ41" s="321"/>
      <c r="CA41" s="321"/>
      <c r="CB41" s="564"/>
      <c r="CC41" s="299"/>
      <c r="CD41" s="295"/>
      <c r="CE41" s="436"/>
      <c r="CF41" s="305"/>
      <c r="CG41" s="299"/>
      <c r="CH41" s="295"/>
      <c r="CI41" s="436"/>
      <c r="CJ41" s="305"/>
      <c r="CK41" s="299"/>
      <c r="CL41" s="295"/>
      <c r="CM41" s="436"/>
      <c r="CN41" s="305"/>
      <c r="CO41" s="299"/>
      <c r="CP41" s="295"/>
      <c r="CQ41" s="436"/>
      <c r="CR41" s="478"/>
      <c r="CS41" s="483"/>
      <c r="CT41" s="321"/>
      <c r="CU41" s="321"/>
      <c r="CV41" s="321"/>
      <c r="CW41" s="321"/>
      <c r="CX41" s="321"/>
      <c r="DF41" s="321"/>
      <c r="DG41" s="321"/>
      <c r="DH41" s="564"/>
      <c r="DI41" s="483"/>
      <c r="DJ41" s="321"/>
      <c r="DK41" s="321"/>
      <c r="DL41" s="321"/>
      <c r="DM41" s="321"/>
      <c r="DN41" s="321"/>
      <c r="DO41" s="321"/>
      <c r="DP41" s="321"/>
      <c r="DQ41" s="321"/>
      <c r="DR41" s="321"/>
      <c r="DS41" s="321"/>
      <c r="DT41" s="321"/>
      <c r="DU41" s="321"/>
      <c r="DV41" s="321"/>
      <c r="DW41" s="321"/>
      <c r="DX41" s="564"/>
      <c r="DY41" s="483"/>
      <c r="DZ41" s="321"/>
      <c r="EA41" s="321"/>
      <c r="EB41" s="321"/>
      <c r="EC41" s="321"/>
      <c r="ED41" s="321"/>
      <c r="EE41" s="321"/>
      <c r="EF41" s="321"/>
      <c r="EG41" s="321"/>
      <c r="EH41" s="321"/>
      <c r="EI41" s="321"/>
      <c r="EJ41" s="321"/>
      <c r="EK41" s="321"/>
      <c r="EL41" s="321"/>
      <c r="EM41" s="321"/>
      <c r="EN41" s="564"/>
      <c r="EO41" s="483"/>
      <c r="EP41" s="321">
        <v>9</v>
      </c>
      <c r="EQ41" s="409"/>
      <c r="ER41" s="420"/>
      <c r="ES41" s="426"/>
      <c r="ET41" s="417"/>
      <c r="EU41" s="440"/>
      <c r="EV41" s="426"/>
      <c r="EW41" s="409"/>
      <c r="EX41" s="426"/>
      <c r="EY41" s="426"/>
      <c r="EZ41" s="420"/>
      <c r="FA41" s="417"/>
      <c r="FB41" s="417"/>
      <c r="FC41" s="321">
        <v>9</v>
      </c>
      <c r="FD41" s="564"/>
      <c r="FE41" s="426"/>
      <c r="FF41" s="321"/>
      <c r="FG41" s="426"/>
      <c r="FH41" s="420"/>
      <c r="FI41" s="426"/>
      <c r="FJ41" s="440"/>
      <c r="FK41" s="321">
        <v>9</v>
      </c>
      <c r="FL41" s="417"/>
      <c r="FM41" s="417"/>
      <c r="FN41" s="429"/>
      <c r="FO41" s="420"/>
      <c r="FP41" s="429"/>
      <c r="FQ41" s="409"/>
      <c r="FR41" s="426"/>
      <c r="FS41" s="417"/>
      <c r="FT41" s="564"/>
      <c r="FU41" s="483"/>
      <c r="FV41" s="321"/>
      <c r="FW41" s="321"/>
      <c r="FX41" s="321"/>
      <c r="FY41" s="321"/>
      <c r="FZ41" s="321"/>
      <c r="GA41" s="417"/>
      <c r="GB41" s="564"/>
      <c r="GC41" s="426">
        <v>5</v>
      </c>
      <c r="GD41" s="321"/>
      <c r="GE41" s="321"/>
      <c r="GF41" s="321"/>
      <c r="GG41" s="321"/>
      <c r="GH41" s="321"/>
      <c r="GI41" s="321"/>
      <c r="GJ41" s="564"/>
      <c r="GK41" s="483"/>
      <c r="GL41" s="321"/>
      <c r="GM41" s="321"/>
      <c r="GN41" s="321"/>
      <c r="GO41" s="321"/>
      <c r="GP41" s="321"/>
      <c r="GQ41" s="321"/>
      <c r="GR41" s="321"/>
      <c r="GS41" s="321"/>
      <c r="GT41" s="321"/>
      <c r="GU41" s="321"/>
      <c r="GV41" s="321"/>
      <c r="GW41" s="321"/>
      <c r="GX41" s="321"/>
      <c r="GY41" s="321"/>
      <c r="GZ41" s="564"/>
      <c r="HA41" s="483">
        <v>8</v>
      </c>
      <c r="HB41" s="321"/>
      <c r="HC41" s="321"/>
      <c r="HD41" s="321"/>
      <c r="HE41" s="321"/>
      <c r="HF41" s="321"/>
      <c r="HG41" s="321"/>
      <c r="HH41" s="321"/>
      <c r="HI41" s="321"/>
      <c r="HJ41" s="321"/>
      <c r="HK41" s="321"/>
      <c r="HL41" s="321"/>
      <c r="HM41" s="321"/>
      <c r="HN41" s="321"/>
      <c r="HO41" s="321"/>
      <c r="HP41" s="564"/>
      <c r="HQ41" s="483">
        <v>8</v>
      </c>
      <c r="HR41" s="321"/>
      <c r="HS41" s="321"/>
      <c r="HT41" s="321"/>
      <c r="HU41" s="321"/>
      <c r="HV41" s="321"/>
      <c r="HW41" s="321"/>
      <c r="HX41" s="321"/>
      <c r="HY41" s="321"/>
      <c r="HZ41" s="321"/>
      <c r="IA41" s="321"/>
      <c r="IB41" s="321"/>
      <c r="IC41" s="321"/>
      <c r="ID41" s="321"/>
      <c r="IE41" s="321"/>
      <c r="IF41" s="564"/>
      <c r="IG41" s="483">
        <v>8</v>
      </c>
      <c r="IH41" s="321"/>
      <c r="II41" s="321"/>
      <c r="IJ41" s="321"/>
      <c r="IK41" s="321"/>
      <c r="IL41" s="321"/>
      <c r="IM41" s="321"/>
      <c r="IN41" s="321"/>
      <c r="IO41" s="321"/>
      <c r="IP41" s="321"/>
      <c r="IQ41" s="321"/>
      <c r="IR41" s="321"/>
      <c r="IS41" s="321"/>
      <c r="IT41" s="321"/>
      <c r="IU41" s="321"/>
      <c r="IV41" s="564"/>
    </row>
    <row r="42" spans="1:256" s="328" customFormat="1" ht="8.25" customHeight="1">
      <c r="A42" s="483"/>
      <c r="B42" s="321"/>
      <c r="C42" s="321"/>
      <c r="D42" s="321"/>
      <c r="E42" s="321"/>
      <c r="F42" s="409"/>
      <c r="G42" s="409"/>
      <c r="H42" s="420"/>
      <c r="I42" s="420"/>
      <c r="J42" s="321"/>
      <c r="K42" s="321"/>
      <c r="L42" s="321"/>
      <c r="M42" s="441"/>
      <c r="N42" s="427"/>
      <c r="O42" s="321"/>
      <c r="P42" s="564"/>
      <c r="Q42" s="412"/>
      <c r="R42" s="412"/>
      <c r="S42" s="443"/>
      <c r="T42" s="431"/>
      <c r="U42" s="412"/>
      <c r="V42" s="449"/>
      <c r="W42" s="431"/>
      <c r="X42" s="456"/>
      <c r="Y42" s="456"/>
      <c r="Z42" s="456"/>
      <c r="AA42" s="431"/>
      <c r="AB42" s="443"/>
      <c r="AC42" s="443"/>
      <c r="AD42" s="443"/>
      <c r="AE42" s="412"/>
      <c r="AF42" s="412"/>
      <c r="AG42" s="483"/>
      <c r="AH42" s="321"/>
      <c r="AI42" s="321"/>
      <c r="AJ42" s="321"/>
      <c r="AK42" s="326"/>
      <c r="AL42" s="326"/>
      <c r="AM42" s="326"/>
      <c r="AN42" s="326"/>
      <c r="AO42" s="326"/>
      <c r="AP42" s="326"/>
      <c r="AQ42" s="326"/>
      <c r="AR42" s="326"/>
      <c r="AS42" s="326"/>
      <c r="AT42" s="321"/>
      <c r="AU42" s="321"/>
      <c r="AV42" s="564"/>
      <c r="AW42" s="483"/>
      <c r="AX42" s="321"/>
      <c r="AY42" s="321"/>
      <c r="AZ42" s="321"/>
      <c r="BA42" s="321"/>
      <c r="BB42" s="321"/>
      <c r="BC42" s="321"/>
      <c r="BD42" s="321"/>
      <c r="BE42" s="321"/>
      <c r="BF42" s="321"/>
      <c r="BG42" s="321"/>
      <c r="BH42" s="321"/>
      <c r="BI42" s="321"/>
      <c r="BJ42" s="321"/>
      <c r="BK42" s="321"/>
      <c r="BL42" s="321"/>
      <c r="BM42" s="709"/>
      <c r="BN42" s="321"/>
      <c r="BO42" s="321"/>
      <c r="BP42" s="321"/>
      <c r="BQ42" s="321"/>
      <c r="BR42" s="321"/>
      <c r="BS42" s="321"/>
      <c r="BT42" s="321"/>
      <c r="BU42" s="321"/>
      <c r="BV42" s="321"/>
      <c r="BW42" s="321"/>
      <c r="BX42" s="201"/>
      <c r="BY42" s="321"/>
      <c r="BZ42" s="321"/>
      <c r="CA42" s="321"/>
      <c r="CB42" s="564"/>
      <c r="CC42" s="295"/>
      <c r="CD42" s="436"/>
      <c r="CE42" s="305"/>
      <c r="CF42" s="299"/>
      <c r="CG42" s="295"/>
      <c r="CH42" s="436"/>
      <c r="CI42" s="305"/>
      <c r="CJ42" s="299"/>
      <c r="CK42" s="295"/>
      <c r="CL42" s="436"/>
      <c r="CM42" s="305"/>
      <c r="CN42" s="299"/>
      <c r="CO42" s="295"/>
      <c r="CP42" s="436"/>
      <c r="CQ42" s="305"/>
      <c r="CR42" s="299"/>
      <c r="CS42" s="483"/>
      <c r="CT42" s="321"/>
      <c r="CU42" s="321"/>
      <c r="CV42" s="321"/>
      <c r="CW42" s="321"/>
      <c r="CX42" s="321"/>
      <c r="DF42" s="321"/>
      <c r="DG42" s="321"/>
      <c r="DH42" s="564"/>
      <c r="DI42" s="483">
        <v>-60</v>
      </c>
      <c r="DJ42" s="321"/>
      <c r="DK42" s="321"/>
      <c r="DL42" s="321"/>
      <c r="DM42" s="321"/>
      <c r="DN42" s="321"/>
      <c r="DO42" s="321"/>
      <c r="DP42" s="321"/>
      <c r="DQ42" s="321"/>
      <c r="DR42" s="321"/>
      <c r="DS42" s="321"/>
      <c r="DT42" s="321"/>
      <c r="DU42" s="321"/>
      <c r="DV42" s="321"/>
      <c r="DW42" s="321"/>
      <c r="DX42" s="564"/>
      <c r="DY42" s="483">
        <v>-100</v>
      </c>
      <c r="DZ42" s="321"/>
      <c r="EA42" s="321"/>
      <c r="EB42" s="417">
        <v>7</v>
      </c>
      <c r="EC42" s="321"/>
      <c r="ED42" s="321"/>
      <c r="EE42" s="321"/>
      <c r="EF42" s="321"/>
      <c r="EG42" s="409">
        <v>9</v>
      </c>
      <c r="EH42" s="321"/>
      <c r="EI42" s="321"/>
      <c r="EJ42" s="321"/>
      <c r="EK42" s="321"/>
      <c r="EL42" s="321"/>
      <c r="EM42" s="321"/>
      <c r="EN42" s="564"/>
      <c r="EO42" s="483">
        <v>-210</v>
      </c>
      <c r="EP42" s="409"/>
      <c r="EQ42" s="436"/>
      <c r="ER42" s="420"/>
      <c r="ES42" s="409"/>
      <c r="ET42" s="426"/>
      <c r="EU42" s="409"/>
      <c r="EV42" s="409"/>
      <c r="EW42" s="429"/>
      <c r="EX42" s="409"/>
      <c r="EY42" s="429"/>
      <c r="EZ42" s="417"/>
      <c r="FA42" s="417"/>
      <c r="FB42" s="409"/>
      <c r="FC42" s="417"/>
      <c r="FD42" s="564"/>
      <c r="FE42" s="483">
        <v>-80</v>
      </c>
      <c r="FF42" s="321"/>
      <c r="FG42" s="422"/>
      <c r="FH42" s="321"/>
      <c r="FI42" s="420"/>
      <c r="FJ42" s="417"/>
      <c r="FK42" s="321">
        <v>9</v>
      </c>
      <c r="FL42" s="417"/>
      <c r="FM42" s="321">
        <v>9</v>
      </c>
      <c r="FN42" s="429"/>
      <c r="FO42" s="321">
        <v>9</v>
      </c>
      <c r="FP42" s="420"/>
      <c r="FQ42" s="426"/>
      <c r="FR42" s="409"/>
      <c r="FS42" s="417"/>
      <c r="FT42" s="564"/>
      <c r="FU42" s="483"/>
      <c r="FV42" s="321"/>
      <c r="FW42" s="321"/>
      <c r="FX42" s="321"/>
      <c r="FY42" s="321"/>
      <c r="FZ42" s="321"/>
      <c r="GA42" s="321"/>
      <c r="GB42" s="417"/>
      <c r="GC42" s="321"/>
      <c r="GD42" s="321"/>
      <c r="GE42" s="321"/>
      <c r="GF42" s="321"/>
      <c r="GG42" s="321"/>
      <c r="GH42" s="321"/>
      <c r="GI42" s="321"/>
      <c r="GJ42" s="564"/>
      <c r="GK42" s="483"/>
      <c r="GL42" s="321"/>
      <c r="GM42" s="321"/>
      <c r="GN42" s="321"/>
      <c r="GO42" s="321"/>
      <c r="GP42" s="321"/>
      <c r="GQ42" s="321"/>
      <c r="GR42" s="321"/>
      <c r="GS42" s="321"/>
      <c r="GT42" s="321"/>
      <c r="GU42" s="321"/>
      <c r="GV42" s="321"/>
      <c r="GW42" s="321"/>
      <c r="GX42" s="321"/>
      <c r="GY42" s="321"/>
      <c r="GZ42" s="564"/>
      <c r="HA42" s="483"/>
      <c r="HB42" s="321"/>
      <c r="HC42" s="321"/>
      <c r="HD42" s="321"/>
      <c r="HE42" s="321"/>
      <c r="HF42" s="321"/>
      <c r="HG42" s="321"/>
      <c r="HH42" s="321"/>
      <c r="HI42" s="321"/>
      <c r="HJ42" s="321"/>
      <c r="HK42" s="321"/>
      <c r="HL42" s="321"/>
      <c r="HM42" s="321"/>
      <c r="HN42" s="321"/>
      <c r="HO42" s="321"/>
      <c r="HP42" s="564"/>
      <c r="HQ42" s="483"/>
      <c r="HR42" s="321"/>
      <c r="HS42" s="321"/>
      <c r="HT42" s="321"/>
      <c r="HU42" s="321"/>
      <c r="HV42" s="321"/>
      <c r="HW42" s="321"/>
      <c r="HX42" s="321"/>
      <c r="HY42" s="321"/>
      <c r="HZ42" s="321"/>
      <c r="IA42" s="321"/>
      <c r="IB42" s="321"/>
      <c r="IC42" s="321"/>
      <c r="ID42" s="321"/>
      <c r="IE42" s="321"/>
      <c r="IF42" s="564"/>
      <c r="IG42" s="483"/>
      <c r="IH42" s="321"/>
      <c r="II42" s="321"/>
      <c r="IJ42" s="321"/>
      <c r="IK42" s="321"/>
      <c r="IL42" s="321"/>
      <c r="IM42" s="321"/>
      <c r="IN42" s="321"/>
      <c r="IO42" s="321"/>
      <c r="IP42" s="321"/>
      <c r="IQ42" s="321"/>
      <c r="IR42" s="321"/>
      <c r="IS42" s="321"/>
      <c r="IT42" s="321"/>
      <c r="IU42" s="321"/>
      <c r="IV42" s="564"/>
    </row>
    <row r="43" spans="1:256" s="328" customFormat="1" ht="8.25" customHeight="1">
      <c r="A43" s="483"/>
      <c r="B43" s="321"/>
      <c r="C43" s="321"/>
      <c r="D43" s="429"/>
      <c r="E43" s="420"/>
      <c r="F43" s="420"/>
      <c r="G43" s="409"/>
      <c r="H43" s="420"/>
      <c r="I43" s="420"/>
      <c r="J43" s="321"/>
      <c r="K43" s="321"/>
      <c r="L43" s="423"/>
      <c r="M43" s="321"/>
      <c r="N43" s="423"/>
      <c r="O43" s="423"/>
      <c r="P43" s="564"/>
      <c r="Q43" s="412"/>
      <c r="R43" s="412"/>
      <c r="S43" s="412"/>
      <c r="T43" s="443"/>
      <c r="U43" s="431"/>
      <c r="V43" s="449"/>
      <c r="W43" s="443"/>
      <c r="X43" s="449"/>
      <c r="Y43" s="438"/>
      <c r="Z43" s="449"/>
      <c r="AA43" s="436"/>
      <c r="AB43" s="443"/>
      <c r="AC43" s="412"/>
      <c r="AD43" s="443"/>
      <c r="AE43" s="429"/>
      <c r="AF43" s="412"/>
      <c r="AG43" s="483"/>
      <c r="AH43" s="321"/>
      <c r="AI43" s="321"/>
      <c r="AJ43" s="321"/>
      <c r="AK43" s="326"/>
      <c r="AL43" s="326"/>
      <c r="AM43" s="326"/>
      <c r="AN43" s="326"/>
      <c r="AO43" s="326"/>
      <c r="AP43" s="326"/>
      <c r="AQ43" s="326"/>
      <c r="AR43" s="326"/>
      <c r="AS43" s="326"/>
      <c r="AT43" s="321"/>
      <c r="AU43" s="321"/>
      <c r="AV43" s="564"/>
      <c r="AW43" s="483"/>
      <c r="AX43" s="321"/>
      <c r="AY43" s="321"/>
      <c r="AZ43" s="321"/>
      <c r="BA43" s="321"/>
      <c r="BB43" s="321"/>
      <c r="BC43" s="321"/>
      <c r="BD43" s="321"/>
      <c r="BE43" s="321"/>
      <c r="BF43" s="321"/>
      <c r="BG43" s="321"/>
      <c r="BH43" s="321"/>
      <c r="BI43" s="321"/>
      <c r="BJ43" s="321"/>
      <c r="BK43" s="321"/>
      <c r="BL43" s="321"/>
      <c r="BM43" s="876"/>
      <c r="BN43" s="321"/>
      <c r="BO43" s="201"/>
      <c r="BP43" s="321"/>
      <c r="BQ43" s="321"/>
      <c r="BR43" s="321"/>
      <c r="BS43" s="206"/>
      <c r="BT43" s="321"/>
      <c r="BU43" s="321"/>
      <c r="BV43" s="160"/>
      <c r="BW43" s="321"/>
      <c r="BX43" s="193"/>
      <c r="BY43" s="321"/>
      <c r="BZ43" s="321"/>
      <c r="CA43" s="321"/>
      <c r="CB43" s="564"/>
      <c r="CC43" s="436"/>
      <c r="CD43" s="305"/>
      <c r="CE43" s="302"/>
      <c r="CF43" s="299"/>
      <c r="CG43" s="436"/>
      <c r="CH43" s="305"/>
      <c r="CI43" s="302"/>
      <c r="CJ43" s="299"/>
      <c r="CK43" s="436"/>
      <c r="CL43" s="305"/>
      <c r="CM43" s="302"/>
      <c r="CN43" s="299"/>
      <c r="CO43" s="436"/>
      <c r="CP43" s="305"/>
      <c r="CQ43" s="302"/>
      <c r="CR43" s="299"/>
      <c r="CS43" s="483"/>
      <c r="CT43" s="321"/>
      <c r="CU43" s="321"/>
      <c r="CV43" s="321"/>
      <c r="CW43" s="321"/>
      <c r="CY43" s="159"/>
      <c r="CZ43" s="162"/>
      <c r="DA43" s="163"/>
      <c r="DB43" s="158"/>
      <c r="DF43" s="321"/>
      <c r="DG43" s="321"/>
      <c r="DH43" s="564"/>
      <c r="DI43" s="483">
        <v>48</v>
      </c>
      <c r="DJ43" s="321"/>
      <c r="DK43" s="321"/>
      <c r="DL43" s="321"/>
      <c r="DM43" s="321"/>
      <c r="DN43" s="321"/>
      <c r="DO43" s="321"/>
      <c r="DP43" s="321"/>
      <c r="DQ43" s="321"/>
      <c r="DR43" s="321"/>
      <c r="DS43" s="321"/>
      <c r="DT43" s="321"/>
      <c r="DU43" s="321"/>
      <c r="DV43" s="321"/>
      <c r="DW43" s="321"/>
      <c r="DX43" s="564"/>
      <c r="DY43" s="483">
        <v>56</v>
      </c>
      <c r="DZ43" s="321"/>
      <c r="EA43" s="321"/>
      <c r="EB43" s="321"/>
      <c r="EC43" s="321">
        <v>9</v>
      </c>
      <c r="ED43" s="321">
        <v>9</v>
      </c>
      <c r="EE43" s="321"/>
      <c r="EF43" s="321">
        <v>8</v>
      </c>
      <c r="EG43" s="321"/>
      <c r="EH43" s="321">
        <v>9</v>
      </c>
      <c r="EI43" s="321"/>
      <c r="EJ43" s="321"/>
      <c r="EK43" s="409">
        <v>7</v>
      </c>
      <c r="EL43" s="321"/>
      <c r="EM43" s="321"/>
      <c r="EN43" s="564"/>
      <c r="EO43" s="483">
        <v>63</v>
      </c>
      <c r="EP43" s="417"/>
      <c r="EQ43" s="417"/>
      <c r="ER43" s="409"/>
      <c r="ES43" s="429"/>
      <c r="ET43" s="417"/>
      <c r="EU43" s="417"/>
      <c r="EV43" s="417"/>
      <c r="EW43" s="429"/>
      <c r="EX43" s="409"/>
      <c r="EY43" s="409"/>
      <c r="EZ43" s="440"/>
      <c r="FA43" s="420"/>
      <c r="FB43" s="417"/>
      <c r="FC43" s="417"/>
      <c r="FD43" s="417"/>
      <c r="FE43" s="483">
        <v>60</v>
      </c>
      <c r="FF43" s="321"/>
      <c r="FG43" s="321"/>
      <c r="FH43" s="422"/>
      <c r="FI43" s="429"/>
      <c r="FJ43" s="422"/>
      <c r="FK43" s="409"/>
      <c r="FL43" s="321">
        <v>9</v>
      </c>
      <c r="FM43" s="409"/>
      <c r="FN43" s="321">
        <v>9</v>
      </c>
      <c r="FO43" s="422"/>
      <c r="FP43" s="420"/>
      <c r="FQ43" s="409"/>
      <c r="FR43" s="422"/>
      <c r="FS43" s="321"/>
      <c r="FT43" s="564"/>
      <c r="FU43" s="483"/>
      <c r="FV43" s="321"/>
      <c r="FW43" s="321"/>
      <c r="FX43" s="321"/>
      <c r="FY43" s="321"/>
      <c r="FZ43" s="321"/>
      <c r="GA43" s="422"/>
      <c r="GB43" s="321"/>
      <c r="GC43" s="415"/>
      <c r="GD43" s="321"/>
      <c r="GE43" s="321"/>
      <c r="GF43" s="321"/>
      <c r="GG43" s="321"/>
      <c r="GH43" s="321"/>
      <c r="GI43" s="321"/>
      <c r="GJ43" s="564"/>
      <c r="GK43" s="483"/>
      <c r="GL43" s="321"/>
      <c r="GM43" s="321"/>
      <c r="GN43" s="321"/>
      <c r="GO43" s="321"/>
      <c r="GP43" s="321"/>
      <c r="GQ43" s="321"/>
      <c r="GR43" s="321"/>
      <c r="GS43" s="321"/>
      <c r="GT43" s="321"/>
      <c r="GU43" s="321"/>
      <c r="GV43" s="321"/>
      <c r="GW43" s="321"/>
      <c r="GX43" s="321"/>
      <c r="GY43" s="321"/>
      <c r="GZ43" s="564"/>
      <c r="HA43" s="483"/>
      <c r="HB43" s="321"/>
      <c r="HC43" s="321"/>
      <c r="HD43" s="321"/>
      <c r="HE43" s="321"/>
      <c r="HF43" s="321"/>
      <c r="HG43" s="321"/>
      <c r="HH43" s="321"/>
      <c r="HI43" s="321"/>
      <c r="HJ43" s="321"/>
      <c r="HK43" s="321"/>
      <c r="HL43" s="321"/>
      <c r="HM43" s="321"/>
      <c r="HN43" s="321"/>
      <c r="HO43" s="321"/>
      <c r="HP43" s="564"/>
      <c r="HQ43" s="483"/>
      <c r="HR43" s="321"/>
      <c r="HS43" s="321"/>
      <c r="HT43" s="321"/>
      <c r="HU43" s="321"/>
      <c r="HV43" s="321"/>
      <c r="HW43" s="321"/>
      <c r="HX43" s="321"/>
      <c r="HY43" s="321"/>
      <c r="HZ43" s="321"/>
      <c r="IA43" s="321"/>
      <c r="IB43" s="321"/>
      <c r="IC43" s="321"/>
      <c r="ID43" s="321"/>
      <c r="IE43" s="321"/>
      <c r="IF43" s="564"/>
      <c r="IG43" s="483"/>
      <c r="IH43" s="321"/>
      <c r="II43" s="321"/>
      <c r="IJ43" s="321"/>
      <c r="IK43" s="321"/>
      <c r="IL43" s="321"/>
      <c r="IM43" s="321"/>
      <c r="IN43" s="321"/>
      <c r="IO43" s="321"/>
      <c r="IP43" s="321"/>
      <c r="IQ43" s="321"/>
      <c r="IR43" s="321"/>
      <c r="IS43" s="321"/>
      <c r="IT43" s="321"/>
      <c r="IU43" s="321"/>
      <c r="IV43" s="564"/>
    </row>
    <row r="44" spans="1:256" s="328" customFormat="1" ht="8.25" customHeight="1">
      <c r="A44" s="483">
        <v>0</v>
      </c>
      <c r="B44" s="321"/>
      <c r="C44" s="321"/>
      <c r="D44" s="321"/>
      <c r="E44" s="409"/>
      <c r="F44" s="420"/>
      <c r="G44" s="420"/>
      <c r="H44" s="420"/>
      <c r="I44" s="420"/>
      <c r="J44" s="321"/>
      <c r="K44" s="321"/>
      <c r="L44" s="427"/>
      <c r="M44" s="423"/>
      <c r="N44" s="427"/>
      <c r="O44" s="423"/>
      <c r="P44" s="564"/>
      <c r="Q44" s="443"/>
      <c r="R44" s="443"/>
      <c r="S44" s="443"/>
      <c r="T44" s="429"/>
      <c r="U44" s="412"/>
      <c r="V44" s="449"/>
      <c r="W44" s="456"/>
      <c r="X44" s="431"/>
      <c r="Y44" s="438"/>
      <c r="Z44" s="431"/>
      <c r="AA44" s="449"/>
      <c r="AB44" s="443"/>
      <c r="AC44" s="431"/>
      <c r="AD44" s="412"/>
      <c r="AE44" s="443"/>
      <c r="AF44" s="443"/>
      <c r="AG44" s="483">
        <v>0</v>
      </c>
      <c r="AH44" s="321"/>
      <c r="AI44" s="321"/>
      <c r="AJ44" s="321"/>
      <c r="AK44" s="326"/>
      <c r="AL44" s="326"/>
      <c r="AM44" s="326"/>
      <c r="AN44" s="326"/>
      <c r="AO44" s="326"/>
      <c r="AP44" s="326"/>
      <c r="AQ44" s="326"/>
      <c r="AR44" s="326"/>
      <c r="AS44" s="326"/>
      <c r="AT44" s="321"/>
      <c r="AU44" s="321"/>
      <c r="AV44" s="564"/>
      <c r="AW44" s="483">
        <v>0</v>
      </c>
      <c r="AX44" s="321"/>
      <c r="AY44" s="321"/>
      <c r="AZ44" s="321"/>
      <c r="BA44" s="321"/>
      <c r="BB44" s="321"/>
      <c r="BC44" s="321"/>
      <c r="BD44" s="321"/>
      <c r="BE44" s="321"/>
      <c r="BF44" s="321"/>
      <c r="BG44" s="321"/>
      <c r="BH44" s="321"/>
      <c r="BI44" s="321"/>
      <c r="BJ44" s="321"/>
      <c r="BK44" s="321"/>
      <c r="BL44" s="321"/>
      <c r="BM44" s="483">
        <v>32</v>
      </c>
      <c r="BN44" s="321"/>
      <c r="BO44" s="199"/>
      <c r="BP44" s="201"/>
      <c r="BQ44" s="321"/>
      <c r="BR44" s="206"/>
      <c r="BS44" s="161"/>
      <c r="BT44" s="321"/>
      <c r="BU44" s="321"/>
      <c r="BV44" s="193"/>
      <c r="BW44" s="321"/>
      <c r="BX44" s="321"/>
      <c r="BY44" s="321"/>
      <c r="BZ44" s="160"/>
      <c r="CA44" s="321"/>
      <c r="CB44" s="564"/>
      <c r="CC44" s="449"/>
      <c r="CD44" s="449"/>
      <c r="CE44" s="449"/>
      <c r="CF44" s="449"/>
      <c r="CG44" s="449"/>
      <c r="CH44" s="449"/>
      <c r="CI44" s="449"/>
      <c r="CJ44" s="449"/>
      <c r="CK44" s="449"/>
      <c r="CL44" s="449"/>
      <c r="CM44" s="449"/>
      <c r="CN44" s="449"/>
      <c r="CO44" s="449"/>
      <c r="CP44" s="449"/>
      <c r="CQ44" s="449"/>
      <c r="CR44" s="449"/>
      <c r="CS44" s="483"/>
      <c r="CT44" s="321"/>
      <c r="CU44" s="321"/>
      <c r="CV44" s="321"/>
      <c r="CW44" s="321"/>
      <c r="CY44" s="156"/>
      <c r="CZ44" s="158"/>
      <c r="DA44" s="421"/>
      <c r="DB44" s="163"/>
      <c r="DF44" s="321"/>
      <c r="DG44" s="321"/>
      <c r="DH44" s="564"/>
      <c r="DI44" s="483">
        <v>0</v>
      </c>
      <c r="DJ44" s="321"/>
      <c r="DK44" s="321"/>
      <c r="DL44" s="321"/>
      <c r="DM44" s="321"/>
      <c r="DN44" s="321"/>
      <c r="DO44" s="321"/>
      <c r="DP44" s="321"/>
      <c r="DQ44" s="321"/>
      <c r="DR44" s="321"/>
      <c r="DS44" s="321"/>
      <c r="DT44" s="321"/>
      <c r="DU44" s="321"/>
      <c r="DV44" s="321"/>
      <c r="DW44" s="321"/>
      <c r="DX44" s="564"/>
      <c r="DY44" s="483">
        <v>0</v>
      </c>
      <c r="DZ44" s="321"/>
      <c r="EA44" s="321"/>
      <c r="EB44" s="321">
        <v>9</v>
      </c>
      <c r="EC44" s="409">
        <v>8</v>
      </c>
      <c r="ED44" s="417"/>
      <c r="EE44" s="321">
        <v>9</v>
      </c>
      <c r="EF44" s="417"/>
      <c r="EG44" s="321">
        <v>9</v>
      </c>
      <c r="EH44" s="409"/>
      <c r="EI44" s="321">
        <v>9</v>
      </c>
      <c r="EJ44" s="321">
        <v>8</v>
      </c>
      <c r="EK44" s="321"/>
      <c r="EL44" s="321"/>
      <c r="EM44" s="321"/>
      <c r="EN44" s="564"/>
      <c r="EO44" s="483">
        <v>0</v>
      </c>
      <c r="EP44" s="417"/>
      <c r="EQ44" s="440"/>
      <c r="ER44" s="440"/>
      <c r="ES44" s="429"/>
      <c r="ET44" s="429"/>
      <c r="EU44" s="436"/>
      <c r="EV44" s="417"/>
      <c r="EW44" s="440"/>
      <c r="EX44" s="429"/>
      <c r="EY44" s="420"/>
      <c r="EZ44" s="420"/>
      <c r="FA44" s="409"/>
      <c r="FB44" s="417"/>
      <c r="FC44" s="417"/>
      <c r="FD44" s="409"/>
      <c r="FE44" s="483">
        <v>1</v>
      </c>
      <c r="FF44" s="321"/>
      <c r="FG44" s="321"/>
      <c r="FH44" s="321">
        <v>9</v>
      </c>
      <c r="FI44" s="417"/>
      <c r="FJ44" s="321">
        <v>9</v>
      </c>
      <c r="FK44" s="422"/>
      <c r="FL44" s="417"/>
      <c r="FM44" s="321">
        <v>9</v>
      </c>
      <c r="FN44" s="417"/>
      <c r="FO44" s="420"/>
      <c r="FP44" s="321">
        <v>9</v>
      </c>
      <c r="FQ44" s="422"/>
      <c r="FR44" s="321"/>
      <c r="FS44" s="321"/>
      <c r="FT44" s="564"/>
      <c r="FU44" s="483">
        <v>2</v>
      </c>
      <c r="FV44" s="321"/>
      <c r="FW44" s="321"/>
      <c r="FX44" s="321"/>
      <c r="FY44" s="321"/>
      <c r="FZ44" s="321"/>
      <c r="GA44" s="321"/>
      <c r="GB44" s="417"/>
      <c r="GC44" s="415"/>
      <c r="GD44" s="321"/>
      <c r="GE44" s="321"/>
      <c r="GF44" s="321"/>
      <c r="GG44" s="321"/>
      <c r="GH44" s="321"/>
      <c r="GI44" s="321"/>
      <c r="GJ44" s="564"/>
      <c r="GK44" s="483">
        <v>0</v>
      </c>
      <c r="GL44" s="321"/>
      <c r="GM44" s="321"/>
      <c r="GN44" s="321"/>
      <c r="GO44" s="321"/>
      <c r="GP44" s="321"/>
      <c r="GQ44" s="321"/>
      <c r="GR44" s="321"/>
      <c r="GS44" s="321"/>
      <c r="GT44" s="321"/>
      <c r="GU44" s="321"/>
      <c r="GV44" s="321"/>
      <c r="GW44" s="321"/>
      <c r="GX44" s="321"/>
      <c r="GY44" s="321"/>
      <c r="GZ44" s="564"/>
      <c r="HA44" s="483">
        <v>0</v>
      </c>
      <c r="HB44" s="321"/>
      <c r="HC44" s="321"/>
      <c r="HD44" s="321"/>
      <c r="HE44" s="321"/>
      <c r="HF44" s="321"/>
      <c r="HG44" s="321"/>
      <c r="HH44" s="321"/>
      <c r="HI44" s="321"/>
      <c r="HJ44" s="321"/>
      <c r="HK44" s="321"/>
      <c r="HL44" s="321"/>
      <c r="HM44" s="321"/>
      <c r="HN44" s="321"/>
      <c r="HO44" s="321"/>
      <c r="HP44" s="564"/>
      <c r="HQ44" s="483">
        <v>0</v>
      </c>
      <c r="HR44" s="321"/>
      <c r="HS44" s="321"/>
      <c r="HT44" s="321"/>
      <c r="HU44" s="321"/>
      <c r="HV44" s="321"/>
      <c r="HW44" s="321"/>
      <c r="HX44" s="321"/>
      <c r="HY44" s="321"/>
      <c r="HZ44" s="321"/>
      <c r="IA44" s="321"/>
      <c r="IB44" s="321"/>
      <c r="IC44" s="321"/>
      <c r="ID44" s="321"/>
      <c r="IE44" s="321"/>
      <c r="IF44" s="564"/>
      <c r="IG44" s="483">
        <v>0</v>
      </c>
      <c r="IH44" s="321"/>
      <c r="II44" s="321"/>
      <c r="IJ44" s="321"/>
      <c r="IK44" s="321"/>
      <c r="IL44" s="321"/>
      <c r="IM44" s="321"/>
      <c r="IN44" s="321"/>
      <c r="IO44" s="321"/>
      <c r="IP44" s="321"/>
      <c r="IQ44" s="321"/>
      <c r="IR44" s="321"/>
      <c r="IS44" s="321"/>
      <c r="IT44" s="321"/>
      <c r="IU44" s="321"/>
      <c r="IV44" s="564"/>
    </row>
    <row r="45" spans="1:256" s="328" customFormat="1" ht="8.25" customHeight="1">
      <c r="A45" s="1308">
        <v>32</v>
      </c>
      <c r="B45" s="321"/>
      <c r="C45" s="321"/>
      <c r="D45" s="321"/>
      <c r="E45" s="321"/>
      <c r="F45" s="420"/>
      <c r="G45" s="420"/>
      <c r="H45" s="420"/>
      <c r="I45" s="409"/>
      <c r="J45" s="321"/>
      <c r="K45" s="321"/>
      <c r="L45" s="420"/>
      <c r="M45" s="321"/>
      <c r="N45" s="423"/>
      <c r="O45" s="321"/>
      <c r="P45" s="564"/>
      <c r="Q45" s="412"/>
      <c r="R45" s="412"/>
      <c r="S45" s="412"/>
      <c r="T45" s="412"/>
      <c r="U45" s="431"/>
      <c r="V45" s="431"/>
      <c r="W45" s="431"/>
      <c r="X45" s="438"/>
      <c r="Y45" s="438"/>
      <c r="Z45" s="438"/>
      <c r="AA45" s="431"/>
      <c r="AB45" s="431"/>
      <c r="AC45" s="412"/>
      <c r="AD45" s="412"/>
      <c r="AE45" s="412"/>
      <c r="AF45" s="412"/>
      <c r="AG45" s="1308">
        <v>4</v>
      </c>
      <c r="AH45" s="321"/>
      <c r="AI45" s="321"/>
      <c r="AJ45" s="321"/>
      <c r="AK45" s="326"/>
      <c r="AL45" s="326"/>
      <c r="AM45" s="326"/>
      <c r="AN45" s="326"/>
      <c r="AO45" s="326"/>
      <c r="AP45" s="326"/>
      <c r="AQ45" s="326"/>
      <c r="AR45" s="326"/>
      <c r="AS45" s="326"/>
      <c r="AT45" s="321"/>
      <c r="AU45" s="321"/>
      <c r="AV45" s="564"/>
      <c r="AW45" s="1308">
        <v>4</v>
      </c>
      <c r="AX45" s="321"/>
      <c r="AY45" s="321"/>
      <c r="AZ45" s="321"/>
      <c r="BA45" s="321"/>
      <c r="BB45" s="321"/>
      <c r="BC45" s="321"/>
      <c r="BD45" s="321"/>
      <c r="BE45" s="321"/>
      <c r="BF45" s="321"/>
      <c r="BG45" s="321"/>
      <c r="BH45" s="321"/>
      <c r="BI45" s="321"/>
      <c r="BJ45" s="321"/>
      <c r="BK45" s="321"/>
      <c r="BL45" s="321"/>
      <c r="BM45" s="1308"/>
      <c r="BN45" s="321"/>
      <c r="BO45" s="201"/>
      <c r="BP45" s="193"/>
      <c r="BQ45" s="321"/>
      <c r="BR45" s="161"/>
      <c r="BS45" s="206"/>
      <c r="BT45" s="321"/>
      <c r="BU45" s="193"/>
      <c r="BV45" s="321"/>
      <c r="BW45" s="321"/>
      <c r="BX45" s="321"/>
      <c r="BY45" s="321"/>
      <c r="BZ45" s="193"/>
      <c r="CA45" s="321"/>
      <c r="CB45" s="564"/>
      <c r="CC45" s="317"/>
      <c r="CD45" s="449"/>
      <c r="CE45" s="449"/>
      <c r="CF45" s="317"/>
      <c r="CG45" s="449"/>
      <c r="CH45" s="317"/>
      <c r="CI45" s="317"/>
      <c r="CJ45" s="317"/>
      <c r="CK45" s="449"/>
      <c r="CL45" s="317"/>
      <c r="CM45" s="449"/>
      <c r="CN45" s="317"/>
      <c r="CO45" s="449"/>
      <c r="CP45" s="317"/>
      <c r="CQ45" s="317"/>
      <c r="CR45" s="317"/>
      <c r="CS45" s="483">
        <v>10</v>
      </c>
      <c r="CT45" s="321"/>
      <c r="CU45" s="321"/>
      <c r="CV45" s="321"/>
      <c r="CW45" s="321"/>
      <c r="CX45" s="159"/>
      <c r="CY45" s="162"/>
      <c r="CZ45" s="158"/>
      <c r="DA45" s="163"/>
      <c r="DB45" s="421"/>
      <c r="DC45" s="163"/>
      <c r="DF45" s="321"/>
      <c r="DG45" s="321"/>
      <c r="DH45" s="564"/>
      <c r="DI45" s="1308">
        <v>8</v>
      </c>
      <c r="DJ45" s="321"/>
      <c r="DK45" s="321"/>
      <c r="DL45" s="321"/>
      <c r="DM45" s="321"/>
      <c r="DN45" s="321"/>
      <c r="DO45" s="321"/>
      <c r="DP45" s="321"/>
      <c r="DQ45" s="321"/>
      <c r="DR45" s="321"/>
      <c r="DS45" s="321"/>
      <c r="DT45" s="321"/>
      <c r="DU45" s="321"/>
      <c r="DV45" s="321"/>
      <c r="DW45" s="321"/>
      <c r="DX45" s="564"/>
      <c r="DY45" s="1308">
        <v>10</v>
      </c>
      <c r="DZ45" s="321"/>
      <c r="EA45" s="321">
        <v>9</v>
      </c>
      <c r="EB45" s="417"/>
      <c r="EC45" s="420"/>
      <c r="ED45" s="409"/>
      <c r="EE45" s="420"/>
      <c r="EF45" s="409"/>
      <c r="EG45" s="420"/>
      <c r="EH45" s="409"/>
      <c r="EI45" s="440"/>
      <c r="EJ45" s="409">
        <v>7</v>
      </c>
      <c r="EK45" s="321">
        <v>9</v>
      </c>
      <c r="EL45" s="321"/>
      <c r="EM45" s="321"/>
      <c r="EN45" s="564"/>
      <c r="EO45" s="417">
        <v>11</v>
      </c>
      <c r="EP45" s="409"/>
      <c r="EQ45" s="409"/>
      <c r="ER45" s="436"/>
      <c r="ES45" s="409"/>
      <c r="ET45" s="409"/>
      <c r="EU45" s="429"/>
      <c r="EV45" s="409"/>
      <c r="EW45" s="436"/>
      <c r="EX45" s="409"/>
      <c r="EY45" s="409"/>
      <c r="EZ45" s="429"/>
      <c r="FA45" s="409"/>
      <c r="FB45" s="429"/>
      <c r="FC45" s="409"/>
      <c r="FD45" s="417"/>
      <c r="FE45" s="1308">
        <v>12</v>
      </c>
      <c r="FF45" s="321"/>
      <c r="FG45" s="321"/>
      <c r="FH45" s="321"/>
      <c r="FI45" s="321"/>
      <c r="FJ45" s="321">
        <v>9</v>
      </c>
      <c r="FK45" s="417"/>
      <c r="FL45" s="417"/>
      <c r="FM45" s="417"/>
      <c r="FN45" s="420"/>
      <c r="FO45" s="321">
        <v>9</v>
      </c>
      <c r="FP45" s="321"/>
      <c r="FQ45" s="321"/>
      <c r="FR45" s="321"/>
      <c r="FS45" s="321"/>
      <c r="FT45" s="564"/>
      <c r="FU45" s="1308">
        <v>12</v>
      </c>
      <c r="FV45" s="321"/>
      <c r="FW45" s="321"/>
      <c r="FX45" s="321"/>
      <c r="FY45" s="321"/>
      <c r="FZ45" s="321"/>
      <c r="GA45" s="321"/>
      <c r="GB45" s="321"/>
      <c r="GC45" s="422"/>
      <c r="GD45" s="321"/>
      <c r="GE45" s="321"/>
      <c r="GF45" s="321"/>
      <c r="GG45" s="321"/>
      <c r="GH45" s="321"/>
      <c r="GI45" s="321"/>
      <c r="GJ45" s="564"/>
      <c r="GK45" s="1308">
        <v>2</v>
      </c>
      <c r="GL45" s="321"/>
      <c r="GM45" s="321"/>
      <c r="GN45" s="321"/>
      <c r="GO45" s="321"/>
      <c r="GP45" s="321"/>
      <c r="GQ45" s="321"/>
      <c r="GR45" s="321"/>
      <c r="GS45" s="321"/>
      <c r="GT45" s="321"/>
      <c r="GU45" s="321"/>
      <c r="GV45" s="321"/>
      <c r="GW45" s="321"/>
      <c r="GX45" s="321"/>
      <c r="GY45" s="321"/>
      <c r="GZ45" s="564"/>
      <c r="HA45" s="1308">
        <v>4</v>
      </c>
      <c r="HB45" s="321"/>
      <c r="HC45" s="321"/>
      <c r="HD45" s="321"/>
      <c r="HE45" s="321"/>
      <c r="HF45" s="321"/>
      <c r="HG45" s="321"/>
      <c r="HH45" s="321"/>
      <c r="HI45" s="321"/>
      <c r="HJ45" s="321"/>
      <c r="HK45" s="321"/>
      <c r="HL45" s="321"/>
      <c r="HM45" s="321"/>
      <c r="HN45" s="321"/>
      <c r="HO45" s="321"/>
      <c r="HP45" s="564"/>
      <c r="HQ45" s="1308">
        <v>4</v>
      </c>
      <c r="HR45" s="321"/>
      <c r="HS45" s="321"/>
      <c r="HT45" s="321"/>
      <c r="HU45" s="321"/>
      <c r="HV45" s="321"/>
      <c r="HW45" s="321"/>
      <c r="HX45" s="321"/>
      <c r="HY45" s="321"/>
      <c r="HZ45" s="321"/>
      <c r="IA45" s="321"/>
      <c r="IB45" s="321"/>
      <c r="IC45" s="321"/>
      <c r="ID45" s="321"/>
      <c r="IE45" s="321"/>
      <c r="IF45" s="564"/>
      <c r="IG45" s="1308">
        <v>4</v>
      </c>
      <c r="IH45" s="321"/>
      <c r="II45" s="321"/>
      <c r="IJ45" s="321"/>
      <c r="IK45" s="321"/>
      <c r="IL45" s="321"/>
      <c r="IM45" s="321"/>
      <c r="IN45" s="321"/>
      <c r="IO45" s="321"/>
      <c r="IP45" s="321"/>
      <c r="IQ45" s="321"/>
      <c r="IR45" s="321"/>
      <c r="IS45" s="321"/>
      <c r="IT45" s="321"/>
      <c r="IU45" s="321"/>
      <c r="IV45" s="564"/>
    </row>
    <row r="46" spans="1:256" s="328" customFormat="1" ht="8.25" customHeight="1">
      <c r="A46" s="1308"/>
      <c r="B46" s="321"/>
      <c r="C46" s="321"/>
      <c r="D46" s="321"/>
      <c r="E46" s="321"/>
      <c r="F46" s="409"/>
      <c r="G46" s="420"/>
      <c r="H46" s="409"/>
      <c r="I46" s="409"/>
      <c r="J46" s="321"/>
      <c r="K46" s="420"/>
      <c r="L46" s="321"/>
      <c r="M46" s="321"/>
      <c r="N46" s="321"/>
      <c r="O46" s="321"/>
      <c r="P46" s="564"/>
      <c r="Q46" s="443"/>
      <c r="R46" s="412"/>
      <c r="S46" s="412"/>
      <c r="T46" s="431"/>
      <c r="U46" s="443"/>
      <c r="V46" s="431"/>
      <c r="W46" s="456"/>
      <c r="X46" s="431"/>
      <c r="Y46" s="438"/>
      <c r="Z46" s="449"/>
      <c r="AA46" s="443"/>
      <c r="AB46" s="429"/>
      <c r="AC46" s="431"/>
      <c r="AD46" s="412"/>
      <c r="AE46" s="436"/>
      <c r="AF46" s="436"/>
      <c r="AG46" s="1308"/>
      <c r="AH46" s="321"/>
      <c r="AI46" s="321"/>
      <c r="AJ46" s="321"/>
      <c r="AK46" s="326"/>
      <c r="AL46" s="326"/>
      <c r="AM46" s="326"/>
      <c r="AN46" s="326"/>
      <c r="AO46" s="326"/>
      <c r="AP46" s="326"/>
      <c r="AQ46" s="326"/>
      <c r="AR46" s="326"/>
      <c r="AS46" s="326"/>
      <c r="AT46" s="321"/>
      <c r="AU46" s="321"/>
      <c r="AV46" s="564"/>
      <c r="AW46" s="1308"/>
      <c r="AX46" s="321"/>
      <c r="AY46" s="321"/>
      <c r="AZ46" s="321"/>
      <c r="BA46" s="321"/>
      <c r="BB46" s="321"/>
      <c r="BC46" s="321"/>
      <c r="BD46" s="321"/>
      <c r="BE46" s="321"/>
      <c r="BF46" s="321"/>
      <c r="BG46" s="321"/>
      <c r="BH46" s="321"/>
      <c r="BI46" s="321"/>
      <c r="BJ46" s="321"/>
      <c r="BK46" s="321"/>
      <c r="BL46" s="321"/>
      <c r="BM46" s="1308"/>
      <c r="BN46" s="321"/>
      <c r="BO46" s="201"/>
      <c r="BP46" s="199"/>
      <c r="BQ46" s="321"/>
      <c r="BR46" s="161"/>
      <c r="BS46" s="321"/>
      <c r="BT46" s="321"/>
      <c r="BU46" s="160"/>
      <c r="BV46" s="321"/>
      <c r="BW46" s="321"/>
      <c r="BX46" s="321"/>
      <c r="BY46" s="321"/>
      <c r="BZ46" s="193"/>
      <c r="CA46" s="321"/>
      <c r="CB46" s="564"/>
      <c r="CC46" s="313"/>
      <c r="CD46" s="313"/>
      <c r="CE46" s="449"/>
      <c r="CF46" s="313"/>
      <c r="CG46" s="449"/>
      <c r="CH46" s="313"/>
      <c r="CI46" s="305"/>
      <c r="CJ46" s="305"/>
      <c r="CK46" s="449"/>
      <c r="CL46" s="313"/>
      <c r="CM46" s="449"/>
      <c r="CN46" s="313"/>
      <c r="CO46" s="449"/>
      <c r="CP46" s="305"/>
      <c r="CQ46" s="313"/>
      <c r="CR46" s="436"/>
      <c r="CS46" s="1308"/>
      <c r="CT46" s="321"/>
      <c r="CU46" s="321"/>
      <c r="CV46" s="321"/>
      <c r="CW46" s="321"/>
      <c r="CX46" s="156"/>
      <c r="CY46" s="162"/>
      <c r="CZ46" s="158"/>
      <c r="DA46" s="163"/>
      <c r="DB46" s="421"/>
      <c r="DC46" s="163"/>
      <c r="DF46" s="321"/>
      <c r="DG46" s="321"/>
      <c r="DH46" s="564"/>
      <c r="DI46" s="1308">
        <v>41</v>
      </c>
      <c r="DJ46" s="321"/>
      <c r="DK46" s="321"/>
      <c r="DL46" s="321"/>
      <c r="DM46" s="321"/>
      <c r="DN46" s="321"/>
      <c r="DO46" s="321"/>
      <c r="DP46" s="321"/>
      <c r="DQ46" s="321"/>
      <c r="DR46" s="321"/>
      <c r="DS46" s="321"/>
      <c r="DT46" s="321"/>
      <c r="DU46" s="321"/>
      <c r="DV46" s="321"/>
      <c r="DW46" s="321"/>
      <c r="DX46" s="564"/>
      <c r="DY46" s="1308">
        <v>19</v>
      </c>
      <c r="DZ46" s="321"/>
      <c r="EA46" s="409">
        <v>8</v>
      </c>
      <c r="EB46" s="420"/>
      <c r="EC46" s="409"/>
      <c r="ED46" s="417"/>
      <c r="EE46" s="409"/>
      <c r="EF46" s="417"/>
      <c r="EG46" s="409"/>
      <c r="EH46" s="420"/>
      <c r="EI46" s="409"/>
      <c r="EJ46" s="420"/>
      <c r="EK46" s="409"/>
      <c r="EL46" s="321"/>
      <c r="EM46" s="321"/>
      <c r="EN46" s="564"/>
      <c r="EO46" s="1308"/>
      <c r="EP46" s="409"/>
      <c r="EQ46" s="429"/>
      <c r="ER46" s="420"/>
      <c r="ES46" s="429"/>
      <c r="ET46" s="409"/>
      <c r="EU46" s="409"/>
      <c r="EV46" s="429"/>
      <c r="EW46" s="409"/>
      <c r="EX46" s="429"/>
      <c r="EY46" s="420"/>
      <c r="EZ46" s="429"/>
      <c r="FA46" s="409"/>
      <c r="FB46" s="409"/>
      <c r="FC46" s="417"/>
      <c r="FD46" s="564"/>
      <c r="FE46" s="1308">
        <v>41</v>
      </c>
      <c r="FF46" s="321"/>
      <c r="FG46" s="321"/>
      <c r="FH46" s="321"/>
      <c r="FI46" s="321"/>
      <c r="FJ46" s="426"/>
      <c r="FK46" s="422"/>
      <c r="FL46" s="426"/>
      <c r="FM46" s="415"/>
      <c r="FN46" s="417"/>
      <c r="FO46" s="422"/>
      <c r="FP46" s="321"/>
      <c r="FQ46" s="321"/>
      <c r="FR46" s="321"/>
      <c r="FS46" s="321"/>
      <c r="FT46" s="564"/>
      <c r="FU46" s="1308"/>
      <c r="FV46" s="321"/>
      <c r="FW46" s="321"/>
      <c r="FX46" s="321"/>
      <c r="FY46" s="321"/>
      <c r="FZ46" s="321"/>
      <c r="GA46" s="321"/>
      <c r="GB46" s="417"/>
      <c r="GC46" s="321"/>
      <c r="GD46" s="321"/>
      <c r="GE46" s="321"/>
      <c r="GF46" s="321"/>
      <c r="GG46" s="321"/>
      <c r="GH46" s="321"/>
      <c r="GI46" s="321"/>
      <c r="GJ46" s="564"/>
      <c r="GK46" s="1308"/>
      <c r="GL46" s="321"/>
      <c r="GM46" s="321"/>
      <c r="GN46" s="321"/>
      <c r="GO46" s="321"/>
      <c r="GP46" s="321"/>
      <c r="GQ46" s="321"/>
      <c r="GR46" s="321"/>
      <c r="GS46" s="321"/>
      <c r="GT46" s="321"/>
      <c r="GU46" s="321"/>
      <c r="GV46" s="321"/>
      <c r="GW46" s="321"/>
      <c r="GX46" s="321"/>
      <c r="GY46" s="321"/>
      <c r="GZ46" s="564"/>
      <c r="HA46" s="1308"/>
      <c r="HB46" s="321"/>
      <c r="HC46" s="321"/>
      <c r="HD46" s="321"/>
      <c r="HE46" s="321"/>
      <c r="HF46" s="321"/>
      <c r="HG46" s="321"/>
      <c r="HH46" s="321"/>
      <c r="HI46" s="321"/>
      <c r="HJ46" s="321"/>
      <c r="HK46" s="321"/>
      <c r="HL46" s="321"/>
      <c r="HM46" s="321"/>
      <c r="HN46" s="321"/>
      <c r="HO46" s="321"/>
      <c r="HP46" s="1310"/>
      <c r="HQ46" s="1308"/>
      <c r="HR46" s="321"/>
      <c r="HS46" s="321"/>
      <c r="HT46" s="321"/>
      <c r="HU46" s="321"/>
      <c r="HV46" s="321"/>
      <c r="HW46" s="321"/>
      <c r="HX46" s="321"/>
      <c r="HY46" s="321"/>
      <c r="HZ46" s="321"/>
      <c r="IA46" s="321"/>
      <c r="IB46" s="321"/>
      <c r="IC46" s="321"/>
      <c r="ID46" s="321"/>
      <c r="IE46" s="321"/>
      <c r="IF46" s="1310"/>
      <c r="IG46" s="1308"/>
      <c r="IH46" s="321"/>
      <c r="II46" s="321"/>
      <c r="IJ46" s="321"/>
      <c r="IK46" s="321"/>
      <c r="IL46" s="321"/>
      <c r="IM46" s="321"/>
      <c r="IN46" s="321"/>
      <c r="IO46" s="321"/>
      <c r="IP46" s="321"/>
      <c r="IQ46" s="321"/>
      <c r="IR46" s="321"/>
      <c r="IS46" s="321"/>
      <c r="IT46" s="321"/>
      <c r="IU46" s="321"/>
      <c r="IV46" s="1310"/>
    </row>
    <row r="47" spans="1:256" s="328" customFormat="1" ht="8.25" customHeight="1">
      <c r="A47" s="483"/>
      <c r="B47" s="321"/>
      <c r="C47" s="321"/>
      <c r="D47" s="321"/>
      <c r="E47" s="321"/>
      <c r="F47" s="409"/>
      <c r="G47" s="420"/>
      <c r="H47" s="409"/>
      <c r="I47" s="409"/>
      <c r="J47" s="420"/>
      <c r="K47" s="321"/>
      <c r="L47" s="321"/>
      <c r="M47" s="321"/>
      <c r="N47" s="321"/>
      <c r="O47" s="321"/>
      <c r="P47" s="564"/>
      <c r="Q47" s="443"/>
      <c r="R47" s="412"/>
      <c r="S47" s="429"/>
      <c r="T47" s="412"/>
      <c r="U47" s="436"/>
      <c r="V47" s="449"/>
      <c r="W47" s="431"/>
      <c r="X47" s="443"/>
      <c r="Y47" s="438"/>
      <c r="Z47" s="449"/>
      <c r="AA47" s="431"/>
      <c r="AB47" s="443"/>
      <c r="AC47" s="412"/>
      <c r="AD47" s="443"/>
      <c r="AE47" s="429"/>
      <c r="AF47" s="412"/>
      <c r="AG47" s="483"/>
      <c r="AH47" s="321"/>
      <c r="AI47" s="321"/>
      <c r="AJ47" s="321"/>
      <c r="AK47" s="326"/>
      <c r="AL47" s="326"/>
      <c r="AM47" s="326"/>
      <c r="AN47" s="326"/>
      <c r="AO47" s="326"/>
      <c r="AP47" s="326"/>
      <c r="AQ47" s="326"/>
      <c r="AR47" s="326"/>
      <c r="AS47" s="326"/>
      <c r="AT47" s="321"/>
      <c r="AU47" s="321"/>
      <c r="AV47" s="564"/>
      <c r="AW47" s="483"/>
      <c r="AX47" s="321"/>
      <c r="AY47" s="321"/>
      <c r="AZ47" s="321"/>
      <c r="BA47" s="321"/>
      <c r="BB47" s="321"/>
      <c r="BC47" s="321"/>
      <c r="BD47" s="321"/>
      <c r="BE47" s="321"/>
      <c r="BF47" s="321"/>
      <c r="BG47" s="321"/>
      <c r="BH47" s="321"/>
      <c r="BI47" s="321"/>
      <c r="BJ47" s="321"/>
      <c r="BK47" s="321"/>
      <c r="BL47" s="321"/>
      <c r="BM47" s="483"/>
      <c r="BN47" s="321"/>
      <c r="BO47" s="193"/>
      <c r="BP47" s="321"/>
      <c r="BQ47" s="321"/>
      <c r="BR47" s="321"/>
      <c r="BS47" s="321"/>
      <c r="BT47" s="321"/>
      <c r="BU47" s="321"/>
      <c r="BV47" s="321"/>
      <c r="BW47" s="321"/>
      <c r="BX47" s="321"/>
      <c r="BY47" s="193"/>
      <c r="BZ47" s="160"/>
      <c r="CA47" s="321"/>
      <c r="CB47" s="564"/>
      <c r="CC47" s="313"/>
      <c r="CD47" s="305"/>
      <c r="CE47" s="313"/>
      <c r="CF47" s="313"/>
      <c r="CG47" s="449"/>
      <c r="CH47" s="313"/>
      <c r="CI47" s="313"/>
      <c r="CJ47" s="449"/>
      <c r="CK47" s="449"/>
      <c r="CL47" s="449"/>
      <c r="CM47" s="309"/>
      <c r="CN47" s="449"/>
      <c r="CO47" s="449"/>
      <c r="CP47" s="310"/>
      <c r="CQ47" s="313"/>
      <c r="CR47" s="305"/>
      <c r="CS47" s="1308"/>
      <c r="CT47" s="321"/>
      <c r="CU47" s="321"/>
      <c r="CV47" s="321"/>
      <c r="CW47" s="321"/>
      <c r="CX47" s="307"/>
      <c r="CY47" s="206"/>
      <c r="CZ47" s="307"/>
      <c r="DA47" s="189"/>
      <c r="DB47" s="206"/>
      <c r="DC47" s="189"/>
      <c r="DF47" s="321"/>
      <c r="DG47" s="321"/>
      <c r="DH47" s="564"/>
      <c r="DI47" s="483">
        <v>480</v>
      </c>
      <c r="DJ47" s="321"/>
      <c r="DK47" s="321"/>
      <c r="DL47" s="321"/>
      <c r="DM47" s="321"/>
      <c r="DN47" s="321"/>
      <c r="DO47" s="321"/>
      <c r="DP47" s="436"/>
      <c r="DQ47" s="321"/>
      <c r="DR47" s="440"/>
      <c r="DS47" s="321"/>
      <c r="DT47" s="321"/>
      <c r="DU47" s="321"/>
      <c r="DV47" s="321"/>
      <c r="DW47" s="321"/>
      <c r="DX47" s="564"/>
      <c r="DY47" s="321">
        <v>300</v>
      </c>
      <c r="DZ47" s="321"/>
      <c r="EA47" s="436">
        <v>9</v>
      </c>
      <c r="EB47" s="420"/>
      <c r="EC47" s="409"/>
      <c r="ED47" s="436"/>
      <c r="EE47" s="409"/>
      <c r="EF47" s="409"/>
      <c r="EG47" s="429"/>
      <c r="EH47" s="409"/>
      <c r="EI47" s="429"/>
      <c r="EJ47" s="417"/>
      <c r="EK47" s="321">
        <v>10</v>
      </c>
      <c r="EL47" s="321"/>
      <c r="EM47" s="321"/>
      <c r="EN47" s="564"/>
      <c r="EO47" s="483"/>
      <c r="EP47" s="417"/>
      <c r="EQ47" s="409"/>
      <c r="ER47" s="321"/>
      <c r="ES47" s="420"/>
      <c r="ET47" s="417"/>
      <c r="EU47" s="409"/>
      <c r="EV47" s="417"/>
      <c r="EW47" s="409"/>
      <c r="EX47" s="459"/>
      <c r="EY47" s="409"/>
      <c r="EZ47" s="420"/>
      <c r="FA47" s="321"/>
      <c r="FB47" s="409"/>
      <c r="FC47" s="417"/>
      <c r="FD47" s="564"/>
      <c r="FE47" s="483">
        <v>512</v>
      </c>
      <c r="FF47" s="321"/>
      <c r="FG47" s="321"/>
      <c r="FH47" s="321"/>
      <c r="FI47" s="422"/>
      <c r="FJ47" s="420"/>
      <c r="FK47" s="420"/>
      <c r="FL47" s="321"/>
      <c r="FM47" s="415"/>
      <c r="FN47" s="415"/>
      <c r="FO47" s="420"/>
      <c r="FP47" s="422"/>
      <c r="FQ47" s="321"/>
      <c r="FR47" s="321"/>
      <c r="FS47" s="321"/>
      <c r="FT47" s="564"/>
      <c r="FU47" s="483"/>
      <c r="FV47" s="321"/>
      <c r="FW47" s="321"/>
      <c r="FX47" s="321"/>
      <c r="FY47" s="321"/>
      <c r="FZ47" s="321"/>
      <c r="GA47" s="321"/>
      <c r="GB47" s="321"/>
      <c r="GC47" s="321"/>
      <c r="GD47" s="321"/>
      <c r="GE47" s="321"/>
      <c r="GF47" s="321"/>
      <c r="GG47" s="321"/>
      <c r="GH47" s="321"/>
      <c r="GI47" s="321"/>
      <c r="GJ47" s="564"/>
      <c r="GK47" s="483"/>
      <c r="GL47" s="321"/>
      <c r="GM47" s="321"/>
      <c r="GN47" s="321"/>
      <c r="GO47" s="321"/>
      <c r="GP47" s="321"/>
      <c r="GQ47" s="321"/>
      <c r="GR47" s="321"/>
      <c r="GS47" s="321"/>
      <c r="GT47" s="321"/>
      <c r="GU47" s="321"/>
      <c r="GV47" s="321"/>
      <c r="GW47" s="321"/>
      <c r="GX47" s="321"/>
      <c r="GY47" s="321"/>
      <c r="GZ47" s="564"/>
      <c r="HA47" s="1308"/>
      <c r="HB47" s="321"/>
      <c r="HC47" s="321"/>
      <c r="HD47" s="321"/>
      <c r="HE47" s="321"/>
      <c r="HF47" s="321"/>
      <c r="HG47" s="321"/>
      <c r="HH47" s="321"/>
      <c r="HI47" s="321"/>
      <c r="HJ47" s="321"/>
      <c r="HK47" s="321"/>
      <c r="HL47" s="321"/>
      <c r="HM47" s="321"/>
      <c r="HN47" s="321"/>
      <c r="HO47" s="321"/>
      <c r="HP47" s="1310"/>
      <c r="HQ47" s="1308"/>
      <c r="HR47" s="321"/>
      <c r="HS47" s="321"/>
      <c r="HT47" s="321"/>
      <c r="HU47" s="321"/>
      <c r="HV47" s="321"/>
      <c r="HW47" s="321"/>
      <c r="HX47" s="321"/>
      <c r="HY47" s="321"/>
      <c r="HZ47" s="321"/>
      <c r="IA47" s="321"/>
      <c r="IB47" s="321"/>
      <c r="IC47" s="321"/>
      <c r="ID47" s="321"/>
      <c r="IE47" s="321"/>
      <c r="IF47" s="1310"/>
      <c r="IG47" s="1308"/>
      <c r="IH47" s="321"/>
      <c r="II47" s="321"/>
      <c r="IJ47" s="321"/>
      <c r="IK47" s="321"/>
      <c r="IL47" s="321"/>
      <c r="IM47" s="321"/>
      <c r="IN47" s="321"/>
      <c r="IO47" s="321"/>
      <c r="IP47" s="321"/>
      <c r="IQ47" s="321"/>
      <c r="IR47" s="321"/>
      <c r="IS47" s="321"/>
      <c r="IT47" s="321"/>
      <c r="IU47" s="321"/>
      <c r="IV47" s="1310"/>
    </row>
    <row r="48" spans="1:256" s="328" customFormat="1" ht="8.25" customHeight="1">
      <c r="A48" s="483"/>
      <c r="B48" s="321"/>
      <c r="C48" s="321"/>
      <c r="D48" s="321"/>
      <c r="E48" s="321"/>
      <c r="F48" s="409"/>
      <c r="G48" s="409"/>
      <c r="H48" s="420"/>
      <c r="I48" s="409"/>
      <c r="J48" s="321"/>
      <c r="K48" s="321"/>
      <c r="L48" s="321"/>
      <c r="M48" s="321"/>
      <c r="N48" s="321"/>
      <c r="O48" s="321"/>
      <c r="P48" s="564"/>
      <c r="Q48" s="429"/>
      <c r="R48" s="436"/>
      <c r="S48" s="443"/>
      <c r="T48" s="443"/>
      <c r="U48" s="431"/>
      <c r="V48" s="456"/>
      <c r="W48" s="443"/>
      <c r="X48" s="456"/>
      <c r="Y48" s="431"/>
      <c r="Z48" s="443"/>
      <c r="AA48" s="443"/>
      <c r="AB48" s="431"/>
      <c r="AC48" s="431"/>
      <c r="AD48" s="412"/>
      <c r="AE48" s="409"/>
      <c r="AF48" s="436"/>
      <c r="AG48" s="483"/>
      <c r="AH48" s="321"/>
      <c r="AI48" s="321"/>
      <c r="AJ48" s="321"/>
      <c r="AK48" s="326"/>
      <c r="AL48" s="326"/>
      <c r="AM48" s="326"/>
      <c r="AN48" s="326"/>
      <c r="AO48" s="326"/>
      <c r="AP48" s="326"/>
      <c r="AQ48" s="326"/>
      <c r="AR48" s="326"/>
      <c r="AS48" s="326"/>
      <c r="AT48" s="321"/>
      <c r="AU48" s="321"/>
      <c r="AV48" s="564"/>
      <c r="AW48" s="483"/>
      <c r="AX48" s="321"/>
      <c r="AY48" s="321"/>
      <c r="AZ48" s="321"/>
      <c r="BA48" s="321"/>
      <c r="BB48" s="321"/>
      <c r="BC48" s="321"/>
      <c r="BD48" s="321"/>
      <c r="BE48" s="321"/>
      <c r="BF48" s="321"/>
      <c r="BG48" s="321"/>
      <c r="BH48" s="321"/>
      <c r="BI48" s="321"/>
      <c r="BJ48" s="321"/>
      <c r="BK48" s="321"/>
      <c r="BL48" s="321"/>
      <c r="BM48" s="709"/>
      <c r="BN48" s="321"/>
      <c r="BO48" s="321"/>
      <c r="BP48" s="321"/>
      <c r="BQ48" s="321"/>
      <c r="BR48" s="321"/>
      <c r="BS48" s="291"/>
      <c r="BT48" s="201"/>
      <c r="BU48" s="321"/>
      <c r="BV48" s="321"/>
      <c r="BW48" s="321"/>
      <c r="BX48" s="193"/>
      <c r="BY48" s="160"/>
      <c r="BZ48" s="321"/>
      <c r="CA48" s="321"/>
      <c r="CB48" s="564"/>
      <c r="CC48" s="309"/>
      <c r="CD48" s="449"/>
      <c r="CE48" s="305"/>
      <c r="CF48" s="309"/>
      <c r="CG48" s="449"/>
      <c r="CH48" s="309"/>
      <c r="CI48" s="305"/>
      <c r="CJ48" s="449"/>
      <c r="CK48" s="449"/>
      <c r="CL48" s="309"/>
      <c r="CM48" s="305"/>
      <c r="CN48" s="309"/>
      <c r="CO48" s="449"/>
      <c r="CP48" s="310"/>
      <c r="CQ48" s="309"/>
      <c r="CR48" s="305"/>
      <c r="CS48" s="483"/>
      <c r="CT48" s="321"/>
      <c r="CU48" s="321"/>
      <c r="CV48" s="321"/>
      <c r="CW48" s="321"/>
      <c r="CX48" s="307"/>
      <c r="CY48" s="307"/>
      <c r="CZ48" s="459"/>
      <c r="DA48" s="440"/>
      <c r="DB48" s="307"/>
      <c r="DC48" s="189"/>
      <c r="DF48" s="321"/>
      <c r="DG48" s="321"/>
      <c r="DH48" s="564"/>
      <c r="DI48" s="483"/>
      <c r="DJ48" s="321"/>
      <c r="DK48" s="321"/>
      <c r="DL48" s="321"/>
      <c r="DM48" s="321"/>
      <c r="DN48" s="321">
        <v>10</v>
      </c>
      <c r="DO48" s="321">
        <v>10</v>
      </c>
      <c r="DP48" s="449"/>
      <c r="DQ48" s="321">
        <v>10</v>
      </c>
      <c r="DR48" s="321">
        <v>10</v>
      </c>
      <c r="DS48" s="321"/>
      <c r="DT48" s="321"/>
      <c r="DU48" s="321"/>
      <c r="DV48" s="321"/>
      <c r="DW48" s="321"/>
      <c r="DX48" s="564"/>
      <c r="DY48" s="483"/>
      <c r="DZ48" s="440">
        <v>9</v>
      </c>
      <c r="EA48" s="321">
        <v>9</v>
      </c>
      <c r="EB48" s="409"/>
      <c r="EC48" s="429"/>
      <c r="ED48" s="436"/>
      <c r="EE48" s="429"/>
      <c r="EF48" s="436"/>
      <c r="EG48" s="429"/>
      <c r="EH48" s="409"/>
      <c r="EI48" s="409"/>
      <c r="EJ48" s="409"/>
      <c r="EK48" s="420"/>
      <c r="EL48" s="321"/>
      <c r="EM48" s="321"/>
      <c r="EN48" s="564"/>
      <c r="EO48" s="483"/>
      <c r="EP48" s="420"/>
      <c r="EQ48" s="321"/>
      <c r="ER48" s="409"/>
      <c r="ES48" s="429"/>
      <c r="ET48" s="436"/>
      <c r="EU48" s="409"/>
      <c r="EV48" s="409"/>
      <c r="EW48" s="420"/>
      <c r="EX48" s="409"/>
      <c r="EY48" s="429"/>
      <c r="EZ48" s="420"/>
      <c r="FA48" s="321"/>
      <c r="FB48" s="321"/>
      <c r="FC48" s="321"/>
      <c r="FD48" s="564"/>
      <c r="FE48" s="483"/>
      <c r="FF48" s="321"/>
      <c r="FG48" s="321"/>
      <c r="FH48" s="321"/>
      <c r="FI48" s="321"/>
      <c r="FJ48" s="321"/>
      <c r="FK48" s="422"/>
      <c r="FL48" s="440"/>
      <c r="FM48" s="417"/>
      <c r="FN48" s="415"/>
      <c r="FO48" s="321"/>
      <c r="FP48" s="321"/>
      <c r="FQ48" s="321"/>
      <c r="FR48" s="321"/>
      <c r="FS48" s="321"/>
      <c r="FT48" s="564"/>
      <c r="FU48" s="483"/>
      <c r="FV48" s="321"/>
      <c r="FW48" s="321"/>
      <c r="FX48" s="321"/>
      <c r="FY48" s="321"/>
      <c r="FZ48" s="321"/>
      <c r="GA48" s="321"/>
      <c r="GB48" s="321"/>
      <c r="GC48" s="417"/>
      <c r="GD48" s="321"/>
      <c r="GE48" s="321"/>
      <c r="GF48" s="321"/>
      <c r="GG48" s="321"/>
      <c r="GH48" s="321"/>
      <c r="GI48" s="321"/>
      <c r="GJ48" s="564"/>
      <c r="GK48" s="483"/>
      <c r="GL48" s="321"/>
      <c r="GM48" s="321"/>
      <c r="GN48" s="321"/>
      <c r="GO48" s="321"/>
      <c r="GP48" s="321"/>
      <c r="GQ48" s="321"/>
      <c r="GR48" s="321"/>
      <c r="GS48" s="321"/>
      <c r="GT48" s="321"/>
      <c r="GU48" s="321"/>
      <c r="GV48" s="321"/>
      <c r="GW48" s="321"/>
      <c r="GX48" s="321"/>
      <c r="GY48" s="321"/>
      <c r="GZ48" s="564"/>
      <c r="HA48" s="1308"/>
      <c r="HB48" s="321"/>
      <c r="HC48" s="321"/>
      <c r="HD48" s="321"/>
      <c r="HE48" s="321"/>
      <c r="HF48" s="321"/>
      <c r="HG48" s="321"/>
      <c r="HH48" s="321"/>
      <c r="HI48" s="321"/>
      <c r="HJ48" s="321"/>
      <c r="HK48" s="321"/>
      <c r="HL48" s="321"/>
      <c r="HM48" s="321"/>
      <c r="HN48" s="321"/>
      <c r="HO48" s="321"/>
      <c r="HP48" s="1310"/>
      <c r="HQ48" s="1308"/>
      <c r="HR48" s="321"/>
      <c r="HS48" s="321"/>
      <c r="HT48" s="321"/>
      <c r="HU48" s="321"/>
      <c r="HV48" s="321"/>
      <c r="HW48" s="321"/>
      <c r="HX48" s="321"/>
      <c r="HY48" s="321"/>
      <c r="HZ48" s="321"/>
      <c r="IA48" s="321"/>
      <c r="IB48" s="321"/>
      <c r="IC48" s="321"/>
      <c r="ID48" s="321"/>
      <c r="IE48" s="321"/>
      <c r="IF48" s="1310"/>
      <c r="IG48" s="1308"/>
      <c r="IH48" s="321"/>
      <c r="II48" s="321"/>
      <c r="IJ48" s="321"/>
      <c r="IK48" s="321"/>
      <c r="IL48" s="321"/>
      <c r="IM48" s="321"/>
      <c r="IN48" s="321"/>
      <c r="IO48" s="321"/>
      <c r="IP48" s="321"/>
      <c r="IQ48" s="321"/>
      <c r="IR48" s="321"/>
      <c r="IS48" s="321"/>
      <c r="IT48" s="321"/>
      <c r="IU48" s="321"/>
      <c r="IV48" s="1310"/>
    </row>
    <row r="49" spans="1:256" s="328" customFormat="1" ht="8.25" customHeight="1">
      <c r="A49" s="483"/>
      <c r="B49" s="321"/>
      <c r="C49" s="321"/>
      <c r="D49" s="321"/>
      <c r="E49" s="321"/>
      <c r="F49" s="409"/>
      <c r="G49" s="409"/>
      <c r="H49" s="420"/>
      <c r="I49" s="409"/>
      <c r="J49" s="321"/>
      <c r="K49" s="321"/>
      <c r="L49" s="321"/>
      <c r="M49" s="321"/>
      <c r="N49" s="321"/>
      <c r="O49" s="321"/>
      <c r="P49" s="564"/>
      <c r="Q49" s="412"/>
      <c r="R49" s="436"/>
      <c r="S49" s="412"/>
      <c r="T49" s="443"/>
      <c r="U49" s="456"/>
      <c r="V49" s="429"/>
      <c r="W49" s="431"/>
      <c r="X49" s="436"/>
      <c r="Y49" s="456"/>
      <c r="Z49" s="443"/>
      <c r="AA49" s="431"/>
      <c r="AB49" s="443"/>
      <c r="AC49" s="429"/>
      <c r="AD49" s="443"/>
      <c r="AE49" s="436"/>
      <c r="AF49" s="412"/>
      <c r="AG49" s="483"/>
      <c r="AH49" s="321"/>
      <c r="AI49" s="321"/>
      <c r="AJ49" s="321"/>
      <c r="AK49" s="326"/>
      <c r="AL49" s="326"/>
      <c r="AM49" s="326"/>
      <c r="AN49" s="326"/>
      <c r="AO49" s="326"/>
      <c r="AP49" s="326"/>
      <c r="AQ49" s="326"/>
      <c r="AR49" s="326"/>
      <c r="AS49" s="326"/>
      <c r="AT49" s="321"/>
      <c r="AU49" s="321"/>
      <c r="AV49" s="564"/>
      <c r="AW49" s="483"/>
      <c r="AX49" s="321"/>
      <c r="AY49" s="321"/>
      <c r="AZ49" s="321"/>
      <c r="BA49" s="321"/>
      <c r="BB49" s="321"/>
      <c r="BC49" s="321"/>
      <c r="BD49" s="321"/>
      <c r="BE49" s="321"/>
      <c r="BF49" s="321"/>
      <c r="BG49" s="321"/>
      <c r="BH49" s="321"/>
      <c r="BI49" s="321"/>
      <c r="BJ49" s="321"/>
      <c r="BK49" s="321"/>
      <c r="BL49" s="321"/>
      <c r="BM49" s="709">
        <v>2</v>
      </c>
      <c r="BN49" s="321"/>
      <c r="BO49" s="321"/>
      <c r="BP49" s="321"/>
      <c r="BQ49" s="321"/>
      <c r="BR49" s="291"/>
      <c r="BS49" s="201"/>
      <c r="BT49" s="291"/>
      <c r="BU49" s="321"/>
      <c r="BV49" s="321"/>
      <c r="BW49" s="321"/>
      <c r="BX49" s="321"/>
      <c r="BY49" s="193"/>
      <c r="BZ49" s="321"/>
      <c r="CA49" s="321"/>
      <c r="CB49" s="564"/>
      <c r="CC49" s="304">
        <v>3</v>
      </c>
      <c r="CD49" s="449"/>
      <c r="CE49" s="449"/>
      <c r="CF49" s="304"/>
      <c r="CG49" s="449"/>
      <c r="CH49" s="304"/>
      <c r="CI49" s="304"/>
      <c r="CJ49" s="304"/>
      <c r="CK49" s="449"/>
      <c r="CL49" s="304"/>
      <c r="CM49" s="449"/>
      <c r="CN49" s="304"/>
      <c r="CO49" s="449"/>
      <c r="CP49" s="310"/>
      <c r="CQ49" s="304"/>
      <c r="CR49" s="305"/>
      <c r="CS49" s="483"/>
      <c r="CT49" s="290"/>
      <c r="CU49" s="321"/>
      <c r="CV49" s="321"/>
      <c r="CW49" s="321"/>
      <c r="CX49" s="307"/>
      <c r="CY49" s="301"/>
      <c r="CZ49" s="297"/>
      <c r="DA49" s="293"/>
      <c r="DB49" s="161"/>
      <c r="DC49" s="301"/>
      <c r="DF49" s="321"/>
      <c r="DG49" s="321"/>
      <c r="DH49" s="564"/>
      <c r="DI49" s="483"/>
      <c r="DJ49" s="321"/>
      <c r="DK49" s="440"/>
      <c r="DL49" s="321">
        <v>10</v>
      </c>
      <c r="DM49" s="409"/>
      <c r="DN49" s="429"/>
      <c r="DO49" s="436"/>
      <c r="DP49" s="449"/>
      <c r="DQ49" s="429"/>
      <c r="DR49" s="409"/>
      <c r="DS49" s="321">
        <v>10</v>
      </c>
      <c r="DT49" s="321"/>
      <c r="DU49" s="429"/>
      <c r="DV49" s="321"/>
      <c r="DW49" s="321"/>
      <c r="DX49" s="564"/>
      <c r="DY49" s="483"/>
      <c r="DZ49" s="321"/>
      <c r="EA49" s="431"/>
      <c r="EB49" s="420"/>
      <c r="EC49" s="429"/>
      <c r="ED49" s="429"/>
      <c r="EE49" s="436"/>
      <c r="EF49" s="429"/>
      <c r="EG49" s="459"/>
      <c r="EH49" s="429"/>
      <c r="EI49" s="436"/>
      <c r="EJ49" s="436"/>
      <c r="EK49" s="409"/>
      <c r="EL49" s="321">
        <v>10</v>
      </c>
      <c r="EM49" s="321"/>
      <c r="EN49" s="564"/>
      <c r="EO49" s="321"/>
      <c r="EP49" s="321"/>
      <c r="EQ49" s="321"/>
      <c r="ER49" s="321"/>
      <c r="ES49" s="417"/>
      <c r="ET49" s="429"/>
      <c r="EU49" s="436"/>
      <c r="EV49" s="429"/>
      <c r="EW49" s="429"/>
      <c r="EX49" s="429"/>
      <c r="EY49" s="409"/>
      <c r="EZ49" s="409"/>
      <c r="FA49" s="321"/>
      <c r="FB49" s="321"/>
      <c r="FC49" s="321"/>
      <c r="FD49" s="564"/>
      <c r="FE49" s="483"/>
      <c r="FF49" s="321"/>
      <c r="FG49" s="321"/>
      <c r="FH49" s="321"/>
      <c r="FI49" s="321"/>
      <c r="FJ49" s="321"/>
      <c r="FK49" s="321"/>
      <c r="FL49" s="417"/>
      <c r="FM49" s="415"/>
      <c r="FN49" s="426"/>
      <c r="FO49" s="321"/>
      <c r="FP49" s="321"/>
      <c r="FQ49" s="321"/>
      <c r="FR49" s="321"/>
      <c r="FS49" s="321"/>
      <c r="FT49" s="564"/>
      <c r="FU49" s="483"/>
      <c r="FV49" s="321"/>
      <c r="FW49" s="321"/>
      <c r="FX49" s="321"/>
      <c r="FY49" s="321"/>
      <c r="FZ49" s="321"/>
      <c r="GA49" s="321"/>
      <c r="GB49" s="321"/>
      <c r="GC49" s="321"/>
      <c r="GD49" s="321"/>
      <c r="GE49" s="321"/>
      <c r="GF49" s="321"/>
      <c r="GG49" s="321"/>
      <c r="GH49" s="321"/>
      <c r="GI49" s="321"/>
      <c r="GJ49" s="564"/>
      <c r="GK49" s="483"/>
      <c r="GL49" s="321"/>
      <c r="GM49" s="321"/>
      <c r="GN49" s="321"/>
      <c r="GO49" s="321"/>
      <c r="GP49" s="321"/>
      <c r="GQ49" s="321"/>
      <c r="GR49" s="321"/>
      <c r="GS49" s="321"/>
      <c r="GT49" s="321"/>
      <c r="GU49" s="321"/>
      <c r="GV49" s="321"/>
      <c r="GW49" s="321"/>
      <c r="GX49" s="321"/>
      <c r="GY49" s="321"/>
      <c r="GZ49" s="564"/>
      <c r="HA49" s="1308"/>
      <c r="HB49" s="321"/>
      <c r="HC49" s="321"/>
      <c r="HD49" s="321"/>
      <c r="HE49" s="321"/>
      <c r="HF49" s="321"/>
      <c r="HG49" s="321"/>
      <c r="HH49" s="321"/>
      <c r="HI49" s="321"/>
      <c r="HJ49" s="321"/>
      <c r="HK49" s="321"/>
      <c r="HL49" s="321"/>
      <c r="HM49" s="321"/>
      <c r="HN49" s="321"/>
      <c r="HO49" s="321"/>
      <c r="HP49" s="1310"/>
      <c r="HQ49" s="1308"/>
      <c r="HR49" s="321"/>
      <c r="HS49" s="321"/>
      <c r="HT49" s="321"/>
      <c r="HU49" s="321"/>
      <c r="HV49" s="321"/>
      <c r="HW49" s="321"/>
      <c r="HX49" s="321"/>
      <c r="HY49" s="321"/>
      <c r="HZ49" s="321"/>
      <c r="IA49" s="321"/>
      <c r="IB49" s="321"/>
      <c r="IC49" s="321"/>
      <c r="ID49" s="321"/>
      <c r="IE49" s="321"/>
      <c r="IF49" s="1310"/>
      <c r="IG49" s="1308"/>
      <c r="IH49" s="321"/>
      <c r="II49" s="321"/>
      <c r="IJ49" s="321"/>
      <c r="IK49" s="321"/>
      <c r="IL49" s="321"/>
      <c r="IM49" s="321"/>
      <c r="IN49" s="321"/>
      <c r="IO49" s="321"/>
      <c r="IP49" s="321"/>
      <c r="IQ49" s="321"/>
      <c r="IR49" s="321"/>
      <c r="IS49" s="321"/>
      <c r="IT49" s="321"/>
      <c r="IU49" s="321"/>
      <c r="IV49" s="1310"/>
    </row>
    <row r="50" spans="1:256" s="328" customFormat="1" ht="8.25" customHeight="1">
      <c r="A50" s="483"/>
      <c r="B50" s="321"/>
      <c r="C50" s="321"/>
      <c r="D50" s="321"/>
      <c r="E50" s="321"/>
      <c r="F50" s="429"/>
      <c r="G50" s="409"/>
      <c r="H50" s="420"/>
      <c r="I50" s="409"/>
      <c r="J50" s="321"/>
      <c r="K50" s="321"/>
      <c r="L50" s="321"/>
      <c r="M50" s="321"/>
      <c r="N50" s="321"/>
      <c r="O50" s="321"/>
      <c r="P50" s="564"/>
      <c r="Q50" s="412"/>
      <c r="R50" s="412"/>
      <c r="S50" s="412"/>
      <c r="T50" s="431"/>
      <c r="U50" s="438"/>
      <c r="V50" s="416"/>
      <c r="W50" s="438"/>
      <c r="X50" s="416"/>
      <c r="Y50" s="416"/>
      <c r="Z50" s="438"/>
      <c r="AA50" s="416"/>
      <c r="AB50" s="416"/>
      <c r="AC50" s="438"/>
      <c r="AD50" s="416"/>
      <c r="AE50" s="416"/>
      <c r="AF50" s="431"/>
      <c r="AG50" s="483"/>
      <c r="AH50" s="321"/>
      <c r="AI50" s="321"/>
      <c r="AJ50" s="321"/>
      <c r="AK50" s="326"/>
      <c r="AL50" s="326"/>
      <c r="AM50" s="326"/>
      <c r="AN50" s="326"/>
      <c r="AO50" s="326"/>
      <c r="AP50" s="326"/>
      <c r="AQ50" s="326"/>
      <c r="AR50" s="326"/>
      <c r="AS50" s="326"/>
      <c r="AT50" s="321"/>
      <c r="AU50" s="321"/>
      <c r="AV50" s="564"/>
      <c r="AW50" s="483"/>
      <c r="AX50" s="321"/>
      <c r="AY50" s="321"/>
      <c r="AZ50" s="321"/>
      <c r="BA50" s="321"/>
      <c r="BB50" s="321"/>
      <c r="BC50" s="321"/>
      <c r="BD50" s="321"/>
      <c r="BE50" s="321"/>
      <c r="BF50" s="321"/>
      <c r="BG50" s="321"/>
      <c r="BH50" s="321"/>
      <c r="BI50" s="321"/>
      <c r="BJ50" s="321"/>
      <c r="BK50" s="321"/>
      <c r="BL50" s="321"/>
      <c r="BM50" s="876">
        <v>5</v>
      </c>
      <c r="BN50" s="321"/>
      <c r="BO50" s="321"/>
      <c r="BP50" s="201"/>
      <c r="BQ50" s="321"/>
      <c r="BR50" s="201"/>
      <c r="BS50" s="199"/>
      <c r="BT50" s="321"/>
      <c r="BU50" s="321"/>
      <c r="BV50" s="193"/>
      <c r="BW50" s="321"/>
      <c r="BX50" s="321"/>
      <c r="BY50" s="321"/>
      <c r="BZ50" s="321"/>
      <c r="CA50" s="321"/>
      <c r="CB50" s="564"/>
      <c r="CC50" s="305"/>
      <c r="CD50" s="449"/>
      <c r="CE50" s="449"/>
      <c r="CF50" s="305"/>
      <c r="CG50" s="449"/>
      <c r="CH50" s="305"/>
      <c r="CI50" s="305"/>
      <c r="CJ50" s="305"/>
      <c r="CK50" s="449"/>
      <c r="CL50" s="305"/>
      <c r="CM50" s="449"/>
      <c r="CN50" s="305"/>
      <c r="CO50" s="449"/>
      <c r="CP50" s="449"/>
      <c r="CQ50" s="305"/>
      <c r="CR50" s="305"/>
      <c r="CS50" s="290"/>
      <c r="CT50" s="205"/>
      <c r="CU50" s="321"/>
      <c r="CV50" s="321"/>
      <c r="CW50" s="321"/>
      <c r="CX50" s="321"/>
      <c r="CY50" s="307"/>
      <c r="CZ50" s="189"/>
      <c r="DA50" s="189"/>
      <c r="DB50" s="301"/>
      <c r="DC50" s="321"/>
      <c r="DD50" s="321"/>
      <c r="DE50" s="321"/>
      <c r="DF50" s="321"/>
      <c r="DG50" s="321"/>
      <c r="DH50" s="564"/>
      <c r="DI50" s="483"/>
      <c r="DJ50" s="321"/>
      <c r="DK50" s="321"/>
      <c r="DL50" s="443"/>
      <c r="DM50" s="429"/>
      <c r="DN50" s="429"/>
      <c r="DO50" s="443"/>
      <c r="DP50" s="443"/>
      <c r="DQ50" s="440"/>
      <c r="DR50" s="436"/>
      <c r="DS50" s="429"/>
      <c r="DT50" s="429"/>
      <c r="DU50" s="321"/>
      <c r="DV50" s="321"/>
      <c r="DW50" s="321"/>
      <c r="DX50" s="564"/>
      <c r="DY50" s="409"/>
      <c r="DZ50" s="321">
        <v>10</v>
      </c>
      <c r="EA50" s="429"/>
      <c r="EB50" s="411"/>
      <c r="EC50" s="429"/>
      <c r="ED50" s="449"/>
      <c r="EE50" s="443"/>
      <c r="EF50" s="429"/>
      <c r="EG50" s="429"/>
      <c r="EH50" s="436"/>
      <c r="EI50" s="429"/>
      <c r="EJ50" s="409"/>
      <c r="EK50" s="420"/>
      <c r="EL50" s="436"/>
      <c r="EM50" s="321"/>
      <c r="EN50" s="564"/>
      <c r="EO50" s="321"/>
      <c r="EP50" s="420"/>
      <c r="EQ50" s="321"/>
      <c r="ER50" s="321"/>
      <c r="ES50" s="417"/>
      <c r="ET50" s="417"/>
      <c r="EU50" s="426"/>
      <c r="EV50" s="420"/>
      <c r="EW50" s="409"/>
      <c r="EX50" s="409"/>
      <c r="EY50" s="426"/>
      <c r="EZ50" s="321"/>
      <c r="FA50" s="321"/>
      <c r="FB50" s="426"/>
      <c r="FC50" s="321"/>
      <c r="FD50" s="564"/>
      <c r="FE50" s="483"/>
      <c r="FF50" s="321"/>
      <c r="FG50" s="321"/>
      <c r="FH50" s="321"/>
      <c r="FI50" s="321"/>
      <c r="FJ50" s="321"/>
      <c r="FK50" s="422"/>
      <c r="FL50" s="409"/>
      <c r="FM50" s="422"/>
      <c r="FN50" s="321">
        <v>9</v>
      </c>
      <c r="FO50" s="321"/>
      <c r="FP50" s="321"/>
      <c r="FQ50" s="321"/>
      <c r="FR50" s="420"/>
      <c r="FS50" s="321"/>
      <c r="FT50" s="564"/>
      <c r="FU50" s="483"/>
      <c r="FV50" s="321"/>
      <c r="FW50" s="321"/>
      <c r="FX50" s="321"/>
      <c r="FY50" s="321"/>
      <c r="FZ50" s="321"/>
      <c r="GA50" s="321"/>
      <c r="GB50" s="417">
        <v>9</v>
      </c>
      <c r="GC50" s="321"/>
      <c r="GD50" s="321"/>
      <c r="GE50" s="321"/>
      <c r="GF50" s="321"/>
      <c r="GG50" s="321"/>
      <c r="GH50" s="321"/>
      <c r="GI50" s="321"/>
      <c r="GJ50" s="564"/>
      <c r="GK50" s="483"/>
      <c r="GL50" s="321"/>
      <c r="GM50" s="321"/>
      <c r="GN50" s="321"/>
      <c r="GO50" s="321"/>
      <c r="GP50" s="321"/>
      <c r="GQ50" s="321"/>
      <c r="GR50" s="321"/>
      <c r="GS50" s="321"/>
      <c r="GT50" s="321"/>
      <c r="GU50" s="321"/>
      <c r="GV50" s="321"/>
      <c r="GW50" s="321"/>
      <c r="GX50" s="321"/>
      <c r="GY50" s="321"/>
      <c r="GZ50" s="564"/>
      <c r="HA50" s="483"/>
      <c r="HB50" s="321"/>
      <c r="HC50" s="321"/>
      <c r="HD50" s="321"/>
      <c r="HE50" s="321"/>
      <c r="HF50" s="321"/>
      <c r="HG50" s="321"/>
      <c r="HH50" s="321"/>
      <c r="HI50" s="321"/>
      <c r="HJ50" s="321"/>
      <c r="HK50" s="321"/>
      <c r="HL50" s="321"/>
      <c r="HM50" s="321"/>
      <c r="HN50" s="321"/>
      <c r="HO50" s="321"/>
      <c r="HP50" s="564"/>
      <c r="HQ50" s="483"/>
      <c r="HR50" s="321"/>
      <c r="HS50" s="321"/>
      <c r="HT50" s="321"/>
      <c r="HU50" s="321"/>
      <c r="HV50" s="321"/>
      <c r="HW50" s="321"/>
      <c r="HX50" s="321"/>
      <c r="HY50" s="321"/>
      <c r="HZ50" s="321"/>
      <c r="IA50" s="321"/>
      <c r="IB50" s="321"/>
      <c r="IC50" s="321"/>
      <c r="ID50" s="321"/>
      <c r="IE50" s="321"/>
      <c r="IF50" s="564"/>
      <c r="IG50" s="483"/>
      <c r="IH50" s="321"/>
      <c r="II50" s="321"/>
      <c r="IJ50" s="321"/>
      <c r="IK50" s="321"/>
      <c r="IL50" s="321"/>
      <c r="IM50" s="321"/>
      <c r="IN50" s="321"/>
      <c r="IO50" s="321"/>
      <c r="IP50" s="321"/>
      <c r="IQ50" s="321"/>
      <c r="IR50" s="321"/>
      <c r="IS50" s="321"/>
      <c r="IT50" s="321"/>
      <c r="IU50" s="321"/>
      <c r="IV50" s="564"/>
    </row>
    <row r="51" spans="1:256" s="328" customFormat="1" ht="8.25" customHeight="1">
      <c r="A51" s="483"/>
      <c r="B51" s="321"/>
      <c r="C51" s="321"/>
      <c r="D51" s="321"/>
      <c r="E51" s="321"/>
      <c r="F51" s="429"/>
      <c r="G51" s="409"/>
      <c r="H51" s="420"/>
      <c r="I51" s="409"/>
      <c r="J51" s="321"/>
      <c r="K51" s="321"/>
      <c r="L51" s="321"/>
      <c r="M51" s="321"/>
      <c r="N51" s="321"/>
      <c r="O51" s="321"/>
      <c r="P51" s="564"/>
      <c r="Q51" s="410"/>
      <c r="R51" s="410"/>
      <c r="S51" s="410"/>
      <c r="T51" s="410"/>
      <c r="U51" s="410"/>
      <c r="V51" s="421"/>
      <c r="W51" s="410"/>
      <c r="X51" s="421"/>
      <c r="Y51" s="421"/>
      <c r="Z51" s="410"/>
      <c r="AA51" s="410"/>
      <c r="AB51" s="421"/>
      <c r="AC51" s="410"/>
      <c r="AD51" s="421"/>
      <c r="AE51" s="421"/>
      <c r="AF51" s="410"/>
      <c r="AG51" s="483"/>
      <c r="AH51" s="321"/>
      <c r="AI51" s="321"/>
      <c r="AJ51" s="321"/>
      <c r="AK51" s="326"/>
      <c r="AL51" s="326"/>
      <c r="AM51" s="326"/>
      <c r="AN51" s="326"/>
      <c r="AO51" s="326"/>
      <c r="AP51" s="326"/>
      <c r="AQ51" s="326"/>
      <c r="AR51" s="326"/>
      <c r="AS51" s="326"/>
      <c r="AT51" s="321"/>
      <c r="AU51" s="321"/>
      <c r="AV51" s="564"/>
      <c r="AW51" s="483"/>
      <c r="AX51" s="321"/>
      <c r="AY51" s="321"/>
      <c r="AZ51" s="321"/>
      <c r="BA51" s="321"/>
      <c r="BB51" s="321"/>
      <c r="BC51" s="321"/>
      <c r="BD51" s="321"/>
      <c r="BE51" s="321"/>
      <c r="BF51" s="321"/>
      <c r="BG51" s="321"/>
      <c r="BH51" s="321"/>
      <c r="BI51" s="321"/>
      <c r="BJ51" s="321"/>
      <c r="BK51" s="321"/>
      <c r="BL51" s="321"/>
      <c r="BM51" s="709"/>
      <c r="BN51" s="321"/>
      <c r="BO51" s="321"/>
      <c r="BP51" s="193"/>
      <c r="BQ51" s="321"/>
      <c r="BR51" s="291"/>
      <c r="BS51" s="201"/>
      <c r="BT51" s="321"/>
      <c r="BU51" s="321"/>
      <c r="BV51" s="206"/>
      <c r="BW51" s="321"/>
      <c r="BX51" s="321"/>
      <c r="BY51" s="321"/>
      <c r="BZ51" s="321"/>
      <c r="CA51" s="291"/>
      <c r="CB51" s="564"/>
      <c r="CC51" s="317"/>
      <c r="CD51" s="449"/>
      <c r="CE51" s="449"/>
      <c r="CF51" s="317"/>
      <c r="CG51" s="317"/>
      <c r="CH51" s="317"/>
      <c r="CI51" s="449"/>
      <c r="CJ51" s="449"/>
      <c r="CK51" s="317"/>
      <c r="CL51" s="449"/>
      <c r="CM51" s="317"/>
      <c r="CN51" s="317"/>
      <c r="CO51" s="317"/>
      <c r="CP51" s="449"/>
      <c r="CQ51" s="317"/>
      <c r="CR51" s="305"/>
      <c r="CS51" s="483"/>
      <c r="CT51" s="205"/>
      <c r="CU51" s="321"/>
      <c r="CV51" s="321"/>
      <c r="CW51" s="321"/>
      <c r="CX51" s="307"/>
      <c r="CY51" s="307"/>
      <c r="CZ51" s="307"/>
      <c r="DA51" s="307"/>
      <c r="DB51" s="307"/>
      <c r="DC51" s="307"/>
      <c r="DD51" s="321"/>
      <c r="DE51" s="321"/>
      <c r="DF51" s="321"/>
      <c r="DG51" s="321"/>
      <c r="DH51" s="290"/>
      <c r="DI51" s="483"/>
      <c r="DJ51" s="321"/>
      <c r="DK51" s="321">
        <v>10</v>
      </c>
      <c r="DL51" s="429"/>
      <c r="DM51" s="438"/>
      <c r="DN51" s="420"/>
      <c r="DO51" s="449"/>
      <c r="DP51" s="449"/>
      <c r="DQ51" s="436"/>
      <c r="DR51" s="449"/>
      <c r="DS51" s="449"/>
      <c r="DT51" s="440"/>
      <c r="DU51" s="429"/>
      <c r="DV51" s="321">
        <v>10</v>
      </c>
      <c r="DW51" s="321"/>
      <c r="DX51" s="564"/>
      <c r="DY51" s="483"/>
      <c r="DZ51" s="429"/>
      <c r="EA51" s="429"/>
      <c r="EB51" s="459"/>
      <c r="EC51" s="443"/>
      <c r="ED51" s="436"/>
      <c r="EE51" s="449"/>
      <c r="EF51" s="449"/>
      <c r="EG51" s="436"/>
      <c r="EH51" s="449"/>
      <c r="EI51" s="429"/>
      <c r="EJ51" s="449"/>
      <c r="EK51" s="440"/>
      <c r="EL51" s="321"/>
      <c r="EM51" s="321">
        <v>10</v>
      </c>
      <c r="EN51" s="409"/>
      <c r="EO51" s="321"/>
      <c r="EP51" s="431"/>
      <c r="EQ51" s="411"/>
      <c r="ER51" s="429"/>
      <c r="ES51" s="459"/>
      <c r="ET51" s="443"/>
      <c r="EU51" s="409"/>
      <c r="EV51" s="459"/>
      <c r="EW51" s="436"/>
      <c r="EX51" s="409"/>
      <c r="EY51" s="429"/>
      <c r="EZ51" s="321"/>
      <c r="FA51" s="321"/>
      <c r="FB51" s="321"/>
      <c r="FC51" s="321"/>
      <c r="FD51" s="564"/>
      <c r="FE51" s="483"/>
      <c r="FF51" s="420"/>
      <c r="FG51" s="321"/>
      <c r="FH51" s="321"/>
      <c r="FI51" s="321"/>
      <c r="FJ51" s="321"/>
      <c r="FK51" s="417"/>
      <c r="FL51" s="417"/>
      <c r="FM51" s="415"/>
      <c r="FN51" s="417"/>
      <c r="FO51" s="321"/>
      <c r="FP51" s="321"/>
      <c r="FQ51" s="321"/>
      <c r="FR51" s="321"/>
      <c r="FS51" s="321"/>
      <c r="FT51" s="564"/>
      <c r="FU51" s="483"/>
      <c r="FV51" s="321"/>
      <c r="FW51" s="321"/>
      <c r="FX51" s="321"/>
      <c r="FY51" s="321"/>
      <c r="FZ51" s="321"/>
      <c r="GA51" s="321"/>
      <c r="GB51" s="321"/>
      <c r="GC51" s="321"/>
      <c r="GD51" s="321"/>
      <c r="GE51" s="321"/>
      <c r="GF51" s="321"/>
      <c r="GG51" s="321"/>
      <c r="GH51" s="321"/>
      <c r="GI51" s="321"/>
      <c r="GJ51" s="564"/>
      <c r="GK51" s="483"/>
      <c r="GL51" s="321"/>
      <c r="GM51" s="321"/>
      <c r="GN51" s="321"/>
      <c r="GO51" s="321"/>
      <c r="GP51" s="321"/>
      <c r="GQ51" s="321"/>
      <c r="GR51" s="321"/>
      <c r="GS51" s="321"/>
      <c r="GT51" s="321"/>
      <c r="GU51" s="321"/>
      <c r="GV51" s="321"/>
      <c r="GW51" s="321"/>
      <c r="GX51" s="321"/>
      <c r="GY51" s="321"/>
      <c r="GZ51" s="564"/>
      <c r="HA51" s="483"/>
      <c r="HB51" s="321"/>
      <c r="HC51" s="321"/>
      <c r="HD51" s="321"/>
      <c r="HE51" s="321"/>
      <c r="HF51" s="321"/>
      <c r="HG51" s="321"/>
      <c r="HH51" s="321"/>
      <c r="HI51" s="321"/>
      <c r="HJ51" s="321"/>
      <c r="HK51" s="321"/>
      <c r="HL51" s="321"/>
      <c r="HM51" s="321"/>
      <c r="HN51" s="321"/>
      <c r="HO51" s="321"/>
      <c r="HP51" s="564"/>
      <c r="HQ51" s="483"/>
      <c r="HR51" s="321"/>
      <c r="HS51" s="321"/>
      <c r="HT51" s="321"/>
      <c r="HU51" s="321"/>
      <c r="HV51" s="321"/>
      <c r="HW51" s="321"/>
      <c r="HX51" s="321"/>
      <c r="HY51" s="321"/>
      <c r="HZ51" s="321"/>
      <c r="IA51" s="321"/>
      <c r="IB51" s="321"/>
      <c r="IC51" s="321"/>
      <c r="ID51" s="321"/>
      <c r="IE51" s="321"/>
      <c r="IF51" s="564"/>
      <c r="IG51" s="483"/>
      <c r="IH51" s="321"/>
      <c r="II51" s="321"/>
      <c r="IJ51" s="321"/>
      <c r="IK51" s="321"/>
      <c r="IL51" s="321"/>
      <c r="IM51" s="321"/>
      <c r="IN51" s="321"/>
      <c r="IO51" s="321"/>
      <c r="IP51" s="321"/>
      <c r="IQ51" s="321"/>
      <c r="IR51" s="321"/>
      <c r="IS51" s="321"/>
      <c r="IT51" s="321"/>
      <c r="IU51" s="321"/>
      <c r="IV51" s="564"/>
    </row>
    <row r="52" spans="1:256" s="328" customFormat="1" ht="8.25" customHeight="1">
      <c r="A52" s="483"/>
      <c r="B52" s="321"/>
      <c r="C52" s="321"/>
      <c r="D52" s="321"/>
      <c r="E52" s="321"/>
      <c r="F52" s="409"/>
      <c r="G52" s="409"/>
      <c r="H52" s="420"/>
      <c r="I52" s="409"/>
      <c r="J52" s="321"/>
      <c r="K52" s="321"/>
      <c r="L52" s="321"/>
      <c r="M52" s="321"/>
      <c r="N52" s="321"/>
      <c r="O52" s="321"/>
      <c r="P52" s="564"/>
      <c r="Q52" s="410"/>
      <c r="R52" s="452"/>
      <c r="S52" s="439"/>
      <c r="T52" s="411"/>
      <c r="U52" s="410"/>
      <c r="V52" s="421"/>
      <c r="W52" s="410"/>
      <c r="X52" s="410"/>
      <c r="Y52" s="421"/>
      <c r="Z52" s="410"/>
      <c r="AA52" s="410"/>
      <c r="AB52" s="421"/>
      <c r="AC52" s="410"/>
      <c r="AD52" s="410"/>
      <c r="AE52" s="421"/>
      <c r="AF52" s="410"/>
      <c r="AG52" s="483"/>
      <c r="AH52" s="321"/>
      <c r="AI52" s="321"/>
      <c r="AJ52" s="321"/>
      <c r="AK52" s="326"/>
      <c r="AL52" s="326"/>
      <c r="AM52" s="326"/>
      <c r="AN52" s="326"/>
      <c r="AO52" s="326"/>
      <c r="AP52" s="326"/>
      <c r="AQ52" s="326"/>
      <c r="AR52" s="326"/>
      <c r="AS52" s="326"/>
      <c r="AT52" s="321"/>
      <c r="AU52" s="321"/>
      <c r="AV52" s="564"/>
      <c r="AW52" s="483"/>
      <c r="AX52" s="321"/>
      <c r="AY52" s="321"/>
      <c r="AZ52" s="321"/>
      <c r="BA52" s="321"/>
      <c r="BB52" s="321"/>
      <c r="BC52" s="321"/>
      <c r="BD52" s="321"/>
      <c r="BE52" s="321"/>
      <c r="BF52" s="321"/>
      <c r="BG52" s="321"/>
      <c r="BH52" s="321"/>
      <c r="BI52" s="321"/>
      <c r="BJ52" s="321"/>
      <c r="BK52" s="321"/>
      <c r="BL52" s="321"/>
      <c r="BM52" s="876"/>
      <c r="BN52" s="201"/>
      <c r="BO52" s="321"/>
      <c r="BP52" s="201"/>
      <c r="BQ52" s="321"/>
      <c r="BR52" s="321"/>
      <c r="BS52" s="291"/>
      <c r="BT52" s="321"/>
      <c r="BU52" s="206"/>
      <c r="BV52" s="161"/>
      <c r="BW52" s="321"/>
      <c r="BX52" s="321"/>
      <c r="BY52" s="321"/>
      <c r="BZ52" s="321"/>
      <c r="CA52" s="201"/>
      <c r="CB52" s="564"/>
      <c r="CC52" s="313"/>
      <c r="CD52" s="449"/>
      <c r="CE52" s="449"/>
      <c r="CF52" s="313"/>
      <c r="CG52" s="305"/>
      <c r="CH52" s="305"/>
      <c r="CI52" s="313"/>
      <c r="CJ52" s="449"/>
      <c r="CK52" s="313"/>
      <c r="CL52" s="449"/>
      <c r="CM52" s="313"/>
      <c r="CN52" s="305"/>
      <c r="CO52" s="305"/>
      <c r="CP52" s="449"/>
      <c r="CQ52" s="313"/>
      <c r="CR52" s="305"/>
      <c r="CS52" s="205"/>
      <c r="CT52" s="321"/>
      <c r="CU52" s="205"/>
      <c r="CV52" s="321"/>
      <c r="CW52" s="307"/>
      <c r="CX52" s="307"/>
      <c r="CY52" s="307"/>
      <c r="CZ52" s="307"/>
      <c r="DA52" s="307"/>
      <c r="DB52" s="307"/>
      <c r="DC52" s="307"/>
      <c r="DD52" s="307"/>
      <c r="DE52" s="321"/>
      <c r="DF52" s="321"/>
      <c r="DG52" s="290"/>
      <c r="DH52" s="564"/>
      <c r="DI52" s="483"/>
      <c r="DJ52" s="440"/>
      <c r="DK52" s="429"/>
      <c r="DL52" s="436"/>
      <c r="DM52" s="429"/>
      <c r="DN52" s="411"/>
      <c r="DO52" s="462"/>
      <c r="DP52" s="456"/>
      <c r="DQ52" s="443"/>
      <c r="DR52" s="456"/>
      <c r="DS52" s="415"/>
      <c r="DT52" s="429"/>
      <c r="DU52" s="440"/>
      <c r="DV52" s="321">
        <v>10</v>
      </c>
      <c r="DW52" s="321"/>
      <c r="DX52" s="564"/>
      <c r="DY52" s="483"/>
      <c r="DZ52" s="440"/>
      <c r="EA52" s="436"/>
      <c r="EB52" s="436"/>
      <c r="EC52" s="456"/>
      <c r="ED52" s="426"/>
      <c r="EE52" s="436"/>
      <c r="EF52" s="459"/>
      <c r="EG52" s="443"/>
      <c r="EH52" s="426"/>
      <c r="EI52" s="436"/>
      <c r="EJ52" s="429"/>
      <c r="EK52" s="443"/>
      <c r="EL52" s="321">
        <v>10</v>
      </c>
      <c r="EM52" s="429"/>
      <c r="EN52" s="321">
        <v>10</v>
      </c>
      <c r="EO52" s="321"/>
      <c r="EP52" s="321"/>
      <c r="EQ52" s="440"/>
      <c r="ER52" s="321"/>
      <c r="ES52" s="409"/>
      <c r="ET52" s="429"/>
      <c r="EU52" s="429"/>
      <c r="EV52" s="436"/>
      <c r="EW52" s="443"/>
      <c r="EX52" s="436"/>
      <c r="EY52" s="321">
        <v>10</v>
      </c>
      <c r="EZ52" s="429"/>
      <c r="FA52" s="321"/>
      <c r="FB52" s="321"/>
      <c r="FC52" s="321"/>
      <c r="FD52" s="564"/>
      <c r="FE52" s="483"/>
      <c r="FF52" s="321"/>
      <c r="FG52" s="321"/>
      <c r="FH52" s="321"/>
      <c r="FI52" s="321"/>
      <c r="FJ52" s="321"/>
      <c r="FK52" s="420"/>
      <c r="FL52" s="321">
        <v>10</v>
      </c>
      <c r="FM52" s="429"/>
      <c r="FN52" s="420"/>
      <c r="FO52" s="321">
        <v>9</v>
      </c>
      <c r="FP52" s="321"/>
      <c r="FQ52" s="321"/>
      <c r="FR52" s="321"/>
      <c r="FS52" s="321"/>
      <c r="FT52" s="564"/>
      <c r="FU52" s="483"/>
      <c r="FV52" s="321"/>
      <c r="FW52" s="321"/>
      <c r="FX52" s="321"/>
      <c r="FY52" s="321"/>
      <c r="FZ52" s="321"/>
      <c r="GA52" s="321"/>
      <c r="GB52" s="321"/>
      <c r="GC52" s="429"/>
      <c r="GD52" s="321"/>
      <c r="GE52" s="321"/>
      <c r="GF52" s="321"/>
      <c r="GG52" s="321"/>
      <c r="GH52" s="321"/>
      <c r="GI52" s="321"/>
      <c r="GJ52" s="564"/>
      <c r="GK52" s="483"/>
      <c r="GL52" s="321"/>
      <c r="GM52" s="321"/>
      <c r="GN52" s="321"/>
      <c r="GO52" s="321"/>
      <c r="GP52" s="321"/>
      <c r="GQ52" s="321"/>
      <c r="GR52" s="321"/>
      <c r="GS52" s="321"/>
      <c r="GT52" s="321"/>
      <c r="GU52" s="321"/>
      <c r="GV52" s="321"/>
      <c r="GW52" s="321"/>
      <c r="GX52" s="321"/>
      <c r="GY52" s="321"/>
      <c r="GZ52" s="564"/>
      <c r="HA52" s="483"/>
      <c r="HB52" s="321"/>
      <c r="HC52" s="321"/>
      <c r="HD52" s="321"/>
      <c r="HE52" s="321"/>
      <c r="HF52" s="321"/>
      <c r="HG52" s="321"/>
      <c r="HH52" s="321"/>
      <c r="HI52" s="321"/>
      <c r="HJ52" s="321"/>
      <c r="HK52" s="321"/>
      <c r="HL52" s="321"/>
      <c r="HM52" s="321"/>
      <c r="HN52" s="321"/>
      <c r="HO52" s="321"/>
      <c r="HP52" s="564"/>
      <c r="HQ52" s="483"/>
      <c r="HR52" s="321"/>
      <c r="HS52" s="321"/>
      <c r="HT52" s="321"/>
      <c r="HU52" s="321"/>
      <c r="HV52" s="321"/>
      <c r="HW52" s="321"/>
      <c r="HX52" s="321"/>
      <c r="HY52" s="321"/>
      <c r="HZ52" s="321"/>
      <c r="IA52" s="321"/>
      <c r="IB52" s="321"/>
      <c r="IC52" s="321"/>
      <c r="ID52" s="321"/>
      <c r="IE52" s="321"/>
      <c r="IF52" s="564"/>
      <c r="IG52" s="483"/>
      <c r="IH52" s="321"/>
      <c r="II52" s="321"/>
      <c r="IJ52" s="321"/>
      <c r="IK52" s="321"/>
      <c r="IL52" s="321"/>
      <c r="IM52" s="321"/>
      <c r="IN52" s="321"/>
      <c r="IO52" s="321"/>
      <c r="IP52" s="321"/>
      <c r="IQ52" s="321"/>
      <c r="IR52" s="321"/>
      <c r="IS52" s="321"/>
      <c r="IT52" s="321"/>
      <c r="IU52" s="321"/>
      <c r="IV52" s="564"/>
    </row>
    <row r="53" spans="1:256" s="328" customFormat="1" ht="8.25" customHeight="1">
      <c r="A53" s="483"/>
      <c r="B53" s="321"/>
      <c r="C53" s="321"/>
      <c r="D53" s="321"/>
      <c r="E53" s="321"/>
      <c r="F53" s="409"/>
      <c r="G53" s="409"/>
      <c r="H53" s="420"/>
      <c r="I53" s="420"/>
      <c r="J53" s="321"/>
      <c r="K53" s="321"/>
      <c r="L53" s="321"/>
      <c r="M53" s="321"/>
      <c r="N53" s="321"/>
      <c r="O53" s="321"/>
      <c r="P53" s="564"/>
      <c r="Q53" s="410"/>
      <c r="R53" s="410"/>
      <c r="S53" s="410"/>
      <c r="T53" s="410"/>
      <c r="U53" s="410"/>
      <c r="V53" s="421"/>
      <c r="W53" s="410"/>
      <c r="X53" s="421"/>
      <c r="Y53" s="432"/>
      <c r="Z53" s="410"/>
      <c r="AA53" s="410"/>
      <c r="AB53" s="421"/>
      <c r="AC53" s="410"/>
      <c r="AD53" s="421"/>
      <c r="AE53" s="432"/>
      <c r="AF53" s="410"/>
      <c r="AG53" s="483"/>
      <c r="AH53" s="321"/>
      <c r="AI53" s="321"/>
      <c r="AJ53" s="321"/>
      <c r="AK53" s="321"/>
      <c r="AL53" s="321"/>
      <c r="AM53" s="321"/>
      <c r="AN53" s="321"/>
      <c r="AO53" s="321"/>
      <c r="AP53" s="321"/>
      <c r="AQ53" s="321"/>
      <c r="AR53" s="321"/>
      <c r="AS53" s="321"/>
      <c r="AT53" s="321"/>
      <c r="AU53" s="321"/>
      <c r="AV53" s="564"/>
      <c r="AW53" s="483"/>
      <c r="AX53" s="321"/>
      <c r="AY53" s="321"/>
      <c r="AZ53" s="321"/>
      <c r="BA53" s="321"/>
      <c r="BB53" s="321"/>
      <c r="BC53" s="321"/>
      <c r="BD53" s="321"/>
      <c r="BE53" s="321"/>
      <c r="BF53" s="321"/>
      <c r="BG53" s="321"/>
      <c r="BH53" s="321"/>
      <c r="BI53" s="321"/>
      <c r="BJ53" s="321"/>
      <c r="BK53" s="321"/>
      <c r="BL53" s="321"/>
      <c r="BM53" s="864"/>
      <c r="BN53" s="291"/>
      <c r="BO53" s="321"/>
      <c r="BP53" s="199"/>
      <c r="BQ53" s="321"/>
      <c r="BR53" s="321"/>
      <c r="BS53" s="291"/>
      <c r="BT53" s="321"/>
      <c r="BU53" s="291"/>
      <c r="BV53" s="321"/>
      <c r="BW53" s="321"/>
      <c r="BX53" s="321"/>
      <c r="BY53" s="321"/>
      <c r="BZ53" s="291"/>
      <c r="CA53" s="291"/>
      <c r="CB53" s="564"/>
      <c r="CC53" s="313"/>
      <c r="CD53" s="449"/>
      <c r="CE53" s="449"/>
      <c r="CF53" s="313"/>
      <c r="CG53" s="313"/>
      <c r="CH53" s="449"/>
      <c r="CI53" s="313"/>
      <c r="CJ53" s="449"/>
      <c r="CK53" s="313"/>
      <c r="CL53" s="449"/>
      <c r="CM53" s="313"/>
      <c r="CN53" s="313"/>
      <c r="CO53" s="449"/>
      <c r="CP53" s="449"/>
      <c r="CQ53" s="313"/>
      <c r="CR53" s="305"/>
      <c r="CS53" s="483"/>
      <c r="CT53" s="321"/>
      <c r="CU53" s="321"/>
      <c r="CV53" s="307"/>
      <c r="CW53" s="307"/>
      <c r="CX53" s="307"/>
      <c r="CY53" s="307"/>
      <c r="CZ53" s="189"/>
      <c r="DA53" s="301"/>
      <c r="DB53" s="307"/>
      <c r="DC53" s="307"/>
      <c r="DD53" s="307"/>
      <c r="DE53" s="189"/>
      <c r="DF53" s="205"/>
      <c r="DG53" s="205"/>
      <c r="DH53" s="205"/>
      <c r="DI53" s="483"/>
      <c r="DJ53" s="321">
        <v>10</v>
      </c>
      <c r="DK53" s="449"/>
      <c r="DL53" s="456"/>
      <c r="DM53" s="459"/>
      <c r="DN53" s="426"/>
      <c r="DO53" s="436"/>
      <c r="DP53" s="459"/>
      <c r="DQ53" s="443"/>
      <c r="DR53" s="426"/>
      <c r="DS53" s="436"/>
      <c r="DT53" s="443"/>
      <c r="DU53" s="429"/>
      <c r="DV53" s="415"/>
      <c r="DW53" s="321"/>
      <c r="DX53" s="564"/>
      <c r="DY53" s="483"/>
      <c r="DZ53" s="321">
        <v>10</v>
      </c>
      <c r="EA53" s="436"/>
      <c r="EB53" s="456"/>
      <c r="EC53" s="456"/>
      <c r="ED53" s="462"/>
      <c r="EE53" s="456"/>
      <c r="EF53" s="449"/>
      <c r="EG53" s="436"/>
      <c r="EH53" s="426"/>
      <c r="EI53" s="449"/>
      <c r="EJ53" s="459"/>
      <c r="EK53" s="429"/>
      <c r="EL53" s="429"/>
      <c r="EM53" s="436"/>
      <c r="EN53" s="564"/>
      <c r="EO53" s="321"/>
      <c r="EP53" s="321"/>
      <c r="EQ53" s="321">
        <v>10</v>
      </c>
      <c r="ER53" s="409"/>
      <c r="ES53" s="429"/>
      <c r="ET53" s="443"/>
      <c r="EU53" s="443"/>
      <c r="EV53" s="449"/>
      <c r="EW53" s="436"/>
      <c r="EX53" s="436"/>
      <c r="EY53" s="429"/>
      <c r="EZ53" s="409"/>
      <c r="FA53" s="429"/>
      <c r="FB53" s="321"/>
      <c r="FC53" s="321"/>
      <c r="FD53" s="564"/>
      <c r="FE53" s="483"/>
      <c r="FF53" s="321"/>
      <c r="FG53" s="321"/>
      <c r="FH53" s="321"/>
      <c r="FI53" s="321"/>
      <c r="FJ53" s="422"/>
      <c r="FK53" s="409"/>
      <c r="FL53" s="417"/>
      <c r="FM53" s="429"/>
      <c r="FN53" s="420"/>
      <c r="FO53" s="422"/>
      <c r="FP53" s="321"/>
      <c r="FQ53" s="321"/>
      <c r="FR53" s="321"/>
      <c r="FS53" s="321"/>
      <c r="FT53" s="564"/>
      <c r="FU53" s="483"/>
      <c r="FV53" s="321"/>
      <c r="FW53" s="321"/>
      <c r="FX53" s="321"/>
      <c r="FY53" s="321"/>
      <c r="FZ53" s="321"/>
      <c r="GA53" s="321"/>
      <c r="GB53" s="321"/>
      <c r="GC53" s="321"/>
      <c r="GD53" s="321"/>
      <c r="GE53" s="321"/>
      <c r="GF53" s="321"/>
      <c r="GG53" s="321"/>
      <c r="GH53" s="321"/>
      <c r="GI53" s="321"/>
      <c r="GJ53" s="420"/>
      <c r="GK53" s="483"/>
      <c r="GL53" s="321"/>
      <c r="GM53" s="321"/>
      <c r="GN53" s="321"/>
      <c r="GO53" s="321"/>
      <c r="GP53" s="321"/>
      <c r="GQ53" s="321"/>
      <c r="GR53" s="321"/>
      <c r="GS53" s="321"/>
      <c r="GT53" s="321"/>
      <c r="GU53" s="321"/>
      <c r="GV53" s="321"/>
      <c r="GW53" s="321"/>
      <c r="GX53" s="321"/>
      <c r="GY53" s="321"/>
      <c r="GZ53" s="564"/>
      <c r="HA53" s="1308"/>
      <c r="HB53" s="321"/>
      <c r="HC53" s="321"/>
      <c r="HD53" s="321"/>
      <c r="HE53" s="321"/>
      <c r="HF53" s="321"/>
      <c r="HG53" s="321"/>
      <c r="HH53" s="321"/>
      <c r="HI53" s="321"/>
      <c r="HJ53" s="321"/>
      <c r="HK53" s="321"/>
      <c r="HL53" s="321"/>
      <c r="HM53" s="321"/>
      <c r="HN53" s="321"/>
      <c r="HO53" s="321"/>
      <c r="HP53" s="1310"/>
      <c r="HQ53" s="1308"/>
      <c r="HR53" s="321"/>
      <c r="HS53" s="321"/>
      <c r="HT53" s="321"/>
      <c r="HU53" s="321"/>
      <c r="HV53" s="321"/>
      <c r="HW53" s="321"/>
      <c r="HX53" s="321"/>
      <c r="HY53" s="321"/>
      <c r="HZ53" s="321"/>
      <c r="IA53" s="321"/>
      <c r="IB53" s="321"/>
      <c r="IC53" s="321"/>
      <c r="ID53" s="321"/>
      <c r="IE53" s="321"/>
      <c r="IF53" s="1310"/>
      <c r="IG53" s="1308"/>
      <c r="IH53" s="321"/>
      <c r="II53" s="321"/>
      <c r="IJ53" s="321"/>
      <c r="IK53" s="321"/>
      <c r="IL53" s="321"/>
      <c r="IM53" s="321"/>
      <c r="IN53" s="321"/>
      <c r="IO53" s="321"/>
      <c r="IP53" s="321"/>
      <c r="IQ53" s="321"/>
      <c r="IR53" s="321"/>
      <c r="IS53" s="321"/>
      <c r="IT53" s="321"/>
      <c r="IU53" s="321"/>
      <c r="IV53" s="1310"/>
    </row>
    <row r="54" spans="1:256" s="328" customFormat="1" ht="8.25" customHeight="1">
      <c r="A54" s="483"/>
      <c r="B54" s="321"/>
      <c r="C54" s="321"/>
      <c r="D54" s="321"/>
      <c r="E54" s="321"/>
      <c r="F54" s="409"/>
      <c r="G54" s="409"/>
      <c r="H54" s="420"/>
      <c r="I54" s="420"/>
      <c r="J54" s="321"/>
      <c r="K54" s="321"/>
      <c r="L54" s="321"/>
      <c r="M54" s="321"/>
      <c r="N54" s="321"/>
      <c r="O54" s="321"/>
      <c r="P54" s="564"/>
      <c r="Q54" s="439"/>
      <c r="R54" s="411"/>
      <c r="S54" s="411"/>
      <c r="T54" s="452"/>
      <c r="U54" s="411"/>
      <c r="V54" s="411"/>
      <c r="W54" s="411"/>
      <c r="X54" s="452"/>
      <c r="Y54" s="452"/>
      <c r="Z54" s="411"/>
      <c r="AA54" s="439"/>
      <c r="AB54" s="411"/>
      <c r="AC54" s="452"/>
      <c r="AD54" s="411"/>
      <c r="AE54" s="411"/>
      <c r="AF54" s="439"/>
      <c r="AG54" s="483"/>
      <c r="AH54" s="321"/>
      <c r="AI54" s="321"/>
      <c r="AJ54" s="321"/>
      <c r="AK54" s="321"/>
      <c r="AL54" s="321"/>
      <c r="AM54" s="321"/>
      <c r="AN54" s="321"/>
      <c r="AO54" s="321"/>
      <c r="AP54" s="321"/>
      <c r="AQ54" s="321"/>
      <c r="AR54" s="321"/>
      <c r="AS54" s="321"/>
      <c r="AT54" s="321"/>
      <c r="AU54" s="321"/>
      <c r="AV54" s="564"/>
      <c r="AW54" s="483"/>
      <c r="AX54" s="321"/>
      <c r="AY54" s="321"/>
      <c r="AZ54" s="321"/>
      <c r="BA54" s="321"/>
      <c r="BB54" s="321"/>
      <c r="BC54" s="321"/>
      <c r="BD54" s="321"/>
      <c r="BE54" s="321"/>
      <c r="BF54" s="321"/>
      <c r="BG54" s="321"/>
      <c r="BH54" s="321"/>
      <c r="BI54" s="321"/>
      <c r="BJ54" s="321"/>
      <c r="BK54" s="321"/>
      <c r="BL54" s="321"/>
      <c r="BM54" s="483"/>
      <c r="BN54" s="199"/>
      <c r="BO54" s="321"/>
      <c r="BP54" s="201"/>
      <c r="BQ54" s="321"/>
      <c r="BR54" s="321"/>
      <c r="BS54" s="321"/>
      <c r="BT54" s="321"/>
      <c r="BU54" s="292"/>
      <c r="BV54" s="321"/>
      <c r="BW54" s="321"/>
      <c r="BX54" s="193"/>
      <c r="BY54" s="321"/>
      <c r="BZ54" s="201"/>
      <c r="CA54" s="199"/>
      <c r="CB54" s="564"/>
      <c r="CC54" s="309"/>
      <c r="CD54" s="449"/>
      <c r="CE54" s="449"/>
      <c r="CF54" s="309"/>
      <c r="CG54" s="305"/>
      <c r="CH54" s="449"/>
      <c r="CI54" s="309"/>
      <c r="CJ54" s="449"/>
      <c r="CK54" s="309"/>
      <c r="CL54" s="449"/>
      <c r="CM54" s="309"/>
      <c r="CN54" s="305"/>
      <c r="CO54" s="449"/>
      <c r="CP54" s="449"/>
      <c r="CQ54" s="309"/>
      <c r="CR54" s="305"/>
      <c r="CS54" s="483"/>
      <c r="CT54" s="321"/>
      <c r="CU54" s="321"/>
      <c r="CV54" s="307"/>
      <c r="CW54" s="307"/>
      <c r="CX54" s="307"/>
      <c r="CY54" s="307"/>
      <c r="CZ54" s="307"/>
      <c r="DA54" s="307"/>
      <c r="DB54" s="307"/>
      <c r="DC54" s="307"/>
      <c r="DD54" s="189"/>
      <c r="DE54" s="301"/>
      <c r="DF54" s="321"/>
      <c r="DG54" s="205"/>
      <c r="DH54" s="564"/>
      <c r="DI54" s="483"/>
      <c r="DJ54" s="429"/>
      <c r="DK54" s="449"/>
      <c r="DL54" s="456"/>
      <c r="DM54" s="456"/>
      <c r="DN54" s="449"/>
      <c r="DO54" s="456"/>
      <c r="DP54" s="449"/>
      <c r="DQ54" s="433"/>
      <c r="DR54" s="436"/>
      <c r="DS54" s="459"/>
      <c r="DT54" s="449"/>
      <c r="DU54" s="443"/>
      <c r="DV54" s="321">
        <v>10</v>
      </c>
      <c r="DW54" s="321"/>
      <c r="DX54" s="564"/>
      <c r="DY54" s="429"/>
      <c r="DZ54" s="449"/>
      <c r="EA54" s="449"/>
      <c r="EB54" s="459"/>
      <c r="EC54" s="449"/>
      <c r="ED54" s="443"/>
      <c r="EE54" s="462"/>
      <c r="EF54" s="449"/>
      <c r="EG54" s="456"/>
      <c r="EH54" s="436"/>
      <c r="EI54" s="449"/>
      <c r="EJ54" s="443"/>
      <c r="EK54" s="321"/>
      <c r="EL54" s="436"/>
      <c r="EM54" s="321">
        <v>10</v>
      </c>
      <c r="EN54" s="564"/>
      <c r="EO54" s="321"/>
      <c r="EP54" s="321">
        <v>10</v>
      </c>
      <c r="EQ54" s="429"/>
      <c r="ER54" s="443"/>
      <c r="ES54" s="321">
        <v>10</v>
      </c>
      <c r="ET54" s="456"/>
      <c r="EU54" s="443"/>
      <c r="EV54" s="449"/>
      <c r="EW54" s="443"/>
      <c r="EX54" s="436"/>
      <c r="EY54" s="443"/>
      <c r="EZ54" s="443"/>
      <c r="FA54" s="321">
        <v>10</v>
      </c>
      <c r="FB54" s="433"/>
      <c r="FC54" s="321"/>
      <c r="FD54" s="564"/>
      <c r="FE54" s="483"/>
      <c r="FF54" s="321"/>
      <c r="FG54" s="321"/>
      <c r="FH54" s="321"/>
      <c r="FI54" s="321"/>
      <c r="FJ54" s="417"/>
      <c r="FK54" s="420"/>
      <c r="FL54" s="409"/>
      <c r="FM54" s="443"/>
      <c r="FN54" s="409"/>
      <c r="FO54" s="422"/>
      <c r="FP54" s="409"/>
      <c r="FQ54" s="321"/>
      <c r="FR54" s="321"/>
      <c r="FS54" s="321"/>
      <c r="FT54" s="564"/>
      <c r="FU54" s="483"/>
      <c r="FV54" s="321"/>
      <c r="FW54" s="321"/>
      <c r="FX54" s="321"/>
      <c r="FY54" s="321"/>
      <c r="FZ54" s="321"/>
      <c r="GA54" s="321"/>
      <c r="GB54" s="321"/>
      <c r="GC54" s="321"/>
      <c r="GD54" s="321"/>
      <c r="GE54" s="321"/>
      <c r="GF54" s="321"/>
      <c r="GG54" s="321"/>
      <c r="GH54" s="321"/>
      <c r="GI54" s="321"/>
      <c r="GJ54" s="564"/>
      <c r="GK54" s="483"/>
      <c r="GL54" s="321"/>
      <c r="GM54" s="321"/>
      <c r="GN54" s="321"/>
      <c r="GO54" s="321"/>
      <c r="GP54" s="321"/>
      <c r="GQ54" s="321"/>
      <c r="GR54" s="321"/>
      <c r="GS54" s="321"/>
      <c r="GT54" s="321"/>
      <c r="GU54" s="321"/>
      <c r="GV54" s="321"/>
      <c r="GW54" s="321"/>
      <c r="GX54" s="321"/>
      <c r="GY54" s="321"/>
      <c r="GZ54" s="564"/>
      <c r="HA54" s="1308"/>
      <c r="HB54" s="321"/>
      <c r="HC54" s="321"/>
      <c r="HD54" s="321"/>
      <c r="HE54" s="321"/>
      <c r="HF54" s="321"/>
      <c r="HG54" s="321"/>
      <c r="HH54" s="321"/>
      <c r="HI54" s="321"/>
      <c r="HJ54" s="321"/>
      <c r="HK54" s="321"/>
      <c r="HL54" s="321"/>
      <c r="HM54" s="321"/>
      <c r="HN54" s="321"/>
      <c r="HO54" s="321"/>
      <c r="HP54" s="1310"/>
      <c r="HQ54" s="1308"/>
      <c r="HR54" s="321"/>
      <c r="HS54" s="321"/>
      <c r="HT54" s="321"/>
      <c r="HU54" s="321"/>
      <c r="HV54" s="321"/>
      <c r="HW54" s="321"/>
      <c r="HX54" s="321"/>
      <c r="HY54" s="321"/>
      <c r="HZ54" s="321"/>
      <c r="IA54" s="321"/>
      <c r="IB54" s="321"/>
      <c r="IC54" s="321"/>
      <c r="ID54" s="321"/>
      <c r="IE54" s="321"/>
      <c r="IF54" s="1310"/>
      <c r="IG54" s="1308"/>
      <c r="IH54" s="321"/>
      <c r="II54" s="321"/>
      <c r="IJ54" s="321"/>
      <c r="IK54" s="321"/>
      <c r="IL54" s="321"/>
      <c r="IM54" s="321"/>
      <c r="IN54" s="321"/>
      <c r="IO54" s="321"/>
      <c r="IP54" s="321"/>
      <c r="IQ54" s="321"/>
      <c r="IR54" s="321"/>
      <c r="IS54" s="321"/>
      <c r="IT54" s="321"/>
      <c r="IU54" s="321"/>
      <c r="IV54" s="1310"/>
    </row>
    <row r="55" spans="1:256" s="328" customFormat="1" ht="8.25" customHeight="1">
      <c r="A55" s="483"/>
      <c r="B55" s="321"/>
      <c r="C55" s="321"/>
      <c r="D55" s="321"/>
      <c r="E55" s="321"/>
      <c r="F55" s="409"/>
      <c r="G55" s="420"/>
      <c r="H55" s="409"/>
      <c r="I55" s="420"/>
      <c r="J55" s="321"/>
      <c r="K55" s="321"/>
      <c r="L55" s="321"/>
      <c r="M55" s="321"/>
      <c r="N55" s="321"/>
      <c r="O55" s="321"/>
      <c r="P55" s="564"/>
      <c r="Q55" s="452"/>
      <c r="R55" s="452"/>
      <c r="S55" s="452"/>
      <c r="T55" s="410"/>
      <c r="U55" s="452"/>
      <c r="V55" s="452"/>
      <c r="W55" s="452"/>
      <c r="X55" s="452"/>
      <c r="Y55" s="410"/>
      <c r="Z55" s="452"/>
      <c r="AA55" s="452"/>
      <c r="AB55" s="452"/>
      <c r="AC55" s="410"/>
      <c r="AD55" s="452"/>
      <c r="AE55" s="452"/>
      <c r="AF55" s="452"/>
      <c r="AG55" s="483"/>
      <c r="AH55" s="321"/>
      <c r="AI55" s="321"/>
      <c r="AJ55" s="321"/>
      <c r="AK55" s="427"/>
      <c r="AL55" s="441"/>
      <c r="AM55" s="441"/>
      <c r="AN55" s="441"/>
      <c r="AO55" s="441"/>
      <c r="AP55" s="441"/>
      <c r="AQ55" s="427"/>
      <c r="AR55" s="415"/>
      <c r="AS55" s="321"/>
      <c r="AT55" s="321"/>
      <c r="AU55" s="321"/>
      <c r="AV55" s="564"/>
      <c r="AW55" s="483"/>
      <c r="AX55" s="321"/>
      <c r="AY55" s="321"/>
      <c r="AZ55" s="321"/>
      <c r="BA55" s="441"/>
      <c r="BB55" s="427"/>
      <c r="BC55" s="427"/>
      <c r="BD55" s="427"/>
      <c r="BE55" s="427"/>
      <c r="BF55" s="427"/>
      <c r="BG55" s="423"/>
      <c r="BH55" s="415"/>
      <c r="BI55" s="321"/>
      <c r="BJ55" s="321"/>
      <c r="BK55" s="321"/>
      <c r="BL55" s="321"/>
      <c r="BM55" s="483"/>
      <c r="BN55" s="321"/>
      <c r="BO55" s="321"/>
      <c r="BP55" s="291"/>
      <c r="BQ55" s="321"/>
      <c r="BR55" s="321"/>
      <c r="BS55" s="321"/>
      <c r="BT55" s="321"/>
      <c r="BU55" s="206"/>
      <c r="BV55" s="321"/>
      <c r="BW55" s="321"/>
      <c r="BX55" s="201"/>
      <c r="BY55" s="321"/>
      <c r="BZ55" s="193"/>
      <c r="CA55" s="201"/>
      <c r="CB55" s="564"/>
      <c r="CC55" s="304"/>
      <c r="CD55" s="304"/>
      <c r="CE55" s="449"/>
      <c r="CF55" s="304"/>
      <c r="CG55" s="304"/>
      <c r="CH55" s="304"/>
      <c r="CI55" s="305"/>
      <c r="CJ55" s="304"/>
      <c r="CK55" s="305"/>
      <c r="CL55" s="449"/>
      <c r="CM55" s="304"/>
      <c r="CN55" s="304"/>
      <c r="CO55" s="304"/>
      <c r="CP55" s="449"/>
      <c r="CQ55" s="304"/>
      <c r="CR55" s="304"/>
      <c r="CS55" s="483"/>
      <c r="CT55" s="321"/>
      <c r="CU55" s="321"/>
      <c r="CV55" s="321"/>
      <c r="CW55" s="307"/>
      <c r="CX55" s="307"/>
      <c r="CY55" s="307"/>
      <c r="CZ55" s="307"/>
      <c r="DA55" s="307"/>
      <c r="DB55" s="307"/>
      <c r="DC55" s="189"/>
      <c r="DD55" s="301"/>
      <c r="DE55" s="321"/>
      <c r="DF55" s="321"/>
      <c r="DG55" s="321"/>
      <c r="DH55" s="205"/>
      <c r="DI55" s="483"/>
      <c r="DJ55" s="321">
        <v>10</v>
      </c>
      <c r="DK55" s="429"/>
      <c r="DL55" s="443"/>
      <c r="DM55" s="459"/>
      <c r="DN55" s="449"/>
      <c r="DO55" s="456"/>
      <c r="DP55" s="456"/>
      <c r="DQ55" s="436"/>
      <c r="DR55" s="462"/>
      <c r="DS55" s="433"/>
      <c r="DT55" s="449"/>
      <c r="DU55" s="449"/>
      <c r="DV55" s="429"/>
      <c r="DW55" s="440"/>
      <c r="DX55" s="564"/>
      <c r="DY55" s="321">
        <v>10</v>
      </c>
      <c r="DZ55" s="429"/>
      <c r="EA55" s="429"/>
      <c r="EB55" s="443"/>
      <c r="EC55" s="449"/>
      <c r="ED55" s="449"/>
      <c r="EE55" s="462"/>
      <c r="EF55" s="410"/>
      <c r="EG55" s="462"/>
      <c r="EH55" s="449"/>
      <c r="EI55" s="436"/>
      <c r="EJ55" s="433"/>
      <c r="EK55" s="429"/>
      <c r="EL55" s="321"/>
      <c r="EM55" s="440"/>
      <c r="EN55" s="321">
        <v>10</v>
      </c>
      <c r="EO55" s="321"/>
      <c r="EP55" s="321">
        <v>10</v>
      </c>
      <c r="EQ55" s="409"/>
      <c r="ER55" s="429"/>
      <c r="ES55" s="443"/>
      <c r="ET55" s="436"/>
      <c r="EU55" s="449"/>
      <c r="EV55" s="443"/>
      <c r="EW55" s="456"/>
      <c r="EX55" s="449"/>
      <c r="EY55" s="429"/>
      <c r="EZ55" s="449"/>
      <c r="FA55" s="409"/>
      <c r="FB55" s="321">
        <v>10</v>
      </c>
      <c r="FC55" s="321">
        <v>10</v>
      </c>
      <c r="FD55" s="426"/>
      <c r="FE55" s="483"/>
      <c r="FF55" s="321"/>
      <c r="FG55" s="321"/>
      <c r="FH55" s="321"/>
      <c r="FI55" s="422"/>
      <c r="FJ55" s="420"/>
      <c r="FK55" s="409"/>
      <c r="FL55" s="417"/>
      <c r="FM55" s="449"/>
      <c r="FN55" s="429"/>
      <c r="FO55" s="417"/>
      <c r="FP55" s="321">
        <v>9</v>
      </c>
      <c r="FQ55" s="321"/>
      <c r="FR55" s="321"/>
      <c r="FS55" s="321"/>
      <c r="FT55" s="564"/>
      <c r="FU55" s="483"/>
      <c r="FV55" s="321"/>
      <c r="FW55" s="321"/>
      <c r="FX55" s="321"/>
      <c r="FY55" s="321"/>
      <c r="FZ55" s="321"/>
      <c r="GA55" s="321"/>
      <c r="GB55" s="321"/>
      <c r="GC55" s="321"/>
      <c r="GD55" s="321"/>
      <c r="GE55" s="321"/>
      <c r="GF55" s="321"/>
      <c r="GG55" s="321"/>
      <c r="GH55" s="321"/>
      <c r="GI55" s="321"/>
      <c r="GJ55" s="564"/>
      <c r="GK55" s="483"/>
      <c r="GL55" s="321"/>
      <c r="GM55" s="321"/>
      <c r="GN55" s="321"/>
      <c r="GO55" s="321"/>
      <c r="GP55" s="321"/>
      <c r="GQ55" s="321"/>
      <c r="GR55" s="321"/>
      <c r="GS55" s="321"/>
      <c r="GT55" s="321"/>
      <c r="GU55" s="321"/>
      <c r="GV55" s="321"/>
      <c r="GW55" s="321"/>
      <c r="GX55" s="321"/>
      <c r="GY55" s="321"/>
      <c r="GZ55" s="564"/>
      <c r="HA55" s="1308"/>
      <c r="HB55" s="321"/>
      <c r="HC55" s="321"/>
      <c r="HD55" s="321"/>
      <c r="HE55" s="321"/>
      <c r="HF55" s="321"/>
      <c r="HG55" s="321"/>
      <c r="HH55" s="321"/>
      <c r="HI55" s="321"/>
      <c r="HJ55" s="321"/>
      <c r="HK55" s="321"/>
      <c r="HL55" s="321"/>
      <c r="HM55" s="321"/>
      <c r="HN55" s="321"/>
      <c r="HO55" s="321"/>
      <c r="HP55" s="1310"/>
      <c r="HQ55" s="1308"/>
      <c r="HR55" s="321"/>
      <c r="HS55" s="321"/>
      <c r="HT55" s="321"/>
      <c r="HU55" s="321"/>
      <c r="HV55" s="321"/>
      <c r="HW55" s="321"/>
      <c r="HX55" s="321"/>
      <c r="HY55" s="321"/>
      <c r="HZ55" s="321"/>
      <c r="IA55" s="321"/>
      <c r="IB55" s="321"/>
      <c r="IC55" s="321"/>
      <c r="ID55" s="321"/>
      <c r="IE55" s="321"/>
      <c r="IF55" s="1310"/>
      <c r="IG55" s="1308"/>
      <c r="IH55" s="321"/>
      <c r="II55" s="321"/>
      <c r="IJ55" s="321"/>
      <c r="IK55" s="321"/>
      <c r="IL55" s="321"/>
      <c r="IM55" s="321"/>
      <c r="IN55" s="321"/>
      <c r="IO55" s="321"/>
      <c r="IP55" s="321"/>
      <c r="IQ55" s="321"/>
      <c r="IR55" s="321"/>
      <c r="IS55" s="321"/>
      <c r="IT55" s="321"/>
      <c r="IU55" s="321"/>
      <c r="IV55" s="1310"/>
    </row>
    <row r="56" spans="1:256" s="328" customFormat="1" ht="8.25" customHeight="1">
      <c r="A56" s="483"/>
      <c r="B56" s="321"/>
      <c r="C56" s="321"/>
      <c r="D56" s="321"/>
      <c r="E56" s="321"/>
      <c r="F56" s="409"/>
      <c r="G56" s="420"/>
      <c r="H56" s="409"/>
      <c r="I56" s="420"/>
      <c r="J56" s="321"/>
      <c r="K56" s="321"/>
      <c r="L56" s="321"/>
      <c r="M56" s="321"/>
      <c r="N56" s="321"/>
      <c r="O56" s="321"/>
      <c r="P56" s="564"/>
      <c r="Q56" s="410"/>
      <c r="R56" s="410"/>
      <c r="S56" s="410"/>
      <c r="T56" s="410"/>
      <c r="U56" s="410"/>
      <c r="V56" s="410"/>
      <c r="W56" s="410"/>
      <c r="X56" s="410"/>
      <c r="Y56" s="410"/>
      <c r="Z56" s="410"/>
      <c r="AA56" s="410"/>
      <c r="AB56" s="410"/>
      <c r="AC56" s="410"/>
      <c r="AD56" s="410"/>
      <c r="AE56" s="410"/>
      <c r="AF56" s="410"/>
      <c r="AG56" s="483"/>
      <c r="AH56" s="321"/>
      <c r="AI56" s="321"/>
      <c r="AJ56" s="321"/>
      <c r="AK56" s="321"/>
      <c r="AL56" s="423"/>
      <c r="AM56" s="427"/>
      <c r="AN56" s="427"/>
      <c r="AO56" s="427"/>
      <c r="AP56" s="418"/>
      <c r="AQ56" s="415"/>
      <c r="AR56" s="321"/>
      <c r="AS56" s="321"/>
      <c r="AT56" s="321"/>
      <c r="AU56" s="321"/>
      <c r="AV56" s="564"/>
      <c r="AW56" s="483"/>
      <c r="AX56" s="321"/>
      <c r="AY56" s="321"/>
      <c r="AZ56" s="321"/>
      <c r="BA56" s="321"/>
      <c r="BB56" s="423"/>
      <c r="BC56" s="418"/>
      <c r="BD56" s="418"/>
      <c r="BE56" s="418"/>
      <c r="BF56" s="418"/>
      <c r="BG56" s="415"/>
      <c r="BH56" s="321"/>
      <c r="BI56" s="321"/>
      <c r="BJ56" s="321"/>
      <c r="BK56" s="321"/>
      <c r="BL56" s="321"/>
      <c r="BM56" s="483"/>
      <c r="BN56" s="321"/>
      <c r="BO56" s="321"/>
      <c r="BP56" s="201"/>
      <c r="BQ56" s="321"/>
      <c r="BR56" s="321"/>
      <c r="BS56" s="161"/>
      <c r="BT56" s="321"/>
      <c r="BU56" s="193"/>
      <c r="BV56" s="321"/>
      <c r="BW56" s="199"/>
      <c r="BX56" s="291"/>
      <c r="BY56" s="321"/>
      <c r="BZ56" s="201"/>
      <c r="CA56" s="193"/>
      <c r="CB56" s="564"/>
      <c r="CC56" s="436"/>
      <c r="CD56" s="305"/>
      <c r="CE56" s="449"/>
      <c r="CF56" s="305"/>
      <c r="CG56" s="305"/>
      <c r="CH56" s="305"/>
      <c r="CI56" s="449"/>
      <c r="CJ56" s="305"/>
      <c r="CK56" s="449"/>
      <c r="CL56" s="449"/>
      <c r="CM56" s="305"/>
      <c r="CN56" s="305"/>
      <c r="CO56" s="305"/>
      <c r="CP56" s="449"/>
      <c r="CQ56" s="305"/>
      <c r="CR56" s="436"/>
      <c r="CS56" s="483"/>
      <c r="CT56" s="321"/>
      <c r="CU56" s="321"/>
      <c r="CV56" s="321"/>
      <c r="CW56" s="321"/>
      <c r="CX56" s="307"/>
      <c r="CY56" s="307"/>
      <c r="CZ56" s="189"/>
      <c r="DA56" s="189"/>
      <c r="DB56" s="189"/>
      <c r="DC56" s="189"/>
      <c r="DD56" s="321"/>
      <c r="DE56" s="321"/>
      <c r="DF56" s="321"/>
      <c r="DG56" s="321"/>
      <c r="DH56" s="564"/>
      <c r="DI56" s="483"/>
      <c r="DJ56" s="321">
        <v>10</v>
      </c>
      <c r="DK56" s="436"/>
      <c r="DL56" s="440"/>
      <c r="DM56" s="443"/>
      <c r="DN56" s="429"/>
      <c r="DO56" s="443"/>
      <c r="DP56" s="443"/>
      <c r="DQ56" s="449"/>
      <c r="DR56" s="443"/>
      <c r="DS56" s="462"/>
      <c r="DT56" s="456"/>
      <c r="DU56" s="456"/>
      <c r="DV56" s="443"/>
      <c r="DW56" s="321">
        <v>10</v>
      </c>
      <c r="DX56" s="564"/>
      <c r="DY56" s="321">
        <v>10</v>
      </c>
      <c r="DZ56" s="443"/>
      <c r="EA56" s="321"/>
      <c r="EB56" s="440"/>
      <c r="EC56" s="443"/>
      <c r="ED56" s="462"/>
      <c r="EE56" s="410"/>
      <c r="EF56" s="462"/>
      <c r="EG56" s="410"/>
      <c r="EH56" s="462"/>
      <c r="EI56" s="449"/>
      <c r="EJ56" s="462"/>
      <c r="EK56" s="443"/>
      <c r="EL56" s="436">
        <v>9</v>
      </c>
      <c r="EM56" s="321">
        <v>10</v>
      </c>
      <c r="EN56" s="564"/>
      <c r="EO56" s="321"/>
      <c r="EP56" s="440"/>
      <c r="EQ56" s="436"/>
      <c r="ER56" s="436"/>
      <c r="ES56" s="429"/>
      <c r="ET56" s="443"/>
      <c r="EU56" s="443"/>
      <c r="EV56" s="456"/>
      <c r="EW56" s="443"/>
      <c r="EX56" s="429"/>
      <c r="EY56" s="449"/>
      <c r="EZ56" s="429"/>
      <c r="FA56" s="443"/>
      <c r="FB56" s="321">
        <v>10</v>
      </c>
      <c r="FC56" s="321"/>
      <c r="FD56" s="564"/>
      <c r="FE56" s="483"/>
      <c r="FF56" s="321"/>
      <c r="FG56" s="321"/>
      <c r="FH56" s="321"/>
      <c r="FI56" s="321"/>
      <c r="FJ56" s="420"/>
      <c r="FK56" s="409"/>
      <c r="FL56" s="436"/>
      <c r="FM56" s="443"/>
      <c r="FN56" s="409"/>
      <c r="FO56" s="409"/>
      <c r="FP56" s="420"/>
      <c r="FQ56" s="321"/>
      <c r="FR56" s="321"/>
      <c r="FS56" s="321"/>
      <c r="FT56" s="564"/>
      <c r="FU56" s="420"/>
      <c r="FV56" s="321"/>
      <c r="FW56" s="321"/>
      <c r="FX56" s="321"/>
      <c r="FY56" s="321"/>
      <c r="FZ56" s="321"/>
      <c r="GA56" s="321"/>
      <c r="GB56" s="426">
        <v>8</v>
      </c>
      <c r="GC56" s="321"/>
      <c r="GD56" s="321"/>
      <c r="GE56" s="321"/>
      <c r="GF56" s="321"/>
      <c r="GG56" s="321"/>
      <c r="GH56" s="321"/>
      <c r="GI56" s="321"/>
      <c r="GJ56" s="564"/>
      <c r="GK56" s="483"/>
      <c r="GL56" s="321"/>
      <c r="GM56" s="321"/>
      <c r="GN56" s="321"/>
      <c r="GO56" s="321"/>
      <c r="GP56" s="321"/>
      <c r="GQ56" s="321"/>
      <c r="GR56" s="321"/>
      <c r="GS56" s="321"/>
      <c r="GT56" s="321"/>
      <c r="GU56" s="321"/>
      <c r="GV56" s="321"/>
      <c r="GW56" s="321"/>
      <c r="GX56" s="321"/>
      <c r="GY56" s="321"/>
      <c r="GZ56" s="564"/>
      <c r="HA56" s="1308"/>
      <c r="HB56" s="321"/>
      <c r="HC56" s="321"/>
      <c r="HD56" s="321"/>
      <c r="HE56" s="321"/>
      <c r="HF56" s="321"/>
      <c r="HG56" s="321"/>
      <c r="HH56" s="321"/>
      <c r="HI56" s="321"/>
      <c r="HJ56" s="321"/>
      <c r="HK56" s="321"/>
      <c r="HL56" s="321"/>
      <c r="HM56" s="321"/>
      <c r="HN56" s="321"/>
      <c r="HO56" s="321"/>
      <c r="HP56" s="1310"/>
      <c r="HQ56" s="1308"/>
      <c r="HR56" s="321"/>
      <c r="HS56" s="321"/>
      <c r="HT56" s="321"/>
      <c r="HU56" s="321"/>
      <c r="HV56" s="321"/>
      <c r="HW56" s="321"/>
      <c r="HX56" s="321"/>
      <c r="HY56" s="321"/>
      <c r="HZ56" s="321"/>
      <c r="IA56" s="321"/>
      <c r="IB56" s="321"/>
      <c r="IC56" s="321"/>
      <c r="ID56" s="321"/>
      <c r="IE56" s="321"/>
      <c r="IF56" s="1310"/>
      <c r="IG56" s="1308"/>
      <c r="IH56" s="321"/>
      <c r="II56" s="321"/>
      <c r="IJ56" s="321"/>
      <c r="IK56" s="321"/>
      <c r="IL56" s="321"/>
      <c r="IM56" s="321"/>
      <c r="IN56" s="321"/>
      <c r="IO56" s="321"/>
      <c r="IP56" s="321"/>
      <c r="IQ56" s="321"/>
      <c r="IR56" s="321"/>
      <c r="IS56" s="321"/>
      <c r="IT56" s="321"/>
      <c r="IU56" s="321"/>
      <c r="IV56" s="1310"/>
    </row>
    <row r="57" spans="1:256" s="328" customFormat="1" ht="8.25" customHeight="1">
      <c r="A57" s="483"/>
      <c r="B57" s="321"/>
      <c r="C57" s="321"/>
      <c r="D57" s="321"/>
      <c r="E57" s="321"/>
      <c r="F57" s="429"/>
      <c r="G57" s="420"/>
      <c r="H57" s="420"/>
      <c r="I57" s="420"/>
      <c r="J57" s="321"/>
      <c r="K57" s="321"/>
      <c r="L57" s="321"/>
      <c r="M57" s="321"/>
      <c r="N57" s="321"/>
      <c r="O57" s="321"/>
      <c r="P57" s="564"/>
      <c r="Q57" s="411"/>
      <c r="R57" s="411"/>
      <c r="S57" s="411"/>
      <c r="T57" s="410"/>
      <c r="U57" s="411"/>
      <c r="V57" s="439"/>
      <c r="W57" s="411"/>
      <c r="X57" s="452"/>
      <c r="Y57" s="410"/>
      <c r="Z57" s="411"/>
      <c r="AA57" s="411"/>
      <c r="AB57" s="411"/>
      <c r="AC57" s="410"/>
      <c r="AD57" s="411"/>
      <c r="AE57" s="411"/>
      <c r="AF57" s="411"/>
      <c r="AG57" s="483"/>
      <c r="AH57" s="321"/>
      <c r="AI57" s="321"/>
      <c r="AJ57" s="321"/>
      <c r="AK57" s="321"/>
      <c r="AL57" s="427"/>
      <c r="AM57" s="441"/>
      <c r="AN57" s="443"/>
      <c r="AO57" s="456"/>
      <c r="AP57" s="427"/>
      <c r="AQ57" s="423"/>
      <c r="AR57" s="321"/>
      <c r="AS57" s="321"/>
      <c r="AT57" s="321"/>
      <c r="AU57" s="321"/>
      <c r="AV57" s="564"/>
      <c r="AW57" s="483"/>
      <c r="AX57" s="321"/>
      <c r="AY57" s="321"/>
      <c r="AZ57" s="321"/>
      <c r="BA57" s="321"/>
      <c r="BB57" s="427"/>
      <c r="BC57" s="423"/>
      <c r="BD57" s="436"/>
      <c r="BE57" s="443"/>
      <c r="BF57" s="427"/>
      <c r="BG57" s="423"/>
      <c r="BH57" s="321"/>
      <c r="BI57" s="321"/>
      <c r="BJ57" s="321"/>
      <c r="BK57" s="321"/>
      <c r="BL57" s="321"/>
      <c r="BM57" s="483"/>
      <c r="BN57" s="321"/>
      <c r="BO57" s="321"/>
      <c r="BP57" s="321"/>
      <c r="BQ57" s="321"/>
      <c r="BR57" s="321"/>
      <c r="BS57" s="161"/>
      <c r="BT57" s="321"/>
      <c r="BU57" s="321"/>
      <c r="BV57" s="321"/>
      <c r="BW57" s="201"/>
      <c r="BX57" s="201"/>
      <c r="BY57" s="321"/>
      <c r="BZ57" s="291"/>
      <c r="CA57" s="321"/>
      <c r="CB57" s="564"/>
      <c r="CC57" s="299"/>
      <c r="CD57" s="436"/>
      <c r="CE57" s="305"/>
      <c r="CF57" s="302"/>
      <c r="CG57" s="299"/>
      <c r="CH57" s="436"/>
      <c r="CI57" s="305"/>
      <c r="CJ57" s="302"/>
      <c r="CK57" s="299"/>
      <c r="CL57" s="436"/>
      <c r="CM57" s="305"/>
      <c r="CN57" s="302"/>
      <c r="CO57" s="299"/>
      <c r="CP57" s="436"/>
      <c r="CQ57" s="305"/>
      <c r="CR57" s="302"/>
      <c r="CS57" s="483"/>
      <c r="CT57" s="321"/>
      <c r="CU57" s="321"/>
      <c r="CV57" s="307"/>
      <c r="CW57" s="307"/>
      <c r="CX57" s="307"/>
      <c r="CY57" s="307"/>
      <c r="CZ57" s="307"/>
      <c r="DA57" s="307"/>
      <c r="DB57" s="307"/>
      <c r="DC57" s="307"/>
      <c r="DD57" s="307"/>
      <c r="DE57" s="189"/>
      <c r="DF57" s="321"/>
      <c r="DG57" s="321"/>
      <c r="DH57" s="564"/>
      <c r="DI57" s="483"/>
      <c r="DJ57" s="429"/>
      <c r="DK57" s="436"/>
      <c r="DL57" s="459"/>
      <c r="DM57" s="449"/>
      <c r="DN57" s="436"/>
      <c r="DO57" s="440"/>
      <c r="DP57" s="443"/>
      <c r="DQ57" s="462"/>
      <c r="DR57" s="462"/>
      <c r="DS57" s="446"/>
      <c r="DT57" s="462"/>
      <c r="DU57" s="429"/>
      <c r="DV57" s="321">
        <v>10</v>
      </c>
      <c r="DW57" s="321"/>
      <c r="DX57" s="564"/>
      <c r="DY57" s="429">
        <v>8</v>
      </c>
      <c r="DZ57" s="436"/>
      <c r="EA57" s="436"/>
      <c r="EB57" s="459"/>
      <c r="EC57" s="449"/>
      <c r="ED57" s="456"/>
      <c r="EE57" s="462"/>
      <c r="EF57" s="410"/>
      <c r="EG57" s="462"/>
      <c r="EH57" s="449"/>
      <c r="EI57" s="462"/>
      <c r="EJ57" s="446"/>
      <c r="EK57" s="436"/>
      <c r="EL57" s="443"/>
      <c r="EM57" s="321">
        <v>10</v>
      </c>
      <c r="EN57" s="564"/>
      <c r="EO57" s="321"/>
      <c r="EP57" s="321">
        <v>10</v>
      </c>
      <c r="EQ57" s="409"/>
      <c r="ER57" s="436"/>
      <c r="ES57" s="443"/>
      <c r="ET57" s="449"/>
      <c r="EU57" s="456"/>
      <c r="EV57" s="462"/>
      <c r="EW57" s="456"/>
      <c r="EX57" s="449"/>
      <c r="EY57" s="462"/>
      <c r="EZ57" s="449"/>
      <c r="FA57" s="436"/>
      <c r="FB57" s="409"/>
      <c r="FC57" s="321"/>
      <c r="FD57" s="564"/>
      <c r="FE57" s="483"/>
      <c r="FF57" s="321"/>
      <c r="FG57" s="321"/>
      <c r="FH57" s="321"/>
      <c r="FI57" s="422"/>
      <c r="FJ57" s="422"/>
      <c r="FK57" s="422"/>
      <c r="FL57" s="417"/>
      <c r="FM57" s="456"/>
      <c r="FN57" s="436"/>
      <c r="FO57" s="417"/>
      <c r="FP57" s="409"/>
      <c r="FQ57" s="321"/>
      <c r="FR57" s="321"/>
      <c r="FS57" s="321"/>
      <c r="FT57" s="564"/>
      <c r="FU57" s="483"/>
      <c r="FV57" s="321"/>
      <c r="FW57" s="321"/>
      <c r="FX57" s="321"/>
      <c r="FY57" s="321"/>
      <c r="FZ57" s="321"/>
      <c r="GA57" s="321"/>
      <c r="GB57" s="321"/>
      <c r="GC57" s="321"/>
      <c r="GD57" s="321"/>
      <c r="GE57" s="321"/>
      <c r="GF57" s="321"/>
      <c r="GG57" s="321"/>
      <c r="GH57" s="321"/>
      <c r="GI57" s="321"/>
      <c r="GJ57" s="564"/>
      <c r="GK57" s="483"/>
      <c r="GL57" s="321"/>
      <c r="GM57" s="321"/>
      <c r="GN57" s="321"/>
      <c r="GO57" s="321"/>
      <c r="GP57" s="321"/>
      <c r="GQ57" s="321"/>
      <c r="GR57" s="321"/>
      <c r="GS57" s="321"/>
      <c r="GT57" s="321"/>
      <c r="GU57" s="321"/>
      <c r="GV57" s="321"/>
      <c r="GW57" s="321"/>
      <c r="GX57" s="321"/>
      <c r="GY57" s="321"/>
      <c r="GZ57" s="564"/>
      <c r="HA57" s="483"/>
      <c r="HB57" s="321"/>
      <c r="HC57" s="321"/>
      <c r="HD57" s="321"/>
      <c r="HE57" s="321"/>
      <c r="HF57" s="321"/>
      <c r="HG57" s="321"/>
      <c r="HH57" s="321"/>
      <c r="HI57" s="321"/>
      <c r="HJ57" s="321"/>
      <c r="HK57" s="321"/>
      <c r="HL57" s="321"/>
      <c r="HM57" s="321"/>
      <c r="HN57" s="321"/>
      <c r="HO57" s="321"/>
      <c r="HP57" s="564"/>
      <c r="HQ57" s="483"/>
      <c r="HR57" s="321"/>
      <c r="HS57" s="321"/>
      <c r="HT57" s="321"/>
      <c r="HU57" s="321"/>
      <c r="HV57" s="321"/>
      <c r="HW57" s="321"/>
      <c r="HX57" s="321"/>
      <c r="HY57" s="321"/>
      <c r="HZ57" s="321"/>
      <c r="IA57" s="321"/>
      <c r="IB57" s="321"/>
      <c r="IC57" s="321"/>
      <c r="ID57" s="321"/>
      <c r="IE57" s="321"/>
      <c r="IF57" s="564"/>
      <c r="IG57" s="483"/>
      <c r="IH57" s="321"/>
      <c r="II57" s="321"/>
      <c r="IJ57" s="321"/>
      <c r="IK57" s="321"/>
      <c r="IL57" s="321"/>
      <c r="IM57" s="321"/>
      <c r="IN57" s="321"/>
      <c r="IO57" s="321"/>
      <c r="IP57" s="321"/>
      <c r="IQ57" s="321"/>
      <c r="IR57" s="321"/>
      <c r="IS57" s="321"/>
      <c r="IT57" s="321"/>
      <c r="IU57" s="321"/>
      <c r="IV57" s="564"/>
    </row>
    <row r="58" spans="1:256" s="328" customFormat="1" ht="8.25" customHeight="1">
      <c r="A58" s="483"/>
      <c r="B58" s="321"/>
      <c r="C58" s="321"/>
      <c r="D58" s="321"/>
      <c r="E58" s="321"/>
      <c r="F58" s="429"/>
      <c r="G58" s="420"/>
      <c r="H58" s="420"/>
      <c r="I58" s="420"/>
      <c r="J58" s="321"/>
      <c r="K58" s="321"/>
      <c r="L58" s="321"/>
      <c r="M58" s="321"/>
      <c r="N58" s="321"/>
      <c r="O58" s="321"/>
      <c r="P58" s="564"/>
      <c r="Q58" s="452"/>
      <c r="R58" s="452"/>
      <c r="S58" s="452"/>
      <c r="T58" s="410"/>
      <c r="U58" s="452"/>
      <c r="V58" s="452"/>
      <c r="W58" s="452"/>
      <c r="X58" s="452"/>
      <c r="Y58" s="410"/>
      <c r="Z58" s="452"/>
      <c r="AA58" s="452"/>
      <c r="AB58" s="452"/>
      <c r="AC58" s="410"/>
      <c r="AD58" s="452"/>
      <c r="AE58" s="452"/>
      <c r="AF58" s="452"/>
      <c r="AG58" s="483"/>
      <c r="AH58" s="321"/>
      <c r="AI58" s="321"/>
      <c r="AJ58" s="321"/>
      <c r="AK58" s="321"/>
      <c r="AL58" s="456"/>
      <c r="AM58" s="456"/>
      <c r="AN58" s="456"/>
      <c r="AO58" s="456"/>
      <c r="AP58" s="456"/>
      <c r="AQ58" s="443"/>
      <c r="AR58" s="321"/>
      <c r="AS58" s="321"/>
      <c r="AT58" s="321"/>
      <c r="AU58" s="321"/>
      <c r="AV58" s="564"/>
      <c r="AW58" s="483"/>
      <c r="AX58" s="321"/>
      <c r="AY58" s="321"/>
      <c r="AZ58" s="321"/>
      <c r="BA58" s="321"/>
      <c r="BB58" s="456"/>
      <c r="BC58" s="443"/>
      <c r="BD58" s="456"/>
      <c r="BE58" s="462"/>
      <c r="BF58" s="443"/>
      <c r="BG58" s="409"/>
      <c r="BH58" s="321"/>
      <c r="BI58" s="321"/>
      <c r="BJ58" s="321"/>
      <c r="BK58" s="321"/>
      <c r="BL58" s="321"/>
      <c r="BM58" s="483"/>
      <c r="BN58" s="199"/>
      <c r="BO58" s="321"/>
      <c r="BP58" s="321"/>
      <c r="BQ58" s="321"/>
      <c r="BR58" s="321"/>
      <c r="BS58" s="193"/>
      <c r="BT58" s="321"/>
      <c r="BU58" s="321"/>
      <c r="BV58" s="321"/>
      <c r="BW58" s="291"/>
      <c r="BX58" s="321"/>
      <c r="BY58" s="321"/>
      <c r="BZ58" s="321"/>
      <c r="CA58" s="321"/>
      <c r="CB58" s="564"/>
      <c r="CC58" s="436"/>
      <c r="CD58" s="305"/>
      <c r="CE58" s="299"/>
      <c r="CF58" s="295"/>
      <c r="CG58" s="436"/>
      <c r="CH58" s="305"/>
      <c r="CI58" s="299"/>
      <c r="CJ58" s="295"/>
      <c r="CK58" s="436"/>
      <c r="CL58" s="305"/>
      <c r="CM58" s="299"/>
      <c r="CN58" s="295"/>
      <c r="CO58" s="436"/>
      <c r="CP58" s="305"/>
      <c r="CQ58" s="299"/>
      <c r="CR58" s="295"/>
      <c r="CS58" s="483"/>
      <c r="CT58" s="321"/>
      <c r="CU58" s="307"/>
      <c r="CV58" s="307"/>
      <c r="CW58" s="307"/>
      <c r="CX58" s="307"/>
      <c r="CY58" s="307"/>
      <c r="CZ58" s="307"/>
      <c r="DA58" s="307"/>
      <c r="DB58" s="307"/>
      <c r="DC58" s="307"/>
      <c r="DD58" s="307"/>
      <c r="DE58" s="307"/>
      <c r="DF58" s="189"/>
      <c r="DG58" s="321"/>
      <c r="DH58" s="564"/>
      <c r="DI58" s="483"/>
      <c r="DJ58" s="429"/>
      <c r="DK58" s="443"/>
      <c r="DL58" s="443"/>
      <c r="DM58" s="436"/>
      <c r="DN58" s="449"/>
      <c r="DO58" s="456"/>
      <c r="DP58" s="443"/>
      <c r="DQ58" s="426"/>
      <c r="DR58" s="433"/>
      <c r="DS58" s="436"/>
      <c r="DT58" s="420"/>
      <c r="DU58" s="436"/>
      <c r="DV58" s="321"/>
      <c r="DW58" s="321"/>
      <c r="DX58" s="564"/>
      <c r="DY58" s="429">
        <v>8</v>
      </c>
      <c r="DZ58" s="443"/>
      <c r="EA58" s="443"/>
      <c r="EB58" s="443"/>
      <c r="EC58" s="436"/>
      <c r="ED58" s="449"/>
      <c r="EE58" s="456"/>
      <c r="EF58" s="462"/>
      <c r="EG58" s="456"/>
      <c r="EH58" s="462"/>
      <c r="EI58" s="436"/>
      <c r="EJ58" s="462"/>
      <c r="EK58" s="429"/>
      <c r="EL58" s="449"/>
      <c r="EM58" s="443">
        <v>9</v>
      </c>
      <c r="EN58" s="321">
        <v>10</v>
      </c>
      <c r="EO58" s="321"/>
      <c r="EP58" s="321">
        <v>10</v>
      </c>
      <c r="EQ58" s="459"/>
      <c r="ER58" s="443"/>
      <c r="ES58" s="443"/>
      <c r="ET58" s="436"/>
      <c r="EU58" s="443"/>
      <c r="EV58" s="456"/>
      <c r="EW58" s="443"/>
      <c r="EX58" s="429"/>
      <c r="EY58" s="436"/>
      <c r="EZ58" s="429"/>
      <c r="FA58" s="429"/>
      <c r="FB58" s="321">
        <v>10</v>
      </c>
      <c r="FC58" s="321"/>
      <c r="FD58" s="564"/>
      <c r="FE58" s="483"/>
      <c r="FF58" s="321"/>
      <c r="FG58" s="321"/>
      <c r="FH58" s="321"/>
      <c r="FI58" s="321"/>
      <c r="FJ58" s="321">
        <v>9</v>
      </c>
      <c r="FK58" s="440"/>
      <c r="FL58" s="420"/>
      <c r="FM58" s="429"/>
      <c r="FN58" s="420"/>
      <c r="FO58" s="436"/>
      <c r="FP58" s="321">
        <v>9</v>
      </c>
      <c r="FQ58" s="321"/>
      <c r="FR58" s="321"/>
      <c r="FS58" s="321"/>
      <c r="FT58" s="564"/>
      <c r="FU58" s="483"/>
      <c r="FV58" s="321"/>
      <c r="FW58" s="321"/>
      <c r="FX58" s="321"/>
      <c r="FY58" s="321"/>
      <c r="FZ58" s="321"/>
      <c r="GA58" s="321"/>
      <c r="GB58" s="321"/>
      <c r="GC58" s="436">
        <v>9</v>
      </c>
      <c r="GD58" s="321"/>
      <c r="GE58" s="321"/>
      <c r="GF58" s="321"/>
      <c r="GG58" s="321"/>
      <c r="GH58" s="321"/>
      <c r="GI58" s="321"/>
      <c r="GJ58" s="564"/>
      <c r="GK58" s="483"/>
      <c r="GL58" s="321"/>
      <c r="GM58" s="321"/>
      <c r="GN58" s="321"/>
      <c r="GO58" s="321"/>
      <c r="GP58" s="321"/>
      <c r="GQ58" s="321"/>
      <c r="GR58" s="321"/>
      <c r="GS58" s="321"/>
      <c r="GT58" s="321"/>
      <c r="GU58" s="321"/>
      <c r="GV58" s="321"/>
      <c r="GW58" s="321"/>
      <c r="GX58" s="321"/>
      <c r="GY58" s="321"/>
      <c r="GZ58" s="564"/>
      <c r="HA58" s="483"/>
      <c r="HB58" s="321"/>
      <c r="HC58" s="321"/>
      <c r="HD58" s="321"/>
      <c r="HE58" s="321"/>
      <c r="HF58" s="321"/>
      <c r="HG58" s="321"/>
      <c r="HH58" s="321"/>
      <c r="HI58" s="321"/>
      <c r="HJ58" s="321"/>
      <c r="HK58" s="321"/>
      <c r="HL58" s="321"/>
      <c r="HM58" s="321"/>
      <c r="HN58" s="321"/>
      <c r="HO58" s="321"/>
      <c r="HP58" s="564"/>
      <c r="HQ58" s="483"/>
      <c r="HR58" s="321"/>
      <c r="HS58" s="321"/>
      <c r="HT58" s="321"/>
      <c r="HU58" s="321"/>
      <c r="HV58" s="321"/>
      <c r="HW58" s="321"/>
      <c r="HX58" s="321"/>
      <c r="HY58" s="321"/>
      <c r="HZ58" s="321"/>
      <c r="IA58" s="321"/>
      <c r="IB58" s="321"/>
      <c r="IC58" s="321"/>
      <c r="ID58" s="321"/>
      <c r="IE58" s="321"/>
      <c r="IF58" s="564"/>
      <c r="IG58" s="483"/>
      <c r="IH58" s="321"/>
      <c r="II58" s="321"/>
      <c r="IJ58" s="321"/>
      <c r="IK58" s="321"/>
      <c r="IL58" s="321"/>
      <c r="IM58" s="321"/>
      <c r="IN58" s="321"/>
      <c r="IO58" s="321"/>
      <c r="IP58" s="321"/>
      <c r="IQ58" s="321"/>
      <c r="IR58" s="321"/>
      <c r="IS58" s="321"/>
      <c r="IT58" s="321"/>
      <c r="IU58" s="321"/>
      <c r="IV58" s="564"/>
    </row>
    <row r="59" spans="1:256" s="328" customFormat="1" ht="8.25" customHeight="1">
      <c r="A59" s="483"/>
      <c r="B59" s="321"/>
      <c r="C59" s="321"/>
      <c r="D59" s="321"/>
      <c r="E59" s="321"/>
      <c r="F59" s="429"/>
      <c r="G59" s="409"/>
      <c r="H59" s="420"/>
      <c r="I59" s="420"/>
      <c r="J59" s="321"/>
      <c r="K59" s="321"/>
      <c r="L59" s="321"/>
      <c r="M59" s="321"/>
      <c r="N59" s="321"/>
      <c r="O59" s="321"/>
      <c r="P59" s="564"/>
      <c r="Q59" s="410"/>
      <c r="R59" s="410"/>
      <c r="S59" s="410"/>
      <c r="T59" s="410"/>
      <c r="U59" s="410"/>
      <c r="V59" s="410"/>
      <c r="W59" s="410"/>
      <c r="X59" s="410"/>
      <c r="Y59" s="410"/>
      <c r="Z59" s="410"/>
      <c r="AA59" s="410"/>
      <c r="AB59" s="410"/>
      <c r="AC59" s="410"/>
      <c r="AD59" s="410"/>
      <c r="AE59" s="410"/>
      <c r="AF59" s="410"/>
      <c r="AG59" s="483"/>
      <c r="AH59" s="321"/>
      <c r="AI59" s="321"/>
      <c r="AJ59" s="321"/>
      <c r="AK59" s="427"/>
      <c r="AL59" s="462"/>
      <c r="AM59" s="443"/>
      <c r="AN59" s="462"/>
      <c r="AO59" s="462"/>
      <c r="AP59" s="436"/>
      <c r="AQ59" s="456"/>
      <c r="AR59" s="415"/>
      <c r="AS59" s="321"/>
      <c r="AT59" s="321"/>
      <c r="AU59" s="321"/>
      <c r="AV59" s="564"/>
      <c r="AW59" s="483"/>
      <c r="AX59" s="321"/>
      <c r="AY59" s="321"/>
      <c r="AZ59" s="321"/>
      <c r="BA59" s="427"/>
      <c r="BB59" s="443"/>
      <c r="BC59" s="456"/>
      <c r="BD59" s="436"/>
      <c r="BE59" s="456"/>
      <c r="BF59" s="409"/>
      <c r="BG59" s="436"/>
      <c r="BH59" s="415"/>
      <c r="BI59" s="321"/>
      <c r="BJ59" s="321"/>
      <c r="BK59" s="321"/>
      <c r="BL59" s="321"/>
      <c r="BM59" s="483"/>
      <c r="BN59" s="291"/>
      <c r="BO59" s="199"/>
      <c r="BP59" s="321"/>
      <c r="BQ59" s="321"/>
      <c r="BR59" s="321"/>
      <c r="BS59" s="161"/>
      <c r="BT59" s="321"/>
      <c r="BU59" s="321"/>
      <c r="BV59" s="321"/>
      <c r="BW59" s="201"/>
      <c r="BX59" s="321"/>
      <c r="BY59" s="321"/>
      <c r="BZ59" s="321"/>
      <c r="CA59" s="321"/>
      <c r="CB59" s="564"/>
      <c r="CC59" s="305"/>
      <c r="CD59" s="299"/>
      <c r="CE59" s="295"/>
      <c r="CF59" s="436"/>
      <c r="CG59" s="305"/>
      <c r="CH59" s="299"/>
      <c r="CI59" s="295"/>
      <c r="CJ59" s="436"/>
      <c r="CK59" s="305"/>
      <c r="CL59" s="299"/>
      <c r="CM59" s="295"/>
      <c r="CN59" s="436"/>
      <c r="CO59" s="305"/>
      <c r="CP59" s="299"/>
      <c r="CQ59" s="295"/>
      <c r="CR59" s="1349"/>
      <c r="CS59" s="483"/>
      <c r="CT59" s="307"/>
      <c r="CU59" s="307"/>
      <c r="CV59" s="307"/>
      <c r="CW59" s="307"/>
      <c r="CX59" s="307"/>
      <c r="CY59" s="307"/>
      <c r="CZ59" s="189"/>
      <c r="DA59" s="301"/>
      <c r="DB59" s="307"/>
      <c r="DC59" s="307"/>
      <c r="DD59" s="307"/>
      <c r="DE59" s="307"/>
      <c r="DF59" s="307"/>
      <c r="DG59" s="189"/>
      <c r="DH59" s="564"/>
      <c r="DI59" s="483"/>
      <c r="DJ59" s="321">
        <v>10</v>
      </c>
      <c r="DK59" s="429"/>
      <c r="DL59" s="449"/>
      <c r="DM59" s="436"/>
      <c r="DN59" s="449"/>
      <c r="DO59" s="449"/>
      <c r="DP59" s="449"/>
      <c r="DQ59" s="443"/>
      <c r="DR59" s="456"/>
      <c r="DS59" s="443"/>
      <c r="DT59" s="443"/>
      <c r="DU59" s="443"/>
      <c r="DV59" s="429"/>
      <c r="DW59" s="321"/>
      <c r="DX59" s="564"/>
      <c r="DY59" s="321">
        <v>10</v>
      </c>
      <c r="DZ59" s="449">
        <v>10</v>
      </c>
      <c r="EA59" s="449"/>
      <c r="EB59" s="449"/>
      <c r="EC59" s="462"/>
      <c r="ED59" s="436"/>
      <c r="EE59" s="449"/>
      <c r="EF59" s="436"/>
      <c r="EG59" s="449"/>
      <c r="EH59" s="456"/>
      <c r="EI59" s="433"/>
      <c r="EJ59" s="443"/>
      <c r="EK59" s="462"/>
      <c r="EL59" s="436">
        <v>10</v>
      </c>
      <c r="EM59" s="429"/>
      <c r="EN59" s="436">
        <v>9</v>
      </c>
      <c r="EO59" s="321"/>
      <c r="EP59" s="321"/>
      <c r="EQ59" s="429"/>
      <c r="ER59" s="436"/>
      <c r="ES59" s="321">
        <v>10</v>
      </c>
      <c r="ET59" s="443"/>
      <c r="EU59" s="449"/>
      <c r="EV59" s="429"/>
      <c r="EW59" s="449"/>
      <c r="EX59" s="456"/>
      <c r="EY59" s="436"/>
      <c r="EZ59" s="443"/>
      <c r="FA59" s="321">
        <v>10</v>
      </c>
      <c r="FB59" s="446"/>
      <c r="FC59" s="321"/>
      <c r="FD59" s="564"/>
      <c r="FE59" s="483"/>
      <c r="FF59" s="321"/>
      <c r="FG59" s="321"/>
      <c r="FH59" s="321"/>
      <c r="FI59" s="321"/>
      <c r="FJ59" s="321"/>
      <c r="FK59" s="321">
        <v>9</v>
      </c>
      <c r="FL59" s="436"/>
      <c r="FM59" s="420"/>
      <c r="FN59" s="420"/>
      <c r="FO59" s="436"/>
      <c r="FP59" s="321"/>
      <c r="FQ59" s="321"/>
      <c r="FR59" s="321"/>
      <c r="FS59" s="321"/>
      <c r="FT59" s="564"/>
      <c r="FU59" s="483"/>
      <c r="FV59" s="321"/>
      <c r="FW59" s="321"/>
      <c r="FX59" s="321"/>
      <c r="FY59" s="321"/>
      <c r="FZ59" s="321"/>
      <c r="GA59" s="321"/>
      <c r="GB59" s="321"/>
      <c r="GC59" s="321"/>
      <c r="GD59" s="321"/>
      <c r="GE59" s="321"/>
      <c r="GF59" s="321"/>
      <c r="GG59" s="321"/>
      <c r="GH59" s="321"/>
      <c r="GI59" s="321"/>
      <c r="GJ59" s="564"/>
      <c r="GK59" s="483"/>
      <c r="GL59" s="321"/>
      <c r="GM59" s="321"/>
      <c r="GN59" s="321"/>
      <c r="GO59" s="321"/>
      <c r="GP59" s="321"/>
      <c r="GQ59" s="321"/>
      <c r="GR59" s="321"/>
      <c r="GS59" s="321"/>
      <c r="GT59" s="321"/>
      <c r="GU59" s="321"/>
      <c r="GV59" s="321"/>
      <c r="GW59" s="321"/>
      <c r="GX59" s="321"/>
      <c r="GY59" s="321"/>
      <c r="GZ59" s="564"/>
      <c r="HA59" s="483"/>
      <c r="HB59" s="321"/>
      <c r="HC59" s="321"/>
      <c r="HD59" s="321"/>
      <c r="HE59" s="321"/>
      <c r="HF59" s="446"/>
      <c r="HG59" s="433"/>
      <c r="HH59" s="433"/>
      <c r="HI59" s="426"/>
      <c r="HJ59" s="426"/>
      <c r="HK59" s="321"/>
      <c r="HL59" s="321"/>
      <c r="HM59" s="321"/>
      <c r="HN59" s="321"/>
      <c r="HO59" s="321"/>
      <c r="HP59" s="564"/>
      <c r="HQ59" s="483"/>
      <c r="HR59" s="321"/>
      <c r="HS59" s="321"/>
      <c r="HT59" s="321"/>
      <c r="HU59" s="321"/>
      <c r="HV59" s="446"/>
      <c r="HW59" s="433"/>
      <c r="HX59" s="433"/>
      <c r="HY59" s="426"/>
      <c r="HZ59" s="433"/>
      <c r="IA59" s="440"/>
      <c r="IB59" s="321"/>
      <c r="IC59" s="321"/>
      <c r="ID59" s="321"/>
      <c r="IE59" s="321"/>
      <c r="IF59" s="564"/>
      <c r="IG59" s="483"/>
      <c r="IH59" s="321"/>
      <c r="II59" s="321"/>
      <c r="IJ59" s="321"/>
      <c r="IK59" s="321"/>
      <c r="IL59" s="426"/>
      <c r="IM59" s="426"/>
      <c r="IN59" s="433"/>
      <c r="IO59" s="433"/>
      <c r="IP59" s="440"/>
      <c r="IQ59" s="426"/>
      <c r="IR59" s="321"/>
      <c r="IS59" s="321"/>
      <c r="IT59" s="321"/>
      <c r="IU59" s="321"/>
      <c r="IV59" s="564"/>
    </row>
    <row r="60" spans="1:256" s="328" customFormat="1" ht="8.25" customHeight="1">
      <c r="A60" s="483"/>
      <c r="B60" s="321"/>
      <c r="C60" s="321"/>
      <c r="D60" s="321"/>
      <c r="E60" s="321"/>
      <c r="F60" s="409"/>
      <c r="G60" s="409"/>
      <c r="H60" s="420"/>
      <c r="I60" s="409"/>
      <c r="J60" s="321"/>
      <c r="K60" s="321"/>
      <c r="L60" s="321"/>
      <c r="M60" s="321"/>
      <c r="N60" s="321"/>
      <c r="O60" s="321"/>
      <c r="P60" s="564"/>
      <c r="Q60" s="411"/>
      <c r="R60" s="439"/>
      <c r="S60" s="411"/>
      <c r="T60" s="410"/>
      <c r="U60" s="411"/>
      <c r="V60" s="411"/>
      <c r="W60" s="411"/>
      <c r="X60" s="452"/>
      <c r="Y60" s="410"/>
      <c r="Z60" s="439"/>
      <c r="AA60" s="411"/>
      <c r="AB60" s="411"/>
      <c r="AC60" s="410"/>
      <c r="AD60" s="411"/>
      <c r="AE60" s="439"/>
      <c r="AF60" s="411"/>
      <c r="AG60" s="483"/>
      <c r="AH60" s="321"/>
      <c r="AI60" s="321"/>
      <c r="AJ60" s="321"/>
      <c r="AK60" s="418"/>
      <c r="AL60" s="441"/>
      <c r="AM60" s="427"/>
      <c r="AN60" s="427"/>
      <c r="AO60" s="427"/>
      <c r="AP60" s="427"/>
      <c r="AQ60" s="418"/>
      <c r="AR60" s="415"/>
      <c r="AS60" s="321"/>
      <c r="AT60" s="321"/>
      <c r="AU60" s="321"/>
      <c r="AV60" s="564"/>
      <c r="AW60" s="483"/>
      <c r="AX60" s="321"/>
      <c r="AY60" s="321"/>
      <c r="AZ60" s="321"/>
      <c r="BA60" s="418"/>
      <c r="BB60" s="441"/>
      <c r="BC60" s="427"/>
      <c r="BD60" s="427"/>
      <c r="BE60" s="423"/>
      <c r="BF60" s="418"/>
      <c r="BG60" s="415"/>
      <c r="BH60" s="415"/>
      <c r="BI60" s="321"/>
      <c r="BJ60" s="321"/>
      <c r="BK60" s="321"/>
      <c r="BL60" s="321"/>
      <c r="BM60" s="483"/>
      <c r="BN60" s="201"/>
      <c r="BO60" s="291"/>
      <c r="BP60" s="321"/>
      <c r="BQ60" s="321"/>
      <c r="BR60" s="321"/>
      <c r="BS60" s="206"/>
      <c r="BT60" s="321"/>
      <c r="BU60" s="193"/>
      <c r="BV60" s="321"/>
      <c r="BW60" s="321"/>
      <c r="BX60" s="321"/>
      <c r="BY60" s="321"/>
      <c r="BZ60" s="193"/>
      <c r="CA60" s="193"/>
      <c r="CB60" s="873"/>
      <c r="CC60" s="321"/>
      <c r="CD60" s="321"/>
      <c r="CE60" s="321"/>
      <c r="CF60" s="321"/>
      <c r="CG60" s="321"/>
      <c r="CH60" s="321"/>
      <c r="CI60" s="321"/>
      <c r="CJ60" s="321"/>
      <c r="CK60" s="321"/>
      <c r="CL60" s="321"/>
      <c r="CM60" s="321"/>
      <c r="CN60" s="321"/>
      <c r="CO60" s="321"/>
      <c r="CP60" s="321"/>
      <c r="CQ60" s="321"/>
      <c r="CR60" s="564"/>
      <c r="CS60" s="483"/>
      <c r="CT60" s="307"/>
      <c r="CU60" s="307"/>
      <c r="CV60" s="307"/>
      <c r="CW60" s="307"/>
      <c r="CX60" s="307"/>
      <c r="CY60" s="307"/>
      <c r="CZ60" s="307"/>
      <c r="DA60" s="307"/>
      <c r="DB60" s="307"/>
      <c r="DC60" s="307"/>
      <c r="DD60" s="307"/>
      <c r="DE60" s="307"/>
      <c r="DF60" s="189"/>
      <c r="DG60" s="301"/>
      <c r="DH60" s="564"/>
      <c r="DI60" s="483"/>
      <c r="DJ60" s="321"/>
      <c r="DK60" s="429"/>
      <c r="DL60" s="456"/>
      <c r="DM60" s="443"/>
      <c r="DN60" s="436"/>
      <c r="DO60" s="456"/>
      <c r="DP60" s="456"/>
      <c r="DQ60" s="436"/>
      <c r="DR60" s="456"/>
      <c r="DS60" s="449"/>
      <c r="DT60" s="429"/>
      <c r="DU60" s="321">
        <v>10</v>
      </c>
      <c r="DV60" s="321"/>
      <c r="DW60" s="321"/>
      <c r="DX60" s="564"/>
      <c r="DY60" s="443">
        <v>11</v>
      </c>
      <c r="DZ60" s="321"/>
      <c r="EA60" s="429"/>
      <c r="EB60" s="456"/>
      <c r="EC60" s="443"/>
      <c r="ED60" s="449"/>
      <c r="EE60" s="456"/>
      <c r="EF60" s="456"/>
      <c r="EG60" s="436"/>
      <c r="EH60" s="456"/>
      <c r="EI60" s="449"/>
      <c r="EJ60" s="449"/>
      <c r="EK60" s="436"/>
      <c r="EL60" s="443">
        <v>9</v>
      </c>
      <c r="EM60" s="321">
        <v>10</v>
      </c>
      <c r="EN60" s="564"/>
      <c r="EO60" s="321"/>
      <c r="EP60" s="321"/>
      <c r="EQ60" s="321">
        <v>10</v>
      </c>
      <c r="ER60" s="409"/>
      <c r="ES60" s="429"/>
      <c r="ET60" s="443"/>
      <c r="EU60" s="436"/>
      <c r="EV60" s="456"/>
      <c r="EW60" s="456"/>
      <c r="EX60" s="429"/>
      <c r="EY60" s="409"/>
      <c r="EZ60" s="321">
        <v>10</v>
      </c>
      <c r="FA60" s="409"/>
      <c r="FB60" s="321">
        <v>10</v>
      </c>
      <c r="FC60" s="321"/>
      <c r="FD60" s="564"/>
      <c r="FE60" s="483"/>
      <c r="FF60" s="321"/>
      <c r="FG60" s="321"/>
      <c r="FH60" s="321"/>
      <c r="FI60" s="321"/>
      <c r="FJ60" s="321"/>
      <c r="FK60" s="321"/>
      <c r="FL60" s="321"/>
      <c r="FM60" s="321"/>
      <c r="FN60" s="321"/>
      <c r="FO60" s="321"/>
      <c r="FP60" s="321"/>
      <c r="FQ60" s="321"/>
      <c r="FR60" s="321"/>
      <c r="FS60" s="321"/>
      <c r="FT60" s="564"/>
      <c r="FU60" s="483"/>
      <c r="FV60" s="321"/>
      <c r="FW60" s="321"/>
      <c r="FX60" s="321"/>
      <c r="FY60" s="321"/>
      <c r="FZ60" s="321"/>
      <c r="GA60" s="321"/>
      <c r="GB60" s="321"/>
      <c r="GC60" s="321"/>
      <c r="GD60" s="321"/>
      <c r="GE60" s="321"/>
      <c r="GF60" s="321"/>
      <c r="GG60" s="321"/>
      <c r="GH60" s="321"/>
      <c r="GI60" s="321"/>
      <c r="GJ60" s="564"/>
      <c r="GK60" s="483"/>
      <c r="GL60" s="321"/>
      <c r="GM60" s="321"/>
      <c r="GN60" s="321"/>
      <c r="GO60" s="321"/>
      <c r="GP60" s="321"/>
      <c r="GQ60" s="321"/>
      <c r="GR60" s="321"/>
      <c r="GS60" s="321"/>
      <c r="GT60" s="321"/>
      <c r="GU60" s="321"/>
      <c r="GV60" s="321"/>
      <c r="GW60" s="321"/>
      <c r="GX60" s="321"/>
      <c r="GY60" s="321"/>
      <c r="GZ60" s="564"/>
      <c r="HA60" s="483"/>
      <c r="HB60" s="321"/>
      <c r="HC60" s="321"/>
      <c r="HD60" s="321"/>
      <c r="HE60" s="446"/>
      <c r="HF60" s="426"/>
      <c r="HG60" s="446"/>
      <c r="HH60" s="426"/>
      <c r="HI60" s="440"/>
      <c r="HJ60" s="426"/>
      <c r="HK60" s="440"/>
      <c r="HL60" s="321"/>
      <c r="HM60" s="321"/>
      <c r="HN60" s="321"/>
      <c r="HO60" s="321"/>
      <c r="HP60" s="564"/>
      <c r="HQ60" s="483"/>
      <c r="HR60" s="321"/>
      <c r="HS60" s="321"/>
      <c r="HT60" s="321"/>
      <c r="HU60" s="321"/>
      <c r="HV60" s="446"/>
      <c r="HW60" s="446"/>
      <c r="HX60" s="426"/>
      <c r="HY60" s="440"/>
      <c r="HZ60" s="422"/>
      <c r="IA60" s="433"/>
      <c r="IB60" s="422"/>
      <c r="IC60" s="321"/>
      <c r="ID60" s="321"/>
      <c r="IE60" s="321"/>
      <c r="IF60" s="564"/>
      <c r="IG60" s="483"/>
      <c r="IH60" s="321"/>
      <c r="II60" s="321"/>
      <c r="IJ60" s="321"/>
      <c r="IK60" s="453"/>
      <c r="IL60" s="426"/>
      <c r="IM60" s="440"/>
      <c r="IN60" s="422"/>
      <c r="IO60" s="426"/>
      <c r="IP60" s="422"/>
      <c r="IQ60" s="417"/>
      <c r="IR60" s="321"/>
      <c r="IS60" s="321"/>
      <c r="IT60" s="321"/>
      <c r="IU60" s="321"/>
      <c r="IV60" s="564"/>
    </row>
    <row r="61" spans="1:256" s="328" customFormat="1" ht="8.25" customHeight="1">
      <c r="A61" s="483"/>
      <c r="B61" s="321"/>
      <c r="C61" s="321"/>
      <c r="D61" s="321"/>
      <c r="E61" s="321"/>
      <c r="F61" s="409"/>
      <c r="G61" s="409"/>
      <c r="H61" s="420"/>
      <c r="I61" s="409"/>
      <c r="J61" s="321"/>
      <c r="K61" s="321"/>
      <c r="L61" s="321"/>
      <c r="M61" s="321"/>
      <c r="N61" s="321"/>
      <c r="O61" s="321"/>
      <c r="P61" s="564"/>
      <c r="Q61" s="452"/>
      <c r="R61" s="452"/>
      <c r="S61" s="452"/>
      <c r="T61" s="410"/>
      <c r="U61" s="452"/>
      <c r="V61" s="452"/>
      <c r="W61" s="452"/>
      <c r="X61" s="452"/>
      <c r="Y61" s="410"/>
      <c r="Z61" s="452"/>
      <c r="AA61" s="452"/>
      <c r="AB61" s="452"/>
      <c r="AC61" s="410"/>
      <c r="AD61" s="452"/>
      <c r="AE61" s="452"/>
      <c r="AF61" s="452"/>
      <c r="AG61" s="483"/>
      <c r="AH61" s="321"/>
      <c r="AI61" s="321"/>
      <c r="AJ61" s="321"/>
      <c r="AK61" s="423"/>
      <c r="AL61" s="423"/>
      <c r="AM61" s="423"/>
      <c r="AN61" s="423"/>
      <c r="AO61" s="423"/>
      <c r="AP61" s="423"/>
      <c r="AQ61" s="415"/>
      <c r="AR61" s="415"/>
      <c r="AS61" s="321"/>
      <c r="AT61" s="321"/>
      <c r="AU61" s="321"/>
      <c r="AV61" s="564"/>
      <c r="AW61" s="483"/>
      <c r="AX61" s="321"/>
      <c r="AY61" s="321"/>
      <c r="AZ61" s="321"/>
      <c r="BA61" s="423"/>
      <c r="BB61" s="418"/>
      <c r="BC61" s="418"/>
      <c r="BD61" s="418"/>
      <c r="BE61" s="418"/>
      <c r="BF61" s="415"/>
      <c r="BG61" s="415"/>
      <c r="BH61" s="415"/>
      <c r="BI61" s="321"/>
      <c r="BJ61" s="321"/>
      <c r="BK61" s="321"/>
      <c r="BL61" s="321"/>
      <c r="BM61" s="483"/>
      <c r="BN61" s="321"/>
      <c r="BO61" s="193"/>
      <c r="BP61" s="321"/>
      <c r="BQ61" s="193"/>
      <c r="BR61" s="321"/>
      <c r="BS61" s="321"/>
      <c r="BT61" s="321"/>
      <c r="BU61" s="321"/>
      <c r="BV61" s="193"/>
      <c r="BW61" s="193"/>
      <c r="BX61" s="193"/>
      <c r="BY61" s="193"/>
      <c r="BZ61" s="160"/>
      <c r="CA61" s="321"/>
      <c r="CB61" s="564"/>
      <c r="CC61" s="321"/>
      <c r="CD61" s="321"/>
      <c r="CE61" s="321"/>
      <c r="CF61" s="321"/>
      <c r="CG61" s="321"/>
      <c r="CH61" s="321"/>
      <c r="CI61" s="321"/>
      <c r="CJ61" s="321"/>
      <c r="CK61" s="321"/>
      <c r="CL61" s="321"/>
      <c r="CM61" s="321"/>
      <c r="CN61" s="321"/>
      <c r="CO61" s="321"/>
      <c r="CP61" s="321"/>
      <c r="CQ61" s="321"/>
      <c r="CR61" s="564"/>
      <c r="CS61" s="483"/>
      <c r="CT61" s="307"/>
      <c r="CU61" s="307"/>
      <c r="CV61" s="307"/>
      <c r="CW61" s="307"/>
      <c r="CX61" s="307"/>
      <c r="CY61" s="307"/>
      <c r="CZ61" s="189"/>
      <c r="DA61" s="301"/>
      <c r="DB61" s="307"/>
      <c r="DC61" s="307"/>
      <c r="DD61" s="307"/>
      <c r="DE61" s="307"/>
      <c r="DF61" s="189"/>
      <c r="DG61" s="301"/>
      <c r="DH61" s="564"/>
      <c r="DI61" s="483"/>
      <c r="DJ61" s="321"/>
      <c r="DK61" s="321">
        <v>10</v>
      </c>
      <c r="DL61" s="443"/>
      <c r="DM61" s="440"/>
      <c r="DN61" s="456"/>
      <c r="DO61" s="462"/>
      <c r="DP61" s="449"/>
      <c r="DQ61" s="440"/>
      <c r="DR61" s="449"/>
      <c r="DS61" s="462"/>
      <c r="DT61" s="429"/>
      <c r="DU61" s="321">
        <v>10</v>
      </c>
      <c r="DV61" s="440"/>
      <c r="DW61" s="321"/>
      <c r="DX61" s="564"/>
      <c r="DY61" s="483"/>
      <c r="DZ61" s="321">
        <v>10</v>
      </c>
      <c r="EA61" s="449"/>
      <c r="EB61" s="443"/>
      <c r="EC61" s="321"/>
      <c r="ED61" s="436"/>
      <c r="EE61" s="462"/>
      <c r="EF61" s="449"/>
      <c r="EG61" s="449"/>
      <c r="EH61" s="449"/>
      <c r="EI61" s="321"/>
      <c r="EJ61" s="429"/>
      <c r="EK61" s="443">
        <v>9</v>
      </c>
      <c r="EL61" s="321">
        <v>10</v>
      </c>
      <c r="EM61" s="321"/>
      <c r="EN61" s="564"/>
      <c r="EO61" s="321"/>
      <c r="EP61" s="321"/>
      <c r="EQ61" s="321"/>
      <c r="ER61" s="321">
        <v>10</v>
      </c>
      <c r="ES61" s="443"/>
      <c r="ET61" s="436"/>
      <c r="EU61" s="436"/>
      <c r="EV61" s="409"/>
      <c r="EW61" s="436"/>
      <c r="EX61" s="449"/>
      <c r="EY61" s="429"/>
      <c r="EZ61" s="449"/>
      <c r="FA61" s="443"/>
      <c r="FB61" s="321">
        <v>10</v>
      </c>
      <c r="FC61" s="321"/>
      <c r="FD61" s="564"/>
      <c r="FE61" s="483"/>
      <c r="FF61" s="321"/>
      <c r="FG61" s="321"/>
      <c r="FH61" s="321"/>
      <c r="FI61" s="321"/>
      <c r="FJ61" s="321"/>
      <c r="FK61" s="321"/>
      <c r="FL61" s="321"/>
      <c r="FM61" s="321"/>
      <c r="FN61" s="321"/>
      <c r="FO61" s="321"/>
      <c r="FP61" s="321"/>
      <c r="FQ61" s="321"/>
      <c r="FR61" s="321"/>
      <c r="FS61" s="321"/>
      <c r="FT61" s="564"/>
      <c r="FU61" s="483"/>
      <c r="FV61" s="321"/>
      <c r="FW61" s="321"/>
      <c r="FX61" s="321"/>
      <c r="FY61" s="321"/>
      <c r="FZ61" s="321"/>
      <c r="GA61" s="321"/>
      <c r="GB61" s="321"/>
      <c r="GC61" s="321"/>
      <c r="GD61" s="321"/>
      <c r="GE61" s="321"/>
      <c r="GF61" s="321"/>
      <c r="GG61" s="321"/>
      <c r="GH61" s="321"/>
      <c r="GI61" s="321"/>
      <c r="GJ61" s="564"/>
      <c r="GK61" s="483"/>
      <c r="GL61" s="321"/>
      <c r="GM61" s="321"/>
      <c r="GN61" s="321"/>
      <c r="GO61" s="321"/>
      <c r="GP61" s="321"/>
      <c r="GQ61" s="321"/>
      <c r="GR61" s="321"/>
      <c r="GS61" s="321"/>
      <c r="GT61" s="321"/>
      <c r="GU61" s="321"/>
      <c r="GV61" s="321"/>
      <c r="GW61" s="321"/>
      <c r="GX61" s="321"/>
      <c r="GY61" s="321"/>
      <c r="GZ61" s="564"/>
      <c r="HA61" s="483"/>
      <c r="HB61" s="321"/>
      <c r="HC61" s="321"/>
      <c r="HD61" s="321"/>
      <c r="HE61" s="446"/>
      <c r="HF61" s="426"/>
      <c r="HG61" s="446"/>
      <c r="HH61" s="422"/>
      <c r="HI61" s="440"/>
      <c r="HJ61" s="422"/>
      <c r="HK61" s="440"/>
      <c r="HL61" s="321"/>
      <c r="HM61" s="321"/>
      <c r="HN61" s="321"/>
      <c r="HO61" s="321"/>
      <c r="HP61" s="564"/>
      <c r="HQ61" s="483"/>
      <c r="HR61" s="321"/>
      <c r="HS61" s="321"/>
      <c r="HT61" s="321"/>
      <c r="HU61" s="321"/>
      <c r="HV61" s="446"/>
      <c r="HW61" s="440"/>
      <c r="HX61" s="426"/>
      <c r="HY61" s="433"/>
      <c r="HZ61" s="422"/>
      <c r="IA61" s="433"/>
      <c r="IB61" s="422"/>
      <c r="IC61" s="321"/>
      <c r="ID61" s="321"/>
      <c r="IE61" s="321"/>
      <c r="IF61" s="564"/>
      <c r="IG61" s="483"/>
      <c r="IH61" s="321"/>
      <c r="II61" s="321"/>
      <c r="IJ61" s="321"/>
      <c r="IK61" s="453"/>
      <c r="IL61" s="426"/>
      <c r="IM61" s="440"/>
      <c r="IN61" s="422"/>
      <c r="IO61" s="426"/>
      <c r="IP61" s="422"/>
      <c r="IQ61" s="417"/>
      <c r="IR61" s="321"/>
      <c r="IS61" s="321"/>
      <c r="IT61" s="321"/>
      <c r="IU61" s="321"/>
      <c r="IV61" s="564"/>
    </row>
    <row r="62" spans="1:256" s="328" customFormat="1" ht="8.25" customHeight="1">
      <c r="A62" s="483"/>
      <c r="B62" s="321"/>
      <c r="C62" s="321"/>
      <c r="D62" s="321"/>
      <c r="E62" s="321"/>
      <c r="F62" s="409"/>
      <c r="G62" s="420"/>
      <c r="H62" s="420"/>
      <c r="I62" s="409"/>
      <c r="J62" s="321"/>
      <c r="K62" s="321"/>
      <c r="L62" s="321"/>
      <c r="M62" s="321"/>
      <c r="N62" s="321"/>
      <c r="O62" s="321"/>
      <c r="P62" s="564"/>
      <c r="Q62" s="410"/>
      <c r="R62" s="410"/>
      <c r="S62" s="410"/>
      <c r="T62" s="410"/>
      <c r="U62" s="410"/>
      <c r="V62" s="410"/>
      <c r="W62" s="410"/>
      <c r="X62" s="410"/>
      <c r="Y62" s="410"/>
      <c r="Z62" s="410"/>
      <c r="AA62" s="410"/>
      <c r="AB62" s="410"/>
      <c r="AC62" s="410"/>
      <c r="AD62" s="410"/>
      <c r="AE62" s="410"/>
      <c r="AF62" s="410"/>
      <c r="AG62" s="483"/>
      <c r="AH62" s="321"/>
      <c r="AI62" s="321"/>
      <c r="AJ62" s="321"/>
      <c r="AK62" s="423"/>
      <c r="AL62" s="427"/>
      <c r="AM62" s="427"/>
      <c r="AN62" s="415"/>
      <c r="AO62" s="415"/>
      <c r="AP62" s="427"/>
      <c r="AQ62" s="423"/>
      <c r="AR62" s="415"/>
      <c r="AS62" s="321"/>
      <c r="AT62" s="321"/>
      <c r="AU62" s="321"/>
      <c r="AV62" s="564"/>
      <c r="AW62" s="483"/>
      <c r="AX62" s="321"/>
      <c r="AY62" s="321"/>
      <c r="AZ62" s="321"/>
      <c r="BA62" s="423"/>
      <c r="BB62" s="427"/>
      <c r="BC62" s="423"/>
      <c r="BD62" s="415"/>
      <c r="BE62" s="415"/>
      <c r="BF62" s="423"/>
      <c r="BG62" s="418"/>
      <c r="BH62" s="415"/>
      <c r="BI62" s="321"/>
      <c r="BJ62" s="321"/>
      <c r="BK62" s="321"/>
      <c r="BL62" s="321"/>
      <c r="BM62" s="483"/>
      <c r="BN62" s="321"/>
      <c r="BO62" s="201"/>
      <c r="BP62" s="321"/>
      <c r="BQ62" s="193"/>
      <c r="BR62" s="321"/>
      <c r="BS62" s="321"/>
      <c r="BT62" s="321"/>
      <c r="BU62" s="321"/>
      <c r="BV62" s="160"/>
      <c r="BW62" s="193"/>
      <c r="BX62" s="160"/>
      <c r="BY62" s="321"/>
      <c r="BZ62" s="321"/>
      <c r="CA62" s="321"/>
      <c r="CB62" s="564"/>
      <c r="CC62" s="321"/>
      <c r="CD62" s="321"/>
      <c r="CE62" s="321"/>
      <c r="CF62" s="321"/>
      <c r="CG62" s="321"/>
      <c r="CH62" s="321"/>
      <c r="CI62" s="321"/>
      <c r="CJ62" s="321"/>
      <c r="CK62" s="321"/>
      <c r="CL62" s="321"/>
      <c r="CM62" s="321"/>
      <c r="CN62" s="321"/>
      <c r="CO62" s="321"/>
      <c r="CP62" s="321"/>
      <c r="CQ62" s="321"/>
      <c r="CR62" s="564"/>
      <c r="CS62" s="483"/>
      <c r="CT62" s="321"/>
      <c r="CU62" s="307"/>
      <c r="CV62" s="307"/>
      <c r="CW62" s="307"/>
      <c r="CX62" s="307"/>
      <c r="CY62" s="307"/>
      <c r="CZ62" s="307"/>
      <c r="DA62" s="307"/>
      <c r="DB62" s="307"/>
      <c r="DC62" s="307"/>
      <c r="DD62" s="307"/>
      <c r="DE62" s="189"/>
      <c r="DF62" s="301"/>
      <c r="DG62" s="321"/>
      <c r="DH62" s="564"/>
      <c r="DI62" s="483"/>
      <c r="DJ62" s="321"/>
      <c r="DK62" s="440"/>
      <c r="DL62" s="420"/>
      <c r="DM62" s="429"/>
      <c r="DN62" s="420"/>
      <c r="DO62" s="436"/>
      <c r="DP62" s="436"/>
      <c r="DQ62" s="429"/>
      <c r="DR62" s="429"/>
      <c r="DS62" s="429"/>
      <c r="DT62" s="415"/>
      <c r="DU62" s="321"/>
      <c r="DV62" s="321"/>
      <c r="DW62" s="321"/>
      <c r="DX62" s="564"/>
      <c r="DY62" s="483"/>
      <c r="DZ62" s="443"/>
      <c r="EA62" s="436"/>
      <c r="EB62" s="409">
        <v>8</v>
      </c>
      <c r="EC62" s="440"/>
      <c r="ED62" s="436"/>
      <c r="EE62" s="436"/>
      <c r="EF62" s="409"/>
      <c r="EG62" s="440"/>
      <c r="EH62" s="429"/>
      <c r="EI62" s="449"/>
      <c r="EJ62" s="436"/>
      <c r="EK62" s="321"/>
      <c r="EL62" s="321"/>
      <c r="EM62" s="440"/>
      <c r="EN62" s="564"/>
      <c r="EO62" s="321"/>
      <c r="EP62" s="321"/>
      <c r="EQ62" s="321"/>
      <c r="ER62" s="321"/>
      <c r="ES62" s="321">
        <v>10</v>
      </c>
      <c r="ET62" s="429"/>
      <c r="EU62" s="321">
        <v>10</v>
      </c>
      <c r="EV62" s="429"/>
      <c r="EW62" s="429"/>
      <c r="EX62" s="429"/>
      <c r="EY62" s="409"/>
      <c r="EZ62" s="321">
        <v>10</v>
      </c>
      <c r="FA62" s="433"/>
      <c r="FB62" s="321"/>
      <c r="FC62" s="321"/>
      <c r="FD62" s="564"/>
      <c r="FE62" s="483"/>
      <c r="FF62" s="321"/>
      <c r="FG62" s="321"/>
      <c r="FH62" s="321"/>
      <c r="FI62" s="321"/>
      <c r="FJ62" s="321"/>
      <c r="FK62" s="321"/>
      <c r="FL62" s="321"/>
      <c r="FM62" s="321"/>
      <c r="FN62" s="321"/>
      <c r="FO62" s="321"/>
      <c r="FP62" s="321"/>
      <c r="FQ62" s="321"/>
      <c r="FR62" s="321"/>
      <c r="FS62" s="321"/>
      <c r="FT62" s="564"/>
      <c r="FU62" s="483"/>
      <c r="FV62" s="321"/>
      <c r="FW62" s="321"/>
      <c r="FX62" s="321"/>
      <c r="FY62" s="321"/>
      <c r="FZ62" s="321"/>
      <c r="GA62" s="321"/>
      <c r="GB62" s="321"/>
      <c r="GC62" s="321"/>
      <c r="GD62" s="321"/>
      <c r="GE62" s="321"/>
      <c r="GF62" s="321"/>
      <c r="GG62" s="321"/>
      <c r="GH62" s="321"/>
      <c r="GI62" s="321"/>
      <c r="GJ62" s="564"/>
      <c r="GK62" s="483"/>
      <c r="GL62" s="321"/>
      <c r="GM62" s="321"/>
      <c r="GN62" s="415"/>
      <c r="GO62" s="417"/>
      <c r="GP62" s="321"/>
      <c r="GQ62" s="422"/>
      <c r="GR62" s="416"/>
      <c r="GS62" s="321"/>
      <c r="GT62" s="321"/>
      <c r="GU62" s="321"/>
      <c r="GV62" s="321"/>
      <c r="GW62" s="321"/>
      <c r="GX62" s="417"/>
      <c r="GY62" s="321"/>
      <c r="GZ62" s="564"/>
      <c r="HA62" s="483"/>
      <c r="HB62" s="321"/>
      <c r="HC62" s="321"/>
      <c r="HD62" s="321"/>
      <c r="HE62" s="446"/>
      <c r="HF62" s="426"/>
      <c r="HG62" s="446"/>
      <c r="HH62" s="422"/>
      <c r="HI62" s="440"/>
      <c r="HJ62" s="422"/>
      <c r="HK62" s="440"/>
      <c r="HL62" s="321"/>
      <c r="HM62" s="321"/>
      <c r="HN62" s="321"/>
      <c r="HO62" s="321"/>
      <c r="HP62" s="564"/>
      <c r="HQ62" s="483"/>
      <c r="HR62" s="321"/>
      <c r="HS62" s="321"/>
      <c r="HT62" s="321"/>
      <c r="HU62" s="321"/>
      <c r="HV62" s="462"/>
      <c r="HW62" s="440"/>
      <c r="HX62" s="426"/>
      <c r="HY62" s="433"/>
      <c r="HZ62" s="409"/>
      <c r="IA62" s="436"/>
      <c r="IB62" s="409"/>
      <c r="IC62" s="321"/>
      <c r="ID62" s="321"/>
      <c r="IE62" s="321"/>
      <c r="IF62" s="564"/>
      <c r="IG62" s="483"/>
      <c r="IH62" s="321"/>
      <c r="II62" s="321"/>
      <c r="IJ62" s="321"/>
      <c r="IK62" s="462"/>
      <c r="IL62" s="436"/>
      <c r="IM62" s="449"/>
      <c r="IN62" s="422"/>
      <c r="IO62" s="426"/>
      <c r="IP62" s="422"/>
      <c r="IQ62" s="409"/>
      <c r="IR62" s="321"/>
      <c r="IS62" s="321"/>
      <c r="IT62" s="321"/>
      <c r="IU62" s="321"/>
      <c r="IV62" s="564"/>
    </row>
    <row r="63" spans="1:256" s="328" customFormat="1" ht="8.25" customHeight="1">
      <c r="A63" s="483"/>
      <c r="B63" s="321"/>
      <c r="C63" s="321"/>
      <c r="D63" s="321"/>
      <c r="E63" s="409"/>
      <c r="F63" s="409"/>
      <c r="G63" s="409"/>
      <c r="H63" s="420"/>
      <c r="I63" s="420"/>
      <c r="J63" s="409"/>
      <c r="K63" s="321"/>
      <c r="L63" s="321"/>
      <c r="M63" s="321"/>
      <c r="N63" s="321"/>
      <c r="O63" s="321"/>
      <c r="P63" s="564"/>
      <c r="Q63" s="321"/>
      <c r="R63" s="321"/>
      <c r="S63" s="321"/>
      <c r="T63" s="321"/>
      <c r="U63" s="321"/>
      <c r="V63" s="321"/>
      <c r="W63" s="321"/>
      <c r="X63" s="321"/>
      <c r="Y63" s="321"/>
      <c r="Z63" s="321"/>
      <c r="AA63" s="321"/>
      <c r="AB63" s="321"/>
      <c r="AC63" s="321"/>
      <c r="AD63" s="321"/>
      <c r="AE63" s="321"/>
      <c r="AF63" s="321"/>
      <c r="AG63" s="483"/>
      <c r="AH63" s="321"/>
      <c r="AI63" s="321"/>
      <c r="AJ63" s="321"/>
      <c r="AK63" s="423"/>
      <c r="AL63" s="441"/>
      <c r="AM63" s="427"/>
      <c r="AN63" s="427"/>
      <c r="AO63" s="427"/>
      <c r="AP63" s="427"/>
      <c r="AQ63" s="423"/>
      <c r="AR63" s="415"/>
      <c r="AS63" s="321"/>
      <c r="AT63" s="321"/>
      <c r="AU63" s="321"/>
      <c r="AV63" s="564"/>
      <c r="AW63" s="483"/>
      <c r="AX63" s="321"/>
      <c r="AY63" s="321"/>
      <c r="AZ63" s="321"/>
      <c r="BA63" s="423"/>
      <c r="BB63" s="441"/>
      <c r="BC63" s="423"/>
      <c r="BD63" s="423"/>
      <c r="BE63" s="423"/>
      <c r="BF63" s="423"/>
      <c r="BG63" s="418"/>
      <c r="BH63" s="415"/>
      <c r="BI63" s="321"/>
      <c r="BJ63" s="321"/>
      <c r="BK63" s="321"/>
      <c r="BL63" s="321"/>
      <c r="BM63" s="483"/>
      <c r="BN63" s="321"/>
      <c r="BO63" s="321"/>
      <c r="BP63" s="321"/>
      <c r="BQ63" s="160"/>
      <c r="BR63" s="321"/>
      <c r="BS63" s="321"/>
      <c r="BT63" s="321"/>
      <c r="BU63" s="321"/>
      <c r="BV63" s="321"/>
      <c r="BW63" s="193"/>
      <c r="BX63" s="321"/>
      <c r="BY63" s="321"/>
      <c r="BZ63" s="321"/>
      <c r="CA63" s="321"/>
      <c r="CB63" s="564"/>
      <c r="CC63" s="321"/>
      <c r="CD63" s="321"/>
      <c r="CE63" s="321"/>
      <c r="CF63" s="321"/>
      <c r="CG63" s="321"/>
      <c r="CH63" s="321"/>
      <c r="CI63" s="321"/>
      <c r="CJ63" s="321"/>
      <c r="CK63" s="321"/>
      <c r="CL63" s="321"/>
      <c r="CM63" s="321"/>
      <c r="CN63" s="321"/>
      <c r="CO63" s="321"/>
      <c r="CP63" s="321"/>
      <c r="CQ63" s="321"/>
      <c r="CR63" s="564"/>
      <c r="CS63" s="483"/>
      <c r="CT63" s="321"/>
      <c r="CU63" s="321"/>
      <c r="CV63" s="307"/>
      <c r="CW63" s="307"/>
      <c r="CX63" s="307"/>
      <c r="CY63" s="307"/>
      <c r="CZ63" s="307"/>
      <c r="DA63" s="307"/>
      <c r="DB63" s="307"/>
      <c r="DC63" s="307"/>
      <c r="DD63" s="189"/>
      <c r="DE63" s="301"/>
      <c r="DF63" s="321"/>
      <c r="DG63" s="321"/>
      <c r="DH63" s="564"/>
      <c r="DI63" s="483"/>
      <c r="DJ63" s="321"/>
      <c r="DK63" s="321">
        <v>10</v>
      </c>
      <c r="DL63" s="436"/>
      <c r="DM63" s="420"/>
      <c r="DN63" s="420"/>
      <c r="DO63" s="436"/>
      <c r="DP63" s="429"/>
      <c r="DQ63" s="420"/>
      <c r="DR63" s="420"/>
      <c r="DS63" s="420"/>
      <c r="DT63" s="449"/>
      <c r="DU63" s="321"/>
      <c r="DV63" s="321"/>
      <c r="DW63" s="321"/>
      <c r="DX63" s="564"/>
      <c r="DY63" s="483"/>
      <c r="DZ63" s="440"/>
      <c r="EA63" s="449"/>
      <c r="EB63" s="321"/>
      <c r="EC63" s="409">
        <v>8</v>
      </c>
      <c r="ED63" s="409">
        <v>8</v>
      </c>
      <c r="EE63" s="429"/>
      <c r="EF63" s="429"/>
      <c r="EG63" s="409">
        <v>8</v>
      </c>
      <c r="EH63" s="409">
        <v>8</v>
      </c>
      <c r="EI63" s="436"/>
      <c r="EJ63" s="449">
        <v>12</v>
      </c>
      <c r="EK63" s="436"/>
      <c r="EL63" s="321"/>
      <c r="EM63" s="321"/>
      <c r="EN63" s="564"/>
      <c r="EO63" s="483"/>
      <c r="EP63" s="321"/>
      <c r="EQ63" s="321"/>
      <c r="ER63" s="440"/>
      <c r="ES63" s="425"/>
      <c r="ET63" s="321">
        <v>10</v>
      </c>
      <c r="EU63" s="429"/>
      <c r="EV63" s="409"/>
      <c r="EW63" s="425"/>
      <c r="EX63" s="440"/>
      <c r="EY63" s="321">
        <v>10</v>
      </c>
      <c r="EZ63" s="425"/>
      <c r="FA63" s="321"/>
      <c r="FB63" s="321"/>
      <c r="FC63" s="321"/>
      <c r="FD63" s="440"/>
      <c r="FE63" s="483"/>
      <c r="FF63" s="321"/>
      <c r="FG63" s="321"/>
      <c r="FH63" s="321"/>
      <c r="FI63" s="321"/>
      <c r="FJ63" s="440"/>
      <c r="FK63" s="321"/>
      <c r="FL63" s="321"/>
      <c r="FM63" s="321"/>
      <c r="FN63" s="440"/>
      <c r="FO63" s="321"/>
      <c r="FP63" s="321"/>
      <c r="FQ63" s="321"/>
      <c r="FR63" s="321"/>
      <c r="FS63" s="321"/>
      <c r="FT63" s="564"/>
      <c r="FU63" s="483"/>
      <c r="FV63" s="321"/>
      <c r="FW63" s="321"/>
      <c r="FX63" s="321"/>
      <c r="FY63" s="321"/>
      <c r="FZ63" s="321"/>
      <c r="GA63" s="321"/>
      <c r="GB63" s="321"/>
      <c r="GC63" s="321"/>
      <c r="GD63" s="321"/>
      <c r="GE63" s="321"/>
      <c r="GF63" s="321"/>
      <c r="GG63" s="321"/>
      <c r="GH63" s="321"/>
      <c r="GI63" s="321"/>
      <c r="GJ63" s="564"/>
      <c r="GK63" s="483"/>
      <c r="GL63" s="321"/>
      <c r="GM63" s="414"/>
      <c r="GN63" s="321"/>
      <c r="GO63" s="418"/>
      <c r="GP63" s="415"/>
      <c r="GQ63" s="414"/>
      <c r="GR63" s="414"/>
      <c r="GS63" s="417"/>
      <c r="GT63" s="321"/>
      <c r="GU63" s="321"/>
      <c r="GV63" s="409"/>
      <c r="GW63" s="414"/>
      <c r="GX63" s="414"/>
      <c r="GY63" s="321"/>
      <c r="GZ63" s="564"/>
      <c r="HA63" s="483"/>
      <c r="HB63" s="321"/>
      <c r="HC63" s="321"/>
      <c r="HD63" s="321"/>
      <c r="HE63" s="462"/>
      <c r="HF63" s="436"/>
      <c r="HG63" s="462"/>
      <c r="HH63" s="436"/>
      <c r="HI63" s="462"/>
      <c r="HJ63" s="436"/>
      <c r="HK63" s="449"/>
      <c r="HL63" s="321"/>
      <c r="HM63" s="321"/>
      <c r="HN63" s="321"/>
      <c r="HO63" s="321"/>
      <c r="HP63" s="564"/>
      <c r="HQ63" s="483"/>
      <c r="HR63" s="321"/>
      <c r="HS63" s="321"/>
      <c r="HT63" s="321"/>
      <c r="HU63" s="321"/>
      <c r="HV63" s="321"/>
      <c r="HW63" s="462"/>
      <c r="HX63" s="436"/>
      <c r="HY63" s="449"/>
      <c r="HZ63" s="321">
        <v>4</v>
      </c>
      <c r="IA63" s="321">
        <v>5</v>
      </c>
      <c r="IB63" s="321"/>
      <c r="IC63" s="321"/>
      <c r="ID63" s="321"/>
      <c r="IE63" s="321"/>
      <c r="IF63" s="564"/>
      <c r="IG63" s="483"/>
      <c r="IH63" s="321"/>
      <c r="II63" s="321"/>
      <c r="IJ63" s="321"/>
      <c r="IK63" s="321"/>
      <c r="IL63" s="321">
        <v>5</v>
      </c>
      <c r="IM63" s="321">
        <v>4</v>
      </c>
      <c r="IN63" s="429"/>
      <c r="IO63" s="436"/>
      <c r="IP63" s="409"/>
      <c r="IQ63" s="321">
        <v>5</v>
      </c>
      <c r="IR63" s="321"/>
      <c r="IS63" s="321"/>
      <c r="IT63" s="321"/>
      <c r="IU63" s="321"/>
      <c r="IV63" s="564"/>
    </row>
    <row r="64" spans="1:256" s="328" customFormat="1" ht="8.25" customHeight="1">
      <c r="A64" s="651"/>
      <c r="B64" s="569"/>
      <c r="C64" s="569"/>
      <c r="D64" s="409"/>
      <c r="E64" s="420"/>
      <c r="F64" s="420"/>
      <c r="G64" s="409"/>
      <c r="H64" s="420"/>
      <c r="I64" s="420"/>
      <c r="J64" s="420"/>
      <c r="K64" s="409"/>
      <c r="L64" s="569"/>
      <c r="M64" s="569"/>
      <c r="N64" s="569"/>
      <c r="O64" s="569"/>
      <c r="P64" s="570"/>
      <c r="Q64" s="1313"/>
      <c r="R64" s="321"/>
      <c r="S64" s="569"/>
      <c r="T64" s="569"/>
      <c r="U64" s="321"/>
      <c r="V64" s="321"/>
      <c r="W64" s="569"/>
      <c r="X64" s="569"/>
      <c r="Y64" s="569"/>
      <c r="Z64" s="569"/>
      <c r="AA64" s="569"/>
      <c r="AB64" s="569"/>
      <c r="AC64" s="569"/>
      <c r="AD64" s="569"/>
      <c r="AE64" s="569"/>
      <c r="AF64" s="1314"/>
      <c r="AG64" s="651"/>
      <c r="AH64" s="569"/>
      <c r="AI64" s="569"/>
      <c r="AJ64" s="569"/>
      <c r="AK64" s="569"/>
      <c r="AL64" s="418"/>
      <c r="AM64" s="418"/>
      <c r="AN64" s="418"/>
      <c r="AO64" s="418"/>
      <c r="AP64" s="415"/>
      <c r="AQ64" s="415"/>
      <c r="AR64" s="569"/>
      <c r="AS64" s="569"/>
      <c r="AT64" s="569"/>
      <c r="AU64" s="569"/>
      <c r="AV64" s="570"/>
      <c r="AW64" s="651"/>
      <c r="AX64" s="569"/>
      <c r="AY64" s="569"/>
      <c r="AZ64" s="569"/>
      <c r="BA64" s="569"/>
      <c r="BB64" s="418"/>
      <c r="BC64" s="418"/>
      <c r="BD64" s="418"/>
      <c r="BE64" s="418"/>
      <c r="BF64" s="415"/>
      <c r="BG64" s="415"/>
      <c r="BH64" s="569"/>
      <c r="BI64" s="569"/>
      <c r="BJ64" s="569"/>
      <c r="BK64" s="569"/>
      <c r="BL64" s="569"/>
      <c r="BM64" s="651"/>
      <c r="BN64" s="569"/>
      <c r="BO64" s="569"/>
      <c r="BP64" s="569"/>
      <c r="BQ64" s="336"/>
      <c r="BR64" s="569"/>
      <c r="BS64" s="569"/>
      <c r="BT64" s="569"/>
      <c r="BU64" s="569"/>
      <c r="BV64" s="569"/>
      <c r="BW64" s="336"/>
      <c r="BX64" s="569"/>
      <c r="BY64" s="569"/>
      <c r="BZ64" s="569"/>
      <c r="CA64" s="569"/>
      <c r="CB64" s="570"/>
      <c r="CC64" s="569"/>
      <c r="CD64" s="321"/>
      <c r="CE64" s="321"/>
      <c r="CF64" s="321"/>
      <c r="CG64" s="321"/>
      <c r="CH64" s="321"/>
      <c r="CI64" s="321"/>
      <c r="CJ64" s="321"/>
      <c r="CK64" s="321"/>
      <c r="CL64" s="321"/>
      <c r="CM64" s="321"/>
      <c r="CN64" s="321"/>
      <c r="CO64" s="321"/>
      <c r="CP64" s="321"/>
      <c r="CQ64" s="321"/>
      <c r="CR64" s="570"/>
      <c r="CS64" s="651"/>
      <c r="CT64" s="321"/>
      <c r="CU64" s="321"/>
      <c r="CV64" s="321"/>
      <c r="CW64" s="189"/>
      <c r="CX64" s="189"/>
      <c r="CY64" s="189"/>
      <c r="CZ64" s="189"/>
      <c r="DA64" s="189"/>
      <c r="DB64" s="189"/>
      <c r="DC64" s="301"/>
      <c r="DD64" s="301"/>
      <c r="DE64" s="321"/>
      <c r="DF64" s="321"/>
      <c r="DG64" s="321"/>
      <c r="DH64" s="570"/>
      <c r="DI64" s="1312"/>
      <c r="DJ64" s="569"/>
      <c r="DK64" s="569"/>
      <c r="DL64" s="569"/>
      <c r="DM64" s="569"/>
      <c r="DN64" s="321">
        <v>10</v>
      </c>
      <c r="DO64" s="420"/>
      <c r="DP64" s="420"/>
      <c r="DQ64" s="420"/>
      <c r="DR64" s="321">
        <v>10</v>
      </c>
      <c r="DS64" s="569"/>
      <c r="DT64" s="569"/>
      <c r="DU64" s="569"/>
      <c r="DV64" s="569"/>
      <c r="DW64" s="569"/>
      <c r="DX64" s="1314"/>
      <c r="DY64" s="436">
        <v>10</v>
      </c>
      <c r="DZ64" s="443">
        <v>11</v>
      </c>
      <c r="EA64" s="569"/>
      <c r="EB64" s="569"/>
      <c r="EC64" s="569"/>
      <c r="ED64" s="569"/>
      <c r="EE64" s="436"/>
      <c r="EF64" s="569"/>
      <c r="EG64" s="569"/>
      <c r="EH64" s="569"/>
      <c r="EI64" s="569"/>
      <c r="EJ64" s="569"/>
      <c r="EK64" s="449">
        <v>11</v>
      </c>
      <c r="EL64" s="443">
        <v>10</v>
      </c>
      <c r="EM64" s="569"/>
      <c r="EN64" s="1314"/>
      <c r="EO64" s="440"/>
      <c r="EP64" s="569"/>
      <c r="EQ64" s="569"/>
      <c r="ER64" s="569"/>
      <c r="ES64" s="569"/>
      <c r="ET64" s="569"/>
      <c r="EU64" s="569"/>
      <c r="EV64" s="569"/>
      <c r="EW64" s="569"/>
      <c r="EX64" s="569"/>
      <c r="EY64" s="569"/>
      <c r="EZ64" s="569"/>
      <c r="FA64" s="569"/>
      <c r="FB64" s="569"/>
      <c r="FC64" s="569"/>
      <c r="FD64" s="1314"/>
      <c r="FE64" s="1312"/>
      <c r="FF64" s="321"/>
      <c r="FG64" s="321"/>
      <c r="FH64" s="440"/>
      <c r="FI64" s="321"/>
      <c r="FJ64" s="321"/>
      <c r="FK64" s="420"/>
      <c r="FL64" s="436"/>
      <c r="FM64" s="429"/>
      <c r="FN64" s="420"/>
      <c r="FO64" s="321"/>
      <c r="FP64" s="440"/>
      <c r="FQ64" s="321"/>
      <c r="FR64" s="321"/>
      <c r="FS64" s="321"/>
      <c r="FT64" s="1314"/>
      <c r="FU64" s="1312"/>
      <c r="FV64" s="321"/>
      <c r="FW64" s="426"/>
      <c r="FX64" s="321"/>
      <c r="FY64" s="321"/>
      <c r="FZ64" s="426"/>
      <c r="GA64" s="321"/>
      <c r="GB64" s="321"/>
      <c r="GC64" s="321"/>
      <c r="GD64" s="321"/>
      <c r="GE64" s="321"/>
      <c r="GF64" s="426"/>
      <c r="GG64" s="321"/>
      <c r="GH64" s="321"/>
      <c r="GI64" s="569"/>
      <c r="GJ64" s="1314"/>
      <c r="GK64" s="1312"/>
      <c r="GL64" s="321"/>
      <c r="GM64" s="321"/>
      <c r="GN64" s="321"/>
      <c r="GO64" s="321"/>
      <c r="GP64" s="414"/>
      <c r="GQ64" s="416"/>
      <c r="GR64" s="416"/>
      <c r="GS64" s="416"/>
      <c r="GT64" s="414"/>
      <c r="GU64" s="414"/>
      <c r="GV64" s="414"/>
      <c r="GW64" s="414"/>
      <c r="GX64" s="321"/>
      <c r="GY64" s="321"/>
      <c r="GZ64" s="1314"/>
      <c r="HA64" s="1312"/>
      <c r="HB64" s="569"/>
      <c r="HC64" s="569"/>
      <c r="HD64" s="569"/>
      <c r="HE64" s="569"/>
      <c r="HF64" s="569">
        <v>5</v>
      </c>
      <c r="HG64" s="569">
        <v>4</v>
      </c>
      <c r="HH64" s="569">
        <v>4</v>
      </c>
      <c r="HI64" s="569">
        <v>4</v>
      </c>
      <c r="HJ64" s="569">
        <v>5</v>
      </c>
      <c r="HK64" s="569"/>
      <c r="HL64" s="569"/>
      <c r="HM64" s="569"/>
      <c r="HN64" s="569"/>
      <c r="HO64" s="569"/>
      <c r="HP64" s="1314"/>
      <c r="HQ64" s="1312"/>
      <c r="HR64" s="569"/>
      <c r="HS64" s="569"/>
      <c r="HT64" s="569"/>
      <c r="HU64" s="569"/>
      <c r="HV64" s="569"/>
      <c r="HW64" s="569">
        <v>5</v>
      </c>
      <c r="HX64" s="569">
        <v>4</v>
      </c>
      <c r="HY64" s="569">
        <v>4</v>
      </c>
      <c r="HZ64" s="569"/>
      <c r="IA64" s="569"/>
      <c r="IB64" s="569"/>
      <c r="IC64" s="569"/>
      <c r="ID64" s="569"/>
      <c r="IE64" s="569"/>
      <c r="IF64" s="1314"/>
      <c r="IG64" s="1312"/>
      <c r="IH64" s="569"/>
      <c r="II64" s="569"/>
      <c r="IJ64" s="569"/>
      <c r="IK64" s="569"/>
      <c r="IL64" s="569"/>
      <c r="IM64" s="569"/>
      <c r="IN64" s="569">
        <v>4</v>
      </c>
      <c r="IO64" s="569">
        <v>4</v>
      </c>
      <c r="IP64" s="569">
        <v>4</v>
      </c>
      <c r="IQ64" s="569"/>
      <c r="IR64" s="569"/>
      <c r="IS64" s="569"/>
      <c r="IT64" s="569"/>
      <c r="IU64" s="569"/>
      <c r="IV64" s="1314"/>
    </row>
    <row r="65" spans="1:256" s="328" customFormat="1" ht="8.25" customHeight="1">
      <c r="A65" s="483">
        <v>33</v>
      </c>
      <c r="B65" s="321"/>
      <c r="C65" s="321"/>
      <c r="D65" s="321"/>
      <c r="E65" s="321"/>
      <c r="F65" s="321"/>
      <c r="G65" s="321"/>
      <c r="H65" s="321"/>
      <c r="I65" s="321"/>
      <c r="J65" s="321"/>
      <c r="K65" s="321"/>
      <c r="L65" s="321"/>
      <c r="M65" s="321"/>
      <c r="N65" s="321"/>
      <c r="O65" s="321"/>
      <c r="P65" s="564"/>
      <c r="Q65" s="679">
        <v>34</v>
      </c>
      <c r="R65" s="484"/>
      <c r="S65" s="484"/>
      <c r="T65" s="484"/>
      <c r="U65" s="484"/>
      <c r="V65" s="484"/>
      <c r="W65" s="484"/>
      <c r="X65" s="484"/>
      <c r="Y65" s="484"/>
      <c r="Z65" s="484"/>
      <c r="AA65" s="484"/>
      <c r="AB65" s="484"/>
      <c r="AC65" s="484"/>
      <c r="AD65" s="484"/>
      <c r="AE65" s="484"/>
      <c r="AF65" s="696"/>
      <c r="AG65" s="679">
        <v>35</v>
      </c>
      <c r="AH65" s="484"/>
      <c r="AI65" s="484"/>
      <c r="AJ65" s="484"/>
      <c r="AK65" s="484"/>
      <c r="AL65" s="484"/>
      <c r="AM65" s="484"/>
      <c r="AN65" s="484"/>
      <c r="AO65" s="484"/>
      <c r="AP65" s="484"/>
      <c r="AQ65" s="484"/>
      <c r="AR65" s="484"/>
      <c r="AS65" s="484"/>
      <c r="AT65" s="484"/>
      <c r="AU65" s="484"/>
      <c r="AV65" s="696"/>
      <c r="AW65" s="679">
        <v>36</v>
      </c>
      <c r="AX65" s="484"/>
      <c r="AY65" s="484"/>
      <c r="AZ65" s="484"/>
      <c r="BA65" s="484"/>
      <c r="BB65" s="484"/>
      <c r="BC65" s="484"/>
      <c r="BD65" s="484"/>
      <c r="BE65" s="484"/>
      <c r="BF65" s="484"/>
      <c r="BG65" s="484"/>
      <c r="BH65" s="484"/>
      <c r="BI65" s="484"/>
      <c r="BJ65" s="484"/>
      <c r="BK65" s="484"/>
      <c r="BL65" s="696"/>
      <c r="BM65" s="321">
        <v>37</v>
      </c>
      <c r="BN65" s="321"/>
      <c r="BO65" s="321"/>
      <c r="BP65" s="321"/>
      <c r="BQ65" s="321"/>
      <c r="BR65" s="321"/>
      <c r="BS65" s="321"/>
      <c r="BT65" s="321"/>
      <c r="BU65" s="321"/>
      <c r="BV65" s="321"/>
      <c r="BW65" s="321"/>
      <c r="BX65" s="321"/>
      <c r="BY65" s="321"/>
      <c r="BZ65" s="321"/>
      <c r="CA65" s="321"/>
      <c r="CB65" s="564"/>
      <c r="CC65" s="679">
        <v>38</v>
      </c>
      <c r="CD65" s="484"/>
      <c r="CE65" s="484"/>
      <c r="CF65" s="484"/>
      <c r="CG65" s="484"/>
      <c r="CH65" s="484"/>
      <c r="CI65" s="484"/>
      <c r="CJ65" s="484"/>
      <c r="CK65" s="484"/>
      <c r="CL65" s="484"/>
      <c r="CM65" s="484"/>
      <c r="CN65" s="484"/>
      <c r="CO65" s="484"/>
      <c r="CP65" s="484"/>
      <c r="CQ65" s="484"/>
      <c r="CR65" s="696"/>
      <c r="CS65" s="679">
        <v>39</v>
      </c>
      <c r="CT65" s="484"/>
      <c r="CU65" s="484"/>
      <c r="CV65" s="484"/>
      <c r="CW65" s="484"/>
      <c r="CX65" s="484"/>
      <c r="CY65" s="484"/>
      <c r="CZ65" s="484"/>
      <c r="DA65" s="484"/>
      <c r="DB65" s="484"/>
      <c r="DC65" s="484"/>
      <c r="DD65" s="484"/>
      <c r="DE65" s="484"/>
      <c r="DF65" s="484"/>
      <c r="DG65" s="484"/>
      <c r="DH65" s="696"/>
      <c r="DI65" s="679">
        <v>40</v>
      </c>
      <c r="DJ65" s="484"/>
      <c r="DK65" s="484"/>
      <c r="DL65" s="484"/>
      <c r="DM65" s="484"/>
      <c r="DN65" s="484"/>
      <c r="DO65" s="484"/>
      <c r="DP65" s="484"/>
      <c r="DQ65" s="484"/>
      <c r="DR65" s="484"/>
      <c r="DS65" s="484"/>
      <c r="DT65" s="484"/>
      <c r="DU65" s="484"/>
      <c r="DV65" s="484"/>
      <c r="DW65" s="484"/>
      <c r="DX65" s="696"/>
      <c r="DY65" s="679">
        <v>41</v>
      </c>
      <c r="DZ65" s="484"/>
      <c r="EA65" s="484"/>
      <c r="EB65" s="484"/>
      <c r="EC65" s="484"/>
      <c r="ED65" s="484"/>
      <c r="EE65" s="484"/>
      <c r="EF65" s="484"/>
      <c r="EG65" s="484"/>
      <c r="EH65" s="484"/>
      <c r="EI65" s="484"/>
      <c r="EJ65" s="484"/>
      <c r="EK65" s="484"/>
      <c r="EL65" s="484"/>
      <c r="EM65" s="484"/>
      <c r="EN65" s="696"/>
      <c r="EO65" s="679">
        <v>42</v>
      </c>
      <c r="EP65" s="484"/>
      <c r="EQ65" s="484"/>
      <c r="ER65" s="484"/>
      <c r="ES65" s="484"/>
      <c r="ET65" s="484"/>
      <c r="EU65" s="484"/>
      <c r="EV65" s="484"/>
      <c r="EW65" s="484"/>
      <c r="EX65" s="484"/>
      <c r="EY65" s="484"/>
      <c r="EZ65" s="484"/>
      <c r="FA65" s="484"/>
      <c r="FB65" s="484"/>
      <c r="FC65" s="484"/>
      <c r="FD65" s="696"/>
      <c r="FE65" s="679">
        <v>43</v>
      </c>
      <c r="FF65" s="484"/>
      <c r="FG65" s="484"/>
      <c r="FH65" s="484"/>
      <c r="FI65" s="484"/>
      <c r="FJ65" s="484"/>
      <c r="FK65" s="484"/>
      <c r="FL65" s="484"/>
      <c r="FM65" s="484"/>
      <c r="FN65" s="484"/>
      <c r="FO65" s="484"/>
      <c r="FP65" s="484"/>
      <c r="FQ65" s="484"/>
      <c r="FR65" s="484"/>
      <c r="FS65" s="484"/>
      <c r="FT65" s="696"/>
      <c r="FU65" s="679">
        <v>44</v>
      </c>
      <c r="FV65" s="484"/>
      <c r="FW65" s="484"/>
      <c r="FX65" s="484"/>
      <c r="FY65" s="484"/>
      <c r="FZ65" s="484"/>
      <c r="GA65" s="484"/>
      <c r="GB65" s="484"/>
      <c r="GC65" s="484"/>
      <c r="GD65" s="484"/>
      <c r="GE65" s="484"/>
      <c r="GF65" s="484"/>
      <c r="GG65" s="484"/>
      <c r="GH65" s="484"/>
      <c r="GI65" s="484"/>
      <c r="GJ65" s="696"/>
      <c r="GK65" s="679">
        <v>45</v>
      </c>
      <c r="GL65" s="484"/>
      <c r="GM65" s="484"/>
      <c r="GN65" s="484"/>
      <c r="GO65" s="484"/>
      <c r="GP65" s="484"/>
      <c r="GQ65" s="484"/>
      <c r="GR65" s="484"/>
      <c r="GS65" s="484"/>
      <c r="GT65" s="484"/>
      <c r="GU65" s="484"/>
      <c r="GV65" s="484"/>
      <c r="GW65" s="484"/>
      <c r="GX65" s="484"/>
      <c r="GY65" s="484"/>
      <c r="GZ65" s="696"/>
      <c r="HA65" s="679">
        <v>46</v>
      </c>
      <c r="HB65" s="484"/>
      <c r="HC65" s="484"/>
      <c r="HD65" s="484"/>
      <c r="HE65" s="484"/>
      <c r="HF65" s="484"/>
      <c r="HG65" s="484"/>
      <c r="HH65" s="484"/>
      <c r="HI65" s="484"/>
      <c r="HJ65" s="484"/>
      <c r="HK65" s="484"/>
      <c r="HL65" s="484"/>
      <c r="HM65" s="484"/>
      <c r="HN65" s="484"/>
      <c r="HO65" s="484"/>
      <c r="HP65" s="696"/>
      <c r="HQ65" s="679">
        <v>47</v>
      </c>
      <c r="HR65" s="484"/>
      <c r="HS65" s="484"/>
      <c r="HT65" s="484"/>
      <c r="HU65" s="484"/>
      <c r="HV65" s="484"/>
      <c r="HW65" s="484"/>
      <c r="HX65" s="484"/>
      <c r="HY65" s="484"/>
      <c r="HZ65" s="484"/>
      <c r="IA65" s="484"/>
      <c r="IB65" s="484"/>
      <c r="IC65" s="484"/>
      <c r="ID65" s="484"/>
      <c r="IE65" s="484"/>
      <c r="IF65" s="696"/>
      <c r="IG65" s="679">
        <v>48</v>
      </c>
      <c r="IH65" s="484"/>
      <c r="II65" s="484"/>
      <c r="IJ65" s="484"/>
      <c r="IK65" s="484"/>
      <c r="IL65" s="484"/>
      <c r="IM65" s="484"/>
      <c r="IN65" s="484"/>
      <c r="IO65" s="484"/>
      <c r="IP65" s="484"/>
      <c r="IQ65" s="484"/>
      <c r="IR65" s="484"/>
      <c r="IS65" s="484"/>
      <c r="IT65" s="484"/>
      <c r="IU65" s="484"/>
      <c r="IV65" s="696"/>
    </row>
    <row r="66" spans="1:256" s="328" customFormat="1" ht="8.25" customHeight="1">
      <c r="A66" s="483">
        <v>100</v>
      </c>
      <c r="B66" s="321"/>
      <c r="C66" s="321"/>
      <c r="D66" s="321"/>
      <c r="E66" s="321"/>
      <c r="F66" s="321"/>
      <c r="G66" s="321"/>
      <c r="H66" s="321"/>
      <c r="I66" s="321"/>
      <c r="J66" s="321"/>
      <c r="K66" s="321"/>
      <c r="L66" s="321"/>
      <c r="M66" s="321"/>
      <c r="N66" s="321"/>
      <c r="O66" s="321"/>
      <c r="P66" s="564"/>
      <c r="Q66" s="483">
        <v>135</v>
      </c>
      <c r="R66" s="321"/>
      <c r="S66" s="321"/>
      <c r="T66" s="321"/>
      <c r="U66" s="321"/>
      <c r="V66" s="321"/>
      <c r="W66" s="321"/>
      <c r="X66" s="321"/>
      <c r="Y66" s="321"/>
      <c r="Z66" s="321"/>
      <c r="AA66" s="321"/>
      <c r="AB66" s="321"/>
      <c r="AC66" s="321"/>
      <c r="AD66" s="321"/>
      <c r="AE66" s="321"/>
      <c r="AF66" s="564"/>
      <c r="AG66" s="483">
        <v>140</v>
      </c>
      <c r="AH66" s="321"/>
      <c r="AI66" s="321"/>
      <c r="AJ66" s="321"/>
      <c r="AK66" s="321"/>
      <c r="AL66" s="321"/>
      <c r="AM66" s="321"/>
      <c r="AN66" s="321"/>
      <c r="AO66" s="321"/>
      <c r="AP66" s="321"/>
      <c r="AQ66" s="321"/>
      <c r="AR66" s="321"/>
      <c r="AS66" s="321"/>
      <c r="AT66" s="321"/>
      <c r="AU66" s="321"/>
      <c r="AV66" s="564"/>
      <c r="AW66" s="483">
        <v>120</v>
      </c>
      <c r="AX66" s="321"/>
      <c r="AY66" s="321"/>
      <c r="AZ66" s="321"/>
      <c r="BA66" s="321"/>
      <c r="BB66" s="321"/>
      <c r="BC66" s="321"/>
      <c r="BD66" s="321"/>
      <c r="BE66" s="321"/>
      <c r="BF66" s="321"/>
      <c r="BG66" s="321"/>
      <c r="BH66" s="321"/>
      <c r="BI66" s="321"/>
      <c r="BJ66" s="321"/>
      <c r="BK66" s="321"/>
      <c r="BL66" s="564"/>
      <c r="BM66" s="321">
        <v>0</v>
      </c>
      <c r="BN66" s="321"/>
      <c r="BO66" s="321"/>
      <c r="BP66" s="321"/>
      <c r="BQ66" s="321"/>
      <c r="BR66" s="321"/>
      <c r="BS66" s="321"/>
      <c r="BT66" s="321"/>
      <c r="BU66" s="321"/>
      <c r="BV66" s="321"/>
      <c r="BW66" s="321"/>
      <c r="BX66" s="321"/>
      <c r="BY66" s="321"/>
      <c r="BZ66" s="321"/>
      <c r="CA66" s="321"/>
      <c r="CB66" s="564"/>
      <c r="CC66" s="483">
        <v>130</v>
      </c>
      <c r="CD66" s="321"/>
      <c r="CE66" s="321"/>
      <c r="CF66" s="321"/>
      <c r="CG66" s="321"/>
      <c r="CH66" s="321"/>
      <c r="CI66" s="321"/>
      <c r="CJ66" s="321"/>
      <c r="CK66" s="321"/>
      <c r="CL66" s="321"/>
      <c r="CM66" s="321"/>
      <c r="CN66" s="321"/>
      <c r="CO66" s="321"/>
      <c r="CP66" s="321"/>
      <c r="CQ66" s="321"/>
      <c r="CR66" s="564"/>
      <c r="CS66" s="483">
        <v>120</v>
      </c>
      <c r="CT66" s="321"/>
      <c r="CU66" s="321"/>
      <c r="CV66" s="321"/>
      <c r="CW66" s="321"/>
      <c r="CX66" s="321"/>
      <c r="CY66" s="321"/>
      <c r="CZ66" s="321"/>
      <c r="DA66" s="321"/>
      <c r="DB66" s="321"/>
      <c r="DC66" s="321"/>
      <c r="DD66" s="321"/>
      <c r="DE66" s="321"/>
      <c r="DF66" s="321"/>
      <c r="DG66" s="321"/>
      <c r="DH66" s="564"/>
      <c r="DI66" s="483">
        <v>90</v>
      </c>
      <c r="DJ66" s="321"/>
      <c r="DK66" s="321"/>
      <c r="DL66" s="321"/>
      <c r="DM66" s="321"/>
      <c r="DN66" s="321"/>
      <c r="DO66" s="321"/>
      <c r="DP66" s="321"/>
      <c r="DQ66" s="321"/>
      <c r="DR66" s="321"/>
      <c r="DS66" s="321"/>
      <c r="DT66" s="321"/>
      <c r="DU66" s="321"/>
      <c r="DV66" s="321"/>
      <c r="DW66" s="321"/>
      <c r="DX66" s="564"/>
      <c r="DY66" s="483">
        <v>100</v>
      </c>
      <c r="DZ66" s="321"/>
      <c r="EA66" s="321"/>
      <c r="EB66" s="321"/>
      <c r="EC66" s="321"/>
      <c r="ED66" s="321"/>
      <c r="EE66" s="321"/>
      <c r="EF66" s="321"/>
      <c r="EG66" s="321"/>
      <c r="EH66" s="321"/>
      <c r="EI66" s="321"/>
      <c r="EJ66" s="321"/>
      <c r="EK66" s="321"/>
      <c r="EL66" s="321"/>
      <c r="EM66" s="321"/>
      <c r="EN66" s="564"/>
      <c r="EO66" s="483">
        <v>110</v>
      </c>
      <c r="EP66" s="321"/>
      <c r="EQ66" s="321"/>
      <c r="ER66" s="321"/>
      <c r="ES66" s="321"/>
      <c r="ET66" s="321"/>
      <c r="EU66" s="321"/>
      <c r="EV66" s="321"/>
      <c r="EW66" s="321"/>
      <c r="EX66" s="321"/>
      <c r="EY66" s="321"/>
      <c r="EZ66" s="321"/>
      <c r="FA66" s="321"/>
      <c r="FB66" s="321"/>
      <c r="FC66" s="321"/>
      <c r="FD66" s="564"/>
      <c r="FE66" s="483">
        <v>115</v>
      </c>
      <c r="FF66" s="321"/>
      <c r="FG66" s="321"/>
      <c r="FH66" s="321"/>
      <c r="FI66" s="321"/>
      <c r="FJ66" s="321"/>
      <c r="FK66" s="321"/>
      <c r="FL66" s="321"/>
      <c r="FM66" s="321"/>
      <c r="FN66" s="321"/>
      <c r="FO66" s="321"/>
      <c r="FP66" s="321"/>
      <c r="FQ66" s="321"/>
      <c r="FR66" s="321"/>
      <c r="FS66" s="321"/>
      <c r="FT66" s="564"/>
      <c r="FU66" s="483">
        <v>135</v>
      </c>
      <c r="FV66" s="321"/>
      <c r="FW66" s="321"/>
      <c r="FX66" s="321"/>
      <c r="FY66" s="321"/>
      <c r="FZ66" s="321"/>
      <c r="GA66" s="321"/>
      <c r="GB66" s="321"/>
      <c r="GC66" s="321"/>
      <c r="GD66" s="321"/>
      <c r="GE66" s="321"/>
      <c r="GF66" s="321"/>
      <c r="GG66" s="321"/>
      <c r="GH66" s="321"/>
      <c r="GI66" s="321"/>
      <c r="GJ66" s="564"/>
      <c r="GK66" s="483">
        <v>140</v>
      </c>
      <c r="GL66" s="321"/>
      <c r="GM66" s="321"/>
      <c r="GN66" s="321"/>
      <c r="GO66" s="321"/>
      <c r="GP66" s="321"/>
      <c r="GQ66" s="321"/>
      <c r="GR66" s="321"/>
      <c r="GS66" s="321"/>
      <c r="GT66" s="321"/>
      <c r="GU66" s="321"/>
      <c r="GV66" s="321"/>
      <c r="GW66" s="321"/>
      <c r="GX66" s="321"/>
      <c r="GY66" s="321"/>
      <c r="GZ66" s="564"/>
      <c r="HA66" s="483">
        <v>130</v>
      </c>
      <c r="HB66" s="321"/>
      <c r="HC66" s="321"/>
      <c r="HD66" s="321"/>
      <c r="HE66" s="321"/>
      <c r="HF66" s="321"/>
      <c r="HG66" s="321"/>
      <c r="HH66" s="321"/>
      <c r="HI66" s="321"/>
      <c r="HJ66" s="321"/>
      <c r="HK66" s="321"/>
      <c r="HL66" s="321"/>
      <c r="HM66" s="321"/>
      <c r="HN66" s="321"/>
      <c r="HO66" s="321"/>
      <c r="HP66" s="564"/>
      <c r="HQ66" s="483">
        <v>140</v>
      </c>
      <c r="HR66" s="321"/>
      <c r="HS66" s="321"/>
      <c r="HT66" s="321"/>
      <c r="HU66" s="321"/>
      <c r="HV66" s="321"/>
      <c r="HW66" s="321"/>
      <c r="HX66" s="321"/>
      <c r="HY66" s="321"/>
      <c r="HZ66" s="321"/>
      <c r="IA66" s="321"/>
      <c r="IB66" s="321"/>
      <c r="IC66" s="321"/>
      <c r="ID66" s="321"/>
      <c r="IE66" s="321"/>
      <c r="IF66" s="564"/>
      <c r="IG66" s="483">
        <v>140</v>
      </c>
      <c r="IH66" s="321"/>
      <c r="II66" s="321"/>
      <c r="IJ66" s="321"/>
      <c r="IK66" s="321"/>
      <c r="IL66" s="321"/>
      <c r="IM66" s="321"/>
      <c r="IN66" s="321"/>
      <c r="IO66" s="321"/>
      <c r="IP66" s="321"/>
      <c r="IQ66" s="321"/>
      <c r="IR66" s="321"/>
      <c r="IS66" s="321"/>
      <c r="IT66" s="321"/>
      <c r="IU66" s="321"/>
      <c r="IV66" s="564"/>
    </row>
    <row r="67" spans="1:256" s="328" customFormat="1" ht="8.25" customHeight="1">
      <c r="A67" s="483">
        <v>34</v>
      </c>
      <c r="B67" s="321"/>
      <c r="C67" s="321"/>
      <c r="D67" s="321"/>
      <c r="E67" s="321"/>
      <c r="F67" s="321"/>
      <c r="G67" s="321"/>
      <c r="H67" s="321"/>
      <c r="I67" s="321"/>
      <c r="J67" s="321"/>
      <c r="K67" s="321"/>
      <c r="L67" s="321"/>
      <c r="M67" s="321"/>
      <c r="N67" s="321"/>
      <c r="O67" s="321"/>
      <c r="P67" s="564"/>
      <c r="Q67" s="483">
        <v>35</v>
      </c>
      <c r="R67" s="321"/>
      <c r="S67" s="321"/>
      <c r="T67" s="321"/>
      <c r="U67" s="321"/>
      <c r="V67" s="321"/>
      <c r="W67" s="321"/>
      <c r="X67" s="321"/>
      <c r="Y67" s="321"/>
      <c r="Z67" s="321"/>
      <c r="AA67" s="321"/>
      <c r="AB67" s="321"/>
      <c r="AC67" s="321"/>
      <c r="AD67" s="321"/>
      <c r="AE67" s="321"/>
      <c r="AF67" s="564"/>
      <c r="AG67" s="483">
        <v>36</v>
      </c>
      <c r="AH67" s="321"/>
      <c r="AI67" s="321"/>
      <c r="AJ67" s="321"/>
      <c r="AK67" s="321"/>
      <c r="AL67" s="321"/>
      <c r="AM67" s="321"/>
      <c r="AN67" s="321"/>
      <c r="AO67" s="321"/>
      <c r="AP67" s="321"/>
      <c r="AQ67" s="321"/>
      <c r="AR67" s="321"/>
      <c r="AS67" s="321"/>
      <c r="AT67" s="321"/>
      <c r="AU67" s="321"/>
      <c r="AV67" s="564"/>
      <c r="AW67" s="483">
        <v>33</v>
      </c>
      <c r="AX67" s="321"/>
      <c r="AY67" s="321"/>
      <c r="AZ67" s="321"/>
      <c r="BA67" s="321"/>
      <c r="BB67" s="321"/>
      <c r="BC67" s="321"/>
      <c r="BD67" s="321"/>
      <c r="BE67" s="321"/>
      <c r="BF67" s="321"/>
      <c r="BG67" s="321"/>
      <c r="BH67" s="321"/>
      <c r="BI67" s="321"/>
      <c r="BJ67" s="321"/>
      <c r="BK67" s="321"/>
      <c r="BL67" s="564"/>
      <c r="BM67" s="321">
        <v>37</v>
      </c>
      <c r="BN67" s="321"/>
      <c r="BO67" s="321"/>
      <c r="BP67" s="321"/>
      <c r="BQ67" s="321"/>
      <c r="BR67" s="321"/>
      <c r="BS67" s="321"/>
      <c r="BT67" s="321"/>
      <c r="BU67" s="321"/>
      <c r="BV67" s="321"/>
      <c r="BW67" s="321"/>
      <c r="BX67" s="321"/>
      <c r="BY67" s="321"/>
      <c r="BZ67" s="321"/>
      <c r="CA67" s="321"/>
      <c r="CB67" s="564"/>
      <c r="CC67" s="483">
        <v>39</v>
      </c>
      <c r="CD67" s="321"/>
      <c r="CE67" s="321"/>
      <c r="CF67" s="321"/>
      <c r="CG67" s="321"/>
      <c r="CH67" s="321"/>
      <c r="CI67" s="321"/>
      <c r="CJ67" s="321"/>
      <c r="CK67" s="321"/>
      <c r="CL67" s="321"/>
      <c r="CM67" s="321"/>
      <c r="CN67" s="321"/>
      <c r="CO67" s="321"/>
      <c r="CP67" s="321"/>
      <c r="CQ67" s="321"/>
      <c r="CR67" s="564"/>
      <c r="CS67" s="483">
        <v>40</v>
      </c>
      <c r="CT67" s="321"/>
      <c r="CU67" s="321"/>
      <c r="CV67" s="321"/>
      <c r="CW67" s="321"/>
      <c r="CX67" s="321"/>
      <c r="CY67" s="321"/>
      <c r="CZ67" s="321"/>
      <c r="DA67" s="321"/>
      <c r="DB67" s="321"/>
      <c r="DC67" s="321"/>
      <c r="DD67" s="321"/>
      <c r="DE67" s="321"/>
      <c r="DF67" s="321"/>
      <c r="DG67" s="321"/>
      <c r="DH67" s="564"/>
      <c r="DI67" s="483">
        <v>41</v>
      </c>
      <c r="DJ67" s="321"/>
      <c r="DK67" s="321"/>
      <c r="DL67" s="321"/>
      <c r="DM67" s="321"/>
      <c r="DN67" s="321"/>
      <c r="DO67" s="321"/>
      <c r="DP67" s="321"/>
      <c r="DQ67" s="321"/>
      <c r="DR67" s="321"/>
      <c r="DS67" s="321"/>
      <c r="DT67" s="321"/>
      <c r="DU67" s="321"/>
      <c r="DV67" s="321"/>
      <c r="DW67" s="321"/>
      <c r="DX67" s="564"/>
      <c r="DY67" s="483">
        <v>42</v>
      </c>
      <c r="DZ67" s="321"/>
      <c r="EA67" s="321"/>
      <c r="EB67" s="321"/>
      <c r="EC67" s="321"/>
      <c r="ED67" s="321"/>
      <c r="EE67" s="321"/>
      <c r="EF67" s="321"/>
      <c r="EG67" s="321"/>
      <c r="EH67" s="321"/>
      <c r="EI67" s="321"/>
      <c r="EJ67" s="321"/>
      <c r="EK67" s="321"/>
      <c r="EL67" s="321"/>
      <c r="EM67" s="321"/>
      <c r="EN67" s="564"/>
      <c r="EO67" s="483">
        <v>43</v>
      </c>
      <c r="EP67" s="321"/>
      <c r="EQ67" s="321"/>
      <c r="ER67" s="321"/>
      <c r="ES67" s="321"/>
      <c r="ET67" s="321"/>
      <c r="EU67" s="321"/>
      <c r="EV67" s="321"/>
      <c r="EW67" s="321"/>
      <c r="EX67" s="321"/>
      <c r="EY67" s="321"/>
      <c r="EZ67" s="321"/>
      <c r="FA67" s="321"/>
      <c r="FB67" s="321"/>
      <c r="FC67" s="321"/>
      <c r="FD67" s="564"/>
      <c r="FE67" s="483">
        <v>44</v>
      </c>
      <c r="FF67" s="321"/>
      <c r="FG67" s="321"/>
      <c r="FH67" s="321"/>
      <c r="FI67" s="321"/>
      <c r="FJ67" s="321"/>
      <c r="FK67" s="321"/>
      <c r="FL67" s="321"/>
      <c r="FM67" s="321"/>
      <c r="FN67" s="321"/>
      <c r="FO67" s="321"/>
      <c r="FP67" s="321"/>
      <c r="FQ67" s="321"/>
      <c r="FR67" s="321"/>
      <c r="FS67" s="321"/>
      <c r="FT67" s="564"/>
      <c r="FU67" s="483">
        <v>45</v>
      </c>
      <c r="FV67" s="321"/>
      <c r="FW67" s="321"/>
      <c r="FX67" s="321"/>
      <c r="FY67" s="321"/>
      <c r="FZ67" s="321"/>
      <c r="GA67" s="321"/>
      <c r="GB67" s="321"/>
      <c r="GC67" s="321"/>
      <c r="GD67" s="321"/>
      <c r="GE67" s="321"/>
      <c r="GF67" s="321"/>
      <c r="GG67" s="321"/>
      <c r="GH67" s="321"/>
      <c r="GI67" s="321"/>
      <c r="GJ67" s="564"/>
      <c r="GK67" s="483">
        <v>46</v>
      </c>
      <c r="GL67" s="321"/>
      <c r="GM67" s="321"/>
      <c r="GN67" s="321"/>
      <c r="GO67" s="321"/>
      <c r="GP67" s="321"/>
      <c r="GQ67" s="321"/>
      <c r="GR67" s="321"/>
      <c r="GS67" s="321"/>
      <c r="GT67" s="321"/>
      <c r="GU67" s="321"/>
      <c r="GV67" s="321"/>
      <c r="GW67" s="321"/>
      <c r="GX67" s="321"/>
      <c r="GY67" s="321"/>
      <c r="GZ67" s="564"/>
      <c r="HA67" s="483">
        <v>47</v>
      </c>
      <c r="HB67" s="321"/>
      <c r="HC67" s="321"/>
      <c r="HD67" s="321"/>
      <c r="HE67" s="321"/>
      <c r="HF67" s="321"/>
      <c r="HG67" s="321"/>
      <c r="HH67" s="321"/>
      <c r="HI67" s="321"/>
      <c r="HJ67" s="321"/>
      <c r="HK67" s="321"/>
      <c r="HL67" s="321"/>
      <c r="HM67" s="321"/>
      <c r="HN67" s="321"/>
      <c r="HO67" s="321"/>
      <c r="HP67" s="564"/>
      <c r="HQ67" s="483">
        <v>48</v>
      </c>
      <c r="HR67" s="321"/>
      <c r="HS67" s="321"/>
      <c r="HT67" s="321"/>
      <c r="HU67" s="321"/>
      <c r="HV67" s="321"/>
      <c r="HW67" s="321"/>
      <c r="HX67" s="321"/>
      <c r="HY67" s="321"/>
      <c r="HZ67" s="321"/>
      <c r="IA67" s="321"/>
      <c r="IB67" s="321"/>
      <c r="IC67" s="321"/>
      <c r="ID67" s="321"/>
      <c r="IE67" s="321"/>
      <c r="IF67" s="564"/>
      <c r="IG67" s="483">
        <v>49</v>
      </c>
      <c r="IH67" s="321"/>
      <c r="II67" s="321"/>
      <c r="IJ67" s="321"/>
      <c r="IK67" s="321"/>
      <c r="IL67" s="321"/>
      <c r="IM67" s="321"/>
      <c r="IN67" s="321"/>
      <c r="IO67" s="321"/>
      <c r="IP67" s="321"/>
      <c r="IQ67" s="321"/>
      <c r="IR67" s="321"/>
      <c r="IS67" s="321"/>
      <c r="IT67" s="321"/>
      <c r="IU67" s="321"/>
      <c r="IV67" s="564"/>
    </row>
    <row r="68" spans="1:256" s="328" customFormat="1" ht="8.25" customHeight="1">
      <c r="A68" s="483">
        <v>450</v>
      </c>
      <c r="B68" s="321"/>
      <c r="C68" s="321"/>
      <c r="D68" s="321"/>
      <c r="E68" s="321"/>
      <c r="F68" s="321"/>
      <c r="G68" s="321"/>
      <c r="H68" s="321"/>
      <c r="I68" s="321"/>
      <c r="J68" s="321"/>
      <c r="K68" s="321"/>
      <c r="L68" s="321"/>
      <c r="M68" s="321"/>
      <c r="N68" s="321"/>
      <c r="O68" s="321"/>
      <c r="P68" s="564"/>
      <c r="Q68" s="483">
        <v>400</v>
      </c>
      <c r="R68" s="321"/>
      <c r="S68" s="321"/>
      <c r="T68" s="321"/>
      <c r="U68" s="321"/>
      <c r="V68" s="321"/>
      <c r="W68" s="321"/>
      <c r="X68" s="321"/>
      <c r="Y68" s="321"/>
      <c r="Z68" s="321"/>
      <c r="AA68" s="321"/>
      <c r="AB68" s="321"/>
      <c r="AC68" s="321"/>
      <c r="AD68" s="321"/>
      <c r="AE68" s="321"/>
      <c r="AF68" s="564"/>
      <c r="AG68" s="483">
        <v>400</v>
      </c>
      <c r="AH68" s="321"/>
      <c r="AI68" s="321"/>
      <c r="AJ68" s="321"/>
      <c r="AK68" s="321"/>
      <c r="AL68" s="321"/>
      <c r="AM68" s="321"/>
      <c r="AN68" s="321"/>
      <c r="AO68" s="321"/>
      <c r="AP68" s="321"/>
      <c r="AQ68" s="321"/>
      <c r="AR68" s="321"/>
      <c r="AS68" s="321"/>
      <c r="AT68" s="321"/>
      <c r="AU68" s="321"/>
      <c r="AV68" s="564"/>
      <c r="AW68" s="483">
        <v>400</v>
      </c>
      <c r="AX68" s="321"/>
      <c r="AY68" s="321"/>
      <c r="AZ68" s="321"/>
      <c r="BA68" s="321"/>
      <c r="BB68" s="321"/>
      <c r="BC68" s="321"/>
      <c r="BD68" s="321"/>
      <c r="BE68" s="321"/>
      <c r="BF68" s="321"/>
      <c r="BG68" s="321"/>
      <c r="BH68" s="321"/>
      <c r="BI68" s="321"/>
      <c r="BJ68" s="321"/>
      <c r="BK68" s="321"/>
      <c r="BL68" s="564"/>
      <c r="BM68" s="321">
        <v>1000</v>
      </c>
      <c r="BN68" s="321"/>
      <c r="BO68" s="321"/>
      <c r="BP68" s="321"/>
      <c r="BQ68" s="321"/>
      <c r="BR68" s="321"/>
      <c r="BS68" s="321"/>
      <c r="BT68" s="321"/>
      <c r="BU68" s="321"/>
      <c r="BV68" s="321"/>
      <c r="BW68" s="321"/>
      <c r="BX68" s="321"/>
      <c r="BY68" s="321"/>
      <c r="BZ68" s="321"/>
      <c r="CA68" s="321"/>
      <c r="CB68" s="564"/>
      <c r="CC68" s="483">
        <v>2000</v>
      </c>
      <c r="CD68" s="321"/>
      <c r="CE68" s="321"/>
      <c r="CF68" s="321"/>
      <c r="CG68" s="321"/>
      <c r="CH68" s="321"/>
      <c r="CI68" s="321"/>
      <c r="CJ68" s="321"/>
      <c r="CK68" s="321"/>
      <c r="CL68" s="321"/>
      <c r="CM68" s="321"/>
      <c r="CN68" s="321"/>
      <c r="CO68" s="321"/>
      <c r="CP68" s="321"/>
      <c r="CQ68" s="321"/>
      <c r="CR68" s="564"/>
      <c r="CS68" s="483">
        <v>2500</v>
      </c>
      <c r="CT68" s="321"/>
      <c r="CU68" s="321"/>
      <c r="CV68" s="321"/>
      <c r="CW68" s="321"/>
      <c r="CX68" s="321"/>
      <c r="CY68" s="321"/>
      <c r="CZ68" s="321"/>
      <c r="DA68" s="321"/>
      <c r="DB68" s="321"/>
      <c r="DC68" s="321"/>
      <c r="DD68" s="321"/>
      <c r="DE68" s="321"/>
      <c r="DF68" s="321"/>
      <c r="DG68" s="321"/>
      <c r="DH68" s="564"/>
      <c r="DI68" s="483">
        <v>400</v>
      </c>
      <c r="DJ68" s="321"/>
      <c r="DK68" s="321"/>
      <c r="DL68" s="321"/>
      <c r="DM68" s="321"/>
      <c r="DN68" s="321"/>
      <c r="DO68" s="321"/>
      <c r="DP68" s="321"/>
      <c r="DQ68" s="321"/>
      <c r="DR68" s="321"/>
      <c r="DS68" s="321"/>
      <c r="DT68" s="321"/>
      <c r="DU68" s="321"/>
      <c r="DV68" s="321"/>
      <c r="DW68" s="321"/>
      <c r="DX68" s="564"/>
      <c r="DY68" s="483">
        <v>400</v>
      </c>
      <c r="DZ68" s="321"/>
      <c r="EA68" s="321"/>
      <c r="EB68" s="321"/>
      <c r="EC68" s="321"/>
      <c r="ED68" s="321"/>
      <c r="EE68" s="321"/>
      <c r="EF68" s="321"/>
      <c r="EG68" s="321"/>
      <c r="EH68" s="321"/>
      <c r="EI68" s="321"/>
      <c r="EJ68" s="321"/>
      <c r="EK68" s="321"/>
      <c r="EL68" s="321"/>
      <c r="EM68" s="321"/>
      <c r="EN68" s="564"/>
      <c r="EO68" s="483">
        <v>400</v>
      </c>
      <c r="EP68" s="321"/>
      <c r="EQ68" s="321"/>
      <c r="ER68" s="321"/>
      <c r="ES68" s="321"/>
      <c r="ET68" s="321"/>
      <c r="EU68" s="321"/>
      <c r="EV68" s="321"/>
      <c r="EW68" s="321"/>
      <c r="EX68" s="321"/>
      <c r="EY68" s="321"/>
      <c r="EZ68" s="321"/>
      <c r="FA68" s="321"/>
      <c r="FB68" s="321"/>
      <c r="FC68" s="321"/>
      <c r="FD68" s="564"/>
      <c r="FE68" s="483">
        <v>800</v>
      </c>
      <c r="FF68" s="321"/>
      <c r="FG68" s="321"/>
      <c r="FH68" s="321"/>
      <c r="FI68" s="321"/>
      <c r="FJ68" s="321"/>
      <c r="FK68" s="321"/>
      <c r="FL68" s="321"/>
      <c r="FM68" s="321"/>
      <c r="FN68" s="321"/>
      <c r="FO68" s="321"/>
      <c r="FP68" s="321"/>
      <c r="FQ68" s="321"/>
      <c r="FR68" s="321"/>
      <c r="FS68" s="321"/>
      <c r="FT68" s="564"/>
      <c r="FU68" s="483">
        <v>600</v>
      </c>
      <c r="FV68" s="321"/>
      <c r="FW68" s="321"/>
      <c r="FX68" s="321"/>
      <c r="FY68" s="321"/>
      <c r="FZ68" s="321"/>
      <c r="GA68" s="321"/>
      <c r="GB68" s="321"/>
      <c r="GC68" s="321"/>
      <c r="GD68" s="321"/>
      <c r="GE68" s="321"/>
      <c r="GF68" s="321"/>
      <c r="GG68" s="321"/>
      <c r="GH68" s="321"/>
      <c r="GI68" s="321"/>
      <c r="GJ68" s="564"/>
      <c r="GK68" s="483">
        <v>600</v>
      </c>
      <c r="GL68" s="321"/>
      <c r="GM68" s="321"/>
      <c r="GN68" s="321"/>
      <c r="GO68" s="321"/>
      <c r="GP68" s="321"/>
      <c r="GQ68" s="321"/>
      <c r="GR68" s="321"/>
      <c r="GS68" s="321"/>
      <c r="GT68" s="321"/>
      <c r="GU68" s="321"/>
      <c r="GV68" s="321"/>
      <c r="GW68" s="321"/>
      <c r="GX68" s="321"/>
      <c r="GY68" s="321"/>
      <c r="GZ68" s="564"/>
      <c r="HA68" s="483">
        <v>1000</v>
      </c>
      <c r="HB68" s="321"/>
      <c r="HC68" s="321"/>
      <c r="HD68" s="321"/>
      <c r="HE68" s="321"/>
      <c r="HF68" s="321"/>
      <c r="HG68" s="321"/>
      <c r="HH68" s="321"/>
      <c r="HI68" s="321"/>
      <c r="HJ68" s="321"/>
      <c r="HK68" s="321"/>
      <c r="HL68" s="321"/>
      <c r="HM68" s="321"/>
      <c r="HN68" s="321"/>
      <c r="HO68" s="321"/>
      <c r="HP68" s="564"/>
      <c r="HQ68" s="483">
        <v>600</v>
      </c>
      <c r="HR68" s="321"/>
      <c r="HS68" s="321"/>
      <c r="HT68" s="321"/>
      <c r="HU68" s="321"/>
      <c r="HV68" s="321"/>
      <c r="HW68" s="321"/>
      <c r="HX68" s="321"/>
      <c r="HY68" s="321"/>
      <c r="HZ68" s="321"/>
      <c r="IA68" s="321"/>
      <c r="IB68" s="321"/>
      <c r="IC68" s="321"/>
      <c r="ID68" s="321"/>
      <c r="IE68" s="321"/>
      <c r="IF68" s="564"/>
      <c r="IG68" s="483">
        <v>500</v>
      </c>
      <c r="IH68" s="321"/>
      <c r="II68" s="321"/>
      <c r="IJ68" s="321"/>
      <c r="IK68" s="321"/>
      <c r="IL68" s="321"/>
      <c r="IM68" s="321"/>
      <c r="IN68" s="321"/>
      <c r="IO68" s="321"/>
      <c r="IP68" s="321"/>
      <c r="IQ68" s="321"/>
      <c r="IR68" s="321"/>
      <c r="IS68" s="321"/>
      <c r="IT68" s="321"/>
      <c r="IU68" s="321"/>
      <c r="IV68" s="564"/>
    </row>
    <row r="69" spans="1:256" s="328" customFormat="1" ht="8.25" customHeight="1">
      <c r="A69" s="483">
        <v>10</v>
      </c>
      <c r="B69" s="321"/>
      <c r="C69" s="321"/>
      <c r="D69" s="321"/>
      <c r="E69" s="321"/>
      <c r="F69" s="321"/>
      <c r="G69" s="321"/>
      <c r="H69" s="321"/>
      <c r="I69" s="321"/>
      <c r="J69" s="321"/>
      <c r="K69" s="321"/>
      <c r="L69" s="321"/>
      <c r="M69" s="321"/>
      <c r="N69" s="321"/>
      <c r="O69" s="321"/>
      <c r="P69" s="564"/>
      <c r="Q69" s="483">
        <v>10</v>
      </c>
      <c r="R69" s="321"/>
      <c r="S69" s="321"/>
      <c r="T69" s="321"/>
      <c r="U69" s="321"/>
      <c r="V69" s="321"/>
      <c r="W69" s="321"/>
      <c r="X69" s="321"/>
      <c r="Y69" s="321"/>
      <c r="Z69" s="321"/>
      <c r="AA69" s="321"/>
      <c r="AB69" s="321"/>
      <c r="AC69" s="321"/>
      <c r="AD69" s="321"/>
      <c r="AE69" s="321"/>
      <c r="AF69" s="564"/>
      <c r="AG69" s="483">
        <v>10</v>
      </c>
      <c r="AH69" s="321"/>
      <c r="AI69" s="321"/>
      <c r="AJ69" s="321"/>
      <c r="AK69" s="321"/>
      <c r="AL69" s="321"/>
      <c r="AM69" s="321"/>
      <c r="AN69" s="321"/>
      <c r="AO69" s="321"/>
      <c r="AP69" s="321"/>
      <c r="AQ69" s="321"/>
      <c r="AR69" s="321"/>
      <c r="AS69" s="321"/>
      <c r="AT69" s="321"/>
      <c r="AU69" s="321"/>
      <c r="AV69" s="564"/>
      <c r="AW69" s="483">
        <v>10</v>
      </c>
      <c r="AX69" s="321"/>
      <c r="AY69" s="321"/>
      <c r="AZ69" s="321"/>
      <c r="BA69" s="321"/>
      <c r="BB69" s="321"/>
      <c r="BC69" s="321"/>
      <c r="BD69" s="321"/>
      <c r="BE69" s="321"/>
      <c r="BF69" s="321"/>
      <c r="BG69" s="321"/>
      <c r="BH69" s="321"/>
      <c r="BI69" s="321"/>
      <c r="BJ69" s="321"/>
      <c r="BK69" s="321"/>
      <c r="BL69" s="564"/>
      <c r="BM69" s="321"/>
      <c r="BN69" s="321"/>
      <c r="BO69" s="321"/>
      <c r="BP69" s="321"/>
      <c r="BQ69" s="321"/>
      <c r="BR69" s="321"/>
      <c r="BS69" s="321"/>
      <c r="BT69" s="321"/>
      <c r="BU69" s="321"/>
      <c r="BV69" s="321"/>
      <c r="BW69" s="321"/>
      <c r="BX69" s="321"/>
      <c r="BY69" s="321"/>
      <c r="BZ69" s="321"/>
      <c r="CA69" s="321"/>
      <c r="CB69" s="564"/>
      <c r="CC69" s="431">
        <v>10</v>
      </c>
      <c r="CD69" s="431"/>
      <c r="CE69" s="431"/>
      <c r="CF69" s="431"/>
      <c r="CG69" s="431"/>
      <c r="CH69" s="431"/>
      <c r="CI69" s="431"/>
      <c r="CJ69" s="431"/>
      <c r="CK69" s="431"/>
      <c r="CL69" s="431"/>
      <c r="CM69" s="431"/>
      <c r="CN69" s="431"/>
      <c r="CO69" s="431"/>
      <c r="CP69" s="431"/>
      <c r="CQ69" s="431"/>
      <c r="CR69" s="431"/>
      <c r="CS69" s="431">
        <v>10</v>
      </c>
      <c r="CT69" s="431"/>
      <c r="CU69" s="431"/>
      <c r="CV69" s="431"/>
      <c r="CW69" s="431"/>
      <c r="CX69" s="431"/>
      <c r="CY69" s="431"/>
      <c r="CZ69" s="431"/>
      <c r="DA69" s="431"/>
      <c r="DB69" s="438"/>
      <c r="DC69" s="438"/>
      <c r="DD69" s="438"/>
      <c r="DE69" s="438"/>
      <c r="DF69" s="438"/>
      <c r="DG69" s="438"/>
      <c r="DH69" s="438"/>
      <c r="DI69" s="462">
        <v>10</v>
      </c>
      <c r="DJ69" s="462"/>
      <c r="DK69" s="456"/>
      <c r="DL69" s="443"/>
      <c r="DM69" s="429"/>
      <c r="DN69" s="435"/>
      <c r="DO69" s="419"/>
      <c r="DP69" s="419"/>
      <c r="DQ69" s="419"/>
      <c r="DR69" s="419"/>
      <c r="DS69" s="419"/>
      <c r="DT69" s="430"/>
      <c r="DU69" s="419"/>
      <c r="DV69" s="455"/>
      <c r="DW69" s="419"/>
      <c r="DX69" s="419"/>
      <c r="DY69" s="462">
        <v>10</v>
      </c>
      <c r="DZ69" s="462"/>
      <c r="EA69" s="456"/>
      <c r="EB69" s="443"/>
      <c r="EC69" s="429"/>
      <c r="ED69" s="435"/>
      <c r="EE69" s="419"/>
      <c r="EF69" s="419"/>
      <c r="EG69" s="419"/>
      <c r="EH69" s="419"/>
      <c r="EI69" s="419"/>
      <c r="EJ69" s="419"/>
      <c r="EK69" s="430"/>
      <c r="EL69" s="419"/>
      <c r="EM69" s="419"/>
      <c r="EN69" s="419"/>
      <c r="EO69" s="462">
        <v>10</v>
      </c>
      <c r="EP69" s="456"/>
      <c r="EQ69" s="449"/>
      <c r="ER69" s="429"/>
      <c r="ES69" s="435"/>
      <c r="ET69" s="419"/>
      <c r="EU69" s="419"/>
      <c r="EV69" s="419"/>
      <c r="EW69" s="419"/>
      <c r="EX69" s="419"/>
      <c r="EY69" s="419"/>
      <c r="EZ69" s="419"/>
      <c r="FA69" s="430"/>
      <c r="FB69" s="419"/>
      <c r="FC69" s="419"/>
      <c r="FD69" s="419"/>
      <c r="FE69" s="456">
        <v>10</v>
      </c>
      <c r="FF69" s="449"/>
      <c r="FG69" s="443"/>
      <c r="FH69" s="435"/>
      <c r="FI69" s="428"/>
      <c r="FJ69" s="419"/>
      <c r="FK69" s="419"/>
      <c r="FL69" s="419"/>
      <c r="FM69" s="419"/>
      <c r="FN69" s="419"/>
      <c r="FO69" s="419"/>
      <c r="FP69" s="419"/>
      <c r="FQ69" s="419"/>
      <c r="FR69" s="419"/>
      <c r="FS69" s="419"/>
      <c r="FT69" s="430"/>
      <c r="FU69" s="428">
        <v>10</v>
      </c>
      <c r="FV69" s="428"/>
      <c r="FW69" s="428"/>
      <c r="FX69" s="428"/>
      <c r="FY69" s="428"/>
      <c r="FZ69" s="428"/>
      <c r="GA69" s="428"/>
      <c r="GB69" s="428"/>
      <c r="GC69" s="428"/>
      <c r="GD69" s="428"/>
      <c r="GE69" s="428"/>
      <c r="GF69" s="428"/>
      <c r="GG69" s="428"/>
      <c r="GH69" s="431"/>
      <c r="GI69" s="428"/>
      <c r="GJ69" s="428"/>
      <c r="GK69" s="428">
        <v>10</v>
      </c>
      <c r="GL69" s="428"/>
      <c r="GM69" s="428"/>
      <c r="GN69" s="428"/>
      <c r="GO69" s="428"/>
      <c r="GP69" s="428"/>
      <c r="GQ69" s="428"/>
      <c r="GR69" s="428"/>
      <c r="GS69" s="428"/>
      <c r="GT69" s="428"/>
      <c r="GU69" s="428"/>
      <c r="GV69" s="428"/>
      <c r="GW69" s="428"/>
      <c r="GX69" s="431"/>
      <c r="GY69" s="428"/>
      <c r="GZ69" s="428"/>
      <c r="HA69" s="428">
        <v>10</v>
      </c>
      <c r="HB69" s="428"/>
      <c r="HC69" s="428"/>
      <c r="HD69" s="428"/>
      <c r="HE69" s="428"/>
      <c r="HF69" s="428"/>
      <c r="HG69" s="428"/>
      <c r="HH69" s="428"/>
      <c r="HI69" s="428"/>
      <c r="HJ69" s="428"/>
      <c r="HK69" s="428"/>
      <c r="HL69" s="428"/>
      <c r="HM69" s="428"/>
      <c r="HN69" s="431"/>
      <c r="HO69" s="428"/>
      <c r="HP69" s="428"/>
      <c r="HQ69" s="458">
        <v>10</v>
      </c>
      <c r="HR69" s="462"/>
      <c r="HS69" s="410"/>
      <c r="HT69" s="462"/>
      <c r="HU69" s="458"/>
      <c r="HV69" s="458"/>
      <c r="HW69" s="458"/>
      <c r="HX69" s="451"/>
      <c r="HY69" s="451"/>
      <c r="HZ69" s="457"/>
      <c r="IA69" s="437"/>
      <c r="IB69" s="430"/>
      <c r="IC69" s="437"/>
      <c r="ID69" s="430"/>
      <c r="IE69" s="437"/>
      <c r="IF69" s="430"/>
      <c r="IG69" s="432">
        <v>10</v>
      </c>
      <c r="IH69" s="462"/>
      <c r="II69" s="410"/>
      <c r="IJ69" s="462"/>
      <c r="IK69" s="458"/>
      <c r="IL69" s="458"/>
      <c r="IM69" s="458"/>
      <c r="IN69" s="458"/>
      <c r="IO69" s="458"/>
      <c r="IP69" s="451"/>
      <c r="IQ69" s="451"/>
      <c r="IR69" s="457"/>
      <c r="IS69" s="437"/>
      <c r="IT69" s="430"/>
      <c r="IU69" s="437"/>
      <c r="IV69" s="437"/>
    </row>
    <row r="70" spans="1:256" s="328" customFormat="1" ht="8.25" customHeight="1">
      <c r="A70" s="483">
        <v>140</v>
      </c>
      <c r="B70" s="321"/>
      <c r="C70" s="321"/>
      <c r="D70" s="321"/>
      <c r="E70" s="321"/>
      <c r="F70" s="321"/>
      <c r="G70" s="321"/>
      <c r="H70" s="321"/>
      <c r="I70" s="321"/>
      <c r="J70" s="321"/>
      <c r="K70" s="321"/>
      <c r="L70" s="321"/>
      <c r="M70" s="321"/>
      <c r="N70" s="321"/>
      <c r="O70" s="321"/>
      <c r="P70" s="564"/>
      <c r="Q70" s="483">
        <v>140</v>
      </c>
      <c r="R70" s="321"/>
      <c r="S70" s="321"/>
      <c r="T70" s="321"/>
      <c r="U70" s="321"/>
      <c r="V70" s="321"/>
      <c r="W70" s="321"/>
      <c r="X70" s="321"/>
      <c r="Y70" s="321"/>
      <c r="Z70" s="321"/>
      <c r="AA70" s="321"/>
      <c r="AB70" s="321"/>
      <c r="AC70" s="321"/>
      <c r="AD70" s="321"/>
      <c r="AE70" s="321"/>
      <c r="AF70" s="564"/>
      <c r="AG70" s="483">
        <v>140</v>
      </c>
      <c r="AH70" s="321"/>
      <c r="AI70" s="321"/>
      <c r="AJ70" s="321"/>
      <c r="AK70" s="321"/>
      <c r="AL70" s="321"/>
      <c r="AM70" s="321"/>
      <c r="AN70" s="321"/>
      <c r="AO70" s="321"/>
      <c r="AP70" s="321"/>
      <c r="AQ70" s="321"/>
      <c r="AR70" s="321"/>
      <c r="AS70" s="321"/>
      <c r="AT70" s="321"/>
      <c r="AU70" s="321"/>
      <c r="AV70" s="564"/>
      <c r="AW70" s="483">
        <v>140</v>
      </c>
      <c r="AX70" s="321"/>
      <c r="AY70" s="321"/>
      <c r="AZ70" s="321"/>
      <c r="BA70" s="321"/>
      <c r="BB70" s="321"/>
      <c r="BC70" s="321"/>
      <c r="BD70" s="321"/>
      <c r="BE70" s="321"/>
      <c r="BF70" s="321"/>
      <c r="BG70" s="321"/>
      <c r="BH70" s="321"/>
      <c r="BI70" s="321"/>
      <c r="BJ70" s="321"/>
      <c r="BK70" s="321"/>
      <c r="BL70" s="564"/>
      <c r="BM70" s="321"/>
      <c r="BN70" s="321"/>
      <c r="BO70" s="321"/>
      <c r="BP70" s="321"/>
      <c r="BQ70" s="321"/>
      <c r="BR70" s="321"/>
      <c r="BS70" s="321"/>
      <c r="BT70" s="321"/>
      <c r="BU70" s="321"/>
      <c r="BV70" s="321"/>
      <c r="BW70" s="321"/>
      <c r="BX70" s="321"/>
      <c r="BY70" s="321"/>
      <c r="BZ70" s="321"/>
      <c r="CA70" s="321"/>
      <c r="CB70" s="564"/>
      <c r="CC70" s="456">
        <v>142</v>
      </c>
      <c r="CD70" s="429"/>
      <c r="CE70" s="431"/>
      <c r="CF70" s="431"/>
      <c r="CG70" s="456"/>
      <c r="CH70" s="429"/>
      <c r="CI70" s="456"/>
      <c r="CJ70" s="456"/>
      <c r="CK70" s="456"/>
      <c r="CL70" s="429"/>
      <c r="CM70" s="456"/>
      <c r="CN70" s="429"/>
      <c r="CO70" s="431"/>
      <c r="CP70" s="456"/>
      <c r="CQ70" s="429"/>
      <c r="CR70" s="431"/>
      <c r="CS70" s="410">
        <v>142</v>
      </c>
      <c r="CT70" s="410"/>
      <c r="CU70" s="410"/>
      <c r="CV70" s="412"/>
      <c r="CW70" s="431"/>
      <c r="CX70" s="431"/>
      <c r="CY70" s="431"/>
      <c r="CZ70" s="431"/>
      <c r="DA70" s="431"/>
      <c r="DB70" s="459"/>
      <c r="DC70" s="459"/>
      <c r="DD70" s="459"/>
      <c r="DE70" s="459"/>
      <c r="DF70" s="459"/>
      <c r="DG70" s="426"/>
      <c r="DH70" s="438"/>
      <c r="DI70" s="462">
        <v>142</v>
      </c>
      <c r="DJ70" s="456"/>
      <c r="DK70" s="449"/>
      <c r="DL70" s="429"/>
      <c r="DM70" s="435"/>
      <c r="DN70" s="419"/>
      <c r="DO70" s="419"/>
      <c r="DP70" s="419"/>
      <c r="DQ70" s="419"/>
      <c r="DR70" s="419"/>
      <c r="DS70" s="419"/>
      <c r="DT70" s="435"/>
      <c r="DU70" s="432"/>
      <c r="DV70" s="419"/>
      <c r="DW70" s="435"/>
      <c r="DX70" s="430"/>
      <c r="DY70" s="462">
        <v>142</v>
      </c>
      <c r="DZ70" s="456"/>
      <c r="EA70" s="449"/>
      <c r="EB70" s="429"/>
      <c r="EC70" s="435"/>
      <c r="ED70" s="419"/>
      <c r="EE70" s="419"/>
      <c r="EF70" s="419"/>
      <c r="EG70" s="419"/>
      <c r="EH70" s="419"/>
      <c r="EI70" s="419"/>
      <c r="EJ70" s="419"/>
      <c r="EK70" s="419"/>
      <c r="EL70" s="419"/>
      <c r="EM70" s="419"/>
      <c r="EN70" s="430"/>
      <c r="EO70" s="456">
        <v>142</v>
      </c>
      <c r="EP70" s="449"/>
      <c r="EQ70" s="443"/>
      <c r="ER70" s="435"/>
      <c r="ES70" s="428"/>
      <c r="ET70" s="419"/>
      <c r="EU70" s="419"/>
      <c r="EV70" s="419"/>
      <c r="EW70" s="419"/>
      <c r="EX70" s="419"/>
      <c r="EY70" s="419"/>
      <c r="EZ70" s="419"/>
      <c r="FA70" s="419"/>
      <c r="FB70" s="419"/>
      <c r="FC70" s="419"/>
      <c r="FD70" s="430"/>
      <c r="FE70" s="429">
        <v>142</v>
      </c>
      <c r="FF70" s="443"/>
      <c r="FG70" s="435"/>
      <c r="FH70" s="429"/>
      <c r="FI70" s="419"/>
      <c r="FJ70" s="419"/>
      <c r="FK70" s="419"/>
      <c r="FL70" s="419"/>
      <c r="FM70" s="419"/>
      <c r="FN70" s="419"/>
      <c r="FO70" s="419"/>
      <c r="FP70" s="419"/>
      <c r="FQ70" s="419"/>
      <c r="FR70" s="419"/>
      <c r="FS70" s="419"/>
      <c r="FT70" s="419"/>
      <c r="FU70" s="435">
        <v>142</v>
      </c>
      <c r="FV70" s="435"/>
      <c r="FW70" s="435"/>
      <c r="FX70" s="435"/>
      <c r="FY70" s="435"/>
      <c r="FZ70" s="431"/>
      <c r="GA70" s="435"/>
      <c r="GB70" s="435"/>
      <c r="GC70" s="435"/>
      <c r="GD70" s="435"/>
      <c r="GE70" s="435"/>
      <c r="GF70" s="435"/>
      <c r="GG70" s="435"/>
      <c r="GH70" s="435"/>
      <c r="GI70" s="435"/>
      <c r="GJ70" s="435"/>
      <c r="GK70" s="435">
        <v>142</v>
      </c>
      <c r="GL70" s="435"/>
      <c r="GM70" s="435"/>
      <c r="GN70" s="435"/>
      <c r="GO70" s="435"/>
      <c r="GP70" s="431"/>
      <c r="GQ70" s="435"/>
      <c r="GR70" s="435"/>
      <c r="GS70" s="435"/>
      <c r="GT70" s="435"/>
      <c r="GU70" s="435"/>
      <c r="GV70" s="435"/>
      <c r="GW70" s="435"/>
      <c r="GX70" s="435"/>
      <c r="GY70" s="435"/>
      <c r="GZ70" s="435"/>
      <c r="HA70" s="435">
        <v>142</v>
      </c>
      <c r="HB70" s="435"/>
      <c r="HC70" s="435"/>
      <c r="HD70" s="435"/>
      <c r="HE70" s="435"/>
      <c r="HF70" s="431"/>
      <c r="HG70" s="435"/>
      <c r="HH70" s="435"/>
      <c r="HI70" s="435"/>
      <c r="HJ70" s="435"/>
      <c r="HK70" s="435"/>
      <c r="HL70" s="435"/>
      <c r="HM70" s="435"/>
      <c r="HN70" s="435"/>
      <c r="HO70" s="435"/>
      <c r="HP70" s="435"/>
      <c r="HQ70" s="458">
        <v>142</v>
      </c>
      <c r="HR70" s="449"/>
      <c r="HS70" s="462"/>
      <c r="HT70" s="449"/>
      <c r="HU70" s="458"/>
      <c r="HV70" s="458"/>
      <c r="HW70" s="458"/>
      <c r="HX70" s="458"/>
      <c r="HY70" s="458"/>
      <c r="HZ70" s="450"/>
      <c r="IA70" s="430"/>
      <c r="IB70" s="430"/>
      <c r="IC70" s="430"/>
      <c r="ID70" s="425"/>
      <c r="IE70" s="425"/>
      <c r="IF70" s="416"/>
      <c r="IG70" s="439">
        <v>142</v>
      </c>
      <c r="IH70" s="449"/>
      <c r="II70" s="462"/>
      <c r="IJ70" s="449"/>
      <c r="IK70" s="458"/>
      <c r="IL70" s="458"/>
      <c r="IM70" s="458"/>
      <c r="IN70" s="458"/>
      <c r="IO70" s="458"/>
      <c r="IP70" s="458"/>
      <c r="IQ70" s="458"/>
      <c r="IR70" s="450"/>
      <c r="IS70" s="430"/>
      <c r="IT70" s="430"/>
      <c r="IU70" s="430"/>
      <c r="IV70" s="430"/>
    </row>
    <row r="71" spans="1:256" s="328" customFormat="1" ht="8.25" customHeight="1">
      <c r="A71" s="483"/>
      <c r="B71" s="321"/>
      <c r="C71" s="321"/>
      <c r="D71" s="321"/>
      <c r="E71" s="321"/>
      <c r="F71" s="321"/>
      <c r="G71" s="321"/>
      <c r="H71" s="321"/>
      <c r="I71" s="321"/>
      <c r="J71" s="321"/>
      <c r="K71" s="321"/>
      <c r="L71" s="321"/>
      <c r="M71" s="321"/>
      <c r="N71" s="321"/>
      <c r="O71" s="321"/>
      <c r="P71" s="564"/>
      <c r="Q71" s="483"/>
      <c r="R71" s="321"/>
      <c r="S71" s="321"/>
      <c r="T71" s="321"/>
      <c r="U71" s="321"/>
      <c r="V71" s="321"/>
      <c r="W71" s="321"/>
      <c r="X71" s="321"/>
      <c r="Y71" s="321"/>
      <c r="Z71" s="321"/>
      <c r="AA71" s="321"/>
      <c r="AB71" s="321"/>
      <c r="AC71" s="321"/>
      <c r="AD71" s="321"/>
      <c r="AE71" s="321"/>
      <c r="AF71" s="564"/>
      <c r="AG71" s="483"/>
      <c r="AH71" s="321"/>
      <c r="AI71" s="321"/>
      <c r="AJ71" s="321"/>
      <c r="AK71" s="321"/>
      <c r="AL71" s="321"/>
      <c r="AM71" s="321"/>
      <c r="AN71" s="321"/>
      <c r="AO71" s="321"/>
      <c r="AP71" s="321"/>
      <c r="AQ71" s="321"/>
      <c r="AR71" s="321"/>
      <c r="AS71" s="321"/>
      <c r="AT71" s="321"/>
      <c r="AU71" s="321"/>
      <c r="AV71" s="564"/>
      <c r="AW71" s="483"/>
      <c r="AX71" s="321"/>
      <c r="AY71" s="321"/>
      <c r="AZ71" s="321"/>
      <c r="BA71" s="321"/>
      <c r="BB71" s="321"/>
      <c r="BC71" s="321"/>
      <c r="BD71" s="321"/>
      <c r="BE71" s="321"/>
      <c r="BF71" s="321"/>
      <c r="BG71" s="321"/>
      <c r="BH71" s="321"/>
      <c r="BI71" s="321"/>
      <c r="BJ71" s="321"/>
      <c r="BK71" s="321"/>
      <c r="BL71" s="564"/>
      <c r="BM71" s="321"/>
      <c r="BN71" s="321"/>
      <c r="BO71" s="321"/>
      <c r="BP71" s="321"/>
      <c r="BQ71" s="321"/>
      <c r="BR71" s="321"/>
      <c r="BS71" s="321"/>
      <c r="BT71" s="321"/>
      <c r="BU71" s="321"/>
      <c r="BV71" s="321"/>
      <c r="BW71" s="321"/>
      <c r="BX71" s="321"/>
      <c r="BY71" s="321"/>
      <c r="BZ71" s="321"/>
      <c r="CA71" s="321"/>
      <c r="CB71" s="564"/>
      <c r="CC71" s="456"/>
      <c r="CD71" s="429"/>
      <c r="CE71" s="431"/>
      <c r="CF71" s="431"/>
      <c r="CG71" s="456"/>
      <c r="CH71" s="429"/>
      <c r="CI71" s="456"/>
      <c r="CJ71" s="429"/>
      <c r="CK71" s="431"/>
      <c r="CL71" s="431"/>
      <c r="CM71" s="456"/>
      <c r="CN71" s="429"/>
      <c r="CO71" s="431"/>
      <c r="CP71" s="456"/>
      <c r="CQ71" s="429"/>
      <c r="CR71" s="431"/>
      <c r="CS71" s="464"/>
      <c r="CT71" s="412"/>
      <c r="CU71" s="464"/>
      <c r="CV71" s="412"/>
      <c r="CW71" s="431"/>
      <c r="CX71" s="431"/>
      <c r="CY71" s="431"/>
      <c r="CZ71" s="431"/>
      <c r="DA71" s="431"/>
      <c r="DB71" s="438"/>
      <c r="DC71" s="426"/>
      <c r="DD71" s="426"/>
      <c r="DE71" s="426"/>
      <c r="DF71" s="453"/>
      <c r="DG71" s="426"/>
      <c r="DH71" s="438"/>
      <c r="DI71" s="456"/>
      <c r="DJ71" s="449"/>
      <c r="DK71" s="443"/>
      <c r="DL71" s="435"/>
      <c r="DM71" s="428"/>
      <c r="DN71" s="419"/>
      <c r="DO71" s="419"/>
      <c r="DP71" s="419"/>
      <c r="DQ71" s="419"/>
      <c r="DR71" s="419"/>
      <c r="DS71" s="435"/>
      <c r="DT71" s="462"/>
      <c r="DU71" s="439"/>
      <c r="DV71" s="439"/>
      <c r="DW71" s="419"/>
      <c r="DX71" s="455"/>
      <c r="DY71" s="456"/>
      <c r="DZ71" s="449"/>
      <c r="EA71" s="443"/>
      <c r="EB71" s="435"/>
      <c r="EC71" s="428"/>
      <c r="ED71" s="419"/>
      <c r="EE71" s="419"/>
      <c r="EF71" s="419"/>
      <c r="EG71" s="419"/>
      <c r="EH71" s="419"/>
      <c r="EI71" s="419"/>
      <c r="EJ71" s="455"/>
      <c r="EK71" s="419"/>
      <c r="EL71" s="419"/>
      <c r="EM71" s="419"/>
      <c r="EN71" s="419"/>
      <c r="EO71" s="429"/>
      <c r="EP71" s="443"/>
      <c r="EQ71" s="435"/>
      <c r="ER71" s="429"/>
      <c r="ES71" s="419"/>
      <c r="ET71" s="419"/>
      <c r="EU71" s="419"/>
      <c r="EV71" s="419"/>
      <c r="EW71" s="419"/>
      <c r="EX71" s="419"/>
      <c r="EY71" s="419"/>
      <c r="EZ71" s="455"/>
      <c r="FA71" s="419"/>
      <c r="FB71" s="419"/>
      <c r="FC71" s="419"/>
      <c r="FD71" s="419"/>
      <c r="FE71" s="428"/>
      <c r="FF71" s="429"/>
      <c r="FG71" s="435"/>
      <c r="FH71" s="435"/>
      <c r="FI71" s="419"/>
      <c r="FJ71" s="419"/>
      <c r="FK71" s="419"/>
      <c r="FL71" s="419"/>
      <c r="FM71" s="430"/>
      <c r="FN71" s="419"/>
      <c r="FO71" s="419"/>
      <c r="FP71" s="419"/>
      <c r="FQ71" s="419"/>
      <c r="FR71" s="419"/>
      <c r="FS71" s="419"/>
      <c r="FT71" s="419"/>
      <c r="FU71" s="442"/>
      <c r="FV71" s="442"/>
      <c r="FW71" s="442"/>
      <c r="FX71" s="442"/>
      <c r="FY71" s="442"/>
      <c r="FZ71" s="442"/>
      <c r="GA71" s="442"/>
      <c r="GB71" s="442"/>
      <c r="GC71" s="442"/>
      <c r="GD71" s="431"/>
      <c r="GE71" s="442"/>
      <c r="GF71" s="442"/>
      <c r="GG71" s="442"/>
      <c r="GH71" s="442"/>
      <c r="GI71" s="442"/>
      <c r="GJ71" s="442"/>
      <c r="GK71" s="442"/>
      <c r="GL71" s="442"/>
      <c r="GM71" s="442"/>
      <c r="GN71" s="442"/>
      <c r="GO71" s="442"/>
      <c r="GP71" s="442"/>
      <c r="GQ71" s="442"/>
      <c r="GR71" s="442"/>
      <c r="GS71" s="442"/>
      <c r="GT71" s="431"/>
      <c r="GU71" s="442"/>
      <c r="GV71" s="442"/>
      <c r="GW71" s="442"/>
      <c r="GX71" s="442"/>
      <c r="GY71" s="442"/>
      <c r="GZ71" s="442"/>
      <c r="HA71" s="442"/>
      <c r="HB71" s="442"/>
      <c r="HC71" s="442"/>
      <c r="HD71" s="442"/>
      <c r="HE71" s="442"/>
      <c r="HF71" s="442"/>
      <c r="HG71" s="442"/>
      <c r="HH71" s="442"/>
      <c r="HI71" s="442"/>
      <c r="HJ71" s="431"/>
      <c r="HK71" s="442"/>
      <c r="HL71" s="442"/>
      <c r="HM71" s="442"/>
      <c r="HN71" s="442"/>
      <c r="HO71" s="442"/>
      <c r="HP71" s="442"/>
      <c r="HQ71" s="464"/>
      <c r="HR71" s="464"/>
      <c r="HS71" s="440"/>
      <c r="HT71" s="440"/>
      <c r="HU71" s="440"/>
      <c r="HV71" s="422"/>
      <c r="HW71" s="464"/>
      <c r="HX71" s="464"/>
      <c r="HY71" s="464"/>
      <c r="HZ71" s="457"/>
      <c r="IA71" s="437"/>
      <c r="IB71" s="410"/>
      <c r="IC71" s="462"/>
      <c r="ID71" s="439"/>
      <c r="IE71" s="432"/>
      <c r="IF71" s="432"/>
      <c r="IG71" s="432"/>
      <c r="IH71" s="464"/>
      <c r="II71" s="464"/>
      <c r="IJ71" s="464"/>
      <c r="IK71" s="440"/>
      <c r="IL71" s="440"/>
      <c r="IM71" s="440"/>
      <c r="IN71" s="422"/>
      <c r="IO71" s="464"/>
      <c r="IP71" s="464"/>
      <c r="IQ71" s="464"/>
      <c r="IR71" s="457"/>
      <c r="IS71" s="437"/>
      <c r="IT71" s="410"/>
      <c r="IU71" s="462"/>
      <c r="IV71" s="462"/>
    </row>
    <row r="72" spans="1:256" s="328" customFormat="1" ht="8.25" customHeight="1">
      <c r="A72" s="483"/>
      <c r="B72" s="321"/>
      <c r="C72" s="321"/>
      <c r="D72" s="321"/>
      <c r="E72" s="321"/>
      <c r="F72" s="321"/>
      <c r="G72" s="321"/>
      <c r="H72" s="321"/>
      <c r="I72" s="321"/>
      <c r="J72" s="321"/>
      <c r="K72" s="321"/>
      <c r="L72" s="321"/>
      <c r="M72" s="321"/>
      <c r="N72" s="321"/>
      <c r="O72" s="321"/>
      <c r="P72" s="564"/>
      <c r="Q72" s="483"/>
      <c r="R72" s="321"/>
      <c r="S72" s="321"/>
      <c r="T72" s="321"/>
      <c r="U72" s="321"/>
      <c r="V72" s="321"/>
      <c r="W72" s="321"/>
      <c r="X72" s="321"/>
      <c r="Y72" s="321"/>
      <c r="Z72" s="321"/>
      <c r="AA72" s="321"/>
      <c r="AB72" s="321"/>
      <c r="AC72" s="321"/>
      <c r="AD72" s="321"/>
      <c r="AE72" s="321"/>
      <c r="AF72" s="564"/>
      <c r="AG72" s="483"/>
      <c r="AH72" s="321"/>
      <c r="AI72" s="321"/>
      <c r="AJ72" s="321"/>
      <c r="AK72" s="321"/>
      <c r="AL72" s="321"/>
      <c r="AM72" s="321"/>
      <c r="AN72" s="321"/>
      <c r="AO72" s="321"/>
      <c r="AP72" s="321"/>
      <c r="AQ72" s="321"/>
      <c r="AR72" s="321"/>
      <c r="AS72" s="321"/>
      <c r="AT72" s="321"/>
      <c r="AU72" s="321"/>
      <c r="AV72" s="564"/>
      <c r="AW72" s="483"/>
      <c r="AX72" s="321"/>
      <c r="AY72" s="321"/>
      <c r="AZ72" s="321"/>
      <c r="BA72" s="321"/>
      <c r="BB72" s="321"/>
      <c r="BC72" s="321"/>
      <c r="BD72" s="321"/>
      <c r="BE72" s="321"/>
      <c r="BF72" s="321"/>
      <c r="BG72" s="321"/>
      <c r="BH72" s="321"/>
      <c r="BI72" s="321"/>
      <c r="BJ72" s="321"/>
      <c r="BK72" s="321"/>
      <c r="BL72" s="564"/>
      <c r="BM72" s="321"/>
      <c r="BN72" s="321"/>
      <c r="BO72" s="321"/>
      <c r="BP72" s="321"/>
      <c r="BQ72" s="321"/>
      <c r="BR72" s="321"/>
      <c r="BS72" s="321"/>
      <c r="BT72" s="321"/>
      <c r="BU72" s="321"/>
      <c r="BV72" s="321"/>
      <c r="BW72" s="321"/>
      <c r="BX72" s="321"/>
      <c r="BY72" s="321"/>
      <c r="BZ72" s="321"/>
      <c r="CA72" s="321"/>
      <c r="CB72" s="564"/>
      <c r="CC72" s="456"/>
      <c r="CD72" s="429"/>
      <c r="CE72" s="456"/>
      <c r="CF72" s="429"/>
      <c r="CG72" s="456"/>
      <c r="CH72" s="429"/>
      <c r="CI72" s="456"/>
      <c r="CJ72" s="456"/>
      <c r="CK72" s="429"/>
      <c r="CL72" s="431"/>
      <c r="CM72" s="456"/>
      <c r="CN72" s="429"/>
      <c r="CO72" s="431"/>
      <c r="CP72" s="456"/>
      <c r="CQ72" s="429"/>
      <c r="CR72" s="431"/>
      <c r="CS72" s="464"/>
      <c r="CT72" s="464"/>
      <c r="CU72" s="412"/>
      <c r="CV72" s="431"/>
      <c r="CW72" s="431"/>
      <c r="CX72" s="431"/>
      <c r="CY72" s="431"/>
      <c r="CZ72" s="431"/>
      <c r="DA72" s="431"/>
      <c r="DB72" s="431"/>
      <c r="DC72" s="438"/>
      <c r="DD72" s="438"/>
      <c r="DE72" s="438"/>
      <c r="DF72" s="453"/>
      <c r="DG72" s="426"/>
      <c r="DH72" s="438"/>
      <c r="DI72" s="429"/>
      <c r="DJ72" s="443"/>
      <c r="DK72" s="435"/>
      <c r="DL72" s="429"/>
      <c r="DM72" s="419"/>
      <c r="DN72" s="419"/>
      <c r="DO72" s="419"/>
      <c r="DP72" s="419"/>
      <c r="DQ72" s="430"/>
      <c r="DR72" s="439"/>
      <c r="DS72" s="462"/>
      <c r="DT72" s="411"/>
      <c r="DU72" s="411"/>
      <c r="DV72" s="439"/>
      <c r="DW72" s="421"/>
      <c r="DX72" s="421"/>
      <c r="DY72" s="429"/>
      <c r="DZ72" s="443"/>
      <c r="EA72" s="435"/>
      <c r="EB72" s="429"/>
      <c r="EC72" s="419"/>
      <c r="ED72" s="419"/>
      <c r="EE72" s="419"/>
      <c r="EF72" s="419"/>
      <c r="EG72" s="430"/>
      <c r="EH72" s="419"/>
      <c r="EI72" s="455"/>
      <c r="EJ72" s="419"/>
      <c r="EK72" s="419"/>
      <c r="EL72" s="419"/>
      <c r="EM72" s="455"/>
      <c r="EN72" s="419"/>
      <c r="EO72" s="428"/>
      <c r="EP72" s="429"/>
      <c r="EQ72" s="435"/>
      <c r="ER72" s="435"/>
      <c r="ES72" s="419"/>
      <c r="ET72" s="419"/>
      <c r="EU72" s="419"/>
      <c r="EV72" s="419"/>
      <c r="EW72" s="430"/>
      <c r="EX72" s="419"/>
      <c r="EY72" s="419"/>
      <c r="EZ72" s="419"/>
      <c r="FA72" s="419"/>
      <c r="FB72" s="419"/>
      <c r="FC72" s="455"/>
      <c r="FD72" s="419"/>
      <c r="FE72" s="419"/>
      <c r="FF72" s="435"/>
      <c r="FG72" s="419"/>
      <c r="FH72" s="419"/>
      <c r="FI72" s="419"/>
      <c r="FJ72" s="419"/>
      <c r="FK72" s="419"/>
      <c r="FL72" s="419"/>
      <c r="FM72" s="419"/>
      <c r="FN72" s="419"/>
      <c r="FO72" s="419"/>
      <c r="FP72" s="419"/>
      <c r="FQ72" s="419"/>
      <c r="FR72" s="419"/>
      <c r="FS72" s="419"/>
      <c r="FT72" s="419"/>
      <c r="FU72" s="448"/>
      <c r="FV72" s="448"/>
      <c r="FW72" s="448"/>
      <c r="FX72" s="448"/>
      <c r="FY72" s="448"/>
      <c r="FZ72" s="448"/>
      <c r="GA72" s="448"/>
      <c r="GB72" s="448"/>
      <c r="GC72" s="448"/>
      <c r="GD72" s="448"/>
      <c r="GE72" s="448"/>
      <c r="GF72" s="410"/>
      <c r="GG72" s="455"/>
      <c r="GH72" s="455"/>
      <c r="GI72" s="448"/>
      <c r="GJ72" s="448"/>
      <c r="GK72" s="448"/>
      <c r="GL72" s="448"/>
      <c r="GM72" s="448"/>
      <c r="GN72" s="448"/>
      <c r="GO72" s="448"/>
      <c r="GP72" s="448"/>
      <c r="GQ72" s="448"/>
      <c r="GR72" s="448"/>
      <c r="GS72" s="448"/>
      <c r="GT72" s="448"/>
      <c r="GU72" s="448"/>
      <c r="GV72" s="410"/>
      <c r="GW72" s="455"/>
      <c r="GX72" s="455"/>
      <c r="GY72" s="448"/>
      <c r="GZ72" s="448"/>
      <c r="HA72" s="448"/>
      <c r="HB72" s="448"/>
      <c r="HC72" s="448"/>
      <c r="HD72" s="448"/>
      <c r="HE72" s="448"/>
      <c r="HF72" s="448"/>
      <c r="HG72" s="448"/>
      <c r="HH72" s="448"/>
      <c r="HI72" s="448"/>
      <c r="HJ72" s="448"/>
      <c r="HK72" s="448"/>
      <c r="HL72" s="410"/>
      <c r="HM72" s="455"/>
      <c r="HN72" s="455"/>
      <c r="HO72" s="448"/>
      <c r="HP72" s="448"/>
      <c r="HQ72" s="464"/>
      <c r="HR72" s="440"/>
      <c r="HS72" s="422"/>
      <c r="HT72" s="417"/>
      <c r="HU72" s="422"/>
      <c r="HV72" s="422"/>
      <c r="HW72" s="422"/>
      <c r="HX72" s="464"/>
      <c r="HY72" s="411"/>
      <c r="HZ72" s="410"/>
      <c r="IA72" s="462"/>
      <c r="IB72" s="411"/>
      <c r="IC72" s="411"/>
      <c r="ID72" s="411"/>
      <c r="IE72" s="411"/>
      <c r="IF72" s="439"/>
      <c r="IG72" s="439"/>
      <c r="IH72" s="464"/>
      <c r="II72" s="464"/>
      <c r="IJ72" s="440"/>
      <c r="IK72" s="422"/>
      <c r="IL72" s="417"/>
      <c r="IM72" s="422"/>
      <c r="IN72" s="422"/>
      <c r="IO72" s="422"/>
      <c r="IP72" s="464"/>
      <c r="IQ72" s="411"/>
      <c r="IR72" s="410"/>
      <c r="IS72" s="462"/>
      <c r="IT72" s="411"/>
      <c r="IU72" s="411"/>
      <c r="IV72" s="411"/>
    </row>
    <row r="73" spans="1:256" s="328" customFormat="1" ht="8.25" customHeight="1">
      <c r="A73" s="483"/>
      <c r="B73" s="321"/>
      <c r="C73" s="321"/>
      <c r="D73" s="321"/>
      <c r="E73" s="321"/>
      <c r="F73" s="321"/>
      <c r="G73" s="321"/>
      <c r="H73" s="321"/>
      <c r="I73" s="321"/>
      <c r="J73" s="321"/>
      <c r="K73" s="321"/>
      <c r="L73" s="321"/>
      <c r="M73" s="321"/>
      <c r="N73" s="321"/>
      <c r="O73" s="321"/>
      <c r="P73" s="564"/>
      <c r="Q73" s="483"/>
      <c r="R73" s="321"/>
      <c r="S73" s="321"/>
      <c r="T73" s="321"/>
      <c r="U73" s="321"/>
      <c r="V73" s="321"/>
      <c r="W73" s="321"/>
      <c r="X73" s="321"/>
      <c r="Y73" s="321"/>
      <c r="Z73" s="321"/>
      <c r="AA73" s="321"/>
      <c r="AB73" s="321"/>
      <c r="AC73" s="321"/>
      <c r="AD73" s="321"/>
      <c r="AE73" s="321"/>
      <c r="AF73" s="564"/>
      <c r="AG73" s="483"/>
      <c r="AH73" s="321"/>
      <c r="AI73" s="321"/>
      <c r="AJ73" s="321"/>
      <c r="AK73" s="321"/>
      <c r="AL73" s="321"/>
      <c r="AM73" s="321"/>
      <c r="AN73" s="321"/>
      <c r="AO73" s="321"/>
      <c r="AP73" s="321"/>
      <c r="AQ73" s="321"/>
      <c r="AR73" s="321"/>
      <c r="AS73" s="321"/>
      <c r="AT73" s="321"/>
      <c r="AU73" s="321"/>
      <c r="AV73" s="564"/>
      <c r="AW73" s="483"/>
      <c r="AX73" s="321"/>
      <c r="AY73" s="321"/>
      <c r="AZ73" s="321"/>
      <c r="BA73" s="321"/>
      <c r="BB73" s="321"/>
      <c r="BC73" s="321"/>
      <c r="BD73" s="321"/>
      <c r="BE73" s="321"/>
      <c r="BF73" s="321"/>
      <c r="BG73" s="321"/>
      <c r="BH73" s="321"/>
      <c r="BI73" s="321"/>
      <c r="BJ73" s="321"/>
      <c r="BK73" s="321"/>
      <c r="BL73" s="564"/>
      <c r="BM73" s="321"/>
      <c r="BN73" s="321"/>
      <c r="BO73" s="321"/>
      <c r="BP73" s="321"/>
      <c r="BQ73" s="321"/>
      <c r="BR73" s="321"/>
      <c r="BS73" s="321"/>
      <c r="BT73" s="321"/>
      <c r="BU73" s="321"/>
      <c r="BV73" s="321"/>
      <c r="BW73" s="321"/>
      <c r="BX73" s="321"/>
      <c r="BY73" s="321"/>
      <c r="BZ73" s="321"/>
      <c r="CA73" s="321"/>
      <c r="CB73" s="564"/>
      <c r="CC73" s="456"/>
      <c r="CD73" s="429"/>
      <c r="CE73" s="456"/>
      <c r="CF73" s="429"/>
      <c r="CG73" s="456"/>
      <c r="CH73" s="429"/>
      <c r="CI73" s="456"/>
      <c r="CJ73" s="429"/>
      <c r="CK73" s="431"/>
      <c r="CL73" s="431"/>
      <c r="CM73" s="456"/>
      <c r="CN73" s="429"/>
      <c r="CO73" s="431"/>
      <c r="CP73" s="456"/>
      <c r="CQ73" s="429"/>
      <c r="CR73" s="431"/>
      <c r="CS73" s="464"/>
      <c r="CT73" s="412"/>
      <c r="CU73" s="410"/>
      <c r="CV73" s="410"/>
      <c r="CW73" s="412"/>
      <c r="CX73" s="431"/>
      <c r="CY73" s="431"/>
      <c r="CZ73" s="431"/>
      <c r="DA73" s="431"/>
      <c r="DB73" s="431"/>
      <c r="DC73" s="431"/>
      <c r="DD73" s="438"/>
      <c r="DE73" s="453"/>
      <c r="DF73" s="426"/>
      <c r="DG73" s="426"/>
      <c r="DH73" s="438"/>
      <c r="DI73" s="428"/>
      <c r="DJ73" s="429"/>
      <c r="DK73" s="435"/>
      <c r="DL73" s="435"/>
      <c r="DM73" s="419"/>
      <c r="DN73" s="419"/>
      <c r="DO73" s="419"/>
      <c r="DP73" s="419"/>
      <c r="DQ73" s="419"/>
      <c r="DR73" s="435"/>
      <c r="DS73" s="452"/>
      <c r="DT73" s="439"/>
      <c r="DU73" s="421"/>
      <c r="DV73" s="421"/>
      <c r="DW73" s="421"/>
      <c r="DX73" s="419"/>
      <c r="DY73" s="428"/>
      <c r="DZ73" s="429"/>
      <c r="EA73" s="435"/>
      <c r="EB73" s="435"/>
      <c r="EC73" s="419"/>
      <c r="ED73" s="419"/>
      <c r="EE73" s="419"/>
      <c r="EF73" s="419"/>
      <c r="EG73" s="419"/>
      <c r="EH73" s="435"/>
      <c r="EI73" s="419"/>
      <c r="EJ73" s="419"/>
      <c r="EK73" s="419"/>
      <c r="EL73" s="455"/>
      <c r="EM73" s="419"/>
      <c r="EN73" s="419"/>
      <c r="EO73" s="419"/>
      <c r="EP73" s="435"/>
      <c r="EQ73" s="419"/>
      <c r="ER73" s="419"/>
      <c r="ES73" s="419"/>
      <c r="ET73" s="419"/>
      <c r="EU73" s="419"/>
      <c r="EV73" s="419"/>
      <c r="EW73" s="419"/>
      <c r="EX73" s="419"/>
      <c r="EY73" s="419"/>
      <c r="EZ73" s="419"/>
      <c r="FA73" s="419"/>
      <c r="FB73" s="419"/>
      <c r="FC73" s="419"/>
      <c r="FD73" s="419"/>
      <c r="FE73" s="419"/>
      <c r="FF73" s="435"/>
      <c r="FG73" s="419"/>
      <c r="FH73" s="419"/>
      <c r="FI73" s="419"/>
      <c r="FJ73" s="419"/>
      <c r="FK73" s="419"/>
      <c r="FL73" s="419"/>
      <c r="FM73" s="419"/>
      <c r="FN73" s="419"/>
      <c r="FO73" s="419"/>
      <c r="FP73" s="419"/>
      <c r="FQ73" s="419"/>
      <c r="FR73" s="419"/>
      <c r="FS73" s="419"/>
      <c r="FT73" s="419"/>
      <c r="FU73" s="455"/>
      <c r="FV73" s="410"/>
      <c r="FW73" s="455"/>
      <c r="FX73" s="455"/>
      <c r="FY73" s="455"/>
      <c r="FZ73" s="455"/>
      <c r="GA73" s="455"/>
      <c r="GB73" s="455"/>
      <c r="GC73" s="455"/>
      <c r="GD73" s="455"/>
      <c r="GE73" s="455"/>
      <c r="GF73" s="410"/>
      <c r="GG73" s="411"/>
      <c r="GH73" s="452"/>
      <c r="GI73" s="455"/>
      <c r="GJ73" s="455"/>
      <c r="GK73" s="455"/>
      <c r="GL73" s="410"/>
      <c r="GM73" s="455"/>
      <c r="GN73" s="455"/>
      <c r="GO73" s="455"/>
      <c r="GP73" s="455"/>
      <c r="GQ73" s="455"/>
      <c r="GR73" s="455"/>
      <c r="GS73" s="455"/>
      <c r="GT73" s="455"/>
      <c r="GU73" s="455"/>
      <c r="GV73" s="410"/>
      <c r="GW73" s="411"/>
      <c r="GX73" s="452"/>
      <c r="GY73" s="455"/>
      <c r="GZ73" s="455"/>
      <c r="HA73" s="455"/>
      <c r="HB73" s="410"/>
      <c r="HC73" s="455"/>
      <c r="HD73" s="455"/>
      <c r="HE73" s="455"/>
      <c r="HF73" s="455"/>
      <c r="HG73" s="455"/>
      <c r="HH73" s="455"/>
      <c r="HI73" s="455"/>
      <c r="HJ73" s="455"/>
      <c r="HK73" s="455"/>
      <c r="HL73" s="410"/>
      <c r="HM73" s="411"/>
      <c r="HN73" s="452"/>
      <c r="HO73" s="455"/>
      <c r="HP73" s="455"/>
      <c r="HQ73" s="464"/>
      <c r="HR73" s="422"/>
      <c r="HS73" s="422"/>
      <c r="HT73" s="417"/>
      <c r="HU73" s="422"/>
      <c r="HV73" s="422"/>
      <c r="HW73" s="422"/>
      <c r="HX73" s="411"/>
      <c r="HY73" s="410"/>
      <c r="HZ73" s="411"/>
      <c r="IA73" s="439"/>
      <c r="IB73" s="411"/>
      <c r="IC73" s="411"/>
      <c r="ID73" s="439"/>
      <c r="IE73" s="411"/>
      <c r="IF73" s="432"/>
      <c r="IG73" s="432"/>
      <c r="IH73" s="464"/>
      <c r="II73" s="464"/>
      <c r="IJ73" s="422"/>
      <c r="IK73" s="422"/>
      <c r="IL73" s="417"/>
      <c r="IM73" s="422"/>
      <c r="IN73" s="422"/>
      <c r="IO73" s="422"/>
      <c r="IP73" s="411"/>
      <c r="IQ73" s="410"/>
      <c r="IR73" s="411"/>
      <c r="IS73" s="439"/>
      <c r="IT73" s="411"/>
      <c r="IU73" s="439"/>
      <c r="IV73" s="439"/>
    </row>
    <row r="74" spans="1:256" s="328" customFormat="1" ht="8.25" customHeight="1">
      <c r="A74" s="483"/>
      <c r="B74" s="321"/>
      <c r="C74" s="321"/>
      <c r="D74" s="321"/>
      <c r="E74" s="321"/>
      <c r="F74" s="321"/>
      <c r="G74" s="321"/>
      <c r="H74" s="321"/>
      <c r="I74" s="321"/>
      <c r="J74" s="321"/>
      <c r="K74" s="321"/>
      <c r="L74" s="321"/>
      <c r="M74" s="321"/>
      <c r="N74" s="321"/>
      <c r="O74" s="321"/>
      <c r="P74" s="564"/>
      <c r="Q74" s="483"/>
      <c r="R74" s="321"/>
      <c r="S74" s="321"/>
      <c r="T74" s="321"/>
      <c r="U74" s="321"/>
      <c r="V74" s="321"/>
      <c r="W74" s="321"/>
      <c r="X74" s="321"/>
      <c r="Y74" s="321"/>
      <c r="Z74" s="321"/>
      <c r="AA74" s="321"/>
      <c r="AB74" s="321"/>
      <c r="AC74" s="321"/>
      <c r="AD74" s="321"/>
      <c r="AE74" s="321"/>
      <c r="AF74" s="564"/>
      <c r="AG74" s="483"/>
      <c r="AH74" s="321"/>
      <c r="AI74" s="321"/>
      <c r="AJ74" s="321"/>
      <c r="AK74" s="321"/>
      <c r="AL74" s="321"/>
      <c r="AM74" s="321"/>
      <c r="AN74" s="321"/>
      <c r="AO74" s="321"/>
      <c r="AP74" s="321"/>
      <c r="AQ74" s="321"/>
      <c r="AR74" s="321"/>
      <c r="AS74" s="321"/>
      <c r="AT74" s="321"/>
      <c r="AU74" s="321"/>
      <c r="AV74" s="564"/>
      <c r="AW74" s="483"/>
      <c r="AX74" s="321"/>
      <c r="AY74" s="321"/>
      <c r="AZ74" s="321"/>
      <c r="BA74" s="321"/>
      <c r="BB74" s="321"/>
      <c r="BC74" s="321"/>
      <c r="BD74" s="321"/>
      <c r="BE74" s="321"/>
      <c r="BF74" s="321"/>
      <c r="BG74" s="321"/>
      <c r="BH74" s="321"/>
      <c r="BI74" s="321"/>
      <c r="BJ74" s="321"/>
      <c r="BK74" s="321"/>
      <c r="BL74" s="564"/>
      <c r="BM74" s="321"/>
      <c r="BN74" s="321"/>
      <c r="BO74" s="321"/>
      <c r="BP74" s="321"/>
      <c r="BQ74" s="321"/>
      <c r="BR74" s="321"/>
      <c r="BS74" s="321"/>
      <c r="BT74" s="321"/>
      <c r="BU74" s="321"/>
      <c r="BV74" s="321"/>
      <c r="BW74" s="321"/>
      <c r="BX74" s="321"/>
      <c r="BY74" s="321"/>
      <c r="BZ74" s="321"/>
      <c r="CA74" s="321"/>
      <c r="CB74" s="564"/>
      <c r="CC74" s="431"/>
      <c r="CD74" s="456"/>
      <c r="CE74" s="429"/>
      <c r="CF74" s="456"/>
      <c r="CG74" s="429"/>
      <c r="CH74" s="431"/>
      <c r="CI74" s="456"/>
      <c r="CJ74" s="456"/>
      <c r="CK74" s="456"/>
      <c r="CL74" s="429"/>
      <c r="CM74" s="456"/>
      <c r="CN74" s="456"/>
      <c r="CO74" s="429"/>
      <c r="CP74" s="456"/>
      <c r="CQ74" s="456"/>
      <c r="CR74" s="429"/>
      <c r="CS74" s="458"/>
      <c r="CT74" s="412"/>
      <c r="CU74" s="464"/>
      <c r="CV74" s="412"/>
      <c r="CW74" s="431"/>
      <c r="CX74" s="431"/>
      <c r="CY74" s="431"/>
      <c r="CZ74" s="431"/>
      <c r="DA74" s="431"/>
      <c r="DB74" s="431"/>
      <c r="DC74" s="438"/>
      <c r="DD74" s="446"/>
      <c r="DE74" s="426"/>
      <c r="DF74" s="426"/>
      <c r="DG74" s="438"/>
      <c r="DH74" s="431"/>
      <c r="DI74" s="419"/>
      <c r="DJ74" s="435"/>
      <c r="DK74" s="419"/>
      <c r="DL74" s="419"/>
      <c r="DM74" s="419"/>
      <c r="DN74" s="419"/>
      <c r="DO74" s="419"/>
      <c r="DP74" s="419"/>
      <c r="DQ74" s="419"/>
      <c r="DR74" s="439"/>
      <c r="DS74" s="435"/>
      <c r="DT74" s="435"/>
      <c r="DU74" s="419"/>
      <c r="DV74" s="419"/>
      <c r="DW74" s="419"/>
      <c r="DX74" s="421"/>
      <c r="DY74" s="419"/>
      <c r="DZ74" s="435"/>
      <c r="EA74" s="419"/>
      <c r="EB74" s="419"/>
      <c r="EC74" s="419"/>
      <c r="ED74" s="419"/>
      <c r="EE74" s="419"/>
      <c r="EF74" s="419"/>
      <c r="EG74" s="435"/>
      <c r="EH74" s="419"/>
      <c r="EI74" s="419"/>
      <c r="EJ74" s="419"/>
      <c r="EK74" s="419"/>
      <c r="EL74" s="419"/>
      <c r="EM74" s="419"/>
      <c r="EN74" s="455"/>
      <c r="EO74" s="419"/>
      <c r="EP74" s="435"/>
      <c r="EQ74" s="419"/>
      <c r="ER74" s="419"/>
      <c r="ES74" s="419"/>
      <c r="ET74" s="419"/>
      <c r="EU74" s="419"/>
      <c r="EV74" s="419"/>
      <c r="EW74" s="419"/>
      <c r="EX74" s="455"/>
      <c r="EY74" s="419"/>
      <c r="EZ74" s="419"/>
      <c r="FA74" s="419"/>
      <c r="FB74" s="419"/>
      <c r="FC74" s="419"/>
      <c r="FD74" s="419"/>
      <c r="FE74" s="419"/>
      <c r="FF74" s="419"/>
      <c r="FG74" s="419"/>
      <c r="FH74" s="419"/>
      <c r="FI74" s="419"/>
      <c r="FJ74" s="419"/>
      <c r="FK74" s="419"/>
      <c r="FL74" s="419"/>
      <c r="FM74" s="419"/>
      <c r="FN74" s="419"/>
      <c r="FO74" s="419"/>
      <c r="FP74" s="435"/>
      <c r="FQ74" s="419"/>
      <c r="FR74" s="419"/>
      <c r="FS74" s="419"/>
      <c r="FT74" s="419"/>
      <c r="FU74" s="455"/>
      <c r="FV74" s="410"/>
      <c r="FW74" s="411"/>
      <c r="FX74" s="410"/>
      <c r="FY74" s="455"/>
      <c r="FZ74" s="455"/>
      <c r="GA74" s="455"/>
      <c r="GB74" s="410"/>
      <c r="GC74" s="452"/>
      <c r="GD74" s="455"/>
      <c r="GE74" s="410"/>
      <c r="GF74" s="452"/>
      <c r="GG74" s="452"/>
      <c r="GH74" s="410"/>
      <c r="GI74" s="411"/>
      <c r="GJ74" s="455"/>
      <c r="GK74" s="455"/>
      <c r="GL74" s="410"/>
      <c r="GM74" s="411"/>
      <c r="GN74" s="410"/>
      <c r="GO74" s="455"/>
      <c r="GP74" s="455"/>
      <c r="GQ74" s="455"/>
      <c r="GR74" s="410"/>
      <c r="GS74" s="452"/>
      <c r="GT74" s="455"/>
      <c r="GU74" s="410"/>
      <c r="GV74" s="452"/>
      <c r="GW74" s="452"/>
      <c r="GX74" s="410"/>
      <c r="GY74" s="411"/>
      <c r="GZ74" s="455"/>
      <c r="HA74" s="455"/>
      <c r="HB74" s="410"/>
      <c r="HC74" s="411"/>
      <c r="HD74" s="410"/>
      <c r="HE74" s="455"/>
      <c r="HF74" s="455"/>
      <c r="HG74" s="455"/>
      <c r="HH74" s="410"/>
      <c r="HI74" s="452"/>
      <c r="HJ74" s="455"/>
      <c r="HK74" s="410"/>
      <c r="HL74" s="452"/>
      <c r="HM74" s="452"/>
      <c r="HN74" s="410"/>
      <c r="HO74" s="411"/>
      <c r="HP74" s="455"/>
      <c r="HQ74" s="423"/>
      <c r="HR74" s="422"/>
      <c r="HS74" s="422"/>
      <c r="HT74" s="417"/>
      <c r="HU74" s="422"/>
      <c r="HV74" s="422"/>
      <c r="HW74" s="411"/>
      <c r="HX74" s="410"/>
      <c r="HY74" s="411"/>
      <c r="HZ74" s="439"/>
      <c r="IA74" s="411"/>
      <c r="IB74" s="439"/>
      <c r="IC74" s="439"/>
      <c r="ID74" s="411"/>
      <c r="IE74" s="439"/>
      <c r="IF74" s="439"/>
      <c r="IG74" s="463"/>
      <c r="IH74" s="430"/>
      <c r="II74" s="423"/>
      <c r="IJ74" s="422"/>
      <c r="IK74" s="422"/>
      <c r="IL74" s="417"/>
      <c r="IM74" s="422"/>
      <c r="IN74" s="422"/>
      <c r="IO74" s="411"/>
      <c r="IP74" s="410"/>
      <c r="IQ74" s="411"/>
      <c r="IR74" s="439"/>
      <c r="IS74" s="411"/>
      <c r="IT74" s="439"/>
      <c r="IU74" s="411"/>
      <c r="IV74" s="432"/>
    </row>
    <row r="75" spans="1:256" s="328" customFormat="1" ht="8.25" customHeight="1">
      <c r="A75" s="452"/>
      <c r="B75" s="452"/>
      <c r="C75" s="452"/>
      <c r="D75" s="452"/>
      <c r="E75" s="452"/>
      <c r="F75" s="452"/>
      <c r="G75" s="452"/>
      <c r="H75" s="452"/>
      <c r="I75" s="452"/>
      <c r="J75" s="452"/>
      <c r="K75" s="452"/>
      <c r="L75" s="452"/>
      <c r="M75" s="452"/>
      <c r="N75" s="452"/>
      <c r="O75" s="452"/>
      <c r="P75" s="452"/>
      <c r="Q75" s="452"/>
      <c r="R75" s="452"/>
      <c r="S75" s="452"/>
      <c r="T75" s="452"/>
      <c r="U75" s="452"/>
      <c r="V75" s="452"/>
      <c r="W75" s="452"/>
      <c r="X75" s="452"/>
      <c r="Y75" s="452"/>
      <c r="Z75" s="452"/>
      <c r="AA75" s="452"/>
      <c r="AB75" s="452"/>
      <c r="AC75" s="452"/>
      <c r="AD75" s="452"/>
      <c r="AE75" s="452"/>
      <c r="AF75" s="637"/>
      <c r="AG75" s="452"/>
      <c r="AH75" s="452"/>
      <c r="AI75" s="452"/>
      <c r="AJ75" s="452"/>
      <c r="AK75" s="452"/>
      <c r="AL75" s="452"/>
      <c r="AM75" s="452"/>
      <c r="AN75" s="452"/>
      <c r="AO75" s="452"/>
      <c r="AP75" s="452"/>
      <c r="AQ75" s="452"/>
      <c r="AR75" s="452"/>
      <c r="AS75" s="452"/>
      <c r="AT75" s="452"/>
      <c r="AU75" s="452"/>
      <c r="AV75" s="637"/>
      <c r="AW75" s="452"/>
      <c r="AX75" s="452"/>
      <c r="AY75" s="452"/>
      <c r="AZ75" s="452"/>
      <c r="BA75" s="452"/>
      <c r="BB75" s="452"/>
      <c r="BC75" s="452"/>
      <c r="BD75" s="452"/>
      <c r="BE75" s="452"/>
      <c r="BF75" s="452"/>
      <c r="BG75" s="452"/>
      <c r="BH75" s="452"/>
      <c r="BI75" s="452"/>
      <c r="BJ75" s="452"/>
      <c r="BK75" s="452"/>
      <c r="BL75" s="637"/>
      <c r="BM75" s="439"/>
      <c r="BN75" s="439"/>
      <c r="BO75" s="439"/>
      <c r="BP75" s="439"/>
      <c r="BQ75" s="439"/>
      <c r="BR75" s="439"/>
      <c r="BS75" s="439"/>
      <c r="BT75" s="439"/>
      <c r="BU75" s="439"/>
      <c r="BV75" s="439"/>
      <c r="BW75" s="439"/>
      <c r="BX75" s="439"/>
      <c r="BY75" s="439"/>
      <c r="BZ75" s="439"/>
      <c r="CA75" s="439"/>
      <c r="CB75" s="432"/>
      <c r="CC75" s="431"/>
      <c r="CD75" s="431"/>
      <c r="CE75" s="431"/>
      <c r="CF75" s="431"/>
      <c r="CG75" s="431"/>
      <c r="CH75" s="431"/>
      <c r="CI75" s="431"/>
      <c r="CJ75" s="431"/>
      <c r="CK75" s="431"/>
      <c r="CL75" s="431"/>
      <c r="CM75" s="431"/>
      <c r="CN75" s="431"/>
      <c r="CO75" s="431"/>
      <c r="CP75" s="431"/>
      <c r="CQ75" s="431"/>
      <c r="CR75" s="431"/>
      <c r="CS75" s="431"/>
      <c r="CT75" s="431"/>
      <c r="CU75" s="458"/>
      <c r="CV75" s="412"/>
      <c r="CW75" s="410"/>
      <c r="CX75" s="410"/>
      <c r="CY75" s="412"/>
      <c r="CZ75" s="431"/>
      <c r="DA75" s="431"/>
      <c r="DB75" s="431"/>
      <c r="DC75" s="446"/>
      <c r="DD75" s="426"/>
      <c r="DE75" s="426"/>
      <c r="DF75" s="438"/>
      <c r="DG75" s="431"/>
      <c r="DH75" s="431"/>
      <c r="DI75" s="419"/>
      <c r="DJ75" s="419"/>
      <c r="DK75" s="419"/>
      <c r="DL75" s="419"/>
      <c r="DM75" s="419"/>
      <c r="DN75" s="419"/>
      <c r="DO75" s="419"/>
      <c r="DP75" s="419"/>
      <c r="DQ75" s="419"/>
      <c r="DR75" s="419"/>
      <c r="DS75" s="419"/>
      <c r="DT75" s="419"/>
      <c r="DU75" s="419"/>
      <c r="DV75" s="419"/>
      <c r="DW75" s="419"/>
      <c r="DX75" s="419"/>
      <c r="DY75" s="419"/>
      <c r="DZ75" s="419"/>
      <c r="EA75" s="419"/>
      <c r="EB75" s="419"/>
      <c r="EC75" s="419"/>
      <c r="ED75" s="419"/>
      <c r="EE75" s="419"/>
      <c r="EF75" s="435"/>
      <c r="EG75" s="462"/>
      <c r="EH75" s="439"/>
      <c r="EI75" s="419"/>
      <c r="EJ75" s="435"/>
      <c r="EK75" s="419"/>
      <c r="EL75" s="419"/>
      <c r="EM75" s="455"/>
      <c r="EN75" s="419"/>
      <c r="EO75" s="419"/>
      <c r="EP75" s="419"/>
      <c r="EQ75" s="419"/>
      <c r="ER75" s="419"/>
      <c r="ES75" s="419"/>
      <c r="ET75" s="419"/>
      <c r="EU75" s="419"/>
      <c r="EV75" s="419"/>
      <c r="EW75" s="419"/>
      <c r="EX75" s="419"/>
      <c r="EY75" s="419"/>
      <c r="EZ75" s="419"/>
      <c r="FA75" s="455"/>
      <c r="FB75" s="419"/>
      <c r="FC75" s="419"/>
      <c r="FD75" s="419"/>
      <c r="FE75" s="419"/>
      <c r="FF75" s="419"/>
      <c r="FG75" s="419"/>
      <c r="FH75" s="430"/>
      <c r="FI75" s="419"/>
      <c r="FJ75" s="419"/>
      <c r="FK75" s="419"/>
      <c r="FL75" s="435"/>
      <c r="FM75" s="419"/>
      <c r="FN75" s="419"/>
      <c r="FO75" s="419"/>
      <c r="FP75" s="419"/>
      <c r="FQ75" s="419"/>
      <c r="FR75" s="419"/>
      <c r="FS75" s="419"/>
      <c r="FT75" s="419"/>
      <c r="FU75" s="452"/>
      <c r="FV75" s="452"/>
      <c r="FW75" s="452"/>
      <c r="FX75" s="452"/>
      <c r="FY75" s="452"/>
      <c r="FZ75" s="452"/>
      <c r="GA75" s="452"/>
      <c r="GB75" s="410"/>
      <c r="GC75" s="452"/>
      <c r="GD75" s="410"/>
      <c r="GE75" s="452"/>
      <c r="GF75" s="410"/>
      <c r="GG75" s="410"/>
      <c r="GH75" s="452"/>
      <c r="GI75" s="411"/>
      <c r="GJ75" s="410"/>
      <c r="GK75" s="452"/>
      <c r="GL75" s="452"/>
      <c r="GM75" s="452"/>
      <c r="GN75" s="452"/>
      <c r="GO75" s="452"/>
      <c r="GP75" s="452"/>
      <c r="GQ75" s="452"/>
      <c r="GR75" s="410"/>
      <c r="GS75" s="452"/>
      <c r="GT75" s="410"/>
      <c r="GU75" s="452"/>
      <c r="GV75" s="410"/>
      <c r="GW75" s="410"/>
      <c r="GX75" s="452"/>
      <c r="GY75" s="411"/>
      <c r="GZ75" s="410"/>
      <c r="HA75" s="452"/>
      <c r="HB75" s="452"/>
      <c r="HC75" s="452"/>
      <c r="HD75" s="452"/>
      <c r="HE75" s="452"/>
      <c r="HF75" s="452"/>
      <c r="HG75" s="452"/>
      <c r="HH75" s="410"/>
      <c r="HI75" s="452"/>
      <c r="HJ75" s="410"/>
      <c r="HK75" s="452"/>
      <c r="HL75" s="410"/>
      <c r="HM75" s="410"/>
      <c r="HN75" s="452"/>
      <c r="HO75" s="411"/>
      <c r="HP75" s="410"/>
      <c r="HQ75" s="427"/>
      <c r="HR75" s="422"/>
      <c r="HS75" s="422"/>
      <c r="HT75" s="417"/>
      <c r="HU75" s="422"/>
      <c r="HV75" s="411"/>
      <c r="HW75" s="410"/>
      <c r="HX75" s="411"/>
      <c r="HY75" s="411"/>
      <c r="HZ75" s="411"/>
      <c r="IA75" s="411"/>
      <c r="IB75" s="411"/>
      <c r="IC75" s="411"/>
      <c r="ID75" s="411"/>
      <c r="IE75" s="411"/>
      <c r="IF75" s="439"/>
      <c r="IG75" s="430"/>
      <c r="IH75" s="422"/>
      <c r="II75" s="427"/>
      <c r="IJ75" s="422"/>
      <c r="IK75" s="422"/>
      <c r="IL75" s="417"/>
      <c r="IM75" s="422"/>
      <c r="IN75" s="411"/>
      <c r="IO75" s="410"/>
      <c r="IP75" s="411"/>
      <c r="IQ75" s="411"/>
      <c r="IR75" s="411"/>
      <c r="IS75" s="411"/>
      <c r="IT75" s="411"/>
      <c r="IU75" s="411"/>
      <c r="IV75" s="439"/>
    </row>
    <row r="76" spans="1:256" s="328" customFormat="1" ht="8.25" customHeight="1">
      <c r="A76" s="411"/>
      <c r="B76" s="428"/>
      <c r="C76" s="431"/>
      <c r="D76" s="428"/>
      <c r="E76" s="428"/>
      <c r="F76" s="428"/>
      <c r="G76" s="428"/>
      <c r="H76" s="428"/>
      <c r="I76" s="428"/>
      <c r="J76" s="428"/>
      <c r="K76" s="428"/>
      <c r="L76" s="431"/>
      <c r="M76" s="428"/>
      <c r="N76" s="428"/>
      <c r="O76" s="428"/>
      <c r="P76" s="439"/>
      <c r="Q76" s="452"/>
      <c r="R76" s="428"/>
      <c r="S76" s="428"/>
      <c r="T76" s="428"/>
      <c r="U76" s="428"/>
      <c r="V76" s="428"/>
      <c r="W76" s="428"/>
      <c r="X76" s="428"/>
      <c r="Y76" s="428"/>
      <c r="Z76" s="431"/>
      <c r="AA76" s="428"/>
      <c r="AB76" s="428"/>
      <c r="AC76" s="428"/>
      <c r="AD76" s="428"/>
      <c r="AE76" s="428"/>
      <c r="AF76" s="650"/>
      <c r="AG76" s="452"/>
      <c r="AH76" s="428"/>
      <c r="AI76" s="431"/>
      <c r="AJ76" s="428"/>
      <c r="AK76" s="428"/>
      <c r="AL76" s="428"/>
      <c r="AM76" s="428"/>
      <c r="AN76" s="428"/>
      <c r="AO76" s="428"/>
      <c r="AP76" s="428"/>
      <c r="AQ76" s="428"/>
      <c r="AR76" s="431"/>
      <c r="AS76" s="428"/>
      <c r="AT76" s="428"/>
      <c r="AU76" s="428"/>
      <c r="AV76" s="650"/>
      <c r="AW76" s="452"/>
      <c r="AX76" s="428"/>
      <c r="AY76" s="428"/>
      <c r="AZ76" s="428"/>
      <c r="BA76" s="431"/>
      <c r="BB76" s="428"/>
      <c r="BC76" s="428"/>
      <c r="BD76" s="428"/>
      <c r="BE76" s="428"/>
      <c r="BF76" s="428"/>
      <c r="BG76" s="428"/>
      <c r="BH76" s="428"/>
      <c r="BI76" s="428"/>
      <c r="BJ76" s="431"/>
      <c r="BK76" s="428"/>
      <c r="BL76" s="650"/>
      <c r="BM76" s="439"/>
      <c r="BN76" s="416"/>
      <c r="BO76" s="416"/>
      <c r="BP76" s="416"/>
      <c r="BQ76" s="416"/>
      <c r="BR76" s="416"/>
      <c r="BS76" s="416"/>
      <c r="BT76" s="452"/>
      <c r="BU76" s="416"/>
      <c r="BV76" s="416"/>
      <c r="BW76" s="416"/>
      <c r="BX76" s="416"/>
      <c r="BY76" s="416"/>
      <c r="BZ76" s="416"/>
      <c r="CA76" s="452"/>
      <c r="CB76" s="432"/>
      <c r="CC76" s="456"/>
      <c r="CD76" s="456"/>
      <c r="CE76" s="429"/>
      <c r="CF76" s="431"/>
      <c r="CG76" s="456"/>
      <c r="CH76" s="456"/>
      <c r="CI76" s="429"/>
      <c r="CJ76" s="456"/>
      <c r="CK76" s="429"/>
      <c r="CL76" s="431"/>
      <c r="CM76" s="431"/>
      <c r="CN76" s="456"/>
      <c r="CO76" s="429"/>
      <c r="CP76" s="456"/>
      <c r="CQ76" s="456"/>
      <c r="CR76" s="429"/>
      <c r="CS76" s="412">
        <v>0</v>
      </c>
      <c r="CT76" s="431"/>
      <c r="CU76" s="431"/>
      <c r="CV76" s="464"/>
      <c r="CW76" s="412"/>
      <c r="CX76" s="464"/>
      <c r="CY76" s="412"/>
      <c r="CZ76" s="431"/>
      <c r="DA76" s="431"/>
      <c r="DB76" s="431"/>
      <c r="DC76" s="446"/>
      <c r="DD76" s="426"/>
      <c r="DE76" s="438"/>
      <c r="DF76" s="431"/>
      <c r="DG76" s="431"/>
      <c r="DH76" s="431"/>
      <c r="DI76" s="419"/>
      <c r="DJ76" s="419"/>
      <c r="DK76" s="419"/>
      <c r="DL76" s="430"/>
      <c r="DM76" s="419"/>
      <c r="DN76" s="419"/>
      <c r="DO76" s="419"/>
      <c r="DP76" s="419"/>
      <c r="DQ76" s="419"/>
      <c r="DR76" s="419"/>
      <c r="DS76" s="419"/>
      <c r="DT76" s="419"/>
      <c r="DU76" s="419"/>
      <c r="DV76" s="419"/>
      <c r="DW76" s="419"/>
      <c r="DX76" s="419"/>
      <c r="DY76" s="419"/>
      <c r="DZ76" s="419"/>
      <c r="EA76" s="419"/>
      <c r="EB76" s="430"/>
      <c r="EC76" s="419"/>
      <c r="ED76" s="419"/>
      <c r="EE76" s="439"/>
      <c r="EF76" s="462"/>
      <c r="EG76" s="411"/>
      <c r="EH76" s="439"/>
      <c r="EI76" s="421"/>
      <c r="EJ76" s="421"/>
      <c r="EK76" s="419"/>
      <c r="EL76" s="435"/>
      <c r="EM76" s="419"/>
      <c r="EN76" s="419"/>
      <c r="EO76" s="419"/>
      <c r="EP76" s="419"/>
      <c r="EQ76" s="419"/>
      <c r="ER76" s="430"/>
      <c r="ES76" s="419"/>
      <c r="ET76" s="419"/>
      <c r="EU76" s="419"/>
      <c r="EV76" s="419"/>
      <c r="EW76" s="455"/>
      <c r="EX76" s="419"/>
      <c r="EY76" s="419"/>
      <c r="EZ76" s="455"/>
      <c r="FA76" s="419"/>
      <c r="FB76" s="419"/>
      <c r="FC76" s="419"/>
      <c r="FD76" s="419"/>
      <c r="FE76" s="419"/>
      <c r="FF76" s="419"/>
      <c r="FG76" s="419"/>
      <c r="FH76" s="419"/>
      <c r="FI76" s="419"/>
      <c r="FJ76" s="419"/>
      <c r="FK76" s="419"/>
      <c r="FL76" s="419"/>
      <c r="FM76" s="419"/>
      <c r="FN76" s="435"/>
      <c r="FO76" s="419"/>
      <c r="FP76" s="419"/>
      <c r="FQ76" s="419"/>
      <c r="FR76" s="419"/>
      <c r="FS76" s="419"/>
      <c r="FT76" s="419"/>
      <c r="FU76" s="452"/>
      <c r="FV76" s="452"/>
      <c r="FW76" s="452"/>
      <c r="FX76" s="411"/>
      <c r="FY76" s="410"/>
      <c r="FZ76" s="412"/>
      <c r="GA76" s="439"/>
      <c r="GB76" s="452"/>
      <c r="GC76" s="452"/>
      <c r="GD76" s="452"/>
      <c r="GE76" s="452"/>
      <c r="GF76" s="452"/>
      <c r="GG76" s="410"/>
      <c r="GH76" s="452"/>
      <c r="GI76" s="463"/>
      <c r="GJ76" s="452"/>
      <c r="GK76" s="452"/>
      <c r="GL76" s="452"/>
      <c r="GM76" s="452"/>
      <c r="GN76" s="411"/>
      <c r="GO76" s="410"/>
      <c r="GP76" s="412"/>
      <c r="GQ76" s="439"/>
      <c r="GR76" s="452"/>
      <c r="GS76" s="452"/>
      <c r="GT76" s="452"/>
      <c r="GU76" s="452"/>
      <c r="GV76" s="452"/>
      <c r="GW76" s="410"/>
      <c r="GX76" s="452"/>
      <c r="GY76" s="463"/>
      <c r="GZ76" s="452"/>
      <c r="HA76" s="452"/>
      <c r="HB76" s="452"/>
      <c r="HC76" s="452"/>
      <c r="HD76" s="411"/>
      <c r="HE76" s="410"/>
      <c r="HF76" s="412"/>
      <c r="HG76" s="439"/>
      <c r="HH76" s="452"/>
      <c r="HI76" s="452"/>
      <c r="HJ76" s="452"/>
      <c r="HK76" s="452"/>
      <c r="HL76" s="452"/>
      <c r="HM76" s="410"/>
      <c r="HN76" s="452"/>
      <c r="HO76" s="463"/>
      <c r="HP76" s="452"/>
      <c r="HQ76" s="434"/>
      <c r="HR76" s="427"/>
      <c r="HS76" s="427"/>
      <c r="HT76" s="427"/>
      <c r="HU76" s="411"/>
      <c r="HV76" s="411"/>
      <c r="HW76" s="411"/>
      <c r="HX76" s="421"/>
      <c r="HY76" s="421"/>
      <c r="HZ76" s="411"/>
      <c r="IA76" s="411"/>
      <c r="IB76" s="411"/>
      <c r="IC76" s="439"/>
      <c r="ID76" s="439"/>
      <c r="IE76" s="439"/>
      <c r="IF76" s="432"/>
      <c r="IG76" s="427"/>
      <c r="IH76" s="427"/>
      <c r="II76" s="427"/>
      <c r="IJ76" s="427"/>
      <c r="IK76" s="427"/>
      <c r="IL76" s="427"/>
      <c r="IM76" s="411"/>
      <c r="IN76" s="411"/>
      <c r="IO76" s="411"/>
      <c r="IP76" s="421"/>
      <c r="IQ76" s="421"/>
      <c r="IR76" s="411"/>
      <c r="IS76" s="411"/>
      <c r="IT76" s="411"/>
      <c r="IU76" s="439"/>
      <c r="IV76" s="439"/>
    </row>
    <row r="77" spans="1:256" s="328" customFormat="1" ht="8.25" customHeight="1">
      <c r="A77" s="411"/>
      <c r="B77" s="435"/>
      <c r="C77" s="435"/>
      <c r="D77" s="435"/>
      <c r="E77" s="435"/>
      <c r="F77" s="431"/>
      <c r="G77" s="435"/>
      <c r="H77" s="435"/>
      <c r="I77" s="435"/>
      <c r="J77" s="435"/>
      <c r="K77" s="435"/>
      <c r="L77" s="435"/>
      <c r="M77" s="435"/>
      <c r="N77" s="435"/>
      <c r="O77" s="435"/>
      <c r="P77" s="439"/>
      <c r="Q77" s="452"/>
      <c r="R77" s="435"/>
      <c r="S77" s="435"/>
      <c r="T77" s="431"/>
      <c r="U77" s="435"/>
      <c r="V77" s="435"/>
      <c r="W77" s="435"/>
      <c r="X77" s="435"/>
      <c r="Y77" s="435"/>
      <c r="Z77" s="435"/>
      <c r="AA77" s="435"/>
      <c r="AB77" s="435"/>
      <c r="AC77" s="435"/>
      <c r="AD77" s="439"/>
      <c r="AE77" s="439"/>
      <c r="AF77" s="650"/>
      <c r="AG77" s="452"/>
      <c r="AH77" s="435"/>
      <c r="AI77" s="435"/>
      <c r="AJ77" s="435"/>
      <c r="AK77" s="435"/>
      <c r="AL77" s="431"/>
      <c r="AM77" s="435"/>
      <c r="AN77" s="435"/>
      <c r="AO77" s="435"/>
      <c r="AP77" s="435"/>
      <c r="AQ77" s="435"/>
      <c r="AR77" s="435"/>
      <c r="AS77" s="435"/>
      <c r="AT77" s="435"/>
      <c r="AU77" s="435"/>
      <c r="AV77" s="650"/>
      <c r="AW77" s="452"/>
      <c r="AX77" s="439"/>
      <c r="AY77" s="435"/>
      <c r="AZ77" s="435"/>
      <c r="BA77" s="435"/>
      <c r="BB77" s="435"/>
      <c r="BC77" s="435"/>
      <c r="BD77" s="431"/>
      <c r="BE77" s="435"/>
      <c r="BF77" s="435"/>
      <c r="BG77" s="435"/>
      <c r="BH77" s="435"/>
      <c r="BI77" s="435"/>
      <c r="BJ77" s="435"/>
      <c r="BK77" s="435"/>
      <c r="BL77" s="650"/>
      <c r="BM77" s="439"/>
      <c r="BN77" s="416"/>
      <c r="BO77" s="416"/>
      <c r="BP77" s="416"/>
      <c r="BQ77" s="416"/>
      <c r="BR77" s="416"/>
      <c r="BS77" s="452"/>
      <c r="BT77" s="416"/>
      <c r="BU77" s="416"/>
      <c r="BV77" s="416"/>
      <c r="BW77" s="416"/>
      <c r="BX77" s="416"/>
      <c r="BY77" s="452"/>
      <c r="BZ77" s="452"/>
      <c r="CA77" s="416"/>
      <c r="CB77" s="432"/>
      <c r="CC77" s="456"/>
      <c r="CD77" s="429"/>
      <c r="CE77" s="431"/>
      <c r="CF77" s="456"/>
      <c r="CG77" s="429"/>
      <c r="CH77" s="456"/>
      <c r="CI77" s="429"/>
      <c r="CJ77" s="456"/>
      <c r="CK77" s="456"/>
      <c r="CL77" s="429"/>
      <c r="CM77" s="456"/>
      <c r="CN77" s="456"/>
      <c r="CO77" s="429"/>
      <c r="CP77" s="456"/>
      <c r="CQ77" s="456"/>
      <c r="CR77" s="429"/>
      <c r="CS77" s="431"/>
      <c r="CT77" s="431"/>
      <c r="CU77" s="431"/>
      <c r="CV77" s="458"/>
      <c r="CW77" s="458"/>
      <c r="CX77" s="412"/>
      <c r="CY77" s="410"/>
      <c r="CZ77" s="412"/>
      <c r="DA77" s="431"/>
      <c r="DB77" s="431"/>
      <c r="DC77" s="426"/>
      <c r="DD77" s="426"/>
      <c r="DE77" s="438"/>
      <c r="DF77" s="431"/>
      <c r="DG77" s="431"/>
      <c r="DH77" s="431"/>
      <c r="DI77" s="419"/>
      <c r="DJ77" s="419"/>
      <c r="DK77" s="419"/>
      <c r="DL77" s="419"/>
      <c r="DM77" s="419"/>
      <c r="DN77" s="419"/>
      <c r="DO77" s="419"/>
      <c r="DP77" s="419"/>
      <c r="DQ77" s="419"/>
      <c r="DR77" s="419"/>
      <c r="DS77" s="419"/>
      <c r="DT77" s="419"/>
      <c r="DU77" s="419"/>
      <c r="DV77" s="419"/>
      <c r="DW77" s="419"/>
      <c r="DX77" s="419"/>
      <c r="DY77" s="419"/>
      <c r="DZ77" s="419"/>
      <c r="EA77" s="419"/>
      <c r="EB77" s="419"/>
      <c r="EC77" s="419"/>
      <c r="ED77" s="419"/>
      <c r="EE77" s="435"/>
      <c r="EF77" s="452"/>
      <c r="EG77" s="439"/>
      <c r="EH77" s="421"/>
      <c r="EI77" s="421"/>
      <c r="EJ77" s="419"/>
      <c r="EK77" s="419"/>
      <c r="EL77" s="419"/>
      <c r="EM77" s="419"/>
      <c r="EN77" s="419"/>
      <c r="EO77" s="419"/>
      <c r="EP77" s="419"/>
      <c r="EQ77" s="419"/>
      <c r="ER77" s="419"/>
      <c r="ES77" s="419"/>
      <c r="ET77" s="419"/>
      <c r="EU77" s="419"/>
      <c r="EV77" s="435"/>
      <c r="EW77" s="419"/>
      <c r="EX77" s="419"/>
      <c r="EY77" s="419"/>
      <c r="EZ77" s="419"/>
      <c r="FA77" s="419"/>
      <c r="FB77" s="419"/>
      <c r="FC77" s="419"/>
      <c r="FD77" s="419"/>
      <c r="FE77" s="419"/>
      <c r="FF77" s="435"/>
      <c r="FG77" s="435"/>
      <c r="FH77" s="435"/>
      <c r="FI77" s="419"/>
      <c r="FJ77" s="419"/>
      <c r="FK77" s="461"/>
      <c r="FL77" s="435"/>
      <c r="FM77" s="461"/>
      <c r="FN77" s="419"/>
      <c r="FO77" s="419"/>
      <c r="FP77" s="419"/>
      <c r="FQ77" s="419"/>
      <c r="FR77" s="419"/>
      <c r="FS77" s="419"/>
      <c r="FT77" s="419"/>
      <c r="FU77" s="452"/>
      <c r="FV77" s="411"/>
      <c r="FW77" s="410"/>
      <c r="FX77" s="410"/>
      <c r="FY77" s="439"/>
      <c r="FZ77" s="439"/>
      <c r="GA77" s="432"/>
      <c r="GB77" s="421"/>
      <c r="GC77" s="452"/>
      <c r="GD77" s="452"/>
      <c r="GE77" s="452"/>
      <c r="GF77" s="452"/>
      <c r="GG77" s="410"/>
      <c r="GH77" s="452"/>
      <c r="GI77" s="437"/>
      <c r="GJ77" s="437"/>
      <c r="GK77" s="452"/>
      <c r="GL77" s="411"/>
      <c r="GM77" s="410"/>
      <c r="GN77" s="410"/>
      <c r="GO77" s="439"/>
      <c r="GP77" s="439"/>
      <c r="GQ77" s="432"/>
      <c r="GR77" s="421"/>
      <c r="GS77" s="452"/>
      <c r="GT77" s="452"/>
      <c r="GU77" s="452"/>
      <c r="GV77" s="452"/>
      <c r="GW77" s="410"/>
      <c r="GX77" s="452"/>
      <c r="GY77" s="437"/>
      <c r="GZ77" s="437"/>
      <c r="HA77" s="452"/>
      <c r="HB77" s="411"/>
      <c r="HC77" s="410"/>
      <c r="HD77" s="452"/>
      <c r="HE77" s="439"/>
      <c r="HF77" s="439"/>
      <c r="HG77" s="432"/>
      <c r="HH77" s="421"/>
      <c r="HI77" s="452"/>
      <c r="HJ77" s="452"/>
      <c r="HK77" s="452"/>
      <c r="HL77" s="452"/>
      <c r="HM77" s="410"/>
      <c r="HN77" s="452"/>
      <c r="HO77" s="437"/>
      <c r="HP77" s="437"/>
      <c r="HQ77" s="434"/>
      <c r="HR77" s="434"/>
      <c r="HS77" s="427"/>
      <c r="HT77" s="427"/>
      <c r="HU77" s="427"/>
      <c r="HV77" s="439"/>
      <c r="HW77" s="439"/>
      <c r="HX77" s="411"/>
      <c r="HY77" s="411"/>
      <c r="HZ77" s="421"/>
      <c r="IA77" s="421"/>
      <c r="IB77" s="421"/>
      <c r="IC77" s="421"/>
      <c r="ID77" s="421"/>
      <c r="IE77" s="421"/>
      <c r="IF77" s="421"/>
      <c r="IG77" s="434"/>
      <c r="IH77" s="427"/>
      <c r="II77" s="434"/>
      <c r="IJ77" s="434"/>
      <c r="IK77" s="427"/>
      <c r="IL77" s="427"/>
      <c r="IM77" s="427"/>
      <c r="IN77" s="432"/>
      <c r="IO77" s="432"/>
      <c r="IP77" s="411"/>
      <c r="IQ77" s="439"/>
      <c r="IR77" s="421"/>
      <c r="IS77" s="421"/>
      <c r="IT77" s="421"/>
      <c r="IU77" s="421"/>
      <c r="IV77" s="421"/>
    </row>
    <row r="78" spans="1:256" s="328" customFormat="1" ht="8.25" customHeight="1">
      <c r="A78" s="411"/>
      <c r="B78" s="432"/>
      <c r="C78" s="442"/>
      <c r="D78" s="442"/>
      <c r="E78" s="442"/>
      <c r="F78" s="442"/>
      <c r="G78" s="442"/>
      <c r="H78" s="442"/>
      <c r="I78" s="442"/>
      <c r="J78" s="442"/>
      <c r="K78" s="442"/>
      <c r="L78" s="442"/>
      <c r="M78" s="442"/>
      <c r="N78" s="442"/>
      <c r="O78" s="432"/>
      <c r="P78" s="439"/>
      <c r="Q78" s="452"/>
      <c r="R78" s="442"/>
      <c r="S78" s="442"/>
      <c r="T78" s="442"/>
      <c r="U78" s="442"/>
      <c r="V78" s="442"/>
      <c r="W78" s="442"/>
      <c r="X78" s="442"/>
      <c r="Y78" s="442"/>
      <c r="Z78" s="442"/>
      <c r="AA78" s="442"/>
      <c r="AB78" s="442"/>
      <c r="AC78" s="432"/>
      <c r="AD78" s="433"/>
      <c r="AE78" s="433"/>
      <c r="AF78" s="650"/>
      <c r="AG78" s="452">
        <v>25</v>
      </c>
      <c r="AH78" s="442"/>
      <c r="AI78" s="442"/>
      <c r="AJ78" s="442"/>
      <c r="AK78" s="442"/>
      <c r="AL78" s="442"/>
      <c r="AM78" s="442"/>
      <c r="AN78" s="442"/>
      <c r="AO78" s="442"/>
      <c r="AP78" s="442"/>
      <c r="AQ78" s="442"/>
      <c r="AR78" s="442"/>
      <c r="AS78" s="442"/>
      <c r="AT78" s="442"/>
      <c r="AU78" s="432"/>
      <c r="AV78" s="650"/>
      <c r="AW78" s="452"/>
      <c r="AX78" s="433"/>
      <c r="AY78" s="432"/>
      <c r="AZ78" s="442"/>
      <c r="BA78" s="442"/>
      <c r="BB78" s="442"/>
      <c r="BC78" s="442"/>
      <c r="BD78" s="442"/>
      <c r="BE78" s="442"/>
      <c r="BF78" s="442"/>
      <c r="BG78" s="442"/>
      <c r="BH78" s="442"/>
      <c r="BI78" s="442"/>
      <c r="BJ78" s="442"/>
      <c r="BK78" s="442"/>
      <c r="BL78" s="650"/>
      <c r="BM78" s="439"/>
      <c r="BN78" s="416"/>
      <c r="BO78" s="416"/>
      <c r="BP78" s="416"/>
      <c r="BQ78" s="416"/>
      <c r="BR78" s="416"/>
      <c r="BS78" s="416"/>
      <c r="BT78" s="416"/>
      <c r="BU78" s="416"/>
      <c r="BV78" s="416"/>
      <c r="BW78" s="416"/>
      <c r="BX78" s="452"/>
      <c r="BY78" s="416"/>
      <c r="BZ78" s="416"/>
      <c r="CA78" s="416"/>
      <c r="CB78" s="432"/>
      <c r="CC78" s="456">
        <v>25</v>
      </c>
      <c r="CD78" s="429"/>
      <c r="CE78" s="431"/>
      <c r="CF78" s="456"/>
      <c r="CG78" s="429"/>
      <c r="CH78" s="456"/>
      <c r="CI78" s="429"/>
      <c r="CJ78" s="456"/>
      <c r="CK78" s="429"/>
      <c r="CL78" s="456"/>
      <c r="CM78" s="429"/>
      <c r="CN78" s="456"/>
      <c r="CO78" s="429"/>
      <c r="CP78" s="456"/>
      <c r="CQ78" s="429"/>
      <c r="CR78" s="431"/>
      <c r="CS78" s="412"/>
      <c r="CT78" s="431"/>
      <c r="CU78" s="412"/>
      <c r="CV78" s="431"/>
      <c r="CW78" s="431"/>
      <c r="CX78" s="431"/>
      <c r="CY78" s="464"/>
      <c r="CZ78" s="412"/>
      <c r="DA78" s="431"/>
      <c r="DB78" s="431"/>
      <c r="DC78" s="438"/>
      <c r="DD78" s="438"/>
      <c r="DE78" s="431"/>
      <c r="DF78" s="431"/>
      <c r="DG78" s="431"/>
      <c r="DH78" s="431"/>
      <c r="DI78" s="435"/>
      <c r="DJ78" s="435"/>
      <c r="DK78" s="419"/>
      <c r="DL78" s="419"/>
      <c r="DM78" s="419"/>
      <c r="DN78" s="419"/>
      <c r="DO78" s="419"/>
      <c r="DP78" s="416"/>
      <c r="DQ78" s="419"/>
      <c r="DR78" s="419"/>
      <c r="DS78" s="419"/>
      <c r="DT78" s="419"/>
      <c r="DU78" s="419"/>
      <c r="DV78" s="419"/>
      <c r="DW78" s="430"/>
      <c r="DX78" s="419"/>
      <c r="DY78" s="419"/>
      <c r="DZ78" s="435"/>
      <c r="EA78" s="435"/>
      <c r="EB78" s="419"/>
      <c r="EC78" s="419"/>
      <c r="ED78" s="419"/>
      <c r="EE78" s="439"/>
      <c r="EF78" s="435"/>
      <c r="EG78" s="435"/>
      <c r="EH78" s="419"/>
      <c r="EI78" s="419"/>
      <c r="EJ78" s="421"/>
      <c r="EK78" s="419"/>
      <c r="EL78" s="419"/>
      <c r="EM78" s="430"/>
      <c r="EN78" s="419"/>
      <c r="EO78" s="419"/>
      <c r="EP78" s="419"/>
      <c r="EQ78" s="435"/>
      <c r="ER78" s="435"/>
      <c r="ES78" s="419"/>
      <c r="ET78" s="419"/>
      <c r="EU78" s="435"/>
      <c r="EV78" s="419"/>
      <c r="EW78" s="419"/>
      <c r="EX78" s="419"/>
      <c r="EY78" s="455"/>
      <c r="EZ78" s="419"/>
      <c r="FA78" s="419"/>
      <c r="FB78" s="419"/>
      <c r="FC78" s="419"/>
      <c r="FD78" s="430"/>
      <c r="FE78" s="412"/>
      <c r="FF78" s="431"/>
      <c r="FG78" s="431"/>
      <c r="FH78" s="431"/>
      <c r="FI78" s="412"/>
      <c r="FJ78" s="461"/>
      <c r="FK78" s="435"/>
      <c r="FL78" s="419"/>
      <c r="FM78" s="419"/>
      <c r="FN78" s="419"/>
      <c r="FO78" s="419"/>
      <c r="FP78" s="419"/>
      <c r="FQ78" s="419"/>
      <c r="FR78" s="419"/>
      <c r="FS78" s="419"/>
      <c r="FT78" s="419"/>
      <c r="FU78" s="411">
        <v>25</v>
      </c>
      <c r="FV78" s="430"/>
      <c r="FW78" s="432"/>
      <c r="FX78" s="452"/>
      <c r="FY78" s="411"/>
      <c r="FZ78" s="439"/>
      <c r="GA78" s="412"/>
      <c r="GB78" s="412"/>
      <c r="GC78" s="421"/>
      <c r="GD78" s="430"/>
      <c r="GE78" s="452"/>
      <c r="GF78" s="452"/>
      <c r="GG78" s="429"/>
      <c r="GH78" s="452"/>
      <c r="GI78" s="421"/>
      <c r="GJ78" s="452"/>
      <c r="GK78" s="411"/>
      <c r="GL78" s="430"/>
      <c r="GM78" s="432"/>
      <c r="GN78" s="452"/>
      <c r="GO78" s="411"/>
      <c r="GP78" s="439"/>
      <c r="GQ78" s="412"/>
      <c r="GR78" s="412"/>
      <c r="GS78" s="421"/>
      <c r="GT78" s="430"/>
      <c r="GU78" s="452"/>
      <c r="GV78" s="429"/>
      <c r="GW78" s="452"/>
      <c r="GX78" s="452"/>
      <c r="GY78" s="421"/>
      <c r="GZ78" s="452"/>
      <c r="HA78" s="411"/>
      <c r="HB78" s="430"/>
      <c r="HC78" s="432"/>
      <c r="HD78" s="452"/>
      <c r="HE78" s="411"/>
      <c r="HF78" s="411"/>
      <c r="HG78" s="412"/>
      <c r="HH78" s="412"/>
      <c r="HI78" s="421"/>
      <c r="HJ78" s="430"/>
      <c r="HK78" s="452"/>
      <c r="HL78" s="452"/>
      <c r="HM78" s="452"/>
      <c r="HN78" s="452"/>
      <c r="HO78" s="421"/>
      <c r="HP78" s="452"/>
      <c r="HQ78" s="441">
        <v>26</v>
      </c>
      <c r="HR78" s="434"/>
      <c r="HS78" s="441"/>
      <c r="HT78" s="434"/>
      <c r="HU78" s="441"/>
      <c r="HV78" s="434"/>
      <c r="HW78" s="429"/>
      <c r="HX78" s="439"/>
      <c r="HY78" s="431"/>
      <c r="HZ78" s="411"/>
      <c r="IA78" s="411"/>
      <c r="IB78" s="411"/>
      <c r="IC78" s="411"/>
      <c r="ID78" s="411"/>
      <c r="IE78" s="411"/>
      <c r="IF78" s="411"/>
      <c r="IG78" s="441"/>
      <c r="IH78" s="441"/>
      <c r="II78" s="434"/>
      <c r="IJ78" s="441"/>
      <c r="IK78" s="441"/>
      <c r="IL78" s="429"/>
      <c r="IM78" s="441"/>
      <c r="IN78" s="434"/>
      <c r="IO78" s="427"/>
      <c r="IP78" s="432"/>
      <c r="IQ78" s="432"/>
      <c r="IR78" s="431"/>
      <c r="IS78" s="411"/>
      <c r="IT78" s="411"/>
      <c r="IU78" s="411"/>
      <c r="IV78" s="411"/>
    </row>
    <row r="79" spans="1:256" s="328" customFormat="1" ht="8.25" customHeight="1">
      <c r="A79" s="411"/>
      <c r="B79" s="440"/>
      <c r="C79" s="448"/>
      <c r="D79" s="448"/>
      <c r="E79" s="448"/>
      <c r="F79" s="448"/>
      <c r="G79" s="448"/>
      <c r="H79" s="448"/>
      <c r="I79" s="448"/>
      <c r="J79" s="448"/>
      <c r="K79" s="448"/>
      <c r="L79" s="448"/>
      <c r="M79" s="448"/>
      <c r="N79" s="433"/>
      <c r="O79" s="440"/>
      <c r="P79" s="439"/>
      <c r="Q79" s="452"/>
      <c r="R79" s="448"/>
      <c r="S79" s="448"/>
      <c r="T79" s="448"/>
      <c r="U79" s="448"/>
      <c r="V79" s="448"/>
      <c r="W79" s="448"/>
      <c r="X79" s="448"/>
      <c r="Y79" s="448"/>
      <c r="Z79" s="448"/>
      <c r="AA79" s="448"/>
      <c r="AB79" s="426"/>
      <c r="AC79" s="433"/>
      <c r="AD79" s="440"/>
      <c r="AE79" s="440"/>
      <c r="AF79" s="650"/>
      <c r="AG79" s="452">
        <v>48</v>
      </c>
      <c r="AH79" s="440"/>
      <c r="AI79" s="448"/>
      <c r="AJ79" s="448"/>
      <c r="AK79" s="448"/>
      <c r="AL79" s="448"/>
      <c r="AM79" s="448"/>
      <c r="AN79" s="448"/>
      <c r="AO79" s="448"/>
      <c r="AP79" s="448"/>
      <c r="AQ79" s="448"/>
      <c r="AR79" s="448"/>
      <c r="AS79" s="448"/>
      <c r="AT79" s="433"/>
      <c r="AU79" s="426"/>
      <c r="AV79" s="650"/>
      <c r="AW79" s="452"/>
      <c r="AX79" s="440"/>
      <c r="AY79" s="440"/>
      <c r="AZ79" s="440"/>
      <c r="BA79" s="448"/>
      <c r="BB79" s="448"/>
      <c r="BC79" s="448"/>
      <c r="BD79" s="448"/>
      <c r="BE79" s="448"/>
      <c r="BF79" s="448"/>
      <c r="BG79" s="448"/>
      <c r="BH79" s="448"/>
      <c r="BI79" s="448"/>
      <c r="BJ79" s="448"/>
      <c r="BK79" s="448"/>
      <c r="BL79" s="650"/>
      <c r="BM79" s="439"/>
      <c r="BN79" s="452"/>
      <c r="BO79" s="416"/>
      <c r="BP79" s="416"/>
      <c r="BQ79" s="416"/>
      <c r="BR79" s="416"/>
      <c r="BS79" s="416"/>
      <c r="BT79" s="452"/>
      <c r="BU79" s="416"/>
      <c r="BV79" s="416"/>
      <c r="BW79" s="452"/>
      <c r="BX79" s="416"/>
      <c r="BY79" s="416"/>
      <c r="BZ79" s="416"/>
      <c r="CA79" s="416"/>
      <c r="CB79" s="432"/>
      <c r="CC79" s="456">
        <v>24</v>
      </c>
      <c r="CD79" s="456"/>
      <c r="CE79" s="429"/>
      <c r="CF79" s="456"/>
      <c r="CG79" s="456"/>
      <c r="CH79" s="429"/>
      <c r="CI79" s="431"/>
      <c r="CJ79" s="456"/>
      <c r="CK79" s="429"/>
      <c r="CL79" s="431"/>
      <c r="CM79" s="431"/>
      <c r="CN79" s="456"/>
      <c r="CO79" s="429"/>
      <c r="CP79" s="456"/>
      <c r="CQ79" s="456"/>
      <c r="CR79" s="429"/>
      <c r="CS79" s="431"/>
      <c r="CT79" s="412"/>
      <c r="CU79" s="431"/>
      <c r="CV79" s="431"/>
      <c r="CW79" s="431"/>
      <c r="CX79" s="431"/>
      <c r="CY79" s="464"/>
      <c r="CZ79" s="412"/>
      <c r="DA79" s="431"/>
      <c r="DB79" s="431"/>
      <c r="DC79" s="431"/>
      <c r="DD79" s="431"/>
      <c r="DE79" s="431"/>
      <c r="DF79" s="431"/>
      <c r="DG79" s="431"/>
      <c r="DH79" s="431"/>
      <c r="DI79" s="431"/>
      <c r="DJ79" s="412"/>
      <c r="DK79" s="435"/>
      <c r="DL79" s="435"/>
      <c r="DM79" s="419"/>
      <c r="DN79" s="419"/>
      <c r="DO79" s="419"/>
      <c r="DP79" s="419"/>
      <c r="DQ79" s="419"/>
      <c r="DR79" s="419"/>
      <c r="DS79" s="419"/>
      <c r="DT79" s="419"/>
      <c r="DU79" s="419"/>
      <c r="DV79" s="419"/>
      <c r="DW79" s="419"/>
      <c r="DX79" s="419"/>
      <c r="DY79" s="431"/>
      <c r="DZ79" s="431"/>
      <c r="EA79" s="412"/>
      <c r="EB79" s="435"/>
      <c r="EC79" s="435"/>
      <c r="ED79" s="419"/>
      <c r="EE79" s="419"/>
      <c r="EF79" s="419"/>
      <c r="EG79" s="419"/>
      <c r="EH79" s="419"/>
      <c r="EI79" s="419"/>
      <c r="EJ79" s="419"/>
      <c r="EK79" s="419"/>
      <c r="EL79" s="419"/>
      <c r="EM79" s="419"/>
      <c r="EN79" s="419"/>
      <c r="EO79" s="431"/>
      <c r="EP79" s="431"/>
      <c r="EQ79" s="431"/>
      <c r="ER79" s="412"/>
      <c r="ES79" s="435"/>
      <c r="ET79" s="462"/>
      <c r="EU79" s="439"/>
      <c r="EV79" s="419"/>
      <c r="EW79" s="419"/>
      <c r="EX79" s="435"/>
      <c r="EY79" s="419"/>
      <c r="EZ79" s="419"/>
      <c r="FA79" s="419"/>
      <c r="FB79" s="419"/>
      <c r="FC79" s="419"/>
      <c r="FD79" s="419"/>
      <c r="FE79" s="418"/>
      <c r="FF79" s="418"/>
      <c r="FG79" s="435"/>
      <c r="FH79" s="435"/>
      <c r="FI79" s="461"/>
      <c r="FJ79" s="412"/>
      <c r="FK79" s="461"/>
      <c r="FL79" s="435"/>
      <c r="FM79" s="419"/>
      <c r="FN79" s="419"/>
      <c r="FO79" s="419"/>
      <c r="FP79" s="419"/>
      <c r="FQ79" s="419"/>
      <c r="FR79" s="419"/>
      <c r="FS79" s="419"/>
      <c r="FT79" s="419"/>
      <c r="FU79" s="452">
        <v>16</v>
      </c>
      <c r="FV79" s="452"/>
      <c r="FW79" s="452"/>
      <c r="FX79" s="432"/>
      <c r="FY79" s="412"/>
      <c r="FZ79" s="421"/>
      <c r="GA79" s="432"/>
      <c r="GB79" s="432"/>
      <c r="GC79" s="452"/>
      <c r="GD79" s="452"/>
      <c r="GE79" s="452"/>
      <c r="GF79" s="452"/>
      <c r="GG79" s="452"/>
      <c r="GH79" s="439"/>
      <c r="GI79" s="421"/>
      <c r="GJ79" s="413"/>
      <c r="GK79" s="452"/>
      <c r="GL79" s="452"/>
      <c r="GM79" s="452"/>
      <c r="GN79" s="432"/>
      <c r="GO79" s="412"/>
      <c r="GP79" s="421"/>
      <c r="GQ79" s="432"/>
      <c r="GR79" s="432"/>
      <c r="GS79" s="452"/>
      <c r="GT79" s="452"/>
      <c r="GU79" s="452"/>
      <c r="GV79" s="452"/>
      <c r="GW79" s="452"/>
      <c r="GX79" s="439"/>
      <c r="GY79" s="421"/>
      <c r="GZ79" s="413"/>
      <c r="HA79" s="452"/>
      <c r="HB79" s="452"/>
      <c r="HC79" s="452"/>
      <c r="HD79" s="432"/>
      <c r="HE79" s="412"/>
      <c r="HF79" s="421"/>
      <c r="HG79" s="432"/>
      <c r="HH79" s="432"/>
      <c r="HI79" s="452"/>
      <c r="HJ79" s="452"/>
      <c r="HK79" s="409"/>
      <c r="HL79" s="452"/>
      <c r="HM79" s="452"/>
      <c r="HN79" s="439"/>
      <c r="HO79" s="421"/>
      <c r="HP79" s="413"/>
      <c r="HQ79" s="433">
        <v>24</v>
      </c>
      <c r="HR79" s="426"/>
      <c r="HS79" s="422"/>
      <c r="HT79" s="441"/>
      <c r="HU79" s="441"/>
      <c r="HV79" s="441"/>
      <c r="HW79" s="421"/>
      <c r="HX79" s="451"/>
      <c r="HY79" s="421"/>
      <c r="HZ79" s="439"/>
      <c r="IA79" s="439"/>
      <c r="IB79" s="439"/>
      <c r="IC79" s="411"/>
      <c r="ID79" s="411"/>
      <c r="IE79" s="439"/>
      <c r="IF79" s="439"/>
      <c r="IG79" s="433"/>
      <c r="IH79" s="426"/>
      <c r="II79" s="422"/>
      <c r="IJ79" s="441"/>
      <c r="IK79" s="441"/>
      <c r="IL79" s="421"/>
      <c r="IM79" s="441"/>
      <c r="IN79" s="432"/>
      <c r="IO79" s="444"/>
      <c r="IP79" s="429"/>
      <c r="IQ79" s="451"/>
      <c r="IR79" s="421"/>
      <c r="IS79" s="439"/>
      <c r="IT79" s="439"/>
      <c r="IU79" s="439"/>
      <c r="IV79" s="411"/>
    </row>
    <row r="80" spans="1:256" s="328" customFormat="1" ht="8.25" customHeight="1">
      <c r="A80" s="411">
        <v>52</v>
      </c>
      <c r="B80" s="440"/>
      <c r="C80" s="433"/>
      <c r="D80" s="455"/>
      <c r="E80" s="455"/>
      <c r="F80" s="455"/>
      <c r="G80" s="455"/>
      <c r="H80" s="455"/>
      <c r="I80" s="455"/>
      <c r="J80" s="455"/>
      <c r="K80" s="455"/>
      <c r="L80" s="455"/>
      <c r="M80" s="426"/>
      <c r="N80" s="433"/>
      <c r="O80" s="433"/>
      <c r="P80" s="439"/>
      <c r="Q80" s="452">
        <v>53</v>
      </c>
      <c r="R80" s="455"/>
      <c r="S80" s="455"/>
      <c r="T80" s="455"/>
      <c r="U80" s="455"/>
      <c r="V80" s="455"/>
      <c r="W80" s="455"/>
      <c r="X80" s="455"/>
      <c r="Y80" s="455"/>
      <c r="Z80" s="455"/>
      <c r="AA80" s="426"/>
      <c r="AB80" s="433"/>
      <c r="AC80" s="433"/>
      <c r="AD80" s="433"/>
      <c r="AE80" s="440"/>
      <c r="AF80" s="650"/>
      <c r="AG80" s="452">
        <v>54</v>
      </c>
      <c r="AH80" s="440"/>
      <c r="AI80" s="433"/>
      <c r="AJ80" s="455"/>
      <c r="AK80" s="455"/>
      <c r="AL80" s="455"/>
      <c r="AM80" s="455"/>
      <c r="AN80" s="455"/>
      <c r="AO80" s="455"/>
      <c r="AP80" s="455"/>
      <c r="AQ80" s="455"/>
      <c r="AR80" s="455"/>
      <c r="AS80" s="426"/>
      <c r="AT80" s="433"/>
      <c r="AU80" s="440"/>
      <c r="AV80" s="650"/>
      <c r="AW80" s="452">
        <v>55</v>
      </c>
      <c r="AX80" s="433"/>
      <c r="AY80" s="440"/>
      <c r="AZ80" s="440"/>
      <c r="BA80" s="433"/>
      <c r="BB80" s="455"/>
      <c r="BC80" s="455"/>
      <c r="BD80" s="455"/>
      <c r="BE80" s="455"/>
      <c r="BF80" s="455"/>
      <c r="BG80" s="455"/>
      <c r="BH80" s="455"/>
      <c r="BI80" s="455"/>
      <c r="BJ80" s="455"/>
      <c r="BK80" s="426"/>
      <c r="BL80" s="650"/>
      <c r="BM80" s="439">
        <v>115</v>
      </c>
      <c r="BN80" s="416"/>
      <c r="BO80" s="452"/>
      <c r="BP80" s="452"/>
      <c r="BQ80" s="416"/>
      <c r="BR80" s="416"/>
      <c r="BS80" s="452"/>
      <c r="BT80" s="413"/>
      <c r="BU80" s="413"/>
      <c r="BV80" s="452"/>
      <c r="BW80" s="416"/>
      <c r="BX80" s="416"/>
      <c r="BY80" s="416"/>
      <c r="BZ80" s="452"/>
      <c r="CA80" s="416"/>
      <c r="CB80" s="432"/>
      <c r="CC80" s="431">
        <v>56</v>
      </c>
      <c r="CD80" s="431"/>
      <c r="CE80" s="431"/>
      <c r="CF80" s="431"/>
      <c r="CG80" s="431"/>
      <c r="CH80" s="431"/>
      <c r="CI80" s="431"/>
      <c r="CJ80" s="431"/>
      <c r="CK80" s="431"/>
      <c r="CL80" s="431"/>
      <c r="CM80" s="431"/>
      <c r="CN80" s="431"/>
      <c r="CO80" s="431"/>
      <c r="CP80" s="431"/>
      <c r="CQ80" s="431"/>
      <c r="CR80" s="431"/>
      <c r="CS80" s="412">
        <v>56</v>
      </c>
      <c r="CT80" s="431"/>
      <c r="CU80" s="412"/>
      <c r="CV80" s="431"/>
      <c r="CW80" s="412"/>
      <c r="CX80" s="458"/>
      <c r="CY80" s="412"/>
      <c r="CZ80" s="410"/>
      <c r="DA80" s="410"/>
      <c r="DB80" s="412"/>
      <c r="DC80" s="431"/>
      <c r="DD80" s="431"/>
      <c r="DE80" s="431"/>
      <c r="DF80" s="431"/>
      <c r="DG80" s="431"/>
      <c r="DH80" s="431"/>
      <c r="DI80" s="435">
        <v>56</v>
      </c>
      <c r="DJ80" s="435"/>
      <c r="DK80" s="431"/>
      <c r="DL80" s="412"/>
      <c r="DM80" s="435"/>
      <c r="DN80" s="419"/>
      <c r="DO80" s="419"/>
      <c r="DP80" s="419"/>
      <c r="DQ80" s="419"/>
      <c r="DR80" s="419"/>
      <c r="DS80" s="419"/>
      <c r="DT80" s="419"/>
      <c r="DU80" s="419"/>
      <c r="DV80" s="419"/>
      <c r="DW80" s="419"/>
      <c r="DX80" s="419"/>
      <c r="DY80" s="435">
        <v>56</v>
      </c>
      <c r="DZ80" s="435"/>
      <c r="EA80" s="435"/>
      <c r="EB80" s="431"/>
      <c r="EC80" s="412"/>
      <c r="ED80" s="435"/>
      <c r="EE80" s="419"/>
      <c r="EF80" s="419"/>
      <c r="EG80" s="419"/>
      <c r="EH80" s="419"/>
      <c r="EI80" s="419"/>
      <c r="EJ80" s="419"/>
      <c r="EK80" s="419"/>
      <c r="EL80" s="419"/>
      <c r="EM80" s="419"/>
      <c r="EN80" s="419"/>
      <c r="EO80" s="423">
        <v>56</v>
      </c>
      <c r="EP80" s="435"/>
      <c r="EQ80" s="435"/>
      <c r="ER80" s="435"/>
      <c r="ES80" s="439"/>
      <c r="ET80" s="462"/>
      <c r="EU80" s="411"/>
      <c r="EV80" s="439"/>
      <c r="EW80" s="419"/>
      <c r="EX80" s="419"/>
      <c r="EY80" s="419"/>
      <c r="EZ80" s="419"/>
      <c r="FA80" s="419"/>
      <c r="FB80" s="419"/>
      <c r="FC80" s="419"/>
      <c r="FD80" s="419"/>
      <c r="FE80" s="423">
        <v>56</v>
      </c>
      <c r="FF80" s="461"/>
      <c r="FG80" s="461"/>
      <c r="FH80" s="461"/>
      <c r="FI80" s="461"/>
      <c r="FJ80" s="423"/>
      <c r="FK80" s="461"/>
      <c r="FL80" s="412"/>
      <c r="FM80" s="435"/>
      <c r="FN80" s="419"/>
      <c r="FO80" s="419"/>
      <c r="FP80" s="419"/>
      <c r="FQ80" s="419"/>
      <c r="FR80" s="419"/>
      <c r="FS80" s="419"/>
      <c r="FT80" s="419"/>
      <c r="FU80" s="452">
        <v>56</v>
      </c>
      <c r="FV80" s="452"/>
      <c r="FW80" s="432"/>
      <c r="FX80" s="452"/>
      <c r="FY80" s="452"/>
      <c r="FZ80" s="439"/>
      <c r="GA80" s="439"/>
      <c r="GB80" s="439"/>
      <c r="GC80" s="421"/>
      <c r="GD80" s="439"/>
      <c r="GE80" s="439"/>
      <c r="GF80" s="439"/>
      <c r="GG80" s="452"/>
      <c r="GH80" s="410"/>
      <c r="GI80" s="452"/>
      <c r="GJ80" s="452"/>
      <c r="GK80" s="452">
        <v>56</v>
      </c>
      <c r="GL80" s="452"/>
      <c r="GM80" s="432"/>
      <c r="GN80" s="452"/>
      <c r="GO80" s="421"/>
      <c r="GP80" s="439"/>
      <c r="GQ80" s="439"/>
      <c r="GR80" s="439"/>
      <c r="GS80" s="421"/>
      <c r="GT80" s="439"/>
      <c r="GU80" s="439"/>
      <c r="GV80" s="439"/>
      <c r="GW80" s="452"/>
      <c r="GX80" s="410"/>
      <c r="GY80" s="452"/>
      <c r="GZ80" s="452"/>
      <c r="HA80" s="452">
        <v>56</v>
      </c>
      <c r="HB80" s="452"/>
      <c r="HC80" s="432"/>
      <c r="HD80" s="452"/>
      <c r="HE80" s="421"/>
      <c r="HF80" s="452"/>
      <c r="HG80" s="439"/>
      <c r="HH80" s="439"/>
      <c r="HI80" s="421"/>
      <c r="HJ80" s="439"/>
      <c r="HK80" s="439"/>
      <c r="HL80" s="439"/>
      <c r="HM80" s="452"/>
      <c r="HN80" s="410"/>
      <c r="HO80" s="452"/>
      <c r="HP80" s="452"/>
      <c r="HQ80" s="426">
        <v>56</v>
      </c>
      <c r="HR80" s="422"/>
      <c r="HS80" s="429"/>
      <c r="HT80" s="441"/>
      <c r="HU80" s="441"/>
      <c r="HV80" s="443"/>
      <c r="HW80" s="421"/>
      <c r="HX80" s="431"/>
      <c r="HY80" s="422"/>
      <c r="HZ80" s="441"/>
      <c r="IA80" s="441"/>
      <c r="IB80" s="414"/>
      <c r="IC80" s="432"/>
      <c r="ID80" s="432"/>
      <c r="IE80" s="421"/>
      <c r="IF80" s="414"/>
      <c r="IG80" s="426">
        <v>56</v>
      </c>
      <c r="IH80" s="422"/>
      <c r="II80" s="429"/>
      <c r="IJ80" s="441"/>
      <c r="IK80" s="441"/>
      <c r="IL80" s="421"/>
      <c r="IM80" s="426"/>
      <c r="IN80" s="426"/>
      <c r="IO80" s="426"/>
      <c r="IP80" s="417"/>
      <c r="IQ80" s="431"/>
      <c r="IR80" s="417"/>
      <c r="IS80" s="441"/>
      <c r="IT80" s="411"/>
      <c r="IU80" s="432"/>
      <c r="IV80" s="432"/>
    </row>
    <row r="81" spans="1:256" s="328" customFormat="1" ht="8.25" customHeight="1">
      <c r="A81" s="411">
        <v>2</v>
      </c>
      <c r="B81" s="433"/>
      <c r="C81" s="433"/>
      <c r="D81" s="426"/>
      <c r="E81" s="422"/>
      <c r="F81" s="455"/>
      <c r="G81" s="455"/>
      <c r="H81" s="455"/>
      <c r="I81" s="455"/>
      <c r="J81" s="455"/>
      <c r="K81" s="455"/>
      <c r="L81" s="422"/>
      <c r="M81" s="426"/>
      <c r="N81" s="426"/>
      <c r="O81" s="440"/>
      <c r="P81" s="439"/>
      <c r="Q81" s="452">
        <v>2</v>
      </c>
      <c r="R81" s="426"/>
      <c r="S81" s="422"/>
      <c r="T81" s="455"/>
      <c r="U81" s="455"/>
      <c r="V81" s="455"/>
      <c r="W81" s="455"/>
      <c r="X81" s="455"/>
      <c r="Y81" s="455"/>
      <c r="Z81" s="422"/>
      <c r="AA81" s="426"/>
      <c r="AB81" s="426"/>
      <c r="AC81" s="433"/>
      <c r="AD81" s="440"/>
      <c r="AE81" s="440"/>
      <c r="AF81" s="650"/>
      <c r="AG81" s="452">
        <v>2</v>
      </c>
      <c r="AH81" s="433"/>
      <c r="AI81" s="433"/>
      <c r="AJ81" s="426"/>
      <c r="AK81" s="422"/>
      <c r="AL81" s="455"/>
      <c r="AM81" s="455"/>
      <c r="AN81" s="455"/>
      <c r="AO81" s="455"/>
      <c r="AP81" s="455"/>
      <c r="AQ81" s="455"/>
      <c r="AR81" s="422"/>
      <c r="AS81" s="426"/>
      <c r="AT81" s="426"/>
      <c r="AU81" s="433"/>
      <c r="AV81" s="650"/>
      <c r="AW81" s="452">
        <v>2</v>
      </c>
      <c r="AX81" s="440"/>
      <c r="AY81" s="440"/>
      <c r="AZ81" s="433"/>
      <c r="BA81" s="433"/>
      <c r="BB81" s="426"/>
      <c r="BC81" s="422"/>
      <c r="BD81" s="455"/>
      <c r="BE81" s="455"/>
      <c r="BF81" s="455"/>
      <c r="BG81" s="455"/>
      <c r="BH81" s="455"/>
      <c r="BI81" s="455"/>
      <c r="BJ81" s="422"/>
      <c r="BK81" s="426"/>
      <c r="BL81" s="650"/>
      <c r="BM81" s="439">
        <v>2</v>
      </c>
      <c r="BN81" s="416"/>
      <c r="BO81" s="416"/>
      <c r="BP81" s="416"/>
      <c r="BQ81" s="452"/>
      <c r="BR81" s="452"/>
      <c r="BS81" s="413"/>
      <c r="BT81" s="413"/>
      <c r="BU81" s="413"/>
      <c r="BV81" s="413"/>
      <c r="BW81" s="452"/>
      <c r="BX81" s="416"/>
      <c r="BY81" s="416"/>
      <c r="BZ81" s="416"/>
      <c r="CA81" s="416"/>
      <c r="CB81" s="432"/>
      <c r="CC81" s="431">
        <v>1</v>
      </c>
      <c r="CD81" s="431"/>
      <c r="CE81" s="436"/>
      <c r="CF81" s="409"/>
      <c r="CG81" s="431"/>
      <c r="CH81" s="431"/>
      <c r="CI81" s="436"/>
      <c r="CJ81" s="436"/>
      <c r="CK81" s="409"/>
      <c r="CL81" s="431"/>
      <c r="CM81" s="431"/>
      <c r="CN81" s="431"/>
      <c r="CO81" s="431"/>
      <c r="CP81" s="431"/>
      <c r="CQ81" s="431"/>
      <c r="CR81" s="431"/>
      <c r="CS81" s="421">
        <v>1</v>
      </c>
      <c r="CT81" s="412"/>
      <c r="CU81" s="431"/>
      <c r="CV81" s="412"/>
      <c r="CW81" s="431"/>
      <c r="CX81" s="431"/>
      <c r="CY81" s="431"/>
      <c r="CZ81" s="464"/>
      <c r="DA81" s="464"/>
      <c r="DB81" s="412"/>
      <c r="DC81" s="431"/>
      <c r="DD81" s="431"/>
      <c r="DE81" s="431"/>
      <c r="DF81" s="431"/>
      <c r="DG81" s="431"/>
      <c r="DH81" s="431"/>
      <c r="DI81" s="461">
        <v>1</v>
      </c>
      <c r="DJ81" s="461"/>
      <c r="DK81" s="461"/>
      <c r="DL81" s="435"/>
      <c r="DM81" s="431"/>
      <c r="DN81" s="435"/>
      <c r="DO81" s="419"/>
      <c r="DP81" s="419"/>
      <c r="DQ81" s="419"/>
      <c r="DR81" s="419"/>
      <c r="DS81" s="419"/>
      <c r="DT81" s="419"/>
      <c r="DU81" s="419"/>
      <c r="DV81" s="419"/>
      <c r="DW81" s="419"/>
      <c r="DX81" s="419"/>
      <c r="DY81" s="461">
        <v>1</v>
      </c>
      <c r="DZ81" s="461"/>
      <c r="EA81" s="423"/>
      <c r="EB81" s="423"/>
      <c r="EC81" s="461"/>
      <c r="ED81" s="431"/>
      <c r="EE81" s="435"/>
      <c r="EF81" s="419"/>
      <c r="EG81" s="419"/>
      <c r="EH81" s="419"/>
      <c r="EI81" s="419"/>
      <c r="EJ81" s="419"/>
      <c r="EK81" s="419"/>
      <c r="EL81" s="419"/>
      <c r="EM81" s="419"/>
      <c r="EN81" s="419"/>
      <c r="EO81" s="461">
        <v>1</v>
      </c>
      <c r="EP81" s="461"/>
      <c r="EQ81" s="461"/>
      <c r="ER81" s="423"/>
      <c r="ES81" s="423"/>
      <c r="ET81" s="461"/>
      <c r="EU81" s="431"/>
      <c r="EV81" s="435"/>
      <c r="EW81" s="419"/>
      <c r="EX81" s="419"/>
      <c r="EY81" s="419"/>
      <c r="EZ81" s="419"/>
      <c r="FA81" s="419"/>
      <c r="FB81" s="419"/>
      <c r="FC81" s="419"/>
      <c r="FD81" s="444"/>
      <c r="FE81" s="461">
        <v>1</v>
      </c>
      <c r="FF81" s="452"/>
      <c r="FG81" s="452"/>
      <c r="FH81" s="462"/>
      <c r="FI81" s="419"/>
      <c r="FJ81" s="461"/>
      <c r="FK81" s="423"/>
      <c r="FL81" s="435"/>
      <c r="FM81" s="412"/>
      <c r="FN81" s="435"/>
      <c r="FO81" s="419"/>
      <c r="FP81" s="437"/>
      <c r="FQ81" s="419"/>
      <c r="FR81" s="419"/>
      <c r="FS81" s="419"/>
      <c r="FT81" s="419"/>
      <c r="FU81" s="452">
        <v>1</v>
      </c>
      <c r="FV81" s="452"/>
      <c r="FW81" s="452"/>
      <c r="FX81" s="452"/>
      <c r="FY81" s="452"/>
      <c r="FZ81" s="452"/>
      <c r="GA81" s="439"/>
      <c r="GB81" s="439"/>
      <c r="GC81" s="439"/>
      <c r="GD81" s="439"/>
      <c r="GE81" s="439"/>
      <c r="GF81" s="419"/>
      <c r="GG81" s="439"/>
      <c r="GH81" s="410"/>
      <c r="GI81" s="452"/>
      <c r="GJ81" s="441"/>
      <c r="GK81" s="452">
        <v>1</v>
      </c>
      <c r="GL81" s="452"/>
      <c r="GM81" s="452"/>
      <c r="GN81" s="452"/>
      <c r="GO81" s="452"/>
      <c r="GP81" s="452"/>
      <c r="GQ81" s="439"/>
      <c r="GR81" s="439"/>
      <c r="GS81" s="439"/>
      <c r="GT81" s="439"/>
      <c r="GU81" s="419"/>
      <c r="GV81" s="439"/>
      <c r="GW81" s="439"/>
      <c r="GX81" s="410"/>
      <c r="GY81" s="441"/>
      <c r="GZ81" s="434"/>
      <c r="HA81" s="452">
        <v>1</v>
      </c>
      <c r="HB81" s="452"/>
      <c r="HC81" s="452"/>
      <c r="HD81" s="452"/>
      <c r="HE81" s="421"/>
      <c r="HF81" s="439"/>
      <c r="HG81" s="439"/>
      <c r="HH81" s="439"/>
      <c r="HI81" s="439"/>
      <c r="HJ81" s="419"/>
      <c r="HK81" s="439"/>
      <c r="HL81" s="439"/>
      <c r="HM81" s="439"/>
      <c r="HN81" s="441"/>
      <c r="HO81" s="434"/>
      <c r="HP81" s="434"/>
      <c r="HQ81" s="422">
        <v>1</v>
      </c>
      <c r="HR81" s="422"/>
      <c r="HS81" s="436"/>
      <c r="HT81" s="441"/>
      <c r="HU81" s="421"/>
      <c r="HV81" s="434"/>
      <c r="HW81" s="451"/>
      <c r="HX81" s="421"/>
      <c r="HY81" s="414"/>
      <c r="HZ81" s="441"/>
      <c r="IA81" s="441"/>
      <c r="IB81" s="432"/>
      <c r="IC81" s="432"/>
      <c r="ID81" s="421"/>
      <c r="IE81" s="414"/>
      <c r="IF81" s="441"/>
      <c r="IG81" s="422">
        <v>1</v>
      </c>
      <c r="IH81" s="422"/>
      <c r="II81" s="436"/>
      <c r="IJ81" s="441"/>
      <c r="IK81" s="441"/>
      <c r="IL81" s="416"/>
      <c r="IM81" s="441"/>
      <c r="IN81" s="422"/>
      <c r="IO81" s="434"/>
      <c r="IP81" s="451"/>
      <c r="IQ81" s="422"/>
      <c r="IR81" s="441"/>
      <c r="IS81" s="409"/>
      <c r="IT81" s="429"/>
      <c r="IU81" s="432"/>
      <c r="IV81" s="421"/>
    </row>
    <row r="82" spans="1:256" s="328" customFormat="1" ht="8.25" customHeight="1">
      <c r="A82" s="411">
        <v>1</v>
      </c>
      <c r="B82" s="440"/>
      <c r="C82" s="426"/>
      <c r="D82" s="426"/>
      <c r="E82" s="422"/>
      <c r="F82" s="421"/>
      <c r="G82" s="431"/>
      <c r="H82" s="412"/>
      <c r="I82" s="420"/>
      <c r="J82" s="421"/>
      <c r="K82" s="416"/>
      <c r="L82" s="422"/>
      <c r="M82" s="426"/>
      <c r="N82" s="433"/>
      <c r="O82" s="440"/>
      <c r="P82" s="439"/>
      <c r="Q82" s="452">
        <v>1</v>
      </c>
      <c r="R82" s="426"/>
      <c r="S82" s="422"/>
      <c r="T82" s="421"/>
      <c r="U82" s="431"/>
      <c r="V82" s="412"/>
      <c r="W82" s="420"/>
      <c r="X82" s="421"/>
      <c r="Y82" s="416"/>
      <c r="Z82" s="422"/>
      <c r="AA82" s="426"/>
      <c r="AB82" s="433"/>
      <c r="AC82" s="433"/>
      <c r="AD82" s="433"/>
      <c r="AE82" s="433"/>
      <c r="AF82" s="650"/>
      <c r="AG82" s="452">
        <v>1</v>
      </c>
      <c r="AH82" s="440"/>
      <c r="AI82" s="426"/>
      <c r="AJ82" s="426"/>
      <c r="AK82" s="422"/>
      <c r="AL82" s="421"/>
      <c r="AM82" s="431"/>
      <c r="AN82" s="412"/>
      <c r="AO82" s="420"/>
      <c r="AP82" s="421"/>
      <c r="AQ82" s="416"/>
      <c r="AR82" s="422"/>
      <c r="AS82" s="426"/>
      <c r="AT82" s="433"/>
      <c r="AU82" s="440"/>
      <c r="AV82" s="650"/>
      <c r="AW82" s="452">
        <v>1</v>
      </c>
      <c r="AX82" s="433"/>
      <c r="AY82" s="433"/>
      <c r="AZ82" s="440"/>
      <c r="BA82" s="426"/>
      <c r="BB82" s="426"/>
      <c r="BC82" s="422"/>
      <c r="BD82" s="421"/>
      <c r="BE82" s="431"/>
      <c r="BF82" s="412"/>
      <c r="BG82" s="420"/>
      <c r="BH82" s="421"/>
      <c r="BI82" s="416"/>
      <c r="BJ82" s="422"/>
      <c r="BK82" s="426"/>
      <c r="BL82" s="650"/>
      <c r="BM82" s="439"/>
      <c r="BN82" s="416"/>
      <c r="BO82" s="416"/>
      <c r="BP82" s="416"/>
      <c r="BQ82" s="416"/>
      <c r="BR82" s="452"/>
      <c r="BS82" s="413"/>
      <c r="BT82" s="413"/>
      <c r="BU82" s="413"/>
      <c r="BV82" s="452"/>
      <c r="BW82" s="416"/>
      <c r="BX82" s="452"/>
      <c r="BY82" s="416"/>
      <c r="BZ82" s="416"/>
      <c r="CA82" s="416"/>
      <c r="CB82" s="432"/>
      <c r="CC82" s="431"/>
      <c r="CD82" s="436"/>
      <c r="CE82" s="436"/>
      <c r="CF82" s="436"/>
      <c r="CG82" s="409"/>
      <c r="CH82" s="436"/>
      <c r="CI82" s="409"/>
      <c r="CJ82" s="436"/>
      <c r="CK82" s="409"/>
      <c r="CL82" s="431"/>
      <c r="CM82" s="412"/>
      <c r="CN82" s="431"/>
      <c r="CO82" s="412"/>
      <c r="CP82" s="431"/>
      <c r="CQ82" s="412"/>
      <c r="CR82" s="431"/>
      <c r="CS82" s="412"/>
      <c r="CT82" s="421"/>
      <c r="CU82" s="412"/>
      <c r="CV82" s="431"/>
      <c r="CW82" s="412"/>
      <c r="CX82" s="431"/>
      <c r="CY82" s="412"/>
      <c r="CZ82" s="464"/>
      <c r="DA82" s="412"/>
      <c r="DB82" s="431"/>
      <c r="DC82" s="431"/>
      <c r="DD82" s="431"/>
      <c r="DE82" s="410"/>
      <c r="DF82" s="412"/>
      <c r="DG82" s="431"/>
      <c r="DH82" s="431"/>
      <c r="DI82" s="419"/>
      <c r="DJ82" s="423"/>
      <c r="DK82" s="423"/>
      <c r="DL82" s="461"/>
      <c r="DM82" s="435"/>
      <c r="DN82" s="412"/>
      <c r="DO82" s="435"/>
      <c r="DP82" s="419"/>
      <c r="DQ82" s="419"/>
      <c r="DR82" s="419"/>
      <c r="DS82" s="437"/>
      <c r="DT82" s="419"/>
      <c r="DU82" s="419"/>
      <c r="DV82" s="419"/>
      <c r="DW82" s="419"/>
      <c r="DX82" s="419"/>
      <c r="DY82" s="452"/>
      <c r="DZ82" s="419"/>
      <c r="EA82" s="461"/>
      <c r="EB82" s="427"/>
      <c r="EC82" s="423"/>
      <c r="ED82" s="435"/>
      <c r="EE82" s="412"/>
      <c r="EF82" s="435"/>
      <c r="EG82" s="419"/>
      <c r="EH82" s="419"/>
      <c r="EI82" s="437"/>
      <c r="EJ82" s="419"/>
      <c r="EK82" s="419"/>
      <c r="EL82" s="419"/>
      <c r="EM82" s="444"/>
      <c r="EN82" s="419"/>
      <c r="EO82" s="452"/>
      <c r="EP82" s="452"/>
      <c r="EQ82" s="419"/>
      <c r="ER82" s="461"/>
      <c r="ES82" s="427"/>
      <c r="ET82" s="423"/>
      <c r="EU82" s="435"/>
      <c r="EV82" s="412"/>
      <c r="EW82" s="435"/>
      <c r="EX82" s="419"/>
      <c r="EY82" s="437"/>
      <c r="EZ82" s="419"/>
      <c r="FA82" s="419"/>
      <c r="FB82" s="419"/>
      <c r="FC82" s="419"/>
      <c r="FD82" s="463"/>
      <c r="FE82" s="452"/>
      <c r="FF82" s="410"/>
      <c r="FG82" s="411"/>
      <c r="FH82" s="411"/>
      <c r="FI82" s="439"/>
      <c r="FJ82" s="461"/>
      <c r="FK82" s="423"/>
      <c r="FL82" s="423"/>
      <c r="FM82" s="419"/>
      <c r="FN82" s="412"/>
      <c r="FO82" s="435"/>
      <c r="FP82" s="419"/>
      <c r="FQ82" s="419"/>
      <c r="FR82" s="419"/>
      <c r="FS82" s="419"/>
      <c r="FT82" s="419"/>
      <c r="FU82" s="452"/>
      <c r="FV82" s="452"/>
      <c r="FW82" s="452"/>
      <c r="FX82" s="452"/>
      <c r="FY82" s="452"/>
      <c r="FZ82" s="452"/>
      <c r="GA82" s="452"/>
      <c r="GB82" s="439"/>
      <c r="GC82" s="439"/>
      <c r="GD82" s="439"/>
      <c r="GE82" s="439"/>
      <c r="GF82" s="452"/>
      <c r="GG82" s="410"/>
      <c r="GH82" s="452"/>
      <c r="GI82" s="451"/>
      <c r="GJ82" s="427"/>
      <c r="GK82" s="452"/>
      <c r="GL82" s="452"/>
      <c r="GM82" s="452"/>
      <c r="GN82" s="452"/>
      <c r="GO82" s="452"/>
      <c r="GP82" s="452"/>
      <c r="GQ82" s="452"/>
      <c r="GR82" s="439"/>
      <c r="GS82" s="439"/>
      <c r="GT82" s="439"/>
      <c r="GU82" s="439"/>
      <c r="GV82" s="452"/>
      <c r="GW82" s="410"/>
      <c r="GX82" s="451"/>
      <c r="GY82" s="427"/>
      <c r="GZ82" s="427"/>
      <c r="HA82" s="452"/>
      <c r="HB82" s="452"/>
      <c r="HC82" s="452"/>
      <c r="HD82" s="452"/>
      <c r="HE82" s="452"/>
      <c r="HF82" s="452"/>
      <c r="HG82" s="452"/>
      <c r="HH82" s="439"/>
      <c r="HI82" s="439"/>
      <c r="HJ82" s="439"/>
      <c r="HK82" s="439"/>
      <c r="HL82" s="410"/>
      <c r="HM82" s="451"/>
      <c r="HN82" s="427"/>
      <c r="HO82" s="427"/>
      <c r="HP82" s="427"/>
      <c r="HQ82" s="421"/>
      <c r="HR82" s="429"/>
      <c r="HS82" s="441"/>
      <c r="HT82" s="421"/>
      <c r="HU82" s="416"/>
      <c r="HV82" s="441"/>
      <c r="HW82" s="431"/>
      <c r="HX82" s="434"/>
      <c r="HY82" s="434"/>
      <c r="HZ82" s="434"/>
      <c r="IA82" s="432"/>
      <c r="IB82" s="432"/>
      <c r="IC82" s="421"/>
      <c r="ID82" s="414"/>
      <c r="IE82" s="409"/>
      <c r="IF82" s="429"/>
      <c r="IG82" s="421"/>
      <c r="IH82" s="429"/>
      <c r="II82" s="441"/>
      <c r="IJ82" s="441"/>
      <c r="IK82" s="441"/>
      <c r="IL82" s="416"/>
      <c r="IM82" s="434"/>
      <c r="IN82" s="414"/>
      <c r="IO82" s="434"/>
      <c r="IP82" s="431"/>
      <c r="IQ82" s="414"/>
      <c r="IR82" s="447"/>
      <c r="IS82" s="436"/>
      <c r="IT82" s="409"/>
      <c r="IU82" s="421"/>
      <c r="IV82" s="434"/>
    </row>
    <row r="83" spans="1:256" s="328" customFormat="1" ht="8.25" customHeight="1">
      <c r="A83" s="411"/>
      <c r="B83" s="433"/>
      <c r="C83" s="433"/>
      <c r="D83" s="426"/>
      <c r="E83" s="422"/>
      <c r="F83" s="416"/>
      <c r="G83" s="412"/>
      <c r="H83" s="431"/>
      <c r="I83" s="421"/>
      <c r="J83" s="416"/>
      <c r="K83" s="421"/>
      <c r="L83" s="422"/>
      <c r="M83" s="426"/>
      <c r="N83" s="433"/>
      <c r="O83" s="433"/>
      <c r="P83" s="439"/>
      <c r="Q83" s="452"/>
      <c r="R83" s="426"/>
      <c r="S83" s="422"/>
      <c r="T83" s="416"/>
      <c r="U83" s="412"/>
      <c r="V83" s="431"/>
      <c r="W83" s="421"/>
      <c r="X83" s="416"/>
      <c r="Y83" s="421"/>
      <c r="Z83" s="422"/>
      <c r="AA83" s="426"/>
      <c r="AB83" s="433"/>
      <c r="AC83" s="433"/>
      <c r="AD83" s="440"/>
      <c r="AE83" s="440"/>
      <c r="AF83" s="650"/>
      <c r="AG83" s="452"/>
      <c r="AH83" s="433"/>
      <c r="AI83" s="433"/>
      <c r="AJ83" s="426"/>
      <c r="AK83" s="422"/>
      <c r="AL83" s="416"/>
      <c r="AM83" s="412"/>
      <c r="AN83" s="431"/>
      <c r="AO83" s="421"/>
      <c r="AP83" s="416"/>
      <c r="AQ83" s="421"/>
      <c r="AR83" s="422"/>
      <c r="AS83" s="426"/>
      <c r="AT83" s="426"/>
      <c r="AU83" s="440"/>
      <c r="AV83" s="650"/>
      <c r="AW83" s="452"/>
      <c r="AX83" s="440"/>
      <c r="AY83" s="440"/>
      <c r="AZ83" s="433"/>
      <c r="BA83" s="433"/>
      <c r="BB83" s="426"/>
      <c r="BC83" s="422"/>
      <c r="BD83" s="416"/>
      <c r="BE83" s="412"/>
      <c r="BF83" s="431"/>
      <c r="BG83" s="421"/>
      <c r="BH83" s="416"/>
      <c r="BI83" s="421"/>
      <c r="BJ83" s="422"/>
      <c r="BK83" s="426"/>
      <c r="BL83" s="650"/>
      <c r="BM83" s="439"/>
      <c r="BN83" s="416"/>
      <c r="BO83" s="416"/>
      <c r="BP83" s="416"/>
      <c r="BQ83" s="416"/>
      <c r="BR83" s="452"/>
      <c r="BS83" s="413"/>
      <c r="BT83" s="452"/>
      <c r="BU83" s="413"/>
      <c r="BV83" s="416"/>
      <c r="BW83" s="416"/>
      <c r="BX83" s="416"/>
      <c r="BY83" s="452"/>
      <c r="BZ83" s="452"/>
      <c r="CA83" s="416"/>
      <c r="CB83" s="432"/>
      <c r="CC83" s="412">
        <v>1</v>
      </c>
      <c r="CD83" s="431"/>
      <c r="CE83" s="436"/>
      <c r="CF83" s="409"/>
      <c r="CG83" s="412"/>
      <c r="CH83" s="436"/>
      <c r="CI83" s="409"/>
      <c r="CJ83" s="436"/>
      <c r="CK83" s="409"/>
      <c r="CL83" s="412"/>
      <c r="CM83" s="431"/>
      <c r="CN83" s="412"/>
      <c r="CO83" s="431"/>
      <c r="CP83" s="412"/>
      <c r="CQ83" s="431"/>
      <c r="CR83" s="412"/>
      <c r="CS83" s="421">
        <v>1</v>
      </c>
      <c r="CT83" s="412"/>
      <c r="CU83" s="421"/>
      <c r="CV83" s="412"/>
      <c r="CW83" s="431"/>
      <c r="CX83" s="412"/>
      <c r="CY83" s="431"/>
      <c r="CZ83" s="431"/>
      <c r="DA83" s="458"/>
      <c r="DB83" s="412"/>
      <c r="DC83" s="410"/>
      <c r="DD83" s="412"/>
      <c r="DE83" s="410"/>
      <c r="DF83" s="410"/>
      <c r="DG83" s="412"/>
      <c r="DH83" s="431"/>
      <c r="DI83" s="461"/>
      <c r="DJ83" s="461"/>
      <c r="DK83" s="427"/>
      <c r="DL83" s="423"/>
      <c r="DM83" s="461"/>
      <c r="DN83" s="419"/>
      <c r="DO83" s="412"/>
      <c r="DP83" s="435"/>
      <c r="DQ83" s="419"/>
      <c r="DR83" s="419"/>
      <c r="DS83" s="419"/>
      <c r="DT83" s="419"/>
      <c r="DU83" s="419"/>
      <c r="DV83" s="419"/>
      <c r="DW83" s="444"/>
      <c r="DX83" s="419"/>
      <c r="DY83" s="410"/>
      <c r="DZ83" s="461"/>
      <c r="EA83" s="461"/>
      <c r="EB83" s="461"/>
      <c r="EC83" s="423"/>
      <c r="ED83" s="423"/>
      <c r="EE83" s="419"/>
      <c r="EF83" s="412"/>
      <c r="EG83" s="435"/>
      <c r="EH83" s="419"/>
      <c r="EI83" s="419"/>
      <c r="EJ83" s="419"/>
      <c r="EK83" s="419"/>
      <c r="EL83" s="419"/>
      <c r="EM83" s="463"/>
      <c r="EN83" s="430"/>
      <c r="EO83" s="410"/>
      <c r="EP83" s="410"/>
      <c r="EQ83" s="452"/>
      <c r="ER83" s="461"/>
      <c r="ES83" s="461"/>
      <c r="ET83" s="423"/>
      <c r="EU83" s="423"/>
      <c r="EV83" s="419"/>
      <c r="EW83" s="412"/>
      <c r="EX83" s="435"/>
      <c r="EY83" s="419"/>
      <c r="EZ83" s="419"/>
      <c r="FA83" s="419"/>
      <c r="FB83" s="419"/>
      <c r="FC83" s="419"/>
      <c r="FD83" s="430"/>
      <c r="FE83" s="410"/>
      <c r="FF83" s="452"/>
      <c r="FG83" s="410"/>
      <c r="FH83" s="410"/>
      <c r="FI83" s="410"/>
      <c r="FJ83" s="452"/>
      <c r="FK83" s="435"/>
      <c r="FL83" s="423"/>
      <c r="FM83" s="423"/>
      <c r="FN83" s="418"/>
      <c r="FO83" s="435"/>
      <c r="FP83" s="419"/>
      <c r="FQ83" s="419"/>
      <c r="FR83" s="419"/>
      <c r="FS83" s="419"/>
      <c r="FT83" s="419"/>
      <c r="FU83" s="452"/>
      <c r="FV83" s="452"/>
      <c r="FW83" s="452"/>
      <c r="FX83" s="452"/>
      <c r="FY83" s="409"/>
      <c r="FZ83" s="452"/>
      <c r="GA83" s="452"/>
      <c r="GB83" s="452"/>
      <c r="GC83" s="452"/>
      <c r="GD83" s="410"/>
      <c r="GE83" s="410"/>
      <c r="GF83" s="410"/>
      <c r="GG83" s="452"/>
      <c r="GH83" s="446"/>
      <c r="GI83" s="433"/>
      <c r="GJ83" s="423"/>
      <c r="GK83" s="452"/>
      <c r="GL83" s="452"/>
      <c r="GM83" s="452"/>
      <c r="GN83" s="452"/>
      <c r="GO83" s="452"/>
      <c r="GP83" s="409"/>
      <c r="GQ83" s="452"/>
      <c r="GR83" s="452"/>
      <c r="GS83" s="452"/>
      <c r="GT83" s="410"/>
      <c r="GU83" s="410"/>
      <c r="GV83" s="410"/>
      <c r="GW83" s="446"/>
      <c r="GX83" s="433"/>
      <c r="GY83" s="423"/>
      <c r="GZ83" s="423"/>
      <c r="HA83" s="452"/>
      <c r="HB83" s="452"/>
      <c r="HC83" s="429"/>
      <c r="HD83" s="452"/>
      <c r="HE83" s="452"/>
      <c r="HF83" s="452"/>
      <c r="HG83" s="452"/>
      <c r="HH83" s="452"/>
      <c r="HI83" s="452"/>
      <c r="HJ83" s="410"/>
      <c r="HK83" s="410"/>
      <c r="HL83" s="446"/>
      <c r="HM83" s="433"/>
      <c r="HN83" s="423"/>
      <c r="HO83" s="423"/>
      <c r="HP83" s="418"/>
      <c r="HQ83" s="421"/>
      <c r="HR83" s="416"/>
      <c r="HS83" s="421"/>
      <c r="HT83" s="416"/>
      <c r="HU83" s="434"/>
      <c r="HV83" s="451"/>
      <c r="HW83" s="421"/>
      <c r="HX83" s="434"/>
      <c r="HY83" s="434"/>
      <c r="HZ83" s="441"/>
      <c r="IA83" s="441"/>
      <c r="IB83" s="434"/>
      <c r="IC83" s="434"/>
      <c r="ID83" s="409"/>
      <c r="IE83" s="429"/>
      <c r="IF83" s="409"/>
      <c r="IG83" s="421"/>
      <c r="IH83" s="416"/>
      <c r="II83" s="432"/>
      <c r="IJ83" s="441"/>
      <c r="IK83" s="441"/>
      <c r="IL83" s="441"/>
      <c r="IM83" s="434"/>
      <c r="IN83" s="427"/>
      <c r="IO83" s="451"/>
      <c r="IP83" s="421"/>
      <c r="IQ83" s="441"/>
      <c r="IR83" s="441"/>
      <c r="IS83" s="416"/>
      <c r="IT83" s="416"/>
      <c r="IU83" s="434"/>
      <c r="IV83" s="434"/>
    </row>
    <row r="84" spans="1:256" s="328" customFormat="1" ht="8.25" customHeight="1">
      <c r="A84" s="411"/>
      <c r="B84" s="440"/>
      <c r="C84" s="433"/>
      <c r="D84" s="418"/>
      <c r="E84" s="418"/>
      <c r="F84" s="418"/>
      <c r="G84" s="418"/>
      <c r="H84" s="418"/>
      <c r="I84" s="418"/>
      <c r="J84" s="418"/>
      <c r="K84" s="418"/>
      <c r="L84" s="418"/>
      <c r="M84" s="426"/>
      <c r="N84" s="426"/>
      <c r="O84" s="440"/>
      <c r="P84" s="439"/>
      <c r="Q84" s="452"/>
      <c r="R84" s="418"/>
      <c r="S84" s="418"/>
      <c r="T84" s="418"/>
      <c r="U84" s="418"/>
      <c r="V84" s="418"/>
      <c r="W84" s="418"/>
      <c r="X84" s="418"/>
      <c r="Y84" s="418"/>
      <c r="Z84" s="418"/>
      <c r="AA84" s="426"/>
      <c r="AB84" s="426"/>
      <c r="AC84" s="433"/>
      <c r="AD84" s="440"/>
      <c r="AE84" s="426"/>
      <c r="AF84" s="650"/>
      <c r="AG84" s="452"/>
      <c r="AH84" s="440"/>
      <c r="AI84" s="433"/>
      <c r="AJ84" s="418"/>
      <c r="AK84" s="418"/>
      <c r="AL84" s="418"/>
      <c r="AM84" s="418"/>
      <c r="AN84" s="418"/>
      <c r="AO84" s="418"/>
      <c r="AP84" s="418"/>
      <c r="AQ84" s="418"/>
      <c r="AR84" s="418"/>
      <c r="AS84" s="426"/>
      <c r="AT84" s="433"/>
      <c r="AU84" s="433"/>
      <c r="AV84" s="650"/>
      <c r="AW84" s="452"/>
      <c r="AX84" s="440"/>
      <c r="AY84" s="426"/>
      <c r="AZ84" s="440"/>
      <c r="BA84" s="433"/>
      <c r="BB84" s="418"/>
      <c r="BC84" s="418"/>
      <c r="BD84" s="418"/>
      <c r="BE84" s="418"/>
      <c r="BF84" s="418"/>
      <c r="BG84" s="418"/>
      <c r="BH84" s="418"/>
      <c r="BI84" s="418"/>
      <c r="BJ84" s="418"/>
      <c r="BK84" s="426"/>
      <c r="BL84" s="650"/>
      <c r="BM84" s="439"/>
      <c r="BN84" s="416"/>
      <c r="BO84" s="416"/>
      <c r="BP84" s="416"/>
      <c r="BQ84" s="452"/>
      <c r="BR84" s="416"/>
      <c r="BS84" s="452"/>
      <c r="BT84" s="416"/>
      <c r="BU84" s="452"/>
      <c r="BV84" s="416"/>
      <c r="BW84" s="416"/>
      <c r="BX84" s="416"/>
      <c r="BY84" s="416"/>
      <c r="BZ84" s="416"/>
      <c r="CA84" s="452"/>
      <c r="CB84" s="432"/>
      <c r="CC84" s="412">
        <v>58</v>
      </c>
      <c r="CD84" s="412"/>
      <c r="CE84" s="436"/>
      <c r="CF84" s="436"/>
      <c r="CG84" s="409"/>
      <c r="CH84" s="436"/>
      <c r="CI84" s="436"/>
      <c r="CJ84" s="409"/>
      <c r="CK84" s="412"/>
      <c r="CL84" s="436"/>
      <c r="CM84" s="409"/>
      <c r="CN84" s="436"/>
      <c r="CO84" s="409"/>
      <c r="CP84" s="436"/>
      <c r="CQ84" s="409"/>
      <c r="CR84" s="412"/>
      <c r="CS84" s="421">
        <v>58</v>
      </c>
      <c r="CT84" s="421"/>
      <c r="CU84" s="412"/>
      <c r="CV84" s="421"/>
      <c r="CW84" s="412"/>
      <c r="CX84" s="431"/>
      <c r="CY84" s="412"/>
      <c r="CZ84" s="431"/>
      <c r="DA84" s="412"/>
      <c r="DB84" s="464"/>
      <c r="DC84" s="412"/>
      <c r="DD84" s="431"/>
      <c r="DE84" s="464"/>
      <c r="DF84" s="412"/>
      <c r="DG84" s="431"/>
      <c r="DH84" s="431"/>
      <c r="DI84" s="452">
        <v>58</v>
      </c>
      <c r="DJ84" s="461"/>
      <c r="DK84" s="461"/>
      <c r="DL84" s="423"/>
      <c r="DM84" s="427"/>
      <c r="DN84" s="423"/>
      <c r="DO84" s="431"/>
      <c r="DP84" s="435"/>
      <c r="DQ84" s="419"/>
      <c r="DR84" s="419"/>
      <c r="DS84" s="419"/>
      <c r="DT84" s="419"/>
      <c r="DU84" s="419"/>
      <c r="DV84" s="419"/>
      <c r="DW84" s="463"/>
      <c r="DX84" s="430"/>
      <c r="DY84" s="410">
        <v>58</v>
      </c>
      <c r="DZ84" s="452"/>
      <c r="EA84" s="461"/>
      <c r="EB84" s="427"/>
      <c r="EC84" s="427"/>
      <c r="ED84" s="427"/>
      <c r="EE84" s="423"/>
      <c r="EF84" s="431"/>
      <c r="EG84" s="435"/>
      <c r="EH84" s="419"/>
      <c r="EI84" s="419"/>
      <c r="EJ84" s="419"/>
      <c r="EK84" s="419"/>
      <c r="EL84" s="419"/>
      <c r="EM84" s="430"/>
      <c r="EN84" s="425"/>
      <c r="EO84" s="452">
        <v>58</v>
      </c>
      <c r="EP84" s="410"/>
      <c r="EQ84" s="452"/>
      <c r="ER84" s="452"/>
      <c r="ES84" s="461"/>
      <c r="ET84" s="423"/>
      <c r="EU84" s="427"/>
      <c r="EV84" s="423"/>
      <c r="EW84" s="431"/>
      <c r="EX84" s="435"/>
      <c r="EY84" s="419"/>
      <c r="EZ84" s="419"/>
      <c r="FA84" s="419"/>
      <c r="FB84" s="419"/>
      <c r="FC84" s="419"/>
      <c r="FD84" s="419"/>
      <c r="FE84" s="452">
        <v>58</v>
      </c>
      <c r="FF84" s="452"/>
      <c r="FG84" s="410"/>
      <c r="FH84" s="410"/>
      <c r="FI84" s="410"/>
      <c r="FJ84" s="452"/>
      <c r="FK84" s="461"/>
      <c r="FL84" s="427"/>
      <c r="FM84" s="418"/>
      <c r="FN84" s="418"/>
      <c r="FO84" s="418"/>
      <c r="FP84" s="435"/>
      <c r="FQ84" s="419"/>
      <c r="FR84" s="419"/>
      <c r="FS84" s="419"/>
      <c r="FT84" s="419"/>
      <c r="FU84" s="429">
        <v>58</v>
      </c>
      <c r="FV84" s="452"/>
      <c r="FW84" s="452"/>
      <c r="FX84" s="452"/>
      <c r="FY84" s="452"/>
      <c r="FZ84" s="452"/>
      <c r="GA84" s="452"/>
      <c r="GB84" s="410"/>
      <c r="GC84" s="422"/>
      <c r="GD84" s="452"/>
      <c r="GE84" s="452"/>
      <c r="GF84" s="443"/>
      <c r="GG84" s="452"/>
      <c r="GH84" s="452"/>
      <c r="GI84" s="413"/>
      <c r="GJ84" s="439"/>
      <c r="GK84" s="452">
        <v>58</v>
      </c>
      <c r="GL84" s="429"/>
      <c r="GM84" s="452"/>
      <c r="GN84" s="452"/>
      <c r="GO84" s="452"/>
      <c r="GP84" s="452"/>
      <c r="GQ84" s="452"/>
      <c r="GR84" s="410"/>
      <c r="GS84" s="422"/>
      <c r="GT84" s="452"/>
      <c r="GU84" s="443"/>
      <c r="GV84" s="452"/>
      <c r="GW84" s="452"/>
      <c r="GX84" s="413"/>
      <c r="GY84" s="439"/>
      <c r="GZ84" s="439"/>
      <c r="HA84" s="452">
        <v>58</v>
      </c>
      <c r="HB84" s="452"/>
      <c r="HC84" s="452"/>
      <c r="HD84" s="452"/>
      <c r="HE84" s="452"/>
      <c r="HF84" s="452"/>
      <c r="HG84" s="409"/>
      <c r="HH84" s="452"/>
      <c r="HI84" s="422"/>
      <c r="HJ84" s="443"/>
      <c r="HK84" s="452"/>
      <c r="HL84" s="452"/>
      <c r="HM84" s="413"/>
      <c r="HN84" s="439"/>
      <c r="HO84" s="439"/>
      <c r="HP84" s="413"/>
      <c r="HQ84" s="432">
        <v>58</v>
      </c>
      <c r="HR84" s="421"/>
      <c r="HS84" s="420"/>
      <c r="HT84" s="416"/>
      <c r="HU84" s="454"/>
      <c r="HV84" s="441"/>
      <c r="HW84" s="441"/>
      <c r="HX84" s="441"/>
      <c r="HY84" s="441"/>
      <c r="HZ84" s="441"/>
      <c r="IA84" s="441"/>
      <c r="IB84" s="454"/>
      <c r="IC84" s="441"/>
      <c r="ID84" s="449"/>
      <c r="IE84" s="409"/>
      <c r="IF84" s="420"/>
      <c r="IG84" s="421">
        <v>58</v>
      </c>
      <c r="IH84" s="421"/>
      <c r="II84" s="420"/>
      <c r="IJ84" s="416"/>
      <c r="IK84" s="416"/>
      <c r="IL84" s="416"/>
      <c r="IM84" s="436"/>
      <c r="IN84" s="443"/>
      <c r="IO84" s="441"/>
      <c r="IP84" s="441"/>
      <c r="IQ84" s="441"/>
      <c r="IR84" s="432"/>
      <c r="IS84" s="416"/>
      <c r="IT84" s="416"/>
      <c r="IU84" s="441"/>
      <c r="IV84" s="441"/>
    </row>
    <row r="85" spans="1:256" s="328" customFormat="1" ht="8.25" customHeight="1">
      <c r="A85" s="411"/>
      <c r="B85" s="433"/>
      <c r="C85" s="423"/>
      <c r="D85" s="423"/>
      <c r="E85" s="423"/>
      <c r="F85" s="423"/>
      <c r="G85" s="423"/>
      <c r="H85" s="423"/>
      <c r="I85" s="423"/>
      <c r="J85" s="423"/>
      <c r="K85" s="423"/>
      <c r="L85" s="423"/>
      <c r="M85" s="423"/>
      <c r="N85" s="433"/>
      <c r="O85" s="440"/>
      <c r="P85" s="439"/>
      <c r="Q85" s="452"/>
      <c r="R85" s="423"/>
      <c r="S85" s="423"/>
      <c r="T85" s="423"/>
      <c r="U85" s="423"/>
      <c r="V85" s="423"/>
      <c r="W85" s="423"/>
      <c r="X85" s="423"/>
      <c r="Y85" s="423"/>
      <c r="Z85" s="423"/>
      <c r="AA85" s="423"/>
      <c r="AB85" s="433"/>
      <c r="AC85" s="433"/>
      <c r="AD85" s="440"/>
      <c r="AE85" s="440"/>
      <c r="AF85" s="650"/>
      <c r="AG85" s="452"/>
      <c r="AH85" s="433"/>
      <c r="AI85" s="423"/>
      <c r="AJ85" s="423"/>
      <c r="AK85" s="423"/>
      <c r="AL85" s="423"/>
      <c r="AM85" s="427"/>
      <c r="AN85" s="427"/>
      <c r="AO85" s="427"/>
      <c r="AP85" s="423"/>
      <c r="AQ85" s="423"/>
      <c r="AR85" s="423"/>
      <c r="AS85" s="423"/>
      <c r="AT85" s="433"/>
      <c r="AU85" s="440"/>
      <c r="AV85" s="650"/>
      <c r="AW85" s="452"/>
      <c r="AX85" s="433"/>
      <c r="AY85" s="440"/>
      <c r="AZ85" s="433"/>
      <c r="BA85" s="423"/>
      <c r="BB85" s="423"/>
      <c r="BC85" s="423"/>
      <c r="BD85" s="423"/>
      <c r="BE85" s="423"/>
      <c r="BF85" s="423"/>
      <c r="BG85" s="423"/>
      <c r="BH85" s="423"/>
      <c r="BI85" s="423"/>
      <c r="BJ85" s="423"/>
      <c r="BK85" s="423"/>
      <c r="BL85" s="650"/>
      <c r="BM85" s="439"/>
      <c r="BN85" s="416"/>
      <c r="BO85" s="416"/>
      <c r="BP85" s="452"/>
      <c r="BQ85" s="416"/>
      <c r="BR85" s="416"/>
      <c r="BS85" s="416"/>
      <c r="BT85" s="416"/>
      <c r="BU85" s="416"/>
      <c r="BV85" s="452"/>
      <c r="BW85" s="416"/>
      <c r="BX85" s="416"/>
      <c r="BY85" s="416"/>
      <c r="BZ85" s="416"/>
      <c r="CA85" s="416"/>
      <c r="CB85" s="432"/>
      <c r="CC85" s="421"/>
      <c r="CD85" s="421"/>
      <c r="CE85" s="421"/>
      <c r="CF85" s="421"/>
      <c r="CG85" s="421"/>
      <c r="CH85" s="421"/>
      <c r="CI85" s="421"/>
      <c r="CJ85" s="421"/>
      <c r="CK85" s="421"/>
      <c r="CL85" s="421"/>
      <c r="CM85" s="421"/>
      <c r="CN85" s="421"/>
      <c r="CO85" s="421"/>
      <c r="CP85" s="421"/>
      <c r="CQ85" s="421"/>
      <c r="CR85" s="421"/>
      <c r="CS85" s="421"/>
      <c r="CT85" s="421"/>
      <c r="CU85" s="421"/>
      <c r="CV85" s="412"/>
      <c r="CW85" s="421"/>
      <c r="CX85" s="412"/>
      <c r="CY85" s="431"/>
      <c r="CZ85" s="412"/>
      <c r="DA85" s="431"/>
      <c r="DB85" s="458"/>
      <c r="DC85" s="458"/>
      <c r="DD85" s="412"/>
      <c r="DE85" s="458"/>
      <c r="DF85" s="458"/>
      <c r="DG85" s="412"/>
      <c r="DH85" s="431"/>
      <c r="DI85" s="461"/>
      <c r="DJ85" s="461"/>
      <c r="DK85" s="427"/>
      <c r="DL85" s="427"/>
      <c r="DM85" s="423"/>
      <c r="DN85" s="461"/>
      <c r="DO85" s="423"/>
      <c r="DP85" s="412"/>
      <c r="DQ85" s="435"/>
      <c r="DR85" s="435"/>
      <c r="DS85" s="419"/>
      <c r="DT85" s="419"/>
      <c r="DU85" s="419"/>
      <c r="DV85" s="419"/>
      <c r="DW85" s="430"/>
      <c r="DX85" s="425"/>
      <c r="DY85" s="410"/>
      <c r="DZ85" s="452"/>
      <c r="EA85" s="461"/>
      <c r="EB85" s="427"/>
      <c r="EC85" s="427"/>
      <c r="ED85" s="423"/>
      <c r="EE85" s="461"/>
      <c r="EF85" s="423"/>
      <c r="EG85" s="412"/>
      <c r="EH85" s="435"/>
      <c r="EI85" s="419"/>
      <c r="EJ85" s="419"/>
      <c r="EK85" s="419"/>
      <c r="EL85" s="419"/>
      <c r="EM85" s="419"/>
      <c r="EN85" s="444"/>
      <c r="EO85" s="452"/>
      <c r="EP85" s="410"/>
      <c r="EQ85" s="452"/>
      <c r="ER85" s="461"/>
      <c r="ES85" s="461"/>
      <c r="ET85" s="427"/>
      <c r="EU85" s="423"/>
      <c r="EV85" s="423"/>
      <c r="EW85" s="423"/>
      <c r="EX85" s="412"/>
      <c r="EY85" s="435"/>
      <c r="EZ85" s="419"/>
      <c r="FA85" s="419"/>
      <c r="FB85" s="419"/>
      <c r="FC85" s="419"/>
      <c r="FD85" s="419"/>
      <c r="FE85" s="452"/>
      <c r="FF85" s="410"/>
      <c r="FG85" s="452"/>
      <c r="FH85" s="452"/>
      <c r="FI85" s="452"/>
      <c r="FJ85" s="461"/>
      <c r="FK85" s="461"/>
      <c r="FL85" s="427"/>
      <c r="FM85" s="423"/>
      <c r="FN85" s="418"/>
      <c r="FO85" s="418"/>
      <c r="FP85" s="435"/>
      <c r="FQ85" s="419"/>
      <c r="FR85" s="419"/>
      <c r="FS85" s="419"/>
      <c r="FT85" s="419"/>
      <c r="FU85" s="452"/>
      <c r="FV85" s="452"/>
      <c r="FW85" s="452"/>
      <c r="FX85" s="452"/>
      <c r="FY85" s="452"/>
      <c r="FZ85" s="410"/>
      <c r="GA85" s="410"/>
      <c r="GB85" s="452"/>
      <c r="GC85" s="409"/>
      <c r="GD85" s="452"/>
      <c r="GE85" s="452"/>
      <c r="GF85" s="409"/>
      <c r="GG85" s="452"/>
      <c r="GH85" s="452"/>
      <c r="GI85" s="452"/>
      <c r="GJ85" s="452"/>
      <c r="GK85" s="452"/>
      <c r="GL85" s="452"/>
      <c r="GM85" s="452"/>
      <c r="GN85" s="452"/>
      <c r="GO85" s="452"/>
      <c r="GP85" s="410"/>
      <c r="GQ85" s="410"/>
      <c r="GR85" s="452"/>
      <c r="GS85" s="409"/>
      <c r="GT85" s="452"/>
      <c r="GU85" s="409"/>
      <c r="GV85" s="452"/>
      <c r="GW85" s="452"/>
      <c r="GX85" s="452"/>
      <c r="GY85" s="452"/>
      <c r="GZ85" s="452"/>
      <c r="HA85" s="452"/>
      <c r="HB85" s="452"/>
      <c r="HC85" s="452"/>
      <c r="HD85" s="452"/>
      <c r="HE85" s="452"/>
      <c r="HF85" s="410"/>
      <c r="HG85" s="410"/>
      <c r="HH85" s="410"/>
      <c r="HI85" s="409"/>
      <c r="HJ85" s="409"/>
      <c r="HK85" s="452"/>
      <c r="HL85" s="452"/>
      <c r="HM85" s="452"/>
      <c r="HN85" s="452"/>
      <c r="HO85" s="452"/>
      <c r="HP85" s="439"/>
      <c r="HQ85" s="432"/>
      <c r="HR85" s="421"/>
      <c r="HS85" s="416"/>
      <c r="HT85" s="447"/>
      <c r="HU85" s="447"/>
      <c r="HV85" s="441"/>
      <c r="HW85" s="441"/>
      <c r="HX85" s="454"/>
      <c r="HY85" s="441"/>
      <c r="HZ85" s="447"/>
      <c r="IA85" s="447"/>
      <c r="IB85" s="447"/>
      <c r="IC85" s="447"/>
      <c r="ID85" s="456"/>
      <c r="IE85" s="420"/>
      <c r="IF85" s="420"/>
      <c r="IG85" s="432"/>
      <c r="IH85" s="421"/>
      <c r="II85" s="420"/>
      <c r="IJ85" s="432"/>
      <c r="IK85" s="416"/>
      <c r="IL85" s="414"/>
      <c r="IM85" s="441"/>
      <c r="IN85" s="441"/>
      <c r="IO85" s="441"/>
      <c r="IP85" s="454"/>
      <c r="IQ85" s="441"/>
      <c r="IR85" s="447"/>
      <c r="IS85" s="416"/>
      <c r="IT85" s="414"/>
      <c r="IU85" s="447"/>
      <c r="IV85" s="447"/>
    </row>
    <row r="86" spans="1:256" s="328" customFormat="1" ht="8.25" customHeight="1">
      <c r="A86" s="411"/>
      <c r="B86" s="423"/>
      <c r="C86" s="423"/>
      <c r="D86" s="427"/>
      <c r="E86" s="427"/>
      <c r="F86" s="427"/>
      <c r="G86" s="427"/>
      <c r="H86" s="427"/>
      <c r="I86" s="427"/>
      <c r="J86" s="427"/>
      <c r="K86" s="427"/>
      <c r="L86" s="427"/>
      <c r="M86" s="423"/>
      <c r="N86" s="423"/>
      <c r="O86" s="433"/>
      <c r="P86" s="439"/>
      <c r="Q86" s="452"/>
      <c r="R86" s="423"/>
      <c r="S86" s="423"/>
      <c r="T86" s="423"/>
      <c r="U86" s="423"/>
      <c r="V86" s="427"/>
      <c r="W86" s="427"/>
      <c r="X86" s="427"/>
      <c r="Y86" s="427"/>
      <c r="Z86" s="427"/>
      <c r="AA86" s="427"/>
      <c r="AB86" s="427"/>
      <c r="AC86" s="433"/>
      <c r="AD86" s="426"/>
      <c r="AE86" s="426"/>
      <c r="AF86" s="650"/>
      <c r="AG86" s="452"/>
      <c r="AH86" s="423"/>
      <c r="AI86" s="423"/>
      <c r="AJ86" s="427"/>
      <c r="AK86" s="427"/>
      <c r="AL86" s="434"/>
      <c r="AM86" s="434"/>
      <c r="AN86" s="434"/>
      <c r="AO86" s="434"/>
      <c r="AP86" s="434"/>
      <c r="AQ86" s="427"/>
      <c r="AR86" s="427"/>
      <c r="AS86" s="423"/>
      <c r="AT86" s="423"/>
      <c r="AU86" s="426"/>
      <c r="AV86" s="650"/>
      <c r="AW86" s="452"/>
      <c r="AX86" s="440"/>
      <c r="AY86" s="426"/>
      <c r="AZ86" s="427"/>
      <c r="BA86" s="427"/>
      <c r="BB86" s="427"/>
      <c r="BC86" s="427"/>
      <c r="BD86" s="427"/>
      <c r="BE86" s="427"/>
      <c r="BF86" s="427"/>
      <c r="BG86" s="427"/>
      <c r="BH86" s="427"/>
      <c r="BI86" s="423"/>
      <c r="BJ86" s="423"/>
      <c r="BK86" s="423"/>
      <c r="BL86" s="650"/>
      <c r="BM86" s="439"/>
      <c r="BN86" s="416"/>
      <c r="BO86" s="452"/>
      <c r="BP86" s="416"/>
      <c r="BQ86" s="416"/>
      <c r="BR86" s="416"/>
      <c r="BS86" s="416"/>
      <c r="BT86" s="416"/>
      <c r="BU86" s="416"/>
      <c r="BV86" s="416"/>
      <c r="BW86" s="452"/>
      <c r="BX86" s="416"/>
      <c r="BY86" s="416"/>
      <c r="BZ86" s="416"/>
      <c r="CA86" s="416"/>
      <c r="CB86" s="432"/>
      <c r="CC86" s="321"/>
      <c r="CD86" s="321"/>
      <c r="CE86" s="321"/>
      <c r="CF86" s="321"/>
      <c r="CG86" s="321"/>
      <c r="CH86" s="321"/>
      <c r="CI86" s="321"/>
      <c r="CJ86" s="321"/>
      <c r="CK86" s="321"/>
      <c r="CL86" s="321"/>
      <c r="CM86" s="321"/>
      <c r="CN86" s="321"/>
      <c r="CO86" s="321"/>
      <c r="CP86" s="321"/>
      <c r="CQ86" s="321"/>
      <c r="CR86" s="564"/>
      <c r="CS86" s="321"/>
      <c r="CT86" s="321"/>
      <c r="CU86" s="321"/>
      <c r="CV86" s="321"/>
      <c r="CW86" s="321"/>
      <c r="CX86" s="321"/>
      <c r="CY86" s="321"/>
      <c r="CZ86" s="321"/>
      <c r="DA86" s="321"/>
      <c r="DB86" s="321"/>
      <c r="DC86" s="321"/>
      <c r="DD86" s="321"/>
      <c r="DE86" s="321"/>
      <c r="DF86" s="321"/>
      <c r="DG86" s="321"/>
      <c r="DH86" s="564"/>
      <c r="DI86" s="321"/>
      <c r="DJ86" s="321"/>
      <c r="DK86" s="321"/>
      <c r="DL86" s="321"/>
      <c r="DM86" s="321"/>
      <c r="DN86" s="321"/>
      <c r="DO86" s="321"/>
      <c r="DP86" s="321"/>
      <c r="DQ86" s="321"/>
      <c r="DR86" s="321"/>
      <c r="DS86" s="321"/>
      <c r="DT86" s="321"/>
      <c r="DU86" s="321"/>
      <c r="DV86" s="321"/>
      <c r="DW86" s="321"/>
      <c r="DX86" s="564"/>
      <c r="DY86" s="321"/>
      <c r="DZ86" s="321"/>
      <c r="EA86" s="321"/>
      <c r="EB86" s="321"/>
      <c r="EC86" s="321"/>
      <c r="ED86" s="321"/>
      <c r="EE86" s="321"/>
      <c r="EF86" s="321"/>
      <c r="EG86" s="321"/>
      <c r="EH86" s="321"/>
      <c r="EI86" s="321"/>
      <c r="EJ86" s="321"/>
      <c r="EK86" s="321"/>
      <c r="EL86" s="321"/>
      <c r="EM86" s="321"/>
      <c r="EN86" s="564"/>
      <c r="EO86" s="321"/>
      <c r="EP86" s="321"/>
      <c r="EQ86" s="321"/>
      <c r="ER86" s="321"/>
      <c r="ES86" s="321"/>
      <c r="ET86" s="321"/>
      <c r="EU86" s="321"/>
      <c r="EV86" s="321"/>
      <c r="EW86" s="321"/>
      <c r="EX86" s="321"/>
      <c r="EY86" s="321"/>
      <c r="EZ86" s="321"/>
      <c r="FA86" s="321"/>
      <c r="FB86" s="321"/>
      <c r="FC86" s="321"/>
      <c r="FD86" s="564"/>
      <c r="FE86" s="321"/>
      <c r="FF86" s="321"/>
      <c r="FG86" s="321"/>
      <c r="FH86" s="321"/>
      <c r="FI86" s="321"/>
      <c r="FJ86" s="321"/>
      <c r="FK86" s="321"/>
      <c r="FL86" s="321"/>
      <c r="FM86" s="321"/>
      <c r="FN86" s="321"/>
      <c r="FO86" s="321"/>
      <c r="FP86" s="321"/>
      <c r="FQ86" s="321"/>
      <c r="FR86" s="321"/>
      <c r="FS86" s="321"/>
      <c r="FT86" s="564"/>
      <c r="FU86" s="321"/>
      <c r="FV86" s="321"/>
      <c r="FW86" s="321"/>
      <c r="FX86" s="321"/>
      <c r="FY86" s="321"/>
      <c r="FZ86" s="321"/>
      <c r="GA86" s="321"/>
      <c r="GB86" s="321"/>
      <c r="GC86" s="321"/>
      <c r="GD86" s="321"/>
      <c r="GE86" s="321"/>
      <c r="GF86" s="321"/>
      <c r="GG86" s="321"/>
      <c r="GH86" s="321"/>
      <c r="GI86" s="321"/>
      <c r="GJ86" s="564"/>
      <c r="GK86" s="321"/>
      <c r="GL86" s="321"/>
      <c r="GM86" s="321"/>
      <c r="GN86" s="321"/>
      <c r="GO86" s="321"/>
      <c r="GP86" s="321"/>
      <c r="GQ86" s="321"/>
      <c r="GR86" s="321"/>
      <c r="GS86" s="321"/>
      <c r="GT86" s="321"/>
      <c r="GU86" s="321"/>
      <c r="GV86" s="321"/>
      <c r="GW86" s="321"/>
      <c r="GX86" s="321"/>
      <c r="GY86" s="321"/>
      <c r="GZ86" s="564"/>
      <c r="HA86" s="321"/>
      <c r="HB86" s="321"/>
      <c r="HC86" s="321"/>
      <c r="HD86" s="321"/>
      <c r="HE86" s="321"/>
      <c r="HF86" s="321"/>
      <c r="HG86" s="321"/>
      <c r="HH86" s="321"/>
      <c r="HI86" s="321"/>
      <c r="HJ86" s="321"/>
      <c r="HK86" s="321"/>
      <c r="HL86" s="321"/>
      <c r="HM86" s="321"/>
      <c r="HN86" s="321"/>
      <c r="HO86" s="321"/>
      <c r="HP86" s="564"/>
      <c r="HQ86" s="321"/>
      <c r="HR86" s="321"/>
      <c r="HS86" s="321"/>
      <c r="HT86" s="321"/>
      <c r="HU86" s="321"/>
      <c r="HV86" s="321"/>
      <c r="HW86" s="321"/>
      <c r="HX86" s="321"/>
      <c r="HY86" s="321"/>
      <c r="HZ86" s="321"/>
      <c r="IA86" s="321"/>
      <c r="IB86" s="321"/>
      <c r="IC86" s="321"/>
      <c r="ID86" s="321"/>
      <c r="IE86" s="321"/>
      <c r="IF86" s="564"/>
      <c r="IG86" s="321"/>
      <c r="IH86" s="321"/>
      <c r="II86" s="321"/>
      <c r="IJ86" s="321"/>
      <c r="IK86" s="321"/>
      <c r="IL86" s="321"/>
      <c r="IM86" s="321"/>
      <c r="IN86" s="321"/>
      <c r="IO86" s="321"/>
      <c r="IP86" s="321"/>
      <c r="IQ86" s="321"/>
      <c r="IR86" s="321"/>
      <c r="IS86" s="321"/>
      <c r="IT86" s="321"/>
      <c r="IU86" s="321"/>
      <c r="IV86" s="564"/>
    </row>
    <row r="87" spans="1:256" s="328" customFormat="1" ht="8.25" customHeight="1">
      <c r="A87" s="411"/>
      <c r="B87" s="439"/>
      <c r="C87" s="439"/>
      <c r="D87" s="439"/>
      <c r="E87" s="439"/>
      <c r="F87" s="439"/>
      <c r="G87" s="439"/>
      <c r="H87" s="439"/>
      <c r="I87" s="439"/>
      <c r="J87" s="439"/>
      <c r="K87" s="439"/>
      <c r="L87" s="439"/>
      <c r="M87" s="439"/>
      <c r="N87" s="439"/>
      <c r="O87" s="439"/>
      <c r="P87" s="439"/>
      <c r="Q87" s="452"/>
      <c r="R87" s="439"/>
      <c r="S87" s="439"/>
      <c r="T87" s="439"/>
      <c r="U87" s="439"/>
      <c r="V87" s="439"/>
      <c r="W87" s="439"/>
      <c r="X87" s="439"/>
      <c r="Y87" s="439"/>
      <c r="Z87" s="439"/>
      <c r="AA87" s="439"/>
      <c r="AB87" s="439"/>
      <c r="AC87" s="439"/>
      <c r="AD87" s="439"/>
      <c r="AE87" s="439"/>
      <c r="AF87" s="650"/>
      <c r="AG87" s="452"/>
      <c r="AH87" s="411"/>
      <c r="AI87" s="411"/>
      <c r="AJ87" s="411"/>
      <c r="AK87" s="411"/>
      <c r="AL87" s="411"/>
      <c r="AM87" s="411"/>
      <c r="AN87" s="411"/>
      <c r="AO87" s="411"/>
      <c r="AP87" s="411"/>
      <c r="AQ87" s="411"/>
      <c r="AR87" s="411"/>
      <c r="AS87" s="411"/>
      <c r="AT87" s="411"/>
      <c r="AU87" s="411"/>
      <c r="AV87" s="650"/>
      <c r="AW87" s="452"/>
      <c r="AX87" s="439"/>
      <c r="AY87" s="439"/>
      <c r="AZ87" s="439"/>
      <c r="BA87" s="439"/>
      <c r="BB87" s="439"/>
      <c r="BC87" s="439"/>
      <c r="BD87" s="439"/>
      <c r="BE87" s="439"/>
      <c r="BF87" s="439"/>
      <c r="BG87" s="439"/>
      <c r="BH87" s="439"/>
      <c r="BI87" s="439"/>
      <c r="BJ87" s="439"/>
      <c r="BK87" s="439"/>
      <c r="BL87" s="650"/>
      <c r="BM87" s="432"/>
      <c r="BN87" s="432"/>
      <c r="BO87" s="432"/>
      <c r="BP87" s="432"/>
      <c r="BQ87" s="432"/>
      <c r="BR87" s="432"/>
      <c r="BS87" s="432"/>
      <c r="BT87" s="432"/>
      <c r="BU87" s="432"/>
      <c r="BV87" s="432"/>
      <c r="BW87" s="432"/>
      <c r="BX87" s="432"/>
      <c r="BY87" s="432"/>
      <c r="BZ87" s="432"/>
      <c r="CA87" s="432"/>
      <c r="CB87" s="432"/>
      <c r="CC87" s="321"/>
      <c r="CD87" s="321"/>
      <c r="CE87" s="321"/>
      <c r="CF87" s="321"/>
      <c r="CG87" s="321"/>
      <c r="CH87" s="321"/>
      <c r="CI87" s="321"/>
      <c r="CJ87" s="321"/>
      <c r="CK87" s="321"/>
      <c r="CL87" s="321"/>
      <c r="CM87" s="321"/>
      <c r="CN87" s="321"/>
      <c r="CO87" s="321"/>
      <c r="CP87" s="321"/>
      <c r="CQ87" s="321"/>
      <c r="CR87" s="564"/>
      <c r="CS87" s="321"/>
      <c r="CT87" s="321"/>
      <c r="CU87" s="321"/>
      <c r="CV87" s="321"/>
      <c r="CW87" s="321"/>
      <c r="CX87" s="321"/>
      <c r="CY87" s="321"/>
      <c r="CZ87" s="321"/>
      <c r="DA87" s="321"/>
      <c r="DB87" s="321"/>
      <c r="DC87" s="321"/>
      <c r="DD87" s="321"/>
      <c r="DE87" s="321"/>
      <c r="DF87" s="321"/>
      <c r="DG87" s="321"/>
      <c r="DH87" s="564"/>
      <c r="DI87" s="321"/>
      <c r="DJ87" s="321"/>
      <c r="DK87" s="321"/>
      <c r="DL87" s="321"/>
      <c r="DM87" s="321"/>
      <c r="DN87" s="321"/>
      <c r="DO87" s="321"/>
      <c r="DP87" s="321"/>
      <c r="DQ87" s="321"/>
      <c r="DR87" s="321"/>
      <c r="DS87" s="321"/>
      <c r="DT87" s="321"/>
      <c r="DU87" s="321"/>
      <c r="DV87" s="321"/>
      <c r="DW87" s="321"/>
      <c r="DX87" s="564"/>
      <c r="DY87" s="321"/>
      <c r="DZ87" s="321"/>
      <c r="EA87" s="321"/>
      <c r="EB87" s="321"/>
      <c r="EC87" s="321"/>
      <c r="ED87" s="321"/>
      <c r="EE87" s="321"/>
      <c r="EF87" s="321"/>
      <c r="EG87" s="321"/>
      <c r="EH87" s="321"/>
      <c r="EI87" s="321"/>
      <c r="EJ87" s="321"/>
      <c r="EK87" s="321"/>
      <c r="EL87" s="321"/>
      <c r="EM87" s="321"/>
      <c r="EN87" s="564"/>
      <c r="EO87" s="321"/>
      <c r="EP87" s="321"/>
      <c r="EQ87" s="321"/>
      <c r="ER87" s="321"/>
      <c r="ES87" s="321"/>
      <c r="ET87" s="321"/>
      <c r="EU87" s="321"/>
      <c r="EV87" s="321"/>
      <c r="EW87" s="321"/>
      <c r="EX87" s="321"/>
      <c r="EY87" s="321"/>
      <c r="EZ87" s="321"/>
      <c r="FA87" s="321"/>
      <c r="FB87" s="321"/>
      <c r="FC87" s="321"/>
      <c r="FD87" s="564"/>
      <c r="FE87" s="321"/>
      <c r="FF87" s="321"/>
      <c r="FG87" s="321"/>
      <c r="FH87" s="321"/>
      <c r="FI87" s="321"/>
      <c r="FJ87" s="321"/>
      <c r="FK87" s="321"/>
      <c r="FL87" s="321"/>
      <c r="FM87" s="321"/>
      <c r="FN87" s="321"/>
      <c r="FO87" s="321"/>
      <c r="FP87" s="321"/>
      <c r="FQ87" s="321"/>
      <c r="FR87" s="321"/>
      <c r="FS87" s="321"/>
      <c r="FT87" s="564"/>
      <c r="FU87" s="321"/>
      <c r="FV87" s="321"/>
      <c r="FW87" s="321"/>
      <c r="FX87" s="321"/>
      <c r="FY87" s="321"/>
      <c r="FZ87" s="321"/>
      <c r="GA87" s="321"/>
      <c r="GB87" s="321"/>
      <c r="GC87" s="321"/>
      <c r="GD87" s="321"/>
      <c r="GE87" s="321"/>
      <c r="GF87" s="321"/>
      <c r="GG87" s="321"/>
      <c r="GH87" s="321"/>
      <c r="GI87" s="321"/>
      <c r="GJ87" s="564"/>
      <c r="GK87" s="321"/>
      <c r="GL87" s="321"/>
      <c r="GM87" s="321"/>
      <c r="GN87" s="321"/>
      <c r="GO87" s="321"/>
      <c r="GP87" s="321"/>
      <c r="GQ87" s="321"/>
      <c r="GR87" s="321"/>
      <c r="GS87" s="321"/>
      <c r="GT87" s="321"/>
      <c r="GU87" s="321"/>
      <c r="GV87" s="321"/>
      <c r="GW87" s="321"/>
      <c r="GX87" s="321"/>
      <c r="GY87" s="321"/>
      <c r="GZ87" s="564"/>
      <c r="HA87" s="321"/>
      <c r="HB87" s="321"/>
      <c r="HC87" s="321"/>
      <c r="HD87" s="321"/>
      <c r="HE87" s="321"/>
      <c r="HF87" s="321"/>
      <c r="HG87" s="321"/>
      <c r="HH87" s="321"/>
      <c r="HI87" s="321"/>
      <c r="HJ87" s="321"/>
      <c r="HK87" s="321"/>
      <c r="HL87" s="321"/>
      <c r="HM87" s="321"/>
      <c r="HN87" s="321"/>
      <c r="HO87" s="321"/>
      <c r="HP87" s="564"/>
      <c r="HQ87" s="321"/>
      <c r="HR87" s="321"/>
      <c r="HS87" s="321"/>
      <c r="HT87" s="321"/>
      <c r="HU87" s="321"/>
      <c r="HV87" s="321"/>
      <c r="HW87" s="321"/>
      <c r="HX87" s="321"/>
      <c r="HY87" s="321"/>
      <c r="HZ87" s="321"/>
      <c r="IA87" s="321"/>
      <c r="IB87" s="321"/>
      <c r="IC87" s="321"/>
      <c r="ID87" s="321"/>
      <c r="IE87" s="321"/>
      <c r="IF87" s="564"/>
      <c r="IG87" s="321"/>
      <c r="IH87" s="321"/>
      <c r="II87" s="321"/>
      <c r="IJ87" s="321"/>
      <c r="IK87" s="321"/>
      <c r="IL87" s="321"/>
      <c r="IM87" s="321"/>
      <c r="IN87" s="321"/>
      <c r="IO87" s="321"/>
      <c r="IP87" s="321"/>
      <c r="IQ87" s="321"/>
      <c r="IR87" s="321"/>
      <c r="IS87" s="321"/>
      <c r="IT87" s="321"/>
      <c r="IU87" s="321"/>
      <c r="IV87" s="564"/>
    </row>
    <row r="88" spans="1:256" s="328" customFormat="1" ht="8.25" customHeight="1">
      <c r="A88" s="483"/>
      <c r="B88" s="321"/>
      <c r="C88" s="321"/>
      <c r="D88" s="321"/>
      <c r="E88" s="321"/>
      <c r="F88" s="321"/>
      <c r="G88" s="321"/>
      <c r="H88" s="321"/>
      <c r="I88" s="321"/>
      <c r="J88" s="321"/>
      <c r="K88" s="321"/>
      <c r="L88" s="321"/>
      <c r="M88" s="321"/>
      <c r="N88" s="321"/>
      <c r="O88" s="321"/>
      <c r="P88" s="564"/>
      <c r="Q88" s="483"/>
      <c r="R88" s="321"/>
      <c r="S88" s="321"/>
      <c r="T88" s="321"/>
      <c r="U88" s="321"/>
      <c r="V88" s="321"/>
      <c r="W88" s="321"/>
      <c r="X88" s="321"/>
      <c r="Y88" s="321"/>
      <c r="Z88" s="321"/>
      <c r="AA88" s="321"/>
      <c r="AB88" s="321"/>
      <c r="AC88" s="321"/>
      <c r="AD88" s="321"/>
      <c r="AE88" s="321"/>
      <c r="AF88" s="564"/>
      <c r="AG88" s="483"/>
      <c r="AH88" s="321"/>
      <c r="AI88" s="321"/>
      <c r="AJ88" s="321"/>
      <c r="AK88" s="321"/>
      <c r="AL88" s="321"/>
      <c r="AM88" s="321"/>
      <c r="AN88" s="321"/>
      <c r="AO88" s="321"/>
      <c r="AP88" s="321"/>
      <c r="AQ88" s="321"/>
      <c r="AR88" s="321"/>
      <c r="AS88" s="321"/>
      <c r="AT88" s="321"/>
      <c r="AU88" s="321"/>
      <c r="AV88" s="564"/>
      <c r="AW88" s="321"/>
      <c r="AX88" s="321"/>
      <c r="AY88" s="321"/>
      <c r="AZ88" s="321"/>
      <c r="BA88" s="321"/>
      <c r="BB88" s="321"/>
      <c r="BC88" s="321"/>
      <c r="BD88" s="321"/>
      <c r="BE88" s="321"/>
      <c r="BF88" s="321"/>
      <c r="BG88" s="321"/>
      <c r="BH88" s="321"/>
      <c r="BI88" s="321"/>
      <c r="BJ88" s="321"/>
      <c r="BK88" s="321"/>
      <c r="BL88" s="564"/>
      <c r="BM88" s="321"/>
      <c r="BN88" s="321"/>
      <c r="BO88" s="321"/>
      <c r="BP88" s="321"/>
      <c r="BQ88" s="321"/>
      <c r="BR88" s="321"/>
      <c r="BS88" s="321"/>
      <c r="BT88" s="321"/>
      <c r="BU88" s="321"/>
      <c r="BV88" s="321"/>
      <c r="BW88" s="321"/>
      <c r="BX88" s="321"/>
      <c r="BY88" s="321"/>
      <c r="BZ88" s="321"/>
      <c r="CA88" s="321"/>
      <c r="CB88" s="564"/>
      <c r="CC88" s="321"/>
      <c r="CD88" s="321"/>
      <c r="CE88" s="321"/>
      <c r="CF88" s="321"/>
      <c r="CG88" s="321"/>
      <c r="CH88" s="321"/>
      <c r="CI88" s="321"/>
      <c r="CJ88" s="321"/>
      <c r="CK88" s="321"/>
      <c r="CL88" s="321"/>
      <c r="CM88" s="321"/>
      <c r="CN88" s="321"/>
      <c r="CO88" s="321"/>
      <c r="CP88" s="321"/>
      <c r="CQ88" s="321"/>
      <c r="CR88" s="564"/>
      <c r="CS88" s="321"/>
      <c r="CT88" s="321"/>
      <c r="CU88" s="321"/>
      <c r="CV88" s="321"/>
      <c r="CW88" s="321"/>
      <c r="CX88" s="321"/>
      <c r="CY88" s="321"/>
      <c r="CZ88" s="321"/>
      <c r="DA88" s="321"/>
      <c r="DB88" s="321"/>
      <c r="DC88" s="321"/>
      <c r="DD88" s="321"/>
      <c r="DE88" s="321"/>
      <c r="DF88" s="321"/>
      <c r="DG88" s="321"/>
      <c r="DH88" s="564"/>
      <c r="DI88" s="321"/>
      <c r="DJ88" s="321"/>
      <c r="DK88" s="321"/>
      <c r="DL88" s="321"/>
      <c r="DM88" s="321"/>
      <c r="DN88" s="321"/>
      <c r="DO88" s="321"/>
      <c r="DP88" s="321"/>
      <c r="DQ88" s="321"/>
      <c r="DR88" s="321"/>
      <c r="DS88" s="321"/>
      <c r="DT88" s="321"/>
      <c r="DU88" s="321"/>
      <c r="DV88" s="321"/>
      <c r="DW88" s="321"/>
      <c r="DX88" s="564"/>
      <c r="DY88" s="321"/>
      <c r="DZ88" s="321"/>
      <c r="EA88" s="321"/>
      <c r="EB88" s="321"/>
      <c r="EC88" s="321"/>
      <c r="ED88" s="321"/>
      <c r="EE88" s="321"/>
      <c r="EF88" s="321"/>
      <c r="EG88" s="321"/>
      <c r="EH88" s="321"/>
      <c r="EI88" s="321"/>
      <c r="EJ88" s="321"/>
      <c r="EK88" s="321"/>
      <c r="EL88" s="321"/>
      <c r="EM88" s="321"/>
      <c r="EN88" s="564"/>
      <c r="EO88" s="321"/>
      <c r="EP88" s="321"/>
      <c r="EQ88" s="321"/>
      <c r="ER88" s="321"/>
      <c r="ES88" s="321"/>
      <c r="ET88" s="321"/>
      <c r="EU88" s="321"/>
      <c r="EV88" s="321"/>
      <c r="EW88" s="321"/>
      <c r="EX88" s="321"/>
      <c r="EY88" s="321"/>
      <c r="EZ88" s="321"/>
      <c r="FA88" s="321"/>
      <c r="FB88" s="321"/>
      <c r="FC88" s="321"/>
      <c r="FD88" s="564"/>
      <c r="FE88" s="321"/>
      <c r="FF88" s="321"/>
      <c r="FG88" s="321"/>
      <c r="FH88" s="321"/>
      <c r="FI88" s="321"/>
      <c r="FJ88" s="321"/>
      <c r="FK88" s="321"/>
      <c r="FL88" s="321"/>
      <c r="FM88" s="321"/>
      <c r="FN88" s="321"/>
      <c r="FO88" s="321"/>
      <c r="FP88" s="321"/>
      <c r="FQ88" s="321"/>
      <c r="FR88" s="321"/>
      <c r="FS88" s="321"/>
      <c r="FT88" s="564"/>
      <c r="FU88" s="321"/>
      <c r="FV88" s="321"/>
      <c r="FW88" s="321"/>
      <c r="FX88" s="321"/>
      <c r="FY88" s="321"/>
      <c r="FZ88" s="321"/>
      <c r="GA88" s="321"/>
      <c r="GB88" s="321"/>
      <c r="GC88" s="321"/>
      <c r="GD88" s="321"/>
      <c r="GE88" s="321"/>
      <c r="GF88" s="321"/>
      <c r="GG88" s="321"/>
      <c r="GH88" s="321"/>
      <c r="GI88" s="321"/>
      <c r="GJ88" s="564"/>
      <c r="GK88" s="321"/>
      <c r="GL88" s="321"/>
      <c r="GM88" s="321"/>
      <c r="GN88" s="321"/>
      <c r="GO88" s="321"/>
      <c r="GP88" s="321"/>
      <c r="GQ88" s="321"/>
      <c r="GR88" s="321"/>
      <c r="GS88" s="321"/>
      <c r="GT88" s="321"/>
      <c r="GU88" s="321"/>
      <c r="GV88" s="321"/>
      <c r="GW88" s="321"/>
      <c r="GX88" s="321"/>
      <c r="GY88" s="321"/>
      <c r="GZ88" s="564"/>
      <c r="HA88" s="321"/>
      <c r="HB88" s="321"/>
      <c r="HC88" s="321"/>
      <c r="HD88" s="321"/>
      <c r="HE88" s="321"/>
      <c r="HF88" s="321"/>
      <c r="HG88" s="321"/>
      <c r="HH88" s="321"/>
      <c r="HI88" s="321"/>
      <c r="HJ88" s="321"/>
      <c r="HK88" s="321"/>
      <c r="HL88" s="321"/>
      <c r="HM88" s="321"/>
      <c r="HN88" s="321"/>
      <c r="HO88" s="321"/>
      <c r="HP88" s="564"/>
      <c r="HQ88" s="321"/>
      <c r="HR88" s="321"/>
      <c r="HS88" s="321"/>
      <c r="HT88" s="321"/>
      <c r="HU88" s="321"/>
      <c r="HV88" s="321"/>
      <c r="HW88" s="321"/>
      <c r="HX88" s="321"/>
      <c r="HY88" s="321"/>
      <c r="HZ88" s="321"/>
      <c r="IA88" s="321"/>
      <c r="IB88" s="321"/>
      <c r="IC88" s="321"/>
      <c r="ID88" s="321"/>
      <c r="IE88" s="321"/>
      <c r="IF88" s="564"/>
      <c r="IG88" s="321"/>
      <c r="IH88" s="321"/>
      <c r="II88" s="321"/>
      <c r="IJ88" s="321"/>
      <c r="IK88" s="321"/>
      <c r="IL88" s="321"/>
      <c r="IM88" s="321"/>
      <c r="IN88" s="321"/>
      <c r="IO88" s="321"/>
      <c r="IP88" s="321"/>
      <c r="IQ88" s="321"/>
      <c r="IR88" s="321"/>
      <c r="IS88" s="321"/>
      <c r="IT88" s="321"/>
      <c r="IU88" s="321"/>
      <c r="IV88" s="564"/>
    </row>
    <row r="89" spans="1:256" s="328" customFormat="1" ht="8.25" customHeight="1">
      <c r="A89" s="483"/>
      <c r="B89" s="321"/>
      <c r="C89" s="321"/>
      <c r="D89" s="321"/>
      <c r="E89" s="321"/>
      <c r="F89" s="321"/>
      <c r="G89" s="321"/>
      <c r="H89" s="321"/>
      <c r="I89" s="321"/>
      <c r="J89" s="321"/>
      <c r="K89" s="321"/>
      <c r="L89" s="321"/>
      <c r="M89" s="321"/>
      <c r="N89" s="321"/>
      <c r="O89" s="321"/>
      <c r="P89" s="564"/>
      <c r="Q89" s="483"/>
      <c r="R89" s="321"/>
      <c r="S89" s="321"/>
      <c r="T89" s="321"/>
      <c r="U89" s="321"/>
      <c r="V89" s="321"/>
      <c r="W89" s="321"/>
      <c r="X89" s="321"/>
      <c r="Y89" s="321"/>
      <c r="Z89" s="321"/>
      <c r="AA89" s="321"/>
      <c r="AB89" s="321"/>
      <c r="AC89" s="321"/>
      <c r="AD89" s="321"/>
      <c r="AE89" s="321"/>
      <c r="AF89" s="564"/>
      <c r="AG89" s="483"/>
      <c r="AH89" s="321"/>
      <c r="AI89" s="321"/>
      <c r="AJ89" s="321"/>
      <c r="AK89" s="321"/>
      <c r="AL89" s="321"/>
      <c r="AM89" s="321"/>
      <c r="AN89" s="321"/>
      <c r="AO89" s="321"/>
      <c r="AP89" s="321"/>
      <c r="AQ89" s="321"/>
      <c r="AR89" s="321"/>
      <c r="AS89" s="321"/>
      <c r="AT89" s="321"/>
      <c r="AU89" s="321"/>
      <c r="AV89" s="564"/>
      <c r="AW89" s="321"/>
      <c r="AX89" s="321"/>
      <c r="AY89" s="321"/>
      <c r="AZ89" s="321"/>
      <c r="BA89" s="321"/>
      <c r="BB89" s="321"/>
      <c r="BC89" s="321"/>
      <c r="BD89" s="321"/>
      <c r="BE89" s="321"/>
      <c r="BF89" s="321"/>
      <c r="BG89" s="321"/>
      <c r="BH89" s="321"/>
      <c r="BI89" s="321"/>
      <c r="BJ89" s="321"/>
      <c r="BK89" s="321"/>
      <c r="BL89" s="564"/>
      <c r="BM89" s="321"/>
      <c r="BN89" s="321"/>
      <c r="BO89" s="321"/>
      <c r="BP89" s="321"/>
      <c r="BQ89" s="321"/>
      <c r="BR89" s="321"/>
      <c r="BS89" s="321"/>
      <c r="BT89" s="321"/>
      <c r="BU89" s="321"/>
      <c r="BV89" s="321"/>
      <c r="BW89" s="321"/>
      <c r="BX89" s="321"/>
      <c r="BY89" s="321"/>
      <c r="BZ89" s="321"/>
      <c r="CA89" s="321"/>
      <c r="CB89" s="564"/>
      <c r="CC89" s="321"/>
      <c r="CD89" s="321"/>
      <c r="CE89" s="321"/>
      <c r="CF89" s="321"/>
      <c r="CG89" s="321"/>
      <c r="CH89" s="321"/>
      <c r="CI89" s="321"/>
      <c r="CJ89" s="321"/>
      <c r="CK89" s="321"/>
      <c r="CL89" s="321"/>
      <c r="CM89" s="321"/>
      <c r="CN89" s="321"/>
      <c r="CO89" s="321"/>
      <c r="CP89" s="321"/>
      <c r="CQ89" s="321"/>
      <c r="CR89" s="564"/>
      <c r="CS89" s="321"/>
      <c r="CT89" s="321"/>
      <c r="CU89" s="321"/>
      <c r="CV89" s="321"/>
      <c r="CW89" s="321"/>
      <c r="CX89" s="321"/>
      <c r="CY89" s="321"/>
      <c r="CZ89" s="321"/>
      <c r="DA89" s="321"/>
      <c r="DB89" s="321"/>
      <c r="DC89" s="321"/>
      <c r="DD89" s="321"/>
      <c r="DE89" s="321"/>
      <c r="DF89" s="321"/>
      <c r="DG89" s="321"/>
      <c r="DH89" s="564"/>
      <c r="DI89" s="321"/>
      <c r="DJ89" s="321"/>
      <c r="DK89" s="321"/>
      <c r="DL89" s="321"/>
      <c r="DM89" s="321"/>
      <c r="DN89" s="321"/>
      <c r="DO89" s="321"/>
      <c r="DP89" s="321"/>
      <c r="DQ89" s="321"/>
      <c r="DR89" s="321"/>
      <c r="DS89" s="321"/>
      <c r="DT89" s="321"/>
      <c r="DU89" s="321"/>
      <c r="DV89" s="321"/>
      <c r="DW89" s="321"/>
      <c r="DX89" s="564"/>
      <c r="DY89" s="321"/>
      <c r="DZ89" s="321"/>
      <c r="EA89" s="321"/>
      <c r="EB89" s="321"/>
      <c r="EC89" s="321"/>
      <c r="ED89" s="321"/>
      <c r="EE89" s="321"/>
      <c r="EF89" s="321"/>
      <c r="EG89" s="321"/>
      <c r="EH89" s="321"/>
      <c r="EI89" s="321"/>
      <c r="EJ89" s="321"/>
      <c r="EK89" s="321"/>
      <c r="EL89" s="321"/>
      <c r="EM89" s="321"/>
      <c r="EN89" s="564"/>
      <c r="EO89" s="321"/>
      <c r="EP89" s="321"/>
      <c r="EQ89" s="321"/>
      <c r="ER89" s="321"/>
      <c r="ES89" s="321"/>
      <c r="ET89" s="321"/>
      <c r="EU89" s="321"/>
      <c r="EV89" s="321"/>
      <c r="EW89" s="321"/>
      <c r="EX89" s="321"/>
      <c r="EY89" s="321"/>
      <c r="EZ89" s="321"/>
      <c r="FA89" s="321"/>
      <c r="FB89" s="321"/>
      <c r="FC89" s="321"/>
      <c r="FD89" s="564"/>
      <c r="FE89" s="321"/>
      <c r="FF89" s="321"/>
      <c r="FG89" s="321"/>
      <c r="FH89" s="321"/>
      <c r="FI89" s="321"/>
      <c r="FJ89" s="321"/>
      <c r="FK89" s="321"/>
      <c r="FL89" s="321"/>
      <c r="FM89" s="321"/>
      <c r="FN89" s="321"/>
      <c r="FO89" s="321"/>
      <c r="FP89" s="321"/>
      <c r="FQ89" s="321"/>
      <c r="FR89" s="321"/>
      <c r="FS89" s="321"/>
      <c r="FT89" s="564"/>
      <c r="FU89" s="321"/>
      <c r="FV89" s="321"/>
      <c r="FW89" s="321"/>
      <c r="FX89" s="321"/>
      <c r="FY89" s="321"/>
      <c r="FZ89" s="321"/>
      <c r="GA89" s="321"/>
      <c r="GB89" s="321"/>
      <c r="GC89" s="321"/>
      <c r="GD89" s="321"/>
      <c r="GE89" s="321"/>
      <c r="GF89" s="321"/>
      <c r="GG89" s="321"/>
      <c r="GH89" s="321"/>
      <c r="GI89" s="321"/>
      <c r="GJ89" s="564"/>
      <c r="GK89" s="321"/>
      <c r="GL89" s="321"/>
      <c r="GM89" s="321"/>
      <c r="GN89" s="321"/>
      <c r="GO89" s="321"/>
      <c r="GP89" s="321"/>
      <c r="GQ89" s="321"/>
      <c r="GR89" s="321"/>
      <c r="GS89" s="321"/>
      <c r="GT89" s="321"/>
      <c r="GU89" s="321"/>
      <c r="GV89" s="321"/>
      <c r="GW89" s="321"/>
      <c r="GX89" s="321"/>
      <c r="GY89" s="321"/>
      <c r="GZ89" s="564"/>
      <c r="HA89" s="321"/>
      <c r="HB89" s="321"/>
      <c r="HC89" s="321"/>
      <c r="HD89" s="321"/>
      <c r="HE89" s="321"/>
      <c r="HF89" s="321"/>
      <c r="HG89" s="321"/>
      <c r="HH89" s="321"/>
      <c r="HI89" s="321"/>
      <c r="HJ89" s="321"/>
      <c r="HK89" s="321"/>
      <c r="HL89" s="321"/>
      <c r="HM89" s="321"/>
      <c r="HN89" s="321"/>
      <c r="HO89" s="321"/>
      <c r="HP89" s="564"/>
      <c r="HQ89" s="321"/>
      <c r="HR89" s="321"/>
      <c r="HS89" s="321"/>
      <c r="HT89" s="321"/>
      <c r="HU89" s="321"/>
      <c r="HV89" s="321"/>
      <c r="HW89" s="321"/>
      <c r="HX89" s="321"/>
      <c r="HY89" s="321"/>
      <c r="HZ89" s="321"/>
      <c r="IA89" s="321"/>
      <c r="IB89" s="321"/>
      <c r="IC89" s="321"/>
      <c r="ID89" s="321"/>
      <c r="IE89" s="321"/>
      <c r="IF89" s="564"/>
      <c r="IG89" s="321"/>
      <c r="IH89" s="321"/>
      <c r="II89" s="321"/>
      <c r="IJ89" s="321"/>
      <c r="IK89" s="321"/>
      <c r="IL89" s="321"/>
      <c r="IM89" s="321"/>
      <c r="IN89" s="321"/>
      <c r="IO89" s="321"/>
      <c r="IP89" s="321"/>
      <c r="IQ89" s="321"/>
      <c r="IR89" s="321"/>
      <c r="IS89" s="321"/>
      <c r="IT89" s="321"/>
      <c r="IU89" s="321"/>
      <c r="IV89" s="564"/>
    </row>
    <row r="90" spans="1:256" s="328" customFormat="1" ht="8.25" customHeight="1">
      <c r="A90" s="483"/>
      <c r="B90" s="321"/>
      <c r="C90" s="321"/>
      <c r="D90" s="321"/>
      <c r="E90" s="321"/>
      <c r="F90" s="321"/>
      <c r="G90" s="321"/>
      <c r="H90" s="321"/>
      <c r="I90" s="321"/>
      <c r="J90" s="321"/>
      <c r="K90" s="321"/>
      <c r="L90" s="321"/>
      <c r="M90" s="321"/>
      <c r="N90" s="321"/>
      <c r="O90" s="321"/>
      <c r="P90" s="564"/>
      <c r="Q90" s="483"/>
      <c r="R90" s="321"/>
      <c r="S90" s="321"/>
      <c r="T90" s="321"/>
      <c r="U90" s="321"/>
      <c r="V90" s="321"/>
      <c r="W90" s="321"/>
      <c r="X90" s="321"/>
      <c r="Y90" s="321"/>
      <c r="Z90" s="321"/>
      <c r="AA90" s="321"/>
      <c r="AB90" s="321"/>
      <c r="AC90" s="321"/>
      <c r="AD90" s="321"/>
      <c r="AE90" s="321"/>
      <c r="AF90" s="564"/>
      <c r="AG90" s="483"/>
      <c r="AH90" s="321"/>
      <c r="AI90" s="321"/>
      <c r="AJ90" s="321"/>
      <c r="AK90" s="321"/>
      <c r="AL90" s="321"/>
      <c r="AM90" s="321"/>
      <c r="AN90" s="321"/>
      <c r="AO90" s="321"/>
      <c r="AP90" s="321"/>
      <c r="AQ90" s="321"/>
      <c r="AR90" s="321"/>
      <c r="AS90" s="321"/>
      <c r="AT90" s="321"/>
      <c r="AU90" s="321"/>
      <c r="AV90" s="564"/>
      <c r="AW90" s="483"/>
      <c r="AX90" s="321"/>
      <c r="AY90" s="321"/>
      <c r="AZ90" s="321"/>
      <c r="BA90" s="321"/>
      <c r="BB90" s="321"/>
      <c r="BC90" s="321"/>
      <c r="BD90" s="321"/>
      <c r="BE90" s="321"/>
      <c r="BF90" s="321"/>
      <c r="BG90" s="321"/>
      <c r="BH90" s="321"/>
      <c r="BI90" s="321"/>
      <c r="BJ90" s="321"/>
      <c r="BK90" s="321"/>
      <c r="BL90" s="564"/>
      <c r="BM90" s="483"/>
      <c r="BN90" s="321"/>
      <c r="BO90" s="321"/>
      <c r="BP90" s="321"/>
      <c r="BQ90" s="321"/>
      <c r="BR90" s="321"/>
      <c r="BS90" s="321"/>
      <c r="BT90" s="321"/>
      <c r="BU90" s="321"/>
      <c r="BV90" s="321"/>
      <c r="BW90" s="321"/>
      <c r="BX90" s="321"/>
      <c r="BY90" s="321"/>
      <c r="BZ90" s="321"/>
      <c r="CA90" s="321"/>
      <c r="CB90" s="564"/>
      <c r="CC90" s="321"/>
      <c r="CD90" s="321"/>
      <c r="CE90" s="321"/>
      <c r="CF90" s="321"/>
      <c r="CG90" s="321"/>
      <c r="CH90" s="321"/>
      <c r="CI90" s="321"/>
      <c r="CJ90" s="321"/>
      <c r="CK90" s="321"/>
      <c r="CL90" s="321"/>
      <c r="CM90" s="321"/>
      <c r="CN90" s="321"/>
      <c r="CO90" s="321"/>
      <c r="CP90" s="321"/>
      <c r="CQ90" s="321"/>
      <c r="CR90" s="564"/>
      <c r="CS90" s="321"/>
      <c r="CT90" s="321"/>
      <c r="CU90" s="321"/>
      <c r="CV90" s="321"/>
      <c r="CW90" s="321"/>
      <c r="CX90" s="321"/>
      <c r="CY90" s="321"/>
      <c r="CZ90" s="321"/>
      <c r="DA90" s="321"/>
      <c r="DB90" s="321"/>
      <c r="DC90" s="321"/>
      <c r="DD90" s="321"/>
      <c r="DE90" s="321"/>
      <c r="DF90" s="321"/>
      <c r="DG90" s="321"/>
      <c r="DH90" s="564"/>
      <c r="DI90" s="321"/>
      <c r="DJ90" s="321"/>
      <c r="DK90" s="321"/>
      <c r="DL90" s="321"/>
      <c r="DM90" s="321"/>
      <c r="DN90" s="321"/>
      <c r="DO90" s="321"/>
      <c r="DP90" s="321"/>
      <c r="DQ90" s="321"/>
      <c r="DR90" s="321"/>
      <c r="DS90" s="321"/>
      <c r="DT90" s="321"/>
      <c r="DU90" s="321"/>
      <c r="DV90" s="321"/>
      <c r="DW90" s="321"/>
      <c r="DX90" s="564"/>
      <c r="DY90" s="321"/>
      <c r="DZ90" s="321"/>
      <c r="EA90" s="321"/>
      <c r="EB90" s="321"/>
      <c r="EC90" s="321"/>
      <c r="ED90" s="321"/>
      <c r="EE90" s="321"/>
      <c r="EF90" s="321"/>
      <c r="EG90" s="321"/>
      <c r="EH90" s="321"/>
      <c r="EI90" s="321"/>
      <c r="EJ90" s="321"/>
      <c r="EK90" s="321"/>
      <c r="EL90" s="321"/>
      <c r="EM90" s="321"/>
      <c r="EN90" s="564"/>
      <c r="EO90" s="321"/>
      <c r="EP90" s="321"/>
      <c r="EQ90" s="321"/>
      <c r="ER90" s="321"/>
      <c r="ES90" s="321"/>
      <c r="ET90" s="321"/>
      <c r="EU90" s="321"/>
      <c r="EV90" s="321"/>
      <c r="EW90" s="321"/>
      <c r="EX90" s="321"/>
      <c r="EY90" s="321"/>
      <c r="EZ90" s="321"/>
      <c r="FA90" s="321"/>
      <c r="FB90" s="321"/>
      <c r="FC90" s="321"/>
      <c r="FD90" s="564"/>
      <c r="FE90" s="321"/>
      <c r="FF90" s="321"/>
      <c r="FG90" s="321"/>
      <c r="FH90" s="321"/>
      <c r="FI90" s="321"/>
      <c r="FJ90" s="321"/>
      <c r="FK90" s="321"/>
      <c r="FL90" s="321"/>
      <c r="FM90" s="321"/>
      <c r="FN90" s="321"/>
      <c r="FO90" s="321"/>
      <c r="FP90" s="321"/>
      <c r="FQ90" s="321"/>
      <c r="FR90" s="321"/>
      <c r="FS90" s="321"/>
      <c r="FT90" s="564"/>
      <c r="FU90" s="321"/>
      <c r="FV90" s="321"/>
      <c r="FW90" s="321"/>
      <c r="FX90" s="321"/>
      <c r="FY90" s="321"/>
      <c r="FZ90" s="321"/>
      <c r="GA90" s="321"/>
      <c r="GB90" s="321"/>
      <c r="GC90" s="321"/>
      <c r="GD90" s="321"/>
      <c r="GE90" s="321"/>
      <c r="GF90" s="321"/>
      <c r="GG90" s="321"/>
      <c r="GH90" s="321"/>
      <c r="GI90" s="321"/>
      <c r="GJ90" s="564"/>
      <c r="GK90" s="321"/>
      <c r="GL90" s="321"/>
      <c r="GM90" s="321"/>
      <c r="GN90" s="321"/>
      <c r="GO90" s="321"/>
      <c r="GP90" s="321"/>
      <c r="GQ90" s="321"/>
      <c r="GR90" s="321"/>
      <c r="GS90" s="321"/>
      <c r="GT90" s="321"/>
      <c r="GU90" s="321"/>
      <c r="GV90" s="321"/>
      <c r="GW90" s="321"/>
      <c r="GX90" s="321"/>
      <c r="GY90" s="321"/>
      <c r="GZ90" s="564"/>
      <c r="HA90" s="321"/>
      <c r="HB90" s="321"/>
      <c r="HC90" s="321"/>
      <c r="HD90" s="321"/>
      <c r="HE90" s="321"/>
      <c r="HF90" s="321"/>
      <c r="HG90" s="321"/>
      <c r="HH90" s="321"/>
      <c r="HI90" s="321"/>
      <c r="HJ90" s="321"/>
      <c r="HK90" s="321"/>
      <c r="HL90" s="321"/>
      <c r="HM90" s="321"/>
      <c r="HN90" s="321"/>
      <c r="HO90" s="321"/>
      <c r="HP90" s="564"/>
      <c r="HQ90" s="321"/>
      <c r="HR90" s="321"/>
      <c r="HS90" s="321"/>
      <c r="HT90" s="321"/>
      <c r="HU90" s="321"/>
      <c r="HV90" s="321"/>
      <c r="HW90" s="321"/>
      <c r="HX90" s="321"/>
      <c r="HY90" s="321"/>
      <c r="HZ90" s="321"/>
      <c r="IA90" s="321"/>
      <c r="IB90" s="321"/>
      <c r="IC90" s="321"/>
      <c r="ID90" s="321"/>
      <c r="IE90" s="321"/>
      <c r="IF90" s="564"/>
      <c r="IG90" s="321"/>
      <c r="IH90" s="321"/>
      <c r="II90" s="321"/>
      <c r="IJ90" s="321"/>
      <c r="IK90" s="321"/>
      <c r="IL90" s="321"/>
      <c r="IM90" s="321"/>
      <c r="IN90" s="321"/>
      <c r="IO90" s="321"/>
      <c r="IP90" s="321"/>
      <c r="IQ90" s="321"/>
      <c r="IR90" s="321"/>
      <c r="IS90" s="321"/>
      <c r="IT90" s="321"/>
      <c r="IU90" s="321"/>
      <c r="IV90" s="564"/>
    </row>
    <row r="91" spans="1:256" s="328" customFormat="1" ht="8.25" customHeight="1">
      <c r="A91" s="483"/>
      <c r="B91" s="321"/>
      <c r="C91" s="321"/>
      <c r="D91" s="321"/>
      <c r="E91" s="321"/>
      <c r="F91" s="321"/>
      <c r="G91" s="321"/>
      <c r="H91" s="321"/>
      <c r="I91" s="321"/>
      <c r="J91" s="321"/>
      <c r="K91" s="321"/>
      <c r="L91" s="321"/>
      <c r="M91" s="321"/>
      <c r="N91" s="321"/>
      <c r="O91" s="321"/>
      <c r="P91" s="564"/>
      <c r="Q91" s="483"/>
      <c r="R91" s="321"/>
      <c r="S91" s="321"/>
      <c r="T91" s="321"/>
      <c r="U91" s="321"/>
      <c r="V91" s="321"/>
      <c r="W91" s="321"/>
      <c r="X91" s="321"/>
      <c r="Y91" s="321"/>
      <c r="Z91" s="321"/>
      <c r="AA91" s="321"/>
      <c r="AB91" s="321"/>
      <c r="AC91" s="321"/>
      <c r="AD91" s="321"/>
      <c r="AE91" s="321"/>
      <c r="AF91" s="564"/>
      <c r="AG91" s="483"/>
      <c r="AH91" s="321"/>
      <c r="AI91" s="321"/>
      <c r="AJ91" s="321"/>
      <c r="AK91" s="321"/>
      <c r="AL91" s="321"/>
      <c r="AM91" s="321"/>
      <c r="AN91" s="321"/>
      <c r="AO91" s="321"/>
      <c r="AP91" s="321"/>
      <c r="AQ91" s="321"/>
      <c r="AR91" s="321"/>
      <c r="AS91" s="321"/>
      <c r="AT91" s="321"/>
      <c r="AU91" s="321"/>
      <c r="AV91" s="564"/>
      <c r="AW91" s="483"/>
      <c r="AX91" s="321"/>
      <c r="AY91" s="321"/>
      <c r="AZ91" s="321"/>
      <c r="BA91" s="321"/>
      <c r="BB91" s="321"/>
      <c r="BC91" s="321"/>
      <c r="BD91" s="321"/>
      <c r="BE91" s="321"/>
      <c r="BF91" s="321"/>
      <c r="BG91" s="321"/>
      <c r="BH91" s="321"/>
      <c r="BI91" s="321"/>
      <c r="BJ91" s="321"/>
      <c r="BK91" s="321"/>
      <c r="BL91" s="564"/>
      <c r="BM91" s="483"/>
      <c r="BN91" s="321"/>
      <c r="BO91" s="321"/>
      <c r="BP91" s="321"/>
      <c r="BQ91" s="321"/>
      <c r="BR91" s="321"/>
      <c r="BS91" s="321"/>
      <c r="BT91" s="321"/>
      <c r="BU91" s="321"/>
      <c r="BV91" s="321"/>
      <c r="BW91" s="321"/>
      <c r="BX91" s="321"/>
      <c r="BY91" s="321"/>
      <c r="BZ91" s="321"/>
      <c r="CA91" s="321"/>
      <c r="CB91" s="564"/>
      <c r="CC91" s="483"/>
      <c r="CD91" s="321"/>
      <c r="CE91" s="321"/>
      <c r="CF91" s="321"/>
      <c r="CG91" s="321"/>
      <c r="CH91" s="321"/>
      <c r="CI91" s="321"/>
      <c r="CJ91" s="321"/>
      <c r="CK91" s="321"/>
      <c r="CL91" s="321"/>
      <c r="CM91" s="321"/>
      <c r="CN91" s="321"/>
      <c r="CO91" s="321"/>
      <c r="CP91" s="321"/>
      <c r="CQ91" s="321"/>
      <c r="CR91" s="564"/>
      <c r="CS91" s="483"/>
      <c r="CT91" s="321"/>
      <c r="CU91" s="321"/>
      <c r="CV91" s="321"/>
      <c r="CW91" s="321"/>
      <c r="CX91" s="321"/>
      <c r="CY91" s="321"/>
      <c r="CZ91" s="321"/>
      <c r="DA91" s="321"/>
      <c r="DB91" s="321"/>
      <c r="DC91" s="321"/>
      <c r="DD91" s="321"/>
      <c r="DE91" s="321"/>
      <c r="DF91" s="321"/>
      <c r="DG91" s="321"/>
      <c r="DH91" s="564"/>
      <c r="DI91" s="483"/>
      <c r="DJ91" s="321"/>
      <c r="DK91" s="321"/>
      <c r="DL91" s="321"/>
      <c r="DM91" s="321"/>
      <c r="DN91" s="321"/>
      <c r="DO91" s="321"/>
      <c r="DP91" s="321"/>
      <c r="DQ91" s="321"/>
      <c r="DR91" s="321"/>
      <c r="DS91" s="321"/>
      <c r="DT91" s="321"/>
      <c r="DU91" s="321"/>
      <c r="DV91" s="321"/>
      <c r="DW91" s="321"/>
      <c r="DX91" s="564"/>
      <c r="DY91" s="483"/>
      <c r="DZ91" s="321"/>
      <c r="EA91" s="321"/>
      <c r="EB91" s="321"/>
      <c r="EC91" s="321"/>
      <c r="ED91" s="321"/>
      <c r="EE91" s="321"/>
      <c r="EF91" s="321"/>
      <c r="EG91" s="321"/>
      <c r="EH91" s="321"/>
      <c r="EI91" s="321"/>
      <c r="EJ91" s="321"/>
      <c r="EK91" s="321"/>
      <c r="EL91" s="321"/>
      <c r="EM91" s="321"/>
      <c r="EN91" s="564"/>
      <c r="EO91" s="483"/>
      <c r="EP91" s="321"/>
      <c r="EQ91" s="321"/>
      <c r="ER91" s="321"/>
      <c r="ES91" s="321"/>
      <c r="ET91" s="321"/>
      <c r="EU91" s="321"/>
      <c r="EV91" s="321"/>
      <c r="EW91" s="321"/>
      <c r="EX91" s="321"/>
      <c r="EY91" s="321"/>
      <c r="EZ91" s="321"/>
      <c r="FA91" s="321"/>
      <c r="FB91" s="321"/>
      <c r="FC91" s="321"/>
      <c r="FD91" s="564"/>
      <c r="FE91" s="483"/>
      <c r="FF91" s="321"/>
      <c r="FG91" s="321"/>
      <c r="FH91" s="321"/>
      <c r="FI91" s="321"/>
      <c r="FJ91" s="321"/>
      <c r="FK91" s="321"/>
      <c r="FL91" s="321"/>
      <c r="FM91" s="321"/>
      <c r="FN91" s="321"/>
      <c r="FO91" s="321"/>
      <c r="FP91" s="321"/>
      <c r="FQ91" s="321"/>
      <c r="FR91" s="321"/>
      <c r="FS91" s="321"/>
      <c r="FT91" s="564"/>
      <c r="FU91" s="483"/>
      <c r="FV91" s="321"/>
      <c r="FW91" s="321"/>
      <c r="FX91" s="321"/>
      <c r="FY91" s="321"/>
      <c r="FZ91" s="321"/>
      <c r="GA91" s="321"/>
      <c r="GB91" s="321"/>
      <c r="GC91" s="321"/>
      <c r="GD91" s="321"/>
      <c r="GE91" s="321"/>
      <c r="GF91" s="321"/>
      <c r="GG91" s="321"/>
      <c r="GH91" s="321"/>
      <c r="GI91" s="321"/>
      <c r="GJ91" s="564"/>
      <c r="GK91" s="483"/>
      <c r="GL91" s="321"/>
      <c r="GM91" s="321"/>
      <c r="GN91" s="321"/>
      <c r="GO91" s="321"/>
      <c r="GP91" s="321"/>
      <c r="GQ91" s="321"/>
      <c r="GR91" s="321"/>
      <c r="GS91" s="321"/>
      <c r="GT91" s="321"/>
      <c r="GU91" s="321"/>
      <c r="GV91" s="321"/>
      <c r="GW91" s="321"/>
      <c r="GX91" s="321"/>
      <c r="GY91" s="321"/>
      <c r="GZ91" s="564"/>
      <c r="HA91" s="483"/>
      <c r="HB91" s="321"/>
      <c r="HC91" s="321"/>
      <c r="HD91" s="321"/>
      <c r="HE91" s="321"/>
      <c r="HF91" s="321"/>
      <c r="HG91" s="321"/>
      <c r="HH91" s="321"/>
      <c r="HI91" s="321"/>
      <c r="HJ91" s="321"/>
      <c r="HK91" s="321"/>
      <c r="HL91" s="321"/>
      <c r="HM91" s="321"/>
      <c r="HN91" s="321"/>
      <c r="HO91" s="321"/>
      <c r="HP91" s="564"/>
      <c r="HQ91" s="483"/>
      <c r="HR91" s="321"/>
      <c r="HS91" s="321"/>
      <c r="HT91" s="321"/>
      <c r="HU91" s="321"/>
      <c r="HV91" s="321"/>
      <c r="HW91" s="321"/>
      <c r="HX91" s="321"/>
      <c r="HY91" s="321"/>
      <c r="HZ91" s="321"/>
      <c r="IA91" s="321"/>
      <c r="IB91" s="321"/>
      <c r="IC91" s="321"/>
      <c r="ID91" s="321"/>
      <c r="IE91" s="321"/>
      <c r="IF91" s="564"/>
      <c r="IG91" s="483"/>
      <c r="IH91" s="321"/>
      <c r="II91" s="321"/>
      <c r="IJ91" s="321"/>
      <c r="IK91" s="321"/>
      <c r="IL91" s="321"/>
      <c r="IM91" s="321"/>
      <c r="IN91" s="321"/>
      <c r="IO91" s="321"/>
      <c r="IP91" s="321"/>
      <c r="IQ91" s="321"/>
      <c r="IR91" s="321"/>
      <c r="IS91" s="321"/>
      <c r="IT91" s="321"/>
      <c r="IU91" s="321"/>
      <c r="IV91" s="564"/>
    </row>
    <row r="92" spans="1:256" s="328" customFormat="1" ht="8.25" customHeight="1">
      <c r="A92" s="483"/>
      <c r="B92" s="321"/>
      <c r="C92" s="321"/>
      <c r="D92" s="321"/>
      <c r="E92" s="321"/>
      <c r="F92" s="321"/>
      <c r="G92" s="321"/>
      <c r="H92" s="321"/>
      <c r="I92" s="321"/>
      <c r="J92" s="321"/>
      <c r="K92" s="321"/>
      <c r="L92" s="321"/>
      <c r="M92" s="321"/>
      <c r="N92" s="321"/>
      <c r="O92" s="321"/>
      <c r="P92" s="564"/>
      <c r="Q92" s="483"/>
      <c r="R92" s="321"/>
      <c r="S92" s="321"/>
      <c r="T92" s="321"/>
      <c r="U92" s="321"/>
      <c r="V92" s="321"/>
      <c r="W92" s="321"/>
      <c r="X92" s="321"/>
      <c r="Y92" s="321"/>
      <c r="Z92" s="321"/>
      <c r="AA92" s="321"/>
      <c r="AB92" s="321"/>
      <c r="AC92" s="321"/>
      <c r="AD92" s="321"/>
      <c r="AE92" s="321"/>
      <c r="AF92" s="564"/>
      <c r="AG92" s="483"/>
      <c r="AH92" s="321"/>
      <c r="AI92" s="321"/>
      <c r="AJ92" s="321"/>
      <c r="AK92" s="321"/>
      <c r="AL92" s="321"/>
      <c r="AM92" s="321"/>
      <c r="AN92" s="321"/>
      <c r="AO92" s="321"/>
      <c r="AP92" s="321"/>
      <c r="AQ92" s="321"/>
      <c r="AR92" s="321"/>
      <c r="AS92" s="321"/>
      <c r="AT92" s="321"/>
      <c r="AU92" s="321"/>
      <c r="AV92" s="564"/>
      <c r="AW92" s="483"/>
      <c r="AX92" s="321"/>
      <c r="AY92" s="321"/>
      <c r="AZ92" s="321"/>
      <c r="BA92" s="321"/>
      <c r="BB92" s="321"/>
      <c r="BC92" s="321"/>
      <c r="BD92" s="321"/>
      <c r="BE92" s="321"/>
      <c r="BF92" s="321"/>
      <c r="BG92" s="321"/>
      <c r="BH92" s="321"/>
      <c r="BI92" s="321"/>
      <c r="BJ92" s="321"/>
      <c r="BK92" s="321"/>
      <c r="BL92" s="564"/>
      <c r="BM92" s="483"/>
      <c r="BN92" s="321"/>
      <c r="BO92" s="321"/>
      <c r="BP92" s="321"/>
      <c r="BQ92" s="321"/>
      <c r="BR92" s="321"/>
      <c r="BS92" s="321"/>
      <c r="BT92" s="321"/>
      <c r="BU92" s="321"/>
      <c r="BV92" s="321"/>
      <c r="BW92" s="321"/>
      <c r="BX92" s="321"/>
      <c r="BY92" s="321"/>
      <c r="BZ92" s="321"/>
      <c r="CA92" s="321"/>
      <c r="CB92" s="564"/>
      <c r="CC92" s="483"/>
      <c r="CD92" s="321"/>
      <c r="CE92" s="321"/>
      <c r="CF92" s="321"/>
      <c r="CG92" s="321"/>
      <c r="CH92" s="321"/>
      <c r="CI92" s="321"/>
      <c r="CJ92" s="321"/>
      <c r="CK92" s="321"/>
      <c r="CL92" s="321"/>
      <c r="CM92" s="321"/>
      <c r="CN92" s="321"/>
      <c r="CO92" s="321"/>
      <c r="CP92" s="321"/>
      <c r="CQ92" s="321"/>
      <c r="CR92" s="564"/>
      <c r="CS92" s="483"/>
      <c r="CT92" s="321"/>
      <c r="CU92" s="321"/>
      <c r="CV92" s="321"/>
      <c r="CW92" s="321"/>
      <c r="CX92" s="321"/>
      <c r="CY92" s="321"/>
      <c r="CZ92" s="321"/>
      <c r="DA92" s="321"/>
      <c r="DB92" s="321"/>
      <c r="DC92" s="321"/>
      <c r="DD92" s="321"/>
      <c r="DE92" s="321"/>
      <c r="DF92" s="321"/>
      <c r="DG92" s="321"/>
      <c r="DH92" s="564"/>
      <c r="DI92" s="483"/>
      <c r="DJ92" s="321"/>
      <c r="DK92" s="321"/>
      <c r="DL92" s="321"/>
      <c r="DM92" s="321"/>
      <c r="DN92" s="321"/>
      <c r="DO92" s="321"/>
      <c r="DP92" s="321"/>
      <c r="DQ92" s="321"/>
      <c r="DR92" s="321"/>
      <c r="DS92" s="321"/>
      <c r="DT92" s="321"/>
      <c r="DU92" s="321"/>
      <c r="DV92" s="321"/>
      <c r="DW92" s="321"/>
      <c r="DX92" s="564"/>
      <c r="DY92" s="483"/>
      <c r="DZ92" s="321"/>
      <c r="EA92" s="321"/>
      <c r="EB92" s="321"/>
      <c r="EC92" s="321"/>
      <c r="ED92" s="321"/>
      <c r="EE92" s="321"/>
      <c r="EF92" s="321"/>
      <c r="EG92" s="321"/>
      <c r="EH92" s="321"/>
      <c r="EI92" s="321"/>
      <c r="EJ92" s="321"/>
      <c r="EK92" s="321"/>
      <c r="EL92" s="321"/>
      <c r="EM92" s="321"/>
      <c r="EN92" s="564"/>
      <c r="EO92" s="483"/>
      <c r="EP92" s="321"/>
      <c r="EQ92" s="321"/>
      <c r="ER92" s="321"/>
      <c r="ES92" s="321"/>
      <c r="ET92" s="321"/>
      <c r="EU92" s="321"/>
      <c r="EV92" s="321"/>
      <c r="EW92" s="321"/>
      <c r="EX92" s="321"/>
      <c r="EY92" s="321"/>
      <c r="EZ92" s="321"/>
      <c r="FA92" s="321"/>
      <c r="FB92" s="321"/>
      <c r="FC92" s="321"/>
      <c r="FD92" s="564"/>
      <c r="FE92" s="483"/>
      <c r="FF92" s="321"/>
      <c r="FG92" s="321"/>
      <c r="FH92" s="321"/>
      <c r="FI92" s="321"/>
      <c r="FJ92" s="321"/>
      <c r="FK92" s="321"/>
      <c r="FL92" s="321"/>
      <c r="FM92" s="321"/>
      <c r="FN92" s="321"/>
      <c r="FO92" s="321"/>
      <c r="FP92" s="321"/>
      <c r="FQ92" s="321"/>
      <c r="FR92" s="321"/>
      <c r="FS92" s="321"/>
      <c r="FT92" s="564"/>
      <c r="FU92" s="483"/>
      <c r="FV92" s="321"/>
      <c r="FW92" s="321"/>
      <c r="FX92" s="321"/>
      <c r="FY92" s="321"/>
      <c r="FZ92" s="321"/>
      <c r="GA92" s="321"/>
      <c r="GB92" s="321"/>
      <c r="GC92" s="321"/>
      <c r="GD92" s="321"/>
      <c r="GE92" s="321"/>
      <c r="GF92" s="321"/>
      <c r="GG92" s="321"/>
      <c r="GH92" s="321"/>
      <c r="GI92" s="321"/>
      <c r="GJ92" s="564"/>
      <c r="GK92" s="483"/>
      <c r="GL92" s="321"/>
      <c r="GM92" s="321"/>
      <c r="GN92" s="321"/>
      <c r="GO92" s="321"/>
      <c r="GP92" s="321"/>
      <c r="GQ92" s="321"/>
      <c r="GR92" s="321"/>
      <c r="GS92" s="321"/>
      <c r="GT92" s="321"/>
      <c r="GU92" s="321"/>
      <c r="GV92" s="321"/>
      <c r="GW92" s="321"/>
      <c r="GX92" s="321"/>
      <c r="GY92" s="321"/>
      <c r="GZ92" s="564"/>
      <c r="HA92" s="483"/>
      <c r="HB92" s="321"/>
      <c r="HC92" s="321"/>
      <c r="HD92" s="321"/>
      <c r="HE92" s="321"/>
      <c r="HF92" s="321"/>
      <c r="HG92" s="321"/>
      <c r="HH92" s="321"/>
      <c r="HI92" s="321"/>
      <c r="HJ92" s="321"/>
      <c r="HK92" s="321"/>
      <c r="HL92" s="321"/>
      <c r="HM92" s="321"/>
      <c r="HN92" s="321"/>
      <c r="HO92" s="321"/>
      <c r="HP92" s="564"/>
      <c r="HQ92" s="483"/>
      <c r="HR92" s="321"/>
      <c r="HS92" s="321"/>
      <c r="HT92" s="321"/>
      <c r="HU92" s="321"/>
      <c r="HV92" s="321"/>
      <c r="HW92" s="321"/>
      <c r="HX92" s="321"/>
      <c r="HY92" s="321"/>
      <c r="HZ92" s="321"/>
      <c r="IA92" s="321"/>
      <c r="IB92" s="321"/>
      <c r="IC92" s="321"/>
      <c r="ID92" s="321"/>
      <c r="IE92" s="321"/>
      <c r="IF92" s="564"/>
      <c r="IG92" s="483"/>
      <c r="IH92" s="321"/>
      <c r="II92" s="321"/>
      <c r="IJ92" s="321"/>
      <c r="IK92" s="321"/>
      <c r="IL92" s="321"/>
      <c r="IM92" s="321"/>
      <c r="IN92" s="321"/>
      <c r="IO92" s="321"/>
      <c r="IP92" s="321"/>
      <c r="IQ92" s="321"/>
      <c r="IR92" s="321"/>
      <c r="IS92" s="321"/>
      <c r="IT92" s="321"/>
      <c r="IU92" s="321"/>
      <c r="IV92" s="564"/>
    </row>
    <row r="93" spans="1:256" s="328" customFormat="1" ht="8.25" customHeight="1">
      <c r="A93" s="483"/>
      <c r="B93" s="321"/>
      <c r="C93" s="321"/>
      <c r="D93" s="321"/>
      <c r="E93" s="321"/>
      <c r="F93" s="321"/>
      <c r="G93" s="321"/>
      <c r="H93" s="321"/>
      <c r="I93" s="321"/>
      <c r="J93" s="321"/>
      <c r="K93" s="321"/>
      <c r="L93" s="321"/>
      <c r="M93" s="321"/>
      <c r="N93" s="321"/>
      <c r="O93" s="321"/>
      <c r="P93" s="564"/>
      <c r="Q93" s="483"/>
      <c r="R93" s="321"/>
      <c r="S93" s="321"/>
      <c r="T93" s="321"/>
      <c r="U93" s="321"/>
      <c r="V93" s="321"/>
      <c r="W93" s="321"/>
      <c r="X93" s="321"/>
      <c r="Y93" s="321"/>
      <c r="Z93" s="321"/>
      <c r="AA93" s="321"/>
      <c r="AB93" s="321"/>
      <c r="AC93" s="321"/>
      <c r="AD93" s="321"/>
      <c r="AE93" s="321"/>
      <c r="AF93" s="564"/>
      <c r="AG93" s="483"/>
      <c r="AH93" s="321"/>
      <c r="AI93" s="321"/>
      <c r="AJ93" s="321"/>
      <c r="AK93" s="321"/>
      <c r="AL93" s="321"/>
      <c r="AM93" s="321"/>
      <c r="AN93" s="321"/>
      <c r="AO93" s="321"/>
      <c r="AP93" s="321"/>
      <c r="AQ93" s="321"/>
      <c r="AR93" s="321"/>
      <c r="AS93" s="321"/>
      <c r="AT93" s="321"/>
      <c r="AU93" s="321"/>
      <c r="AV93" s="564"/>
      <c r="AW93" s="483"/>
      <c r="AX93" s="321"/>
      <c r="AY93" s="321"/>
      <c r="AZ93" s="321"/>
      <c r="BA93" s="321"/>
      <c r="BB93" s="321"/>
      <c r="BC93" s="321"/>
      <c r="BD93" s="321"/>
      <c r="BE93" s="321"/>
      <c r="BF93" s="321"/>
      <c r="BG93" s="321"/>
      <c r="BH93" s="321"/>
      <c r="BI93" s="321"/>
      <c r="BJ93" s="321"/>
      <c r="BK93" s="321"/>
      <c r="BL93" s="564"/>
      <c r="BM93" s="483"/>
      <c r="BN93" s="321"/>
      <c r="BO93" s="321"/>
      <c r="BP93" s="321"/>
      <c r="BQ93" s="321"/>
      <c r="BR93" s="321"/>
      <c r="BS93" s="321"/>
      <c r="BT93" s="321"/>
      <c r="BU93" s="321"/>
      <c r="BV93" s="321"/>
      <c r="BW93" s="321"/>
      <c r="BX93" s="321"/>
      <c r="BY93" s="321"/>
      <c r="BZ93" s="321"/>
      <c r="CA93" s="321"/>
      <c r="CB93" s="564"/>
      <c r="CC93" s="483"/>
      <c r="CD93" s="321"/>
      <c r="CE93" s="321"/>
      <c r="CF93" s="321"/>
      <c r="CG93" s="321"/>
      <c r="CH93" s="321"/>
      <c r="CI93" s="321"/>
      <c r="CJ93" s="321"/>
      <c r="CK93" s="321"/>
      <c r="CL93" s="321"/>
      <c r="CM93" s="321"/>
      <c r="CN93" s="321"/>
      <c r="CO93" s="321"/>
      <c r="CP93" s="321"/>
      <c r="CQ93" s="321"/>
      <c r="CR93" s="564"/>
      <c r="CS93" s="483"/>
      <c r="CT93" s="321"/>
      <c r="CU93" s="321"/>
      <c r="CV93" s="321"/>
      <c r="CW93" s="321"/>
      <c r="CX93" s="321"/>
      <c r="CY93" s="321"/>
      <c r="CZ93" s="321"/>
      <c r="DA93" s="321"/>
      <c r="DB93" s="321"/>
      <c r="DC93" s="321"/>
      <c r="DD93" s="321"/>
      <c r="DE93" s="321"/>
      <c r="DF93" s="321"/>
      <c r="DG93" s="321"/>
      <c r="DH93" s="564"/>
      <c r="DI93" s="483"/>
      <c r="DJ93" s="321"/>
      <c r="DK93" s="321"/>
      <c r="DL93" s="321"/>
      <c r="DM93" s="321"/>
      <c r="DN93" s="321"/>
      <c r="DO93" s="321"/>
      <c r="DP93" s="321"/>
      <c r="DQ93" s="321"/>
      <c r="DR93" s="321"/>
      <c r="DS93" s="321"/>
      <c r="DT93" s="321"/>
      <c r="DU93" s="321"/>
      <c r="DV93" s="321"/>
      <c r="DW93" s="321"/>
      <c r="DX93" s="564"/>
      <c r="DY93" s="483"/>
      <c r="DZ93" s="321"/>
      <c r="EA93" s="321"/>
      <c r="EB93" s="321"/>
      <c r="EC93" s="321"/>
      <c r="ED93" s="321"/>
      <c r="EE93" s="321"/>
      <c r="EF93" s="321"/>
      <c r="EG93" s="321"/>
      <c r="EH93" s="321"/>
      <c r="EI93" s="321"/>
      <c r="EJ93" s="321"/>
      <c r="EK93" s="321"/>
      <c r="EL93" s="321"/>
      <c r="EM93" s="321"/>
      <c r="EN93" s="564"/>
      <c r="EO93" s="483"/>
      <c r="EP93" s="321"/>
      <c r="EQ93" s="321"/>
      <c r="ER93" s="321"/>
      <c r="ES93" s="321"/>
      <c r="ET93" s="321"/>
      <c r="EU93" s="321"/>
      <c r="EV93" s="321"/>
      <c r="EW93" s="321"/>
      <c r="EX93" s="321"/>
      <c r="EY93" s="321"/>
      <c r="EZ93" s="321"/>
      <c r="FA93" s="321"/>
      <c r="FB93" s="321"/>
      <c r="FC93" s="321"/>
      <c r="FD93" s="564"/>
      <c r="FE93" s="483"/>
      <c r="FF93" s="321"/>
      <c r="FG93" s="321"/>
      <c r="FH93" s="321"/>
      <c r="FI93" s="321"/>
      <c r="FJ93" s="321"/>
      <c r="FK93" s="321"/>
      <c r="FL93" s="321"/>
      <c r="FM93" s="321"/>
      <c r="FN93" s="321"/>
      <c r="FO93" s="321"/>
      <c r="FP93" s="321"/>
      <c r="FQ93" s="321"/>
      <c r="FR93" s="321"/>
      <c r="FS93" s="321"/>
      <c r="FT93" s="564"/>
      <c r="FU93" s="483"/>
      <c r="FV93" s="321"/>
      <c r="FW93" s="321"/>
      <c r="FX93" s="321"/>
      <c r="FY93" s="321"/>
      <c r="FZ93" s="321"/>
      <c r="GA93" s="321"/>
      <c r="GB93" s="321"/>
      <c r="GC93" s="321"/>
      <c r="GD93" s="321"/>
      <c r="GE93" s="321"/>
      <c r="GF93" s="321"/>
      <c r="GG93" s="321"/>
      <c r="GH93" s="321"/>
      <c r="GI93" s="321"/>
      <c r="GJ93" s="564"/>
      <c r="GK93" s="483"/>
      <c r="GL93" s="321"/>
      <c r="GM93" s="321"/>
      <c r="GN93" s="321"/>
      <c r="GO93" s="321"/>
      <c r="GP93" s="321"/>
      <c r="GQ93" s="321"/>
      <c r="GR93" s="321"/>
      <c r="GS93" s="321"/>
      <c r="GT93" s="321"/>
      <c r="GU93" s="321"/>
      <c r="GV93" s="321"/>
      <c r="GW93" s="321"/>
      <c r="GX93" s="321"/>
      <c r="GY93" s="321"/>
      <c r="GZ93" s="564"/>
      <c r="HA93" s="483"/>
      <c r="HB93" s="321"/>
      <c r="HC93" s="321"/>
      <c r="HD93" s="321"/>
      <c r="HE93" s="321"/>
      <c r="HF93" s="321"/>
      <c r="HG93" s="321"/>
      <c r="HH93" s="321"/>
      <c r="HI93" s="321"/>
      <c r="HJ93" s="321"/>
      <c r="HK93" s="321"/>
      <c r="HL93" s="321"/>
      <c r="HM93" s="321"/>
      <c r="HN93" s="321"/>
      <c r="HO93" s="321"/>
      <c r="HP93" s="564"/>
      <c r="HQ93" s="483"/>
      <c r="HR93" s="321"/>
      <c r="HS93" s="321"/>
      <c r="HT93" s="321"/>
      <c r="HU93" s="321"/>
      <c r="HV93" s="321"/>
      <c r="HW93" s="321"/>
      <c r="HX93" s="321"/>
      <c r="HY93" s="321"/>
      <c r="HZ93" s="321"/>
      <c r="IA93" s="321"/>
      <c r="IB93" s="321"/>
      <c r="IC93" s="321"/>
      <c r="ID93" s="321"/>
      <c r="IE93" s="321"/>
      <c r="IF93" s="564"/>
      <c r="IG93" s="483"/>
      <c r="IH93" s="321"/>
      <c r="II93" s="321"/>
      <c r="IJ93" s="321"/>
      <c r="IK93" s="321"/>
      <c r="IL93" s="321"/>
      <c r="IM93" s="321"/>
      <c r="IN93" s="321"/>
      <c r="IO93" s="321"/>
      <c r="IP93" s="321"/>
      <c r="IQ93" s="321"/>
      <c r="IR93" s="321"/>
      <c r="IS93" s="321"/>
      <c r="IT93" s="321"/>
      <c r="IU93" s="321"/>
      <c r="IV93" s="564"/>
    </row>
    <row r="94" spans="1:256" s="328" customFormat="1" ht="8.25" customHeight="1">
      <c r="A94" s="483"/>
      <c r="B94" s="321"/>
      <c r="C94" s="321"/>
      <c r="D94" s="321"/>
      <c r="E94" s="321"/>
      <c r="F94" s="321"/>
      <c r="G94" s="321"/>
      <c r="H94" s="321"/>
      <c r="I94" s="321"/>
      <c r="J94" s="321"/>
      <c r="K94" s="321"/>
      <c r="L94" s="321"/>
      <c r="M94" s="321"/>
      <c r="N94" s="321"/>
      <c r="O94" s="321"/>
      <c r="P94" s="564"/>
      <c r="Q94" s="483"/>
      <c r="R94" s="321"/>
      <c r="S94" s="321"/>
      <c r="T94" s="321"/>
      <c r="U94" s="321"/>
      <c r="V94" s="321"/>
      <c r="W94" s="321"/>
      <c r="X94" s="321"/>
      <c r="Y94" s="321"/>
      <c r="Z94" s="321"/>
      <c r="AA94" s="321"/>
      <c r="AB94" s="321"/>
      <c r="AC94" s="321"/>
      <c r="AD94" s="321"/>
      <c r="AE94" s="321"/>
      <c r="AF94" s="564"/>
      <c r="AG94" s="483"/>
      <c r="AH94" s="321"/>
      <c r="AI94" s="321"/>
      <c r="AJ94" s="321"/>
      <c r="AK94" s="321"/>
      <c r="AL94" s="321"/>
      <c r="AM94" s="321"/>
      <c r="AN94" s="321"/>
      <c r="AO94" s="321"/>
      <c r="AP94" s="321"/>
      <c r="AQ94" s="321"/>
      <c r="AR94" s="321"/>
      <c r="AS94" s="321"/>
      <c r="AT94" s="321"/>
      <c r="AU94" s="321"/>
      <c r="AV94" s="564"/>
      <c r="AW94" s="483"/>
      <c r="AX94" s="321"/>
      <c r="AY94" s="321"/>
      <c r="AZ94" s="321"/>
      <c r="BA94" s="321"/>
      <c r="BB94" s="321"/>
      <c r="BC94" s="321"/>
      <c r="BD94" s="321"/>
      <c r="BE94" s="321"/>
      <c r="BF94" s="321"/>
      <c r="BG94" s="321"/>
      <c r="BH94" s="321"/>
      <c r="BI94" s="321"/>
      <c r="BJ94" s="321"/>
      <c r="BK94" s="321"/>
      <c r="BL94" s="564"/>
      <c r="BM94" s="483"/>
      <c r="BN94" s="321"/>
      <c r="BO94" s="321"/>
      <c r="BP94" s="321"/>
      <c r="BQ94" s="321"/>
      <c r="BR94" s="321"/>
      <c r="BS94" s="321"/>
      <c r="BT94" s="321"/>
      <c r="BU94" s="321"/>
      <c r="BV94" s="321"/>
      <c r="BW94" s="321"/>
      <c r="BX94" s="321"/>
      <c r="BY94" s="321"/>
      <c r="BZ94" s="321"/>
      <c r="CA94" s="321"/>
      <c r="CB94" s="564"/>
      <c r="CC94" s="483"/>
      <c r="CD94" s="321"/>
      <c r="CE94" s="321"/>
      <c r="CF94" s="321"/>
      <c r="CG94" s="321"/>
      <c r="CH94" s="321"/>
      <c r="CI94" s="321"/>
      <c r="CJ94" s="321"/>
      <c r="CK94" s="321"/>
      <c r="CL94" s="321"/>
      <c r="CM94" s="321"/>
      <c r="CN94" s="321"/>
      <c r="CO94" s="321"/>
      <c r="CP94" s="321"/>
      <c r="CQ94" s="321"/>
      <c r="CR94" s="564"/>
      <c r="CS94" s="483"/>
      <c r="CT94" s="321"/>
      <c r="CU94" s="321"/>
      <c r="CV94" s="321"/>
      <c r="CW94" s="321"/>
      <c r="CX94" s="321"/>
      <c r="CY94" s="321"/>
      <c r="CZ94" s="321"/>
      <c r="DA94" s="321"/>
      <c r="DB94" s="321"/>
      <c r="DC94" s="321"/>
      <c r="DD94" s="321"/>
      <c r="DE94" s="321"/>
      <c r="DF94" s="321"/>
      <c r="DG94" s="321"/>
      <c r="DH94" s="564"/>
      <c r="DI94" s="483"/>
      <c r="DJ94" s="321"/>
      <c r="DK94" s="321"/>
      <c r="DL94" s="321"/>
      <c r="DM94" s="321"/>
      <c r="DN94" s="321"/>
      <c r="DO94" s="321"/>
      <c r="DP94" s="321"/>
      <c r="DQ94" s="321"/>
      <c r="DR94" s="321"/>
      <c r="DS94" s="321"/>
      <c r="DT94" s="321"/>
      <c r="DU94" s="321"/>
      <c r="DV94" s="321"/>
      <c r="DW94" s="321"/>
      <c r="DX94" s="564"/>
      <c r="DY94" s="483"/>
      <c r="DZ94" s="321"/>
      <c r="EA94" s="321"/>
      <c r="EB94" s="321"/>
      <c r="EC94" s="321"/>
      <c r="ED94" s="321"/>
      <c r="EE94" s="321"/>
      <c r="EF94" s="321"/>
      <c r="EG94" s="321"/>
      <c r="EH94" s="321"/>
      <c r="EI94" s="321"/>
      <c r="EJ94" s="321"/>
      <c r="EK94" s="321"/>
      <c r="EL94" s="321"/>
      <c r="EM94" s="321"/>
      <c r="EN94" s="564"/>
      <c r="EO94" s="483"/>
      <c r="EP94" s="321"/>
      <c r="EQ94" s="321"/>
      <c r="ER94" s="321"/>
      <c r="ES94" s="321"/>
      <c r="ET94" s="321"/>
      <c r="EU94" s="321"/>
      <c r="EV94" s="321"/>
      <c r="EW94" s="321"/>
      <c r="EX94" s="321"/>
      <c r="EY94" s="321"/>
      <c r="EZ94" s="321"/>
      <c r="FA94" s="321"/>
      <c r="FB94" s="321"/>
      <c r="FC94" s="321"/>
      <c r="FD94" s="564"/>
      <c r="FE94" s="483"/>
      <c r="FF94" s="321"/>
      <c r="FG94" s="321"/>
      <c r="FH94" s="321"/>
      <c r="FI94" s="321"/>
      <c r="FJ94" s="321"/>
      <c r="FK94" s="321"/>
      <c r="FL94" s="321"/>
      <c r="FM94" s="321"/>
      <c r="FN94" s="321"/>
      <c r="FO94" s="321"/>
      <c r="FP94" s="321"/>
      <c r="FQ94" s="321"/>
      <c r="FR94" s="321"/>
      <c r="FS94" s="321"/>
      <c r="FT94" s="564"/>
      <c r="FU94" s="483"/>
      <c r="FV94" s="321"/>
      <c r="FW94" s="321"/>
      <c r="FX94" s="321"/>
      <c r="FY94" s="321"/>
      <c r="FZ94" s="321"/>
      <c r="GA94" s="321"/>
      <c r="GB94" s="321"/>
      <c r="GC94" s="321"/>
      <c r="GD94" s="321"/>
      <c r="GE94" s="321"/>
      <c r="GF94" s="321"/>
      <c r="GG94" s="321"/>
      <c r="GH94" s="321"/>
      <c r="GI94" s="321"/>
      <c r="GJ94" s="564"/>
      <c r="GK94" s="483"/>
      <c r="GL94" s="321"/>
      <c r="GM94" s="321"/>
      <c r="GN94" s="321"/>
      <c r="GO94" s="321"/>
      <c r="GP94" s="321"/>
      <c r="GQ94" s="321"/>
      <c r="GR94" s="321"/>
      <c r="GS94" s="321"/>
      <c r="GT94" s="321"/>
      <c r="GU94" s="321"/>
      <c r="GV94" s="321"/>
      <c r="GW94" s="321"/>
      <c r="GX94" s="321"/>
      <c r="GY94" s="321"/>
      <c r="GZ94" s="564"/>
      <c r="HA94" s="483"/>
      <c r="HB94" s="321"/>
      <c r="HC94" s="321"/>
      <c r="HD94" s="321"/>
      <c r="HE94" s="321"/>
      <c r="HF94" s="321"/>
      <c r="HG94" s="321"/>
      <c r="HH94" s="321"/>
      <c r="HI94" s="321"/>
      <c r="HJ94" s="321"/>
      <c r="HK94" s="321"/>
      <c r="HL94" s="321"/>
      <c r="HM94" s="321"/>
      <c r="HN94" s="321"/>
      <c r="HO94" s="321"/>
      <c r="HP94" s="564"/>
      <c r="HQ94" s="483"/>
      <c r="HR94" s="321"/>
      <c r="HS94" s="321"/>
      <c r="HT94" s="321"/>
      <c r="HU94" s="321"/>
      <c r="HV94" s="321"/>
      <c r="HW94" s="321"/>
      <c r="HX94" s="321"/>
      <c r="HY94" s="321"/>
      <c r="HZ94" s="321"/>
      <c r="IA94" s="321"/>
      <c r="IB94" s="321"/>
      <c r="IC94" s="321"/>
      <c r="ID94" s="321"/>
      <c r="IE94" s="321"/>
      <c r="IF94" s="564"/>
      <c r="IG94" s="483"/>
      <c r="IH94" s="321"/>
      <c r="II94" s="321"/>
      <c r="IJ94" s="321"/>
      <c r="IK94" s="321"/>
      <c r="IL94" s="321"/>
      <c r="IM94" s="321"/>
      <c r="IN94" s="321"/>
      <c r="IO94" s="321"/>
      <c r="IP94" s="321"/>
      <c r="IQ94" s="321"/>
      <c r="IR94" s="321"/>
      <c r="IS94" s="321"/>
      <c r="IT94" s="321"/>
      <c r="IU94" s="321"/>
      <c r="IV94" s="564"/>
    </row>
    <row r="95" spans="1:256" s="328" customFormat="1" ht="8.25" customHeight="1">
      <c r="A95" s="483"/>
      <c r="B95" s="321"/>
      <c r="C95" s="321"/>
      <c r="D95" s="321"/>
      <c r="E95" s="321"/>
      <c r="F95" s="321"/>
      <c r="G95" s="321"/>
      <c r="H95" s="321"/>
      <c r="I95" s="321"/>
      <c r="J95" s="321"/>
      <c r="K95" s="321"/>
      <c r="L95" s="321"/>
      <c r="M95" s="321"/>
      <c r="N95" s="321"/>
      <c r="O95" s="321"/>
      <c r="P95" s="564"/>
      <c r="Q95" s="483"/>
      <c r="R95" s="321"/>
      <c r="S95" s="321"/>
      <c r="T95" s="321"/>
      <c r="U95" s="321"/>
      <c r="V95" s="321"/>
      <c r="W95" s="321"/>
      <c r="X95" s="321"/>
      <c r="Y95" s="321"/>
      <c r="Z95" s="321"/>
      <c r="AA95" s="321"/>
      <c r="AB95" s="321"/>
      <c r="AC95" s="321"/>
      <c r="AD95" s="321"/>
      <c r="AE95" s="321"/>
      <c r="AF95" s="564"/>
      <c r="AG95" s="483"/>
      <c r="AH95" s="321"/>
      <c r="AI95" s="321"/>
      <c r="AJ95" s="321"/>
      <c r="AK95" s="321"/>
      <c r="AL95" s="321"/>
      <c r="AM95" s="321"/>
      <c r="AN95" s="321"/>
      <c r="AO95" s="321"/>
      <c r="AP95" s="321"/>
      <c r="AQ95" s="321"/>
      <c r="AR95" s="321"/>
      <c r="AS95" s="321"/>
      <c r="AT95" s="321"/>
      <c r="AU95" s="321"/>
      <c r="AV95" s="564"/>
      <c r="AW95" s="483"/>
      <c r="AX95" s="321"/>
      <c r="AY95" s="321"/>
      <c r="AZ95" s="321"/>
      <c r="BA95" s="321"/>
      <c r="BB95" s="321"/>
      <c r="BC95" s="321"/>
      <c r="BD95" s="321"/>
      <c r="BE95" s="321"/>
      <c r="BF95" s="321"/>
      <c r="BG95" s="321"/>
      <c r="BH95" s="321"/>
      <c r="BI95" s="321"/>
      <c r="BJ95" s="321"/>
      <c r="BK95" s="321"/>
      <c r="BL95" s="564"/>
      <c r="BM95" s="483"/>
      <c r="BN95" s="321"/>
      <c r="BO95" s="321"/>
      <c r="BP95" s="321"/>
      <c r="BQ95" s="321"/>
      <c r="BR95" s="321"/>
      <c r="BS95" s="321"/>
      <c r="BT95" s="321"/>
      <c r="BU95" s="321"/>
      <c r="BV95" s="321"/>
      <c r="BW95" s="321"/>
      <c r="BX95" s="321"/>
      <c r="BY95" s="321"/>
      <c r="BZ95" s="321"/>
      <c r="CA95" s="321"/>
      <c r="CB95" s="564"/>
      <c r="CC95" s="483"/>
      <c r="CD95" s="321"/>
      <c r="CE95" s="321"/>
      <c r="CF95" s="321"/>
      <c r="CG95" s="321"/>
      <c r="CH95" s="321"/>
      <c r="CI95" s="321"/>
      <c r="CJ95" s="321"/>
      <c r="CK95" s="321"/>
      <c r="CL95" s="321"/>
      <c r="CM95" s="321"/>
      <c r="CN95" s="321"/>
      <c r="CO95" s="321"/>
      <c r="CP95" s="321"/>
      <c r="CQ95" s="321"/>
      <c r="CR95" s="564"/>
      <c r="CS95" s="483"/>
      <c r="CT95" s="321"/>
      <c r="CU95" s="321"/>
      <c r="CV95" s="321"/>
      <c r="CW95" s="321"/>
      <c r="CX95" s="321"/>
      <c r="CY95" s="321"/>
      <c r="CZ95" s="321"/>
      <c r="DA95" s="321"/>
      <c r="DB95" s="321"/>
      <c r="DC95" s="321"/>
      <c r="DD95" s="321"/>
      <c r="DE95" s="321"/>
      <c r="DF95" s="321"/>
      <c r="DG95" s="321"/>
      <c r="DH95" s="564"/>
      <c r="DI95" s="483"/>
      <c r="DJ95" s="321"/>
      <c r="DK95" s="321"/>
      <c r="DL95" s="321"/>
      <c r="DM95" s="321"/>
      <c r="DN95" s="321"/>
      <c r="DO95" s="321"/>
      <c r="DP95" s="321"/>
      <c r="DQ95" s="321"/>
      <c r="DR95" s="321"/>
      <c r="DS95" s="321"/>
      <c r="DT95" s="321"/>
      <c r="DU95" s="321"/>
      <c r="DV95" s="321"/>
      <c r="DW95" s="321"/>
      <c r="DX95" s="564"/>
      <c r="DY95" s="483"/>
      <c r="DZ95" s="321"/>
      <c r="EA95" s="321"/>
      <c r="EB95" s="321"/>
      <c r="EC95" s="321"/>
      <c r="ED95" s="321"/>
      <c r="EE95" s="321"/>
      <c r="EF95" s="321"/>
      <c r="EG95" s="321"/>
      <c r="EH95" s="321"/>
      <c r="EI95" s="321"/>
      <c r="EJ95" s="321"/>
      <c r="EK95" s="321"/>
      <c r="EL95" s="321"/>
      <c r="EM95" s="321"/>
      <c r="EN95" s="564"/>
      <c r="EO95" s="483"/>
      <c r="EP95" s="321"/>
      <c r="EQ95" s="321"/>
      <c r="ER95" s="321"/>
      <c r="ES95" s="321"/>
      <c r="ET95" s="321"/>
      <c r="EU95" s="321"/>
      <c r="EV95" s="321"/>
      <c r="EW95" s="321"/>
      <c r="EX95" s="321"/>
      <c r="EY95" s="321"/>
      <c r="EZ95" s="321"/>
      <c r="FA95" s="321"/>
      <c r="FB95" s="321"/>
      <c r="FC95" s="321"/>
      <c r="FD95" s="564"/>
      <c r="FE95" s="483"/>
      <c r="FF95" s="321"/>
      <c r="FG95" s="321"/>
      <c r="FH95" s="321"/>
      <c r="FI95" s="321"/>
      <c r="FJ95" s="321"/>
      <c r="FK95" s="321"/>
      <c r="FL95" s="321"/>
      <c r="FM95" s="321"/>
      <c r="FN95" s="321"/>
      <c r="FO95" s="321"/>
      <c r="FP95" s="321"/>
      <c r="FQ95" s="321"/>
      <c r="FR95" s="321"/>
      <c r="FS95" s="321"/>
      <c r="FT95" s="564"/>
      <c r="FU95" s="483"/>
      <c r="FV95" s="321"/>
      <c r="FW95" s="321"/>
      <c r="FX95" s="321"/>
      <c r="FY95" s="321"/>
      <c r="FZ95" s="321"/>
      <c r="GA95" s="321"/>
      <c r="GB95" s="321"/>
      <c r="GC95" s="321"/>
      <c r="GD95" s="321"/>
      <c r="GE95" s="321"/>
      <c r="GF95" s="321"/>
      <c r="GG95" s="321"/>
      <c r="GH95" s="321"/>
      <c r="GI95" s="321"/>
      <c r="GJ95" s="564"/>
      <c r="GK95" s="483"/>
      <c r="GL95" s="321"/>
      <c r="GM95" s="321"/>
      <c r="GN95" s="321"/>
      <c r="GO95" s="321"/>
      <c r="GP95" s="321"/>
      <c r="GQ95" s="321"/>
      <c r="GR95" s="321"/>
      <c r="GS95" s="321"/>
      <c r="GT95" s="321"/>
      <c r="GU95" s="321"/>
      <c r="GV95" s="321"/>
      <c r="GW95" s="321"/>
      <c r="GX95" s="321"/>
      <c r="GY95" s="321"/>
      <c r="GZ95" s="564"/>
      <c r="HA95" s="483"/>
      <c r="HB95" s="321"/>
      <c r="HC95" s="321"/>
      <c r="HD95" s="321"/>
      <c r="HE95" s="321"/>
      <c r="HF95" s="321"/>
      <c r="HG95" s="321"/>
      <c r="HH95" s="321"/>
      <c r="HI95" s="321"/>
      <c r="HJ95" s="321"/>
      <c r="HK95" s="321"/>
      <c r="HL95" s="321"/>
      <c r="HM95" s="321"/>
      <c r="HN95" s="321"/>
      <c r="HO95" s="321"/>
      <c r="HP95" s="564"/>
      <c r="HQ95" s="483"/>
      <c r="HR95" s="321"/>
      <c r="HS95" s="321"/>
      <c r="HT95" s="321"/>
      <c r="HU95" s="321"/>
      <c r="HV95" s="321"/>
      <c r="HW95" s="321"/>
      <c r="HX95" s="321"/>
      <c r="HY95" s="321"/>
      <c r="HZ95" s="321"/>
      <c r="IA95" s="321"/>
      <c r="IB95" s="321"/>
      <c r="IC95" s="321"/>
      <c r="ID95" s="321"/>
      <c r="IE95" s="321"/>
      <c r="IF95" s="564"/>
      <c r="IG95" s="483"/>
      <c r="IH95" s="321"/>
      <c r="II95" s="321"/>
      <c r="IJ95" s="321"/>
      <c r="IK95" s="321"/>
      <c r="IL95" s="321"/>
      <c r="IM95" s="321"/>
      <c r="IN95" s="321"/>
      <c r="IO95" s="321"/>
      <c r="IP95" s="321"/>
      <c r="IQ95" s="321"/>
      <c r="IR95" s="321"/>
      <c r="IS95" s="321"/>
      <c r="IT95" s="321"/>
      <c r="IU95" s="321"/>
      <c r="IV95" s="564"/>
    </row>
    <row r="96" spans="1:256" s="328" customFormat="1" ht="8.25" customHeight="1">
      <c r="A96" s="569"/>
      <c r="B96" s="569"/>
      <c r="C96" s="569"/>
      <c r="D96" s="569"/>
      <c r="E96" s="569"/>
      <c r="F96" s="569"/>
      <c r="G96" s="569"/>
      <c r="H96" s="569"/>
      <c r="I96" s="569"/>
      <c r="J96" s="569"/>
      <c r="K96" s="569"/>
      <c r="L96" s="569"/>
      <c r="M96" s="569"/>
      <c r="N96" s="569"/>
      <c r="O96" s="569"/>
      <c r="P96" s="570"/>
      <c r="Q96" s="569"/>
      <c r="R96" s="569"/>
      <c r="S96" s="569"/>
      <c r="T96" s="569"/>
      <c r="U96" s="569"/>
      <c r="V96" s="569"/>
      <c r="W96" s="569"/>
      <c r="X96" s="569"/>
      <c r="Y96" s="569"/>
      <c r="Z96" s="569"/>
      <c r="AA96" s="569"/>
      <c r="AB96" s="569"/>
      <c r="AC96" s="569"/>
      <c r="AD96" s="569"/>
      <c r="AE96" s="569"/>
      <c r="AF96" s="570"/>
      <c r="AG96" s="569"/>
      <c r="AH96" s="569"/>
      <c r="AI96" s="569"/>
      <c r="AJ96" s="569"/>
      <c r="AK96" s="569"/>
      <c r="AL96" s="569"/>
      <c r="AM96" s="569"/>
      <c r="AN96" s="569"/>
      <c r="AO96" s="569"/>
      <c r="AP96" s="569"/>
      <c r="AQ96" s="569"/>
      <c r="AR96" s="569"/>
      <c r="AS96" s="569"/>
      <c r="AT96" s="569"/>
      <c r="AU96" s="569"/>
      <c r="AV96" s="570"/>
      <c r="AW96" s="569"/>
      <c r="AX96" s="569"/>
      <c r="AY96" s="569"/>
      <c r="AZ96" s="569"/>
      <c r="BA96" s="569"/>
      <c r="BB96" s="569"/>
      <c r="BC96" s="569"/>
      <c r="BD96" s="569"/>
      <c r="BE96" s="569"/>
      <c r="BF96" s="569"/>
      <c r="BG96" s="569"/>
      <c r="BH96" s="569"/>
      <c r="BI96" s="569"/>
      <c r="BJ96" s="569"/>
      <c r="BK96" s="569"/>
      <c r="BL96" s="570"/>
      <c r="BM96" s="569"/>
      <c r="BN96" s="569"/>
      <c r="BO96" s="569"/>
      <c r="BP96" s="569"/>
      <c r="BQ96" s="569"/>
      <c r="BR96" s="569"/>
      <c r="BS96" s="569"/>
      <c r="BT96" s="569"/>
      <c r="BU96" s="569"/>
      <c r="BV96" s="569"/>
      <c r="BW96" s="569"/>
      <c r="BX96" s="569"/>
      <c r="BY96" s="569"/>
      <c r="BZ96" s="569"/>
      <c r="CA96" s="569"/>
      <c r="CB96" s="570"/>
      <c r="CC96" s="569"/>
      <c r="CD96" s="569"/>
      <c r="CE96" s="569"/>
      <c r="CF96" s="569"/>
      <c r="CG96" s="569"/>
      <c r="CH96" s="569"/>
      <c r="CI96" s="569"/>
      <c r="CJ96" s="569"/>
      <c r="CK96" s="569"/>
      <c r="CL96" s="569"/>
      <c r="CM96" s="569"/>
      <c r="CN96" s="569"/>
      <c r="CO96" s="569"/>
      <c r="CP96" s="569"/>
      <c r="CQ96" s="569"/>
      <c r="CR96" s="570"/>
      <c r="CS96" s="569"/>
      <c r="CT96" s="569"/>
      <c r="CU96" s="569"/>
      <c r="CV96" s="569"/>
      <c r="CW96" s="569"/>
      <c r="CX96" s="569"/>
      <c r="CY96" s="569"/>
      <c r="CZ96" s="569"/>
      <c r="DA96" s="569"/>
      <c r="DB96" s="569"/>
      <c r="DC96" s="569"/>
      <c r="DD96" s="569"/>
      <c r="DE96" s="569"/>
      <c r="DF96" s="569"/>
      <c r="DG96" s="569"/>
      <c r="DH96" s="570"/>
      <c r="DI96" s="569"/>
      <c r="DJ96" s="569"/>
      <c r="DK96" s="569"/>
      <c r="DL96" s="569"/>
      <c r="DM96" s="569"/>
      <c r="DN96" s="569"/>
      <c r="DO96" s="569"/>
      <c r="DP96" s="569"/>
      <c r="DQ96" s="569"/>
      <c r="DR96" s="569"/>
      <c r="DS96" s="569"/>
      <c r="DT96" s="569"/>
      <c r="DU96" s="569"/>
      <c r="DV96" s="569"/>
      <c r="DW96" s="569"/>
      <c r="DX96" s="570"/>
      <c r="DY96" s="569"/>
      <c r="DZ96" s="569"/>
      <c r="EA96" s="569"/>
      <c r="EB96" s="569"/>
      <c r="EC96" s="569"/>
      <c r="ED96" s="569"/>
      <c r="EE96" s="569"/>
      <c r="EF96" s="569"/>
      <c r="EG96" s="569"/>
      <c r="EH96" s="569"/>
      <c r="EI96" s="569"/>
      <c r="EJ96" s="569"/>
      <c r="EK96" s="569"/>
      <c r="EL96" s="569"/>
      <c r="EM96" s="569"/>
      <c r="EN96" s="570"/>
      <c r="EO96" s="569"/>
      <c r="EP96" s="569"/>
      <c r="EQ96" s="569"/>
      <c r="ER96" s="569"/>
      <c r="ES96" s="569"/>
      <c r="ET96" s="569"/>
      <c r="EU96" s="569"/>
      <c r="EV96" s="569"/>
      <c r="EW96" s="569"/>
      <c r="EX96" s="569"/>
      <c r="EY96" s="569"/>
      <c r="EZ96" s="569"/>
      <c r="FA96" s="569"/>
      <c r="FB96" s="569"/>
      <c r="FC96" s="569"/>
      <c r="FD96" s="570"/>
      <c r="FE96" s="569"/>
      <c r="FF96" s="569"/>
      <c r="FG96" s="569"/>
      <c r="FH96" s="569"/>
      <c r="FI96" s="569"/>
      <c r="FJ96" s="569"/>
      <c r="FK96" s="569"/>
      <c r="FL96" s="569"/>
      <c r="FM96" s="569"/>
      <c r="FN96" s="569"/>
      <c r="FO96" s="569"/>
      <c r="FP96" s="569"/>
      <c r="FQ96" s="569"/>
      <c r="FR96" s="569"/>
      <c r="FS96" s="569"/>
      <c r="FT96" s="570"/>
      <c r="FU96" s="569"/>
      <c r="FV96" s="569"/>
      <c r="FW96" s="569"/>
      <c r="FX96" s="569"/>
      <c r="FY96" s="569"/>
      <c r="FZ96" s="569"/>
      <c r="GA96" s="569"/>
      <c r="GB96" s="569"/>
      <c r="GC96" s="569"/>
      <c r="GD96" s="569"/>
      <c r="GE96" s="569"/>
      <c r="GF96" s="569"/>
      <c r="GG96" s="569"/>
      <c r="GH96" s="569"/>
      <c r="GI96" s="569"/>
      <c r="GJ96" s="570"/>
      <c r="GK96" s="569"/>
      <c r="GL96" s="569"/>
      <c r="GM96" s="569"/>
      <c r="GN96" s="569"/>
      <c r="GO96" s="569"/>
      <c r="GP96" s="569"/>
      <c r="GQ96" s="569"/>
      <c r="GR96" s="569"/>
      <c r="GS96" s="569"/>
      <c r="GT96" s="569"/>
      <c r="GU96" s="569"/>
      <c r="GV96" s="569"/>
      <c r="GW96" s="569"/>
      <c r="GX96" s="569"/>
      <c r="GY96" s="569"/>
      <c r="GZ96" s="570"/>
      <c r="HA96" s="569"/>
      <c r="HB96" s="569"/>
      <c r="HC96" s="569"/>
      <c r="HD96" s="569"/>
      <c r="HE96" s="569"/>
      <c r="HF96" s="569"/>
      <c r="HG96" s="569"/>
      <c r="HH96" s="569"/>
      <c r="HI96" s="569"/>
      <c r="HJ96" s="569"/>
      <c r="HK96" s="569"/>
      <c r="HL96" s="569"/>
      <c r="HM96" s="569"/>
      <c r="HN96" s="569"/>
      <c r="HO96" s="569"/>
      <c r="HP96" s="570"/>
      <c r="HQ96" s="569"/>
      <c r="HR96" s="569"/>
      <c r="HS96" s="569"/>
      <c r="HT96" s="569"/>
      <c r="HU96" s="569"/>
      <c r="HV96" s="569"/>
      <c r="HW96" s="569"/>
      <c r="HX96" s="569"/>
      <c r="HY96" s="569"/>
      <c r="HZ96" s="569"/>
      <c r="IA96" s="569"/>
      <c r="IB96" s="569"/>
      <c r="IC96" s="569"/>
      <c r="ID96" s="569"/>
      <c r="IE96" s="569"/>
      <c r="IF96" s="570"/>
      <c r="IG96" s="569"/>
      <c r="IH96" s="569"/>
      <c r="II96" s="569"/>
      <c r="IJ96" s="569"/>
      <c r="IK96" s="569"/>
      <c r="IL96" s="569"/>
      <c r="IM96" s="569"/>
      <c r="IN96" s="569"/>
      <c r="IO96" s="569"/>
      <c r="IP96" s="569"/>
      <c r="IQ96" s="569"/>
      <c r="IR96" s="569"/>
      <c r="IS96" s="569"/>
      <c r="IT96" s="569"/>
      <c r="IU96" s="569"/>
      <c r="IV96" s="570"/>
    </row>
    <row r="97" spans="1:256" s="328" customFormat="1" ht="8.25" customHeight="1">
      <c r="A97" s="679">
        <v>49</v>
      </c>
      <c r="B97" s="484"/>
      <c r="C97" s="484"/>
      <c r="D97" s="484"/>
      <c r="E97" s="484"/>
      <c r="F97" s="484"/>
      <c r="G97" s="484"/>
      <c r="H97" s="484"/>
      <c r="I97" s="484"/>
      <c r="J97" s="484"/>
      <c r="K97" s="484"/>
      <c r="L97" s="484"/>
      <c r="M97" s="484"/>
      <c r="N97" s="484"/>
      <c r="O97" s="484"/>
      <c r="P97" s="696"/>
      <c r="Q97" s="679">
        <v>50</v>
      </c>
      <c r="R97" s="484"/>
      <c r="S97" s="484"/>
      <c r="T97" s="484"/>
      <c r="U97" s="484"/>
      <c r="V97" s="484"/>
      <c r="W97" s="484"/>
      <c r="X97" s="484"/>
      <c r="Y97" s="484"/>
      <c r="Z97" s="484"/>
      <c r="AA97" s="484"/>
      <c r="AB97" s="484"/>
      <c r="AC97" s="484"/>
      <c r="AD97" s="484"/>
      <c r="AE97" s="484"/>
      <c r="AF97" s="696"/>
      <c r="AG97" s="679">
        <v>51</v>
      </c>
      <c r="AH97" s="484"/>
      <c r="AI97" s="484"/>
      <c r="AJ97" s="484"/>
      <c r="AK97" s="484"/>
      <c r="AL97" s="484"/>
      <c r="AM97" s="484"/>
      <c r="AN97" s="484"/>
      <c r="AO97" s="484"/>
      <c r="AP97" s="484"/>
      <c r="AQ97" s="484"/>
      <c r="AR97" s="484"/>
      <c r="AS97" s="484"/>
      <c r="AT97" s="484"/>
      <c r="AU97" s="484"/>
      <c r="AV97" s="696"/>
      <c r="AW97" s="679">
        <v>52</v>
      </c>
      <c r="AX97" s="484"/>
      <c r="AY97" s="484"/>
      <c r="AZ97" s="484"/>
      <c r="BA97" s="484"/>
      <c r="BB97" s="484"/>
      <c r="BC97" s="484"/>
      <c r="BD97" s="484"/>
      <c r="BE97" s="484"/>
      <c r="BF97" s="484"/>
      <c r="BG97" s="484"/>
      <c r="BH97" s="484"/>
      <c r="BI97" s="484"/>
      <c r="BJ97" s="484"/>
      <c r="BK97" s="484"/>
      <c r="BL97" s="696"/>
      <c r="BM97" s="679">
        <v>53</v>
      </c>
      <c r="BN97" s="484"/>
      <c r="BO97" s="484"/>
      <c r="BP97" s="484"/>
      <c r="BQ97" s="484"/>
      <c r="BR97" s="484"/>
      <c r="BS97" s="484"/>
      <c r="BT97" s="484"/>
      <c r="BU97" s="484"/>
      <c r="BV97" s="484"/>
      <c r="BW97" s="484"/>
      <c r="BX97" s="484"/>
      <c r="BY97" s="484"/>
      <c r="BZ97" s="484"/>
      <c r="CA97" s="484"/>
      <c r="CB97" s="696"/>
      <c r="CC97" s="679">
        <v>54</v>
      </c>
      <c r="CD97" s="484"/>
      <c r="CE97" s="484"/>
      <c r="CF97" s="484"/>
      <c r="CG97" s="484"/>
      <c r="CH97" s="484"/>
      <c r="CI97" s="484"/>
      <c r="CJ97" s="484"/>
      <c r="CK97" s="484"/>
      <c r="CL97" s="484"/>
      <c r="CM97" s="484"/>
      <c r="CN97" s="484"/>
      <c r="CO97" s="484"/>
      <c r="CP97" s="484"/>
      <c r="CQ97" s="484"/>
      <c r="CR97" s="696"/>
      <c r="CS97" s="679">
        <v>55</v>
      </c>
      <c r="CT97" s="484"/>
      <c r="CU97" s="484"/>
      <c r="CV97" s="484"/>
      <c r="CW97" s="484"/>
      <c r="CX97" s="484"/>
      <c r="CY97" s="484"/>
      <c r="CZ97" s="484"/>
      <c r="DA97" s="484"/>
      <c r="DB97" s="484"/>
      <c r="DC97" s="484"/>
      <c r="DD97" s="484"/>
      <c r="DE97" s="484"/>
      <c r="DF97" s="484"/>
      <c r="DG97" s="484"/>
      <c r="DH97" s="696"/>
      <c r="DI97" s="679">
        <v>56</v>
      </c>
      <c r="DJ97" s="484"/>
      <c r="DK97" s="484"/>
      <c r="DL97" s="484"/>
      <c r="DM97" s="484"/>
      <c r="DN97" s="484"/>
      <c r="DO97" s="484"/>
      <c r="DP97" s="484"/>
      <c r="DQ97" s="484"/>
      <c r="DR97" s="484"/>
      <c r="DS97" s="484"/>
      <c r="DT97" s="484"/>
      <c r="DU97" s="484"/>
      <c r="DV97" s="484"/>
      <c r="DW97" s="484"/>
      <c r="DX97" s="696"/>
      <c r="DY97" s="679">
        <v>57</v>
      </c>
      <c r="DZ97" s="484"/>
      <c r="EA97" s="484"/>
      <c r="EB97" s="484"/>
      <c r="EC97" s="484"/>
      <c r="ED97" s="484"/>
      <c r="EE97" s="484"/>
      <c r="EF97" s="484"/>
      <c r="EG97" s="484"/>
      <c r="EH97" s="484"/>
      <c r="EI97" s="484"/>
      <c r="EJ97" s="484"/>
      <c r="EK97" s="484"/>
      <c r="EL97" s="484"/>
      <c r="EM97" s="484"/>
      <c r="EN97" s="696"/>
      <c r="EO97" s="679">
        <v>58</v>
      </c>
      <c r="EP97" s="484"/>
      <c r="EQ97" s="484"/>
      <c r="ER97" s="484"/>
      <c r="ES97" s="484"/>
      <c r="ET97" s="484"/>
      <c r="EU97" s="484"/>
      <c r="EV97" s="484"/>
      <c r="EW97" s="484"/>
      <c r="EX97" s="484"/>
      <c r="EY97" s="484"/>
      <c r="EZ97" s="484"/>
      <c r="FA97" s="484"/>
      <c r="FB97" s="484"/>
      <c r="FC97" s="484"/>
      <c r="FD97" s="696"/>
      <c r="FE97" s="483">
        <v>59</v>
      </c>
      <c r="FF97" s="484"/>
      <c r="FG97" s="484"/>
      <c r="FH97" s="484"/>
      <c r="FI97" s="484"/>
      <c r="FJ97" s="484"/>
      <c r="FK97" s="484"/>
      <c r="FL97" s="484"/>
      <c r="FM97" s="484"/>
      <c r="FN97" s="484"/>
      <c r="FO97" s="484"/>
      <c r="FP97" s="484"/>
      <c r="FQ97" s="484"/>
      <c r="FR97" s="484"/>
      <c r="FS97" s="484"/>
      <c r="FT97" s="696"/>
      <c r="FU97" s="483">
        <v>60</v>
      </c>
      <c r="FV97" s="484"/>
      <c r="FW97" s="484"/>
      <c r="FX97" s="484"/>
      <c r="FY97" s="484"/>
      <c r="FZ97" s="484"/>
      <c r="GA97" s="484"/>
      <c r="GB97" s="484"/>
      <c r="GC97" s="484"/>
      <c r="GD97" s="484"/>
      <c r="GE97" s="484"/>
      <c r="GF97" s="484"/>
      <c r="GG97" s="484"/>
      <c r="GH97" s="484"/>
      <c r="GI97" s="484"/>
      <c r="GJ97" s="696"/>
      <c r="GK97" s="679">
        <v>61</v>
      </c>
      <c r="GL97" s="484"/>
      <c r="GM97" s="484"/>
      <c r="GN97" s="484"/>
      <c r="GO97" s="484"/>
      <c r="GP97" s="484"/>
      <c r="GQ97" s="484"/>
      <c r="GR97" s="484"/>
      <c r="GS97" s="484"/>
      <c r="GT97" s="484"/>
      <c r="GU97" s="484"/>
      <c r="GV97" s="484"/>
      <c r="GW97" s="484"/>
      <c r="GX97" s="484"/>
      <c r="GY97" s="484"/>
      <c r="GZ97" s="696"/>
      <c r="HA97" s="679">
        <v>62</v>
      </c>
      <c r="HB97" s="484"/>
      <c r="HC97" s="484"/>
      <c r="HD97" s="484"/>
      <c r="HE97" s="484"/>
      <c r="HF97" s="484"/>
      <c r="HG97" s="484"/>
      <c r="HH97" s="484"/>
      <c r="HI97" s="484"/>
      <c r="HJ97" s="484"/>
      <c r="HK97" s="484"/>
      <c r="HL97" s="484"/>
      <c r="HM97" s="484"/>
      <c r="HN97" s="484"/>
      <c r="HO97" s="484"/>
      <c r="HP97" s="696"/>
      <c r="HQ97" s="679">
        <v>63</v>
      </c>
      <c r="HR97" s="484"/>
      <c r="HS97" s="484"/>
      <c r="HT97" s="484"/>
      <c r="HU97" s="484"/>
      <c r="HV97" s="484"/>
      <c r="HW97" s="484"/>
      <c r="HX97" s="484"/>
      <c r="HY97" s="484"/>
      <c r="HZ97" s="484"/>
      <c r="IA97" s="484"/>
      <c r="IB97" s="484"/>
      <c r="IC97" s="484"/>
      <c r="ID97" s="484"/>
      <c r="IE97" s="484"/>
      <c r="IF97" s="696"/>
      <c r="IG97" s="484">
        <v>64</v>
      </c>
      <c r="IH97" s="484"/>
      <c r="II97" s="484"/>
      <c r="IJ97" s="484"/>
      <c r="IK97" s="484"/>
      <c r="IL97" s="484"/>
      <c r="IM97" s="484"/>
      <c r="IN97" s="484"/>
      <c r="IO97" s="484"/>
      <c r="IP97" s="484"/>
      <c r="IQ97" s="484"/>
      <c r="IR97" s="484"/>
      <c r="IS97" s="484"/>
      <c r="IT97" s="484"/>
      <c r="IU97" s="484"/>
      <c r="IV97" s="696"/>
    </row>
    <row r="98" spans="1:256" s="328" customFormat="1" ht="8.25" customHeight="1">
      <c r="A98" s="483">
        <v>130</v>
      </c>
      <c r="B98" s="321"/>
      <c r="C98" s="321"/>
      <c r="D98" s="321"/>
      <c r="E98" s="321"/>
      <c r="F98" s="321"/>
      <c r="G98" s="321"/>
      <c r="H98" s="321"/>
      <c r="I98" s="321"/>
      <c r="J98" s="321"/>
      <c r="K98" s="321"/>
      <c r="L98" s="321"/>
      <c r="M98" s="321"/>
      <c r="N98" s="321"/>
      <c r="O98" s="321"/>
      <c r="P98" s="564"/>
      <c r="Q98" s="483">
        <v>120</v>
      </c>
      <c r="R98" s="321"/>
      <c r="S98" s="321"/>
      <c r="T98" s="321"/>
      <c r="U98" s="321"/>
      <c r="V98" s="321"/>
      <c r="W98" s="321"/>
      <c r="X98" s="321"/>
      <c r="Y98" s="321"/>
      <c r="Z98" s="321"/>
      <c r="AA98" s="321"/>
      <c r="AB98" s="321"/>
      <c r="AC98" s="321"/>
      <c r="AD98" s="321"/>
      <c r="AE98" s="321"/>
      <c r="AF98" s="564"/>
      <c r="AG98" s="483">
        <v>110</v>
      </c>
      <c r="AH98" s="321"/>
      <c r="AI98" s="321"/>
      <c r="AJ98" s="321"/>
      <c r="AK98" s="321"/>
      <c r="AL98" s="321"/>
      <c r="AM98" s="321"/>
      <c r="AN98" s="321"/>
      <c r="AO98" s="321"/>
      <c r="AP98" s="321"/>
      <c r="AQ98" s="321"/>
      <c r="AR98" s="321"/>
      <c r="AS98" s="321"/>
      <c r="AT98" s="321"/>
      <c r="AU98" s="321"/>
      <c r="AV98" s="564"/>
      <c r="AW98" s="483">
        <v>100</v>
      </c>
      <c r="AX98" s="321"/>
      <c r="AY98" s="321"/>
      <c r="AZ98" s="321"/>
      <c r="BA98" s="321"/>
      <c r="BB98" s="321"/>
      <c r="BC98" s="321"/>
      <c r="BD98" s="321"/>
      <c r="BE98" s="321"/>
      <c r="BF98" s="321"/>
      <c r="BG98" s="321"/>
      <c r="BH98" s="321"/>
      <c r="BI98" s="321"/>
      <c r="BJ98" s="321"/>
      <c r="BK98" s="321"/>
      <c r="BL98" s="564"/>
      <c r="BM98" s="483">
        <v>85</v>
      </c>
      <c r="BN98" s="321"/>
      <c r="BO98" s="321"/>
      <c r="BP98" s="321"/>
      <c r="BQ98" s="321"/>
      <c r="BR98" s="321"/>
      <c r="BS98" s="321"/>
      <c r="BT98" s="321"/>
      <c r="BU98" s="321"/>
      <c r="BV98" s="321"/>
      <c r="BW98" s="321"/>
      <c r="BX98" s="321"/>
      <c r="BY98" s="321"/>
      <c r="BZ98" s="321"/>
      <c r="CA98" s="321"/>
      <c r="CB98" s="564"/>
      <c r="CC98" s="483">
        <v>100</v>
      </c>
      <c r="CD98" s="321"/>
      <c r="CE98" s="321"/>
      <c r="CF98" s="321"/>
      <c r="CG98" s="321"/>
      <c r="CH98" s="321"/>
      <c r="CI98" s="321"/>
      <c r="CJ98" s="321"/>
      <c r="CK98" s="321"/>
      <c r="CL98" s="321"/>
      <c r="CM98" s="321"/>
      <c r="CN98" s="321"/>
      <c r="CO98" s="321"/>
      <c r="CP98" s="321"/>
      <c r="CQ98" s="321"/>
      <c r="CR98" s="564"/>
      <c r="CS98" s="483">
        <v>120</v>
      </c>
      <c r="CT98" s="321"/>
      <c r="CU98" s="321"/>
      <c r="CV98" s="321"/>
      <c r="CW98" s="321"/>
      <c r="CX98" s="321"/>
      <c r="CY98" s="321"/>
      <c r="CZ98" s="321"/>
      <c r="DA98" s="321"/>
      <c r="DB98" s="321"/>
      <c r="DC98" s="321"/>
      <c r="DD98" s="321"/>
      <c r="DE98" s="321"/>
      <c r="DF98" s="321"/>
      <c r="DG98" s="321"/>
      <c r="DH98" s="564"/>
      <c r="DI98" s="483">
        <v>90</v>
      </c>
      <c r="DJ98" s="321"/>
      <c r="DK98" s="321"/>
      <c r="DL98" s="321"/>
      <c r="DM98" s="321"/>
      <c r="DN98" s="321"/>
      <c r="DO98" s="321"/>
      <c r="DP98" s="321"/>
      <c r="DQ98" s="321"/>
      <c r="DR98" s="321"/>
      <c r="DS98" s="321"/>
      <c r="DT98" s="321"/>
      <c r="DU98" s="321"/>
      <c r="DV98" s="321"/>
      <c r="DW98" s="321"/>
      <c r="DX98" s="564"/>
      <c r="DY98" s="483">
        <v>130</v>
      </c>
      <c r="DZ98" s="321"/>
      <c r="EA98" s="321"/>
      <c r="EB98" s="321"/>
      <c r="EC98" s="321"/>
      <c r="ED98" s="321"/>
      <c r="EE98" s="321"/>
      <c r="EF98" s="321"/>
      <c r="EG98" s="321"/>
      <c r="EH98" s="321"/>
      <c r="EI98" s="321"/>
      <c r="EJ98" s="321"/>
      <c r="EK98" s="321"/>
      <c r="EL98" s="321"/>
      <c r="EM98" s="321"/>
      <c r="EN98" s="564"/>
      <c r="EO98" s="483"/>
      <c r="EP98" s="321"/>
      <c r="EQ98" s="321"/>
      <c r="ER98" s="321"/>
      <c r="ES98" s="321"/>
      <c r="ET98" s="321"/>
      <c r="EU98" s="321"/>
      <c r="EV98" s="321"/>
      <c r="EW98" s="321"/>
      <c r="EX98" s="321"/>
      <c r="EY98" s="321"/>
      <c r="EZ98" s="321"/>
      <c r="FA98" s="321"/>
      <c r="FB98" s="321"/>
      <c r="FC98" s="321"/>
      <c r="FD98" s="564"/>
      <c r="FE98" s="483">
        <v>-76</v>
      </c>
      <c r="FF98" s="321"/>
      <c r="FG98" s="321"/>
      <c r="FH98" s="321"/>
      <c r="FI98" s="321"/>
      <c r="FJ98" s="321"/>
      <c r="FK98" s="321"/>
      <c r="FL98" s="321"/>
      <c r="FM98" s="321"/>
      <c r="FN98" s="321"/>
      <c r="FO98" s="321"/>
      <c r="FP98" s="321"/>
      <c r="FQ98" s="321"/>
      <c r="FR98" s="321"/>
      <c r="FS98" s="321"/>
      <c r="FT98" s="564"/>
      <c r="FU98" s="483">
        <v>80</v>
      </c>
      <c r="FV98" s="321"/>
      <c r="FW98" s="321"/>
      <c r="FX98" s="321"/>
      <c r="FY98" s="321"/>
      <c r="FZ98" s="321"/>
      <c r="GA98" s="321"/>
      <c r="GB98" s="321"/>
      <c r="GC98" s="321"/>
      <c r="GD98" s="321"/>
      <c r="GE98" s="321"/>
      <c r="GF98" s="321"/>
      <c r="GG98" s="321"/>
      <c r="GH98" s="321"/>
      <c r="GI98" s="321"/>
      <c r="GJ98" s="564"/>
      <c r="GK98" s="483">
        <v>130</v>
      </c>
      <c r="GL98" s="321"/>
      <c r="GM98" s="321"/>
      <c r="GN98" s="321"/>
      <c r="GO98" s="321"/>
      <c r="GP98" s="321"/>
      <c r="GQ98" s="321"/>
      <c r="GR98" s="321"/>
      <c r="GS98" s="321"/>
      <c r="GT98" s="321"/>
      <c r="GU98" s="321"/>
      <c r="GV98" s="321"/>
      <c r="GW98" s="321"/>
      <c r="GX98" s="321"/>
      <c r="GY98" s="321"/>
      <c r="GZ98" s="564"/>
      <c r="HA98" s="483">
        <v>140</v>
      </c>
      <c r="HB98" s="321"/>
      <c r="HC98" s="321"/>
      <c r="HD98" s="321"/>
      <c r="HE98" s="321"/>
      <c r="HF98" s="321"/>
      <c r="HG98" s="321"/>
      <c r="HH98" s="321"/>
      <c r="HI98" s="321"/>
      <c r="HJ98" s="321"/>
      <c r="HK98" s="321"/>
      <c r="HL98" s="321"/>
      <c r="HM98" s="321"/>
      <c r="HN98" s="321"/>
      <c r="HO98" s="321"/>
      <c r="HP98" s="564"/>
      <c r="HQ98" s="483">
        <v>120</v>
      </c>
      <c r="HR98" s="321"/>
      <c r="HS98" s="321"/>
      <c r="HT98" s="321"/>
      <c r="HU98" s="321"/>
      <c r="HV98" s="321"/>
      <c r="HW98" s="321"/>
      <c r="HX98" s="321"/>
      <c r="HY98" s="321"/>
      <c r="HZ98" s="321"/>
      <c r="IA98" s="321"/>
      <c r="IB98" s="321"/>
      <c r="IC98" s="321"/>
      <c r="ID98" s="321"/>
      <c r="IE98" s="321"/>
      <c r="IF98" s="564"/>
      <c r="IG98" s="321">
        <v>0</v>
      </c>
      <c r="IH98" s="321"/>
      <c r="II98" s="321"/>
      <c r="IJ98" s="321"/>
      <c r="IK98" s="321"/>
      <c r="IL98" s="321"/>
      <c r="IM98" s="321"/>
      <c r="IN98" s="321"/>
      <c r="IO98" s="321"/>
      <c r="IP98" s="321"/>
      <c r="IQ98" s="321"/>
      <c r="IR98" s="321"/>
      <c r="IS98" s="321"/>
      <c r="IT98" s="321"/>
      <c r="IU98" s="321"/>
      <c r="IV98" s="564"/>
    </row>
    <row r="99" spans="1:256" s="328" customFormat="1" ht="8.25" customHeight="1">
      <c r="A99" s="483">
        <v>50</v>
      </c>
      <c r="B99" s="321"/>
      <c r="C99" s="321"/>
      <c r="D99" s="321"/>
      <c r="E99" s="321"/>
      <c r="F99" s="321"/>
      <c r="G99" s="321"/>
      <c r="H99" s="321"/>
      <c r="I99" s="321"/>
      <c r="J99" s="321"/>
      <c r="K99" s="321"/>
      <c r="L99" s="321"/>
      <c r="M99" s="321"/>
      <c r="N99" s="321"/>
      <c r="O99" s="321"/>
      <c r="P99" s="564"/>
      <c r="Q99" s="483">
        <v>51</v>
      </c>
      <c r="R99" s="321"/>
      <c r="S99" s="321"/>
      <c r="T99" s="321"/>
      <c r="U99" s="321"/>
      <c r="V99" s="321"/>
      <c r="W99" s="321"/>
      <c r="X99" s="321"/>
      <c r="Y99" s="321"/>
      <c r="Z99" s="321"/>
      <c r="AA99" s="321"/>
      <c r="AB99" s="321"/>
      <c r="AC99" s="321"/>
      <c r="AD99" s="321"/>
      <c r="AE99" s="321"/>
      <c r="AF99" s="564"/>
      <c r="AG99" s="483">
        <v>52</v>
      </c>
      <c r="AH99" s="321"/>
      <c r="AI99" s="321"/>
      <c r="AJ99" s="321"/>
      <c r="AK99" s="321"/>
      <c r="AL99" s="321"/>
      <c r="AM99" s="321"/>
      <c r="AN99" s="321"/>
      <c r="AO99" s="321"/>
      <c r="AP99" s="321"/>
      <c r="AQ99" s="321"/>
      <c r="AR99" s="321"/>
      <c r="AS99" s="321"/>
      <c r="AT99" s="321"/>
      <c r="AU99" s="321"/>
      <c r="AV99" s="564"/>
      <c r="AW99" s="483">
        <v>53</v>
      </c>
      <c r="AX99" s="321"/>
      <c r="AY99" s="321"/>
      <c r="AZ99" s="321"/>
      <c r="BA99" s="321"/>
      <c r="BB99" s="321"/>
      <c r="BC99" s="321"/>
      <c r="BD99" s="321"/>
      <c r="BE99" s="321"/>
      <c r="BF99" s="321"/>
      <c r="BG99" s="321"/>
      <c r="BH99" s="321"/>
      <c r="BI99" s="321"/>
      <c r="BJ99" s="321"/>
      <c r="BK99" s="321"/>
      <c r="BL99" s="564"/>
      <c r="BM99" s="483">
        <v>54</v>
      </c>
      <c r="BN99" s="321"/>
      <c r="BO99" s="321"/>
      <c r="BP99" s="321"/>
      <c r="BQ99" s="321"/>
      <c r="BR99" s="321"/>
      <c r="BS99" s="321"/>
      <c r="BT99" s="321"/>
      <c r="BU99" s="321"/>
      <c r="BV99" s="321"/>
      <c r="BW99" s="321"/>
      <c r="BX99" s="321"/>
      <c r="BY99" s="321"/>
      <c r="BZ99" s="321"/>
      <c r="CA99" s="321"/>
      <c r="CB99" s="564"/>
      <c r="CC99" s="483">
        <v>55</v>
      </c>
      <c r="CD99" s="321"/>
      <c r="CE99" s="321"/>
      <c r="CF99" s="321"/>
      <c r="CG99" s="321"/>
      <c r="CH99" s="321"/>
      <c r="CI99" s="321"/>
      <c r="CJ99" s="321"/>
      <c r="CK99" s="321"/>
      <c r="CL99" s="321"/>
      <c r="CM99" s="321"/>
      <c r="CN99" s="321"/>
      <c r="CO99" s="321"/>
      <c r="CP99" s="321"/>
      <c r="CQ99" s="321"/>
      <c r="CR99" s="564"/>
      <c r="CS99" s="483">
        <v>56</v>
      </c>
      <c r="CT99" s="321"/>
      <c r="CU99" s="321"/>
      <c r="CV99" s="321"/>
      <c r="CW99" s="321"/>
      <c r="CX99" s="321"/>
      <c r="CY99" s="321"/>
      <c r="CZ99" s="321"/>
      <c r="DA99" s="321"/>
      <c r="DB99" s="321"/>
      <c r="DC99" s="321"/>
      <c r="DD99" s="321"/>
      <c r="DE99" s="321"/>
      <c r="DF99" s="321"/>
      <c r="DG99" s="321"/>
      <c r="DH99" s="564"/>
      <c r="DI99" s="483">
        <v>57</v>
      </c>
      <c r="DJ99" s="321"/>
      <c r="DK99" s="321"/>
      <c r="DL99" s="321"/>
      <c r="DM99" s="321"/>
      <c r="DN99" s="321"/>
      <c r="DO99" s="321"/>
      <c r="DP99" s="321"/>
      <c r="DQ99" s="321"/>
      <c r="DR99" s="321"/>
      <c r="DS99" s="321"/>
      <c r="DT99" s="321"/>
      <c r="DU99" s="321"/>
      <c r="DV99" s="321"/>
      <c r="DW99" s="321"/>
      <c r="DX99" s="564"/>
      <c r="DY99" s="483">
        <v>38</v>
      </c>
      <c r="DZ99" s="321"/>
      <c r="EA99" s="321"/>
      <c r="EB99" s="321"/>
      <c r="EC99" s="321"/>
      <c r="ED99" s="321"/>
      <c r="EE99" s="321"/>
      <c r="EF99" s="321"/>
      <c r="EG99" s="321"/>
      <c r="EH99" s="321"/>
      <c r="EI99" s="321"/>
      <c r="EJ99" s="321"/>
      <c r="EK99" s="321"/>
      <c r="EL99" s="321"/>
      <c r="EM99" s="321"/>
      <c r="EN99" s="564"/>
      <c r="EO99" s="483"/>
      <c r="EP99" s="321"/>
      <c r="EQ99" s="321"/>
      <c r="ER99" s="321"/>
      <c r="ES99" s="321"/>
      <c r="ET99" s="321"/>
      <c r="EU99" s="321"/>
      <c r="EV99" s="321"/>
      <c r="EW99" s="321"/>
      <c r="EX99" s="321"/>
      <c r="EY99" s="321"/>
      <c r="EZ99" s="321"/>
      <c r="FA99" s="321"/>
      <c r="FB99" s="321"/>
      <c r="FC99" s="321"/>
      <c r="FD99" s="564"/>
      <c r="FE99" s="483"/>
      <c r="FF99" s="321"/>
      <c r="FG99" s="321"/>
      <c r="FH99" s="321"/>
      <c r="FI99" s="321"/>
      <c r="FJ99" s="321"/>
      <c r="FK99" s="321"/>
      <c r="FL99" s="321"/>
      <c r="FM99" s="321"/>
      <c r="FN99" s="321"/>
      <c r="FO99" s="321"/>
      <c r="FP99" s="321"/>
      <c r="FQ99" s="321"/>
      <c r="FR99" s="321"/>
      <c r="FS99" s="321"/>
      <c r="FT99" s="564"/>
      <c r="FU99" s="483"/>
      <c r="FV99" s="321"/>
      <c r="FW99" s="321"/>
      <c r="FX99" s="321"/>
      <c r="FY99" s="321"/>
      <c r="FZ99" s="321"/>
      <c r="GA99" s="321"/>
      <c r="GB99" s="321"/>
      <c r="GC99" s="321"/>
      <c r="GD99" s="321"/>
      <c r="GE99" s="321"/>
      <c r="GF99" s="321"/>
      <c r="GG99" s="321"/>
      <c r="GH99" s="321"/>
      <c r="GI99" s="321"/>
      <c r="GJ99" s="564"/>
      <c r="GK99" s="483">
        <v>62</v>
      </c>
      <c r="GL99" s="321"/>
      <c r="GM99" s="321"/>
      <c r="GN99" s="321"/>
      <c r="GO99" s="321"/>
      <c r="GP99" s="321"/>
      <c r="GQ99" s="321"/>
      <c r="GR99" s="321"/>
      <c r="GS99" s="321"/>
      <c r="GT99" s="321"/>
      <c r="GU99" s="321"/>
      <c r="GV99" s="321"/>
      <c r="GW99" s="321"/>
      <c r="GX99" s="321"/>
      <c r="GY99" s="321"/>
      <c r="GZ99" s="564"/>
      <c r="HA99" s="483">
        <v>63</v>
      </c>
      <c r="HB99" s="321"/>
      <c r="HC99" s="321"/>
      <c r="HD99" s="321"/>
      <c r="HE99" s="321"/>
      <c r="HF99" s="321"/>
      <c r="HG99" s="321"/>
      <c r="HH99" s="321"/>
      <c r="HI99" s="321"/>
      <c r="HJ99" s="321"/>
      <c r="HK99" s="321"/>
      <c r="HL99" s="321"/>
      <c r="HM99" s="321"/>
      <c r="HN99" s="321"/>
      <c r="HO99" s="321"/>
      <c r="HP99" s="564"/>
      <c r="HQ99" s="483">
        <v>61</v>
      </c>
      <c r="HR99" s="321"/>
      <c r="HS99" s="321"/>
      <c r="HT99" s="321"/>
      <c r="HU99" s="321"/>
      <c r="HV99" s="321"/>
      <c r="HW99" s="321"/>
      <c r="HX99" s="321"/>
      <c r="HY99" s="321"/>
      <c r="HZ99" s="321"/>
      <c r="IA99" s="321"/>
      <c r="IB99" s="321"/>
      <c r="IC99" s="321"/>
      <c r="ID99" s="321"/>
      <c r="IE99" s="321"/>
      <c r="IF99" s="564"/>
      <c r="IG99" s="321">
        <v>64</v>
      </c>
      <c r="IH99" s="321"/>
      <c r="II99" s="321"/>
      <c r="IJ99" s="321"/>
      <c r="IK99" s="321"/>
      <c r="IL99" s="321"/>
      <c r="IM99" s="321"/>
      <c r="IN99" s="321"/>
      <c r="IO99" s="321"/>
      <c r="IP99" s="321"/>
      <c r="IQ99" s="321"/>
      <c r="IR99" s="321"/>
      <c r="IS99" s="321"/>
      <c r="IT99" s="321"/>
      <c r="IU99" s="321"/>
      <c r="IV99" s="564"/>
    </row>
    <row r="100" spans="1:256" s="328" customFormat="1" ht="8.25" customHeight="1">
      <c r="A100" s="483">
        <v>500</v>
      </c>
      <c r="B100" s="321"/>
      <c r="C100" s="321"/>
      <c r="D100" s="321"/>
      <c r="E100" s="321"/>
      <c r="F100" s="321"/>
      <c r="G100" s="321"/>
      <c r="H100" s="321"/>
      <c r="I100" s="321"/>
      <c r="J100" s="321"/>
      <c r="K100" s="321"/>
      <c r="L100" s="321"/>
      <c r="M100" s="321"/>
      <c r="N100" s="321"/>
      <c r="O100" s="321"/>
      <c r="P100" s="564"/>
      <c r="Q100" s="483">
        <v>800</v>
      </c>
      <c r="R100" s="321"/>
      <c r="S100" s="321"/>
      <c r="T100" s="321"/>
      <c r="U100" s="321"/>
      <c r="V100" s="321"/>
      <c r="W100" s="321"/>
      <c r="X100" s="321"/>
      <c r="Y100" s="321"/>
      <c r="Z100" s="321"/>
      <c r="AA100" s="321"/>
      <c r="AB100" s="321"/>
      <c r="AC100" s="321"/>
      <c r="AD100" s="321"/>
      <c r="AE100" s="321"/>
      <c r="AF100" s="564"/>
      <c r="AG100" s="483">
        <v>400</v>
      </c>
      <c r="AH100" s="321"/>
      <c r="AI100" s="321"/>
      <c r="AJ100" s="321"/>
      <c r="AK100" s="321"/>
      <c r="AL100" s="321"/>
      <c r="AM100" s="321"/>
      <c r="AN100" s="321"/>
      <c r="AO100" s="321"/>
      <c r="AP100" s="321"/>
      <c r="AQ100" s="321"/>
      <c r="AR100" s="321"/>
      <c r="AS100" s="321"/>
      <c r="AT100" s="321"/>
      <c r="AU100" s="321"/>
      <c r="AV100" s="564"/>
      <c r="AW100" s="483">
        <v>500</v>
      </c>
      <c r="AX100" s="321"/>
      <c r="AY100" s="321"/>
      <c r="AZ100" s="321"/>
      <c r="BA100" s="321"/>
      <c r="BB100" s="321"/>
      <c r="BC100" s="321"/>
      <c r="BD100" s="321"/>
      <c r="BE100" s="321"/>
      <c r="BF100" s="321"/>
      <c r="BG100" s="321"/>
      <c r="BH100" s="321"/>
      <c r="BI100" s="321"/>
      <c r="BJ100" s="321"/>
      <c r="BK100" s="321"/>
      <c r="BL100" s="564"/>
      <c r="BM100" s="483">
        <v>600</v>
      </c>
      <c r="BN100" s="321"/>
      <c r="BO100" s="321"/>
      <c r="BP100" s="321"/>
      <c r="BQ100" s="321"/>
      <c r="BR100" s="321"/>
      <c r="BS100" s="321"/>
      <c r="BT100" s="321"/>
      <c r="BU100" s="321"/>
      <c r="BV100" s="321"/>
      <c r="BW100" s="321"/>
      <c r="BX100" s="321"/>
      <c r="BY100" s="321"/>
      <c r="BZ100" s="321"/>
      <c r="CA100" s="321"/>
      <c r="CB100" s="564"/>
      <c r="CC100" s="483">
        <v>100</v>
      </c>
      <c r="CD100" s="321"/>
      <c r="CE100" s="321"/>
      <c r="CF100" s="321"/>
      <c r="CG100" s="321"/>
      <c r="CH100" s="321"/>
      <c r="CI100" s="321"/>
      <c r="CJ100" s="321"/>
      <c r="CK100" s="321"/>
      <c r="CL100" s="321"/>
      <c r="CM100" s="321"/>
      <c r="CN100" s="321"/>
      <c r="CO100" s="321"/>
      <c r="CP100" s="321"/>
      <c r="CQ100" s="321"/>
      <c r="CR100" s="564"/>
      <c r="CS100" s="483">
        <v>1000</v>
      </c>
      <c r="CT100" s="321"/>
      <c r="CU100" s="321"/>
      <c r="CV100" s="321"/>
      <c r="CW100" s="321"/>
      <c r="CX100" s="321"/>
      <c r="CY100" s="321"/>
      <c r="CZ100" s="321"/>
      <c r="DA100" s="321"/>
      <c r="DB100" s="321"/>
      <c r="DC100" s="321"/>
      <c r="DD100" s="321"/>
      <c r="DE100" s="321"/>
      <c r="DF100" s="321"/>
      <c r="DG100" s="321"/>
      <c r="DH100" s="564"/>
      <c r="DI100" s="483">
        <v>350</v>
      </c>
      <c r="DJ100" s="321"/>
      <c r="DK100" s="321"/>
      <c r="DL100" s="321"/>
      <c r="DM100" s="321"/>
      <c r="DN100" s="321"/>
      <c r="DO100" s="321"/>
      <c r="DP100" s="321"/>
      <c r="DQ100" s="321"/>
      <c r="DR100" s="321"/>
      <c r="DS100" s="321"/>
      <c r="DT100" s="321"/>
      <c r="DU100" s="321"/>
      <c r="DV100" s="321"/>
      <c r="DW100" s="321"/>
      <c r="DX100" s="564"/>
      <c r="DY100" s="483">
        <v>2500</v>
      </c>
      <c r="DZ100" s="321"/>
      <c r="EA100" s="321"/>
      <c r="EB100" s="321"/>
      <c r="EC100" s="321"/>
      <c r="ED100" s="321"/>
      <c r="EE100" s="321"/>
      <c r="EF100" s="321"/>
      <c r="EG100" s="321"/>
      <c r="EH100" s="321"/>
      <c r="EI100" s="321"/>
      <c r="EJ100" s="321"/>
      <c r="EK100" s="321"/>
      <c r="EL100" s="321"/>
      <c r="EM100" s="321"/>
      <c r="EN100" s="564"/>
      <c r="EO100" s="483"/>
      <c r="EP100" s="321"/>
      <c r="EQ100" s="321"/>
      <c r="ER100" s="321"/>
      <c r="ES100" s="321"/>
      <c r="ET100" s="321"/>
      <c r="EU100" s="321"/>
      <c r="EV100" s="321"/>
      <c r="EW100" s="321"/>
      <c r="EX100" s="321"/>
      <c r="EY100" s="321"/>
      <c r="EZ100" s="321"/>
      <c r="FA100" s="321"/>
      <c r="FB100" s="321"/>
      <c r="FC100" s="321"/>
      <c r="FD100" s="564"/>
      <c r="FE100" s="483"/>
      <c r="FF100" s="321"/>
      <c r="FG100" s="321"/>
      <c r="FH100" s="321"/>
      <c r="FI100" s="321"/>
      <c r="FJ100" s="321"/>
      <c r="FK100" s="321"/>
      <c r="FL100" s="321"/>
      <c r="FM100" s="321"/>
      <c r="FN100" s="321"/>
      <c r="FO100" s="321"/>
      <c r="FP100" s="321"/>
      <c r="FQ100" s="321"/>
      <c r="FR100" s="321"/>
      <c r="FS100" s="321"/>
      <c r="FT100" s="564"/>
      <c r="FU100" s="483"/>
      <c r="FV100" s="321"/>
      <c r="FW100" s="321"/>
      <c r="FX100" s="321"/>
      <c r="FY100" s="321"/>
      <c r="FZ100" s="321"/>
      <c r="GA100" s="321"/>
      <c r="GB100" s="321"/>
      <c r="GC100" s="321"/>
      <c r="GD100" s="321"/>
      <c r="GE100" s="321"/>
      <c r="GF100" s="321"/>
      <c r="GG100" s="321"/>
      <c r="GH100" s="321"/>
      <c r="GI100" s="321"/>
      <c r="GJ100" s="564"/>
      <c r="GK100" s="483">
        <v>400</v>
      </c>
      <c r="GL100" s="321"/>
      <c r="GM100" s="321"/>
      <c r="GN100" s="321"/>
      <c r="GO100" s="321"/>
      <c r="GP100" s="321"/>
      <c r="GQ100" s="321"/>
      <c r="GR100" s="321"/>
      <c r="GS100" s="321"/>
      <c r="GT100" s="321"/>
      <c r="GU100" s="321"/>
      <c r="GV100" s="321"/>
      <c r="GW100" s="321"/>
      <c r="GX100" s="321"/>
      <c r="GY100" s="321"/>
      <c r="GZ100" s="564"/>
      <c r="HA100" s="483">
        <v>400</v>
      </c>
      <c r="HB100" s="321"/>
      <c r="HC100" s="321"/>
      <c r="HD100" s="321"/>
      <c r="HE100" s="321"/>
      <c r="HF100" s="321"/>
      <c r="HG100" s="321"/>
      <c r="HH100" s="321"/>
      <c r="HI100" s="321"/>
      <c r="HJ100" s="321"/>
      <c r="HK100" s="321"/>
      <c r="HL100" s="321"/>
      <c r="HM100" s="321"/>
      <c r="HN100" s="321"/>
      <c r="HO100" s="321"/>
      <c r="HP100" s="564"/>
      <c r="HQ100" s="483">
        <v>400</v>
      </c>
      <c r="HR100" s="321"/>
      <c r="HS100" s="321"/>
      <c r="HT100" s="321"/>
      <c r="HU100" s="321"/>
      <c r="HV100" s="321"/>
      <c r="HW100" s="321"/>
      <c r="HX100" s="321"/>
      <c r="HY100" s="321"/>
      <c r="HZ100" s="321"/>
      <c r="IA100" s="321"/>
      <c r="IB100" s="321"/>
      <c r="IC100" s="321"/>
      <c r="ID100" s="321"/>
      <c r="IE100" s="321"/>
      <c r="IF100" s="564"/>
      <c r="IG100" s="321">
        <v>3000</v>
      </c>
      <c r="IH100" s="321"/>
      <c r="II100" s="321"/>
      <c r="IJ100" s="321"/>
      <c r="IK100" s="321"/>
      <c r="IL100" s="321"/>
      <c r="IM100" s="321"/>
      <c r="IN100" s="321"/>
      <c r="IO100" s="321"/>
      <c r="IP100" s="321"/>
      <c r="IQ100" s="321"/>
      <c r="IR100" s="321"/>
      <c r="IS100" s="321"/>
      <c r="IT100" s="321"/>
      <c r="IU100" s="321"/>
      <c r="IV100" s="564"/>
    </row>
    <row r="101" spans="1:256" s="328" customFormat="1" ht="8.25" customHeight="1">
      <c r="A101" s="432">
        <v>10</v>
      </c>
      <c r="B101" s="432"/>
      <c r="C101" s="410"/>
      <c r="D101" s="462"/>
      <c r="E101" s="458"/>
      <c r="F101" s="458"/>
      <c r="G101" s="458"/>
      <c r="H101" s="458"/>
      <c r="I101" s="458"/>
      <c r="J101" s="451"/>
      <c r="K101" s="451"/>
      <c r="L101" s="451"/>
      <c r="M101" s="457"/>
      <c r="N101" s="437"/>
      <c r="O101" s="430"/>
      <c r="P101" s="437"/>
      <c r="Q101" s="432">
        <v>10</v>
      </c>
      <c r="R101" s="432"/>
      <c r="S101" s="462"/>
      <c r="T101" s="449"/>
      <c r="U101" s="458"/>
      <c r="V101" s="451"/>
      <c r="W101" s="451"/>
      <c r="X101" s="451"/>
      <c r="Y101" s="451"/>
      <c r="Z101" s="451"/>
      <c r="AA101" s="451"/>
      <c r="AB101" s="451"/>
      <c r="AC101" s="457"/>
      <c r="AD101" s="437"/>
      <c r="AE101" s="430"/>
      <c r="AF101" s="437"/>
      <c r="AG101" s="427">
        <v>10</v>
      </c>
      <c r="AH101" s="434"/>
      <c r="AI101" s="427"/>
      <c r="AJ101" s="427"/>
      <c r="AK101" s="416"/>
      <c r="AL101" s="427"/>
      <c r="AM101" s="427"/>
      <c r="AN101" s="434"/>
      <c r="AO101" s="434"/>
      <c r="AP101" s="427"/>
      <c r="AQ101" s="427"/>
      <c r="AR101" s="413"/>
      <c r="AS101" s="427"/>
      <c r="AT101" s="427"/>
      <c r="AU101" s="434"/>
      <c r="AV101" s="418"/>
      <c r="AW101" s="427">
        <v>10</v>
      </c>
      <c r="AX101" s="427"/>
      <c r="AY101" s="434"/>
      <c r="AZ101" s="427"/>
      <c r="BA101" s="416"/>
      <c r="BB101" s="434"/>
      <c r="BC101" s="427"/>
      <c r="BD101" s="427"/>
      <c r="BE101" s="427"/>
      <c r="BF101" s="427"/>
      <c r="BG101" s="427"/>
      <c r="BH101" s="413"/>
      <c r="BI101" s="427"/>
      <c r="BJ101" s="427"/>
      <c r="BK101" s="427"/>
      <c r="BL101" s="418"/>
      <c r="BM101" s="423">
        <v>10</v>
      </c>
      <c r="BN101" s="423"/>
      <c r="BO101" s="423"/>
      <c r="BP101" s="423"/>
      <c r="BQ101" s="416"/>
      <c r="BR101" s="423"/>
      <c r="BS101" s="423"/>
      <c r="BT101" s="423"/>
      <c r="BU101" s="423"/>
      <c r="BV101" s="423"/>
      <c r="BW101" s="423"/>
      <c r="BX101" s="413"/>
      <c r="BY101" s="423"/>
      <c r="BZ101" s="423"/>
      <c r="CA101" s="418"/>
      <c r="CB101" s="423"/>
      <c r="CC101" s="439"/>
      <c r="CD101" s="411"/>
      <c r="CE101" s="418"/>
      <c r="CF101" s="418"/>
      <c r="CG101" s="439"/>
      <c r="CH101" s="418"/>
      <c r="CI101" s="418"/>
      <c r="CJ101" s="418"/>
      <c r="CK101" s="418"/>
      <c r="CL101" s="418"/>
      <c r="CM101" s="418"/>
      <c r="CN101" s="413"/>
      <c r="CO101" s="418"/>
      <c r="CP101" s="418"/>
      <c r="CQ101" s="411"/>
      <c r="CR101" s="411"/>
      <c r="CS101" s="459">
        <v>10</v>
      </c>
      <c r="CT101" s="459"/>
      <c r="CU101" s="428"/>
      <c r="CV101" s="428"/>
      <c r="CW101" s="456"/>
      <c r="CX101" s="460"/>
      <c r="CY101" s="460"/>
      <c r="CZ101" s="460"/>
      <c r="DA101" s="428"/>
      <c r="DB101" s="428"/>
      <c r="DC101" s="459"/>
      <c r="DD101" s="458"/>
      <c r="DE101" s="458"/>
      <c r="DF101" s="428"/>
      <c r="DG101" s="463"/>
      <c r="DH101" s="463"/>
      <c r="DI101" s="459">
        <v>10</v>
      </c>
      <c r="DJ101" s="453"/>
      <c r="DK101" s="428"/>
      <c r="DL101" s="428"/>
      <c r="DM101" s="443"/>
      <c r="DN101" s="441"/>
      <c r="DO101" s="441"/>
      <c r="DP101" s="441"/>
      <c r="DQ101" s="428"/>
      <c r="DR101" s="428"/>
      <c r="DS101" s="453"/>
      <c r="DT101" s="445"/>
      <c r="DU101" s="445"/>
      <c r="DV101" s="428"/>
      <c r="DW101" s="463"/>
      <c r="DX101" s="463"/>
      <c r="DY101" s="459">
        <v>10</v>
      </c>
      <c r="DZ101" s="459"/>
      <c r="EA101" s="428"/>
      <c r="EB101" s="428"/>
      <c r="EC101" s="456"/>
      <c r="ED101" s="460"/>
      <c r="EE101" s="460"/>
      <c r="EF101" s="460"/>
      <c r="EG101" s="428"/>
      <c r="EH101" s="428"/>
      <c r="EI101" s="459"/>
      <c r="EJ101" s="458"/>
      <c r="EK101" s="458"/>
      <c r="EL101" s="428"/>
      <c r="EM101" s="463"/>
      <c r="EN101" s="463"/>
      <c r="EO101" s="416">
        <v>10</v>
      </c>
      <c r="EP101" s="291"/>
      <c r="EQ101" s="291"/>
      <c r="ER101" s="291"/>
      <c r="ES101" s="291"/>
      <c r="ET101" s="291"/>
      <c r="EU101" s="291"/>
      <c r="EV101" s="291"/>
      <c r="EW101" s="291"/>
      <c r="EX101" s="416"/>
      <c r="EY101" s="416"/>
      <c r="EZ101" s="416"/>
      <c r="FA101" s="291"/>
      <c r="FB101" s="291"/>
      <c r="FC101" s="291"/>
      <c r="FD101" s="416"/>
      <c r="FE101" s="483"/>
      <c r="FF101" s="321"/>
      <c r="FG101" s="321"/>
      <c r="FH101" s="321"/>
      <c r="FI101" s="321"/>
      <c r="FJ101"/>
      <c r="FK101"/>
      <c r="FL101"/>
      <c r="FM101"/>
      <c r="FN101"/>
      <c r="FO101"/>
      <c r="FP101" s="321"/>
      <c r="FQ101" s="321"/>
      <c r="FR101" s="321"/>
      <c r="FS101" s="321"/>
      <c r="FT101" s="564"/>
      <c r="FU101" s="483"/>
      <c r="FV101" s="321"/>
      <c r="FW101" s="321"/>
      <c r="FX101" s="321"/>
      <c r="FY101" s="321"/>
      <c r="FZ101" s="321"/>
      <c r="GA101" s="321"/>
      <c r="GB101" s="321"/>
      <c r="GC101" s="321"/>
      <c r="GD101" s="321"/>
      <c r="GE101" s="321"/>
      <c r="GF101" s="321"/>
      <c r="GG101" s="321"/>
      <c r="GH101" s="321"/>
      <c r="GI101" s="321"/>
      <c r="GJ101" s="564"/>
      <c r="GK101" s="483">
        <v>10</v>
      </c>
      <c r="GL101" s="321"/>
      <c r="GM101" s="321"/>
      <c r="GN101" s="321"/>
      <c r="GO101" s="321"/>
      <c r="GP101" s="321"/>
      <c r="GQ101" s="321"/>
      <c r="GR101" s="321"/>
      <c r="GS101" s="321"/>
      <c r="GT101" s="321"/>
      <c r="GU101" s="321"/>
      <c r="GV101" s="321"/>
      <c r="GW101" s="321"/>
      <c r="GX101" s="321"/>
      <c r="GY101" s="321"/>
      <c r="GZ101" s="564"/>
      <c r="HA101" s="483">
        <v>10</v>
      </c>
      <c r="HB101" s="321"/>
      <c r="HC101" s="321"/>
      <c r="HD101" s="321"/>
      <c r="HE101" s="321"/>
      <c r="HF101" s="321"/>
      <c r="HG101" s="321"/>
      <c r="HH101" s="321"/>
      <c r="HI101" s="321"/>
      <c r="HJ101" s="321"/>
      <c r="HK101" s="321"/>
      <c r="HL101" s="321"/>
      <c r="HM101" s="321"/>
      <c r="HN101" s="321"/>
      <c r="HO101" s="321"/>
      <c r="HP101" s="564"/>
      <c r="HQ101" s="483">
        <v>10</v>
      </c>
      <c r="HR101" s="321"/>
      <c r="HS101" s="321"/>
      <c r="HT101" s="321"/>
      <c r="HU101" s="321"/>
      <c r="HV101" s="321"/>
      <c r="HW101" s="321"/>
      <c r="HX101" s="321"/>
      <c r="HY101" s="321"/>
      <c r="HZ101" s="321"/>
      <c r="IA101" s="321"/>
      <c r="IB101" s="321"/>
      <c r="IC101" s="321"/>
      <c r="ID101" s="321"/>
      <c r="IE101" s="321"/>
      <c r="IF101" s="564"/>
      <c r="IG101" s="321"/>
      <c r="IH101" s="321"/>
      <c r="II101" s="321"/>
      <c r="IJ101" s="321"/>
      <c r="IK101" s="321"/>
      <c r="IL101" s="321"/>
      <c r="IM101" s="321"/>
      <c r="IN101" s="321"/>
      <c r="IO101" s="321"/>
      <c r="IP101" s="321"/>
      <c r="IQ101" s="321"/>
      <c r="IR101" s="321"/>
      <c r="IS101" s="321"/>
      <c r="IT101" s="321"/>
      <c r="IU101" s="321"/>
      <c r="IV101" s="564"/>
    </row>
    <row r="102" spans="1:256" s="328" customFormat="1" ht="8.25" customHeight="1">
      <c r="A102" s="432">
        <v>142</v>
      </c>
      <c r="B102" s="439"/>
      <c r="C102" s="462"/>
      <c r="D102" s="449"/>
      <c r="E102" s="458"/>
      <c r="F102" s="458"/>
      <c r="G102" s="458"/>
      <c r="H102" s="458"/>
      <c r="I102" s="458"/>
      <c r="J102" s="458"/>
      <c r="K102" s="458"/>
      <c r="L102" s="458"/>
      <c r="M102" s="450"/>
      <c r="N102" s="430"/>
      <c r="O102" s="430"/>
      <c r="P102" s="430"/>
      <c r="Q102" s="432">
        <v>142</v>
      </c>
      <c r="R102" s="439"/>
      <c r="S102" s="449"/>
      <c r="T102" s="449"/>
      <c r="U102" s="458"/>
      <c r="V102" s="458"/>
      <c r="W102" s="458"/>
      <c r="X102" s="458"/>
      <c r="Y102" s="458"/>
      <c r="Z102" s="451"/>
      <c r="AA102" s="451"/>
      <c r="AB102" s="451"/>
      <c r="AC102" s="450"/>
      <c r="AD102" s="430"/>
      <c r="AE102" s="430"/>
      <c r="AF102" s="430"/>
      <c r="AG102" s="427">
        <v>142</v>
      </c>
      <c r="AH102" s="427"/>
      <c r="AI102" s="427"/>
      <c r="AJ102" s="427"/>
      <c r="AK102" s="416"/>
      <c r="AL102" s="427"/>
      <c r="AM102" s="434"/>
      <c r="AN102" s="427"/>
      <c r="AO102" s="427"/>
      <c r="AP102" s="427"/>
      <c r="AQ102" s="434"/>
      <c r="AR102" s="413"/>
      <c r="AS102" s="427"/>
      <c r="AT102" s="434"/>
      <c r="AU102" s="427"/>
      <c r="AV102" s="418"/>
      <c r="AW102" s="427">
        <v>142</v>
      </c>
      <c r="AX102" s="434"/>
      <c r="AY102" s="427"/>
      <c r="AZ102" s="427"/>
      <c r="BA102" s="416"/>
      <c r="BB102" s="427"/>
      <c r="BC102" s="427"/>
      <c r="BD102" s="434"/>
      <c r="BE102" s="434"/>
      <c r="BF102" s="427"/>
      <c r="BG102" s="427"/>
      <c r="BH102" s="413"/>
      <c r="BI102" s="427"/>
      <c r="BJ102" s="427"/>
      <c r="BK102" s="434"/>
      <c r="BL102" s="418"/>
      <c r="BM102" s="423">
        <v>142</v>
      </c>
      <c r="BN102" s="423"/>
      <c r="BO102" s="427"/>
      <c r="BP102" s="423"/>
      <c r="BQ102" s="416"/>
      <c r="BR102" s="427"/>
      <c r="BS102" s="423"/>
      <c r="BT102" s="423"/>
      <c r="BU102" s="423"/>
      <c r="BV102" s="423"/>
      <c r="BW102" s="423"/>
      <c r="BX102" s="413"/>
      <c r="BY102" s="423"/>
      <c r="BZ102" s="423"/>
      <c r="CA102" s="418"/>
      <c r="CB102" s="423"/>
      <c r="CC102" s="418"/>
      <c r="CD102" s="418"/>
      <c r="CE102" s="418"/>
      <c r="CF102" s="418"/>
      <c r="CG102" s="432"/>
      <c r="CH102" s="418"/>
      <c r="CI102" s="418"/>
      <c r="CJ102" s="411"/>
      <c r="CK102" s="439"/>
      <c r="CL102" s="439"/>
      <c r="CM102" s="418"/>
      <c r="CN102" s="413"/>
      <c r="CO102" s="452"/>
      <c r="CP102" s="411"/>
      <c r="CQ102" s="418"/>
      <c r="CR102" s="418"/>
      <c r="CS102" s="459">
        <v>142</v>
      </c>
      <c r="CT102" s="435"/>
      <c r="CU102" s="456"/>
      <c r="CV102" s="435"/>
      <c r="CW102" s="449"/>
      <c r="CX102" s="442"/>
      <c r="CY102" s="447"/>
      <c r="CZ102" s="442"/>
      <c r="DA102" s="453"/>
      <c r="DB102" s="435"/>
      <c r="DC102" s="453"/>
      <c r="DD102" s="451"/>
      <c r="DE102" s="455"/>
      <c r="DF102" s="451"/>
      <c r="DG102" s="463"/>
      <c r="DH102" s="450"/>
      <c r="DI102" s="459">
        <v>142</v>
      </c>
      <c r="DJ102" s="435"/>
      <c r="DK102" s="443"/>
      <c r="DL102" s="435"/>
      <c r="DM102" s="452"/>
      <c r="DN102" s="452"/>
      <c r="DO102" s="452"/>
      <c r="DP102" s="452"/>
      <c r="DQ102" s="446"/>
      <c r="DR102" s="435"/>
      <c r="DS102" s="446"/>
      <c r="DT102" s="445"/>
      <c r="DU102" s="452"/>
      <c r="DV102" s="445"/>
      <c r="DW102" s="463"/>
      <c r="DX102" s="450"/>
      <c r="DY102" s="459">
        <v>142</v>
      </c>
      <c r="DZ102" s="435"/>
      <c r="EA102" s="456"/>
      <c r="EB102" s="435"/>
      <c r="EC102" s="456"/>
      <c r="ED102" s="442"/>
      <c r="EE102" s="460"/>
      <c r="EF102" s="442"/>
      <c r="EG102" s="459"/>
      <c r="EH102" s="435"/>
      <c r="EI102" s="459"/>
      <c r="EJ102" s="458"/>
      <c r="EK102" s="455"/>
      <c r="EL102" s="458"/>
      <c r="EM102" s="463"/>
      <c r="EN102" s="450"/>
      <c r="EO102" s="291">
        <v>142</v>
      </c>
      <c r="EP102" s="161"/>
      <c r="EQ102" s="161"/>
      <c r="ER102" s="416"/>
      <c r="ES102" s="416"/>
      <c r="ET102" s="416"/>
      <c r="EU102" s="416"/>
      <c r="EV102" s="416"/>
      <c r="EW102" s="416"/>
      <c r="EX102" s="416"/>
      <c r="EY102" s="416"/>
      <c r="EZ102" s="416"/>
      <c r="FA102" s="416"/>
      <c r="FB102" s="416"/>
      <c r="FC102" s="206"/>
      <c r="FD102" s="206"/>
      <c r="FE102" s="483"/>
      <c r="FF102" s="321"/>
      <c r="FG102" s="321"/>
      <c r="FH102" s="321"/>
      <c r="FI102" s="321"/>
      <c r="FJ102"/>
      <c r="FK102"/>
      <c r="FL102"/>
      <c r="FM102"/>
      <c r="FN102"/>
      <c r="FO102"/>
      <c r="FP102" s="321"/>
      <c r="FQ102" s="321"/>
      <c r="FR102" s="321"/>
      <c r="FS102" s="321"/>
      <c r="FT102" s="564"/>
      <c r="FU102" s="483"/>
      <c r="FV102" s="321"/>
      <c r="FW102" s="321"/>
      <c r="FX102" s="321"/>
      <c r="FY102" s="321"/>
      <c r="FZ102" s="321"/>
      <c r="GA102" s="321"/>
      <c r="GB102" s="321"/>
      <c r="GC102" s="321"/>
      <c r="GD102" s="321"/>
      <c r="GE102" s="321"/>
      <c r="GF102" s="321"/>
      <c r="GG102" s="321"/>
      <c r="GH102" s="321"/>
      <c r="GI102" s="321"/>
      <c r="GJ102" s="564"/>
      <c r="GK102" s="483">
        <v>141</v>
      </c>
      <c r="GL102" s="321"/>
      <c r="GM102" s="321"/>
      <c r="GN102" s="321"/>
      <c r="GO102" s="321"/>
      <c r="GP102" s="321"/>
      <c r="GQ102" s="321"/>
      <c r="GR102" s="321"/>
      <c r="GS102" s="321"/>
      <c r="GT102" s="321"/>
      <c r="GU102" s="321"/>
      <c r="GV102" s="321"/>
      <c r="GW102" s="321"/>
      <c r="GX102" s="321"/>
      <c r="GY102" s="321"/>
      <c r="GZ102" s="564"/>
      <c r="HA102" s="483">
        <v>141</v>
      </c>
      <c r="HB102" s="321"/>
      <c r="HC102" s="321"/>
      <c r="HD102" s="321"/>
      <c r="HE102" s="321"/>
      <c r="HF102" s="321"/>
      <c r="HG102" s="321"/>
      <c r="HH102" s="321"/>
      <c r="HI102" s="321"/>
      <c r="HJ102" s="321"/>
      <c r="HK102" s="321"/>
      <c r="HL102" s="321"/>
      <c r="HM102" s="321"/>
      <c r="HN102" s="321"/>
      <c r="HO102" s="321"/>
      <c r="HP102" s="564"/>
      <c r="HQ102" s="483">
        <v>141</v>
      </c>
      <c r="HR102" s="321"/>
      <c r="HS102" s="321"/>
      <c r="HT102" s="321"/>
      <c r="HU102" s="321"/>
      <c r="HV102" s="321"/>
      <c r="HW102" s="321"/>
      <c r="HX102" s="321"/>
      <c r="HY102" s="321"/>
      <c r="HZ102" s="321"/>
      <c r="IA102" s="321"/>
      <c r="IB102" s="321"/>
      <c r="IC102" s="321"/>
      <c r="ID102" s="321"/>
      <c r="IE102" s="321"/>
      <c r="IF102" s="564"/>
      <c r="IG102" s="321"/>
      <c r="IH102" s="321"/>
      <c r="II102" s="321"/>
      <c r="IJ102" s="321"/>
      <c r="IK102" s="321"/>
      <c r="IL102" s="321"/>
      <c r="IM102" s="321"/>
      <c r="IN102" s="321"/>
      <c r="IO102" s="321"/>
      <c r="IP102" s="321"/>
      <c r="IQ102" s="321"/>
      <c r="IR102" s="321"/>
      <c r="IS102" s="321"/>
      <c r="IT102" s="321"/>
      <c r="IU102" s="321"/>
      <c r="IV102" s="564"/>
    </row>
    <row r="103" spans="1:256" s="328" customFormat="1" ht="8.25" customHeight="1">
      <c r="A103" s="432"/>
      <c r="B103" s="432"/>
      <c r="C103" s="464"/>
      <c r="D103" s="464"/>
      <c r="E103" s="464"/>
      <c r="F103" s="440"/>
      <c r="G103" s="440"/>
      <c r="H103" s="440"/>
      <c r="I103" s="422"/>
      <c r="J103" s="464"/>
      <c r="K103" s="464"/>
      <c r="L103" s="464"/>
      <c r="M103" s="457"/>
      <c r="N103" s="437"/>
      <c r="O103" s="410"/>
      <c r="P103" s="462"/>
      <c r="Q103" s="432"/>
      <c r="R103" s="432"/>
      <c r="S103" s="464"/>
      <c r="T103" s="464"/>
      <c r="U103" s="464"/>
      <c r="V103" s="440"/>
      <c r="W103" s="440"/>
      <c r="X103" s="440"/>
      <c r="Y103" s="422"/>
      <c r="Z103" s="464"/>
      <c r="AA103" s="458"/>
      <c r="AB103" s="458"/>
      <c r="AC103" s="457"/>
      <c r="AD103" s="437"/>
      <c r="AE103" s="410"/>
      <c r="AF103" s="462"/>
      <c r="AG103" s="427"/>
      <c r="AH103" s="427"/>
      <c r="AI103" s="427"/>
      <c r="AJ103" s="434"/>
      <c r="AK103" s="440"/>
      <c r="AL103" s="433"/>
      <c r="AM103" s="433"/>
      <c r="AN103" s="429"/>
      <c r="AO103" s="409"/>
      <c r="AP103" s="422"/>
      <c r="AQ103" s="426"/>
      <c r="AR103" s="422"/>
      <c r="AS103" s="418"/>
      <c r="AT103" s="418"/>
      <c r="AU103" s="418"/>
      <c r="AV103" s="418"/>
      <c r="AW103" s="427"/>
      <c r="AX103" s="427"/>
      <c r="AY103" s="427"/>
      <c r="AZ103" s="427"/>
      <c r="BA103" s="440"/>
      <c r="BB103" s="433"/>
      <c r="BC103" s="433"/>
      <c r="BD103" s="429"/>
      <c r="BE103" s="409"/>
      <c r="BF103" s="422"/>
      <c r="BG103" s="426"/>
      <c r="BH103" s="422"/>
      <c r="BI103" s="418"/>
      <c r="BJ103" s="418"/>
      <c r="BK103" s="418"/>
      <c r="BL103" s="418"/>
      <c r="BM103" s="423"/>
      <c r="BN103" s="427"/>
      <c r="BO103" s="423"/>
      <c r="BP103" s="423"/>
      <c r="BQ103" s="433"/>
      <c r="BR103" s="426"/>
      <c r="BS103" s="426"/>
      <c r="BT103" s="422"/>
      <c r="BU103" s="422"/>
      <c r="BV103" s="422"/>
      <c r="BW103" s="426"/>
      <c r="BX103" s="422"/>
      <c r="BY103" s="418"/>
      <c r="BZ103" s="418"/>
      <c r="CA103" s="418"/>
      <c r="CB103" s="418"/>
      <c r="CC103" s="418"/>
      <c r="CD103" s="411"/>
      <c r="CE103" s="439"/>
      <c r="CF103" s="418"/>
      <c r="CG103" s="452"/>
      <c r="CH103" s="452"/>
      <c r="CI103" s="433"/>
      <c r="CJ103" s="440"/>
      <c r="CK103" s="422"/>
      <c r="CL103" s="420"/>
      <c r="CM103" s="426"/>
      <c r="CN103" s="422"/>
      <c r="CO103" s="418"/>
      <c r="CP103" s="418"/>
      <c r="CQ103" s="418"/>
      <c r="CR103" s="418"/>
      <c r="CS103" s="446"/>
      <c r="CT103" s="446"/>
      <c r="CU103" s="443"/>
      <c r="CV103" s="442"/>
      <c r="CW103" s="443"/>
      <c r="CX103" s="442"/>
      <c r="CY103" s="441"/>
      <c r="CZ103" s="442"/>
      <c r="DA103" s="446"/>
      <c r="DB103" s="442"/>
      <c r="DC103" s="446"/>
      <c r="DD103" s="445"/>
      <c r="DE103" s="445"/>
      <c r="DF103" s="442"/>
      <c r="DG103" s="450"/>
      <c r="DH103" s="442"/>
      <c r="DI103" s="446"/>
      <c r="DJ103" s="453"/>
      <c r="DK103" s="443"/>
      <c r="DL103" s="442"/>
      <c r="DM103" s="443"/>
      <c r="DN103" s="442"/>
      <c r="DO103" s="441"/>
      <c r="DP103" s="442"/>
      <c r="DQ103" s="453"/>
      <c r="DR103" s="442"/>
      <c r="DS103" s="453"/>
      <c r="DT103" s="445"/>
      <c r="DU103" s="445"/>
      <c r="DV103" s="442"/>
      <c r="DW103" s="450"/>
      <c r="DX103" s="442"/>
      <c r="DY103" s="446"/>
      <c r="DZ103" s="446"/>
      <c r="EA103" s="449"/>
      <c r="EB103" s="442"/>
      <c r="EC103" s="449"/>
      <c r="ED103" s="442"/>
      <c r="EE103" s="447"/>
      <c r="EF103" s="442"/>
      <c r="EG103" s="453"/>
      <c r="EH103" s="442"/>
      <c r="EI103" s="453"/>
      <c r="EJ103" s="451"/>
      <c r="EK103" s="451"/>
      <c r="EL103" s="442"/>
      <c r="EM103" s="450"/>
      <c r="EN103" s="442"/>
      <c r="EO103" s="291"/>
      <c r="EP103" s="161"/>
      <c r="EQ103" s="416"/>
      <c r="ER103" s="416"/>
      <c r="ES103" s="416"/>
      <c r="ET103" s="416"/>
      <c r="EU103" s="416"/>
      <c r="EV103" s="416"/>
      <c r="EW103" s="416"/>
      <c r="EX103" s="416"/>
      <c r="EY103" s="416"/>
      <c r="EZ103" s="416"/>
      <c r="FA103" s="416"/>
      <c r="FB103" s="416"/>
      <c r="FC103" s="291"/>
      <c r="FD103" s="206"/>
      <c r="FE103" s="483"/>
      <c r="FF103" s="321"/>
      <c r="FG103" s="321"/>
      <c r="FH103" s="321"/>
      <c r="FI103" s="321"/>
      <c r="FJ103"/>
      <c r="FK103"/>
      <c r="FL103"/>
      <c r="FM103"/>
      <c r="FN103"/>
      <c r="FO103"/>
      <c r="FP103" s="321"/>
      <c r="FQ103" s="321"/>
      <c r="FR103" s="321"/>
      <c r="FS103" s="321"/>
      <c r="FT103" s="564"/>
      <c r="FU103" s="483"/>
      <c r="FV103" s="321"/>
      <c r="FW103" s="321"/>
      <c r="FX103" s="321"/>
      <c r="FY103" s="321"/>
      <c r="FZ103" s="321"/>
      <c r="GA103" s="321"/>
      <c r="GB103" s="321"/>
      <c r="GC103" s="321"/>
      <c r="GD103" s="321"/>
      <c r="GE103" s="321"/>
      <c r="GF103" s="321"/>
      <c r="GG103" s="321"/>
      <c r="GH103" s="321"/>
      <c r="GI103" s="321"/>
      <c r="GJ103" s="564"/>
      <c r="GK103" s="483"/>
      <c r="GL103" s="321"/>
      <c r="GM103" s="321"/>
      <c r="GN103" s="321"/>
      <c r="GO103" s="321"/>
      <c r="GP103" s="321"/>
      <c r="GQ103" s="321"/>
      <c r="GR103" s="321"/>
      <c r="GS103" s="321"/>
      <c r="GT103" s="321"/>
      <c r="GU103" s="321"/>
      <c r="GV103" s="321"/>
      <c r="GW103" s="321"/>
      <c r="GX103" s="321"/>
      <c r="GY103" s="321"/>
      <c r="GZ103" s="564"/>
      <c r="HA103" s="483"/>
      <c r="HB103" s="321"/>
      <c r="HC103" s="321"/>
      <c r="HD103" s="321"/>
      <c r="HE103" s="321"/>
      <c r="HF103" s="321"/>
      <c r="HG103" s="321"/>
      <c r="HH103" s="321"/>
      <c r="HI103" s="321"/>
      <c r="HJ103" s="321"/>
      <c r="HK103" s="321"/>
      <c r="HL103" s="321"/>
      <c r="HM103" s="321"/>
      <c r="HN103" s="321"/>
      <c r="HO103" s="321"/>
      <c r="HP103" s="564"/>
      <c r="HQ103" s="483"/>
      <c r="HR103" s="321"/>
      <c r="HS103" s="321"/>
      <c r="HT103" s="321"/>
      <c r="HU103" s="321"/>
      <c r="HV103" s="321"/>
      <c r="HW103" s="321"/>
      <c r="HX103" s="321"/>
      <c r="HY103" s="321"/>
      <c r="HZ103" s="321"/>
      <c r="IA103" s="321"/>
      <c r="IB103" s="321"/>
      <c r="IC103" s="321"/>
      <c r="ID103" s="321"/>
      <c r="IE103" s="321"/>
      <c r="IF103" s="564"/>
      <c r="IG103" s="321"/>
      <c r="IH103" s="321"/>
      <c r="II103" s="321"/>
      <c r="IJ103" s="321"/>
      <c r="IK103" s="321"/>
      <c r="IL103" s="321"/>
      <c r="IM103" s="321"/>
      <c r="IN103" s="321"/>
      <c r="IO103" s="321"/>
      <c r="IP103" s="321"/>
      <c r="IQ103" s="321"/>
      <c r="IR103" s="321"/>
      <c r="IS103" s="321"/>
      <c r="IT103" s="321"/>
      <c r="IU103" s="321"/>
      <c r="IV103" s="564"/>
    </row>
    <row r="104" spans="1:256" s="328" customFormat="1" ht="8.25" customHeight="1">
      <c r="A104" s="432"/>
      <c r="B104" s="439"/>
      <c r="C104" s="464"/>
      <c r="D104" s="464"/>
      <c r="E104" s="440"/>
      <c r="F104" s="422"/>
      <c r="G104" s="417"/>
      <c r="H104" s="422"/>
      <c r="I104" s="422"/>
      <c r="J104" s="422"/>
      <c r="K104" s="464"/>
      <c r="L104" s="411"/>
      <c r="M104" s="410"/>
      <c r="N104" s="462"/>
      <c r="O104" s="411"/>
      <c r="P104" s="411"/>
      <c r="Q104" s="432"/>
      <c r="R104" s="439"/>
      <c r="S104" s="464"/>
      <c r="T104" s="464"/>
      <c r="U104" s="440"/>
      <c r="V104" s="422"/>
      <c r="W104" s="417"/>
      <c r="X104" s="422"/>
      <c r="Y104" s="422"/>
      <c r="Z104" s="422"/>
      <c r="AA104" s="464"/>
      <c r="AB104" s="411"/>
      <c r="AC104" s="410"/>
      <c r="AD104" s="462"/>
      <c r="AE104" s="411"/>
      <c r="AF104" s="411"/>
      <c r="AG104" s="427"/>
      <c r="AH104" s="427"/>
      <c r="AI104" s="427"/>
      <c r="AJ104" s="427"/>
      <c r="AK104" s="440"/>
      <c r="AL104" s="433"/>
      <c r="AM104" s="420"/>
      <c r="AN104" s="440"/>
      <c r="AO104" s="429"/>
      <c r="AP104" s="440"/>
      <c r="AQ104" s="420"/>
      <c r="AR104" s="422"/>
      <c r="AS104" s="423"/>
      <c r="AT104" s="423"/>
      <c r="AU104" s="423"/>
      <c r="AV104" s="418"/>
      <c r="AW104" s="427"/>
      <c r="AX104" s="427"/>
      <c r="AY104" s="427"/>
      <c r="AZ104" s="434"/>
      <c r="BA104" s="440"/>
      <c r="BB104" s="433"/>
      <c r="BC104" s="420"/>
      <c r="BD104" s="440"/>
      <c r="BE104" s="429"/>
      <c r="BF104" s="440"/>
      <c r="BG104" s="420"/>
      <c r="BH104" s="422"/>
      <c r="BI104" s="423"/>
      <c r="BJ104" s="423"/>
      <c r="BK104" s="423"/>
      <c r="BL104" s="418"/>
      <c r="BM104" s="423"/>
      <c r="BN104" s="423"/>
      <c r="BO104" s="423"/>
      <c r="BP104" s="423"/>
      <c r="BQ104" s="433"/>
      <c r="BR104" s="426"/>
      <c r="BS104" s="420"/>
      <c r="BT104" s="459"/>
      <c r="BU104" s="429"/>
      <c r="BV104" s="459"/>
      <c r="BW104" s="420"/>
      <c r="BX104" s="422"/>
      <c r="BY104" s="418"/>
      <c r="BZ104" s="423"/>
      <c r="CA104" s="418"/>
      <c r="CB104" s="418"/>
      <c r="CC104" s="418"/>
      <c r="CD104" s="423"/>
      <c r="CE104" s="418"/>
      <c r="CF104" s="418"/>
      <c r="CG104" s="440"/>
      <c r="CH104" s="433"/>
      <c r="CI104" s="420"/>
      <c r="CJ104" s="459"/>
      <c r="CK104" s="429"/>
      <c r="CL104" s="459"/>
      <c r="CM104" s="420"/>
      <c r="CN104" s="422"/>
      <c r="CO104" s="418"/>
      <c r="CP104" s="418"/>
      <c r="CQ104" s="418"/>
      <c r="CR104" s="418"/>
      <c r="CS104" s="440"/>
      <c r="CT104" s="448"/>
      <c r="CU104" s="455"/>
      <c r="CV104" s="443"/>
      <c r="CW104" s="455"/>
      <c r="CX104" s="455"/>
      <c r="CY104" s="441"/>
      <c r="CZ104" s="455"/>
      <c r="DA104" s="455"/>
      <c r="DB104" s="446"/>
      <c r="DC104" s="455"/>
      <c r="DD104" s="445"/>
      <c r="DE104" s="455"/>
      <c r="DF104" s="445"/>
      <c r="DG104" s="444"/>
      <c r="DH104" s="444"/>
      <c r="DI104" s="440"/>
      <c r="DJ104" s="428"/>
      <c r="DK104" s="455"/>
      <c r="DL104" s="443"/>
      <c r="DM104" s="455"/>
      <c r="DN104" s="455"/>
      <c r="DO104" s="441"/>
      <c r="DP104" s="455"/>
      <c r="DQ104" s="455"/>
      <c r="DR104" s="446"/>
      <c r="DS104" s="455"/>
      <c r="DT104" s="445"/>
      <c r="DU104" s="455"/>
      <c r="DV104" s="445"/>
      <c r="DW104" s="444"/>
      <c r="DX104" s="444"/>
      <c r="DY104" s="440"/>
      <c r="DZ104" s="448"/>
      <c r="EA104" s="455"/>
      <c r="EB104" s="443"/>
      <c r="EC104" s="455"/>
      <c r="ED104" s="455"/>
      <c r="EE104" s="441"/>
      <c r="EF104" s="455"/>
      <c r="EG104" s="455"/>
      <c r="EH104" s="446"/>
      <c r="EI104" s="455"/>
      <c r="EJ104" s="445"/>
      <c r="EK104" s="455"/>
      <c r="EL104" s="445"/>
      <c r="EM104" s="444"/>
      <c r="EN104" s="444"/>
      <c r="EO104" s="291"/>
      <c r="EP104" s="161"/>
      <c r="EQ104" s="416"/>
      <c r="ER104" s="291"/>
      <c r="ES104" s="416"/>
      <c r="ET104" s="416"/>
      <c r="EU104" s="416"/>
      <c r="EV104" s="416"/>
      <c r="EW104" s="416"/>
      <c r="EX104" s="416"/>
      <c r="EY104" s="416"/>
      <c r="EZ104" s="416"/>
      <c r="FA104" s="416"/>
      <c r="FB104" s="416"/>
      <c r="FC104" s="416"/>
      <c r="FD104" s="206"/>
      <c r="FE104" s="483"/>
      <c r="FF104" s="321"/>
      <c r="FG104" s="321"/>
      <c r="FH104" s="321"/>
      <c r="FI104" s="321"/>
      <c r="FJ104"/>
      <c r="FK104"/>
      <c r="FL104"/>
      <c r="FM104"/>
      <c r="FN104"/>
      <c r="FO104"/>
      <c r="FP104" s="321"/>
      <c r="FQ104" s="321"/>
      <c r="FR104" s="321"/>
      <c r="FS104" s="321"/>
      <c r="FT104" s="564"/>
      <c r="FU104" s="483"/>
      <c r="FV104" s="321"/>
      <c r="FW104" s="321"/>
      <c r="FX104" s="321"/>
      <c r="FY104" s="321"/>
      <c r="FZ104" s="321"/>
      <c r="GA104" s="321"/>
      <c r="GB104" s="321"/>
      <c r="GC104" s="321"/>
      <c r="GD104" s="321"/>
      <c r="GE104" s="321"/>
      <c r="GF104" s="321"/>
      <c r="GG104" s="321"/>
      <c r="GH104" s="321"/>
      <c r="GI104" s="321"/>
      <c r="GJ104" s="564"/>
      <c r="GK104" s="483"/>
      <c r="GL104" s="321"/>
      <c r="GM104" s="321"/>
      <c r="GN104" s="321"/>
      <c r="GO104" s="321"/>
      <c r="GP104" s="321"/>
      <c r="GQ104" s="321"/>
      <c r="GR104" s="321"/>
      <c r="GS104" s="321"/>
      <c r="GT104" s="321"/>
      <c r="GU104" s="321"/>
      <c r="GV104" s="321"/>
      <c r="GW104" s="321"/>
      <c r="GX104" s="321"/>
      <c r="GY104" s="321"/>
      <c r="GZ104" s="564"/>
      <c r="HA104" s="483"/>
      <c r="HB104" s="321"/>
      <c r="HC104" s="321"/>
      <c r="HD104" s="321"/>
      <c r="HE104" s="321"/>
      <c r="HF104" s="321"/>
      <c r="HG104" s="321"/>
      <c r="HH104" s="321"/>
      <c r="HI104" s="321"/>
      <c r="HJ104" s="321"/>
      <c r="HK104" s="321"/>
      <c r="HL104" s="321"/>
      <c r="HM104" s="321"/>
      <c r="HN104" s="321"/>
      <c r="HO104" s="321"/>
      <c r="HP104" s="564"/>
      <c r="HQ104" s="483"/>
      <c r="HR104" s="321"/>
      <c r="HS104" s="321"/>
      <c r="HT104" s="321"/>
      <c r="HU104" s="321"/>
      <c r="HV104" s="321"/>
      <c r="HW104" s="321"/>
      <c r="HX104" s="321"/>
      <c r="HY104" s="321"/>
      <c r="HZ104" s="321"/>
      <c r="IA104" s="321"/>
      <c r="IB104" s="321"/>
      <c r="IC104" s="321"/>
      <c r="ID104" s="321"/>
      <c r="IE104" s="321"/>
      <c r="IF104" s="564"/>
      <c r="IG104" s="321"/>
      <c r="IH104" s="321"/>
      <c r="II104" s="321"/>
      <c r="IJ104" s="321"/>
      <c r="IK104" s="321"/>
      <c r="IL104" s="321"/>
      <c r="IM104" s="321"/>
      <c r="IN104" s="321"/>
      <c r="IO104" s="321"/>
      <c r="IP104" s="321"/>
      <c r="IQ104" s="321"/>
      <c r="IR104" s="321"/>
      <c r="IS104" s="321"/>
      <c r="IT104" s="321"/>
      <c r="IU104" s="321"/>
      <c r="IV104" s="564"/>
    </row>
    <row r="105" spans="1:256" s="328" customFormat="1" ht="8.25" customHeight="1">
      <c r="A105" s="432"/>
      <c r="B105" s="432"/>
      <c r="C105" s="464"/>
      <c r="D105" s="464"/>
      <c r="E105" s="422"/>
      <c r="F105" s="422"/>
      <c r="G105" s="417"/>
      <c r="H105" s="422"/>
      <c r="I105" s="422"/>
      <c r="J105" s="422"/>
      <c r="K105" s="411"/>
      <c r="L105" s="410"/>
      <c r="M105" s="411"/>
      <c r="N105" s="439"/>
      <c r="O105" s="411"/>
      <c r="P105" s="439"/>
      <c r="Q105" s="432"/>
      <c r="R105" s="432"/>
      <c r="S105" s="464"/>
      <c r="T105" s="464"/>
      <c r="U105" s="422"/>
      <c r="V105" s="422"/>
      <c r="W105" s="417"/>
      <c r="X105" s="422"/>
      <c r="Y105" s="422"/>
      <c r="Z105" s="422"/>
      <c r="AA105" s="411"/>
      <c r="AB105" s="410"/>
      <c r="AC105" s="411"/>
      <c r="AD105" s="439"/>
      <c r="AE105" s="411"/>
      <c r="AF105" s="439"/>
      <c r="AG105" s="427"/>
      <c r="AH105" s="434"/>
      <c r="AI105" s="427"/>
      <c r="AJ105" s="427"/>
      <c r="AK105" s="440"/>
      <c r="AL105" s="433"/>
      <c r="AM105" s="433"/>
      <c r="AN105" s="429"/>
      <c r="AO105" s="409"/>
      <c r="AP105" s="420"/>
      <c r="AQ105" s="426"/>
      <c r="AR105" s="422"/>
      <c r="AS105" s="434"/>
      <c r="AT105" s="427"/>
      <c r="AU105" s="427"/>
      <c r="AV105" s="418"/>
      <c r="AW105" s="427"/>
      <c r="AX105" s="427"/>
      <c r="AY105" s="427"/>
      <c r="AZ105" s="427"/>
      <c r="BA105" s="440"/>
      <c r="BB105" s="433"/>
      <c r="BC105" s="433"/>
      <c r="BD105" s="429"/>
      <c r="BE105" s="409"/>
      <c r="BF105" s="420"/>
      <c r="BG105" s="426"/>
      <c r="BH105" s="422"/>
      <c r="BI105" s="427"/>
      <c r="BJ105" s="427"/>
      <c r="BK105" s="427"/>
      <c r="BL105" s="418"/>
      <c r="BM105" s="423"/>
      <c r="BN105" s="423"/>
      <c r="BO105" s="423"/>
      <c r="BP105" s="427"/>
      <c r="BQ105" s="433"/>
      <c r="BR105" s="426"/>
      <c r="BS105" s="426"/>
      <c r="BT105" s="429"/>
      <c r="BU105" s="409"/>
      <c r="BV105" s="420"/>
      <c r="BW105" s="426"/>
      <c r="BX105" s="422"/>
      <c r="BY105" s="423"/>
      <c r="BZ105" s="423"/>
      <c r="CA105" s="418"/>
      <c r="CB105" s="418"/>
      <c r="CC105" s="418"/>
      <c r="CD105" s="418"/>
      <c r="CE105" s="418"/>
      <c r="CF105" s="418"/>
      <c r="CG105" s="440"/>
      <c r="CH105" s="433"/>
      <c r="CI105" s="433"/>
      <c r="CJ105" s="429"/>
      <c r="CK105" s="409"/>
      <c r="CL105" s="420"/>
      <c r="CM105" s="426"/>
      <c r="CN105" s="411"/>
      <c r="CO105" s="411"/>
      <c r="CP105" s="423"/>
      <c r="CQ105" s="411"/>
      <c r="CR105" s="452"/>
      <c r="CS105" s="455"/>
      <c r="CT105" s="442"/>
      <c r="CU105" s="442"/>
      <c r="CV105" s="442"/>
      <c r="CW105" s="442"/>
      <c r="CX105" s="442"/>
      <c r="CY105" s="442"/>
      <c r="CZ105" s="442"/>
      <c r="DA105" s="442"/>
      <c r="DB105" s="442"/>
      <c r="DC105" s="442"/>
      <c r="DD105" s="442"/>
      <c r="DE105" s="442"/>
      <c r="DF105" s="442"/>
      <c r="DG105" s="442"/>
      <c r="DH105" s="442"/>
      <c r="DI105" s="455"/>
      <c r="DJ105" s="428"/>
      <c r="DK105" s="442"/>
      <c r="DL105" s="442"/>
      <c r="DM105" s="442"/>
      <c r="DN105" s="452"/>
      <c r="DO105" s="442"/>
      <c r="DP105" s="442"/>
      <c r="DQ105" s="442"/>
      <c r="DR105" s="442"/>
      <c r="DS105" s="442"/>
      <c r="DT105" s="452"/>
      <c r="DU105" s="452"/>
      <c r="DV105" s="452"/>
      <c r="DW105" s="439"/>
      <c r="DX105" s="428"/>
      <c r="DY105" s="455"/>
      <c r="DZ105" s="442"/>
      <c r="EA105" s="442"/>
      <c r="EB105" s="442"/>
      <c r="EC105" s="442"/>
      <c r="ED105" s="442"/>
      <c r="EE105" s="442"/>
      <c r="EF105" s="442"/>
      <c r="EG105" s="442"/>
      <c r="EH105" s="442"/>
      <c r="EI105" s="442"/>
      <c r="EJ105" s="442"/>
      <c r="EK105" s="442"/>
      <c r="EL105" s="442"/>
      <c r="EM105" s="442"/>
      <c r="EN105" s="455"/>
      <c r="EO105" s="291"/>
      <c r="EP105" s="416"/>
      <c r="EQ105" s="416"/>
      <c r="ER105" s="416"/>
      <c r="ES105" s="416"/>
      <c r="ET105" s="416"/>
      <c r="EU105" s="416"/>
      <c r="EV105" s="416"/>
      <c r="EW105" s="416"/>
      <c r="EX105" s="416"/>
      <c r="EY105" s="416"/>
      <c r="EZ105" s="416"/>
      <c r="FA105" s="416"/>
      <c r="FB105" s="416"/>
      <c r="FC105" s="416"/>
      <c r="FD105" s="416"/>
      <c r="FE105" s="483"/>
      <c r="FF105" s="321"/>
      <c r="FG105" s="321"/>
      <c r="FH105" s="321"/>
      <c r="FI105" s="321"/>
      <c r="FJ105"/>
      <c r="FK105"/>
      <c r="FL105"/>
      <c r="FM105"/>
      <c r="FN105"/>
      <c r="FO105"/>
      <c r="FP105" s="321"/>
      <c r="FQ105" s="321"/>
      <c r="FR105" s="321"/>
      <c r="FS105" s="321"/>
      <c r="FT105" s="564"/>
      <c r="FU105" s="483"/>
      <c r="FV105" s="321"/>
      <c r="FW105" s="321"/>
      <c r="FX105" s="321"/>
      <c r="FY105" s="321"/>
      <c r="FZ105" s="321"/>
      <c r="GA105" s="321"/>
      <c r="GB105" s="321"/>
      <c r="GC105" s="321"/>
      <c r="GD105" s="321"/>
      <c r="GE105" s="321"/>
      <c r="GF105" s="321"/>
      <c r="GG105" s="321"/>
      <c r="GH105" s="321"/>
      <c r="GI105" s="321"/>
      <c r="GJ105" s="564"/>
      <c r="GK105" s="483"/>
      <c r="GL105" s="321"/>
      <c r="GM105" s="321"/>
      <c r="GN105" s="321"/>
      <c r="GO105" s="321"/>
      <c r="GP105" s="321"/>
      <c r="GQ105" s="321"/>
      <c r="GR105" s="321"/>
      <c r="GS105" s="321"/>
      <c r="GT105" s="321"/>
      <c r="GU105" s="321"/>
      <c r="GV105" s="321"/>
      <c r="GW105" s="321"/>
      <c r="GX105" s="321"/>
      <c r="GY105" s="321"/>
      <c r="GZ105" s="564"/>
      <c r="HA105" s="483"/>
      <c r="HB105" s="321"/>
      <c r="HC105" s="321"/>
      <c r="HD105" s="321"/>
      <c r="HE105" s="321"/>
      <c r="HF105" s="321"/>
      <c r="HG105" s="321"/>
      <c r="HH105" s="321"/>
      <c r="HI105" s="321"/>
      <c r="HJ105" s="321"/>
      <c r="HK105" s="321"/>
      <c r="HL105" s="321"/>
      <c r="HM105" s="321"/>
      <c r="HN105" s="321"/>
      <c r="HO105" s="321"/>
      <c r="HP105" s="564"/>
      <c r="HQ105" s="483"/>
      <c r="HR105" s="321"/>
      <c r="HS105" s="321"/>
      <c r="HT105" s="321"/>
      <c r="HU105" s="321"/>
      <c r="HV105" s="321"/>
      <c r="HW105" s="321"/>
      <c r="HX105" s="321"/>
      <c r="HY105" s="321"/>
      <c r="HZ105" s="321"/>
      <c r="IA105" s="321"/>
      <c r="IB105" s="321"/>
      <c r="IC105" s="321"/>
      <c r="ID105" s="321"/>
      <c r="IE105" s="321"/>
      <c r="IF105" s="564"/>
      <c r="IG105" s="321"/>
      <c r="IH105" s="321"/>
      <c r="II105" s="321"/>
      <c r="IJ105" s="321"/>
      <c r="IK105" s="321"/>
      <c r="IL105" s="321"/>
      <c r="IM105" s="321"/>
      <c r="IN105" s="321"/>
      <c r="IO105" s="321"/>
      <c r="IP105" s="321"/>
      <c r="IQ105" s="321"/>
      <c r="IR105" s="321"/>
      <c r="IS105" s="321"/>
      <c r="IT105" s="321"/>
      <c r="IU105" s="321"/>
      <c r="IV105" s="564"/>
    </row>
    <row r="106" spans="1:256" s="328" customFormat="1" ht="8.25" customHeight="1">
      <c r="A106" s="423"/>
      <c r="B106" s="463"/>
      <c r="C106" s="430"/>
      <c r="D106" s="423"/>
      <c r="E106" s="422"/>
      <c r="F106" s="422"/>
      <c r="G106" s="417"/>
      <c r="H106" s="422"/>
      <c r="I106" s="422"/>
      <c r="J106" s="411"/>
      <c r="K106" s="410"/>
      <c r="L106" s="411"/>
      <c r="M106" s="439"/>
      <c r="N106" s="411"/>
      <c r="O106" s="439"/>
      <c r="P106" s="432"/>
      <c r="Q106" s="423"/>
      <c r="R106" s="463"/>
      <c r="S106" s="430"/>
      <c r="T106" s="423"/>
      <c r="U106" s="422"/>
      <c r="V106" s="422"/>
      <c r="W106" s="417"/>
      <c r="X106" s="422"/>
      <c r="Y106" s="422"/>
      <c r="Z106" s="411"/>
      <c r="AA106" s="410"/>
      <c r="AB106" s="411"/>
      <c r="AC106" s="439"/>
      <c r="AD106" s="411"/>
      <c r="AE106" s="439"/>
      <c r="AF106" s="432"/>
      <c r="AG106" s="427"/>
      <c r="AH106" s="427"/>
      <c r="AI106" s="427"/>
      <c r="AJ106" s="427"/>
      <c r="AK106" s="440"/>
      <c r="AL106" s="452"/>
      <c r="AM106" s="433"/>
      <c r="AN106" s="415"/>
      <c r="AO106" s="432"/>
      <c r="AP106" s="414"/>
      <c r="AQ106" s="426"/>
      <c r="AR106" s="432"/>
      <c r="AS106" s="427"/>
      <c r="AT106" s="427"/>
      <c r="AU106" s="427"/>
      <c r="AV106" s="418"/>
      <c r="AW106" s="427"/>
      <c r="AX106" s="434"/>
      <c r="AY106" s="427"/>
      <c r="AZ106" s="427"/>
      <c r="BA106" s="440"/>
      <c r="BB106" s="452"/>
      <c r="BC106" s="433"/>
      <c r="BD106" s="415"/>
      <c r="BE106" s="432"/>
      <c r="BF106" s="414"/>
      <c r="BG106" s="426"/>
      <c r="BH106" s="432"/>
      <c r="BI106" s="434"/>
      <c r="BJ106" s="427"/>
      <c r="BK106" s="427"/>
      <c r="BL106" s="418"/>
      <c r="BM106" s="423"/>
      <c r="BN106" s="423"/>
      <c r="BO106" s="423"/>
      <c r="BP106" s="423"/>
      <c r="BQ106" s="433"/>
      <c r="BR106" s="439"/>
      <c r="BS106" s="426"/>
      <c r="BT106" s="415"/>
      <c r="BU106" s="432"/>
      <c r="BV106" s="414"/>
      <c r="BW106" s="426"/>
      <c r="BX106" s="432"/>
      <c r="BY106" s="423"/>
      <c r="BZ106" s="423"/>
      <c r="CA106" s="418"/>
      <c r="CB106" s="418"/>
      <c r="CC106" s="418"/>
      <c r="CD106" s="452"/>
      <c r="CE106" s="418"/>
      <c r="CF106" s="452"/>
      <c r="CG106" s="411"/>
      <c r="CH106" s="411"/>
      <c r="CI106" s="439"/>
      <c r="CJ106" s="415"/>
      <c r="CK106" s="432"/>
      <c r="CL106" s="452"/>
      <c r="CM106" s="426"/>
      <c r="CN106" s="422"/>
      <c r="CO106" s="418"/>
      <c r="CP106" s="418"/>
      <c r="CQ106" s="418"/>
      <c r="CR106" s="418"/>
      <c r="CS106" s="455"/>
      <c r="CT106" s="442"/>
      <c r="CU106" s="442"/>
      <c r="CV106" s="442"/>
      <c r="CW106" s="442"/>
      <c r="CX106" s="448"/>
      <c r="CY106" s="461"/>
      <c r="CZ106" s="422"/>
      <c r="DA106" s="422"/>
      <c r="DB106" s="461"/>
      <c r="DC106" s="455"/>
      <c r="DD106" s="442"/>
      <c r="DE106" s="442"/>
      <c r="DF106" s="442"/>
      <c r="DG106" s="442"/>
      <c r="DH106" s="442"/>
      <c r="DI106" s="455"/>
      <c r="DJ106" s="452"/>
      <c r="DK106" s="452"/>
      <c r="DL106" s="442"/>
      <c r="DM106" s="442"/>
      <c r="DN106" s="448"/>
      <c r="DO106" s="461"/>
      <c r="DP106" s="422"/>
      <c r="DQ106" s="422"/>
      <c r="DR106" s="452"/>
      <c r="DS106" s="448"/>
      <c r="DT106" s="442"/>
      <c r="DU106" s="442"/>
      <c r="DV106" s="435"/>
      <c r="DW106" s="428"/>
      <c r="DX106" s="428"/>
      <c r="DY106" s="455"/>
      <c r="DZ106" s="442"/>
      <c r="EA106" s="442"/>
      <c r="EB106" s="442"/>
      <c r="EC106" s="442"/>
      <c r="ED106" s="448"/>
      <c r="EE106" s="461"/>
      <c r="EF106" s="422"/>
      <c r="EG106" s="422"/>
      <c r="EH106" s="461"/>
      <c r="EI106" s="448"/>
      <c r="EJ106" s="442"/>
      <c r="EK106" s="442"/>
      <c r="EL106" s="442"/>
      <c r="EM106" s="442"/>
      <c r="EN106" s="455"/>
      <c r="EO106" s="291"/>
      <c r="EP106" s="416"/>
      <c r="EQ106" s="291"/>
      <c r="ER106" s="416"/>
      <c r="ES106" s="416"/>
      <c r="ET106" s="416"/>
      <c r="EU106" s="416"/>
      <c r="EV106" s="416"/>
      <c r="EW106" s="416"/>
      <c r="EX106" s="416"/>
      <c r="EY106" s="416"/>
      <c r="EZ106" s="292"/>
      <c r="FA106" s="416"/>
      <c r="FB106" s="206"/>
      <c r="FC106" s="416"/>
      <c r="FD106" s="416"/>
      <c r="FE106" s="483"/>
      <c r="FF106" s="321"/>
      <c r="FG106" s="321"/>
      <c r="FH106" s="321"/>
      <c r="FI106" s="321"/>
      <c r="FJ106"/>
      <c r="FK106"/>
      <c r="FL106"/>
      <c r="FM106"/>
      <c r="FN106"/>
      <c r="FO106"/>
      <c r="FP106" s="321"/>
      <c r="FQ106" s="321"/>
      <c r="FR106" s="321"/>
      <c r="FS106" s="321"/>
      <c r="FT106" s="564"/>
      <c r="FU106" s="483"/>
      <c r="FV106" s="321"/>
      <c r="FW106" s="321"/>
      <c r="FX106" s="321"/>
      <c r="FY106" s="321"/>
      <c r="FZ106" s="321"/>
      <c r="GA106" s="321"/>
      <c r="GB106" s="321"/>
      <c r="GC106" s="321"/>
      <c r="GD106" s="321"/>
      <c r="GE106" s="321"/>
      <c r="GF106" s="321"/>
      <c r="GG106" s="321"/>
      <c r="GH106" s="321"/>
      <c r="GI106" s="321"/>
      <c r="GJ106" s="564"/>
      <c r="GK106" s="483"/>
      <c r="GL106" s="321"/>
      <c r="GM106" s="321"/>
      <c r="GN106" s="321"/>
      <c r="GO106" s="321"/>
      <c r="GP106" s="321"/>
      <c r="GQ106" s="321"/>
      <c r="GR106" s="321"/>
      <c r="GS106" s="321"/>
      <c r="GT106" s="321"/>
      <c r="GU106" s="321"/>
      <c r="GV106" s="321"/>
      <c r="GW106" s="321"/>
      <c r="GX106" s="321"/>
      <c r="GY106" s="321"/>
      <c r="GZ106" s="564"/>
      <c r="HA106" s="483"/>
      <c r="HB106" s="321"/>
      <c r="HC106" s="321"/>
      <c r="HD106" s="321"/>
      <c r="HE106" s="321"/>
      <c r="HF106" s="321"/>
      <c r="HG106" s="321"/>
      <c r="HH106" s="321"/>
      <c r="HI106" s="321"/>
      <c r="HJ106" s="321"/>
      <c r="HK106" s="321"/>
      <c r="HL106" s="321"/>
      <c r="HM106" s="321"/>
      <c r="HN106" s="321"/>
      <c r="HO106" s="321"/>
      <c r="HP106" s="564"/>
      <c r="HQ106" s="483"/>
      <c r="HR106" s="321"/>
      <c r="HS106" s="321"/>
      <c r="HT106" s="321"/>
      <c r="HU106" s="321"/>
      <c r="HV106" s="321"/>
      <c r="HW106" s="321"/>
      <c r="HX106" s="321"/>
      <c r="HY106" s="321"/>
      <c r="HZ106" s="321"/>
      <c r="IA106" s="321"/>
      <c r="IB106" s="321"/>
      <c r="IC106" s="321"/>
      <c r="ID106" s="321"/>
      <c r="IE106" s="321"/>
      <c r="IF106" s="564"/>
      <c r="IG106" s="321"/>
      <c r="IH106" s="321"/>
      <c r="II106" s="321"/>
      <c r="IJ106" s="321"/>
      <c r="IK106" s="321"/>
      <c r="IL106" s="321"/>
      <c r="IM106" s="321"/>
      <c r="IN106" s="321"/>
      <c r="IO106" s="321"/>
      <c r="IP106" s="321"/>
      <c r="IQ106" s="321"/>
      <c r="IR106" s="321"/>
      <c r="IS106" s="321"/>
      <c r="IT106" s="321"/>
      <c r="IU106" s="321"/>
      <c r="IV106" s="564"/>
    </row>
    <row r="107" spans="1:256" s="328" customFormat="1" ht="8.25" customHeight="1">
      <c r="A107" s="427"/>
      <c r="B107" s="430"/>
      <c r="C107" s="422"/>
      <c r="D107" s="427"/>
      <c r="E107" s="422"/>
      <c r="F107" s="422"/>
      <c r="G107" s="417"/>
      <c r="H107" s="422"/>
      <c r="I107" s="411"/>
      <c r="J107" s="410"/>
      <c r="K107" s="411"/>
      <c r="L107" s="411"/>
      <c r="M107" s="411"/>
      <c r="N107" s="411"/>
      <c r="O107" s="411"/>
      <c r="P107" s="439"/>
      <c r="Q107" s="427"/>
      <c r="R107" s="430"/>
      <c r="S107" s="422"/>
      <c r="T107" s="427"/>
      <c r="U107" s="422"/>
      <c r="V107" s="422"/>
      <c r="W107" s="417"/>
      <c r="X107" s="422"/>
      <c r="Y107" s="411"/>
      <c r="Z107" s="410"/>
      <c r="AA107" s="411"/>
      <c r="AB107" s="411"/>
      <c r="AC107" s="411"/>
      <c r="AD107" s="411"/>
      <c r="AE107" s="411"/>
      <c r="AF107" s="439"/>
      <c r="AG107" s="427"/>
      <c r="AH107" s="427"/>
      <c r="AI107" s="441"/>
      <c r="AJ107" s="427"/>
      <c r="AK107" s="440"/>
      <c r="AL107" s="433"/>
      <c r="AM107" s="444"/>
      <c r="AN107" s="437"/>
      <c r="AO107" s="430"/>
      <c r="AP107" s="430"/>
      <c r="AQ107" s="425"/>
      <c r="AR107" s="422"/>
      <c r="AS107" s="427"/>
      <c r="AT107" s="427"/>
      <c r="AU107" s="427"/>
      <c r="AV107" s="418"/>
      <c r="AW107" s="427"/>
      <c r="AX107" s="427"/>
      <c r="AY107" s="427"/>
      <c r="AZ107" s="427"/>
      <c r="BA107" s="440"/>
      <c r="BB107" s="433"/>
      <c r="BC107" s="444"/>
      <c r="BD107" s="437"/>
      <c r="BE107" s="430"/>
      <c r="BF107" s="430"/>
      <c r="BG107" s="425"/>
      <c r="BH107" s="422"/>
      <c r="BI107" s="427"/>
      <c r="BJ107" s="427"/>
      <c r="BK107" s="427"/>
      <c r="BL107" s="418"/>
      <c r="BM107" s="423"/>
      <c r="BN107" s="427"/>
      <c r="BO107" s="423"/>
      <c r="BP107" s="423"/>
      <c r="BQ107" s="433"/>
      <c r="BR107" s="426"/>
      <c r="BS107" s="444"/>
      <c r="BT107" s="437"/>
      <c r="BU107" s="430"/>
      <c r="BV107" s="425"/>
      <c r="BW107" s="425"/>
      <c r="BX107" s="422"/>
      <c r="BY107" s="427"/>
      <c r="BZ107" s="423"/>
      <c r="CA107" s="418"/>
      <c r="CB107" s="418"/>
      <c r="CC107" s="418"/>
      <c r="CD107" s="418"/>
      <c r="CE107" s="418"/>
      <c r="CF107" s="423"/>
      <c r="CG107" s="418"/>
      <c r="CH107" s="440"/>
      <c r="CI107" s="433"/>
      <c r="CJ107" s="444"/>
      <c r="CK107" s="437"/>
      <c r="CL107" s="430"/>
      <c r="CM107" s="430"/>
      <c r="CN107" s="425"/>
      <c r="CO107" s="422"/>
      <c r="CP107" s="411"/>
      <c r="CQ107" s="411"/>
      <c r="CR107" s="411"/>
      <c r="CS107" s="455"/>
      <c r="CT107" s="442"/>
      <c r="CU107" s="442"/>
      <c r="CV107" s="442"/>
      <c r="CW107" s="442"/>
      <c r="CX107" s="461"/>
      <c r="CY107" s="443"/>
      <c r="CZ107" s="436"/>
      <c r="DA107" s="422"/>
      <c r="DB107" s="422"/>
      <c r="DC107" s="461"/>
      <c r="DD107" s="455"/>
      <c r="DE107" s="442"/>
      <c r="DF107" s="442"/>
      <c r="DG107" s="442"/>
      <c r="DH107" s="442"/>
      <c r="DI107" s="455"/>
      <c r="DJ107" s="428"/>
      <c r="DK107" s="435"/>
      <c r="DL107" s="442"/>
      <c r="DM107" s="411"/>
      <c r="DN107" s="452"/>
      <c r="DO107" s="452"/>
      <c r="DP107" s="429"/>
      <c r="DQ107" s="429"/>
      <c r="DR107" s="425"/>
      <c r="DS107" s="461"/>
      <c r="DT107" s="461"/>
      <c r="DU107" s="442"/>
      <c r="DV107" s="435"/>
      <c r="DW107" s="428"/>
      <c r="DX107" s="428"/>
      <c r="DY107" s="455"/>
      <c r="DZ107" s="442"/>
      <c r="EA107" s="442"/>
      <c r="EB107" s="442"/>
      <c r="EC107" s="461"/>
      <c r="ED107" s="461"/>
      <c r="EE107" s="429"/>
      <c r="EF107" s="429"/>
      <c r="EG107" s="429"/>
      <c r="EH107" s="425"/>
      <c r="EI107" s="461"/>
      <c r="EJ107" s="461"/>
      <c r="EK107" s="442"/>
      <c r="EL107" s="442"/>
      <c r="EM107" s="442"/>
      <c r="EN107" s="455"/>
      <c r="EO107" s="291"/>
      <c r="EP107" s="416"/>
      <c r="EQ107" s="291"/>
      <c r="ER107" s="416"/>
      <c r="ES107" s="416"/>
      <c r="ET107" s="416"/>
      <c r="EU107" s="416"/>
      <c r="EV107" s="416"/>
      <c r="EW107" s="416"/>
      <c r="EX107" s="416"/>
      <c r="EY107" s="416"/>
      <c r="EZ107" s="416"/>
      <c r="FA107" s="416"/>
      <c r="FB107" s="206"/>
      <c r="FC107" s="416"/>
      <c r="FD107" s="416"/>
      <c r="FE107" s="483"/>
      <c r="FF107" s="321"/>
      <c r="FG107" s="321"/>
      <c r="FH107" s="321"/>
      <c r="FI107" s="321"/>
      <c r="FJ107"/>
      <c r="FK107"/>
      <c r="FL107"/>
      <c r="FM107"/>
      <c r="FN107"/>
      <c r="FO107"/>
      <c r="FP107" s="321"/>
      <c r="FQ107" s="321"/>
      <c r="FR107" s="321"/>
      <c r="FS107" s="321"/>
      <c r="FT107" s="564"/>
      <c r="FU107" s="483"/>
      <c r="FV107" s="321"/>
      <c r="FW107" s="321"/>
      <c r="FX107" s="321"/>
      <c r="FY107" s="321"/>
      <c r="FZ107" s="321"/>
      <c r="GA107" s="321"/>
      <c r="GB107" s="321"/>
      <c r="GC107" s="321"/>
      <c r="GD107" s="321"/>
      <c r="GE107" s="321"/>
      <c r="GF107" s="321"/>
      <c r="GG107" s="321"/>
      <c r="GH107" s="321"/>
      <c r="GI107" s="321"/>
      <c r="GJ107" s="564"/>
      <c r="GK107" s="413"/>
      <c r="GL107" s="413"/>
      <c r="GM107" s="413"/>
      <c r="GN107" s="413"/>
      <c r="GO107" s="413"/>
      <c r="GP107" s="413"/>
      <c r="GQ107" s="413"/>
      <c r="GR107" s="413"/>
      <c r="GS107" s="413"/>
      <c r="GT107" s="413"/>
      <c r="GU107" s="413"/>
      <c r="GV107" s="413"/>
      <c r="GW107" s="413"/>
      <c r="GX107" s="413"/>
      <c r="GY107" s="413"/>
      <c r="GZ107" s="413"/>
      <c r="HA107" s="413"/>
      <c r="HB107" s="413"/>
      <c r="HC107" s="413"/>
      <c r="HD107" s="413"/>
      <c r="HE107" s="413"/>
      <c r="HF107" s="413"/>
      <c r="HG107" s="413"/>
      <c r="HH107" s="413"/>
      <c r="HI107" s="413"/>
      <c r="HJ107" s="413"/>
      <c r="HK107" s="413"/>
      <c r="HL107" s="413"/>
      <c r="HM107" s="413"/>
      <c r="HN107" s="413"/>
      <c r="HO107" s="413"/>
      <c r="HP107" s="413"/>
      <c r="HQ107" s="413"/>
      <c r="HR107" s="413"/>
      <c r="HS107" s="413"/>
      <c r="HT107" s="413"/>
      <c r="HU107" s="413"/>
      <c r="HV107" s="413"/>
      <c r="HW107" s="413"/>
      <c r="HX107" s="413"/>
      <c r="HY107" s="413"/>
      <c r="HZ107" s="413"/>
      <c r="IA107" s="413"/>
      <c r="IB107" s="413"/>
      <c r="IC107" s="413"/>
      <c r="ID107" s="413"/>
      <c r="IE107" s="413"/>
      <c r="IF107" s="413"/>
      <c r="IG107" s="413"/>
      <c r="IH107" s="413"/>
      <c r="II107" s="413"/>
      <c r="IJ107" s="413"/>
      <c r="IK107" s="413"/>
      <c r="IL107" s="413"/>
      <c r="IM107" s="413"/>
      <c r="IN107" s="413"/>
      <c r="IO107" s="413"/>
      <c r="IP107" s="413"/>
      <c r="IQ107" s="413"/>
      <c r="IR107" s="413"/>
      <c r="IS107" s="413"/>
      <c r="IT107" s="413"/>
      <c r="IU107" s="413"/>
      <c r="IV107" s="413"/>
    </row>
    <row r="108" spans="1:256" s="328" customFormat="1" ht="8.25" customHeight="1">
      <c r="A108" s="434"/>
      <c r="B108" s="427"/>
      <c r="C108" s="427"/>
      <c r="D108" s="427"/>
      <c r="E108" s="427"/>
      <c r="F108" s="427"/>
      <c r="G108" s="427"/>
      <c r="H108" s="411"/>
      <c r="I108" s="411"/>
      <c r="J108" s="439"/>
      <c r="K108" s="421"/>
      <c r="L108" s="421"/>
      <c r="M108" s="411"/>
      <c r="N108" s="411"/>
      <c r="O108" s="439"/>
      <c r="P108" s="439"/>
      <c r="Q108" s="434"/>
      <c r="R108" s="427"/>
      <c r="S108" s="427"/>
      <c r="T108" s="427"/>
      <c r="U108" s="427"/>
      <c r="V108" s="427"/>
      <c r="W108" s="427"/>
      <c r="X108" s="411"/>
      <c r="Y108" s="411"/>
      <c r="Z108" s="439"/>
      <c r="AA108" s="421"/>
      <c r="AB108" s="421"/>
      <c r="AC108" s="411"/>
      <c r="AD108" s="411"/>
      <c r="AE108" s="439"/>
      <c r="AF108" s="439"/>
      <c r="AG108" s="427"/>
      <c r="AH108" s="427"/>
      <c r="AI108" s="434"/>
      <c r="AJ108" s="427"/>
      <c r="AK108" s="440"/>
      <c r="AL108" s="433"/>
      <c r="AM108" s="430"/>
      <c r="AN108" s="430"/>
      <c r="AO108" s="437"/>
      <c r="AP108" s="425"/>
      <c r="AQ108" s="416"/>
      <c r="AR108" s="422"/>
      <c r="AS108" s="427"/>
      <c r="AT108" s="434"/>
      <c r="AU108" s="427"/>
      <c r="AV108" s="418"/>
      <c r="AW108" s="427"/>
      <c r="AX108" s="427"/>
      <c r="AY108" s="441"/>
      <c r="AZ108" s="427"/>
      <c r="BA108" s="440"/>
      <c r="BB108" s="433"/>
      <c r="BC108" s="430"/>
      <c r="BD108" s="430"/>
      <c r="BE108" s="437"/>
      <c r="BF108" s="425"/>
      <c r="BG108" s="416"/>
      <c r="BH108" s="422"/>
      <c r="BI108" s="427"/>
      <c r="BJ108" s="427"/>
      <c r="BK108" s="427"/>
      <c r="BL108" s="418"/>
      <c r="BM108" s="423"/>
      <c r="BN108" s="423"/>
      <c r="BO108" s="423"/>
      <c r="BP108" s="423"/>
      <c r="BQ108" s="433"/>
      <c r="BR108" s="426"/>
      <c r="BS108" s="430"/>
      <c r="BT108" s="430"/>
      <c r="BU108" s="430"/>
      <c r="BV108" s="416"/>
      <c r="BW108" s="415"/>
      <c r="BX108" s="422"/>
      <c r="BY108" s="423"/>
      <c r="BZ108" s="423"/>
      <c r="CA108" s="418"/>
      <c r="CB108" s="418"/>
      <c r="CC108" s="418"/>
      <c r="CD108" s="423"/>
      <c r="CE108" s="411"/>
      <c r="CF108" s="411"/>
      <c r="CG108" s="440"/>
      <c r="CH108" s="433"/>
      <c r="CI108" s="430"/>
      <c r="CJ108" s="430"/>
      <c r="CK108" s="437"/>
      <c r="CL108" s="411"/>
      <c r="CM108" s="411"/>
      <c r="CN108" s="452"/>
      <c r="CO108" s="452"/>
      <c r="CP108" s="418"/>
      <c r="CQ108" s="418"/>
      <c r="CR108" s="418"/>
      <c r="CS108" s="455"/>
      <c r="CT108" s="442"/>
      <c r="CU108" s="442"/>
      <c r="CV108" s="461"/>
      <c r="CW108" s="461"/>
      <c r="CX108" s="449"/>
      <c r="CY108" s="443"/>
      <c r="CZ108" s="443"/>
      <c r="DA108" s="429"/>
      <c r="DB108" s="409"/>
      <c r="DC108" s="420"/>
      <c r="DD108" s="461"/>
      <c r="DE108" s="455"/>
      <c r="DF108" s="442"/>
      <c r="DG108" s="442"/>
      <c r="DH108" s="442"/>
      <c r="DI108" s="455"/>
      <c r="DJ108" s="428"/>
      <c r="DK108" s="435"/>
      <c r="DL108" s="461"/>
      <c r="DM108" s="461"/>
      <c r="DN108" s="429"/>
      <c r="DO108" s="443"/>
      <c r="DP108" s="429"/>
      <c r="DQ108" s="429"/>
      <c r="DR108" s="452"/>
      <c r="DS108" s="452"/>
      <c r="DT108" s="452"/>
      <c r="DU108" s="461"/>
      <c r="DV108" s="411"/>
      <c r="DW108" s="452"/>
      <c r="DX108" s="452"/>
      <c r="DY108" s="455"/>
      <c r="DZ108" s="442"/>
      <c r="EA108" s="442"/>
      <c r="EB108" s="461"/>
      <c r="EC108" s="461"/>
      <c r="ED108" s="429"/>
      <c r="EE108" s="443"/>
      <c r="EF108" s="429"/>
      <c r="EG108" s="429"/>
      <c r="EH108" s="429"/>
      <c r="EI108" s="420"/>
      <c r="EJ108" s="461"/>
      <c r="EK108" s="461"/>
      <c r="EL108" s="442"/>
      <c r="EM108" s="442"/>
      <c r="EN108" s="455"/>
      <c r="EO108" s="291"/>
      <c r="EP108" s="416"/>
      <c r="EQ108" s="416"/>
      <c r="ER108" s="416"/>
      <c r="ES108" s="416"/>
      <c r="ET108" s="416"/>
      <c r="EU108" s="416"/>
      <c r="EV108" s="416"/>
      <c r="EW108" s="416"/>
      <c r="EX108" s="416"/>
      <c r="EY108" s="416"/>
      <c r="EZ108" s="416"/>
      <c r="FA108" s="416"/>
      <c r="FB108" s="416"/>
      <c r="FC108" s="416"/>
      <c r="FD108" s="416"/>
      <c r="FE108" s="483">
        <v>42</v>
      </c>
      <c r="FF108" s="321"/>
      <c r="FG108" s="321"/>
      <c r="FH108" s="321"/>
      <c r="FI108" s="321"/>
      <c r="FJ108"/>
      <c r="FK108"/>
      <c r="FL108"/>
      <c r="FM108"/>
      <c r="FN108"/>
      <c r="FO108"/>
      <c r="FP108" s="321"/>
      <c r="FQ108" s="321"/>
      <c r="FR108" s="321"/>
      <c r="FS108" s="321"/>
      <c r="FT108" s="564"/>
      <c r="FU108" s="483">
        <v>42</v>
      </c>
      <c r="FV108" s="321"/>
      <c r="FW108" s="321"/>
      <c r="FX108" s="321"/>
      <c r="FY108" s="321"/>
      <c r="FZ108" s="321"/>
      <c r="GA108" s="321"/>
      <c r="GB108" s="321"/>
      <c r="GC108" s="321"/>
      <c r="GD108" s="321"/>
      <c r="GE108" s="321"/>
      <c r="GF108" s="321"/>
      <c r="GG108" s="321"/>
      <c r="GH108" s="321"/>
      <c r="GI108" s="321"/>
      <c r="GJ108" s="564"/>
      <c r="GK108" s="413"/>
      <c r="GL108" s="451"/>
      <c r="GM108" s="451"/>
      <c r="GN108" s="428"/>
      <c r="GO108" s="431"/>
      <c r="GP108" s="451"/>
      <c r="GQ108" s="451"/>
      <c r="GR108" s="431"/>
      <c r="GS108" s="451"/>
      <c r="GT108" s="451"/>
      <c r="GU108" s="431"/>
      <c r="GV108" s="428"/>
      <c r="GW108" s="428"/>
      <c r="GX108" s="428"/>
      <c r="GY108" s="428"/>
      <c r="GZ108" s="413"/>
      <c r="HA108" s="413"/>
      <c r="HB108" s="451"/>
      <c r="HC108" s="431"/>
      <c r="HD108" s="431"/>
      <c r="HE108" s="451"/>
      <c r="HF108" s="451"/>
      <c r="HG108" s="428"/>
      <c r="HH108" s="451"/>
      <c r="HI108" s="451"/>
      <c r="HJ108" s="431"/>
      <c r="HK108" s="428"/>
      <c r="HL108" s="428"/>
      <c r="HM108" s="428"/>
      <c r="HN108" s="428"/>
      <c r="HO108" s="428"/>
      <c r="HP108" s="413"/>
      <c r="HQ108" s="413"/>
      <c r="HR108" s="431"/>
      <c r="HS108" s="451"/>
      <c r="HT108" s="451"/>
      <c r="HU108" s="431"/>
      <c r="HV108" s="451"/>
      <c r="HW108" s="431"/>
      <c r="HX108" s="428"/>
      <c r="HY108" s="428"/>
      <c r="HZ108" s="428"/>
      <c r="IA108" s="423"/>
      <c r="IB108" s="427"/>
      <c r="IC108" s="427"/>
      <c r="ID108" s="423"/>
      <c r="IE108" s="428"/>
      <c r="IF108" s="413"/>
      <c r="IG108" s="413"/>
      <c r="IH108" s="416"/>
      <c r="II108" s="416"/>
      <c r="IJ108" s="416"/>
      <c r="IK108" s="416"/>
      <c r="IL108" s="416"/>
      <c r="IM108" s="416"/>
      <c r="IN108" s="452"/>
      <c r="IO108" s="416"/>
      <c r="IP108" s="416"/>
      <c r="IQ108" s="416"/>
      <c r="IR108" s="416"/>
      <c r="IS108" s="416"/>
      <c r="IT108" s="416"/>
      <c r="IU108" s="452"/>
      <c r="IV108" s="413"/>
    </row>
    <row r="109" spans="1:256" s="328" customFormat="1" ht="8.25" customHeight="1">
      <c r="A109" s="434"/>
      <c r="B109" s="434"/>
      <c r="C109" s="427"/>
      <c r="D109" s="434"/>
      <c r="E109" s="434"/>
      <c r="F109" s="427"/>
      <c r="G109" s="427"/>
      <c r="H109" s="427"/>
      <c r="I109" s="432"/>
      <c r="J109" s="432"/>
      <c r="K109" s="439"/>
      <c r="L109" s="439"/>
      <c r="M109" s="421"/>
      <c r="N109" s="421"/>
      <c r="O109" s="421"/>
      <c r="P109" s="421"/>
      <c r="Q109" s="434"/>
      <c r="R109" s="434"/>
      <c r="S109" s="427"/>
      <c r="T109" s="434"/>
      <c r="U109" s="434"/>
      <c r="V109" s="427"/>
      <c r="W109" s="427"/>
      <c r="X109" s="427"/>
      <c r="Y109" s="432"/>
      <c r="Z109" s="432"/>
      <c r="AA109" s="439"/>
      <c r="AB109" s="439"/>
      <c r="AC109" s="421"/>
      <c r="AD109" s="421"/>
      <c r="AE109" s="421"/>
      <c r="AF109" s="421"/>
      <c r="AG109" s="427"/>
      <c r="AH109" s="427"/>
      <c r="AI109" s="427"/>
      <c r="AJ109" s="427"/>
      <c r="AK109" s="440"/>
      <c r="AL109" s="433"/>
      <c r="AM109" s="425"/>
      <c r="AN109" s="444"/>
      <c r="AO109" s="437"/>
      <c r="AP109" s="430"/>
      <c r="AQ109" s="416"/>
      <c r="AR109" s="422"/>
      <c r="AS109" s="427"/>
      <c r="AT109" s="427"/>
      <c r="AU109" s="427"/>
      <c r="AV109" s="418"/>
      <c r="AW109" s="427"/>
      <c r="AX109" s="427"/>
      <c r="AY109" s="434"/>
      <c r="AZ109" s="427"/>
      <c r="BA109" s="440"/>
      <c r="BB109" s="433"/>
      <c r="BC109" s="425"/>
      <c r="BD109" s="444"/>
      <c r="BE109" s="437"/>
      <c r="BF109" s="430"/>
      <c r="BG109" s="416"/>
      <c r="BH109" s="422"/>
      <c r="BI109" s="427"/>
      <c r="BJ109" s="434"/>
      <c r="BK109" s="427"/>
      <c r="BL109" s="418"/>
      <c r="BM109" s="423"/>
      <c r="BN109" s="423"/>
      <c r="BO109" s="434"/>
      <c r="BP109" s="423"/>
      <c r="BQ109" s="433"/>
      <c r="BR109" s="426"/>
      <c r="BS109" s="425"/>
      <c r="BT109" s="444"/>
      <c r="BU109" s="437"/>
      <c r="BV109" s="425"/>
      <c r="BW109" s="415"/>
      <c r="BX109" s="422"/>
      <c r="BY109" s="423"/>
      <c r="BZ109" s="423"/>
      <c r="CA109" s="418"/>
      <c r="CB109" s="418"/>
      <c r="CC109" s="418"/>
      <c r="CD109" s="418"/>
      <c r="CE109" s="418"/>
      <c r="CF109" s="440"/>
      <c r="CG109" s="433"/>
      <c r="CH109" s="425"/>
      <c r="CI109" s="444"/>
      <c r="CJ109" s="437"/>
      <c r="CK109" s="425"/>
      <c r="CL109" s="416"/>
      <c r="CM109" s="422"/>
      <c r="CN109" s="418"/>
      <c r="CO109" s="418"/>
      <c r="CP109" s="418"/>
      <c r="CQ109" s="410"/>
      <c r="CR109" s="418"/>
      <c r="CS109" s="455"/>
      <c r="CT109" s="448"/>
      <c r="CU109" s="448"/>
      <c r="CV109" s="461"/>
      <c r="CW109" s="459"/>
      <c r="CX109" s="429"/>
      <c r="CY109" s="459"/>
      <c r="CZ109" s="426"/>
      <c r="DA109" s="452"/>
      <c r="DB109" s="409"/>
      <c r="DC109" s="429"/>
      <c r="DD109" s="420"/>
      <c r="DE109" s="461"/>
      <c r="DF109" s="448"/>
      <c r="DG109" s="442"/>
      <c r="DH109" s="442"/>
      <c r="DI109" s="455"/>
      <c r="DJ109" s="411"/>
      <c r="DK109" s="452"/>
      <c r="DL109" s="461"/>
      <c r="DM109" s="420"/>
      <c r="DN109" s="443"/>
      <c r="DO109" s="459"/>
      <c r="DP109" s="433"/>
      <c r="DQ109" s="429"/>
      <c r="DR109" s="459"/>
      <c r="DS109" s="426"/>
      <c r="DT109" s="420"/>
      <c r="DU109" s="461"/>
      <c r="DV109" s="435"/>
      <c r="DW109" s="428"/>
      <c r="DX109" s="428"/>
      <c r="DY109" s="455"/>
      <c r="DZ109" s="448"/>
      <c r="EA109" s="448"/>
      <c r="EB109" s="461"/>
      <c r="EC109" s="420"/>
      <c r="ED109" s="443"/>
      <c r="EE109" s="459"/>
      <c r="EF109" s="433"/>
      <c r="EG109" s="429"/>
      <c r="EH109" s="459"/>
      <c r="EI109" s="426"/>
      <c r="EJ109" s="420"/>
      <c r="EK109" s="461"/>
      <c r="EL109" s="448"/>
      <c r="EM109" s="448"/>
      <c r="EN109" s="455"/>
      <c r="EO109" s="291"/>
      <c r="EP109" s="416"/>
      <c r="EQ109" s="291"/>
      <c r="ER109" s="416"/>
      <c r="ES109" s="416"/>
      <c r="ET109" s="416"/>
      <c r="EU109" s="416"/>
      <c r="EV109" s="416"/>
      <c r="EW109" s="416"/>
      <c r="EX109" s="416"/>
      <c r="EY109" s="416"/>
      <c r="EZ109" s="416"/>
      <c r="FA109" s="416"/>
      <c r="FB109" s="416"/>
      <c r="FC109" s="416"/>
      <c r="FD109" s="416"/>
      <c r="FE109" s="1308"/>
      <c r="FF109" s="321"/>
      <c r="FG109" s="321"/>
      <c r="FH109" s="321"/>
      <c r="FI109" s="321"/>
      <c r="FJ109"/>
      <c r="FK109"/>
      <c r="FL109"/>
      <c r="FM109"/>
      <c r="FN109"/>
      <c r="FO109"/>
      <c r="FP109" s="321"/>
      <c r="FQ109" s="321"/>
      <c r="FR109" s="321"/>
      <c r="FS109" s="321"/>
      <c r="FT109" s="564"/>
      <c r="FU109" s="1308"/>
      <c r="FV109" s="321"/>
      <c r="FW109" s="321"/>
      <c r="FX109" s="321"/>
      <c r="FY109" s="321"/>
      <c r="FZ109" s="321"/>
      <c r="GA109" s="321"/>
      <c r="GB109" s="321"/>
      <c r="GC109" s="321"/>
      <c r="GD109" s="321"/>
      <c r="GE109" s="321"/>
      <c r="GF109" s="321"/>
      <c r="GG109" s="321"/>
      <c r="GH109" s="321"/>
      <c r="GI109" s="321"/>
      <c r="GJ109" s="564"/>
      <c r="GK109" s="413">
        <v>0</v>
      </c>
      <c r="GL109" s="428"/>
      <c r="GM109" s="428"/>
      <c r="GN109" s="428"/>
      <c r="GO109" s="428"/>
      <c r="GP109" s="428"/>
      <c r="GQ109" s="428"/>
      <c r="GR109" s="428"/>
      <c r="GS109" s="428"/>
      <c r="GT109" s="428"/>
      <c r="GU109" s="428"/>
      <c r="GV109" s="428"/>
      <c r="GW109" s="428"/>
      <c r="GX109" s="428"/>
      <c r="GY109" s="428"/>
      <c r="GZ109" s="413"/>
      <c r="HA109" s="413"/>
      <c r="HB109" s="428"/>
      <c r="HC109" s="428"/>
      <c r="HD109" s="428"/>
      <c r="HE109" s="428"/>
      <c r="HF109" s="428"/>
      <c r="HG109" s="428"/>
      <c r="HH109" s="428"/>
      <c r="HI109" s="428"/>
      <c r="HJ109" s="428"/>
      <c r="HK109" s="428"/>
      <c r="HL109" s="428"/>
      <c r="HM109" s="428"/>
      <c r="HN109" s="428"/>
      <c r="HO109" s="428"/>
      <c r="HP109" s="413"/>
      <c r="HQ109" s="413">
        <v>0</v>
      </c>
      <c r="HR109" s="428"/>
      <c r="HS109" s="428"/>
      <c r="HT109" s="428"/>
      <c r="HU109" s="428"/>
      <c r="HV109" s="428"/>
      <c r="HW109" s="428"/>
      <c r="HX109" s="428"/>
      <c r="HY109" s="428"/>
      <c r="HZ109" s="428"/>
      <c r="IA109" s="428"/>
      <c r="IB109" s="428"/>
      <c r="IC109" s="428"/>
      <c r="ID109" s="428"/>
      <c r="IE109" s="428"/>
      <c r="IF109" s="413"/>
      <c r="IG109" s="413">
        <v>0</v>
      </c>
      <c r="IH109" s="416"/>
      <c r="II109" s="416"/>
      <c r="IJ109" s="416"/>
      <c r="IK109" s="416"/>
      <c r="IL109" s="416"/>
      <c r="IM109" s="452"/>
      <c r="IN109" s="416"/>
      <c r="IO109" s="416"/>
      <c r="IP109" s="416"/>
      <c r="IQ109" s="416"/>
      <c r="IR109" s="416"/>
      <c r="IS109" s="452"/>
      <c r="IT109" s="452"/>
      <c r="IU109" s="416"/>
      <c r="IV109" s="413"/>
    </row>
    <row r="110" spans="1:256" s="328" customFormat="1" ht="8.25" customHeight="1">
      <c r="A110" s="441"/>
      <c r="B110" s="441"/>
      <c r="C110" s="441"/>
      <c r="D110" s="434"/>
      <c r="E110" s="441"/>
      <c r="F110" s="429"/>
      <c r="G110" s="427"/>
      <c r="H110" s="434"/>
      <c r="I110" s="434"/>
      <c r="J110" s="434"/>
      <c r="K110" s="432"/>
      <c r="L110" s="432"/>
      <c r="M110" s="431"/>
      <c r="N110" s="439"/>
      <c r="O110" s="439"/>
      <c r="P110" s="439"/>
      <c r="Q110" s="441"/>
      <c r="R110" s="441"/>
      <c r="S110" s="441"/>
      <c r="T110" s="434"/>
      <c r="U110" s="429"/>
      <c r="V110" s="434"/>
      <c r="W110" s="434"/>
      <c r="X110" s="427"/>
      <c r="Y110" s="434"/>
      <c r="Z110" s="432"/>
      <c r="AA110" s="432"/>
      <c r="AB110" s="432"/>
      <c r="AC110" s="431"/>
      <c r="AD110" s="439"/>
      <c r="AE110" s="439"/>
      <c r="AF110" s="439"/>
      <c r="AG110" s="427"/>
      <c r="AH110" s="427"/>
      <c r="AI110" s="427"/>
      <c r="AJ110" s="434"/>
      <c r="AK110" s="440"/>
      <c r="AL110" s="451"/>
      <c r="AM110" s="433"/>
      <c r="AN110" s="437"/>
      <c r="AO110" s="437"/>
      <c r="AP110" s="430"/>
      <c r="AQ110" s="422"/>
      <c r="AR110" s="438"/>
      <c r="AS110" s="434"/>
      <c r="AT110" s="427"/>
      <c r="AU110" s="427"/>
      <c r="AV110" s="418"/>
      <c r="AW110" s="427"/>
      <c r="AX110" s="427"/>
      <c r="AY110" s="427"/>
      <c r="AZ110" s="427"/>
      <c r="BA110" s="440"/>
      <c r="BB110" s="451"/>
      <c r="BC110" s="433"/>
      <c r="BD110" s="437"/>
      <c r="BE110" s="437"/>
      <c r="BF110" s="430"/>
      <c r="BG110" s="422"/>
      <c r="BH110" s="438"/>
      <c r="BI110" s="434"/>
      <c r="BJ110" s="427"/>
      <c r="BK110" s="427"/>
      <c r="BL110" s="418"/>
      <c r="BM110" s="423"/>
      <c r="BN110" s="423"/>
      <c r="BO110" s="427"/>
      <c r="BP110" s="423"/>
      <c r="BQ110" s="433"/>
      <c r="BR110" s="451"/>
      <c r="BS110" s="426"/>
      <c r="BT110" s="437"/>
      <c r="BU110" s="437"/>
      <c r="BV110" s="425"/>
      <c r="BW110" s="422"/>
      <c r="BX110" s="438"/>
      <c r="BY110" s="423"/>
      <c r="BZ110" s="427"/>
      <c r="CA110" s="418"/>
      <c r="CB110" s="418"/>
      <c r="CC110" s="418">
        <v>5</v>
      </c>
      <c r="CD110" s="418"/>
      <c r="CE110" s="423"/>
      <c r="CF110" s="418"/>
      <c r="CG110" s="440"/>
      <c r="CH110" s="452"/>
      <c r="CI110" s="452"/>
      <c r="CJ110" s="452"/>
      <c r="CK110" s="437"/>
      <c r="CL110" s="425"/>
      <c r="CM110" s="422"/>
      <c r="CN110" s="438"/>
      <c r="CO110" s="418"/>
      <c r="CP110" s="418"/>
      <c r="CQ110" s="418"/>
      <c r="CR110" s="418"/>
      <c r="CS110" s="455">
        <v>25</v>
      </c>
      <c r="CT110" s="448"/>
      <c r="CU110" s="448"/>
      <c r="CV110" s="461"/>
      <c r="CW110" s="446"/>
      <c r="CX110" s="436"/>
      <c r="CY110" s="426"/>
      <c r="CZ110" s="426"/>
      <c r="DA110" s="436"/>
      <c r="DB110" s="436"/>
      <c r="DC110" s="409"/>
      <c r="DD110" s="429"/>
      <c r="DE110" s="461"/>
      <c r="DF110" s="442"/>
      <c r="DG110" s="442"/>
      <c r="DH110" s="442"/>
      <c r="DI110" s="428">
        <v>5</v>
      </c>
      <c r="DJ110" s="428"/>
      <c r="DK110" s="435"/>
      <c r="DL110" s="448"/>
      <c r="DM110" s="461"/>
      <c r="DN110" s="420"/>
      <c r="DO110" s="429"/>
      <c r="DP110" s="446"/>
      <c r="DQ110" s="452"/>
      <c r="DR110" s="452"/>
      <c r="DS110" s="411"/>
      <c r="DT110" s="409"/>
      <c r="DU110" s="420"/>
      <c r="DV110" s="435"/>
      <c r="DW110" s="428"/>
      <c r="DX110" s="428"/>
      <c r="DY110" s="455">
        <v>26</v>
      </c>
      <c r="DZ110" s="448"/>
      <c r="EA110" s="448"/>
      <c r="EB110" s="461"/>
      <c r="EC110" s="420"/>
      <c r="ED110" s="429"/>
      <c r="EE110" s="446"/>
      <c r="EF110" s="436"/>
      <c r="EG110" s="409"/>
      <c r="EH110" s="446"/>
      <c r="EI110" s="409"/>
      <c r="EJ110" s="420"/>
      <c r="EK110" s="461"/>
      <c r="EL110" s="448"/>
      <c r="EM110" s="448"/>
      <c r="EN110" s="455"/>
      <c r="EO110" s="291"/>
      <c r="EP110" s="416"/>
      <c r="EQ110" s="416"/>
      <c r="ER110" s="416"/>
      <c r="ES110" s="416"/>
      <c r="ET110" s="416"/>
      <c r="EU110" s="416"/>
      <c r="EV110" s="416"/>
      <c r="EW110" s="416"/>
      <c r="EX110" s="416"/>
      <c r="EY110" s="416"/>
      <c r="EZ110" s="416"/>
      <c r="FA110" s="416"/>
      <c r="FB110" s="416"/>
      <c r="FC110" s="416"/>
      <c r="FD110" s="416"/>
      <c r="FE110" s="1308"/>
      <c r="FF110" s="321"/>
      <c r="FG110" s="321"/>
      <c r="FH110" s="321"/>
      <c r="FI110" s="321"/>
      <c r="FJ110"/>
      <c r="FK110"/>
      <c r="FL110"/>
      <c r="FM110"/>
      <c r="FN110"/>
      <c r="FO110"/>
      <c r="FP110" s="321"/>
      <c r="FQ110" s="321"/>
      <c r="FR110" s="321"/>
      <c r="FS110" s="321"/>
      <c r="FT110" s="564"/>
      <c r="FU110" s="1308"/>
      <c r="FV110" s="321"/>
      <c r="FW110" s="321"/>
      <c r="FX110" s="321"/>
      <c r="FY110" s="321"/>
      <c r="FZ110" s="321"/>
      <c r="GA110" s="321"/>
      <c r="GB110" s="321"/>
      <c r="GC110" s="321"/>
      <c r="GD110" s="321"/>
      <c r="GE110" s="321"/>
      <c r="GF110" s="321"/>
      <c r="GG110" s="321"/>
      <c r="GH110" s="321"/>
      <c r="GI110" s="321"/>
      <c r="GJ110" s="564"/>
      <c r="GK110" s="413"/>
      <c r="GL110" s="451"/>
      <c r="GM110" s="431"/>
      <c r="GN110" s="431"/>
      <c r="GO110" s="451"/>
      <c r="GP110" s="431"/>
      <c r="GQ110" s="428"/>
      <c r="GR110" s="451"/>
      <c r="GS110" s="451"/>
      <c r="GT110" s="431"/>
      <c r="GU110" s="428"/>
      <c r="GV110" s="428"/>
      <c r="GW110" s="428"/>
      <c r="GX110" s="428"/>
      <c r="GY110" s="428"/>
      <c r="GZ110" s="426"/>
      <c r="HA110" s="413">
        <v>26</v>
      </c>
      <c r="HB110" s="431"/>
      <c r="HC110" s="451"/>
      <c r="HD110" s="451"/>
      <c r="HE110" s="431"/>
      <c r="HF110" s="451"/>
      <c r="HG110" s="431"/>
      <c r="HH110" s="428"/>
      <c r="HI110" s="428"/>
      <c r="HJ110" s="428"/>
      <c r="HK110" s="423"/>
      <c r="HL110" s="427"/>
      <c r="HM110" s="427"/>
      <c r="HN110" s="423"/>
      <c r="HO110" s="428"/>
      <c r="HP110" s="426"/>
      <c r="HQ110" s="413"/>
      <c r="HR110" s="451"/>
      <c r="HS110" s="451"/>
      <c r="HT110" s="428"/>
      <c r="HU110" s="431"/>
      <c r="HV110" s="451"/>
      <c r="HW110" s="451"/>
      <c r="HX110" s="431"/>
      <c r="HY110" s="451"/>
      <c r="HZ110" s="451"/>
      <c r="IA110" s="431"/>
      <c r="IB110" s="428"/>
      <c r="IC110" s="428"/>
      <c r="ID110" s="428"/>
      <c r="IE110" s="428"/>
      <c r="IF110" s="426"/>
      <c r="IG110" s="413"/>
      <c r="IH110" s="416"/>
      <c r="II110" s="416"/>
      <c r="IJ110" s="416"/>
      <c r="IK110" s="416"/>
      <c r="IL110" s="416"/>
      <c r="IM110" s="416"/>
      <c r="IN110" s="416"/>
      <c r="IO110" s="416"/>
      <c r="IP110" s="416"/>
      <c r="IQ110" s="416"/>
      <c r="IR110" s="452"/>
      <c r="IS110" s="416"/>
      <c r="IT110" s="416"/>
      <c r="IU110" s="416"/>
      <c r="IV110" s="417"/>
    </row>
    <row r="111" spans="1:256" s="328" customFormat="1" ht="8.25" customHeight="1">
      <c r="A111" s="441"/>
      <c r="B111" s="433"/>
      <c r="C111" s="426"/>
      <c r="D111" s="422"/>
      <c r="E111" s="441"/>
      <c r="F111" s="421"/>
      <c r="G111" s="441"/>
      <c r="H111" s="432"/>
      <c r="I111" s="444"/>
      <c r="J111" s="425"/>
      <c r="K111" s="429"/>
      <c r="L111" s="451"/>
      <c r="M111" s="421"/>
      <c r="N111" s="432"/>
      <c r="O111" s="432"/>
      <c r="P111" s="432"/>
      <c r="Q111" s="441"/>
      <c r="R111" s="433"/>
      <c r="S111" s="426"/>
      <c r="T111" s="422"/>
      <c r="U111" s="421"/>
      <c r="V111" s="441"/>
      <c r="W111" s="432"/>
      <c r="X111" s="444"/>
      <c r="Y111" s="425"/>
      <c r="Z111" s="429"/>
      <c r="AA111" s="441"/>
      <c r="AB111" s="451"/>
      <c r="AC111" s="421"/>
      <c r="AD111" s="432"/>
      <c r="AE111" s="432"/>
      <c r="AF111" s="432"/>
      <c r="AG111" s="427"/>
      <c r="AH111" s="434"/>
      <c r="AI111" s="427"/>
      <c r="AJ111" s="427"/>
      <c r="AK111" s="451"/>
      <c r="AL111" s="440"/>
      <c r="AM111" s="438"/>
      <c r="AN111" s="457"/>
      <c r="AO111" s="444"/>
      <c r="AP111" s="444"/>
      <c r="AQ111" s="438"/>
      <c r="AR111" s="440"/>
      <c r="AS111" s="451"/>
      <c r="AT111" s="427"/>
      <c r="AU111" s="427"/>
      <c r="AV111" s="418"/>
      <c r="AW111" s="427"/>
      <c r="AX111" s="427"/>
      <c r="AY111" s="427"/>
      <c r="AZ111" s="434"/>
      <c r="BA111" s="451"/>
      <c r="BB111" s="440"/>
      <c r="BC111" s="438"/>
      <c r="BD111" s="457"/>
      <c r="BE111" s="444"/>
      <c r="BF111" s="444"/>
      <c r="BG111" s="438"/>
      <c r="BH111" s="440"/>
      <c r="BI111" s="451"/>
      <c r="BJ111" s="427"/>
      <c r="BK111" s="427"/>
      <c r="BL111" s="418"/>
      <c r="BM111" s="423"/>
      <c r="BN111" s="423"/>
      <c r="BO111" s="423"/>
      <c r="BP111" s="423"/>
      <c r="BQ111" s="451"/>
      <c r="BR111" s="453"/>
      <c r="BS111" s="438"/>
      <c r="BT111" s="444"/>
      <c r="BU111" s="437"/>
      <c r="BV111" s="425"/>
      <c r="BW111" s="438"/>
      <c r="BX111" s="453"/>
      <c r="BY111" s="438"/>
      <c r="BZ111" s="423"/>
      <c r="CA111" s="418"/>
      <c r="CB111" s="418"/>
      <c r="CC111" s="411">
        <v>24</v>
      </c>
      <c r="CD111" s="411"/>
      <c r="CE111" s="411"/>
      <c r="CF111" s="418"/>
      <c r="CG111" s="451"/>
      <c r="CH111" s="453"/>
      <c r="CI111" s="431"/>
      <c r="CJ111" s="444"/>
      <c r="CK111" s="437"/>
      <c r="CL111" s="430"/>
      <c r="CM111" s="438"/>
      <c r="CN111" s="453"/>
      <c r="CO111" s="431"/>
      <c r="CP111" s="423"/>
      <c r="CQ111" s="439"/>
      <c r="CR111" s="452"/>
      <c r="CS111" s="455">
        <v>48</v>
      </c>
      <c r="CT111" s="455"/>
      <c r="CU111" s="461"/>
      <c r="CV111" s="461"/>
      <c r="CW111" s="461"/>
      <c r="CX111" s="429"/>
      <c r="CY111" s="429"/>
      <c r="CZ111" s="429"/>
      <c r="DA111" s="420"/>
      <c r="DB111" s="409"/>
      <c r="DC111" s="429"/>
      <c r="DD111" s="409"/>
      <c r="DE111" s="420"/>
      <c r="DF111" s="461"/>
      <c r="DG111" s="442"/>
      <c r="DH111" s="442"/>
      <c r="DI111" s="428">
        <v>32</v>
      </c>
      <c r="DJ111" s="428"/>
      <c r="DK111" s="435"/>
      <c r="DL111" s="452"/>
      <c r="DM111" s="452"/>
      <c r="DN111" s="461"/>
      <c r="DO111" s="461"/>
      <c r="DP111" s="409"/>
      <c r="DQ111" s="429"/>
      <c r="DR111" s="409"/>
      <c r="DS111" s="409"/>
      <c r="DT111" s="420"/>
      <c r="DU111" s="420"/>
      <c r="DV111" s="435"/>
      <c r="DW111" s="428"/>
      <c r="DX111" s="428"/>
      <c r="DY111" s="455">
        <v>48</v>
      </c>
      <c r="DZ111" s="455"/>
      <c r="EA111" s="461"/>
      <c r="EB111" s="461"/>
      <c r="EC111" s="461"/>
      <c r="ED111" s="409"/>
      <c r="EE111" s="429"/>
      <c r="EF111" s="409"/>
      <c r="EG111" s="409"/>
      <c r="EH111" s="420"/>
      <c r="EI111" s="420"/>
      <c r="EJ111" s="461"/>
      <c r="EK111" s="461"/>
      <c r="EL111" s="461"/>
      <c r="EM111" s="455"/>
      <c r="EN111" s="455"/>
      <c r="EO111" s="416"/>
      <c r="EP111" s="416"/>
      <c r="EQ111" s="416"/>
      <c r="ER111" s="416"/>
      <c r="ES111" s="416"/>
      <c r="ET111" s="416"/>
      <c r="EU111" s="416"/>
      <c r="EV111" s="416"/>
      <c r="EW111" s="416"/>
      <c r="EX111" s="416"/>
      <c r="EY111" s="416"/>
      <c r="EZ111" s="416"/>
      <c r="FA111" s="416"/>
      <c r="FB111" s="206"/>
      <c r="FC111" s="416"/>
      <c r="FD111" s="206"/>
      <c r="FE111" s="483"/>
      <c r="FF111" s="321"/>
      <c r="FG111" s="321"/>
      <c r="FH111" s="321"/>
      <c r="FI111" s="321"/>
      <c r="FJ111"/>
      <c r="FK111"/>
      <c r="FL111"/>
      <c r="FM111"/>
      <c r="FN111"/>
      <c r="FO111"/>
      <c r="FP111" s="321"/>
      <c r="FQ111" s="321"/>
      <c r="FR111" s="321"/>
      <c r="FS111" s="321"/>
      <c r="FT111" s="564"/>
      <c r="FU111" s="483"/>
      <c r="FV111" s="321"/>
      <c r="FW111" s="321"/>
      <c r="FX111" s="321"/>
      <c r="FY111" s="321"/>
      <c r="FZ111" s="321"/>
      <c r="GA111" s="321"/>
      <c r="GB111" s="321"/>
      <c r="GC111" s="321"/>
      <c r="GD111" s="321"/>
      <c r="GE111" s="321"/>
      <c r="GF111" s="321"/>
      <c r="GG111" s="321"/>
      <c r="GH111" s="321"/>
      <c r="GI111" s="321"/>
      <c r="GJ111" s="564"/>
      <c r="GK111" s="413"/>
      <c r="GL111" s="428"/>
      <c r="GM111" s="428"/>
      <c r="GN111" s="428"/>
      <c r="GO111" s="428"/>
      <c r="GP111" s="428"/>
      <c r="GQ111" s="428"/>
      <c r="GR111" s="428"/>
      <c r="GS111" s="428"/>
      <c r="GT111" s="428"/>
      <c r="GU111" s="428"/>
      <c r="GV111" s="428"/>
      <c r="GW111" s="428"/>
      <c r="GX111" s="428"/>
      <c r="GY111" s="428"/>
      <c r="GZ111" s="413"/>
      <c r="HA111" s="413">
        <v>32</v>
      </c>
      <c r="HB111" s="428"/>
      <c r="HC111" s="428"/>
      <c r="HD111" s="428"/>
      <c r="HE111" s="428"/>
      <c r="HF111" s="428"/>
      <c r="HG111" s="428"/>
      <c r="HH111" s="428"/>
      <c r="HI111" s="428"/>
      <c r="HJ111" s="428"/>
      <c r="HK111" s="428"/>
      <c r="HL111" s="428"/>
      <c r="HM111" s="428"/>
      <c r="HN111" s="428"/>
      <c r="HO111" s="428"/>
      <c r="HP111" s="413"/>
      <c r="HQ111" s="413"/>
      <c r="HR111" s="428"/>
      <c r="HS111" s="428"/>
      <c r="HT111" s="428"/>
      <c r="HU111" s="428"/>
      <c r="HV111" s="428"/>
      <c r="HW111" s="428"/>
      <c r="HX111" s="428"/>
      <c r="HY111" s="428"/>
      <c r="HZ111" s="428"/>
      <c r="IA111" s="428"/>
      <c r="IB111" s="428"/>
      <c r="IC111" s="428"/>
      <c r="ID111" s="428"/>
      <c r="IE111" s="428"/>
      <c r="IF111" s="413"/>
      <c r="IG111" s="413"/>
      <c r="IH111" s="452"/>
      <c r="II111" s="416"/>
      <c r="IJ111" s="416"/>
      <c r="IK111" s="416"/>
      <c r="IL111" s="416"/>
      <c r="IM111" s="416"/>
      <c r="IN111" s="452"/>
      <c r="IO111" s="416"/>
      <c r="IP111" s="416"/>
      <c r="IQ111" s="452"/>
      <c r="IR111" s="416"/>
      <c r="IS111" s="416"/>
      <c r="IT111" s="416"/>
      <c r="IU111" s="416"/>
      <c r="IV111" s="413"/>
    </row>
    <row r="112" spans="1:256" s="328" customFormat="1" ht="8.25" customHeight="1">
      <c r="A112" s="441">
        <v>56</v>
      </c>
      <c r="B112" s="426"/>
      <c r="C112" s="422"/>
      <c r="D112" s="429"/>
      <c r="E112" s="441"/>
      <c r="F112" s="416"/>
      <c r="G112" s="426"/>
      <c r="H112" s="426"/>
      <c r="I112" s="426"/>
      <c r="J112" s="422"/>
      <c r="K112" s="417"/>
      <c r="L112" s="431"/>
      <c r="M112" s="417"/>
      <c r="N112" s="441"/>
      <c r="O112" s="441"/>
      <c r="P112" s="411"/>
      <c r="Q112" s="441">
        <v>56</v>
      </c>
      <c r="R112" s="426"/>
      <c r="S112" s="422"/>
      <c r="T112" s="429"/>
      <c r="U112" s="416"/>
      <c r="V112" s="426"/>
      <c r="W112" s="426"/>
      <c r="X112" s="426"/>
      <c r="Y112" s="422"/>
      <c r="Z112" s="417"/>
      <c r="AA112" s="417"/>
      <c r="AB112" s="431"/>
      <c r="AC112" s="436"/>
      <c r="AD112" s="434"/>
      <c r="AE112" s="434"/>
      <c r="AF112" s="411"/>
      <c r="AG112" s="427">
        <v>56</v>
      </c>
      <c r="AH112" s="427"/>
      <c r="AI112" s="427"/>
      <c r="AJ112" s="427"/>
      <c r="AK112" s="440"/>
      <c r="AL112" s="438"/>
      <c r="AM112" s="433"/>
      <c r="AN112" s="415"/>
      <c r="AO112" s="426"/>
      <c r="AP112" s="415"/>
      <c r="AQ112" s="422"/>
      <c r="AR112" s="438"/>
      <c r="AS112" s="427"/>
      <c r="AT112" s="441"/>
      <c r="AU112" s="427"/>
      <c r="AV112" s="418"/>
      <c r="AW112" s="427">
        <v>56</v>
      </c>
      <c r="AX112" s="434"/>
      <c r="AY112" s="427"/>
      <c r="AZ112" s="427"/>
      <c r="BA112" s="440"/>
      <c r="BB112" s="438"/>
      <c r="BC112" s="433"/>
      <c r="BD112" s="415"/>
      <c r="BE112" s="426"/>
      <c r="BF112" s="415"/>
      <c r="BG112" s="422"/>
      <c r="BH112" s="438"/>
      <c r="BI112" s="427"/>
      <c r="BJ112" s="427"/>
      <c r="BK112" s="427"/>
      <c r="BL112" s="418"/>
      <c r="BM112" s="423">
        <v>56</v>
      </c>
      <c r="BN112" s="423"/>
      <c r="BO112" s="423"/>
      <c r="BP112" s="427"/>
      <c r="BQ112" s="433"/>
      <c r="BR112" s="438"/>
      <c r="BS112" s="426"/>
      <c r="BT112" s="415"/>
      <c r="BU112" s="426"/>
      <c r="BV112" s="415"/>
      <c r="BW112" s="422"/>
      <c r="BX112" s="438"/>
      <c r="BY112" s="423"/>
      <c r="BZ112" s="423"/>
      <c r="CA112" s="418"/>
      <c r="CB112" s="418"/>
      <c r="CC112" s="418">
        <v>56</v>
      </c>
      <c r="CD112" s="418"/>
      <c r="CE112" s="418"/>
      <c r="CF112" s="418"/>
      <c r="CG112" s="440"/>
      <c r="CH112" s="431"/>
      <c r="CI112" s="433"/>
      <c r="CJ112" s="415"/>
      <c r="CK112" s="426"/>
      <c r="CL112" s="439"/>
      <c r="CM112" s="439"/>
      <c r="CN112" s="452"/>
      <c r="CO112" s="452"/>
      <c r="CP112" s="418"/>
      <c r="CQ112" s="418"/>
      <c r="CR112" s="418"/>
      <c r="CS112" s="455">
        <v>57</v>
      </c>
      <c r="CT112" s="455"/>
      <c r="CU112" s="461"/>
      <c r="CV112" s="461"/>
      <c r="CW112" s="461"/>
      <c r="CX112" s="461"/>
      <c r="CY112" s="411"/>
      <c r="CZ112" s="409"/>
      <c r="DA112" s="420"/>
      <c r="DB112" s="420"/>
      <c r="DC112" s="409"/>
      <c r="DD112" s="420"/>
      <c r="DE112" s="409"/>
      <c r="DF112" s="461"/>
      <c r="DG112" s="442"/>
      <c r="DH112" s="442"/>
      <c r="DI112" s="428">
        <v>57</v>
      </c>
      <c r="DJ112" s="428"/>
      <c r="DK112" s="435"/>
      <c r="DL112" s="461"/>
      <c r="DM112" s="461"/>
      <c r="DN112" s="425"/>
      <c r="DO112" s="429"/>
      <c r="DP112" s="409"/>
      <c r="DQ112" s="409"/>
      <c r="DR112" s="420"/>
      <c r="DS112" s="415"/>
      <c r="DT112" s="461"/>
      <c r="DU112" s="461"/>
      <c r="DV112" s="452"/>
      <c r="DW112" s="452"/>
      <c r="DX112" s="452"/>
      <c r="DY112" s="455">
        <v>57</v>
      </c>
      <c r="DZ112" s="455"/>
      <c r="EA112" s="461"/>
      <c r="EB112" s="461"/>
      <c r="EC112" s="461"/>
      <c r="ED112" s="425"/>
      <c r="EE112" s="429"/>
      <c r="EF112" s="409"/>
      <c r="EG112" s="409"/>
      <c r="EH112" s="420"/>
      <c r="EI112" s="415"/>
      <c r="EJ112" s="461"/>
      <c r="EK112" s="461"/>
      <c r="EL112" s="461"/>
      <c r="EM112" s="455"/>
      <c r="EN112" s="455"/>
      <c r="EO112" s="416"/>
      <c r="EP112" s="416"/>
      <c r="EQ112" s="291"/>
      <c r="ER112" s="416"/>
      <c r="ES112" s="416"/>
      <c r="ET112" s="416"/>
      <c r="EU112" s="416"/>
      <c r="EV112" s="416"/>
      <c r="EW112" s="416"/>
      <c r="EX112" s="416"/>
      <c r="EY112" s="416"/>
      <c r="EZ112" s="416"/>
      <c r="FA112" s="416"/>
      <c r="FB112" s="206"/>
      <c r="FC112" s="416"/>
      <c r="FD112" s="206"/>
      <c r="FE112" s="483"/>
      <c r="FF112" s="321"/>
      <c r="FG112" s="321"/>
      <c r="FH112" s="321"/>
      <c r="FI112" s="321"/>
      <c r="FJ112"/>
      <c r="FK112"/>
      <c r="FL112"/>
      <c r="FM112"/>
      <c r="FN112"/>
      <c r="FO112"/>
      <c r="FP112" s="321"/>
      <c r="FQ112" s="321"/>
      <c r="FR112" s="321"/>
      <c r="FS112" s="321"/>
      <c r="FT112" s="564"/>
      <c r="FU112" s="483"/>
      <c r="FV112" s="321"/>
      <c r="FW112" s="321"/>
      <c r="FX112" s="321"/>
      <c r="FY112" s="321"/>
      <c r="FZ112" s="321"/>
      <c r="GA112" s="321"/>
      <c r="GB112" s="321"/>
      <c r="GC112" s="321"/>
      <c r="GD112" s="321"/>
      <c r="GE112" s="321"/>
      <c r="GF112" s="321"/>
      <c r="GG112" s="321"/>
      <c r="GH112" s="321"/>
      <c r="GI112" s="321"/>
      <c r="GJ112" s="564"/>
      <c r="GK112" s="413">
        <v>58</v>
      </c>
      <c r="GL112" s="431"/>
      <c r="GM112" s="451"/>
      <c r="GN112" s="451"/>
      <c r="GO112" s="431"/>
      <c r="GP112" s="451"/>
      <c r="GQ112" s="431"/>
      <c r="GR112" s="428"/>
      <c r="GS112" s="428"/>
      <c r="GT112" s="428"/>
      <c r="GU112" s="423"/>
      <c r="GV112" s="427"/>
      <c r="GW112" s="427"/>
      <c r="GX112" s="423"/>
      <c r="GY112" s="428"/>
      <c r="GZ112" s="423"/>
      <c r="HA112" s="413">
        <v>59</v>
      </c>
      <c r="HB112" s="451"/>
      <c r="HC112" s="451"/>
      <c r="HD112" s="428"/>
      <c r="HE112" s="431"/>
      <c r="HF112" s="451"/>
      <c r="HG112" s="451"/>
      <c r="HH112" s="431"/>
      <c r="HI112" s="451"/>
      <c r="HJ112" s="451"/>
      <c r="HK112" s="431"/>
      <c r="HL112" s="428"/>
      <c r="HM112" s="428"/>
      <c r="HN112" s="428"/>
      <c r="HO112" s="428"/>
      <c r="HP112" s="423"/>
      <c r="HQ112" s="413">
        <v>60</v>
      </c>
      <c r="HR112" s="451"/>
      <c r="HS112" s="431"/>
      <c r="HT112" s="431"/>
      <c r="HU112" s="451"/>
      <c r="HV112" s="431"/>
      <c r="HW112" s="428"/>
      <c r="HX112" s="451"/>
      <c r="HY112" s="451"/>
      <c r="HZ112" s="431"/>
      <c r="IA112" s="428"/>
      <c r="IB112" s="428"/>
      <c r="IC112" s="428"/>
      <c r="ID112" s="428"/>
      <c r="IE112" s="428"/>
      <c r="IF112" s="423"/>
      <c r="IG112" s="413">
        <v>115</v>
      </c>
      <c r="IH112" s="416"/>
      <c r="II112" s="452"/>
      <c r="IJ112" s="452"/>
      <c r="IK112" s="416"/>
      <c r="IL112" s="416"/>
      <c r="IM112" s="452"/>
      <c r="IN112" s="413"/>
      <c r="IO112" s="413"/>
      <c r="IP112" s="452"/>
      <c r="IQ112" s="416"/>
      <c r="IR112" s="416"/>
      <c r="IS112" s="416"/>
      <c r="IT112" s="452"/>
      <c r="IU112" s="416"/>
      <c r="IV112" s="414"/>
    </row>
    <row r="113" spans="1:256" s="328" customFormat="1" ht="8.25" customHeight="1">
      <c r="A113" s="441">
        <v>1</v>
      </c>
      <c r="B113" s="422"/>
      <c r="C113" s="422"/>
      <c r="D113" s="436"/>
      <c r="E113" s="441"/>
      <c r="F113" s="416"/>
      <c r="G113" s="441"/>
      <c r="H113" s="422"/>
      <c r="I113" s="434"/>
      <c r="J113" s="434"/>
      <c r="K113" s="451"/>
      <c r="L113" s="421"/>
      <c r="M113" s="436"/>
      <c r="N113" s="409"/>
      <c r="O113" s="439"/>
      <c r="P113" s="432"/>
      <c r="Q113" s="441">
        <v>1</v>
      </c>
      <c r="R113" s="422"/>
      <c r="S113" s="422"/>
      <c r="T113" s="436"/>
      <c r="U113" s="416"/>
      <c r="V113" s="441"/>
      <c r="W113" s="422"/>
      <c r="X113" s="434"/>
      <c r="Y113" s="434"/>
      <c r="Z113" s="417"/>
      <c r="AA113" s="451"/>
      <c r="AB113" s="421"/>
      <c r="AC113" s="416"/>
      <c r="AD113" s="434"/>
      <c r="AE113" s="434"/>
      <c r="AF113" s="432"/>
      <c r="AG113" s="427">
        <v>1</v>
      </c>
      <c r="AH113" s="434"/>
      <c r="AI113" s="427"/>
      <c r="AJ113" s="427"/>
      <c r="AK113" s="440"/>
      <c r="AL113" s="433"/>
      <c r="AM113" s="433"/>
      <c r="AN113" s="432"/>
      <c r="AO113" s="426"/>
      <c r="AP113" s="416"/>
      <c r="AQ113" s="422"/>
      <c r="AR113" s="422"/>
      <c r="AS113" s="427"/>
      <c r="AT113" s="434"/>
      <c r="AU113" s="427"/>
      <c r="AV113" s="418"/>
      <c r="AW113" s="427">
        <v>1</v>
      </c>
      <c r="AX113" s="427"/>
      <c r="AY113" s="427"/>
      <c r="AZ113" s="427"/>
      <c r="BA113" s="440"/>
      <c r="BB113" s="433"/>
      <c r="BC113" s="433"/>
      <c r="BD113" s="432"/>
      <c r="BE113" s="426"/>
      <c r="BF113" s="416"/>
      <c r="BG113" s="422"/>
      <c r="BH113" s="422"/>
      <c r="BI113" s="427"/>
      <c r="BJ113" s="441"/>
      <c r="BK113" s="427"/>
      <c r="BL113" s="418"/>
      <c r="BM113" s="423">
        <v>1</v>
      </c>
      <c r="BN113" s="427"/>
      <c r="BO113" s="423"/>
      <c r="BP113" s="423"/>
      <c r="BQ113" s="433"/>
      <c r="BR113" s="426"/>
      <c r="BS113" s="426"/>
      <c r="BT113" s="432"/>
      <c r="BU113" s="426"/>
      <c r="BV113" s="416"/>
      <c r="BW113" s="422"/>
      <c r="BX113" s="422"/>
      <c r="BY113" s="423"/>
      <c r="BZ113" s="423"/>
      <c r="CA113" s="418"/>
      <c r="CB113" s="418"/>
      <c r="CC113" s="418">
        <v>1</v>
      </c>
      <c r="CD113" s="418"/>
      <c r="CE113" s="452"/>
      <c r="CF113" s="452"/>
      <c r="CG113" s="452"/>
      <c r="CH113" s="452"/>
      <c r="CI113" s="433"/>
      <c r="CJ113" s="432"/>
      <c r="CK113" s="426"/>
      <c r="CL113" s="432"/>
      <c r="CM113" s="422"/>
      <c r="CN113" s="422"/>
      <c r="CO113" s="418"/>
      <c r="CP113" s="418"/>
      <c r="CQ113" s="418"/>
      <c r="CR113" s="418"/>
      <c r="CS113" s="455">
        <v>1</v>
      </c>
      <c r="CT113" s="455"/>
      <c r="CU113" s="455"/>
      <c r="CV113" s="461"/>
      <c r="CW113" s="461"/>
      <c r="CX113" s="409"/>
      <c r="CY113" s="429"/>
      <c r="CZ113" s="420"/>
      <c r="DA113" s="415"/>
      <c r="DB113" s="420"/>
      <c r="DC113" s="461"/>
      <c r="DD113" s="461"/>
      <c r="DE113" s="461"/>
      <c r="DF113" s="439"/>
      <c r="DG113" s="442"/>
      <c r="DH113" s="442"/>
      <c r="DI113" s="439">
        <v>1</v>
      </c>
      <c r="DJ113" s="428"/>
      <c r="DK113" s="411"/>
      <c r="DL113" s="411"/>
      <c r="DM113" s="461"/>
      <c r="DN113" s="415"/>
      <c r="DO113" s="411"/>
      <c r="DP113" s="439"/>
      <c r="DQ113" s="415"/>
      <c r="DR113" s="461"/>
      <c r="DS113" s="461"/>
      <c r="DT113" s="461"/>
      <c r="DU113" s="461"/>
      <c r="DV113" s="439"/>
      <c r="DW113" s="428"/>
      <c r="DX113" s="428"/>
      <c r="DY113" s="455">
        <v>1</v>
      </c>
      <c r="DZ113" s="439"/>
      <c r="EA113" s="461"/>
      <c r="EB113" s="461"/>
      <c r="EC113" s="461"/>
      <c r="ED113" s="461"/>
      <c r="EE113" s="415"/>
      <c r="EF113" s="411"/>
      <c r="EG113" s="439"/>
      <c r="EH113" s="415"/>
      <c r="EI113" s="461"/>
      <c r="EJ113" s="461"/>
      <c r="EK113" s="461"/>
      <c r="EL113" s="461"/>
      <c r="EM113" s="439"/>
      <c r="EN113" s="455"/>
      <c r="EO113" s="416">
        <v>2</v>
      </c>
      <c r="EP113" s="416"/>
      <c r="EQ113" s="291"/>
      <c r="ER113" s="416"/>
      <c r="ES113" s="416"/>
      <c r="ET113" s="416"/>
      <c r="EU113" s="416"/>
      <c r="EV113" s="416"/>
      <c r="EW113" s="416"/>
      <c r="EX113" s="416"/>
      <c r="EY113" s="416"/>
      <c r="EZ113" s="416"/>
      <c r="FA113" s="416"/>
      <c r="FB113" s="416"/>
      <c r="FC113" s="416"/>
      <c r="FD113" s="206"/>
      <c r="FE113" s="483"/>
      <c r="FF113" s="321"/>
      <c r="FG113" s="321"/>
      <c r="FH113" s="321"/>
      <c r="FI113" s="321"/>
      <c r="FJ113"/>
      <c r="FK113"/>
      <c r="FL113"/>
      <c r="FM113"/>
      <c r="FN113"/>
      <c r="FO113"/>
      <c r="FP113" s="321"/>
      <c r="FQ113" s="321"/>
      <c r="FR113" s="321"/>
      <c r="FS113" s="321"/>
      <c r="FT113" s="564"/>
      <c r="FU113" s="483"/>
      <c r="FV113" s="321"/>
      <c r="FW113" s="321"/>
      <c r="FX113" s="321"/>
      <c r="FY113" s="321"/>
      <c r="FZ113" s="321"/>
      <c r="GA113" s="321"/>
      <c r="GB113" s="321"/>
      <c r="GC113" s="321"/>
      <c r="GD113" s="321"/>
      <c r="GE113" s="321"/>
      <c r="GF113" s="321"/>
      <c r="GG113" s="321"/>
      <c r="GH113" s="321"/>
      <c r="GI113" s="321"/>
      <c r="GJ113" s="564"/>
      <c r="GK113" s="413">
        <v>2</v>
      </c>
      <c r="GL113" s="428"/>
      <c r="GM113" s="428"/>
      <c r="GN113" s="428"/>
      <c r="GO113" s="428"/>
      <c r="GP113" s="428"/>
      <c r="GQ113" s="428"/>
      <c r="GR113" s="428"/>
      <c r="GS113" s="428"/>
      <c r="GT113" s="428"/>
      <c r="GU113" s="428"/>
      <c r="GV113" s="428"/>
      <c r="GW113" s="428"/>
      <c r="GX113" s="428"/>
      <c r="GY113" s="428"/>
      <c r="GZ113" s="413"/>
      <c r="HA113" s="413">
        <v>2</v>
      </c>
      <c r="HB113" s="428"/>
      <c r="HC113" s="428"/>
      <c r="HD113" s="428"/>
      <c r="HE113" s="428"/>
      <c r="HF113" s="428"/>
      <c r="HG113" s="428"/>
      <c r="HH113" s="428"/>
      <c r="HI113" s="428"/>
      <c r="HJ113" s="428"/>
      <c r="HK113" s="428"/>
      <c r="HL113" s="428"/>
      <c r="HM113" s="428"/>
      <c r="HN113" s="428"/>
      <c r="HO113" s="428"/>
      <c r="HP113" s="413"/>
      <c r="HQ113" s="413">
        <v>2</v>
      </c>
      <c r="HR113" s="428"/>
      <c r="HS113" s="428"/>
      <c r="HT113" s="428"/>
      <c r="HU113" s="428"/>
      <c r="HV113" s="428"/>
      <c r="HW113" s="428"/>
      <c r="HX113" s="428"/>
      <c r="HY113" s="428"/>
      <c r="HZ113" s="428"/>
      <c r="IA113" s="428"/>
      <c r="IB113" s="428"/>
      <c r="IC113" s="428"/>
      <c r="ID113" s="428"/>
      <c r="IE113" s="428"/>
      <c r="IF113" s="413"/>
      <c r="IG113" s="413">
        <v>2</v>
      </c>
      <c r="IH113" s="416"/>
      <c r="II113" s="416"/>
      <c r="IJ113" s="416"/>
      <c r="IK113" s="452"/>
      <c r="IL113" s="452"/>
      <c r="IM113" s="413"/>
      <c r="IN113" s="413"/>
      <c r="IO113" s="413"/>
      <c r="IP113" s="413"/>
      <c r="IQ113" s="452"/>
      <c r="IR113" s="416"/>
      <c r="IS113" s="416"/>
      <c r="IT113" s="416"/>
      <c r="IU113" s="416"/>
      <c r="IV113" s="413"/>
    </row>
    <row r="114" spans="1:256" s="328" customFormat="1" ht="8.25" customHeight="1">
      <c r="A114" s="441"/>
      <c r="B114" s="421"/>
      <c r="C114" s="429"/>
      <c r="D114" s="441"/>
      <c r="E114" s="441"/>
      <c r="F114" s="416"/>
      <c r="G114" s="434"/>
      <c r="H114" s="414"/>
      <c r="I114" s="427"/>
      <c r="J114" s="427"/>
      <c r="K114" s="431"/>
      <c r="L114" s="414"/>
      <c r="M114" s="416"/>
      <c r="N114" s="416"/>
      <c r="O114" s="432"/>
      <c r="P114" s="421"/>
      <c r="Q114" s="441"/>
      <c r="R114" s="421"/>
      <c r="S114" s="429"/>
      <c r="T114" s="441"/>
      <c r="U114" s="416"/>
      <c r="V114" s="434"/>
      <c r="W114" s="414"/>
      <c r="X114" s="427"/>
      <c r="Y114" s="427"/>
      <c r="Z114" s="414"/>
      <c r="AA114" s="431"/>
      <c r="AB114" s="434"/>
      <c r="AC114" s="416"/>
      <c r="AD114" s="441"/>
      <c r="AE114" s="432"/>
      <c r="AF114" s="421"/>
      <c r="AG114" s="427"/>
      <c r="AH114" s="427"/>
      <c r="AI114" s="427"/>
      <c r="AJ114" s="434"/>
      <c r="AK114" s="440"/>
      <c r="AL114" s="433"/>
      <c r="AM114" s="602"/>
      <c r="AN114" s="602"/>
      <c r="AO114" s="426"/>
      <c r="AP114" s="602"/>
      <c r="AQ114" s="602"/>
      <c r="AR114" s="422"/>
      <c r="AS114" s="418"/>
      <c r="AT114" s="418"/>
      <c r="AU114" s="418"/>
      <c r="AV114" s="418"/>
      <c r="AW114" s="427"/>
      <c r="AX114" s="434"/>
      <c r="AY114" s="427"/>
      <c r="AZ114" s="427"/>
      <c r="BA114" s="440"/>
      <c r="BB114" s="433"/>
      <c r="BC114" s="602"/>
      <c r="BD114" s="602"/>
      <c r="BE114" s="426"/>
      <c r="BF114" s="602"/>
      <c r="BG114" s="602"/>
      <c r="BH114" s="422"/>
      <c r="BI114" s="418"/>
      <c r="BJ114" s="418"/>
      <c r="BK114" s="418"/>
      <c r="BL114" s="418"/>
      <c r="BM114" s="423"/>
      <c r="BN114" s="423"/>
      <c r="BO114" s="423"/>
      <c r="BP114" s="423"/>
      <c r="BQ114" s="433"/>
      <c r="BR114" s="426"/>
      <c r="BS114" s="602"/>
      <c r="BT114" s="602"/>
      <c r="BU114" s="426"/>
      <c r="BV114" s="602"/>
      <c r="BW114" s="602"/>
      <c r="BX114" s="422"/>
      <c r="BY114" s="418"/>
      <c r="BZ114" s="418"/>
      <c r="CA114" s="418"/>
      <c r="CB114" s="418"/>
      <c r="CC114" s="418"/>
      <c r="CD114" s="423"/>
      <c r="CE114" s="418"/>
      <c r="CF114" s="418"/>
      <c r="CG114" s="418"/>
      <c r="CH114" s="440"/>
      <c r="CI114" s="433"/>
      <c r="CJ114" s="602"/>
      <c r="CK114" s="602"/>
      <c r="CL114" s="426"/>
      <c r="CM114" s="602"/>
      <c r="CN114" s="602"/>
      <c r="CO114" s="422"/>
      <c r="CP114" s="410"/>
      <c r="CQ114" s="411"/>
      <c r="CR114" s="411"/>
      <c r="CS114" s="455"/>
      <c r="CT114" s="455"/>
      <c r="CU114" s="455"/>
      <c r="CV114" s="411"/>
      <c r="CW114" s="461"/>
      <c r="CX114" s="461"/>
      <c r="CY114" s="415"/>
      <c r="CZ114" s="415"/>
      <c r="DA114" s="432"/>
      <c r="DB114" s="414"/>
      <c r="DC114" s="461"/>
      <c r="DD114" s="439"/>
      <c r="DE114" s="439"/>
      <c r="DF114" s="461"/>
      <c r="DG114" s="442"/>
      <c r="DH114" s="442"/>
      <c r="DI114" s="439"/>
      <c r="DJ114" s="428"/>
      <c r="DK114" s="435"/>
      <c r="DL114" s="461"/>
      <c r="DM114" s="415"/>
      <c r="DN114" s="432"/>
      <c r="DO114" s="414"/>
      <c r="DP114" s="414"/>
      <c r="DQ114" s="461"/>
      <c r="DR114" s="452"/>
      <c r="DS114" s="411"/>
      <c r="DT114" s="452"/>
      <c r="DU114" s="461"/>
      <c r="DV114" s="435"/>
      <c r="DW114" s="428"/>
      <c r="DX114" s="428"/>
      <c r="DY114" s="455"/>
      <c r="DZ114" s="461"/>
      <c r="EA114" s="439"/>
      <c r="EB114" s="461"/>
      <c r="EC114" s="461"/>
      <c r="ED114" s="461"/>
      <c r="EE114" s="415"/>
      <c r="EF114" s="432"/>
      <c r="EG114" s="414"/>
      <c r="EH114" s="414"/>
      <c r="EI114" s="461"/>
      <c r="EJ114" s="461"/>
      <c r="EK114" s="461"/>
      <c r="EL114" s="439"/>
      <c r="EM114" s="461"/>
      <c r="EN114" s="455"/>
      <c r="EO114" s="416"/>
      <c r="EP114" s="416"/>
      <c r="EQ114" s="416"/>
      <c r="ER114" s="416"/>
      <c r="ES114" s="416"/>
      <c r="ET114" s="416"/>
      <c r="EU114" s="416"/>
      <c r="EV114" s="416"/>
      <c r="EW114" s="416"/>
      <c r="EX114" s="416"/>
      <c r="EY114" s="416"/>
      <c r="EZ114" s="416"/>
      <c r="FA114" s="206"/>
      <c r="FB114" s="416"/>
      <c r="FC114" s="206"/>
      <c r="FD114" s="206"/>
      <c r="FE114" s="483"/>
      <c r="FF114" s="321"/>
      <c r="FG114" s="321"/>
      <c r="FH114" s="321"/>
      <c r="FI114" s="321"/>
      <c r="FJ114"/>
      <c r="FK114"/>
      <c r="FL114"/>
      <c r="FM114"/>
      <c r="FN114"/>
      <c r="FO114"/>
      <c r="FP114" s="321"/>
      <c r="FQ114" s="321"/>
      <c r="FR114" s="321"/>
      <c r="FS114" s="321"/>
      <c r="FT114" s="564"/>
      <c r="FU114" s="483"/>
      <c r="FV114" s="321"/>
      <c r="FW114" s="321"/>
      <c r="FX114" s="321"/>
      <c r="FY114" s="321"/>
      <c r="FZ114" s="321"/>
      <c r="GA114" s="321"/>
      <c r="GB114" s="321"/>
      <c r="GC114" s="321"/>
      <c r="GD114" s="321"/>
      <c r="GE114" s="321"/>
      <c r="GF114" s="321"/>
      <c r="GG114" s="321"/>
      <c r="GH114" s="321"/>
      <c r="GI114" s="321"/>
      <c r="GJ114" s="564"/>
      <c r="GK114" s="413"/>
      <c r="GL114" s="451"/>
      <c r="GM114" s="451"/>
      <c r="GN114" s="428"/>
      <c r="GO114" s="431"/>
      <c r="GP114" s="451"/>
      <c r="GQ114" s="451"/>
      <c r="GR114" s="431"/>
      <c r="GS114" s="451"/>
      <c r="GT114" s="451"/>
      <c r="GU114" s="431"/>
      <c r="GV114" s="428"/>
      <c r="GW114" s="428"/>
      <c r="GX114" s="428"/>
      <c r="GY114" s="428"/>
      <c r="GZ114" s="461"/>
      <c r="HA114" s="413"/>
      <c r="HB114" s="451"/>
      <c r="HC114" s="431"/>
      <c r="HD114" s="431"/>
      <c r="HE114" s="451"/>
      <c r="HF114" s="431"/>
      <c r="HG114" s="428"/>
      <c r="HH114" s="451"/>
      <c r="HI114" s="451"/>
      <c r="HJ114" s="431"/>
      <c r="HK114" s="428"/>
      <c r="HL114" s="428"/>
      <c r="HM114" s="428"/>
      <c r="HN114" s="428"/>
      <c r="HO114" s="428"/>
      <c r="HP114" s="461"/>
      <c r="HQ114" s="413"/>
      <c r="HR114" s="431"/>
      <c r="HS114" s="451"/>
      <c r="HT114" s="451"/>
      <c r="HU114" s="431"/>
      <c r="HV114" s="451"/>
      <c r="HW114" s="431"/>
      <c r="HX114" s="428"/>
      <c r="HY114" s="428"/>
      <c r="HZ114" s="428"/>
      <c r="IA114" s="423"/>
      <c r="IB114" s="427"/>
      <c r="IC114" s="427"/>
      <c r="ID114" s="423"/>
      <c r="IE114" s="428"/>
      <c r="IF114" s="461"/>
      <c r="IG114" s="413"/>
      <c r="IH114" s="416"/>
      <c r="II114" s="416"/>
      <c r="IJ114" s="416"/>
      <c r="IK114" s="416"/>
      <c r="IL114" s="452"/>
      <c r="IM114" s="413"/>
      <c r="IN114" s="413"/>
      <c r="IO114" s="413"/>
      <c r="IP114" s="452"/>
      <c r="IQ114" s="416"/>
      <c r="IR114" s="452"/>
      <c r="IS114" s="416"/>
      <c r="IT114" s="416"/>
      <c r="IU114" s="416"/>
      <c r="IV114" s="419"/>
    </row>
    <row r="115" spans="1:256" s="328" customFormat="1" ht="8.25" customHeight="1">
      <c r="A115" s="421"/>
      <c r="B115" s="421"/>
      <c r="C115" s="416"/>
      <c r="D115" s="421"/>
      <c r="E115" s="441"/>
      <c r="F115" s="441"/>
      <c r="G115" s="441"/>
      <c r="H115" s="434"/>
      <c r="I115" s="427"/>
      <c r="J115" s="451"/>
      <c r="K115" s="421"/>
      <c r="L115" s="427"/>
      <c r="M115" s="416"/>
      <c r="N115" s="416"/>
      <c r="O115" s="432"/>
      <c r="P115" s="434"/>
      <c r="Q115" s="421"/>
      <c r="R115" s="421"/>
      <c r="S115" s="416"/>
      <c r="T115" s="421"/>
      <c r="U115" s="441"/>
      <c r="V115" s="441"/>
      <c r="W115" s="441"/>
      <c r="X115" s="434"/>
      <c r="Y115" s="427"/>
      <c r="Z115" s="451"/>
      <c r="AA115" s="421"/>
      <c r="AB115" s="427"/>
      <c r="AC115" s="416"/>
      <c r="AD115" s="434"/>
      <c r="AE115" s="421"/>
      <c r="AF115" s="434"/>
      <c r="AG115" s="427"/>
      <c r="AH115" s="427"/>
      <c r="AI115" s="434"/>
      <c r="AJ115" s="427"/>
      <c r="AK115" s="440"/>
      <c r="AL115" s="426"/>
      <c r="AM115" s="426"/>
      <c r="AN115" s="426"/>
      <c r="AO115" s="426"/>
      <c r="AP115" s="422"/>
      <c r="AQ115" s="422"/>
      <c r="AR115" s="422"/>
      <c r="AS115" s="423"/>
      <c r="AT115" s="423"/>
      <c r="AU115" s="423"/>
      <c r="AV115" s="418"/>
      <c r="AW115" s="427"/>
      <c r="AX115" s="427"/>
      <c r="AY115" s="427"/>
      <c r="AZ115" s="434"/>
      <c r="BA115" s="440"/>
      <c r="BB115" s="426"/>
      <c r="BC115" s="426"/>
      <c r="BD115" s="426"/>
      <c r="BE115" s="426"/>
      <c r="BF115" s="422"/>
      <c r="BG115" s="422"/>
      <c r="BH115" s="422"/>
      <c r="BI115" s="423"/>
      <c r="BJ115" s="423"/>
      <c r="BK115" s="423"/>
      <c r="BL115" s="418"/>
      <c r="BM115" s="423"/>
      <c r="BN115" s="427"/>
      <c r="BO115" s="423"/>
      <c r="BP115" s="423"/>
      <c r="BQ115" s="433"/>
      <c r="BR115" s="426"/>
      <c r="BS115" s="426"/>
      <c r="BT115" s="426"/>
      <c r="BU115" s="426"/>
      <c r="BV115" s="422"/>
      <c r="BW115" s="422"/>
      <c r="BX115" s="422"/>
      <c r="BY115" s="418"/>
      <c r="BZ115" s="418"/>
      <c r="CA115" s="418"/>
      <c r="CB115" s="418"/>
      <c r="CC115" s="418"/>
      <c r="CD115" s="418"/>
      <c r="CE115" s="411"/>
      <c r="CF115" s="411"/>
      <c r="CG115" s="411"/>
      <c r="CH115" s="439"/>
      <c r="CI115" s="426"/>
      <c r="CJ115" s="426"/>
      <c r="CK115" s="426"/>
      <c r="CL115" s="422"/>
      <c r="CM115" s="422"/>
      <c r="CN115" s="422"/>
      <c r="CO115" s="418"/>
      <c r="CP115" s="418"/>
      <c r="CQ115" s="418"/>
      <c r="CR115" s="418"/>
      <c r="CS115" s="455"/>
      <c r="CT115" s="455"/>
      <c r="CU115" s="455"/>
      <c r="CV115" s="432"/>
      <c r="CW115" s="432"/>
      <c r="CX115" s="444"/>
      <c r="CY115" s="463"/>
      <c r="CZ115" s="437"/>
      <c r="DA115" s="444"/>
      <c r="DB115" s="437"/>
      <c r="DC115" s="415"/>
      <c r="DD115" s="415"/>
      <c r="DE115" s="461"/>
      <c r="DF115" s="461"/>
      <c r="DG115" s="442"/>
      <c r="DH115" s="442"/>
      <c r="DI115" s="428"/>
      <c r="DJ115" s="428"/>
      <c r="DK115" s="425"/>
      <c r="DL115" s="425"/>
      <c r="DM115" s="457"/>
      <c r="DN115" s="444"/>
      <c r="DO115" s="444"/>
      <c r="DP115" s="444"/>
      <c r="DQ115" s="425"/>
      <c r="DR115" s="457"/>
      <c r="DS115" s="457"/>
      <c r="DT115" s="425"/>
      <c r="DU115" s="415"/>
      <c r="DV115" s="435"/>
      <c r="DW115" s="452"/>
      <c r="DX115" s="428"/>
      <c r="DY115" s="455"/>
      <c r="DZ115" s="461"/>
      <c r="EA115" s="415"/>
      <c r="EB115" s="425"/>
      <c r="EC115" s="425"/>
      <c r="ED115" s="457"/>
      <c r="EE115" s="444"/>
      <c r="EF115" s="444"/>
      <c r="EG115" s="444"/>
      <c r="EH115" s="425"/>
      <c r="EI115" s="457"/>
      <c r="EJ115" s="457"/>
      <c r="EK115" s="425"/>
      <c r="EL115" s="415"/>
      <c r="EM115" s="461"/>
      <c r="EN115" s="455"/>
      <c r="EO115" s="291"/>
      <c r="EP115" s="416"/>
      <c r="EQ115" s="416"/>
      <c r="ER115" s="291"/>
      <c r="ES115" s="416"/>
      <c r="ET115" s="416"/>
      <c r="EU115" s="416"/>
      <c r="EV115" s="416"/>
      <c r="EW115" s="416"/>
      <c r="EX115" s="416"/>
      <c r="EY115" s="416"/>
      <c r="EZ115" s="416"/>
      <c r="FA115" s="416"/>
      <c r="FB115" s="206"/>
      <c r="FC115" s="414"/>
      <c r="FD115" s="206"/>
      <c r="FE115" s="483"/>
      <c r="FF115" s="321"/>
      <c r="FG115" s="321"/>
      <c r="FH115" s="321"/>
      <c r="FI115" s="321"/>
      <c r="FJ115"/>
      <c r="FK115"/>
      <c r="FL115"/>
      <c r="FM115"/>
      <c r="FN115"/>
      <c r="FO115"/>
      <c r="FP115" s="321"/>
      <c r="FQ115" s="321"/>
      <c r="FR115" s="321"/>
      <c r="FS115" s="321"/>
      <c r="FT115" s="564"/>
      <c r="FU115" s="483"/>
      <c r="FV115" s="321"/>
      <c r="FW115" s="321"/>
      <c r="FX115" s="321"/>
      <c r="FY115" s="321"/>
      <c r="FZ115" s="321"/>
      <c r="GA115" s="321"/>
      <c r="GB115" s="321"/>
      <c r="GC115" s="321"/>
      <c r="GD115" s="321"/>
      <c r="GE115" s="321"/>
      <c r="GF115" s="321"/>
      <c r="GG115" s="321"/>
      <c r="GH115" s="321"/>
      <c r="GI115" s="321"/>
      <c r="GJ115" s="564"/>
      <c r="GK115" s="413"/>
      <c r="GL115" s="428"/>
      <c r="GM115" s="428"/>
      <c r="GN115" s="428"/>
      <c r="GO115" s="428"/>
      <c r="GP115" s="428"/>
      <c r="GQ115" s="428"/>
      <c r="GR115" s="428"/>
      <c r="GS115" s="428"/>
      <c r="GT115" s="428"/>
      <c r="GU115" s="428"/>
      <c r="GV115" s="428"/>
      <c r="GW115" s="428"/>
      <c r="GX115" s="428"/>
      <c r="GY115" s="428"/>
      <c r="GZ115" s="413"/>
      <c r="HA115" s="413"/>
      <c r="HB115" s="428"/>
      <c r="HC115" s="428"/>
      <c r="HD115" s="428"/>
      <c r="HE115" s="428"/>
      <c r="HF115" s="428"/>
      <c r="HG115" s="428"/>
      <c r="HH115" s="428"/>
      <c r="HI115" s="428"/>
      <c r="HJ115" s="428"/>
      <c r="HK115" s="428"/>
      <c r="HL115" s="428"/>
      <c r="HM115" s="428"/>
      <c r="HN115" s="428"/>
      <c r="HO115" s="428"/>
      <c r="HP115" s="413"/>
      <c r="HQ115" s="413"/>
      <c r="HR115" s="428"/>
      <c r="HS115" s="428"/>
      <c r="HT115" s="428"/>
      <c r="HU115" s="428"/>
      <c r="HV115" s="428"/>
      <c r="HW115" s="428"/>
      <c r="HX115" s="428"/>
      <c r="HY115" s="428"/>
      <c r="HZ115" s="428"/>
      <c r="IA115" s="428"/>
      <c r="IB115" s="428"/>
      <c r="IC115" s="428"/>
      <c r="ID115" s="428"/>
      <c r="IE115" s="428"/>
      <c r="IF115" s="413"/>
      <c r="IG115" s="413"/>
      <c r="IH115" s="416"/>
      <c r="II115" s="416"/>
      <c r="IJ115" s="416"/>
      <c r="IK115" s="416"/>
      <c r="IL115" s="452"/>
      <c r="IM115" s="413"/>
      <c r="IN115" s="452"/>
      <c r="IO115" s="413"/>
      <c r="IP115" s="416"/>
      <c r="IQ115" s="416"/>
      <c r="IR115" s="416"/>
      <c r="IS115" s="452"/>
      <c r="IT115" s="452"/>
      <c r="IU115" s="416"/>
      <c r="IV115" s="413"/>
    </row>
    <row r="116" spans="1:256" s="328" customFormat="1" ht="8.25" customHeight="1">
      <c r="A116" s="420">
        <v>58</v>
      </c>
      <c r="B116" s="421"/>
      <c r="C116" s="421"/>
      <c r="D116" s="420"/>
      <c r="E116" s="416"/>
      <c r="F116" s="441"/>
      <c r="G116" s="441"/>
      <c r="H116" s="441"/>
      <c r="I116" s="441"/>
      <c r="J116" s="441"/>
      <c r="K116" s="441"/>
      <c r="L116" s="441"/>
      <c r="M116" s="416"/>
      <c r="N116" s="416"/>
      <c r="O116" s="454"/>
      <c r="P116" s="441"/>
      <c r="Q116" s="432">
        <v>58</v>
      </c>
      <c r="R116" s="421"/>
      <c r="S116" s="421"/>
      <c r="T116" s="420"/>
      <c r="U116" s="416"/>
      <c r="V116" s="441"/>
      <c r="W116" s="441"/>
      <c r="X116" s="441"/>
      <c r="Y116" s="441"/>
      <c r="Z116" s="441"/>
      <c r="AA116" s="441"/>
      <c r="AB116" s="441"/>
      <c r="AC116" s="416"/>
      <c r="AD116" s="427"/>
      <c r="AE116" s="427"/>
      <c r="AF116" s="441"/>
      <c r="AG116" s="427">
        <v>58</v>
      </c>
      <c r="AH116" s="427"/>
      <c r="AI116" s="427"/>
      <c r="AJ116" s="427"/>
      <c r="AK116" s="416"/>
      <c r="AL116" s="427"/>
      <c r="AM116" s="416"/>
      <c r="AN116" s="436"/>
      <c r="AO116" s="409"/>
      <c r="AP116" s="434"/>
      <c r="AQ116" s="427"/>
      <c r="AR116" s="413"/>
      <c r="AS116" s="427"/>
      <c r="AT116" s="427"/>
      <c r="AU116" s="434"/>
      <c r="AV116" s="418"/>
      <c r="AW116" s="427">
        <v>58</v>
      </c>
      <c r="AX116" s="427"/>
      <c r="AY116" s="434"/>
      <c r="AZ116" s="427"/>
      <c r="BA116" s="416"/>
      <c r="BB116" s="427"/>
      <c r="BC116" s="434"/>
      <c r="BD116" s="436"/>
      <c r="BE116" s="409"/>
      <c r="BF116" s="416"/>
      <c r="BG116" s="427"/>
      <c r="BH116" s="413"/>
      <c r="BI116" s="427"/>
      <c r="BJ116" s="427"/>
      <c r="BK116" s="427"/>
      <c r="BL116" s="418"/>
      <c r="BM116" s="423">
        <v>58</v>
      </c>
      <c r="BN116" s="423"/>
      <c r="BO116" s="423"/>
      <c r="BP116" s="427"/>
      <c r="BQ116" s="416"/>
      <c r="BR116" s="423"/>
      <c r="BS116" s="423"/>
      <c r="BT116" s="423"/>
      <c r="BU116" s="427"/>
      <c r="BV116" s="423"/>
      <c r="BW116" s="423"/>
      <c r="BX116" s="413"/>
      <c r="BY116" s="423"/>
      <c r="BZ116" s="427"/>
      <c r="CA116" s="418"/>
      <c r="CB116" s="423"/>
      <c r="CC116" s="418">
        <v>58</v>
      </c>
      <c r="CD116" s="423"/>
      <c r="CE116" s="418"/>
      <c r="CF116" s="418"/>
      <c r="CG116" s="439"/>
      <c r="CH116" s="418"/>
      <c r="CI116" s="418"/>
      <c r="CJ116" s="418"/>
      <c r="CK116" s="418"/>
      <c r="CL116" s="411"/>
      <c r="CM116" s="411"/>
      <c r="CN116" s="439"/>
      <c r="CO116" s="439"/>
      <c r="CP116" s="418"/>
      <c r="CQ116" s="418"/>
      <c r="CR116" s="418"/>
      <c r="CS116" s="455">
        <v>58</v>
      </c>
      <c r="CT116" s="455"/>
      <c r="CU116" s="455"/>
      <c r="CV116" s="455"/>
      <c r="CW116" s="444"/>
      <c r="CX116" s="463"/>
      <c r="CY116" s="444"/>
      <c r="CZ116" s="463"/>
      <c r="DA116" s="437"/>
      <c r="DB116" s="425"/>
      <c r="DC116" s="425"/>
      <c r="DD116" s="425"/>
      <c r="DE116" s="461"/>
      <c r="DF116" s="461"/>
      <c r="DG116" s="442"/>
      <c r="DH116" s="442"/>
      <c r="DI116" s="428">
        <v>58</v>
      </c>
      <c r="DJ116" s="452"/>
      <c r="DK116" s="452"/>
      <c r="DL116" s="411"/>
      <c r="DM116" s="444"/>
      <c r="DN116" s="437"/>
      <c r="DO116" s="452"/>
      <c r="DP116" s="452"/>
      <c r="DQ116" s="452"/>
      <c r="DR116" s="437"/>
      <c r="DS116" s="425"/>
      <c r="DT116" s="425"/>
      <c r="DU116" s="444"/>
      <c r="DV116" s="435"/>
      <c r="DW116" s="428"/>
      <c r="DX116" s="428"/>
      <c r="DY116" s="455">
        <v>58</v>
      </c>
      <c r="DZ116" s="461"/>
      <c r="EA116" s="461"/>
      <c r="EB116" s="425"/>
      <c r="EC116" s="444"/>
      <c r="ED116" s="437"/>
      <c r="EE116" s="437"/>
      <c r="EF116" s="437"/>
      <c r="EG116" s="437"/>
      <c r="EH116" s="437"/>
      <c r="EI116" s="425"/>
      <c r="EJ116" s="425"/>
      <c r="EK116" s="444"/>
      <c r="EL116" s="461"/>
      <c r="EM116" s="461"/>
      <c r="EN116" s="455"/>
      <c r="EO116" s="291">
        <v>38</v>
      </c>
      <c r="EP116" s="416"/>
      <c r="EQ116" s="416"/>
      <c r="ER116" s="416"/>
      <c r="ES116" s="416"/>
      <c r="ET116" s="416"/>
      <c r="EU116" s="416"/>
      <c r="EV116" s="416"/>
      <c r="EW116" s="416"/>
      <c r="EX116" s="416"/>
      <c r="EY116" s="416"/>
      <c r="EZ116" s="206"/>
      <c r="FA116" s="414"/>
      <c r="FB116" s="414"/>
      <c r="FC116" s="414"/>
      <c r="FD116" s="206"/>
      <c r="FE116" s="483"/>
      <c r="FF116" s="321"/>
      <c r="FG116" s="321"/>
      <c r="FH116" s="321"/>
      <c r="FI116" s="321"/>
      <c r="FJ116"/>
      <c r="FK116"/>
      <c r="FL116"/>
      <c r="FM116"/>
      <c r="FN116"/>
      <c r="FO116"/>
      <c r="FP116" s="321"/>
      <c r="FQ116" s="321"/>
      <c r="FR116" s="321"/>
      <c r="FS116" s="321"/>
      <c r="FT116" s="564"/>
      <c r="FU116" s="483"/>
      <c r="FV116" s="321"/>
      <c r="FW116" s="321"/>
      <c r="FX116" s="321"/>
      <c r="FY116" s="321"/>
      <c r="FZ116" s="321"/>
      <c r="GA116" s="321"/>
      <c r="GB116" s="321"/>
      <c r="GC116" s="321"/>
      <c r="GD116" s="321"/>
      <c r="GE116" s="321"/>
      <c r="GF116" s="321"/>
      <c r="GG116" s="321"/>
      <c r="GH116" s="321"/>
      <c r="GI116" s="321"/>
      <c r="GJ116" s="564"/>
      <c r="GK116" s="413"/>
      <c r="GL116" s="451"/>
      <c r="GM116" s="431"/>
      <c r="GN116" s="431"/>
      <c r="GO116" s="451"/>
      <c r="GP116" s="451"/>
      <c r="GQ116" s="428"/>
      <c r="GR116" s="451"/>
      <c r="GS116" s="451"/>
      <c r="GT116" s="431"/>
      <c r="GU116" s="428"/>
      <c r="GV116" s="428"/>
      <c r="GW116" s="428"/>
      <c r="GX116" s="428"/>
      <c r="GY116" s="428"/>
      <c r="GZ116" s="413"/>
      <c r="HA116" s="413"/>
      <c r="HB116" s="431"/>
      <c r="HC116" s="451"/>
      <c r="HD116" s="451"/>
      <c r="HE116" s="431"/>
      <c r="HF116" s="451"/>
      <c r="HG116" s="431"/>
      <c r="HH116" s="428"/>
      <c r="HI116" s="428"/>
      <c r="HJ116" s="428"/>
      <c r="HK116" s="423"/>
      <c r="HL116" s="427"/>
      <c r="HM116" s="427"/>
      <c r="HN116" s="423"/>
      <c r="HO116" s="428"/>
      <c r="HP116" s="413"/>
      <c r="HQ116" s="413"/>
      <c r="HR116" s="451"/>
      <c r="HS116" s="451"/>
      <c r="HT116" s="428"/>
      <c r="HU116" s="431"/>
      <c r="HV116" s="451"/>
      <c r="HW116" s="451"/>
      <c r="HX116" s="431"/>
      <c r="HY116" s="451"/>
      <c r="HZ116" s="451"/>
      <c r="IA116" s="431"/>
      <c r="IB116" s="428"/>
      <c r="IC116" s="428"/>
      <c r="ID116" s="428"/>
      <c r="IE116" s="428"/>
      <c r="IF116" s="413"/>
      <c r="IG116" s="413"/>
      <c r="IH116" s="416"/>
      <c r="II116" s="416"/>
      <c r="IJ116" s="416"/>
      <c r="IK116" s="452"/>
      <c r="IL116" s="416"/>
      <c r="IM116" s="452"/>
      <c r="IN116" s="416"/>
      <c r="IO116" s="452"/>
      <c r="IP116" s="416"/>
      <c r="IQ116" s="416"/>
      <c r="IR116" s="416"/>
      <c r="IS116" s="416"/>
      <c r="IT116" s="416"/>
      <c r="IU116" s="452"/>
      <c r="IV116" s="413"/>
    </row>
    <row r="117" spans="1:256" s="328" customFormat="1" ht="8.25" customHeight="1">
      <c r="A117" s="416"/>
      <c r="B117" s="432"/>
      <c r="C117" s="421"/>
      <c r="D117" s="420"/>
      <c r="E117" s="432"/>
      <c r="F117" s="416"/>
      <c r="G117" s="441"/>
      <c r="H117" s="441"/>
      <c r="I117" s="441"/>
      <c r="J117" s="441"/>
      <c r="K117" s="454"/>
      <c r="L117" s="441"/>
      <c r="M117" s="416"/>
      <c r="N117" s="441"/>
      <c r="O117" s="441"/>
      <c r="P117" s="447"/>
      <c r="Q117" s="416"/>
      <c r="R117" s="432"/>
      <c r="S117" s="421"/>
      <c r="T117" s="420"/>
      <c r="U117" s="416"/>
      <c r="V117" s="441"/>
      <c r="W117" s="441"/>
      <c r="X117" s="441"/>
      <c r="Y117" s="441"/>
      <c r="Z117" s="441"/>
      <c r="AA117" s="454"/>
      <c r="AB117" s="441"/>
      <c r="AC117" s="441"/>
      <c r="AD117" s="434"/>
      <c r="AE117" s="434"/>
      <c r="AF117" s="447"/>
      <c r="AG117" s="427"/>
      <c r="AH117" s="434"/>
      <c r="AI117" s="427"/>
      <c r="AJ117" s="427"/>
      <c r="AK117" s="429"/>
      <c r="AL117" s="432"/>
      <c r="AM117" s="416"/>
      <c r="AN117" s="429"/>
      <c r="AO117" s="420"/>
      <c r="AP117" s="416"/>
      <c r="AQ117" s="414"/>
      <c r="AR117" s="429"/>
      <c r="AS117" s="427"/>
      <c r="AT117" s="434"/>
      <c r="AU117" s="427"/>
      <c r="AV117" s="418"/>
      <c r="AW117" s="427"/>
      <c r="AX117" s="427"/>
      <c r="AY117" s="427"/>
      <c r="AZ117" s="427"/>
      <c r="BA117" s="429"/>
      <c r="BB117" s="432"/>
      <c r="BC117" s="416"/>
      <c r="BD117" s="429"/>
      <c r="BE117" s="420"/>
      <c r="BF117" s="416"/>
      <c r="BG117" s="414"/>
      <c r="BH117" s="429"/>
      <c r="BI117" s="427"/>
      <c r="BJ117" s="427"/>
      <c r="BK117" s="434"/>
      <c r="BL117" s="418"/>
      <c r="BM117" s="423"/>
      <c r="BN117" s="423"/>
      <c r="BO117" s="427"/>
      <c r="BP117" s="423"/>
      <c r="BQ117" s="429"/>
      <c r="BR117" s="423"/>
      <c r="BS117" s="427"/>
      <c r="BT117" s="436"/>
      <c r="BU117" s="409"/>
      <c r="BV117" s="423"/>
      <c r="BW117" s="423"/>
      <c r="BX117" s="409"/>
      <c r="BY117" s="423"/>
      <c r="BZ117" s="423"/>
      <c r="CA117" s="418"/>
      <c r="CB117" s="423"/>
      <c r="CC117" s="418"/>
      <c r="CD117" s="411"/>
      <c r="CE117" s="411"/>
      <c r="CF117" s="423"/>
      <c r="CG117" s="432"/>
      <c r="CH117" s="418"/>
      <c r="CI117" s="410"/>
      <c r="CJ117" s="418"/>
      <c r="CK117" s="418"/>
      <c r="CL117" s="418"/>
      <c r="CM117" s="418"/>
      <c r="CN117" s="413"/>
      <c r="CO117" s="418"/>
      <c r="CP117" s="411"/>
      <c r="CQ117" s="411"/>
      <c r="CR117" s="411"/>
      <c r="CS117" s="455"/>
      <c r="CT117" s="455"/>
      <c r="CU117" s="455"/>
      <c r="CV117" s="425"/>
      <c r="CW117" s="444"/>
      <c r="CX117" s="444"/>
      <c r="CY117" s="437"/>
      <c r="CZ117" s="444"/>
      <c r="DA117" s="437"/>
      <c r="DB117" s="425"/>
      <c r="DC117" s="425"/>
      <c r="DD117" s="444"/>
      <c r="DE117" s="425"/>
      <c r="DF117" s="455"/>
      <c r="DG117" s="442"/>
      <c r="DH117" s="442"/>
      <c r="DI117" s="428"/>
      <c r="DJ117" s="428"/>
      <c r="DK117" s="455"/>
      <c r="DL117" s="455"/>
      <c r="DM117" s="425"/>
      <c r="DN117" s="444"/>
      <c r="DO117" s="444"/>
      <c r="DP117" s="437"/>
      <c r="DQ117" s="444"/>
      <c r="DR117" s="437"/>
      <c r="DS117" s="425"/>
      <c r="DT117" s="425"/>
      <c r="DU117" s="411"/>
      <c r="DV117" s="452"/>
      <c r="DW117" s="428"/>
      <c r="DX117" s="428"/>
      <c r="DY117" s="455"/>
      <c r="DZ117" s="455"/>
      <c r="EA117" s="455"/>
      <c r="EB117" s="425"/>
      <c r="EC117" s="444"/>
      <c r="ED117" s="444"/>
      <c r="EE117" s="437"/>
      <c r="EF117" s="444"/>
      <c r="EG117" s="437"/>
      <c r="EH117" s="425"/>
      <c r="EI117" s="425"/>
      <c r="EJ117" s="444"/>
      <c r="EK117" s="425"/>
      <c r="EL117" s="455"/>
      <c r="EM117" s="461"/>
      <c r="EN117" s="455"/>
      <c r="EO117" s="416"/>
      <c r="EP117" s="206"/>
      <c r="EQ117" s="206"/>
      <c r="ER117" s="416"/>
      <c r="ES117" s="416"/>
      <c r="ET117" s="416"/>
      <c r="EU117" s="416"/>
      <c r="EV117" s="206"/>
      <c r="EW117" s="206"/>
      <c r="EX117" s="206"/>
      <c r="EY117" s="206"/>
      <c r="EZ117" s="206"/>
      <c r="FA117" s="206"/>
      <c r="FB117" s="206"/>
      <c r="FC117" s="206"/>
      <c r="FD117" s="416"/>
      <c r="FE117" s="1308"/>
      <c r="FF117" s="321"/>
      <c r="FG117" s="321"/>
      <c r="FH117" s="321"/>
      <c r="FI117" s="321"/>
      <c r="FJ117"/>
      <c r="FK117"/>
      <c r="FL117"/>
      <c r="FM117"/>
      <c r="FN117"/>
      <c r="FO117"/>
      <c r="FP117" s="321"/>
      <c r="FQ117" s="321"/>
      <c r="FR117" s="321"/>
      <c r="FS117" s="321"/>
      <c r="FT117" s="1310"/>
      <c r="FU117" s="1308"/>
      <c r="FV117" s="321"/>
      <c r="FW117" s="321"/>
      <c r="FX117" s="321"/>
      <c r="FY117" s="321"/>
      <c r="FZ117" s="321"/>
      <c r="GA117" s="321"/>
      <c r="GB117" s="321"/>
      <c r="GC117" s="321"/>
      <c r="GD117" s="321"/>
      <c r="GE117" s="321"/>
      <c r="GF117" s="321"/>
      <c r="GG117" s="321"/>
      <c r="GH117" s="321"/>
      <c r="GI117" s="321"/>
      <c r="GJ117" s="1310"/>
      <c r="GK117" s="413"/>
      <c r="GL117" s="428"/>
      <c r="GM117" s="428"/>
      <c r="GN117" s="428"/>
      <c r="GO117" s="428"/>
      <c r="GP117" s="428"/>
      <c r="GQ117" s="428"/>
      <c r="GR117" s="428"/>
      <c r="GS117" s="428"/>
      <c r="GT117" s="428"/>
      <c r="GU117" s="428"/>
      <c r="GV117" s="428"/>
      <c r="GW117" s="428"/>
      <c r="GX117" s="428"/>
      <c r="GY117" s="428"/>
      <c r="GZ117" s="413"/>
      <c r="HA117" s="413"/>
      <c r="HB117" s="428"/>
      <c r="HC117" s="428"/>
      <c r="HD117" s="428"/>
      <c r="HE117" s="428"/>
      <c r="HF117" s="428"/>
      <c r="HG117" s="428"/>
      <c r="HH117" s="428"/>
      <c r="HI117" s="428"/>
      <c r="HJ117" s="428"/>
      <c r="HK117" s="428"/>
      <c r="HL117" s="428"/>
      <c r="HM117" s="428"/>
      <c r="HN117" s="428"/>
      <c r="HO117" s="428"/>
      <c r="HP117" s="413"/>
      <c r="HQ117" s="413"/>
      <c r="HR117" s="428"/>
      <c r="HS117" s="428"/>
      <c r="HT117" s="428"/>
      <c r="HU117" s="428"/>
      <c r="HV117" s="428"/>
      <c r="HW117" s="428"/>
      <c r="HX117" s="428"/>
      <c r="HY117" s="428"/>
      <c r="HZ117" s="428"/>
      <c r="IA117" s="428"/>
      <c r="IB117" s="428"/>
      <c r="IC117" s="428"/>
      <c r="ID117" s="428"/>
      <c r="IE117" s="428"/>
      <c r="IF117" s="413"/>
      <c r="IG117" s="413"/>
      <c r="IH117" s="416"/>
      <c r="II117" s="416"/>
      <c r="IJ117" s="452"/>
      <c r="IK117" s="416"/>
      <c r="IL117" s="416"/>
      <c r="IM117" s="416"/>
      <c r="IN117" s="416"/>
      <c r="IO117" s="416"/>
      <c r="IP117" s="452"/>
      <c r="IQ117" s="416"/>
      <c r="IR117" s="416"/>
      <c r="IS117" s="416"/>
      <c r="IT117" s="416"/>
      <c r="IU117" s="416"/>
      <c r="IV117" s="413"/>
    </row>
    <row r="118" spans="1:256" s="328" customFormat="1" ht="8.25" customHeight="1">
      <c r="A118" s="321"/>
      <c r="B118" s="321"/>
      <c r="C118" s="321"/>
      <c r="D118" s="321"/>
      <c r="E118" s="321"/>
      <c r="F118" s="321"/>
      <c r="G118" s="321"/>
      <c r="H118" s="321"/>
      <c r="I118" s="321"/>
      <c r="J118" s="321"/>
      <c r="K118" s="321"/>
      <c r="L118" s="321"/>
      <c r="M118" s="321"/>
      <c r="N118" s="321"/>
      <c r="O118" s="321"/>
      <c r="P118" s="564"/>
      <c r="Q118" s="321"/>
      <c r="R118" s="321"/>
      <c r="S118" s="321"/>
      <c r="T118" s="321"/>
      <c r="U118" s="321"/>
      <c r="V118" s="321"/>
      <c r="W118" s="321"/>
      <c r="X118" s="321"/>
      <c r="Y118" s="321"/>
      <c r="Z118" s="321"/>
      <c r="AA118" s="321"/>
      <c r="AB118" s="321"/>
      <c r="AC118" s="321"/>
      <c r="AD118" s="321"/>
      <c r="AE118" s="321"/>
      <c r="AF118" s="564"/>
      <c r="AG118" s="321"/>
      <c r="AH118" s="321"/>
      <c r="AI118" s="321"/>
      <c r="AJ118" s="321"/>
      <c r="AK118" s="321"/>
      <c r="AL118" s="321"/>
      <c r="AM118" s="321"/>
      <c r="AN118" s="321"/>
      <c r="AO118" s="321"/>
      <c r="AP118" s="321"/>
      <c r="AQ118" s="321"/>
      <c r="AR118" s="321"/>
      <c r="AS118" s="321"/>
      <c r="AT118" s="321"/>
      <c r="AU118" s="321"/>
      <c r="AV118" s="564"/>
      <c r="AW118" s="321"/>
      <c r="AX118" s="321"/>
      <c r="AY118" s="321"/>
      <c r="AZ118" s="321"/>
      <c r="BA118" s="321"/>
      <c r="BB118" s="321"/>
      <c r="BC118" s="321"/>
      <c r="BD118" s="321"/>
      <c r="BE118" s="321"/>
      <c r="BF118" s="321"/>
      <c r="BG118" s="321"/>
      <c r="BH118" s="321"/>
      <c r="BI118" s="321"/>
      <c r="BJ118" s="321"/>
      <c r="BK118" s="321"/>
      <c r="BL118" s="564"/>
      <c r="BM118" s="321"/>
      <c r="BN118" s="321"/>
      <c r="BO118" s="321"/>
      <c r="BP118" s="321"/>
      <c r="BQ118" s="321"/>
      <c r="BR118" s="321"/>
      <c r="BS118" s="321"/>
      <c r="BT118" s="321"/>
      <c r="BU118" s="321"/>
      <c r="BV118" s="321"/>
      <c r="BW118" s="321"/>
      <c r="BX118" s="321"/>
      <c r="BY118" s="321"/>
      <c r="BZ118" s="321"/>
      <c r="CA118" s="321"/>
      <c r="CB118" s="564"/>
      <c r="CC118" s="321"/>
      <c r="CD118" s="321"/>
      <c r="CE118" s="321"/>
      <c r="CF118" s="321"/>
      <c r="CG118" s="321"/>
      <c r="CH118" s="321"/>
      <c r="CI118" s="321"/>
      <c r="CJ118" s="321"/>
      <c r="CK118" s="321"/>
      <c r="CL118" s="321"/>
      <c r="CM118" s="321"/>
      <c r="CN118" s="321"/>
      <c r="CO118" s="321"/>
      <c r="CP118" s="321"/>
      <c r="CQ118" s="321"/>
      <c r="CR118" s="564"/>
      <c r="CS118" s="321"/>
      <c r="CT118" s="321"/>
      <c r="CU118" s="321"/>
      <c r="CV118" s="321"/>
      <c r="CW118" s="321"/>
      <c r="CX118" s="321"/>
      <c r="CY118" s="321"/>
      <c r="CZ118" s="321"/>
      <c r="DA118" s="321"/>
      <c r="DB118" s="321"/>
      <c r="DC118" s="321"/>
      <c r="DD118" s="321"/>
      <c r="DE118" s="321"/>
      <c r="DF118" s="321"/>
      <c r="DG118" s="321"/>
      <c r="DH118" s="564"/>
      <c r="DI118" s="321"/>
      <c r="DJ118" s="321"/>
      <c r="DK118" s="321"/>
      <c r="DL118" s="321"/>
      <c r="DM118" s="321"/>
      <c r="DN118" s="321"/>
      <c r="DO118" s="321"/>
      <c r="DP118" s="321"/>
      <c r="DQ118" s="321"/>
      <c r="DR118" s="321"/>
      <c r="DS118" s="321"/>
      <c r="DT118" s="321"/>
      <c r="DU118" s="321"/>
      <c r="DV118" s="321"/>
      <c r="DW118" s="321"/>
      <c r="DX118" s="564"/>
      <c r="DY118" s="321"/>
      <c r="DZ118" s="321"/>
      <c r="EA118" s="321"/>
      <c r="EB118" s="321"/>
      <c r="EC118" s="321"/>
      <c r="ED118" s="321"/>
      <c r="EE118" s="321"/>
      <c r="EF118" s="321"/>
      <c r="EG118" s="321"/>
      <c r="EH118" s="321"/>
      <c r="EI118" s="321"/>
      <c r="EJ118" s="321"/>
      <c r="EK118" s="321"/>
      <c r="EL118" s="321"/>
      <c r="EM118" s="321"/>
      <c r="EN118" s="564"/>
      <c r="EO118" s="321"/>
      <c r="EP118" s="321"/>
      <c r="EQ118" s="321"/>
      <c r="ER118" s="321"/>
      <c r="ES118" s="321"/>
      <c r="ET118" s="321"/>
      <c r="EU118" s="321"/>
      <c r="EV118" s="321"/>
      <c r="EW118" s="321"/>
      <c r="EX118" s="321"/>
      <c r="EY118" s="321"/>
      <c r="EZ118" s="321"/>
      <c r="FA118" s="321"/>
      <c r="FB118" s="321"/>
      <c r="FC118" s="321"/>
      <c r="FD118" s="564"/>
      <c r="FE118" s="1308"/>
      <c r="FF118" s="321"/>
      <c r="FG118" s="321"/>
      <c r="FH118" s="321"/>
      <c r="FI118" s="321"/>
      <c r="FJ118" s="321"/>
      <c r="FK118" s="321"/>
      <c r="FL118" s="321"/>
      <c r="FM118" s="321"/>
      <c r="FN118" s="321"/>
      <c r="FO118" s="321"/>
      <c r="FP118" s="321"/>
      <c r="FQ118" s="321"/>
      <c r="FR118" s="321"/>
      <c r="FS118" s="321"/>
      <c r="FT118" s="1310"/>
      <c r="FU118" s="1308"/>
      <c r="FV118" s="321"/>
      <c r="FW118" s="321"/>
      <c r="FX118" s="321"/>
      <c r="FY118" s="321"/>
      <c r="FZ118" s="321"/>
      <c r="GA118" s="321"/>
      <c r="GB118" s="321"/>
      <c r="GC118" s="321"/>
      <c r="GD118" s="321"/>
      <c r="GE118" s="321"/>
      <c r="GF118" s="321"/>
      <c r="GG118" s="321"/>
      <c r="GH118" s="321"/>
      <c r="GI118" s="321"/>
      <c r="GJ118" s="1310"/>
      <c r="GK118" s="413"/>
      <c r="GL118" s="431"/>
      <c r="GM118" s="451"/>
      <c r="GN118" s="451"/>
      <c r="GO118" s="431"/>
      <c r="GP118" s="451"/>
      <c r="GQ118" s="431"/>
      <c r="GR118" s="428"/>
      <c r="GS118" s="428"/>
      <c r="GT118" s="428"/>
      <c r="GU118" s="423"/>
      <c r="GV118" s="427"/>
      <c r="GW118" s="427"/>
      <c r="GX118" s="423"/>
      <c r="GY118" s="428"/>
      <c r="GZ118" s="413"/>
      <c r="HA118" s="413"/>
      <c r="HB118" s="451"/>
      <c r="HC118" s="451"/>
      <c r="HD118" s="428"/>
      <c r="HE118" s="431"/>
      <c r="HF118" s="451"/>
      <c r="HG118" s="451"/>
      <c r="HH118" s="431"/>
      <c r="HI118" s="451"/>
      <c r="HJ118" s="451"/>
      <c r="HK118" s="431"/>
      <c r="HL118" s="428"/>
      <c r="HM118" s="428"/>
      <c r="HN118" s="428"/>
      <c r="HO118" s="428"/>
      <c r="HP118" s="413"/>
      <c r="HQ118" s="413"/>
      <c r="HR118" s="451"/>
      <c r="HS118" s="431"/>
      <c r="HT118" s="431"/>
      <c r="HU118" s="451"/>
      <c r="HV118" s="451"/>
      <c r="HW118" s="428"/>
      <c r="HX118" s="451"/>
      <c r="HY118" s="451"/>
      <c r="HZ118" s="431"/>
      <c r="IA118" s="428"/>
      <c r="IB118" s="428"/>
      <c r="IC118" s="428"/>
      <c r="ID118" s="428"/>
      <c r="IE118" s="428"/>
      <c r="IF118" s="413"/>
      <c r="IG118" s="413"/>
      <c r="IH118" s="416"/>
      <c r="II118" s="452"/>
      <c r="IJ118" s="416"/>
      <c r="IK118" s="416"/>
      <c r="IL118" s="416"/>
      <c r="IM118" s="416"/>
      <c r="IN118" s="416"/>
      <c r="IO118" s="416"/>
      <c r="IP118" s="416"/>
      <c r="IQ118" s="452"/>
      <c r="IR118" s="416"/>
      <c r="IS118" s="416"/>
      <c r="IT118" s="416"/>
      <c r="IU118" s="416"/>
      <c r="IV118" s="413"/>
    </row>
    <row r="119" spans="1:256" s="328" customFormat="1" ht="8.25" customHeight="1">
      <c r="A119" s="321"/>
      <c r="B119" s="321"/>
      <c r="C119" s="321"/>
      <c r="D119" s="321"/>
      <c r="E119" s="321"/>
      <c r="F119" s="321"/>
      <c r="G119" s="321"/>
      <c r="H119" s="321"/>
      <c r="I119" s="321"/>
      <c r="J119" s="321"/>
      <c r="K119" s="321"/>
      <c r="L119" s="321"/>
      <c r="M119" s="321"/>
      <c r="N119" s="321"/>
      <c r="O119" s="321"/>
      <c r="P119" s="564"/>
      <c r="Q119" s="321"/>
      <c r="R119" s="321"/>
      <c r="S119" s="321"/>
      <c r="T119" s="321"/>
      <c r="U119" s="321"/>
      <c r="V119" s="321"/>
      <c r="W119" s="321"/>
      <c r="X119" s="321"/>
      <c r="Y119" s="321"/>
      <c r="Z119" s="321"/>
      <c r="AA119" s="321"/>
      <c r="AB119" s="321"/>
      <c r="AC119" s="321"/>
      <c r="AD119" s="321"/>
      <c r="AE119" s="321"/>
      <c r="AF119" s="564"/>
      <c r="AG119" s="321"/>
      <c r="AH119" s="321"/>
      <c r="AI119" s="321"/>
      <c r="AJ119" s="321"/>
      <c r="AK119" s="321"/>
      <c r="AL119" s="321"/>
      <c r="AM119" s="321"/>
      <c r="AN119" s="321"/>
      <c r="AO119" s="321"/>
      <c r="AP119" s="321"/>
      <c r="AQ119" s="321"/>
      <c r="AR119" s="321"/>
      <c r="AS119" s="321"/>
      <c r="AT119" s="321"/>
      <c r="AU119" s="321"/>
      <c r="AV119" s="564"/>
      <c r="AW119" s="321"/>
      <c r="AX119" s="321"/>
      <c r="AY119" s="321"/>
      <c r="AZ119" s="321"/>
      <c r="BA119" s="321"/>
      <c r="BB119" s="321"/>
      <c r="BC119" s="321"/>
      <c r="BD119" s="321"/>
      <c r="BF119" s="321"/>
      <c r="BG119" s="321"/>
      <c r="BH119" s="321"/>
      <c r="BI119" s="321"/>
      <c r="BJ119" s="321"/>
      <c r="BK119" s="321"/>
      <c r="BL119" s="564"/>
      <c r="BM119" s="321"/>
      <c r="BN119" s="321"/>
      <c r="BO119" s="321"/>
      <c r="BP119" s="321"/>
      <c r="BQ119" s="321"/>
      <c r="BR119" s="321"/>
      <c r="BS119" s="321"/>
      <c r="BT119" s="321"/>
      <c r="BV119" s="321"/>
      <c r="BW119" s="321"/>
      <c r="BX119" s="321"/>
      <c r="BY119" s="321"/>
      <c r="BZ119" s="321"/>
      <c r="CA119" s="321"/>
      <c r="CB119" s="564"/>
      <c r="CC119" s="321"/>
      <c r="CD119" s="321"/>
      <c r="CE119" s="321"/>
      <c r="CF119" s="321"/>
      <c r="CG119" s="321"/>
      <c r="CH119" s="321"/>
      <c r="CI119" s="321"/>
      <c r="CJ119" s="321"/>
      <c r="CL119" s="321"/>
      <c r="CM119" s="321"/>
      <c r="CN119" s="321"/>
      <c r="CO119" s="321"/>
      <c r="CP119" s="321"/>
      <c r="CQ119" s="321"/>
      <c r="CR119" s="564"/>
      <c r="CS119" s="321"/>
      <c r="CT119" s="321"/>
      <c r="CU119" s="321"/>
      <c r="CV119" s="321"/>
      <c r="CW119" s="321"/>
      <c r="CX119" s="321"/>
      <c r="CY119" s="321"/>
      <c r="CZ119" s="321"/>
      <c r="DA119" s="321"/>
      <c r="DB119" s="321"/>
      <c r="DC119" s="321"/>
      <c r="DD119" s="321"/>
      <c r="DE119" s="321"/>
      <c r="DF119" s="321"/>
      <c r="DG119" s="321"/>
      <c r="DH119" s="564"/>
      <c r="DI119" s="321"/>
      <c r="DJ119" s="321"/>
      <c r="DK119" s="321"/>
      <c r="DL119" s="321"/>
      <c r="DM119" s="321"/>
      <c r="DN119" s="321"/>
      <c r="DO119" s="321"/>
      <c r="DP119" s="321"/>
      <c r="DQ119" s="321"/>
      <c r="DR119" s="321"/>
      <c r="DS119" s="321"/>
      <c r="DT119" s="321"/>
      <c r="DU119" s="321"/>
      <c r="DV119" s="321"/>
      <c r="DW119" s="321"/>
      <c r="DX119" s="564"/>
      <c r="DY119" s="321"/>
      <c r="DZ119" s="321"/>
      <c r="EA119" s="321"/>
      <c r="EB119" s="321"/>
      <c r="EC119" s="321"/>
      <c r="ED119" s="321"/>
      <c r="EE119" s="321"/>
      <c r="EF119" s="321"/>
      <c r="EG119" s="321"/>
      <c r="EH119" s="321"/>
      <c r="EI119" s="321"/>
      <c r="EJ119" s="321"/>
      <c r="EK119" s="321"/>
      <c r="EL119" s="321"/>
      <c r="EM119" s="321"/>
      <c r="EN119" s="564"/>
      <c r="EO119" s="321"/>
      <c r="EP119" s="321"/>
      <c r="EQ119" s="321"/>
      <c r="ER119" s="321"/>
      <c r="ES119" s="321"/>
      <c r="ET119" s="321"/>
      <c r="EU119" s="321"/>
      <c r="EV119" s="321"/>
      <c r="EW119" s="321"/>
      <c r="EX119" s="321"/>
      <c r="EY119" s="321"/>
      <c r="EZ119" s="321"/>
      <c r="FA119" s="321"/>
      <c r="FB119" s="321"/>
      <c r="FC119" s="321"/>
      <c r="FD119" s="564"/>
      <c r="FE119" s="1308"/>
      <c r="FF119" s="321"/>
      <c r="FG119" s="321"/>
      <c r="FH119" s="321"/>
      <c r="FI119" s="321"/>
      <c r="FJ119" s="321"/>
      <c r="FK119" s="321"/>
      <c r="FL119" s="321"/>
      <c r="FM119" s="321"/>
      <c r="FN119" s="321"/>
      <c r="FO119" s="321"/>
      <c r="FP119" s="321"/>
      <c r="FQ119" s="321"/>
      <c r="FR119" s="321"/>
      <c r="FS119" s="321"/>
      <c r="FT119" s="1310"/>
      <c r="FU119" s="1308"/>
      <c r="FV119" s="321"/>
      <c r="FW119" s="321"/>
      <c r="FX119" s="321"/>
      <c r="FY119" s="321"/>
      <c r="FZ119" s="321"/>
      <c r="GA119" s="321"/>
      <c r="GB119" s="321"/>
      <c r="GC119" s="321"/>
      <c r="GD119" s="321"/>
      <c r="GE119" s="321"/>
      <c r="GF119" s="321"/>
      <c r="GG119" s="321"/>
      <c r="GH119" s="321"/>
      <c r="GI119" s="321"/>
      <c r="GJ119" s="1310"/>
      <c r="GK119" s="413"/>
      <c r="GL119" s="413"/>
      <c r="GM119" s="413"/>
      <c r="GN119" s="413"/>
      <c r="GO119" s="413"/>
      <c r="GP119" s="413"/>
      <c r="GQ119" s="413"/>
      <c r="GR119" s="413"/>
      <c r="GS119" s="413"/>
      <c r="GT119" s="413"/>
      <c r="GU119" s="413"/>
      <c r="GV119" s="413"/>
      <c r="GW119" s="413"/>
      <c r="GX119" s="413"/>
      <c r="GY119" s="413"/>
      <c r="GZ119" s="413"/>
      <c r="HA119" s="413"/>
      <c r="HB119" s="413"/>
      <c r="HC119" s="413"/>
      <c r="HD119" s="413"/>
      <c r="HE119" s="413"/>
      <c r="HF119" s="413"/>
      <c r="HG119" s="413"/>
      <c r="HH119" s="413"/>
      <c r="HI119" s="413"/>
      <c r="HJ119" s="413"/>
      <c r="HK119" s="413"/>
      <c r="HL119" s="413"/>
      <c r="HM119" s="413"/>
      <c r="HN119" s="413"/>
      <c r="HO119" s="413"/>
      <c r="HP119" s="413"/>
      <c r="HQ119" s="413"/>
      <c r="HR119" s="413"/>
      <c r="HS119" s="413"/>
      <c r="HT119" s="413"/>
      <c r="HU119" s="413"/>
      <c r="HV119" s="413"/>
      <c r="HW119" s="413"/>
      <c r="HX119" s="413"/>
      <c r="HY119" s="413"/>
      <c r="HZ119" s="413"/>
      <c r="IA119" s="413"/>
      <c r="IB119" s="413"/>
      <c r="IC119" s="413"/>
      <c r="ID119" s="413"/>
      <c r="IE119" s="413"/>
      <c r="IF119" s="413"/>
      <c r="IG119" s="413"/>
      <c r="IH119" s="413"/>
      <c r="II119" s="413"/>
      <c r="IJ119" s="413"/>
      <c r="IK119" s="413"/>
      <c r="IL119" s="413"/>
      <c r="IM119" s="413"/>
      <c r="IN119" s="413"/>
      <c r="IO119" s="413"/>
      <c r="IP119" s="413"/>
      <c r="IQ119" s="413"/>
      <c r="IR119" s="413"/>
      <c r="IS119" s="413"/>
      <c r="IT119" s="413"/>
      <c r="IU119" s="413"/>
      <c r="IV119" s="413"/>
    </row>
    <row r="120" spans="1:256" s="328" customFormat="1" ht="8.25" customHeight="1">
      <c r="A120" s="321"/>
      <c r="B120" s="321"/>
      <c r="C120" s="321"/>
      <c r="D120" s="321"/>
      <c r="E120" s="321"/>
      <c r="F120" s="321"/>
      <c r="G120" s="321"/>
      <c r="H120" s="321"/>
      <c r="I120" s="321"/>
      <c r="J120" s="321"/>
      <c r="K120" s="321"/>
      <c r="L120" s="321"/>
      <c r="M120" s="321"/>
      <c r="N120" s="321"/>
      <c r="O120" s="321"/>
      <c r="P120" s="564"/>
      <c r="Q120" s="321"/>
      <c r="R120" s="321"/>
      <c r="S120" s="321"/>
      <c r="T120" s="321"/>
      <c r="U120" s="321"/>
      <c r="V120" s="321"/>
      <c r="W120" s="321"/>
      <c r="X120" s="321"/>
      <c r="Y120" s="321"/>
      <c r="Z120" s="321"/>
      <c r="AA120" s="321"/>
      <c r="AB120" s="321"/>
      <c r="AC120" s="321"/>
      <c r="AD120" s="321"/>
      <c r="AE120" s="321"/>
      <c r="AF120" s="564"/>
      <c r="AG120" s="321"/>
      <c r="AH120" s="321"/>
      <c r="AI120" s="321"/>
      <c r="AJ120" s="321"/>
      <c r="AK120" s="321"/>
      <c r="AL120" s="321"/>
      <c r="AM120" s="321"/>
      <c r="AN120" s="321"/>
      <c r="AO120" s="321"/>
      <c r="AP120" s="321"/>
      <c r="AQ120" s="321"/>
      <c r="AR120" s="321"/>
      <c r="AS120" s="321"/>
      <c r="AT120" s="321"/>
      <c r="AU120" s="321"/>
      <c r="AV120" s="564"/>
      <c r="AW120" s="321"/>
      <c r="AX120" s="321"/>
      <c r="AY120" s="321"/>
      <c r="AZ120" s="321"/>
      <c r="BA120" s="321"/>
      <c r="BB120" s="321"/>
      <c r="BC120" s="321"/>
      <c r="BD120" s="321"/>
      <c r="BE120" s="321"/>
      <c r="BF120" s="321"/>
      <c r="BG120" s="321"/>
      <c r="BH120" s="321"/>
      <c r="BI120" s="321"/>
      <c r="BJ120" s="321"/>
      <c r="BK120" s="321"/>
      <c r="BL120" s="564"/>
      <c r="BM120" s="321"/>
      <c r="BN120" s="321"/>
      <c r="BO120" s="321"/>
      <c r="BP120" s="321"/>
      <c r="BQ120" s="321"/>
      <c r="BR120" s="321"/>
      <c r="BS120" s="321"/>
      <c r="BT120" s="321"/>
      <c r="BU120" s="321"/>
      <c r="BV120" s="321"/>
      <c r="BW120" s="321"/>
      <c r="BX120" s="321"/>
      <c r="BY120" s="321"/>
      <c r="BZ120" s="321"/>
      <c r="CA120" s="321"/>
      <c r="CB120" s="564"/>
      <c r="CC120" s="321"/>
      <c r="CD120" s="321"/>
      <c r="CE120" s="321"/>
      <c r="CF120" s="321"/>
      <c r="CG120" s="321"/>
      <c r="CH120" s="321"/>
      <c r="CI120" s="321"/>
      <c r="CJ120" s="321"/>
      <c r="CK120" s="321"/>
      <c r="CL120" s="321"/>
      <c r="CM120" s="321"/>
      <c r="CN120" s="321"/>
      <c r="CO120" s="321"/>
      <c r="CP120" s="321"/>
      <c r="CQ120" s="321"/>
      <c r="CR120" s="564"/>
      <c r="CS120" s="321"/>
      <c r="CT120" s="321"/>
      <c r="CU120" s="321"/>
      <c r="CV120" s="321"/>
      <c r="CW120" s="321"/>
      <c r="CX120" s="321"/>
      <c r="CY120" s="321"/>
      <c r="CZ120" s="321"/>
      <c r="DA120" s="321"/>
      <c r="DB120" s="321"/>
      <c r="DC120" s="321"/>
      <c r="DD120" s="321"/>
      <c r="DE120" s="321"/>
      <c r="DF120" s="321"/>
      <c r="DG120" s="321"/>
      <c r="DH120" s="564"/>
      <c r="DI120" s="321"/>
      <c r="DJ120" s="321"/>
      <c r="DK120" s="321"/>
      <c r="DL120" s="321"/>
      <c r="DM120" s="321"/>
      <c r="DN120" s="321"/>
      <c r="DO120" s="321"/>
      <c r="DP120" s="321"/>
      <c r="DQ120" s="321"/>
      <c r="DR120" s="321"/>
      <c r="DS120" s="321"/>
      <c r="DT120" s="321"/>
      <c r="DU120" s="321"/>
      <c r="DV120" s="321"/>
      <c r="DW120" s="321"/>
      <c r="DX120" s="564"/>
      <c r="DY120" s="321"/>
      <c r="DZ120" s="321"/>
      <c r="EA120" s="321"/>
      <c r="EB120" s="321"/>
      <c r="EC120" s="321"/>
      <c r="ED120" s="321"/>
      <c r="EE120" s="321"/>
      <c r="EF120" s="321"/>
      <c r="EG120" s="321"/>
      <c r="EH120" s="321"/>
      <c r="EI120" s="321"/>
      <c r="EJ120" s="321"/>
      <c r="EK120" s="321"/>
      <c r="EL120" s="321"/>
      <c r="EM120" s="321"/>
      <c r="EN120" s="564"/>
      <c r="EO120" s="321"/>
      <c r="EP120" s="321"/>
      <c r="EQ120" s="321"/>
      <c r="ER120" s="321"/>
      <c r="ES120" s="321"/>
      <c r="ET120" s="321"/>
      <c r="EU120" s="321"/>
      <c r="EV120" s="321"/>
      <c r="EW120" s="321"/>
      <c r="EX120" s="321"/>
      <c r="EY120" s="321"/>
      <c r="EZ120" s="321"/>
      <c r="FA120" s="321"/>
      <c r="FB120" s="321"/>
      <c r="FC120" s="321"/>
      <c r="FD120" s="564"/>
      <c r="FE120" s="1308"/>
      <c r="FF120" s="321"/>
      <c r="FG120" s="321"/>
      <c r="FH120" s="321"/>
      <c r="FI120" s="321"/>
      <c r="FJ120" s="321"/>
      <c r="FK120" s="321"/>
      <c r="FL120" s="321"/>
      <c r="FM120" s="321"/>
      <c r="FN120" s="321"/>
      <c r="FO120" s="321"/>
      <c r="FP120" s="321"/>
      <c r="FQ120" s="321"/>
      <c r="FR120" s="321"/>
      <c r="FS120" s="321"/>
      <c r="FT120" s="1310"/>
      <c r="FU120" s="1308"/>
      <c r="FV120" s="321"/>
      <c r="FW120" s="321"/>
      <c r="FX120" s="321"/>
      <c r="FY120" s="321"/>
      <c r="FZ120" s="321"/>
      <c r="GA120" s="321"/>
      <c r="GB120" s="321"/>
      <c r="GC120" s="321"/>
      <c r="GD120" s="321"/>
      <c r="GE120" s="321"/>
      <c r="GF120" s="321"/>
      <c r="GG120" s="321"/>
      <c r="GH120" s="321"/>
      <c r="GI120" s="321"/>
      <c r="GJ120" s="1310"/>
      <c r="GK120" s="483"/>
      <c r="GL120" s="321"/>
      <c r="GM120" s="321"/>
      <c r="GN120" s="321"/>
      <c r="GO120" s="321"/>
      <c r="GP120" s="321"/>
      <c r="GQ120" s="321"/>
      <c r="GR120" s="321"/>
      <c r="GS120" s="321"/>
      <c r="GT120" s="321"/>
      <c r="GU120" s="321"/>
      <c r="GV120" s="321"/>
      <c r="GW120" s="321"/>
      <c r="GX120" s="321"/>
      <c r="GY120" s="321"/>
      <c r="GZ120" s="564"/>
      <c r="HA120" s="483"/>
      <c r="HB120" s="321"/>
      <c r="HC120" s="321"/>
      <c r="HD120" s="321"/>
      <c r="HE120" s="321"/>
      <c r="HF120" s="321"/>
      <c r="HG120" s="321"/>
      <c r="HH120" s="321"/>
      <c r="HI120" s="321"/>
      <c r="HJ120" s="321"/>
      <c r="HK120" s="321"/>
      <c r="HL120" s="321"/>
      <c r="HM120" s="321"/>
      <c r="HN120" s="321"/>
      <c r="HO120" s="321"/>
      <c r="HP120" s="564"/>
      <c r="HQ120" s="321"/>
      <c r="HR120" s="321"/>
      <c r="HS120" s="321"/>
      <c r="HT120" s="321"/>
      <c r="HU120" s="321"/>
      <c r="HV120" s="321"/>
      <c r="HW120" s="321"/>
      <c r="HX120" s="321"/>
      <c r="HY120" s="321"/>
      <c r="HZ120" s="321"/>
      <c r="IA120" s="321"/>
      <c r="IB120" s="321"/>
      <c r="IC120" s="321"/>
      <c r="ID120" s="321"/>
      <c r="IE120" s="321"/>
      <c r="IF120" s="564"/>
      <c r="IG120" s="321"/>
      <c r="IH120" s="321"/>
      <c r="II120" s="321"/>
      <c r="IJ120" s="321"/>
      <c r="IK120" s="321"/>
      <c r="IL120" s="321"/>
      <c r="IM120" s="321"/>
      <c r="IN120" s="321"/>
      <c r="IO120" s="321"/>
      <c r="IP120" s="321"/>
      <c r="IQ120" s="321"/>
      <c r="IR120" s="321"/>
      <c r="IS120" s="321"/>
      <c r="IT120" s="321"/>
      <c r="IU120" s="321"/>
      <c r="IV120" s="564"/>
    </row>
    <row r="121" spans="1:256" s="328" customFormat="1" ht="8.25" customHeight="1">
      <c r="A121" s="321"/>
      <c r="B121" s="321"/>
      <c r="C121" s="321"/>
      <c r="D121" s="321"/>
      <c r="E121" s="321"/>
      <c r="F121" s="321"/>
      <c r="G121" s="321"/>
      <c r="H121" s="321"/>
      <c r="I121" s="321"/>
      <c r="J121" s="321"/>
      <c r="K121" s="321"/>
      <c r="L121" s="321"/>
      <c r="M121" s="321"/>
      <c r="N121" s="321"/>
      <c r="O121" s="321"/>
      <c r="P121" s="564"/>
      <c r="Q121" s="321"/>
      <c r="R121" s="321"/>
      <c r="S121" s="321"/>
      <c r="T121" s="321"/>
      <c r="U121" s="321"/>
      <c r="V121" s="321"/>
      <c r="W121" s="321"/>
      <c r="X121" s="321"/>
      <c r="Y121" s="321"/>
      <c r="Z121" s="321"/>
      <c r="AA121" s="321"/>
      <c r="AB121" s="321"/>
      <c r="AC121" s="321"/>
      <c r="AD121" s="321"/>
      <c r="AE121" s="321"/>
      <c r="AF121" s="564"/>
      <c r="AG121" s="321"/>
      <c r="AH121" s="321"/>
      <c r="AI121" s="321"/>
      <c r="AJ121" s="321"/>
      <c r="AK121" s="321"/>
      <c r="AL121" s="321"/>
      <c r="AM121" s="321"/>
      <c r="AN121" s="321"/>
      <c r="AO121" s="321"/>
      <c r="AP121" s="321"/>
      <c r="AQ121" s="321"/>
      <c r="AR121" s="321"/>
      <c r="AS121" s="321"/>
      <c r="AT121" s="321"/>
      <c r="AU121" s="321"/>
      <c r="AV121" s="564"/>
      <c r="AW121" s="321"/>
      <c r="AX121" s="321"/>
      <c r="AY121" s="321"/>
      <c r="AZ121" s="321"/>
      <c r="BA121" s="321"/>
      <c r="BB121" s="321"/>
      <c r="BC121" s="321"/>
      <c r="BD121" s="321"/>
      <c r="BE121" s="321"/>
      <c r="BF121" s="321"/>
      <c r="BG121" s="321"/>
      <c r="BH121" s="321"/>
      <c r="BI121" s="321"/>
      <c r="BJ121" s="321"/>
      <c r="BK121" s="321"/>
      <c r="BL121" s="564"/>
      <c r="BM121" s="321"/>
      <c r="BN121" s="321"/>
      <c r="BO121" s="321"/>
      <c r="BP121" s="321"/>
      <c r="BQ121" s="321"/>
      <c r="BR121" s="321"/>
      <c r="BS121" s="321"/>
      <c r="BT121" s="321"/>
      <c r="BU121" s="321"/>
      <c r="BV121" s="321"/>
      <c r="BW121" s="321"/>
      <c r="BX121" s="321"/>
      <c r="BY121" s="321"/>
      <c r="BZ121" s="321"/>
      <c r="CA121" s="321"/>
      <c r="CB121" s="564"/>
      <c r="CC121" s="321"/>
      <c r="CD121" s="321"/>
      <c r="CE121" s="321"/>
      <c r="CF121" s="321"/>
      <c r="CG121" s="321"/>
      <c r="CH121" s="321"/>
      <c r="CI121" s="321"/>
      <c r="CJ121" s="321"/>
      <c r="CK121" s="321"/>
      <c r="CL121" s="321"/>
      <c r="CM121" s="321"/>
      <c r="CN121" s="321"/>
      <c r="CO121" s="321"/>
      <c r="CP121" s="321"/>
      <c r="CQ121" s="321"/>
      <c r="CR121" s="564"/>
      <c r="CS121" s="321"/>
      <c r="CT121" s="321"/>
      <c r="CU121" s="321"/>
      <c r="CV121" s="321"/>
      <c r="CW121" s="321"/>
      <c r="CX121" s="321"/>
      <c r="CY121" s="321"/>
      <c r="CZ121" s="321"/>
      <c r="DA121" s="321"/>
      <c r="DB121" s="321"/>
      <c r="DC121" s="321"/>
      <c r="DD121" s="321"/>
      <c r="DE121" s="321"/>
      <c r="DF121" s="321"/>
      <c r="DG121" s="321"/>
      <c r="DH121" s="564"/>
      <c r="DI121" s="321"/>
      <c r="DJ121" s="321"/>
      <c r="DK121" s="321"/>
      <c r="DL121" s="321"/>
      <c r="DM121" s="321"/>
      <c r="DN121" s="321"/>
      <c r="DO121" s="321"/>
      <c r="DP121" s="321"/>
      <c r="DQ121" s="321"/>
      <c r="DR121" s="321"/>
      <c r="DS121" s="321"/>
      <c r="DT121" s="321"/>
      <c r="DU121" s="321"/>
      <c r="DV121" s="321"/>
      <c r="DW121" s="321"/>
      <c r="DX121" s="564"/>
      <c r="DY121" s="321"/>
      <c r="DZ121" s="321"/>
      <c r="EA121" s="321"/>
      <c r="EB121" s="321"/>
      <c r="EC121" s="321"/>
      <c r="ED121" s="321"/>
      <c r="EE121" s="321"/>
      <c r="EF121" s="321"/>
      <c r="EG121" s="321"/>
      <c r="EH121" s="321"/>
      <c r="EI121" s="321"/>
      <c r="EJ121" s="321"/>
      <c r="EK121" s="321"/>
      <c r="EL121" s="321"/>
      <c r="EM121" s="321"/>
      <c r="EN121" s="564"/>
      <c r="EO121" s="321"/>
      <c r="EP121" s="321"/>
      <c r="EQ121" s="321"/>
      <c r="ER121" s="321"/>
      <c r="ES121" s="321"/>
      <c r="ET121" s="321"/>
      <c r="EU121" s="321"/>
      <c r="EV121" s="321"/>
      <c r="EW121" s="321"/>
      <c r="EX121" s="321"/>
      <c r="EY121" s="321"/>
      <c r="EZ121" s="321"/>
      <c r="FA121" s="321"/>
      <c r="FB121" s="321"/>
      <c r="FC121" s="321"/>
      <c r="FD121" s="564"/>
      <c r="FE121" s="1308"/>
      <c r="FF121" s="321"/>
      <c r="FG121" s="321"/>
      <c r="FH121" s="321"/>
      <c r="FI121" s="321"/>
      <c r="FJ121" s="321"/>
      <c r="FK121" s="321"/>
      <c r="FL121" s="321"/>
      <c r="FM121" s="321"/>
      <c r="FN121" s="321"/>
      <c r="FO121" s="321"/>
      <c r="FP121" s="321"/>
      <c r="FQ121" s="321"/>
      <c r="FR121" s="321"/>
      <c r="FS121" s="321"/>
      <c r="FT121" s="1310"/>
      <c r="FU121" s="1308"/>
      <c r="FV121" s="321"/>
      <c r="FW121" s="321"/>
      <c r="FX121" s="321"/>
      <c r="FY121" s="321"/>
      <c r="FZ121" s="321"/>
      <c r="GA121" s="321"/>
      <c r="GB121" s="321"/>
      <c r="GC121" s="321"/>
      <c r="GD121" s="321"/>
      <c r="GE121" s="321"/>
      <c r="GF121" s="321"/>
      <c r="GG121" s="321"/>
      <c r="GH121" s="321"/>
      <c r="GI121" s="321"/>
      <c r="GJ121" s="1310"/>
      <c r="GK121" s="483"/>
      <c r="GL121" s="321"/>
      <c r="GM121" s="321"/>
      <c r="GN121" s="321"/>
      <c r="GO121" s="321"/>
      <c r="GP121" s="321"/>
      <c r="GQ121" s="321"/>
      <c r="GR121" s="321"/>
      <c r="GS121" s="321"/>
      <c r="GT121" s="321"/>
      <c r="GU121" s="321"/>
      <c r="GV121" s="321"/>
      <c r="GW121" s="321"/>
      <c r="GX121" s="321"/>
      <c r="GY121" s="321"/>
      <c r="GZ121" s="564"/>
      <c r="HA121" s="483"/>
      <c r="HB121" s="321"/>
      <c r="HC121" s="321"/>
      <c r="HD121" s="321"/>
      <c r="HE121" s="321"/>
      <c r="HF121" s="321"/>
      <c r="HG121" s="321"/>
      <c r="HH121" s="321"/>
      <c r="HI121" s="321"/>
      <c r="HJ121" s="321"/>
      <c r="HK121" s="321"/>
      <c r="HL121" s="321"/>
      <c r="HM121" s="321"/>
      <c r="HN121" s="321"/>
      <c r="HO121" s="321"/>
      <c r="HP121" s="564"/>
      <c r="HQ121" s="321"/>
      <c r="HR121" s="321"/>
      <c r="HS121" s="321"/>
      <c r="HT121" s="321"/>
      <c r="HU121" s="321"/>
      <c r="HV121" s="321"/>
      <c r="HW121" s="321"/>
      <c r="HX121" s="321"/>
      <c r="HY121" s="321"/>
      <c r="HZ121" s="321"/>
      <c r="IA121" s="321"/>
      <c r="IB121" s="321"/>
      <c r="IC121" s="321"/>
      <c r="ID121" s="321"/>
      <c r="IE121" s="321"/>
      <c r="IF121" s="564"/>
      <c r="IG121" s="321"/>
      <c r="IH121" s="321"/>
      <c r="II121" s="321"/>
      <c r="IJ121" s="321"/>
      <c r="IK121" s="321"/>
      <c r="IL121" s="321"/>
      <c r="IM121" s="321"/>
      <c r="IN121" s="321"/>
      <c r="IO121" s="321"/>
      <c r="IP121" s="321"/>
      <c r="IQ121" s="321"/>
      <c r="IR121" s="321"/>
      <c r="IS121" s="321"/>
      <c r="IT121" s="321"/>
      <c r="IU121" s="321"/>
      <c r="IV121" s="564"/>
    </row>
    <row r="122" spans="1:256" s="328" customFormat="1" ht="8.25" customHeight="1">
      <c r="A122" s="321"/>
      <c r="B122" s="321"/>
      <c r="C122" s="321"/>
      <c r="D122" s="321"/>
      <c r="E122" s="321"/>
      <c r="F122" s="321"/>
      <c r="G122" s="321"/>
      <c r="H122" s="321"/>
      <c r="I122" s="321"/>
      <c r="J122" s="321"/>
      <c r="K122" s="321"/>
      <c r="L122" s="321"/>
      <c r="M122" s="321"/>
      <c r="N122" s="321"/>
      <c r="O122" s="321"/>
      <c r="P122" s="564"/>
      <c r="Q122" s="321"/>
      <c r="R122" s="321"/>
      <c r="S122" s="321"/>
      <c r="T122" s="321"/>
      <c r="U122" s="321"/>
      <c r="V122" s="321"/>
      <c r="W122" s="321"/>
      <c r="X122" s="321"/>
      <c r="Y122" s="321"/>
      <c r="Z122" s="321"/>
      <c r="AA122" s="321"/>
      <c r="AB122" s="321"/>
      <c r="AC122" s="321"/>
      <c r="AD122" s="321"/>
      <c r="AE122" s="321"/>
      <c r="AF122" s="564"/>
      <c r="AG122" s="321"/>
      <c r="AH122" s="321"/>
      <c r="AI122" s="321"/>
      <c r="AJ122" s="321"/>
      <c r="AK122" s="321"/>
      <c r="AL122" s="321"/>
      <c r="AM122" s="321"/>
      <c r="AN122" s="321"/>
      <c r="AO122" s="321"/>
      <c r="AP122" s="321"/>
      <c r="AQ122" s="321"/>
      <c r="AR122" s="321"/>
      <c r="AS122" s="321"/>
      <c r="AT122" s="321"/>
      <c r="AU122" s="321"/>
      <c r="AV122" s="564"/>
      <c r="AW122" s="321"/>
      <c r="AX122" s="321"/>
      <c r="AY122" s="321"/>
      <c r="AZ122" s="321"/>
      <c r="BA122" s="321"/>
      <c r="BB122" s="321"/>
      <c r="BC122" s="321"/>
      <c r="BD122" s="321"/>
      <c r="BE122" s="321"/>
      <c r="BF122" s="321"/>
      <c r="BG122" s="321"/>
      <c r="BH122" s="321"/>
      <c r="BI122" s="321"/>
      <c r="BJ122" s="321"/>
      <c r="BK122" s="321"/>
      <c r="BL122" s="564"/>
      <c r="BM122" s="321"/>
      <c r="BN122" s="321"/>
      <c r="BO122" s="321"/>
      <c r="BP122" s="321"/>
      <c r="BQ122" s="321"/>
      <c r="BR122" s="321"/>
      <c r="BS122" s="321"/>
      <c r="BT122" s="321"/>
      <c r="BU122" s="321"/>
      <c r="BV122" s="321"/>
      <c r="BW122" s="321"/>
      <c r="BX122" s="321"/>
      <c r="BY122" s="321"/>
      <c r="BZ122" s="321"/>
      <c r="CA122" s="321"/>
      <c r="CB122" s="564"/>
      <c r="CC122" s="321"/>
      <c r="CD122" s="321"/>
      <c r="CE122" s="321"/>
      <c r="CF122" s="321"/>
      <c r="CG122" s="321"/>
      <c r="CH122" s="321"/>
      <c r="CI122" s="321"/>
      <c r="CJ122" s="321"/>
      <c r="CK122" s="321"/>
      <c r="CL122" s="321"/>
      <c r="CM122" s="321"/>
      <c r="CN122" s="321"/>
      <c r="CO122" s="321"/>
      <c r="CP122" s="321"/>
      <c r="CQ122" s="321"/>
      <c r="CR122" s="564"/>
      <c r="CS122" s="321"/>
      <c r="CT122" s="321"/>
      <c r="CU122" s="321"/>
      <c r="CV122" s="321"/>
      <c r="CW122" s="321"/>
      <c r="CX122" s="321"/>
      <c r="CY122" s="321"/>
      <c r="CZ122" s="321"/>
      <c r="DA122" s="321"/>
      <c r="DB122" s="321"/>
      <c r="DC122" s="321"/>
      <c r="DD122" s="321"/>
      <c r="DE122" s="321"/>
      <c r="DF122" s="321"/>
      <c r="DG122" s="321"/>
      <c r="DH122" s="564"/>
      <c r="DI122" s="321"/>
      <c r="DJ122" s="321"/>
      <c r="DK122" s="321"/>
      <c r="DL122" s="321"/>
      <c r="DM122" s="321"/>
      <c r="DN122" s="321"/>
      <c r="DO122" s="321"/>
      <c r="DP122" s="321"/>
      <c r="DQ122" s="321"/>
      <c r="DR122" s="321"/>
      <c r="DS122" s="321"/>
      <c r="DT122" s="321"/>
      <c r="DU122" s="321"/>
      <c r="DV122" s="321"/>
      <c r="DW122" s="321"/>
      <c r="DX122" s="564"/>
      <c r="DY122" s="321"/>
      <c r="DZ122" s="321"/>
      <c r="EA122" s="321"/>
      <c r="EB122" s="321"/>
      <c r="EC122" s="321"/>
      <c r="ED122" s="321"/>
      <c r="EE122" s="321"/>
      <c r="EF122" s="321"/>
      <c r="EG122" s="321"/>
      <c r="EH122" s="321"/>
      <c r="EI122" s="321"/>
      <c r="EJ122" s="321"/>
      <c r="EK122" s="321"/>
      <c r="EL122" s="321"/>
      <c r="EM122" s="321"/>
      <c r="EN122" s="564"/>
      <c r="EO122" s="321"/>
      <c r="EP122" s="321"/>
      <c r="EQ122" s="321"/>
      <c r="ER122" s="321"/>
      <c r="ES122" s="321"/>
      <c r="ET122" s="321"/>
      <c r="EU122" s="321"/>
      <c r="EV122" s="321"/>
      <c r="EW122" s="321"/>
      <c r="EX122" s="321"/>
      <c r="EY122" s="321"/>
      <c r="EZ122" s="321"/>
      <c r="FA122" s="321"/>
      <c r="FB122" s="321"/>
      <c r="FC122" s="321"/>
      <c r="FD122" s="564"/>
      <c r="FE122" s="1308"/>
      <c r="FF122" s="321"/>
      <c r="FG122" s="321"/>
      <c r="FH122" s="321"/>
      <c r="FI122" s="321"/>
      <c r="FJ122" s="321"/>
      <c r="FK122" s="321"/>
      <c r="FL122" s="321"/>
      <c r="FM122" s="321"/>
      <c r="FN122" s="321"/>
      <c r="FO122" s="321"/>
      <c r="FP122" s="321"/>
      <c r="FQ122" s="321"/>
      <c r="FR122" s="321"/>
      <c r="FS122" s="321"/>
      <c r="FT122" s="1310"/>
      <c r="FU122" s="1308"/>
      <c r="FV122" s="321"/>
      <c r="FW122" s="321"/>
      <c r="FX122" s="321"/>
      <c r="FY122" s="321"/>
      <c r="FZ122" s="321"/>
      <c r="GA122" s="321"/>
      <c r="GB122" s="321"/>
      <c r="GC122" s="321"/>
      <c r="GD122" s="321"/>
      <c r="GE122" s="321"/>
      <c r="GF122" s="321"/>
      <c r="GG122" s="321"/>
      <c r="GH122" s="321"/>
      <c r="GI122" s="321"/>
      <c r="GJ122" s="1310"/>
      <c r="GK122" s="483"/>
      <c r="GL122" s="321"/>
      <c r="GM122" s="321"/>
      <c r="GN122" s="321"/>
      <c r="GO122" s="321"/>
      <c r="GP122" s="321"/>
      <c r="GQ122" s="321"/>
      <c r="GR122" s="321"/>
      <c r="GS122" s="321"/>
      <c r="GT122" s="321"/>
      <c r="GU122" s="321"/>
      <c r="GV122" s="321"/>
      <c r="GW122" s="321"/>
      <c r="GX122" s="321"/>
      <c r="GY122" s="321"/>
      <c r="GZ122" s="564"/>
      <c r="HA122" s="483"/>
      <c r="HB122" s="321"/>
      <c r="HC122" s="321"/>
      <c r="HD122" s="321"/>
      <c r="HE122" s="321"/>
      <c r="HF122" s="321"/>
      <c r="HG122" s="321"/>
      <c r="HH122" s="321"/>
      <c r="HI122" s="321"/>
      <c r="HJ122" s="321"/>
      <c r="HK122" s="321"/>
      <c r="HL122" s="321"/>
      <c r="HM122" s="321"/>
      <c r="HN122" s="321"/>
      <c r="HO122" s="321"/>
      <c r="HP122" s="564"/>
      <c r="HQ122" s="483"/>
      <c r="HR122" s="321"/>
      <c r="HS122" s="321"/>
      <c r="HT122" s="321"/>
      <c r="HU122" s="321"/>
      <c r="HV122" s="321"/>
      <c r="HW122" s="321"/>
      <c r="HX122" s="321"/>
      <c r="HY122" s="321"/>
      <c r="HZ122" s="321"/>
      <c r="IA122" s="321"/>
      <c r="IB122" s="321"/>
      <c r="IC122" s="321"/>
      <c r="ID122" s="321"/>
      <c r="IE122" s="321"/>
      <c r="IF122" s="564"/>
      <c r="IG122" s="483"/>
      <c r="IH122" s="321"/>
      <c r="II122" s="321"/>
      <c r="IJ122" s="321"/>
      <c r="IK122" s="321"/>
      <c r="IL122" s="321"/>
      <c r="IM122" s="321"/>
      <c r="IN122" s="321"/>
      <c r="IO122" s="321"/>
      <c r="IP122" s="321"/>
      <c r="IQ122" s="321"/>
      <c r="IR122" s="321"/>
      <c r="IS122" s="321"/>
      <c r="IT122" s="321"/>
      <c r="IU122" s="321"/>
      <c r="IV122" s="564"/>
    </row>
    <row r="123" spans="1:256" s="328" customFormat="1" ht="8.25" customHeight="1">
      <c r="A123" s="483"/>
      <c r="B123" s="321"/>
      <c r="C123" s="321"/>
      <c r="D123" s="321"/>
      <c r="E123" s="321"/>
      <c r="F123" s="321"/>
      <c r="G123" s="321"/>
      <c r="H123" s="321"/>
      <c r="I123" s="321"/>
      <c r="J123" s="321"/>
      <c r="K123" s="321"/>
      <c r="L123" s="321"/>
      <c r="M123" s="321"/>
      <c r="N123" s="321"/>
      <c r="O123" s="321"/>
      <c r="P123" s="564"/>
      <c r="Q123" s="483"/>
      <c r="R123" s="321"/>
      <c r="S123" s="321"/>
      <c r="T123" s="321"/>
      <c r="U123" s="321"/>
      <c r="V123" s="321"/>
      <c r="W123" s="321"/>
      <c r="X123" s="321"/>
      <c r="Y123" s="321"/>
      <c r="Z123" s="321"/>
      <c r="AA123" s="321"/>
      <c r="AB123" s="321"/>
      <c r="AC123" s="321"/>
      <c r="AD123" s="321"/>
      <c r="AE123" s="321"/>
      <c r="AF123" s="564"/>
      <c r="AG123" s="483"/>
      <c r="AH123" s="321"/>
      <c r="AI123" s="321"/>
      <c r="AJ123" s="321"/>
      <c r="AK123" s="321"/>
      <c r="AL123" s="321"/>
      <c r="AM123" s="321"/>
      <c r="AN123" s="321"/>
      <c r="AO123" s="321"/>
      <c r="AP123" s="321"/>
      <c r="AQ123" s="321"/>
      <c r="AR123" s="321"/>
      <c r="AS123" s="321"/>
      <c r="AT123" s="321"/>
      <c r="AU123" s="321"/>
      <c r="AV123" s="564"/>
      <c r="AW123" s="483"/>
      <c r="AX123" s="321"/>
      <c r="AY123" s="321"/>
      <c r="AZ123" s="321"/>
      <c r="BA123" s="321"/>
      <c r="BB123" s="321"/>
      <c r="BC123" s="321"/>
      <c r="BD123" s="321"/>
      <c r="BE123" s="321"/>
      <c r="BF123" s="321"/>
      <c r="BG123" s="321"/>
      <c r="BH123" s="321"/>
      <c r="BI123" s="321"/>
      <c r="BJ123" s="321"/>
      <c r="BK123" s="321"/>
      <c r="BL123" s="564"/>
      <c r="BM123" s="483"/>
      <c r="BN123" s="321"/>
      <c r="BO123" s="321"/>
      <c r="BP123" s="321"/>
      <c r="BQ123" s="321"/>
      <c r="BR123" s="321"/>
      <c r="BS123" s="321"/>
      <c r="BT123" s="321"/>
      <c r="BU123" s="321"/>
      <c r="BV123" s="321"/>
      <c r="BW123" s="321"/>
      <c r="BX123" s="321"/>
      <c r="BY123" s="321"/>
      <c r="BZ123" s="321"/>
      <c r="CA123" s="321"/>
      <c r="CB123" s="564"/>
      <c r="CC123" s="483"/>
      <c r="CD123" s="321"/>
      <c r="CE123" s="321"/>
      <c r="CF123" s="321"/>
      <c r="CG123" s="321"/>
      <c r="CH123" s="321"/>
      <c r="CI123" s="321"/>
      <c r="CJ123" s="321"/>
      <c r="CK123" s="321"/>
      <c r="CL123" s="321"/>
      <c r="CM123" s="321"/>
      <c r="CN123" s="321"/>
      <c r="CO123" s="321"/>
      <c r="CP123" s="321"/>
      <c r="CQ123" s="321"/>
      <c r="CR123" s="564"/>
      <c r="CS123" s="483"/>
      <c r="CT123" s="321"/>
      <c r="CU123" s="321"/>
      <c r="CV123" s="321"/>
      <c r="CW123" s="321"/>
      <c r="CX123" s="321"/>
      <c r="CY123" s="321"/>
      <c r="CZ123" s="321"/>
      <c r="DA123" s="321"/>
      <c r="DB123" s="321"/>
      <c r="DC123" s="321"/>
      <c r="DD123" s="321"/>
      <c r="DE123" s="321"/>
      <c r="DF123" s="321"/>
      <c r="DG123" s="321"/>
      <c r="DH123" s="564"/>
      <c r="DI123" s="483"/>
      <c r="DJ123" s="321"/>
      <c r="DK123" s="321"/>
      <c r="DL123" s="321"/>
      <c r="DM123" s="321"/>
      <c r="DN123" s="321"/>
      <c r="DO123" s="321"/>
      <c r="DP123" s="321"/>
      <c r="DQ123" s="321"/>
      <c r="DR123" s="321"/>
      <c r="DS123" s="321"/>
      <c r="DT123" s="321"/>
      <c r="DU123" s="321"/>
      <c r="DV123" s="321"/>
      <c r="DW123" s="321"/>
      <c r="DX123" s="564"/>
      <c r="DY123" s="483"/>
      <c r="DZ123" s="321"/>
      <c r="EA123" s="321"/>
      <c r="EB123" s="321"/>
      <c r="EC123" s="321"/>
      <c r="ED123" s="321"/>
      <c r="EE123" s="321"/>
      <c r="EF123" s="321"/>
      <c r="EG123" s="321"/>
      <c r="EH123" s="321"/>
      <c r="EI123" s="321"/>
      <c r="EJ123" s="321"/>
      <c r="EK123" s="321"/>
      <c r="EL123" s="321"/>
      <c r="EM123" s="321"/>
      <c r="EN123" s="564"/>
      <c r="EO123" s="483"/>
      <c r="EP123" s="321"/>
      <c r="EQ123" s="321"/>
      <c r="ER123" s="321"/>
      <c r="ES123" s="321"/>
      <c r="ET123" s="321"/>
      <c r="EU123" s="321"/>
      <c r="EV123" s="321"/>
      <c r="EW123" s="321"/>
      <c r="EX123" s="321"/>
      <c r="EY123" s="321"/>
      <c r="EZ123" s="321"/>
      <c r="FA123" s="321"/>
      <c r="FB123" s="321"/>
      <c r="FC123" s="321"/>
      <c r="FD123" s="564"/>
      <c r="FE123" s="1308"/>
      <c r="FF123" s="321"/>
      <c r="FG123" s="321"/>
      <c r="FH123" s="321"/>
      <c r="FI123" s="321"/>
      <c r="FJ123" s="321"/>
      <c r="FK123" s="321"/>
      <c r="FL123" s="321"/>
      <c r="FM123" s="321"/>
      <c r="FN123" s="321"/>
      <c r="FO123" s="321"/>
      <c r="FP123" s="321"/>
      <c r="FQ123" s="321"/>
      <c r="FR123" s="321"/>
      <c r="FS123" s="321"/>
      <c r="FT123" s="1310"/>
      <c r="FU123" s="1308"/>
      <c r="FV123" s="321"/>
      <c r="FW123" s="321"/>
      <c r="FX123" s="321"/>
      <c r="FY123" s="321"/>
      <c r="FZ123" s="321"/>
      <c r="GA123" s="321"/>
      <c r="GB123" s="321"/>
      <c r="GC123" s="321"/>
      <c r="GD123" s="321"/>
      <c r="GE123" s="321"/>
      <c r="GF123" s="321"/>
      <c r="GG123" s="321"/>
      <c r="GH123" s="321"/>
      <c r="GI123" s="321"/>
      <c r="GJ123" s="1310"/>
      <c r="GK123" s="483"/>
      <c r="GL123" s="321"/>
      <c r="GM123" s="321"/>
      <c r="GN123" s="321"/>
      <c r="GO123" s="321"/>
      <c r="GP123" s="321"/>
      <c r="GQ123" s="321"/>
      <c r="GR123" s="321"/>
      <c r="GS123" s="321"/>
      <c r="GT123" s="321"/>
      <c r="GU123" s="321"/>
      <c r="GV123" s="321"/>
      <c r="GW123" s="321"/>
      <c r="GX123" s="321"/>
      <c r="GY123" s="321"/>
      <c r="GZ123" s="564"/>
      <c r="HA123" s="483"/>
      <c r="HB123" s="321"/>
      <c r="HC123" s="321"/>
      <c r="HD123" s="321"/>
      <c r="HE123" s="321"/>
      <c r="HF123" s="321"/>
      <c r="HG123" s="321"/>
      <c r="HH123" s="321"/>
      <c r="HI123" s="321"/>
      <c r="HJ123" s="321"/>
      <c r="HK123" s="321"/>
      <c r="HL123" s="321"/>
      <c r="HM123" s="321"/>
      <c r="HN123" s="321"/>
      <c r="HO123" s="321"/>
      <c r="HP123" s="564"/>
      <c r="HQ123" s="483"/>
      <c r="HR123" s="321"/>
      <c r="HS123" s="321"/>
      <c r="HT123" s="321"/>
      <c r="HU123" s="321"/>
      <c r="HV123" s="321"/>
      <c r="HW123" s="321"/>
      <c r="HX123" s="321"/>
      <c r="HY123" s="321"/>
      <c r="HZ123" s="321"/>
      <c r="IA123" s="321"/>
      <c r="IB123" s="321"/>
      <c r="IC123" s="321"/>
      <c r="ID123" s="321"/>
      <c r="IE123" s="321"/>
      <c r="IF123" s="564"/>
      <c r="IG123" s="483"/>
      <c r="IH123" s="321"/>
      <c r="II123" s="321"/>
      <c r="IJ123" s="321"/>
      <c r="IK123" s="321"/>
      <c r="IL123" s="321"/>
      <c r="IM123" s="321"/>
      <c r="IN123" s="321"/>
      <c r="IO123" s="321"/>
      <c r="IP123" s="321"/>
      <c r="IQ123" s="321"/>
      <c r="IR123" s="321"/>
      <c r="IS123" s="321"/>
      <c r="IT123" s="321"/>
      <c r="IU123" s="321"/>
      <c r="IV123" s="564"/>
    </row>
    <row r="124" spans="1:256" s="328" customFormat="1" ht="8.25" customHeight="1">
      <c r="A124" s="483"/>
      <c r="B124" s="321"/>
      <c r="C124" s="321"/>
      <c r="D124" s="321"/>
      <c r="E124" s="321"/>
      <c r="F124" s="321"/>
      <c r="G124" s="321"/>
      <c r="H124" s="321"/>
      <c r="I124" s="321"/>
      <c r="J124" s="321"/>
      <c r="K124" s="321"/>
      <c r="L124" s="321"/>
      <c r="M124" s="321"/>
      <c r="N124" s="321"/>
      <c r="O124" s="321"/>
      <c r="P124" s="564"/>
      <c r="Q124" s="483"/>
      <c r="R124" s="321"/>
      <c r="S124" s="321"/>
      <c r="T124" s="321"/>
      <c r="U124" s="321"/>
      <c r="V124" s="321"/>
      <c r="W124" s="321"/>
      <c r="X124" s="321"/>
      <c r="Y124" s="321"/>
      <c r="Z124" s="321"/>
      <c r="AA124" s="321"/>
      <c r="AB124" s="321"/>
      <c r="AC124" s="321"/>
      <c r="AD124" s="321"/>
      <c r="AE124" s="321"/>
      <c r="AF124" s="564"/>
      <c r="AG124" s="483"/>
      <c r="AH124" s="321"/>
      <c r="AI124" s="321"/>
      <c r="AJ124" s="321"/>
      <c r="AK124" s="321"/>
      <c r="AL124" s="321"/>
      <c r="AM124" s="321"/>
      <c r="AN124" s="321"/>
      <c r="AO124" s="321"/>
      <c r="AP124" s="321"/>
      <c r="AQ124" s="321"/>
      <c r="AR124" s="321"/>
      <c r="AS124" s="321"/>
      <c r="AT124" s="321"/>
      <c r="AU124" s="321"/>
      <c r="AV124" s="564"/>
      <c r="AW124" s="483"/>
      <c r="AX124" s="321"/>
      <c r="AY124" s="321"/>
      <c r="AZ124" s="321"/>
      <c r="BA124" s="321"/>
      <c r="BB124" s="321"/>
      <c r="BC124" s="321"/>
      <c r="BD124" s="321"/>
      <c r="BE124" s="321"/>
      <c r="BF124" s="321"/>
      <c r="BG124" s="321"/>
      <c r="BH124" s="321"/>
      <c r="BI124" s="321"/>
      <c r="BJ124" s="321"/>
      <c r="BK124" s="321"/>
      <c r="BL124" s="564"/>
      <c r="BM124" s="483"/>
      <c r="BN124" s="321"/>
      <c r="BO124" s="321"/>
      <c r="BP124" s="321"/>
      <c r="BQ124" s="321"/>
      <c r="BR124" s="321"/>
      <c r="BS124" s="321"/>
      <c r="BT124" s="321"/>
      <c r="BU124" s="321"/>
      <c r="BV124" s="321"/>
      <c r="BW124" s="321"/>
      <c r="BX124" s="321"/>
      <c r="BY124" s="321"/>
      <c r="BZ124" s="321"/>
      <c r="CA124" s="321"/>
      <c r="CB124" s="564"/>
      <c r="CC124" s="483"/>
      <c r="CD124" s="321"/>
      <c r="CE124" s="321"/>
      <c r="CF124" s="321"/>
      <c r="CG124" s="321"/>
      <c r="CH124" s="321"/>
      <c r="CI124" s="321"/>
      <c r="CJ124" s="321"/>
      <c r="CK124" s="321"/>
      <c r="CL124" s="321"/>
      <c r="CM124" s="321"/>
      <c r="CN124" s="321"/>
      <c r="CO124" s="321"/>
      <c r="CP124" s="321"/>
      <c r="CQ124" s="321"/>
      <c r="CR124" s="564"/>
      <c r="CS124" s="483"/>
      <c r="CT124" s="321"/>
      <c r="CU124" s="321"/>
      <c r="CV124" s="321"/>
      <c r="CW124" s="321"/>
      <c r="CX124" s="321"/>
      <c r="CY124" s="321"/>
      <c r="CZ124" s="321"/>
      <c r="DA124" s="321"/>
      <c r="DB124" s="321"/>
      <c r="DC124" s="321"/>
      <c r="DD124" s="321"/>
      <c r="DE124" s="321"/>
      <c r="DF124" s="321"/>
      <c r="DG124" s="321"/>
      <c r="DH124" s="564"/>
      <c r="DI124" s="483"/>
      <c r="DJ124" s="321"/>
      <c r="DK124" s="321"/>
      <c r="DL124" s="321"/>
      <c r="DM124" s="321"/>
      <c r="DN124" s="321"/>
      <c r="DO124" s="321"/>
      <c r="DP124" s="321"/>
      <c r="DQ124" s="321"/>
      <c r="DR124" s="321"/>
      <c r="DS124" s="321"/>
      <c r="DT124" s="321"/>
      <c r="DU124" s="321"/>
      <c r="DV124" s="321"/>
      <c r="DW124" s="321"/>
      <c r="DX124" s="564"/>
      <c r="DY124" s="483"/>
      <c r="DZ124" s="321"/>
      <c r="EA124" s="321"/>
      <c r="EB124" s="321"/>
      <c r="EC124" s="321"/>
      <c r="ED124" s="321"/>
      <c r="EE124" s="321"/>
      <c r="EF124" s="321"/>
      <c r="EG124" s="321"/>
      <c r="EH124" s="321"/>
      <c r="EI124" s="321"/>
      <c r="EJ124" s="321"/>
      <c r="EK124" s="321"/>
      <c r="EL124" s="321"/>
      <c r="EM124" s="321"/>
      <c r="EN124" s="564"/>
      <c r="EO124" s="483"/>
      <c r="EP124" s="321"/>
      <c r="EQ124" s="321"/>
      <c r="ER124" s="321"/>
      <c r="ES124" s="321"/>
      <c r="ET124" s="321"/>
      <c r="EU124" s="321"/>
      <c r="EV124" s="321"/>
      <c r="EW124" s="321"/>
      <c r="EX124" s="321"/>
      <c r="EY124" s="321"/>
      <c r="EZ124" s="321"/>
      <c r="FA124" s="321"/>
      <c r="FB124" s="321"/>
      <c r="FC124" s="321"/>
      <c r="FD124" s="564"/>
      <c r="FE124" s="1308"/>
      <c r="FF124" s="321"/>
      <c r="FG124" s="321"/>
      <c r="FH124" s="321"/>
      <c r="FI124" s="321"/>
      <c r="FJ124" s="321"/>
      <c r="FK124" s="321"/>
      <c r="FL124" s="321"/>
      <c r="FM124" s="321"/>
      <c r="FN124" s="321"/>
      <c r="FO124" s="321"/>
      <c r="FP124" s="321"/>
      <c r="FQ124" s="321"/>
      <c r="FR124" s="321"/>
      <c r="FS124" s="321"/>
      <c r="FT124" s="1310"/>
      <c r="FU124" s="1308"/>
      <c r="FV124" s="321"/>
      <c r="FW124" s="321"/>
      <c r="FX124" s="321"/>
      <c r="FY124" s="321"/>
      <c r="FZ124" s="321"/>
      <c r="GA124" s="321"/>
      <c r="GB124" s="321"/>
      <c r="GC124" s="321"/>
      <c r="GD124" s="321"/>
      <c r="GE124" s="321"/>
      <c r="GF124" s="321"/>
      <c r="GG124" s="321"/>
      <c r="GH124" s="321"/>
      <c r="GI124" s="321"/>
      <c r="GJ124" s="1310"/>
      <c r="GK124" s="483"/>
      <c r="GL124" s="321"/>
      <c r="GM124" s="321"/>
      <c r="GN124" s="321"/>
      <c r="GO124" s="321"/>
      <c r="GP124" s="321"/>
      <c r="GQ124" s="321"/>
      <c r="GR124" s="321"/>
      <c r="GS124" s="321"/>
      <c r="GT124" s="321"/>
      <c r="GU124" s="321"/>
      <c r="GV124" s="321"/>
      <c r="GW124" s="321"/>
      <c r="GX124" s="321"/>
      <c r="GY124" s="321"/>
      <c r="GZ124" s="564"/>
      <c r="HA124" s="483"/>
      <c r="HB124" s="321"/>
      <c r="HC124" s="321"/>
      <c r="HD124" s="321"/>
      <c r="HE124" s="321"/>
      <c r="HF124" s="321"/>
      <c r="HG124" s="321"/>
      <c r="HH124" s="321"/>
      <c r="HI124" s="321"/>
      <c r="HJ124" s="321"/>
      <c r="HK124" s="321"/>
      <c r="HL124" s="321"/>
      <c r="HM124" s="321"/>
      <c r="HN124" s="321"/>
      <c r="HO124" s="321"/>
      <c r="HP124" s="564"/>
      <c r="HQ124" s="483"/>
      <c r="HR124" s="321"/>
      <c r="HS124" s="321"/>
      <c r="HT124" s="321"/>
      <c r="HU124" s="321"/>
      <c r="HV124" s="321"/>
      <c r="HW124" s="321"/>
      <c r="HX124" s="321"/>
      <c r="HY124" s="321"/>
      <c r="HZ124" s="321"/>
      <c r="IA124" s="321"/>
      <c r="IB124" s="321"/>
      <c r="IC124" s="321"/>
      <c r="ID124" s="321"/>
      <c r="IE124" s="321"/>
      <c r="IF124" s="564"/>
      <c r="IG124" s="483"/>
      <c r="IH124" s="321"/>
      <c r="II124" s="321"/>
      <c r="IJ124" s="321"/>
      <c r="IK124" s="321"/>
      <c r="IL124" s="321"/>
      <c r="IM124" s="321"/>
      <c r="IN124" s="321"/>
      <c r="IO124" s="321"/>
      <c r="IP124" s="321"/>
      <c r="IQ124" s="321"/>
      <c r="IR124" s="321"/>
      <c r="IS124" s="321"/>
      <c r="IT124" s="321"/>
      <c r="IU124" s="321"/>
      <c r="IV124" s="564"/>
    </row>
    <row r="125" spans="1:256" s="328" customFormat="1" ht="8.25" customHeight="1">
      <c r="A125" s="483"/>
      <c r="B125" s="321"/>
      <c r="C125" s="321"/>
      <c r="D125" s="321"/>
      <c r="E125" s="321"/>
      <c r="F125" s="321"/>
      <c r="G125" s="321"/>
      <c r="H125" s="321"/>
      <c r="I125" s="321"/>
      <c r="J125" s="321"/>
      <c r="K125" s="321"/>
      <c r="L125" s="321"/>
      <c r="M125" s="321"/>
      <c r="N125" s="321"/>
      <c r="O125" s="321"/>
      <c r="P125" s="564"/>
      <c r="Q125" s="483"/>
      <c r="R125" s="321"/>
      <c r="S125" s="321"/>
      <c r="T125" s="321"/>
      <c r="U125" s="321"/>
      <c r="V125" s="321"/>
      <c r="W125" s="321"/>
      <c r="X125" s="321"/>
      <c r="Y125" s="321"/>
      <c r="Z125" s="321"/>
      <c r="AA125" s="321"/>
      <c r="AB125" s="321"/>
      <c r="AC125" s="321"/>
      <c r="AD125" s="321"/>
      <c r="AE125" s="321"/>
      <c r="AF125" s="564"/>
      <c r="AG125" s="483"/>
      <c r="AH125" s="321"/>
      <c r="AI125" s="321"/>
      <c r="AJ125" s="321"/>
      <c r="AK125" s="321"/>
      <c r="AL125" s="321"/>
      <c r="AM125" s="321"/>
      <c r="AN125" s="321"/>
      <c r="AO125" s="321"/>
      <c r="AP125" s="321"/>
      <c r="AQ125" s="321"/>
      <c r="AR125" s="321"/>
      <c r="AS125" s="321"/>
      <c r="AT125" s="321"/>
      <c r="AU125" s="321"/>
      <c r="AV125" s="564"/>
      <c r="AW125" s="483"/>
      <c r="AX125" s="321"/>
      <c r="AY125" s="321"/>
      <c r="AZ125" s="321"/>
      <c r="BA125" s="321"/>
      <c r="BB125" s="321"/>
      <c r="BC125" s="321"/>
      <c r="BD125" s="321"/>
      <c r="BE125" s="321"/>
      <c r="BF125" s="321"/>
      <c r="BG125" s="321"/>
      <c r="BH125" s="321"/>
      <c r="BI125" s="321"/>
      <c r="BJ125" s="321"/>
      <c r="BK125" s="321"/>
      <c r="BL125" s="564"/>
      <c r="BM125" s="483"/>
      <c r="BN125" s="321"/>
      <c r="BO125" s="321"/>
      <c r="BP125" s="321"/>
      <c r="BQ125" s="321"/>
      <c r="BR125" s="321"/>
      <c r="BS125" s="321"/>
      <c r="BT125" s="321"/>
      <c r="BU125" s="321"/>
      <c r="BV125" s="321"/>
      <c r="BW125" s="321"/>
      <c r="BX125" s="321"/>
      <c r="BY125" s="321"/>
      <c r="BZ125" s="321"/>
      <c r="CA125" s="321"/>
      <c r="CB125" s="564"/>
      <c r="CC125" s="483"/>
      <c r="CD125" s="321"/>
      <c r="CE125" s="321"/>
      <c r="CF125" s="321"/>
      <c r="CG125" s="321"/>
      <c r="CH125" s="321"/>
      <c r="CI125" s="321"/>
      <c r="CJ125" s="321"/>
      <c r="CK125" s="321"/>
      <c r="CL125" s="321"/>
      <c r="CM125" s="321"/>
      <c r="CN125" s="321"/>
      <c r="CO125" s="321"/>
      <c r="CP125" s="321"/>
      <c r="CQ125" s="321"/>
      <c r="CR125" s="564"/>
      <c r="CS125" s="483"/>
      <c r="CT125" s="321"/>
      <c r="CU125" s="321"/>
      <c r="CV125" s="321"/>
      <c r="CW125" s="321"/>
      <c r="CX125" s="321"/>
      <c r="CY125" s="321"/>
      <c r="CZ125" s="321"/>
      <c r="DA125" s="321"/>
      <c r="DB125" s="321"/>
      <c r="DC125" s="321"/>
      <c r="DD125" s="321"/>
      <c r="DE125" s="321"/>
      <c r="DF125" s="321"/>
      <c r="DG125" s="321"/>
      <c r="DH125" s="564"/>
      <c r="DI125" s="483"/>
      <c r="DJ125" s="321"/>
      <c r="DK125" s="321"/>
      <c r="DL125" s="321"/>
      <c r="DM125" s="321"/>
      <c r="DN125" s="321"/>
      <c r="DO125" s="321"/>
      <c r="DP125" s="321"/>
      <c r="DQ125" s="321"/>
      <c r="DR125" s="321"/>
      <c r="DS125" s="321"/>
      <c r="DT125" s="321"/>
      <c r="DU125" s="321"/>
      <c r="DV125" s="321"/>
      <c r="DW125" s="321"/>
      <c r="DX125" s="564"/>
      <c r="DY125" s="483"/>
      <c r="DZ125" s="321"/>
      <c r="EA125" s="321"/>
      <c r="EB125" s="321"/>
      <c r="EC125" s="321"/>
      <c r="ED125" s="321"/>
      <c r="EE125" s="321"/>
      <c r="EF125" s="321"/>
      <c r="EG125" s="321"/>
      <c r="EH125" s="321"/>
      <c r="EI125" s="321"/>
      <c r="EJ125" s="321"/>
      <c r="EK125" s="321"/>
      <c r="EL125" s="321"/>
      <c r="EM125" s="321"/>
      <c r="EN125" s="564"/>
      <c r="EO125" s="483"/>
      <c r="EP125" s="321"/>
      <c r="EQ125" s="321"/>
      <c r="ER125" s="321"/>
      <c r="ES125" s="321"/>
      <c r="ET125" s="321"/>
      <c r="EU125" s="321"/>
      <c r="EV125" s="321"/>
      <c r="EW125" s="321"/>
      <c r="EX125" s="321"/>
      <c r="EY125" s="321"/>
      <c r="EZ125" s="321"/>
      <c r="FA125" s="321"/>
      <c r="FB125" s="321"/>
      <c r="FC125" s="321"/>
      <c r="FD125" s="564"/>
      <c r="FE125" s="1308"/>
      <c r="FF125" s="321"/>
      <c r="FG125" s="321"/>
      <c r="FH125" s="321"/>
      <c r="FI125" s="321"/>
      <c r="FJ125" s="321"/>
      <c r="FK125" s="321"/>
      <c r="FL125" s="321"/>
      <c r="FM125" s="321"/>
      <c r="FN125" s="321"/>
      <c r="FO125" s="321"/>
      <c r="FP125" s="321"/>
      <c r="FQ125" s="321"/>
      <c r="FR125" s="321"/>
      <c r="FS125" s="321"/>
      <c r="FT125" s="1310"/>
      <c r="FU125" s="1308"/>
      <c r="FV125" s="321"/>
      <c r="FW125" s="321"/>
      <c r="FX125" s="321"/>
      <c r="FY125" s="321"/>
      <c r="FZ125" s="321"/>
      <c r="GA125" s="321"/>
      <c r="GB125" s="321"/>
      <c r="GC125" s="321"/>
      <c r="GD125" s="321"/>
      <c r="GE125" s="321"/>
      <c r="GF125" s="321"/>
      <c r="GG125" s="321"/>
      <c r="GH125" s="321"/>
      <c r="GI125" s="321"/>
      <c r="GJ125" s="1310"/>
      <c r="GK125" s="483"/>
      <c r="GL125" s="321"/>
      <c r="GM125" s="321"/>
      <c r="GN125" s="321"/>
      <c r="GO125" s="321"/>
      <c r="GP125" s="321"/>
      <c r="GQ125" s="321"/>
      <c r="GR125" s="321"/>
      <c r="GS125" s="321"/>
      <c r="GT125" s="321"/>
      <c r="GU125" s="321"/>
      <c r="GV125" s="321"/>
      <c r="GW125" s="321"/>
      <c r="GX125" s="321"/>
      <c r="GY125" s="321"/>
      <c r="GZ125" s="564"/>
      <c r="HA125" s="483"/>
      <c r="HB125" s="321"/>
      <c r="HC125" s="321"/>
      <c r="HD125" s="321"/>
      <c r="HE125" s="321"/>
      <c r="HF125" s="321"/>
      <c r="HG125" s="321"/>
      <c r="HH125" s="321"/>
      <c r="HI125" s="321"/>
      <c r="HJ125" s="321"/>
      <c r="HK125" s="321"/>
      <c r="HL125" s="321"/>
      <c r="HM125" s="321"/>
      <c r="HN125" s="321"/>
      <c r="HO125" s="321"/>
      <c r="HP125" s="564"/>
      <c r="HQ125" s="483"/>
      <c r="HR125" s="321"/>
      <c r="HS125" s="321"/>
      <c r="HT125" s="321"/>
      <c r="HU125" s="321"/>
      <c r="HV125" s="321"/>
      <c r="HW125" s="321"/>
      <c r="HX125" s="321"/>
      <c r="HY125" s="321"/>
      <c r="HZ125" s="321"/>
      <c r="IA125" s="321"/>
      <c r="IB125" s="321"/>
      <c r="IC125" s="321"/>
      <c r="ID125" s="321"/>
      <c r="IE125" s="321"/>
      <c r="IF125" s="564"/>
      <c r="IG125" s="483"/>
      <c r="IH125" s="321"/>
      <c r="II125" s="321"/>
      <c r="IJ125" s="321"/>
      <c r="IK125" s="321"/>
      <c r="IL125" s="321"/>
      <c r="IM125" s="321"/>
      <c r="IN125" s="321"/>
      <c r="IO125" s="321"/>
      <c r="IP125" s="321"/>
      <c r="IQ125" s="321"/>
      <c r="IR125" s="321"/>
      <c r="IS125" s="321"/>
      <c r="IT125" s="321"/>
      <c r="IU125" s="321"/>
      <c r="IV125" s="564"/>
    </row>
    <row r="126" spans="1:256" s="328" customFormat="1" ht="8.25" customHeight="1">
      <c r="A126" s="483"/>
      <c r="B126" s="321"/>
      <c r="C126" s="321"/>
      <c r="D126" s="321"/>
      <c r="E126" s="321"/>
      <c r="F126" s="321"/>
      <c r="G126" s="321"/>
      <c r="H126" s="321"/>
      <c r="I126" s="321"/>
      <c r="J126" s="321"/>
      <c r="K126" s="321"/>
      <c r="L126" s="321"/>
      <c r="M126" s="321"/>
      <c r="N126" s="321"/>
      <c r="O126" s="321"/>
      <c r="P126" s="564"/>
      <c r="Q126" s="483"/>
      <c r="R126" s="321"/>
      <c r="S126" s="321"/>
      <c r="T126" s="321"/>
      <c r="U126" s="321"/>
      <c r="V126" s="321"/>
      <c r="W126" s="321"/>
      <c r="X126" s="321"/>
      <c r="Y126" s="321"/>
      <c r="Z126" s="321"/>
      <c r="AA126" s="321"/>
      <c r="AB126" s="321"/>
      <c r="AC126" s="321"/>
      <c r="AD126" s="321"/>
      <c r="AE126" s="321"/>
      <c r="AF126" s="564"/>
      <c r="AG126" s="483"/>
      <c r="AH126" s="321"/>
      <c r="AI126" s="321"/>
      <c r="AJ126" s="321"/>
      <c r="AK126" s="321"/>
      <c r="AL126" s="321"/>
      <c r="AM126" s="321"/>
      <c r="AN126" s="321"/>
      <c r="AO126" s="321"/>
      <c r="AP126" s="321"/>
      <c r="AQ126" s="321"/>
      <c r="AR126" s="321"/>
      <c r="AS126" s="321"/>
      <c r="AT126" s="321"/>
      <c r="AU126" s="321"/>
      <c r="AV126" s="564"/>
      <c r="AW126" s="483"/>
      <c r="AX126" s="321"/>
      <c r="AY126" s="321"/>
      <c r="AZ126" s="321"/>
      <c r="BA126" s="321"/>
      <c r="BB126" s="321"/>
      <c r="BC126" s="321"/>
      <c r="BD126" s="321"/>
      <c r="BE126" s="321"/>
      <c r="BF126" s="321"/>
      <c r="BG126" s="321"/>
      <c r="BH126" s="321"/>
      <c r="BI126" s="321"/>
      <c r="BJ126" s="321"/>
      <c r="BK126" s="321"/>
      <c r="BL126" s="564"/>
      <c r="BM126" s="483"/>
      <c r="BN126" s="321"/>
      <c r="BO126" s="321"/>
      <c r="BP126" s="321"/>
      <c r="BQ126" s="321"/>
      <c r="BR126" s="321"/>
      <c r="BS126" s="321"/>
      <c r="BT126" s="321"/>
      <c r="BU126" s="321"/>
      <c r="BV126" s="321"/>
      <c r="BW126" s="321"/>
      <c r="BX126" s="321"/>
      <c r="BY126" s="321"/>
      <c r="BZ126" s="321"/>
      <c r="CA126" s="321"/>
      <c r="CB126" s="564"/>
      <c r="CC126" s="483"/>
      <c r="CD126" s="321"/>
      <c r="CE126" s="321"/>
      <c r="CF126" s="321"/>
      <c r="CG126" s="321"/>
      <c r="CH126" s="321"/>
      <c r="CI126" s="321"/>
      <c r="CJ126" s="321"/>
      <c r="CK126" s="321"/>
      <c r="CL126" s="321"/>
      <c r="CM126" s="321"/>
      <c r="CN126" s="321"/>
      <c r="CO126" s="321"/>
      <c r="CP126" s="321"/>
      <c r="CQ126" s="321"/>
      <c r="CR126" s="564"/>
      <c r="CS126" s="483"/>
      <c r="CT126" s="321"/>
      <c r="CU126" s="321"/>
      <c r="CV126" s="321"/>
      <c r="CW126" s="321"/>
      <c r="CX126" s="321"/>
      <c r="CY126" s="321"/>
      <c r="CZ126" s="321"/>
      <c r="DA126" s="321"/>
      <c r="DB126" s="321"/>
      <c r="DC126" s="321"/>
      <c r="DD126" s="321"/>
      <c r="DE126" s="321"/>
      <c r="DF126" s="321"/>
      <c r="DG126" s="321"/>
      <c r="DH126" s="564"/>
      <c r="DI126" s="483"/>
      <c r="DJ126" s="321"/>
      <c r="DK126" s="321"/>
      <c r="DL126" s="321"/>
      <c r="DM126" s="321"/>
      <c r="DN126" s="321"/>
      <c r="DO126" s="321"/>
      <c r="DP126" s="321"/>
      <c r="DQ126" s="321"/>
      <c r="DR126" s="321"/>
      <c r="DS126" s="321"/>
      <c r="DT126" s="321"/>
      <c r="DU126" s="321"/>
      <c r="DV126" s="321"/>
      <c r="DW126" s="321"/>
      <c r="DX126" s="564"/>
      <c r="DY126" s="483"/>
      <c r="DZ126" s="321"/>
      <c r="EA126" s="321"/>
      <c r="EB126" s="321"/>
      <c r="EC126" s="321"/>
      <c r="ED126" s="321"/>
      <c r="EE126" s="321"/>
      <c r="EF126" s="321"/>
      <c r="EG126" s="321"/>
      <c r="EH126" s="321"/>
      <c r="EI126" s="321"/>
      <c r="EJ126" s="321"/>
      <c r="EK126" s="321"/>
      <c r="EL126" s="321"/>
      <c r="EM126" s="321"/>
      <c r="EN126" s="564"/>
      <c r="EO126" s="483"/>
      <c r="EP126" s="321"/>
      <c r="EQ126" s="321"/>
      <c r="ER126" s="321"/>
      <c r="ES126" s="321"/>
      <c r="ET126" s="321"/>
      <c r="EU126" s="321"/>
      <c r="EV126" s="321"/>
      <c r="EW126" s="321"/>
      <c r="EX126" s="321"/>
      <c r="EY126" s="321"/>
      <c r="EZ126" s="321"/>
      <c r="FA126" s="321"/>
      <c r="FB126" s="321"/>
      <c r="FC126" s="321"/>
      <c r="FD126" s="564"/>
      <c r="FE126" s="1308"/>
      <c r="FF126" s="321"/>
      <c r="FG126" s="321"/>
      <c r="FH126" s="321"/>
      <c r="FI126" s="321"/>
      <c r="FJ126" s="321"/>
      <c r="FK126" s="321"/>
      <c r="FL126" s="321"/>
      <c r="FM126" s="321"/>
      <c r="FN126" s="321"/>
      <c r="FO126" s="321"/>
      <c r="FP126" s="321"/>
      <c r="FQ126" s="321"/>
      <c r="FR126" s="321"/>
      <c r="FS126" s="321"/>
      <c r="FT126" s="1310"/>
      <c r="FU126" s="1308"/>
      <c r="FV126" s="321"/>
      <c r="FW126" s="321"/>
      <c r="FX126" s="321"/>
      <c r="FY126" s="321"/>
      <c r="FZ126" s="321"/>
      <c r="GA126" s="321"/>
      <c r="GB126" s="321"/>
      <c r="GC126" s="321"/>
      <c r="GD126" s="321"/>
      <c r="GE126" s="321"/>
      <c r="GF126" s="321"/>
      <c r="GG126" s="321"/>
      <c r="GH126" s="321"/>
      <c r="GI126" s="321"/>
      <c r="GJ126" s="1310"/>
      <c r="GK126" s="483"/>
      <c r="GL126" s="321"/>
      <c r="GM126" s="321"/>
      <c r="GN126" s="321"/>
      <c r="GO126" s="321"/>
      <c r="GP126" s="321"/>
      <c r="GQ126" s="321"/>
      <c r="GR126" s="321"/>
      <c r="GS126" s="321"/>
      <c r="GT126" s="321"/>
      <c r="GU126" s="321"/>
      <c r="GV126" s="321"/>
      <c r="GW126" s="321"/>
      <c r="GX126" s="321"/>
      <c r="GY126" s="321"/>
      <c r="GZ126" s="564"/>
      <c r="HA126" s="483"/>
      <c r="HB126" s="321"/>
      <c r="HC126" s="321"/>
      <c r="HD126" s="321"/>
      <c r="HE126" s="321"/>
      <c r="HF126" s="321"/>
      <c r="HG126" s="321"/>
      <c r="HH126" s="321"/>
      <c r="HI126" s="321"/>
      <c r="HJ126" s="321"/>
      <c r="HK126" s="321"/>
      <c r="HL126" s="321"/>
      <c r="HM126" s="321"/>
      <c r="HN126" s="321"/>
      <c r="HO126" s="321"/>
      <c r="HP126" s="564"/>
      <c r="HQ126" s="483"/>
      <c r="HR126" s="321"/>
      <c r="HS126" s="321"/>
      <c r="HT126" s="321"/>
      <c r="HU126" s="321"/>
      <c r="HV126" s="321"/>
      <c r="HW126" s="321"/>
      <c r="HX126" s="321"/>
      <c r="HY126" s="321"/>
      <c r="HZ126" s="321"/>
      <c r="IA126" s="321"/>
      <c r="IB126" s="321"/>
      <c r="IC126" s="321"/>
      <c r="ID126" s="321"/>
      <c r="IE126" s="321"/>
      <c r="IF126" s="564"/>
      <c r="IG126" s="483"/>
      <c r="IH126" s="321"/>
      <c r="II126" s="321"/>
      <c r="IJ126" s="321"/>
      <c r="IK126" s="321"/>
      <c r="IL126" s="321"/>
      <c r="IM126" s="321"/>
      <c r="IN126" s="321"/>
      <c r="IO126" s="321"/>
      <c r="IP126" s="321"/>
      <c r="IQ126" s="321"/>
      <c r="IR126" s="321"/>
      <c r="IS126" s="321"/>
      <c r="IT126" s="321"/>
      <c r="IU126" s="321"/>
      <c r="IV126" s="564"/>
    </row>
    <row r="127" spans="1:256" s="328" customFormat="1" ht="8.25" customHeight="1">
      <c r="A127" s="483"/>
      <c r="B127" s="321"/>
      <c r="C127" s="321"/>
      <c r="D127" s="321"/>
      <c r="E127" s="321"/>
      <c r="F127" s="321"/>
      <c r="G127" s="321"/>
      <c r="H127" s="321"/>
      <c r="I127" s="321"/>
      <c r="J127" s="321"/>
      <c r="K127" s="321"/>
      <c r="L127" s="321"/>
      <c r="M127" s="321"/>
      <c r="N127" s="321"/>
      <c r="O127" s="321"/>
      <c r="P127" s="564"/>
      <c r="Q127" s="483"/>
      <c r="R127" s="321"/>
      <c r="S127" s="321"/>
      <c r="T127" s="321"/>
      <c r="U127" s="321"/>
      <c r="V127" s="321"/>
      <c r="W127" s="321"/>
      <c r="X127" s="321"/>
      <c r="Y127" s="321"/>
      <c r="Z127" s="321"/>
      <c r="AA127" s="321"/>
      <c r="AB127" s="321"/>
      <c r="AC127" s="321"/>
      <c r="AD127" s="321"/>
      <c r="AE127" s="321"/>
      <c r="AF127" s="564"/>
      <c r="AG127" s="483"/>
      <c r="AH127" s="321"/>
      <c r="AI127" s="321"/>
      <c r="AJ127" s="321"/>
      <c r="AK127" s="321"/>
      <c r="AL127" s="321"/>
      <c r="AM127" s="321"/>
      <c r="AN127" s="321"/>
      <c r="AO127" s="321"/>
      <c r="AP127" s="321"/>
      <c r="AQ127" s="321"/>
      <c r="AR127" s="321"/>
      <c r="AS127" s="321"/>
      <c r="AT127" s="321"/>
      <c r="AU127" s="321"/>
      <c r="AV127" s="564"/>
      <c r="AW127" s="483"/>
      <c r="AX127" s="321"/>
      <c r="AY127" s="321"/>
      <c r="AZ127" s="321"/>
      <c r="BA127" s="321"/>
      <c r="BB127" s="321"/>
      <c r="BC127" s="321"/>
      <c r="BD127" s="321"/>
      <c r="BE127" s="321"/>
      <c r="BF127" s="321"/>
      <c r="BG127" s="321"/>
      <c r="BH127" s="321"/>
      <c r="BI127" s="321"/>
      <c r="BJ127" s="321"/>
      <c r="BK127" s="321"/>
      <c r="BL127" s="564"/>
      <c r="BM127" s="483"/>
      <c r="BN127" s="321"/>
      <c r="BO127" s="321"/>
      <c r="BP127" s="321"/>
      <c r="BQ127" s="321"/>
      <c r="BR127" s="321"/>
      <c r="BS127" s="321"/>
      <c r="BT127" s="321"/>
      <c r="BU127" s="321"/>
      <c r="BV127" s="321"/>
      <c r="BW127" s="321"/>
      <c r="BX127" s="321"/>
      <c r="BY127" s="321"/>
      <c r="BZ127" s="321"/>
      <c r="CA127" s="321"/>
      <c r="CB127" s="564"/>
      <c r="CC127" s="483"/>
      <c r="CD127" s="321"/>
      <c r="CE127" s="321"/>
      <c r="CF127" s="321"/>
      <c r="CG127" s="321"/>
      <c r="CH127" s="321"/>
      <c r="CI127" s="321"/>
      <c r="CJ127" s="321"/>
      <c r="CK127" s="321"/>
      <c r="CL127" s="321"/>
      <c r="CM127" s="321"/>
      <c r="CN127" s="321"/>
      <c r="CO127" s="321"/>
      <c r="CP127" s="321"/>
      <c r="CQ127" s="321"/>
      <c r="CR127" s="564"/>
      <c r="CS127" s="483"/>
      <c r="CT127" s="321"/>
      <c r="CU127" s="321"/>
      <c r="CV127" s="321"/>
      <c r="CW127" s="321"/>
      <c r="CX127" s="321"/>
      <c r="CY127" s="321"/>
      <c r="CZ127" s="321"/>
      <c r="DA127" s="321"/>
      <c r="DB127" s="321"/>
      <c r="DC127" s="321"/>
      <c r="DD127" s="321"/>
      <c r="DE127" s="321"/>
      <c r="DF127" s="321"/>
      <c r="DG127" s="321"/>
      <c r="DH127" s="564"/>
      <c r="DI127" s="483"/>
      <c r="DJ127" s="321"/>
      <c r="DK127" s="321"/>
      <c r="DL127" s="321"/>
      <c r="DM127" s="321"/>
      <c r="DN127" s="321"/>
      <c r="DO127" s="321"/>
      <c r="DP127" s="321"/>
      <c r="DQ127" s="321"/>
      <c r="DR127" s="321"/>
      <c r="DS127" s="321"/>
      <c r="DT127" s="321"/>
      <c r="DU127" s="321"/>
      <c r="DV127" s="321"/>
      <c r="DW127" s="321"/>
      <c r="DX127" s="564"/>
      <c r="DY127" s="483"/>
      <c r="DZ127" s="321"/>
      <c r="EA127" s="321"/>
      <c r="EB127" s="321"/>
      <c r="EC127" s="321"/>
      <c r="ED127" s="321"/>
      <c r="EE127" s="321"/>
      <c r="EF127" s="321"/>
      <c r="EG127" s="321"/>
      <c r="EH127" s="321"/>
      <c r="EI127" s="321"/>
      <c r="EJ127" s="321"/>
      <c r="EK127" s="321"/>
      <c r="EL127" s="321"/>
      <c r="EM127" s="321"/>
      <c r="EN127" s="564"/>
      <c r="EO127" s="483"/>
      <c r="EP127" s="321"/>
      <c r="EQ127" s="321"/>
      <c r="ER127" s="321"/>
      <c r="ES127" s="321"/>
      <c r="ET127" s="321"/>
      <c r="EU127" s="321"/>
      <c r="EV127" s="321"/>
      <c r="EW127" s="321"/>
      <c r="EX127" s="321"/>
      <c r="EY127" s="321"/>
      <c r="EZ127" s="321"/>
      <c r="FA127" s="321"/>
      <c r="FB127" s="321"/>
      <c r="FC127" s="321"/>
      <c r="FD127" s="564"/>
      <c r="FE127" s="1308"/>
      <c r="FF127" s="321"/>
      <c r="FG127" s="321"/>
      <c r="FH127" s="321"/>
      <c r="FI127" s="321"/>
      <c r="FJ127" s="321"/>
      <c r="FK127" s="321"/>
      <c r="FL127" s="321"/>
      <c r="FM127" s="321"/>
      <c r="FN127" s="321"/>
      <c r="FO127" s="321"/>
      <c r="FP127" s="321"/>
      <c r="FQ127" s="321"/>
      <c r="FR127" s="321"/>
      <c r="FS127" s="321"/>
      <c r="FT127" s="1310"/>
      <c r="FU127" s="1308"/>
      <c r="FV127" s="321"/>
      <c r="FW127" s="321"/>
      <c r="FX127" s="321"/>
      <c r="FY127" s="321"/>
      <c r="FZ127" s="321"/>
      <c r="GA127" s="321"/>
      <c r="GB127" s="321"/>
      <c r="GC127" s="321"/>
      <c r="GD127" s="321"/>
      <c r="GE127" s="321"/>
      <c r="GF127" s="321"/>
      <c r="GG127" s="321"/>
      <c r="GH127" s="321"/>
      <c r="GI127" s="321"/>
      <c r="GJ127" s="1310"/>
      <c r="GK127" s="483"/>
      <c r="GL127" s="321"/>
      <c r="GM127" s="321"/>
      <c r="GN127" s="321"/>
      <c r="GO127" s="321"/>
      <c r="GP127" s="321"/>
      <c r="GQ127" s="321"/>
      <c r="GR127" s="321"/>
      <c r="GS127" s="321"/>
      <c r="GT127" s="321"/>
      <c r="GU127" s="321"/>
      <c r="GV127" s="321"/>
      <c r="GW127" s="321"/>
      <c r="GX127" s="321"/>
      <c r="GY127" s="321"/>
      <c r="GZ127" s="564"/>
      <c r="HA127" s="483"/>
      <c r="HB127" s="321"/>
      <c r="HC127" s="321"/>
      <c r="HD127" s="321"/>
      <c r="HE127" s="321"/>
      <c r="HF127" s="321"/>
      <c r="HG127" s="321"/>
      <c r="HH127" s="321"/>
      <c r="HI127" s="321"/>
      <c r="HJ127" s="321"/>
      <c r="HK127" s="321"/>
      <c r="HL127" s="321"/>
      <c r="HM127" s="321"/>
      <c r="HN127" s="321"/>
      <c r="HO127" s="321"/>
      <c r="HP127" s="564"/>
      <c r="HQ127" s="483"/>
      <c r="HR127" s="321"/>
      <c r="HS127" s="321"/>
      <c r="HT127" s="321"/>
      <c r="HU127" s="321"/>
      <c r="HV127" s="321"/>
      <c r="HW127" s="321"/>
      <c r="HX127" s="321"/>
      <c r="HY127" s="321"/>
      <c r="HZ127" s="321"/>
      <c r="IA127" s="321"/>
      <c r="IB127" s="321"/>
      <c r="IC127" s="321"/>
      <c r="ID127" s="321"/>
      <c r="IE127" s="321"/>
      <c r="IF127" s="564"/>
      <c r="IG127" s="483"/>
      <c r="IH127" s="321"/>
      <c r="II127" s="321"/>
      <c r="IJ127" s="321"/>
      <c r="IK127" s="321"/>
      <c r="IL127" s="321"/>
      <c r="IM127" s="321"/>
      <c r="IN127" s="321"/>
      <c r="IO127" s="321"/>
      <c r="IP127" s="321"/>
      <c r="IQ127" s="321"/>
      <c r="IR127" s="321"/>
      <c r="IS127" s="321"/>
      <c r="IT127" s="321"/>
      <c r="IU127" s="321"/>
      <c r="IV127" s="564"/>
    </row>
    <row r="128" spans="1:256" s="328" customFormat="1" ht="8.25" customHeight="1">
      <c r="A128" s="569"/>
      <c r="B128" s="569"/>
      <c r="C128" s="569"/>
      <c r="D128" s="569"/>
      <c r="E128" s="569"/>
      <c r="F128" s="569"/>
      <c r="G128" s="569"/>
      <c r="H128" s="569"/>
      <c r="I128" s="569"/>
      <c r="J128" s="569"/>
      <c r="K128" s="569"/>
      <c r="L128" s="569"/>
      <c r="M128" s="569"/>
      <c r="N128" s="569"/>
      <c r="O128" s="569"/>
      <c r="P128" s="570"/>
      <c r="Q128" s="569"/>
      <c r="R128" s="569"/>
      <c r="S128" s="569"/>
      <c r="T128" s="569"/>
      <c r="U128" s="569"/>
      <c r="V128" s="569"/>
      <c r="W128" s="569"/>
      <c r="X128" s="569"/>
      <c r="Y128" s="569"/>
      <c r="Z128" s="569"/>
      <c r="AA128" s="569"/>
      <c r="AB128" s="569"/>
      <c r="AC128" s="569"/>
      <c r="AD128" s="569"/>
      <c r="AE128" s="569"/>
      <c r="AF128" s="570"/>
      <c r="AG128" s="569"/>
      <c r="AH128" s="569"/>
      <c r="AI128" s="569"/>
      <c r="AJ128" s="569"/>
      <c r="AK128" s="569"/>
      <c r="AL128" s="569"/>
      <c r="AM128" s="569"/>
      <c r="AN128" s="569"/>
      <c r="AO128" s="569"/>
      <c r="AP128" s="569"/>
      <c r="AQ128" s="569"/>
      <c r="AR128" s="569"/>
      <c r="AS128" s="569"/>
      <c r="AT128" s="569"/>
      <c r="AU128" s="569"/>
      <c r="AV128" s="570"/>
      <c r="AW128" s="569"/>
      <c r="AX128" s="569"/>
      <c r="AY128" s="569"/>
      <c r="AZ128" s="569"/>
      <c r="BA128" s="569"/>
      <c r="BB128" s="569"/>
      <c r="BC128" s="569"/>
      <c r="BD128" s="569"/>
      <c r="BE128" s="569"/>
      <c r="BF128" s="569"/>
      <c r="BG128" s="569"/>
      <c r="BH128" s="569"/>
      <c r="BI128" s="569"/>
      <c r="BJ128" s="569"/>
      <c r="BK128" s="569"/>
      <c r="BL128" s="570"/>
      <c r="BM128" s="569"/>
      <c r="BN128" s="569"/>
      <c r="BO128" s="569"/>
      <c r="BP128" s="569"/>
      <c r="BQ128" s="569"/>
      <c r="BR128" s="569"/>
      <c r="BS128" s="569"/>
      <c r="BT128" s="569"/>
      <c r="BU128" s="569"/>
      <c r="BV128" s="569"/>
      <c r="BW128" s="569"/>
      <c r="BX128" s="569"/>
      <c r="BY128" s="569"/>
      <c r="BZ128" s="569"/>
      <c r="CA128" s="569"/>
      <c r="CB128" s="570"/>
      <c r="CC128" s="569"/>
      <c r="CD128" s="569"/>
      <c r="CE128" s="569"/>
      <c r="CF128" s="569"/>
      <c r="CG128" s="569"/>
      <c r="CH128" s="569"/>
      <c r="CI128" s="569"/>
      <c r="CJ128" s="569"/>
      <c r="CK128" s="569"/>
      <c r="CL128" s="569"/>
      <c r="CM128" s="569"/>
      <c r="CN128" s="569"/>
      <c r="CO128" s="569"/>
      <c r="CP128" s="569"/>
      <c r="CQ128" s="569"/>
      <c r="CR128" s="570"/>
      <c r="CS128" s="569"/>
      <c r="CT128" s="569"/>
      <c r="CU128" s="569"/>
      <c r="CV128" s="569"/>
      <c r="CW128" s="569"/>
      <c r="CX128" s="569"/>
      <c r="CY128" s="569"/>
      <c r="CZ128" s="569"/>
      <c r="DA128" s="569"/>
      <c r="DB128" s="569"/>
      <c r="DC128" s="569"/>
      <c r="DD128" s="569"/>
      <c r="DE128" s="569"/>
      <c r="DF128" s="569"/>
      <c r="DG128" s="569"/>
      <c r="DH128" s="570"/>
      <c r="DI128" s="569"/>
      <c r="DJ128" s="569"/>
      <c r="DK128" s="569"/>
      <c r="DL128" s="569"/>
      <c r="DM128" s="569"/>
      <c r="DN128" s="569"/>
      <c r="DO128" s="569"/>
      <c r="DP128" s="569"/>
      <c r="DQ128" s="569"/>
      <c r="DR128" s="569"/>
      <c r="DS128" s="569"/>
      <c r="DT128" s="569"/>
      <c r="DU128" s="569"/>
      <c r="DV128" s="569"/>
      <c r="DW128" s="569"/>
      <c r="DX128" s="570"/>
      <c r="DY128" s="569"/>
      <c r="DZ128" s="569"/>
      <c r="EA128" s="569"/>
      <c r="EB128" s="569"/>
      <c r="EC128" s="569"/>
      <c r="ED128" s="569"/>
      <c r="EE128" s="569"/>
      <c r="EF128" s="569"/>
      <c r="EG128" s="569"/>
      <c r="EH128" s="569"/>
      <c r="EI128" s="569"/>
      <c r="EJ128" s="569"/>
      <c r="EK128" s="569"/>
      <c r="EL128" s="569"/>
      <c r="EM128" s="569"/>
      <c r="EN128" s="570"/>
      <c r="EO128" s="569"/>
      <c r="EP128" s="569"/>
      <c r="EQ128" s="569"/>
      <c r="ER128" s="569"/>
      <c r="ES128" s="569"/>
      <c r="ET128" s="569"/>
      <c r="EU128" s="569"/>
      <c r="EV128" s="569"/>
      <c r="EW128" s="569"/>
      <c r="EX128" s="569"/>
      <c r="EY128" s="569"/>
      <c r="EZ128" s="569"/>
      <c r="FA128" s="569"/>
      <c r="FB128" s="569"/>
      <c r="FC128" s="569"/>
      <c r="FD128" s="570"/>
      <c r="FE128" s="321" t="s">
        <v>740</v>
      </c>
      <c r="FF128" s="569"/>
      <c r="FG128" s="569"/>
      <c r="FH128" s="569"/>
      <c r="FI128" s="569"/>
      <c r="FJ128" s="569"/>
      <c r="FK128" s="569"/>
      <c r="FL128" s="569"/>
      <c r="FM128" s="569"/>
      <c r="FN128" s="569"/>
      <c r="FO128" s="569"/>
      <c r="FP128" s="569"/>
      <c r="FQ128" s="569"/>
      <c r="FR128" s="569"/>
      <c r="FS128" s="569"/>
      <c r="FT128" s="1314"/>
      <c r="FU128" s="321" t="s">
        <v>741</v>
      </c>
      <c r="FV128" s="569"/>
      <c r="FW128" s="569"/>
      <c r="FX128" s="569"/>
      <c r="FY128" s="569"/>
      <c r="FZ128" s="569"/>
      <c r="GA128" s="569"/>
      <c r="GB128" s="569"/>
      <c r="GC128" s="569"/>
      <c r="GD128" s="569"/>
      <c r="GE128" s="569"/>
      <c r="GF128" s="569"/>
      <c r="GG128" s="569"/>
      <c r="GH128" s="569"/>
      <c r="GI128" s="569"/>
      <c r="GJ128" s="1314"/>
      <c r="GK128" s="569"/>
      <c r="GL128" s="569"/>
      <c r="GM128" s="569"/>
      <c r="GN128" s="569"/>
      <c r="GO128" s="569"/>
      <c r="GP128" s="569"/>
      <c r="GQ128" s="569"/>
      <c r="GR128" s="569"/>
      <c r="GS128" s="569"/>
      <c r="GT128" s="569"/>
      <c r="GU128" s="569"/>
      <c r="GV128" s="569"/>
      <c r="GW128" s="569"/>
      <c r="GX128" s="569"/>
      <c r="GY128" s="569"/>
      <c r="GZ128" s="570"/>
      <c r="HA128" s="569"/>
      <c r="HB128" s="569"/>
      <c r="HC128" s="569"/>
      <c r="HD128" s="569"/>
      <c r="HE128" s="569"/>
      <c r="HF128" s="569"/>
      <c r="HG128" s="569"/>
      <c r="HH128" s="569"/>
      <c r="HI128" s="569"/>
      <c r="HJ128" s="569"/>
      <c r="HK128" s="569"/>
      <c r="HL128" s="569"/>
      <c r="HM128" s="569"/>
      <c r="HN128" s="569"/>
      <c r="HO128" s="569"/>
      <c r="HP128" s="570"/>
      <c r="HQ128" s="569"/>
      <c r="HR128" s="569"/>
      <c r="HS128" s="569"/>
      <c r="HT128" s="569"/>
      <c r="HU128" s="569"/>
      <c r="HV128" s="569"/>
      <c r="HW128" s="569"/>
      <c r="HX128" s="569"/>
      <c r="HY128" s="569"/>
      <c r="HZ128" s="569"/>
      <c r="IA128" s="569"/>
      <c r="IB128" s="569"/>
      <c r="IC128" s="569"/>
      <c r="ID128" s="569"/>
      <c r="IE128" s="569"/>
      <c r="IF128" s="570"/>
      <c r="IG128" s="569"/>
      <c r="IH128" s="569"/>
      <c r="II128" s="569"/>
      <c r="IJ128" s="569"/>
      <c r="IK128" s="569"/>
      <c r="IL128" s="569"/>
      <c r="IM128" s="569"/>
      <c r="IN128" s="569"/>
      <c r="IO128" s="569"/>
      <c r="IP128" s="569"/>
      <c r="IQ128" s="569"/>
      <c r="IR128" s="569"/>
      <c r="IS128" s="569"/>
      <c r="IT128" s="569"/>
      <c r="IU128" s="569"/>
      <c r="IV128" s="570"/>
    </row>
    <row r="129" spans="1:256" s="326" customFormat="1" ht="8.25" customHeight="1">
      <c r="A129" s="679">
        <v>65</v>
      </c>
      <c r="B129" s="484"/>
      <c r="C129" s="484"/>
      <c r="D129" s="484"/>
      <c r="E129" s="484"/>
      <c r="F129" s="484"/>
      <c r="G129" s="484"/>
      <c r="H129" s="484"/>
      <c r="I129" s="484"/>
      <c r="J129" s="484"/>
      <c r="K129" s="484"/>
      <c r="L129" s="484"/>
      <c r="M129" s="484"/>
      <c r="N129" s="484"/>
      <c r="O129" s="484"/>
      <c r="P129" s="696"/>
      <c r="Q129" s="679">
        <v>66</v>
      </c>
      <c r="R129" s="484"/>
      <c r="S129" s="484"/>
      <c r="T129" s="484"/>
      <c r="U129" s="484"/>
      <c r="V129" s="484"/>
      <c r="W129" s="484"/>
      <c r="X129" s="484"/>
      <c r="Y129" s="484"/>
      <c r="Z129" s="484"/>
      <c r="AA129" s="484"/>
      <c r="AB129" s="484"/>
      <c r="AC129" s="484"/>
      <c r="AD129" s="484"/>
      <c r="AE129" s="484"/>
      <c r="AF129" s="696"/>
      <c r="AG129" s="679">
        <v>67</v>
      </c>
      <c r="AH129" s="484"/>
      <c r="AI129" s="484"/>
      <c r="AJ129" s="484"/>
      <c r="AK129" s="484"/>
      <c r="AL129" s="484"/>
      <c r="AM129" s="484"/>
      <c r="AN129" s="484"/>
      <c r="AO129" s="484"/>
      <c r="AP129" s="484"/>
      <c r="AQ129" s="484"/>
      <c r="AR129" s="484"/>
      <c r="AS129" s="484"/>
      <c r="AT129" s="484"/>
      <c r="AU129" s="484"/>
      <c r="AV129" s="696"/>
      <c r="AW129" s="679">
        <v>68</v>
      </c>
      <c r="AX129" s="484"/>
      <c r="AY129" s="484"/>
      <c r="AZ129" s="484"/>
      <c r="BA129" s="484"/>
      <c r="BB129" s="484"/>
      <c r="BC129" s="484"/>
      <c r="BD129" s="484"/>
      <c r="BE129" s="484"/>
      <c r="BF129" s="484"/>
      <c r="BG129" s="484"/>
      <c r="BH129" s="484"/>
      <c r="BI129" s="484"/>
      <c r="BJ129" s="484"/>
      <c r="BK129" s="484"/>
      <c r="BL129" s="696"/>
      <c r="BM129" s="679">
        <v>69</v>
      </c>
      <c r="BN129" s="484"/>
      <c r="BO129" s="484"/>
      <c r="BP129" s="484"/>
      <c r="BQ129" s="484"/>
      <c r="BR129" s="484"/>
      <c r="BS129" s="484"/>
      <c r="BT129" s="484"/>
      <c r="BU129" s="484"/>
      <c r="BV129" s="484"/>
      <c r="BW129" s="484"/>
      <c r="BX129" s="484"/>
      <c r="BY129" s="484"/>
      <c r="BZ129" s="484"/>
      <c r="CA129" s="484"/>
      <c r="CB129" s="696"/>
      <c r="CC129" s="679">
        <v>70</v>
      </c>
      <c r="CD129" s="484"/>
      <c r="CE129" s="484"/>
      <c r="CF129" s="484"/>
      <c r="CG129" s="484"/>
      <c r="CH129" s="484"/>
      <c r="CI129" s="484"/>
      <c r="CJ129" s="484"/>
      <c r="CK129" s="484"/>
      <c r="CL129" s="484"/>
      <c r="CM129" s="484"/>
      <c r="CN129" s="484"/>
      <c r="CO129" s="484"/>
      <c r="CP129" s="484"/>
      <c r="CQ129" s="484"/>
      <c r="CR129" s="696"/>
      <c r="CS129" s="483">
        <v>71</v>
      </c>
      <c r="CT129" s="484"/>
      <c r="CU129" s="484"/>
      <c r="CV129" s="484"/>
      <c r="CW129" s="484"/>
      <c r="CX129" s="484"/>
      <c r="CY129" s="484"/>
      <c r="CZ129" s="484"/>
      <c r="DA129" s="484"/>
      <c r="DB129" s="484"/>
      <c r="DC129" s="484"/>
      <c r="DD129" s="484"/>
      <c r="DE129" s="484"/>
      <c r="DF129" s="484"/>
      <c r="DG129" s="484"/>
      <c r="DH129" s="696"/>
      <c r="DI129" s="483">
        <v>72</v>
      </c>
      <c r="DJ129" s="484"/>
      <c r="DK129" s="484"/>
      <c r="DL129" s="484"/>
      <c r="DM129" s="484"/>
      <c r="DN129" s="484"/>
      <c r="DO129" s="484"/>
      <c r="DP129" s="484"/>
      <c r="DQ129" s="484"/>
      <c r="DR129" s="484"/>
      <c r="DS129" s="484"/>
      <c r="DT129" s="484"/>
      <c r="DU129" s="484"/>
      <c r="DV129" s="484"/>
      <c r="DW129" s="484"/>
      <c r="DX129" s="696"/>
      <c r="DY129" s="483">
        <v>73</v>
      </c>
      <c r="DZ129" s="484"/>
      <c r="EA129" s="484"/>
      <c r="EB129" s="484"/>
      <c r="EC129" s="484"/>
      <c r="ED129" s="484"/>
      <c r="EE129" s="484"/>
      <c r="EF129" s="484"/>
      <c r="EG129" s="484"/>
      <c r="EH129" s="484"/>
      <c r="EI129" s="484"/>
      <c r="EJ129" s="484"/>
      <c r="EK129" s="484"/>
      <c r="EL129" s="484"/>
      <c r="EM129" s="484"/>
      <c r="EN129" s="696"/>
      <c r="EO129" s="483">
        <v>74</v>
      </c>
      <c r="EP129" s="484"/>
      <c r="EQ129" s="484"/>
      <c r="ER129" s="484"/>
      <c r="ES129" s="484"/>
      <c r="ET129" s="484"/>
      <c r="EU129" s="484"/>
      <c r="EV129" s="484"/>
      <c r="EW129" s="484"/>
      <c r="EX129" s="484"/>
      <c r="EY129" s="484"/>
      <c r="EZ129" s="484"/>
      <c r="FA129" s="484"/>
      <c r="FB129" s="484"/>
      <c r="FC129" s="484"/>
      <c r="FD129" s="696"/>
      <c r="FE129" s="483">
        <v>75</v>
      </c>
      <c r="FF129" s="484"/>
      <c r="FG129" s="484"/>
      <c r="FH129" s="484"/>
      <c r="FI129" s="484"/>
      <c r="FJ129" s="484"/>
      <c r="FK129" s="484"/>
      <c r="FL129" s="484"/>
      <c r="FM129" s="484"/>
      <c r="FN129" s="484"/>
      <c r="FO129" s="484"/>
      <c r="FP129" s="484"/>
      <c r="FQ129" s="484"/>
      <c r="FR129" s="484"/>
      <c r="FS129" s="484"/>
      <c r="FT129" s="696"/>
      <c r="FU129" s="483">
        <v>76</v>
      </c>
      <c r="FV129" s="484"/>
      <c r="FW129" s="484"/>
      <c r="FX129" s="484"/>
      <c r="FY129" s="484"/>
      <c r="FZ129" s="484"/>
      <c r="GA129" s="484"/>
      <c r="GB129" s="484"/>
      <c r="GC129" s="484"/>
      <c r="GD129" s="484"/>
      <c r="GE129" s="484"/>
      <c r="GF129" s="484"/>
      <c r="GG129" s="484"/>
      <c r="GH129" s="484"/>
      <c r="GI129" s="484"/>
      <c r="GJ129" s="696"/>
      <c r="GK129" s="483">
        <v>77</v>
      </c>
      <c r="GL129" s="484"/>
      <c r="GM129" s="484"/>
      <c r="GN129" s="484"/>
      <c r="GO129" s="484"/>
      <c r="GP129" s="484"/>
      <c r="GQ129" s="484"/>
      <c r="GR129" s="484"/>
      <c r="GS129" s="484"/>
      <c r="GT129" s="484"/>
      <c r="GU129" s="484"/>
      <c r="GV129" s="484"/>
      <c r="GW129" s="484"/>
      <c r="GX129" s="484"/>
      <c r="GY129" s="484"/>
      <c r="GZ129" s="696"/>
      <c r="HA129" s="483">
        <v>78</v>
      </c>
      <c r="HB129" s="484"/>
      <c r="HC129" s="484"/>
      <c r="HD129" s="484"/>
      <c r="HE129" s="484"/>
      <c r="HF129" s="484"/>
      <c r="HG129" s="484"/>
      <c r="HH129" s="484"/>
      <c r="HI129" s="484"/>
      <c r="HJ129" s="484"/>
      <c r="HK129" s="484"/>
      <c r="HL129" s="484"/>
      <c r="HM129" s="484"/>
      <c r="HN129" s="484"/>
      <c r="HO129" s="484"/>
      <c r="HP129" s="696"/>
      <c r="HQ129" s="483">
        <v>79</v>
      </c>
      <c r="HR129" s="321"/>
      <c r="HS129" s="321"/>
      <c r="HT129" s="321"/>
      <c r="HU129" s="321"/>
      <c r="HV129" s="321"/>
      <c r="HW129" s="1327"/>
      <c r="HX129" s="1327"/>
      <c r="HY129" s="1327"/>
      <c r="HZ129" s="321"/>
      <c r="IA129" s="321"/>
      <c r="IB129" s="321"/>
      <c r="IC129" s="321"/>
      <c r="ID129" s="321"/>
      <c r="IE129" s="321"/>
      <c r="IF129" s="564"/>
      <c r="IG129" s="483">
        <v>80</v>
      </c>
      <c r="IH129" s="321"/>
      <c r="II129" s="321"/>
      <c r="IJ129" s="321"/>
      <c r="IK129" s="321"/>
      <c r="IL129" s="321"/>
      <c r="IM129" s="321"/>
      <c r="IN129" s="321"/>
      <c r="IO129" s="321"/>
      <c r="IP129" s="321"/>
      <c r="IQ129" s="321"/>
      <c r="IR129" s="321"/>
      <c r="IS129" s="321"/>
      <c r="IT129" s="321"/>
      <c r="IU129" s="321"/>
      <c r="IV129" s="564"/>
    </row>
    <row r="130" spans="1:256" s="326" customFormat="1" ht="8.25" customHeight="1">
      <c r="A130" s="483"/>
      <c r="B130" s="321"/>
      <c r="C130" s="321"/>
      <c r="D130" s="321"/>
      <c r="E130" s="321"/>
      <c r="F130" s="321"/>
      <c r="G130" s="321"/>
      <c r="H130" s="321"/>
      <c r="I130" s="321"/>
      <c r="J130" s="321"/>
      <c r="K130" s="321"/>
      <c r="L130" s="321"/>
      <c r="M130" s="321"/>
      <c r="N130" s="321"/>
      <c r="O130" s="321"/>
      <c r="P130" s="564"/>
      <c r="Q130" s="483">
        <v>150</v>
      </c>
      <c r="R130" s="321"/>
      <c r="S130" s="321"/>
      <c r="T130" s="321"/>
      <c r="U130" s="321"/>
      <c r="V130" s="321"/>
      <c r="W130" s="321"/>
      <c r="X130" s="321"/>
      <c r="Y130" s="321"/>
      <c r="Z130" s="321"/>
      <c r="AA130" s="321"/>
      <c r="AB130" s="321"/>
      <c r="AC130" s="321"/>
      <c r="AD130" s="321"/>
      <c r="AE130" s="321"/>
      <c r="AF130" s="564"/>
      <c r="AG130" s="483">
        <v>80</v>
      </c>
      <c r="AH130" s="321"/>
      <c r="AI130" s="321"/>
      <c r="AJ130" s="321"/>
      <c r="AK130" s="321"/>
      <c r="AL130" s="321"/>
      <c r="AM130" s="321"/>
      <c r="AN130" s="321"/>
      <c r="AO130" s="321"/>
      <c r="AP130" s="321"/>
      <c r="AQ130" s="321"/>
      <c r="AR130" s="321"/>
      <c r="AS130" s="321"/>
      <c r="AT130" s="321"/>
      <c r="AU130" s="321"/>
      <c r="AV130" s="564"/>
      <c r="AW130" s="483">
        <v>90</v>
      </c>
      <c r="AX130" s="321"/>
      <c r="AY130" s="321"/>
      <c r="AZ130" s="321"/>
      <c r="BA130" s="321"/>
      <c r="BB130" s="321"/>
      <c r="BC130" s="321"/>
      <c r="BD130" s="321"/>
      <c r="BE130" s="321"/>
      <c r="BF130" s="321"/>
      <c r="BG130" s="321"/>
      <c r="BH130" s="321"/>
      <c r="BI130" s="321"/>
      <c r="BJ130" s="321"/>
      <c r="BK130" s="321"/>
      <c r="BL130" s="564"/>
      <c r="BM130" s="483">
        <v>100</v>
      </c>
      <c r="BN130" s="321"/>
      <c r="BO130" s="321"/>
      <c r="BP130" s="321"/>
      <c r="BQ130" s="321"/>
      <c r="BR130" s="321"/>
      <c r="BS130" s="321"/>
      <c r="BT130" s="321"/>
      <c r="BU130" s="321"/>
      <c r="BV130" s="321"/>
      <c r="BW130" s="321"/>
      <c r="BX130" s="321"/>
      <c r="BY130" s="321"/>
      <c r="BZ130" s="321"/>
      <c r="CA130" s="321"/>
      <c r="CB130" s="564"/>
      <c r="CC130" s="483">
        <v>85</v>
      </c>
      <c r="CD130" s="321"/>
      <c r="CE130" s="321"/>
      <c r="CF130" s="321"/>
      <c r="CG130" s="321"/>
      <c r="CH130" s="321"/>
      <c r="CI130" s="321"/>
      <c r="CJ130" s="321"/>
      <c r="CK130" s="321"/>
      <c r="CL130" s="321"/>
      <c r="CM130" s="321"/>
      <c r="CN130" s="321"/>
      <c r="CO130" s="321"/>
      <c r="CP130" s="321"/>
      <c r="CQ130" s="321"/>
      <c r="CR130" s="564"/>
      <c r="CS130" s="483">
        <v>50</v>
      </c>
      <c r="CT130" s="321"/>
      <c r="CU130" s="321"/>
      <c r="CV130" s="321"/>
      <c r="CW130" s="321"/>
      <c r="CX130" s="321"/>
      <c r="CY130" s="321"/>
      <c r="CZ130" s="321"/>
      <c r="DA130" s="321"/>
      <c r="DB130" s="321"/>
      <c r="DC130" s="321"/>
      <c r="DD130" s="321"/>
      <c r="DE130" s="321"/>
      <c r="DF130" s="321"/>
      <c r="DG130" s="321"/>
      <c r="DH130" s="564"/>
      <c r="DI130" s="483">
        <v>100</v>
      </c>
      <c r="DJ130" s="321"/>
      <c r="DK130" s="321"/>
      <c r="DL130" s="321"/>
      <c r="DM130" s="321"/>
      <c r="DN130" s="321"/>
      <c r="DO130" s="321"/>
      <c r="DP130" s="321"/>
      <c r="DQ130" s="321"/>
      <c r="DR130" s="321"/>
      <c r="DS130" s="321"/>
      <c r="DT130" s="321"/>
      <c r="DU130" s="321"/>
      <c r="DV130" s="321"/>
      <c r="DW130" s="321"/>
      <c r="DX130" s="564"/>
      <c r="DY130" s="483">
        <v>50</v>
      </c>
      <c r="DZ130" s="321"/>
      <c r="EA130" s="321"/>
      <c r="EB130" s="321"/>
      <c r="EC130" s="321"/>
      <c r="ED130" s="321"/>
      <c r="EE130" s="321"/>
      <c r="EF130" s="321"/>
      <c r="EG130" s="321"/>
      <c r="EH130" s="321"/>
      <c r="EI130" s="321"/>
      <c r="EJ130" s="321"/>
      <c r="EK130" s="321"/>
      <c r="EL130" s="321"/>
      <c r="EM130" s="321"/>
      <c r="EN130" s="564"/>
      <c r="EO130" s="483">
        <v>25</v>
      </c>
      <c r="EP130" s="321"/>
      <c r="EQ130" s="321"/>
      <c r="ER130" s="321"/>
      <c r="ES130" s="321"/>
      <c r="ET130" s="321"/>
      <c r="EU130" s="321"/>
      <c r="EV130" s="321"/>
      <c r="EW130" s="321"/>
      <c r="EX130" s="321"/>
      <c r="EY130" s="321"/>
      <c r="EZ130" s="321"/>
      <c r="FA130" s="321"/>
      <c r="FB130" s="321"/>
      <c r="FC130" s="321"/>
      <c r="FD130" s="564"/>
      <c r="FE130" s="483">
        <v>20</v>
      </c>
      <c r="FF130" s="321"/>
      <c r="FG130" s="321"/>
      <c r="FH130" s="321"/>
      <c r="FI130" s="321"/>
      <c r="FJ130" s="321"/>
      <c r="FK130" s="321"/>
      <c r="FL130" s="321"/>
      <c r="FM130" s="321"/>
      <c r="FN130" s="321"/>
      <c r="FO130" s="321"/>
      <c r="FP130" s="321"/>
      <c r="FQ130" s="321"/>
      <c r="FR130" s="321"/>
      <c r="FS130" s="321"/>
      <c r="FT130" s="564"/>
      <c r="FU130" s="483">
        <v>40</v>
      </c>
      <c r="FV130" s="321"/>
      <c r="FW130" s="321"/>
      <c r="FX130" s="321"/>
      <c r="FY130" s="321"/>
      <c r="FZ130" s="321"/>
      <c r="GA130" s="321"/>
      <c r="GB130" s="321"/>
      <c r="GC130" s="321"/>
      <c r="GD130" s="321"/>
      <c r="GE130" s="321"/>
      <c r="GF130" s="321"/>
      <c r="GG130" s="321"/>
      <c r="GH130" s="321"/>
      <c r="GI130" s="321"/>
      <c r="GJ130" s="564"/>
      <c r="GK130" s="483">
        <v>20</v>
      </c>
      <c r="GL130" s="321"/>
      <c r="GM130" s="321"/>
      <c r="GN130" s="321"/>
      <c r="GO130" s="321"/>
      <c r="GP130" s="321"/>
      <c r="GQ130" s="321"/>
      <c r="GR130" s="321"/>
      <c r="GS130" s="321"/>
      <c r="GT130" s="321"/>
      <c r="GU130" s="321"/>
      <c r="GV130" s="321"/>
      <c r="GW130" s="321"/>
      <c r="GX130" s="321"/>
      <c r="GY130" s="321"/>
      <c r="GZ130" s="564"/>
      <c r="HA130" s="483">
        <v>10</v>
      </c>
      <c r="HB130" s="321"/>
      <c r="HC130" s="321"/>
      <c r="HD130" s="321"/>
      <c r="HE130" s="321"/>
      <c r="HF130" s="321"/>
      <c r="HG130" s="321"/>
      <c r="HH130" s="321"/>
      <c r="HI130" s="321"/>
      <c r="HJ130" s="321"/>
      <c r="HK130" s="321"/>
      <c r="HL130" s="321"/>
      <c r="HM130" s="321"/>
      <c r="HN130" s="321"/>
      <c r="HO130" s="321"/>
      <c r="HP130" s="564"/>
      <c r="HQ130" s="483">
        <v>400</v>
      </c>
      <c r="HR130" s="321"/>
      <c r="HS130" s="321"/>
      <c r="HT130" s="321"/>
      <c r="HU130" s="321"/>
      <c r="HV130" s="1327"/>
      <c r="HW130" s="432"/>
      <c r="HX130" s="411"/>
      <c r="HY130" s="432"/>
      <c r="HZ130" s="1327"/>
      <c r="IA130" s="321"/>
      <c r="IB130" s="321"/>
      <c r="IC130" s="321"/>
      <c r="ID130" s="321"/>
      <c r="IE130" s="321"/>
      <c r="IF130" s="564"/>
      <c r="IG130" s="483">
        <v>400</v>
      </c>
      <c r="IH130" s="321"/>
      <c r="II130" s="321"/>
      <c r="IJ130" s="321"/>
      <c r="IK130" s="321"/>
      <c r="IL130" s="321"/>
      <c r="IM130" s="321"/>
      <c r="IN130" s="321"/>
      <c r="IO130" s="321"/>
      <c r="IP130" s="321"/>
      <c r="IQ130" s="321"/>
      <c r="IR130" s="321"/>
      <c r="IS130" s="321"/>
      <c r="IT130" s="321"/>
      <c r="IU130" s="321"/>
      <c r="IV130" s="564"/>
    </row>
    <row r="131" spans="1:256" s="326" customFormat="1" ht="8.25" customHeight="1">
      <c r="A131" s="483"/>
      <c r="B131" s="321"/>
      <c r="C131" s="321"/>
      <c r="D131" s="321"/>
      <c r="E131" s="321"/>
      <c r="F131" s="321"/>
      <c r="G131" s="321"/>
      <c r="H131" s="321"/>
      <c r="I131" s="321"/>
      <c r="J131" s="321"/>
      <c r="K131" s="321"/>
      <c r="L131" s="321"/>
      <c r="M131" s="321"/>
      <c r="N131" s="321"/>
      <c r="O131" s="321"/>
      <c r="P131" s="564"/>
      <c r="Q131" s="483"/>
      <c r="R131" s="321"/>
      <c r="S131" s="321"/>
      <c r="T131" s="321"/>
      <c r="U131" s="321"/>
      <c r="V131" s="321"/>
      <c r="W131" s="321"/>
      <c r="X131" s="321"/>
      <c r="Y131" s="321"/>
      <c r="Z131" s="321"/>
      <c r="AA131" s="321"/>
      <c r="AB131" s="321"/>
      <c r="AC131" s="321"/>
      <c r="AD131" s="321"/>
      <c r="AE131" s="321"/>
      <c r="AF131" s="564"/>
      <c r="AG131" s="483"/>
      <c r="AH131" s="321"/>
      <c r="AI131" s="321"/>
      <c r="AJ131" s="321"/>
      <c r="AK131" s="321"/>
      <c r="AL131" s="321"/>
      <c r="AM131" s="321"/>
      <c r="AN131" s="321"/>
      <c r="AO131" s="321"/>
      <c r="AP131" s="321"/>
      <c r="AQ131" s="321"/>
      <c r="AR131" s="321"/>
      <c r="AS131" s="321"/>
      <c r="AT131" s="321"/>
      <c r="AU131" s="321"/>
      <c r="AV131" s="564"/>
      <c r="AW131" s="483"/>
      <c r="AX131" s="321"/>
      <c r="AY131" s="321"/>
      <c r="AZ131" s="321"/>
      <c r="BA131" s="321"/>
      <c r="BB131" s="321"/>
      <c r="BC131" s="321"/>
      <c r="BD131" s="321"/>
      <c r="BE131" s="321"/>
      <c r="BF131" s="321"/>
      <c r="BG131" s="321"/>
      <c r="BH131" s="321"/>
      <c r="BI131" s="321"/>
      <c r="BJ131" s="321"/>
      <c r="BK131" s="321"/>
      <c r="BL131" s="564"/>
      <c r="BM131" s="483"/>
      <c r="BN131" s="321"/>
      <c r="BO131" s="321"/>
      <c r="BP131" s="321"/>
      <c r="BQ131" s="321"/>
      <c r="BR131" s="321"/>
      <c r="BS131" s="321"/>
      <c r="BT131" s="321"/>
      <c r="BU131" s="321"/>
      <c r="BV131" s="321"/>
      <c r="BW131" s="321"/>
      <c r="BX131" s="321"/>
      <c r="BY131" s="321"/>
      <c r="BZ131" s="321"/>
      <c r="CA131" s="321"/>
      <c r="CB131" s="564"/>
      <c r="CC131" s="483"/>
      <c r="CD131" s="321"/>
      <c r="CE131" s="321"/>
      <c r="CF131" s="321"/>
      <c r="CG131" s="321"/>
      <c r="CH131" s="321"/>
      <c r="CI131" s="321"/>
      <c r="CJ131" s="321"/>
      <c r="CK131" s="321"/>
      <c r="CL131" s="321"/>
      <c r="CM131" s="321"/>
      <c r="CN131" s="321"/>
      <c r="CO131" s="321"/>
      <c r="CP131" s="321"/>
      <c r="CQ131" s="321"/>
      <c r="CR131" s="564"/>
      <c r="CS131" s="483">
        <v>72</v>
      </c>
      <c r="CT131" s="321"/>
      <c r="CU131" s="321"/>
      <c r="CV131" s="321"/>
      <c r="CW131" s="321"/>
      <c r="CX131" s="321"/>
      <c r="CY131" s="321"/>
      <c r="CZ131" s="321"/>
      <c r="DA131" s="321"/>
      <c r="DB131" s="321"/>
      <c r="DC131" s="321"/>
      <c r="DD131" s="321"/>
      <c r="DE131" s="321"/>
      <c r="DF131" s="321"/>
      <c r="DG131" s="321"/>
      <c r="DH131" s="564"/>
      <c r="DI131" s="483">
        <v>73</v>
      </c>
      <c r="DJ131" s="321"/>
      <c r="DK131" s="321"/>
      <c r="DL131" s="321"/>
      <c r="DM131" s="321"/>
      <c r="DN131" s="321"/>
      <c r="DO131" s="321"/>
      <c r="DP131" s="321"/>
      <c r="DQ131" s="321"/>
      <c r="DR131" s="321"/>
      <c r="DS131" s="321"/>
      <c r="DT131" s="321"/>
      <c r="DU131" s="321"/>
      <c r="DV131" s="321"/>
      <c r="DW131" s="321"/>
      <c r="DX131" s="564"/>
      <c r="DY131" s="483">
        <v>74</v>
      </c>
      <c r="DZ131" s="321"/>
      <c r="EA131" s="321"/>
      <c r="EB131" s="321"/>
      <c r="EC131" s="321"/>
      <c r="ED131" s="321"/>
      <c r="EE131" s="321"/>
      <c r="EF131" s="321"/>
      <c r="EG131" s="321"/>
      <c r="EH131" s="321"/>
      <c r="EI131" s="321"/>
      <c r="EJ131" s="321"/>
      <c r="EK131" s="321"/>
      <c r="EL131" s="321"/>
      <c r="EM131" s="321"/>
      <c r="EN131" s="564"/>
      <c r="EO131" s="483">
        <v>-129</v>
      </c>
      <c r="EP131" s="321"/>
      <c r="EQ131" s="321"/>
      <c r="ER131" s="321"/>
      <c r="ES131" s="321"/>
      <c r="ET131" s="321"/>
      <c r="EU131" s="321"/>
      <c r="EV131" s="321"/>
      <c r="EW131" s="321"/>
      <c r="EX131" s="321"/>
      <c r="EY131" s="321"/>
      <c r="EZ131" s="321"/>
      <c r="FA131" s="321"/>
      <c r="FB131" s="321"/>
      <c r="FC131" s="321"/>
      <c r="FD131" s="564"/>
      <c r="FE131" s="483">
        <v>76</v>
      </c>
      <c r="FF131" s="321"/>
      <c r="FG131" s="321"/>
      <c r="FH131" s="321"/>
      <c r="FI131" s="321"/>
      <c r="FJ131" s="321"/>
      <c r="FK131" s="321"/>
      <c r="FL131" s="321"/>
      <c r="FM131" s="321"/>
      <c r="FN131" s="321"/>
      <c r="FO131" s="321"/>
      <c r="FP131" s="321"/>
      <c r="FQ131" s="321"/>
      <c r="FR131" s="321"/>
      <c r="FS131" s="321"/>
      <c r="FT131" s="564"/>
      <c r="FU131" s="483">
        <v>77</v>
      </c>
      <c r="FV131" s="321"/>
      <c r="FW131" s="321"/>
      <c r="FX131" s="321"/>
      <c r="FY131" s="321"/>
      <c r="FZ131" s="321"/>
      <c r="GA131" s="321"/>
      <c r="GB131" s="321"/>
      <c r="GC131" s="321"/>
      <c r="GD131" s="321"/>
      <c r="GE131" s="321"/>
      <c r="GF131" s="321"/>
      <c r="GG131" s="321"/>
      <c r="GH131" s="321"/>
      <c r="GI131" s="321"/>
      <c r="GJ131" s="564"/>
      <c r="GK131" s="483">
        <v>78</v>
      </c>
      <c r="GL131" s="321"/>
      <c r="GM131" s="321"/>
      <c r="GN131" s="321"/>
      <c r="GO131" s="321"/>
      <c r="GP131" s="321"/>
      <c r="GQ131" s="321"/>
      <c r="GR131" s="321"/>
      <c r="GS131" s="321"/>
      <c r="GT131" s="321"/>
      <c r="GU131" s="321"/>
      <c r="GV131" s="321"/>
      <c r="GW131" s="321"/>
      <c r="GX131" s="321"/>
      <c r="GY131" s="321"/>
      <c r="GZ131" s="564"/>
      <c r="HA131" s="483">
        <v>-129</v>
      </c>
      <c r="HB131" s="321"/>
      <c r="HC131" s="321"/>
      <c r="HD131" s="321"/>
      <c r="HE131" s="321"/>
      <c r="HF131" s="321"/>
      <c r="HG131" s="321"/>
      <c r="HH131" s="321"/>
      <c r="HI131" s="321"/>
      <c r="HJ131" s="321"/>
      <c r="HK131" s="321"/>
      <c r="HL131" s="321"/>
      <c r="HM131" s="321"/>
      <c r="HN131" s="321"/>
      <c r="HO131" s="321"/>
      <c r="HP131" s="564"/>
      <c r="HQ131" s="483"/>
      <c r="HR131" s="321"/>
      <c r="HS131" s="321"/>
      <c r="HT131" s="321"/>
      <c r="HU131" s="1327"/>
      <c r="HV131" s="432"/>
      <c r="HW131" s="452"/>
      <c r="HX131" s="452"/>
      <c r="HY131" s="439"/>
      <c r="HZ131" s="432"/>
      <c r="IA131" s="1327"/>
      <c r="IB131" s="321"/>
      <c r="IC131" s="321"/>
      <c r="ID131" s="321"/>
      <c r="IE131" s="321"/>
      <c r="IF131" s="564"/>
      <c r="IG131" s="483"/>
      <c r="IH131" s="321"/>
      <c r="II131" s="321"/>
      <c r="IJ131" s="420"/>
      <c r="IK131" s="414"/>
      <c r="IL131" s="321"/>
      <c r="IM131" s="321"/>
      <c r="IN131" s="321"/>
      <c r="IO131" s="321"/>
      <c r="IP131" s="321"/>
      <c r="IQ131" s="321"/>
      <c r="IR131" s="321"/>
      <c r="IS131" s="321"/>
      <c r="IT131" s="321"/>
      <c r="IU131" s="321"/>
      <c r="IV131" s="564"/>
    </row>
    <row r="132" spans="1:256" s="326" customFormat="1" ht="8.25" customHeight="1">
      <c r="A132" s="483"/>
      <c r="B132" s="321"/>
      <c r="C132" s="321"/>
      <c r="D132" s="321"/>
      <c r="E132" s="321"/>
      <c r="F132" s="321"/>
      <c r="G132" s="321"/>
      <c r="H132" s="321"/>
      <c r="I132" s="321"/>
      <c r="J132" s="321"/>
      <c r="K132" s="321"/>
      <c r="L132" s="321"/>
      <c r="M132" s="321"/>
      <c r="N132" s="321"/>
      <c r="O132" s="321"/>
      <c r="P132" s="564"/>
      <c r="Q132" s="483"/>
      <c r="R132" s="321"/>
      <c r="S132" s="321"/>
      <c r="T132" s="321"/>
      <c r="U132" s="321"/>
      <c r="V132" s="321"/>
      <c r="W132" s="321"/>
      <c r="X132" s="321"/>
      <c r="Y132" s="321"/>
      <c r="Z132" s="321"/>
      <c r="AA132" s="321"/>
      <c r="AB132" s="321"/>
      <c r="AC132" s="321"/>
      <c r="AD132" s="321"/>
      <c r="AE132" s="321"/>
      <c r="AF132" s="564"/>
      <c r="AG132" s="483"/>
      <c r="AH132" s="321"/>
      <c r="AI132" s="321"/>
      <c r="AJ132" s="321"/>
      <c r="AK132" s="321"/>
      <c r="AL132" s="321"/>
      <c r="AM132" s="321"/>
      <c r="AN132" s="321"/>
      <c r="AO132" s="321"/>
      <c r="AP132" s="321"/>
      <c r="AQ132" s="321"/>
      <c r="AR132" s="321"/>
      <c r="AS132" s="321"/>
      <c r="AT132" s="321"/>
      <c r="AU132" s="321"/>
      <c r="AV132" s="564"/>
      <c r="AW132" s="483"/>
      <c r="AX132" s="321"/>
      <c r="AY132" s="321"/>
      <c r="AZ132" s="321"/>
      <c r="BA132" s="321"/>
      <c r="BB132" s="321"/>
      <c r="BC132" s="321"/>
      <c r="BD132" s="321"/>
      <c r="BE132" s="321"/>
      <c r="BF132" s="321"/>
      <c r="BG132" s="321"/>
      <c r="BH132" s="321"/>
      <c r="BI132" s="321"/>
      <c r="BJ132" s="321"/>
      <c r="BK132" s="321"/>
      <c r="BL132" s="564"/>
      <c r="BM132" s="483"/>
      <c r="BN132" s="321"/>
      <c r="BO132" s="321"/>
      <c r="BP132" s="321"/>
      <c r="BQ132" s="321"/>
      <c r="BR132" s="321"/>
      <c r="BS132" s="321"/>
      <c r="BT132" s="321"/>
      <c r="BU132" s="321"/>
      <c r="BV132" s="321"/>
      <c r="BW132" s="321"/>
      <c r="BX132" s="321"/>
      <c r="BY132" s="321"/>
      <c r="BZ132" s="321"/>
      <c r="CA132" s="321"/>
      <c r="CB132" s="564"/>
      <c r="CC132" s="483"/>
      <c r="CD132" s="321"/>
      <c r="CE132" s="321"/>
      <c r="CF132" s="321"/>
      <c r="CG132" s="321"/>
      <c r="CH132" s="321"/>
      <c r="CI132" s="321"/>
      <c r="CJ132" s="321"/>
      <c r="CK132" s="321"/>
      <c r="CL132" s="321"/>
      <c r="CM132" s="321"/>
      <c r="CN132" s="321"/>
      <c r="CO132" s="321"/>
      <c r="CP132" s="321"/>
      <c r="CQ132" s="321"/>
      <c r="CR132" s="564"/>
      <c r="CS132" s="483">
        <v>40</v>
      </c>
      <c r="CT132" s="321"/>
      <c r="CU132" s="321"/>
      <c r="CV132" s="321"/>
      <c r="CW132" s="321"/>
      <c r="CX132" s="321"/>
      <c r="CY132" s="321"/>
      <c r="CZ132" s="321"/>
      <c r="DA132" s="321"/>
      <c r="DB132" s="321"/>
      <c r="DC132" s="321"/>
      <c r="DD132" s="321"/>
      <c r="DE132" s="321"/>
      <c r="DF132" s="321"/>
      <c r="DG132" s="321"/>
      <c r="DH132" s="564"/>
      <c r="DI132" s="483">
        <v>40</v>
      </c>
      <c r="DJ132" s="321"/>
      <c r="DK132" s="321"/>
      <c r="DL132" s="321"/>
      <c r="DM132" s="321"/>
      <c r="DN132" s="321"/>
      <c r="DO132" s="321"/>
      <c r="DP132" s="321"/>
      <c r="DQ132" s="321"/>
      <c r="DR132" s="321"/>
      <c r="DS132" s="321"/>
      <c r="DT132" s="321"/>
      <c r="DU132" s="321"/>
      <c r="DV132" s="321"/>
      <c r="DW132" s="321"/>
      <c r="DX132" s="564"/>
      <c r="DY132" s="483">
        <v>40</v>
      </c>
      <c r="DZ132" s="321"/>
      <c r="EA132" s="321"/>
      <c r="EB132" s="321"/>
      <c r="EC132" s="321"/>
      <c r="ED132" s="321"/>
      <c r="EE132" s="321"/>
      <c r="EF132" s="321"/>
      <c r="EG132" s="321"/>
      <c r="EH132" s="321"/>
      <c r="EI132" s="321"/>
      <c r="EJ132" s="321"/>
      <c r="EK132" s="321"/>
      <c r="EL132" s="321"/>
      <c r="EM132" s="321"/>
      <c r="EN132" s="564"/>
      <c r="EO132" s="483">
        <v>40</v>
      </c>
      <c r="EP132" s="321"/>
      <c r="EQ132" s="321"/>
      <c r="ER132" s="321"/>
      <c r="ES132" s="321"/>
      <c r="ET132" s="321"/>
      <c r="EU132" s="321"/>
      <c r="EV132" s="321"/>
      <c r="EW132" s="321"/>
      <c r="EX132" s="321"/>
      <c r="EY132" s="321"/>
      <c r="EZ132" s="321"/>
      <c r="FA132" s="321"/>
      <c r="FB132" s="321"/>
      <c r="FC132" s="321"/>
      <c r="FD132" s="564"/>
      <c r="FE132" s="483">
        <v>60</v>
      </c>
      <c r="FF132" s="321"/>
      <c r="FG132" s="321"/>
      <c r="FH132" s="321"/>
      <c r="FI132" s="321"/>
      <c r="FJ132" s="321"/>
      <c r="FK132" s="321"/>
      <c r="FL132" s="321"/>
      <c r="FM132" s="321"/>
      <c r="FN132" s="321"/>
      <c r="FO132" s="321"/>
      <c r="FP132" s="321"/>
      <c r="FQ132" s="321"/>
      <c r="FR132" s="321"/>
      <c r="FS132" s="321"/>
      <c r="FT132" s="564"/>
      <c r="FU132" s="483">
        <v>60</v>
      </c>
      <c r="FV132" s="321"/>
      <c r="FW132" s="321"/>
      <c r="FX132" s="321"/>
      <c r="FY132" s="321"/>
      <c r="FZ132" s="321"/>
      <c r="GA132" s="321"/>
      <c r="GB132" s="321"/>
      <c r="GC132" s="321"/>
      <c r="GD132" s="321"/>
      <c r="GE132" s="321"/>
      <c r="GF132" s="321"/>
      <c r="GG132" s="321"/>
      <c r="GH132" s="321"/>
      <c r="GI132" s="321"/>
      <c r="GJ132" s="564"/>
      <c r="GK132" s="483">
        <v>60</v>
      </c>
      <c r="GL132" s="321"/>
      <c r="GM132" s="321"/>
      <c r="GN132" s="321"/>
      <c r="GO132" s="321"/>
      <c r="GP132" s="321"/>
      <c r="GQ132" s="321"/>
      <c r="GR132" s="321"/>
      <c r="GS132" s="321"/>
      <c r="GT132" s="321"/>
      <c r="GU132" s="321"/>
      <c r="GV132" s="321"/>
      <c r="GW132" s="321"/>
      <c r="GX132" s="321"/>
      <c r="GY132" s="321"/>
      <c r="GZ132" s="564"/>
      <c r="HA132" s="483">
        <v>60</v>
      </c>
      <c r="HB132" s="321"/>
      <c r="HC132" s="321"/>
      <c r="HD132" s="321"/>
      <c r="HE132" s="321"/>
      <c r="HF132" s="321"/>
      <c r="HG132" s="321"/>
      <c r="HH132" s="321"/>
      <c r="HI132" s="321"/>
      <c r="HJ132" s="321"/>
      <c r="HK132" s="321"/>
      <c r="HL132" s="321"/>
      <c r="HM132" s="321"/>
      <c r="HN132" s="321"/>
      <c r="HO132" s="321"/>
      <c r="HP132" s="564"/>
      <c r="HQ132" s="483"/>
      <c r="HR132" s="321"/>
      <c r="HS132" s="321"/>
      <c r="HT132" s="1327"/>
      <c r="HU132" s="1328"/>
      <c r="HV132" s="411"/>
      <c r="HW132" s="439"/>
      <c r="HX132" s="411"/>
      <c r="HY132" s="432"/>
      <c r="HZ132" s="439"/>
      <c r="IA132" s="1328"/>
      <c r="IB132" s="1327"/>
      <c r="IC132" s="321"/>
      <c r="ID132" s="321"/>
      <c r="IE132" s="321"/>
      <c r="IF132" s="564"/>
      <c r="IG132" s="321"/>
      <c r="IH132" s="420"/>
      <c r="II132" s="414"/>
      <c r="IJ132" s="414"/>
      <c r="IK132" s="413"/>
      <c r="IL132" s="413"/>
      <c r="IM132" s="413"/>
      <c r="IN132" s="321"/>
      <c r="IO132" s="321"/>
      <c r="IP132" s="321"/>
      <c r="IQ132" s="321"/>
      <c r="IR132" s="321"/>
      <c r="IS132" s="321"/>
      <c r="IT132" s="321"/>
      <c r="IU132" s="321"/>
      <c r="IV132" s="564"/>
    </row>
    <row r="133" spans="1:256" s="326" customFormat="1" ht="8.25" customHeight="1">
      <c r="A133" s="483"/>
      <c r="B133" s="321"/>
      <c r="C133" s="321"/>
      <c r="D133" s="321"/>
      <c r="E133" s="321"/>
      <c r="F133" s="321"/>
      <c r="G133" s="321"/>
      <c r="H133" s="321"/>
      <c r="I133" s="321"/>
      <c r="J133" s="321"/>
      <c r="K133" s="321"/>
      <c r="L133" s="321"/>
      <c r="M133" s="321"/>
      <c r="N133" s="321"/>
      <c r="O133" s="321"/>
      <c r="P133" s="564"/>
      <c r="Q133" s="483"/>
      <c r="R133" s="321"/>
      <c r="S133" s="321"/>
      <c r="T133" s="321"/>
      <c r="U133" s="321"/>
      <c r="V133" s="321"/>
      <c r="W133" s="321"/>
      <c r="X133" s="321"/>
      <c r="Y133" s="321"/>
      <c r="Z133" s="321"/>
      <c r="AA133" s="321"/>
      <c r="AB133" s="321"/>
      <c r="AC133" s="321"/>
      <c r="AD133" s="321"/>
      <c r="AE133" s="321"/>
      <c r="AF133" s="564"/>
      <c r="AG133" s="483"/>
      <c r="AH133" s="321"/>
      <c r="AI133" s="321"/>
      <c r="AJ133" s="321"/>
      <c r="AK133" s="321"/>
      <c r="AL133" s="321"/>
      <c r="AM133" s="321"/>
      <c r="AN133" s="321"/>
      <c r="AO133" s="321"/>
      <c r="AP133" s="321"/>
      <c r="AQ133" s="321"/>
      <c r="AR133" s="321"/>
      <c r="AS133" s="321"/>
      <c r="AT133" s="321"/>
      <c r="AU133" s="321"/>
      <c r="AV133" s="564"/>
      <c r="AW133" s="483"/>
      <c r="AX133" s="321"/>
      <c r="AY133" s="321"/>
      <c r="AZ133" s="321"/>
      <c r="BA133" s="321"/>
      <c r="BB133" s="321"/>
      <c r="BC133" s="321"/>
      <c r="BD133" s="321"/>
      <c r="BE133" s="321"/>
      <c r="BF133" s="321"/>
      <c r="BG133" s="321"/>
      <c r="BH133" s="321"/>
      <c r="BI133" s="321"/>
      <c r="BJ133" s="321"/>
      <c r="BK133" s="321"/>
      <c r="BL133" s="564"/>
      <c r="BM133" s="483"/>
      <c r="BN133" s="321"/>
      <c r="BO133" s="321"/>
      <c r="BP133" s="321"/>
      <c r="BQ133" s="321"/>
      <c r="BR133" s="321"/>
      <c r="BS133" s="321"/>
      <c r="BT133" s="321"/>
      <c r="BU133" s="321"/>
      <c r="BV133" s="321"/>
      <c r="BW133" s="321"/>
      <c r="BX133" s="321"/>
      <c r="BY133" s="321"/>
      <c r="BZ133" s="321"/>
      <c r="CA133" s="321"/>
      <c r="CB133" s="564"/>
      <c r="CC133" s="483"/>
      <c r="CD133" s="321"/>
      <c r="CE133" s="321"/>
      <c r="CF133" s="321"/>
      <c r="CG133" s="321"/>
      <c r="CH133" s="321"/>
      <c r="CI133" s="321"/>
      <c r="CJ133" s="321"/>
      <c r="CK133" s="321"/>
      <c r="CL133" s="321"/>
      <c r="CM133" s="321"/>
      <c r="CN133" s="321"/>
      <c r="CO133" s="321"/>
      <c r="CP133" s="321"/>
      <c r="CQ133" s="321"/>
      <c r="CR133" s="564"/>
      <c r="CS133" s="483"/>
      <c r="CT133" s="321"/>
      <c r="CU133" s="321"/>
      <c r="CV133" s="321"/>
      <c r="CW133" s="321"/>
      <c r="CX133" s="321"/>
      <c r="CY133" s="321"/>
      <c r="CZ133" s="321"/>
      <c r="DA133" s="321"/>
      <c r="DB133" s="321"/>
      <c r="DC133" s="321"/>
      <c r="DD133" s="321"/>
      <c r="DE133" s="321"/>
      <c r="DF133" s="321"/>
      <c r="DG133" s="321"/>
      <c r="DH133" s="564"/>
      <c r="DI133" s="483"/>
      <c r="DJ133" s="321"/>
      <c r="DK133" s="321"/>
      <c r="DL133" s="321"/>
      <c r="DM133" s="321"/>
      <c r="DN133" s="321"/>
      <c r="DO133" s="321"/>
      <c r="DP133" s="321"/>
      <c r="DQ133" s="321"/>
      <c r="DR133" s="321"/>
      <c r="DS133" s="321"/>
      <c r="DT133" s="321"/>
      <c r="DU133" s="321"/>
      <c r="DV133" s="321"/>
      <c r="DW133" s="321"/>
      <c r="DX133" s="564"/>
      <c r="DY133" s="483"/>
      <c r="DZ133" s="321"/>
      <c r="EA133" s="321"/>
      <c r="EB133" s="321"/>
      <c r="EC133" s="321"/>
      <c r="ED133" s="321"/>
      <c r="EE133" s="321"/>
      <c r="EF133" s="321"/>
      <c r="EG133" s="321"/>
      <c r="EH133" s="321"/>
      <c r="EI133" s="321"/>
      <c r="EJ133" s="321"/>
      <c r="EK133" s="321"/>
      <c r="EL133" s="321"/>
      <c r="EM133" s="321"/>
      <c r="EN133" s="564"/>
      <c r="EO133" s="483"/>
      <c r="EP133" s="321"/>
      <c r="EQ133" s="321"/>
      <c r="ER133" s="321"/>
      <c r="ES133" s="321"/>
      <c r="ET133" s="321"/>
      <c r="EU133" s="321"/>
      <c r="EV133" s="321"/>
      <c r="EW133" s="321"/>
      <c r="EX133" s="321"/>
      <c r="EY133" s="321"/>
      <c r="EZ133" s="321"/>
      <c r="FA133" s="321"/>
      <c r="FB133" s="321"/>
      <c r="FC133" s="321"/>
      <c r="FD133" s="564"/>
      <c r="FE133" s="483"/>
      <c r="FF133" s="321"/>
      <c r="FG133" s="321"/>
      <c r="FH133" s="321"/>
      <c r="FI133" s="321"/>
      <c r="FJ133" s="321"/>
      <c r="FK133" s="321"/>
      <c r="FL133" s="321"/>
      <c r="FM133" s="321"/>
      <c r="FN133" s="321"/>
      <c r="FO133" s="321"/>
      <c r="FP133" s="321"/>
      <c r="FQ133" s="321"/>
      <c r="FR133" s="321"/>
      <c r="FS133" s="321"/>
      <c r="FT133" s="564"/>
      <c r="FU133" s="483"/>
      <c r="FV133" s="321"/>
      <c r="FW133" s="321"/>
      <c r="FX133" s="321"/>
      <c r="FY133" s="321"/>
      <c r="FZ133" s="321"/>
      <c r="GA133" s="321"/>
      <c r="GB133" s="321"/>
      <c r="GC133" s="321"/>
      <c r="GD133" s="321"/>
      <c r="GE133" s="321"/>
      <c r="GF133" s="321"/>
      <c r="GG133" s="321"/>
      <c r="GH133" s="321"/>
      <c r="GI133" s="321"/>
      <c r="GJ133" s="564"/>
      <c r="GK133" s="483"/>
      <c r="GL133" s="321"/>
      <c r="GM133" s="321"/>
      <c r="GN133" s="321"/>
      <c r="GO133" s="321"/>
      <c r="GP133" s="321"/>
      <c r="GQ133" s="321"/>
      <c r="GR133" s="321"/>
      <c r="GS133" s="321"/>
      <c r="GT133" s="321"/>
      <c r="GU133" s="321"/>
      <c r="GV133" s="321"/>
      <c r="GW133" s="321"/>
      <c r="GX133" s="321"/>
      <c r="GY133" s="321"/>
      <c r="GZ133" s="564"/>
      <c r="HA133" s="483"/>
      <c r="HB133" s="321"/>
      <c r="HC133" s="321"/>
      <c r="HD133" s="321"/>
      <c r="HE133" s="321"/>
      <c r="HF133" s="321"/>
      <c r="HG133" s="321"/>
      <c r="HH133" s="321"/>
      <c r="HI133" s="321"/>
      <c r="HJ133" s="321"/>
      <c r="HK133" s="321"/>
      <c r="HL133" s="321"/>
      <c r="HM133" s="321"/>
      <c r="HN133" s="321"/>
      <c r="HO133" s="321"/>
      <c r="HP133" s="564"/>
      <c r="HQ133" s="483"/>
      <c r="HR133" s="321"/>
      <c r="HS133" s="321"/>
      <c r="HT133" s="1328"/>
      <c r="HU133" s="1329"/>
      <c r="HV133" s="439"/>
      <c r="HW133" s="432"/>
      <c r="HX133" s="439"/>
      <c r="HY133" s="452"/>
      <c r="HZ133" s="439"/>
      <c r="IA133" s="1329"/>
      <c r="IB133" s="1328"/>
      <c r="IC133" s="321"/>
      <c r="ID133" s="321"/>
      <c r="IE133" s="321"/>
      <c r="IF133" s="564"/>
      <c r="IG133" s="420"/>
      <c r="IH133" s="414"/>
      <c r="II133" s="413"/>
      <c r="IJ133" s="413"/>
      <c r="IK133" s="413"/>
      <c r="IL133" s="413"/>
      <c r="IM133" s="413"/>
      <c r="IN133" s="413"/>
      <c r="IO133" s="321"/>
      <c r="IP133" s="321"/>
      <c r="IQ133" s="321"/>
      <c r="IR133" s="321"/>
      <c r="IS133" s="321"/>
      <c r="IT133" s="321"/>
      <c r="IU133" s="321"/>
      <c r="IV133" s="564"/>
    </row>
    <row r="134" spans="1:256" s="326" customFormat="1" ht="8.25" customHeight="1">
      <c r="A134" s="483"/>
      <c r="B134" s="321"/>
      <c r="C134" s="321"/>
      <c r="D134" s="321"/>
      <c r="E134" s="321"/>
      <c r="F134" s="321"/>
      <c r="G134" s="321"/>
      <c r="H134" s="321"/>
      <c r="I134" s="321"/>
      <c r="J134" s="321"/>
      <c r="K134" s="321"/>
      <c r="L134" s="321"/>
      <c r="M134" s="321"/>
      <c r="N134" s="321"/>
      <c r="O134" s="321"/>
      <c r="P134" s="564"/>
      <c r="Q134" s="483"/>
      <c r="R134" s="321"/>
      <c r="S134" s="321"/>
      <c r="T134" s="321"/>
      <c r="U134" s="321"/>
      <c r="V134" s="321"/>
      <c r="W134" s="321"/>
      <c r="X134" s="321"/>
      <c r="Y134" s="321"/>
      <c r="Z134" s="321"/>
      <c r="AA134" s="321"/>
      <c r="AB134" s="321"/>
      <c r="AC134" s="321"/>
      <c r="AD134" s="321"/>
      <c r="AE134" s="321"/>
      <c r="AF134" s="564"/>
      <c r="AG134" s="483"/>
      <c r="AH134" s="321"/>
      <c r="AI134" s="321"/>
      <c r="AJ134" s="321"/>
      <c r="AK134" s="321"/>
      <c r="AL134" s="321"/>
      <c r="AM134" s="321"/>
      <c r="AN134" s="321"/>
      <c r="AO134" s="321"/>
      <c r="AP134" s="321"/>
      <c r="AQ134" s="321"/>
      <c r="AR134" s="321"/>
      <c r="AS134" s="321"/>
      <c r="AT134" s="321"/>
      <c r="AU134" s="321"/>
      <c r="AV134" s="564"/>
      <c r="AW134" s="483"/>
      <c r="AX134" s="321"/>
      <c r="AY134" s="321"/>
      <c r="AZ134" s="321"/>
      <c r="BA134" s="321"/>
      <c r="BB134" s="321"/>
      <c r="BC134" s="321"/>
      <c r="BD134" s="321"/>
      <c r="BE134" s="321"/>
      <c r="BF134" s="321"/>
      <c r="BG134" s="321"/>
      <c r="BH134" s="321"/>
      <c r="BI134" s="321"/>
      <c r="BJ134" s="321"/>
      <c r="BK134" s="321"/>
      <c r="BL134" s="564"/>
      <c r="BM134" s="483"/>
      <c r="BN134" s="321"/>
      <c r="BO134" s="321"/>
      <c r="BP134" s="321"/>
      <c r="BQ134" s="321"/>
      <c r="BR134" s="321"/>
      <c r="BS134" s="321"/>
      <c r="BT134" s="321"/>
      <c r="BU134" s="321"/>
      <c r="BV134" s="321"/>
      <c r="BW134" s="321"/>
      <c r="BX134" s="321"/>
      <c r="BY134" s="321"/>
      <c r="BZ134" s="321"/>
      <c r="CA134" s="321"/>
      <c r="CB134" s="564"/>
      <c r="CC134" s="483"/>
      <c r="CD134" s="321"/>
      <c r="CE134" s="321"/>
      <c r="CF134" s="321"/>
      <c r="CG134" s="321"/>
      <c r="CH134" s="321"/>
      <c r="CI134" s="321"/>
      <c r="CJ134" s="321"/>
      <c r="CK134" s="321"/>
      <c r="CL134" s="321"/>
      <c r="CM134" s="321"/>
      <c r="CN134" s="321"/>
      <c r="CO134" s="321"/>
      <c r="CP134" s="321"/>
      <c r="CQ134" s="321"/>
      <c r="CR134" s="564"/>
      <c r="CS134" s="483"/>
      <c r="CT134" s="321"/>
      <c r="CU134" s="321"/>
      <c r="CV134" s="321"/>
      <c r="CW134" s="321"/>
      <c r="CX134" s="321"/>
      <c r="CY134" s="321"/>
      <c r="CZ134" s="321"/>
      <c r="DA134" s="321"/>
      <c r="DB134" s="321"/>
      <c r="DC134" s="321"/>
      <c r="DD134" s="321"/>
      <c r="DE134" s="321"/>
      <c r="DF134" s="321"/>
      <c r="DG134" s="321"/>
      <c r="DH134" s="564"/>
      <c r="DI134" s="483"/>
      <c r="DJ134" s="321"/>
      <c r="DK134" s="321"/>
      <c r="DL134" s="321"/>
      <c r="DM134" s="321"/>
      <c r="DN134" s="321"/>
      <c r="DO134" s="321"/>
      <c r="DP134" s="321"/>
      <c r="DQ134" s="321"/>
      <c r="DR134" s="321"/>
      <c r="DS134" s="321"/>
      <c r="DT134" s="321"/>
      <c r="DU134" s="321"/>
      <c r="DV134" s="321"/>
      <c r="DW134" s="321"/>
      <c r="DX134" s="564"/>
      <c r="DY134" s="483"/>
      <c r="DZ134" s="321"/>
      <c r="EA134" s="321"/>
      <c r="EB134" s="321"/>
      <c r="EC134" s="321"/>
      <c r="ED134" s="321"/>
      <c r="EE134" s="321"/>
      <c r="EF134" s="321"/>
      <c r="EG134" s="321"/>
      <c r="EH134" s="321"/>
      <c r="EI134" s="321"/>
      <c r="EJ134" s="321"/>
      <c r="EK134" s="321"/>
      <c r="EL134" s="321"/>
      <c r="EM134" s="321"/>
      <c r="EN134" s="564"/>
      <c r="EO134" s="483"/>
      <c r="EP134" s="321"/>
      <c r="EQ134" s="321"/>
      <c r="ER134" s="321"/>
      <c r="ES134" s="321"/>
      <c r="ET134" s="321"/>
      <c r="EU134" s="321"/>
      <c r="EV134" s="321"/>
      <c r="EW134" s="321"/>
      <c r="EX134" s="321"/>
      <c r="EY134" s="321"/>
      <c r="EZ134" s="321"/>
      <c r="FA134" s="321"/>
      <c r="FB134" s="321"/>
      <c r="FC134" s="321"/>
      <c r="FD134" s="564"/>
      <c r="FE134" s="483"/>
      <c r="FF134" s="321"/>
      <c r="FG134" s="321"/>
      <c r="FH134" s="321"/>
      <c r="FI134" s="321"/>
      <c r="FJ134" s="321"/>
      <c r="FK134" s="321"/>
      <c r="FL134" s="321"/>
      <c r="FM134" s="321"/>
      <c r="FN134" s="321"/>
      <c r="FO134" s="321"/>
      <c r="FP134" s="321"/>
      <c r="FQ134" s="321"/>
      <c r="FR134" s="321"/>
      <c r="FS134" s="321"/>
      <c r="FT134" s="564"/>
      <c r="FU134" s="483"/>
      <c r="FV134" s="321"/>
      <c r="FW134" s="321"/>
      <c r="FX134" s="321"/>
      <c r="FY134" s="321"/>
      <c r="FZ134" s="321"/>
      <c r="GA134" s="321"/>
      <c r="GB134" s="321"/>
      <c r="GC134" s="321"/>
      <c r="GD134" s="321"/>
      <c r="GE134" s="321"/>
      <c r="GF134" s="321"/>
      <c r="GG134" s="321"/>
      <c r="GH134" s="321"/>
      <c r="GI134" s="321"/>
      <c r="GJ134" s="564"/>
      <c r="GK134" s="483"/>
      <c r="GL134" s="321"/>
      <c r="GM134" s="321"/>
      <c r="GN134" s="321"/>
      <c r="GO134" s="321"/>
      <c r="GP134" s="321"/>
      <c r="GQ134" s="321"/>
      <c r="GR134" s="321"/>
      <c r="GS134" s="321"/>
      <c r="GT134" s="321"/>
      <c r="GU134" s="321"/>
      <c r="GV134" s="321"/>
      <c r="GW134" s="321"/>
      <c r="GX134" s="321"/>
      <c r="GY134" s="321"/>
      <c r="GZ134" s="564"/>
      <c r="HA134" s="483"/>
      <c r="HB134" s="321"/>
      <c r="HC134" s="321"/>
      <c r="HD134" s="321"/>
      <c r="HE134" s="321"/>
      <c r="HF134" s="321"/>
      <c r="HG134" s="321"/>
      <c r="HH134" s="321"/>
      <c r="HI134" s="321"/>
      <c r="HJ134" s="321"/>
      <c r="HK134" s="321"/>
      <c r="HL134" s="321"/>
      <c r="HM134" s="321"/>
      <c r="HN134" s="321"/>
      <c r="HO134" s="321"/>
      <c r="HP134" s="564"/>
      <c r="HQ134" s="483"/>
      <c r="HR134" s="321"/>
      <c r="HS134" s="321"/>
      <c r="HT134" s="321"/>
      <c r="HU134" s="1328"/>
      <c r="HV134" s="432"/>
      <c r="HW134" s="432"/>
      <c r="HX134" s="432"/>
      <c r="HY134" s="439"/>
      <c r="HZ134" s="432"/>
      <c r="IA134" s="1328"/>
      <c r="IB134" s="321"/>
      <c r="IC134" s="321"/>
      <c r="ID134" s="321"/>
      <c r="IE134" s="321"/>
      <c r="IF134" s="564"/>
      <c r="IG134" s="321"/>
      <c r="IH134" s="414"/>
      <c r="II134" s="414"/>
      <c r="IJ134" s="414"/>
      <c r="IK134" s="413"/>
      <c r="IL134" s="413"/>
      <c r="IM134" s="413"/>
      <c r="IN134" s="321"/>
      <c r="IO134" s="321"/>
      <c r="IP134" s="321"/>
      <c r="IQ134" s="321"/>
      <c r="IR134" s="321"/>
      <c r="IS134" s="321"/>
      <c r="IT134" s="321"/>
      <c r="IU134" s="321"/>
      <c r="IV134" s="564"/>
    </row>
    <row r="135" spans="1:256" s="326" customFormat="1" ht="8.25" customHeight="1">
      <c r="A135" s="483"/>
      <c r="B135" s="321"/>
      <c r="C135" s="321"/>
      <c r="D135" s="321"/>
      <c r="E135" s="321"/>
      <c r="F135" s="321"/>
      <c r="G135" s="321"/>
      <c r="H135" s="321"/>
      <c r="I135" s="321"/>
      <c r="J135" s="321"/>
      <c r="K135" s="321"/>
      <c r="L135" s="321"/>
      <c r="M135" s="321"/>
      <c r="N135" s="321"/>
      <c r="O135" s="321"/>
      <c r="P135" s="564"/>
      <c r="Q135" s="483"/>
      <c r="R135" s="321"/>
      <c r="S135" s="321"/>
      <c r="T135" s="321"/>
      <c r="U135" s="321"/>
      <c r="V135" s="321"/>
      <c r="W135" s="321"/>
      <c r="X135" s="321"/>
      <c r="Y135" s="321"/>
      <c r="Z135" s="321"/>
      <c r="AA135" s="321"/>
      <c r="AB135" s="321"/>
      <c r="AC135" s="321"/>
      <c r="AD135" s="321"/>
      <c r="AE135" s="321"/>
      <c r="AF135" s="564"/>
      <c r="AG135" s="483"/>
      <c r="AH135" s="321"/>
      <c r="AI135" s="321"/>
      <c r="AJ135" s="321"/>
      <c r="AK135" s="321"/>
      <c r="AL135" s="321"/>
      <c r="AM135" s="321"/>
      <c r="AN135" s="321"/>
      <c r="AO135" s="321"/>
      <c r="AP135" s="321"/>
      <c r="AQ135" s="321"/>
      <c r="AR135" s="321"/>
      <c r="AS135" s="321"/>
      <c r="AT135" s="321"/>
      <c r="AU135" s="321"/>
      <c r="AV135" s="564"/>
      <c r="AW135" s="483"/>
      <c r="AX135" s="321"/>
      <c r="AY135" s="321"/>
      <c r="AZ135" s="321"/>
      <c r="BA135" s="321"/>
      <c r="BB135" s="321"/>
      <c r="BC135" s="321"/>
      <c r="BD135" s="321"/>
      <c r="BE135" s="321"/>
      <c r="BF135" s="321"/>
      <c r="BG135" s="321"/>
      <c r="BH135" s="321"/>
      <c r="BI135" s="321"/>
      <c r="BJ135" s="321"/>
      <c r="BK135" s="321"/>
      <c r="BL135" s="564"/>
      <c r="BM135" s="483"/>
      <c r="BN135" s="321"/>
      <c r="BO135" s="321"/>
      <c r="BP135" s="321"/>
      <c r="BQ135" s="321"/>
      <c r="BR135" s="321"/>
      <c r="BS135" s="321"/>
      <c r="BT135" s="321"/>
      <c r="BU135" s="321"/>
      <c r="BV135" s="321"/>
      <c r="BW135" s="321"/>
      <c r="BX135" s="321"/>
      <c r="BY135" s="321"/>
      <c r="BZ135" s="321"/>
      <c r="CA135" s="321"/>
      <c r="CB135" s="564"/>
      <c r="CC135" s="483"/>
      <c r="CD135" s="321"/>
      <c r="CE135" s="321"/>
      <c r="CF135" s="321"/>
      <c r="CG135" s="321"/>
      <c r="CH135" s="321"/>
      <c r="CI135" s="321"/>
      <c r="CJ135" s="321"/>
      <c r="CK135" s="321"/>
      <c r="CL135" s="321"/>
      <c r="CM135" s="321"/>
      <c r="CN135" s="321"/>
      <c r="CO135" s="321"/>
      <c r="CP135" s="321"/>
      <c r="CQ135" s="321"/>
      <c r="CR135" s="564"/>
      <c r="CS135" s="483"/>
      <c r="CT135" s="321"/>
      <c r="CU135" s="321"/>
      <c r="CV135" s="321"/>
      <c r="CW135" s="321"/>
      <c r="CX135" s="321"/>
      <c r="CY135" s="321"/>
      <c r="CZ135" s="321"/>
      <c r="DA135" s="321"/>
      <c r="DB135" s="321"/>
      <c r="DC135" s="321"/>
      <c r="DD135" s="321"/>
      <c r="DE135" s="321"/>
      <c r="DF135" s="321"/>
      <c r="DG135" s="321"/>
      <c r="DH135" s="564"/>
      <c r="DI135" s="483"/>
      <c r="DJ135" s="321"/>
      <c r="DK135" s="321"/>
      <c r="DL135" s="321"/>
      <c r="DM135" s="321"/>
      <c r="DN135" s="321"/>
      <c r="DO135" s="321"/>
      <c r="DP135" s="321"/>
      <c r="DQ135" s="321"/>
      <c r="DR135" s="321"/>
      <c r="DS135" s="321"/>
      <c r="DT135" s="321"/>
      <c r="DU135" s="321"/>
      <c r="DV135" s="321"/>
      <c r="DW135" s="321"/>
      <c r="DX135" s="564"/>
      <c r="DY135" s="483"/>
      <c r="DZ135" s="321"/>
      <c r="EA135" s="321"/>
      <c r="EB135" s="321"/>
      <c r="EC135" s="321"/>
      <c r="ED135" s="321"/>
      <c r="EE135" s="321"/>
      <c r="EF135" s="321"/>
      <c r="EG135" s="321"/>
      <c r="EH135" s="321"/>
      <c r="EI135" s="321"/>
      <c r="EJ135" s="321"/>
      <c r="EK135" s="321"/>
      <c r="EL135" s="321"/>
      <c r="EM135" s="321"/>
      <c r="EN135" s="564"/>
      <c r="EO135" s="483"/>
      <c r="EP135" s="321"/>
      <c r="EQ135" s="321"/>
      <c r="ER135" s="321"/>
      <c r="ES135" s="321"/>
      <c r="ET135" s="321"/>
      <c r="EU135" s="321"/>
      <c r="EV135" s="321"/>
      <c r="EW135" s="321"/>
      <c r="EX135" s="321"/>
      <c r="EY135" s="321"/>
      <c r="EZ135" s="321"/>
      <c r="FA135" s="321"/>
      <c r="FB135" s="321"/>
      <c r="FC135" s="321"/>
      <c r="FD135" s="564"/>
      <c r="FE135" s="483"/>
      <c r="FF135" s="321"/>
      <c r="FG135" s="321"/>
      <c r="FH135" s="321"/>
      <c r="FI135" s="321"/>
      <c r="FJ135" s="321"/>
      <c r="FK135" s="321"/>
      <c r="FL135" s="321"/>
      <c r="FM135" s="321"/>
      <c r="FN135" s="321"/>
      <c r="FO135" s="321"/>
      <c r="FP135" s="321"/>
      <c r="FQ135" s="321"/>
      <c r="FR135" s="321"/>
      <c r="FS135" s="321"/>
      <c r="FT135" s="564"/>
      <c r="FU135" s="483"/>
      <c r="FV135" s="321"/>
      <c r="FW135" s="321"/>
      <c r="FX135" s="321"/>
      <c r="FY135" s="321"/>
      <c r="FZ135" s="321"/>
      <c r="GA135" s="321"/>
      <c r="GB135" s="321"/>
      <c r="GC135" s="321"/>
      <c r="GD135" s="321"/>
      <c r="GE135" s="321"/>
      <c r="GF135" s="321"/>
      <c r="GG135" s="321"/>
      <c r="GH135" s="321"/>
      <c r="GI135" s="321"/>
      <c r="GJ135" s="564"/>
      <c r="GK135" s="483"/>
      <c r="GL135" s="321"/>
      <c r="GM135" s="321"/>
      <c r="GN135" s="321"/>
      <c r="GO135" s="321"/>
      <c r="GP135" s="321"/>
      <c r="GQ135" s="321"/>
      <c r="GR135" s="321"/>
      <c r="GS135" s="321"/>
      <c r="GT135" s="321"/>
      <c r="GU135" s="321"/>
      <c r="GV135" s="321"/>
      <c r="GW135" s="321"/>
      <c r="GX135" s="321"/>
      <c r="GY135" s="321"/>
      <c r="GZ135" s="432"/>
      <c r="HA135" s="483"/>
      <c r="HB135" s="321"/>
      <c r="HC135" s="321"/>
      <c r="HD135" s="321"/>
      <c r="HE135" s="321"/>
      <c r="HF135" s="321"/>
      <c r="HG135" s="321"/>
      <c r="HH135" s="321"/>
      <c r="HI135" s="321"/>
      <c r="HJ135" s="321"/>
      <c r="HK135" s="321"/>
      <c r="HL135" s="321"/>
      <c r="HM135" s="321"/>
      <c r="HN135" s="321"/>
      <c r="HO135" s="321"/>
      <c r="HP135" s="564"/>
      <c r="HQ135" s="483"/>
      <c r="HR135" s="321"/>
      <c r="HS135" s="321"/>
      <c r="HT135" s="321"/>
      <c r="HU135" s="321"/>
      <c r="HV135" s="1329"/>
      <c r="HW135" s="432"/>
      <c r="HX135" s="439"/>
      <c r="HY135" s="432"/>
      <c r="HZ135" s="1329"/>
      <c r="IA135" s="321"/>
      <c r="IB135" s="321"/>
      <c r="IC135" s="321"/>
      <c r="ID135" s="321"/>
      <c r="IE135" s="321"/>
      <c r="IF135" s="564"/>
      <c r="IG135" s="483"/>
      <c r="IH135" s="321"/>
      <c r="II135" s="321"/>
      <c r="IJ135" s="413"/>
      <c r="IK135" s="413"/>
      <c r="IL135" s="321"/>
      <c r="IM135" s="321"/>
      <c r="IN135" s="321"/>
      <c r="IO135" s="321"/>
      <c r="IP135" s="321"/>
      <c r="IQ135" s="321"/>
      <c r="IR135" s="321"/>
      <c r="IS135" s="321"/>
      <c r="IT135" s="321"/>
      <c r="IU135" s="321"/>
      <c r="IV135" s="564"/>
    </row>
    <row r="136" spans="1:256" s="326" customFormat="1" ht="8.25" customHeight="1">
      <c r="A136" s="483"/>
      <c r="B136" s="321"/>
      <c r="C136" s="321"/>
      <c r="D136" s="321"/>
      <c r="E136" s="321"/>
      <c r="F136" s="321"/>
      <c r="G136" s="321"/>
      <c r="H136" s="321"/>
      <c r="I136" s="321"/>
      <c r="J136" s="321"/>
      <c r="K136" s="321"/>
      <c r="L136" s="321"/>
      <c r="M136" s="321"/>
      <c r="N136" s="321"/>
      <c r="O136" s="321"/>
      <c r="P136" s="564"/>
      <c r="Q136" s="483"/>
      <c r="R136" s="321"/>
      <c r="S136" s="321"/>
      <c r="T136" s="321"/>
      <c r="U136" s="321"/>
      <c r="V136" s="321"/>
      <c r="W136" s="321"/>
      <c r="X136" s="321"/>
      <c r="Y136" s="321"/>
      <c r="Z136" s="321"/>
      <c r="AA136" s="321"/>
      <c r="AB136" s="321"/>
      <c r="AC136" s="321"/>
      <c r="AD136" s="321"/>
      <c r="AE136" s="321"/>
      <c r="AF136" s="564"/>
      <c r="AG136" s="483"/>
      <c r="AH136" s="321"/>
      <c r="AI136" s="321"/>
      <c r="AJ136" s="321"/>
      <c r="AK136" s="321"/>
      <c r="AL136" s="321"/>
      <c r="AM136" s="321"/>
      <c r="AN136" s="321"/>
      <c r="AO136" s="321"/>
      <c r="AP136" s="321"/>
      <c r="AQ136" s="321"/>
      <c r="AR136" s="321"/>
      <c r="AS136" s="321"/>
      <c r="AT136" s="321"/>
      <c r="AU136" s="321"/>
      <c r="AV136" s="564"/>
      <c r="AW136" s="483"/>
      <c r="AX136" s="321"/>
      <c r="AY136" s="321"/>
      <c r="AZ136" s="321"/>
      <c r="BA136" s="321"/>
      <c r="BB136" s="321"/>
      <c r="BC136" s="321"/>
      <c r="BD136" s="321"/>
      <c r="BE136" s="321"/>
      <c r="BF136" s="321"/>
      <c r="BG136" s="321"/>
      <c r="BH136" s="321"/>
      <c r="BI136" s="321"/>
      <c r="BJ136" s="321"/>
      <c r="BK136" s="321"/>
      <c r="BL136" s="564"/>
      <c r="BM136" s="483"/>
      <c r="BN136" s="321"/>
      <c r="BO136" s="321"/>
      <c r="BP136" s="321"/>
      <c r="BQ136" s="321"/>
      <c r="BR136" s="321"/>
      <c r="BS136" s="321"/>
      <c r="BT136" s="321"/>
      <c r="BU136" s="321"/>
      <c r="BV136" s="321"/>
      <c r="BW136" s="321"/>
      <c r="BX136" s="321"/>
      <c r="BY136" s="321"/>
      <c r="BZ136" s="321"/>
      <c r="CA136" s="321"/>
      <c r="CB136" s="564"/>
      <c r="CC136" s="483"/>
      <c r="CD136" s="321"/>
      <c r="CE136" s="321"/>
      <c r="CF136" s="321"/>
      <c r="CG136" s="321"/>
      <c r="CH136" s="321"/>
      <c r="CI136" s="321"/>
      <c r="CJ136" s="321"/>
      <c r="CK136" s="321"/>
      <c r="CL136" s="321"/>
      <c r="CM136" s="321"/>
      <c r="CN136" s="321"/>
      <c r="CO136" s="321"/>
      <c r="CP136" s="321"/>
      <c r="CQ136" s="321"/>
      <c r="CR136" s="564"/>
      <c r="CS136" s="483"/>
      <c r="CT136" s="321"/>
      <c r="CU136" s="321"/>
      <c r="CV136" s="321"/>
      <c r="CW136" s="321"/>
      <c r="CX136" s="321"/>
      <c r="CY136" s="321"/>
      <c r="CZ136" s="321"/>
      <c r="DA136" s="321"/>
      <c r="DB136" s="321"/>
      <c r="DC136" s="321"/>
      <c r="DD136" s="321"/>
      <c r="DE136" s="321"/>
      <c r="DF136" s="321"/>
      <c r="DG136" s="321"/>
      <c r="DH136" s="564"/>
      <c r="DI136" s="483"/>
      <c r="DJ136" s="321"/>
      <c r="DK136" s="321"/>
      <c r="DL136" s="321"/>
      <c r="DM136" s="321"/>
      <c r="DN136" s="321"/>
      <c r="DO136" s="321"/>
      <c r="DP136" s="321"/>
      <c r="DQ136" s="321"/>
      <c r="DR136" s="321"/>
      <c r="DS136" s="321"/>
      <c r="DT136" s="321"/>
      <c r="DU136" s="321"/>
      <c r="DV136" s="321"/>
      <c r="DW136" s="321"/>
      <c r="DX136" s="564"/>
      <c r="DY136" s="483"/>
      <c r="DZ136" s="321"/>
      <c r="EA136" s="321"/>
      <c r="EB136" s="321"/>
      <c r="EC136" s="321"/>
      <c r="ED136" s="321"/>
      <c r="EE136" s="321"/>
      <c r="EF136" s="321"/>
      <c r="EG136" s="321"/>
      <c r="EH136" s="321"/>
      <c r="EI136" s="321"/>
      <c r="EJ136" s="321"/>
      <c r="EK136" s="321"/>
      <c r="EL136" s="321"/>
      <c r="EM136" s="321"/>
      <c r="EN136" s="564"/>
      <c r="EO136" s="483"/>
      <c r="EP136" s="321"/>
      <c r="EQ136" s="321"/>
      <c r="ER136" s="321"/>
      <c r="ES136" s="321"/>
      <c r="ET136" s="321"/>
      <c r="EU136" s="321"/>
      <c r="EV136" s="321"/>
      <c r="EW136" s="321"/>
      <c r="EX136" s="321"/>
      <c r="EY136" s="321"/>
      <c r="EZ136" s="321"/>
      <c r="FA136" s="321"/>
      <c r="FB136" s="321"/>
      <c r="FC136" s="321"/>
      <c r="FD136" s="564"/>
      <c r="FE136" s="483"/>
      <c r="FF136" s="321"/>
      <c r="FG136" s="321"/>
      <c r="FH136" s="321"/>
      <c r="FI136" s="321"/>
      <c r="FJ136" s="321"/>
      <c r="FK136" s="321"/>
      <c r="FL136" s="321"/>
      <c r="FM136" s="321"/>
      <c r="FN136" s="321"/>
      <c r="FO136" s="321"/>
      <c r="FP136" s="321"/>
      <c r="FQ136" s="321"/>
      <c r="FR136" s="321"/>
      <c r="FS136" s="321"/>
      <c r="FT136" s="564"/>
      <c r="FU136" s="483"/>
      <c r="FV136" s="321"/>
      <c r="FW136" s="321"/>
      <c r="FX136" s="321"/>
      <c r="FY136" s="321"/>
      <c r="FZ136" s="321"/>
      <c r="GA136" s="321"/>
      <c r="GB136" s="321"/>
      <c r="GC136" s="321"/>
      <c r="GD136" s="321"/>
      <c r="GE136" s="321"/>
      <c r="GF136" s="321"/>
      <c r="GG136" s="321"/>
      <c r="GH136" s="321"/>
      <c r="GI136" s="321"/>
      <c r="GJ136" s="564"/>
      <c r="GK136" s="483"/>
      <c r="GL136" s="321"/>
      <c r="GM136" s="321"/>
      <c r="GN136" s="321"/>
      <c r="GO136" s="321"/>
      <c r="GP136" s="321"/>
      <c r="GQ136" s="321"/>
      <c r="GR136" s="321"/>
      <c r="GS136" s="321"/>
      <c r="GT136" s="321"/>
      <c r="GU136" s="321"/>
      <c r="GV136" s="321"/>
      <c r="GW136" s="321"/>
      <c r="GX136" s="321"/>
      <c r="GY136" s="321"/>
      <c r="GZ136" s="417"/>
      <c r="HA136" s="439"/>
      <c r="HB136" s="321"/>
      <c r="HC136" s="321"/>
      <c r="HD136" s="321"/>
      <c r="HE136" s="321"/>
      <c r="HF136" s="321"/>
      <c r="HG136" s="321"/>
      <c r="HH136" s="321"/>
      <c r="HI136" s="321"/>
      <c r="HJ136" s="321"/>
      <c r="HK136" s="321"/>
      <c r="HL136" s="321"/>
      <c r="HM136" s="321"/>
      <c r="HN136" s="321"/>
      <c r="HO136" s="420"/>
      <c r="HP136" s="564"/>
      <c r="HQ136" s="483"/>
      <c r="HR136" s="321"/>
      <c r="HS136" s="321"/>
      <c r="HT136" s="321"/>
      <c r="HU136" s="321"/>
      <c r="HV136" s="321"/>
      <c r="HW136" s="1329"/>
      <c r="HX136" s="1329"/>
      <c r="HY136" s="1329"/>
      <c r="HZ136" s="321"/>
      <c r="IA136" s="321"/>
      <c r="IB136" s="321"/>
      <c r="IC136" s="321"/>
      <c r="ID136" s="321"/>
      <c r="IE136" s="321"/>
      <c r="IF136" s="564"/>
      <c r="IG136" s="483"/>
      <c r="IH136" s="321"/>
      <c r="II136" s="321"/>
      <c r="IJ136" s="414"/>
      <c r="IK136" s="413"/>
      <c r="IL136" s="321"/>
      <c r="IM136" s="321"/>
      <c r="IN136" s="321"/>
      <c r="IO136" s="321"/>
      <c r="IP136" s="321"/>
      <c r="IQ136" s="321"/>
      <c r="IR136" s="321"/>
      <c r="IS136" s="321"/>
      <c r="IT136" s="321"/>
      <c r="IU136" s="420"/>
      <c r="IV136" s="564"/>
    </row>
    <row r="137" spans="1:256" s="326" customFormat="1" ht="8.25" customHeight="1">
      <c r="A137" s="483"/>
      <c r="B137" s="321"/>
      <c r="C137" s="321"/>
      <c r="D137" s="321"/>
      <c r="E137" s="321"/>
      <c r="F137" s="321"/>
      <c r="G137" s="321"/>
      <c r="H137" s="321"/>
      <c r="I137" s="321"/>
      <c r="J137" s="321"/>
      <c r="K137" s="321"/>
      <c r="L137" s="321"/>
      <c r="M137" s="321"/>
      <c r="N137" s="321"/>
      <c r="O137" s="321"/>
      <c r="P137" s="564"/>
      <c r="Q137" s="483"/>
      <c r="R137" s="321"/>
      <c r="S137" s="321"/>
      <c r="T137" s="321"/>
      <c r="U137" s="321"/>
      <c r="V137" s="321"/>
      <c r="W137" s="321"/>
      <c r="X137" s="321"/>
      <c r="Y137" s="321"/>
      <c r="Z137" s="321"/>
      <c r="AA137" s="321"/>
      <c r="AB137" s="321"/>
      <c r="AC137" s="321"/>
      <c r="AD137" s="321"/>
      <c r="AE137" s="321"/>
      <c r="AF137" s="564"/>
      <c r="AG137" s="483"/>
      <c r="AH137" s="321"/>
      <c r="AI137" s="321"/>
      <c r="AJ137" s="321"/>
      <c r="AK137" s="321"/>
      <c r="AL137" s="321"/>
      <c r="AM137" s="321"/>
      <c r="AN137" s="321"/>
      <c r="AO137" s="321"/>
      <c r="AP137" s="321"/>
      <c r="AQ137" s="321"/>
      <c r="AR137" s="321"/>
      <c r="AS137" s="321"/>
      <c r="AT137" s="321"/>
      <c r="AU137" s="321"/>
      <c r="AV137" s="564"/>
      <c r="AW137" s="483"/>
      <c r="AX137" s="321"/>
      <c r="AY137" s="321"/>
      <c r="AZ137" s="321"/>
      <c r="BA137" s="321"/>
      <c r="BB137" s="321"/>
      <c r="BC137" s="321"/>
      <c r="BD137" s="321"/>
      <c r="BE137" s="321"/>
      <c r="BF137" s="321"/>
      <c r="BG137" s="321"/>
      <c r="BH137" s="321"/>
      <c r="BI137" s="321"/>
      <c r="BJ137" s="321"/>
      <c r="BK137" s="321"/>
      <c r="BL137" s="564"/>
      <c r="BM137" s="483"/>
      <c r="BN137" s="321"/>
      <c r="BO137" s="321"/>
      <c r="BP137" s="321"/>
      <c r="BQ137" s="321"/>
      <c r="BR137" s="321"/>
      <c r="BS137" s="321"/>
      <c r="BT137" s="321"/>
      <c r="BU137" s="321"/>
      <c r="BV137" s="321"/>
      <c r="BW137" s="321"/>
      <c r="BX137" s="321"/>
      <c r="BY137" s="321"/>
      <c r="BZ137" s="321"/>
      <c r="CA137" s="321"/>
      <c r="CB137" s="564"/>
      <c r="CC137" s="483"/>
      <c r="CD137" s="321"/>
      <c r="CE137" s="321"/>
      <c r="CF137" s="321"/>
      <c r="CG137" s="321"/>
      <c r="CH137" s="321"/>
      <c r="CI137" s="321"/>
      <c r="CJ137" s="321"/>
      <c r="CK137" s="321"/>
      <c r="CL137" s="321"/>
      <c r="CM137" s="321"/>
      <c r="CN137" s="321"/>
      <c r="CO137" s="321"/>
      <c r="CP137" s="321"/>
      <c r="CQ137" s="321"/>
      <c r="CR137" s="564"/>
      <c r="CS137" s="483"/>
      <c r="CT137" s="321"/>
      <c r="CU137" s="321"/>
      <c r="CV137" s="321"/>
      <c r="CW137" s="321"/>
      <c r="CX137" s="321"/>
      <c r="CY137" s="321"/>
      <c r="CZ137" s="321"/>
      <c r="DA137" s="321"/>
      <c r="DB137" s="321"/>
      <c r="DC137" s="321"/>
      <c r="DD137" s="321"/>
      <c r="DE137" s="321"/>
      <c r="DF137" s="321"/>
      <c r="DG137" s="321"/>
      <c r="DH137" s="564"/>
      <c r="DI137" s="483"/>
      <c r="DJ137" s="321"/>
      <c r="DK137" s="321"/>
      <c r="DL137" s="321"/>
      <c r="DM137" s="321"/>
      <c r="DN137" s="321"/>
      <c r="DO137" s="321"/>
      <c r="DP137" s="321"/>
      <c r="DQ137" s="321"/>
      <c r="DR137" s="321"/>
      <c r="DS137" s="321"/>
      <c r="DT137" s="321"/>
      <c r="DU137" s="321"/>
      <c r="DV137" s="321"/>
      <c r="DW137" s="321"/>
      <c r="DX137" s="564"/>
      <c r="DY137" s="483"/>
      <c r="DZ137" s="321"/>
      <c r="EA137" s="321"/>
      <c r="EB137" s="321"/>
      <c r="EC137" s="321"/>
      <c r="ED137" s="321"/>
      <c r="EE137" s="321"/>
      <c r="EF137" s="321"/>
      <c r="EG137" s="321"/>
      <c r="EH137" s="321"/>
      <c r="EI137" s="321"/>
      <c r="EJ137" s="321"/>
      <c r="EK137" s="321"/>
      <c r="EL137" s="321"/>
      <c r="EM137" s="321"/>
      <c r="EN137" s="564"/>
      <c r="EO137" s="483"/>
      <c r="EP137" s="321"/>
      <c r="EQ137" s="321"/>
      <c r="ER137" s="321"/>
      <c r="ES137" s="321"/>
      <c r="ET137" s="321"/>
      <c r="EU137" s="321"/>
      <c r="EV137" s="321"/>
      <c r="EW137" s="321"/>
      <c r="EX137" s="321"/>
      <c r="EY137" s="321"/>
      <c r="EZ137" s="321"/>
      <c r="FA137" s="321"/>
      <c r="FB137" s="321"/>
      <c r="FC137" s="321"/>
      <c r="FD137" s="564"/>
      <c r="FE137" s="483"/>
      <c r="FF137" s="321"/>
      <c r="FG137" s="321"/>
      <c r="FH137" s="321"/>
      <c r="FI137" s="321"/>
      <c r="FJ137" s="321"/>
      <c r="FK137" s="321"/>
      <c r="FL137" s="321"/>
      <c r="FM137" s="321"/>
      <c r="FN137" s="321"/>
      <c r="FO137" s="321"/>
      <c r="FP137" s="321"/>
      <c r="FQ137" s="321"/>
      <c r="FR137" s="321"/>
      <c r="FS137" s="321"/>
      <c r="FT137" s="564"/>
      <c r="FU137" s="483"/>
      <c r="FV137" s="321"/>
      <c r="FW137" s="321"/>
      <c r="FX137" s="321"/>
      <c r="FY137" s="321"/>
      <c r="FZ137" s="321"/>
      <c r="GA137" s="321"/>
      <c r="GB137" s="321"/>
      <c r="GC137" s="321"/>
      <c r="GD137" s="321"/>
      <c r="GE137" s="321"/>
      <c r="GF137" s="321"/>
      <c r="GG137" s="321"/>
      <c r="GH137" s="321"/>
      <c r="GI137" s="321"/>
      <c r="GJ137" s="564"/>
      <c r="GK137" s="483"/>
      <c r="GL137" s="321"/>
      <c r="GM137" s="321"/>
      <c r="GN137" s="439"/>
      <c r="GO137" s="321"/>
      <c r="GP137" s="321"/>
      <c r="GQ137" s="321"/>
      <c r="GR137" s="321"/>
      <c r="GS137" s="321"/>
      <c r="GT137" s="321"/>
      <c r="GU137" s="321"/>
      <c r="GV137" s="321"/>
      <c r="GW137" s="321"/>
      <c r="GX137" s="321"/>
      <c r="GY137" s="321"/>
      <c r="GZ137" s="564"/>
      <c r="HA137" s="483"/>
      <c r="HB137" s="420"/>
      <c r="HC137" s="321"/>
      <c r="HD137" s="321"/>
      <c r="HE137" s="321"/>
      <c r="HF137" s="321"/>
      <c r="HG137" s="321"/>
      <c r="HH137" s="321"/>
      <c r="HI137" s="321"/>
      <c r="HJ137" s="321"/>
      <c r="HK137" s="321"/>
      <c r="HL137" s="321"/>
      <c r="HM137" s="321"/>
      <c r="HN137" s="420"/>
      <c r="HO137" s="321"/>
      <c r="HP137" s="564"/>
      <c r="HQ137" s="483"/>
      <c r="HR137" s="321"/>
      <c r="HS137" s="321"/>
      <c r="HT137" s="321"/>
      <c r="HU137" s="321"/>
      <c r="HV137" s="321"/>
      <c r="HW137" s="321"/>
      <c r="HX137" s="321"/>
      <c r="HY137" s="321"/>
      <c r="HZ137" s="321"/>
      <c r="IA137" s="321"/>
      <c r="IB137" s="321"/>
      <c r="IC137" s="321"/>
      <c r="ID137" s="321"/>
      <c r="IE137" s="321"/>
      <c r="IF137" s="564"/>
      <c r="IG137" s="483"/>
      <c r="IH137" s="321"/>
      <c r="II137" s="321"/>
      <c r="IJ137" s="413"/>
      <c r="IK137" s="413"/>
      <c r="IL137" s="321"/>
      <c r="IM137" s="321"/>
      <c r="IN137" s="321"/>
      <c r="IO137" s="321"/>
      <c r="IP137" s="321"/>
      <c r="IQ137" s="321"/>
      <c r="IR137" s="321"/>
      <c r="IS137" s="321"/>
      <c r="IT137" s="420"/>
      <c r="IU137" s="413"/>
      <c r="IV137" s="564"/>
    </row>
    <row r="138" spans="1:256" s="326" customFormat="1" ht="8.25" customHeight="1">
      <c r="A138" s="321"/>
      <c r="B138" s="321"/>
      <c r="C138" s="321"/>
      <c r="D138" s="321"/>
      <c r="E138" s="321"/>
      <c r="F138" s="321"/>
      <c r="G138" s="321"/>
      <c r="H138" s="321"/>
      <c r="I138" s="321"/>
      <c r="J138" s="321"/>
      <c r="K138" s="321"/>
      <c r="L138" s="321"/>
      <c r="M138" s="321"/>
      <c r="N138" s="321"/>
      <c r="O138" s="321"/>
      <c r="P138" s="564"/>
      <c r="Q138" s="321"/>
      <c r="R138" s="321"/>
      <c r="S138" s="321"/>
      <c r="T138" s="321"/>
      <c r="U138" s="321"/>
      <c r="V138" s="321"/>
      <c r="W138" s="321"/>
      <c r="X138" s="321"/>
      <c r="Y138" s="321"/>
      <c r="Z138" s="321"/>
      <c r="AA138" s="321"/>
      <c r="AB138" s="321"/>
      <c r="AC138" s="321"/>
      <c r="AD138" s="321"/>
      <c r="AE138" s="321"/>
      <c r="AF138" s="564"/>
      <c r="AG138" s="321"/>
      <c r="AH138" s="321"/>
      <c r="AI138" s="321"/>
      <c r="AJ138" s="321"/>
      <c r="AK138" s="321"/>
      <c r="AL138" s="321"/>
      <c r="AM138" s="321"/>
      <c r="AN138" s="321"/>
      <c r="AO138" s="321"/>
      <c r="AP138" s="321"/>
      <c r="AQ138" s="321"/>
      <c r="AR138" s="321"/>
      <c r="AS138" s="321"/>
      <c r="AT138" s="321"/>
      <c r="AU138" s="321"/>
      <c r="AV138" s="564"/>
      <c r="AW138" s="321"/>
      <c r="AX138" s="321"/>
      <c r="AY138" s="321"/>
      <c r="AZ138" s="321"/>
      <c r="BA138" s="321"/>
      <c r="BB138" s="321"/>
      <c r="BC138" s="321"/>
      <c r="BD138" s="321"/>
      <c r="BE138" s="321"/>
      <c r="BF138" s="321"/>
      <c r="BG138" s="321"/>
      <c r="BH138" s="321"/>
      <c r="BI138" s="321"/>
      <c r="BJ138" s="321"/>
      <c r="BK138" s="321"/>
      <c r="BL138" s="564"/>
      <c r="BM138" s="321"/>
      <c r="BN138" s="321"/>
      <c r="BO138" s="321"/>
      <c r="BP138" s="321"/>
      <c r="BQ138" s="321"/>
      <c r="BR138" s="321"/>
      <c r="BS138" s="321"/>
      <c r="BT138" s="321"/>
      <c r="BU138" s="321"/>
      <c r="BV138" s="321"/>
      <c r="BW138" s="321"/>
      <c r="BX138" s="321"/>
      <c r="BY138" s="321"/>
      <c r="BZ138" s="321"/>
      <c r="CA138" s="321"/>
      <c r="CB138" s="564"/>
      <c r="CC138" s="321"/>
      <c r="CD138" s="321"/>
      <c r="CE138" s="321"/>
      <c r="CF138" s="321"/>
      <c r="CG138" s="321"/>
      <c r="CH138" s="321"/>
      <c r="CI138" s="321"/>
      <c r="CJ138" s="321"/>
      <c r="CK138" s="321"/>
      <c r="CL138" s="321"/>
      <c r="CM138" s="321"/>
      <c r="CN138" s="321"/>
      <c r="CO138" s="321"/>
      <c r="CP138" s="321"/>
      <c r="CQ138" s="321"/>
      <c r="CR138" s="564"/>
      <c r="CS138" s="483">
        <v>-12</v>
      </c>
      <c r="CT138" s="321"/>
      <c r="CU138" s="321"/>
      <c r="CV138" s="321"/>
      <c r="CW138" s="321"/>
      <c r="CX138" s="321"/>
      <c r="CY138" s="321"/>
      <c r="CZ138" s="321"/>
      <c r="DA138" s="321"/>
      <c r="DB138" s="321"/>
      <c r="DC138" s="321"/>
      <c r="DD138" s="321"/>
      <c r="DE138" s="321"/>
      <c r="DF138" s="321"/>
      <c r="DG138" s="321"/>
      <c r="DH138" s="564"/>
      <c r="DI138" s="483">
        <v>-8</v>
      </c>
      <c r="DJ138" s="321"/>
      <c r="DK138" s="321"/>
      <c r="DL138" s="321"/>
      <c r="DM138" s="321"/>
      <c r="DN138" s="321"/>
      <c r="DO138" s="321"/>
      <c r="DP138" s="321"/>
      <c r="DQ138" s="321"/>
      <c r="DR138" s="321"/>
      <c r="DS138" s="321"/>
      <c r="DT138" s="321"/>
      <c r="DU138" s="321"/>
      <c r="DV138" s="321"/>
      <c r="DW138" s="321"/>
      <c r="DX138" s="564"/>
      <c r="DY138" s="483"/>
      <c r="DZ138" s="321"/>
      <c r="EA138" s="321"/>
      <c r="EB138" s="321"/>
      <c r="EC138" s="321"/>
      <c r="ED138" s="321"/>
      <c r="EE138" s="321"/>
      <c r="EF138" s="321"/>
      <c r="EG138" s="321"/>
      <c r="EH138" s="321"/>
      <c r="EI138" s="321"/>
      <c r="EJ138" s="321"/>
      <c r="EK138" s="321"/>
      <c r="EL138" s="321"/>
      <c r="EM138" s="321"/>
      <c r="EN138" s="564"/>
      <c r="EO138" s="483"/>
      <c r="EP138" s="321"/>
      <c r="EQ138" s="321"/>
      <c r="ER138" s="321"/>
      <c r="ES138" s="321"/>
      <c r="ET138" s="321"/>
      <c r="EU138" s="321"/>
      <c r="EV138" s="321"/>
      <c r="EW138" s="321"/>
      <c r="EX138" s="321"/>
      <c r="EY138" s="321"/>
      <c r="EZ138" s="321"/>
      <c r="FA138" s="321"/>
      <c r="FB138" s="321"/>
      <c r="FC138" s="321"/>
      <c r="FD138" s="564"/>
      <c r="FE138" s="483"/>
      <c r="FF138" s="321"/>
      <c r="FG138" s="321"/>
      <c r="FH138" s="321"/>
      <c r="FI138" s="321"/>
      <c r="FJ138" s="321"/>
      <c r="FK138" s="321"/>
      <c r="FL138" s="321"/>
      <c r="FM138" s="321"/>
      <c r="FN138" s="321"/>
      <c r="FO138" s="321"/>
      <c r="FP138" s="321"/>
      <c r="FQ138" s="321"/>
      <c r="FR138" s="321"/>
      <c r="FS138" s="321"/>
      <c r="FT138" s="564"/>
      <c r="FU138" s="483"/>
      <c r="FV138" s="321"/>
      <c r="FW138" s="321"/>
      <c r="FX138" s="321"/>
      <c r="FY138" s="321"/>
      <c r="FZ138" s="321"/>
      <c r="GA138" s="321"/>
      <c r="GB138" s="321"/>
      <c r="GC138" s="321"/>
      <c r="GD138" s="321"/>
      <c r="GE138" s="321"/>
      <c r="GF138" s="432"/>
      <c r="GG138" s="420"/>
      <c r="GH138" s="321"/>
      <c r="GI138" s="321"/>
      <c r="GJ138" s="564"/>
      <c r="GK138" s="483"/>
      <c r="GL138" s="321"/>
      <c r="GM138" s="321"/>
      <c r="GN138" s="321"/>
      <c r="GO138" s="420"/>
      <c r="GP138" s="321"/>
      <c r="GQ138" s="321"/>
      <c r="GR138" s="321"/>
      <c r="GS138" s="321"/>
      <c r="GT138" s="321"/>
      <c r="GU138" s="321"/>
      <c r="GV138" s="420"/>
      <c r="GW138" s="420"/>
      <c r="GX138" s="321"/>
      <c r="GY138" s="321"/>
      <c r="GZ138" s="564"/>
      <c r="HA138" s="483"/>
      <c r="HB138" s="321"/>
      <c r="HC138" s="321"/>
      <c r="HD138" s="321"/>
      <c r="HE138" s="321"/>
      <c r="HF138" s="321"/>
      <c r="HG138" s="321"/>
      <c r="HH138" s="321"/>
      <c r="HI138" s="321"/>
      <c r="HJ138" s="321"/>
      <c r="HK138" s="321"/>
      <c r="HL138" s="321"/>
      <c r="HM138" s="420"/>
      <c r="HN138" s="321"/>
      <c r="HO138" s="321"/>
      <c r="HP138" s="564"/>
      <c r="HQ138" s="483"/>
      <c r="HR138" s="321"/>
      <c r="HS138" s="321"/>
      <c r="HT138" s="321"/>
      <c r="HU138" s="321"/>
      <c r="HV138" s="321"/>
      <c r="HW138" s="321"/>
      <c r="HX138" s="321"/>
      <c r="HY138" s="321"/>
      <c r="HZ138" s="321"/>
      <c r="IA138" s="321"/>
      <c r="IB138" s="321"/>
      <c r="IC138" s="321"/>
      <c r="ID138" s="321"/>
      <c r="IE138" s="321"/>
      <c r="IF138" s="564"/>
      <c r="IG138" s="483"/>
      <c r="IH138" s="321"/>
      <c r="II138" s="321"/>
      <c r="IJ138" s="414"/>
      <c r="IK138" s="413"/>
      <c r="IL138" s="321"/>
      <c r="IM138" s="321"/>
      <c r="IN138" s="321"/>
      <c r="IO138" s="321"/>
      <c r="IP138" s="321"/>
      <c r="IQ138" s="321"/>
      <c r="IR138" s="321"/>
      <c r="IS138" s="420"/>
      <c r="IT138" s="414"/>
      <c r="IU138" s="413"/>
      <c r="IV138" s="564"/>
    </row>
    <row r="139" spans="1:256" s="326" customFormat="1" ht="8.25" customHeight="1">
      <c r="A139" s="321"/>
      <c r="B139" s="321"/>
      <c r="C139" s="321"/>
      <c r="D139" s="321"/>
      <c r="E139" s="321"/>
      <c r="F139" s="321"/>
      <c r="G139" s="321"/>
      <c r="H139" s="321"/>
      <c r="I139" s="321"/>
      <c r="J139" s="321"/>
      <c r="K139" s="321"/>
      <c r="L139" s="321"/>
      <c r="M139" s="321"/>
      <c r="N139" s="321"/>
      <c r="O139" s="321"/>
      <c r="P139" s="564"/>
      <c r="Q139" s="321"/>
      <c r="R139" s="321"/>
      <c r="S139" s="321"/>
      <c r="T139" s="321"/>
      <c r="U139" s="321"/>
      <c r="V139" s="321"/>
      <c r="W139" s="321"/>
      <c r="X139" s="321"/>
      <c r="Y139" s="321"/>
      <c r="Z139" s="321"/>
      <c r="AA139" s="321"/>
      <c r="AB139" s="321"/>
      <c r="AC139" s="321"/>
      <c r="AD139" s="321"/>
      <c r="AE139" s="321"/>
      <c r="AF139" s="564"/>
      <c r="AG139" s="321"/>
      <c r="AH139" s="321"/>
      <c r="AI139" s="321"/>
      <c r="AJ139" s="321"/>
      <c r="AK139" s="321"/>
      <c r="AL139" s="321"/>
      <c r="AM139" s="321"/>
      <c r="AN139" s="321"/>
      <c r="AO139" s="321"/>
      <c r="AP139" s="321"/>
      <c r="AQ139" s="321"/>
      <c r="AR139" s="321"/>
      <c r="AS139" s="321"/>
      <c r="AT139" s="321"/>
      <c r="AU139" s="321"/>
      <c r="AV139" s="564"/>
      <c r="AW139" s="321"/>
      <c r="AX139" s="321"/>
      <c r="AY139" s="321"/>
      <c r="AZ139" s="321"/>
      <c r="BA139" s="321"/>
      <c r="BB139" s="321"/>
      <c r="BC139" s="321"/>
      <c r="BD139" s="321"/>
      <c r="BE139" s="321"/>
      <c r="BF139" s="321"/>
      <c r="BG139" s="321"/>
      <c r="BH139" s="321"/>
      <c r="BI139" s="321"/>
      <c r="BJ139" s="321"/>
      <c r="BK139" s="321"/>
      <c r="BL139" s="564"/>
      <c r="BM139" s="321"/>
      <c r="BN139" s="321"/>
      <c r="BO139" s="321"/>
      <c r="BP139" s="321"/>
      <c r="BQ139" s="321"/>
      <c r="BR139" s="321"/>
      <c r="BS139" s="321"/>
      <c r="BT139" s="321"/>
      <c r="BU139" s="321"/>
      <c r="BV139" s="321"/>
      <c r="BW139" s="321"/>
      <c r="BX139" s="321"/>
      <c r="BY139" s="321"/>
      <c r="BZ139" s="321"/>
      <c r="CA139" s="321"/>
      <c r="CB139" s="564"/>
      <c r="CC139" s="321"/>
      <c r="CD139" s="321"/>
      <c r="CE139" s="321"/>
      <c r="CF139" s="321"/>
      <c r="CG139" s="321"/>
      <c r="CH139" s="321"/>
      <c r="CI139" s="321"/>
      <c r="CJ139" s="321"/>
      <c r="CK139" s="321"/>
      <c r="CL139" s="321"/>
      <c r="CM139" s="321"/>
      <c r="CN139" s="321"/>
      <c r="CO139" s="321"/>
      <c r="CP139" s="321"/>
      <c r="CQ139" s="321"/>
      <c r="CR139" s="564"/>
      <c r="CS139" s="483">
        <v>10</v>
      </c>
      <c r="CT139" s="321"/>
      <c r="CU139" s="321"/>
      <c r="CV139" s="321"/>
      <c r="CW139" s="321"/>
      <c r="CX139" s="321"/>
      <c r="CY139" s="321"/>
      <c r="CZ139" s="321"/>
      <c r="DA139" s="321"/>
      <c r="DB139" s="321"/>
      <c r="DC139" s="321"/>
      <c r="DD139" s="321"/>
      <c r="DE139" s="321"/>
      <c r="DF139" s="321"/>
      <c r="DG139" s="321"/>
      <c r="DH139" s="564"/>
      <c r="DI139" s="483">
        <v>14</v>
      </c>
      <c r="DJ139" s="321"/>
      <c r="DK139" s="321"/>
      <c r="DL139" s="321"/>
      <c r="DM139" s="321"/>
      <c r="DN139" s="321"/>
      <c r="DO139" s="321"/>
      <c r="DP139" s="321"/>
      <c r="DQ139" s="321"/>
      <c r="DR139" s="321"/>
      <c r="DS139" s="321"/>
      <c r="DT139" s="321"/>
      <c r="DU139" s="321"/>
      <c r="DV139" s="321"/>
      <c r="DW139" s="321"/>
      <c r="DX139" s="564"/>
      <c r="DY139" s="483"/>
      <c r="DZ139" s="321"/>
      <c r="EA139" s="321"/>
      <c r="EB139" s="321"/>
      <c r="EC139" s="321"/>
      <c r="ED139" s="321"/>
      <c r="EE139" s="321"/>
      <c r="EF139" s="321"/>
      <c r="EG139" s="321"/>
      <c r="EH139" s="321"/>
      <c r="EI139" s="321"/>
      <c r="EJ139" s="321"/>
      <c r="EK139" s="321"/>
      <c r="EL139" s="321"/>
      <c r="EM139" s="321"/>
      <c r="EN139" s="564"/>
      <c r="EO139" s="483"/>
      <c r="EP139" s="321"/>
      <c r="EQ139" s="321"/>
      <c r="ER139" s="321"/>
      <c r="ES139" s="321"/>
      <c r="ET139" s="321"/>
      <c r="EU139" s="321"/>
      <c r="EV139" s="321"/>
      <c r="EW139" s="321"/>
      <c r="EX139" s="321"/>
      <c r="EY139" s="321"/>
      <c r="EZ139" s="321"/>
      <c r="FA139" s="321"/>
      <c r="FB139" s="321"/>
      <c r="FC139" s="321"/>
      <c r="FD139" s="564"/>
      <c r="FE139" s="483"/>
      <c r="FF139" s="321"/>
      <c r="FG139" s="321"/>
      <c r="FH139" s="321"/>
      <c r="FI139" s="321"/>
      <c r="FJ139" s="321"/>
      <c r="FK139" s="321"/>
      <c r="FL139" s="321"/>
      <c r="FM139" s="321"/>
      <c r="FN139" s="420"/>
      <c r="FO139" s="321"/>
      <c r="FP139" s="321"/>
      <c r="FQ139" s="321"/>
      <c r="FR139" s="321"/>
      <c r="FS139" s="321"/>
      <c r="FT139" s="564"/>
      <c r="FU139" s="415"/>
      <c r="FV139" s="321"/>
      <c r="FW139" s="321"/>
      <c r="FX139" s="321"/>
      <c r="FY139" s="321"/>
      <c r="FZ139" s="439"/>
      <c r="GA139" s="321"/>
      <c r="GB139" s="321"/>
      <c r="GC139" s="321"/>
      <c r="GD139" s="321"/>
      <c r="GE139" s="321"/>
      <c r="GF139" s="321"/>
      <c r="GG139" s="321"/>
      <c r="GH139" s="321"/>
      <c r="GI139" s="321"/>
      <c r="GJ139" s="564"/>
      <c r="GK139" s="415"/>
      <c r="GL139" s="321"/>
      <c r="GM139" s="321"/>
      <c r="GN139" s="321"/>
      <c r="GO139" s="321"/>
      <c r="GP139" s="321"/>
      <c r="GQ139" s="321"/>
      <c r="GR139" s="321"/>
      <c r="GS139" s="321"/>
      <c r="GT139" s="321"/>
      <c r="GU139" s="420"/>
      <c r="GV139" s="432"/>
      <c r="GW139" s="321"/>
      <c r="GX139" s="321"/>
      <c r="GY139" s="321"/>
      <c r="GZ139" s="564"/>
      <c r="HA139" s="483"/>
      <c r="HB139" s="321"/>
      <c r="HC139" s="321"/>
      <c r="HD139" s="321"/>
      <c r="HE139" s="321"/>
      <c r="HF139" s="321"/>
      <c r="HG139" s="321"/>
      <c r="HH139" s="321"/>
      <c r="HI139" s="321"/>
      <c r="HJ139" s="321"/>
      <c r="HK139" s="321"/>
      <c r="HL139" s="321"/>
      <c r="HM139" s="321"/>
      <c r="HN139" s="321"/>
      <c r="HO139" s="321"/>
      <c r="HP139" s="564"/>
      <c r="HQ139" s="483"/>
      <c r="HR139" s="321"/>
      <c r="HS139" s="321"/>
      <c r="HT139" s="321"/>
      <c r="HU139" s="321"/>
      <c r="HV139" s="321"/>
      <c r="HW139" s="321"/>
      <c r="HX139" s="321"/>
      <c r="HY139" s="321"/>
      <c r="HZ139" s="321"/>
      <c r="IA139" s="321"/>
      <c r="IB139" s="321"/>
      <c r="IC139" s="321"/>
      <c r="ID139" s="321"/>
      <c r="IE139" s="321"/>
      <c r="IF139" s="564"/>
      <c r="IG139" s="483"/>
      <c r="IH139" s="321"/>
      <c r="II139" s="420"/>
      <c r="IJ139" s="413"/>
      <c r="IK139" s="413"/>
      <c r="IL139" s="414"/>
      <c r="IM139" s="321"/>
      <c r="IN139" s="321"/>
      <c r="IO139" s="321"/>
      <c r="IP139" s="321"/>
      <c r="IQ139" s="321"/>
      <c r="IR139" s="420"/>
      <c r="IS139" s="414"/>
      <c r="IT139" s="413"/>
      <c r="IU139" s="414"/>
      <c r="IV139" s="564"/>
    </row>
    <row r="140" spans="1:256" s="326" customFormat="1" ht="8.25" customHeight="1">
      <c r="A140" s="321"/>
      <c r="B140" s="321"/>
      <c r="C140" s="321"/>
      <c r="D140" s="321"/>
      <c r="E140" s="321"/>
      <c r="F140" s="321"/>
      <c r="G140" s="321"/>
      <c r="H140" s="321"/>
      <c r="I140" s="321"/>
      <c r="J140" s="321"/>
      <c r="K140" s="321"/>
      <c r="L140" s="321"/>
      <c r="M140" s="321"/>
      <c r="N140" s="321"/>
      <c r="O140" s="321"/>
      <c r="P140" s="564"/>
      <c r="Q140" s="321"/>
      <c r="R140" s="321"/>
      <c r="S140" s="321"/>
      <c r="T140" s="321"/>
      <c r="U140" s="321"/>
      <c r="V140" s="321"/>
      <c r="W140" s="321"/>
      <c r="X140" s="321"/>
      <c r="Y140" s="321"/>
      <c r="Z140" s="321"/>
      <c r="AA140" s="321"/>
      <c r="AB140" s="321"/>
      <c r="AC140" s="321"/>
      <c r="AD140" s="321"/>
      <c r="AE140" s="321"/>
      <c r="AF140" s="564"/>
      <c r="AG140" s="321"/>
      <c r="AH140" s="321"/>
      <c r="AI140" s="321"/>
      <c r="AJ140" s="321"/>
      <c r="AK140" s="321"/>
      <c r="AL140" s="321"/>
      <c r="AM140" s="321"/>
      <c r="AN140" s="321"/>
      <c r="AO140" s="321"/>
      <c r="AP140" s="321"/>
      <c r="AQ140" s="321"/>
      <c r="AR140" s="321"/>
      <c r="AS140" s="321"/>
      <c r="AT140" s="321"/>
      <c r="AU140" s="321"/>
      <c r="AV140" s="564"/>
      <c r="AW140" s="321"/>
      <c r="AX140" s="321"/>
      <c r="AY140" s="321"/>
      <c r="AZ140" s="321"/>
      <c r="BA140" s="321"/>
      <c r="BB140" s="321"/>
      <c r="BC140" s="321"/>
      <c r="BD140" s="321"/>
      <c r="BE140" s="321"/>
      <c r="BF140" s="321"/>
      <c r="BG140" s="321"/>
      <c r="BH140" s="321"/>
      <c r="BI140" s="321"/>
      <c r="BJ140" s="321"/>
      <c r="BK140" s="321"/>
      <c r="BL140" s="564"/>
      <c r="BM140" s="321"/>
      <c r="BN140" s="321"/>
      <c r="BO140" s="321"/>
      <c r="BP140" s="321"/>
      <c r="BQ140" s="321"/>
      <c r="BR140" s="321"/>
      <c r="BS140" s="321"/>
      <c r="BT140" s="321"/>
      <c r="BU140" s="321"/>
      <c r="BV140" s="321"/>
      <c r="BW140" s="321"/>
      <c r="BX140" s="321"/>
      <c r="BY140" s="321"/>
      <c r="BZ140" s="321"/>
      <c r="CA140" s="321"/>
      <c r="CB140" s="564"/>
      <c r="CC140" s="321"/>
      <c r="CD140" s="321"/>
      <c r="CE140" s="321"/>
      <c r="CF140" s="321"/>
      <c r="CG140" s="321"/>
      <c r="CH140" s="321"/>
      <c r="CI140" s="321"/>
      <c r="CJ140" s="321"/>
      <c r="CK140" s="321"/>
      <c r="CL140" s="321"/>
      <c r="CM140" s="321"/>
      <c r="CN140" s="321"/>
      <c r="CO140" s="321"/>
      <c r="CP140" s="321"/>
      <c r="CQ140" s="321"/>
      <c r="CR140" s="564"/>
      <c r="CS140" s="483"/>
      <c r="CT140" s="321"/>
      <c r="CU140" s="321"/>
      <c r="CV140" s="321"/>
      <c r="CW140" s="321"/>
      <c r="CX140" s="321"/>
      <c r="CY140" s="321"/>
      <c r="CZ140" s="321"/>
      <c r="DA140" s="321"/>
      <c r="DB140" s="321"/>
      <c r="DC140" s="321"/>
      <c r="DD140" s="321"/>
      <c r="DE140" s="321"/>
      <c r="DF140" s="321"/>
      <c r="DG140" s="321"/>
      <c r="DH140" s="564"/>
      <c r="DI140" s="483"/>
      <c r="DJ140" s="321"/>
      <c r="DK140" s="321"/>
      <c r="DL140" s="321"/>
      <c r="DM140" s="321"/>
      <c r="DN140" s="321"/>
      <c r="DO140" s="321"/>
      <c r="DP140" s="321"/>
      <c r="DQ140" s="321"/>
      <c r="DR140" s="321"/>
      <c r="DS140" s="321"/>
      <c r="DT140" s="321"/>
      <c r="DU140" s="321"/>
      <c r="DV140" s="321"/>
      <c r="DW140" s="321"/>
      <c r="DX140" s="564"/>
      <c r="DY140" s="483"/>
      <c r="DZ140" s="321"/>
      <c r="EA140" s="321"/>
      <c r="EB140" s="321"/>
      <c r="EC140" s="321"/>
      <c r="ED140" s="321"/>
      <c r="EE140" s="321"/>
      <c r="EF140" s="321"/>
      <c r="EG140" s="321"/>
      <c r="EH140" s="321"/>
      <c r="EI140" s="321"/>
      <c r="EJ140" s="321"/>
      <c r="EK140" s="321"/>
      <c r="EL140" s="321"/>
      <c r="EM140" s="321"/>
      <c r="EN140" s="564"/>
      <c r="EO140" s="483"/>
      <c r="EP140" s="321"/>
      <c r="EQ140" s="321"/>
      <c r="ER140" s="321"/>
      <c r="ES140" s="321"/>
      <c r="ET140" s="321"/>
      <c r="EU140" s="321"/>
      <c r="EV140" s="321"/>
      <c r="EW140" s="321"/>
      <c r="EX140" s="321"/>
      <c r="EY140" s="321"/>
      <c r="EZ140" s="321"/>
      <c r="FA140" s="321"/>
      <c r="FB140" s="321"/>
      <c r="FC140" s="321"/>
      <c r="FD140" s="564"/>
      <c r="FE140" s="483"/>
      <c r="FF140" s="321"/>
      <c r="FG140" s="321"/>
      <c r="FH140" s="321"/>
      <c r="FI140" s="321"/>
      <c r="FJ140" s="321"/>
      <c r="FK140" s="439"/>
      <c r="FL140" s="321"/>
      <c r="FM140" s="432"/>
      <c r="FN140" s="420"/>
      <c r="FO140" s="321"/>
      <c r="FP140" s="321"/>
      <c r="FQ140" s="321"/>
      <c r="FR140" s="321"/>
      <c r="FS140" s="321"/>
      <c r="FT140" s="564"/>
      <c r="FU140" s="483"/>
      <c r="FV140" s="415"/>
      <c r="FW140" s="415"/>
      <c r="FX140" s="321"/>
      <c r="FY140" s="321"/>
      <c r="FZ140" s="321"/>
      <c r="GA140" s="420"/>
      <c r="GB140" s="321"/>
      <c r="GC140" s="321"/>
      <c r="GD140" s="420"/>
      <c r="GE140" s="321"/>
      <c r="GF140" s="321"/>
      <c r="GG140" s="321"/>
      <c r="GH140" s="321"/>
      <c r="GI140" s="321"/>
      <c r="GJ140" s="415"/>
      <c r="GK140" s="483"/>
      <c r="GL140" s="321"/>
      <c r="GM140" s="321"/>
      <c r="GN140" s="321"/>
      <c r="GO140" s="321"/>
      <c r="GP140" s="321"/>
      <c r="GQ140" s="321"/>
      <c r="GR140" s="321"/>
      <c r="GS140" s="321"/>
      <c r="GT140" s="420"/>
      <c r="GU140" s="321"/>
      <c r="GV140" s="321"/>
      <c r="GW140" s="321"/>
      <c r="GX140" s="321"/>
      <c r="GY140" s="321"/>
      <c r="GZ140" s="415"/>
      <c r="HA140" s="483"/>
      <c r="HB140" s="321"/>
      <c r="HC140" s="321"/>
      <c r="HD140" s="321"/>
      <c r="HE140" s="321"/>
      <c r="HF140" s="321"/>
      <c r="HG140" s="321"/>
      <c r="HH140" s="321"/>
      <c r="HI140" s="321"/>
      <c r="HJ140" s="321"/>
      <c r="HK140" s="321"/>
      <c r="HL140" s="321"/>
      <c r="HM140" s="321"/>
      <c r="HN140" s="321"/>
      <c r="HO140" s="321"/>
      <c r="HP140" s="564"/>
      <c r="HQ140" s="483"/>
      <c r="HR140" s="321"/>
      <c r="HS140" s="321"/>
      <c r="HT140" s="321"/>
      <c r="HU140" s="321"/>
      <c r="HV140" s="321"/>
      <c r="HW140" s="321"/>
      <c r="HX140" s="321"/>
      <c r="HY140" s="321"/>
      <c r="HZ140" s="321"/>
      <c r="IA140" s="321"/>
      <c r="IB140" s="321"/>
      <c r="IC140" s="321"/>
      <c r="ID140" s="321"/>
      <c r="IE140" s="321"/>
      <c r="IF140" s="564"/>
      <c r="IG140" s="1308"/>
      <c r="IH140" s="321"/>
      <c r="II140" s="414"/>
      <c r="IJ140" s="413"/>
      <c r="IK140" s="413"/>
      <c r="IL140" s="413"/>
      <c r="IM140" s="321"/>
      <c r="IN140" s="321"/>
      <c r="IO140" s="321"/>
      <c r="IP140" s="321"/>
      <c r="IQ140" s="420"/>
      <c r="IR140" s="414"/>
      <c r="IS140" s="413"/>
      <c r="IT140" s="413"/>
      <c r="IU140" s="321"/>
      <c r="IV140" s="564"/>
    </row>
    <row r="141" spans="1:256" s="326" customFormat="1" ht="8.25" customHeight="1">
      <c r="A141" s="321"/>
      <c r="B141" s="321"/>
      <c r="C141" s="321"/>
      <c r="D141" s="321"/>
      <c r="E141" s="321"/>
      <c r="F141" s="321"/>
      <c r="G141" s="321"/>
      <c r="H141" s="321"/>
      <c r="I141" s="321"/>
      <c r="J141" s="321"/>
      <c r="K141" s="321"/>
      <c r="L141" s="321"/>
      <c r="M141" s="321"/>
      <c r="N141" s="321"/>
      <c r="O141" s="321"/>
      <c r="P141" s="564"/>
      <c r="Q141" s="321"/>
      <c r="R141" s="321"/>
      <c r="S141" s="321"/>
      <c r="T141" s="321"/>
      <c r="U141" s="321"/>
      <c r="V141" s="321"/>
      <c r="W141" s="321"/>
      <c r="X141" s="321"/>
      <c r="Y141" s="321"/>
      <c r="Z141" s="321"/>
      <c r="AA141" s="321"/>
      <c r="AB141" s="321"/>
      <c r="AC141" s="321"/>
      <c r="AD141" s="321"/>
      <c r="AE141" s="321"/>
      <c r="AF141" s="564"/>
      <c r="AG141" s="321"/>
      <c r="AH141" s="321"/>
      <c r="AI141" s="321"/>
      <c r="AJ141" s="321"/>
      <c r="AK141" s="321"/>
      <c r="AL141" s="321"/>
      <c r="AM141" s="321"/>
      <c r="AN141" s="321"/>
      <c r="AO141" s="321"/>
      <c r="AP141" s="321"/>
      <c r="AQ141" s="321"/>
      <c r="AR141" s="321"/>
      <c r="AS141" s="321"/>
      <c r="AT141" s="321"/>
      <c r="AU141" s="321"/>
      <c r="AV141" s="564"/>
      <c r="AW141" s="321"/>
      <c r="AX141" s="321"/>
      <c r="AY141" s="321"/>
      <c r="AZ141" s="321"/>
      <c r="BA141" s="321"/>
      <c r="BB141" s="321"/>
      <c r="BC141" s="321"/>
      <c r="BD141" s="321"/>
      <c r="BE141" s="321"/>
      <c r="BF141" s="321"/>
      <c r="BG141" s="321"/>
      <c r="BH141" s="321"/>
      <c r="BI141" s="321"/>
      <c r="BJ141" s="321"/>
      <c r="BK141" s="321"/>
      <c r="BL141" s="564"/>
      <c r="BM141" s="321"/>
      <c r="BN141" s="321"/>
      <c r="BO141" s="321"/>
      <c r="BP141" s="321"/>
      <c r="BQ141" s="321"/>
      <c r="BR141" s="321"/>
      <c r="BS141" s="321"/>
      <c r="BT141" s="321"/>
      <c r="BU141" s="321"/>
      <c r="BV141" s="321"/>
      <c r="BW141" s="321"/>
      <c r="BX141" s="321"/>
      <c r="BY141" s="321"/>
      <c r="BZ141" s="321"/>
      <c r="CA141" s="321"/>
      <c r="CB141" s="564"/>
      <c r="CC141" s="321"/>
      <c r="CD141" s="321"/>
      <c r="CE141" s="321"/>
      <c r="CF141" s="321"/>
      <c r="CG141" s="321"/>
      <c r="CH141" s="321"/>
      <c r="CI141" s="321"/>
      <c r="CJ141" s="321"/>
      <c r="CK141" s="321"/>
      <c r="CL141" s="321"/>
      <c r="CM141" s="321"/>
      <c r="CN141" s="321"/>
      <c r="CO141" s="321"/>
      <c r="CP141" s="321"/>
      <c r="CQ141" s="321"/>
      <c r="CR141" s="564"/>
      <c r="CS141" s="321">
        <v>10</v>
      </c>
      <c r="CT141" s="321"/>
      <c r="CU141" s="321"/>
      <c r="CV141" s="321"/>
      <c r="CW141" s="321"/>
      <c r="CX141" s="321"/>
      <c r="CY141" s="321"/>
      <c r="CZ141" s="321"/>
      <c r="DA141" s="321"/>
      <c r="DB141" s="321"/>
      <c r="DC141" s="321"/>
      <c r="DD141" s="321"/>
      <c r="DE141" s="321"/>
      <c r="DF141" s="321"/>
      <c r="DG141" s="321"/>
      <c r="DH141" s="564"/>
      <c r="DI141" s="321">
        <v>10</v>
      </c>
      <c r="DJ141" s="321"/>
      <c r="DK141" s="321"/>
      <c r="DL141" s="321"/>
      <c r="DM141" s="321"/>
      <c r="DN141" s="321"/>
      <c r="DO141" s="321"/>
      <c r="DP141" s="321"/>
      <c r="DQ141" s="321"/>
      <c r="DR141" s="321"/>
      <c r="DS141" s="321"/>
      <c r="DT141" s="321"/>
      <c r="DU141" s="321"/>
      <c r="DV141" s="321"/>
      <c r="DW141" s="321"/>
      <c r="DX141" s="564"/>
      <c r="DY141" s="321">
        <v>10</v>
      </c>
      <c r="DZ141" s="321"/>
      <c r="EA141" s="321"/>
      <c r="EB141" s="321"/>
      <c r="EC141" s="321"/>
      <c r="ED141" s="321"/>
      <c r="EE141" s="321"/>
      <c r="EF141" s="321"/>
      <c r="EG141" s="321"/>
      <c r="EH141" s="321"/>
      <c r="EI141" s="321"/>
      <c r="EJ141" s="321"/>
      <c r="EK141" s="321"/>
      <c r="EL141" s="439">
        <v>8</v>
      </c>
      <c r="EM141" s="321"/>
      <c r="EN141" s="564"/>
      <c r="EO141" s="321">
        <v>10</v>
      </c>
      <c r="EP141" s="321"/>
      <c r="EQ141" s="321"/>
      <c r="ER141" s="321"/>
      <c r="ES141" s="321"/>
      <c r="ET141" s="321"/>
      <c r="EU141" s="321"/>
      <c r="EV141" s="321"/>
      <c r="EW141" s="321"/>
      <c r="EX141" s="321"/>
      <c r="EY141" s="321"/>
      <c r="EZ141" s="321"/>
      <c r="FA141" s="321"/>
      <c r="FB141" s="321"/>
      <c r="FC141" s="321"/>
      <c r="FD141" s="564"/>
      <c r="FE141" s="321">
        <v>10</v>
      </c>
      <c r="FF141" s="321"/>
      <c r="FG141" s="415"/>
      <c r="FH141" s="415"/>
      <c r="FI141" s="321"/>
      <c r="FJ141" s="321"/>
      <c r="FK141" s="321"/>
      <c r="FL141" s="420"/>
      <c r="FM141" s="321"/>
      <c r="FN141" s="321"/>
      <c r="FO141" s="321"/>
      <c r="FP141" s="321"/>
      <c r="FQ141" s="321"/>
      <c r="FR141" s="415"/>
      <c r="FS141" s="415"/>
      <c r="FT141" s="564"/>
      <c r="FU141" s="321">
        <v>10</v>
      </c>
      <c r="FV141" s="321"/>
      <c r="FW141" s="321"/>
      <c r="FX141" s="321"/>
      <c r="FY141" s="321"/>
      <c r="FZ141" s="321"/>
      <c r="GA141" s="321"/>
      <c r="GB141" s="321"/>
      <c r="GC141" s="432"/>
      <c r="GD141" s="420"/>
      <c r="GE141" s="321"/>
      <c r="GF141" s="321"/>
      <c r="GG141" s="321"/>
      <c r="GH141" s="415"/>
      <c r="GI141" s="415"/>
      <c r="GJ141" s="564"/>
      <c r="GK141" s="321">
        <v>10</v>
      </c>
      <c r="GL141" s="321"/>
      <c r="GM141" s="321"/>
      <c r="GN141" s="321"/>
      <c r="GO141" s="321"/>
      <c r="GP141" s="321"/>
      <c r="GQ141" s="321"/>
      <c r="GR141" s="321"/>
      <c r="GS141" s="321"/>
      <c r="GT141" s="321"/>
      <c r="GU141" s="321"/>
      <c r="GV141" s="321"/>
      <c r="GW141" s="321"/>
      <c r="GX141" s="321"/>
      <c r="GY141" s="321"/>
      <c r="GZ141" s="564"/>
      <c r="HA141" s="321">
        <v>10</v>
      </c>
      <c r="HB141" s="321"/>
      <c r="HC141" s="321"/>
      <c r="HD141" s="321"/>
      <c r="HE141" s="321"/>
      <c r="HF141" s="321"/>
      <c r="HG141" s="321"/>
      <c r="HH141" s="321"/>
      <c r="HI141" s="321"/>
      <c r="HJ141" s="321"/>
      <c r="HK141" s="321"/>
      <c r="HL141" s="321"/>
      <c r="HM141" s="321"/>
      <c r="HN141" s="321"/>
      <c r="HO141" s="321"/>
      <c r="HP141" s="564"/>
      <c r="HQ141" s="1308"/>
      <c r="HR141" s="321"/>
      <c r="HS141" s="321"/>
      <c r="HT141" s="321"/>
      <c r="HU141" s="321"/>
      <c r="HV141" s="321"/>
      <c r="HW141" s="321"/>
      <c r="HX141" s="321"/>
      <c r="HY141" s="321"/>
      <c r="HZ141" s="321"/>
      <c r="IA141" s="321"/>
      <c r="IB141" s="321"/>
      <c r="IC141" s="321"/>
      <c r="ID141" s="321"/>
      <c r="IE141" s="321"/>
      <c r="IF141" s="564"/>
      <c r="IG141" s="1308"/>
      <c r="IH141" s="321"/>
      <c r="II141" s="413"/>
      <c r="IJ141" s="413"/>
      <c r="IK141" s="413"/>
      <c r="IL141" s="413"/>
      <c r="IM141" s="321"/>
      <c r="IN141" s="321"/>
      <c r="IO141" s="321"/>
      <c r="IP141" s="420"/>
      <c r="IQ141" s="414"/>
      <c r="IR141" s="413"/>
      <c r="IS141" s="413"/>
      <c r="IT141" s="413"/>
      <c r="IU141" s="413"/>
      <c r="IV141" s="413"/>
    </row>
    <row r="142" spans="1:256" s="326" customFormat="1" ht="8.25" customHeight="1">
      <c r="A142" s="321"/>
      <c r="B142" s="321"/>
      <c r="C142" s="321"/>
      <c r="D142" s="321"/>
      <c r="E142" s="321"/>
      <c r="F142" s="321"/>
      <c r="G142" s="321"/>
      <c r="H142" s="321"/>
      <c r="I142" s="321"/>
      <c r="J142" s="321"/>
      <c r="K142" s="321"/>
      <c r="L142" s="321"/>
      <c r="M142" s="321"/>
      <c r="N142" s="321"/>
      <c r="O142" s="321"/>
      <c r="P142" s="564"/>
      <c r="Q142" s="321"/>
      <c r="R142" s="321"/>
      <c r="S142" s="321"/>
      <c r="T142" s="321"/>
      <c r="U142" s="321"/>
      <c r="V142" s="321"/>
      <c r="W142" s="321"/>
      <c r="X142" s="321"/>
      <c r="Y142" s="321"/>
      <c r="Z142" s="321"/>
      <c r="AA142" s="321"/>
      <c r="AB142" s="321"/>
      <c r="AC142" s="321"/>
      <c r="AD142" s="321"/>
      <c r="AE142" s="321"/>
      <c r="AF142" s="564"/>
      <c r="AG142" s="321"/>
      <c r="AH142" s="321"/>
      <c r="AI142" s="321"/>
      <c r="AJ142" s="321"/>
      <c r="AK142" s="321"/>
      <c r="AL142" s="321"/>
      <c r="AM142" s="321"/>
      <c r="AN142" s="321"/>
      <c r="AO142" s="321"/>
      <c r="AP142" s="321"/>
      <c r="AQ142" s="321"/>
      <c r="AR142" s="321"/>
      <c r="AS142" s="321"/>
      <c r="AT142" s="321"/>
      <c r="AU142" s="321"/>
      <c r="AV142" s="564"/>
      <c r="AW142" s="321"/>
      <c r="AX142" s="321"/>
      <c r="AY142" s="321"/>
      <c r="AZ142" s="321"/>
      <c r="BA142" s="321"/>
      <c r="BB142" s="321"/>
      <c r="BC142" s="321"/>
      <c r="BD142" s="321"/>
      <c r="BE142" s="321"/>
      <c r="BF142" s="321"/>
      <c r="BG142" s="321"/>
      <c r="BH142" s="321"/>
      <c r="BI142" s="321"/>
      <c r="BJ142" s="321"/>
      <c r="BK142" s="321"/>
      <c r="BL142" s="564"/>
      <c r="BM142" s="321"/>
      <c r="BN142" s="321"/>
      <c r="BO142" s="321"/>
      <c r="BP142" s="321"/>
      <c r="BQ142" s="321"/>
      <c r="BR142" s="321"/>
      <c r="BS142" s="321"/>
      <c r="BT142" s="321"/>
      <c r="BU142" s="321"/>
      <c r="BV142" s="321"/>
      <c r="BW142" s="321"/>
      <c r="BX142" s="321"/>
      <c r="BY142" s="321"/>
      <c r="BZ142" s="321"/>
      <c r="CA142" s="321"/>
      <c r="CB142" s="564"/>
      <c r="CC142" s="321"/>
      <c r="CD142" s="321"/>
      <c r="CE142" s="321"/>
      <c r="CF142" s="321"/>
      <c r="CG142" s="321"/>
      <c r="CH142" s="321"/>
      <c r="CI142" s="321"/>
      <c r="CJ142" s="321"/>
      <c r="CK142" s="321"/>
      <c r="CL142" s="321"/>
      <c r="CM142" s="321"/>
      <c r="CN142" s="321"/>
      <c r="CO142" s="321"/>
      <c r="CP142" s="321"/>
      <c r="CQ142" s="321"/>
      <c r="CR142" s="564"/>
      <c r="CS142" s="321">
        <v>42</v>
      </c>
      <c r="CT142" s="321"/>
      <c r="CU142" s="321"/>
      <c r="CV142" s="321"/>
      <c r="CW142" s="321"/>
      <c r="CX142" s="321"/>
      <c r="CY142" s="321"/>
      <c r="CZ142" s="321"/>
      <c r="DA142" s="321"/>
      <c r="DB142" s="321"/>
      <c r="DC142" s="321"/>
      <c r="DD142" s="321"/>
      <c r="DE142" s="321"/>
      <c r="DF142" s="321"/>
      <c r="DG142" s="321"/>
      <c r="DH142" s="564"/>
      <c r="DI142" s="321">
        <v>42</v>
      </c>
      <c r="DJ142" s="321"/>
      <c r="DK142" s="321"/>
      <c r="DL142" s="321"/>
      <c r="DM142" s="321"/>
      <c r="DN142" s="321"/>
      <c r="DO142" s="321"/>
      <c r="DP142" s="321"/>
      <c r="DQ142" s="321"/>
      <c r="DR142" s="321"/>
      <c r="DS142" s="321"/>
      <c r="DT142" s="439"/>
      <c r="DU142" s="321"/>
      <c r="DV142" s="321"/>
      <c r="DW142" s="321"/>
      <c r="DX142" s="564"/>
      <c r="DY142" s="321"/>
      <c r="DZ142" s="321"/>
      <c r="EA142" s="321"/>
      <c r="EB142" s="321"/>
      <c r="EC142" s="321"/>
      <c r="ED142" s="321"/>
      <c r="EE142" s="321"/>
      <c r="EF142" s="432">
        <v>7</v>
      </c>
      <c r="EG142" s="321"/>
      <c r="EH142" s="321"/>
      <c r="EI142" s="321"/>
      <c r="EJ142" s="321"/>
      <c r="EK142" s="321"/>
      <c r="EL142" s="321"/>
      <c r="EM142" s="321"/>
      <c r="EN142" s="564"/>
      <c r="EO142" s="321"/>
      <c r="EP142" s="321"/>
      <c r="EQ142" s="321"/>
      <c r="ER142" s="321"/>
      <c r="ES142" s="321"/>
      <c r="ET142" s="432">
        <v>7</v>
      </c>
      <c r="EU142" s="321"/>
      <c r="EV142" s="321"/>
      <c r="EW142" s="321"/>
      <c r="EX142" s="321"/>
      <c r="EY142" s="321"/>
      <c r="EZ142" s="321"/>
      <c r="FA142" s="321"/>
      <c r="FB142" s="321"/>
      <c r="FC142" s="321"/>
      <c r="FD142" s="564"/>
      <c r="FE142" s="321">
        <v>31</v>
      </c>
      <c r="FF142" s="321"/>
      <c r="FG142" s="321"/>
      <c r="FH142" s="415"/>
      <c r="FI142" s="415"/>
      <c r="FJ142" s="415"/>
      <c r="FK142" s="321"/>
      <c r="FL142" s="432"/>
      <c r="FM142" s="420"/>
      <c r="FN142" s="321"/>
      <c r="FO142" s="321"/>
      <c r="FP142" s="415"/>
      <c r="FQ142" s="415"/>
      <c r="FR142" s="415"/>
      <c r="FS142" s="321"/>
      <c r="FT142" s="564"/>
      <c r="FU142" s="321"/>
      <c r="FV142" s="321"/>
      <c r="FW142" s="321"/>
      <c r="FX142" s="321"/>
      <c r="FY142" s="321"/>
      <c r="FZ142" s="321"/>
      <c r="GA142" s="321"/>
      <c r="GB142" s="432"/>
      <c r="GC142" s="417"/>
      <c r="GD142" s="321"/>
      <c r="GE142" s="321"/>
      <c r="GF142" s="321"/>
      <c r="GG142" s="321"/>
      <c r="GH142" s="321"/>
      <c r="GI142" s="321"/>
      <c r="GJ142" s="564"/>
      <c r="GK142" s="321"/>
      <c r="GL142" s="321"/>
      <c r="GM142" s="321"/>
      <c r="GN142" s="321"/>
      <c r="GO142" s="420"/>
      <c r="GP142" s="321"/>
      <c r="GQ142" s="321"/>
      <c r="GR142" s="321"/>
      <c r="GS142" s="321"/>
      <c r="GT142" s="321"/>
      <c r="GU142" s="321"/>
      <c r="GV142" s="321"/>
      <c r="GW142" s="321"/>
      <c r="GX142" s="321"/>
      <c r="GY142" s="321"/>
      <c r="GZ142" s="564"/>
      <c r="HA142" s="321"/>
      <c r="HB142" s="321"/>
      <c r="HC142" s="420"/>
      <c r="HD142" s="321"/>
      <c r="HE142" s="321"/>
      <c r="HF142" s="321"/>
      <c r="HG142" s="321"/>
      <c r="HH142" s="321"/>
      <c r="HI142" s="321"/>
      <c r="HJ142" s="321"/>
      <c r="HK142" s="321"/>
      <c r="HL142" s="321"/>
      <c r="HM142" s="321"/>
      <c r="HN142" s="321"/>
      <c r="HO142" s="321"/>
      <c r="HP142" s="564"/>
      <c r="HQ142" s="1308"/>
      <c r="HR142" s="321"/>
      <c r="HS142" s="321"/>
      <c r="HT142" s="321"/>
      <c r="HU142" s="321"/>
      <c r="HV142" s="321"/>
      <c r="HW142" s="321"/>
      <c r="HX142" s="321"/>
      <c r="HY142" s="321"/>
      <c r="HZ142" s="321"/>
      <c r="IA142" s="321"/>
      <c r="IB142" s="321"/>
      <c r="IC142" s="321"/>
      <c r="ID142" s="321"/>
      <c r="IE142" s="321"/>
      <c r="IF142" s="564"/>
      <c r="IG142" s="483"/>
      <c r="IH142" s="321"/>
      <c r="II142" s="414"/>
      <c r="IJ142" s="413"/>
      <c r="IK142" s="413"/>
      <c r="IL142" s="413"/>
      <c r="IM142" s="321"/>
      <c r="IN142" s="321"/>
      <c r="IO142" s="321"/>
      <c r="IP142" s="420"/>
      <c r="IQ142" s="413"/>
      <c r="IR142" s="414"/>
      <c r="IS142" s="321"/>
      <c r="IT142" s="413"/>
      <c r="IU142" s="413"/>
      <c r="IV142" s="413"/>
    </row>
    <row r="143" spans="1:256" s="326" customFormat="1" ht="8.25" customHeight="1">
      <c r="A143" s="321"/>
      <c r="B143" s="321"/>
      <c r="C143" s="321"/>
      <c r="D143" s="583"/>
      <c r="E143" s="600"/>
      <c r="F143" s="600"/>
      <c r="G143" s="600"/>
      <c r="H143" s="555"/>
      <c r="I143" s="555"/>
      <c r="J143" s="555"/>
      <c r="K143" s="555"/>
      <c r="L143" s="583"/>
      <c r="M143" s="321"/>
      <c r="N143" s="321"/>
      <c r="O143" s="321"/>
      <c r="P143" s="564"/>
      <c r="Q143" s="321"/>
      <c r="R143" s="321"/>
      <c r="S143" s="321"/>
      <c r="T143" s="600"/>
      <c r="U143" s="601"/>
      <c r="V143" s="601"/>
      <c r="W143" s="601"/>
      <c r="X143" s="600"/>
      <c r="Y143" s="600"/>
      <c r="Z143" s="600"/>
      <c r="AA143" s="600"/>
      <c r="AB143" s="555"/>
      <c r="AC143" s="321"/>
      <c r="AD143" s="321"/>
      <c r="AE143" s="321"/>
      <c r="AF143" s="564"/>
      <c r="AG143" s="321"/>
      <c r="AH143" s="321"/>
      <c r="AI143" s="321"/>
      <c r="AJ143" s="451"/>
      <c r="AK143" s="438"/>
      <c r="AL143" s="438"/>
      <c r="AM143" s="438"/>
      <c r="AN143" s="438"/>
      <c r="AO143" s="438"/>
      <c r="AP143" s="438"/>
      <c r="AQ143" s="438"/>
      <c r="AR143" s="438"/>
      <c r="AS143" s="438"/>
      <c r="AT143" s="321"/>
      <c r="AU143" s="321"/>
      <c r="AV143" s="564"/>
      <c r="AW143" s="321"/>
      <c r="AX143" s="321"/>
      <c r="AY143" s="321"/>
      <c r="AZ143" s="451"/>
      <c r="BA143" s="438"/>
      <c r="BB143" s="438"/>
      <c r="BC143" s="438"/>
      <c r="BD143" s="438"/>
      <c r="BE143" s="438"/>
      <c r="BF143" s="438"/>
      <c r="BG143" s="438"/>
      <c r="BH143" s="438"/>
      <c r="BI143" s="438"/>
      <c r="BJ143" s="321"/>
      <c r="BK143" s="321"/>
      <c r="BL143" s="564"/>
      <c r="BM143" s="321"/>
      <c r="BN143" s="321"/>
      <c r="BO143" s="321"/>
      <c r="BP143" s="451"/>
      <c r="BQ143" s="438"/>
      <c r="BR143" s="438"/>
      <c r="BS143" s="438"/>
      <c r="BT143" s="438"/>
      <c r="BU143" s="438"/>
      <c r="BV143" s="438"/>
      <c r="BW143" s="438"/>
      <c r="BX143" s="438"/>
      <c r="BY143" s="438"/>
      <c r="BZ143" s="321"/>
      <c r="CA143" s="321"/>
      <c r="CB143" s="564"/>
      <c r="CC143" s="321"/>
      <c r="CD143" s="321"/>
      <c r="CE143" s="321"/>
      <c r="CF143" s="451"/>
      <c r="CG143" s="438"/>
      <c r="CH143" s="438"/>
      <c r="CI143" s="438"/>
      <c r="CJ143" s="438"/>
      <c r="CK143" s="438"/>
      <c r="CL143" s="438"/>
      <c r="CM143" s="438"/>
      <c r="CN143" s="438"/>
      <c r="CO143" s="438"/>
      <c r="CP143" s="321"/>
      <c r="CQ143" s="321"/>
      <c r="CR143" s="564"/>
      <c r="CS143" s="321">
        <v>48</v>
      </c>
      <c r="CT143" s="321"/>
      <c r="CU143" s="321"/>
      <c r="CV143" s="321"/>
      <c r="CW143" s="321"/>
      <c r="CX143" s="321"/>
      <c r="CY143" s="321"/>
      <c r="CZ143" s="321"/>
      <c r="DA143" s="321"/>
      <c r="DB143" s="321"/>
      <c r="DC143" s="321"/>
      <c r="DD143" s="321"/>
      <c r="DE143" s="321"/>
      <c r="DF143" s="321"/>
      <c r="DG143" s="321"/>
      <c r="DH143" s="564"/>
      <c r="DI143" s="321">
        <v>32</v>
      </c>
      <c r="DJ143" s="321"/>
      <c r="DK143" s="321"/>
      <c r="DL143" s="321"/>
      <c r="DM143" s="321"/>
      <c r="DN143" s="321"/>
      <c r="DO143" s="321"/>
      <c r="DP143" s="321"/>
      <c r="DQ143" s="432">
        <v>7</v>
      </c>
      <c r="DR143" s="321"/>
      <c r="DS143" s="321"/>
      <c r="DT143" s="321"/>
      <c r="DU143" s="321"/>
      <c r="DV143" s="321"/>
      <c r="DW143" s="321"/>
      <c r="DX143" s="564"/>
      <c r="DY143" s="321"/>
      <c r="DZ143" s="321"/>
      <c r="EA143" s="321"/>
      <c r="EB143" s="321"/>
      <c r="EC143" s="321"/>
      <c r="ED143" s="321"/>
      <c r="EE143" s="321"/>
      <c r="EF143" s="321"/>
      <c r="EG143" s="432"/>
      <c r="EH143" s="321"/>
      <c r="EI143" s="321"/>
      <c r="EJ143" s="321"/>
      <c r="EK143" s="321"/>
      <c r="EL143" s="321"/>
      <c r="EM143" s="321"/>
      <c r="EN143" s="564"/>
      <c r="EO143" s="321"/>
      <c r="EP143" s="321"/>
      <c r="EQ143" s="321"/>
      <c r="ER143" s="321"/>
      <c r="ES143" s="321"/>
      <c r="ET143" s="321"/>
      <c r="EU143" s="321"/>
      <c r="EV143" s="321"/>
      <c r="EW143" s="321"/>
      <c r="EX143" s="321"/>
      <c r="EY143" s="321"/>
      <c r="EZ143" s="321"/>
      <c r="FA143" s="321"/>
      <c r="FB143" s="321"/>
      <c r="FC143" s="321"/>
      <c r="FD143" s="1330">
        <v>8</v>
      </c>
      <c r="FE143" s="321">
        <v>64</v>
      </c>
      <c r="FF143" s="321"/>
      <c r="FG143" s="321"/>
      <c r="FH143" s="321"/>
      <c r="FI143" s="321"/>
      <c r="FJ143" s="321"/>
      <c r="FK143" s="321"/>
      <c r="FL143" s="439"/>
      <c r="FM143" s="321"/>
      <c r="FN143" s="321"/>
      <c r="FO143" s="321"/>
      <c r="FP143" s="321"/>
      <c r="FQ143" s="321"/>
      <c r="FR143" s="321"/>
      <c r="FS143" s="321"/>
      <c r="FT143" s="564"/>
      <c r="FU143" s="420"/>
      <c r="FV143" s="420"/>
      <c r="FW143" s="321"/>
      <c r="FX143" s="321"/>
      <c r="FY143" s="321"/>
      <c r="FZ143" s="321"/>
      <c r="GA143" s="321"/>
      <c r="GB143" s="417"/>
      <c r="GC143" s="321"/>
      <c r="GD143" s="321"/>
      <c r="GE143" s="321"/>
      <c r="GF143" s="321"/>
      <c r="GG143" s="321"/>
      <c r="GH143" s="321"/>
      <c r="GI143" s="321"/>
      <c r="GJ143" s="564"/>
      <c r="GK143" s="321"/>
      <c r="GL143" s="409"/>
      <c r="GM143" s="420"/>
      <c r="GN143" s="420"/>
      <c r="GO143" s="420"/>
      <c r="GP143" s="321"/>
      <c r="GQ143" s="321"/>
      <c r="GR143" s="321"/>
      <c r="GS143" s="321"/>
      <c r="GT143" s="321"/>
      <c r="GU143" s="321"/>
      <c r="GV143" s="321"/>
      <c r="GW143" s="409"/>
      <c r="GX143" s="417"/>
      <c r="GY143" s="321"/>
      <c r="GZ143" s="564"/>
      <c r="HA143" s="321"/>
      <c r="HB143" s="420"/>
      <c r="HC143" s="321"/>
      <c r="HD143" s="321"/>
      <c r="HE143" s="321"/>
      <c r="HF143" s="321"/>
      <c r="HG143" s="321"/>
      <c r="HH143" s="321"/>
      <c r="HI143" s="321"/>
      <c r="HJ143" s="321"/>
      <c r="HK143" s="321"/>
      <c r="HL143" s="321"/>
      <c r="HM143" s="321"/>
      <c r="HN143" s="409"/>
      <c r="HO143" s="417"/>
      <c r="HP143" s="564"/>
      <c r="HQ143" s="483"/>
      <c r="HR143" s="321"/>
      <c r="HS143" s="321"/>
      <c r="HT143" s="321"/>
      <c r="HU143" s="321"/>
      <c r="HV143" s="321"/>
      <c r="HW143" s="321"/>
      <c r="HX143" s="321"/>
      <c r="HY143" s="321"/>
      <c r="HZ143" s="321"/>
      <c r="IA143" s="321"/>
      <c r="IB143" s="321"/>
      <c r="IC143" s="321"/>
      <c r="ID143" s="321"/>
      <c r="IE143" s="321"/>
      <c r="IF143" s="564"/>
      <c r="IG143" s="483"/>
      <c r="IH143" s="321"/>
      <c r="II143" s="413"/>
      <c r="IJ143" s="413"/>
      <c r="IK143" s="413"/>
      <c r="IL143" s="413"/>
      <c r="IM143" s="321"/>
      <c r="IN143" s="321"/>
      <c r="IO143" s="321"/>
      <c r="IP143" s="321"/>
      <c r="IQ143" s="321"/>
      <c r="IR143" s="321"/>
      <c r="IS143" s="321"/>
      <c r="IT143" s="420"/>
      <c r="IU143" s="414"/>
      <c r="IV143" s="413"/>
    </row>
    <row r="144" spans="1:256" s="326" customFormat="1" ht="8.25" customHeight="1">
      <c r="A144" s="321"/>
      <c r="B144" s="321"/>
      <c r="C144" s="321"/>
      <c r="D144" s="600"/>
      <c r="E144" s="422"/>
      <c r="F144" s="422"/>
      <c r="G144" s="426"/>
      <c r="H144" s="426"/>
      <c r="I144" s="426"/>
      <c r="J144" s="426"/>
      <c r="K144" s="426"/>
      <c r="L144" s="584"/>
      <c r="M144" s="321"/>
      <c r="N144" s="321"/>
      <c r="O144" s="321"/>
      <c r="P144" s="564"/>
      <c r="Q144" s="321"/>
      <c r="R144" s="321"/>
      <c r="S144" s="321"/>
      <c r="T144" s="601"/>
      <c r="U144" s="453"/>
      <c r="V144" s="446"/>
      <c r="W144" s="446"/>
      <c r="X144" s="446"/>
      <c r="Y144" s="440"/>
      <c r="Z144" s="440"/>
      <c r="AA144" s="433"/>
      <c r="AB144" s="555"/>
      <c r="AC144" s="321"/>
      <c r="AD144" s="321"/>
      <c r="AE144" s="321"/>
      <c r="AF144" s="564"/>
      <c r="AG144" s="321"/>
      <c r="AH144" s="321"/>
      <c r="AI144" s="321"/>
      <c r="AJ144" s="431"/>
      <c r="AK144" s="431"/>
      <c r="AL144" s="431"/>
      <c r="AM144" s="431"/>
      <c r="AN144" s="431"/>
      <c r="AO144" s="431"/>
      <c r="AP144" s="431"/>
      <c r="AQ144" s="431"/>
      <c r="AR144" s="431"/>
      <c r="AS144" s="412"/>
      <c r="AT144" s="321"/>
      <c r="AU144" s="321"/>
      <c r="AV144" s="564"/>
      <c r="AW144" s="321"/>
      <c r="AX144" s="321"/>
      <c r="AY144" s="321"/>
      <c r="AZ144" s="438"/>
      <c r="BA144" s="431"/>
      <c r="BB144" s="431"/>
      <c r="BC144" s="431"/>
      <c r="BD144" s="431"/>
      <c r="BE144" s="431"/>
      <c r="BF144" s="431"/>
      <c r="BG144" s="431"/>
      <c r="BH144" s="431"/>
      <c r="BI144" s="412"/>
      <c r="BJ144" s="321"/>
      <c r="BK144" s="321"/>
      <c r="BL144" s="564"/>
      <c r="BM144" s="321"/>
      <c r="BN144" s="321"/>
      <c r="BO144" s="321"/>
      <c r="BP144" s="438"/>
      <c r="BQ144" s="431"/>
      <c r="BR144" s="431"/>
      <c r="BS144" s="431"/>
      <c r="BT144" s="431"/>
      <c r="BU144" s="431"/>
      <c r="BV144" s="431"/>
      <c r="BW144" s="431"/>
      <c r="BX144" s="431"/>
      <c r="BY144" s="412"/>
      <c r="BZ144" s="321"/>
      <c r="CA144" s="321"/>
      <c r="CB144" s="564"/>
      <c r="CC144" s="321"/>
      <c r="CD144" s="321"/>
      <c r="CE144" s="321"/>
      <c r="CF144" s="438"/>
      <c r="CG144" s="431"/>
      <c r="CH144" s="431"/>
      <c r="CI144" s="431"/>
      <c r="CJ144" s="431"/>
      <c r="CK144" s="431"/>
      <c r="CL144" s="431"/>
      <c r="CM144" s="431"/>
      <c r="CN144" s="431"/>
      <c r="CO144" s="412"/>
      <c r="CP144" s="321"/>
      <c r="CQ144" s="321"/>
      <c r="CR144" s="564"/>
      <c r="CS144" s="321"/>
      <c r="CT144" s="321"/>
      <c r="CU144" s="321"/>
      <c r="CV144" s="321"/>
      <c r="CW144" s="321"/>
      <c r="CX144" s="321"/>
      <c r="CY144" s="321"/>
      <c r="CZ144" s="321"/>
      <c r="DA144" s="432"/>
      <c r="DB144" s="321"/>
      <c r="DC144" s="321"/>
      <c r="DD144" s="321"/>
      <c r="DE144" s="321"/>
      <c r="DF144" s="321"/>
      <c r="DG144" s="321"/>
      <c r="DH144" s="564"/>
      <c r="DI144" s="321"/>
      <c r="DJ144" s="321"/>
      <c r="DK144" s="321"/>
      <c r="DL144" s="321"/>
      <c r="DM144" s="321"/>
      <c r="DN144" s="321"/>
      <c r="DO144" s="321"/>
      <c r="DP144" s="321"/>
      <c r="DQ144" s="321"/>
      <c r="DR144" s="439"/>
      <c r="DS144" s="321"/>
      <c r="DT144" s="321"/>
      <c r="DU144" s="432">
        <v>7</v>
      </c>
      <c r="DV144" s="321"/>
      <c r="DW144" s="321"/>
      <c r="DX144" s="564"/>
      <c r="DY144" s="321"/>
      <c r="DZ144" s="321"/>
      <c r="EA144" s="321"/>
      <c r="EB144" s="321"/>
      <c r="EC144" s="321"/>
      <c r="ED144" s="321"/>
      <c r="EE144" s="321"/>
      <c r="EF144" s="321"/>
      <c r="EG144" s="321"/>
      <c r="EH144" s="439"/>
      <c r="EI144" s="321"/>
      <c r="EJ144" s="321"/>
      <c r="EK144" s="432"/>
      <c r="EL144" s="432">
        <v>7</v>
      </c>
      <c r="EM144" s="321"/>
      <c r="EN144" s="564"/>
      <c r="EO144" s="321"/>
      <c r="EP144" s="321"/>
      <c r="EQ144" s="321"/>
      <c r="ER144" s="321"/>
      <c r="ES144" s="321"/>
      <c r="ET144" s="321"/>
      <c r="EU144" s="321"/>
      <c r="EV144" s="321"/>
      <c r="EW144" s="321"/>
      <c r="EX144" s="321"/>
      <c r="EY144" s="321"/>
      <c r="EZ144" s="321"/>
      <c r="FA144" s="321"/>
      <c r="FB144" s="321"/>
      <c r="FC144" s="321"/>
      <c r="FD144" s="564"/>
      <c r="FE144" s="321"/>
      <c r="FF144" s="321"/>
      <c r="FG144" s="409"/>
      <c r="FH144" s="409"/>
      <c r="FI144" s="321"/>
      <c r="FJ144" s="321"/>
      <c r="FK144" s="432"/>
      <c r="FL144" s="417"/>
      <c r="FM144" s="321"/>
      <c r="FN144" s="321"/>
      <c r="FO144" s="321"/>
      <c r="FP144" s="420"/>
      <c r="FQ144" s="415"/>
      <c r="FR144" s="321"/>
      <c r="FS144" s="321"/>
      <c r="FT144" s="564"/>
      <c r="FU144" s="409"/>
      <c r="FV144" s="420"/>
      <c r="FW144" s="420"/>
      <c r="FX144" s="420"/>
      <c r="FY144" s="321"/>
      <c r="FZ144" s="321"/>
      <c r="GA144" s="321"/>
      <c r="GB144" s="321"/>
      <c r="GC144" s="321"/>
      <c r="GD144" s="321"/>
      <c r="GE144" s="321"/>
      <c r="GF144" s="417"/>
      <c r="GG144" s="321"/>
      <c r="GH144" s="420"/>
      <c r="GI144" s="420"/>
      <c r="GJ144" s="564"/>
      <c r="GK144" s="409"/>
      <c r="GL144" s="420"/>
      <c r="GM144" s="420"/>
      <c r="GN144" s="321"/>
      <c r="GO144" s="321"/>
      <c r="GP144" s="321"/>
      <c r="GQ144" s="321"/>
      <c r="GR144" s="321"/>
      <c r="GS144" s="321"/>
      <c r="GT144" s="321"/>
      <c r="GU144" s="321"/>
      <c r="GV144" s="409"/>
      <c r="GW144" s="417"/>
      <c r="GX144" s="321"/>
      <c r="GY144" s="321"/>
      <c r="GZ144" s="564"/>
      <c r="HA144" s="409"/>
      <c r="HB144" s="321"/>
      <c r="HC144" s="321"/>
      <c r="HD144" s="321"/>
      <c r="HE144" s="321"/>
      <c r="HF144" s="321"/>
      <c r="HG144" s="321"/>
      <c r="HH144" s="321"/>
      <c r="HI144" s="321"/>
      <c r="HJ144" s="321"/>
      <c r="HK144" s="321"/>
      <c r="HL144" s="321"/>
      <c r="HM144" s="409"/>
      <c r="HN144" s="417"/>
      <c r="HO144" s="321"/>
      <c r="HP144" s="564"/>
      <c r="HQ144" s="483"/>
      <c r="HR144" s="321"/>
      <c r="HS144" s="321"/>
      <c r="HT144" s="321"/>
      <c r="HU144" s="321"/>
      <c r="HV144" s="321"/>
      <c r="HW144" s="321"/>
      <c r="HX144" s="321"/>
      <c r="HY144" s="321"/>
      <c r="HZ144" s="321"/>
      <c r="IA144" s="321"/>
      <c r="IB144" s="321"/>
      <c r="IC144" s="321"/>
      <c r="ID144" s="321"/>
      <c r="IE144" s="321"/>
      <c r="IF144" s="564"/>
      <c r="IG144" s="483"/>
      <c r="IH144" s="321"/>
      <c r="II144" s="414"/>
      <c r="IJ144" s="413"/>
      <c r="IK144" s="413"/>
      <c r="IL144" s="413"/>
      <c r="IM144" s="321"/>
      <c r="IN144" s="321"/>
      <c r="IO144" s="321"/>
      <c r="IP144" s="321"/>
      <c r="IQ144" s="321"/>
      <c r="IR144" s="321"/>
      <c r="IS144" s="420"/>
      <c r="IT144" s="414"/>
      <c r="IU144" s="413"/>
      <c r="IV144" s="413"/>
    </row>
    <row r="145" spans="1:256" s="326" customFormat="1" ht="8.25" customHeight="1">
      <c r="A145" s="321">
        <v>1</v>
      </c>
      <c r="B145" s="321"/>
      <c r="C145" s="321"/>
      <c r="D145" s="600"/>
      <c r="E145" s="422"/>
      <c r="F145" s="446"/>
      <c r="G145" s="440"/>
      <c r="H145" s="440"/>
      <c r="I145" s="433"/>
      <c r="J145" s="433"/>
      <c r="K145" s="426"/>
      <c r="L145" s="584"/>
      <c r="M145" s="321"/>
      <c r="N145" s="321"/>
      <c r="O145" s="321"/>
      <c r="P145" s="564"/>
      <c r="Q145" s="321">
        <v>2</v>
      </c>
      <c r="R145" s="321"/>
      <c r="S145" s="321"/>
      <c r="T145" s="601"/>
      <c r="U145" s="446"/>
      <c r="V145" s="459"/>
      <c r="W145" s="453"/>
      <c r="X145" s="453"/>
      <c r="Y145" s="453"/>
      <c r="Z145" s="453"/>
      <c r="AA145" s="433"/>
      <c r="AB145" s="555"/>
      <c r="AC145" s="321"/>
      <c r="AD145" s="321"/>
      <c r="AE145" s="321"/>
      <c r="AF145" s="564"/>
      <c r="AG145" s="321">
        <v>1</v>
      </c>
      <c r="AH145" s="321"/>
      <c r="AI145" s="321"/>
      <c r="AJ145" s="431"/>
      <c r="AK145" s="428"/>
      <c r="AL145" s="428"/>
      <c r="AM145" s="428"/>
      <c r="AN145" s="448"/>
      <c r="AO145" s="438"/>
      <c r="AP145" s="426"/>
      <c r="AQ145" s="422"/>
      <c r="AR145" s="431"/>
      <c r="AS145" s="412"/>
      <c r="AT145" s="321"/>
      <c r="AU145" s="321"/>
      <c r="AV145" s="564"/>
      <c r="AW145" s="321">
        <v>1</v>
      </c>
      <c r="AX145" s="321"/>
      <c r="AY145" s="321"/>
      <c r="AZ145" s="438"/>
      <c r="BA145" s="428"/>
      <c r="BB145" s="428"/>
      <c r="BC145" s="428"/>
      <c r="BD145" s="448"/>
      <c r="BE145" s="438"/>
      <c r="BF145" s="426"/>
      <c r="BG145" s="422"/>
      <c r="BH145" s="431"/>
      <c r="BI145" s="412"/>
      <c r="BJ145" s="321"/>
      <c r="BK145" s="321"/>
      <c r="BL145" s="564"/>
      <c r="BM145" s="321">
        <v>1</v>
      </c>
      <c r="BN145" s="321"/>
      <c r="BO145" s="321"/>
      <c r="BP145" s="438"/>
      <c r="BQ145" s="428"/>
      <c r="BR145" s="428"/>
      <c r="BS145" s="428"/>
      <c r="BT145" s="448"/>
      <c r="BU145" s="438"/>
      <c r="BV145" s="453"/>
      <c r="BW145" s="446"/>
      <c r="BX145" s="431"/>
      <c r="BY145" s="412"/>
      <c r="BZ145" s="321"/>
      <c r="CA145" s="321"/>
      <c r="CB145" s="564"/>
      <c r="CC145" s="321">
        <v>1</v>
      </c>
      <c r="CD145" s="321"/>
      <c r="CE145" s="321"/>
      <c r="CF145" s="438"/>
      <c r="CG145" s="428"/>
      <c r="CH145" s="428"/>
      <c r="CI145" s="428"/>
      <c r="CJ145" s="448"/>
      <c r="CK145" s="438"/>
      <c r="CL145" s="426"/>
      <c r="CM145" s="422"/>
      <c r="CN145" s="431"/>
      <c r="CO145" s="412"/>
      <c r="CP145" s="321"/>
      <c r="CQ145" s="321"/>
      <c r="CR145" s="564"/>
      <c r="CS145" s="321"/>
      <c r="CT145" s="321"/>
      <c r="CU145" s="321"/>
      <c r="CV145" s="321"/>
      <c r="CW145" s="321"/>
      <c r="CX145" s="321"/>
      <c r="CY145" s="321"/>
      <c r="CZ145" s="452"/>
      <c r="DA145" s="321"/>
      <c r="DB145" s="439"/>
      <c r="DC145" s="321"/>
      <c r="DD145" s="432"/>
      <c r="DE145" s="321"/>
      <c r="DF145" s="321"/>
      <c r="DG145" s="321"/>
      <c r="DH145" s="564"/>
      <c r="DI145" s="321"/>
      <c r="DJ145" s="321"/>
      <c r="DK145" s="321"/>
      <c r="DL145" s="321"/>
      <c r="DM145" s="321"/>
      <c r="DN145" s="321"/>
      <c r="DO145" s="432">
        <v>7</v>
      </c>
      <c r="DP145" s="452"/>
      <c r="DQ145" s="439"/>
      <c r="DR145" s="411"/>
      <c r="DS145" s="321"/>
      <c r="DT145" s="439"/>
      <c r="DU145" s="432"/>
      <c r="DV145" s="321"/>
      <c r="DW145" s="321"/>
      <c r="DX145" s="564"/>
      <c r="DY145" s="321"/>
      <c r="DZ145" s="321"/>
      <c r="EA145" s="321"/>
      <c r="EB145" s="321"/>
      <c r="EC145" s="321"/>
      <c r="ED145" s="432"/>
      <c r="EE145" s="411"/>
      <c r="EF145" s="321"/>
      <c r="EG145" s="321"/>
      <c r="EH145" s="410"/>
      <c r="EI145" s="321"/>
      <c r="EJ145" s="321"/>
      <c r="EK145" s="321"/>
      <c r="EL145" s="321"/>
      <c r="EM145" s="321"/>
      <c r="EN145" s="564"/>
      <c r="EO145" s="321"/>
      <c r="EP145" s="321"/>
      <c r="EQ145" s="321"/>
      <c r="ER145" s="321"/>
      <c r="ES145" s="432"/>
      <c r="ET145" s="321"/>
      <c r="EU145" s="321"/>
      <c r="EV145" s="321"/>
      <c r="EW145" s="321"/>
      <c r="EX145" s="321"/>
      <c r="EY145" s="321"/>
      <c r="EZ145" s="321"/>
      <c r="FA145" s="321"/>
      <c r="FB145" s="432"/>
      <c r="FC145" s="321"/>
      <c r="FD145" s="564"/>
      <c r="FE145" s="321"/>
      <c r="FF145" s="321"/>
      <c r="FG145" s="321"/>
      <c r="FH145" s="409"/>
      <c r="FI145" s="420"/>
      <c r="FJ145" s="321"/>
      <c r="FK145" s="321"/>
      <c r="FL145" s="321"/>
      <c r="FM145" s="321"/>
      <c r="FN145" s="417"/>
      <c r="FO145" s="321"/>
      <c r="FP145" s="415"/>
      <c r="FQ145" s="321"/>
      <c r="FR145" s="321"/>
      <c r="FS145" s="415"/>
      <c r="FT145" s="564"/>
      <c r="FU145" s="321"/>
      <c r="FV145" s="321"/>
      <c r="FW145" s="409"/>
      <c r="FX145" s="420"/>
      <c r="FY145" s="420"/>
      <c r="FZ145" s="321"/>
      <c r="GA145" s="409"/>
      <c r="GB145" s="321"/>
      <c r="GC145" s="321"/>
      <c r="GD145" s="321"/>
      <c r="GE145" s="409"/>
      <c r="GF145" s="415"/>
      <c r="GG145" s="321"/>
      <c r="GH145" s="321"/>
      <c r="GI145" s="415"/>
      <c r="GJ145" s="564"/>
      <c r="GK145" s="321"/>
      <c r="GL145" s="321"/>
      <c r="GM145" s="321"/>
      <c r="GN145" s="321"/>
      <c r="GO145" s="321"/>
      <c r="GP145" s="321"/>
      <c r="GQ145" s="321"/>
      <c r="GR145" s="321"/>
      <c r="GS145" s="321"/>
      <c r="GT145" s="321"/>
      <c r="GU145" s="409"/>
      <c r="GV145" s="417"/>
      <c r="GW145" s="417"/>
      <c r="GX145" s="321"/>
      <c r="GY145" s="420"/>
      <c r="GZ145" s="415"/>
      <c r="HA145" s="321"/>
      <c r="HB145" s="321"/>
      <c r="HC145" s="321"/>
      <c r="HD145" s="321"/>
      <c r="HE145" s="321"/>
      <c r="HF145" s="321"/>
      <c r="HG145" s="321"/>
      <c r="HH145" s="321"/>
      <c r="HI145" s="321"/>
      <c r="HJ145" s="321"/>
      <c r="HK145" s="321"/>
      <c r="HL145" s="409"/>
      <c r="HM145" s="417"/>
      <c r="HN145" s="321"/>
      <c r="HO145" s="321"/>
      <c r="HP145" s="564"/>
      <c r="HQ145" s="483"/>
      <c r="HR145" s="321"/>
      <c r="HS145" s="321"/>
      <c r="HT145" s="321"/>
      <c r="HU145" s="321"/>
      <c r="HV145" s="321"/>
      <c r="HW145" s="321"/>
      <c r="HX145" s="321"/>
      <c r="HY145" s="321"/>
      <c r="HZ145" s="321"/>
      <c r="IA145" s="321"/>
      <c r="IB145" s="321"/>
      <c r="IC145" s="321"/>
      <c r="ID145" s="321"/>
      <c r="IE145" s="321"/>
      <c r="IF145" s="564"/>
      <c r="IG145" s="483"/>
      <c r="IH145" s="321"/>
      <c r="II145" s="413"/>
      <c r="IJ145" s="413"/>
      <c r="IK145" s="413"/>
      <c r="IL145" s="413"/>
      <c r="IM145" s="321"/>
      <c r="IN145" s="321"/>
      <c r="IO145" s="321"/>
      <c r="IP145" s="321"/>
      <c r="IQ145" s="321"/>
      <c r="IR145" s="414"/>
      <c r="IS145" s="414"/>
      <c r="IT145" s="413"/>
      <c r="IU145" s="413"/>
      <c r="IV145" s="413"/>
    </row>
    <row r="146" spans="1:256" s="326" customFormat="1" ht="8.25" customHeight="1">
      <c r="A146" s="321"/>
      <c r="B146" s="321"/>
      <c r="C146" s="321"/>
      <c r="D146" s="600"/>
      <c r="E146" s="433"/>
      <c r="F146" s="433"/>
      <c r="G146" s="440"/>
      <c r="H146" s="440"/>
      <c r="I146" s="440"/>
      <c r="J146" s="433"/>
      <c r="K146" s="433"/>
      <c r="L146" s="584"/>
      <c r="M146" s="321"/>
      <c r="N146" s="321"/>
      <c r="O146" s="321"/>
      <c r="P146" s="564"/>
      <c r="Q146" s="321"/>
      <c r="R146" s="321"/>
      <c r="S146" s="321"/>
      <c r="T146" s="601"/>
      <c r="U146" s="453"/>
      <c r="V146" s="440"/>
      <c r="W146" s="459"/>
      <c r="X146" s="446"/>
      <c r="Y146" s="459"/>
      <c r="Z146" s="440"/>
      <c r="AA146" s="440"/>
      <c r="AB146" s="555"/>
      <c r="AC146" s="321"/>
      <c r="AD146" s="321"/>
      <c r="AE146" s="321"/>
      <c r="AF146" s="564"/>
      <c r="AG146" s="321"/>
      <c r="AH146" s="321"/>
      <c r="AI146" s="321"/>
      <c r="AJ146" s="412"/>
      <c r="AK146" s="448"/>
      <c r="AL146" s="428"/>
      <c r="AM146" s="436"/>
      <c r="AN146" s="428"/>
      <c r="AO146" s="438"/>
      <c r="AP146" s="422"/>
      <c r="AQ146" s="417"/>
      <c r="AR146" s="431"/>
      <c r="AS146" s="412"/>
      <c r="AT146" s="321"/>
      <c r="AU146" s="321"/>
      <c r="AV146" s="564"/>
      <c r="AW146" s="321"/>
      <c r="AX146" s="321"/>
      <c r="AY146" s="321"/>
      <c r="AZ146" s="431"/>
      <c r="BA146" s="448"/>
      <c r="BB146" s="462"/>
      <c r="BC146" s="429"/>
      <c r="BD146" s="428"/>
      <c r="BE146" s="438"/>
      <c r="BF146" s="422"/>
      <c r="BG146" s="417"/>
      <c r="BH146" s="431"/>
      <c r="BI146" s="412"/>
      <c r="BJ146" s="321"/>
      <c r="BK146" s="321"/>
      <c r="BL146" s="564"/>
      <c r="BM146" s="321"/>
      <c r="BN146" s="321"/>
      <c r="BO146" s="321"/>
      <c r="BP146" s="431"/>
      <c r="BQ146" s="448"/>
      <c r="BR146" s="462"/>
      <c r="BS146" s="443"/>
      <c r="BT146" s="428"/>
      <c r="BU146" s="438"/>
      <c r="BV146" s="459"/>
      <c r="BW146" s="446"/>
      <c r="BX146" s="431"/>
      <c r="BY146" s="412"/>
      <c r="BZ146" s="321"/>
      <c r="CA146" s="321"/>
      <c r="CB146" s="564"/>
      <c r="CC146" s="321"/>
      <c r="CD146" s="321"/>
      <c r="CE146" s="321"/>
      <c r="CF146" s="412"/>
      <c r="CG146" s="448"/>
      <c r="CH146" s="428"/>
      <c r="CI146" s="436"/>
      <c r="CJ146" s="428"/>
      <c r="CK146" s="438"/>
      <c r="CL146" s="422"/>
      <c r="CM146" s="417"/>
      <c r="CN146" s="431"/>
      <c r="CO146" s="412"/>
      <c r="CP146" s="321"/>
      <c r="CQ146" s="321"/>
      <c r="CR146" s="564"/>
      <c r="CS146" s="321"/>
      <c r="CT146" s="321"/>
      <c r="CU146" s="321"/>
      <c r="CV146" s="321"/>
      <c r="CW146" s="321"/>
      <c r="CX146" s="321"/>
      <c r="CY146" s="321"/>
      <c r="CZ146" s="432"/>
      <c r="DA146" s="439"/>
      <c r="DB146" s="411"/>
      <c r="DC146" s="439"/>
      <c r="DD146" s="432"/>
      <c r="DE146" s="321"/>
      <c r="DF146" s="321"/>
      <c r="DG146" s="321"/>
      <c r="DH146" s="564"/>
      <c r="DI146" s="321"/>
      <c r="DJ146" s="321"/>
      <c r="DK146" s="321"/>
      <c r="DL146" s="321"/>
      <c r="DM146" s="321"/>
      <c r="DN146" s="321"/>
      <c r="DO146" s="321"/>
      <c r="DP146" s="411"/>
      <c r="DQ146" s="411"/>
      <c r="DR146" s="452"/>
      <c r="DS146" s="439"/>
      <c r="DT146" s="410"/>
      <c r="DU146" s="321"/>
      <c r="DV146" s="321"/>
      <c r="DW146" s="321"/>
      <c r="DX146" s="564"/>
      <c r="DY146" s="321"/>
      <c r="DZ146" s="321"/>
      <c r="EA146" s="321"/>
      <c r="EB146" s="321"/>
      <c r="EC146" s="321"/>
      <c r="ED146" s="321"/>
      <c r="EE146" s="321"/>
      <c r="EF146" s="439"/>
      <c r="EG146" s="321"/>
      <c r="EH146" s="321"/>
      <c r="EI146" s="321"/>
      <c r="EJ146" s="321"/>
      <c r="EK146" s="321"/>
      <c r="EL146" s="321"/>
      <c r="EM146" s="321"/>
      <c r="EN146" s="564"/>
      <c r="EO146" s="321"/>
      <c r="EP146" s="321"/>
      <c r="EQ146" s="321"/>
      <c r="ER146" s="432">
        <v>7</v>
      </c>
      <c r="ES146" s="321"/>
      <c r="ET146" s="321"/>
      <c r="EU146" s="321"/>
      <c r="EV146" s="321"/>
      <c r="EW146" s="321"/>
      <c r="EX146" s="321"/>
      <c r="EY146" s="321"/>
      <c r="EZ146" s="321"/>
      <c r="FA146" s="321"/>
      <c r="FB146" s="321"/>
      <c r="FC146" s="321"/>
      <c r="FD146" s="564"/>
      <c r="FE146" s="321"/>
      <c r="FF146" s="415"/>
      <c r="FG146" s="321"/>
      <c r="FH146" s="409"/>
      <c r="FI146" s="420"/>
      <c r="FJ146" s="321"/>
      <c r="FK146" s="409"/>
      <c r="FL146" s="417"/>
      <c r="FM146" s="321"/>
      <c r="FN146" s="417"/>
      <c r="FO146" s="432"/>
      <c r="FP146" s="321"/>
      <c r="FQ146" s="321"/>
      <c r="FR146" s="415"/>
      <c r="FS146" s="415"/>
      <c r="FT146" s="564"/>
      <c r="FU146" s="321"/>
      <c r="FV146" s="321"/>
      <c r="FW146" s="321"/>
      <c r="FX146" s="321"/>
      <c r="FY146" s="321"/>
      <c r="FZ146" s="321"/>
      <c r="GA146" s="321"/>
      <c r="GB146" s="417"/>
      <c r="GC146" s="321"/>
      <c r="GD146" s="321"/>
      <c r="GE146" s="417"/>
      <c r="GF146" s="415"/>
      <c r="GG146" s="415"/>
      <c r="GH146" s="321"/>
      <c r="GI146" s="321"/>
      <c r="GJ146" s="415"/>
      <c r="GK146" s="321"/>
      <c r="GL146" s="321"/>
      <c r="GM146" s="321"/>
      <c r="GN146" s="321"/>
      <c r="GO146" s="321"/>
      <c r="GP146" s="321"/>
      <c r="GQ146" s="321"/>
      <c r="GR146" s="409"/>
      <c r="GS146" s="321"/>
      <c r="GT146" s="321"/>
      <c r="GU146" s="417"/>
      <c r="GV146" s="417"/>
      <c r="GW146" s="321"/>
      <c r="GX146" s="321"/>
      <c r="GY146" s="321"/>
      <c r="GZ146" s="415"/>
      <c r="HA146" s="321"/>
      <c r="HB146" s="321"/>
      <c r="HC146" s="321"/>
      <c r="HD146" s="321"/>
      <c r="HE146" s="321"/>
      <c r="HF146" s="321"/>
      <c r="HG146" s="321"/>
      <c r="HH146" s="321"/>
      <c r="HI146" s="321"/>
      <c r="HJ146" s="321"/>
      <c r="HK146" s="321"/>
      <c r="HL146" s="417"/>
      <c r="HM146" s="321"/>
      <c r="HN146" s="321"/>
      <c r="HO146" s="321"/>
      <c r="HP146" s="564"/>
      <c r="HQ146" s="483"/>
      <c r="HR146" s="321"/>
      <c r="HS146" s="321"/>
      <c r="HT146" s="321"/>
      <c r="HU146" s="321"/>
      <c r="HV146" s="321"/>
      <c r="HW146" s="321"/>
      <c r="HX146" s="321"/>
      <c r="HY146" s="321"/>
      <c r="HZ146" s="321"/>
      <c r="IA146" s="321"/>
      <c r="IB146" s="321"/>
      <c r="IC146" s="321"/>
      <c r="ID146" s="321"/>
      <c r="IE146" s="321"/>
      <c r="IF146" s="564"/>
      <c r="IG146" s="483"/>
      <c r="IH146" s="420"/>
      <c r="II146" s="413"/>
      <c r="IJ146" s="413"/>
      <c r="IK146" s="413"/>
      <c r="IL146" s="413"/>
      <c r="IM146" s="414"/>
      <c r="IN146" s="321"/>
      <c r="IO146" s="321"/>
      <c r="IP146" s="321"/>
      <c r="IQ146" s="420"/>
      <c r="IR146" s="414"/>
      <c r="IS146" s="413"/>
      <c r="IT146" s="413"/>
      <c r="IU146" s="413"/>
      <c r="IV146" s="413"/>
    </row>
    <row r="147" spans="1:256" s="326" customFormat="1" ht="8.25" customHeight="1">
      <c r="A147" s="321"/>
      <c r="B147" s="321"/>
      <c r="C147" s="321"/>
      <c r="D147" s="600"/>
      <c r="E147" s="433"/>
      <c r="F147" s="433"/>
      <c r="G147" s="446"/>
      <c r="H147" s="440"/>
      <c r="I147" s="446"/>
      <c r="J147" s="433"/>
      <c r="K147" s="433"/>
      <c r="L147" s="584"/>
      <c r="M147" s="321"/>
      <c r="N147" s="321"/>
      <c r="O147" s="321"/>
      <c r="P147" s="564"/>
      <c r="Q147" s="321"/>
      <c r="R147" s="321"/>
      <c r="S147" s="321"/>
      <c r="T147" s="601"/>
      <c r="U147" s="453"/>
      <c r="V147" s="440"/>
      <c r="W147" s="459"/>
      <c r="X147" s="453"/>
      <c r="Y147" s="459"/>
      <c r="Z147" s="440"/>
      <c r="AA147" s="453"/>
      <c r="AB147" s="555"/>
      <c r="AC147" s="321"/>
      <c r="AD147" s="321"/>
      <c r="AE147" s="321"/>
      <c r="AF147" s="564"/>
      <c r="AG147" s="321"/>
      <c r="AH147" s="321"/>
      <c r="AI147" s="321"/>
      <c r="AJ147" s="412"/>
      <c r="AK147" s="448"/>
      <c r="AL147" s="448"/>
      <c r="AM147" s="462"/>
      <c r="AN147" s="428"/>
      <c r="AO147" s="438"/>
      <c r="AP147" s="431"/>
      <c r="AQ147" s="431"/>
      <c r="AR147" s="431"/>
      <c r="AS147" s="412"/>
      <c r="AT147" s="321"/>
      <c r="AU147" s="321"/>
      <c r="AV147" s="564"/>
      <c r="AW147" s="321"/>
      <c r="AX147" s="321"/>
      <c r="AY147" s="321"/>
      <c r="AZ147" s="431"/>
      <c r="BA147" s="448"/>
      <c r="BB147" s="448"/>
      <c r="BC147" s="462"/>
      <c r="BD147" s="428"/>
      <c r="BE147" s="438"/>
      <c r="BF147" s="431"/>
      <c r="BG147" s="431"/>
      <c r="BH147" s="431"/>
      <c r="BI147" s="412"/>
      <c r="BJ147" s="321"/>
      <c r="BK147" s="321"/>
      <c r="BL147" s="564"/>
      <c r="BM147" s="321"/>
      <c r="BN147" s="321"/>
      <c r="BO147" s="321"/>
      <c r="BP147" s="431"/>
      <c r="BQ147" s="448"/>
      <c r="BR147" s="448"/>
      <c r="BS147" s="462"/>
      <c r="BT147" s="428"/>
      <c r="BU147" s="438"/>
      <c r="BV147" s="431"/>
      <c r="BW147" s="431"/>
      <c r="BX147" s="431"/>
      <c r="BY147" s="412"/>
      <c r="BZ147" s="321"/>
      <c r="CA147" s="321"/>
      <c r="CB147" s="564"/>
      <c r="CC147" s="321"/>
      <c r="CD147" s="321"/>
      <c r="CE147" s="321"/>
      <c r="CF147" s="412"/>
      <c r="CG147" s="448"/>
      <c r="CH147" s="448"/>
      <c r="CI147" s="462"/>
      <c r="CJ147" s="428"/>
      <c r="CK147" s="438"/>
      <c r="CL147" s="431"/>
      <c r="CM147" s="431"/>
      <c r="CN147" s="431"/>
      <c r="CO147" s="412"/>
      <c r="CP147" s="321"/>
      <c r="CQ147" s="321"/>
      <c r="CR147" s="564"/>
      <c r="CS147" s="321"/>
      <c r="CT147" s="321"/>
      <c r="CU147" s="321"/>
      <c r="CV147" s="321"/>
      <c r="CW147" s="321"/>
      <c r="CX147" s="321"/>
      <c r="CY147" s="321"/>
      <c r="CZ147" s="321"/>
      <c r="DA147" s="432"/>
      <c r="DB147" s="462"/>
      <c r="DC147" s="432"/>
      <c r="DD147" s="439"/>
      <c r="DE147" s="432"/>
      <c r="DF147" s="321"/>
      <c r="DG147" s="321"/>
      <c r="DH147" s="564"/>
      <c r="DI147" s="321"/>
      <c r="DJ147" s="321"/>
      <c r="DK147" s="321"/>
      <c r="DL147" s="321"/>
      <c r="DM147" s="321"/>
      <c r="DN147" s="321"/>
      <c r="DO147" s="321"/>
      <c r="DP147" s="321"/>
      <c r="DQ147" s="411"/>
      <c r="DR147" s="321"/>
      <c r="DS147" s="432"/>
      <c r="DT147" s="411"/>
      <c r="DU147" s="439"/>
      <c r="DV147" s="432">
        <v>7</v>
      </c>
      <c r="DW147" s="321"/>
      <c r="DX147" s="564"/>
      <c r="DY147" s="321"/>
      <c r="DZ147" s="321"/>
      <c r="EA147" s="321"/>
      <c r="EB147" s="321"/>
      <c r="EC147" s="321"/>
      <c r="ED147" s="321"/>
      <c r="EE147" s="321"/>
      <c r="EF147" s="321"/>
      <c r="EG147" s="321"/>
      <c r="EH147" s="321"/>
      <c r="EI147" s="432"/>
      <c r="EJ147" s="321"/>
      <c r="EK147" s="410"/>
      <c r="EL147" s="432"/>
      <c r="EM147" s="321"/>
      <c r="EN147" s="564"/>
      <c r="EO147" s="321"/>
      <c r="EP147" s="321"/>
      <c r="EQ147" s="321"/>
      <c r="ER147" s="321"/>
      <c r="ES147" s="321"/>
      <c r="ET147" s="321"/>
      <c r="EU147" s="321"/>
      <c r="EV147" s="321"/>
      <c r="EW147" s="321"/>
      <c r="EX147" s="321"/>
      <c r="EY147" s="321"/>
      <c r="EZ147" s="321"/>
      <c r="FA147" s="321"/>
      <c r="FB147" s="321"/>
      <c r="FC147" s="321"/>
      <c r="FD147" s="564"/>
      <c r="FE147" s="321"/>
      <c r="FF147" s="415"/>
      <c r="FG147" s="415"/>
      <c r="FH147" s="321"/>
      <c r="FI147" s="425"/>
      <c r="FJ147" s="321"/>
      <c r="FK147" s="321"/>
      <c r="FL147" s="321"/>
      <c r="FM147" s="417"/>
      <c r="FN147" s="432"/>
      <c r="FO147" s="420"/>
      <c r="FP147" s="321"/>
      <c r="FQ147" s="321"/>
      <c r="FR147" s="321"/>
      <c r="FS147" s="415"/>
      <c r="FT147" s="564"/>
      <c r="FU147" s="415"/>
      <c r="FV147" s="321"/>
      <c r="FW147" s="321"/>
      <c r="FX147" s="321"/>
      <c r="FY147" s="321"/>
      <c r="FZ147" s="321"/>
      <c r="GA147" s="321"/>
      <c r="GB147" s="321"/>
      <c r="GC147" s="321"/>
      <c r="GD147" s="409"/>
      <c r="GE147" s="417"/>
      <c r="GF147" s="415"/>
      <c r="GG147" s="321"/>
      <c r="GH147" s="321"/>
      <c r="GI147" s="321"/>
      <c r="GJ147" s="415"/>
      <c r="GK147" s="321"/>
      <c r="GL147" s="321"/>
      <c r="GM147" s="321"/>
      <c r="GN147" s="321"/>
      <c r="GO147" s="321"/>
      <c r="GP147" s="321"/>
      <c r="GQ147" s="321"/>
      <c r="GR147" s="417"/>
      <c r="GS147" s="321"/>
      <c r="GT147" s="321"/>
      <c r="GU147" s="417"/>
      <c r="GV147" s="321"/>
      <c r="GW147" s="321"/>
      <c r="GX147" s="321"/>
      <c r="GY147" s="321"/>
      <c r="GZ147" s="564"/>
      <c r="HA147" s="321"/>
      <c r="HB147" s="321"/>
      <c r="HC147" s="321"/>
      <c r="HD147" s="321"/>
      <c r="HE147" s="321"/>
      <c r="HF147" s="321"/>
      <c r="HG147" s="321"/>
      <c r="HH147" s="321"/>
      <c r="HI147" s="321"/>
      <c r="HJ147" s="321"/>
      <c r="HK147" s="321"/>
      <c r="HL147" s="321"/>
      <c r="HM147" s="321"/>
      <c r="HN147" s="321"/>
      <c r="HO147" s="321"/>
      <c r="HP147" s="415"/>
      <c r="HQ147" s="483"/>
      <c r="HR147" s="321"/>
      <c r="HS147" s="321"/>
      <c r="HT147" s="321"/>
      <c r="HU147" s="321"/>
      <c r="HV147" s="321"/>
      <c r="HW147" s="321"/>
      <c r="HX147" s="321"/>
      <c r="HY147" s="321"/>
      <c r="HZ147" s="321"/>
      <c r="IA147" s="321"/>
      <c r="IB147" s="321"/>
      <c r="IC147" s="321"/>
      <c r="ID147" s="321"/>
      <c r="IE147" s="321"/>
      <c r="IF147" s="564"/>
      <c r="IG147" s="483"/>
      <c r="IH147" s="414"/>
      <c r="II147" s="413"/>
      <c r="IJ147" s="413"/>
      <c r="IK147" s="413"/>
      <c r="IL147" s="413"/>
      <c r="IM147" s="413"/>
      <c r="IN147" s="321"/>
      <c r="IO147" s="321"/>
      <c r="IP147" s="321"/>
      <c r="IQ147" s="420"/>
      <c r="IR147" s="414"/>
      <c r="IS147" s="413"/>
      <c r="IT147" s="413"/>
      <c r="IU147" s="413"/>
      <c r="IV147" s="413"/>
    </row>
    <row r="148" spans="1:256" s="326" customFormat="1" ht="8.25" customHeight="1">
      <c r="A148" s="321">
        <v>66</v>
      </c>
      <c r="B148" s="321"/>
      <c r="C148" s="321"/>
      <c r="D148" s="555"/>
      <c r="E148" s="440"/>
      <c r="F148" s="433"/>
      <c r="G148" s="446"/>
      <c r="H148" s="433"/>
      <c r="I148" s="446"/>
      <c r="J148" s="433"/>
      <c r="K148" s="440"/>
      <c r="L148" s="584"/>
      <c r="M148" s="321"/>
      <c r="N148" s="321"/>
      <c r="O148" s="321"/>
      <c r="P148" s="564"/>
      <c r="Q148" s="321">
        <v>65</v>
      </c>
      <c r="R148" s="321"/>
      <c r="S148" s="321"/>
      <c r="T148" s="600"/>
      <c r="U148" s="446"/>
      <c r="V148" s="440"/>
      <c r="W148" s="459"/>
      <c r="X148" s="440"/>
      <c r="Y148" s="459"/>
      <c r="Z148" s="440"/>
      <c r="AA148" s="453"/>
      <c r="AB148" s="555"/>
      <c r="AC148" s="321"/>
      <c r="AD148" s="321"/>
      <c r="AE148" s="321"/>
      <c r="AF148" s="564"/>
      <c r="AG148" s="321"/>
      <c r="AH148" s="321"/>
      <c r="AI148" s="321"/>
      <c r="AJ148" s="412"/>
      <c r="AK148" s="448"/>
      <c r="AL148" s="448"/>
      <c r="AM148" s="462"/>
      <c r="AN148" s="428"/>
      <c r="AO148" s="438"/>
      <c r="AP148" s="426"/>
      <c r="AQ148" s="422"/>
      <c r="AR148" s="431"/>
      <c r="AS148" s="412"/>
      <c r="AT148" s="321"/>
      <c r="AU148" s="321"/>
      <c r="AV148" s="564"/>
      <c r="AW148" s="321"/>
      <c r="AX148" s="321"/>
      <c r="AY148" s="321"/>
      <c r="AZ148" s="431"/>
      <c r="BA148" s="448"/>
      <c r="BB148" s="448"/>
      <c r="BC148" s="436"/>
      <c r="BD148" s="428"/>
      <c r="BE148" s="438"/>
      <c r="BF148" s="453"/>
      <c r="BG148" s="446"/>
      <c r="BH148" s="431"/>
      <c r="BI148" s="412"/>
      <c r="BJ148" s="321"/>
      <c r="BK148" s="321"/>
      <c r="BL148" s="564"/>
      <c r="BM148" s="321"/>
      <c r="BN148" s="321"/>
      <c r="BO148" s="321"/>
      <c r="BP148" s="431"/>
      <c r="BQ148" s="448"/>
      <c r="BR148" s="462"/>
      <c r="BS148" s="436"/>
      <c r="BT148" s="428"/>
      <c r="BU148" s="438"/>
      <c r="BV148" s="426"/>
      <c r="BW148" s="422"/>
      <c r="BX148" s="431"/>
      <c r="BY148" s="412"/>
      <c r="BZ148" s="321"/>
      <c r="CA148" s="321"/>
      <c r="CB148" s="564"/>
      <c r="CC148" s="321"/>
      <c r="CD148" s="321"/>
      <c r="CE148" s="321"/>
      <c r="CF148" s="412"/>
      <c r="CG148" s="462"/>
      <c r="CH148" s="448"/>
      <c r="CI148" s="462"/>
      <c r="CJ148" s="428"/>
      <c r="CK148" s="438"/>
      <c r="CL148" s="426"/>
      <c r="CM148" s="422"/>
      <c r="CN148" s="431"/>
      <c r="CO148" s="412"/>
      <c r="CP148" s="321"/>
      <c r="CQ148" s="321"/>
      <c r="CR148" s="564"/>
      <c r="CS148" s="321"/>
      <c r="CT148" s="321"/>
      <c r="CU148" s="321"/>
      <c r="CV148" s="321"/>
      <c r="CW148" s="321"/>
      <c r="CX148" s="321"/>
      <c r="CY148" s="321"/>
      <c r="CZ148" s="432"/>
      <c r="DA148" s="439"/>
      <c r="DB148" s="411"/>
      <c r="DC148" s="443"/>
      <c r="DD148" s="432"/>
      <c r="DE148" s="321"/>
      <c r="DF148" s="321"/>
      <c r="DG148" s="321"/>
      <c r="DH148" s="564"/>
      <c r="DI148" s="321"/>
      <c r="DJ148" s="321"/>
      <c r="DK148" s="321"/>
      <c r="DL148" s="321"/>
      <c r="DM148" s="321"/>
      <c r="DN148" s="321"/>
      <c r="DO148" s="321"/>
      <c r="DP148" s="432"/>
      <c r="DQ148" s="410"/>
      <c r="DR148" s="432"/>
      <c r="DS148" s="321"/>
      <c r="DT148" s="410"/>
      <c r="DU148" s="411"/>
      <c r="DV148" s="321"/>
      <c r="DW148" s="321"/>
      <c r="DX148" s="564"/>
      <c r="DY148" s="321"/>
      <c r="DZ148" s="321"/>
      <c r="EA148" s="321"/>
      <c r="EB148" s="321"/>
      <c r="EC148" s="321"/>
      <c r="ED148" s="321"/>
      <c r="EE148" s="321"/>
      <c r="EF148" s="432"/>
      <c r="EG148" s="321"/>
      <c r="EH148" s="410"/>
      <c r="EI148" s="321"/>
      <c r="EJ148" s="321"/>
      <c r="EK148" s="321"/>
      <c r="EL148" s="321"/>
      <c r="EM148" s="432"/>
      <c r="EN148" s="564"/>
      <c r="EO148" s="321"/>
      <c r="EP148" s="321"/>
      <c r="EQ148" s="321"/>
      <c r="ER148" s="321"/>
      <c r="ES148" s="321"/>
      <c r="ET148" s="321"/>
      <c r="EU148" s="321"/>
      <c r="EV148" s="321"/>
      <c r="EW148" s="321"/>
      <c r="EX148" s="321"/>
      <c r="EY148" s="321"/>
      <c r="EZ148" s="321"/>
      <c r="FA148" s="321"/>
      <c r="FB148" s="321"/>
      <c r="FC148" s="321"/>
      <c r="FD148" s="564"/>
      <c r="FE148" s="321"/>
      <c r="FF148" s="415"/>
      <c r="FG148" s="321"/>
      <c r="FH148" s="321"/>
      <c r="FI148" s="321"/>
      <c r="FJ148" s="417"/>
      <c r="FK148" s="420"/>
      <c r="FL148" s="321"/>
      <c r="FM148" s="417"/>
      <c r="FN148" s="432"/>
      <c r="FO148" s="321"/>
      <c r="FP148" s="415"/>
      <c r="FQ148" s="415"/>
      <c r="FR148" s="321"/>
      <c r="FS148" s="321"/>
      <c r="FT148" s="564"/>
      <c r="FU148" s="415"/>
      <c r="FV148" s="321"/>
      <c r="FW148" s="321"/>
      <c r="FX148" s="321"/>
      <c r="FY148" s="321"/>
      <c r="FZ148" s="321"/>
      <c r="GA148" s="321"/>
      <c r="GB148" s="321"/>
      <c r="GC148" s="321"/>
      <c r="GD148" s="417"/>
      <c r="GE148" s="415"/>
      <c r="GF148" s="321"/>
      <c r="GG148" s="321"/>
      <c r="GH148" s="321"/>
      <c r="GI148" s="321"/>
      <c r="GJ148" s="564"/>
      <c r="GK148" s="321"/>
      <c r="GL148" s="321"/>
      <c r="GM148" s="321"/>
      <c r="GN148" s="321"/>
      <c r="GO148" s="321"/>
      <c r="GP148" s="321"/>
      <c r="GQ148" s="321"/>
      <c r="GR148" s="321"/>
      <c r="GS148" s="321"/>
      <c r="GT148" s="321"/>
      <c r="GU148" s="321"/>
      <c r="GV148" s="321"/>
      <c r="GW148" s="321"/>
      <c r="GX148" s="321"/>
      <c r="GY148" s="415"/>
      <c r="GZ148" s="321"/>
      <c r="HA148" s="425"/>
      <c r="HB148" s="321"/>
      <c r="HC148" s="321"/>
      <c r="HD148" s="321"/>
      <c r="HE148" s="321"/>
      <c r="HF148" s="321"/>
      <c r="HG148" s="321"/>
      <c r="HH148" s="321"/>
      <c r="HI148" s="422"/>
      <c r="HJ148" s="321"/>
      <c r="HK148" s="321"/>
      <c r="HL148" s="321"/>
      <c r="HM148" s="417"/>
      <c r="HN148" s="321"/>
      <c r="HO148" s="321"/>
      <c r="HP148" s="415"/>
      <c r="HQ148" s="483"/>
      <c r="HR148" s="321"/>
      <c r="HS148" s="321"/>
      <c r="HT148" s="321"/>
      <c r="HU148" s="321"/>
      <c r="HV148" s="321"/>
      <c r="HW148" s="321"/>
      <c r="HX148" s="321"/>
      <c r="HY148" s="321"/>
      <c r="HZ148" s="321"/>
      <c r="IA148" s="321"/>
      <c r="IB148" s="321"/>
      <c r="IC148" s="321"/>
      <c r="ID148" s="321"/>
      <c r="IE148" s="321"/>
      <c r="IF148" s="564"/>
      <c r="IG148" s="483"/>
      <c r="IH148" s="413"/>
      <c r="II148" s="413"/>
      <c r="IJ148" s="413"/>
      <c r="IK148" s="413"/>
      <c r="IL148" s="413"/>
      <c r="IM148" s="413"/>
      <c r="IN148" s="321"/>
      <c r="IO148" s="321"/>
      <c r="IP148" s="321"/>
      <c r="IQ148" s="414"/>
      <c r="IR148" s="414"/>
      <c r="IS148" s="413"/>
      <c r="IT148" s="413"/>
      <c r="IU148" s="413"/>
      <c r="IV148" s="413"/>
    </row>
    <row r="149" spans="1:256" s="326" customFormat="1" ht="8.25" customHeight="1">
      <c r="A149" s="321"/>
      <c r="B149" s="321"/>
      <c r="C149" s="321"/>
      <c r="D149" s="555"/>
      <c r="E149" s="440"/>
      <c r="F149" s="433"/>
      <c r="G149" s="440"/>
      <c r="H149" s="433"/>
      <c r="I149" s="440"/>
      <c r="J149" s="433"/>
      <c r="K149" s="440"/>
      <c r="L149" s="584"/>
      <c r="M149" s="321"/>
      <c r="N149" s="321"/>
      <c r="O149" s="321"/>
      <c r="P149" s="564"/>
      <c r="Q149" s="321"/>
      <c r="R149" s="321"/>
      <c r="S149" s="321"/>
      <c r="T149" s="600"/>
      <c r="U149" s="446"/>
      <c r="V149" s="440"/>
      <c r="W149" s="459"/>
      <c r="X149" s="440"/>
      <c r="Y149" s="459"/>
      <c r="Z149" s="440"/>
      <c r="AA149" s="446"/>
      <c r="AB149" s="555"/>
      <c r="AC149" s="321"/>
      <c r="AD149" s="321"/>
      <c r="AE149" s="321"/>
      <c r="AF149" s="564"/>
      <c r="AG149" s="321"/>
      <c r="AH149" s="321"/>
      <c r="AI149" s="321"/>
      <c r="AJ149" s="412"/>
      <c r="AK149" s="455"/>
      <c r="AL149" s="448"/>
      <c r="AM149" s="462"/>
      <c r="AN149" s="448"/>
      <c r="AO149" s="438"/>
      <c r="AP149" s="422"/>
      <c r="AQ149" s="417"/>
      <c r="AR149" s="431"/>
      <c r="AS149" s="583"/>
      <c r="AT149" s="321"/>
      <c r="AU149" s="321"/>
      <c r="AV149" s="564"/>
      <c r="AW149" s="321"/>
      <c r="AX149" s="321"/>
      <c r="AY149" s="321"/>
      <c r="AZ149" s="412"/>
      <c r="BA149" s="455"/>
      <c r="BB149" s="443"/>
      <c r="BC149" s="448"/>
      <c r="BD149" s="448"/>
      <c r="BE149" s="438"/>
      <c r="BF149" s="459"/>
      <c r="BG149" s="446"/>
      <c r="BH149" s="431"/>
      <c r="BI149" s="583"/>
      <c r="BJ149" s="321"/>
      <c r="BK149" s="321"/>
      <c r="BL149" s="564"/>
      <c r="BM149" s="321"/>
      <c r="BN149" s="321"/>
      <c r="BO149" s="321"/>
      <c r="BP149" s="412"/>
      <c r="BQ149" s="455"/>
      <c r="BR149" s="455"/>
      <c r="BS149" s="462"/>
      <c r="BT149" s="448"/>
      <c r="BU149" s="438"/>
      <c r="BV149" s="422"/>
      <c r="BW149" s="417"/>
      <c r="BX149" s="431"/>
      <c r="BY149" s="583"/>
      <c r="BZ149" s="321"/>
      <c r="CA149" s="321"/>
      <c r="CB149" s="564"/>
      <c r="CC149" s="321"/>
      <c r="CD149" s="321"/>
      <c r="CE149" s="321"/>
      <c r="CF149" s="412"/>
      <c r="CG149" s="455"/>
      <c r="CH149" s="448"/>
      <c r="CI149" s="462"/>
      <c r="CJ149" s="448"/>
      <c r="CK149" s="438"/>
      <c r="CL149" s="422"/>
      <c r="CM149" s="417"/>
      <c r="CN149" s="431"/>
      <c r="CO149" s="583"/>
      <c r="CP149" s="321"/>
      <c r="CQ149" s="321"/>
      <c r="CR149" s="564"/>
      <c r="CS149" s="321"/>
      <c r="CT149" s="321"/>
      <c r="CU149" s="321"/>
      <c r="CV149" s="321"/>
      <c r="CW149" s="321"/>
      <c r="CX149" s="321"/>
      <c r="CY149" s="321"/>
      <c r="CZ149" s="321"/>
      <c r="DA149" s="411"/>
      <c r="DB149" s="439"/>
      <c r="DC149" s="411"/>
      <c r="DD149" s="321"/>
      <c r="DE149" s="411"/>
      <c r="DF149" s="321"/>
      <c r="DG149" s="321"/>
      <c r="DH149" s="564"/>
      <c r="DI149" s="321"/>
      <c r="DJ149" s="321"/>
      <c r="DK149" s="321"/>
      <c r="DL149" s="321"/>
      <c r="DM149" s="321"/>
      <c r="DN149" s="321"/>
      <c r="DO149" s="432"/>
      <c r="DP149" s="439"/>
      <c r="DQ149" s="411"/>
      <c r="DR149" s="439"/>
      <c r="DS149" s="411"/>
      <c r="DT149" s="321"/>
      <c r="DU149" s="432"/>
      <c r="DV149" s="321"/>
      <c r="DW149" s="321"/>
      <c r="DX149" s="564"/>
      <c r="DY149" s="321"/>
      <c r="DZ149" s="321"/>
      <c r="EA149" s="321"/>
      <c r="EB149" s="321"/>
      <c r="EC149" s="321"/>
      <c r="ED149" s="321"/>
      <c r="EE149" s="432"/>
      <c r="EF149" s="321"/>
      <c r="EG149" s="321"/>
      <c r="EH149" s="321"/>
      <c r="EI149" s="321"/>
      <c r="EJ149" s="321"/>
      <c r="EK149" s="321"/>
      <c r="EL149" s="321"/>
      <c r="EM149" s="321"/>
      <c r="EN149" s="564"/>
      <c r="EO149" s="321"/>
      <c r="EP149" s="321"/>
      <c r="EQ149" s="321"/>
      <c r="ER149" s="321"/>
      <c r="ES149" s="321"/>
      <c r="ET149" s="321"/>
      <c r="EU149" s="321"/>
      <c r="EV149" s="321"/>
      <c r="EW149" s="321"/>
      <c r="EX149" s="321"/>
      <c r="EY149" s="321"/>
      <c r="EZ149" s="321"/>
      <c r="FA149" s="321"/>
      <c r="FB149" s="321"/>
      <c r="FC149" s="321"/>
      <c r="FD149" s="564"/>
      <c r="FE149" s="321"/>
      <c r="FF149" s="321"/>
      <c r="FG149" s="321"/>
      <c r="FH149" s="415"/>
      <c r="FI149" s="409"/>
      <c r="FJ149" s="420"/>
      <c r="FK149" s="321"/>
      <c r="FL149" s="420"/>
      <c r="FM149" s="432"/>
      <c r="FN149" s="420"/>
      <c r="FO149" s="321"/>
      <c r="FP149" s="415"/>
      <c r="FQ149" s="415"/>
      <c r="FR149" s="415"/>
      <c r="FS149" s="321"/>
      <c r="FT149" s="564"/>
      <c r="FU149" s="321"/>
      <c r="FV149" s="321"/>
      <c r="FW149" s="321"/>
      <c r="FX149" s="321"/>
      <c r="FY149" s="417"/>
      <c r="FZ149" s="321"/>
      <c r="GA149" s="321"/>
      <c r="GB149" s="321"/>
      <c r="GC149" s="432"/>
      <c r="GD149" s="420"/>
      <c r="GE149" s="415"/>
      <c r="GF149" s="321"/>
      <c r="GG149" s="321"/>
      <c r="GH149" s="415"/>
      <c r="GI149" s="415"/>
      <c r="GJ149" s="564"/>
      <c r="GK149" s="321"/>
      <c r="GL149" s="321"/>
      <c r="GM149" s="417"/>
      <c r="GN149" s="321"/>
      <c r="GO149" s="321"/>
      <c r="GP149" s="321"/>
      <c r="GQ149" s="321"/>
      <c r="GR149" s="321"/>
      <c r="GS149" s="321"/>
      <c r="GT149" s="321"/>
      <c r="GU149" s="321"/>
      <c r="GV149" s="321"/>
      <c r="GW149" s="321"/>
      <c r="GX149" s="321"/>
      <c r="GY149" s="409"/>
      <c r="GZ149" s="415"/>
      <c r="HA149" s="321"/>
      <c r="HB149" s="321"/>
      <c r="HC149" s="321"/>
      <c r="HD149" s="321"/>
      <c r="HE149" s="321"/>
      <c r="HF149" s="321"/>
      <c r="HG149" s="321"/>
      <c r="HH149" s="409"/>
      <c r="HI149" s="321"/>
      <c r="HJ149" s="321"/>
      <c r="HK149" s="321"/>
      <c r="HL149" s="321"/>
      <c r="HM149" s="321"/>
      <c r="HN149" s="417"/>
      <c r="HO149" s="321"/>
      <c r="HP149" s="564"/>
      <c r="HQ149" s="483"/>
      <c r="HR149" s="321"/>
      <c r="HS149" s="321"/>
      <c r="HT149" s="321"/>
      <c r="HU149" s="321"/>
      <c r="HV149" s="321"/>
      <c r="HW149" s="321"/>
      <c r="HX149" s="321"/>
      <c r="HY149" s="321"/>
      <c r="HZ149" s="321"/>
      <c r="IA149" s="321"/>
      <c r="IB149" s="321"/>
      <c r="IC149" s="321"/>
      <c r="ID149" s="321"/>
      <c r="IE149" s="321"/>
      <c r="IF149" s="564"/>
      <c r="IG149" s="483"/>
      <c r="IH149" s="414"/>
      <c r="II149" s="413"/>
      <c r="IJ149" s="413"/>
      <c r="IK149" s="413"/>
      <c r="IL149" s="413"/>
      <c r="IM149" s="413"/>
      <c r="IN149" s="321"/>
      <c r="IO149" s="321"/>
      <c r="IP149" s="321"/>
      <c r="IQ149" s="420"/>
      <c r="IR149" s="414"/>
      <c r="IS149" s="413"/>
      <c r="IT149" s="413"/>
      <c r="IU149" s="413"/>
      <c r="IV149" s="413"/>
    </row>
    <row r="150" spans="1:256" s="326" customFormat="1" ht="8.25" customHeight="1">
      <c r="A150" s="321"/>
      <c r="B150" s="321"/>
      <c r="C150" s="321"/>
      <c r="D150" s="555"/>
      <c r="E150" s="433"/>
      <c r="F150" s="433"/>
      <c r="G150" s="440"/>
      <c r="H150" s="433"/>
      <c r="I150" s="440"/>
      <c r="J150" s="433"/>
      <c r="K150" s="433"/>
      <c r="L150" s="584"/>
      <c r="M150" s="321"/>
      <c r="N150" s="321"/>
      <c r="O150" s="321"/>
      <c r="P150" s="564"/>
      <c r="Q150" s="321"/>
      <c r="R150" s="321"/>
      <c r="S150" s="321"/>
      <c r="T150" s="555"/>
      <c r="U150" s="446"/>
      <c r="V150" s="440"/>
      <c r="W150" s="446"/>
      <c r="X150" s="440"/>
      <c r="Y150" s="446"/>
      <c r="Z150" s="440"/>
      <c r="AA150" s="440"/>
      <c r="AB150" s="555"/>
      <c r="AC150" s="321"/>
      <c r="AD150" s="321"/>
      <c r="AE150" s="321"/>
      <c r="AF150" s="564"/>
      <c r="AG150" s="321"/>
      <c r="AH150" s="321"/>
      <c r="AI150" s="321"/>
      <c r="AJ150" s="412"/>
      <c r="AK150" s="448"/>
      <c r="AL150" s="455"/>
      <c r="AM150" s="443"/>
      <c r="AN150" s="448"/>
      <c r="AO150" s="438"/>
      <c r="AP150" s="431"/>
      <c r="AQ150" s="431"/>
      <c r="AR150" s="431"/>
      <c r="AS150" s="583"/>
      <c r="AT150" s="321"/>
      <c r="AU150" s="321"/>
      <c r="AV150" s="564"/>
      <c r="AW150" s="321"/>
      <c r="AX150" s="321"/>
      <c r="AY150" s="321"/>
      <c r="AZ150" s="412"/>
      <c r="BA150" s="448"/>
      <c r="BB150" s="462"/>
      <c r="BC150" s="462"/>
      <c r="BD150" s="448"/>
      <c r="BE150" s="438"/>
      <c r="BF150" s="431"/>
      <c r="BG150" s="431"/>
      <c r="BH150" s="431"/>
      <c r="BI150" s="583"/>
      <c r="BJ150" s="321"/>
      <c r="BK150" s="321"/>
      <c r="BL150" s="564"/>
      <c r="BM150" s="321"/>
      <c r="BN150" s="321"/>
      <c r="BO150" s="321"/>
      <c r="BP150" s="412"/>
      <c r="BQ150" s="448"/>
      <c r="BR150" s="462"/>
      <c r="BS150" s="443"/>
      <c r="BT150" s="448"/>
      <c r="BU150" s="438"/>
      <c r="BV150" s="431"/>
      <c r="BW150" s="431"/>
      <c r="BX150" s="431"/>
      <c r="BY150" s="583"/>
      <c r="BZ150" s="321"/>
      <c r="CA150" s="321"/>
      <c r="CB150" s="564"/>
      <c r="CC150" s="321"/>
      <c r="CD150" s="321"/>
      <c r="CE150" s="321"/>
      <c r="CF150" s="412"/>
      <c r="CG150" s="448"/>
      <c r="CH150" s="455"/>
      <c r="CI150" s="443"/>
      <c r="CJ150" s="448"/>
      <c r="CK150" s="438"/>
      <c r="CL150" s="431"/>
      <c r="CM150" s="431"/>
      <c r="CN150" s="431"/>
      <c r="CO150" s="583"/>
      <c r="CP150" s="321"/>
      <c r="CQ150" s="321"/>
      <c r="CR150" s="564"/>
      <c r="CS150" s="321"/>
      <c r="CT150" s="321"/>
      <c r="CU150" s="321"/>
      <c r="CV150" s="321"/>
      <c r="CW150" s="321"/>
      <c r="CX150" s="321"/>
      <c r="CY150" s="321"/>
      <c r="CZ150" s="321"/>
      <c r="DA150" s="321"/>
      <c r="DB150" s="432"/>
      <c r="DC150" s="321"/>
      <c r="DD150" s="321"/>
      <c r="DE150" s="321"/>
      <c r="DF150" s="321"/>
      <c r="DG150" s="321"/>
      <c r="DH150" s="564"/>
      <c r="DI150" s="321"/>
      <c r="DJ150" s="321"/>
      <c r="DK150" s="321"/>
      <c r="DL150" s="321"/>
      <c r="DM150" s="321"/>
      <c r="DN150" s="321"/>
      <c r="DO150" s="321"/>
      <c r="DP150" s="411"/>
      <c r="DQ150" s="439"/>
      <c r="DR150" s="321"/>
      <c r="DS150" s="439"/>
      <c r="DT150" s="411"/>
      <c r="DU150" s="321"/>
      <c r="DV150" s="411"/>
      <c r="DW150" s="321"/>
      <c r="DX150" s="564"/>
      <c r="DY150" s="321"/>
      <c r="DZ150" s="321"/>
      <c r="EA150" s="321"/>
      <c r="EB150" s="321"/>
      <c r="EC150" s="321"/>
      <c r="ED150" s="439"/>
      <c r="EE150" s="321"/>
      <c r="EF150" s="321"/>
      <c r="EG150" s="321"/>
      <c r="EH150" s="439"/>
      <c r="EI150" s="439"/>
      <c r="EJ150" s="321"/>
      <c r="EK150" s="321"/>
      <c r="EL150" s="432"/>
      <c r="EM150" s="321"/>
      <c r="EN150" s="564"/>
      <c r="EO150" s="321"/>
      <c r="EP150" s="321"/>
      <c r="EQ150" s="321"/>
      <c r="ER150" s="321"/>
      <c r="ES150" s="321"/>
      <c r="ET150" s="321"/>
      <c r="EU150" s="321"/>
      <c r="EV150" s="321"/>
      <c r="EW150" s="321"/>
      <c r="EX150" s="321"/>
      <c r="EY150" s="321"/>
      <c r="EZ150" s="321"/>
      <c r="FA150" s="321"/>
      <c r="FB150" s="321"/>
      <c r="FC150" s="321"/>
      <c r="FD150" s="556"/>
      <c r="FE150" s="321"/>
      <c r="FF150" s="321"/>
      <c r="FG150" s="415"/>
      <c r="FH150" s="420"/>
      <c r="FI150" s="420"/>
      <c r="FJ150" s="321"/>
      <c r="FK150" s="321"/>
      <c r="FL150" s="420"/>
      <c r="FM150" s="420"/>
      <c r="FN150" s="321"/>
      <c r="FO150" s="321"/>
      <c r="FP150" s="321"/>
      <c r="FQ150" s="415"/>
      <c r="FR150" s="415"/>
      <c r="FS150" s="321"/>
      <c r="FT150" s="564"/>
      <c r="FU150" s="321"/>
      <c r="FV150" s="321"/>
      <c r="FW150" s="321"/>
      <c r="FX150" s="417"/>
      <c r="FY150" s="417"/>
      <c r="FZ150" s="321"/>
      <c r="GA150" s="321"/>
      <c r="GB150" s="321"/>
      <c r="GC150" s="420"/>
      <c r="GD150" s="415"/>
      <c r="GE150" s="321"/>
      <c r="GF150" s="321"/>
      <c r="GG150" s="321"/>
      <c r="GH150" s="409"/>
      <c r="GI150" s="415"/>
      <c r="GJ150" s="415"/>
      <c r="GK150" s="321"/>
      <c r="GL150" s="321"/>
      <c r="GM150" s="417"/>
      <c r="GN150" s="321"/>
      <c r="GO150" s="321"/>
      <c r="GP150" s="321"/>
      <c r="GQ150" s="321"/>
      <c r="GR150" s="321"/>
      <c r="GS150" s="321"/>
      <c r="GT150" s="321"/>
      <c r="GU150" s="321"/>
      <c r="GV150" s="321"/>
      <c r="GW150" s="321"/>
      <c r="GX150" s="321"/>
      <c r="GY150" s="321"/>
      <c r="GZ150" s="420"/>
      <c r="HA150" s="417"/>
      <c r="HB150" s="321"/>
      <c r="HC150" s="321"/>
      <c r="HD150" s="321"/>
      <c r="HE150" s="321"/>
      <c r="HF150" s="321"/>
      <c r="HG150" s="321"/>
      <c r="HH150" s="321"/>
      <c r="HI150" s="321"/>
      <c r="HJ150" s="321"/>
      <c r="HK150" s="321"/>
      <c r="HL150" s="321"/>
      <c r="HM150" s="321"/>
      <c r="HN150" s="321"/>
      <c r="HO150" s="321"/>
      <c r="HP150" s="564"/>
      <c r="HQ150" s="483"/>
      <c r="HR150" s="321"/>
      <c r="HS150" s="321"/>
      <c r="HT150" s="321"/>
      <c r="HU150" s="321"/>
      <c r="HV150" s="321"/>
      <c r="HW150" s="321"/>
      <c r="HX150" s="321"/>
      <c r="HY150" s="321"/>
      <c r="HZ150" s="321"/>
      <c r="IA150" s="321"/>
      <c r="IB150" s="321"/>
      <c r="IC150" s="321"/>
      <c r="ID150" s="321"/>
      <c r="IE150" s="321"/>
      <c r="IF150" s="564"/>
      <c r="IG150" s="483"/>
      <c r="IH150" s="413"/>
      <c r="II150" s="413"/>
      <c r="IJ150" s="413"/>
      <c r="IK150" s="413"/>
      <c r="IL150" s="413"/>
      <c r="IM150" s="413"/>
      <c r="IN150" s="321"/>
      <c r="IO150" s="321"/>
      <c r="IP150" s="321"/>
      <c r="IQ150" s="420"/>
      <c r="IR150" s="414"/>
      <c r="IS150" s="413"/>
      <c r="IT150" s="413"/>
      <c r="IU150" s="413"/>
      <c r="IV150" s="413"/>
    </row>
    <row r="151" spans="1:256" s="326" customFormat="1" ht="8.25" customHeight="1">
      <c r="A151" s="483"/>
      <c r="B151" s="321"/>
      <c r="C151" s="321"/>
      <c r="D151" s="555"/>
      <c r="E151" s="422"/>
      <c r="F151" s="433"/>
      <c r="G151" s="422"/>
      <c r="H151" s="426"/>
      <c r="I151" s="422"/>
      <c r="J151" s="426"/>
      <c r="K151" s="422"/>
      <c r="L151" s="584"/>
      <c r="M151" s="321"/>
      <c r="N151" s="321"/>
      <c r="O151" s="321"/>
      <c r="P151" s="564"/>
      <c r="Q151" s="483"/>
      <c r="R151" s="321"/>
      <c r="S151" s="321"/>
      <c r="T151" s="555"/>
      <c r="U151" s="453"/>
      <c r="V151" s="440"/>
      <c r="W151" s="433"/>
      <c r="X151" s="440"/>
      <c r="Y151" s="433"/>
      <c r="Z151" s="440"/>
      <c r="AA151" s="426"/>
      <c r="AB151" s="555"/>
      <c r="AC151" s="321"/>
      <c r="AD151" s="321"/>
      <c r="AE151" s="321"/>
      <c r="AF151" s="564"/>
      <c r="AG151" s="483"/>
      <c r="AH151" s="321"/>
      <c r="AI151" s="321"/>
      <c r="AJ151" s="412"/>
      <c r="AK151" s="431"/>
      <c r="AL151" s="438"/>
      <c r="AM151" s="438"/>
      <c r="AN151" s="438"/>
      <c r="AO151" s="431"/>
      <c r="AP151" s="453"/>
      <c r="AQ151" s="446"/>
      <c r="AR151" s="431"/>
      <c r="AS151" s="583"/>
      <c r="AT151" s="321"/>
      <c r="AU151" s="321"/>
      <c r="AV151" s="564"/>
      <c r="AW151" s="483"/>
      <c r="AX151" s="321"/>
      <c r="AY151" s="321"/>
      <c r="AZ151" s="412"/>
      <c r="BA151" s="431"/>
      <c r="BB151" s="438"/>
      <c r="BC151" s="438"/>
      <c r="BD151" s="438"/>
      <c r="BE151" s="431"/>
      <c r="BF151" s="426"/>
      <c r="BG151" s="422"/>
      <c r="BH151" s="431"/>
      <c r="BI151" s="583"/>
      <c r="BJ151" s="321"/>
      <c r="BK151" s="321"/>
      <c r="BL151" s="564"/>
      <c r="BM151" s="483"/>
      <c r="BN151" s="321"/>
      <c r="BO151" s="321"/>
      <c r="BP151" s="412"/>
      <c r="BQ151" s="431"/>
      <c r="BR151" s="438"/>
      <c r="BS151" s="438"/>
      <c r="BT151" s="438"/>
      <c r="BU151" s="431"/>
      <c r="BV151" s="426"/>
      <c r="BW151" s="422"/>
      <c r="BX151" s="431"/>
      <c r="BY151" s="583"/>
      <c r="BZ151" s="321"/>
      <c r="CA151" s="321"/>
      <c r="CB151" s="564"/>
      <c r="CC151" s="483"/>
      <c r="CD151" s="321"/>
      <c r="CE151" s="321"/>
      <c r="CF151" s="412"/>
      <c r="CG151" s="431"/>
      <c r="CH151" s="438"/>
      <c r="CI151" s="438"/>
      <c r="CJ151" s="438"/>
      <c r="CK151" s="431"/>
      <c r="CL151" s="426"/>
      <c r="CM151" s="422"/>
      <c r="CN151" s="431"/>
      <c r="CO151" s="583"/>
      <c r="CP151" s="321"/>
      <c r="CQ151" s="321"/>
      <c r="CR151" s="564"/>
      <c r="CS151" s="483"/>
      <c r="CT151" s="321"/>
      <c r="CU151" s="321"/>
      <c r="CV151" s="321"/>
      <c r="CW151" s="321"/>
      <c r="CX151" s="321"/>
      <c r="CY151" s="321"/>
      <c r="CZ151" s="321"/>
      <c r="DA151" s="321"/>
      <c r="DB151" s="321"/>
      <c r="DC151" s="321"/>
      <c r="DD151" s="321"/>
      <c r="DE151" s="321"/>
      <c r="DF151" s="321"/>
      <c r="DG151" s="321"/>
      <c r="DH151" s="564"/>
      <c r="DI151" s="483"/>
      <c r="DJ151" s="321"/>
      <c r="DK151" s="321"/>
      <c r="DL151" s="321"/>
      <c r="DM151" s="321"/>
      <c r="DN151" s="321"/>
      <c r="DO151" s="321"/>
      <c r="DP151" s="321"/>
      <c r="DQ151" s="432"/>
      <c r="DR151" s="321"/>
      <c r="DS151" s="321"/>
      <c r="DT151" s="432"/>
      <c r="DU151" s="321"/>
      <c r="DV151" s="321"/>
      <c r="DW151" s="321"/>
      <c r="DX151" s="564"/>
      <c r="DY151" s="483"/>
      <c r="DZ151" s="321"/>
      <c r="EA151" s="321"/>
      <c r="EB151" s="321"/>
      <c r="EC151" s="321"/>
      <c r="ED151" s="321"/>
      <c r="EE151" s="321"/>
      <c r="EF151" s="321"/>
      <c r="EG151" s="432"/>
      <c r="EH151" s="321"/>
      <c r="EI151" s="321"/>
      <c r="EJ151" s="432"/>
      <c r="EK151" s="321"/>
      <c r="EL151" s="321"/>
      <c r="EM151" s="439"/>
      <c r="EN151" s="564"/>
      <c r="EO151" s="483"/>
      <c r="EP151" s="321"/>
      <c r="EQ151" s="321"/>
      <c r="ER151" s="321"/>
      <c r="ES151" s="432">
        <v>7</v>
      </c>
      <c r="ET151" s="321"/>
      <c r="EU151" s="321"/>
      <c r="EV151" s="321"/>
      <c r="EW151" s="321"/>
      <c r="EX151" s="321"/>
      <c r="EY151" s="321"/>
      <c r="EZ151" s="321"/>
      <c r="FA151" s="321"/>
      <c r="FB151" s="321"/>
      <c r="FC151" s="321"/>
      <c r="FD151" s="564"/>
      <c r="FE151" s="483"/>
      <c r="FF151" s="415"/>
      <c r="FG151" s="415"/>
      <c r="FH151" s="417"/>
      <c r="FI151" s="321"/>
      <c r="FJ151" s="321"/>
      <c r="FK151" s="321"/>
      <c r="FL151" s="321"/>
      <c r="FM151" s="321"/>
      <c r="FN151" s="321"/>
      <c r="FO151" s="432"/>
      <c r="FP151" s="420"/>
      <c r="FQ151" s="321"/>
      <c r="FR151" s="415"/>
      <c r="FS151" s="321"/>
      <c r="FT151" s="564"/>
      <c r="FU151" s="483"/>
      <c r="FV151" s="321"/>
      <c r="FW151" s="409"/>
      <c r="FX151" s="420"/>
      <c r="FY151" s="321"/>
      <c r="FZ151" s="321"/>
      <c r="GA151" s="321"/>
      <c r="GB151" s="321"/>
      <c r="GC151" s="321"/>
      <c r="GD151" s="321"/>
      <c r="GE151" s="321"/>
      <c r="GF151" s="321"/>
      <c r="GG151" s="321"/>
      <c r="GH151" s="321"/>
      <c r="GI151" s="420"/>
      <c r="GJ151" s="415"/>
      <c r="GK151" s="483"/>
      <c r="GL151" s="409"/>
      <c r="GM151" s="420"/>
      <c r="GN151" s="321"/>
      <c r="GO151" s="321"/>
      <c r="GP151" s="321"/>
      <c r="GQ151" s="321"/>
      <c r="GR151" s="321"/>
      <c r="GS151" s="321"/>
      <c r="GT151" s="321"/>
      <c r="GU151" s="321"/>
      <c r="GV151" s="321"/>
      <c r="GW151" s="321"/>
      <c r="GX151" s="321"/>
      <c r="GY151" s="321"/>
      <c r="GZ151" s="564"/>
      <c r="HA151" s="417"/>
      <c r="HB151" s="321"/>
      <c r="HC151" s="321"/>
      <c r="HD151" s="321"/>
      <c r="HE151" s="321"/>
      <c r="HF151" s="321"/>
      <c r="HG151" s="321"/>
      <c r="HH151" s="321"/>
      <c r="HI151" s="321"/>
      <c r="HJ151" s="321"/>
      <c r="HK151" s="321"/>
      <c r="HL151" s="321"/>
      <c r="HM151" s="321"/>
      <c r="HN151" s="321"/>
      <c r="HO151" s="321"/>
      <c r="HP151" s="564"/>
      <c r="HQ151" s="483"/>
      <c r="HR151" s="321"/>
      <c r="HS151" s="321"/>
      <c r="HT151" s="321"/>
      <c r="HU151" s="321"/>
      <c r="HV151" s="321"/>
      <c r="HW151" s="321"/>
      <c r="HX151" s="321"/>
      <c r="HY151" s="321"/>
      <c r="HZ151" s="321"/>
      <c r="IA151" s="321"/>
      <c r="IB151" s="321"/>
      <c r="IC151" s="321"/>
      <c r="ID151" s="321"/>
      <c r="IE151" s="321"/>
      <c r="IF151" s="564"/>
      <c r="IG151" s="483"/>
      <c r="IH151" s="414"/>
      <c r="II151" s="413"/>
      <c r="IJ151" s="413"/>
      <c r="IK151" s="413"/>
      <c r="IL151" s="413"/>
      <c r="IM151" s="413"/>
      <c r="IN151" s="321"/>
      <c r="IO151" s="321"/>
      <c r="IP151" s="321"/>
      <c r="IQ151" s="414"/>
      <c r="IR151" s="414"/>
      <c r="IS151" s="413"/>
      <c r="IT151" s="413"/>
      <c r="IU151" s="413"/>
      <c r="IV151" s="413"/>
    </row>
    <row r="152" spans="1:256" s="326" customFormat="1" ht="8.25" customHeight="1">
      <c r="A152" s="483"/>
      <c r="B152" s="321"/>
      <c r="C152" s="321"/>
      <c r="D152" s="584"/>
      <c r="E152" s="583"/>
      <c r="F152" s="583"/>
      <c r="G152" s="583"/>
      <c r="H152" s="583"/>
      <c r="I152" s="583"/>
      <c r="J152" s="583"/>
      <c r="K152" s="583"/>
      <c r="L152" s="1307"/>
      <c r="M152" s="321"/>
      <c r="N152" s="321"/>
      <c r="O152" s="321"/>
      <c r="P152" s="564"/>
      <c r="Q152" s="483"/>
      <c r="R152" s="321"/>
      <c r="S152" s="321"/>
      <c r="T152" s="555"/>
      <c r="U152" s="555"/>
      <c r="V152" s="583"/>
      <c r="W152" s="583"/>
      <c r="X152" s="583"/>
      <c r="Y152" s="583"/>
      <c r="Z152" s="583"/>
      <c r="AA152" s="583"/>
      <c r="AB152" s="583"/>
      <c r="AC152" s="321"/>
      <c r="AD152" s="321"/>
      <c r="AE152" s="321"/>
      <c r="AF152" s="564"/>
      <c r="AG152" s="483"/>
      <c r="AH152" s="321"/>
      <c r="AI152" s="321"/>
      <c r="AJ152" s="412"/>
      <c r="AK152" s="417"/>
      <c r="AL152" s="417"/>
      <c r="AM152" s="422"/>
      <c r="AN152" s="417"/>
      <c r="AO152" s="431"/>
      <c r="AP152" s="459"/>
      <c r="AQ152" s="446"/>
      <c r="AR152" s="431"/>
      <c r="AS152" s="583"/>
      <c r="AT152" s="321"/>
      <c r="AU152" s="321"/>
      <c r="AV152" s="564"/>
      <c r="AW152" s="483"/>
      <c r="AX152" s="321"/>
      <c r="AY152" s="321"/>
      <c r="AZ152" s="412"/>
      <c r="BA152" s="417"/>
      <c r="BB152" s="417"/>
      <c r="BC152" s="422"/>
      <c r="BD152" s="417"/>
      <c r="BE152" s="431"/>
      <c r="BF152" s="422"/>
      <c r="BG152" s="417"/>
      <c r="BH152" s="431"/>
      <c r="BI152" s="583"/>
      <c r="BJ152" s="321"/>
      <c r="BK152" s="321"/>
      <c r="BL152" s="564"/>
      <c r="BM152" s="483"/>
      <c r="BN152" s="321"/>
      <c r="BO152" s="321"/>
      <c r="BP152" s="412"/>
      <c r="BQ152" s="417"/>
      <c r="BR152" s="417"/>
      <c r="BS152" s="422"/>
      <c r="BT152" s="417"/>
      <c r="BU152" s="431"/>
      <c r="BV152" s="422"/>
      <c r="BW152" s="417"/>
      <c r="BX152" s="431"/>
      <c r="BY152" s="583"/>
      <c r="BZ152" s="321"/>
      <c r="CA152" s="321"/>
      <c r="CB152" s="564"/>
      <c r="CC152" s="483"/>
      <c r="CD152" s="321"/>
      <c r="CE152" s="321"/>
      <c r="CF152" s="412"/>
      <c r="CG152" s="446"/>
      <c r="CH152" s="459"/>
      <c r="CI152" s="459"/>
      <c r="CJ152" s="446"/>
      <c r="CK152" s="431"/>
      <c r="CL152" s="422"/>
      <c r="CM152" s="417"/>
      <c r="CN152" s="431"/>
      <c r="CO152" s="583"/>
      <c r="CP152" s="321"/>
      <c r="CQ152" s="321"/>
      <c r="CR152" s="564"/>
      <c r="CS152" s="483"/>
      <c r="CT152" s="321"/>
      <c r="CU152" s="321"/>
      <c r="CV152" s="321"/>
      <c r="CW152" s="321"/>
      <c r="CX152" s="321"/>
      <c r="CY152" s="321"/>
      <c r="CZ152" s="321"/>
      <c r="DA152" s="321"/>
      <c r="DB152" s="321"/>
      <c r="DC152" s="321"/>
      <c r="DD152" s="321"/>
      <c r="DE152" s="321"/>
      <c r="DF152" s="321"/>
      <c r="DG152" s="321"/>
      <c r="DH152" s="564"/>
      <c r="DI152" s="483"/>
      <c r="DJ152" s="321"/>
      <c r="DK152" s="321"/>
      <c r="DL152" s="321"/>
      <c r="DM152" s="321"/>
      <c r="DN152" s="321"/>
      <c r="DO152" s="432">
        <v>7</v>
      </c>
      <c r="DP152" s="321"/>
      <c r="DQ152" s="321"/>
      <c r="DR152" s="321"/>
      <c r="DS152" s="321"/>
      <c r="DT152" s="321"/>
      <c r="DU152" s="321"/>
      <c r="DV152" s="432">
        <v>7</v>
      </c>
      <c r="DW152" s="321"/>
      <c r="DX152" s="564"/>
      <c r="DY152" s="483"/>
      <c r="DZ152" s="321"/>
      <c r="EA152" s="321"/>
      <c r="EB152" s="321"/>
      <c r="EC152" s="321"/>
      <c r="ED152" s="321"/>
      <c r="EE152" s="321"/>
      <c r="EF152" s="321"/>
      <c r="EG152" s="439"/>
      <c r="EH152" s="321"/>
      <c r="EI152" s="321"/>
      <c r="EJ152" s="439"/>
      <c r="EK152" s="321"/>
      <c r="EL152" s="321"/>
      <c r="EM152" s="321"/>
      <c r="EN152" s="564"/>
      <c r="EO152" s="483"/>
      <c r="EP152" s="321"/>
      <c r="EQ152" s="321"/>
      <c r="ER152" s="439"/>
      <c r="ES152" s="321"/>
      <c r="ET152" s="321"/>
      <c r="EU152" s="321"/>
      <c r="EV152" s="321"/>
      <c r="EW152" s="321"/>
      <c r="EX152" s="321"/>
      <c r="EY152" s="321"/>
      <c r="EZ152" s="321"/>
      <c r="FA152" s="321"/>
      <c r="FB152" s="439"/>
      <c r="FC152" s="321"/>
      <c r="FD152" s="564"/>
      <c r="FE152" s="483"/>
      <c r="FF152" s="415"/>
      <c r="FG152" s="415"/>
      <c r="FH152" s="321"/>
      <c r="FI152" s="321"/>
      <c r="FJ152" s="321"/>
      <c r="FK152" s="321"/>
      <c r="FL152" s="420"/>
      <c r="FM152" s="321"/>
      <c r="FN152" s="321"/>
      <c r="FO152" s="420"/>
      <c r="FP152" s="415"/>
      <c r="FQ152" s="415"/>
      <c r="FR152" s="321"/>
      <c r="FS152" s="321"/>
      <c r="FT152" s="564"/>
      <c r="FU152" s="483"/>
      <c r="FV152" s="409"/>
      <c r="FW152" s="420"/>
      <c r="FX152" s="321"/>
      <c r="FY152" s="321"/>
      <c r="FZ152" s="321"/>
      <c r="GA152" s="321"/>
      <c r="GB152" s="321"/>
      <c r="GC152" s="321"/>
      <c r="GD152" s="321"/>
      <c r="GE152" s="321"/>
      <c r="GF152" s="432"/>
      <c r="GG152" s="321"/>
      <c r="GH152" s="321"/>
      <c r="GI152" s="321"/>
      <c r="GJ152" s="415"/>
      <c r="GK152" s="483"/>
      <c r="GL152" s="420"/>
      <c r="GM152" s="321"/>
      <c r="GN152" s="321"/>
      <c r="GO152" s="321"/>
      <c r="GP152" s="321"/>
      <c r="GQ152" s="321"/>
      <c r="GR152" s="321"/>
      <c r="GS152" s="321"/>
      <c r="GT152" s="321"/>
      <c r="GU152" s="321"/>
      <c r="GV152" s="321"/>
      <c r="GW152" s="321"/>
      <c r="GX152" s="321"/>
      <c r="GY152" s="321"/>
      <c r="GZ152" s="321"/>
      <c r="HA152" s="409"/>
      <c r="HB152" s="420"/>
      <c r="HC152" s="321"/>
      <c r="HD152" s="321"/>
      <c r="HE152" s="321"/>
      <c r="HF152" s="321"/>
      <c r="HG152" s="321"/>
      <c r="HH152" s="321"/>
      <c r="HI152" s="321"/>
      <c r="HJ152" s="321"/>
      <c r="HK152" s="321"/>
      <c r="HL152" s="321"/>
      <c r="HM152" s="321"/>
      <c r="HN152" s="321"/>
      <c r="HO152" s="321"/>
      <c r="HP152" s="564"/>
      <c r="HQ152" s="483"/>
      <c r="HR152" s="321"/>
      <c r="HS152" s="321"/>
      <c r="HT152" s="321"/>
      <c r="HU152" s="321"/>
      <c r="HV152" s="321"/>
      <c r="HW152" s="321"/>
      <c r="HX152" s="321"/>
      <c r="HY152" s="321"/>
      <c r="HZ152" s="321"/>
      <c r="IA152" s="321"/>
      <c r="IB152" s="321"/>
      <c r="IC152" s="321"/>
      <c r="ID152" s="321"/>
      <c r="IE152" s="321"/>
      <c r="IF152" s="564"/>
      <c r="IG152" s="483"/>
      <c r="IH152" s="413"/>
      <c r="II152" s="413"/>
      <c r="IJ152" s="413"/>
      <c r="IK152" s="413"/>
      <c r="IL152" s="413"/>
      <c r="IM152" s="413"/>
      <c r="IN152" s="321"/>
      <c r="IO152" s="321"/>
      <c r="IP152" s="321"/>
      <c r="IQ152" s="420"/>
      <c r="IR152" s="414"/>
      <c r="IS152" s="413"/>
      <c r="IT152" s="413"/>
      <c r="IU152" s="413"/>
      <c r="IV152" s="413"/>
    </row>
    <row r="153" spans="1:256" s="326" customFormat="1" ht="8.25" customHeight="1">
      <c r="A153" s="483"/>
      <c r="B153" s="321"/>
      <c r="C153" s="321"/>
      <c r="D153" s="321"/>
      <c r="E153" s="321"/>
      <c r="F153" s="321"/>
      <c r="G153" s="321"/>
      <c r="H153" s="321"/>
      <c r="I153" s="321"/>
      <c r="J153" s="321"/>
      <c r="K153" s="321"/>
      <c r="L153" s="321"/>
      <c r="M153" s="321"/>
      <c r="N153" s="321"/>
      <c r="O153" s="321"/>
      <c r="P153" s="564"/>
      <c r="Q153" s="483"/>
      <c r="R153" s="321"/>
      <c r="S153" s="321"/>
      <c r="T153" s="321"/>
      <c r="U153" s="321"/>
      <c r="V153" s="321"/>
      <c r="W153" s="321"/>
      <c r="X153" s="321"/>
      <c r="Y153" s="321"/>
      <c r="Z153" s="321"/>
      <c r="AA153" s="321"/>
      <c r="AB153" s="321"/>
      <c r="AC153" s="321"/>
      <c r="AD153" s="321"/>
      <c r="AE153" s="321"/>
      <c r="AF153" s="564"/>
      <c r="AG153" s="483"/>
      <c r="AH153" s="321"/>
      <c r="AI153" s="321"/>
      <c r="AJ153" s="412"/>
      <c r="AK153" s="431"/>
      <c r="AL153" s="431"/>
      <c r="AM153" s="431"/>
      <c r="AN153" s="431"/>
      <c r="AO153" s="431"/>
      <c r="AP153" s="431"/>
      <c r="AQ153" s="431"/>
      <c r="AR153" s="431"/>
      <c r="AS153" s="583"/>
      <c r="AT153" s="321"/>
      <c r="AU153" s="321"/>
      <c r="AV153" s="564"/>
      <c r="AW153" s="483"/>
      <c r="AX153" s="321"/>
      <c r="AY153" s="321"/>
      <c r="AZ153" s="412"/>
      <c r="BA153" s="431"/>
      <c r="BB153" s="431"/>
      <c r="BC153" s="431"/>
      <c r="BD153" s="431"/>
      <c r="BE153" s="431"/>
      <c r="BF153" s="431"/>
      <c r="BG153" s="431"/>
      <c r="BH153" s="431"/>
      <c r="BI153" s="583"/>
      <c r="BJ153" s="321"/>
      <c r="BK153" s="321"/>
      <c r="BL153" s="564"/>
      <c r="BM153" s="483"/>
      <c r="BN153" s="321"/>
      <c r="BO153" s="321"/>
      <c r="BP153" s="412"/>
      <c r="BQ153" s="431"/>
      <c r="BR153" s="431"/>
      <c r="BS153" s="431"/>
      <c r="BT153" s="431"/>
      <c r="BU153" s="431"/>
      <c r="BV153" s="431"/>
      <c r="BW153" s="431"/>
      <c r="BX153" s="431"/>
      <c r="BY153" s="583"/>
      <c r="BZ153" s="321"/>
      <c r="CA153" s="321"/>
      <c r="CB153" s="564"/>
      <c r="CC153" s="483"/>
      <c r="CD153" s="321"/>
      <c r="CE153" s="321"/>
      <c r="CF153" s="412"/>
      <c r="CG153" s="431"/>
      <c r="CH153" s="431"/>
      <c r="CI153" s="431"/>
      <c r="CJ153" s="431"/>
      <c r="CK153" s="431"/>
      <c r="CL153" s="431"/>
      <c r="CM153" s="431"/>
      <c r="CN153" s="431"/>
      <c r="CO153" s="583"/>
      <c r="CP153" s="321"/>
      <c r="CQ153" s="321"/>
      <c r="CR153" s="564"/>
      <c r="CS153" s="483"/>
      <c r="CT153" s="321"/>
      <c r="CU153" s="321"/>
      <c r="CV153" s="321"/>
      <c r="CW153" s="321"/>
      <c r="CX153" s="321"/>
      <c r="CY153" s="321"/>
      <c r="CZ153" s="321"/>
      <c r="DA153" s="321"/>
      <c r="DB153" s="321"/>
      <c r="DC153" s="321"/>
      <c r="DD153" s="321"/>
      <c r="DE153" s="321"/>
      <c r="DF153" s="321"/>
      <c r="DG153" s="321"/>
      <c r="DH153" s="564"/>
      <c r="DI153" s="483"/>
      <c r="DJ153" s="321"/>
      <c r="DK153" s="321"/>
      <c r="DL153" s="321"/>
      <c r="DM153" s="321"/>
      <c r="DN153" s="321"/>
      <c r="DO153" s="321"/>
      <c r="DP153" s="321"/>
      <c r="DQ153" s="321"/>
      <c r="DR153" s="321"/>
      <c r="DS153" s="321"/>
      <c r="DT153" s="321"/>
      <c r="DU153" s="321"/>
      <c r="DV153" s="321"/>
      <c r="DW153" s="321"/>
      <c r="DX153" s="564"/>
      <c r="DY153" s="483"/>
      <c r="DZ153" s="321"/>
      <c r="EA153" s="321"/>
      <c r="EB153" s="321"/>
      <c r="EC153" s="321"/>
      <c r="ED153" s="321"/>
      <c r="EE153" s="321"/>
      <c r="EF153" s="321"/>
      <c r="EG153" s="321"/>
      <c r="EH153" s="321"/>
      <c r="EI153" s="321"/>
      <c r="EJ153" s="321"/>
      <c r="EK153" s="321"/>
      <c r="EL153" s="321"/>
      <c r="EM153" s="321"/>
      <c r="EN153" s="564"/>
      <c r="EO153" s="483"/>
      <c r="EP153" s="321"/>
      <c r="EQ153" s="321"/>
      <c r="ER153" s="321"/>
      <c r="ES153" s="321"/>
      <c r="ET153" s="321"/>
      <c r="EU153" s="321"/>
      <c r="EV153" s="432"/>
      <c r="EW153" s="321"/>
      <c r="EX153" s="321"/>
      <c r="EY153" s="432"/>
      <c r="EZ153" s="321"/>
      <c r="FA153" s="321"/>
      <c r="FB153" s="321"/>
      <c r="FC153" s="432"/>
      <c r="FD153" s="564"/>
      <c r="FE153" s="483"/>
      <c r="FF153" s="415"/>
      <c r="FG153" s="321"/>
      <c r="FH153" s="321"/>
      <c r="FI153" s="421"/>
      <c r="FJ153" s="321"/>
      <c r="FK153" s="321"/>
      <c r="FL153" s="420"/>
      <c r="FM153" s="321"/>
      <c r="FN153" s="321"/>
      <c r="FO153" s="321"/>
      <c r="FP153" s="415"/>
      <c r="FQ153" s="415"/>
      <c r="FR153" s="321"/>
      <c r="FS153" s="321"/>
      <c r="FT153" s="564"/>
      <c r="FU153" s="420"/>
      <c r="FV153" s="420"/>
      <c r="FW153" s="420"/>
      <c r="FX153" s="321"/>
      <c r="FY153" s="321"/>
      <c r="FZ153" s="321"/>
      <c r="GA153" s="321"/>
      <c r="GB153" s="321"/>
      <c r="GC153" s="321"/>
      <c r="GD153" s="321"/>
      <c r="GE153" s="321"/>
      <c r="GF153" s="420"/>
      <c r="GG153" s="415"/>
      <c r="GH153" s="321"/>
      <c r="GI153" s="321"/>
      <c r="GJ153" s="564"/>
      <c r="GK153" s="483"/>
      <c r="GL153" s="420"/>
      <c r="GM153" s="321"/>
      <c r="GN153" s="321"/>
      <c r="GO153" s="321"/>
      <c r="GP153" s="321"/>
      <c r="GQ153" s="321"/>
      <c r="GR153" s="321"/>
      <c r="GS153" s="321"/>
      <c r="GT153" s="321"/>
      <c r="GU153" s="321"/>
      <c r="GV153" s="321"/>
      <c r="GW153" s="321"/>
      <c r="GX153" s="432"/>
      <c r="GY153" s="321"/>
      <c r="GZ153" s="321"/>
      <c r="HA153" s="483"/>
      <c r="HB153" s="420"/>
      <c r="HC153" s="321"/>
      <c r="HD153" s="321"/>
      <c r="HE153" s="321"/>
      <c r="HF153" s="321"/>
      <c r="HG153" s="321"/>
      <c r="HH153" s="321"/>
      <c r="HI153" s="321"/>
      <c r="HJ153" s="321"/>
      <c r="HK153" s="321"/>
      <c r="HL153" s="321"/>
      <c r="HM153" s="321"/>
      <c r="HN153" s="321"/>
      <c r="HO153" s="321"/>
      <c r="HP153" s="564"/>
      <c r="HQ153" s="483"/>
      <c r="HR153" s="321"/>
      <c r="HS153" s="321"/>
      <c r="HT153" s="321"/>
      <c r="HU153" s="321"/>
      <c r="HV153" s="321"/>
      <c r="HW153" s="321"/>
      <c r="HX153" s="321"/>
      <c r="HY153" s="321"/>
      <c r="HZ153" s="321"/>
      <c r="IA153" s="321"/>
      <c r="IB153" s="321"/>
      <c r="IC153" s="321"/>
      <c r="ID153" s="321"/>
      <c r="IE153" s="321"/>
      <c r="IF153" s="564"/>
      <c r="IG153" s="420"/>
      <c r="IH153" s="413"/>
      <c r="II153" s="413"/>
      <c r="IJ153" s="413"/>
      <c r="IK153" s="413"/>
      <c r="IL153" s="413"/>
      <c r="IM153" s="413"/>
      <c r="IN153" s="414"/>
      <c r="IO153" s="321"/>
      <c r="IP153" s="321"/>
      <c r="IQ153" s="420"/>
      <c r="IR153" s="414"/>
      <c r="IS153" s="413"/>
      <c r="IT153" s="413"/>
      <c r="IU153" s="413"/>
      <c r="IV153" s="413"/>
    </row>
    <row r="154" spans="1:256" s="326" customFormat="1" ht="8.25" customHeight="1">
      <c r="A154" s="483"/>
      <c r="B154" s="321"/>
      <c r="C154" s="321"/>
      <c r="D154" s="321"/>
      <c r="E154" s="321"/>
      <c r="F154" s="321"/>
      <c r="G154" s="321"/>
      <c r="H154" s="321"/>
      <c r="I154" s="321"/>
      <c r="J154" s="321"/>
      <c r="K154" s="321"/>
      <c r="L154" s="321"/>
      <c r="M154" s="321"/>
      <c r="N154" s="321"/>
      <c r="O154" s="321"/>
      <c r="P154" s="564"/>
      <c r="Q154" s="483"/>
      <c r="R154" s="321"/>
      <c r="S154" s="321"/>
      <c r="T154" s="321"/>
      <c r="U154" s="321"/>
      <c r="V154" s="321"/>
      <c r="W154" s="321"/>
      <c r="X154" s="321"/>
      <c r="Y154" s="321"/>
      <c r="Z154" s="321"/>
      <c r="AA154" s="321"/>
      <c r="AB154" s="321"/>
      <c r="AC154" s="321"/>
      <c r="AD154" s="321"/>
      <c r="AE154" s="321"/>
      <c r="AF154" s="564"/>
      <c r="AG154" s="483"/>
      <c r="AH154" s="321"/>
      <c r="AI154" s="321"/>
      <c r="AJ154" s="412"/>
      <c r="AK154" s="412"/>
      <c r="AL154" s="583"/>
      <c r="AM154" s="583"/>
      <c r="AN154" s="583"/>
      <c r="AO154" s="583"/>
      <c r="AP154" s="583"/>
      <c r="AQ154" s="583"/>
      <c r="AR154" s="583"/>
      <c r="AS154" s="583"/>
      <c r="AT154" s="321"/>
      <c r="AU154" s="321"/>
      <c r="AV154" s="564"/>
      <c r="AW154" s="483"/>
      <c r="AX154" s="321"/>
      <c r="AY154" s="321"/>
      <c r="AZ154" s="412"/>
      <c r="BA154" s="412"/>
      <c r="BB154" s="583"/>
      <c r="BC154" s="583"/>
      <c r="BD154" s="583"/>
      <c r="BE154" s="583"/>
      <c r="BF154" s="583"/>
      <c r="BG154" s="583"/>
      <c r="BH154" s="583"/>
      <c r="BI154" s="583"/>
      <c r="BJ154" s="321"/>
      <c r="BK154" s="321"/>
      <c r="BL154" s="564"/>
      <c r="BM154" s="483"/>
      <c r="BN154" s="321"/>
      <c r="BO154" s="321"/>
      <c r="BP154" s="412"/>
      <c r="BQ154" s="412"/>
      <c r="BR154" s="583"/>
      <c r="BS154" s="583"/>
      <c r="BT154" s="583"/>
      <c r="BU154" s="583"/>
      <c r="BV154" s="583"/>
      <c r="BW154" s="583"/>
      <c r="BX154" s="583"/>
      <c r="BY154" s="583"/>
      <c r="BZ154" s="321"/>
      <c r="CA154" s="321"/>
      <c r="CB154" s="564"/>
      <c r="CC154" s="483"/>
      <c r="CD154" s="321"/>
      <c r="CE154" s="321"/>
      <c r="CF154" s="412"/>
      <c r="CG154" s="412"/>
      <c r="CH154" s="583"/>
      <c r="CI154" s="583"/>
      <c r="CJ154" s="583"/>
      <c r="CK154" s="583"/>
      <c r="CL154" s="583"/>
      <c r="CM154" s="583"/>
      <c r="CN154" s="583"/>
      <c r="CO154" s="583"/>
      <c r="CP154" s="321"/>
      <c r="CQ154" s="321"/>
      <c r="CR154" s="564"/>
      <c r="CS154" s="483"/>
      <c r="CT154" s="321"/>
      <c r="CU154" s="321"/>
      <c r="CV154" s="321"/>
      <c r="CW154" s="321"/>
      <c r="CX154" s="321"/>
      <c r="CY154" s="321"/>
      <c r="CZ154" s="321"/>
      <c r="DA154" s="321"/>
      <c r="DB154" s="321"/>
      <c r="DC154" s="321"/>
      <c r="DD154" s="321"/>
      <c r="DE154" s="321"/>
      <c r="DF154" s="321"/>
      <c r="DG154" s="321"/>
      <c r="DH154" s="564"/>
      <c r="DI154" s="483"/>
      <c r="DJ154" s="321"/>
      <c r="DK154" s="321"/>
      <c r="DL154" s="321"/>
      <c r="DM154" s="321"/>
      <c r="DN154" s="321"/>
      <c r="DO154" s="321"/>
      <c r="DP154" s="321"/>
      <c r="DQ154" s="321"/>
      <c r="DR154" s="321"/>
      <c r="DS154" s="321"/>
      <c r="DT154" s="321"/>
      <c r="DU154" s="321"/>
      <c r="DV154" s="321"/>
      <c r="DW154" s="321"/>
      <c r="DX154" s="564"/>
      <c r="DY154" s="483"/>
      <c r="DZ154" s="321"/>
      <c r="EA154" s="321"/>
      <c r="EB154" s="321"/>
      <c r="EC154" s="321"/>
      <c r="ED154" s="432">
        <v>7</v>
      </c>
      <c r="EE154" s="321"/>
      <c r="EF154" s="321"/>
      <c r="EG154" s="321"/>
      <c r="EH154" s="321"/>
      <c r="EI154" s="321"/>
      <c r="EJ154" s="321"/>
      <c r="EK154" s="321"/>
      <c r="EL154" s="321"/>
      <c r="EM154" s="432">
        <v>7</v>
      </c>
      <c r="EN154" s="564"/>
      <c r="EO154" s="483"/>
      <c r="EP154" s="321"/>
      <c r="EQ154" s="321"/>
      <c r="ER154" s="321"/>
      <c r="ES154" s="321"/>
      <c r="ET154" s="321"/>
      <c r="EU154" s="432"/>
      <c r="EV154" s="321"/>
      <c r="EW154" s="321"/>
      <c r="EX154" s="321"/>
      <c r="EY154" s="321"/>
      <c r="EZ154" s="321"/>
      <c r="FA154" s="321"/>
      <c r="FB154" s="321"/>
      <c r="FC154" s="321"/>
      <c r="FD154" s="564"/>
      <c r="FE154" s="483"/>
      <c r="FF154" s="321"/>
      <c r="FG154" s="321"/>
      <c r="FH154" s="421"/>
      <c r="FI154" s="415"/>
      <c r="FJ154" s="321"/>
      <c r="FK154" s="420"/>
      <c r="FL154" s="415"/>
      <c r="FM154" s="321"/>
      <c r="FN154" s="417"/>
      <c r="FO154" s="321"/>
      <c r="FP154" s="409"/>
      <c r="FQ154" s="415"/>
      <c r="FR154" s="415"/>
      <c r="FS154" s="321"/>
      <c r="FT154" s="564"/>
      <c r="FU154" s="420"/>
      <c r="FV154" s="420"/>
      <c r="FW154" s="321"/>
      <c r="FX154" s="321"/>
      <c r="FY154" s="321"/>
      <c r="FZ154" s="321"/>
      <c r="GA154" s="417"/>
      <c r="GB154" s="321"/>
      <c r="GC154" s="321"/>
      <c r="GD154" s="321"/>
      <c r="GE154" s="321"/>
      <c r="GF154" s="321"/>
      <c r="GG154" s="420"/>
      <c r="GH154" s="415"/>
      <c r="GI154" s="321"/>
      <c r="GJ154" s="564"/>
      <c r="GK154" s="409"/>
      <c r="GL154" s="420"/>
      <c r="GM154" s="321"/>
      <c r="GN154" s="321"/>
      <c r="GO154" s="321"/>
      <c r="GP154" s="321"/>
      <c r="GQ154" s="321"/>
      <c r="GR154" s="321"/>
      <c r="GS154" s="321"/>
      <c r="GT154" s="321"/>
      <c r="GU154" s="321"/>
      <c r="GV154" s="321"/>
      <c r="GW154" s="321"/>
      <c r="GX154" s="409"/>
      <c r="GY154" s="415"/>
      <c r="GZ154" s="321"/>
      <c r="HA154" s="483"/>
      <c r="HB154" s="420"/>
      <c r="HC154" s="420"/>
      <c r="HD154" s="321"/>
      <c r="HE154" s="321"/>
      <c r="HF154" s="321"/>
      <c r="HG154" s="321"/>
      <c r="HH154" s="321"/>
      <c r="HI154" s="321"/>
      <c r="HJ154" s="321"/>
      <c r="HK154" s="321"/>
      <c r="HL154" s="321"/>
      <c r="HM154" s="321"/>
      <c r="HN154" s="321"/>
      <c r="HO154" s="432"/>
      <c r="HP154" s="321"/>
      <c r="HQ154" s="483"/>
      <c r="HR154" s="321"/>
      <c r="HS154" s="321"/>
      <c r="HT154" s="321"/>
      <c r="HU154" s="321"/>
      <c r="HV154" s="321"/>
      <c r="HW154" s="321"/>
      <c r="HX154" s="321"/>
      <c r="HY154" s="321"/>
      <c r="HZ154" s="321"/>
      <c r="IA154" s="321"/>
      <c r="IB154" s="321"/>
      <c r="IC154" s="321"/>
      <c r="ID154" s="321"/>
      <c r="IE154" s="321"/>
      <c r="IF154" s="564"/>
      <c r="IG154" s="414"/>
      <c r="IH154" s="413"/>
      <c r="II154" s="413"/>
      <c r="IJ154" s="413"/>
      <c r="IK154" s="413"/>
      <c r="IL154" s="413"/>
      <c r="IM154" s="413"/>
      <c r="IN154" s="413"/>
      <c r="IO154" s="321"/>
      <c r="IP154" s="321"/>
      <c r="IQ154" s="414"/>
      <c r="IR154" s="414"/>
      <c r="IS154" s="413"/>
      <c r="IT154" s="413"/>
      <c r="IU154" s="413"/>
      <c r="IV154" s="413"/>
    </row>
    <row r="155" spans="1:256" s="326" customFormat="1" ht="8.25" customHeight="1">
      <c r="A155" s="483"/>
      <c r="B155" s="321"/>
      <c r="C155" s="321"/>
      <c r="D155" s="321"/>
      <c r="E155" s="321"/>
      <c r="F155" s="321"/>
      <c r="G155" s="321"/>
      <c r="H155" s="321"/>
      <c r="I155" s="321"/>
      <c r="J155" s="321"/>
      <c r="K155" s="321"/>
      <c r="L155" s="321"/>
      <c r="M155" s="321"/>
      <c r="N155" s="321"/>
      <c r="O155" s="321"/>
      <c r="P155" s="564"/>
      <c r="Q155" s="483"/>
      <c r="R155" s="321"/>
      <c r="S155" s="321"/>
      <c r="T155" s="321"/>
      <c r="U155" s="321"/>
      <c r="V155" s="321"/>
      <c r="W155" s="321"/>
      <c r="X155" s="321"/>
      <c r="Y155" s="321"/>
      <c r="Z155" s="321"/>
      <c r="AA155" s="321"/>
      <c r="AB155" s="321"/>
      <c r="AC155" s="321"/>
      <c r="AD155" s="321"/>
      <c r="AE155" s="321"/>
      <c r="AF155" s="564"/>
      <c r="AG155" s="483"/>
      <c r="AH155" s="321"/>
      <c r="AI155" s="321"/>
      <c r="AJ155" s="321"/>
      <c r="AK155" s="321"/>
      <c r="AL155" s="321"/>
      <c r="AM155" s="321"/>
      <c r="AN155" s="321"/>
      <c r="AO155" s="321"/>
      <c r="AP155" s="321"/>
      <c r="AQ155" s="321"/>
      <c r="AR155" s="321"/>
      <c r="AS155" s="321"/>
      <c r="AT155" s="321"/>
      <c r="AU155" s="321"/>
      <c r="AV155" s="564"/>
      <c r="AW155" s="483"/>
      <c r="AX155" s="321"/>
      <c r="AY155" s="321"/>
      <c r="AZ155" s="321"/>
      <c r="BA155" s="321"/>
      <c r="BB155" s="321"/>
      <c r="BC155" s="321"/>
      <c r="BD155" s="321"/>
      <c r="BE155" s="321"/>
      <c r="BF155" s="321"/>
      <c r="BG155" s="321"/>
      <c r="BH155" s="321"/>
      <c r="BI155" s="321"/>
      <c r="BJ155" s="321"/>
      <c r="BK155" s="321"/>
      <c r="BL155" s="564"/>
      <c r="BM155" s="483"/>
      <c r="BN155" s="321"/>
      <c r="BO155" s="321"/>
      <c r="BP155" s="321"/>
      <c r="BQ155" s="321"/>
      <c r="BR155" s="321"/>
      <c r="BS155" s="321"/>
      <c r="BT155" s="321"/>
      <c r="BU155" s="321"/>
      <c r="BV155" s="321"/>
      <c r="BW155" s="321"/>
      <c r="BX155" s="321"/>
      <c r="BY155" s="321"/>
      <c r="BZ155" s="321"/>
      <c r="CA155" s="321"/>
      <c r="CB155" s="564"/>
      <c r="CC155" s="483"/>
      <c r="CD155" s="321"/>
      <c r="CE155" s="321"/>
      <c r="CF155" s="321"/>
      <c r="CG155" s="321"/>
      <c r="CH155" s="321"/>
      <c r="CI155" s="321"/>
      <c r="CJ155" s="321"/>
      <c r="CK155" s="321"/>
      <c r="CL155" s="321"/>
      <c r="CM155" s="321"/>
      <c r="CN155" s="321"/>
      <c r="CO155" s="321"/>
      <c r="CP155" s="321"/>
      <c r="CQ155" s="321"/>
      <c r="CR155" s="564"/>
      <c r="CS155" s="483"/>
      <c r="CT155" s="321"/>
      <c r="CU155" s="321"/>
      <c r="CV155" s="321"/>
      <c r="CW155" s="321"/>
      <c r="CX155" s="321"/>
      <c r="CY155" s="321"/>
      <c r="CZ155" s="321"/>
      <c r="DA155" s="321"/>
      <c r="DB155" s="321"/>
      <c r="DC155" s="321"/>
      <c r="DD155" s="321"/>
      <c r="DE155" s="321"/>
      <c r="DF155" s="321"/>
      <c r="DG155" s="321"/>
      <c r="DH155" s="564"/>
      <c r="DI155" s="483"/>
      <c r="DJ155" s="321"/>
      <c r="DK155" s="321"/>
      <c r="DL155" s="321"/>
      <c r="DM155" s="321"/>
      <c r="DN155" s="321"/>
      <c r="DO155" s="321"/>
      <c r="DP155" s="321"/>
      <c r="DQ155" s="321"/>
      <c r="DR155" s="321"/>
      <c r="DS155" s="321"/>
      <c r="DT155" s="321"/>
      <c r="DU155" s="321"/>
      <c r="DV155" s="321"/>
      <c r="DW155" s="321"/>
      <c r="DX155" s="564"/>
      <c r="DY155" s="483"/>
      <c r="DZ155" s="321"/>
      <c r="EA155" s="321"/>
      <c r="EB155" s="321"/>
      <c r="EC155" s="321"/>
      <c r="ED155" s="321"/>
      <c r="EE155" s="321"/>
      <c r="EF155" s="321"/>
      <c r="EG155" s="321"/>
      <c r="EH155" s="321"/>
      <c r="EI155" s="321"/>
      <c r="EJ155" s="321"/>
      <c r="EK155" s="321"/>
      <c r="EL155" s="321"/>
      <c r="EM155" s="321"/>
      <c r="EN155" s="564"/>
      <c r="EO155" s="483"/>
      <c r="EP155" s="321"/>
      <c r="EQ155" s="321"/>
      <c r="ER155" s="321"/>
      <c r="ES155" s="321"/>
      <c r="ET155" s="321"/>
      <c r="EU155" s="321"/>
      <c r="EV155" s="321"/>
      <c r="EW155" s="321"/>
      <c r="EX155" s="321"/>
      <c r="EY155" s="321"/>
      <c r="EZ155" s="432">
        <v>7</v>
      </c>
      <c r="FA155" s="321"/>
      <c r="FB155" s="321"/>
      <c r="FC155" s="321"/>
      <c r="FD155" s="564"/>
      <c r="FE155" s="483"/>
      <c r="FF155" s="321"/>
      <c r="FG155" s="321"/>
      <c r="FH155" s="415"/>
      <c r="FI155" s="415"/>
      <c r="FJ155" s="321"/>
      <c r="FK155" s="420"/>
      <c r="FL155" s="415"/>
      <c r="FM155" s="321"/>
      <c r="FN155" s="417"/>
      <c r="FO155" s="321"/>
      <c r="FP155" s="321"/>
      <c r="FQ155" s="415"/>
      <c r="FR155" s="415"/>
      <c r="FS155" s="321"/>
      <c r="FT155" s="564"/>
      <c r="FU155" s="420"/>
      <c r="FV155" s="321"/>
      <c r="FW155" s="321"/>
      <c r="FX155" s="421"/>
      <c r="FY155" s="321"/>
      <c r="FZ155" s="321"/>
      <c r="GA155" s="420"/>
      <c r="GB155" s="321"/>
      <c r="GC155" s="321"/>
      <c r="GD155" s="417"/>
      <c r="GE155" s="321"/>
      <c r="GF155" s="321"/>
      <c r="GG155" s="409"/>
      <c r="GH155" s="420"/>
      <c r="GI155" s="415"/>
      <c r="GJ155" s="564"/>
      <c r="GK155" s="420"/>
      <c r="GL155" s="321"/>
      <c r="GM155" s="321"/>
      <c r="GN155" s="321"/>
      <c r="GO155" s="321"/>
      <c r="GP155" s="417"/>
      <c r="GQ155" s="321"/>
      <c r="GR155" s="321"/>
      <c r="GS155" s="321"/>
      <c r="GT155" s="321"/>
      <c r="GU155" s="321"/>
      <c r="GV155" s="321"/>
      <c r="GW155" s="321"/>
      <c r="GX155" s="321"/>
      <c r="GY155" s="420"/>
      <c r="GZ155" s="321"/>
      <c r="HA155" s="483"/>
      <c r="HB155" s="420"/>
      <c r="HC155" s="321"/>
      <c r="HD155" s="321"/>
      <c r="HE155" s="321"/>
      <c r="HF155" s="321"/>
      <c r="HG155" s="321"/>
      <c r="HH155" s="321"/>
      <c r="HI155" s="321"/>
      <c r="HJ155" s="321"/>
      <c r="HK155" s="321"/>
      <c r="HL155" s="321"/>
      <c r="HM155" s="321"/>
      <c r="HN155" s="321"/>
      <c r="HO155" s="420"/>
      <c r="HP155" s="321"/>
      <c r="HQ155" s="483"/>
      <c r="HR155" s="321"/>
      <c r="HS155" s="321"/>
      <c r="HT155" s="321"/>
      <c r="HU155" s="321"/>
      <c r="HV155" s="321"/>
      <c r="HW155" s="321"/>
      <c r="HX155" s="321"/>
      <c r="HY155" s="321"/>
      <c r="HZ155" s="321"/>
      <c r="IA155" s="321"/>
      <c r="IB155" s="321"/>
      <c r="IC155" s="321"/>
      <c r="ID155" s="321"/>
      <c r="IE155" s="321"/>
      <c r="IF155" s="564"/>
      <c r="IG155" s="413"/>
      <c r="IH155" s="413"/>
      <c r="II155" s="413"/>
      <c r="IJ155" s="413"/>
      <c r="IK155" s="413"/>
      <c r="IL155" s="413"/>
      <c r="IM155" s="413"/>
      <c r="IN155" s="413"/>
      <c r="IO155" s="321"/>
      <c r="IP155" s="321"/>
      <c r="IQ155" s="420"/>
      <c r="IR155" s="414"/>
      <c r="IS155" s="413"/>
      <c r="IT155" s="413"/>
      <c r="IU155" s="413"/>
      <c r="IV155" s="413"/>
    </row>
    <row r="156" spans="1:256" s="326" customFormat="1" ht="8.25" customHeight="1">
      <c r="A156" s="483"/>
      <c r="B156" s="321"/>
      <c r="C156" s="321"/>
      <c r="D156" s="321"/>
      <c r="E156" s="321"/>
      <c r="F156" s="321"/>
      <c r="G156" s="321"/>
      <c r="H156" s="321"/>
      <c r="I156" s="321"/>
      <c r="J156" s="321"/>
      <c r="K156" s="321"/>
      <c r="L156" s="321"/>
      <c r="M156" s="321"/>
      <c r="N156" s="321"/>
      <c r="O156" s="321"/>
      <c r="P156" s="564"/>
      <c r="Q156" s="483"/>
      <c r="R156" s="321"/>
      <c r="S156" s="321"/>
      <c r="T156" s="321"/>
      <c r="U156" s="321"/>
      <c r="V156" s="321"/>
      <c r="W156" s="321"/>
      <c r="X156" s="321"/>
      <c r="Y156" s="321"/>
      <c r="Z156" s="321"/>
      <c r="AA156" s="321"/>
      <c r="AB156" s="321"/>
      <c r="AC156" s="321"/>
      <c r="AD156" s="321"/>
      <c r="AE156" s="321"/>
      <c r="AF156" s="564"/>
      <c r="AG156" s="483"/>
      <c r="AH156" s="321"/>
      <c r="AI156" s="321"/>
      <c r="AJ156" s="321"/>
      <c r="AK156" s="321"/>
      <c r="AL156" s="321"/>
      <c r="AM156" s="321"/>
      <c r="AN156" s="321"/>
      <c r="AO156" s="321"/>
      <c r="AP156" s="321"/>
      <c r="AQ156" s="321"/>
      <c r="AR156" s="321"/>
      <c r="AS156" s="321"/>
      <c r="AT156" s="321"/>
      <c r="AU156" s="321"/>
      <c r="AV156" s="564"/>
      <c r="AW156" s="483"/>
      <c r="AX156" s="321"/>
      <c r="AY156" s="321"/>
      <c r="AZ156" s="321"/>
      <c r="BA156" s="321"/>
      <c r="BB156" s="321"/>
      <c r="BC156" s="321"/>
      <c r="BD156" s="321"/>
      <c r="BE156" s="321"/>
      <c r="BF156" s="321"/>
      <c r="BG156" s="321"/>
      <c r="BH156" s="321"/>
      <c r="BI156" s="321"/>
      <c r="BJ156" s="321"/>
      <c r="BK156" s="321"/>
      <c r="BL156" s="564"/>
      <c r="BM156" s="483"/>
      <c r="BN156" s="321"/>
      <c r="BO156" s="321"/>
      <c r="BP156" s="321"/>
      <c r="BQ156" s="321"/>
      <c r="BR156" s="321"/>
      <c r="BS156" s="321"/>
      <c r="BT156" s="321"/>
      <c r="BU156" s="321"/>
      <c r="BV156" s="321"/>
      <c r="BW156" s="321"/>
      <c r="BX156" s="321"/>
      <c r="BY156" s="321"/>
      <c r="BZ156" s="321"/>
      <c r="CA156" s="321"/>
      <c r="CB156" s="564"/>
      <c r="CC156" s="483"/>
      <c r="CD156" s="321"/>
      <c r="CE156" s="321"/>
      <c r="CF156" s="321"/>
      <c r="CG156" s="321"/>
      <c r="CH156" s="321"/>
      <c r="CI156" s="321"/>
      <c r="CJ156" s="321"/>
      <c r="CK156" s="321"/>
      <c r="CL156" s="321"/>
      <c r="CM156" s="321"/>
      <c r="CN156" s="321"/>
      <c r="CO156" s="321"/>
      <c r="CP156" s="321"/>
      <c r="CQ156" s="321"/>
      <c r="CR156" s="564"/>
      <c r="CS156" s="483"/>
      <c r="CT156" s="321"/>
      <c r="CU156" s="321"/>
      <c r="CV156" s="321"/>
      <c r="CW156" s="321"/>
      <c r="CX156" s="321"/>
      <c r="CY156" s="321"/>
      <c r="CZ156" s="321"/>
      <c r="DA156" s="321"/>
      <c r="DB156" s="321"/>
      <c r="DC156" s="321"/>
      <c r="DD156" s="321"/>
      <c r="DE156" s="321"/>
      <c r="DF156" s="321"/>
      <c r="DG156" s="321"/>
      <c r="DH156" s="564"/>
      <c r="DI156" s="483"/>
      <c r="DJ156" s="321"/>
      <c r="DK156" s="321"/>
      <c r="DL156" s="321"/>
      <c r="DM156" s="321"/>
      <c r="DN156" s="321"/>
      <c r="DO156" s="321"/>
      <c r="DP156" s="321"/>
      <c r="DQ156" s="321"/>
      <c r="DR156" s="321"/>
      <c r="DS156" s="321"/>
      <c r="DT156" s="321"/>
      <c r="DU156" s="321"/>
      <c r="DV156" s="321"/>
      <c r="DW156" s="321"/>
      <c r="DX156" s="564"/>
      <c r="DY156" s="483"/>
      <c r="DZ156" s="321"/>
      <c r="EA156" s="321"/>
      <c r="EB156" s="321"/>
      <c r="EC156" s="321"/>
      <c r="ED156" s="321"/>
      <c r="EE156" s="321"/>
      <c r="EF156" s="321"/>
      <c r="EG156" s="321"/>
      <c r="EH156" s="321"/>
      <c r="EI156" s="321"/>
      <c r="EJ156" s="321"/>
      <c r="EK156" s="321"/>
      <c r="EL156" s="321"/>
      <c r="EM156" s="321"/>
      <c r="EN156" s="564"/>
      <c r="EO156" s="483"/>
      <c r="EP156" s="321"/>
      <c r="EQ156" s="321"/>
      <c r="ER156" s="321"/>
      <c r="ES156" s="321"/>
      <c r="ET156" s="321"/>
      <c r="EU156" s="321"/>
      <c r="EV156" s="321"/>
      <c r="EW156" s="321"/>
      <c r="EX156" s="321"/>
      <c r="EY156" s="321"/>
      <c r="EZ156" s="321"/>
      <c r="FA156" s="321"/>
      <c r="FB156" s="321"/>
      <c r="FC156" s="321"/>
      <c r="FD156" s="564"/>
      <c r="FE156" s="483"/>
      <c r="FF156" s="321"/>
      <c r="FG156" s="415"/>
      <c r="FH156" s="415"/>
      <c r="FI156" s="321"/>
      <c r="FJ156" s="321"/>
      <c r="FK156" s="417"/>
      <c r="FL156" s="321"/>
      <c r="FM156" s="321"/>
      <c r="FN156" s="417"/>
      <c r="FO156" s="415"/>
      <c r="FP156" s="321"/>
      <c r="FQ156" s="321"/>
      <c r="FR156" s="321"/>
      <c r="FS156" s="321"/>
      <c r="FT156" s="564"/>
      <c r="FU156" s="483"/>
      <c r="FV156" s="321"/>
      <c r="FW156" s="421"/>
      <c r="FX156" s="415"/>
      <c r="FY156" s="321"/>
      <c r="FZ156" s="321"/>
      <c r="GA156" s="420"/>
      <c r="GB156" s="321"/>
      <c r="GC156" s="321"/>
      <c r="GD156" s="417"/>
      <c r="GE156" s="321"/>
      <c r="GF156" s="321"/>
      <c r="GG156" s="321"/>
      <c r="GH156" s="420"/>
      <c r="GI156" s="415"/>
      <c r="GJ156" s="564"/>
      <c r="GK156" s="420"/>
      <c r="GL156" s="321"/>
      <c r="GM156" s="321"/>
      <c r="GN156" s="321"/>
      <c r="GO156" s="321"/>
      <c r="GP156" s="417"/>
      <c r="GQ156" s="321"/>
      <c r="GR156" s="321"/>
      <c r="GS156" s="321"/>
      <c r="GT156" s="417"/>
      <c r="GU156" s="321"/>
      <c r="GV156" s="321"/>
      <c r="GW156" s="321"/>
      <c r="GX156" s="321"/>
      <c r="GY156" s="415"/>
      <c r="GZ156" s="415"/>
      <c r="HA156" s="483"/>
      <c r="HB156" s="321"/>
      <c r="HC156" s="321"/>
      <c r="HD156" s="321"/>
      <c r="HE156" s="321"/>
      <c r="HF156" s="321"/>
      <c r="HG156" s="321"/>
      <c r="HH156" s="321"/>
      <c r="HI156" s="321"/>
      <c r="HJ156" s="321"/>
      <c r="HK156" s="321"/>
      <c r="HL156" s="321"/>
      <c r="HM156" s="321"/>
      <c r="HN156" s="321"/>
      <c r="HO156" s="321"/>
      <c r="HP156" s="420"/>
      <c r="HQ156" s="483"/>
      <c r="HR156" s="321"/>
      <c r="HS156" s="321"/>
      <c r="HT156" s="321"/>
      <c r="HU156" s="321"/>
      <c r="HV156" s="321"/>
      <c r="HW156" s="321"/>
      <c r="HX156" s="321"/>
      <c r="HY156" s="321"/>
      <c r="HZ156" s="321"/>
      <c r="IA156" s="321"/>
      <c r="IB156" s="321"/>
      <c r="IC156" s="321"/>
      <c r="ID156" s="321"/>
      <c r="IE156" s="321"/>
      <c r="IF156" s="564"/>
      <c r="IG156" s="414"/>
      <c r="IH156" s="413"/>
      <c r="II156" s="413"/>
      <c r="IJ156" s="413"/>
      <c r="IK156" s="413"/>
      <c r="IL156" s="413"/>
      <c r="IM156" s="413"/>
      <c r="IN156" s="413"/>
      <c r="IO156" s="321"/>
      <c r="IP156" s="321"/>
      <c r="IQ156" s="420"/>
      <c r="IR156" s="414"/>
      <c r="IS156" s="413"/>
      <c r="IT156" s="413"/>
      <c r="IU156" s="413"/>
      <c r="IV156" s="413"/>
    </row>
    <row r="157" spans="1:256" s="326" customFormat="1" ht="8.25" customHeight="1">
      <c r="A157" s="483"/>
      <c r="B157" s="321"/>
      <c r="C157" s="321"/>
      <c r="D157" s="321"/>
      <c r="E157" s="321"/>
      <c r="F157" s="321"/>
      <c r="G157" s="321"/>
      <c r="H157" s="321"/>
      <c r="I157" s="321"/>
      <c r="J157" s="321"/>
      <c r="K157" s="321"/>
      <c r="L157" s="321"/>
      <c r="M157" s="321"/>
      <c r="N157" s="321"/>
      <c r="O157" s="321"/>
      <c r="P157" s="564"/>
      <c r="Q157" s="483"/>
      <c r="R157" s="321"/>
      <c r="S157" s="321"/>
      <c r="T157" s="321"/>
      <c r="U157" s="321"/>
      <c r="V157" s="321"/>
      <c r="W157" s="321"/>
      <c r="X157" s="321"/>
      <c r="Y157" s="321"/>
      <c r="Z157" s="321"/>
      <c r="AA157" s="321"/>
      <c r="AB157" s="321"/>
      <c r="AC157" s="321"/>
      <c r="AD157" s="321"/>
      <c r="AE157" s="321"/>
      <c r="AF157" s="564"/>
      <c r="AG157" s="483"/>
      <c r="AH157" s="321"/>
      <c r="AI157" s="321"/>
      <c r="AJ157" s="321"/>
      <c r="AK157" s="321"/>
      <c r="AL157" s="321"/>
      <c r="AM157" s="321"/>
      <c r="AN157" s="321"/>
      <c r="AO157" s="321"/>
      <c r="AP157" s="321"/>
      <c r="AQ157" s="321"/>
      <c r="AR157" s="321"/>
      <c r="AS157" s="321"/>
      <c r="AT157" s="321"/>
      <c r="AU157" s="321"/>
      <c r="AV157" s="564"/>
      <c r="AW157" s="483"/>
      <c r="AX157" s="321"/>
      <c r="AY157" s="321"/>
      <c r="AZ157" s="321"/>
      <c r="BA157" s="321"/>
      <c r="BB157" s="321"/>
      <c r="BC157" s="321"/>
      <c r="BD157" s="321"/>
      <c r="BE157" s="321"/>
      <c r="BF157" s="321"/>
      <c r="BG157" s="321"/>
      <c r="BH157" s="321"/>
      <c r="BI157" s="321"/>
      <c r="BJ157" s="321"/>
      <c r="BK157" s="321"/>
      <c r="BL157" s="564"/>
      <c r="BM157" s="483"/>
      <c r="BN157" s="321"/>
      <c r="BO157" s="321"/>
      <c r="BP157" s="321"/>
      <c r="BQ157" s="321"/>
      <c r="BR157" s="321"/>
      <c r="BS157" s="321"/>
      <c r="BT157" s="321"/>
      <c r="BU157" s="321"/>
      <c r="BV157" s="321"/>
      <c r="BW157" s="321"/>
      <c r="BX157" s="321"/>
      <c r="BY157" s="321"/>
      <c r="BZ157" s="321"/>
      <c r="CA157" s="321"/>
      <c r="CB157" s="564"/>
      <c r="CC157" s="483"/>
      <c r="CD157" s="321"/>
      <c r="CE157" s="321"/>
      <c r="CF157" s="321"/>
      <c r="CG157" s="321"/>
      <c r="CH157" s="321"/>
      <c r="CI157" s="321"/>
      <c r="CJ157" s="321"/>
      <c r="CK157" s="321"/>
      <c r="CL157" s="321"/>
      <c r="CM157" s="321"/>
      <c r="CN157" s="321"/>
      <c r="CO157" s="321"/>
      <c r="CP157" s="321"/>
      <c r="CQ157" s="321"/>
      <c r="CR157" s="564"/>
      <c r="CS157" s="483"/>
      <c r="CT157" s="321"/>
      <c r="CU157" s="321"/>
      <c r="CV157" s="321"/>
      <c r="CW157" s="321"/>
      <c r="CX157" s="321"/>
      <c r="CY157" s="321"/>
      <c r="CZ157" s="321"/>
      <c r="DA157" s="321"/>
      <c r="DB157" s="321"/>
      <c r="DC157" s="321"/>
      <c r="DD157" s="321"/>
      <c r="DE157" s="321"/>
      <c r="DF157" s="321"/>
      <c r="DG157" s="321"/>
      <c r="DH157" s="564"/>
      <c r="DI157" s="483"/>
      <c r="DJ157" s="321"/>
      <c r="DK157" s="321"/>
      <c r="DL157" s="321"/>
      <c r="DM157" s="321"/>
      <c r="DN157" s="321"/>
      <c r="DO157" s="321"/>
      <c r="DP157" s="321"/>
      <c r="DQ157" s="321"/>
      <c r="DR157" s="321"/>
      <c r="DS157" s="321"/>
      <c r="DT157" s="321"/>
      <c r="DU157" s="321"/>
      <c r="DV157" s="321"/>
      <c r="DW157" s="321"/>
      <c r="DX157" s="564"/>
      <c r="DY157" s="483"/>
      <c r="DZ157" s="321"/>
      <c r="EA157" s="321"/>
      <c r="EB157" s="321"/>
      <c r="EC157" s="321"/>
      <c r="ED157" s="321"/>
      <c r="EE157" s="321"/>
      <c r="EF157" s="321"/>
      <c r="EG157" s="321"/>
      <c r="EH157" s="321"/>
      <c r="EI157" s="321"/>
      <c r="EJ157" s="321"/>
      <c r="EK157" s="321"/>
      <c r="EL157" s="321"/>
      <c r="EM157" s="321"/>
      <c r="EN157" s="564"/>
      <c r="EO157" s="483"/>
      <c r="EP157" s="321"/>
      <c r="EQ157" s="321"/>
      <c r="ER157" s="432">
        <v>7</v>
      </c>
      <c r="ES157" s="321"/>
      <c r="ET157" s="321"/>
      <c r="EU157" s="321"/>
      <c r="EV157" s="321"/>
      <c r="EW157" s="321"/>
      <c r="EX157" s="321"/>
      <c r="EY157" s="321"/>
      <c r="EZ157" s="321"/>
      <c r="FA157" s="321"/>
      <c r="FB157" s="321"/>
      <c r="FC157" s="321"/>
      <c r="FD157" s="564"/>
      <c r="FE157" s="483"/>
      <c r="FF157" s="321"/>
      <c r="FG157" s="415"/>
      <c r="FH157" s="415"/>
      <c r="FI157" s="321"/>
      <c r="FJ157" s="321"/>
      <c r="FK157" s="417"/>
      <c r="FL157" s="321"/>
      <c r="FM157" s="321"/>
      <c r="FN157" s="417"/>
      <c r="FO157" s="415"/>
      <c r="FP157" s="321"/>
      <c r="FQ157" s="415"/>
      <c r="FR157" s="415"/>
      <c r="FS157" s="321"/>
      <c r="FT157" s="564"/>
      <c r="FU157" s="483"/>
      <c r="FV157" s="415"/>
      <c r="FW157" s="415"/>
      <c r="FX157" s="321"/>
      <c r="FY157" s="321"/>
      <c r="FZ157" s="420"/>
      <c r="GA157" s="415"/>
      <c r="GB157" s="321"/>
      <c r="GC157" s="321"/>
      <c r="GD157" s="417"/>
      <c r="GE157" s="417"/>
      <c r="GF157" s="321"/>
      <c r="GG157" s="321"/>
      <c r="GH157" s="321"/>
      <c r="GI157" s="321"/>
      <c r="GJ157" s="564"/>
      <c r="GK157" s="483"/>
      <c r="GL157" s="321"/>
      <c r="GM157" s="421"/>
      <c r="GN157" s="321"/>
      <c r="GO157" s="321"/>
      <c r="GP157" s="417"/>
      <c r="GQ157" s="420"/>
      <c r="GR157" s="321"/>
      <c r="GS157" s="321"/>
      <c r="GT157" s="420"/>
      <c r="GU157" s="417"/>
      <c r="GV157" s="321"/>
      <c r="GW157" s="321"/>
      <c r="GX157" s="321"/>
      <c r="GY157" s="415"/>
      <c r="GZ157" s="321"/>
      <c r="HA157" s="483"/>
      <c r="HB157" s="321"/>
      <c r="HC157" s="321"/>
      <c r="HD157" s="417"/>
      <c r="HE157" s="321"/>
      <c r="HF157" s="321"/>
      <c r="HG157" s="321"/>
      <c r="HH157" s="409"/>
      <c r="HI157" s="490"/>
      <c r="HJ157" s="321"/>
      <c r="HK157" s="321"/>
      <c r="HL157" s="321"/>
      <c r="HM157" s="321"/>
      <c r="HN157" s="321"/>
      <c r="HO157" s="321"/>
      <c r="HP157" s="415"/>
      <c r="HQ157" s="483"/>
      <c r="HR157" s="321"/>
      <c r="HS157" s="321"/>
      <c r="HT157" s="321"/>
      <c r="HU157" s="321"/>
      <c r="HV157" s="321"/>
      <c r="HW157" s="321"/>
      <c r="HX157" s="321"/>
      <c r="HY157" s="321"/>
      <c r="HZ157" s="321"/>
      <c r="IA157" s="321"/>
      <c r="IB157" s="321"/>
      <c r="IC157" s="321"/>
      <c r="ID157" s="321"/>
      <c r="IE157" s="321"/>
      <c r="IF157" s="564"/>
      <c r="IG157" s="413"/>
      <c r="IH157" s="413"/>
      <c r="II157" s="413"/>
      <c r="IJ157" s="413"/>
      <c r="IK157" s="413"/>
      <c r="IL157" s="413"/>
      <c r="IM157" s="413"/>
      <c r="IN157" s="413"/>
      <c r="IO157" s="321"/>
      <c r="IP157" s="321"/>
      <c r="IQ157" s="414"/>
      <c r="IR157" s="414"/>
      <c r="IS157" s="413"/>
      <c r="IT157" s="413"/>
      <c r="IU157" s="413"/>
      <c r="IV157" s="413"/>
    </row>
    <row r="158" spans="1:256" s="326" customFormat="1" ht="8.25" customHeight="1">
      <c r="A158" s="483"/>
      <c r="B158" s="321"/>
      <c r="C158" s="321"/>
      <c r="D158" s="321"/>
      <c r="E158" s="321"/>
      <c r="F158" s="321"/>
      <c r="G158" s="321"/>
      <c r="H158" s="321"/>
      <c r="I158" s="321"/>
      <c r="J158" s="321"/>
      <c r="K158" s="321"/>
      <c r="L158" s="321"/>
      <c r="M158" s="321"/>
      <c r="N158" s="321"/>
      <c r="O158" s="321"/>
      <c r="P158" s="564"/>
      <c r="Q158" s="483"/>
      <c r="R158" s="321"/>
      <c r="S158" s="321"/>
      <c r="T158" s="321"/>
      <c r="U158" s="321"/>
      <c r="V158" s="321"/>
      <c r="W158" s="321"/>
      <c r="X158" s="321"/>
      <c r="Y158" s="321"/>
      <c r="Z158" s="321"/>
      <c r="AA158" s="321"/>
      <c r="AB158" s="321"/>
      <c r="AC158" s="321"/>
      <c r="AD158" s="321"/>
      <c r="AE158" s="321"/>
      <c r="AF158" s="564"/>
      <c r="AG158" s="483"/>
      <c r="AH158" s="321"/>
      <c r="AI158" s="321"/>
      <c r="AJ158" s="321"/>
      <c r="AK158" s="321"/>
      <c r="AL158" s="321"/>
      <c r="AM158" s="321"/>
      <c r="AN158" s="321"/>
      <c r="AO158" s="321"/>
      <c r="AP158" s="321"/>
      <c r="AQ158" s="321"/>
      <c r="AR158" s="321"/>
      <c r="AS158" s="321"/>
      <c r="AT158" s="321"/>
      <c r="AU158" s="321"/>
      <c r="AV158" s="564"/>
      <c r="AW158" s="483"/>
      <c r="AX158" s="321"/>
      <c r="AY158" s="321"/>
      <c r="AZ158" s="321"/>
      <c r="BA158" s="321"/>
      <c r="BB158" s="321"/>
      <c r="BC158" s="321"/>
      <c r="BD158" s="321"/>
      <c r="BE158" s="321"/>
      <c r="BF158" s="321"/>
      <c r="BG158" s="321"/>
      <c r="BH158" s="321"/>
      <c r="BI158" s="321"/>
      <c r="BJ158" s="321"/>
      <c r="BK158" s="321"/>
      <c r="BL158" s="564"/>
      <c r="BM158" s="483"/>
      <c r="BN158" s="321"/>
      <c r="BO158" s="321"/>
      <c r="BP158" s="321"/>
      <c r="BQ158" s="321"/>
      <c r="BR158" s="321"/>
      <c r="BS158" s="321"/>
      <c r="BT158" s="321"/>
      <c r="BU158" s="321"/>
      <c r="BV158" s="321"/>
      <c r="BW158" s="321"/>
      <c r="BX158" s="321"/>
      <c r="BY158" s="321"/>
      <c r="BZ158" s="321"/>
      <c r="CA158" s="321"/>
      <c r="CB158" s="564"/>
      <c r="CC158" s="483"/>
      <c r="CD158" s="321"/>
      <c r="CE158" s="321"/>
      <c r="CF158" s="321"/>
      <c r="CG158" s="321"/>
      <c r="CH158" s="321"/>
      <c r="CI158" s="321"/>
      <c r="CJ158" s="321"/>
      <c r="CK158" s="321"/>
      <c r="CL158" s="321"/>
      <c r="CM158" s="321"/>
      <c r="CN158" s="321"/>
      <c r="CO158" s="321"/>
      <c r="CP158" s="321"/>
      <c r="CQ158" s="321"/>
      <c r="CR158" s="564"/>
      <c r="CS158" s="483"/>
      <c r="CT158" s="321"/>
      <c r="CU158" s="321"/>
      <c r="CV158" s="321"/>
      <c r="CW158" s="321"/>
      <c r="CX158" s="321"/>
      <c r="CY158" s="321"/>
      <c r="CZ158" s="321"/>
      <c r="DA158" s="321"/>
      <c r="DB158" s="321"/>
      <c r="DC158" s="321"/>
      <c r="DD158" s="321"/>
      <c r="DE158" s="321"/>
      <c r="DF158" s="321"/>
      <c r="DG158" s="321"/>
      <c r="DH158" s="564"/>
      <c r="DI158" s="483"/>
      <c r="DJ158" s="321"/>
      <c r="DK158" s="321"/>
      <c r="DL158" s="321"/>
      <c r="DM158" s="321"/>
      <c r="DN158" s="321"/>
      <c r="DO158" s="321"/>
      <c r="DP158" s="321"/>
      <c r="DQ158" s="321"/>
      <c r="DR158" s="321"/>
      <c r="DS158" s="321"/>
      <c r="DT158" s="321"/>
      <c r="DU158" s="321"/>
      <c r="DV158" s="321"/>
      <c r="DW158" s="321"/>
      <c r="DX158" s="564"/>
      <c r="DY158" s="483"/>
      <c r="DZ158" s="321"/>
      <c r="EA158" s="321"/>
      <c r="EB158" s="321"/>
      <c r="EC158" s="321"/>
      <c r="ED158" s="321"/>
      <c r="EE158" s="321"/>
      <c r="EF158" s="321"/>
      <c r="EG158" s="321"/>
      <c r="EH158" s="321"/>
      <c r="EI158" s="321"/>
      <c r="EJ158" s="321"/>
      <c r="EK158" s="321"/>
      <c r="EL158" s="321"/>
      <c r="EM158" s="321"/>
      <c r="EN158" s="564"/>
      <c r="EO158" s="483"/>
      <c r="EP158" s="321"/>
      <c r="EQ158" s="321"/>
      <c r="ER158" s="321"/>
      <c r="ES158" s="321"/>
      <c r="ET158" s="321"/>
      <c r="EU158" s="321"/>
      <c r="EV158" s="321"/>
      <c r="EW158" s="321"/>
      <c r="EX158" s="321"/>
      <c r="EY158" s="321"/>
      <c r="EZ158" s="321"/>
      <c r="FA158" s="321"/>
      <c r="FB158" s="321"/>
      <c r="FC158" s="321"/>
      <c r="FD158" s="556">
        <v>7</v>
      </c>
      <c r="FE158" s="483"/>
      <c r="FF158" s="321"/>
      <c r="FG158" s="321"/>
      <c r="FH158" s="321"/>
      <c r="FI158" s="321"/>
      <c r="FJ158" s="321"/>
      <c r="FK158" s="321"/>
      <c r="FL158" s="321"/>
      <c r="FM158" s="321"/>
      <c r="FN158" s="415"/>
      <c r="FO158" s="415"/>
      <c r="FP158" s="321"/>
      <c r="FQ158" s="415"/>
      <c r="FR158" s="321"/>
      <c r="FS158" s="321"/>
      <c r="FT158" s="564"/>
      <c r="FU158" s="415"/>
      <c r="FV158" s="415"/>
      <c r="FW158" s="415"/>
      <c r="FX158" s="321"/>
      <c r="FY158" s="321"/>
      <c r="FZ158" s="415"/>
      <c r="GA158" s="321"/>
      <c r="GB158" s="321"/>
      <c r="GC158" s="321"/>
      <c r="GD158" s="417"/>
      <c r="GE158" s="415"/>
      <c r="GF158" s="321"/>
      <c r="GG158" s="420"/>
      <c r="GH158" s="420"/>
      <c r="GI158" s="321"/>
      <c r="GJ158" s="564"/>
      <c r="GK158" s="483"/>
      <c r="GL158" s="421"/>
      <c r="GM158" s="415"/>
      <c r="GN158" s="321"/>
      <c r="GO158" s="321"/>
      <c r="GP158" s="420"/>
      <c r="GQ158" s="420"/>
      <c r="GR158" s="321"/>
      <c r="GS158" s="321"/>
      <c r="GT158" s="420"/>
      <c r="GU158" s="417"/>
      <c r="GV158" s="321"/>
      <c r="GW158" s="321"/>
      <c r="GX158" s="321"/>
      <c r="GY158" s="321"/>
      <c r="GZ158" s="564"/>
      <c r="HA158" s="483"/>
      <c r="HB158" s="321"/>
      <c r="HC158" s="321"/>
      <c r="HD158" s="490"/>
      <c r="HE158" s="417"/>
      <c r="HF158" s="321"/>
      <c r="HG158" s="321"/>
      <c r="HH158" s="409"/>
      <c r="HI158" s="417"/>
      <c r="HJ158" s="490"/>
      <c r="HK158" s="321"/>
      <c r="HL158" s="321"/>
      <c r="HM158" s="321"/>
      <c r="HN158" s="321"/>
      <c r="HO158" s="321"/>
      <c r="HP158" s="564"/>
      <c r="HQ158" s="483"/>
      <c r="HR158" s="321"/>
      <c r="HS158" s="321"/>
      <c r="HT158" s="321"/>
      <c r="HU158" s="321"/>
      <c r="HV158" s="321"/>
      <c r="HW158" s="321"/>
      <c r="HX158" s="321"/>
      <c r="HY158" s="321"/>
      <c r="HZ158" s="321"/>
      <c r="IA158" s="321"/>
      <c r="IB158" s="321"/>
      <c r="IC158" s="321"/>
      <c r="ID158" s="321"/>
      <c r="IE158" s="321"/>
      <c r="IF158" s="564"/>
      <c r="IG158" s="414"/>
      <c r="IH158" s="413"/>
      <c r="II158" s="413"/>
      <c r="IJ158" s="413"/>
      <c r="IK158" s="413"/>
      <c r="IL158" s="413"/>
      <c r="IM158" s="413"/>
      <c r="IN158" s="413"/>
      <c r="IO158" s="321"/>
      <c r="IP158" s="321"/>
      <c r="IQ158" s="420"/>
      <c r="IR158" s="414"/>
      <c r="IS158" s="413"/>
      <c r="IT158" s="413"/>
      <c r="IU158" s="413"/>
      <c r="IV158" s="413"/>
    </row>
    <row r="159" spans="1:256" s="326" customFormat="1" ht="8.25" customHeight="1">
      <c r="A159" s="483"/>
      <c r="B159" s="321"/>
      <c r="C159" s="321"/>
      <c r="D159" s="321"/>
      <c r="E159" s="321"/>
      <c r="F159" s="321"/>
      <c r="G159" s="321"/>
      <c r="H159" s="321"/>
      <c r="I159" s="321"/>
      <c r="J159" s="321"/>
      <c r="K159" s="321"/>
      <c r="L159" s="321"/>
      <c r="M159" s="321"/>
      <c r="N159" s="321"/>
      <c r="O159" s="321"/>
      <c r="P159" s="564"/>
      <c r="Q159" s="483"/>
      <c r="R159" s="321"/>
      <c r="S159" s="321"/>
      <c r="T159" s="321"/>
      <c r="U159" s="321"/>
      <c r="V159" s="321"/>
      <c r="W159" s="321"/>
      <c r="X159" s="321"/>
      <c r="Y159" s="321"/>
      <c r="Z159" s="321"/>
      <c r="AA159" s="321"/>
      <c r="AB159" s="321"/>
      <c r="AC159" s="321"/>
      <c r="AD159" s="321"/>
      <c r="AE159" s="321"/>
      <c r="AF159" s="564"/>
      <c r="AG159" s="483"/>
      <c r="AH159" s="321"/>
      <c r="AI159" s="321"/>
      <c r="AJ159" s="321"/>
      <c r="AK159" s="321"/>
      <c r="AL159" s="321"/>
      <c r="AM159" s="321"/>
      <c r="AN159" s="321"/>
      <c r="AO159" s="321"/>
      <c r="AP159" s="321"/>
      <c r="AQ159" s="321"/>
      <c r="AR159" s="321"/>
      <c r="AS159" s="321"/>
      <c r="AT159" s="321"/>
      <c r="AU159" s="321"/>
      <c r="AV159" s="564"/>
      <c r="AW159" s="483"/>
      <c r="AX159" s="321"/>
      <c r="AY159" s="321"/>
      <c r="AZ159" s="321"/>
      <c r="BA159" s="321"/>
      <c r="BB159" s="321"/>
      <c r="BC159" s="321"/>
      <c r="BD159" s="321"/>
      <c r="BE159" s="321"/>
      <c r="BF159" s="321"/>
      <c r="BG159" s="321"/>
      <c r="BH159" s="321"/>
      <c r="BI159" s="321"/>
      <c r="BJ159" s="321"/>
      <c r="BK159" s="321"/>
      <c r="BL159" s="564"/>
      <c r="BM159" s="483"/>
      <c r="BN159" s="321"/>
      <c r="BO159" s="321"/>
      <c r="BP159" s="321"/>
      <c r="BQ159" s="321"/>
      <c r="BR159" s="321"/>
      <c r="BS159" s="321"/>
      <c r="BT159" s="321"/>
      <c r="BU159" s="321"/>
      <c r="BV159" s="321"/>
      <c r="BW159" s="321"/>
      <c r="BX159" s="321"/>
      <c r="BY159" s="321"/>
      <c r="BZ159" s="321"/>
      <c r="CA159" s="321"/>
      <c r="CB159" s="564"/>
      <c r="CC159" s="483"/>
      <c r="CD159" s="321"/>
      <c r="CE159" s="321"/>
      <c r="CF159" s="321"/>
      <c r="CG159" s="321"/>
      <c r="CH159" s="321"/>
      <c r="CI159" s="321"/>
      <c r="CJ159" s="321"/>
      <c r="CK159" s="321"/>
      <c r="CL159" s="321"/>
      <c r="CM159" s="321"/>
      <c r="CN159" s="321"/>
      <c r="CO159" s="321"/>
      <c r="CP159" s="321"/>
      <c r="CQ159" s="321"/>
      <c r="CR159" s="564"/>
      <c r="CS159" s="483"/>
      <c r="CT159" s="321"/>
      <c r="CU159" s="321"/>
      <c r="CV159" s="321"/>
      <c r="CW159" s="321"/>
      <c r="CX159" s="321"/>
      <c r="CY159" s="321"/>
      <c r="CZ159" s="321"/>
      <c r="DA159" s="321"/>
      <c r="DB159" s="321"/>
      <c r="DC159" s="321"/>
      <c r="DD159" s="321"/>
      <c r="DE159" s="321"/>
      <c r="DF159" s="321"/>
      <c r="DG159" s="321"/>
      <c r="DH159" s="564"/>
      <c r="DI159" s="483"/>
      <c r="DJ159" s="321"/>
      <c r="DK159" s="321"/>
      <c r="DL159" s="321"/>
      <c r="DM159" s="321"/>
      <c r="DN159" s="321"/>
      <c r="DO159" s="321"/>
      <c r="DP159" s="321"/>
      <c r="DQ159" s="321"/>
      <c r="DR159" s="321"/>
      <c r="DS159" s="321"/>
      <c r="DT159" s="321"/>
      <c r="DU159" s="321"/>
      <c r="DV159" s="321"/>
      <c r="DW159" s="321"/>
      <c r="DX159" s="564"/>
      <c r="DY159" s="483"/>
      <c r="DZ159" s="321"/>
      <c r="EA159" s="321"/>
      <c r="EB159" s="321"/>
      <c r="EC159" s="321"/>
      <c r="ED159" s="321"/>
      <c r="EE159" s="321"/>
      <c r="EF159" s="321"/>
      <c r="EG159" s="321"/>
      <c r="EH159" s="321"/>
      <c r="EI159" s="321"/>
      <c r="EJ159" s="321"/>
      <c r="EK159" s="321"/>
      <c r="EL159" s="321"/>
      <c r="EM159" s="321"/>
      <c r="EN159" s="564"/>
      <c r="EO159" s="483"/>
      <c r="EP159" s="321"/>
      <c r="EQ159" s="321"/>
      <c r="ER159" s="321"/>
      <c r="ES159" s="321"/>
      <c r="ET159" s="321"/>
      <c r="EU159" s="321"/>
      <c r="EV159" s="321"/>
      <c r="EW159" s="321"/>
      <c r="EX159" s="321"/>
      <c r="EY159" s="321"/>
      <c r="EZ159" s="321"/>
      <c r="FA159" s="321"/>
      <c r="FB159" s="321"/>
      <c r="FC159" s="321"/>
      <c r="FD159" s="564"/>
      <c r="FE159" s="483"/>
      <c r="FF159" s="321"/>
      <c r="FG159" s="321"/>
      <c r="FH159" s="321"/>
      <c r="FI159" s="321"/>
      <c r="FJ159" s="321"/>
      <c r="FK159" s="321"/>
      <c r="FL159" s="321"/>
      <c r="FM159" s="321"/>
      <c r="FN159" s="321"/>
      <c r="FO159" s="415"/>
      <c r="FP159" s="321"/>
      <c r="FQ159" s="321"/>
      <c r="FR159" s="321"/>
      <c r="FS159" s="321"/>
      <c r="FT159" s="564"/>
      <c r="FU159" s="483"/>
      <c r="FV159" s="415"/>
      <c r="FW159" s="321"/>
      <c r="FX159" s="321"/>
      <c r="FY159" s="321"/>
      <c r="FZ159" s="415"/>
      <c r="GA159" s="321"/>
      <c r="GB159" s="321"/>
      <c r="GC159" s="321"/>
      <c r="GD159" s="417"/>
      <c r="GE159" s="415"/>
      <c r="GF159" s="321"/>
      <c r="GG159" s="420"/>
      <c r="GH159" s="321"/>
      <c r="GI159" s="321"/>
      <c r="GJ159" s="564"/>
      <c r="GK159" s="415"/>
      <c r="GL159" s="415"/>
      <c r="GM159" s="321"/>
      <c r="GN159" s="321"/>
      <c r="GO159" s="321"/>
      <c r="GP159" s="321"/>
      <c r="GQ159" s="415"/>
      <c r="GR159" s="321"/>
      <c r="GS159" s="321"/>
      <c r="GT159" s="321"/>
      <c r="GU159" s="417"/>
      <c r="GV159" s="415"/>
      <c r="GW159" s="321"/>
      <c r="GX159" s="321"/>
      <c r="GY159" s="321"/>
      <c r="GZ159" s="564"/>
      <c r="HA159" s="483"/>
      <c r="HB159" s="421"/>
      <c r="HC159" s="321"/>
      <c r="HD159" s="321"/>
      <c r="HE159" s="490"/>
      <c r="HF159" s="420"/>
      <c r="HG159" s="321"/>
      <c r="HH159" s="321"/>
      <c r="HI159" s="409"/>
      <c r="HJ159" s="417"/>
      <c r="HK159" s="490"/>
      <c r="HL159" s="321"/>
      <c r="HM159" s="321"/>
      <c r="HN159" s="321"/>
      <c r="HO159" s="321"/>
      <c r="HP159" s="564"/>
      <c r="HQ159" s="483"/>
      <c r="HR159" s="321"/>
      <c r="HS159" s="321"/>
      <c r="HT159" s="321"/>
      <c r="HU159" s="321"/>
      <c r="HV159" s="321"/>
      <c r="HW159" s="321"/>
      <c r="HX159" s="321"/>
      <c r="HY159" s="321"/>
      <c r="HZ159" s="321"/>
      <c r="IA159" s="321"/>
      <c r="IB159" s="321"/>
      <c r="IC159" s="321"/>
      <c r="ID159" s="321"/>
      <c r="IE159" s="321"/>
      <c r="IF159" s="564"/>
      <c r="IG159" s="414"/>
      <c r="IH159" s="413"/>
      <c r="II159" s="413"/>
      <c r="IJ159" s="413"/>
      <c r="IK159" s="413"/>
      <c r="IL159" s="413"/>
      <c r="IM159" s="413"/>
      <c r="IN159" s="413"/>
      <c r="IO159" s="321"/>
      <c r="IP159" s="321"/>
      <c r="IQ159" s="420"/>
      <c r="IR159" s="414"/>
      <c r="IS159" s="413"/>
      <c r="IT159" s="413"/>
      <c r="IU159" s="413"/>
      <c r="IV159" s="413"/>
    </row>
    <row r="160" spans="1:256" s="326" customFormat="1" ht="8.25" customHeight="1">
      <c r="A160" s="569"/>
      <c r="B160" s="569"/>
      <c r="C160" s="569"/>
      <c r="D160" s="569"/>
      <c r="E160" s="569"/>
      <c r="F160" s="569"/>
      <c r="G160" s="569"/>
      <c r="H160" s="569"/>
      <c r="I160" s="569"/>
      <c r="J160" s="569"/>
      <c r="K160" s="569"/>
      <c r="L160" s="569"/>
      <c r="M160" s="569"/>
      <c r="N160" s="569"/>
      <c r="O160" s="569"/>
      <c r="P160" s="570"/>
      <c r="Q160" s="569"/>
      <c r="R160" s="569"/>
      <c r="S160" s="569"/>
      <c r="T160" s="569"/>
      <c r="U160" s="569"/>
      <c r="V160" s="569"/>
      <c r="W160" s="569"/>
      <c r="X160" s="569"/>
      <c r="Y160" s="569"/>
      <c r="Z160" s="569"/>
      <c r="AA160" s="569"/>
      <c r="AB160" s="569"/>
      <c r="AC160" s="569"/>
      <c r="AD160" s="569"/>
      <c r="AE160" s="569"/>
      <c r="AF160" s="570"/>
      <c r="AG160" s="569"/>
      <c r="AH160" s="569"/>
      <c r="AI160" s="569"/>
      <c r="AJ160" s="569"/>
      <c r="AK160" s="569"/>
      <c r="AL160" s="569"/>
      <c r="AM160" s="569"/>
      <c r="AN160" s="569"/>
      <c r="AO160" s="569"/>
      <c r="AP160" s="569"/>
      <c r="AQ160" s="569"/>
      <c r="AR160" s="569"/>
      <c r="AS160" s="569"/>
      <c r="AT160" s="569"/>
      <c r="AU160" s="569"/>
      <c r="AV160" s="570"/>
      <c r="AW160" s="569"/>
      <c r="AX160" s="569"/>
      <c r="AY160" s="569"/>
      <c r="AZ160" s="569"/>
      <c r="BA160" s="569"/>
      <c r="BB160" s="569"/>
      <c r="BC160" s="569"/>
      <c r="BD160" s="569"/>
      <c r="BE160" s="569"/>
      <c r="BF160" s="569"/>
      <c r="BG160" s="569"/>
      <c r="BH160" s="569"/>
      <c r="BI160" s="569"/>
      <c r="BJ160" s="569"/>
      <c r="BK160" s="569"/>
      <c r="BL160" s="570"/>
      <c r="BM160" s="569"/>
      <c r="BN160" s="569"/>
      <c r="BO160" s="569"/>
      <c r="BP160" s="569"/>
      <c r="BQ160" s="569"/>
      <c r="BR160" s="569"/>
      <c r="BS160" s="569"/>
      <c r="BT160" s="569"/>
      <c r="BU160" s="569"/>
      <c r="BV160" s="569"/>
      <c r="BW160" s="569"/>
      <c r="BX160" s="569"/>
      <c r="BY160" s="569"/>
      <c r="BZ160" s="569"/>
      <c r="CA160" s="569"/>
      <c r="CB160" s="570"/>
      <c r="CC160" s="569"/>
      <c r="CD160" s="569"/>
      <c r="CE160" s="569"/>
      <c r="CF160" s="569"/>
      <c r="CG160" s="569"/>
      <c r="CH160" s="569"/>
      <c r="CI160" s="569"/>
      <c r="CJ160" s="569"/>
      <c r="CK160" s="569"/>
      <c r="CL160" s="569"/>
      <c r="CM160" s="569"/>
      <c r="CN160" s="569"/>
      <c r="CO160" s="569"/>
      <c r="CP160" s="569"/>
      <c r="CQ160" s="569"/>
      <c r="CR160" s="570"/>
      <c r="CS160" s="569"/>
      <c r="CT160" s="569"/>
      <c r="CU160" s="569"/>
      <c r="CV160" s="569"/>
      <c r="CW160" s="569"/>
      <c r="CX160" s="569"/>
      <c r="CY160" s="569"/>
      <c r="CZ160" s="569"/>
      <c r="DA160" s="569"/>
      <c r="DB160" s="569"/>
      <c r="DC160" s="569"/>
      <c r="DD160" s="569"/>
      <c r="DE160" s="569"/>
      <c r="DF160" s="569"/>
      <c r="DG160" s="569"/>
      <c r="DH160" s="570"/>
      <c r="DI160" s="321"/>
      <c r="DJ160" s="321"/>
      <c r="DK160" s="321"/>
      <c r="DL160" s="321"/>
      <c r="DM160" s="321"/>
      <c r="DN160" s="321"/>
      <c r="DO160" s="321"/>
      <c r="DP160" s="321"/>
      <c r="DQ160" s="321"/>
      <c r="DR160" s="321"/>
      <c r="DS160" s="321"/>
      <c r="DT160" s="321"/>
      <c r="DU160" s="321"/>
      <c r="DV160" s="321"/>
      <c r="DW160" s="321"/>
      <c r="DX160" s="564"/>
      <c r="DY160" s="569"/>
      <c r="DZ160" s="569"/>
      <c r="EA160" s="569"/>
      <c r="EB160" s="569"/>
      <c r="EC160" s="569"/>
      <c r="ED160" s="569"/>
      <c r="EE160" s="569"/>
      <c r="EF160" s="569"/>
      <c r="EG160" s="569"/>
      <c r="EH160" s="569"/>
      <c r="EI160" s="569"/>
      <c r="EJ160" s="569"/>
      <c r="EK160" s="569"/>
      <c r="EL160" s="569"/>
      <c r="EM160" s="569"/>
      <c r="EN160" s="570"/>
      <c r="EO160" s="569"/>
      <c r="EP160" s="569"/>
      <c r="EQ160" s="569"/>
      <c r="ER160" s="569"/>
      <c r="ES160" s="569"/>
      <c r="ET160" s="569"/>
      <c r="EU160" s="569"/>
      <c r="EV160" s="569"/>
      <c r="EW160" s="569"/>
      <c r="EX160" s="569"/>
      <c r="EY160" s="569"/>
      <c r="EZ160" s="569"/>
      <c r="FA160" s="569"/>
      <c r="FB160" s="569"/>
      <c r="FC160" s="569"/>
      <c r="FD160" s="570"/>
      <c r="FE160" s="569"/>
      <c r="FF160" s="569"/>
      <c r="FG160" s="569"/>
      <c r="FH160" s="569"/>
      <c r="FI160" s="569"/>
      <c r="FJ160" s="569"/>
      <c r="FK160" s="569"/>
      <c r="FL160" s="569"/>
      <c r="FM160" s="569"/>
      <c r="FN160" s="569"/>
      <c r="FO160" s="569"/>
      <c r="FP160" s="569"/>
      <c r="FQ160" s="569"/>
      <c r="FR160" s="569"/>
      <c r="FS160" s="569"/>
      <c r="FT160" s="570"/>
      <c r="FU160" s="569"/>
      <c r="FV160" s="569"/>
      <c r="FW160" s="569"/>
      <c r="FX160" s="569"/>
      <c r="FY160" s="569"/>
      <c r="FZ160" s="569"/>
      <c r="GA160" s="569"/>
      <c r="GB160" s="569"/>
      <c r="GC160" s="569"/>
      <c r="GD160" s="569"/>
      <c r="GE160" s="415"/>
      <c r="GF160" s="569"/>
      <c r="GG160" s="569"/>
      <c r="GH160" s="569"/>
      <c r="GI160" s="569"/>
      <c r="GJ160" s="570"/>
      <c r="GK160" s="415"/>
      <c r="GL160" s="415"/>
      <c r="GM160" s="569"/>
      <c r="GN160" s="569"/>
      <c r="GO160" s="569"/>
      <c r="GP160" s="569"/>
      <c r="GQ160" s="569"/>
      <c r="GR160" s="415"/>
      <c r="GS160" s="569"/>
      <c r="GT160" s="569"/>
      <c r="GU160" s="420"/>
      <c r="GV160" s="415"/>
      <c r="GW160" s="569"/>
      <c r="GX160" s="420"/>
      <c r="GY160" s="420"/>
      <c r="GZ160" s="570"/>
      <c r="HA160" s="421"/>
      <c r="HB160" s="569"/>
      <c r="HC160" s="569"/>
      <c r="HD160" s="569"/>
      <c r="HE160" s="569"/>
      <c r="HF160" s="569"/>
      <c r="HG160" s="420"/>
      <c r="HH160" s="569"/>
      <c r="HI160" s="569"/>
      <c r="HJ160" s="420"/>
      <c r="HK160" s="417"/>
      <c r="HL160" s="490"/>
      <c r="HM160" s="569"/>
      <c r="HN160" s="569"/>
      <c r="HO160" s="569"/>
      <c r="HP160" s="570"/>
      <c r="HQ160" s="569"/>
      <c r="HR160" s="569"/>
      <c r="HS160" s="569"/>
      <c r="HT160" s="569"/>
      <c r="HU160" s="569"/>
      <c r="HV160" s="569"/>
      <c r="HW160" s="569"/>
      <c r="HX160" s="569"/>
      <c r="HY160" s="569"/>
      <c r="HZ160" s="569"/>
      <c r="IA160" s="569"/>
      <c r="IB160" s="569"/>
      <c r="IC160" s="569"/>
      <c r="ID160" s="569"/>
      <c r="IE160" s="569"/>
      <c r="IF160" s="570"/>
      <c r="IG160" s="413"/>
      <c r="IH160" s="413"/>
      <c r="II160" s="413"/>
      <c r="IJ160" s="413"/>
      <c r="IK160" s="413"/>
      <c r="IL160" s="413"/>
      <c r="IM160" s="413"/>
      <c r="IN160" s="413"/>
      <c r="IO160" s="569"/>
      <c r="IP160" s="569"/>
      <c r="IQ160" s="414"/>
      <c r="IR160" s="414"/>
      <c r="IS160" s="413"/>
      <c r="IT160" s="413"/>
      <c r="IU160" s="413"/>
      <c r="IV160" s="413"/>
    </row>
    <row r="161" spans="1:256" s="326" customFormat="1" ht="8.25" customHeight="1">
      <c r="A161" s="679">
        <v>81</v>
      </c>
      <c r="B161" s="484"/>
      <c r="C161" s="484"/>
      <c r="D161" s="484"/>
      <c r="E161" s="484"/>
      <c r="F161" s="484"/>
      <c r="G161" s="484"/>
      <c r="H161" s="199"/>
      <c r="I161" s="199"/>
      <c r="J161" s="484"/>
      <c r="K161" s="484"/>
      <c r="L161" s="484"/>
      <c r="M161" s="484"/>
      <c r="N161" s="484"/>
      <c r="O161" s="484"/>
      <c r="P161" s="696"/>
      <c r="Q161" s="679">
        <v>82</v>
      </c>
      <c r="R161" s="484"/>
      <c r="S161" s="484"/>
      <c r="T161" s="484"/>
      <c r="U161" s="484"/>
      <c r="V161" s="484"/>
      <c r="W161" s="484"/>
      <c r="X161" s="199"/>
      <c r="Y161" s="199"/>
      <c r="Z161" s="484"/>
      <c r="AA161" s="484"/>
      <c r="AB161" s="484"/>
      <c r="AC161" s="484"/>
      <c r="AD161" s="484"/>
      <c r="AE161" s="484"/>
      <c r="AF161" s="484"/>
      <c r="AG161" s="293">
        <v>83</v>
      </c>
      <c r="AH161" s="161"/>
      <c r="AI161" s="293"/>
      <c r="AJ161" s="161"/>
      <c r="AK161" s="161"/>
      <c r="AL161" s="161"/>
      <c r="AM161" s="161"/>
      <c r="AN161" s="161"/>
      <c r="AO161" s="161"/>
      <c r="AP161" s="161"/>
      <c r="AQ161" s="161"/>
      <c r="AR161" s="161"/>
      <c r="AS161" s="161"/>
      <c r="AT161" s="161"/>
      <c r="AU161" s="161"/>
      <c r="AV161" s="293"/>
      <c r="AW161" s="321">
        <v>84</v>
      </c>
      <c r="AX161" s="484"/>
      <c r="AY161" s="484"/>
      <c r="AZ161" s="484"/>
      <c r="BA161" s="484"/>
      <c r="BB161" s="484"/>
      <c r="BC161" s="484"/>
      <c r="BD161" s="484"/>
      <c r="BE161" s="484"/>
      <c r="BF161" s="484"/>
      <c r="BG161" s="484"/>
      <c r="BH161" s="484"/>
      <c r="BI161" s="484"/>
      <c r="BJ161" s="484"/>
      <c r="BK161" s="484"/>
      <c r="BL161" s="696"/>
      <c r="BM161" s="483">
        <v>85</v>
      </c>
      <c r="BN161" s="484"/>
      <c r="BO161" s="484"/>
      <c r="BP161" s="484"/>
      <c r="BQ161" s="484"/>
      <c r="BR161" s="484"/>
      <c r="BS161" s="484"/>
      <c r="BT161" s="484"/>
      <c r="BU161" s="484"/>
      <c r="BV161" s="484"/>
      <c r="BW161" s="484"/>
      <c r="BX161" s="484"/>
      <c r="BY161" s="484"/>
      <c r="BZ161" s="484"/>
      <c r="CA161" s="484"/>
      <c r="CB161" s="696"/>
      <c r="CC161" s="483">
        <v>86</v>
      </c>
      <c r="CD161" s="484"/>
      <c r="CE161" s="484"/>
      <c r="CF161" s="484"/>
      <c r="CG161" s="484"/>
      <c r="CH161" s="484"/>
      <c r="CI161" s="484"/>
      <c r="CJ161" s="484"/>
      <c r="CK161" s="484"/>
      <c r="CL161" s="484"/>
      <c r="CM161" s="484"/>
      <c r="CN161" s="484"/>
      <c r="CO161" s="484"/>
      <c r="CP161" s="484"/>
      <c r="CQ161" s="484"/>
      <c r="CR161" s="696"/>
      <c r="CS161" s="483">
        <v>87</v>
      </c>
      <c r="CT161" s="484"/>
      <c r="CU161" s="484"/>
      <c r="CV161" s="484"/>
      <c r="CW161" s="484"/>
      <c r="CX161" s="484"/>
      <c r="CY161" s="484"/>
      <c r="CZ161" s="484"/>
      <c r="DA161" s="484"/>
      <c r="DB161" s="484"/>
      <c r="DC161" s="484"/>
      <c r="DD161" s="484"/>
      <c r="DE161" s="484"/>
      <c r="DF161" s="484"/>
      <c r="DG161" s="484"/>
      <c r="DH161" s="484"/>
      <c r="DI161" s="679">
        <v>88</v>
      </c>
      <c r="DJ161" s="484"/>
      <c r="DK161" s="484"/>
      <c r="DL161" s="484"/>
      <c r="DM161" s="484"/>
      <c r="DN161" s="484"/>
      <c r="DO161" s="484"/>
      <c r="DP161" s="484"/>
      <c r="DQ161" s="484"/>
      <c r="DR161" s="484"/>
      <c r="DS161" s="484"/>
      <c r="DT161" s="484"/>
      <c r="DU161" s="484"/>
      <c r="DV161" s="484"/>
      <c r="DW161" s="484"/>
      <c r="DX161" s="696"/>
      <c r="DY161" s="321">
        <v>89</v>
      </c>
      <c r="DZ161" s="484"/>
      <c r="EA161" s="484"/>
      <c r="EB161" s="484"/>
      <c r="EC161" s="484"/>
      <c r="ED161" s="484"/>
      <c r="EE161" s="484"/>
      <c r="EF161" s="484"/>
      <c r="EG161" s="484"/>
      <c r="EH161" s="484"/>
      <c r="EI161" s="484"/>
      <c r="EJ161" s="484"/>
      <c r="EK161" s="484"/>
      <c r="EL161" s="484"/>
      <c r="EM161" s="484"/>
      <c r="EN161" s="696"/>
      <c r="EO161" s="483">
        <v>90</v>
      </c>
      <c r="EP161" s="484"/>
      <c r="EQ161" s="484"/>
      <c r="ER161" s="484"/>
      <c r="ES161" s="484"/>
      <c r="ET161" s="484"/>
      <c r="EU161" s="484"/>
      <c r="EV161" s="484"/>
      <c r="EW161" s="484"/>
      <c r="EX161" s="484"/>
      <c r="EY161" s="484"/>
      <c r="EZ161" s="484"/>
      <c r="FA161" s="484"/>
      <c r="FB161" s="484"/>
      <c r="FC161" s="484"/>
      <c r="FD161" s="696"/>
      <c r="FE161" s="483">
        <v>91</v>
      </c>
      <c r="FF161" s="484"/>
      <c r="FG161" s="484"/>
      <c r="FH161" s="484"/>
      <c r="FI161" s="484"/>
      <c r="FJ161" s="484"/>
      <c r="FK161" s="484"/>
      <c r="FL161" s="484"/>
      <c r="FM161" s="484"/>
      <c r="FN161" s="484"/>
      <c r="FO161" s="484"/>
      <c r="FP161" s="484"/>
      <c r="FQ161" s="484"/>
      <c r="FR161" s="484"/>
      <c r="FS161" s="484"/>
      <c r="FT161" s="696"/>
      <c r="FU161" s="483">
        <v>92</v>
      </c>
      <c r="FV161" s="321"/>
      <c r="FW161" s="321"/>
      <c r="FX161" s="321"/>
      <c r="FY161" s="321"/>
      <c r="FZ161" s="321"/>
      <c r="GA161" s="321"/>
      <c r="GB161" s="321"/>
      <c r="GC161" s="321"/>
      <c r="GD161" s="321"/>
      <c r="GE161" s="321"/>
      <c r="GF161" s="321"/>
      <c r="GG161" s="321"/>
      <c r="GH161" s="321"/>
      <c r="GI161" s="321"/>
      <c r="GJ161" s="564"/>
      <c r="GK161" s="679">
        <v>93</v>
      </c>
      <c r="GL161" s="484"/>
      <c r="GM161" s="484"/>
      <c r="GN161" s="484"/>
      <c r="GO161" s="484"/>
      <c r="GP161" s="484"/>
      <c r="GQ161" s="484"/>
      <c r="GR161" s="484"/>
      <c r="GS161" s="484"/>
      <c r="GT161" s="484"/>
      <c r="GU161" s="484"/>
      <c r="GV161" s="484"/>
      <c r="GW161" s="484"/>
      <c r="GX161" s="484"/>
      <c r="GY161" s="484"/>
      <c r="GZ161" s="696"/>
      <c r="HA161" s="679">
        <v>94</v>
      </c>
      <c r="HB161" s="484"/>
      <c r="HC161" s="484"/>
      <c r="HD161" s="462"/>
      <c r="HE161" s="484"/>
      <c r="HF161" s="484"/>
      <c r="HG161" s="484"/>
      <c r="HH161" s="484"/>
      <c r="HI161" s="484"/>
      <c r="HJ161" s="484"/>
      <c r="HK161" s="484"/>
      <c r="HL161" s="484"/>
      <c r="HM161" s="484"/>
      <c r="HN161" s="484"/>
      <c r="HO161" s="484"/>
      <c r="HP161" s="696"/>
      <c r="HQ161" s="483">
        <v>95</v>
      </c>
      <c r="HR161" s="484"/>
      <c r="HS161" s="484"/>
      <c r="HT161" s="484"/>
      <c r="HU161" s="484"/>
      <c r="HV161" s="484"/>
      <c r="HW161" s="484"/>
      <c r="HX161" s="484"/>
      <c r="HY161" s="484"/>
      <c r="HZ161" s="484"/>
      <c r="IA161" s="484"/>
      <c r="IB161" s="484"/>
      <c r="IC161" s="484"/>
      <c r="ID161" s="484"/>
      <c r="IE161" s="484"/>
      <c r="IF161" s="696"/>
      <c r="IG161" s="483">
        <v>96</v>
      </c>
      <c r="IH161" s="484"/>
      <c r="II161" s="484"/>
      <c r="IJ161" s="484"/>
      <c r="IK161" s="484"/>
      <c r="IL161" s="484"/>
      <c r="IM161" s="484"/>
      <c r="IN161" s="484"/>
      <c r="IO161" s="484"/>
      <c r="IP161" s="484"/>
      <c r="IQ161" s="484"/>
      <c r="IR161" s="484"/>
      <c r="IS161" s="484"/>
      <c r="IT161" s="484"/>
      <c r="IU161" s="484"/>
      <c r="IV161" s="696"/>
    </row>
    <row r="162" spans="1:256" s="326" customFormat="1" ht="8.25" customHeight="1">
      <c r="A162" s="483">
        <v>40</v>
      </c>
      <c r="B162" s="321"/>
      <c r="C162" s="321"/>
      <c r="D162" s="321"/>
      <c r="E162" s="321"/>
      <c r="F162" s="321"/>
      <c r="G162" s="199"/>
      <c r="H162" s="310"/>
      <c r="I162" s="310"/>
      <c r="J162" s="199"/>
      <c r="K162" s="321"/>
      <c r="L162" s="321"/>
      <c r="M162" s="321"/>
      <c r="N162" s="321"/>
      <c r="O162" s="321"/>
      <c r="P162" s="564"/>
      <c r="Q162" s="483">
        <v>50</v>
      </c>
      <c r="R162" s="321"/>
      <c r="S162" s="321"/>
      <c r="T162" s="321"/>
      <c r="U162" s="321"/>
      <c r="V162" s="321"/>
      <c r="W162" s="199"/>
      <c r="X162" s="310"/>
      <c r="Y162" s="310"/>
      <c r="Z162" s="199"/>
      <c r="AA162" s="321"/>
      <c r="AB162" s="321"/>
      <c r="AC162" s="321"/>
      <c r="AD162" s="321"/>
      <c r="AE162" s="321"/>
      <c r="AF162" s="321"/>
      <c r="AG162" s="293"/>
      <c r="AH162" s="161"/>
      <c r="AI162" s="293"/>
      <c r="AJ162" s="161"/>
      <c r="AK162" s="161"/>
      <c r="AL162" s="161"/>
      <c r="AM162" s="161"/>
      <c r="AN162" s="161"/>
      <c r="AO162" s="293"/>
      <c r="AP162" s="161"/>
      <c r="AQ162" s="161"/>
      <c r="AR162" s="161"/>
      <c r="AS162" s="161"/>
      <c r="AT162" s="161"/>
      <c r="AU162" s="161"/>
      <c r="AV162" s="293"/>
      <c r="AW162" s="321">
        <v>50</v>
      </c>
      <c r="AX162" s="321"/>
      <c r="AY162" s="321"/>
      <c r="AZ162"/>
      <c r="BA162"/>
      <c r="BB162"/>
      <c r="BC162"/>
      <c r="BD162"/>
      <c r="BE162"/>
      <c r="BF162"/>
      <c r="BG162" s="321"/>
      <c r="BH162" s="321"/>
      <c r="BI162" s="321"/>
      <c r="BJ162" s="321"/>
      <c r="BK162" s="321"/>
      <c r="BL162" s="564"/>
      <c r="BM162" s="483">
        <v>100</v>
      </c>
      <c r="BN162" s="321"/>
      <c r="BO162" s="321"/>
      <c r="BP162" s="321"/>
      <c r="BQ162" s="321"/>
      <c r="BR162" s="321"/>
      <c r="BS162" s="321"/>
      <c r="BT162" s="321"/>
      <c r="BU162" s="321"/>
      <c r="BV162" s="321"/>
      <c r="BW162" s="321"/>
      <c r="BX162" s="321"/>
      <c r="BY162" s="321"/>
      <c r="BZ162" s="321"/>
      <c r="CA162" s="321"/>
      <c r="CB162" s="564"/>
      <c r="CC162" s="483">
        <v>50</v>
      </c>
      <c r="CD162" s="321"/>
      <c r="CE162" s="321"/>
      <c r="CF162" s="321"/>
      <c r="CG162" s="321"/>
      <c r="CH162" s="321"/>
      <c r="CI162" s="321"/>
      <c r="CJ162" s="321"/>
      <c r="CK162" s="321"/>
      <c r="CL162" s="321"/>
      <c r="CM162" s="321"/>
      <c r="CN162" s="321"/>
      <c r="CO162" s="321"/>
      <c r="CP162" s="321"/>
      <c r="CQ162" s="321"/>
      <c r="CR162" s="564"/>
      <c r="CS162" s="483">
        <v>25</v>
      </c>
      <c r="CT162" s="321"/>
      <c r="CU162" s="321"/>
      <c r="CV162" s="321"/>
      <c r="CW162" s="321"/>
      <c r="CX162" s="321"/>
      <c r="CY162" s="321"/>
      <c r="CZ162" s="321"/>
      <c r="DA162" s="321"/>
      <c r="DB162" s="321"/>
      <c r="DC162" s="321"/>
      <c r="DD162" s="321"/>
      <c r="DE162" s="321"/>
      <c r="DF162" s="321"/>
      <c r="DG162" s="321"/>
      <c r="DH162" s="321"/>
      <c r="DI162" s="483">
        <v>20</v>
      </c>
      <c r="DJ162" s="321"/>
      <c r="DK162" s="321"/>
      <c r="DL162" s="321"/>
      <c r="DM162" s="321"/>
      <c r="DN162" s="321"/>
      <c r="DO162" s="321"/>
      <c r="DP162" s="321"/>
      <c r="DQ162" s="321"/>
      <c r="DR162" s="321"/>
      <c r="DS162" s="321"/>
      <c r="DT162" s="321"/>
      <c r="DU162" s="321"/>
      <c r="DV162" s="321"/>
      <c r="DW162" s="321"/>
      <c r="DX162" s="564"/>
      <c r="DY162" s="321">
        <v>40</v>
      </c>
      <c r="DZ162" s="321"/>
      <c r="EA162" s="321"/>
      <c r="EB162" s="321"/>
      <c r="EC162" s="321"/>
      <c r="ED162" s="321"/>
      <c r="EE162" s="321"/>
      <c r="EF162" s="321"/>
      <c r="EG162" s="321"/>
      <c r="EH162" s="321"/>
      <c r="EI162" s="321"/>
      <c r="EJ162" s="321"/>
      <c r="EK162" s="321"/>
      <c r="EL162" s="321"/>
      <c r="EM162" s="321"/>
      <c r="EN162" s="564"/>
      <c r="EO162" s="483">
        <v>20</v>
      </c>
      <c r="EP162" s="321"/>
      <c r="EQ162" s="321"/>
      <c r="ER162" s="321"/>
      <c r="ES162" s="321"/>
      <c r="ET162" s="321"/>
      <c r="EU162" s="321"/>
      <c r="EV162" s="321"/>
      <c r="EW162" s="321"/>
      <c r="EX162" s="321"/>
      <c r="EY162" s="321"/>
      <c r="EZ162" s="321"/>
      <c r="FA162" s="321"/>
      <c r="FB162" s="321"/>
      <c r="FC162" s="321"/>
      <c r="FD162" s="564"/>
      <c r="FE162" s="483">
        <v>10</v>
      </c>
      <c r="FF162" s="321"/>
      <c r="FG162" s="321"/>
      <c r="FH162" s="321"/>
      <c r="FI162" s="321"/>
      <c r="FJ162" s="321"/>
      <c r="FK162" s="321"/>
      <c r="FL162" s="321"/>
      <c r="FM162" s="321"/>
      <c r="FN162" s="321"/>
      <c r="FO162" s="321"/>
      <c r="FP162" s="321"/>
      <c r="FQ162" s="321"/>
      <c r="FR162" s="321"/>
      <c r="FS162" s="321"/>
      <c r="FT162" s="564"/>
      <c r="FU162" s="483"/>
      <c r="FV162" s="321"/>
      <c r="FW162" s="321"/>
      <c r="FX162" s="321"/>
      <c r="FY162" s="321"/>
      <c r="FZ162" s="321"/>
      <c r="GA162" s="321"/>
      <c r="GB162" s="321"/>
      <c r="GC162" s="321"/>
      <c r="GD162" s="321"/>
      <c r="GE162" s="321"/>
      <c r="GF162" s="321"/>
      <c r="GG162" s="321"/>
      <c r="GH162" s="321"/>
      <c r="GI162" s="321"/>
      <c r="GJ162" s="564"/>
      <c r="GK162" s="483">
        <v>110</v>
      </c>
      <c r="GL162" s="321"/>
      <c r="GM162" s="321"/>
      <c r="GN162" s="462"/>
      <c r="GO162" s="321"/>
      <c r="GP162" s="321"/>
      <c r="GQ162" s="321"/>
      <c r="GR162" s="321"/>
      <c r="GS162" s="321"/>
      <c r="GT162" s="321"/>
      <c r="GU162" s="321"/>
      <c r="GV162" s="321"/>
      <c r="GW162" s="321"/>
      <c r="GX162" s="321"/>
      <c r="GY162" s="321"/>
      <c r="GZ162" s="564"/>
      <c r="HA162" s="483">
        <v>120</v>
      </c>
      <c r="HB162" s="321"/>
      <c r="HC162" s="462"/>
      <c r="HD162" s="462"/>
      <c r="HE162" s="462"/>
      <c r="HF162" s="321"/>
      <c r="HG162" s="321"/>
      <c r="HH162" s="321"/>
      <c r="HI162" s="321"/>
      <c r="HJ162" s="321"/>
      <c r="HK162" s="321"/>
      <c r="HL162" s="321"/>
      <c r="HM162" s="321"/>
      <c r="HN162" s="321"/>
      <c r="HO162" s="321"/>
      <c r="HP162" s="564"/>
      <c r="HQ162" s="483">
        <v>60</v>
      </c>
      <c r="HR162" s="321"/>
      <c r="HS162" s="321"/>
      <c r="HT162" s="321"/>
      <c r="HU162" s="321"/>
      <c r="HV162" s="321"/>
      <c r="HW162" s="321"/>
      <c r="HX162" s="321"/>
      <c r="HY162" s="321"/>
      <c r="HZ162" s="321"/>
      <c r="IA162" s="321"/>
      <c r="IB162" s="321"/>
      <c r="IC162" s="321"/>
      <c r="ID162" s="321"/>
      <c r="IE162" s="321"/>
      <c r="IF162" s="564"/>
      <c r="IG162" s="483">
        <v>80</v>
      </c>
      <c r="IH162" s="321"/>
      <c r="II162" s="321"/>
      <c r="IJ162" s="321"/>
      <c r="IK162" s="321"/>
      <c r="IL162" s="321"/>
      <c r="IM162" s="321"/>
      <c r="IN162" s="321"/>
      <c r="IO162" s="321"/>
      <c r="IP162" s="321"/>
      <c r="IQ162" s="321"/>
      <c r="IR162" s="321"/>
      <c r="IS162" s="321"/>
      <c r="IT162" s="321"/>
      <c r="IU162" s="321"/>
      <c r="IV162" s="564"/>
    </row>
    <row r="163" spans="1:256" s="326" customFormat="1" ht="8.25" customHeight="1">
      <c r="A163" s="483">
        <v>82</v>
      </c>
      <c r="B163" s="321"/>
      <c r="C163" s="321"/>
      <c r="D163" s="321"/>
      <c r="E163" s="321"/>
      <c r="F163" s="201"/>
      <c r="G163" s="310"/>
      <c r="H163" s="314"/>
      <c r="I163" s="314"/>
      <c r="J163" s="310"/>
      <c r="K163" s="201"/>
      <c r="L163" s="321"/>
      <c r="M163" s="321"/>
      <c r="N163" s="321"/>
      <c r="O163" s="321"/>
      <c r="P163" s="564"/>
      <c r="Q163" s="483">
        <v>81</v>
      </c>
      <c r="R163" s="321"/>
      <c r="S163" s="321"/>
      <c r="T163" s="321"/>
      <c r="U163" s="321"/>
      <c r="V163" s="201"/>
      <c r="W163" s="310"/>
      <c r="X163" s="314"/>
      <c r="Y163" s="314"/>
      <c r="Z163" s="310"/>
      <c r="AA163" s="201"/>
      <c r="AB163" s="321"/>
      <c r="AC163" s="321"/>
      <c r="AD163" s="321"/>
      <c r="AE163" s="321"/>
      <c r="AF163" s="321"/>
      <c r="AG163" s="293"/>
      <c r="AH163" s="161"/>
      <c r="AI163" s="293"/>
      <c r="AJ163" s="161"/>
      <c r="AK163" s="161"/>
      <c r="AL163" s="293"/>
      <c r="AM163" s="161"/>
      <c r="AN163" s="161"/>
      <c r="AO163" s="297"/>
      <c r="AP163" s="161"/>
      <c r="AQ163" s="206"/>
      <c r="AR163" s="206"/>
      <c r="AS163" s="206"/>
      <c r="AT163" s="206"/>
      <c r="AU163" s="206"/>
      <c r="AV163" s="206"/>
      <c r="AW163" s="321">
        <v>85</v>
      </c>
      <c r="AX163" s="321"/>
      <c r="AY163" s="321"/>
      <c r="AZ163"/>
      <c r="BA163"/>
      <c r="BB163"/>
      <c r="BC163"/>
      <c r="BD163"/>
      <c r="BE163"/>
      <c r="BF163"/>
      <c r="BG163"/>
      <c r="BH163"/>
      <c r="BI163" s="321"/>
      <c r="BJ163" s="321"/>
      <c r="BK163" s="321"/>
      <c r="BL163" s="564"/>
      <c r="BM163" s="483">
        <v>86</v>
      </c>
      <c r="BN163" s="321"/>
      <c r="BO163" s="321"/>
      <c r="BP163" s="321"/>
      <c r="BQ163" s="321"/>
      <c r="BR163" s="321"/>
      <c r="BS163" s="321"/>
      <c r="BT163" s="321"/>
      <c r="BU163" s="321"/>
      <c r="BV163" s="321"/>
      <c r="BW163" s="321"/>
      <c r="BX163" s="321"/>
      <c r="BY163" s="321"/>
      <c r="BZ163" s="321"/>
      <c r="CA163" s="321"/>
      <c r="CB163" s="564"/>
      <c r="CC163" s="483">
        <v>87</v>
      </c>
      <c r="CD163" s="321"/>
      <c r="CE163" s="321"/>
      <c r="CF163" s="321"/>
      <c r="CG163" s="321"/>
      <c r="CH163" s="321"/>
      <c r="CI163" s="321"/>
      <c r="CJ163" s="321"/>
      <c r="CK163" s="321"/>
      <c r="CL163" s="321"/>
      <c r="CM163" s="321"/>
      <c r="CN163" s="321"/>
      <c r="CO163" s="321"/>
      <c r="CP163" s="321"/>
      <c r="CQ163" s="321"/>
      <c r="CR163" s="564"/>
      <c r="CS163" s="483">
        <v>168</v>
      </c>
      <c r="CT163" s="321"/>
      <c r="CU163" s="321"/>
      <c r="CV163" s="321"/>
      <c r="CW163" s="321"/>
      <c r="CX163" s="321"/>
      <c r="CY163" s="321"/>
      <c r="CZ163" s="321"/>
      <c r="DA163" s="321"/>
      <c r="DB163" s="321"/>
      <c r="DC163" s="321"/>
      <c r="DD163" s="321"/>
      <c r="DE163" s="321"/>
      <c r="DF163" s="321"/>
      <c r="DG163" s="321"/>
      <c r="DH163" s="321"/>
      <c r="DI163" s="483">
        <v>89</v>
      </c>
      <c r="DJ163" s="321"/>
      <c r="DK163" s="321"/>
      <c r="DL163" s="321"/>
      <c r="DM163" s="321"/>
      <c r="DN163" s="321"/>
      <c r="DO163" s="321"/>
      <c r="DP163" s="321"/>
      <c r="DQ163" s="321"/>
      <c r="DR163" s="321"/>
      <c r="DS163" s="321"/>
      <c r="DT163" s="321"/>
      <c r="DU163" s="321"/>
      <c r="DV163" s="321"/>
      <c r="DW163" s="321"/>
      <c r="DX163" s="564"/>
      <c r="DY163" s="321">
        <v>90</v>
      </c>
      <c r="DZ163" s="321"/>
      <c r="EA163" s="321"/>
      <c r="EB163" s="321"/>
      <c r="EC163" s="321"/>
      <c r="ED163" s="321"/>
      <c r="EE163" s="321"/>
      <c r="EF163" s="321"/>
      <c r="EG163" s="321"/>
      <c r="EH163" s="321"/>
      <c r="EI163" s="321"/>
      <c r="EJ163" s="321"/>
      <c r="EK163" s="321"/>
      <c r="EL163" s="321"/>
      <c r="EM163" s="321"/>
      <c r="EN163" s="564"/>
      <c r="EO163" s="483">
        <v>91</v>
      </c>
      <c r="EP163" s="321"/>
      <c r="EQ163" s="321"/>
      <c r="ER163" s="321"/>
      <c r="ES163" s="321"/>
      <c r="ET163" s="321"/>
      <c r="EU163" s="321"/>
      <c r="EV163" s="321"/>
      <c r="EW163" s="321"/>
      <c r="EX163" s="321"/>
      <c r="EY163" s="321"/>
      <c r="EZ163" s="321"/>
      <c r="FA163" s="321"/>
      <c r="FB163" s="321"/>
      <c r="FC163" s="321"/>
      <c r="FD163" s="564"/>
      <c r="FE163" s="483">
        <v>92</v>
      </c>
      <c r="FF163" s="321"/>
      <c r="FG163" s="321"/>
      <c r="FH163" s="321"/>
      <c r="FI163" s="321"/>
      <c r="FJ163" s="321"/>
      <c r="FK163" s="321"/>
      <c r="FL163" s="321"/>
      <c r="FM163" s="321"/>
      <c r="FN163" s="321"/>
      <c r="FO163" s="321"/>
      <c r="FP163" s="321"/>
      <c r="FQ163" s="321"/>
      <c r="FR163" s="321"/>
      <c r="FS163" s="321"/>
      <c r="FT163" s="564"/>
      <c r="FU163" s="483"/>
      <c r="FV163" s="321"/>
      <c r="FW163" s="321"/>
      <c r="FX163" s="321"/>
      <c r="FY163" s="321"/>
      <c r="FZ163" s="321"/>
      <c r="GA163" s="321"/>
      <c r="GB163" s="321"/>
      <c r="GC163" s="321"/>
      <c r="GD163" s="321"/>
      <c r="GE163" s="321"/>
      <c r="GF163" s="321"/>
      <c r="GG163" s="321"/>
      <c r="GH163" s="321"/>
      <c r="GI163" s="321"/>
      <c r="GJ163" s="564"/>
      <c r="GK163" s="483">
        <v>94</v>
      </c>
      <c r="GL163" s="321"/>
      <c r="GM163" s="462"/>
      <c r="GN163" s="410"/>
      <c r="GO163" s="462"/>
      <c r="GP163" s="321"/>
      <c r="GQ163" s="321"/>
      <c r="GR163" s="321"/>
      <c r="GS163" s="321"/>
      <c r="GT163" s="321"/>
      <c r="GU163" s="321"/>
      <c r="GV163" s="321"/>
      <c r="GW163" s="321"/>
      <c r="GX163" s="321"/>
      <c r="GY163" s="321"/>
      <c r="GZ163" s="564"/>
      <c r="HA163" s="483">
        <v>93</v>
      </c>
      <c r="HB163" s="462"/>
      <c r="HC163" s="462"/>
      <c r="HD163" s="410"/>
      <c r="HE163" s="462"/>
      <c r="HF163" s="462"/>
      <c r="HG163" s="321"/>
      <c r="HH163" s="321"/>
      <c r="HI163" s="321"/>
      <c r="HJ163" s="321"/>
      <c r="HK163" s="321"/>
      <c r="HL163" s="321"/>
      <c r="HM163" s="321"/>
      <c r="HN163" s="321"/>
      <c r="HO163" s="321"/>
      <c r="HP163" s="564"/>
      <c r="HQ163" s="483">
        <v>96</v>
      </c>
      <c r="HR163" s="321"/>
      <c r="HS163" s="321"/>
      <c r="HT163" s="321"/>
      <c r="HU163" s="321"/>
      <c r="HV163" s="321"/>
      <c r="HW163" s="321"/>
      <c r="HX163" s="321"/>
      <c r="HY163" s="321"/>
      <c r="HZ163" s="321"/>
      <c r="IA163" s="321"/>
      <c r="IB163" s="321"/>
      <c r="IC163" s="321"/>
      <c r="ID163" s="321"/>
      <c r="IE163" s="321"/>
      <c r="IF163" s="564"/>
      <c r="IG163" s="483">
        <v>95</v>
      </c>
      <c r="IH163" s="321"/>
      <c r="II163" s="321"/>
      <c r="IJ163" s="321"/>
      <c r="IK163" s="321"/>
      <c r="IL163" s="321"/>
      <c r="IM163" s="321"/>
      <c r="IN163" s="321"/>
      <c r="IO163" s="321"/>
      <c r="IP163" s="321"/>
      <c r="IQ163" s="321"/>
      <c r="IR163" s="321"/>
      <c r="IS163" s="321"/>
      <c r="IT163" s="321"/>
      <c r="IU163" s="321"/>
      <c r="IV163" s="564"/>
    </row>
    <row r="164" spans="1:256" s="326" customFormat="1" ht="8.25" customHeight="1">
      <c r="A164" s="483">
        <v>140</v>
      </c>
      <c r="B164" s="321"/>
      <c r="C164" s="321"/>
      <c r="D164" s="321"/>
      <c r="E164" s="321"/>
      <c r="F164" s="200"/>
      <c r="G164" s="310"/>
      <c r="H164" s="200"/>
      <c r="I164" s="200"/>
      <c r="J164" s="310"/>
      <c r="K164" s="200"/>
      <c r="L164" s="321"/>
      <c r="M164" s="321"/>
      <c r="N164" s="321"/>
      <c r="O164" s="321"/>
      <c r="P164" s="564"/>
      <c r="Q164" s="483">
        <v>140</v>
      </c>
      <c r="R164" s="321"/>
      <c r="S164" s="321"/>
      <c r="T164" s="321"/>
      <c r="U164" s="321"/>
      <c r="V164" s="200"/>
      <c r="W164" s="310"/>
      <c r="X164" s="200"/>
      <c r="Y164" s="200"/>
      <c r="Z164" s="310"/>
      <c r="AA164" s="200"/>
      <c r="AB164" s="321"/>
      <c r="AC164" s="321"/>
      <c r="AD164" s="321"/>
      <c r="AE164" s="321"/>
      <c r="AF164" s="321"/>
      <c r="AG164" s="293"/>
      <c r="AH164" s="161"/>
      <c r="AI164" s="161"/>
      <c r="AJ164" s="161"/>
      <c r="AK164" s="161"/>
      <c r="AL164" s="293"/>
      <c r="AM164" s="161"/>
      <c r="AN164" s="161"/>
      <c r="AO164" s="293"/>
      <c r="AP164" s="161"/>
      <c r="AQ164" s="206"/>
      <c r="AR164" s="294"/>
      <c r="AS164" s="290"/>
      <c r="AT164" s="295"/>
      <c r="AU164" s="193"/>
      <c r="AV164" s="201"/>
      <c r="AW164" s="321">
        <v>40</v>
      </c>
      <c r="AX164" s="321"/>
      <c r="AY164" s="321"/>
      <c r="AZ164"/>
      <c r="BA164"/>
      <c r="BB164"/>
      <c r="BC164"/>
      <c r="BD164"/>
      <c r="BE164"/>
      <c r="BF164"/>
      <c r="BG164"/>
      <c r="BH164"/>
      <c r="BI164" s="321"/>
      <c r="BJ164" s="321"/>
      <c r="BK164" s="321"/>
      <c r="BL164" s="564"/>
      <c r="BM164" s="483">
        <v>40</v>
      </c>
      <c r="BN164" s="321"/>
      <c r="BO164" s="321"/>
      <c r="BP164" s="321"/>
      <c r="BQ164" s="321"/>
      <c r="BR164" s="321"/>
      <c r="BS164" s="321"/>
      <c r="BT164" s="321"/>
      <c r="BU164" s="321"/>
      <c r="BV164" s="321"/>
      <c r="BW164" s="321"/>
      <c r="BX164" s="321"/>
      <c r="BY164" s="321"/>
      <c r="BZ164" s="321"/>
      <c r="CA164" s="321"/>
      <c r="CB164" s="564"/>
      <c r="CC164" s="483">
        <v>40</v>
      </c>
      <c r="CD164" s="321"/>
      <c r="CE164" s="321"/>
      <c r="CF164" s="321"/>
      <c r="CG164" s="321"/>
      <c r="CH164" s="321"/>
      <c r="CI164" s="321"/>
      <c r="CJ164" s="321"/>
      <c r="CK164" s="321"/>
      <c r="CL164" s="321"/>
      <c r="CM164" s="321"/>
      <c r="CN164" s="321"/>
      <c r="CO164" s="321"/>
      <c r="CP164" s="321"/>
      <c r="CQ164" s="321"/>
      <c r="CR164" s="564"/>
      <c r="CS164" s="483">
        <v>40</v>
      </c>
      <c r="CT164" s="321"/>
      <c r="CU164" s="321"/>
      <c r="CV164" s="321"/>
      <c r="CW164" s="321"/>
      <c r="CX164" s="321"/>
      <c r="CY164" s="321"/>
      <c r="CZ164" s="321"/>
      <c r="DA164" s="321"/>
      <c r="DB164" s="321"/>
      <c r="DC164" s="321"/>
      <c r="DD164" s="321"/>
      <c r="DE164" s="321"/>
      <c r="DF164" s="321"/>
      <c r="DG164" s="321"/>
      <c r="DH164" s="321"/>
      <c r="DI164" s="483">
        <v>40</v>
      </c>
      <c r="DJ164" s="321"/>
      <c r="DK164" s="321"/>
      <c r="DL164" s="321"/>
      <c r="DM164" s="321"/>
      <c r="DN164" s="321"/>
      <c r="DO164" s="321"/>
      <c r="DP164" s="321"/>
      <c r="DQ164" s="321"/>
      <c r="DR164" s="321"/>
      <c r="DS164" s="321"/>
      <c r="DT164" s="321"/>
      <c r="DU164" s="321"/>
      <c r="DV164" s="321"/>
      <c r="DW164" s="321"/>
      <c r="DX164" s="564"/>
      <c r="DY164" s="321">
        <v>40</v>
      </c>
      <c r="DZ164" s="321"/>
      <c r="EA164" s="321"/>
      <c r="EB164" s="321"/>
      <c r="EC164" s="321"/>
      <c r="ED164" s="321"/>
      <c r="EE164" s="321"/>
      <c r="EF164" s="321"/>
      <c r="EG164" s="321"/>
      <c r="EH164" s="321"/>
      <c r="EI164" s="321"/>
      <c r="EJ164" s="321"/>
      <c r="EK164" s="321"/>
      <c r="EL164" s="321"/>
      <c r="EM164" s="321"/>
      <c r="EN164" s="564"/>
      <c r="EO164" s="483">
        <v>40</v>
      </c>
      <c r="EP164" s="321"/>
      <c r="EQ164" s="321"/>
      <c r="ER164" s="321"/>
      <c r="ES164" s="321"/>
      <c r="ET164" s="321"/>
      <c r="EU164" s="321"/>
      <c r="EV164" s="321"/>
      <c r="EW164" s="321"/>
      <c r="EX164" s="321"/>
      <c r="EY164" s="321"/>
      <c r="EZ164" s="321"/>
      <c r="FA164" s="321"/>
      <c r="FB164" s="321"/>
      <c r="FC164" s="321"/>
      <c r="FD164" s="564"/>
      <c r="FE164" s="483">
        <v>40</v>
      </c>
      <c r="FF164" s="321"/>
      <c r="FG164" s="321"/>
      <c r="FH164" s="321"/>
      <c r="FI164" s="321"/>
      <c r="FJ164" s="321"/>
      <c r="FK164" s="321"/>
      <c r="FL164" s="321"/>
      <c r="FM164" s="321"/>
      <c r="FN164" s="321"/>
      <c r="FO164" s="321"/>
      <c r="FP164" s="321"/>
      <c r="FQ164" s="321"/>
      <c r="FR164" s="321"/>
      <c r="FS164" s="321"/>
      <c r="FT164" s="564"/>
      <c r="FU164" s="483"/>
      <c r="FV164" s="321"/>
      <c r="FW164" s="321"/>
      <c r="FX164" s="321"/>
      <c r="FY164" s="321"/>
      <c r="FZ164" s="321"/>
      <c r="GA164" s="321"/>
      <c r="GB164" s="321"/>
      <c r="GC164" s="321"/>
      <c r="GD164" s="321"/>
      <c r="GE164" s="321"/>
      <c r="GF164" s="321"/>
      <c r="GG164" s="321"/>
      <c r="GH164" s="321"/>
      <c r="GI164" s="321"/>
      <c r="GJ164" s="564"/>
      <c r="GK164" s="483">
        <v>400</v>
      </c>
      <c r="GL164" s="321"/>
      <c r="GM164" s="321"/>
      <c r="GN164" s="462"/>
      <c r="GO164" s="321"/>
      <c r="GP164" s="321"/>
      <c r="GQ164" s="321"/>
      <c r="GR164" s="321"/>
      <c r="GS164" s="321"/>
      <c r="GT164" s="321"/>
      <c r="GU164" s="321"/>
      <c r="GV164" s="321"/>
      <c r="GW164" s="321"/>
      <c r="GX164" s="321"/>
      <c r="GY164" s="321"/>
      <c r="GZ164" s="564"/>
      <c r="HA164" s="483">
        <v>400</v>
      </c>
      <c r="HB164" s="321"/>
      <c r="HC164" s="462"/>
      <c r="HD164" s="462"/>
      <c r="HE164" s="462"/>
      <c r="HF164" s="321"/>
      <c r="HG164" s="321"/>
      <c r="HH164" s="321"/>
      <c r="HI164" s="321"/>
      <c r="HJ164" s="321"/>
      <c r="HK164" s="321"/>
      <c r="HL164" s="321"/>
      <c r="HM164" s="321"/>
      <c r="HN164" s="321"/>
      <c r="HO164" s="321"/>
      <c r="HP164" s="564"/>
      <c r="HQ164" s="483">
        <v>80</v>
      </c>
      <c r="HR164" s="321"/>
      <c r="HS164" s="321"/>
      <c r="HT164" s="321"/>
      <c r="HU164" s="321"/>
      <c r="HV164" s="321"/>
      <c r="HW164" s="321"/>
      <c r="HX164" s="321"/>
      <c r="HY164" s="321"/>
      <c r="HZ164" s="321"/>
      <c r="IA164" s="321"/>
      <c r="IB164" s="321"/>
      <c r="IC164" s="321"/>
      <c r="ID164" s="321"/>
      <c r="IE164" s="321"/>
      <c r="IF164" s="564"/>
      <c r="IG164" s="483">
        <v>80</v>
      </c>
      <c r="IH164" s="321"/>
      <c r="II164" s="321"/>
      <c r="IJ164" s="321"/>
      <c r="IK164" s="321"/>
      <c r="IL164" s="321"/>
      <c r="IM164" s="321"/>
      <c r="IN164" s="321"/>
      <c r="IO164" s="321"/>
      <c r="IP164" s="321"/>
      <c r="IQ164" s="321"/>
      <c r="IR164" s="321"/>
      <c r="IS164" s="321"/>
      <c r="IT164" s="321"/>
      <c r="IU164" s="321"/>
      <c r="IV164" s="564"/>
    </row>
    <row r="165" spans="1:256" s="326" customFormat="1" ht="8.25" customHeight="1">
      <c r="A165" s="483"/>
      <c r="B165" s="321"/>
      <c r="C165" s="321"/>
      <c r="D165" s="321"/>
      <c r="E165" s="201"/>
      <c r="F165" s="314"/>
      <c r="G165" s="199"/>
      <c r="H165" s="199"/>
      <c r="I165" s="199"/>
      <c r="J165" s="199"/>
      <c r="K165" s="314"/>
      <c r="L165" s="201"/>
      <c r="M165" s="321"/>
      <c r="N165" s="321"/>
      <c r="O165" s="321"/>
      <c r="P165" s="564"/>
      <c r="Q165" s="483"/>
      <c r="R165" s="321"/>
      <c r="S165" s="321"/>
      <c r="T165" s="321"/>
      <c r="U165" s="201"/>
      <c r="V165" s="314"/>
      <c r="W165" s="199"/>
      <c r="X165" s="199"/>
      <c r="Y165" s="199"/>
      <c r="Z165" s="199"/>
      <c r="AA165" s="314"/>
      <c r="AB165" s="201"/>
      <c r="AC165" s="321"/>
      <c r="AD165" s="321"/>
      <c r="AE165" s="321"/>
      <c r="AF165" s="321"/>
      <c r="AG165" s="293"/>
      <c r="AH165" s="161"/>
      <c r="AI165" s="161"/>
      <c r="AJ165" s="161"/>
      <c r="AK165" s="161"/>
      <c r="AL165" s="293"/>
      <c r="AM165" s="161"/>
      <c r="AN165" s="161"/>
      <c r="AO165" s="161"/>
      <c r="AP165" s="161"/>
      <c r="AQ165" s="206"/>
      <c r="AR165" s="201"/>
      <c r="AS165" s="201"/>
      <c r="AT165" s="201"/>
      <c r="AU165" s="201"/>
      <c r="AV165" s="201"/>
      <c r="AW165" s="321"/>
      <c r="AX165" s="321"/>
      <c r="AY165" s="321"/>
      <c r="AZ165"/>
      <c r="BA165"/>
      <c r="BB165"/>
      <c r="BC165"/>
      <c r="BD165"/>
      <c r="BE165"/>
      <c r="BF165"/>
      <c r="BG165"/>
      <c r="BH165"/>
      <c r="BI165" s="321"/>
      <c r="BJ165" s="321"/>
      <c r="BK165" s="321"/>
      <c r="BL165" s="564"/>
      <c r="BM165" s="483"/>
      <c r="BN165" s="321"/>
      <c r="BO165" s="321"/>
      <c r="BP165" s="321"/>
      <c r="BQ165" s="321"/>
      <c r="BR165" s="321"/>
      <c r="BS165" s="321"/>
      <c r="BT165" s="321"/>
      <c r="BU165" s="321"/>
      <c r="BV165" s="321"/>
      <c r="BW165" s="321"/>
      <c r="BX165" s="321"/>
      <c r="BY165" s="321"/>
      <c r="BZ165" s="321"/>
      <c r="CA165" s="321"/>
      <c r="CB165" s="564"/>
      <c r="CC165" s="483"/>
      <c r="CD165" s="321"/>
      <c r="CE165" s="321"/>
      <c r="CF165" s="321"/>
      <c r="CG165" s="321"/>
      <c r="CH165" s="321"/>
      <c r="CI165" s="321"/>
      <c r="CJ165" s="321"/>
      <c r="CK165" s="321"/>
      <c r="CL165" s="321"/>
      <c r="CM165" s="321"/>
      <c r="CN165" s="321"/>
      <c r="CO165" s="321"/>
      <c r="CP165" s="321"/>
      <c r="CQ165" s="321"/>
      <c r="CR165" s="564"/>
      <c r="CS165" s="483"/>
      <c r="CT165" s="321"/>
      <c r="CU165" s="321"/>
      <c r="CV165" s="321"/>
      <c r="CW165" s="321"/>
      <c r="CX165" s="321"/>
      <c r="CY165" s="321"/>
      <c r="CZ165" s="321"/>
      <c r="DA165" s="321"/>
      <c r="DB165" s="321"/>
      <c r="DC165" s="321"/>
      <c r="DD165" s="321"/>
      <c r="DE165" s="321"/>
      <c r="DF165" s="321"/>
      <c r="DG165" s="321"/>
      <c r="DH165" s="321"/>
      <c r="DI165" s="483"/>
      <c r="DJ165" s="321"/>
      <c r="DK165" s="321"/>
      <c r="DL165" s="321"/>
      <c r="DM165" s="321"/>
      <c r="DN165" s="321"/>
      <c r="DO165" s="321"/>
      <c r="DP165" s="321"/>
      <c r="DQ165" s="321"/>
      <c r="DR165" s="321"/>
      <c r="DS165" s="321"/>
      <c r="DT165" s="321"/>
      <c r="DU165" s="321"/>
      <c r="DV165" s="321"/>
      <c r="DW165" s="321"/>
      <c r="DX165" s="564"/>
      <c r="DY165" s="321"/>
      <c r="DZ165" s="321"/>
      <c r="EA165" s="321"/>
      <c r="EB165" s="321"/>
      <c r="EC165" s="321"/>
      <c r="ED165" s="321"/>
      <c r="EE165" s="321"/>
      <c r="EF165" s="321"/>
      <c r="EG165" s="321"/>
      <c r="EH165" s="321"/>
      <c r="EI165" s="321"/>
      <c r="EJ165" s="321"/>
      <c r="EK165" s="321"/>
      <c r="EL165" s="321"/>
      <c r="EM165" s="321"/>
      <c r="EN165" s="564"/>
      <c r="EO165" s="483"/>
      <c r="EP165" s="321"/>
      <c r="EQ165" s="321"/>
      <c r="ER165" s="321"/>
      <c r="ES165" s="321"/>
      <c r="ET165" s="321"/>
      <c r="EU165" s="321"/>
      <c r="EV165" s="321"/>
      <c r="EW165" s="321"/>
      <c r="EX165" s="321"/>
      <c r="EY165" s="321"/>
      <c r="EZ165" s="321"/>
      <c r="FA165" s="321"/>
      <c r="FB165" s="321"/>
      <c r="FC165" s="321"/>
      <c r="FD165" s="564"/>
      <c r="FE165" s="483"/>
      <c r="FF165" s="321"/>
      <c r="FG165" s="321"/>
      <c r="FH165" s="321"/>
      <c r="FI165" s="321"/>
      <c r="FJ165" s="321"/>
      <c r="FK165" s="321"/>
      <c r="FL165" s="321"/>
      <c r="FM165" s="321"/>
      <c r="FN165" s="321"/>
      <c r="FO165" s="321"/>
      <c r="FP165" s="321"/>
      <c r="FQ165" s="321"/>
      <c r="FR165" s="321"/>
      <c r="FS165" s="321"/>
      <c r="FT165" s="564"/>
      <c r="FU165" s="483">
        <v>10</v>
      </c>
      <c r="FV165" s="321"/>
      <c r="FW165" s="321"/>
      <c r="FX165" s="321"/>
      <c r="FY165" s="321"/>
      <c r="FZ165" s="321"/>
      <c r="GA165" s="321"/>
      <c r="GB165" s="321"/>
      <c r="GC165" s="321"/>
      <c r="GD165" s="321"/>
      <c r="GE165" s="321"/>
      <c r="GF165" s="321"/>
      <c r="GG165" s="321"/>
      <c r="GH165" s="321"/>
      <c r="GI165" s="321"/>
      <c r="GJ165" s="564"/>
      <c r="GK165" s="483"/>
      <c r="GL165" s="321"/>
      <c r="GM165" s="321"/>
      <c r="GN165" s="321"/>
      <c r="GO165" s="321"/>
      <c r="GP165" s="321"/>
      <c r="GQ165" s="321"/>
      <c r="GR165" s="321"/>
      <c r="GS165" s="321"/>
      <c r="GT165" s="321"/>
      <c r="GU165" s="321"/>
      <c r="GV165" s="321"/>
      <c r="GW165" s="458"/>
      <c r="GX165" s="458"/>
      <c r="GY165" s="321"/>
      <c r="GZ165" s="564"/>
      <c r="HA165" s="483"/>
      <c r="HB165" s="321"/>
      <c r="HC165" s="321"/>
      <c r="HD165" s="462"/>
      <c r="HE165" s="321"/>
      <c r="HF165" s="321"/>
      <c r="HG165" s="321"/>
      <c r="HH165" s="321"/>
      <c r="HI165" s="321"/>
      <c r="HJ165" s="321"/>
      <c r="HK165" s="321"/>
      <c r="HL165" s="321"/>
      <c r="HM165" s="458"/>
      <c r="HN165" s="458"/>
      <c r="HO165" s="321"/>
      <c r="HP165" s="564"/>
      <c r="HQ165" s="483"/>
      <c r="HR165" s="321"/>
      <c r="HS165" s="321"/>
      <c r="HT165" s="321"/>
      <c r="HU165" s="321"/>
      <c r="HV165" s="321"/>
      <c r="HW165" s="321"/>
      <c r="HX165" s="321"/>
      <c r="HY165" s="321"/>
      <c r="HZ165" s="321"/>
      <c r="IA165" s="321"/>
      <c r="IB165" s="321"/>
      <c r="IC165" s="321"/>
      <c r="ID165" s="321"/>
      <c r="IE165" s="321"/>
      <c r="IF165" s="564"/>
      <c r="IG165" s="483"/>
      <c r="IH165" s="321"/>
      <c r="II165" s="321"/>
      <c r="IJ165" s="321"/>
      <c r="IK165" s="321"/>
      <c r="IL165" s="321"/>
      <c r="IM165" s="321"/>
      <c r="IN165" s="321"/>
      <c r="IO165" s="321"/>
      <c r="IP165" s="321"/>
      <c r="IQ165" s="321"/>
      <c r="IR165" s="321"/>
      <c r="IS165" s="321"/>
      <c r="IT165" s="321"/>
      <c r="IU165" s="321"/>
      <c r="IV165" s="564"/>
    </row>
    <row r="166" spans="1:256" s="326" customFormat="1" ht="8.25" customHeight="1">
      <c r="A166" s="483"/>
      <c r="B166" s="321"/>
      <c r="C166" s="321"/>
      <c r="D166" s="321"/>
      <c r="E166" s="200"/>
      <c r="F166" s="310"/>
      <c r="G166" s="310"/>
      <c r="H166" s="199"/>
      <c r="I166" s="199"/>
      <c r="J166" s="310"/>
      <c r="K166" s="310"/>
      <c r="L166" s="200"/>
      <c r="M166" s="321"/>
      <c r="N166" s="321"/>
      <c r="O166" s="321"/>
      <c r="P166" s="564"/>
      <c r="Q166" s="483"/>
      <c r="R166" s="321"/>
      <c r="S166" s="321"/>
      <c r="T166" s="321"/>
      <c r="U166" s="200"/>
      <c r="V166" s="310"/>
      <c r="W166" s="310"/>
      <c r="X166" s="199"/>
      <c r="Y166" s="199"/>
      <c r="Z166" s="310"/>
      <c r="AA166" s="310"/>
      <c r="AB166" s="200"/>
      <c r="AC166" s="321"/>
      <c r="AD166" s="321"/>
      <c r="AE166" s="321"/>
      <c r="AF166" s="321"/>
      <c r="AG166" s="293"/>
      <c r="AH166" s="161"/>
      <c r="AI166" s="293"/>
      <c r="AJ166" s="161"/>
      <c r="AK166" s="161"/>
      <c r="AL166" s="161"/>
      <c r="AM166" s="161"/>
      <c r="AN166" s="161"/>
      <c r="AO166" s="161"/>
      <c r="AP166" s="161"/>
      <c r="AQ166" s="161"/>
      <c r="AR166" s="161"/>
      <c r="AS166" s="161"/>
      <c r="AT166" s="161"/>
      <c r="AU166" s="297"/>
      <c r="AV166" s="293"/>
      <c r="AW166" s="321"/>
      <c r="AX166" s="321"/>
      <c r="AY166" s="321"/>
      <c r="AZ166"/>
      <c r="BA166"/>
      <c r="BB166"/>
      <c r="BC166"/>
      <c r="BD166"/>
      <c r="BE166"/>
      <c r="BF166"/>
      <c r="BG166"/>
      <c r="BH166"/>
      <c r="BI166" s="321"/>
      <c r="BJ166" s="321"/>
      <c r="BK166" s="321"/>
      <c r="BL166" s="564"/>
      <c r="BM166" s="483"/>
      <c r="BN166" s="321"/>
      <c r="BO166" s="321"/>
      <c r="BP166" s="321"/>
      <c r="BQ166" s="321"/>
      <c r="BR166" s="321"/>
      <c r="BS166" s="321"/>
      <c r="BT166" s="321"/>
      <c r="BU166" s="321"/>
      <c r="BV166" s="321"/>
      <c r="BW166" s="321"/>
      <c r="BX166" s="321"/>
      <c r="BY166" s="321"/>
      <c r="BZ166" s="321"/>
      <c r="CA166" s="321"/>
      <c r="CB166" s="564"/>
      <c r="CC166" s="483"/>
      <c r="CD166" s="321"/>
      <c r="CE166" s="321"/>
      <c r="CF166" s="321"/>
      <c r="CG166" s="321"/>
      <c r="CH166" s="321"/>
      <c r="CI166" s="321"/>
      <c r="CJ166" s="321"/>
      <c r="CK166" s="321"/>
      <c r="CL166" s="321"/>
      <c r="CM166" s="321"/>
      <c r="CN166" s="321"/>
      <c r="CO166" s="321"/>
      <c r="CP166" s="321"/>
      <c r="CQ166" s="321"/>
      <c r="CR166" s="564"/>
      <c r="CS166" s="483"/>
      <c r="CT166" s="321"/>
      <c r="CU166" s="321"/>
      <c r="CV166" s="321"/>
      <c r="CW166" s="321"/>
      <c r="CX166" s="321"/>
      <c r="CY166" s="321"/>
      <c r="CZ166" s="321"/>
      <c r="DA166" s="321"/>
      <c r="DB166" s="321"/>
      <c r="DC166" s="321"/>
      <c r="DD166" s="321"/>
      <c r="DE166" s="321"/>
      <c r="DF166" s="321"/>
      <c r="DG166" s="321"/>
      <c r="DH166" s="321"/>
      <c r="DI166" s="483"/>
      <c r="DJ166" s="321"/>
      <c r="DK166" s="321"/>
      <c r="DL166" s="321"/>
      <c r="DM166" s="321"/>
      <c r="DN166" s="321"/>
      <c r="DO166" s="321"/>
      <c r="DP166" s="321"/>
      <c r="DQ166" s="321"/>
      <c r="DR166" s="321"/>
      <c r="DS166" s="321"/>
      <c r="DT166" s="321"/>
      <c r="DU166" s="321"/>
      <c r="DV166" s="321"/>
      <c r="DW166" s="321"/>
      <c r="DX166" s="564"/>
      <c r="DY166" s="321"/>
      <c r="DZ166" s="321"/>
      <c r="EA166" s="321"/>
      <c r="EB166" s="321"/>
      <c r="EC166" s="321"/>
      <c r="ED166" s="321"/>
      <c r="EE166" s="321"/>
      <c r="EF166" s="321"/>
      <c r="EG166" s="321"/>
      <c r="EH166" s="321"/>
      <c r="EI166" s="321"/>
      <c r="EJ166" s="321"/>
      <c r="EK166" s="321"/>
      <c r="EL166" s="321"/>
      <c r="EM166" s="321"/>
      <c r="EN166" s="564"/>
      <c r="EO166" s="483"/>
      <c r="EP166" s="321"/>
      <c r="EQ166" s="321"/>
      <c r="ER166" s="321"/>
      <c r="ES166" s="321"/>
      <c r="ET166" s="321"/>
      <c r="EU166" s="321"/>
      <c r="EV166" s="321"/>
      <c r="EW166" s="321"/>
      <c r="EX166" s="321"/>
      <c r="EY166" s="321"/>
      <c r="EZ166" s="321"/>
      <c r="FA166" s="321"/>
      <c r="FB166" s="321"/>
      <c r="FC166" s="321"/>
      <c r="FD166" s="564"/>
      <c r="FE166" s="483"/>
      <c r="FF166" s="321"/>
      <c r="FG166" s="321"/>
      <c r="FH166" s="321"/>
      <c r="FI166" s="321"/>
      <c r="FJ166" s="321"/>
      <c r="FK166" s="321"/>
      <c r="FL166" s="321"/>
      <c r="FM166" s="321"/>
      <c r="FN166" s="321"/>
      <c r="FO166" s="321"/>
      <c r="FP166" s="321"/>
      <c r="FQ166" s="321"/>
      <c r="FR166" s="321"/>
      <c r="FS166" s="321"/>
      <c r="FT166" s="564"/>
      <c r="FU166" s="483">
        <v>85</v>
      </c>
      <c r="FV166" s="321"/>
      <c r="FW166" s="321"/>
      <c r="FX166" s="321"/>
      <c r="FY166" s="321"/>
      <c r="FZ166" s="321"/>
      <c r="GA166" s="321"/>
      <c r="GB166" s="321"/>
      <c r="GC166" s="321"/>
      <c r="GD166" s="321"/>
      <c r="GE166" s="321"/>
      <c r="GF166" s="321"/>
      <c r="GG166" s="321"/>
      <c r="GH166" s="321"/>
      <c r="GI166" s="321"/>
      <c r="GJ166" s="564"/>
      <c r="GK166" s="483"/>
      <c r="GL166" s="321"/>
      <c r="GM166" s="321"/>
      <c r="GN166" s="321"/>
      <c r="GO166" s="321"/>
      <c r="GP166" s="321"/>
      <c r="GQ166" s="321"/>
      <c r="GR166" s="321"/>
      <c r="GS166" s="321"/>
      <c r="GT166" s="321"/>
      <c r="GU166" s="321"/>
      <c r="GV166" s="458"/>
      <c r="GW166" s="451"/>
      <c r="GX166" s="451"/>
      <c r="GY166" s="458"/>
      <c r="GZ166" s="564"/>
      <c r="HA166" s="483"/>
      <c r="HB166" s="321"/>
      <c r="HC166" s="321"/>
      <c r="HD166" s="321"/>
      <c r="HE166" s="321"/>
      <c r="HF166" s="321"/>
      <c r="HG166" s="321"/>
      <c r="HH166" s="321"/>
      <c r="HI166" s="321"/>
      <c r="HJ166" s="321"/>
      <c r="HK166" s="321"/>
      <c r="HL166" s="458"/>
      <c r="HM166" s="458"/>
      <c r="HN166" s="451"/>
      <c r="HO166" s="458"/>
      <c r="HP166" s="564"/>
      <c r="HQ166" s="483">
        <v>97</v>
      </c>
      <c r="HR166" s="321"/>
      <c r="HS166" s="321"/>
      <c r="HT166" s="321"/>
      <c r="HU166" s="321"/>
      <c r="HV166" s="321"/>
      <c r="HW166" s="321"/>
      <c r="HX166" s="321"/>
      <c r="HY166" s="321"/>
      <c r="HZ166" s="321"/>
      <c r="IA166" s="321"/>
      <c r="IB166" s="321"/>
      <c r="IC166" s="321"/>
      <c r="ID166" s="321"/>
      <c r="IE166" s="321"/>
      <c r="IF166" s="564"/>
      <c r="IG166" s="483">
        <v>97</v>
      </c>
      <c r="IH166" s="321"/>
      <c r="II166" s="321"/>
      <c r="IJ166" s="321"/>
      <c r="IK166" s="321"/>
      <c r="IL166" s="321"/>
      <c r="IM166" s="321"/>
      <c r="IN166" s="321"/>
      <c r="IO166" s="321"/>
      <c r="IP166" s="321"/>
      <c r="IQ166" s="321"/>
      <c r="IR166" s="321"/>
      <c r="IS166" s="321"/>
      <c r="IT166" s="321"/>
      <c r="IU166" s="321"/>
      <c r="IV166" s="564"/>
    </row>
    <row r="167" spans="1:256" s="326" customFormat="1" ht="8.25" customHeight="1">
      <c r="A167" s="483"/>
      <c r="B167" s="321"/>
      <c r="C167" s="321"/>
      <c r="D167" s="201"/>
      <c r="E167" s="310"/>
      <c r="F167" s="314"/>
      <c r="G167" s="199"/>
      <c r="H167" s="200"/>
      <c r="I167" s="200"/>
      <c r="J167" s="199"/>
      <c r="K167" s="314"/>
      <c r="L167" s="310"/>
      <c r="M167" s="201"/>
      <c r="N167" s="321"/>
      <c r="O167" s="321"/>
      <c r="P167" s="564"/>
      <c r="Q167" s="483"/>
      <c r="R167" s="321"/>
      <c r="S167" s="321"/>
      <c r="T167" s="201"/>
      <c r="U167" s="310"/>
      <c r="V167" s="314"/>
      <c r="W167" s="199"/>
      <c r="X167" s="200"/>
      <c r="Y167" s="200"/>
      <c r="Z167" s="199"/>
      <c r="AA167" s="314"/>
      <c r="AB167" s="310"/>
      <c r="AC167" s="201"/>
      <c r="AD167" s="321"/>
      <c r="AE167" s="321"/>
      <c r="AF167" s="321"/>
      <c r="AG167" s="293"/>
      <c r="AH167" s="161"/>
      <c r="AI167" s="293"/>
      <c r="AJ167" s="161"/>
      <c r="AK167" s="293"/>
      <c r="AL167" s="297"/>
      <c r="AM167" s="297"/>
      <c r="AN167" s="297"/>
      <c r="AO167" s="297"/>
      <c r="AP167" s="297"/>
      <c r="AQ167" s="297"/>
      <c r="AR167" s="293"/>
      <c r="AS167" s="161"/>
      <c r="AT167" s="161"/>
      <c r="AU167" s="293"/>
      <c r="AV167" s="293"/>
      <c r="AW167" s="321"/>
      <c r="AX167" s="321"/>
      <c r="AY167" s="321"/>
      <c r="AZ167"/>
      <c r="BA167"/>
      <c r="BB167"/>
      <c r="BC167"/>
      <c r="BD167"/>
      <c r="BE167"/>
      <c r="BF167"/>
      <c r="BG167"/>
      <c r="BH167"/>
      <c r="BI167" s="321"/>
      <c r="BJ167" s="321"/>
      <c r="BK167" s="321"/>
      <c r="BL167" s="564"/>
      <c r="BM167" s="483"/>
      <c r="BN167" s="321"/>
      <c r="BO167" s="321"/>
      <c r="BP167" s="321"/>
      <c r="BQ167" s="321"/>
      <c r="BR167" s="321"/>
      <c r="BS167" s="321"/>
      <c r="BT167" s="321"/>
      <c r="BU167" s="321"/>
      <c r="BV167" s="321"/>
      <c r="BW167" s="321"/>
      <c r="BX167" s="321"/>
      <c r="BY167" s="321"/>
      <c r="BZ167" s="321"/>
      <c r="CA167" s="321"/>
      <c r="CB167" s="564"/>
      <c r="CC167" s="483"/>
      <c r="CD167" s="321"/>
      <c r="CE167" s="321"/>
      <c r="CF167" s="321"/>
      <c r="CG167" s="321"/>
      <c r="CH167" s="321"/>
      <c r="CI167" s="321"/>
      <c r="CJ167" s="321"/>
      <c r="CK167" s="321"/>
      <c r="CL167" s="321"/>
      <c r="CM167" s="321"/>
      <c r="CN167" s="321"/>
      <c r="CO167" s="321"/>
      <c r="CP167" s="321"/>
      <c r="CQ167" s="321"/>
      <c r="CR167" s="564"/>
      <c r="CS167" s="483"/>
      <c r="CT167" s="321"/>
      <c r="CU167" s="321"/>
      <c r="CV167" s="321"/>
      <c r="CW167" s="321"/>
      <c r="CX167" s="321"/>
      <c r="CY167" s="321"/>
      <c r="CZ167" s="321"/>
      <c r="DA167" s="321"/>
      <c r="DB167" s="321"/>
      <c r="DC167" s="321"/>
      <c r="DD167" s="321"/>
      <c r="DE167" s="321"/>
      <c r="DF167" s="321"/>
      <c r="DG167" s="321"/>
      <c r="DH167" s="321"/>
      <c r="DI167" s="483"/>
      <c r="DJ167" s="321"/>
      <c r="DK167" s="321"/>
      <c r="DL167" s="321"/>
      <c r="DM167" s="321"/>
      <c r="DN167" s="321"/>
      <c r="DO167" s="321"/>
      <c r="DP167" s="321"/>
      <c r="DQ167" s="321"/>
      <c r="DR167" s="321"/>
      <c r="DS167" s="440"/>
      <c r="DT167" s="321"/>
      <c r="DU167" s="321"/>
      <c r="DV167" s="321"/>
      <c r="DW167" s="321"/>
      <c r="DX167" s="564"/>
      <c r="DY167" s="483"/>
      <c r="DZ167" s="321"/>
      <c r="EA167" s="321"/>
      <c r="EB167" s="321"/>
      <c r="EC167" s="321"/>
      <c r="ED167" s="321"/>
      <c r="EE167" s="321"/>
      <c r="EF167" s="321"/>
      <c r="EG167" s="321"/>
      <c r="EH167" s="321"/>
      <c r="EI167" s="321"/>
      <c r="EJ167" s="321"/>
      <c r="EK167" s="321"/>
      <c r="EL167" s="321"/>
      <c r="EM167" s="321"/>
      <c r="EN167" s="564"/>
      <c r="EO167" s="483"/>
      <c r="EP167" s="321"/>
      <c r="EQ167" s="321"/>
      <c r="ER167" s="321"/>
      <c r="ES167" s="321"/>
      <c r="ET167" s="321"/>
      <c r="EU167" s="321"/>
      <c r="EV167" s="321"/>
      <c r="EW167" s="321"/>
      <c r="EX167" s="321"/>
      <c r="EY167" s="321"/>
      <c r="EZ167" s="321"/>
      <c r="FA167" s="321"/>
      <c r="FB167" s="321"/>
      <c r="FC167" s="321"/>
      <c r="FD167" s="564"/>
      <c r="FE167" s="483"/>
      <c r="FF167" s="321"/>
      <c r="FG167" s="321"/>
      <c r="FH167" s="321"/>
      <c r="FI167" s="321"/>
      <c r="FJ167" s="321"/>
      <c r="FK167" s="321"/>
      <c r="FL167" s="321"/>
      <c r="FM167" s="321"/>
      <c r="FN167" s="321"/>
      <c r="FO167" s="321"/>
      <c r="FP167" s="321"/>
      <c r="FQ167" s="321"/>
      <c r="FR167" s="321"/>
      <c r="FS167" s="321"/>
      <c r="FT167" s="564"/>
      <c r="FU167" s="483"/>
      <c r="FV167" s="321"/>
      <c r="FW167" s="321"/>
      <c r="FX167" s="321"/>
      <c r="FY167" s="321"/>
      <c r="FZ167" s="321"/>
      <c r="GA167" s="321"/>
      <c r="GB167" s="321"/>
      <c r="GC167" s="321"/>
      <c r="GD167" s="321"/>
      <c r="GE167" s="321"/>
      <c r="GF167" s="321"/>
      <c r="GG167" s="321"/>
      <c r="GH167" s="321"/>
      <c r="GI167" s="321"/>
      <c r="GJ167" s="564"/>
      <c r="GK167" s="321"/>
      <c r="GL167" s="321"/>
      <c r="GM167" s="321"/>
      <c r="GN167" s="458"/>
      <c r="GO167" s="458"/>
      <c r="GP167" s="458"/>
      <c r="GQ167" s="321"/>
      <c r="GR167" s="321"/>
      <c r="GS167" s="321"/>
      <c r="GT167" s="321"/>
      <c r="GU167" s="458"/>
      <c r="GV167" s="451"/>
      <c r="GW167" s="451"/>
      <c r="GX167" s="451"/>
      <c r="GY167" s="451"/>
      <c r="GZ167" s="458"/>
      <c r="HA167" s="321"/>
      <c r="HB167" s="321"/>
      <c r="HC167" s="321"/>
      <c r="HD167" s="458"/>
      <c r="HE167" s="458"/>
      <c r="HF167" s="458"/>
      <c r="HG167" s="321"/>
      <c r="HH167" s="321"/>
      <c r="HI167" s="321"/>
      <c r="HJ167" s="321"/>
      <c r="HK167" s="458"/>
      <c r="HL167" s="458"/>
      <c r="HM167" s="451"/>
      <c r="HN167" s="451"/>
      <c r="HO167" s="451"/>
      <c r="HP167" s="458"/>
      <c r="HQ167" s="483"/>
      <c r="HR167" s="321"/>
      <c r="HS167" s="321"/>
      <c r="HT167" s="321"/>
      <c r="HU167" s="321"/>
      <c r="HV167" s="321"/>
      <c r="HW167" s="321"/>
      <c r="HX167" s="321"/>
      <c r="HY167" s="321"/>
      <c r="HZ167" s="321"/>
      <c r="IA167" s="321"/>
      <c r="IB167" s="321"/>
      <c r="IC167" s="321"/>
      <c r="ID167" s="321"/>
      <c r="IE167" s="321"/>
      <c r="IF167" s="564"/>
      <c r="IG167" s="483"/>
      <c r="IH167" s="321"/>
      <c r="II167" s="321"/>
      <c r="IJ167" s="321"/>
      <c r="IK167" s="321"/>
      <c r="IL167" s="321"/>
      <c r="IM167" s="321"/>
      <c r="IN167" s="321"/>
      <c r="IO167" s="321"/>
      <c r="IP167" s="321"/>
      <c r="IQ167" s="321"/>
      <c r="IR167" s="321"/>
      <c r="IS167" s="321"/>
      <c r="IT167" s="321"/>
      <c r="IU167" s="321"/>
      <c r="IV167" s="564"/>
    </row>
    <row r="168" spans="1:256" s="326" customFormat="1" ht="8.25" customHeight="1">
      <c r="A168" s="483"/>
      <c r="B168" s="321"/>
      <c r="C168" s="321"/>
      <c r="D168" s="200"/>
      <c r="E168" s="314"/>
      <c r="F168" s="314"/>
      <c r="G168" s="314"/>
      <c r="H168" s="199"/>
      <c r="I168" s="199"/>
      <c r="J168" s="314"/>
      <c r="K168" s="314"/>
      <c r="L168" s="314"/>
      <c r="M168" s="200"/>
      <c r="N168" s="321"/>
      <c r="O168" s="321"/>
      <c r="P168" s="564"/>
      <c r="Q168" s="483"/>
      <c r="R168" s="321"/>
      <c r="S168" s="321"/>
      <c r="T168" s="200"/>
      <c r="U168" s="314"/>
      <c r="V168" s="314"/>
      <c r="W168" s="314"/>
      <c r="X168" s="199"/>
      <c r="Y168" s="199"/>
      <c r="Z168" s="314"/>
      <c r="AA168" s="314"/>
      <c r="AB168" s="314"/>
      <c r="AC168" s="200"/>
      <c r="AD168" s="321"/>
      <c r="AE168" s="321"/>
      <c r="AF168" s="321"/>
      <c r="AG168" s="293"/>
      <c r="AH168" s="161"/>
      <c r="AI168" s="161"/>
      <c r="AJ168" s="293"/>
      <c r="AK168" s="200"/>
      <c r="AL168" s="200"/>
      <c r="AM168" s="200"/>
      <c r="AN168" s="200"/>
      <c r="AO168" s="200"/>
      <c r="AP168" s="200"/>
      <c r="AQ168" s="200"/>
      <c r="AR168" s="200"/>
      <c r="AS168" s="293"/>
      <c r="AT168" s="161"/>
      <c r="AU168" s="161"/>
      <c r="AV168" s="293"/>
      <c r="AW168" s="321"/>
      <c r="AX168" s="321"/>
      <c r="AY168" s="321"/>
      <c r="AZ168"/>
      <c r="BA168"/>
      <c r="BB168"/>
      <c r="BC168"/>
      <c r="BD168"/>
      <c r="BE168"/>
      <c r="BF168"/>
      <c r="BG168"/>
      <c r="BH168"/>
      <c r="BI168" s="321"/>
      <c r="BJ168" s="321"/>
      <c r="BK168" s="321"/>
      <c r="BL168" s="564"/>
      <c r="BM168" s="483"/>
      <c r="BN168" s="321"/>
      <c r="BO168" s="321"/>
      <c r="BP168" s="321"/>
      <c r="BQ168" s="321"/>
      <c r="BR168" s="321"/>
      <c r="BS168" s="321"/>
      <c r="BT168" s="321"/>
      <c r="BU168" s="321"/>
      <c r="BV168" s="321"/>
      <c r="BW168" s="321"/>
      <c r="BX168" s="321"/>
      <c r="BY168" s="321"/>
      <c r="BZ168" s="321"/>
      <c r="CA168" s="321"/>
      <c r="CB168" s="564"/>
      <c r="CC168" s="483"/>
      <c r="CD168" s="321"/>
      <c r="CE168" s="321"/>
      <c r="CF168" s="321"/>
      <c r="CG168" s="321"/>
      <c r="CH168" s="321"/>
      <c r="CI168" s="321"/>
      <c r="CJ168" s="321"/>
      <c r="CK168" s="321"/>
      <c r="CL168" s="321"/>
      <c r="CM168" s="321"/>
      <c r="CN168" s="321"/>
      <c r="CO168" s="321"/>
      <c r="CP168" s="321"/>
      <c r="CQ168" s="321"/>
      <c r="CR168" s="564"/>
      <c r="CS168" s="483"/>
      <c r="CT168" s="321"/>
      <c r="CU168" s="321"/>
      <c r="CV168" s="321"/>
      <c r="CW168" s="321"/>
      <c r="CX168" s="321"/>
      <c r="CY168" s="321"/>
      <c r="CZ168" s="321"/>
      <c r="DA168" s="321"/>
      <c r="DB168" s="321"/>
      <c r="DC168" s="321"/>
      <c r="DD168" s="321"/>
      <c r="DE168" s="321"/>
      <c r="DF168" s="321"/>
      <c r="DG168" s="321"/>
      <c r="DH168" s="321"/>
      <c r="DI168" s="483"/>
      <c r="DJ168" s="321"/>
      <c r="DK168" s="321"/>
      <c r="DL168" s="321"/>
      <c r="DM168" s="426"/>
      <c r="DN168" s="321"/>
      <c r="DO168" s="321"/>
      <c r="DP168" s="321"/>
      <c r="DQ168" s="440"/>
      <c r="DR168" s="321"/>
      <c r="DS168" s="321"/>
      <c r="DT168" s="321"/>
      <c r="DU168" s="321"/>
      <c r="DV168" s="321"/>
      <c r="DW168" s="321"/>
      <c r="DX168" s="564"/>
      <c r="DY168" s="483"/>
      <c r="DZ168" s="321"/>
      <c r="EA168" s="321"/>
      <c r="EB168" s="321"/>
      <c r="EC168" s="321"/>
      <c r="ED168" s="321"/>
      <c r="EE168" s="321"/>
      <c r="EF168" s="321"/>
      <c r="EG168" s="321"/>
      <c r="EH168" s="321"/>
      <c r="EI168" s="321"/>
      <c r="EJ168" s="321"/>
      <c r="EK168" s="321"/>
      <c r="EL168" s="321"/>
      <c r="EM168" s="321"/>
      <c r="EN168" s="564"/>
      <c r="EO168" s="483"/>
      <c r="EP168" s="321"/>
      <c r="EQ168" s="321"/>
      <c r="ER168" s="321"/>
      <c r="ES168" s="321"/>
      <c r="ET168" s="321"/>
      <c r="EU168" s="321"/>
      <c r="EV168" s="321"/>
      <c r="EW168" s="321"/>
      <c r="EX168" s="321"/>
      <c r="EY168" s="321"/>
      <c r="EZ168" s="321"/>
      <c r="FA168" s="321"/>
      <c r="FB168" s="321"/>
      <c r="FC168" s="321"/>
      <c r="FD168" s="564"/>
      <c r="FE168" s="483"/>
      <c r="FF168" s="321"/>
      <c r="FG168" s="321"/>
      <c r="FH168" s="321"/>
      <c r="FI168" s="321"/>
      <c r="FJ168" s="321"/>
      <c r="FK168" s="321"/>
      <c r="FL168" s="321"/>
      <c r="FM168" s="321"/>
      <c r="FN168" s="321"/>
      <c r="FO168" s="321"/>
      <c r="FP168" s="321"/>
      <c r="FQ168" s="321"/>
      <c r="FR168" s="321"/>
      <c r="FS168" s="321"/>
      <c r="FT168" s="564"/>
      <c r="FU168" s="483"/>
      <c r="FV168" s="321"/>
      <c r="FW168" s="321"/>
      <c r="FX168" s="321"/>
      <c r="FY168" s="321"/>
      <c r="FZ168" s="321"/>
      <c r="GA168" s="321"/>
      <c r="GB168" s="321"/>
      <c r="GC168" s="321"/>
      <c r="GD168" s="321"/>
      <c r="GE168" s="321"/>
      <c r="GF168" s="321"/>
      <c r="GG168" s="321"/>
      <c r="GH168" s="321"/>
      <c r="GI168" s="321"/>
      <c r="GJ168" s="564"/>
      <c r="GK168" s="321"/>
      <c r="GL168" s="458"/>
      <c r="GM168" s="458"/>
      <c r="GN168" s="451"/>
      <c r="GO168" s="451"/>
      <c r="GP168" s="451"/>
      <c r="GQ168" s="458"/>
      <c r="GR168" s="458"/>
      <c r="GS168" s="321"/>
      <c r="GT168" s="458"/>
      <c r="GU168" s="451"/>
      <c r="GV168" s="451"/>
      <c r="GW168" s="451"/>
      <c r="GX168" s="451"/>
      <c r="GY168" s="451"/>
      <c r="GZ168" s="458"/>
      <c r="HA168" s="321"/>
      <c r="HB168" s="458"/>
      <c r="HC168" s="458"/>
      <c r="HD168" s="458"/>
      <c r="HE168" s="451"/>
      <c r="HF168" s="451"/>
      <c r="HG168" s="458"/>
      <c r="HH168" s="458"/>
      <c r="HI168" s="321"/>
      <c r="HJ168" s="458"/>
      <c r="HK168" s="458"/>
      <c r="HL168" s="451"/>
      <c r="HM168" s="451"/>
      <c r="HN168" s="451"/>
      <c r="HO168" s="451"/>
      <c r="HP168" s="458"/>
      <c r="HQ168" s="483"/>
      <c r="HR168" s="321"/>
      <c r="HS168" s="321"/>
      <c r="HT168" s="321"/>
      <c r="HU168" s="321"/>
      <c r="HV168" s="321"/>
      <c r="HW168" s="321"/>
      <c r="HX168" s="321"/>
      <c r="HY168" s="321"/>
      <c r="HZ168" s="321"/>
      <c r="IA168" s="321"/>
      <c r="IB168" s="321"/>
      <c r="IC168" s="321"/>
      <c r="ID168" s="321"/>
      <c r="IE168" s="321"/>
      <c r="IF168" s="564"/>
      <c r="IG168" s="483"/>
      <c r="IH168" s="321"/>
      <c r="II168" s="321"/>
      <c r="IJ168" s="321"/>
      <c r="IK168" s="321"/>
      <c r="IL168" s="321"/>
      <c r="IM168" s="321"/>
      <c r="IN168" s="321"/>
      <c r="IO168" s="321"/>
      <c r="IP168" s="321"/>
      <c r="IQ168" s="321"/>
      <c r="IR168" s="321"/>
      <c r="IS168" s="321"/>
      <c r="IT168" s="321"/>
      <c r="IU168" s="321"/>
      <c r="IV168" s="564"/>
    </row>
    <row r="169" spans="1:256" s="326" customFormat="1" ht="8.25" customHeight="1">
      <c r="A169" s="483"/>
      <c r="B169" s="321"/>
      <c r="C169" s="201"/>
      <c r="D169" s="310"/>
      <c r="E169" s="305"/>
      <c r="F169" s="201"/>
      <c r="G169" s="314"/>
      <c r="H169" s="314"/>
      <c r="I169" s="314"/>
      <c r="J169" s="314"/>
      <c r="K169" s="201"/>
      <c r="L169" s="305"/>
      <c r="M169" s="310"/>
      <c r="N169" s="201"/>
      <c r="O169" s="321"/>
      <c r="P169" s="564"/>
      <c r="Q169" s="483"/>
      <c r="R169" s="321"/>
      <c r="S169" s="201"/>
      <c r="T169" s="310"/>
      <c r="U169" s="305"/>
      <c r="V169" s="201"/>
      <c r="W169" s="314"/>
      <c r="X169" s="314"/>
      <c r="Y169" s="314"/>
      <c r="Z169" s="314"/>
      <c r="AA169" s="201"/>
      <c r="AB169" s="305"/>
      <c r="AC169" s="310"/>
      <c r="AD169" s="201"/>
      <c r="AE169" s="321"/>
      <c r="AF169" s="321"/>
      <c r="AG169" s="293"/>
      <c r="AH169" s="161"/>
      <c r="AI169" s="297"/>
      <c r="AJ169" s="200"/>
      <c r="AK169" s="201"/>
      <c r="AL169" s="199"/>
      <c r="AM169" s="305"/>
      <c r="AN169" s="305"/>
      <c r="AO169" s="201"/>
      <c r="AP169" s="199"/>
      <c r="AQ169" s="305"/>
      <c r="AR169" s="305"/>
      <c r="AS169" s="199"/>
      <c r="AT169" s="293"/>
      <c r="AU169" s="161"/>
      <c r="AV169" s="293"/>
      <c r="AW169" s="321"/>
      <c r="AX169" s="321"/>
      <c r="AY169" s="321"/>
      <c r="AZ169"/>
      <c r="BA169"/>
      <c r="BB169"/>
      <c r="BC169"/>
      <c r="BD169"/>
      <c r="BE169"/>
      <c r="BF169"/>
      <c r="BG169"/>
      <c r="BH169"/>
      <c r="BI169" s="321"/>
      <c r="BJ169" s="321"/>
      <c r="BK169" s="321"/>
      <c r="BL169" s="564"/>
      <c r="BM169" s="483"/>
      <c r="BN169" s="321"/>
      <c r="BO169" s="321"/>
      <c r="BP169" s="321"/>
      <c r="BQ169" s="321"/>
      <c r="BR169" s="321"/>
      <c r="BS169" s="321"/>
      <c r="BT169" s="321"/>
      <c r="BU169" s="321"/>
      <c r="BV169" s="321"/>
      <c r="BW169" s="321"/>
      <c r="BX169" s="321"/>
      <c r="BY169" s="321"/>
      <c r="BZ169" s="321"/>
      <c r="CA169" s="321"/>
      <c r="CB169" s="564"/>
      <c r="CC169" s="483"/>
      <c r="CD169" s="321"/>
      <c r="CE169" s="321"/>
      <c r="CF169" s="321"/>
      <c r="CG169" s="321"/>
      <c r="CH169" s="321"/>
      <c r="CI169" s="321"/>
      <c r="CJ169" s="321"/>
      <c r="CK169" s="321"/>
      <c r="CL169" s="321"/>
      <c r="CM169" s="321"/>
      <c r="CN169" s="321"/>
      <c r="CO169" s="321"/>
      <c r="CP169" s="321"/>
      <c r="CQ169" s="321"/>
      <c r="CR169" s="564"/>
      <c r="CS169" s="483"/>
      <c r="CT169" s="321"/>
      <c r="CU169" s="321"/>
      <c r="CV169" s="321"/>
      <c r="CW169" s="321"/>
      <c r="CX169" s="321"/>
      <c r="CY169" s="321"/>
      <c r="CZ169" s="321"/>
      <c r="DA169" s="321"/>
      <c r="DB169" s="321"/>
      <c r="DC169" s="321"/>
      <c r="DD169" s="321"/>
      <c r="DE169" s="321"/>
      <c r="DF169" s="321"/>
      <c r="DG169" s="321"/>
      <c r="DH169" s="321"/>
      <c r="DI169" s="1236"/>
      <c r="DJ169" s="328"/>
      <c r="DK169" s="328"/>
      <c r="DL169" s="328"/>
      <c r="DM169" s="321"/>
      <c r="DN169" s="426"/>
      <c r="DO169" s="321"/>
      <c r="DP169" s="440"/>
      <c r="DQ169" s="426"/>
      <c r="DR169" s="433"/>
      <c r="DS169" s="328"/>
      <c r="DT169" s="321"/>
      <c r="DU169" s="321"/>
      <c r="DV169" s="328"/>
      <c r="DW169" s="328"/>
      <c r="DX169" s="1237"/>
      <c r="DY169" s="1236"/>
      <c r="DZ169" s="328"/>
      <c r="EA169" s="328"/>
      <c r="EB169" s="321"/>
      <c r="EC169" s="321"/>
      <c r="ED169" s="321"/>
      <c r="EE169" s="321"/>
      <c r="EF169" s="321"/>
      <c r="EG169" s="321"/>
      <c r="EH169" s="321"/>
      <c r="EI169" s="328"/>
      <c r="EJ169" s="321"/>
      <c r="EK169" s="321"/>
      <c r="EL169" s="328"/>
      <c r="EM169" s="328"/>
      <c r="EN169" s="1237"/>
      <c r="EO169" s="1236"/>
      <c r="EP169" s="328"/>
      <c r="EQ169" s="328"/>
      <c r="ER169" s="328"/>
      <c r="ES169" s="328"/>
      <c r="ET169" s="321"/>
      <c r="EU169" s="321"/>
      <c r="EV169" s="321"/>
      <c r="EW169" s="321"/>
      <c r="EX169" s="321"/>
      <c r="EY169" s="328"/>
      <c r="EZ169" s="321"/>
      <c r="FA169" s="321"/>
      <c r="FB169" s="328"/>
      <c r="FC169" s="328"/>
      <c r="FD169" s="1237"/>
      <c r="FE169" s="1236"/>
      <c r="FF169" s="328"/>
      <c r="FG169" s="328"/>
      <c r="FH169" s="328"/>
      <c r="FI169" s="328"/>
      <c r="FJ169" s="328"/>
      <c r="FK169" s="328"/>
      <c r="FL169" s="328"/>
      <c r="FM169" s="328"/>
      <c r="FN169" s="328"/>
      <c r="FO169" s="328"/>
      <c r="FP169" s="328"/>
      <c r="FQ169" s="328"/>
      <c r="FR169" s="328"/>
      <c r="FS169" s="328"/>
      <c r="FT169" s="1237"/>
      <c r="FU169" s="483"/>
      <c r="FV169" s="321"/>
      <c r="FW169" s="321"/>
      <c r="FX169" s="321"/>
      <c r="FY169" s="321"/>
      <c r="FZ169" s="321"/>
      <c r="GA169" s="321"/>
      <c r="GB169" s="321"/>
      <c r="GC169" s="321"/>
      <c r="GD169" s="321"/>
      <c r="GE169" s="321"/>
      <c r="GF169" s="321"/>
      <c r="GG169" s="321"/>
      <c r="GH169" s="321"/>
      <c r="GI169" s="321"/>
      <c r="GJ169" s="564"/>
      <c r="GK169" s="458"/>
      <c r="GL169" s="451"/>
      <c r="GM169" s="451"/>
      <c r="GN169" s="451"/>
      <c r="GO169" s="451"/>
      <c r="GP169" s="451"/>
      <c r="GQ169" s="451"/>
      <c r="GR169" s="451"/>
      <c r="GS169" s="458"/>
      <c r="GT169" s="451"/>
      <c r="GU169" s="451"/>
      <c r="GV169" s="451"/>
      <c r="GW169" s="451"/>
      <c r="GX169" s="451"/>
      <c r="GY169" s="451"/>
      <c r="GZ169" s="451"/>
      <c r="HA169" s="458"/>
      <c r="HB169" s="458"/>
      <c r="HC169" s="451"/>
      <c r="HD169" s="451"/>
      <c r="HE169" s="451"/>
      <c r="HF169" s="451"/>
      <c r="HG169" s="451"/>
      <c r="HH169" s="451"/>
      <c r="HI169" s="458"/>
      <c r="HJ169" s="458"/>
      <c r="HK169" s="451"/>
      <c r="HL169" s="451"/>
      <c r="HM169" s="451"/>
      <c r="HN169" s="451"/>
      <c r="HO169" s="451"/>
      <c r="HP169" s="451"/>
      <c r="HQ169" s="483"/>
      <c r="HR169" s="321"/>
      <c r="HS169" s="321"/>
      <c r="HT169" s="321"/>
      <c r="HU169" s="321"/>
      <c r="HV169" s="321"/>
      <c r="HW169" s="321"/>
      <c r="HX169" s="321"/>
      <c r="HY169" s="321"/>
      <c r="HZ169" s="321"/>
      <c r="IA169" s="321"/>
      <c r="IB169" s="321"/>
      <c r="IC169" s="321"/>
      <c r="ID169" s="321"/>
      <c r="IE169" s="321"/>
      <c r="IF169" s="564"/>
      <c r="IG169" s="483"/>
      <c r="IH169" s="321"/>
      <c r="II169" s="321"/>
      <c r="IJ169" s="321"/>
      <c r="IK169" s="321"/>
      <c r="IL169" s="321"/>
      <c r="IM169" s="321"/>
      <c r="IN169" s="321"/>
      <c r="IO169" s="321"/>
      <c r="IP169" s="321"/>
      <c r="IQ169" s="321"/>
      <c r="IR169" s="321"/>
      <c r="IS169" s="321"/>
      <c r="IT169" s="321"/>
      <c r="IU169" s="321"/>
      <c r="IV169" s="564"/>
    </row>
    <row r="170" spans="1:256" s="326" customFormat="1" ht="8.25" customHeight="1">
      <c r="A170" s="321"/>
      <c r="B170" s="321"/>
      <c r="C170" s="200"/>
      <c r="D170" s="314"/>
      <c r="E170" s="201"/>
      <c r="F170" s="199"/>
      <c r="G170" s="199"/>
      <c r="H170" s="310"/>
      <c r="I170" s="305"/>
      <c r="J170" s="199"/>
      <c r="K170" s="199"/>
      <c r="L170" s="201"/>
      <c r="M170" s="314"/>
      <c r="N170" s="200"/>
      <c r="O170" s="321"/>
      <c r="P170" s="564"/>
      <c r="Q170" s="321"/>
      <c r="R170" s="321"/>
      <c r="S170" s="200"/>
      <c r="T170" s="314"/>
      <c r="U170" s="201"/>
      <c r="V170" s="199"/>
      <c r="W170" s="199"/>
      <c r="X170" s="310"/>
      <c r="Y170" s="305"/>
      <c r="Z170" s="199"/>
      <c r="AA170" s="199"/>
      <c r="AB170" s="201"/>
      <c r="AC170" s="314"/>
      <c r="AD170" s="200"/>
      <c r="AE170" s="321"/>
      <c r="AF170" s="321"/>
      <c r="AG170" s="293"/>
      <c r="AH170" s="293"/>
      <c r="AI170" s="200"/>
      <c r="AJ170" s="201"/>
      <c r="AK170" s="199"/>
      <c r="AL170" s="305"/>
      <c r="AM170" s="305"/>
      <c r="AN170" s="201"/>
      <c r="AO170" s="199"/>
      <c r="AP170" s="305"/>
      <c r="AQ170" s="305"/>
      <c r="AR170" s="201"/>
      <c r="AS170" s="199"/>
      <c r="AT170" s="200"/>
      <c r="AU170" s="293"/>
      <c r="AV170" s="293"/>
      <c r="AW170" s="321">
        <v>-12</v>
      </c>
      <c r="AX170" s="321"/>
      <c r="AY170" s="321"/>
      <c r="AZ170"/>
      <c r="BA170"/>
      <c r="BB170"/>
      <c r="BC170"/>
      <c r="BD170"/>
      <c r="BE170"/>
      <c r="BF170"/>
      <c r="BG170"/>
      <c r="BH170"/>
      <c r="BI170" s="321"/>
      <c r="BJ170" s="321"/>
      <c r="BK170" s="321"/>
      <c r="BL170" s="564"/>
      <c r="BM170" s="483"/>
      <c r="BN170" s="321"/>
      <c r="BO170" s="321"/>
      <c r="BP170" s="321"/>
      <c r="BQ170" s="321"/>
      <c r="BR170" s="321"/>
      <c r="BS170" s="321"/>
      <c r="BT170" s="321"/>
      <c r="BU170" s="321"/>
      <c r="BV170" s="321"/>
      <c r="BW170" s="321"/>
      <c r="BX170" s="321"/>
      <c r="BY170" s="321"/>
      <c r="BZ170" s="321"/>
      <c r="CA170" s="321"/>
      <c r="CB170" s="564"/>
      <c r="CC170" s="483"/>
      <c r="CD170" s="321"/>
      <c r="CE170" s="321"/>
      <c r="CF170" s="321"/>
      <c r="CG170" s="321"/>
      <c r="CH170" s="321"/>
      <c r="CI170" s="321"/>
      <c r="CJ170" s="321"/>
      <c r="CK170" s="321"/>
      <c r="CL170" s="321"/>
      <c r="CM170" s="321"/>
      <c r="CN170" s="321"/>
      <c r="CO170" s="321"/>
      <c r="CP170" s="321"/>
      <c r="CQ170" s="321"/>
      <c r="CR170" s="564"/>
      <c r="CS170" s="483"/>
      <c r="CT170" s="321"/>
      <c r="CU170" s="321"/>
      <c r="CV170" s="321"/>
      <c r="CW170" s="321"/>
      <c r="CX170" s="321"/>
      <c r="CY170" s="321"/>
      <c r="CZ170" s="321"/>
      <c r="DA170" s="321"/>
      <c r="DB170" s="321"/>
      <c r="DC170" s="321"/>
      <c r="DD170" s="321"/>
      <c r="DE170" s="321"/>
      <c r="DF170" s="321"/>
      <c r="DG170" s="321"/>
      <c r="DH170" s="321"/>
      <c r="DI170" s="1236"/>
      <c r="DJ170" s="328"/>
      <c r="DK170" s="328"/>
      <c r="DL170" s="328"/>
      <c r="DM170" s="328"/>
      <c r="DN170" s="446"/>
      <c r="DO170" s="321"/>
      <c r="DP170" s="426"/>
      <c r="DQ170" s="433"/>
      <c r="DR170" s="426"/>
      <c r="DS170" s="440"/>
      <c r="DT170" s="328"/>
      <c r="DU170" s="328"/>
      <c r="DV170" s="321"/>
      <c r="DW170" s="328"/>
      <c r="DX170" s="1237"/>
      <c r="DY170" s="1236"/>
      <c r="DZ170" s="328"/>
      <c r="EA170" s="426"/>
      <c r="EB170" s="328"/>
      <c r="EC170" s="328"/>
      <c r="ED170" s="321"/>
      <c r="EE170" s="321"/>
      <c r="EF170" s="440"/>
      <c r="EG170" s="321"/>
      <c r="EH170" s="321"/>
      <c r="EI170" s="440"/>
      <c r="EJ170" s="328"/>
      <c r="EK170" s="328"/>
      <c r="EL170" s="328"/>
      <c r="EM170" s="328"/>
      <c r="EN170" s="1237"/>
      <c r="EO170" s="1236"/>
      <c r="EP170" s="328"/>
      <c r="EQ170" s="328"/>
      <c r="ER170" s="321"/>
      <c r="ES170" s="321"/>
      <c r="ET170" s="328"/>
      <c r="EU170" s="321"/>
      <c r="EV170" s="321"/>
      <c r="EW170" s="321"/>
      <c r="EX170" s="321"/>
      <c r="EY170" s="321"/>
      <c r="EZ170" s="328"/>
      <c r="FA170" s="328"/>
      <c r="FB170" s="328"/>
      <c r="FC170" s="328"/>
      <c r="FD170" s="1237"/>
      <c r="FE170" s="1236"/>
      <c r="FF170" s="328"/>
      <c r="FG170" s="328"/>
      <c r="FH170" s="321"/>
      <c r="FI170" s="321"/>
      <c r="FJ170" s="328"/>
      <c r="FK170" s="321"/>
      <c r="FL170" s="321"/>
      <c r="FM170" s="321"/>
      <c r="FN170" s="321"/>
      <c r="FO170" s="321"/>
      <c r="FP170" s="328"/>
      <c r="FQ170" s="328"/>
      <c r="FR170" s="328"/>
      <c r="FS170" s="328"/>
      <c r="FT170" s="1237"/>
      <c r="FU170" s="483"/>
      <c r="FV170" s="321"/>
      <c r="FW170" s="321"/>
      <c r="FX170" s="321"/>
      <c r="FY170" s="321"/>
      <c r="FZ170" s="321"/>
      <c r="GA170" s="321"/>
      <c r="GB170" s="321"/>
      <c r="GC170" s="321"/>
      <c r="GD170" s="321"/>
      <c r="GE170" s="321"/>
      <c r="GF170" s="321"/>
      <c r="GG170" s="321"/>
      <c r="GH170" s="321"/>
      <c r="GI170" s="321"/>
      <c r="GJ170" s="564"/>
      <c r="GK170" s="321"/>
      <c r="GL170" s="321"/>
      <c r="GM170" s="321"/>
      <c r="GN170" s="321"/>
      <c r="GO170" s="321"/>
      <c r="GP170" s="321"/>
      <c r="GQ170" s="321"/>
      <c r="GR170" s="321"/>
      <c r="GS170" s="321"/>
      <c r="GT170" s="321"/>
      <c r="GU170" s="321"/>
      <c r="GV170" s="321"/>
      <c r="GW170" s="321"/>
      <c r="GX170" s="321"/>
      <c r="GY170" s="321"/>
      <c r="GZ170" s="564"/>
      <c r="HA170" s="321"/>
      <c r="HB170" s="321"/>
      <c r="HC170" s="455"/>
      <c r="HD170" s="321"/>
      <c r="HE170" s="321"/>
      <c r="HF170" s="455"/>
      <c r="HG170" s="455"/>
      <c r="HH170" s="321"/>
      <c r="HI170" s="321"/>
      <c r="HJ170" s="321"/>
      <c r="HK170" s="321"/>
      <c r="HL170" s="455"/>
      <c r="HM170" s="321"/>
      <c r="HN170" s="321"/>
      <c r="HO170" s="321"/>
      <c r="HP170" s="564"/>
      <c r="HQ170" s="483"/>
      <c r="HR170" s="321"/>
      <c r="HS170" s="321"/>
      <c r="HT170" s="321"/>
      <c r="HU170" s="321"/>
      <c r="HV170" s="321"/>
      <c r="HW170" s="321"/>
      <c r="HX170" s="321"/>
      <c r="HY170" s="321"/>
      <c r="HZ170" s="321"/>
      <c r="IA170" s="321"/>
      <c r="IB170" s="321"/>
      <c r="IC170" s="321"/>
      <c r="ID170" s="321"/>
      <c r="IE170" s="321"/>
      <c r="IF170" s="564"/>
      <c r="IG170" s="483"/>
      <c r="IH170" s="321"/>
      <c r="II170" s="321"/>
      <c r="IJ170" s="321"/>
      <c r="IK170" s="321"/>
      <c r="IL170" s="321"/>
      <c r="IM170" s="321"/>
      <c r="IN170" s="321"/>
      <c r="IO170" s="321"/>
      <c r="IP170" s="321"/>
      <c r="IQ170" s="321"/>
      <c r="IR170" s="321"/>
      <c r="IS170" s="321"/>
      <c r="IT170" s="321"/>
      <c r="IU170" s="321"/>
      <c r="IV170" s="564"/>
    </row>
    <row r="171" spans="1:256" s="326" customFormat="1" ht="8.25" customHeight="1">
      <c r="A171" s="321"/>
      <c r="B171" s="201"/>
      <c r="C171" s="310"/>
      <c r="D171" s="314"/>
      <c r="E171" s="314"/>
      <c r="F171" s="305"/>
      <c r="G171" s="200"/>
      <c r="H171" s="199"/>
      <c r="I171" s="199"/>
      <c r="J171" s="200"/>
      <c r="K171" s="305"/>
      <c r="L171" s="314"/>
      <c r="M171" s="314"/>
      <c r="N171" s="310"/>
      <c r="O171" s="201"/>
      <c r="P171" s="564"/>
      <c r="Q171" s="321"/>
      <c r="R171" s="201"/>
      <c r="S171" s="310"/>
      <c r="T171" s="314"/>
      <c r="U171" s="314"/>
      <c r="V171" s="305"/>
      <c r="W171" s="200"/>
      <c r="X171" s="199"/>
      <c r="Y171" s="199"/>
      <c r="Z171" s="200"/>
      <c r="AA171" s="305"/>
      <c r="AB171" s="314"/>
      <c r="AC171" s="314"/>
      <c r="AD171" s="310"/>
      <c r="AE171" s="291"/>
      <c r="AF171" s="321"/>
      <c r="AG171" s="293"/>
      <c r="AH171" s="200"/>
      <c r="AI171" s="201"/>
      <c r="AJ171" s="199"/>
      <c r="AK171" s="305"/>
      <c r="AL171" s="305"/>
      <c r="AM171" s="201"/>
      <c r="AN171" s="199"/>
      <c r="AO171" s="305"/>
      <c r="AP171" s="305"/>
      <c r="AQ171" s="201"/>
      <c r="AR171" s="199"/>
      <c r="AS171" s="305"/>
      <c r="AT171" s="305"/>
      <c r="AU171" s="200"/>
      <c r="AV171" s="293"/>
      <c r="AW171" s="321">
        <v>8</v>
      </c>
      <c r="AX171" s="321"/>
      <c r="AY171" s="321"/>
      <c r="AZ171"/>
      <c r="BA171"/>
      <c r="BB171"/>
      <c r="BC171"/>
      <c r="BD171"/>
      <c r="BE171"/>
      <c r="BF171"/>
      <c r="BG171"/>
      <c r="BH171"/>
      <c r="BI171" s="321"/>
      <c r="BJ171" s="321"/>
      <c r="BK171" s="321"/>
      <c r="BL171" s="564"/>
      <c r="BM171" s="483"/>
      <c r="BN171" s="321"/>
      <c r="BO171" s="321"/>
      <c r="BP171" s="321"/>
      <c r="BQ171" s="321"/>
      <c r="BR171" s="321"/>
      <c r="BS171" s="321"/>
      <c r="BT171" s="321"/>
      <c r="BU171" s="321"/>
      <c r="BV171" s="321"/>
      <c r="BW171" s="321"/>
      <c r="BX171" s="321"/>
      <c r="BY171" s="321"/>
      <c r="BZ171" s="321"/>
      <c r="CA171" s="321"/>
      <c r="CB171" s="564"/>
      <c r="CC171" s="483"/>
      <c r="CD171" s="321"/>
      <c r="CE171" s="321"/>
      <c r="CF171" s="321"/>
      <c r="CG171" s="321"/>
      <c r="CH171" s="321"/>
      <c r="CI171" s="321"/>
      <c r="CJ171" s="321"/>
      <c r="CK171" s="321"/>
      <c r="CL171" s="321"/>
      <c r="CM171" s="321"/>
      <c r="CN171" s="321"/>
      <c r="CO171" s="321"/>
      <c r="CP171" s="321"/>
      <c r="CQ171" s="321"/>
      <c r="CR171" s="564"/>
      <c r="CS171" s="483"/>
      <c r="CT171" s="321"/>
      <c r="CU171" s="321"/>
      <c r="CV171" s="321"/>
      <c r="CW171" s="321"/>
      <c r="CX171" s="321"/>
      <c r="CY171" s="321"/>
      <c r="CZ171" s="321"/>
      <c r="DA171" s="321"/>
      <c r="DB171" s="321"/>
      <c r="DC171" s="321"/>
      <c r="DD171" s="321"/>
      <c r="DE171" s="321"/>
      <c r="DF171" s="321"/>
      <c r="DG171" s="321"/>
      <c r="DH171" s="321"/>
      <c r="DI171" s="1236"/>
      <c r="DJ171" s="328"/>
      <c r="DK171" s="328"/>
      <c r="DL171" s="328"/>
      <c r="DM171" s="328"/>
      <c r="DN171" s="440"/>
      <c r="DO171" s="426"/>
      <c r="DP171" s="446"/>
      <c r="DQ171" s="446"/>
      <c r="DR171" s="433"/>
      <c r="DS171" s="422"/>
      <c r="DT171" s="426"/>
      <c r="DU171" s="328"/>
      <c r="DV171" s="328"/>
      <c r="DW171" s="328"/>
      <c r="DX171" s="1237"/>
      <c r="DY171" s="1236"/>
      <c r="DZ171" s="328"/>
      <c r="EA171" s="328"/>
      <c r="EB171" s="321"/>
      <c r="EC171" s="321"/>
      <c r="ED171" s="328"/>
      <c r="EE171" s="321"/>
      <c r="EF171" s="426"/>
      <c r="EG171" s="426"/>
      <c r="EH171" s="321"/>
      <c r="EI171" s="321"/>
      <c r="EJ171" s="328"/>
      <c r="EK171" s="328"/>
      <c r="EL171" s="328"/>
      <c r="EM171" s="328"/>
      <c r="EN171" s="1237"/>
      <c r="EO171" s="1236"/>
      <c r="EP171" s="328"/>
      <c r="EQ171" s="328"/>
      <c r="ER171" s="328"/>
      <c r="ES171" s="328"/>
      <c r="ET171" s="328"/>
      <c r="EU171" s="321"/>
      <c r="EV171" s="321"/>
      <c r="EW171" s="321"/>
      <c r="EX171" s="321"/>
      <c r="EY171" s="321"/>
      <c r="EZ171" s="328"/>
      <c r="FA171" s="328"/>
      <c r="FB171" s="328"/>
      <c r="FC171" s="328"/>
      <c r="FD171" s="1237"/>
      <c r="FE171" s="1236"/>
      <c r="FF171" s="328"/>
      <c r="FG171" s="328"/>
      <c r="FH171" s="328"/>
      <c r="FI171" s="328"/>
      <c r="FJ171" s="328"/>
      <c r="FK171" s="321"/>
      <c r="FL171" s="321"/>
      <c r="FM171" s="321"/>
      <c r="FN171" s="321"/>
      <c r="FO171" s="321"/>
      <c r="FP171" s="328"/>
      <c r="FQ171" s="328"/>
      <c r="FR171" s="328"/>
      <c r="FS171" s="328"/>
      <c r="FT171" s="1237"/>
      <c r="FU171" s="483"/>
      <c r="FV171" s="321"/>
      <c r="FW171" s="321"/>
      <c r="FX171" s="321"/>
      <c r="FY171" s="321"/>
      <c r="FZ171" s="321"/>
      <c r="GA171" s="321"/>
      <c r="GB171" s="321"/>
      <c r="GC171" s="321"/>
      <c r="GD171" s="321"/>
      <c r="GE171" s="321"/>
      <c r="GF171" s="321"/>
      <c r="GG171" s="321"/>
      <c r="GH171" s="321"/>
      <c r="GI171" s="321"/>
      <c r="GJ171" s="564"/>
      <c r="GK171" s="321"/>
      <c r="GL171" s="321"/>
      <c r="GM171" s="321"/>
      <c r="GN171" s="321"/>
      <c r="GO171" s="321"/>
      <c r="GP171" s="321"/>
      <c r="GQ171" s="321"/>
      <c r="GR171" s="321"/>
      <c r="GS171" s="321"/>
      <c r="GT171" s="321"/>
      <c r="GU171" s="321"/>
      <c r="GV171" s="321"/>
      <c r="GW171" s="321"/>
      <c r="GX171" s="321"/>
      <c r="GY171" s="321"/>
      <c r="GZ171" s="564"/>
      <c r="HA171" s="321"/>
      <c r="HB171" s="461"/>
      <c r="HC171" s="461"/>
      <c r="HD171" s="321"/>
      <c r="HE171" s="321"/>
      <c r="HF171" s="321"/>
      <c r="HG171" s="321"/>
      <c r="HH171" s="461"/>
      <c r="HI171" s="461"/>
      <c r="HJ171" s="321"/>
      <c r="HK171" s="321"/>
      <c r="HL171" s="321"/>
      <c r="HM171" s="321"/>
      <c r="HN171" s="461"/>
      <c r="HO171" s="461"/>
      <c r="HP171" s="564"/>
      <c r="HQ171" s="483"/>
      <c r="HR171" s="321"/>
      <c r="HS171" s="321"/>
      <c r="HT171" s="321"/>
      <c r="HU171" s="321"/>
      <c r="HV171" s="321"/>
      <c r="HW171" s="321"/>
      <c r="HX171" s="321"/>
      <c r="HY171" s="321"/>
      <c r="HZ171" s="321"/>
      <c r="IA171" s="321"/>
      <c r="IB171" s="321"/>
      <c r="IC171" s="321"/>
      <c r="ID171" s="321"/>
      <c r="IE171" s="321"/>
      <c r="IF171" s="564"/>
      <c r="IG171" s="483"/>
      <c r="IH171" s="321"/>
      <c r="II171" s="321"/>
      <c r="IJ171" s="321"/>
      <c r="IK171" s="321"/>
      <c r="IL171" s="321"/>
      <c r="IM171" s="321"/>
      <c r="IN171" s="321"/>
      <c r="IO171" s="321"/>
      <c r="IP171" s="321"/>
      <c r="IQ171" s="321"/>
      <c r="IR171" s="321"/>
      <c r="IS171" s="321"/>
      <c r="IT171" s="321"/>
      <c r="IU171" s="321"/>
      <c r="IV171" s="564"/>
    </row>
    <row r="172" spans="1:256" s="326" customFormat="1" ht="8.25" customHeight="1">
      <c r="A172" s="321"/>
      <c r="B172" s="200"/>
      <c r="C172" s="314"/>
      <c r="D172" s="314"/>
      <c r="E172" s="201"/>
      <c r="F172" s="199"/>
      <c r="G172" s="199"/>
      <c r="H172" s="305"/>
      <c r="I172" s="310"/>
      <c r="J172" s="199"/>
      <c r="K172" s="199"/>
      <c r="L172" s="201"/>
      <c r="M172" s="314"/>
      <c r="N172" s="314"/>
      <c r="O172" s="200"/>
      <c r="P172" s="564"/>
      <c r="Q172" s="321"/>
      <c r="R172" s="200"/>
      <c r="S172" s="314"/>
      <c r="T172" s="314"/>
      <c r="U172" s="201"/>
      <c r="V172" s="199"/>
      <c r="W172" s="199"/>
      <c r="X172" s="305"/>
      <c r="Y172" s="310"/>
      <c r="Z172" s="199"/>
      <c r="AA172" s="199"/>
      <c r="AB172" s="201"/>
      <c r="AC172" s="314"/>
      <c r="AD172" s="314"/>
      <c r="AE172" s="200"/>
      <c r="AF172" s="321"/>
      <c r="AG172" s="60">
        <v>32</v>
      </c>
      <c r="AH172" s="200"/>
      <c r="AI172" s="200"/>
      <c r="AJ172" s="200"/>
      <c r="AK172" s="200"/>
      <c r="AL172" s="200"/>
      <c r="AM172" s="200"/>
      <c r="AN172" s="200"/>
      <c r="AO172" s="200"/>
      <c r="AP172" s="200"/>
      <c r="AQ172" s="200"/>
      <c r="AR172" s="200"/>
      <c r="AS172" s="200"/>
      <c r="AT172" s="200"/>
      <c r="AU172" s="200"/>
      <c r="AV172" s="200"/>
      <c r="AW172" s="321"/>
      <c r="AX172" s="321"/>
      <c r="AY172" s="321"/>
      <c r="AZ172"/>
      <c r="BA172"/>
      <c r="BB172"/>
      <c r="BC172"/>
      <c r="BD172"/>
      <c r="BE172"/>
      <c r="BF172"/>
      <c r="BG172"/>
      <c r="BH172"/>
      <c r="BI172" s="321"/>
      <c r="BJ172" s="321"/>
      <c r="BK172" s="321"/>
      <c r="BL172" s="564"/>
      <c r="BM172" s="483"/>
      <c r="BN172" s="321"/>
      <c r="BO172" s="321"/>
      <c r="BP172" s="321"/>
      <c r="BQ172" s="321"/>
      <c r="BR172" s="321"/>
      <c r="BS172" s="321"/>
      <c r="BT172" s="321"/>
      <c r="BU172" s="321"/>
      <c r="BV172" s="321"/>
      <c r="BW172" s="321"/>
      <c r="BX172" s="321"/>
      <c r="BY172" s="321"/>
      <c r="BZ172" s="321"/>
      <c r="CA172" s="321"/>
      <c r="CB172" s="564"/>
      <c r="CC172" s="483"/>
      <c r="CD172" s="321"/>
      <c r="CE172" s="321"/>
      <c r="CF172" s="321"/>
      <c r="CG172" s="321"/>
      <c r="CH172" s="321"/>
      <c r="CI172" s="321"/>
      <c r="CJ172" s="321"/>
      <c r="CK172" s="321"/>
      <c r="CL172" s="321"/>
      <c r="CM172" s="440"/>
      <c r="CN172" s="426"/>
      <c r="CO172" s="321"/>
      <c r="CP172" s="321"/>
      <c r="CQ172" s="321"/>
      <c r="CR172" s="564"/>
      <c r="CS172" s="483"/>
      <c r="CT172" s="321"/>
      <c r="CU172" s="321"/>
      <c r="CV172" s="321"/>
      <c r="CW172" s="440"/>
      <c r="CX172" s="426"/>
      <c r="CY172" s="321"/>
      <c r="CZ172" s="321"/>
      <c r="DA172" s="321"/>
      <c r="DB172" s="321"/>
      <c r="DC172" s="321"/>
      <c r="DD172" s="321"/>
      <c r="DE172" s="440"/>
      <c r="DF172" s="440"/>
      <c r="DG172" s="321"/>
      <c r="DH172" s="321"/>
      <c r="DI172" s="1236"/>
      <c r="DJ172" s="328"/>
      <c r="DK172" s="328"/>
      <c r="DL172" s="328"/>
      <c r="DM172" s="328"/>
      <c r="DN172" s="426"/>
      <c r="DO172" s="440"/>
      <c r="DP172" s="440"/>
      <c r="DQ172" s="440"/>
      <c r="DR172" s="426"/>
      <c r="DS172" s="440"/>
      <c r="DT172" s="328"/>
      <c r="DU172" s="328"/>
      <c r="DV172" s="328"/>
      <c r="DW172" s="328"/>
      <c r="DX172" s="1237"/>
      <c r="DY172" s="1236"/>
      <c r="DZ172" s="328"/>
      <c r="EA172" s="328"/>
      <c r="EB172" s="328"/>
      <c r="EC172" s="328"/>
      <c r="ED172" s="426"/>
      <c r="EE172" s="321"/>
      <c r="EF172" s="446"/>
      <c r="EG172" s="433"/>
      <c r="EH172" s="446"/>
      <c r="EI172" s="328"/>
      <c r="EJ172" s="328"/>
      <c r="EK172" s="328"/>
      <c r="EL172" s="328"/>
      <c r="EM172" s="328"/>
      <c r="EN172" s="1237"/>
      <c r="EO172" s="1236"/>
      <c r="EP172" s="426">
        <v>6</v>
      </c>
      <c r="EQ172" s="328"/>
      <c r="ER172" s="328"/>
      <c r="ES172" s="328"/>
      <c r="ET172" s="328"/>
      <c r="EU172" s="321"/>
      <c r="EV172" s="440"/>
      <c r="EW172" s="321"/>
      <c r="EX172" s="321"/>
      <c r="EY172" s="321"/>
      <c r="EZ172" s="328"/>
      <c r="FA172" s="328"/>
      <c r="FB172" s="328"/>
      <c r="FC172" s="328"/>
      <c r="FD172" s="1237"/>
      <c r="FE172" s="1236"/>
      <c r="FF172" s="328"/>
      <c r="FG172" s="328"/>
      <c r="FH172" s="328"/>
      <c r="FI172" s="328"/>
      <c r="FJ172" s="328"/>
      <c r="FK172" s="321"/>
      <c r="FL172" s="321"/>
      <c r="FM172" s="321"/>
      <c r="FN172" s="321"/>
      <c r="FO172" s="321"/>
      <c r="FP172" s="328"/>
      <c r="FQ172" s="328"/>
      <c r="FR172" s="328"/>
      <c r="FS172" s="328"/>
      <c r="FT172" s="1237"/>
      <c r="FU172" s="483"/>
      <c r="FV172" s="321"/>
      <c r="FW172" s="321"/>
      <c r="FX172" s="321"/>
      <c r="FY172" s="321"/>
      <c r="FZ172" s="321"/>
      <c r="GA172" s="321"/>
      <c r="GB172" s="321"/>
      <c r="GC172" s="321"/>
      <c r="GD172" s="321"/>
      <c r="GE172" s="321"/>
      <c r="GF172" s="321"/>
      <c r="GG172" s="321"/>
      <c r="GH172" s="321"/>
      <c r="GI172" s="321"/>
      <c r="GJ172" s="564"/>
      <c r="GK172" s="321"/>
      <c r="GL172" s="321"/>
      <c r="GM172" s="321"/>
      <c r="GN172" s="321"/>
      <c r="GO172" s="321"/>
      <c r="GP172" s="321"/>
      <c r="GQ172" s="321"/>
      <c r="GR172" s="321"/>
      <c r="GS172" s="321"/>
      <c r="GT172" s="321"/>
      <c r="GU172" s="321"/>
      <c r="GV172" s="321"/>
      <c r="GW172" s="321"/>
      <c r="GX172" s="321"/>
      <c r="GY172" s="321"/>
      <c r="GZ172" s="564"/>
      <c r="HA172" s="321"/>
      <c r="HB172" s="321"/>
      <c r="HC172" s="321"/>
      <c r="HD172" s="321"/>
      <c r="HE172" s="321"/>
      <c r="HF172" s="321"/>
      <c r="HG172" s="321"/>
      <c r="HH172" s="321"/>
      <c r="HI172" s="321"/>
      <c r="HJ172" s="321"/>
      <c r="HK172" s="321"/>
      <c r="HL172" s="321"/>
      <c r="HM172" s="321"/>
      <c r="HN172" s="321"/>
      <c r="HO172" s="321"/>
      <c r="HP172" s="564"/>
      <c r="HQ172" s="483"/>
      <c r="HR172" s="321"/>
      <c r="HS172" s="321"/>
      <c r="HT172" s="321"/>
      <c r="HU172" s="321"/>
      <c r="HV172" s="321"/>
      <c r="HW172" s="321"/>
      <c r="HX172" s="321"/>
      <c r="HY172" s="321"/>
      <c r="HZ172" s="321"/>
      <c r="IA172" s="321"/>
      <c r="IB172" s="321"/>
      <c r="IC172" s="321"/>
      <c r="ID172" s="321"/>
      <c r="IE172" s="321"/>
      <c r="IF172" s="564"/>
      <c r="IG172" s="483"/>
      <c r="IH172" s="321"/>
      <c r="II172" s="321"/>
      <c r="IJ172" s="321"/>
      <c r="IK172" s="321"/>
      <c r="IL172" s="321"/>
      <c r="IM172" s="321"/>
      <c r="IN172" s="321"/>
      <c r="IO172" s="321"/>
      <c r="IP172" s="321"/>
      <c r="IQ172" s="321"/>
      <c r="IR172" s="321"/>
      <c r="IS172" s="321"/>
      <c r="IT172" s="321"/>
      <c r="IU172" s="321"/>
      <c r="IV172" s="564"/>
    </row>
    <row r="173" spans="1:256" s="326" customFormat="1" ht="8.25" customHeight="1">
      <c r="A173" s="199"/>
      <c r="B173" s="305"/>
      <c r="C173" s="310"/>
      <c r="D173" s="310"/>
      <c r="E173" s="305"/>
      <c r="F173" s="201"/>
      <c r="G173" s="310"/>
      <c r="H173" s="310"/>
      <c r="I173" s="314"/>
      <c r="J173" s="310"/>
      <c r="K173" s="201"/>
      <c r="L173" s="305"/>
      <c r="M173" s="310"/>
      <c r="N173" s="310"/>
      <c r="O173" s="305"/>
      <c r="P173" s="199"/>
      <c r="Q173" s="199"/>
      <c r="R173" s="305"/>
      <c r="S173" s="310"/>
      <c r="T173" s="310"/>
      <c r="U173" s="305"/>
      <c r="V173" s="201"/>
      <c r="W173" s="310"/>
      <c r="X173" s="310"/>
      <c r="Y173" s="314"/>
      <c r="Z173" s="310"/>
      <c r="AA173" s="201"/>
      <c r="AB173" s="305"/>
      <c r="AC173" s="310"/>
      <c r="AD173" s="310"/>
      <c r="AE173" s="305"/>
      <c r="AF173" s="199"/>
      <c r="AG173" s="200"/>
      <c r="AH173" s="201"/>
      <c r="AI173" s="201"/>
      <c r="AJ173" s="201"/>
      <c r="AK173" s="201"/>
      <c r="AL173" s="201"/>
      <c r="AM173" s="201"/>
      <c r="AN173" s="201"/>
      <c r="AO173" s="201"/>
      <c r="AP173" s="201"/>
      <c r="AQ173" s="201"/>
      <c r="AR173" s="201"/>
      <c r="AS173" s="201"/>
      <c r="AT173" s="201"/>
      <c r="AU173" s="201"/>
      <c r="AV173" s="200"/>
      <c r="AW173" s="321">
        <v>10</v>
      </c>
      <c r="AX173" s="321"/>
      <c r="AY173" s="321"/>
      <c r="AZ173" s="321"/>
      <c r="BA173" s="321"/>
      <c r="BB173"/>
      <c r="BC173"/>
      <c r="BD173"/>
      <c r="BE173"/>
      <c r="BF173"/>
      <c r="BG173"/>
      <c r="BH173"/>
      <c r="BI173" s="321"/>
      <c r="BJ173" s="321"/>
      <c r="BK173" s="321"/>
      <c r="BL173" s="564"/>
      <c r="BM173" s="321">
        <v>10</v>
      </c>
      <c r="BN173" s="321"/>
      <c r="BO173" s="321"/>
      <c r="BP173" s="321"/>
      <c r="CB173" s="564"/>
      <c r="CC173" s="321">
        <v>10</v>
      </c>
      <c r="CD173" s="321"/>
      <c r="CE173" s="321"/>
      <c r="CF173" s="321"/>
      <c r="CG173" s="321"/>
      <c r="CH173" s="321"/>
      <c r="CI173" s="321"/>
      <c r="CJ173" s="321"/>
      <c r="CK173" s="321"/>
      <c r="CL173" s="321"/>
      <c r="CM173" s="440"/>
      <c r="CN173" s="321"/>
      <c r="CO173" s="321"/>
      <c r="CP173" s="321"/>
      <c r="CQ173" s="321"/>
      <c r="CR173" s="564"/>
      <c r="CS173" s="321">
        <v>10</v>
      </c>
      <c r="CT173" s="321"/>
      <c r="CU173" s="321"/>
      <c r="CV173" s="321"/>
      <c r="CW173" s="321"/>
      <c r="CX173" s="321"/>
      <c r="CY173" s="426"/>
      <c r="CZ173" s="321"/>
      <c r="DA173" s="321"/>
      <c r="DB173" s="321"/>
      <c r="DC173" s="321"/>
      <c r="DD173" s="321"/>
      <c r="DE173" s="321"/>
      <c r="DF173" s="321"/>
      <c r="DG173" s="426"/>
      <c r="DI173" s="321">
        <v>10</v>
      </c>
      <c r="DJ173" s="328"/>
      <c r="DK173" s="328"/>
      <c r="DL173" s="328"/>
      <c r="DM173" s="328"/>
      <c r="DN173" s="426"/>
      <c r="DO173" s="459"/>
      <c r="DP173" s="453"/>
      <c r="DQ173" s="440"/>
      <c r="DR173" s="433"/>
      <c r="DS173" s="426"/>
      <c r="DT173" s="328"/>
      <c r="DU173" s="328"/>
      <c r="DV173" s="328"/>
      <c r="DW173" s="328"/>
      <c r="DX173" s="1237"/>
      <c r="DY173" s="321">
        <v>8</v>
      </c>
      <c r="DZ173" s="328"/>
      <c r="EA173" s="328"/>
      <c r="EB173" s="328"/>
      <c r="EC173" s="328"/>
      <c r="ED173" s="328"/>
      <c r="EE173" s="321"/>
      <c r="EF173" s="440"/>
      <c r="EG173" s="446"/>
      <c r="EH173" s="426"/>
      <c r="EI173" s="328"/>
      <c r="EJ173" s="328"/>
      <c r="EK173" s="328"/>
      <c r="EL173" s="328"/>
      <c r="EM173" s="328"/>
      <c r="EN173" s="1237"/>
      <c r="EO173" s="321">
        <v>6</v>
      </c>
      <c r="EP173" s="328"/>
      <c r="EQ173" s="328"/>
      <c r="ER173" s="328"/>
      <c r="ES173" s="328"/>
      <c r="ET173" s="328"/>
      <c r="EU173" s="321"/>
      <c r="EV173" s="321"/>
      <c r="EW173" s="321"/>
      <c r="EX173" s="321"/>
      <c r="EY173" s="440"/>
      <c r="EZ173" s="328"/>
      <c r="FA173" s="328"/>
      <c r="FB173" s="328"/>
      <c r="FC173" s="328"/>
      <c r="FD173" s="1237"/>
      <c r="FE173" s="1236">
        <v>4</v>
      </c>
      <c r="FF173" s="328"/>
      <c r="FG173" s="328"/>
      <c r="FH173" s="328"/>
      <c r="FI173" s="328"/>
      <c r="FJ173" s="328"/>
      <c r="FK173" s="321"/>
      <c r="FL173" s="321"/>
      <c r="FM173" s="321"/>
      <c r="FN173" s="321"/>
      <c r="FO173" s="321"/>
      <c r="FP173" s="328"/>
      <c r="FQ173" s="328"/>
      <c r="FR173" s="328"/>
      <c r="FS173" s="328"/>
      <c r="FT173" s="1237"/>
      <c r="FU173" s="1308">
        <v>2</v>
      </c>
      <c r="FV173" s="321"/>
      <c r="FW173" s="321"/>
      <c r="FX173" s="321"/>
      <c r="FY173" s="321"/>
      <c r="FZ173" s="321"/>
      <c r="GA173" s="321"/>
      <c r="GB173" s="321"/>
      <c r="GC173" s="321"/>
      <c r="GD173" s="321"/>
      <c r="GE173" s="321"/>
      <c r="GF173" s="321"/>
      <c r="GG173" s="321"/>
      <c r="GH173" s="321"/>
      <c r="GI173" s="321"/>
      <c r="GJ173" s="564"/>
      <c r="GK173" s="321"/>
      <c r="GL173" s="321"/>
      <c r="GM173" s="321"/>
      <c r="GN173" s="321"/>
      <c r="GO173" s="321"/>
      <c r="GP173" s="321"/>
      <c r="GQ173" s="321"/>
      <c r="GR173" s="321"/>
      <c r="GS173" s="321"/>
      <c r="GT173" s="321"/>
      <c r="GU173" s="321"/>
      <c r="GV173" s="321"/>
      <c r="GW173" s="321"/>
      <c r="GX173" s="321"/>
      <c r="GY173" s="321"/>
      <c r="GZ173" s="564"/>
      <c r="HA173" s="321"/>
      <c r="HB173" s="321"/>
      <c r="HC173" s="321"/>
      <c r="HD173" s="321"/>
      <c r="HE173" s="321"/>
      <c r="HF173" s="321"/>
      <c r="HG173" s="321"/>
      <c r="HH173" s="321"/>
      <c r="HI173" s="321"/>
      <c r="HJ173" s="321"/>
      <c r="HK173" s="321"/>
      <c r="HL173" s="321"/>
      <c r="HM173" s="321"/>
      <c r="HN173" s="321"/>
      <c r="HO173" s="321"/>
      <c r="HP173" s="564"/>
      <c r="HQ173" s="1308">
        <v>10</v>
      </c>
      <c r="HR173" s="321"/>
      <c r="HS173" s="321"/>
      <c r="HT173" s="321"/>
      <c r="HU173" s="321"/>
      <c r="HV173" s="321"/>
      <c r="HW173" s="321"/>
      <c r="HX173" s="321"/>
      <c r="HY173" s="321"/>
      <c r="HZ173" s="321"/>
      <c r="IA173" s="321"/>
      <c r="IB173" s="321"/>
      <c r="IC173" s="321"/>
      <c r="ID173" s="321"/>
      <c r="IE173" s="321"/>
      <c r="IF173" s="564"/>
      <c r="IG173" s="1308">
        <v>10</v>
      </c>
      <c r="IH173" s="321"/>
      <c r="II173" s="321"/>
      <c r="IJ173" s="321"/>
      <c r="IK173" s="321"/>
      <c r="IL173" s="321"/>
      <c r="IM173" s="321"/>
      <c r="IN173" s="321"/>
      <c r="IO173" s="321"/>
      <c r="IP173" s="321"/>
      <c r="IQ173" s="321"/>
      <c r="IR173" s="321"/>
      <c r="IS173" s="321"/>
      <c r="IT173" s="321"/>
      <c r="IU173" s="321"/>
      <c r="IV173" s="564"/>
    </row>
    <row r="174" spans="1:256" s="326" customFormat="1" ht="8.25" customHeight="1">
      <c r="A174" s="321">
        <v>28</v>
      </c>
      <c r="B174" s="321"/>
      <c r="C174" s="321"/>
      <c r="D174" s="321"/>
      <c r="E174" s="321"/>
      <c r="F174" s="321"/>
      <c r="G174" s="321"/>
      <c r="H174" s="321"/>
      <c r="I174" s="321"/>
      <c r="J174" s="321"/>
      <c r="K174" s="321"/>
      <c r="L174" s="321"/>
      <c r="M174" s="321"/>
      <c r="N174" s="321"/>
      <c r="O174" s="321"/>
      <c r="P174" s="321"/>
      <c r="Q174" s="321"/>
      <c r="R174" s="321"/>
      <c r="S174" s="321"/>
      <c r="T174" s="321"/>
      <c r="U174" s="321"/>
      <c r="V174" s="321"/>
      <c r="W174" s="321"/>
      <c r="X174" s="321"/>
      <c r="Y174" s="321"/>
      <c r="Z174" s="321"/>
      <c r="AA174" s="321"/>
      <c r="AB174" s="321"/>
      <c r="AC174" s="321"/>
      <c r="AD174" s="321"/>
      <c r="AE174" s="321"/>
      <c r="AF174" s="321"/>
      <c r="AG174" s="199"/>
      <c r="AH174" s="200"/>
      <c r="AI174" s="200"/>
      <c r="AJ174" s="200"/>
      <c r="AK174" s="200"/>
      <c r="AL174" s="200"/>
      <c r="AM174" s="200"/>
      <c r="AN174" s="200"/>
      <c r="AO174" s="200"/>
      <c r="AP174" s="200"/>
      <c r="AQ174" s="200"/>
      <c r="AR174" s="200"/>
      <c r="AS174" s="200"/>
      <c r="AT174" s="200"/>
      <c r="AU174" s="200"/>
      <c r="AV174" s="305"/>
      <c r="AW174" s="321">
        <v>41</v>
      </c>
      <c r="AX174" s="321"/>
      <c r="AY174" s="321"/>
      <c r="AZ174" s="321"/>
      <c r="BA174" s="321"/>
      <c r="BB174" s="321"/>
      <c r="BC174" s="321"/>
      <c r="BD174" s="321"/>
      <c r="BE174" s="321"/>
      <c r="BF174" s="321"/>
      <c r="BG174" s="321"/>
      <c r="BH174" s="321"/>
      <c r="BI174" s="321"/>
      <c r="BJ174" s="321"/>
      <c r="BK174" s="321"/>
      <c r="BL174" s="564"/>
      <c r="BM174" s="321">
        <v>34</v>
      </c>
      <c r="BN174" s="321"/>
      <c r="BO174" s="321"/>
      <c r="BP174" s="321"/>
      <c r="CB174" s="564"/>
      <c r="CC174" s="321"/>
      <c r="CD174" s="321"/>
      <c r="CE174" s="321"/>
      <c r="CF174" s="321"/>
      <c r="CJ174" s="440"/>
      <c r="CR174" s="564"/>
      <c r="CS174" s="321"/>
      <c r="CT174" s="321"/>
      <c r="CU174" s="321"/>
      <c r="CV174" s="321"/>
      <c r="DI174" s="1236">
        <v>33</v>
      </c>
      <c r="DJ174" s="328"/>
      <c r="DK174" s="328"/>
      <c r="DL174" s="328"/>
      <c r="DM174" s="446"/>
      <c r="DN174" s="433"/>
      <c r="DO174" s="453"/>
      <c r="DP174" s="433"/>
      <c r="DQ174" s="426"/>
      <c r="DR174" s="422"/>
      <c r="DS174" s="446"/>
      <c r="DT174" s="426"/>
      <c r="DU174" s="328"/>
      <c r="DV174" s="328"/>
      <c r="DW174" s="328"/>
      <c r="DX174" s="1237"/>
      <c r="DY174" s="1236"/>
      <c r="DZ174" s="328"/>
      <c r="EA174" s="328"/>
      <c r="EB174" s="328"/>
      <c r="EC174" s="328"/>
      <c r="ED174" s="328"/>
      <c r="EE174" s="426"/>
      <c r="EF174" s="453"/>
      <c r="EG174" s="440"/>
      <c r="EH174" s="433"/>
      <c r="EI174" s="328"/>
      <c r="EJ174" s="328"/>
      <c r="EK174" s="328"/>
      <c r="EL174" s="328"/>
      <c r="EM174" s="328"/>
      <c r="EN174" s="1237"/>
      <c r="EO174" s="1236"/>
      <c r="EP174" s="328"/>
      <c r="EQ174" s="328"/>
      <c r="ER174" s="328"/>
      <c r="ES174" s="328"/>
      <c r="ET174" s="426"/>
      <c r="EU174" s="321"/>
      <c r="EV174" s="321"/>
      <c r="EW174" s="321"/>
      <c r="EX174" s="321"/>
      <c r="EY174" s="426"/>
      <c r="EZ174" s="328"/>
      <c r="FA174" s="328"/>
      <c r="FB174" s="328"/>
      <c r="FC174" s="328"/>
      <c r="FD174" s="1237"/>
      <c r="FE174" s="1236">
        <v>34</v>
      </c>
      <c r="FF174" s="328"/>
      <c r="FG174" s="328"/>
      <c r="FH174" s="328"/>
      <c r="FI174" s="328"/>
      <c r="FJ174" s="328"/>
      <c r="FK174" s="321"/>
      <c r="FL174" s="321"/>
      <c r="FM174" s="321"/>
      <c r="FN174" s="321"/>
      <c r="FO174" s="321"/>
      <c r="FP174" s="328"/>
      <c r="FQ174" s="328"/>
      <c r="FR174" s="328"/>
      <c r="FS174" s="328"/>
      <c r="FT174" s="1237"/>
      <c r="FU174" s="1308"/>
      <c r="FV174" s="321"/>
      <c r="FW174" s="321"/>
      <c r="FX174" s="321"/>
      <c r="FY174" s="321"/>
      <c r="FZ174" s="321"/>
      <c r="GA174" s="321"/>
      <c r="GB174" s="321"/>
      <c r="GC174" s="321"/>
      <c r="GD174" s="321"/>
      <c r="GE174" s="321"/>
      <c r="GF174" s="321"/>
      <c r="GG174" s="321"/>
      <c r="GH174" s="321"/>
      <c r="GI174" s="321"/>
      <c r="GJ174" s="564"/>
      <c r="GK174" s="321"/>
      <c r="GL174" s="321"/>
      <c r="GM174" s="321"/>
      <c r="GN174" s="321"/>
      <c r="GO174" s="321"/>
      <c r="GP174" s="321"/>
      <c r="GQ174" s="321"/>
      <c r="GR174" s="321"/>
      <c r="GS174" s="321"/>
      <c r="GT174" s="321"/>
      <c r="GU174" s="321"/>
      <c r="GV174" s="321"/>
      <c r="GW174" s="321"/>
      <c r="GX174" s="321"/>
      <c r="GY174" s="321"/>
      <c r="GZ174" s="564"/>
      <c r="HA174" s="321"/>
      <c r="HB174" s="321"/>
      <c r="HC174" s="321"/>
      <c r="HD174" s="321"/>
      <c r="HE174" s="321"/>
      <c r="HF174" s="321"/>
      <c r="HG174" s="321"/>
      <c r="HH174" s="321"/>
      <c r="HI174" s="321"/>
      <c r="HJ174" s="321"/>
      <c r="HK174" s="321"/>
      <c r="HL174" s="321"/>
      <c r="HM174" s="321"/>
      <c r="HN174" s="321"/>
      <c r="HO174" s="321"/>
      <c r="HP174" s="564"/>
      <c r="HQ174" s="321"/>
      <c r="HR174" s="321"/>
      <c r="HS174" s="321"/>
      <c r="HT174" s="321"/>
      <c r="HU174" s="321"/>
      <c r="HV174" s="321"/>
      <c r="HW174" s="321"/>
      <c r="HX174" s="321"/>
      <c r="HY174" s="321"/>
      <c r="HZ174" s="321"/>
      <c r="IA174" s="321"/>
      <c r="IB174" s="321"/>
      <c r="IC174" s="321"/>
      <c r="ID174" s="321"/>
      <c r="IE174" s="321"/>
      <c r="IF174" s="564"/>
      <c r="IG174" s="321"/>
      <c r="IH174" s="321"/>
      <c r="II174" s="321"/>
      <c r="IJ174" s="321"/>
      <c r="IK174" s="321"/>
      <c r="IL174" s="321"/>
      <c r="IM174" s="321"/>
      <c r="IN174" s="321"/>
      <c r="IO174" s="321"/>
      <c r="IP174" s="321"/>
      <c r="IQ174" s="321"/>
      <c r="IR174" s="321"/>
      <c r="IS174" s="321"/>
      <c r="IT174" s="321"/>
      <c r="IU174" s="321"/>
      <c r="IV174" s="564"/>
    </row>
    <row r="175" spans="1:256" s="326" customFormat="1" ht="8.25" customHeight="1">
      <c r="A175" s="310">
        <v>48</v>
      </c>
      <c r="B175" s="314"/>
      <c r="C175" s="314"/>
      <c r="D175" s="314"/>
      <c r="E175" s="314"/>
      <c r="F175" s="314"/>
      <c r="G175" s="314"/>
      <c r="H175" s="314"/>
      <c r="I175" s="314"/>
      <c r="J175" s="314"/>
      <c r="K175" s="314"/>
      <c r="L175" s="314"/>
      <c r="M175" s="314"/>
      <c r="N175" s="314"/>
      <c r="O175" s="314"/>
      <c r="P175" s="310"/>
      <c r="Q175" s="310"/>
      <c r="R175" s="314"/>
      <c r="S175" s="314"/>
      <c r="T175" s="314"/>
      <c r="U175" s="314"/>
      <c r="V175" s="314"/>
      <c r="W175" s="314"/>
      <c r="X175" s="314"/>
      <c r="Y175" s="314"/>
      <c r="Z175" s="314"/>
      <c r="AA175" s="314"/>
      <c r="AB175" s="314"/>
      <c r="AC175" s="314"/>
      <c r="AD175" s="314"/>
      <c r="AE175" s="314"/>
      <c r="AF175" s="310"/>
      <c r="AG175" s="199"/>
      <c r="AH175" s="200"/>
      <c r="AI175" s="199"/>
      <c r="AJ175" s="199"/>
      <c r="AK175" s="200"/>
      <c r="AL175" s="200"/>
      <c r="AM175" s="199"/>
      <c r="AN175" s="201"/>
      <c r="AO175" s="201"/>
      <c r="AP175" s="199"/>
      <c r="AQ175" s="200"/>
      <c r="AR175" s="200"/>
      <c r="AS175" s="199"/>
      <c r="AT175" s="199"/>
      <c r="AU175" s="200"/>
      <c r="AV175" s="305"/>
      <c r="AW175" s="321">
        <v>14</v>
      </c>
      <c r="AX175" s="321"/>
      <c r="AY175" s="321"/>
      <c r="AZ175" s="321"/>
      <c r="BA175" s="321"/>
      <c r="BB175" s="321"/>
      <c r="BC175" s="321"/>
      <c r="BD175" s="321"/>
      <c r="BE175" s="321"/>
      <c r="BF175" s="321"/>
      <c r="BG175" s="321"/>
      <c r="BH175" s="321"/>
      <c r="BI175" s="321"/>
      <c r="BJ175" s="321"/>
      <c r="BK175" s="321"/>
      <c r="BL175" s="564"/>
      <c r="BM175" s="321">
        <v>32</v>
      </c>
      <c r="BN175" s="321"/>
      <c r="BO175" s="321"/>
      <c r="BP175" s="321"/>
      <c r="BQ175" s="321"/>
      <c r="BR175" s="321"/>
      <c r="BS175" s="321"/>
      <c r="BT175" s="321"/>
      <c r="BU175" s="321"/>
      <c r="BV175" s="440"/>
      <c r="BW175" s="321"/>
      <c r="BX175" s="321"/>
      <c r="BY175" s="321"/>
      <c r="BZ175" s="321"/>
      <c r="CA175" s="321"/>
      <c r="CB175" s="564"/>
      <c r="CC175" s="321"/>
      <c r="CD175" s="321"/>
      <c r="CE175" s="321"/>
      <c r="CF175" s="433"/>
      <c r="CG175" s="433"/>
      <c r="CJ175" s="321"/>
      <c r="CK175" s="440"/>
      <c r="CM175" s="321"/>
      <c r="CN175" s="321"/>
      <c r="CO175" s="321"/>
      <c r="CP175" s="440"/>
      <c r="CQ175" s="426"/>
      <c r="CR175" s="564"/>
      <c r="CS175" s="321"/>
      <c r="CT175" s="321"/>
      <c r="CU175" s="446"/>
      <c r="CV175" s="433"/>
      <c r="CW175" s="426"/>
      <c r="CZ175" s="321"/>
      <c r="DA175" s="440"/>
      <c r="DC175" s="321"/>
      <c r="DD175" s="321"/>
      <c r="DE175" s="321"/>
      <c r="DI175" s="1236">
        <v>64</v>
      </c>
      <c r="DJ175" s="328"/>
      <c r="DK175" s="328"/>
      <c r="DL175" s="328"/>
      <c r="DM175" s="426"/>
      <c r="DN175" s="453"/>
      <c r="DO175" s="433"/>
      <c r="DP175" s="453"/>
      <c r="DQ175" s="446"/>
      <c r="DR175" s="426"/>
      <c r="DS175" s="426"/>
      <c r="DT175" s="433"/>
      <c r="DU175" s="328"/>
      <c r="DV175" s="328"/>
      <c r="DW175" s="328"/>
      <c r="DX175" s="1237"/>
      <c r="DY175" s="1236"/>
      <c r="DZ175" s="328"/>
      <c r="EA175" s="328"/>
      <c r="EB175" s="328"/>
      <c r="EC175" s="328"/>
      <c r="ED175" s="426"/>
      <c r="EE175" s="440"/>
      <c r="EF175" s="433"/>
      <c r="EG175" s="440"/>
      <c r="EH175" s="426"/>
      <c r="EI175" s="328"/>
      <c r="EJ175" s="426"/>
      <c r="EK175" s="328"/>
      <c r="EL175" s="328"/>
      <c r="EM175" s="328"/>
      <c r="EN175" s="1237"/>
      <c r="EO175" s="1236"/>
      <c r="EP175" s="328"/>
      <c r="EQ175" s="328"/>
      <c r="ER175" s="328"/>
      <c r="ES175" s="328"/>
      <c r="ET175" s="328"/>
      <c r="EU175" s="321"/>
      <c r="EV175" s="426"/>
      <c r="EW175" s="321"/>
      <c r="EX175" s="321"/>
      <c r="EY175" s="328"/>
      <c r="EZ175" s="328"/>
      <c r="FA175" s="328"/>
      <c r="FB175" s="328"/>
      <c r="FC175" s="328"/>
      <c r="FD175" s="1237"/>
      <c r="FE175" s="426">
        <v>32</v>
      </c>
      <c r="FF175" s="328"/>
      <c r="FG175" s="328"/>
      <c r="FH175" s="328"/>
      <c r="FI175" s="328"/>
      <c r="FJ175" s="328"/>
      <c r="FK175" s="321"/>
      <c r="FL175" s="321"/>
      <c r="FM175" s="321"/>
      <c r="FN175" s="321"/>
      <c r="FO175" s="321"/>
      <c r="FP175" s="328"/>
      <c r="FQ175" s="328"/>
      <c r="FR175" s="328"/>
      <c r="FS175" s="328"/>
      <c r="FT175" s="1237"/>
      <c r="FU175" s="483"/>
      <c r="FV175" s="321"/>
      <c r="FW175" s="321"/>
      <c r="FX175" s="321"/>
      <c r="FY175" s="321"/>
      <c r="FZ175" s="321"/>
      <c r="GA175" s="321"/>
      <c r="GB175" s="321"/>
      <c r="GC175" s="321"/>
      <c r="GD175" s="321"/>
      <c r="GE175" s="321"/>
      <c r="GF175" s="321"/>
      <c r="GG175" s="321"/>
      <c r="GH175" s="321"/>
      <c r="GI175" s="321"/>
      <c r="GJ175" s="564"/>
      <c r="GK175" s="321"/>
      <c r="GL175" s="321"/>
      <c r="GM175" s="321"/>
      <c r="GN175" s="321"/>
      <c r="GO175" s="321"/>
      <c r="GP175" s="321"/>
      <c r="GQ175" s="321"/>
      <c r="GR175" s="321"/>
      <c r="GS175" s="321"/>
      <c r="GT175" s="321"/>
      <c r="GU175" s="321"/>
      <c r="GV175" s="321"/>
      <c r="GW175" s="321"/>
      <c r="GX175" s="321"/>
      <c r="GY175" s="321"/>
      <c r="GZ175" s="564"/>
      <c r="HA175" s="321"/>
      <c r="HB175" s="321"/>
      <c r="HC175" s="321"/>
      <c r="HD175" s="321"/>
      <c r="HE175" s="321"/>
      <c r="HF175" s="321"/>
      <c r="HG175" s="321"/>
      <c r="HH175" s="321"/>
      <c r="HI175" s="321"/>
      <c r="HJ175" s="321"/>
      <c r="HK175" s="321"/>
      <c r="HL175" s="321"/>
      <c r="HM175" s="321"/>
      <c r="HN175" s="321"/>
      <c r="HO175" s="321"/>
      <c r="HP175" s="564"/>
      <c r="HQ175" s="321"/>
      <c r="HR175" s="321"/>
      <c r="HS175" s="321"/>
      <c r="HT175" s="321"/>
      <c r="HU175" s="321"/>
      <c r="HV175" s="321"/>
      <c r="HW175" s="321"/>
      <c r="HX175" s="321"/>
      <c r="HY175" s="321"/>
      <c r="HZ175" s="321"/>
      <c r="IA175" s="321"/>
      <c r="IB175" s="321"/>
      <c r="IC175" s="321"/>
      <c r="ID175" s="321"/>
      <c r="IE175" s="321"/>
      <c r="IF175" s="564"/>
      <c r="IG175" s="321"/>
      <c r="IH175" s="321"/>
      <c r="II175" s="321"/>
      <c r="IJ175" s="321"/>
      <c r="IK175" s="321"/>
      <c r="IL175" s="321"/>
      <c r="IM175" s="321"/>
      <c r="IN175" s="321"/>
      <c r="IO175" s="321"/>
      <c r="IP175" s="321"/>
      <c r="IQ175" s="321"/>
      <c r="IR175" s="321"/>
      <c r="IS175" s="321"/>
      <c r="IT175" s="321"/>
      <c r="IU175" s="321"/>
      <c r="IV175" s="564"/>
    </row>
    <row r="176" spans="1:256" s="326" customFormat="1" ht="8.25" customHeight="1">
      <c r="A176" s="201"/>
      <c r="B176" s="201"/>
      <c r="C176" s="201"/>
      <c r="D176" s="199"/>
      <c r="E176" s="201"/>
      <c r="F176" s="199"/>
      <c r="G176" s="310"/>
      <c r="H176" s="199"/>
      <c r="I176" s="314"/>
      <c r="J176" s="199"/>
      <c r="K176" s="310"/>
      <c r="L176" s="201"/>
      <c r="M176" s="310"/>
      <c r="N176" s="199"/>
      <c r="O176" s="201"/>
      <c r="P176" s="201"/>
      <c r="Q176" s="201"/>
      <c r="R176" s="201"/>
      <c r="S176" s="201"/>
      <c r="T176" s="199"/>
      <c r="U176" s="201"/>
      <c r="V176" s="199"/>
      <c r="W176" s="310"/>
      <c r="X176" s="199"/>
      <c r="Y176" s="314"/>
      <c r="Z176" s="199"/>
      <c r="AA176" s="310"/>
      <c r="AB176" s="201"/>
      <c r="AC176" s="310"/>
      <c r="AD176" s="199"/>
      <c r="AE176" s="201"/>
      <c r="AF176" s="201"/>
      <c r="AG176" s="199"/>
      <c r="AH176" s="200"/>
      <c r="AI176" s="200"/>
      <c r="AJ176" s="200"/>
      <c r="AK176" s="200"/>
      <c r="AL176" s="199"/>
      <c r="AM176" s="201"/>
      <c r="AN176" s="200"/>
      <c r="AO176" s="200"/>
      <c r="AP176" s="201"/>
      <c r="AQ176" s="199"/>
      <c r="AR176" s="200"/>
      <c r="AS176" s="200"/>
      <c r="AT176" s="200"/>
      <c r="AU176" s="200"/>
      <c r="AV176" s="305"/>
      <c r="AW176" s="321"/>
      <c r="AX176" s="321"/>
      <c r="AY176" s="321"/>
      <c r="AZ176" s="321"/>
      <c r="BA176" s="321"/>
      <c r="BB176" s="321"/>
      <c r="BC176" s="321"/>
      <c r="BD176" s="321"/>
      <c r="BE176" s="446"/>
      <c r="BF176" s="321"/>
      <c r="BG176" s="321"/>
      <c r="BH176" s="321"/>
      <c r="BI176" s="321"/>
      <c r="BJ176" s="321"/>
      <c r="BK176" s="321"/>
      <c r="BL176" s="564"/>
      <c r="BM176" s="321"/>
      <c r="BN176" s="321"/>
      <c r="BO176" s="321"/>
      <c r="BP176" s="321"/>
      <c r="BQ176" s="321"/>
      <c r="BR176" s="321"/>
      <c r="BS176" s="321"/>
      <c r="BT176" s="321"/>
      <c r="BU176" s="321"/>
      <c r="BV176" s="446"/>
      <c r="BW176" s="321"/>
      <c r="BX176" s="321"/>
      <c r="BY176" s="440"/>
      <c r="BZ176" s="321"/>
      <c r="CA176" s="321"/>
      <c r="CB176" s="564"/>
      <c r="CC176" s="321"/>
      <c r="CD176" s="321"/>
      <c r="CE176" s="321"/>
      <c r="CF176" s="321"/>
      <c r="CG176" s="446"/>
      <c r="CH176" s="433"/>
      <c r="CI176" s="433"/>
      <c r="CJ176" s="321"/>
      <c r="CK176" s="321"/>
      <c r="CL176" s="426"/>
      <c r="CM176" s="321"/>
      <c r="CN176" s="321"/>
      <c r="CO176" s="440"/>
      <c r="CP176" s="321"/>
      <c r="CQ176" s="321"/>
      <c r="CR176" s="564"/>
      <c r="CS176" s="446"/>
      <c r="CT176" s="433"/>
      <c r="CU176" s="426"/>
      <c r="CV176" s="321"/>
      <c r="DA176" s="321"/>
      <c r="DB176" s="321"/>
      <c r="DC176" s="433"/>
      <c r="DD176" s="321"/>
      <c r="DF176" s="440"/>
      <c r="DG176" s="426"/>
      <c r="DI176" s="1236"/>
      <c r="DJ176" s="328"/>
      <c r="DK176" s="328"/>
      <c r="DL176" s="328"/>
      <c r="DM176" s="453"/>
      <c r="DN176" s="459"/>
      <c r="DO176" s="446"/>
      <c r="DP176" s="440"/>
      <c r="DQ176" s="440"/>
      <c r="DR176" s="446"/>
      <c r="DS176" s="446"/>
      <c r="DT176" s="446"/>
      <c r="DU176" s="328"/>
      <c r="DV176" s="328"/>
      <c r="DW176" s="328"/>
      <c r="DX176" s="1237"/>
      <c r="DY176" s="1236"/>
      <c r="DZ176" s="328"/>
      <c r="EA176" s="328"/>
      <c r="EB176" s="328"/>
      <c r="EC176" s="328"/>
      <c r="ED176" s="440"/>
      <c r="EE176" s="426"/>
      <c r="EF176" s="453"/>
      <c r="EG176" s="426"/>
      <c r="EH176" s="433"/>
      <c r="EI176" s="426"/>
      <c r="EJ176" s="328"/>
      <c r="EK176" s="328"/>
      <c r="EL176" s="328"/>
      <c r="EM176" s="328"/>
      <c r="EN176" s="1237"/>
      <c r="EO176" s="1236"/>
      <c r="EP176" s="328"/>
      <c r="EQ176" s="328"/>
      <c r="ER176" s="328"/>
      <c r="ES176" s="328"/>
      <c r="ET176" s="328"/>
      <c r="EU176" s="321"/>
      <c r="EV176" s="446"/>
      <c r="EW176" s="426"/>
      <c r="EX176" s="321"/>
      <c r="EY176" s="321"/>
      <c r="EZ176" s="328"/>
      <c r="FA176" s="328"/>
      <c r="FB176" s="328"/>
      <c r="FC176" s="328"/>
      <c r="FD176" s="1237"/>
      <c r="FE176" s="1236"/>
      <c r="FF176" s="328"/>
      <c r="FG176" s="328"/>
      <c r="FH176" s="328"/>
      <c r="FI176" s="328"/>
      <c r="FJ176" s="328"/>
      <c r="FK176" s="321"/>
      <c r="FL176" s="440"/>
      <c r="FM176" s="321"/>
      <c r="FN176" s="321"/>
      <c r="FO176" s="321"/>
      <c r="FP176" s="328"/>
      <c r="FQ176" s="328"/>
      <c r="FR176" s="328"/>
      <c r="FS176" s="328"/>
      <c r="FT176" s="1237"/>
      <c r="FU176" s="483"/>
      <c r="FV176" s="321"/>
      <c r="FW176" s="321"/>
      <c r="FX176" s="321"/>
      <c r="FY176" s="321"/>
      <c r="FZ176" s="321"/>
      <c r="GA176" s="321"/>
      <c r="GB176" s="321"/>
      <c r="GC176" s="321"/>
      <c r="GD176" s="321"/>
      <c r="GE176" s="321"/>
      <c r="GF176" s="321"/>
      <c r="GG176" s="321"/>
      <c r="GH176" s="321"/>
      <c r="GI176" s="321"/>
      <c r="GJ176" s="564"/>
      <c r="GK176" s="321"/>
      <c r="GL176" s="321"/>
      <c r="GM176" s="321"/>
      <c r="GN176" s="321"/>
      <c r="GO176" s="321"/>
      <c r="GP176" s="321"/>
      <c r="GQ176" s="321"/>
      <c r="GR176" s="321"/>
      <c r="GS176" s="321"/>
      <c r="GT176" s="321"/>
      <c r="GU176" s="321"/>
      <c r="GV176" s="321"/>
      <c r="GW176" s="321"/>
      <c r="GX176" s="321"/>
      <c r="GY176" s="321"/>
      <c r="GZ176" s="564"/>
      <c r="HA176" s="321"/>
      <c r="HB176" s="321"/>
      <c r="HC176" s="321"/>
      <c r="HD176" s="321"/>
      <c r="HE176" s="321"/>
      <c r="HF176" s="321"/>
      <c r="HG176" s="321"/>
      <c r="HH176" s="321"/>
      <c r="HI176" s="321"/>
      <c r="HJ176" s="321"/>
      <c r="HK176" s="321"/>
      <c r="HL176" s="321"/>
      <c r="HM176" s="321"/>
      <c r="HN176" s="321"/>
      <c r="HO176" s="321"/>
      <c r="HP176" s="564"/>
      <c r="HQ176" s="321"/>
      <c r="HR176" s="321"/>
      <c r="HS176" s="321"/>
      <c r="HT176" s="321"/>
      <c r="HU176" s="321"/>
      <c r="HV176" s="321"/>
      <c r="HW176" s="321"/>
      <c r="HX176" s="321"/>
      <c r="HY176" s="321"/>
      <c r="HZ176" s="321"/>
      <c r="IA176" s="321"/>
      <c r="IB176" s="321"/>
      <c r="IC176" s="321"/>
      <c r="ID176" s="321"/>
      <c r="IE176" s="321"/>
      <c r="IF176" s="564"/>
      <c r="IG176" s="321"/>
      <c r="IH176" s="321"/>
      <c r="II176" s="321"/>
      <c r="IJ176" s="321"/>
      <c r="IK176" s="321"/>
      <c r="IL176" s="321"/>
      <c r="IM176" s="321"/>
      <c r="IN176" s="321"/>
      <c r="IO176" s="321"/>
      <c r="IP176" s="321"/>
      <c r="IQ176" s="321"/>
      <c r="IR176" s="321"/>
      <c r="IS176" s="321"/>
      <c r="IT176" s="321"/>
      <c r="IU176" s="321"/>
      <c r="IV176" s="564"/>
    </row>
    <row r="177" spans="1:256" s="326" customFormat="1" ht="8.25" customHeight="1">
      <c r="A177" s="310">
        <v>3</v>
      </c>
      <c r="B177" s="201"/>
      <c r="C177" s="310"/>
      <c r="D177" s="201"/>
      <c r="E177" s="310"/>
      <c r="F177" s="201"/>
      <c r="G177" s="314"/>
      <c r="H177" s="305"/>
      <c r="I177" s="201"/>
      <c r="J177" s="305"/>
      <c r="K177" s="314"/>
      <c r="L177" s="201"/>
      <c r="M177" s="310"/>
      <c r="N177" s="201"/>
      <c r="O177" s="305"/>
      <c r="P177" s="314"/>
      <c r="Q177" s="310">
        <v>3</v>
      </c>
      <c r="R177" s="201"/>
      <c r="S177" s="310"/>
      <c r="T177" s="201"/>
      <c r="U177" s="310"/>
      <c r="V177" s="201"/>
      <c r="W177" s="314"/>
      <c r="X177" s="305"/>
      <c r="Y177" s="201"/>
      <c r="Z177" s="305"/>
      <c r="AA177" s="314"/>
      <c r="AB177" s="201"/>
      <c r="AC177" s="310"/>
      <c r="AD177" s="201"/>
      <c r="AE177" s="305"/>
      <c r="AF177" s="314"/>
      <c r="AG177" s="199">
        <v>3</v>
      </c>
      <c r="AH177" s="200"/>
      <c r="AI177" s="199"/>
      <c r="AJ177" s="199"/>
      <c r="AK177" s="200"/>
      <c r="AL177" s="201"/>
      <c r="AM177" s="200"/>
      <c r="AN177" s="310"/>
      <c r="AO177" s="305"/>
      <c r="AP177" s="200"/>
      <c r="AQ177" s="201"/>
      <c r="AR177" s="200"/>
      <c r="AS177" s="199"/>
      <c r="AT177" s="199"/>
      <c r="AU177" s="200"/>
      <c r="AV177" s="305"/>
      <c r="AW177" s="321"/>
      <c r="AX177" s="321"/>
      <c r="AY177" s="321"/>
      <c r="AZ177" s="321"/>
      <c r="BA177" s="321"/>
      <c r="BB177" s="321"/>
      <c r="BC177" s="321"/>
      <c r="BD177" s="446"/>
      <c r="BE177" s="321"/>
      <c r="BF177" s="446"/>
      <c r="BG177" s="321"/>
      <c r="BH177" s="440"/>
      <c r="BI177" s="321"/>
      <c r="BJ177" s="321"/>
      <c r="BK177" s="321"/>
      <c r="BL177" s="564"/>
      <c r="BM177" s="321"/>
      <c r="BN177" s="321"/>
      <c r="BO177" s="321"/>
      <c r="BP177" s="321"/>
      <c r="BQ177" s="321"/>
      <c r="BR177" s="321"/>
      <c r="BS177" s="446"/>
      <c r="BT177" s="433"/>
      <c r="BU177" s="321"/>
      <c r="BV177" s="321"/>
      <c r="BW177" s="321"/>
      <c r="BX177" s="440"/>
      <c r="BY177" s="321"/>
      <c r="BZ177" s="321"/>
      <c r="CA177" s="321"/>
      <c r="CB177" s="564"/>
      <c r="CC177" s="321"/>
      <c r="CD177" s="321"/>
      <c r="CE177" s="321"/>
      <c r="CF177" s="321"/>
      <c r="CG177" s="321"/>
      <c r="CH177" s="321"/>
      <c r="CI177" s="321"/>
      <c r="CJ177" s="433"/>
      <c r="CK177" s="321"/>
      <c r="CL177" s="440"/>
      <c r="CM177" s="321"/>
      <c r="CN177" s="321"/>
      <c r="CO177" s="321"/>
      <c r="CP177" s="321"/>
      <c r="CQ177" s="321"/>
      <c r="CR177" s="564"/>
      <c r="CS177" s="321"/>
      <c r="CT177" s="321"/>
      <c r="CU177" s="321"/>
      <c r="CV177" s="321"/>
      <c r="CW177" s="321"/>
      <c r="CX177" s="321"/>
      <c r="CY177" s="321"/>
      <c r="CZ177" s="433"/>
      <c r="DA177" s="321"/>
      <c r="DB177" s="321"/>
      <c r="DC177" s="321"/>
      <c r="DD177" s="321"/>
      <c r="DE177" s="321"/>
      <c r="DF177" s="321"/>
      <c r="DG177" s="321"/>
      <c r="DH177" s="426"/>
      <c r="DI177" s="1236"/>
      <c r="DJ177" s="328"/>
      <c r="DK177" s="328"/>
      <c r="DL177" s="328"/>
      <c r="DM177" s="453"/>
      <c r="DN177" s="440"/>
      <c r="DO177" s="440"/>
      <c r="DP177" s="459"/>
      <c r="DQ177" s="440"/>
      <c r="DR177" s="426"/>
      <c r="DS177" s="440"/>
      <c r="DT177" s="440"/>
      <c r="DU177" s="328"/>
      <c r="DV177" s="328"/>
      <c r="DW177" s="328"/>
      <c r="DX177" s="1237"/>
      <c r="DY177" s="1236"/>
      <c r="DZ177" s="328"/>
      <c r="EA177" s="328"/>
      <c r="EB177" s="328"/>
      <c r="EC177" s="446"/>
      <c r="ED177" s="426"/>
      <c r="EE177" s="440"/>
      <c r="EF177" s="440"/>
      <c r="EG177" s="446"/>
      <c r="EH177" s="422"/>
      <c r="EI177" s="422"/>
      <c r="EJ177" s="328"/>
      <c r="EK177" s="328"/>
      <c r="EL177" s="328"/>
      <c r="EM177" s="328"/>
      <c r="EN177" s="1237"/>
      <c r="EO177" s="1236"/>
      <c r="EP177" s="328"/>
      <c r="EQ177" s="328"/>
      <c r="ER177" s="328"/>
      <c r="ES177" s="328"/>
      <c r="ET177" s="328"/>
      <c r="EU177" s="426"/>
      <c r="EV177" s="440"/>
      <c r="EW177" s="433"/>
      <c r="EX177" s="321"/>
      <c r="EY177" s="426"/>
      <c r="EZ177" s="328"/>
      <c r="FA177" s="328"/>
      <c r="FB177" s="328"/>
      <c r="FC177" s="328"/>
      <c r="FD177" s="1237"/>
      <c r="FE177" s="1236"/>
      <c r="FF177" s="328"/>
      <c r="FG177" s="328"/>
      <c r="FH177" s="328"/>
      <c r="FI177" s="328"/>
      <c r="FJ177" s="426"/>
      <c r="FK177" s="321"/>
      <c r="FL177" s="321"/>
      <c r="FM177" s="321"/>
      <c r="FN177" s="321"/>
      <c r="FO177" s="321"/>
      <c r="FP177" s="328"/>
      <c r="FQ177" s="328"/>
      <c r="FR177" s="328"/>
      <c r="FS177" s="328"/>
      <c r="FT177" s="1237"/>
      <c r="FU177" s="483"/>
      <c r="FV177" s="321"/>
      <c r="FW177" s="321"/>
      <c r="FX177" s="321"/>
      <c r="FY177" s="321"/>
      <c r="FZ177" s="321"/>
      <c r="GA177" s="321"/>
      <c r="GB177" s="321"/>
      <c r="GC177" s="321"/>
      <c r="GD177" s="321"/>
      <c r="GE177" s="321"/>
      <c r="GF177" s="321"/>
      <c r="GG177" s="321"/>
      <c r="GH177" s="321"/>
      <c r="GI177" s="321"/>
      <c r="GJ177" s="564"/>
      <c r="GK177" s="321"/>
      <c r="GL177" s="321"/>
      <c r="GM177" s="321"/>
      <c r="GN177" s="321"/>
      <c r="GO177" s="321"/>
      <c r="GP177" s="321"/>
      <c r="GQ177" s="321"/>
      <c r="GR177" s="321"/>
      <c r="GS177" s="321"/>
      <c r="GT177" s="321"/>
      <c r="GU177" s="321"/>
      <c r="GV177" s="321"/>
      <c r="GW177" s="321"/>
      <c r="GX177" s="321"/>
      <c r="GY177" s="321"/>
      <c r="GZ177" s="564"/>
      <c r="HA177" s="321"/>
      <c r="HB177" s="321"/>
      <c r="HC177" s="321"/>
      <c r="HD177" s="321"/>
      <c r="HE177" s="321"/>
      <c r="HF177" s="321"/>
      <c r="HG177" s="321"/>
      <c r="HH177" s="321"/>
      <c r="HI177" s="321"/>
      <c r="HJ177" s="321"/>
      <c r="HK177" s="321"/>
      <c r="HL177" s="321"/>
      <c r="HM177" s="321"/>
      <c r="HN177" s="321"/>
      <c r="HO177" s="321"/>
      <c r="HP177" s="564"/>
      <c r="HQ177" s="321"/>
      <c r="HR177" s="321"/>
      <c r="HS177" s="321"/>
      <c r="HT177" s="321"/>
      <c r="HU177" s="321"/>
      <c r="HV177" s="321"/>
      <c r="HW177" s="321">
        <v>9</v>
      </c>
      <c r="HX177" s="321">
        <v>10</v>
      </c>
      <c r="HY177" s="321">
        <v>10</v>
      </c>
      <c r="HZ177" s="321">
        <v>9</v>
      </c>
      <c r="IA177" s="321"/>
      <c r="IB177" s="321"/>
      <c r="IC177" s="321"/>
      <c r="ID177" s="321"/>
      <c r="IE177" s="321"/>
      <c r="IF177" s="564"/>
      <c r="IG177" s="321"/>
      <c r="IH177" s="321"/>
      <c r="II177" s="321"/>
      <c r="IJ177" s="321"/>
      <c r="IK177" s="321"/>
      <c r="IL177" s="321"/>
      <c r="IM177" s="321">
        <v>10</v>
      </c>
      <c r="IN177" s="321">
        <v>10</v>
      </c>
      <c r="IO177" s="321">
        <v>10</v>
      </c>
      <c r="IP177" s="321">
        <v>10</v>
      </c>
      <c r="IQ177" s="321"/>
      <c r="IR177" s="321"/>
      <c r="IS177" s="321"/>
      <c r="IT177" s="321"/>
      <c r="IU177" s="321"/>
      <c r="IV177" s="564"/>
    </row>
    <row r="178" spans="1:256" s="326" customFormat="1" ht="8.25" customHeight="1">
      <c r="A178" s="456">
        <v>5</v>
      </c>
      <c r="B178" s="201"/>
      <c r="C178" s="314"/>
      <c r="D178" s="199"/>
      <c r="E178" s="201"/>
      <c r="F178" s="199"/>
      <c r="G178" s="310"/>
      <c r="H178" s="199"/>
      <c r="I178" s="314"/>
      <c r="J178" s="199"/>
      <c r="K178" s="310"/>
      <c r="L178" s="201"/>
      <c r="M178" s="310"/>
      <c r="N178" s="199"/>
      <c r="O178" s="201"/>
      <c r="P178" s="201"/>
      <c r="Q178" s="456">
        <v>5</v>
      </c>
      <c r="R178" s="201"/>
      <c r="S178" s="314"/>
      <c r="T178" s="199"/>
      <c r="U178" s="201"/>
      <c r="V178" s="199"/>
      <c r="W178" s="310"/>
      <c r="X178" s="199"/>
      <c r="Y178" s="314"/>
      <c r="Z178" s="199"/>
      <c r="AA178" s="310"/>
      <c r="AB178" s="201"/>
      <c r="AC178" s="310"/>
      <c r="AD178" s="199"/>
      <c r="AE178" s="201"/>
      <c r="AF178" s="201"/>
      <c r="AG178" s="199">
        <v>5</v>
      </c>
      <c r="AH178" s="200"/>
      <c r="AI178" s="200"/>
      <c r="AJ178" s="200"/>
      <c r="AK178" s="200"/>
      <c r="AL178" s="201"/>
      <c r="AM178" s="200"/>
      <c r="AN178" s="305"/>
      <c r="AO178" s="199"/>
      <c r="AP178" s="200"/>
      <c r="AQ178" s="201"/>
      <c r="AR178" s="200"/>
      <c r="AS178" s="200"/>
      <c r="AT178" s="200"/>
      <c r="AU178" s="200"/>
      <c r="AV178" s="305"/>
      <c r="AW178" s="321"/>
      <c r="AX178" s="321"/>
      <c r="AY178" s="321"/>
      <c r="AZ178" s="321"/>
      <c r="BA178" s="321"/>
      <c r="BB178" s="321"/>
      <c r="BC178" s="321"/>
      <c r="BD178" s="440"/>
      <c r="BE178" s="426"/>
      <c r="BF178" s="433"/>
      <c r="BG178" s="440"/>
      <c r="BH178" s="433"/>
      <c r="BI178" s="440"/>
      <c r="BJ178" s="321"/>
      <c r="BK178" s="321"/>
      <c r="BL178" s="564"/>
      <c r="BM178" s="321"/>
      <c r="BN178" s="321"/>
      <c r="BO178" s="321"/>
      <c r="BP178" s="321"/>
      <c r="BQ178" s="321"/>
      <c r="BR178" s="321"/>
      <c r="BS178" s="321"/>
      <c r="BT178" s="433"/>
      <c r="BU178" s="426"/>
      <c r="BV178" s="433"/>
      <c r="BW178" s="440"/>
      <c r="BX178" s="433"/>
      <c r="BY178" s="440"/>
      <c r="BZ178" s="426"/>
      <c r="CA178" s="321"/>
      <c r="CB178" s="564"/>
      <c r="CC178" s="321"/>
      <c r="CD178" s="321"/>
      <c r="CE178" s="321"/>
      <c r="CF178" s="321"/>
      <c r="CG178" s="321"/>
      <c r="CH178" s="321"/>
      <c r="CI178" s="321"/>
      <c r="CJ178" s="440"/>
      <c r="CK178" s="426"/>
      <c r="CL178" s="321"/>
      <c r="CM178" s="321"/>
      <c r="CN178" s="321"/>
      <c r="CO178" s="440"/>
      <c r="CP178" s="426"/>
      <c r="CQ178" s="321"/>
      <c r="CR178" s="564"/>
      <c r="CS178" s="321"/>
      <c r="CT178" s="321"/>
      <c r="CU178" s="321"/>
      <c r="CV178" s="321"/>
      <c r="CW178" s="321"/>
      <c r="CX178" s="321"/>
      <c r="CY178" s="321"/>
      <c r="CZ178" s="321"/>
      <c r="DA178" s="321"/>
      <c r="DB178" s="321"/>
      <c r="DC178" s="321"/>
      <c r="DD178" s="321"/>
      <c r="DE178" s="321"/>
      <c r="DF178" s="321"/>
      <c r="DG178" s="321"/>
      <c r="DI178" s="1236"/>
      <c r="DJ178" s="328"/>
      <c r="DK178" s="328"/>
      <c r="DL178" s="328"/>
      <c r="DM178" s="426"/>
      <c r="DN178" s="453"/>
      <c r="DO178" s="440"/>
      <c r="DP178" s="426"/>
      <c r="DQ178" s="433"/>
      <c r="DR178" s="426"/>
      <c r="DS178" s="453"/>
      <c r="DT178" s="440"/>
      <c r="DU178" s="328"/>
      <c r="DV178" s="328"/>
      <c r="DW178" s="328"/>
      <c r="DX178" s="1237"/>
      <c r="DY178" s="1236"/>
      <c r="DZ178" s="328"/>
      <c r="EA178" s="328"/>
      <c r="EB178" s="328"/>
      <c r="EC178" s="426"/>
      <c r="ED178" s="426"/>
      <c r="EE178" s="459"/>
      <c r="EF178" s="459"/>
      <c r="EG178" s="440"/>
      <c r="EH178" s="426"/>
      <c r="EI178" s="440"/>
      <c r="EJ178" s="328"/>
      <c r="EK178" s="328"/>
      <c r="EL178" s="328"/>
      <c r="EM178" s="328"/>
      <c r="EN178" s="1237"/>
      <c r="EO178" s="1236"/>
      <c r="EP178" s="328"/>
      <c r="EQ178" s="328"/>
      <c r="ER178" s="328"/>
      <c r="ES178" s="328"/>
      <c r="ET178" s="328"/>
      <c r="EU178" s="426"/>
      <c r="EV178" s="453"/>
      <c r="EW178" s="433"/>
      <c r="EX178" s="426"/>
      <c r="EY178" s="422"/>
      <c r="EZ178" s="328"/>
      <c r="FA178" s="328"/>
      <c r="FB178" s="328"/>
      <c r="FC178" s="328"/>
      <c r="FD178" s="1237"/>
      <c r="FE178" s="1236"/>
      <c r="FF178" s="328"/>
      <c r="FG178" s="328"/>
      <c r="FH178" s="328"/>
      <c r="FI178" s="328"/>
      <c r="FJ178" s="328"/>
      <c r="FK178" s="321"/>
      <c r="FL178" s="321"/>
      <c r="FM178" s="321"/>
      <c r="FN178" s="321"/>
      <c r="FO178" s="321"/>
      <c r="FP178" s="328"/>
      <c r="FQ178" s="328"/>
      <c r="FR178" s="328"/>
      <c r="FS178" s="328"/>
      <c r="FT178" s="1237"/>
      <c r="FU178" s="483"/>
      <c r="FV178" s="321"/>
      <c r="FW178" s="321"/>
      <c r="FX178" s="321"/>
      <c r="FY178" s="321"/>
      <c r="FZ178" s="321"/>
      <c r="GA178" s="321"/>
      <c r="GB178" s="321"/>
      <c r="GC178" s="321"/>
      <c r="GD178" s="321"/>
      <c r="GE178" s="321"/>
      <c r="GF178" s="321"/>
      <c r="GG178" s="321"/>
      <c r="GH178" s="321"/>
      <c r="GI178" s="321"/>
      <c r="GJ178" s="564"/>
      <c r="GK178" s="321"/>
      <c r="GL178" s="321"/>
      <c r="GM178" s="321"/>
      <c r="GN178" s="321"/>
      <c r="GO178" s="321"/>
      <c r="GP178" s="321"/>
      <c r="GQ178" s="321"/>
      <c r="GR178" s="321"/>
      <c r="GS178" s="321"/>
      <c r="GT178" s="321"/>
      <c r="GU178" s="321"/>
      <c r="GV178" s="321"/>
      <c r="GW178" s="321"/>
      <c r="GX178" s="321"/>
      <c r="GY178" s="321"/>
      <c r="GZ178" s="564"/>
      <c r="HA178" s="321"/>
      <c r="HB178" s="321"/>
      <c r="HC178" s="321"/>
      <c r="HD178" s="321"/>
      <c r="HE178" s="321"/>
      <c r="HF178" s="321"/>
      <c r="HG178" s="321"/>
      <c r="HH178" s="321"/>
      <c r="HI178" s="321"/>
      <c r="HJ178" s="321"/>
      <c r="HK178" s="321"/>
      <c r="HL178" s="321"/>
      <c r="HM178" s="321"/>
      <c r="HN178" s="321"/>
      <c r="HO178" s="321"/>
      <c r="HP178" s="564"/>
      <c r="HQ178" s="321"/>
      <c r="HR178" s="321"/>
      <c r="HS178" s="321"/>
      <c r="HT178" s="321"/>
      <c r="HU178" s="321"/>
      <c r="HV178" s="321">
        <v>10</v>
      </c>
      <c r="HW178" s="443">
        <v>9</v>
      </c>
      <c r="HX178" s="443">
        <v>10</v>
      </c>
      <c r="HY178" s="443">
        <v>10</v>
      </c>
      <c r="HZ178" s="449">
        <v>11</v>
      </c>
      <c r="IA178" s="321">
        <v>10</v>
      </c>
      <c r="IB178" s="321"/>
      <c r="IC178" s="321"/>
      <c r="ID178" s="321"/>
      <c r="IE178" s="321"/>
      <c r="IF178" s="564"/>
      <c r="IG178" s="321"/>
      <c r="IH178" s="321"/>
      <c r="II178" s="321"/>
      <c r="IJ178" s="321"/>
      <c r="IK178" s="321"/>
      <c r="IL178" s="321">
        <v>10</v>
      </c>
      <c r="IM178" s="443">
        <v>9</v>
      </c>
      <c r="IN178" s="449">
        <v>10</v>
      </c>
      <c r="IO178" s="456">
        <v>11</v>
      </c>
      <c r="IP178" s="456">
        <v>11</v>
      </c>
      <c r="IQ178" s="321">
        <v>10</v>
      </c>
      <c r="IR178" s="321"/>
      <c r="IS178" s="321"/>
      <c r="IT178" s="321"/>
      <c r="IU178" s="321"/>
      <c r="IV178" s="564"/>
    </row>
    <row r="179" spans="1:256" s="326" customFormat="1" ht="8.25" customHeight="1">
      <c r="A179" s="310"/>
      <c r="B179" s="314"/>
      <c r="C179" s="314"/>
      <c r="D179" s="314"/>
      <c r="E179" s="314"/>
      <c r="F179" s="310"/>
      <c r="G179" s="310"/>
      <c r="H179" s="310"/>
      <c r="I179" s="310"/>
      <c r="J179" s="310"/>
      <c r="K179" s="310"/>
      <c r="L179" s="314"/>
      <c r="M179" s="314"/>
      <c r="N179" s="314"/>
      <c r="O179" s="314"/>
      <c r="P179" s="310"/>
      <c r="Q179" s="310"/>
      <c r="R179" s="314"/>
      <c r="S179" s="314"/>
      <c r="T179" s="314"/>
      <c r="U179" s="314"/>
      <c r="V179" s="310"/>
      <c r="W179" s="310"/>
      <c r="X179" s="310"/>
      <c r="Y179" s="310"/>
      <c r="Z179" s="310"/>
      <c r="AA179" s="310"/>
      <c r="AB179" s="314"/>
      <c r="AC179" s="314"/>
      <c r="AD179" s="314"/>
      <c r="AE179" s="314"/>
      <c r="AF179" s="310"/>
      <c r="AG179" s="199"/>
      <c r="AH179" s="200"/>
      <c r="AI179" s="199"/>
      <c r="AJ179" s="199"/>
      <c r="AK179" s="200"/>
      <c r="AL179" s="199"/>
      <c r="AM179" s="201"/>
      <c r="AN179" s="200"/>
      <c r="AO179" s="200"/>
      <c r="AP179" s="201"/>
      <c r="AQ179" s="199"/>
      <c r="AR179" s="200"/>
      <c r="AS179" s="199"/>
      <c r="AT179" s="199"/>
      <c r="AU179" s="200"/>
      <c r="AV179" s="305"/>
      <c r="AW179" s="321"/>
      <c r="AX179" s="321"/>
      <c r="AY179" s="321"/>
      <c r="AZ179" s="321"/>
      <c r="BA179" s="321"/>
      <c r="BB179" s="321"/>
      <c r="BC179" s="321"/>
      <c r="BD179" s="321"/>
      <c r="BE179" s="446"/>
      <c r="BF179" s="449"/>
      <c r="BG179" s="432"/>
      <c r="BH179" s="433"/>
      <c r="BI179" s="446"/>
      <c r="BJ179" s="321"/>
      <c r="BK179" s="321"/>
      <c r="BL179" s="564"/>
      <c r="BM179" s="321"/>
      <c r="BN179" s="321"/>
      <c r="BO179" s="321"/>
      <c r="BP179" s="321"/>
      <c r="BQ179" s="321"/>
      <c r="BR179" s="321"/>
      <c r="BS179" s="321"/>
      <c r="BT179" s="321"/>
      <c r="BU179" s="446"/>
      <c r="BV179" s="432"/>
      <c r="BW179" s="433"/>
      <c r="BX179" s="321"/>
      <c r="BY179" s="321"/>
      <c r="BZ179" s="321"/>
      <c r="CA179" s="321"/>
      <c r="CB179" s="564"/>
      <c r="CC179" s="321"/>
      <c r="CD179" s="321"/>
      <c r="CE179" s="321"/>
      <c r="CF179" s="321"/>
      <c r="CG179" s="446"/>
      <c r="CH179" s="440"/>
      <c r="CI179" s="433"/>
      <c r="CJ179" s="321"/>
      <c r="CK179" s="321"/>
      <c r="CL179" s="321"/>
      <c r="CM179" s="433"/>
      <c r="CN179" s="321"/>
      <c r="CO179" s="321"/>
      <c r="CP179" s="446"/>
      <c r="CQ179" s="426"/>
      <c r="CR179" s="564"/>
      <c r="CS179" s="321"/>
      <c r="CT179" s="321"/>
      <c r="CU179" s="321"/>
      <c r="CV179" s="321"/>
      <c r="CW179" s="321"/>
      <c r="CX179" s="321"/>
      <c r="CY179" s="433"/>
      <c r="CZ179" s="321"/>
      <c r="DA179" s="321"/>
      <c r="DB179" s="321"/>
      <c r="DC179" s="321"/>
      <c r="DD179" s="321"/>
      <c r="DE179" s="321"/>
      <c r="DF179" s="426"/>
      <c r="DG179" s="321"/>
      <c r="DI179" s="1236"/>
      <c r="DJ179" s="328"/>
      <c r="DK179" s="328"/>
      <c r="DL179" s="328"/>
      <c r="DM179" s="453"/>
      <c r="DN179" s="440"/>
      <c r="DO179" s="453"/>
      <c r="DP179" s="446"/>
      <c r="DQ179" s="446"/>
      <c r="DR179" s="440"/>
      <c r="DS179" s="433"/>
      <c r="DT179" s="426"/>
      <c r="DU179" s="440"/>
      <c r="DV179" s="328"/>
      <c r="DW179" s="328"/>
      <c r="DX179" s="1237"/>
      <c r="DY179" s="1236"/>
      <c r="DZ179" s="328"/>
      <c r="EA179" s="328"/>
      <c r="EB179" s="328"/>
      <c r="EC179" s="453"/>
      <c r="ED179" s="433"/>
      <c r="EE179" s="453"/>
      <c r="EF179" s="426"/>
      <c r="EG179" s="440"/>
      <c r="EH179" s="446"/>
      <c r="EI179" s="426"/>
      <c r="EJ179" s="426"/>
      <c r="EK179" s="328"/>
      <c r="EL179" s="328"/>
      <c r="EM179" s="328"/>
      <c r="EN179" s="1237"/>
      <c r="EO179" s="1236"/>
      <c r="EP179" s="328"/>
      <c r="EQ179" s="328"/>
      <c r="ER179" s="328"/>
      <c r="ES179" s="328"/>
      <c r="ET179" s="328"/>
      <c r="EU179" s="440"/>
      <c r="EV179" s="433"/>
      <c r="EW179" s="446"/>
      <c r="EX179" s="433"/>
      <c r="EY179" s="440"/>
      <c r="EZ179" s="328"/>
      <c r="FA179" s="328"/>
      <c r="FB179" s="328"/>
      <c r="FC179" s="328"/>
      <c r="FD179" s="1237"/>
      <c r="FE179" s="1236"/>
      <c r="FF179" s="328"/>
      <c r="FG179" s="328"/>
      <c r="FH179" s="328"/>
      <c r="FI179" s="328"/>
      <c r="FJ179" s="328"/>
      <c r="FK179" s="321"/>
      <c r="FL179" s="321"/>
      <c r="FM179" s="321"/>
      <c r="FN179" s="321"/>
      <c r="FO179" s="426"/>
      <c r="FP179" s="328"/>
      <c r="FQ179" s="328"/>
      <c r="FR179" s="328"/>
      <c r="FS179" s="328"/>
      <c r="FT179" s="1237"/>
      <c r="FU179" s="483"/>
      <c r="FV179" s="321"/>
      <c r="FW179" s="321"/>
      <c r="FX179" s="321"/>
      <c r="FY179" s="321"/>
      <c r="FZ179" s="321"/>
      <c r="GA179" s="321"/>
      <c r="GB179" s="321"/>
      <c r="GC179" s="321"/>
      <c r="GD179" s="321"/>
      <c r="GE179" s="321"/>
      <c r="GF179" s="321"/>
      <c r="GG179" s="321"/>
      <c r="GH179" s="321"/>
      <c r="GI179" s="321"/>
      <c r="GJ179" s="564"/>
      <c r="GK179" s="321"/>
      <c r="GL179" s="321"/>
      <c r="GM179" s="321"/>
      <c r="GN179" s="321"/>
      <c r="GO179" s="321"/>
      <c r="GP179" s="321"/>
      <c r="GQ179" s="321"/>
      <c r="GR179" s="321"/>
      <c r="GS179" s="321"/>
      <c r="GT179" s="321"/>
      <c r="GU179" s="321"/>
      <c r="GV179" s="321"/>
      <c r="GW179" s="321"/>
      <c r="GX179" s="321"/>
      <c r="GY179" s="321"/>
      <c r="GZ179" s="564"/>
      <c r="HA179" s="321"/>
      <c r="HB179" s="321"/>
      <c r="HC179" s="321"/>
      <c r="HD179" s="321"/>
      <c r="HE179" s="321"/>
      <c r="HF179" s="321"/>
      <c r="HG179" s="321"/>
      <c r="HH179" s="321"/>
      <c r="HI179" s="321"/>
      <c r="HJ179" s="321"/>
      <c r="HK179" s="321"/>
      <c r="HL179" s="321"/>
      <c r="HM179" s="321"/>
      <c r="HN179" s="321"/>
      <c r="HO179" s="321"/>
      <c r="HP179" s="564"/>
      <c r="HQ179" s="321"/>
      <c r="HR179" s="321"/>
      <c r="HS179" s="321"/>
      <c r="HT179" s="321"/>
      <c r="HU179" s="321">
        <v>9</v>
      </c>
      <c r="HV179" s="443">
        <v>9</v>
      </c>
      <c r="HW179" s="456">
        <v>12</v>
      </c>
      <c r="HX179" s="462"/>
      <c r="HY179" s="456"/>
      <c r="HZ179" s="449">
        <v>11</v>
      </c>
      <c r="IA179" s="449">
        <v>11</v>
      </c>
      <c r="IB179" s="321">
        <v>9</v>
      </c>
      <c r="IC179" s="321"/>
      <c r="ID179" s="321"/>
      <c r="IE179" s="321"/>
      <c r="IF179" s="564"/>
      <c r="IG179" s="321"/>
      <c r="IH179" s="321"/>
      <c r="II179" s="321"/>
      <c r="IJ179" s="321"/>
      <c r="IK179" s="321">
        <v>10</v>
      </c>
      <c r="IL179" s="443">
        <v>9</v>
      </c>
      <c r="IM179" s="449">
        <v>11</v>
      </c>
      <c r="IN179" s="462"/>
      <c r="IO179" s="462"/>
      <c r="IP179" s="449">
        <v>12</v>
      </c>
      <c r="IQ179" s="456">
        <v>11</v>
      </c>
      <c r="IR179" s="321">
        <v>10</v>
      </c>
      <c r="IS179" s="321"/>
      <c r="IT179" s="321"/>
      <c r="IU179" s="321"/>
      <c r="IV179" s="564"/>
    </row>
    <row r="180" spans="1:256" s="326" customFormat="1" ht="8.25" customHeight="1">
      <c r="A180" s="321"/>
      <c r="C180" s="321"/>
      <c r="D180" s="321"/>
      <c r="E180" s="321"/>
      <c r="F180" s="201"/>
      <c r="G180" s="297"/>
      <c r="H180" s="293"/>
      <c r="I180" s="161"/>
      <c r="J180" s="206"/>
      <c r="K180" s="201"/>
      <c r="L180" s="321"/>
      <c r="M180" s="321"/>
      <c r="N180" s="321"/>
      <c r="O180" s="321"/>
      <c r="P180" s="564"/>
      <c r="Q180" s="321"/>
      <c r="S180" s="321"/>
      <c r="T180" s="321"/>
      <c r="U180" s="321"/>
      <c r="V180" s="201"/>
      <c r="W180" s="297"/>
      <c r="X180" s="293"/>
      <c r="Y180" s="161"/>
      <c r="Z180" s="206"/>
      <c r="AA180" s="201"/>
      <c r="AB180" s="321"/>
      <c r="AC180" s="321"/>
      <c r="AD180" s="321"/>
      <c r="AE180" s="321"/>
      <c r="AF180" s="321"/>
      <c r="AG180" s="199"/>
      <c r="AH180" s="200"/>
      <c r="AI180" s="200"/>
      <c r="AJ180" s="200"/>
      <c r="AK180" s="200"/>
      <c r="AL180" s="200"/>
      <c r="AM180" s="199"/>
      <c r="AN180" s="201"/>
      <c r="AO180" s="201"/>
      <c r="AP180" s="199"/>
      <c r="AQ180" s="200"/>
      <c r="AR180" s="200"/>
      <c r="AS180" s="200"/>
      <c r="AT180" s="200"/>
      <c r="AU180" s="200"/>
      <c r="AV180" s="305"/>
      <c r="AW180" s="321"/>
      <c r="AX180" s="321"/>
      <c r="AY180" s="321"/>
      <c r="AZ180" s="321"/>
      <c r="BA180" s="321"/>
      <c r="BB180" s="321"/>
      <c r="BC180" s="321"/>
      <c r="BD180" s="440"/>
      <c r="BE180" s="433"/>
      <c r="BF180" s="411"/>
      <c r="BG180" s="433"/>
      <c r="BH180" s="426"/>
      <c r="BI180" s="321"/>
      <c r="BJ180" s="321"/>
      <c r="BK180" s="321"/>
      <c r="BL180" s="564"/>
      <c r="BM180" s="321"/>
      <c r="BN180" s="321"/>
      <c r="BO180" s="321"/>
      <c r="BP180" s="321"/>
      <c r="BQ180" s="321"/>
      <c r="BR180" s="321"/>
      <c r="BS180" s="433"/>
      <c r="BT180" s="440"/>
      <c r="BU180" s="433"/>
      <c r="BV180" s="433"/>
      <c r="BW180" s="429"/>
      <c r="BX180" s="426"/>
      <c r="BY180" s="321"/>
      <c r="BZ180" s="321"/>
      <c r="CA180" s="321"/>
      <c r="CB180" s="564"/>
      <c r="CC180" s="321"/>
      <c r="CD180" s="321"/>
      <c r="CE180" s="321"/>
      <c r="CF180" s="446"/>
      <c r="CG180" s="426"/>
      <c r="CH180" s="321"/>
      <c r="CI180" s="321"/>
      <c r="CJ180" s="433"/>
      <c r="CK180" s="321"/>
      <c r="CL180" s="433"/>
      <c r="CM180" s="321"/>
      <c r="CN180" s="321"/>
      <c r="CO180" s="321"/>
      <c r="CP180" s="321"/>
      <c r="CQ180" s="321"/>
      <c r="CR180" s="564"/>
      <c r="CS180" s="321"/>
      <c r="CT180" s="321"/>
      <c r="CU180" s="321"/>
      <c r="CV180" s="446"/>
      <c r="CW180" s="440"/>
      <c r="CX180" s="321"/>
      <c r="CY180" s="321"/>
      <c r="CZ180" s="433"/>
      <c r="DA180" s="321"/>
      <c r="DB180" s="321"/>
      <c r="DC180" s="321"/>
      <c r="DD180" s="433"/>
      <c r="DE180" s="321"/>
      <c r="DF180" s="321"/>
      <c r="DG180" s="426"/>
      <c r="DI180" s="1236"/>
      <c r="DJ180" s="328"/>
      <c r="DK180" s="328"/>
      <c r="DL180" s="426"/>
      <c r="DM180" s="426"/>
      <c r="DN180" s="453"/>
      <c r="DO180" s="446"/>
      <c r="DP180" s="440"/>
      <c r="DQ180" s="440"/>
      <c r="DR180" s="440"/>
      <c r="DS180" s="453"/>
      <c r="DT180" s="446"/>
      <c r="DU180" s="426"/>
      <c r="DV180" s="328"/>
      <c r="DW180" s="328"/>
      <c r="DX180" s="1237"/>
      <c r="DY180" s="1236"/>
      <c r="DZ180" s="328"/>
      <c r="EA180" s="328"/>
      <c r="EB180" s="328"/>
      <c r="EC180" s="453"/>
      <c r="ED180" s="453"/>
      <c r="EE180" s="433"/>
      <c r="EF180" s="446"/>
      <c r="EG180" s="433"/>
      <c r="EH180" s="426"/>
      <c r="EI180" s="446"/>
      <c r="EJ180" s="433"/>
      <c r="EK180" s="328"/>
      <c r="EL180" s="328"/>
      <c r="EM180" s="328"/>
      <c r="EN180" s="1237"/>
      <c r="EO180" s="1236"/>
      <c r="EP180" s="328"/>
      <c r="EQ180" s="328"/>
      <c r="ER180" s="328"/>
      <c r="ES180" s="328"/>
      <c r="ET180" s="426"/>
      <c r="EU180" s="426"/>
      <c r="EV180" s="453"/>
      <c r="EW180" s="440"/>
      <c r="EX180" s="426"/>
      <c r="EY180" s="426"/>
      <c r="EZ180" s="328"/>
      <c r="FA180" s="328"/>
      <c r="FB180" s="328"/>
      <c r="FC180" s="328"/>
      <c r="FD180" s="1237"/>
      <c r="FE180" s="1236"/>
      <c r="FF180" s="328"/>
      <c r="FG180" s="328"/>
      <c r="FH180" s="328"/>
      <c r="FI180" s="328"/>
      <c r="FJ180" s="328"/>
      <c r="FK180" s="321"/>
      <c r="FL180" s="321"/>
      <c r="FM180" s="321"/>
      <c r="FN180" s="321"/>
      <c r="FO180" s="328"/>
      <c r="FP180" s="328"/>
      <c r="FQ180" s="328"/>
      <c r="FR180" s="328"/>
      <c r="FS180" s="328"/>
      <c r="FT180" s="1237"/>
      <c r="FU180" s="483"/>
      <c r="FV180" s="321"/>
      <c r="FW180" s="321"/>
      <c r="FX180" s="321"/>
      <c r="FY180" s="321"/>
      <c r="FZ180" s="321"/>
      <c r="GA180" s="321"/>
      <c r="GB180" s="321"/>
      <c r="GC180" s="321"/>
      <c r="GD180" s="321"/>
      <c r="GE180" s="321"/>
      <c r="GF180" s="321"/>
      <c r="GG180" s="321"/>
      <c r="GH180" s="321"/>
      <c r="GI180" s="321"/>
      <c r="GJ180" s="564"/>
      <c r="GK180" s="321"/>
      <c r="GL180" s="321"/>
      <c r="GM180" s="321"/>
      <c r="GN180" s="321"/>
      <c r="GO180" s="321"/>
      <c r="GP180" s="321"/>
      <c r="GQ180" s="321"/>
      <c r="GR180" s="321"/>
      <c r="GS180" s="321"/>
      <c r="GT180" s="321"/>
      <c r="GU180" s="321"/>
      <c r="GV180" s="445"/>
      <c r="GW180" s="321"/>
      <c r="GX180" s="321"/>
      <c r="GY180" s="321"/>
      <c r="GZ180" s="564"/>
      <c r="HA180" s="321"/>
      <c r="HB180" s="321"/>
      <c r="HC180" s="321"/>
      <c r="HD180" s="321"/>
      <c r="HE180" s="321"/>
      <c r="HF180" s="321"/>
      <c r="HG180" s="321"/>
      <c r="HH180" s="321"/>
      <c r="HI180" s="321"/>
      <c r="HJ180" s="321"/>
      <c r="HK180" s="445"/>
      <c r="HL180" s="321"/>
      <c r="HM180" s="321"/>
      <c r="HN180" s="321"/>
      <c r="HO180" s="321"/>
      <c r="HP180" s="564"/>
      <c r="HQ180" s="321"/>
      <c r="HR180" s="321"/>
      <c r="HS180" s="321"/>
      <c r="HT180" s="321"/>
      <c r="HU180" s="321">
        <v>10</v>
      </c>
      <c r="HV180" s="443">
        <v>10</v>
      </c>
      <c r="HW180" s="443"/>
      <c r="HX180" s="410"/>
      <c r="HY180" s="462"/>
      <c r="HZ180" s="456"/>
      <c r="IA180" s="443">
        <v>10</v>
      </c>
      <c r="IB180" s="321">
        <v>10</v>
      </c>
      <c r="IC180" s="321"/>
      <c r="ID180" s="321"/>
      <c r="IE180" s="321"/>
      <c r="IF180" s="564"/>
      <c r="IG180" s="321"/>
      <c r="IH180" s="321"/>
      <c r="II180" s="321"/>
      <c r="IJ180" s="321"/>
      <c r="IK180" s="321">
        <v>10</v>
      </c>
      <c r="IL180" s="449">
        <v>10</v>
      </c>
      <c r="IM180" s="456"/>
      <c r="IN180" s="410"/>
      <c r="IO180" s="410"/>
      <c r="IP180" s="443"/>
      <c r="IQ180" s="456">
        <v>11</v>
      </c>
      <c r="IR180" s="321">
        <v>10</v>
      </c>
      <c r="IS180" s="321"/>
      <c r="IT180" s="321"/>
      <c r="IU180" s="321"/>
      <c r="IV180" s="564"/>
    </row>
    <row r="181" spans="1:256" s="326" customFormat="1" ht="8.25" customHeight="1">
      <c r="A181" s="321"/>
      <c r="C181" s="321"/>
      <c r="D181" s="321"/>
      <c r="E181" s="297"/>
      <c r="F181" s="161"/>
      <c r="G181" s="160"/>
      <c r="H181" s="160"/>
      <c r="I181" s="160"/>
      <c r="J181" s="160"/>
      <c r="K181" s="161"/>
      <c r="L181" s="201"/>
      <c r="M181" s="321"/>
      <c r="N181" s="321"/>
      <c r="O181" s="321"/>
      <c r="P181" s="564"/>
      <c r="Q181" s="321"/>
      <c r="S181" s="321"/>
      <c r="T181" s="321"/>
      <c r="U181" s="297"/>
      <c r="V181" s="161"/>
      <c r="W181" s="160"/>
      <c r="X181" s="160"/>
      <c r="Y181" s="160"/>
      <c r="Z181" s="160"/>
      <c r="AA181" s="161"/>
      <c r="AB181" s="201"/>
      <c r="AC181" s="321"/>
      <c r="AD181" s="321"/>
      <c r="AE181" s="321"/>
      <c r="AF181" s="321"/>
      <c r="AG181" s="200"/>
      <c r="AH181" s="305"/>
      <c r="AI181" s="305"/>
      <c r="AJ181" s="305"/>
      <c r="AK181" s="305"/>
      <c r="AL181" s="305"/>
      <c r="AM181" s="305"/>
      <c r="AN181" s="305"/>
      <c r="AO181" s="305"/>
      <c r="AP181" s="305"/>
      <c r="AQ181" s="305"/>
      <c r="AR181" s="305"/>
      <c r="AS181" s="305"/>
      <c r="AT181" s="305"/>
      <c r="AU181" s="305"/>
      <c r="AV181" s="200"/>
      <c r="AW181" s="321"/>
      <c r="AX181" s="321"/>
      <c r="AY181" s="321"/>
      <c r="AZ181" s="321"/>
      <c r="BA181" s="321"/>
      <c r="BB181" s="321"/>
      <c r="BC181" s="446"/>
      <c r="BD181" s="321"/>
      <c r="BE181" s="433"/>
      <c r="BF181" s="440"/>
      <c r="BG181" s="440"/>
      <c r="BH181" s="321"/>
      <c r="BI181" s="446"/>
      <c r="BJ181" s="321"/>
      <c r="BK181" s="321"/>
      <c r="BL181" s="564"/>
      <c r="BM181" s="321"/>
      <c r="BN181" s="321"/>
      <c r="BO181" s="321"/>
      <c r="BP181" s="321"/>
      <c r="BQ181" s="321"/>
      <c r="BR181" s="433"/>
      <c r="BS181" s="446"/>
      <c r="BT181" s="321"/>
      <c r="BU181" s="433"/>
      <c r="BV181" s="440"/>
      <c r="BW181" s="433"/>
      <c r="BX181" s="440"/>
      <c r="BY181" s="446"/>
      <c r="BZ181" s="321"/>
      <c r="CA181" s="321"/>
      <c r="CB181" s="564"/>
      <c r="CC181" s="321"/>
      <c r="CD181" s="321"/>
      <c r="CE181" s="321"/>
      <c r="CF181" s="321"/>
      <c r="CG181" s="321"/>
      <c r="CH181" s="321"/>
      <c r="CI181" s="321"/>
      <c r="CJ181" s="321"/>
      <c r="CK181" s="446"/>
      <c r="CL181" s="321"/>
      <c r="CM181" s="433"/>
      <c r="CN181" s="321"/>
      <c r="CO181" s="426"/>
      <c r="CP181" s="321"/>
      <c r="CQ181" s="321"/>
      <c r="CR181" s="564"/>
      <c r="CS181" s="321"/>
      <c r="CT181" s="321"/>
      <c r="CU181" s="446"/>
      <c r="CV181" s="426"/>
      <c r="CW181" s="321"/>
      <c r="CX181" s="321"/>
      <c r="CY181" s="321"/>
      <c r="CZ181" s="321"/>
      <c r="DA181" s="321"/>
      <c r="DB181" s="321"/>
      <c r="DC181" s="433"/>
      <c r="DD181" s="321"/>
      <c r="DE181" s="321"/>
      <c r="DF181" s="321"/>
      <c r="DG181" s="446"/>
      <c r="DH181" s="426"/>
      <c r="DI181" s="1236"/>
      <c r="DJ181" s="328"/>
      <c r="DK181" s="328"/>
      <c r="DL181" s="433"/>
      <c r="DM181" s="446"/>
      <c r="DN181" s="440"/>
      <c r="DO181" s="440"/>
      <c r="DP181" s="453"/>
      <c r="DQ181" s="440"/>
      <c r="DR181" s="426"/>
      <c r="DS181" s="440"/>
      <c r="DT181" s="440"/>
      <c r="DU181" s="440"/>
      <c r="DV181" s="328"/>
      <c r="DW181" s="328"/>
      <c r="DX181" s="1237"/>
      <c r="DY181" s="1236"/>
      <c r="DZ181" s="328"/>
      <c r="EA181" s="328"/>
      <c r="EB181" s="328"/>
      <c r="EC181" s="426"/>
      <c r="ED181" s="459"/>
      <c r="EE181" s="446"/>
      <c r="EF181" s="440"/>
      <c r="EG181" s="446"/>
      <c r="EH181" s="426"/>
      <c r="EI181" s="426"/>
      <c r="EJ181" s="446"/>
      <c r="EK181" s="328"/>
      <c r="EL181" s="328"/>
      <c r="EM181" s="328"/>
      <c r="EN181" s="1237"/>
      <c r="EO181" s="1236"/>
      <c r="EP181" s="328"/>
      <c r="EQ181" s="328"/>
      <c r="ER181" s="426"/>
      <c r="ES181" s="328"/>
      <c r="ET181" s="446"/>
      <c r="EU181" s="440"/>
      <c r="EV181" s="440"/>
      <c r="EW181" s="440"/>
      <c r="EX181" s="433"/>
      <c r="EY181" s="426"/>
      <c r="EZ181" s="426"/>
      <c r="FA181" s="328"/>
      <c r="FB181" s="328"/>
      <c r="FC181" s="328"/>
      <c r="FD181" s="1237"/>
      <c r="FE181" s="1236"/>
      <c r="FF181" s="328"/>
      <c r="FG181" s="328"/>
      <c r="FH181" s="328"/>
      <c r="FI181" s="328"/>
      <c r="FJ181" s="426"/>
      <c r="FK181" s="321"/>
      <c r="FL181" s="426"/>
      <c r="FM181" s="321"/>
      <c r="FN181" s="321"/>
      <c r="FO181" s="321"/>
      <c r="FP181" s="328"/>
      <c r="FQ181" s="328"/>
      <c r="FR181" s="328"/>
      <c r="FS181" s="328"/>
      <c r="FT181" s="1237"/>
      <c r="FU181" s="483"/>
      <c r="FV181" s="321"/>
      <c r="FW181" s="321"/>
      <c r="FX181" s="321"/>
      <c r="FY181" s="321"/>
      <c r="FZ181" s="321"/>
      <c r="GA181" s="321"/>
      <c r="GB181" s="321"/>
      <c r="GC181" s="321"/>
      <c r="GD181" s="321"/>
      <c r="GE181" s="321"/>
      <c r="GF181" s="321"/>
      <c r="GG181" s="321"/>
      <c r="GH181" s="321"/>
      <c r="GI181" s="321"/>
      <c r="GJ181" s="564"/>
      <c r="GK181" s="321"/>
      <c r="GL181" s="321"/>
      <c r="GM181" s="321"/>
      <c r="GN181" s="321"/>
      <c r="GO181" s="321"/>
      <c r="GP181" s="321"/>
      <c r="GQ181" s="453"/>
      <c r="GR181" s="444"/>
      <c r="GS181" s="417"/>
      <c r="GT181" s="444"/>
      <c r="GU181" s="430"/>
      <c r="GV181" s="417"/>
      <c r="GW181" s="445"/>
      <c r="GX181" s="453"/>
      <c r="GY181" s="446"/>
      <c r="GZ181" s="564"/>
      <c r="HA181" s="321"/>
      <c r="HB181" s="321"/>
      <c r="HC181" s="321"/>
      <c r="HD181" s="321"/>
      <c r="HE181" s="321"/>
      <c r="HF181" s="453"/>
      <c r="HG181" s="444"/>
      <c r="HH181" s="417"/>
      <c r="HI181" s="444"/>
      <c r="HJ181" s="430"/>
      <c r="HK181" s="417"/>
      <c r="HL181" s="445"/>
      <c r="HM181" s="453"/>
      <c r="HN181" s="446"/>
      <c r="HO181" s="321"/>
      <c r="HP181" s="564"/>
      <c r="HQ181" s="321"/>
      <c r="HR181" s="321"/>
      <c r="HS181" s="321"/>
      <c r="HT181" s="321"/>
      <c r="HU181" s="321">
        <v>10</v>
      </c>
      <c r="HV181" s="443">
        <v>10</v>
      </c>
      <c r="HW181" s="462"/>
      <c r="HX181" s="463"/>
      <c r="HY181" s="458"/>
      <c r="HZ181" s="462"/>
      <c r="IA181" s="443">
        <v>10</v>
      </c>
      <c r="IB181" s="321">
        <v>10</v>
      </c>
      <c r="IC181" s="321"/>
      <c r="ID181" s="321"/>
      <c r="IE181" s="321"/>
      <c r="IF181" s="564"/>
      <c r="IG181" s="321"/>
      <c r="IH181" s="321"/>
      <c r="II181" s="321"/>
      <c r="IJ181" s="321"/>
      <c r="IK181" s="321">
        <v>10</v>
      </c>
      <c r="IL181" s="449">
        <v>10</v>
      </c>
      <c r="IM181" s="410"/>
      <c r="IN181" s="464"/>
      <c r="IO181" s="463"/>
      <c r="IP181" s="410"/>
      <c r="IQ181" s="456">
        <v>11</v>
      </c>
      <c r="IR181" s="321">
        <v>10</v>
      </c>
      <c r="IS181" s="321"/>
      <c r="IT181" s="321"/>
      <c r="IU181" s="321"/>
      <c r="IV181" s="564"/>
    </row>
    <row r="182" spans="1:256" s="326" customFormat="1" ht="8.25" customHeight="1">
      <c r="A182" s="321"/>
      <c r="C182" s="321"/>
      <c r="D182" s="293"/>
      <c r="E182" s="161"/>
      <c r="F182" s="160"/>
      <c r="G182" s="160"/>
      <c r="H182" s="160"/>
      <c r="I182" s="160"/>
      <c r="J182" s="160"/>
      <c r="K182" s="160"/>
      <c r="L182" s="161"/>
      <c r="M182" s="201"/>
      <c r="N182" s="321"/>
      <c r="O182" s="321"/>
      <c r="P182" s="564"/>
      <c r="Q182" s="321"/>
      <c r="S182" s="321"/>
      <c r="T182" s="293"/>
      <c r="U182" s="161"/>
      <c r="V182" s="160"/>
      <c r="W182" s="160"/>
      <c r="X182" s="160"/>
      <c r="Y182" s="160"/>
      <c r="Z182" s="160"/>
      <c r="AA182" s="160"/>
      <c r="AB182" s="161"/>
      <c r="AC182" s="201"/>
      <c r="AD182" s="321"/>
      <c r="AE182" s="321"/>
      <c r="AF182" s="321"/>
      <c r="AG182" s="200"/>
      <c r="AH182" s="200"/>
      <c r="AI182" s="200"/>
      <c r="AJ182" s="200"/>
      <c r="AK182" s="200"/>
      <c r="AL182" s="200"/>
      <c r="AM182" s="200"/>
      <c r="AN182" s="200"/>
      <c r="AO182" s="200"/>
      <c r="AP182" s="200"/>
      <c r="AQ182" s="200"/>
      <c r="AR182" s="200"/>
      <c r="AS182" s="200"/>
      <c r="AT182" s="200"/>
      <c r="AU182" s="200"/>
      <c r="AV182" s="200"/>
      <c r="AW182" s="321"/>
      <c r="AX182" s="321"/>
      <c r="AY182" s="321"/>
      <c r="AZ182" s="321"/>
      <c r="BA182" s="321"/>
      <c r="BB182" s="321"/>
      <c r="BC182" s="321"/>
      <c r="BD182" s="321"/>
      <c r="BE182" s="321"/>
      <c r="BF182" s="440"/>
      <c r="BG182" s="321"/>
      <c r="BH182" s="321"/>
      <c r="BI182" s="321"/>
      <c r="BJ182" s="321"/>
      <c r="BK182" s="321"/>
      <c r="BL182" s="564"/>
      <c r="BM182" s="321"/>
      <c r="BN182" s="321"/>
      <c r="BO182" s="321"/>
      <c r="BP182" s="321"/>
      <c r="BQ182" s="321"/>
      <c r="BR182" s="321"/>
      <c r="BS182" s="321"/>
      <c r="BT182" s="321"/>
      <c r="BU182" s="433"/>
      <c r="BV182" s="440"/>
      <c r="BW182" s="321"/>
      <c r="BX182" s="321"/>
      <c r="BY182" s="321"/>
      <c r="BZ182" s="426"/>
      <c r="CA182" s="321"/>
      <c r="CB182" s="564"/>
      <c r="CC182" s="321"/>
      <c r="CD182" s="321"/>
      <c r="CE182" s="321"/>
      <c r="CF182" s="321"/>
      <c r="CG182" s="321"/>
      <c r="CH182" s="446"/>
      <c r="CI182" s="440"/>
      <c r="CJ182" s="321"/>
      <c r="CK182" s="321"/>
      <c r="CL182" s="321"/>
      <c r="CM182" s="321"/>
      <c r="CN182" s="321"/>
      <c r="CO182" s="321"/>
      <c r="CP182" s="446"/>
      <c r="CQ182" s="321"/>
      <c r="CR182" s="564"/>
      <c r="CS182" s="321"/>
      <c r="CT182" s="446"/>
      <c r="CU182" s="426"/>
      <c r="CV182" s="321"/>
      <c r="CW182" s="321"/>
      <c r="CX182" s="321"/>
      <c r="CY182" s="321"/>
      <c r="CZ182" s="321"/>
      <c r="DA182" s="321"/>
      <c r="DB182" s="321"/>
      <c r="DC182" s="321"/>
      <c r="DD182" s="321"/>
      <c r="DE182" s="321"/>
      <c r="DF182" s="321"/>
      <c r="DG182" s="321"/>
      <c r="DI182" s="1236"/>
      <c r="DJ182" s="328"/>
      <c r="DK182" s="328"/>
      <c r="DL182" s="426"/>
      <c r="DM182" s="446"/>
      <c r="DN182" s="459"/>
      <c r="DO182" s="440"/>
      <c r="DP182" s="433"/>
      <c r="DQ182" s="426"/>
      <c r="DR182" s="422"/>
      <c r="DS182" s="426"/>
      <c r="DT182" s="426"/>
      <c r="DU182" s="446"/>
      <c r="DV182" s="328"/>
      <c r="DW182" s="328"/>
      <c r="DX182" s="1237"/>
      <c r="DY182" s="1236"/>
      <c r="DZ182" s="328"/>
      <c r="EA182" s="328"/>
      <c r="EB182" s="426"/>
      <c r="EC182" s="453"/>
      <c r="ED182" s="440"/>
      <c r="EE182" s="440"/>
      <c r="EF182" s="453"/>
      <c r="EG182" s="440"/>
      <c r="EH182" s="440"/>
      <c r="EI182" s="446"/>
      <c r="EJ182" s="440"/>
      <c r="EK182" s="328"/>
      <c r="EL182" s="328"/>
      <c r="EM182" s="328"/>
      <c r="EN182" s="1237"/>
      <c r="EO182" s="1236"/>
      <c r="EP182" s="328"/>
      <c r="EQ182" s="328"/>
      <c r="ER182" s="328"/>
      <c r="ES182" s="446"/>
      <c r="ET182" s="426"/>
      <c r="EU182" s="459"/>
      <c r="EV182" s="459"/>
      <c r="EW182" s="426"/>
      <c r="EX182" s="422"/>
      <c r="EY182" s="446"/>
      <c r="EZ182" s="433"/>
      <c r="FA182" s="328"/>
      <c r="FB182" s="328"/>
      <c r="FC182" s="328"/>
      <c r="FD182" s="1237"/>
      <c r="FE182" s="1236"/>
      <c r="FF182" s="328"/>
      <c r="FG182" s="328"/>
      <c r="FH182" s="328"/>
      <c r="FI182" s="328"/>
      <c r="FJ182" s="446"/>
      <c r="FK182" s="321"/>
      <c r="FL182" s="446"/>
      <c r="FM182" s="321"/>
      <c r="FN182" s="321"/>
      <c r="FO182" s="426"/>
      <c r="FP182" s="328"/>
      <c r="FQ182" s="328"/>
      <c r="FR182" s="328"/>
      <c r="FS182" s="328"/>
      <c r="FT182" s="1237"/>
      <c r="FU182" s="483"/>
      <c r="FV182" s="321"/>
      <c r="FW182" s="321"/>
      <c r="FX182" s="321"/>
      <c r="FY182" s="321"/>
      <c r="FZ182" s="321"/>
      <c r="GA182" s="321"/>
      <c r="GB182" s="321"/>
      <c r="GC182" s="321"/>
      <c r="GD182" s="321"/>
      <c r="GE182" s="321"/>
      <c r="GF182" s="321"/>
      <c r="GG182" s="321"/>
      <c r="GH182" s="321"/>
      <c r="GI182" s="321"/>
      <c r="GJ182" s="564"/>
      <c r="GK182" s="321"/>
      <c r="GL182" s="321"/>
      <c r="GM182" s="321"/>
      <c r="GN182" s="321"/>
      <c r="GO182" s="321"/>
      <c r="GP182" s="453"/>
      <c r="GQ182" s="446"/>
      <c r="GR182" s="437"/>
      <c r="GS182" s="430"/>
      <c r="GT182" s="417"/>
      <c r="GU182" s="444"/>
      <c r="GV182" s="430"/>
      <c r="GW182" s="417"/>
      <c r="GX182" s="445"/>
      <c r="GY182" s="453"/>
      <c r="GZ182" s="1331"/>
      <c r="HA182" s="321"/>
      <c r="HB182" s="321"/>
      <c r="HC182" s="321"/>
      <c r="HD182" s="321"/>
      <c r="HE182" s="453"/>
      <c r="HF182" s="446"/>
      <c r="HG182" s="437"/>
      <c r="HH182" s="430"/>
      <c r="HI182" s="417"/>
      <c r="HJ182" s="444"/>
      <c r="HK182" s="430"/>
      <c r="HL182" s="417"/>
      <c r="HM182" s="445"/>
      <c r="HN182" s="453"/>
      <c r="HO182" s="446"/>
      <c r="HP182" s="564"/>
      <c r="HQ182" s="321"/>
      <c r="HR182" s="321"/>
      <c r="HS182" s="321"/>
      <c r="HT182" s="321"/>
      <c r="HU182" s="321">
        <v>10</v>
      </c>
      <c r="HV182" s="449">
        <v>11</v>
      </c>
      <c r="HW182" s="462"/>
      <c r="HX182" s="462"/>
      <c r="HY182" s="410"/>
      <c r="HZ182" s="443"/>
      <c r="IA182" s="443">
        <v>10</v>
      </c>
      <c r="IB182" s="321">
        <v>10</v>
      </c>
      <c r="IC182" s="321"/>
      <c r="ID182" s="321"/>
      <c r="IE182" s="321"/>
      <c r="IF182" s="564"/>
      <c r="IG182" s="483"/>
      <c r="IH182" s="321"/>
      <c r="II182" s="321"/>
      <c r="IJ182" s="321"/>
      <c r="IK182" s="321">
        <v>10</v>
      </c>
      <c r="IL182" s="456">
        <v>11</v>
      </c>
      <c r="IM182" s="443"/>
      <c r="IN182" s="410"/>
      <c r="IO182" s="410"/>
      <c r="IP182" s="462"/>
      <c r="IQ182" s="449">
        <v>10</v>
      </c>
      <c r="IR182" s="321">
        <v>10</v>
      </c>
      <c r="IS182" s="321"/>
      <c r="IT182" s="321"/>
      <c r="IU182" s="321"/>
      <c r="IV182" s="564"/>
    </row>
    <row r="183" spans="1:256" s="326" customFormat="1" ht="8.25" customHeight="1">
      <c r="A183" s="321"/>
      <c r="C183" s="321"/>
      <c r="D183" s="297"/>
      <c r="E183" s="160"/>
      <c r="F183" s="160"/>
      <c r="G183" s="193"/>
      <c r="H183" s="193"/>
      <c r="I183" s="193"/>
      <c r="J183" s="193"/>
      <c r="K183" s="160"/>
      <c r="L183" s="160"/>
      <c r="M183" s="292"/>
      <c r="N183" s="321"/>
      <c r="O183" s="321"/>
      <c r="P183" s="564"/>
      <c r="Q183" s="483"/>
      <c r="S183" s="321"/>
      <c r="T183" s="297"/>
      <c r="U183" s="160"/>
      <c r="V183" s="160"/>
      <c r="W183" s="193"/>
      <c r="X183" s="193"/>
      <c r="Y183" s="193"/>
      <c r="Z183" s="193"/>
      <c r="AA183" s="160"/>
      <c r="AB183" s="160"/>
      <c r="AC183" s="292"/>
      <c r="AD183" s="321"/>
      <c r="AE183" s="321"/>
      <c r="AF183" s="321"/>
      <c r="AG183" s="292"/>
      <c r="AH183" s="200"/>
      <c r="AI183" s="305"/>
      <c r="AJ183" s="305"/>
      <c r="AK183" s="201"/>
      <c r="AL183" s="199"/>
      <c r="AM183" s="305"/>
      <c r="AN183" s="305"/>
      <c r="AO183" s="201"/>
      <c r="AP183" s="199"/>
      <c r="AQ183" s="305"/>
      <c r="AR183" s="305"/>
      <c r="AS183" s="201"/>
      <c r="AT183" s="199"/>
      <c r="AU183" s="200"/>
      <c r="AV183" s="292"/>
      <c r="AW183" s="321"/>
      <c r="AX183" s="321"/>
      <c r="AY183" s="321"/>
      <c r="AZ183" s="321"/>
      <c r="BA183" s="321"/>
      <c r="BB183" s="321"/>
      <c r="BC183" s="321"/>
      <c r="BD183" s="321"/>
      <c r="BE183" s="321"/>
      <c r="BF183" s="446"/>
      <c r="BG183" s="321"/>
      <c r="BH183" s="321"/>
      <c r="BI183" s="321"/>
      <c r="BJ183" s="321"/>
      <c r="BK183" s="321"/>
      <c r="BL183" s="564"/>
      <c r="BM183" s="483"/>
      <c r="BN183" s="321"/>
      <c r="BO183" s="321"/>
      <c r="BP183" s="321"/>
      <c r="BQ183" s="321"/>
      <c r="BR183" s="321"/>
      <c r="BS183" s="321"/>
      <c r="BT183" s="433"/>
      <c r="BU183" s="321"/>
      <c r="BV183" s="446"/>
      <c r="BW183" s="433"/>
      <c r="BX183" s="321"/>
      <c r="BY183" s="321"/>
      <c r="BZ183" s="321"/>
      <c r="CA183" s="321"/>
      <c r="CB183" s="564"/>
      <c r="CC183" s="483"/>
      <c r="CD183" s="321"/>
      <c r="CE183" s="321"/>
      <c r="CF183" s="321"/>
      <c r="CG183" s="446"/>
      <c r="CH183" s="426"/>
      <c r="CI183" s="321"/>
      <c r="CJ183" s="321"/>
      <c r="CK183" s="321"/>
      <c r="CL183" s="321"/>
      <c r="CM183" s="433"/>
      <c r="CN183" s="321"/>
      <c r="CO183" s="321"/>
      <c r="CP183" s="440"/>
      <c r="CQ183" s="426"/>
      <c r="CR183" s="564"/>
      <c r="CS183" s="483"/>
      <c r="CT183" s="321"/>
      <c r="CU183" s="321"/>
      <c r="CV183" s="321"/>
      <c r="CW183" s="321"/>
      <c r="CX183" s="321"/>
      <c r="CY183" s="321"/>
      <c r="CZ183" s="433"/>
      <c r="DA183" s="321"/>
      <c r="DB183" s="321"/>
      <c r="DC183" s="321"/>
      <c r="DD183" s="433"/>
      <c r="DE183" s="321"/>
      <c r="DF183" s="321"/>
      <c r="DG183" s="321"/>
      <c r="DH183" s="321"/>
      <c r="DI183" s="1236"/>
      <c r="DJ183" s="328"/>
      <c r="DK183" s="328"/>
      <c r="DL183" s="446"/>
      <c r="DM183" s="440"/>
      <c r="DN183" s="426"/>
      <c r="DO183" s="433"/>
      <c r="DP183" s="453"/>
      <c r="DQ183" s="446"/>
      <c r="DR183" s="426"/>
      <c r="DS183" s="422"/>
      <c r="DT183" s="433"/>
      <c r="DU183" s="453"/>
      <c r="DV183" s="328"/>
      <c r="DW183" s="328"/>
      <c r="DX183" s="1237"/>
      <c r="DY183" s="1236"/>
      <c r="DZ183" s="328"/>
      <c r="EA183" s="328"/>
      <c r="EB183" s="433"/>
      <c r="EC183" s="426"/>
      <c r="ED183" s="440"/>
      <c r="EE183" s="453"/>
      <c r="EF183" s="433"/>
      <c r="EG183" s="440"/>
      <c r="EH183" s="440"/>
      <c r="EI183" s="440"/>
      <c r="EJ183" s="440"/>
      <c r="EK183" s="328"/>
      <c r="EL183" s="328"/>
      <c r="EM183" s="328"/>
      <c r="EN183" s="1237"/>
      <c r="EO183" s="1236"/>
      <c r="EP183" s="328"/>
      <c r="EQ183" s="328"/>
      <c r="ER183" s="328"/>
      <c r="ES183" s="426"/>
      <c r="ET183" s="440"/>
      <c r="EU183" s="453"/>
      <c r="EV183" s="426"/>
      <c r="EW183" s="446"/>
      <c r="EX183" s="426"/>
      <c r="EY183" s="426"/>
      <c r="EZ183" s="446"/>
      <c r="FA183" s="328"/>
      <c r="FB183" s="328"/>
      <c r="FC183" s="328"/>
      <c r="FD183" s="1237"/>
      <c r="FE183" s="1236"/>
      <c r="FF183" s="328"/>
      <c r="FG183" s="328"/>
      <c r="FH183" s="328"/>
      <c r="FI183" s="328"/>
      <c r="FJ183" s="426"/>
      <c r="FK183" s="321"/>
      <c r="FL183" s="440"/>
      <c r="FM183" s="426"/>
      <c r="FN183" s="321"/>
      <c r="FO183" s="422"/>
      <c r="FP183" s="328"/>
      <c r="FQ183" s="328"/>
      <c r="FR183" s="328"/>
      <c r="FS183" s="328"/>
      <c r="FT183" s="1237"/>
      <c r="FU183" s="483"/>
      <c r="FV183" s="321"/>
      <c r="FW183" s="321"/>
      <c r="FX183" s="321"/>
      <c r="FY183" s="321"/>
      <c r="FZ183" s="321"/>
      <c r="GA183" s="321"/>
      <c r="GB183" s="321"/>
      <c r="GC183" s="321"/>
      <c r="GD183" s="321"/>
      <c r="GE183" s="321"/>
      <c r="GF183" s="321"/>
      <c r="GG183" s="321"/>
      <c r="GH183" s="321"/>
      <c r="GI183" s="321"/>
      <c r="GJ183" s="564"/>
      <c r="GK183" s="321"/>
      <c r="GL183" s="321"/>
      <c r="GM183" s="321"/>
      <c r="GN183" s="321"/>
      <c r="GO183" s="321"/>
      <c r="GP183" s="446"/>
      <c r="GQ183" s="440"/>
      <c r="GR183" s="433"/>
      <c r="GS183" s="426"/>
      <c r="GT183" s="440"/>
      <c r="GU183" s="440"/>
      <c r="GV183" s="440"/>
      <c r="GW183" s="440"/>
      <c r="GX183" s="433"/>
      <c r="GY183" s="426"/>
      <c r="GZ183" s="1332"/>
      <c r="HA183" s="321"/>
      <c r="HB183" s="321"/>
      <c r="HC183" s="321"/>
      <c r="HD183" s="321"/>
      <c r="HE183" s="446"/>
      <c r="HF183" s="440"/>
      <c r="HG183" s="426"/>
      <c r="HH183" s="433"/>
      <c r="HI183" s="440"/>
      <c r="HJ183" s="440"/>
      <c r="HK183" s="440"/>
      <c r="HL183" s="440"/>
      <c r="HM183" s="426"/>
      <c r="HN183" s="433"/>
      <c r="HO183" s="440"/>
      <c r="HP183" s="564"/>
      <c r="HQ183" s="483"/>
      <c r="HR183" s="321"/>
      <c r="HS183" s="321"/>
      <c r="HT183" s="321"/>
      <c r="HU183" s="321">
        <v>9</v>
      </c>
      <c r="HV183" s="449">
        <v>11</v>
      </c>
      <c r="HW183" s="456">
        <v>11</v>
      </c>
      <c r="HX183" s="462"/>
      <c r="HY183" s="456"/>
      <c r="HZ183" s="449">
        <v>12</v>
      </c>
      <c r="IA183" s="443">
        <v>9</v>
      </c>
      <c r="IB183" s="321">
        <v>9</v>
      </c>
      <c r="IC183" s="321"/>
      <c r="ID183" s="321"/>
      <c r="IE183" s="321"/>
      <c r="IF183" s="564"/>
      <c r="IG183" s="483"/>
      <c r="IH183" s="321"/>
      <c r="II183" s="321"/>
      <c r="IJ183" s="321"/>
      <c r="IK183" s="321">
        <v>10</v>
      </c>
      <c r="IL183" s="456">
        <v>11</v>
      </c>
      <c r="IM183" s="456">
        <v>12</v>
      </c>
      <c r="IN183" s="462"/>
      <c r="IO183" s="462"/>
      <c r="IP183" s="456">
        <v>11</v>
      </c>
      <c r="IQ183" s="443">
        <v>9</v>
      </c>
      <c r="IR183" s="321">
        <v>10</v>
      </c>
      <c r="IS183" s="321"/>
      <c r="IT183" s="321"/>
      <c r="IU183" s="321"/>
      <c r="IV183" s="564"/>
    </row>
    <row r="184" spans="1:256" s="326" customFormat="1" ht="8.25" customHeight="1">
      <c r="A184" s="483"/>
      <c r="C184" s="321"/>
      <c r="D184" s="293"/>
      <c r="E184" s="160"/>
      <c r="F184" s="193"/>
      <c r="G184" s="193"/>
      <c r="H184" s="295"/>
      <c r="I184" s="193"/>
      <c r="J184" s="295"/>
      <c r="K184" s="193"/>
      <c r="L184" s="160"/>
      <c r="M184" s="201"/>
      <c r="N184" s="321"/>
      <c r="O184" s="321"/>
      <c r="P184" s="564"/>
      <c r="Q184" s="483"/>
      <c r="S184" s="321"/>
      <c r="T184" s="293"/>
      <c r="U184" s="160"/>
      <c r="V184" s="193"/>
      <c r="W184" s="299"/>
      <c r="X184" s="193"/>
      <c r="Y184" s="295"/>
      <c r="Z184" s="295"/>
      <c r="AA184" s="193"/>
      <c r="AB184" s="160"/>
      <c r="AC184" s="201"/>
      <c r="AD184" s="321"/>
      <c r="AE184" s="321"/>
      <c r="AF184" s="321"/>
      <c r="AG184" s="293"/>
      <c r="AH184" s="161"/>
      <c r="AI184" s="200"/>
      <c r="AJ184" s="201"/>
      <c r="AK184" s="199"/>
      <c r="AL184" s="305"/>
      <c r="AM184" s="305"/>
      <c r="AN184" s="201"/>
      <c r="AO184" s="199"/>
      <c r="AP184" s="305"/>
      <c r="AQ184" s="305"/>
      <c r="AR184" s="201"/>
      <c r="AS184" s="199"/>
      <c r="AT184" s="200"/>
      <c r="AU184" s="161"/>
      <c r="AV184" s="293"/>
      <c r="AW184" s="321"/>
      <c r="AX184" s="321"/>
      <c r="AY184" s="321"/>
      <c r="AZ184" s="321"/>
      <c r="BA184" s="321"/>
      <c r="BB184" s="321"/>
      <c r="BC184" s="321"/>
      <c r="BD184" s="321"/>
      <c r="BE184" s="321"/>
      <c r="BF184" s="321"/>
      <c r="BG184" s="321"/>
      <c r="BH184" s="321"/>
      <c r="BI184" s="321"/>
      <c r="BJ184" s="321"/>
      <c r="BK184" s="321"/>
      <c r="BL184" s="564"/>
      <c r="BM184" s="483"/>
      <c r="BN184" s="321"/>
      <c r="BO184" s="321"/>
      <c r="BP184" s="321"/>
      <c r="BQ184" s="321"/>
      <c r="BR184" s="321"/>
      <c r="BS184" s="321"/>
      <c r="BT184" s="321"/>
      <c r="BU184" s="321"/>
      <c r="BV184" s="321"/>
      <c r="BW184" s="433"/>
      <c r="BX184" s="321"/>
      <c r="BY184" s="321"/>
      <c r="BZ184" s="321"/>
      <c r="CA184" s="321"/>
      <c r="CB184" s="564"/>
      <c r="CC184" s="483"/>
      <c r="CD184" s="321"/>
      <c r="CE184" s="321"/>
      <c r="CF184" s="321"/>
      <c r="CG184" s="426"/>
      <c r="CH184" s="321"/>
      <c r="CI184" s="321"/>
      <c r="CJ184" s="446"/>
      <c r="CK184" s="321"/>
      <c r="CL184" s="321"/>
      <c r="CM184" s="440"/>
      <c r="CN184" s="321"/>
      <c r="CO184" s="321"/>
      <c r="CP184" s="321"/>
      <c r="CQ184" s="440"/>
      <c r="CR184" s="564"/>
      <c r="CS184" s="483"/>
      <c r="CT184" s="321"/>
      <c r="CU184" s="321"/>
      <c r="CV184" s="321"/>
      <c r="CW184" s="321"/>
      <c r="CX184" s="321"/>
      <c r="CY184" s="321"/>
      <c r="DA184" s="321"/>
      <c r="DB184" s="321"/>
      <c r="DC184" s="321"/>
      <c r="DD184" s="321"/>
      <c r="DE184" s="321"/>
      <c r="DF184" s="321"/>
      <c r="DG184" s="321"/>
      <c r="DH184" s="321"/>
      <c r="DI184" s="1236"/>
      <c r="DJ184" s="328"/>
      <c r="DK184" s="328"/>
      <c r="DL184" s="426"/>
      <c r="DM184" s="453"/>
      <c r="DN184" s="446"/>
      <c r="DO184" s="446"/>
      <c r="DP184" s="440"/>
      <c r="DQ184" s="440"/>
      <c r="DR184" s="426"/>
      <c r="DS184" s="426"/>
      <c r="DT184" s="422"/>
      <c r="DU184" s="440"/>
      <c r="DV184" s="328"/>
      <c r="DW184" s="328"/>
      <c r="DX184" s="1237"/>
      <c r="DY184" s="1236"/>
      <c r="DZ184" s="328"/>
      <c r="EA184" s="328"/>
      <c r="EB184" s="426"/>
      <c r="EC184" s="446"/>
      <c r="ED184" s="453"/>
      <c r="EE184" s="446"/>
      <c r="EF184" s="453"/>
      <c r="EG184" s="426"/>
      <c r="EH184" s="426"/>
      <c r="EI184" s="433"/>
      <c r="EJ184" s="446"/>
      <c r="EK184" s="440"/>
      <c r="EL184" s="328"/>
      <c r="EM184" s="328"/>
      <c r="EN184" s="1237"/>
      <c r="EO184" s="1236"/>
      <c r="EP184" s="328"/>
      <c r="EQ184" s="328"/>
      <c r="ER184" s="328"/>
      <c r="ES184" s="453"/>
      <c r="ET184" s="426"/>
      <c r="EU184" s="433"/>
      <c r="EV184" s="446"/>
      <c r="EW184" s="440"/>
      <c r="EX184" s="446"/>
      <c r="EY184" s="446"/>
      <c r="EZ184" s="446"/>
      <c r="FA184" s="328"/>
      <c r="FB184" s="328"/>
      <c r="FC184" s="328"/>
      <c r="FD184" s="1237"/>
      <c r="FE184" s="1236"/>
      <c r="FF184" s="328"/>
      <c r="FG184" s="328"/>
      <c r="FH184" s="426"/>
      <c r="FI184" s="328"/>
      <c r="FJ184" s="440"/>
      <c r="FK184" s="426"/>
      <c r="FL184" s="453"/>
      <c r="FM184" s="433"/>
      <c r="FN184" s="321"/>
      <c r="FO184" s="440"/>
      <c r="FP184" s="328"/>
      <c r="FQ184" s="328"/>
      <c r="FR184" s="328"/>
      <c r="FS184" s="328"/>
      <c r="FT184" s="1237"/>
      <c r="FU184" s="483"/>
      <c r="FV184" s="321"/>
      <c r="FW184" s="321"/>
      <c r="FX184" s="321"/>
      <c r="FY184" s="321"/>
      <c r="FZ184" s="321"/>
      <c r="GA184" s="321"/>
      <c r="GB184" s="321"/>
      <c r="GC184" s="321"/>
      <c r="GD184" s="321"/>
      <c r="GE184" s="321"/>
      <c r="GF184" s="321"/>
      <c r="GG184" s="321"/>
      <c r="GH184" s="321"/>
      <c r="GI184" s="321"/>
      <c r="GJ184" s="564"/>
      <c r="GK184" s="321"/>
      <c r="GL184" s="321"/>
      <c r="GM184" s="321"/>
      <c r="GN184" s="321"/>
      <c r="GO184" s="321"/>
      <c r="GP184" s="321"/>
      <c r="GQ184" s="321"/>
      <c r="GR184" s="420"/>
      <c r="GS184" s="409"/>
      <c r="GT184" s="321"/>
      <c r="GU184" s="321"/>
      <c r="GV184" s="321"/>
      <c r="GW184" s="321"/>
      <c r="GX184" s="420"/>
      <c r="GY184" s="409"/>
      <c r="GZ184" s="564"/>
      <c r="HA184" s="321"/>
      <c r="HB184" s="321"/>
      <c r="HC184" s="321"/>
      <c r="HD184" s="321"/>
      <c r="HE184" s="321"/>
      <c r="HF184" s="321"/>
      <c r="HG184" s="409"/>
      <c r="HH184" s="420"/>
      <c r="HI184" s="321"/>
      <c r="HJ184" s="321"/>
      <c r="HK184" s="321"/>
      <c r="HL184" s="321"/>
      <c r="HM184" s="409"/>
      <c r="HN184" s="420"/>
      <c r="HO184" s="321"/>
      <c r="HP184" s="564"/>
      <c r="HQ184" s="483"/>
      <c r="HR184" s="321"/>
      <c r="HS184" s="321"/>
      <c r="HT184" s="321"/>
      <c r="HU184" s="321"/>
      <c r="HV184" s="321">
        <v>10</v>
      </c>
      <c r="HW184" s="449">
        <v>11</v>
      </c>
      <c r="HX184" s="443">
        <v>10</v>
      </c>
      <c r="HY184" s="443">
        <v>10</v>
      </c>
      <c r="HZ184" s="443">
        <v>9</v>
      </c>
      <c r="IA184" s="321">
        <v>10</v>
      </c>
      <c r="IB184" s="321"/>
      <c r="IC184" s="321"/>
      <c r="ID184" s="321"/>
      <c r="IE184" s="321"/>
      <c r="IF184" s="564"/>
      <c r="IG184" s="483"/>
      <c r="IH184" s="321"/>
      <c r="II184" s="321"/>
      <c r="IJ184" s="321"/>
      <c r="IK184" s="321"/>
      <c r="IL184" s="321">
        <v>10</v>
      </c>
      <c r="IM184" s="456">
        <v>11</v>
      </c>
      <c r="IN184" s="456">
        <v>11</v>
      </c>
      <c r="IO184" s="449">
        <v>10</v>
      </c>
      <c r="IP184" s="443">
        <v>9</v>
      </c>
      <c r="IQ184" s="321">
        <v>10</v>
      </c>
      <c r="IR184" s="321"/>
      <c r="IS184" s="321"/>
      <c r="IT184" s="321"/>
      <c r="IU184" s="321"/>
      <c r="IV184" s="564"/>
    </row>
    <row r="185" spans="1:256" s="326" customFormat="1" ht="8.25" customHeight="1">
      <c r="A185" s="483"/>
      <c r="C185" s="321"/>
      <c r="D185" s="201"/>
      <c r="E185" s="193"/>
      <c r="F185" s="193"/>
      <c r="G185" s="295"/>
      <c r="H185" s="299"/>
      <c r="I185" s="295"/>
      <c r="J185" s="299"/>
      <c r="K185" s="295"/>
      <c r="L185" s="193"/>
      <c r="M185" s="292"/>
      <c r="N185" s="321"/>
      <c r="O185" s="321"/>
      <c r="P185" s="564"/>
      <c r="Q185" s="483"/>
      <c r="S185" s="321"/>
      <c r="T185" s="201"/>
      <c r="U185" s="193"/>
      <c r="V185" s="295"/>
      <c r="W185" s="302"/>
      <c r="X185" s="295"/>
      <c r="Y185" s="299"/>
      <c r="Z185" s="295"/>
      <c r="AA185" s="193"/>
      <c r="AB185" s="193"/>
      <c r="AC185" s="292"/>
      <c r="AD185" s="321"/>
      <c r="AE185" s="321"/>
      <c r="AF185" s="321"/>
      <c r="AG185" s="293"/>
      <c r="AH185" s="293"/>
      <c r="AI185" s="161"/>
      <c r="AJ185" s="199"/>
      <c r="AK185" s="305"/>
      <c r="AL185" s="305"/>
      <c r="AM185" s="201"/>
      <c r="AN185" s="199"/>
      <c r="AO185" s="305"/>
      <c r="AP185" s="305"/>
      <c r="AQ185" s="201"/>
      <c r="AR185" s="199"/>
      <c r="AS185" s="200"/>
      <c r="AT185" s="161"/>
      <c r="AU185" s="293"/>
      <c r="AV185" s="293"/>
      <c r="AW185" s="321"/>
      <c r="AX185" s="321"/>
      <c r="AY185" s="321"/>
      <c r="AZ185" s="321"/>
      <c r="BA185" s="321"/>
      <c r="BB185" s="321"/>
      <c r="BC185" s="321"/>
      <c r="BD185" s="321"/>
      <c r="BE185" s="321"/>
      <c r="BF185" s="321"/>
      <c r="BG185" s="321"/>
      <c r="BH185" s="321"/>
      <c r="BI185" s="321"/>
      <c r="BJ185" s="321"/>
      <c r="BK185" s="321"/>
      <c r="BL185" s="564"/>
      <c r="BM185" s="483"/>
      <c r="BN185" s="321"/>
      <c r="BO185" s="321"/>
      <c r="BP185" s="321"/>
      <c r="CB185" s="564"/>
      <c r="CC185" s="483"/>
      <c r="CD185" s="321"/>
      <c r="CE185" s="321"/>
      <c r="CF185" s="321"/>
      <c r="CG185" s="321"/>
      <c r="CL185" s="321"/>
      <c r="CM185" s="433"/>
      <c r="CN185" s="426"/>
      <c r="CO185" s="321"/>
      <c r="CR185" s="564"/>
      <c r="CS185" s="483"/>
      <c r="CT185" s="321"/>
      <c r="CU185" s="321"/>
      <c r="CV185" s="321"/>
      <c r="CW185" s="440"/>
      <c r="CX185" s="321"/>
      <c r="CY185" s="321"/>
      <c r="DB185" s="321"/>
      <c r="DC185" s="321"/>
      <c r="DD185" s="321"/>
      <c r="DE185" s="321"/>
      <c r="DF185" s="321"/>
      <c r="DG185" s="446"/>
      <c r="DH185" s="321"/>
      <c r="DI185" s="1236"/>
      <c r="DJ185" s="328"/>
      <c r="DK185" s="328"/>
      <c r="DL185" s="459"/>
      <c r="DM185" s="453"/>
      <c r="DN185" s="440"/>
      <c r="DO185" s="440"/>
      <c r="DP185" s="426"/>
      <c r="DQ185" s="426"/>
      <c r="DR185" s="440"/>
      <c r="DS185" s="426"/>
      <c r="DT185" s="440"/>
      <c r="DU185" s="440"/>
      <c r="DV185" s="328"/>
      <c r="DW185" s="328"/>
      <c r="DX185" s="1237"/>
      <c r="DY185" s="1236"/>
      <c r="DZ185" s="328"/>
      <c r="EA185" s="328"/>
      <c r="EB185" s="459"/>
      <c r="EC185" s="453"/>
      <c r="ED185" s="440"/>
      <c r="EE185" s="440"/>
      <c r="EF185" s="440"/>
      <c r="EG185" s="446"/>
      <c r="EH185" s="422"/>
      <c r="EI185" s="440"/>
      <c r="EJ185" s="440"/>
      <c r="EK185" s="426"/>
      <c r="EL185" s="328"/>
      <c r="EM185" s="328"/>
      <c r="EN185" s="1237"/>
      <c r="EO185" s="1236"/>
      <c r="EP185" s="328"/>
      <c r="EQ185" s="328"/>
      <c r="ER185" s="328"/>
      <c r="ES185" s="453"/>
      <c r="ET185" s="426"/>
      <c r="EU185" s="446"/>
      <c r="EV185" s="440"/>
      <c r="EW185" s="440"/>
      <c r="EX185" s="426"/>
      <c r="EY185" s="440"/>
      <c r="EZ185" s="440"/>
      <c r="FA185" s="328"/>
      <c r="FB185" s="328"/>
      <c r="FC185" s="328"/>
      <c r="FD185" s="1237"/>
      <c r="FE185" s="1236"/>
      <c r="FF185" s="328"/>
      <c r="FG185" s="328"/>
      <c r="FH185" s="328"/>
      <c r="FI185" s="328"/>
      <c r="FJ185" s="426"/>
      <c r="FK185" s="426"/>
      <c r="FL185" s="433"/>
      <c r="FM185" s="446"/>
      <c r="FN185" s="426"/>
      <c r="FO185" s="426"/>
      <c r="FP185" s="328"/>
      <c r="FQ185" s="328"/>
      <c r="FR185" s="328"/>
      <c r="FS185" s="328"/>
      <c r="FT185" s="1237"/>
      <c r="FU185" s="483"/>
      <c r="FV185" s="321"/>
      <c r="FW185" s="321"/>
      <c r="FX185" s="321"/>
      <c r="FY185" s="321"/>
      <c r="FZ185" s="321"/>
      <c r="GA185" s="321"/>
      <c r="GB185" s="321"/>
      <c r="GC185" s="321"/>
      <c r="GD185" s="321"/>
      <c r="GE185" s="321"/>
      <c r="GF185" s="321"/>
      <c r="GG185" s="321"/>
      <c r="GH185" s="321"/>
      <c r="GI185" s="321"/>
      <c r="GJ185" s="564"/>
      <c r="GK185" s="321"/>
      <c r="GL185" s="321"/>
      <c r="GM185" s="321"/>
      <c r="GN185" s="321"/>
      <c r="GO185" s="321"/>
      <c r="GP185" s="321"/>
      <c r="GQ185" s="321"/>
      <c r="GR185" s="321"/>
      <c r="GS185" s="321"/>
      <c r="GT185" s="321"/>
      <c r="GU185" s="321"/>
      <c r="GV185" s="321"/>
      <c r="GW185" s="321"/>
      <c r="GX185" s="321"/>
      <c r="GY185" s="321"/>
      <c r="GZ185" s="564"/>
      <c r="HA185" s="321"/>
      <c r="HB185" s="321"/>
      <c r="HC185" s="321"/>
      <c r="HD185" s="321"/>
      <c r="HE185" s="321"/>
      <c r="HF185" s="321"/>
      <c r="HG185" s="321"/>
      <c r="HH185" s="321"/>
      <c r="HI185" s="321"/>
      <c r="HJ185" s="321"/>
      <c r="HK185" s="321"/>
      <c r="HL185" s="321"/>
      <c r="HM185" s="321"/>
      <c r="HN185" s="321"/>
      <c r="HO185" s="321"/>
      <c r="HP185" s="564"/>
      <c r="HQ185" s="483"/>
      <c r="HR185" s="321"/>
      <c r="HS185" s="321"/>
      <c r="HT185" s="321"/>
      <c r="HU185" s="321"/>
      <c r="HV185" s="321"/>
      <c r="HW185" s="321">
        <v>9</v>
      </c>
      <c r="HX185" s="321">
        <v>10</v>
      </c>
      <c r="HY185" s="321">
        <v>10</v>
      </c>
      <c r="HZ185" s="321">
        <v>9</v>
      </c>
      <c r="IA185" s="321"/>
      <c r="IB185" s="321"/>
      <c r="IC185" s="321"/>
      <c r="ID185" s="321"/>
      <c r="IE185" s="321"/>
      <c r="IF185" s="564"/>
      <c r="IG185" s="483"/>
      <c r="IH185" s="321"/>
      <c r="II185" s="321"/>
      <c r="IJ185" s="321"/>
      <c r="IK185" s="321"/>
      <c r="IL185" s="321"/>
      <c r="IM185" s="321">
        <v>10</v>
      </c>
      <c r="IN185" s="321">
        <v>10</v>
      </c>
      <c r="IO185" s="321">
        <v>10</v>
      </c>
      <c r="IP185" s="321">
        <v>10</v>
      </c>
      <c r="IQ185" s="321"/>
      <c r="IR185" s="321"/>
      <c r="IS185" s="321"/>
      <c r="IT185" s="321"/>
      <c r="IU185" s="321"/>
      <c r="IV185" s="564"/>
    </row>
    <row r="186" spans="1:256" s="326" customFormat="1" ht="8.25" customHeight="1">
      <c r="A186" s="483"/>
      <c r="C186" s="321"/>
      <c r="D186" s="161"/>
      <c r="E186" s="201"/>
      <c r="F186" s="193"/>
      <c r="G186" s="295"/>
      <c r="H186" s="299"/>
      <c r="I186" s="302"/>
      <c r="J186" s="295"/>
      <c r="K186" s="295"/>
      <c r="L186" s="292"/>
      <c r="M186" s="161"/>
      <c r="N186" s="321"/>
      <c r="O186" s="321"/>
      <c r="P186" s="564"/>
      <c r="Q186" s="483"/>
      <c r="S186" s="321"/>
      <c r="T186" s="161"/>
      <c r="U186" s="193"/>
      <c r="V186" s="295"/>
      <c r="W186" s="299"/>
      <c r="X186" s="295"/>
      <c r="Y186" s="299"/>
      <c r="Z186" s="302"/>
      <c r="AA186" s="193"/>
      <c r="AB186" s="201"/>
      <c r="AC186" s="161"/>
      <c r="AD186" s="321"/>
      <c r="AE186" s="321"/>
      <c r="AF186" s="321"/>
      <c r="AG186" s="161"/>
      <c r="AH186" s="293"/>
      <c r="AI186" s="297"/>
      <c r="AJ186" s="161"/>
      <c r="AK186" s="200"/>
      <c r="AL186" s="200"/>
      <c r="AM186" s="200"/>
      <c r="AN186" s="200"/>
      <c r="AO186" s="200"/>
      <c r="AP186" s="200"/>
      <c r="AQ186" s="200"/>
      <c r="AR186" s="200"/>
      <c r="AS186" s="161"/>
      <c r="AT186" s="293"/>
      <c r="AU186" s="293"/>
      <c r="AV186" s="161"/>
      <c r="AW186" s="321"/>
      <c r="AX186" s="321"/>
      <c r="AY186" s="321"/>
      <c r="AZ186" s="321"/>
      <c r="BA186" s="321"/>
      <c r="BB186" s="321"/>
      <c r="BC186" s="321"/>
      <c r="BD186" s="321"/>
      <c r="BE186" s="321"/>
      <c r="BF186" s="321"/>
      <c r="BG186" s="321"/>
      <c r="BH186" s="321"/>
      <c r="BI186" s="321"/>
      <c r="BJ186" s="321"/>
      <c r="BK186" s="321"/>
      <c r="BL186" s="564"/>
      <c r="BM186" s="483"/>
      <c r="BN186" s="321"/>
      <c r="BO186" s="321"/>
      <c r="BP186" s="321"/>
      <c r="CB186" s="564"/>
      <c r="CC186" s="483"/>
      <c r="CD186" s="321"/>
      <c r="CE186" s="321"/>
      <c r="CF186" s="321"/>
      <c r="CL186" s="321"/>
      <c r="CM186" s="440"/>
      <c r="CN186" s="433"/>
      <c r="CO186" s="321"/>
      <c r="CR186" s="564"/>
      <c r="CS186" s="483"/>
      <c r="CT186" s="321"/>
      <c r="CU186" s="321"/>
      <c r="CV186" s="321"/>
      <c r="CW186" s="446"/>
      <c r="CX186" s="321"/>
      <c r="CY186" s="321"/>
      <c r="DB186" s="321"/>
      <c r="DC186" s="321"/>
      <c r="DD186" s="321"/>
      <c r="DE186" s="321"/>
      <c r="DF186" s="321"/>
      <c r="DG186" s="440"/>
      <c r="DH186" s="321"/>
      <c r="DI186" s="1236"/>
      <c r="DJ186" s="328"/>
      <c r="DK186" s="328"/>
      <c r="DL186" s="440"/>
      <c r="DM186" s="426"/>
      <c r="DN186" s="453"/>
      <c r="DO186" s="440"/>
      <c r="DP186" s="433"/>
      <c r="DQ186" s="440"/>
      <c r="DR186" s="440"/>
      <c r="DS186" s="422"/>
      <c r="DT186" s="426"/>
      <c r="DU186" s="426"/>
      <c r="DV186" s="328"/>
      <c r="DW186" s="328"/>
      <c r="DX186" s="1237"/>
      <c r="DY186" s="1236"/>
      <c r="DZ186" s="328"/>
      <c r="EA186" s="328"/>
      <c r="EB186" s="440"/>
      <c r="EC186" s="453"/>
      <c r="ED186" s="459"/>
      <c r="EE186" s="440"/>
      <c r="EF186" s="426"/>
      <c r="EG186" s="440"/>
      <c r="EH186" s="426"/>
      <c r="EI186" s="426"/>
      <c r="EJ186" s="426"/>
      <c r="EK186" s="433"/>
      <c r="EL186" s="328"/>
      <c r="EM186" s="328"/>
      <c r="EN186" s="1237"/>
      <c r="EO186" s="1236"/>
      <c r="EP186" s="328"/>
      <c r="EQ186" s="328"/>
      <c r="ER186" s="426"/>
      <c r="ES186" s="426"/>
      <c r="ET186" s="433"/>
      <c r="EU186" s="440"/>
      <c r="EV186" s="453"/>
      <c r="EW186" s="433"/>
      <c r="EX186" s="426"/>
      <c r="EY186" s="453"/>
      <c r="EZ186" s="440"/>
      <c r="FA186" s="440"/>
      <c r="FB186" s="328"/>
      <c r="FC186" s="328"/>
      <c r="FD186" s="1237"/>
      <c r="FE186" s="1236"/>
      <c r="FF186" s="328"/>
      <c r="FG186" s="328"/>
      <c r="FH186" s="328"/>
      <c r="FI186" s="446"/>
      <c r="FJ186" s="426"/>
      <c r="FK186" s="440"/>
      <c r="FL186" s="453"/>
      <c r="FM186" s="440"/>
      <c r="FN186" s="433"/>
      <c r="FO186" s="426"/>
      <c r="FP186" s="328"/>
      <c r="FQ186" s="328"/>
      <c r="FR186" s="328"/>
      <c r="FS186" s="328"/>
      <c r="FT186" s="1237"/>
      <c r="FU186" s="483"/>
      <c r="FV186" s="321"/>
      <c r="FW186" s="321"/>
      <c r="FX186" s="321"/>
      <c r="FY186" s="321"/>
      <c r="FZ186" s="321"/>
      <c r="GA186" s="321"/>
      <c r="GB186" s="321"/>
      <c r="GC186" s="321"/>
      <c r="GD186" s="321"/>
      <c r="GE186" s="321"/>
      <c r="GF186" s="321"/>
      <c r="GG186" s="321"/>
      <c r="GH186" s="321"/>
      <c r="GI186" s="321"/>
      <c r="GJ186" s="564"/>
      <c r="GK186" s="483"/>
      <c r="GL186" s="321"/>
      <c r="GM186" s="321"/>
      <c r="GN186" s="321"/>
      <c r="GO186" s="321"/>
      <c r="GP186" s="321"/>
      <c r="GQ186" s="321"/>
      <c r="GR186" s="321"/>
      <c r="GS186" s="321"/>
      <c r="GT186" s="321"/>
      <c r="GU186" s="321"/>
      <c r="GV186" s="321"/>
      <c r="GW186" s="321"/>
      <c r="GX186" s="321"/>
      <c r="GY186" s="321"/>
      <c r="GZ186" s="564"/>
      <c r="HA186" s="483"/>
      <c r="HB186" s="321"/>
      <c r="HC186" s="321"/>
      <c r="HD186" s="321"/>
      <c r="HE186" s="321"/>
      <c r="HF186" s="321"/>
      <c r="HG186" s="321"/>
      <c r="HH186" s="321"/>
      <c r="HI186" s="321"/>
      <c r="HJ186" s="321"/>
      <c r="HK186" s="321"/>
      <c r="HL186" s="321"/>
      <c r="HM186" s="321"/>
      <c r="HN186" s="321"/>
      <c r="HO186" s="321"/>
      <c r="HP186" s="564"/>
      <c r="HQ186" s="483"/>
      <c r="HR186" s="321"/>
      <c r="HS186" s="321"/>
      <c r="HT186" s="321"/>
      <c r="HU186" s="321"/>
      <c r="HV186" s="321"/>
      <c r="HW186" s="321"/>
      <c r="HX186" s="321"/>
      <c r="HY186" s="321"/>
      <c r="HZ186" s="321"/>
      <c r="IA186" s="321"/>
      <c r="IB186" s="321"/>
      <c r="IC186" s="321"/>
      <c r="ID186" s="321"/>
      <c r="IE186" s="321"/>
      <c r="IF186" s="564"/>
      <c r="IG186" s="483"/>
      <c r="IH186" s="321"/>
      <c r="II186" s="321"/>
      <c r="IJ186" s="321"/>
      <c r="IK186" s="321"/>
      <c r="IL186" s="321"/>
      <c r="IM186" s="321"/>
      <c r="IN186" s="321"/>
      <c r="IO186" s="321"/>
      <c r="IP186" s="321"/>
      <c r="IQ186" s="321"/>
      <c r="IR186" s="321"/>
      <c r="IS186" s="321"/>
      <c r="IT186" s="321"/>
      <c r="IU186" s="321"/>
      <c r="IV186" s="564"/>
    </row>
    <row r="187" spans="1:256" s="326" customFormat="1" ht="8.25" customHeight="1">
      <c r="A187" s="483"/>
      <c r="C187" s="321"/>
      <c r="D187" s="201"/>
      <c r="E187" s="161"/>
      <c r="F187" s="193"/>
      <c r="G187" s="299"/>
      <c r="H187" s="299"/>
      <c r="I187" s="302"/>
      <c r="J187" s="295"/>
      <c r="K187" s="193"/>
      <c r="L187" s="293"/>
      <c r="M187" s="201"/>
      <c r="N187" s="321"/>
      <c r="O187" s="321"/>
      <c r="P187" s="564"/>
      <c r="Q187" s="483"/>
      <c r="S187" s="321"/>
      <c r="T187" s="201"/>
      <c r="U187" s="193"/>
      <c r="V187" s="295"/>
      <c r="W187" s="299"/>
      <c r="X187" s="299"/>
      <c r="Y187" s="295"/>
      <c r="Z187" s="302"/>
      <c r="AA187" s="193"/>
      <c r="AB187" s="293"/>
      <c r="AC187" s="201"/>
      <c r="AD187" s="321"/>
      <c r="AE187" s="321"/>
      <c r="AF187" s="321"/>
      <c r="AG187" s="321"/>
      <c r="AH187" s="161"/>
      <c r="AI187" s="293"/>
      <c r="AJ187" s="293"/>
      <c r="AK187" s="292"/>
      <c r="AL187" s="292"/>
      <c r="AM187" s="292"/>
      <c r="AN187" s="292"/>
      <c r="AO187" s="292"/>
      <c r="AP187" s="161"/>
      <c r="AQ187" s="161"/>
      <c r="AR187" s="292"/>
      <c r="AS187" s="293"/>
      <c r="AT187" s="297"/>
      <c r="AU187" s="161"/>
      <c r="AV187" s="321"/>
      <c r="AW187" s="321"/>
      <c r="AX187" s="321"/>
      <c r="AY187" s="321"/>
      <c r="AZ187" s="321"/>
      <c r="BA187" s="321"/>
      <c r="BB187" s="321"/>
      <c r="BC187" s="321"/>
      <c r="BD187" s="321"/>
      <c r="BE187" s="321"/>
      <c r="BF187" s="321"/>
      <c r="BG187" s="321"/>
      <c r="BH187" s="321"/>
      <c r="BI187" s="321"/>
      <c r="BJ187" s="321"/>
      <c r="BK187" s="321"/>
      <c r="BL187" s="564"/>
      <c r="BM187" s="483"/>
      <c r="BN187" s="321"/>
      <c r="BO187" s="321"/>
      <c r="BP187" s="321"/>
      <c r="BQ187" s="321"/>
      <c r="BR187" s="321"/>
      <c r="BS187" s="321"/>
      <c r="BT187" s="321"/>
      <c r="BU187" s="321"/>
      <c r="BV187" s="321"/>
      <c r="BW187" s="321"/>
      <c r="BX187" s="321"/>
      <c r="BY187" s="321"/>
      <c r="BZ187" s="321"/>
      <c r="CA187" s="321"/>
      <c r="CB187" s="564"/>
      <c r="CC187" s="483"/>
      <c r="CD187" s="321"/>
      <c r="CE187" s="321"/>
      <c r="CF187" s="321"/>
      <c r="CG187" s="321"/>
      <c r="CH187" s="321"/>
      <c r="CI187" s="321"/>
      <c r="CJ187" s="321"/>
      <c r="CK187" s="321"/>
      <c r="CP187" s="321"/>
      <c r="CQ187" s="321"/>
      <c r="CR187" s="564"/>
      <c r="CS187" s="483"/>
      <c r="CT187" s="321"/>
      <c r="CU187" s="321"/>
      <c r="CV187" s="446"/>
      <c r="CW187" s="321"/>
      <c r="CX187" s="321"/>
      <c r="CY187" s="321"/>
      <c r="CZ187" s="321"/>
      <c r="DA187" s="321"/>
      <c r="DB187" s="321"/>
      <c r="DC187" s="440"/>
      <c r="DD187" s="321"/>
      <c r="DE187" s="321"/>
      <c r="DF187" s="321"/>
      <c r="DG187" s="321"/>
      <c r="DH187" s="440"/>
      <c r="DI187" s="1236"/>
      <c r="DJ187" s="328"/>
      <c r="DK187" s="328"/>
      <c r="DL187" s="440"/>
      <c r="DM187" s="453"/>
      <c r="DN187" s="433"/>
      <c r="DO187" s="426"/>
      <c r="DP187" s="422"/>
      <c r="DQ187" s="440"/>
      <c r="DR187" s="422"/>
      <c r="DS187" s="422"/>
      <c r="DT187" s="426"/>
      <c r="DU187" s="328"/>
      <c r="DV187" s="328"/>
      <c r="DW187" s="328"/>
      <c r="DX187" s="1237"/>
      <c r="DY187" s="1236"/>
      <c r="DZ187" s="328"/>
      <c r="EA187" s="328"/>
      <c r="EB187" s="459"/>
      <c r="EC187" s="440"/>
      <c r="ED187" s="426"/>
      <c r="EE187" s="433"/>
      <c r="EF187" s="422"/>
      <c r="EG187" s="426"/>
      <c r="EH187" s="426"/>
      <c r="EI187" s="422"/>
      <c r="EJ187" s="433"/>
      <c r="EK187" s="440"/>
      <c r="EL187" s="328"/>
      <c r="EM187" s="328"/>
      <c r="EN187" s="1237"/>
      <c r="EO187" s="1236"/>
      <c r="EP187" s="328"/>
      <c r="EQ187" s="328"/>
      <c r="ER187" s="426"/>
      <c r="ES187" s="453"/>
      <c r="ET187" s="453"/>
      <c r="EU187" s="453"/>
      <c r="EV187" s="433"/>
      <c r="EW187" s="446"/>
      <c r="EX187" s="440"/>
      <c r="EY187" s="433"/>
      <c r="EZ187" s="426"/>
      <c r="FA187" s="328"/>
      <c r="FB187" s="328"/>
      <c r="FC187" s="328"/>
      <c r="FD187" s="1237"/>
      <c r="FE187" s="1236"/>
      <c r="FF187" s="328"/>
      <c r="FG187" s="328"/>
      <c r="FH187" s="328"/>
      <c r="FI187" s="426"/>
      <c r="FJ187" s="433"/>
      <c r="FK187" s="426"/>
      <c r="FL187" s="440"/>
      <c r="FM187" s="426"/>
      <c r="FN187" s="426"/>
      <c r="FO187" s="446"/>
      <c r="FP187" s="328"/>
      <c r="FQ187" s="440"/>
      <c r="FR187" s="328"/>
      <c r="FS187" s="328"/>
      <c r="FT187" s="1237"/>
      <c r="FU187" s="483"/>
      <c r="FV187" s="321"/>
      <c r="FW187" s="321"/>
      <c r="FX187" s="321"/>
      <c r="FY187" s="321"/>
      <c r="FZ187" s="321"/>
      <c r="GA187" s="321"/>
      <c r="GB187" s="321"/>
      <c r="GC187" s="321"/>
      <c r="GD187" s="321"/>
      <c r="GE187" s="463"/>
      <c r="GF187" s="437"/>
      <c r="GG187" s="321"/>
      <c r="GH187" s="321"/>
      <c r="GI187" s="321"/>
      <c r="GJ187" s="564"/>
      <c r="GK187" s="483"/>
      <c r="GL187" s="321"/>
      <c r="GM187" s="321"/>
      <c r="GN187" s="321"/>
      <c r="GO187" s="321"/>
      <c r="GP187" s="321"/>
      <c r="GQ187" s="321"/>
      <c r="GR187" s="321"/>
      <c r="GS187" s="321"/>
      <c r="GT187" s="321"/>
      <c r="GU187" s="321"/>
      <c r="GV187" s="321"/>
      <c r="GW187" s="321"/>
      <c r="GX187" s="321"/>
      <c r="GY187" s="321"/>
      <c r="GZ187" s="564"/>
      <c r="HA187" s="483"/>
      <c r="HB187" s="321"/>
      <c r="HC187" s="321"/>
      <c r="HD187" s="321"/>
      <c r="HE187" s="321"/>
      <c r="HF187" s="321"/>
      <c r="HG187" s="321"/>
      <c r="HH187" s="321"/>
      <c r="HI187" s="321"/>
      <c r="HJ187" s="321"/>
      <c r="HK187" s="321"/>
      <c r="HL187" s="321"/>
      <c r="HM187" s="321"/>
      <c r="HN187" s="321"/>
      <c r="HO187" s="321"/>
      <c r="HP187" s="564"/>
      <c r="HQ187" s="483"/>
      <c r="HR187" s="321"/>
      <c r="HS187" s="321"/>
      <c r="HT187" s="321"/>
      <c r="HU187" s="321"/>
      <c r="HV187" s="321"/>
      <c r="HW187" s="321"/>
      <c r="HX187" s="321"/>
      <c r="HY187" s="321"/>
      <c r="HZ187" s="321"/>
      <c r="IA187" s="321"/>
      <c r="IB187" s="321"/>
      <c r="IC187" s="321"/>
      <c r="ID187" s="321"/>
      <c r="IE187" s="321"/>
      <c r="IF187" s="564"/>
      <c r="IG187" s="483"/>
      <c r="IH187" s="321"/>
      <c r="II187" s="321"/>
      <c r="IJ187" s="321"/>
      <c r="IK187" s="321"/>
      <c r="IL187" s="321"/>
      <c r="IM187" s="321"/>
      <c r="IN187" s="321"/>
      <c r="IO187" s="321"/>
      <c r="IP187" s="321"/>
      <c r="IQ187" s="321"/>
      <c r="IR187" s="321"/>
      <c r="IS187" s="321"/>
      <c r="IT187" s="321"/>
      <c r="IU187" s="321"/>
      <c r="IV187" s="564"/>
    </row>
    <row r="188" spans="1:256" s="326" customFormat="1" ht="8.25" customHeight="1">
      <c r="A188" s="483"/>
      <c r="C188" s="321"/>
      <c r="D188" s="321"/>
      <c r="E188" s="201"/>
      <c r="F188" s="295"/>
      <c r="G188" s="299"/>
      <c r="H188" s="295"/>
      <c r="I188" s="299"/>
      <c r="J188" s="299"/>
      <c r="K188" s="193"/>
      <c r="L188" s="201"/>
      <c r="M188" s="321"/>
      <c r="N188" s="321"/>
      <c r="O188" s="321"/>
      <c r="P188" s="564"/>
      <c r="Q188" s="483"/>
      <c r="S188" s="321"/>
      <c r="T188" s="321"/>
      <c r="U188" s="161"/>
      <c r="V188" s="295"/>
      <c r="W188" s="295"/>
      <c r="X188" s="299"/>
      <c r="Y188" s="295"/>
      <c r="Z188" s="299"/>
      <c r="AA188" s="295"/>
      <c r="AB188" s="201"/>
      <c r="AC188" s="321"/>
      <c r="AD188" s="321"/>
      <c r="AE188" s="321"/>
      <c r="AF188" s="321"/>
      <c r="AG188" s="321"/>
      <c r="AH188" s="321"/>
      <c r="AI188" s="161"/>
      <c r="AJ188" s="293"/>
      <c r="AK188" s="293"/>
      <c r="AL188" s="293"/>
      <c r="AM188" s="297"/>
      <c r="AN188" s="293"/>
      <c r="AO188" s="293"/>
      <c r="AP188" s="293"/>
      <c r="AQ188" s="293"/>
      <c r="AR188" s="293"/>
      <c r="AS188" s="293"/>
      <c r="AT188" s="161"/>
      <c r="AU188" s="321"/>
      <c r="AV188" s="321"/>
      <c r="AW188" s="321"/>
      <c r="AX188" s="321"/>
      <c r="AY188" s="321"/>
      <c r="AZ188" s="321"/>
      <c r="BA188" s="321"/>
      <c r="BB188" s="321"/>
      <c r="BC188" s="321"/>
      <c r="BD188" s="321"/>
      <c r="BE188" s="321"/>
      <c r="BF188" s="321"/>
      <c r="BG188" s="321"/>
      <c r="BH188" s="321"/>
      <c r="BI188" s="321"/>
      <c r="BJ188" s="321"/>
      <c r="BK188" s="321"/>
      <c r="BL188" s="564"/>
      <c r="BM188" s="483"/>
      <c r="BN188" s="321"/>
      <c r="BO188" s="321"/>
      <c r="BP188" s="321"/>
      <c r="BQ188" s="321"/>
      <c r="BR188" s="321"/>
      <c r="BS188" s="321"/>
      <c r="BT188" s="321"/>
      <c r="BU188" s="321"/>
      <c r="BV188" s="321"/>
      <c r="BW188" s="321"/>
      <c r="BX188" s="321"/>
      <c r="BY188" s="321"/>
      <c r="BZ188" s="321"/>
      <c r="CA188" s="321"/>
      <c r="CB188" s="564"/>
      <c r="CC188" s="483"/>
      <c r="CD188" s="321"/>
      <c r="CE188" s="321"/>
      <c r="CF188" s="321"/>
      <c r="CG188" s="321"/>
      <c r="CH188" s="321"/>
      <c r="CI188" s="321"/>
      <c r="CJ188" s="321"/>
      <c r="CK188" s="321"/>
      <c r="CL188" s="321"/>
      <c r="CM188" s="321"/>
      <c r="CN188" s="321"/>
      <c r="CO188" s="321"/>
      <c r="CP188" s="321"/>
      <c r="CQ188" s="321"/>
      <c r="CR188" s="564"/>
      <c r="CS188" s="483"/>
      <c r="CT188" s="321"/>
      <c r="CU188" s="321"/>
      <c r="CV188" s="446"/>
      <c r="CW188" s="321"/>
      <c r="CX188" s="321"/>
      <c r="CZ188" s="446"/>
      <c r="DB188" s="321"/>
      <c r="DC188" s="433"/>
      <c r="DD188" s="321"/>
      <c r="DF188" s="321"/>
      <c r="DG188" s="321"/>
      <c r="DH188" s="426"/>
      <c r="DI188" s="1236"/>
      <c r="DJ188" s="328"/>
      <c r="DK188" s="328"/>
      <c r="DL188" s="433"/>
      <c r="DM188" s="426"/>
      <c r="DN188" s="453"/>
      <c r="DO188" s="446"/>
      <c r="DP188" s="433"/>
      <c r="DQ188" s="459"/>
      <c r="DR188" s="440"/>
      <c r="DS188" s="422"/>
      <c r="DT188" s="422"/>
      <c r="DU188" s="328"/>
      <c r="DV188" s="328"/>
      <c r="DW188" s="328"/>
      <c r="DX188" s="1237"/>
      <c r="DY188" s="1236"/>
      <c r="DZ188" s="328"/>
      <c r="EA188" s="328"/>
      <c r="EB188" s="440"/>
      <c r="EC188" s="426"/>
      <c r="ED188" s="446"/>
      <c r="EE188" s="446"/>
      <c r="EF188" s="433"/>
      <c r="EG188" s="459"/>
      <c r="EH188" s="440"/>
      <c r="EI188" s="422"/>
      <c r="EJ188" s="426"/>
      <c r="EK188" s="446"/>
      <c r="EL188" s="328"/>
      <c r="EM188" s="328"/>
      <c r="EN188" s="1237"/>
      <c r="EO188" s="1236"/>
      <c r="EP188" s="328"/>
      <c r="EQ188" s="328"/>
      <c r="ER188" s="459"/>
      <c r="ES188" s="453"/>
      <c r="ET188" s="459"/>
      <c r="EU188" s="446"/>
      <c r="EV188" s="453"/>
      <c r="EW188" s="440"/>
      <c r="EX188" s="426"/>
      <c r="EY188" s="422"/>
      <c r="EZ188" s="446"/>
      <c r="FA188" s="440"/>
      <c r="FB188" s="328"/>
      <c r="FC188" s="328"/>
      <c r="FD188" s="1237"/>
      <c r="FE188" s="1236"/>
      <c r="FF188" s="328"/>
      <c r="FG188" s="328"/>
      <c r="FH188" s="440"/>
      <c r="FI188" s="453"/>
      <c r="FJ188" s="453"/>
      <c r="FK188" s="440"/>
      <c r="FL188" s="459"/>
      <c r="FM188" s="446"/>
      <c r="FN188" s="426"/>
      <c r="FO188" s="426"/>
      <c r="FP188" s="426"/>
      <c r="FQ188" s="328"/>
      <c r="FR188" s="328"/>
      <c r="FS188" s="328"/>
      <c r="FT188" s="1237"/>
      <c r="FU188" s="483"/>
      <c r="FV188" s="321"/>
      <c r="FW188" s="321"/>
      <c r="FX188" s="321"/>
      <c r="FY188" s="321"/>
      <c r="FZ188" s="452"/>
      <c r="GA188" s="436"/>
      <c r="GB188" s="321"/>
      <c r="GC188" s="321"/>
      <c r="GD188" s="412"/>
      <c r="GE188" s="431"/>
      <c r="GF188" s="321"/>
      <c r="GG188" s="321"/>
      <c r="GH188" s="321"/>
      <c r="GI188" s="321"/>
      <c r="GJ188" s="564"/>
      <c r="GK188" s="483"/>
      <c r="GL188" s="321"/>
      <c r="GM188" s="321"/>
      <c r="GN188" s="321"/>
      <c r="GO188" s="321"/>
      <c r="GP188" s="321"/>
      <c r="GQ188" s="321"/>
      <c r="GR188" s="321"/>
      <c r="GS188" s="321"/>
      <c r="GT188" s="321"/>
      <c r="GU188" s="321"/>
      <c r="GV188" s="321"/>
      <c r="GW188" s="321"/>
      <c r="GX188" s="321"/>
      <c r="GY188" s="321"/>
      <c r="GZ188" s="564"/>
      <c r="HA188" s="483"/>
      <c r="HB188" s="321"/>
      <c r="HC188" s="321"/>
      <c r="HD188" s="321"/>
      <c r="HE188" s="321"/>
      <c r="HF188" s="321"/>
      <c r="HG188" s="321"/>
      <c r="HH188" s="321"/>
      <c r="HI188" s="321"/>
      <c r="HJ188" s="321"/>
      <c r="HK188" s="321"/>
      <c r="HL188" s="321"/>
      <c r="HM188" s="321"/>
      <c r="HN188" s="321"/>
      <c r="HO188" s="321"/>
      <c r="HP188" s="564"/>
      <c r="HQ188" s="483"/>
      <c r="HR188" s="321"/>
      <c r="HS188" s="321"/>
      <c r="HT188" s="321"/>
      <c r="HU188" s="321"/>
      <c r="HV188" s="321"/>
      <c r="HW188" s="321"/>
      <c r="HX188" s="321"/>
      <c r="HY188" s="321"/>
      <c r="HZ188" s="321"/>
      <c r="IA188" s="321"/>
      <c r="IB188" s="321"/>
      <c r="IC188" s="321"/>
      <c r="ID188" s="321"/>
      <c r="IE188" s="321"/>
      <c r="IF188" s="564"/>
      <c r="IG188" s="483"/>
      <c r="IH188" s="321"/>
      <c r="II188" s="321"/>
      <c r="IJ188" s="321"/>
      <c r="IK188" s="321"/>
      <c r="IL188" s="321"/>
      <c r="IM188" s="321"/>
      <c r="IN188" s="321"/>
      <c r="IO188" s="321"/>
      <c r="IP188" s="321"/>
      <c r="IQ188" s="321"/>
      <c r="IR188" s="321"/>
      <c r="IS188" s="321"/>
      <c r="IT188" s="321"/>
      <c r="IU188" s="321"/>
      <c r="IV188" s="564"/>
    </row>
    <row r="189" spans="1:256" s="326" customFormat="1" ht="8.25" customHeight="1">
      <c r="A189" s="483"/>
      <c r="C189" s="321"/>
      <c r="D189" s="321"/>
      <c r="E189" s="321"/>
      <c r="F189" s="295"/>
      <c r="G189" s="302"/>
      <c r="H189" s="295"/>
      <c r="I189" s="299"/>
      <c r="J189" s="299"/>
      <c r="K189" s="193"/>
      <c r="L189" s="321"/>
      <c r="M189" s="321"/>
      <c r="N189" s="321"/>
      <c r="O189" s="321"/>
      <c r="P189" s="564"/>
      <c r="Q189" s="483"/>
      <c r="T189" s="321"/>
      <c r="U189" s="321"/>
      <c r="V189" s="193"/>
      <c r="W189" s="295"/>
      <c r="X189" s="299"/>
      <c r="Y189" s="302"/>
      <c r="Z189" s="299"/>
      <c r="AA189" s="295"/>
      <c r="AB189" s="321"/>
      <c r="AC189" s="321"/>
      <c r="AD189" s="321"/>
      <c r="AE189" s="321"/>
      <c r="AF189" s="321"/>
      <c r="AG189" s="321"/>
      <c r="AH189" s="321"/>
      <c r="AI189" s="321"/>
      <c r="AJ189" s="161"/>
      <c r="AK189" s="161"/>
      <c r="AL189" s="161"/>
      <c r="AM189" s="161"/>
      <c r="AN189" s="161"/>
      <c r="AO189" s="161"/>
      <c r="AP189" s="161"/>
      <c r="AQ189" s="161"/>
      <c r="AR189" s="161"/>
      <c r="AS189" s="161"/>
      <c r="AT189" s="321"/>
      <c r="AU189" s="321"/>
      <c r="AV189" s="321"/>
      <c r="AW189" s="321"/>
      <c r="AX189" s="321"/>
      <c r="AY189" s="321"/>
      <c r="AZ189" s="321"/>
      <c r="BA189" s="321"/>
      <c r="BB189" s="321"/>
      <c r="BC189" s="321"/>
      <c r="BD189" s="321"/>
      <c r="BE189" s="321"/>
      <c r="BF189" s="321"/>
      <c r="BG189" s="321"/>
      <c r="BH189" s="321"/>
      <c r="BI189" s="321"/>
      <c r="BJ189" s="321"/>
      <c r="BK189" s="321"/>
      <c r="BL189" s="564"/>
      <c r="BM189" s="483"/>
      <c r="BN189" s="321"/>
      <c r="BO189" s="321"/>
      <c r="BP189" s="321"/>
      <c r="BQ189" s="321"/>
      <c r="BR189" s="321"/>
      <c r="BS189" s="321"/>
      <c r="BT189" s="321"/>
      <c r="BU189" s="321"/>
      <c r="BV189" s="321"/>
      <c r="BW189" s="321"/>
      <c r="BX189" s="321"/>
      <c r="BY189" s="321"/>
      <c r="BZ189" s="321"/>
      <c r="CA189" s="321"/>
      <c r="CB189" s="564"/>
      <c r="CC189" s="483"/>
      <c r="CD189" s="321"/>
      <c r="CE189" s="321"/>
      <c r="CF189" s="321"/>
      <c r="CG189" s="321"/>
      <c r="CH189" s="321"/>
      <c r="CI189" s="321"/>
      <c r="CJ189" s="321"/>
      <c r="CK189" s="321"/>
      <c r="CL189" s="321"/>
      <c r="CM189" s="321"/>
      <c r="CN189" s="321"/>
      <c r="CO189" s="321"/>
      <c r="CP189" s="321"/>
      <c r="CQ189" s="321"/>
      <c r="CR189" s="564"/>
      <c r="CS189" s="483"/>
      <c r="CT189" s="321"/>
      <c r="CU189" s="321"/>
      <c r="CV189" s="426"/>
      <c r="CW189" s="321"/>
      <c r="DB189" s="321"/>
      <c r="DC189" s="440"/>
      <c r="DD189" s="433"/>
      <c r="DI189" s="1236"/>
      <c r="DJ189" s="328"/>
      <c r="DK189" s="328"/>
      <c r="DL189" s="328"/>
      <c r="DM189" s="446"/>
      <c r="DN189" s="440"/>
      <c r="DO189" s="440"/>
      <c r="DP189" s="446"/>
      <c r="DQ189" s="426"/>
      <c r="DR189" s="422"/>
      <c r="DS189" s="422"/>
      <c r="DT189" s="440"/>
      <c r="DU189" s="328"/>
      <c r="DV189" s="328"/>
      <c r="DW189" s="328"/>
      <c r="DX189" s="1237"/>
      <c r="DY189" s="1236"/>
      <c r="DZ189" s="328"/>
      <c r="EA189" s="328"/>
      <c r="EB189" s="433"/>
      <c r="EC189" s="453"/>
      <c r="ED189" s="440"/>
      <c r="EE189" s="440"/>
      <c r="EF189" s="446"/>
      <c r="EG189" s="426"/>
      <c r="EH189" s="422"/>
      <c r="EI189" s="422"/>
      <c r="EJ189" s="422"/>
      <c r="EK189" s="426"/>
      <c r="EL189" s="328"/>
      <c r="EM189" s="328"/>
      <c r="EN189" s="1237"/>
      <c r="EO189" s="1236"/>
      <c r="EP189" s="328"/>
      <c r="EQ189" s="328"/>
      <c r="ER189" s="440"/>
      <c r="ES189" s="440"/>
      <c r="ET189" s="426"/>
      <c r="EU189" s="440"/>
      <c r="EV189" s="440"/>
      <c r="EW189" s="446"/>
      <c r="EX189" s="422"/>
      <c r="EY189" s="426"/>
      <c r="EZ189" s="422"/>
      <c r="FA189" s="426"/>
      <c r="FB189" s="328"/>
      <c r="FC189" s="328"/>
      <c r="FD189" s="1237"/>
      <c r="FE189" s="1236"/>
      <c r="FF189" s="328"/>
      <c r="FG189" s="328"/>
      <c r="FH189" s="426"/>
      <c r="FI189" s="453"/>
      <c r="FJ189" s="459"/>
      <c r="FK189" s="453"/>
      <c r="FL189" s="426"/>
      <c r="FM189" s="440"/>
      <c r="FN189" s="426"/>
      <c r="FO189" s="440"/>
      <c r="FP189" s="426"/>
      <c r="FQ189" s="328"/>
      <c r="FR189" s="328"/>
      <c r="FS189" s="328"/>
      <c r="FT189" s="1237"/>
      <c r="FU189" s="483"/>
      <c r="FV189" s="321"/>
      <c r="FW189" s="321"/>
      <c r="FX189" s="321"/>
      <c r="FY189" s="321"/>
      <c r="FZ189" s="433"/>
      <c r="GA189" s="411"/>
      <c r="GB189" s="429"/>
      <c r="GC189" s="426"/>
      <c r="GD189" s="438"/>
      <c r="GE189" s="412"/>
      <c r="GF189" s="321"/>
      <c r="GG189" s="321"/>
      <c r="GH189" s="321"/>
      <c r="GI189" s="321"/>
      <c r="GJ189" s="564"/>
      <c r="GK189" s="483"/>
      <c r="GL189" s="321"/>
      <c r="GM189" s="321"/>
      <c r="GN189" s="321"/>
      <c r="GO189" s="321"/>
      <c r="GP189" s="321"/>
      <c r="GQ189" s="321"/>
      <c r="GR189" s="321"/>
      <c r="GS189" s="321"/>
      <c r="GT189" s="321"/>
      <c r="GU189" s="321"/>
      <c r="GV189" s="321"/>
      <c r="GW189" s="321"/>
      <c r="GX189" s="321"/>
      <c r="GY189" s="321"/>
      <c r="GZ189" s="564"/>
      <c r="HA189" s="483"/>
      <c r="HB189" s="321"/>
      <c r="HC189" s="321"/>
      <c r="HD189" s="321"/>
      <c r="HE189" s="321"/>
      <c r="HF189" s="321"/>
      <c r="HG189" s="321"/>
      <c r="HH189" s="321"/>
      <c r="HI189" s="321"/>
      <c r="HJ189" s="321"/>
      <c r="HK189" s="321"/>
      <c r="HL189" s="321"/>
      <c r="HM189" s="321"/>
      <c r="HN189" s="321"/>
      <c r="HO189" s="321"/>
      <c r="HP189" s="564"/>
      <c r="HQ189" s="483"/>
      <c r="HR189" s="321"/>
      <c r="HS189" s="321"/>
      <c r="HT189" s="321"/>
      <c r="HU189" s="321"/>
      <c r="HV189" s="321"/>
      <c r="HW189" s="321"/>
      <c r="HX189" s="321"/>
      <c r="HY189" s="321"/>
      <c r="HZ189" s="321"/>
      <c r="IA189" s="321"/>
      <c r="IB189" s="321"/>
      <c r="IC189" s="321"/>
      <c r="ID189" s="321"/>
      <c r="IE189" s="321"/>
      <c r="IF189" s="564"/>
      <c r="IG189" s="483"/>
      <c r="IH189" s="321"/>
      <c r="II189" s="321"/>
      <c r="IJ189" s="321"/>
      <c r="IK189" s="321"/>
      <c r="IL189" s="321"/>
      <c r="IM189" s="321"/>
      <c r="IN189" s="321"/>
      <c r="IO189" s="321"/>
      <c r="IP189" s="321"/>
      <c r="IQ189" s="321"/>
      <c r="IR189" s="321"/>
      <c r="IS189" s="321"/>
      <c r="IT189" s="321"/>
      <c r="IU189" s="321"/>
      <c r="IV189" s="564"/>
    </row>
    <row r="190" spans="1:256" s="326" customFormat="1" ht="8.25" customHeight="1">
      <c r="A190" s="483"/>
      <c r="F190" s="295"/>
      <c r="G190" s="302"/>
      <c r="H190" s="295"/>
      <c r="I190" s="299"/>
      <c r="J190" s="302"/>
      <c r="K190" s="193"/>
      <c r="M190" s="321"/>
      <c r="N190" s="321"/>
      <c r="O190" s="321"/>
      <c r="P190" s="564"/>
      <c r="Q190" s="483"/>
      <c r="V190" s="193"/>
      <c r="W190" s="299"/>
      <c r="X190" s="299"/>
      <c r="Y190" s="302"/>
      <c r="Z190" s="295"/>
      <c r="AA190" s="295"/>
      <c r="AC190" s="321"/>
      <c r="AD190" s="321"/>
      <c r="AE190" s="321"/>
      <c r="AF190" s="321"/>
      <c r="AG190" s="321"/>
      <c r="AH190" s="321"/>
      <c r="AI190" s="321"/>
      <c r="AJ190" s="321"/>
      <c r="AK190" s="321"/>
      <c r="AL190" s="321"/>
      <c r="AM190" s="321"/>
      <c r="AN190" s="321"/>
      <c r="AO190" s="321"/>
      <c r="AP190" s="321"/>
      <c r="AQ190" s="321"/>
      <c r="AR190" s="321"/>
      <c r="AS190" s="321"/>
      <c r="AT190" s="321"/>
      <c r="AU190" s="321"/>
      <c r="AV190" s="321"/>
      <c r="AW190" s="321"/>
      <c r="AX190" s="321"/>
      <c r="AY190" s="321"/>
      <c r="AZ190" s="321"/>
      <c r="BA190" s="321"/>
      <c r="BB190" s="321"/>
      <c r="BC190" s="321"/>
      <c r="BD190" s="321"/>
      <c r="BE190" s="321"/>
      <c r="BF190" s="321"/>
      <c r="BG190" s="321"/>
      <c r="BH190" s="321"/>
      <c r="BI190" s="321"/>
      <c r="BJ190" s="321"/>
      <c r="BK190" s="321"/>
      <c r="BL190" s="564"/>
      <c r="BM190" s="483"/>
      <c r="BN190" s="321"/>
      <c r="BO190" s="321"/>
      <c r="BP190" s="321"/>
      <c r="BQ190" s="321"/>
      <c r="BR190" s="321"/>
      <c r="BS190" s="321"/>
      <c r="BT190" s="321"/>
      <c r="BU190" s="321"/>
      <c r="BV190" s="321"/>
      <c r="BW190" s="321"/>
      <c r="BX190" s="321"/>
      <c r="BY190" s="321"/>
      <c r="BZ190" s="321"/>
      <c r="CA190" s="321"/>
      <c r="CB190" s="564"/>
      <c r="CC190" s="483"/>
      <c r="CD190" s="321"/>
      <c r="CE190" s="321"/>
      <c r="CF190" s="321"/>
      <c r="CG190" s="321"/>
      <c r="CH190" s="321"/>
      <c r="CI190" s="321"/>
      <c r="CJ190" s="321"/>
      <c r="CK190" s="321"/>
      <c r="CL190" s="321"/>
      <c r="CM190" s="321"/>
      <c r="CN190" s="321"/>
      <c r="CO190" s="321"/>
      <c r="CP190" s="321"/>
      <c r="CQ190" s="321"/>
      <c r="CR190" s="564"/>
      <c r="CS190" s="483"/>
      <c r="CT190" s="321"/>
      <c r="CU190" s="321"/>
      <c r="DC190" s="440"/>
      <c r="DI190" s="1236"/>
      <c r="DJ190" s="328"/>
      <c r="DK190" s="328"/>
      <c r="DL190" s="328"/>
      <c r="DM190" s="328"/>
      <c r="DN190" s="453"/>
      <c r="DO190" s="426"/>
      <c r="DP190" s="446"/>
      <c r="DQ190" s="422"/>
      <c r="DR190" s="422"/>
      <c r="DS190" s="433"/>
      <c r="DT190" s="328"/>
      <c r="DU190" s="328"/>
      <c r="DV190" s="328"/>
      <c r="DW190" s="328"/>
      <c r="DX190" s="1237"/>
      <c r="DY190" s="1236"/>
      <c r="DZ190" s="328"/>
      <c r="EA190" s="328"/>
      <c r="EB190" s="328"/>
      <c r="EC190" s="426"/>
      <c r="ED190" s="453"/>
      <c r="EE190" s="440"/>
      <c r="EF190" s="446"/>
      <c r="EG190" s="422"/>
      <c r="EH190" s="422"/>
      <c r="EI190" s="426"/>
      <c r="EJ190" s="440"/>
      <c r="EK190" s="328"/>
      <c r="EL190" s="328"/>
      <c r="EM190" s="328"/>
      <c r="EN190" s="1237"/>
      <c r="EO190" s="1236"/>
      <c r="EP190" s="328"/>
      <c r="EQ190" s="328"/>
      <c r="ER190" s="440"/>
      <c r="ES190" s="453"/>
      <c r="ET190" s="446"/>
      <c r="EU190" s="440"/>
      <c r="EV190" s="433"/>
      <c r="EW190" s="440"/>
      <c r="EX190" s="440"/>
      <c r="EY190" s="422"/>
      <c r="EZ190" s="422"/>
      <c r="FA190" s="433"/>
      <c r="FB190" s="328"/>
      <c r="FC190" s="328"/>
      <c r="FD190" s="1237"/>
      <c r="FE190" s="1236"/>
      <c r="FF190" s="328"/>
      <c r="FG190" s="328"/>
      <c r="FH190" s="459"/>
      <c r="FI190" s="453"/>
      <c r="FJ190" s="426"/>
      <c r="FK190" s="433"/>
      <c r="FL190" s="446"/>
      <c r="FM190" s="446"/>
      <c r="FN190" s="440"/>
      <c r="FO190" s="422"/>
      <c r="FP190" s="422"/>
      <c r="FQ190" s="440"/>
      <c r="FR190" s="328"/>
      <c r="FS190" s="328"/>
      <c r="FT190" s="1237"/>
      <c r="FU190" s="483"/>
      <c r="FV190" s="321"/>
      <c r="FW190" s="321"/>
      <c r="FX190" s="426"/>
      <c r="FY190" s="433"/>
      <c r="FZ190" s="446"/>
      <c r="GA190" s="422"/>
      <c r="GB190" s="426"/>
      <c r="GC190" s="446"/>
      <c r="GD190" s="426"/>
      <c r="GE190" s="422"/>
      <c r="GF190" s="426"/>
      <c r="GG190" s="440"/>
      <c r="GH190" s="321"/>
      <c r="GI190" s="321"/>
      <c r="GJ190" s="564"/>
      <c r="GK190" s="483"/>
      <c r="GL190" s="321"/>
      <c r="GM190" s="321"/>
      <c r="GN190" s="321"/>
      <c r="GO190" s="321"/>
      <c r="GP190" s="321"/>
      <c r="GQ190" s="321"/>
      <c r="GR190" s="321"/>
      <c r="GS190" s="321"/>
      <c r="GT190" s="321"/>
      <c r="GU190" s="321"/>
      <c r="GV190" s="321"/>
      <c r="GW190" s="321"/>
      <c r="GX190" s="321"/>
      <c r="GY190" s="321"/>
      <c r="GZ190" s="564"/>
      <c r="HA190" s="483"/>
      <c r="HB190" s="321"/>
      <c r="HC190" s="321"/>
      <c r="HD190" s="321"/>
      <c r="HE190" s="321"/>
      <c r="HF190" s="321"/>
      <c r="HG190" s="321"/>
      <c r="HH190" s="321"/>
      <c r="HI190" s="321"/>
      <c r="HJ190" s="321"/>
      <c r="HK190" s="321"/>
      <c r="HL190" s="321"/>
      <c r="HM190" s="321"/>
      <c r="HN190" s="321"/>
      <c r="HO190" s="321"/>
      <c r="HP190" s="564"/>
      <c r="HQ190" s="483"/>
      <c r="HR190" s="321"/>
      <c r="HS190" s="321"/>
      <c r="HT190" s="321"/>
      <c r="HU190" s="321"/>
      <c r="HV190" s="321"/>
      <c r="HW190" s="321"/>
      <c r="HX190" s="321"/>
      <c r="HY190" s="321"/>
      <c r="HZ190" s="321"/>
      <c r="IA190" s="321"/>
      <c r="IB190" s="321"/>
      <c r="IC190" s="321"/>
      <c r="ID190" s="321"/>
      <c r="IE190" s="321"/>
      <c r="IF190" s="564"/>
      <c r="IG190" s="483"/>
      <c r="IH190" s="321"/>
      <c r="II190" s="321"/>
      <c r="IJ190" s="321"/>
      <c r="IK190" s="321"/>
      <c r="IL190" s="321"/>
      <c r="IM190" s="321"/>
      <c r="IN190" s="321"/>
      <c r="IO190" s="321"/>
      <c r="IP190" s="321"/>
      <c r="IQ190" s="321"/>
      <c r="IR190" s="321"/>
      <c r="IS190" s="321"/>
      <c r="IT190" s="321"/>
      <c r="IU190" s="321"/>
      <c r="IV190" s="564"/>
    </row>
    <row r="191" spans="1:256" s="326" customFormat="1" ht="8.25" customHeight="1">
      <c r="A191" s="483"/>
      <c r="F191" s="295"/>
      <c r="G191" s="299"/>
      <c r="H191" s="299"/>
      <c r="I191" s="295"/>
      <c r="J191" s="302"/>
      <c r="K191" s="299"/>
      <c r="M191" s="321"/>
      <c r="N191" s="321"/>
      <c r="O191" s="321"/>
      <c r="P191" s="564"/>
      <c r="Q191" s="483"/>
      <c r="V191" s="295"/>
      <c r="W191" s="299"/>
      <c r="X191" s="295"/>
      <c r="Y191" s="299"/>
      <c r="Z191" s="295"/>
      <c r="AA191" s="295"/>
      <c r="AC191" s="321"/>
      <c r="AD191" s="321"/>
      <c r="AE191" s="321"/>
      <c r="AF191" s="321"/>
      <c r="AG191" s="161"/>
      <c r="AH191" s="321"/>
      <c r="AI191" s="321"/>
      <c r="AJ191" s="321"/>
      <c r="AK191" s="321"/>
      <c r="AL191" s="321"/>
      <c r="AM191" s="321"/>
      <c r="AN191" s="321"/>
      <c r="AO191" s="321"/>
      <c r="AP191" s="321"/>
      <c r="AQ191" s="321"/>
      <c r="AR191" s="321"/>
      <c r="AS191" s="321"/>
      <c r="AT191" s="321"/>
      <c r="AU191" s="321"/>
      <c r="AV191" s="161"/>
      <c r="AW191" s="321"/>
      <c r="AX191" s="321"/>
      <c r="AY191" s="321"/>
      <c r="AZ191" s="321"/>
      <c r="BA191" s="321"/>
      <c r="BB191" s="321"/>
      <c r="BC191" s="321"/>
      <c r="BD191" s="321"/>
      <c r="BE191" s="321"/>
      <c r="BF191" s="321"/>
      <c r="BG191" s="321"/>
      <c r="BH191" s="321"/>
      <c r="BI191" s="321"/>
      <c r="BJ191" s="321"/>
      <c r="BK191" s="321"/>
      <c r="BL191" s="564"/>
      <c r="BM191" s="483"/>
      <c r="BN191" s="321"/>
      <c r="BO191" s="321"/>
      <c r="BP191" s="321"/>
      <c r="BQ191" s="321"/>
      <c r="BR191" s="321"/>
      <c r="BS191" s="321"/>
      <c r="BT191" s="321"/>
      <c r="BU191" s="321"/>
      <c r="BV191" s="321"/>
      <c r="BW191" s="321"/>
      <c r="BX191" s="321"/>
      <c r="BY191" s="321"/>
      <c r="BZ191" s="321"/>
      <c r="CA191" s="321"/>
      <c r="CB191" s="564"/>
      <c r="CC191" s="483"/>
      <c r="CD191" s="321"/>
      <c r="CE191" s="321"/>
      <c r="CF191" s="321"/>
      <c r="CG191" s="321"/>
      <c r="CH191" s="321"/>
      <c r="CI191" s="321"/>
      <c r="CJ191" s="321"/>
      <c r="CK191" s="321"/>
      <c r="CL191" s="321"/>
      <c r="CM191" s="321"/>
      <c r="CN191" s="321"/>
      <c r="CO191" s="321"/>
      <c r="CP191" s="321"/>
      <c r="CQ191" s="321"/>
      <c r="CR191" s="564"/>
      <c r="CS191" s="483"/>
      <c r="CT191" s="321"/>
      <c r="CU191" s="321"/>
      <c r="CV191" s="321"/>
      <c r="CW191" s="321"/>
      <c r="CX191" s="321"/>
      <c r="CY191" s="321"/>
      <c r="CZ191" s="321"/>
      <c r="DA191" s="321"/>
      <c r="DB191" s="321"/>
      <c r="DC191" s="321"/>
      <c r="DD191" s="321"/>
      <c r="DE191" s="321"/>
      <c r="DF191" s="321"/>
      <c r="DG191" s="321"/>
      <c r="DH191" s="321"/>
      <c r="DI191" s="1236"/>
      <c r="DJ191" s="328"/>
      <c r="DK191" s="328"/>
      <c r="DL191" s="328"/>
      <c r="DM191" s="328"/>
      <c r="DN191" s="422"/>
      <c r="DO191" s="433"/>
      <c r="DP191" s="426"/>
      <c r="DQ191" s="422"/>
      <c r="DR191" s="422"/>
      <c r="DS191" s="440"/>
      <c r="DT191" s="328"/>
      <c r="DU191" s="328"/>
      <c r="DV191" s="328"/>
      <c r="DW191" s="328"/>
      <c r="DX191" s="1237"/>
      <c r="DY191" s="1236"/>
      <c r="DZ191" s="328"/>
      <c r="EA191" s="328"/>
      <c r="EB191" s="328"/>
      <c r="EC191" s="446"/>
      <c r="ED191" s="440"/>
      <c r="EE191" s="426"/>
      <c r="EF191" s="426"/>
      <c r="EG191" s="422"/>
      <c r="EH191" s="422"/>
      <c r="EI191" s="433"/>
      <c r="EJ191" s="328"/>
      <c r="EK191" s="328"/>
      <c r="EL191" s="328"/>
      <c r="EM191" s="328"/>
      <c r="EN191" s="1237"/>
      <c r="EO191" s="1236"/>
      <c r="EP191" s="328"/>
      <c r="EQ191" s="328"/>
      <c r="ER191" s="433"/>
      <c r="ES191" s="426"/>
      <c r="ET191" s="453"/>
      <c r="EU191" s="440"/>
      <c r="EV191" s="446"/>
      <c r="EW191" s="426"/>
      <c r="EX191" s="422"/>
      <c r="EY191" s="422"/>
      <c r="EZ191" s="426"/>
      <c r="FA191" s="446"/>
      <c r="FB191" s="328"/>
      <c r="FC191" s="328"/>
      <c r="FD191" s="1237"/>
      <c r="FE191" s="1236"/>
      <c r="FF191" s="328"/>
      <c r="FG191" s="328"/>
      <c r="FH191" s="440"/>
      <c r="FI191" s="440"/>
      <c r="FJ191" s="446"/>
      <c r="FK191" s="446"/>
      <c r="FL191" s="440"/>
      <c r="FM191" s="446"/>
      <c r="FN191" s="422"/>
      <c r="FO191" s="422"/>
      <c r="FP191" s="1333"/>
      <c r="FQ191" s="446"/>
      <c r="FR191" s="328"/>
      <c r="FS191" s="328"/>
      <c r="FT191" s="1237"/>
      <c r="FU191" s="483"/>
      <c r="FV191" s="321"/>
      <c r="FW191" s="433"/>
      <c r="FX191" s="440"/>
      <c r="FY191" s="453"/>
      <c r="FZ191" s="459"/>
      <c r="GA191" s="453"/>
      <c r="GB191" s="426"/>
      <c r="GC191" s="433"/>
      <c r="GD191" s="453"/>
      <c r="GE191" s="426"/>
      <c r="GF191" s="422"/>
      <c r="GG191" s="426"/>
      <c r="GH191" s="446"/>
      <c r="GI191" s="321"/>
      <c r="GJ191" s="564"/>
      <c r="GK191" s="483"/>
      <c r="GL191" s="321"/>
      <c r="GM191" s="321"/>
      <c r="GN191" s="321"/>
      <c r="GO191" s="321"/>
      <c r="GP191" s="321"/>
      <c r="GQ191" s="321"/>
      <c r="GR191" s="321"/>
      <c r="GS191" s="321"/>
      <c r="GT191" s="321"/>
      <c r="GU191" s="321"/>
      <c r="GV191" s="321"/>
      <c r="GW191" s="321"/>
      <c r="GX191" s="321"/>
      <c r="GY191" s="321"/>
      <c r="GZ191" s="564"/>
      <c r="HA191" s="483"/>
      <c r="HB191" s="321"/>
      <c r="HC191" s="321"/>
      <c r="HD191" s="321"/>
      <c r="HE191" s="321"/>
      <c r="HF191" s="321"/>
      <c r="HG191" s="321"/>
      <c r="HH191" s="321"/>
      <c r="HI191" s="321"/>
      <c r="HJ191" s="321"/>
      <c r="HK191" s="321"/>
      <c r="HL191" s="321"/>
      <c r="HM191" s="321"/>
      <c r="HN191" s="321"/>
      <c r="HO191" s="321"/>
      <c r="HP191" s="564"/>
      <c r="HQ191" s="483"/>
      <c r="HR191" s="321"/>
      <c r="HS191" s="321"/>
      <c r="HT191" s="321"/>
      <c r="HU191" s="321"/>
      <c r="HV191" s="321"/>
      <c r="HW191" s="321"/>
      <c r="HX191" s="321"/>
      <c r="HY191" s="321"/>
      <c r="HZ191" s="321"/>
      <c r="IA191" s="321"/>
      <c r="IB191" s="321"/>
      <c r="IC191" s="321"/>
      <c r="ID191" s="321"/>
      <c r="IE191" s="321"/>
      <c r="IF191" s="564"/>
      <c r="IG191" s="483"/>
      <c r="IH191" s="321"/>
      <c r="II191" s="321"/>
      <c r="IJ191" s="321"/>
      <c r="IK191" s="321"/>
      <c r="IL191" s="321"/>
      <c r="IM191" s="321"/>
      <c r="IN191" s="321"/>
      <c r="IO191" s="321"/>
      <c r="IP191" s="321"/>
      <c r="IQ191" s="321"/>
      <c r="IR191" s="321"/>
      <c r="IS191" s="321"/>
      <c r="IT191" s="321"/>
      <c r="IU191" s="321"/>
      <c r="IV191" s="564"/>
    </row>
    <row r="192" spans="1:256" s="326" customFormat="1" ht="8.25" customHeight="1">
      <c r="A192" s="483"/>
      <c r="F192" s="201"/>
      <c r="G192" s="193"/>
      <c r="H192" s="295"/>
      <c r="I192" s="193"/>
      <c r="J192" s="299"/>
      <c r="K192" s="193"/>
      <c r="M192" s="321"/>
      <c r="N192" s="321"/>
      <c r="O192" s="321"/>
      <c r="P192" s="564"/>
      <c r="Q192" s="569"/>
      <c r="R192" s="569"/>
      <c r="S192" s="569"/>
      <c r="V192" s="193"/>
      <c r="W192" s="302"/>
      <c r="X192" s="193"/>
      <c r="Y192" s="295"/>
      <c r="Z192" s="299"/>
      <c r="AA192" s="201"/>
      <c r="AC192" s="321"/>
      <c r="AD192" s="569"/>
      <c r="AE192" s="569"/>
      <c r="AF192" s="569"/>
      <c r="AG192" s="321"/>
      <c r="AH192" s="161"/>
      <c r="AI192" s="161"/>
      <c r="AJ192" s="161"/>
      <c r="AK192" s="161"/>
      <c r="AL192" s="161"/>
      <c r="AM192" s="161"/>
      <c r="AN192" s="161"/>
      <c r="AO192" s="161"/>
      <c r="AP192" s="161"/>
      <c r="AQ192" s="161"/>
      <c r="AR192" s="161"/>
      <c r="AS192" s="161"/>
      <c r="AT192" s="161"/>
      <c r="AU192" s="161"/>
      <c r="AV192" s="321"/>
      <c r="AW192" s="569"/>
      <c r="AX192" s="569"/>
      <c r="AY192" s="569"/>
      <c r="AZ192" s="569"/>
      <c r="BA192" s="569"/>
      <c r="BB192" s="569"/>
      <c r="BC192" s="569"/>
      <c r="BD192" s="569"/>
      <c r="BE192" s="569"/>
      <c r="BF192" s="569"/>
      <c r="BG192" s="569"/>
      <c r="BH192" s="569"/>
      <c r="BI192" s="569"/>
      <c r="BJ192" s="569"/>
      <c r="BK192" s="569"/>
      <c r="BL192" s="570"/>
      <c r="BM192" s="569"/>
      <c r="BN192" s="569"/>
      <c r="BO192" s="569"/>
      <c r="BP192" s="569"/>
      <c r="BQ192" s="569"/>
      <c r="BR192" s="569"/>
      <c r="BS192" s="569"/>
      <c r="BT192" s="569"/>
      <c r="BU192" s="569"/>
      <c r="BV192" s="569"/>
      <c r="BW192" s="569"/>
      <c r="BX192" s="569"/>
      <c r="BY192" s="569"/>
      <c r="BZ192" s="569"/>
      <c r="CA192" s="569"/>
      <c r="CB192" s="570"/>
      <c r="CC192" s="569"/>
      <c r="CD192" s="569"/>
      <c r="CE192" s="569"/>
      <c r="CF192" s="569"/>
      <c r="CG192" s="569"/>
      <c r="CH192" s="569"/>
      <c r="CI192" s="569"/>
      <c r="CJ192" s="569"/>
      <c r="CK192" s="569"/>
      <c r="CL192" s="569"/>
      <c r="CM192" s="569"/>
      <c r="CN192" s="569"/>
      <c r="CO192" s="569"/>
      <c r="CP192" s="569"/>
      <c r="CQ192" s="569"/>
      <c r="CR192" s="570"/>
      <c r="CS192" s="569"/>
      <c r="CT192" s="569"/>
      <c r="CU192" s="569"/>
      <c r="CV192" s="569"/>
      <c r="CW192" s="569"/>
      <c r="CX192" s="569"/>
      <c r="CY192" s="569"/>
      <c r="CZ192" s="569"/>
      <c r="DA192" s="569"/>
      <c r="DB192" s="569"/>
      <c r="DC192" s="569"/>
      <c r="DD192" s="569"/>
      <c r="DE192" s="569"/>
      <c r="DF192" s="569"/>
      <c r="DG192" s="569"/>
      <c r="DH192" s="569"/>
      <c r="DI192" s="1238"/>
      <c r="DJ192" s="479"/>
      <c r="DK192" s="479"/>
      <c r="DL192" s="479"/>
      <c r="DM192" s="479"/>
      <c r="DN192" s="479"/>
      <c r="DO192" s="446"/>
      <c r="DP192" s="426"/>
      <c r="DQ192" s="422"/>
      <c r="DR192" s="440"/>
      <c r="DS192" s="479"/>
      <c r="DT192" s="479"/>
      <c r="DU192" s="479"/>
      <c r="DV192" s="479"/>
      <c r="DW192" s="479"/>
      <c r="DX192" s="1240"/>
      <c r="DY192" s="1238"/>
      <c r="DZ192" s="479"/>
      <c r="EA192" s="479"/>
      <c r="EB192" s="479"/>
      <c r="EC192" s="479"/>
      <c r="ED192" s="422"/>
      <c r="EE192" s="433"/>
      <c r="EF192" s="426"/>
      <c r="EG192" s="422"/>
      <c r="EH192" s="440"/>
      <c r="EI192" s="479"/>
      <c r="EJ192" s="479"/>
      <c r="EK192" s="479"/>
      <c r="EL192" s="479"/>
      <c r="EM192" s="479"/>
      <c r="EN192" s="1240"/>
      <c r="EO192" s="1238"/>
      <c r="EP192" s="479"/>
      <c r="EQ192" s="479"/>
      <c r="ER192" s="479"/>
      <c r="ES192" s="1334"/>
      <c r="ET192" s="1335"/>
      <c r="EU192" s="1333"/>
      <c r="EV192" s="1335"/>
      <c r="EW192" s="1333"/>
      <c r="EX192" s="605"/>
      <c r="EY192" s="1333"/>
      <c r="EZ192" s="1336"/>
      <c r="FA192" s="479"/>
      <c r="FB192" s="479"/>
      <c r="FC192" s="479"/>
      <c r="FD192" s="1240"/>
      <c r="FE192" s="1238"/>
      <c r="FF192" s="479"/>
      <c r="FG192" s="479"/>
      <c r="FH192" s="479"/>
      <c r="FI192" s="1334"/>
      <c r="FJ192" s="1335"/>
      <c r="FK192" s="1333"/>
      <c r="FL192" s="1335"/>
      <c r="FM192" s="422"/>
      <c r="FN192" s="605"/>
      <c r="FO192" s="1333"/>
      <c r="FP192" s="1336"/>
      <c r="FQ192" s="479"/>
      <c r="FR192" s="479"/>
      <c r="FS192" s="479"/>
      <c r="FT192" s="1240"/>
      <c r="FU192" s="1312"/>
      <c r="FV192" s="569"/>
      <c r="FW192" s="569"/>
      <c r="FX192" s="569"/>
      <c r="FY192" s="440"/>
      <c r="FZ192" s="453"/>
      <c r="GA192" s="440"/>
      <c r="GB192" s="433"/>
      <c r="GC192" s="426"/>
      <c r="GD192" s="422"/>
      <c r="GE192" s="426"/>
      <c r="GF192" s="433"/>
      <c r="GG192" s="440"/>
      <c r="GH192" s="569"/>
      <c r="GI192" s="569"/>
      <c r="GJ192" s="1314"/>
      <c r="GK192" s="569"/>
      <c r="GL192" s="569"/>
      <c r="GM192" s="569"/>
      <c r="GN192" s="569"/>
      <c r="GO192" s="569"/>
      <c r="GP192" s="569"/>
      <c r="GQ192" s="569"/>
      <c r="GR192" s="569"/>
      <c r="GS192" s="569"/>
      <c r="GT192" s="569"/>
      <c r="GU192" s="569"/>
      <c r="GV192" s="569"/>
      <c r="GW192" s="569"/>
      <c r="GX192" s="569"/>
      <c r="GY192" s="569"/>
      <c r="GZ192" s="570"/>
      <c r="HA192" s="569"/>
      <c r="HB192" s="569"/>
      <c r="HC192" s="569"/>
      <c r="HD192" s="569"/>
      <c r="HE192" s="569"/>
      <c r="HF192" s="569"/>
      <c r="HG192" s="569"/>
      <c r="HH192" s="569"/>
      <c r="HI192" s="569"/>
      <c r="HJ192" s="569"/>
      <c r="HK192" s="569"/>
      <c r="HL192" s="569"/>
      <c r="HM192" s="569"/>
      <c r="HN192" s="569"/>
      <c r="HO192" s="569"/>
      <c r="HP192" s="570"/>
      <c r="HQ192" s="569"/>
      <c r="HR192" s="569"/>
      <c r="HS192" s="569"/>
      <c r="HT192" s="569"/>
      <c r="HU192" s="569"/>
      <c r="HV192" s="569"/>
      <c r="HW192" s="569"/>
      <c r="HX192" s="569"/>
      <c r="HY192" s="569"/>
      <c r="HZ192" s="569"/>
      <c r="IA192" s="569"/>
      <c r="IB192" s="569"/>
      <c r="IC192" s="569"/>
      <c r="ID192" s="569"/>
      <c r="IE192" s="569"/>
      <c r="IF192" s="570"/>
      <c r="IG192" s="569"/>
      <c r="IH192" s="569"/>
      <c r="II192" s="569"/>
      <c r="IJ192" s="569"/>
      <c r="IK192" s="569"/>
      <c r="IL192" s="569"/>
      <c r="IM192" s="569"/>
      <c r="IN192" s="569"/>
      <c r="IO192" s="569"/>
      <c r="IP192" s="569"/>
      <c r="IQ192" s="569"/>
      <c r="IR192" s="569"/>
      <c r="IS192" s="569"/>
      <c r="IT192" s="569"/>
      <c r="IU192" s="569"/>
      <c r="IV192" s="570"/>
    </row>
    <row r="193" spans="1:256" s="326" customFormat="1" ht="8.25" customHeight="1">
      <c r="A193" s="483">
        <v>97</v>
      </c>
      <c r="C193" s="484"/>
      <c r="D193" s="484"/>
      <c r="E193" s="484"/>
      <c r="F193" s="484"/>
      <c r="G193" s="484"/>
      <c r="H193" s="484"/>
      <c r="I193" s="484"/>
      <c r="J193" s="484"/>
      <c r="K193" s="484"/>
      <c r="L193" s="484"/>
      <c r="M193" s="484"/>
      <c r="N193" s="484"/>
      <c r="O193" s="484"/>
      <c r="P193" s="696"/>
      <c r="Q193" s="483">
        <v>98</v>
      </c>
      <c r="R193" s="484"/>
      <c r="S193" s="484"/>
      <c r="T193" s="484"/>
      <c r="U193" s="484"/>
      <c r="V193" s="484"/>
      <c r="W193" s="484"/>
      <c r="X193" s="484"/>
      <c r="Y193" s="484"/>
      <c r="Z193" s="484"/>
      <c r="AA193" s="484"/>
      <c r="AB193" s="484"/>
      <c r="AC193" s="484"/>
      <c r="AD193" s="484"/>
      <c r="AE193" s="484"/>
      <c r="AF193" s="696"/>
      <c r="AG193" s="483">
        <v>99</v>
      </c>
      <c r="AH193" s="321"/>
      <c r="AI193" s="321"/>
      <c r="AJ193" s="321"/>
      <c r="AK193" s="321"/>
      <c r="AL193" s="321"/>
      <c r="AM193" s="321"/>
      <c r="AN193" s="321"/>
      <c r="AO193" s="321"/>
      <c r="AP193" s="321"/>
      <c r="AQ193" s="321"/>
      <c r="AR193" s="321"/>
      <c r="AS193" s="321"/>
      <c r="AT193" s="321"/>
      <c r="AU193" s="321"/>
      <c r="AV193" s="564"/>
      <c r="AW193" s="483">
        <v>100</v>
      </c>
      <c r="AX193" s="484"/>
      <c r="AY193" s="484"/>
      <c r="AZ193" s="484"/>
      <c r="BA193" s="484"/>
      <c r="BB193" s="484"/>
      <c r="BC193" s="484"/>
      <c r="BD193" s="484"/>
      <c r="BE193" s="484"/>
      <c r="BF193" s="484"/>
      <c r="BG193" s="484"/>
      <c r="BH193" s="484"/>
      <c r="BI193" s="484"/>
      <c r="BJ193" s="484"/>
      <c r="BK193" s="484"/>
      <c r="BL193" s="696"/>
      <c r="BM193" s="483">
        <v>101</v>
      </c>
      <c r="BN193" s="484"/>
      <c r="BO193" s="484"/>
      <c r="BP193" s="484"/>
      <c r="BQ193" s="484"/>
      <c r="BR193" s="484"/>
      <c r="BS193" s="484"/>
      <c r="BT193" s="484"/>
      <c r="BU193" s="484"/>
      <c r="BV193" s="484"/>
      <c r="BW193" s="484"/>
      <c r="BX193" s="484"/>
      <c r="BY193" s="484"/>
      <c r="BZ193" s="484"/>
      <c r="CA193" s="484"/>
      <c r="CB193" s="696"/>
      <c r="CC193" s="483">
        <v>102</v>
      </c>
      <c r="CD193" s="484"/>
      <c r="CE193" s="484"/>
      <c r="CF193" s="484"/>
      <c r="CG193" s="484"/>
      <c r="CH193" s="484"/>
      <c r="CI193" s="484"/>
      <c r="CJ193" s="484"/>
      <c r="CK193" s="484"/>
      <c r="CL193" s="484"/>
      <c r="CM193" s="484"/>
      <c r="CN193" s="484"/>
      <c r="CO193" s="484"/>
      <c r="CP193" s="484"/>
      <c r="CQ193" s="484"/>
      <c r="CR193" s="696"/>
      <c r="CS193" s="483">
        <v>103</v>
      </c>
      <c r="CU193" s="484"/>
      <c r="CV193" s="484"/>
      <c r="CW193" s="484"/>
      <c r="CX193" s="484"/>
      <c r="CY193" s="484"/>
      <c r="CZ193" s="484"/>
      <c r="DA193" s="484"/>
      <c r="DB193" s="484"/>
      <c r="DC193" s="484"/>
      <c r="DD193" s="484"/>
      <c r="DE193" s="484"/>
      <c r="DF193" s="484"/>
      <c r="DG193" s="484"/>
      <c r="DH193" s="696"/>
      <c r="DI193" s="483">
        <v>104</v>
      </c>
      <c r="DJ193" s="484"/>
      <c r="DK193" s="484"/>
      <c r="DL193" s="484"/>
      <c r="DM193" s="484"/>
      <c r="DN193" s="484"/>
      <c r="DO193" s="484"/>
      <c r="DP193" s="484"/>
      <c r="DQ193" s="484"/>
      <c r="DR193" s="484"/>
      <c r="DS193" s="484"/>
      <c r="DT193" s="484"/>
      <c r="DU193" s="484"/>
      <c r="DV193" s="484"/>
      <c r="DW193" s="484"/>
      <c r="DX193" s="696"/>
      <c r="DY193" s="483">
        <v>105</v>
      </c>
      <c r="DZ193" s="484"/>
      <c r="EA193" s="484"/>
      <c r="EB193" s="484"/>
      <c r="EC193" s="484"/>
      <c r="ED193" s="484"/>
      <c r="EE193" s="484"/>
      <c r="EF193" s="484"/>
      <c r="EG193" s="484"/>
      <c r="EH193" s="484"/>
      <c r="EI193" s="484"/>
      <c r="EJ193" s="484"/>
      <c r="EK193" s="484"/>
      <c r="EL193" s="484"/>
      <c r="EM193" s="484"/>
      <c r="EN193" s="484"/>
      <c r="EO193" s="1315">
        <v>106</v>
      </c>
      <c r="EP193" s="1316"/>
      <c r="EQ193" s="1316"/>
      <c r="ER193" s="1316"/>
      <c r="ES193" s="1316"/>
      <c r="ET193" s="1316"/>
      <c r="EU193" s="1316"/>
      <c r="EV193" s="1316"/>
      <c r="EW193" s="1316"/>
      <c r="EX193" s="1316"/>
      <c r="EY193" s="1316"/>
      <c r="EZ193" s="1316"/>
      <c r="FA193" s="1316"/>
      <c r="FB193" s="1316"/>
      <c r="FC193" s="1316"/>
      <c r="FD193" s="490"/>
      <c r="FE193" s="1315">
        <v>107</v>
      </c>
      <c r="FF193" s="429"/>
      <c r="FG193" s="429"/>
      <c r="FH193" s="429"/>
      <c r="FI193" s="429"/>
      <c r="FJ193" s="429"/>
      <c r="FK193" s="429"/>
      <c r="FL193" s="429"/>
      <c r="FM193" s="429"/>
      <c r="FN193" s="429"/>
      <c r="FO193" s="429"/>
      <c r="FP193" s="429"/>
      <c r="FQ193" s="429"/>
      <c r="FR193" s="429"/>
      <c r="FS193" s="429"/>
      <c r="FT193" s="490"/>
      <c r="FU193" s="440">
        <v>108</v>
      </c>
      <c r="FV193" s="440"/>
      <c r="FW193" s="440"/>
      <c r="FX193" s="440"/>
      <c r="FY193" s="440"/>
      <c r="FZ193" s="440"/>
      <c r="GA193" s="440"/>
      <c r="GB193" s="440"/>
      <c r="GC193" s="440"/>
      <c r="GD193" s="440"/>
      <c r="GE193" s="440"/>
      <c r="GF193" s="440"/>
      <c r="GG193" s="440"/>
      <c r="GH193" s="440"/>
      <c r="GI193" s="440"/>
      <c r="GJ193" s="440"/>
      <c r="GK193" s="483">
        <v>109</v>
      </c>
      <c r="GL193" s="484"/>
      <c r="GM193" s="484"/>
      <c r="GN193" s="484"/>
      <c r="GO193" s="484"/>
      <c r="GP193" s="484"/>
      <c r="GQ193" s="484"/>
      <c r="GR193" s="484"/>
      <c r="GS193" s="484"/>
      <c r="GT193" s="484"/>
      <c r="GU193" s="484"/>
      <c r="GV193" s="484"/>
      <c r="GW193" s="484"/>
      <c r="GX193" s="484"/>
      <c r="GY193" s="484"/>
      <c r="GZ193" s="696"/>
      <c r="HA193" s="483">
        <v>110</v>
      </c>
      <c r="HB193" s="484"/>
      <c r="HC193" s="484"/>
      <c r="HD193" s="484"/>
      <c r="HE193" s="484"/>
      <c r="HF193" s="484"/>
      <c r="HG193" s="484"/>
      <c r="HH193" s="484"/>
      <c r="HI193" s="484"/>
      <c r="HJ193" s="484"/>
      <c r="HK193" s="484"/>
      <c r="HL193" s="484"/>
      <c r="HM193" s="484"/>
      <c r="HN193" s="484"/>
      <c r="HO193" s="484"/>
      <c r="HP193" s="696"/>
      <c r="HQ193" s="483">
        <v>111</v>
      </c>
      <c r="HR193" s="484"/>
      <c r="HS193" s="484"/>
      <c r="HT193" s="484"/>
      <c r="HU193" s="484"/>
      <c r="HV193" s="484"/>
      <c r="HW193" s="484"/>
      <c r="HX193" s="484"/>
      <c r="HY193" s="484"/>
      <c r="HZ193" s="321"/>
      <c r="IA193" s="484"/>
      <c r="IB193" s="484"/>
      <c r="IC193" s="484"/>
      <c r="ID193" s="321"/>
      <c r="IE193" s="321"/>
      <c r="IF193" s="484"/>
      <c r="IG193" s="679">
        <v>112</v>
      </c>
      <c r="IH193" s="484"/>
      <c r="II193" s="484"/>
      <c r="IJ193" s="484"/>
      <c r="IK193" s="484"/>
      <c r="IL193" s="484"/>
      <c r="IM193" s="484"/>
      <c r="IN193" s="484"/>
      <c r="IO193" s="1243"/>
      <c r="IP193" s="484"/>
      <c r="IQ193" s="484"/>
      <c r="IR193" s="484"/>
      <c r="IS193" s="1241"/>
      <c r="IT193" s="484"/>
      <c r="IU193" s="484"/>
      <c r="IV193" s="696"/>
    </row>
    <row r="194" spans="1:256" s="326" customFormat="1" ht="8.25" customHeight="1">
      <c r="A194" s="483">
        <v>100</v>
      </c>
      <c r="C194" s="321"/>
      <c r="D194" s="321"/>
      <c r="E194" s="321"/>
      <c r="F194" s="321"/>
      <c r="G194" s="321"/>
      <c r="H194" s="321"/>
      <c r="I194" s="321"/>
      <c r="J194" s="321"/>
      <c r="K194" s="321"/>
      <c r="L194" s="321"/>
      <c r="M194" s="321"/>
      <c r="N194" s="321"/>
      <c r="O194" s="321"/>
      <c r="P194" s="564"/>
      <c r="Q194" s="483">
        <v>180</v>
      </c>
      <c r="R194" s="321"/>
      <c r="S194" s="321"/>
      <c r="T194" s="321"/>
      <c r="U194" s="321"/>
      <c r="V194" s="321"/>
      <c r="W194" s="321"/>
      <c r="X194" s="321"/>
      <c r="Y194" s="321"/>
      <c r="Z194" s="321"/>
      <c r="AA194" s="321"/>
      <c r="AB194" s="321"/>
      <c r="AC194" s="321"/>
      <c r="AD194" s="321"/>
      <c r="AE194" s="321"/>
      <c r="AF194" s="564"/>
      <c r="AG194" s="483">
        <v>80</v>
      </c>
      <c r="AH194" s="321"/>
      <c r="AI194" s="321"/>
      <c r="AJ194" s="321"/>
      <c r="AK194" s="321"/>
      <c r="AL194" s="321"/>
      <c r="AM194" s="321"/>
      <c r="AN194" s="321"/>
      <c r="AO194" s="321"/>
      <c r="AP194" s="321"/>
      <c r="AQ194" s="321"/>
      <c r="AR194" s="321"/>
      <c r="AS194" s="321"/>
      <c r="AT194" s="321"/>
      <c r="AU194" s="321"/>
      <c r="AV194" s="564"/>
      <c r="AW194" s="483">
        <v>80</v>
      </c>
      <c r="AX194" s="321"/>
      <c r="AY194" s="321"/>
      <c r="AZ194" s="321"/>
      <c r="BA194" s="321"/>
      <c r="BB194" s="321"/>
      <c r="BC194" s="321"/>
      <c r="BD194" s="321"/>
      <c r="BE194" s="321"/>
      <c r="BF194" s="321"/>
      <c r="BG194" s="321"/>
      <c r="BH194" s="321"/>
      <c r="BI194" s="321"/>
      <c r="BJ194" s="321"/>
      <c r="BK194" s="321"/>
      <c r="BL194" s="564"/>
      <c r="BM194" s="483">
        <v>100</v>
      </c>
      <c r="BN194" s="321"/>
      <c r="BO194" s="321"/>
      <c r="BP194" s="321"/>
      <c r="BQ194" s="321"/>
      <c r="BR194" s="321"/>
      <c r="BS194" s="321"/>
      <c r="BT194" s="321"/>
      <c r="BU194" s="321"/>
      <c r="BV194" s="321"/>
      <c r="BW194" s="321"/>
      <c r="BX194" s="321"/>
      <c r="BY194" s="321"/>
      <c r="BZ194" s="321"/>
      <c r="CA194" s="321"/>
      <c r="CB194" s="564"/>
      <c r="CC194" s="483">
        <v>90</v>
      </c>
      <c r="CD194" s="321"/>
      <c r="CE194" s="321"/>
      <c r="CF194" s="321"/>
      <c r="CG194" s="321"/>
      <c r="CH194" s="321"/>
      <c r="CI194" s="321"/>
      <c r="CJ194" s="321"/>
      <c r="CK194" s="321"/>
      <c r="CL194" s="321"/>
      <c r="CM194" s="321"/>
      <c r="CN194" s="321"/>
      <c r="CO194" s="321"/>
      <c r="CP194" s="321"/>
      <c r="CQ194" s="321"/>
      <c r="CR194" s="564"/>
      <c r="CS194" s="483">
        <v>120</v>
      </c>
      <c r="CU194" s="321"/>
      <c r="CV194" s="321"/>
      <c r="CW194" s="321"/>
      <c r="CX194" s="321"/>
      <c r="CY194" s="321"/>
      <c r="CZ194" s="321"/>
      <c r="DA194" s="321"/>
      <c r="DB194" s="321"/>
      <c r="DC194" s="321"/>
      <c r="DD194" s="321"/>
      <c r="DE194" s="321"/>
      <c r="DF194" s="321"/>
      <c r="DG194" s="321"/>
      <c r="DH194" s="564"/>
      <c r="DI194" s="483">
        <v>180</v>
      </c>
      <c r="DJ194" s="321"/>
      <c r="DK194" s="321"/>
      <c r="DL194" s="321"/>
      <c r="DM194" s="321"/>
      <c r="DN194" s="321"/>
      <c r="DO194" s="321"/>
      <c r="DP194" s="321"/>
      <c r="DQ194" s="321"/>
      <c r="DR194" s="321"/>
      <c r="DS194" s="321"/>
      <c r="DT194" s="321"/>
      <c r="DU194" s="321"/>
      <c r="DV194" s="321"/>
      <c r="DW194" s="321"/>
      <c r="DX194" s="564"/>
      <c r="DY194" s="483">
        <v>80</v>
      </c>
      <c r="DZ194" s="321"/>
      <c r="EA194" s="321"/>
      <c r="EB194" s="321"/>
      <c r="EC194" s="321"/>
      <c r="ED194" s="321"/>
      <c r="EE194" s="321"/>
      <c r="EF194" s="321"/>
      <c r="EG194" s="321"/>
      <c r="EH194" s="321"/>
      <c r="EI194" s="321"/>
      <c r="EJ194" s="321"/>
      <c r="EK194" s="321"/>
      <c r="EL194" s="321"/>
      <c r="EM194" s="321"/>
      <c r="EN194" s="321"/>
      <c r="EO194" s="429"/>
      <c r="EP194" s="415"/>
      <c r="EQ194" s="409"/>
      <c r="ER194" s="409"/>
      <c r="ES194" s="409"/>
      <c r="ET194" s="409"/>
      <c r="EU194" s="409"/>
      <c r="EV194" s="409"/>
      <c r="EW194" s="409"/>
      <c r="EX194" s="409"/>
      <c r="EY194" s="409"/>
      <c r="EZ194" s="409"/>
      <c r="FA194" s="409"/>
      <c r="FB194" s="409"/>
      <c r="FC194" s="415"/>
      <c r="FD194" s="420"/>
      <c r="FE194" s="429"/>
      <c r="FF194" s="409"/>
      <c r="FG194" s="420"/>
      <c r="FH194" s="420"/>
      <c r="FI194" s="420"/>
      <c r="FJ194" s="420"/>
      <c r="FK194" s="420"/>
      <c r="FL194" s="409"/>
      <c r="FM194" s="409"/>
      <c r="FN194" s="420"/>
      <c r="FO194" s="420"/>
      <c r="FP194" s="420"/>
      <c r="FQ194" s="420"/>
      <c r="FR194" s="420"/>
      <c r="FS194" s="409"/>
      <c r="FT194" s="420"/>
      <c r="FU194" s="433"/>
      <c r="FV194" s="433"/>
      <c r="FW194" s="433"/>
      <c r="FX194" s="433"/>
      <c r="FY194" s="433"/>
      <c r="FZ194" s="433"/>
      <c r="GA194" s="433"/>
      <c r="GB194" s="433"/>
      <c r="GC194" s="433"/>
      <c r="GD194" s="433"/>
      <c r="GE194" s="433"/>
      <c r="GF194" s="433"/>
      <c r="GG194" s="433"/>
      <c r="GH194" s="433"/>
      <c r="GI194" s="433"/>
      <c r="GJ194" s="433"/>
      <c r="GK194" s="483"/>
      <c r="GL194" s="321"/>
      <c r="GM194" s="321"/>
      <c r="GN194" s="321"/>
      <c r="GO194" s="321"/>
      <c r="GP194" s="321"/>
      <c r="GQ194" s="321"/>
      <c r="GR194" s="321"/>
      <c r="GS194" s="321"/>
      <c r="GT194" s="321"/>
      <c r="GU194" s="321"/>
      <c r="GV194" s="321"/>
      <c r="GW194" s="321"/>
      <c r="GX194" s="321"/>
      <c r="GY194" s="321"/>
      <c r="GZ194" s="564"/>
      <c r="HA194" s="483"/>
      <c r="HB194" s="321"/>
      <c r="HC194" s="321"/>
      <c r="HD194" s="321"/>
      <c r="HE194" s="321"/>
      <c r="HF194" s="321"/>
      <c r="HG194" s="321"/>
      <c r="HH194" s="321"/>
      <c r="HI194" s="321"/>
      <c r="HJ194" s="321"/>
      <c r="HK194" s="321"/>
      <c r="HL194" s="321"/>
      <c r="HM194" s="321"/>
      <c r="HN194" s="321"/>
      <c r="HO194" s="321"/>
      <c r="HP194" s="564"/>
      <c r="HQ194" s="483">
        <v>20</v>
      </c>
      <c r="HR194" s="321"/>
      <c r="HS194" s="321"/>
      <c r="HT194" s="321"/>
      <c r="HU194" s="321"/>
      <c r="HV194" s="321"/>
      <c r="HW194" s="321"/>
      <c r="HX194" s="321"/>
      <c r="HY194" s="321"/>
      <c r="HZ194" s="321"/>
      <c r="IA194" s="321"/>
      <c r="IB194" s="321"/>
      <c r="IC194" s="321"/>
      <c r="ID194" s="321"/>
      <c r="IE194" s="321"/>
      <c r="IF194" s="321"/>
      <c r="IG194" s="483">
        <v>25</v>
      </c>
      <c r="IH194" s="321"/>
      <c r="II194" s="321"/>
      <c r="IJ194" s="321"/>
      <c r="IK194" s="321"/>
      <c r="IL194" s="321"/>
      <c r="IM194" s="321"/>
      <c r="IN194" s="432"/>
      <c r="IO194" s="321"/>
      <c r="IP194" s="321"/>
      <c r="IQ194" s="321"/>
      <c r="IR194" s="321"/>
      <c r="IS194" s="432"/>
      <c r="IT194" s="321"/>
      <c r="IU194" s="321"/>
      <c r="IV194" s="564"/>
    </row>
    <row r="195" spans="1:256" s="326" customFormat="1" ht="8.25" customHeight="1">
      <c r="A195" s="483">
        <v>98</v>
      </c>
      <c r="C195" s="321"/>
      <c r="D195" s="321"/>
      <c r="E195" s="321"/>
      <c r="F195" s="321"/>
      <c r="G195" s="321"/>
      <c r="H195" s="321"/>
      <c r="I195" s="321"/>
      <c r="J195" s="321"/>
      <c r="K195" s="321"/>
      <c r="L195" s="321"/>
      <c r="M195" s="321"/>
      <c r="N195" s="321"/>
      <c r="O195" s="321"/>
      <c r="P195" s="564"/>
      <c r="Q195" s="483">
        <v>99</v>
      </c>
      <c r="R195" s="321"/>
      <c r="S195" s="321"/>
      <c r="T195" s="321"/>
      <c r="U195" s="321"/>
      <c r="V195" s="321"/>
      <c r="W195" s="321"/>
      <c r="X195" s="321"/>
      <c r="Y195" s="321"/>
      <c r="Z195" s="321"/>
      <c r="AA195" s="321"/>
      <c r="AB195" s="321"/>
      <c r="AC195" s="321"/>
      <c r="AD195" s="321"/>
      <c r="AE195" s="321"/>
      <c r="AF195" s="564"/>
      <c r="AG195" s="483">
        <v>-129</v>
      </c>
      <c r="AH195" s="321"/>
      <c r="AI195" s="321"/>
      <c r="AJ195" s="321"/>
      <c r="AK195" s="321"/>
      <c r="AL195" s="321"/>
      <c r="AM195" s="321"/>
      <c r="AN195" s="321"/>
      <c r="AO195" s="321"/>
      <c r="AP195" s="321"/>
      <c r="AQ195" s="321"/>
      <c r="AR195" s="321"/>
      <c r="AS195" s="321"/>
      <c r="AT195" s="321"/>
      <c r="AU195" s="321"/>
      <c r="AV195" s="564"/>
      <c r="AW195" s="483">
        <v>101</v>
      </c>
      <c r="AX195" s="321"/>
      <c r="AY195" s="321"/>
      <c r="AZ195" s="321"/>
      <c r="BA195" s="321"/>
      <c r="BB195" s="321"/>
      <c r="BC195" s="321"/>
      <c r="BD195" s="321"/>
      <c r="BE195" s="321"/>
      <c r="BF195" s="321"/>
      <c r="BG195" s="321"/>
      <c r="BH195" s="321"/>
      <c r="BI195" s="321"/>
      <c r="BJ195" s="321"/>
      <c r="BK195" s="321"/>
      <c r="BL195" s="564"/>
      <c r="BM195" s="483">
        <v>102</v>
      </c>
      <c r="BN195" s="321"/>
      <c r="BO195" s="321"/>
      <c r="BP195" s="321"/>
      <c r="BQ195" s="321"/>
      <c r="BR195" s="321"/>
      <c r="BS195" s="321"/>
      <c r="BT195" s="321"/>
      <c r="BU195" s="321"/>
      <c r="BV195" s="321"/>
      <c r="BW195" s="321"/>
      <c r="BX195" s="321"/>
      <c r="BY195" s="321"/>
      <c r="BZ195" s="321"/>
      <c r="CA195" s="321"/>
      <c r="CB195" s="564"/>
      <c r="CC195" s="483">
        <v>100</v>
      </c>
      <c r="CD195" s="321"/>
      <c r="CE195" s="321"/>
      <c r="CF195" s="321"/>
      <c r="CG195" s="321"/>
      <c r="CH195" s="321"/>
      <c r="CI195" s="321"/>
      <c r="CJ195" s="321"/>
      <c r="CK195" s="321"/>
      <c r="CL195" s="321"/>
      <c r="CM195" s="321"/>
      <c r="CN195" s="321"/>
      <c r="CO195" s="321"/>
      <c r="CP195" s="321"/>
      <c r="CQ195" s="321"/>
      <c r="CR195" s="564"/>
      <c r="CS195" s="483">
        <v>104</v>
      </c>
      <c r="CU195" s="321"/>
      <c r="CV195" s="321"/>
      <c r="CW195" s="321"/>
      <c r="CX195" s="321"/>
      <c r="CY195" s="321"/>
      <c r="CZ195" s="321"/>
      <c r="DA195" s="321"/>
      <c r="DB195" s="321"/>
      <c r="DC195" s="321"/>
      <c r="DD195" s="321"/>
      <c r="DE195" s="321"/>
      <c r="DF195" s="321"/>
      <c r="DG195" s="321"/>
      <c r="DH195" s="564"/>
      <c r="DI195" s="483">
        <v>105</v>
      </c>
      <c r="DJ195" s="321"/>
      <c r="DK195" s="321"/>
      <c r="DL195" s="321"/>
      <c r="DM195" s="321"/>
      <c r="DN195" s="321"/>
      <c r="DO195" s="321"/>
      <c r="DP195" s="321"/>
      <c r="DQ195" s="321"/>
      <c r="DR195" s="321"/>
      <c r="DS195" s="321"/>
      <c r="DT195" s="321"/>
      <c r="DU195" s="321"/>
      <c r="DV195" s="321"/>
      <c r="DW195" s="321"/>
      <c r="DX195" s="564"/>
      <c r="DY195" s="483">
        <v>-129</v>
      </c>
      <c r="DZ195" s="321"/>
      <c r="EA195" s="321"/>
      <c r="EB195" s="321"/>
      <c r="EC195" s="321"/>
      <c r="ED195" s="321"/>
      <c r="EE195" s="321"/>
      <c r="EF195" s="321"/>
      <c r="EG195" s="321"/>
      <c r="EH195" s="321"/>
      <c r="EI195" s="321"/>
      <c r="EJ195" s="321"/>
      <c r="EK195" s="321"/>
      <c r="EL195" s="321"/>
      <c r="EM195" s="321"/>
      <c r="EN195" s="321"/>
      <c r="EO195" s="429"/>
      <c r="EP195" s="409"/>
      <c r="EQ195" s="420"/>
      <c r="ER195" s="420"/>
      <c r="ES195" s="415"/>
      <c r="ET195" s="420"/>
      <c r="EU195" s="420"/>
      <c r="EV195" s="420"/>
      <c r="EW195" s="420"/>
      <c r="EX195" s="420"/>
      <c r="EY195" s="420"/>
      <c r="EZ195" s="415"/>
      <c r="FA195" s="420"/>
      <c r="FB195" s="420"/>
      <c r="FC195" s="409"/>
      <c r="FD195" s="420"/>
      <c r="FE195" s="429"/>
      <c r="FF195" s="409"/>
      <c r="FG195" s="409"/>
      <c r="FH195" s="409"/>
      <c r="FI195" s="409"/>
      <c r="FJ195" s="409"/>
      <c r="FK195" s="429"/>
      <c r="FL195" s="429"/>
      <c r="FM195" s="429"/>
      <c r="FN195" s="429"/>
      <c r="FO195" s="429"/>
      <c r="FP195" s="409"/>
      <c r="FQ195" s="409"/>
      <c r="FR195" s="409"/>
      <c r="FS195" s="409"/>
      <c r="FT195" s="420"/>
      <c r="FU195" s="422"/>
      <c r="FV195" s="415"/>
      <c r="FW195" s="415"/>
      <c r="FX195" s="415"/>
      <c r="FY195" s="415"/>
      <c r="FZ195" s="415"/>
      <c r="GA195" s="415"/>
      <c r="GB195" s="415"/>
      <c r="GC195" s="415"/>
      <c r="GD195" s="415"/>
      <c r="GE195" s="415"/>
      <c r="GF195" s="415"/>
      <c r="GG195" s="415"/>
      <c r="GH195" s="415"/>
      <c r="GI195" s="415"/>
      <c r="GJ195" s="422"/>
      <c r="GK195" s="483"/>
      <c r="GL195" s="321"/>
      <c r="GM195" s="321"/>
      <c r="GN195" s="321"/>
      <c r="GO195" s="321"/>
      <c r="GP195" s="321"/>
      <c r="GQ195" s="321"/>
      <c r="GR195" s="321"/>
      <c r="GS195" s="321"/>
      <c r="GT195" s="321"/>
      <c r="GU195" s="321"/>
      <c r="GV195" s="321"/>
      <c r="GW195" s="321"/>
      <c r="GX195" s="321"/>
      <c r="GY195" s="321"/>
      <c r="GZ195" s="564"/>
      <c r="HA195" s="483"/>
      <c r="HB195" s="321"/>
      <c r="HC195" s="321"/>
      <c r="HD195" s="321"/>
      <c r="HE195" s="321"/>
      <c r="HF195" s="321"/>
      <c r="HG195" s="321"/>
      <c r="HH195" s="321"/>
      <c r="HI195" s="321"/>
      <c r="HJ195" s="321"/>
      <c r="HK195" s="321"/>
      <c r="HL195" s="321"/>
      <c r="HM195" s="321"/>
      <c r="HN195" s="321"/>
      <c r="HO195" s="321"/>
      <c r="HP195" s="564"/>
      <c r="HQ195" s="483">
        <v>112</v>
      </c>
      <c r="HR195" s="321"/>
      <c r="HS195" s="321"/>
      <c r="HT195" s="321"/>
      <c r="HU195" s="321"/>
      <c r="HV195" s="321"/>
      <c r="HW195" s="321"/>
      <c r="HX195" s="321"/>
      <c r="HY195" s="321"/>
      <c r="HZ195" s="321"/>
      <c r="IA195" s="321"/>
      <c r="IB195" s="321"/>
      <c r="IC195" s="321"/>
      <c r="ID195" s="321"/>
      <c r="IE195" s="321"/>
      <c r="IF195" s="321"/>
      <c r="IG195" s="483">
        <v>-7</v>
      </c>
      <c r="IH195" s="321"/>
      <c r="II195" s="439"/>
      <c r="IJ195" s="321"/>
      <c r="IK195" s="321"/>
      <c r="IL195" s="321"/>
      <c r="IM195" s="432"/>
      <c r="IN195" s="439"/>
      <c r="IO195" s="321"/>
      <c r="IP195" s="432"/>
      <c r="IQ195" s="321"/>
      <c r="IR195" s="321"/>
      <c r="IS195" s="432"/>
      <c r="IT195" s="321"/>
      <c r="IU195" s="321"/>
      <c r="IV195" s="564"/>
    </row>
    <row r="196" spans="1:256" s="326" customFormat="1" ht="8.25" customHeight="1">
      <c r="A196" s="483">
        <v>60</v>
      </c>
      <c r="C196" s="321"/>
      <c r="D196" s="321"/>
      <c r="E196" s="321"/>
      <c r="F196" s="321"/>
      <c r="G196" s="321"/>
      <c r="H196" s="321"/>
      <c r="I196" s="321"/>
      <c r="J196" s="321"/>
      <c r="K196" s="321"/>
      <c r="L196" s="321"/>
      <c r="M196" s="321"/>
      <c r="N196" s="321"/>
      <c r="O196" s="321"/>
      <c r="P196" s="564"/>
      <c r="Q196" s="483">
        <v>60</v>
      </c>
      <c r="R196" s="321"/>
      <c r="S196" s="321"/>
      <c r="T196" s="321"/>
      <c r="U196" s="321"/>
      <c r="V196" s="321"/>
      <c r="W196" s="321"/>
      <c r="X196" s="321"/>
      <c r="Y196" s="321"/>
      <c r="Z196" s="321"/>
      <c r="AA196" s="321"/>
      <c r="AB196" s="321"/>
      <c r="AC196" s="321"/>
      <c r="AD196" s="321"/>
      <c r="AE196" s="321"/>
      <c r="AF196" s="564"/>
      <c r="AG196" s="483">
        <v>60</v>
      </c>
      <c r="AH196" s="321"/>
      <c r="AI196" s="321"/>
      <c r="AJ196" s="321"/>
      <c r="AK196" s="321"/>
      <c r="AL196" s="321"/>
      <c r="AM196" s="321"/>
      <c r="AN196" s="321"/>
      <c r="AO196" s="321"/>
      <c r="AP196" s="321"/>
      <c r="AQ196" s="321"/>
      <c r="AR196" s="321"/>
      <c r="AS196" s="321"/>
      <c r="AT196" s="321"/>
      <c r="AU196" s="321"/>
      <c r="AV196" s="564"/>
      <c r="AW196" s="483">
        <v>60</v>
      </c>
      <c r="AX196" s="321"/>
      <c r="AY196" s="321"/>
      <c r="AZ196" s="321"/>
      <c r="BA196" s="321"/>
      <c r="BB196" s="321"/>
      <c r="BC196" s="321"/>
      <c r="BD196" s="321"/>
      <c r="BE196" s="321"/>
      <c r="BF196" s="321"/>
      <c r="BG196" s="321"/>
      <c r="BH196" s="321"/>
      <c r="BI196" s="321"/>
      <c r="BJ196" s="321"/>
      <c r="BK196" s="321"/>
      <c r="BL196" s="564"/>
      <c r="BM196" s="483">
        <v>60</v>
      </c>
      <c r="BN196" s="321"/>
      <c r="BO196" s="321"/>
      <c r="BP196" s="321"/>
      <c r="BQ196" s="321"/>
      <c r="BR196" s="321"/>
      <c r="BS196" s="321"/>
      <c r="BT196" s="321"/>
      <c r="BU196" s="321"/>
      <c r="BV196" s="321"/>
      <c r="BW196" s="321"/>
      <c r="BX196" s="321"/>
      <c r="BY196" s="321"/>
      <c r="BZ196" s="321"/>
      <c r="CA196" s="321"/>
      <c r="CB196" s="564"/>
      <c r="CC196" s="483">
        <v>60</v>
      </c>
      <c r="CD196" s="321"/>
      <c r="CE196" s="321"/>
      <c r="CF196" s="321"/>
      <c r="CG196" s="321"/>
      <c r="CH196" s="321"/>
      <c r="CI196" s="321"/>
      <c r="CJ196" s="321"/>
      <c r="CK196" s="321"/>
      <c r="CL196" s="321"/>
      <c r="CM196" s="321"/>
      <c r="CN196" s="321"/>
      <c r="CO196" s="321"/>
      <c r="CP196" s="321"/>
      <c r="CQ196" s="321"/>
      <c r="CR196" s="564"/>
      <c r="CS196" s="483">
        <v>60</v>
      </c>
      <c r="CU196" s="321"/>
      <c r="CV196" s="321"/>
      <c r="CW196" s="321"/>
      <c r="CX196" s="321"/>
      <c r="CY196" s="321"/>
      <c r="CZ196" s="321"/>
      <c r="DA196" s="321"/>
      <c r="DB196" s="321"/>
      <c r="DC196" s="321"/>
      <c r="DD196" s="321"/>
      <c r="DE196" s="321"/>
      <c r="DF196" s="321"/>
      <c r="DG196" s="321"/>
      <c r="DH196" s="564"/>
      <c r="DI196" s="483">
        <v>60</v>
      </c>
      <c r="DJ196" s="321"/>
      <c r="DK196" s="321"/>
      <c r="DL196" s="321"/>
      <c r="DM196" s="321"/>
      <c r="DN196" s="321"/>
      <c r="DO196" s="321"/>
      <c r="DP196" s="321"/>
      <c r="DQ196" s="321"/>
      <c r="DR196" s="321"/>
      <c r="DS196" s="321"/>
      <c r="DT196" s="321"/>
      <c r="DU196" s="321"/>
      <c r="DV196" s="321"/>
      <c r="DW196" s="321"/>
      <c r="DX196" s="564"/>
      <c r="DY196" s="483">
        <v>60</v>
      </c>
      <c r="DZ196" s="321"/>
      <c r="EA196" s="321"/>
      <c r="EB196" s="321"/>
      <c r="EC196" s="321"/>
      <c r="ED196" s="321"/>
      <c r="EE196" s="321"/>
      <c r="EF196" s="321"/>
      <c r="EG196" s="321"/>
      <c r="EH196" s="321"/>
      <c r="EI196" s="321"/>
      <c r="EJ196" s="321"/>
      <c r="EK196" s="321"/>
      <c r="EL196" s="321"/>
      <c r="EM196" s="321"/>
      <c r="EN196" s="321"/>
      <c r="EO196" s="429"/>
      <c r="EP196" s="409"/>
      <c r="EQ196" s="420"/>
      <c r="ER196" s="429"/>
      <c r="ES196" s="429"/>
      <c r="ET196" s="415"/>
      <c r="EU196" s="429"/>
      <c r="EV196" s="429"/>
      <c r="EW196" s="429"/>
      <c r="EX196" s="409"/>
      <c r="EY196" s="415"/>
      <c r="EZ196" s="429"/>
      <c r="FA196" s="429"/>
      <c r="FB196" s="420"/>
      <c r="FC196" s="409"/>
      <c r="FD196" s="420"/>
      <c r="FE196" s="429"/>
      <c r="FF196" s="420"/>
      <c r="FG196" s="420"/>
      <c r="FH196" s="420"/>
      <c r="FI196" s="420"/>
      <c r="FJ196" s="420"/>
      <c r="FK196" s="420"/>
      <c r="FL196" s="420"/>
      <c r="FM196" s="420"/>
      <c r="FN196" s="420"/>
      <c r="FO196" s="420"/>
      <c r="FP196" s="420"/>
      <c r="FQ196" s="420"/>
      <c r="FR196" s="420"/>
      <c r="FS196" s="420"/>
      <c r="FT196" s="420"/>
      <c r="FU196" s="422"/>
      <c r="FV196" s="417"/>
      <c r="FW196" s="417"/>
      <c r="FX196" s="417"/>
      <c r="FY196" s="417"/>
      <c r="FZ196" s="417"/>
      <c r="GA196" s="417"/>
      <c r="GB196" s="417"/>
      <c r="GC196" s="417"/>
      <c r="GD196" s="417"/>
      <c r="GE196" s="417"/>
      <c r="GF196" s="417"/>
      <c r="GG196" s="417"/>
      <c r="GH196" s="417"/>
      <c r="GI196" s="417"/>
      <c r="GJ196" s="422"/>
      <c r="GK196" s="483"/>
      <c r="GL196" s="321"/>
      <c r="GM196" s="321"/>
      <c r="GN196" s="321"/>
      <c r="GO196" s="321"/>
      <c r="GP196" s="321"/>
      <c r="GQ196" s="321"/>
      <c r="GR196" s="321"/>
      <c r="GS196" s="321"/>
      <c r="GT196" s="321"/>
      <c r="GU196" s="321"/>
      <c r="GV196" s="321"/>
      <c r="GW196" s="321"/>
      <c r="GX196" s="321"/>
      <c r="GY196" s="321"/>
      <c r="GZ196" s="564"/>
      <c r="HA196" s="483"/>
      <c r="HB196" s="321"/>
      <c r="HC196" s="321"/>
      <c r="HD196" s="321"/>
      <c r="HE196" s="321"/>
      <c r="HF196" s="321"/>
      <c r="HG196" s="321"/>
      <c r="HH196" s="321"/>
      <c r="HI196" s="321"/>
      <c r="HJ196" s="321"/>
      <c r="HK196" s="321"/>
      <c r="HL196" s="321"/>
      <c r="HM196" s="321"/>
      <c r="HN196" s="321"/>
      <c r="HO196" s="321"/>
      <c r="HP196" s="564"/>
      <c r="HQ196" s="483">
        <v>120</v>
      </c>
      <c r="HR196" s="321"/>
      <c r="HS196" s="321"/>
      <c r="HT196" s="321"/>
      <c r="HU196" s="321"/>
      <c r="HV196" s="321"/>
      <c r="HW196" s="321"/>
      <c r="HX196" s="321"/>
      <c r="HY196" s="432"/>
      <c r="HZ196" s="321"/>
      <c r="IA196" s="321"/>
      <c r="IB196" s="321"/>
      <c r="IC196" s="321"/>
      <c r="ID196" s="321"/>
      <c r="IE196" s="321"/>
      <c r="IF196" s="321"/>
      <c r="IG196" s="483">
        <v>120</v>
      </c>
      <c r="IH196" s="321"/>
      <c r="II196" s="432"/>
      <c r="IJ196" s="321"/>
      <c r="IK196" s="321"/>
      <c r="IL196" s="432"/>
      <c r="IM196" s="417"/>
      <c r="IN196" s="321"/>
      <c r="IO196" s="321"/>
      <c r="IP196" s="321"/>
      <c r="IQ196" s="432"/>
      <c r="IR196" s="321"/>
      <c r="IS196" s="439"/>
      <c r="IT196" s="321"/>
      <c r="IU196" s="432"/>
      <c r="IV196" s="564"/>
    </row>
    <row r="197" spans="1:256" s="326" customFormat="1" ht="8.25" customHeight="1">
      <c r="A197" s="483"/>
      <c r="C197" s="321"/>
      <c r="D197" s="321"/>
      <c r="E197" s="321"/>
      <c r="F197" s="321"/>
      <c r="G197" s="321"/>
      <c r="H197" s="321"/>
      <c r="I197" s="321"/>
      <c r="J197" s="321"/>
      <c r="K197" s="321"/>
      <c r="L197" s="321"/>
      <c r="M197" s="321"/>
      <c r="N197" s="321"/>
      <c r="O197" s="321"/>
      <c r="P197" s="564"/>
      <c r="Q197" s="483"/>
      <c r="R197" s="321"/>
      <c r="S197" s="321"/>
      <c r="T197" s="321"/>
      <c r="U197" s="321"/>
      <c r="V197" s="321"/>
      <c r="W197" s="321"/>
      <c r="X197" s="321"/>
      <c r="Y197" s="321"/>
      <c r="Z197" s="321"/>
      <c r="AA197" s="321"/>
      <c r="AB197" s="321"/>
      <c r="AC197" s="321"/>
      <c r="AD197" s="321"/>
      <c r="AE197" s="321"/>
      <c r="AF197" s="564"/>
      <c r="AG197" s="483"/>
      <c r="AH197" s="321"/>
      <c r="AI197" s="321"/>
      <c r="AJ197" s="321"/>
      <c r="AK197" s="321"/>
      <c r="AL197" s="321"/>
      <c r="AM197" s="321"/>
      <c r="AN197" s="321"/>
      <c r="AO197" s="321"/>
      <c r="AP197" s="321"/>
      <c r="AQ197" s="321"/>
      <c r="AR197" s="321"/>
      <c r="AS197" s="321"/>
      <c r="AT197" s="321"/>
      <c r="AU197" s="321"/>
      <c r="AV197" s="564"/>
      <c r="AW197" s="483"/>
      <c r="AX197" s="321"/>
      <c r="AY197" s="321"/>
      <c r="AZ197" s="321"/>
      <c r="BA197" s="321"/>
      <c r="BB197" s="321"/>
      <c r="BC197" s="321"/>
      <c r="BD197" s="321"/>
      <c r="BE197" s="321"/>
      <c r="BF197" s="321"/>
      <c r="BG197" s="321"/>
      <c r="BH197" s="321"/>
      <c r="BI197" s="321"/>
      <c r="BJ197" s="321"/>
      <c r="BK197" s="321"/>
      <c r="BL197" s="564"/>
      <c r="BM197" s="483"/>
      <c r="BN197" s="321"/>
      <c r="BO197" s="321"/>
      <c r="BP197" s="321"/>
      <c r="BQ197" s="321"/>
      <c r="BR197" s="321"/>
      <c r="BS197" s="321"/>
      <c r="BT197" s="321"/>
      <c r="BU197" s="321"/>
      <c r="BV197" s="321"/>
      <c r="BW197" s="321"/>
      <c r="BX197" s="321"/>
      <c r="BY197" s="321"/>
      <c r="BZ197" s="321"/>
      <c r="CA197" s="321"/>
      <c r="CB197" s="564"/>
      <c r="CC197" s="483"/>
      <c r="CD197" s="321"/>
      <c r="CE197" s="321"/>
      <c r="CF197" s="321"/>
      <c r="CG197" s="321"/>
      <c r="CH197" s="321"/>
      <c r="CI197" s="321"/>
      <c r="CJ197" s="321"/>
      <c r="CK197" s="321"/>
      <c r="CL197" s="321"/>
      <c r="CM197" s="321"/>
      <c r="CN197" s="321"/>
      <c r="CO197" s="321"/>
      <c r="CP197" s="321"/>
      <c r="CQ197" s="321"/>
      <c r="CR197" s="564"/>
      <c r="CS197" s="483"/>
      <c r="CU197" s="321"/>
      <c r="CV197" s="321"/>
      <c r="CW197" s="321"/>
      <c r="CX197" s="321"/>
      <c r="CY197" s="321"/>
      <c r="CZ197" s="321"/>
      <c r="DA197" s="321"/>
      <c r="DB197" s="321"/>
      <c r="DC197" s="321"/>
      <c r="DD197" s="321"/>
      <c r="DE197" s="321"/>
      <c r="DF197" s="321"/>
      <c r="DG197" s="321"/>
      <c r="DH197" s="564"/>
      <c r="DI197" s="483"/>
      <c r="DJ197" s="321"/>
      <c r="DK197" s="321"/>
      <c r="DL197" s="321"/>
      <c r="DM197" s="321"/>
      <c r="DN197" s="321"/>
      <c r="DO197" s="321"/>
      <c r="DP197" s="321"/>
      <c r="DQ197" s="321"/>
      <c r="DR197" s="321"/>
      <c r="DS197" s="321"/>
      <c r="DT197" s="321"/>
      <c r="DU197" s="321"/>
      <c r="DV197" s="321"/>
      <c r="DW197" s="321"/>
      <c r="DX197" s="564"/>
      <c r="DY197" s="483"/>
      <c r="DZ197" s="321"/>
      <c r="EA197" s="321"/>
      <c r="EB197" s="321"/>
      <c r="EC197" s="321"/>
      <c r="ED197" s="321"/>
      <c r="EE197" s="321"/>
      <c r="EF197" s="321"/>
      <c r="EG197" s="321"/>
      <c r="EH197" s="321"/>
      <c r="EI197" s="321"/>
      <c r="EJ197" s="321"/>
      <c r="EK197" s="321"/>
      <c r="EL197" s="321"/>
      <c r="EM197" s="321"/>
      <c r="EN197" s="321"/>
      <c r="EO197" s="429"/>
      <c r="EP197" s="409"/>
      <c r="EQ197" s="415"/>
      <c r="ER197" s="409"/>
      <c r="ES197" s="409"/>
      <c r="ET197" s="409"/>
      <c r="EU197" s="415"/>
      <c r="EV197" s="420"/>
      <c r="EW197" s="420"/>
      <c r="EX197" s="415"/>
      <c r="EY197" s="429"/>
      <c r="EZ197" s="409"/>
      <c r="FA197" s="409"/>
      <c r="FB197" s="415"/>
      <c r="FC197" s="409"/>
      <c r="FD197" s="420"/>
      <c r="FE197" s="429"/>
      <c r="FF197" s="433"/>
      <c r="FG197" s="433"/>
      <c r="FH197" s="433"/>
      <c r="FI197" s="433"/>
      <c r="FJ197" s="409"/>
      <c r="FK197" s="433"/>
      <c r="FL197" s="409"/>
      <c r="FM197" s="409"/>
      <c r="FN197" s="433"/>
      <c r="FO197" s="409"/>
      <c r="FP197" s="433"/>
      <c r="FQ197" s="433"/>
      <c r="FR197" s="433"/>
      <c r="FS197" s="433"/>
      <c r="FT197" s="420"/>
      <c r="FU197" s="422"/>
      <c r="FV197" s="433"/>
      <c r="FW197" s="426"/>
      <c r="FX197" s="417"/>
      <c r="FY197" s="433"/>
      <c r="FZ197" s="426"/>
      <c r="GA197" s="417"/>
      <c r="GB197" s="433"/>
      <c r="GC197" s="426"/>
      <c r="GD197" s="417"/>
      <c r="GE197" s="433"/>
      <c r="GF197" s="426"/>
      <c r="GG197" s="417"/>
      <c r="GH197" s="433"/>
      <c r="GI197" s="426"/>
      <c r="GJ197" s="422"/>
      <c r="GK197" s="483">
        <v>380</v>
      </c>
      <c r="GL197" s="321"/>
      <c r="GM197" s="321"/>
      <c r="GN197" s="321"/>
      <c r="GO197" s="321"/>
      <c r="GP197" s="321"/>
      <c r="GQ197" s="321"/>
      <c r="GR197" s="321"/>
      <c r="GS197" s="321"/>
      <c r="GT197" s="321"/>
      <c r="GU197" s="321"/>
      <c r="GV197" s="321"/>
      <c r="GW197" s="321"/>
      <c r="GX197" s="321"/>
      <c r="GY197" s="321"/>
      <c r="GZ197" s="564"/>
      <c r="HA197" s="483">
        <v>200</v>
      </c>
      <c r="HB197" s="321"/>
      <c r="HC197" s="321"/>
      <c r="HD197" s="321"/>
      <c r="HE197" s="321"/>
      <c r="HF197" s="321"/>
      <c r="HG197" s="321"/>
      <c r="HH197" s="321"/>
      <c r="HI197" s="321"/>
      <c r="HJ197" s="321"/>
      <c r="HK197" s="321"/>
      <c r="HL197" s="321"/>
      <c r="HM197" s="321"/>
      <c r="HN197" s="321"/>
      <c r="HO197" s="321"/>
      <c r="HP197" s="564"/>
      <c r="HQ197" s="483"/>
      <c r="HR197" s="321"/>
      <c r="HS197" s="321"/>
      <c r="HT197" s="321"/>
      <c r="HU197" s="321"/>
      <c r="HV197" s="321"/>
      <c r="HW197" s="321"/>
      <c r="HX197" s="321"/>
      <c r="HY197" s="432"/>
      <c r="HZ197" s="321"/>
      <c r="IA197" s="321"/>
      <c r="IB197" s="321"/>
      <c r="IC197" s="439"/>
      <c r="ID197" s="321"/>
      <c r="IE197" s="321"/>
      <c r="IF197" s="321"/>
      <c r="IG197" s="483"/>
      <c r="IH197" s="321"/>
      <c r="II197" s="321"/>
      <c r="IJ197" s="432"/>
      <c r="IK197" s="321"/>
      <c r="IL197" s="439"/>
      <c r="IM197" s="321"/>
      <c r="IN197" s="321"/>
      <c r="IO197" s="321"/>
      <c r="IP197" s="439"/>
      <c r="IQ197" s="321"/>
      <c r="IR197" s="321"/>
      <c r="IS197" s="321"/>
      <c r="IT197" s="439"/>
      <c r="IU197" s="321"/>
      <c r="IV197" s="429"/>
    </row>
    <row r="198" spans="1:256" s="326" customFormat="1" ht="8.25" customHeight="1">
      <c r="A198" s="483"/>
      <c r="C198" s="321"/>
      <c r="D198" s="321"/>
      <c r="E198" s="321"/>
      <c r="F198" s="321"/>
      <c r="G198" s="321"/>
      <c r="H198" s="321"/>
      <c r="I198" s="321"/>
      <c r="J198" s="321"/>
      <c r="K198" s="321"/>
      <c r="L198" s="321"/>
      <c r="M198" s="321"/>
      <c r="N198" s="321"/>
      <c r="O198" s="321"/>
      <c r="P198" s="564"/>
      <c r="Q198" s="483"/>
      <c r="R198" s="321"/>
      <c r="S198" s="321"/>
      <c r="T198" s="321"/>
      <c r="U198" s="321"/>
      <c r="V198" s="321"/>
      <c r="W198" s="321"/>
      <c r="X198" s="321"/>
      <c r="Y198" s="321"/>
      <c r="Z198" s="321"/>
      <c r="AA198" s="321"/>
      <c r="AB198" s="321"/>
      <c r="AC198" s="321"/>
      <c r="AD198" s="321"/>
      <c r="AE198" s="321"/>
      <c r="AF198" s="564"/>
      <c r="AG198" s="483"/>
      <c r="AH198" s="321"/>
      <c r="AI198" s="321"/>
      <c r="AJ198" s="321"/>
      <c r="AK198" s="321"/>
      <c r="AL198" s="321"/>
      <c r="AM198" s="321"/>
      <c r="AN198" s="321"/>
      <c r="AO198" s="321"/>
      <c r="AP198" s="321"/>
      <c r="AQ198" s="321"/>
      <c r="AR198" s="321"/>
      <c r="AS198" s="321"/>
      <c r="AT198" s="321"/>
      <c r="AU198" s="321"/>
      <c r="AV198" s="564"/>
      <c r="AW198" s="483">
        <v>103</v>
      </c>
      <c r="AX198" s="321"/>
      <c r="AY198" s="321"/>
      <c r="AZ198" s="321"/>
      <c r="BA198" s="321"/>
      <c r="BB198" s="321"/>
      <c r="BC198" s="321"/>
      <c r="BD198" s="321"/>
      <c r="BE198" s="321"/>
      <c r="BF198" s="321"/>
      <c r="BG198" s="321"/>
      <c r="BH198" s="321"/>
      <c r="BI198" s="321"/>
      <c r="BJ198" s="321"/>
      <c r="BK198" s="321"/>
      <c r="BL198" s="564"/>
      <c r="BM198" s="483">
        <v>103</v>
      </c>
      <c r="BN198" s="321"/>
      <c r="BO198" s="321"/>
      <c r="BP198" s="321"/>
      <c r="BQ198" s="321"/>
      <c r="BR198" s="321"/>
      <c r="BS198" s="321"/>
      <c r="BT198" s="321"/>
      <c r="BU198" s="321"/>
      <c r="BV198" s="321"/>
      <c r="BW198" s="321"/>
      <c r="BX198" s="321"/>
      <c r="BY198" s="321"/>
      <c r="BZ198" s="321"/>
      <c r="CA198" s="321"/>
      <c r="CB198" s="564"/>
      <c r="CC198" s="483">
        <v>103</v>
      </c>
      <c r="CD198" s="321"/>
      <c r="CE198" s="321"/>
      <c r="CF198" s="321"/>
      <c r="CG198" s="321"/>
      <c r="CH198" s="321"/>
      <c r="CI198" s="321"/>
      <c r="CJ198" s="321"/>
      <c r="CK198" s="321"/>
      <c r="CL198" s="321"/>
      <c r="CM198" s="321"/>
      <c r="CN198" s="321"/>
      <c r="CO198" s="321"/>
      <c r="CP198" s="321"/>
      <c r="CQ198" s="321"/>
      <c r="CR198" s="564"/>
      <c r="CS198" s="483"/>
      <c r="CU198" s="321"/>
      <c r="CV198" s="321"/>
      <c r="CW198" s="321"/>
      <c r="CX198" s="321"/>
      <c r="CY198" s="321"/>
      <c r="CZ198" s="321"/>
      <c r="DA198" s="321"/>
      <c r="DB198" s="321"/>
      <c r="DC198" s="321"/>
      <c r="DD198" s="321"/>
      <c r="DE198" s="321"/>
      <c r="DF198" s="321"/>
      <c r="DG198" s="321"/>
      <c r="DH198" s="564"/>
      <c r="DI198" s="483"/>
      <c r="DJ198" s="321"/>
      <c r="DK198" s="321"/>
      <c r="DL198" s="321"/>
      <c r="DM198" s="321"/>
      <c r="DN198" s="321"/>
      <c r="DO198" s="321"/>
      <c r="DP198" s="321"/>
      <c r="DQ198" s="321"/>
      <c r="DR198" s="321"/>
      <c r="DS198" s="321"/>
      <c r="DT198" s="321"/>
      <c r="DU198" s="321"/>
      <c r="DV198" s="321"/>
      <c r="DW198" s="321"/>
      <c r="DX198" s="564"/>
      <c r="DY198" s="483"/>
      <c r="DZ198" s="321"/>
      <c r="EA198" s="321"/>
      <c r="EB198" s="321"/>
      <c r="EC198" s="321"/>
      <c r="ED198" s="321"/>
      <c r="EE198" s="321"/>
      <c r="EF198" s="321"/>
      <c r="EG198" s="321"/>
      <c r="EH198" s="321"/>
      <c r="EI198" s="321"/>
      <c r="EJ198" s="321"/>
      <c r="EK198" s="321"/>
      <c r="EL198" s="321"/>
      <c r="EM198" s="321"/>
      <c r="EN198" s="321"/>
      <c r="EO198" s="429"/>
      <c r="EP198" s="409"/>
      <c r="EQ198" s="420"/>
      <c r="ER198" s="415"/>
      <c r="ES198" s="409"/>
      <c r="ET198" s="409"/>
      <c r="EU198" s="409"/>
      <c r="EV198" s="415"/>
      <c r="EW198" s="415"/>
      <c r="EX198" s="429"/>
      <c r="EY198" s="409"/>
      <c r="EZ198" s="409"/>
      <c r="FA198" s="415"/>
      <c r="FB198" s="420"/>
      <c r="FC198" s="409"/>
      <c r="FD198" s="420"/>
      <c r="FE198" s="429"/>
      <c r="FF198" s="453"/>
      <c r="FG198" s="446"/>
      <c r="FH198" s="440"/>
      <c r="FI198" s="446"/>
      <c r="FJ198" s="409"/>
      <c r="FK198" s="453"/>
      <c r="FL198" s="409"/>
      <c r="FM198" s="409"/>
      <c r="FN198" s="446"/>
      <c r="FO198" s="409"/>
      <c r="FP198" s="453"/>
      <c r="FQ198" s="446"/>
      <c r="FR198" s="440"/>
      <c r="FS198" s="446"/>
      <c r="FT198" s="420"/>
      <c r="FU198" s="422"/>
      <c r="FV198" s="433"/>
      <c r="FW198" s="426"/>
      <c r="FX198" s="417"/>
      <c r="FY198" s="433"/>
      <c r="FZ198" s="426"/>
      <c r="GA198" s="417"/>
      <c r="GB198" s="433"/>
      <c r="GC198" s="426"/>
      <c r="GD198" s="417"/>
      <c r="GE198" s="433"/>
      <c r="GF198" s="426"/>
      <c r="GG198" s="417"/>
      <c r="GH198" s="433"/>
      <c r="GI198" s="426"/>
      <c r="GJ198" s="422"/>
      <c r="GK198" s="483">
        <v>110</v>
      </c>
      <c r="GL198" s="321"/>
      <c r="GM198" s="321"/>
      <c r="GN198" s="321"/>
      <c r="GO198" s="321"/>
      <c r="GP198" s="321"/>
      <c r="GQ198" s="321"/>
      <c r="GR198" s="321"/>
      <c r="GS198" s="321"/>
      <c r="GT198" s="321"/>
      <c r="GU198" s="321"/>
      <c r="GV198" s="321"/>
      <c r="GW198" s="321"/>
      <c r="GX198" s="321"/>
      <c r="GY198" s="321"/>
      <c r="GZ198" s="564"/>
      <c r="HA198" s="483">
        <v>111</v>
      </c>
      <c r="HB198" s="321"/>
      <c r="HC198" s="321"/>
      <c r="HD198" s="321"/>
      <c r="HE198" s="321"/>
      <c r="HF198" s="321"/>
      <c r="HG198" s="321"/>
      <c r="HH198" s="321"/>
      <c r="HI198" s="321"/>
      <c r="HJ198" s="321"/>
      <c r="HK198" s="321"/>
      <c r="HL198" s="321"/>
      <c r="HM198" s="321"/>
      <c r="HN198" s="321"/>
      <c r="HO198" s="321"/>
      <c r="HP198" s="564"/>
      <c r="HQ198" s="321"/>
      <c r="HR198" s="321"/>
      <c r="HS198" s="321"/>
      <c r="HT198" s="321"/>
      <c r="HU198" s="321"/>
      <c r="HV198" s="321"/>
      <c r="HW198" s="321"/>
      <c r="HX198" s="432"/>
      <c r="HY198" s="321"/>
      <c r="HZ198" s="321"/>
      <c r="IA198" s="321"/>
      <c r="IB198" s="321"/>
      <c r="IC198" s="432"/>
      <c r="ID198" s="321"/>
      <c r="IE198" s="321"/>
      <c r="IF198" s="321"/>
      <c r="IG198" s="1242">
        <v>75</v>
      </c>
      <c r="IH198" s="321"/>
      <c r="II198" s="321"/>
      <c r="IJ198" s="321"/>
      <c r="IK198" s="432"/>
      <c r="IL198" s="321"/>
      <c r="IM198" s="321"/>
      <c r="IN198" s="321"/>
      <c r="IO198" s="321"/>
      <c r="IP198" s="432"/>
      <c r="IQ198" s="321"/>
      <c r="IR198" s="321"/>
      <c r="IS198" s="321"/>
      <c r="IT198" s="432"/>
      <c r="IU198" s="321"/>
      <c r="IV198" s="564"/>
    </row>
    <row r="199" spans="1:256" s="326" customFormat="1" ht="8.25" customHeight="1">
      <c r="A199" s="483"/>
      <c r="C199" s="321"/>
      <c r="D199" s="321"/>
      <c r="E199" s="321"/>
      <c r="F199" s="321"/>
      <c r="G199" s="321"/>
      <c r="H199" s="321"/>
      <c r="I199" s="321"/>
      <c r="J199" s="321"/>
      <c r="K199" s="321"/>
      <c r="L199" s="321"/>
      <c r="M199" s="321"/>
      <c r="N199" s="321"/>
      <c r="O199" s="321"/>
      <c r="P199" s="564"/>
      <c r="Q199" s="483"/>
      <c r="R199" s="321"/>
      <c r="S199" s="321"/>
      <c r="T199" s="321"/>
      <c r="U199" s="321"/>
      <c r="V199" s="321"/>
      <c r="W199" s="321"/>
      <c r="X199" s="321"/>
      <c r="Y199" s="321"/>
      <c r="Z199" s="321"/>
      <c r="AA199" s="321"/>
      <c r="AB199" s="321"/>
      <c r="AC199" s="321"/>
      <c r="AD199" s="321"/>
      <c r="AE199" s="321"/>
      <c r="AF199" s="564"/>
      <c r="AG199" s="483"/>
      <c r="AH199" s="321"/>
      <c r="AI199" s="321"/>
      <c r="AJ199" s="321"/>
      <c r="AK199" s="321"/>
      <c r="AL199" s="321"/>
      <c r="AM199" s="321"/>
      <c r="AN199" s="321"/>
      <c r="AO199" s="321"/>
      <c r="AP199" s="321"/>
      <c r="AQ199" s="321"/>
      <c r="AR199" s="321"/>
      <c r="AS199" s="321"/>
      <c r="AT199" s="321"/>
      <c r="AU199" s="321"/>
      <c r="AV199" s="564"/>
      <c r="AW199" s="483"/>
      <c r="AX199" s="321"/>
      <c r="AY199" s="321"/>
      <c r="AZ199" s="321"/>
      <c r="BA199" s="321"/>
      <c r="BB199" s="321"/>
      <c r="BC199" s="321"/>
      <c r="BD199" s="321"/>
      <c r="BE199" s="321"/>
      <c r="BF199" s="321"/>
      <c r="BG199" s="321"/>
      <c r="BH199" s="321"/>
      <c r="BI199" s="321"/>
      <c r="BJ199" s="321"/>
      <c r="BK199" s="321"/>
      <c r="BL199" s="564"/>
      <c r="BM199" s="483"/>
      <c r="BN199" s="321"/>
      <c r="BO199" s="321"/>
      <c r="BP199" s="321"/>
      <c r="BQ199" s="321"/>
      <c r="BR199" s="321"/>
      <c r="BS199" s="321"/>
      <c r="BT199" s="321"/>
      <c r="BU199" s="321"/>
      <c r="BV199" s="321"/>
      <c r="BW199" s="321"/>
      <c r="BX199" s="321"/>
      <c r="BY199" s="321"/>
      <c r="BZ199" s="321"/>
      <c r="CA199" s="321"/>
      <c r="CB199" s="564"/>
      <c r="CC199" s="483"/>
      <c r="CD199" s="321"/>
      <c r="CE199" s="321"/>
      <c r="CF199" s="321"/>
      <c r="CG199" s="321"/>
      <c r="CH199" s="321"/>
      <c r="CI199" s="321"/>
      <c r="CJ199" s="321"/>
      <c r="CK199" s="321"/>
      <c r="CL199" s="321"/>
      <c r="CM199" s="321"/>
      <c r="CN199" s="321"/>
      <c r="CO199" s="321"/>
      <c r="CP199" s="321"/>
      <c r="CQ199" s="321"/>
      <c r="CR199" s="564"/>
      <c r="CS199" s="483"/>
      <c r="CU199" s="321"/>
      <c r="CV199" s="321"/>
      <c r="CW199" s="321"/>
      <c r="CX199" s="321"/>
      <c r="CY199" s="321"/>
      <c r="CZ199" s="321"/>
      <c r="DA199" s="321"/>
      <c r="DB199" s="321"/>
      <c r="DC199" s="321"/>
      <c r="DD199" s="321"/>
      <c r="DE199" s="321"/>
      <c r="DF199" s="321"/>
      <c r="DG199" s="321"/>
      <c r="DH199" s="564"/>
      <c r="DI199" s="483"/>
      <c r="DJ199" s="321"/>
      <c r="DK199" s="321"/>
      <c r="DL199" s="321"/>
      <c r="DM199" s="321"/>
      <c r="DN199" s="321"/>
      <c r="DO199" s="321"/>
      <c r="DP199" s="321"/>
      <c r="DQ199" s="321"/>
      <c r="DR199" s="321"/>
      <c r="DS199" s="321"/>
      <c r="DT199" s="321"/>
      <c r="DU199" s="321"/>
      <c r="DV199" s="321"/>
      <c r="DW199" s="321"/>
      <c r="DX199" s="564"/>
      <c r="DY199" s="483"/>
      <c r="DZ199" s="321"/>
      <c r="EA199" s="321"/>
      <c r="EB199" s="321"/>
      <c r="EC199" s="321"/>
      <c r="ED199" s="321"/>
      <c r="EE199" s="321"/>
      <c r="EF199" s="321"/>
      <c r="EG199" s="321"/>
      <c r="EH199" s="321"/>
      <c r="EI199" s="321"/>
      <c r="EJ199" s="321"/>
      <c r="EK199" s="321"/>
      <c r="EL199" s="321"/>
      <c r="EM199" s="321"/>
      <c r="EN199" s="321"/>
      <c r="EO199" s="429"/>
      <c r="EP199" s="409"/>
      <c r="EQ199" s="420"/>
      <c r="ER199" s="429"/>
      <c r="ES199" s="415"/>
      <c r="ET199" s="409"/>
      <c r="EU199" s="409"/>
      <c r="EV199" s="420"/>
      <c r="EW199" s="429"/>
      <c r="EX199" s="409"/>
      <c r="EY199" s="409"/>
      <c r="EZ199" s="415"/>
      <c r="FA199" s="429"/>
      <c r="FB199" s="420"/>
      <c r="FC199" s="409"/>
      <c r="FD199" s="420"/>
      <c r="FE199" s="429"/>
      <c r="FF199" s="420"/>
      <c r="FG199" s="440"/>
      <c r="FH199" s="426"/>
      <c r="FI199" s="420"/>
      <c r="FJ199" s="420"/>
      <c r="FK199" s="446"/>
      <c r="FL199" s="446"/>
      <c r="FM199" s="420"/>
      <c r="FN199" s="446"/>
      <c r="FO199" s="420"/>
      <c r="FP199" s="420"/>
      <c r="FQ199" s="440"/>
      <c r="FR199" s="426"/>
      <c r="FS199" s="420"/>
      <c r="FT199" s="420"/>
      <c r="FU199" s="422"/>
      <c r="FV199" s="433"/>
      <c r="FW199" s="426"/>
      <c r="FX199" s="417"/>
      <c r="FY199" s="433"/>
      <c r="FZ199" s="426"/>
      <c r="GA199" s="417"/>
      <c r="GB199" s="433"/>
      <c r="GC199" s="426"/>
      <c r="GD199" s="417"/>
      <c r="GE199" s="433"/>
      <c r="GF199" s="426"/>
      <c r="GG199" s="417"/>
      <c r="GH199" s="433"/>
      <c r="GI199" s="426"/>
      <c r="GJ199" s="422"/>
      <c r="GK199" s="483"/>
      <c r="GL199" s="321"/>
      <c r="GM199" s="321"/>
      <c r="GN199" s="321"/>
      <c r="GO199" s="321"/>
      <c r="GP199" s="321"/>
      <c r="GQ199" s="321"/>
      <c r="GR199" s="321"/>
      <c r="GS199" s="321"/>
      <c r="GT199" s="321"/>
      <c r="GU199" s="321"/>
      <c r="GV199" s="321"/>
      <c r="GW199" s="321"/>
      <c r="GX199" s="321"/>
      <c r="GY199" s="321"/>
      <c r="GZ199" s="321"/>
      <c r="HA199" s="483"/>
      <c r="HB199" s="321"/>
      <c r="HC199" s="321"/>
      <c r="HD199" s="321"/>
      <c r="HE199" s="321"/>
      <c r="HF199" s="321"/>
      <c r="HG199" s="321"/>
      <c r="HH199" s="321"/>
      <c r="HI199" s="321"/>
      <c r="HJ199" s="321"/>
      <c r="HK199" s="321"/>
      <c r="HL199" s="321"/>
      <c r="HM199" s="321"/>
      <c r="HN199" s="321"/>
      <c r="HO199" s="321"/>
      <c r="HP199" s="564"/>
      <c r="HQ199" s="321"/>
      <c r="HR199" s="321"/>
      <c r="HS199" s="439"/>
      <c r="HT199" s="321"/>
      <c r="HU199" s="321"/>
      <c r="HV199" s="321"/>
      <c r="HW199" s="432"/>
      <c r="HX199" s="439"/>
      <c r="HY199" s="321"/>
      <c r="HZ199" s="432"/>
      <c r="IA199" s="321"/>
      <c r="IB199" s="321"/>
      <c r="IC199" s="432"/>
      <c r="ID199" s="321"/>
      <c r="IE199" s="321"/>
      <c r="IF199" s="321"/>
      <c r="IG199" s="483"/>
      <c r="IH199" s="432"/>
      <c r="II199" s="321"/>
      <c r="IJ199" s="321"/>
      <c r="IK199" s="439"/>
      <c r="IL199" s="321"/>
      <c r="IM199" s="321"/>
      <c r="IN199" s="321"/>
      <c r="IO199" s="321"/>
      <c r="IP199" s="432"/>
      <c r="IQ199" s="321"/>
      <c r="IR199" s="321"/>
      <c r="IS199" s="432"/>
      <c r="IT199" s="321"/>
      <c r="IU199" s="321"/>
      <c r="IV199" s="564"/>
    </row>
    <row r="200" spans="1:256" s="326" customFormat="1" ht="8.25" customHeight="1">
      <c r="A200" s="483"/>
      <c r="C200" s="321"/>
      <c r="D200" s="321"/>
      <c r="E200" s="321"/>
      <c r="F200" s="321"/>
      <c r="G200" s="321"/>
      <c r="H200" s="321"/>
      <c r="I200" s="321"/>
      <c r="J200" s="321"/>
      <c r="K200" s="321"/>
      <c r="L200" s="321"/>
      <c r="M200" s="321"/>
      <c r="N200" s="321"/>
      <c r="O200" s="321"/>
      <c r="P200" s="564"/>
      <c r="Q200" s="483"/>
      <c r="R200" s="321"/>
      <c r="S200" s="321"/>
      <c r="T200" s="321"/>
      <c r="U200" s="321"/>
      <c r="V200" s="321"/>
      <c r="W200" s="321"/>
      <c r="X200" s="321"/>
      <c r="Y200" s="321"/>
      <c r="Z200" s="321"/>
      <c r="AA200" s="321"/>
      <c r="AB200" s="321"/>
      <c r="AC200" s="321"/>
      <c r="AD200" s="321"/>
      <c r="AE200" s="321"/>
      <c r="AF200" s="564"/>
      <c r="AG200" s="483"/>
      <c r="AH200" s="321"/>
      <c r="AI200" s="321"/>
      <c r="AJ200" s="321"/>
      <c r="AK200" s="321"/>
      <c r="AL200" s="321"/>
      <c r="AM200" s="321"/>
      <c r="AN200" s="321"/>
      <c r="AO200" s="321"/>
      <c r="AP200" s="321"/>
      <c r="AQ200" s="321"/>
      <c r="AR200" s="321"/>
      <c r="AS200" s="321"/>
      <c r="AT200" s="321"/>
      <c r="AU200" s="321"/>
      <c r="AV200" s="564"/>
      <c r="AW200" s="483"/>
      <c r="AX200" s="321"/>
      <c r="AY200" s="321"/>
      <c r="AZ200" s="321"/>
      <c r="BA200" s="321"/>
      <c r="BB200" s="321"/>
      <c r="BC200" s="321"/>
      <c r="BD200" s="321"/>
      <c r="BE200" s="321"/>
      <c r="BF200" s="321"/>
      <c r="BG200" s="321"/>
      <c r="BH200" s="321"/>
      <c r="BI200" s="321"/>
      <c r="BJ200" s="321"/>
      <c r="BK200" s="321"/>
      <c r="BL200" s="564"/>
      <c r="BM200" s="483"/>
      <c r="BN200" s="321"/>
      <c r="BO200" s="321"/>
      <c r="BP200" s="321"/>
      <c r="BQ200" s="321"/>
      <c r="BR200" s="321"/>
      <c r="BS200" s="321"/>
      <c r="BT200" s="321"/>
      <c r="BU200" s="321"/>
      <c r="BV200" s="321"/>
      <c r="BW200" s="321"/>
      <c r="BX200" s="321"/>
      <c r="BY200" s="321"/>
      <c r="BZ200" s="321"/>
      <c r="CA200" s="321"/>
      <c r="CB200" s="564"/>
      <c r="CC200" s="483"/>
      <c r="CD200" s="321"/>
      <c r="CE200" s="321"/>
      <c r="CF200" s="321"/>
      <c r="CG200" s="321"/>
      <c r="CH200" s="321"/>
      <c r="CI200" s="321"/>
      <c r="CJ200" s="321"/>
      <c r="CK200" s="321"/>
      <c r="CL200" s="321"/>
      <c r="CM200" s="321"/>
      <c r="CN200" s="321"/>
      <c r="CO200" s="321"/>
      <c r="CP200" s="321"/>
      <c r="CQ200" s="321"/>
      <c r="CR200" s="564"/>
      <c r="CS200" s="483"/>
      <c r="CU200" s="321"/>
      <c r="CV200" s="321"/>
      <c r="CW200" s="321"/>
      <c r="CX200" s="321"/>
      <c r="CY200" s="321"/>
      <c r="CZ200" s="321"/>
      <c r="DA200" s="321"/>
      <c r="DB200" s="321"/>
      <c r="DC200" s="321"/>
      <c r="DD200" s="321"/>
      <c r="DE200" s="321"/>
      <c r="DF200" s="321"/>
      <c r="DG200" s="321"/>
      <c r="DH200" s="564"/>
      <c r="DI200" s="483"/>
      <c r="DJ200" s="321"/>
      <c r="DK200" s="321"/>
      <c r="DL200" s="321"/>
      <c r="DM200" s="321"/>
      <c r="DN200" s="321"/>
      <c r="DO200" s="321"/>
      <c r="DP200" s="321"/>
      <c r="DQ200" s="321"/>
      <c r="DR200" s="321"/>
      <c r="DS200" s="321"/>
      <c r="DT200" s="321"/>
      <c r="DU200" s="321"/>
      <c r="DV200" s="321"/>
      <c r="DW200" s="321"/>
      <c r="DX200" s="564"/>
      <c r="DY200" s="483"/>
      <c r="DZ200" s="321"/>
      <c r="EA200" s="321"/>
      <c r="EB200" s="321"/>
      <c r="EC200" s="321"/>
      <c r="ED200" s="321"/>
      <c r="EE200" s="321"/>
      <c r="EF200" s="321"/>
      <c r="EG200" s="321"/>
      <c r="EH200" s="321"/>
      <c r="EI200" s="321"/>
      <c r="EJ200" s="321"/>
      <c r="EK200" s="321"/>
      <c r="EL200" s="321"/>
      <c r="EM200" s="321"/>
      <c r="EN200" s="321"/>
      <c r="EO200" s="429"/>
      <c r="EP200" s="409"/>
      <c r="EQ200" s="420"/>
      <c r="ER200" s="409"/>
      <c r="ES200" s="420"/>
      <c r="ET200" s="415"/>
      <c r="EU200" s="420"/>
      <c r="EV200" s="429"/>
      <c r="EW200" s="409"/>
      <c r="EX200" s="409"/>
      <c r="EY200" s="415"/>
      <c r="EZ200" s="420"/>
      <c r="FA200" s="409"/>
      <c r="FB200" s="420"/>
      <c r="FC200" s="409"/>
      <c r="FD200" s="420"/>
      <c r="FE200" s="429"/>
      <c r="FF200" s="420"/>
      <c r="FG200" s="446"/>
      <c r="FH200" s="440"/>
      <c r="FI200" s="409"/>
      <c r="FJ200" s="409"/>
      <c r="FK200" s="446"/>
      <c r="FL200" s="426"/>
      <c r="FM200" s="446"/>
      <c r="FN200" s="446"/>
      <c r="FO200" s="409"/>
      <c r="FP200" s="409"/>
      <c r="FQ200" s="446"/>
      <c r="FR200" s="440"/>
      <c r="FS200" s="409"/>
      <c r="FT200" s="420"/>
      <c r="FU200" s="422"/>
      <c r="FV200" s="433"/>
      <c r="FW200" s="426"/>
      <c r="FX200" s="417"/>
      <c r="FY200" s="433"/>
      <c r="FZ200" s="426"/>
      <c r="GA200" s="417"/>
      <c r="GB200" s="433"/>
      <c r="GC200" s="426"/>
      <c r="GD200" s="417"/>
      <c r="GE200" s="433"/>
      <c r="GF200" s="426"/>
      <c r="GG200" s="417"/>
      <c r="GH200" s="433"/>
      <c r="GI200" s="426"/>
      <c r="GJ200" s="422"/>
      <c r="GK200" s="483"/>
      <c r="GL200" s="321"/>
      <c r="GM200" s="321"/>
      <c r="GN200" s="321"/>
      <c r="GO200" s="321"/>
      <c r="GP200" s="321"/>
      <c r="GQ200" s="321"/>
      <c r="GR200" s="321"/>
      <c r="GS200" s="321"/>
      <c r="GT200" s="321"/>
      <c r="GU200" s="321"/>
      <c r="GV200" s="321"/>
      <c r="GW200" s="321"/>
      <c r="GX200" s="321"/>
      <c r="GY200" s="321"/>
      <c r="GZ200" s="321"/>
      <c r="HA200" s="483"/>
      <c r="HB200" s="321"/>
      <c r="HC200" s="321"/>
      <c r="HD200" s="321"/>
      <c r="HE200" s="321"/>
      <c r="HF200" s="321"/>
      <c r="HG200" s="321"/>
      <c r="HH200" s="321"/>
      <c r="HI200" s="432">
        <v>6</v>
      </c>
      <c r="HJ200" s="321"/>
      <c r="HK200" s="321"/>
      <c r="HL200" s="321"/>
      <c r="HM200" s="321"/>
      <c r="HN200" s="321"/>
      <c r="HO200" s="321"/>
      <c r="HP200" s="564"/>
      <c r="HQ200" s="321"/>
      <c r="HR200" s="321"/>
      <c r="HS200" s="432"/>
      <c r="HT200" s="321"/>
      <c r="HU200" s="321"/>
      <c r="HV200" s="432"/>
      <c r="HW200" s="321"/>
      <c r="HX200" s="321"/>
      <c r="HY200" s="321"/>
      <c r="HZ200" s="321"/>
      <c r="IA200" s="432"/>
      <c r="IB200" s="321"/>
      <c r="IC200" s="439"/>
      <c r="ID200" s="321"/>
      <c r="IE200" s="432"/>
      <c r="IF200" s="321"/>
      <c r="IG200" s="483"/>
      <c r="IH200" s="439"/>
      <c r="II200" s="321"/>
      <c r="IJ200" s="321"/>
      <c r="IK200" s="321"/>
      <c r="IL200" s="432"/>
      <c r="IM200" s="321"/>
      <c r="IN200" s="321"/>
      <c r="IO200" s="432"/>
      <c r="IP200" s="321"/>
      <c r="IQ200" s="321"/>
      <c r="IR200" s="432"/>
      <c r="IS200" s="321"/>
      <c r="IT200" s="321"/>
      <c r="IU200" s="321"/>
      <c r="IV200" s="564"/>
    </row>
    <row r="201" spans="1:256" s="326" customFormat="1" ht="8.25" customHeight="1">
      <c r="A201" s="483"/>
      <c r="C201" s="321"/>
      <c r="D201" s="321"/>
      <c r="E201" s="321"/>
      <c r="F201" s="321"/>
      <c r="G201" s="321"/>
      <c r="H201" s="321"/>
      <c r="I201" s="321"/>
      <c r="J201" s="321"/>
      <c r="K201" s="321"/>
      <c r="L201" s="321"/>
      <c r="M201" s="321"/>
      <c r="N201" s="321"/>
      <c r="O201" s="321"/>
      <c r="P201" s="564"/>
      <c r="Q201" s="483"/>
      <c r="R201" s="321"/>
      <c r="S201" s="321"/>
      <c r="T201" s="321"/>
      <c r="U201" s="321"/>
      <c r="V201" s="321"/>
      <c r="W201" s="321"/>
      <c r="X201" s="321"/>
      <c r="Y201" s="321"/>
      <c r="Z201" s="321"/>
      <c r="AA201" s="321"/>
      <c r="AB201" s="321"/>
      <c r="AC201" s="321"/>
      <c r="AD201" s="321"/>
      <c r="AE201" s="321"/>
      <c r="AF201" s="564"/>
      <c r="AG201" s="483"/>
      <c r="AH201" s="321"/>
      <c r="AI201" s="321"/>
      <c r="AJ201" s="321"/>
      <c r="AK201" s="321"/>
      <c r="AL201" s="321"/>
      <c r="AM201" s="321"/>
      <c r="AN201" s="321"/>
      <c r="AO201" s="321"/>
      <c r="AP201" s="321"/>
      <c r="AQ201" s="321"/>
      <c r="AR201" s="321"/>
      <c r="AS201" s="321"/>
      <c r="AT201" s="321"/>
      <c r="AU201" s="321"/>
      <c r="AV201" s="564"/>
      <c r="AW201" s="483"/>
      <c r="AX201" s="321"/>
      <c r="AY201" s="321"/>
      <c r="AZ201" s="321"/>
      <c r="BA201" s="321"/>
      <c r="BB201" s="321"/>
      <c r="BC201" s="321"/>
      <c r="BD201" s="321"/>
      <c r="BE201" s="321"/>
      <c r="BF201" s="321"/>
      <c r="BG201" s="321"/>
      <c r="BH201" s="321"/>
      <c r="BI201" s="321"/>
      <c r="BJ201" s="321"/>
      <c r="BK201" s="321"/>
      <c r="BL201" s="564"/>
      <c r="BM201" s="483"/>
      <c r="BN201" s="321"/>
      <c r="BO201" s="321"/>
      <c r="BP201" s="321"/>
      <c r="BQ201" s="321"/>
      <c r="BR201" s="321"/>
      <c r="BS201" s="321"/>
      <c r="BT201" s="321"/>
      <c r="BU201" s="321"/>
      <c r="BV201" s="321"/>
      <c r="BW201" s="321"/>
      <c r="BX201" s="321"/>
      <c r="BY201" s="321"/>
      <c r="BZ201" s="321"/>
      <c r="CA201" s="321"/>
      <c r="CB201" s="564"/>
      <c r="CC201" s="483"/>
      <c r="CD201" s="321"/>
      <c r="CE201" s="321"/>
      <c r="CF201" s="321"/>
      <c r="CG201" s="321"/>
      <c r="CH201" s="321"/>
      <c r="CI201" s="321"/>
      <c r="CJ201" s="321"/>
      <c r="CK201" s="321"/>
      <c r="CL201" s="321"/>
      <c r="CM201" s="321"/>
      <c r="CN201" s="321"/>
      <c r="CO201" s="321"/>
      <c r="CP201" s="321"/>
      <c r="CQ201" s="321"/>
      <c r="CR201" s="564"/>
      <c r="CS201" s="483"/>
      <c r="CU201" s="321"/>
      <c r="CV201" s="321"/>
      <c r="CW201" s="321"/>
      <c r="CX201" s="321"/>
      <c r="CY201" s="321"/>
      <c r="CZ201" s="321"/>
      <c r="DA201" s="321"/>
      <c r="DB201" s="321"/>
      <c r="DC201" s="321"/>
      <c r="DD201" s="321"/>
      <c r="DE201" s="321"/>
      <c r="DF201" s="321"/>
      <c r="DG201" s="321"/>
      <c r="DH201" s="564"/>
      <c r="DI201" s="483"/>
      <c r="DJ201" s="321"/>
      <c r="DK201" s="321"/>
      <c r="DL201" s="321"/>
      <c r="DM201" s="321"/>
      <c r="DN201" s="321"/>
      <c r="DO201" s="321"/>
      <c r="DP201" s="321"/>
      <c r="DQ201" s="321"/>
      <c r="DR201" s="321"/>
      <c r="DS201" s="321"/>
      <c r="DT201" s="321"/>
      <c r="DU201" s="321"/>
      <c r="DV201" s="321"/>
      <c r="DW201" s="321"/>
      <c r="DX201" s="564"/>
      <c r="DY201" s="483"/>
      <c r="DZ201" s="321"/>
      <c r="EA201" s="321"/>
      <c r="EB201" s="321"/>
      <c r="EC201" s="321"/>
      <c r="ED201" s="321"/>
      <c r="EE201" s="321"/>
      <c r="EF201" s="321"/>
      <c r="EG201" s="321"/>
      <c r="EH201" s="321"/>
      <c r="EI201" s="321"/>
      <c r="EJ201" s="321"/>
      <c r="EK201" s="321"/>
      <c r="EL201" s="321"/>
      <c r="EM201" s="321"/>
      <c r="EN201" s="321"/>
      <c r="EO201" s="429"/>
      <c r="EP201" s="409"/>
      <c r="EQ201" s="420"/>
      <c r="ER201" s="409"/>
      <c r="ES201" s="420"/>
      <c r="ET201" s="415"/>
      <c r="EU201" s="429"/>
      <c r="EV201" s="409"/>
      <c r="EW201" s="409"/>
      <c r="EX201" s="420"/>
      <c r="EY201" s="415"/>
      <c r="EZ201" s="420"/>
      <c r="FA201" s="409"/>
      <c r="FB201" s="420"/>
      <c r="FC201" s="409"/>
      <c r="FD201" s="420"/>
      <c r="FE201" s="429"/>
      <c r="FF201" s="409"/>
      <c r="FG201" s="453"/>
      <c r="FH201" s="440"/>
      <c r="FI201" s="409"/>
      <c r="FJ201" s="409"/>
      <c r="FK201" s="446"/>
      <c r="FL201" s="409"/>
      <c r="FM201" s="426"/>
      <c r="FN201" s="453"/>
      <c r="FO201" s="409"/>
      <c r="FP201" s="409"/>
      <c r="FQ201" s="453"/>
      <c r="FR201" s="440"/>
      <c r="FS201" s="409"/>
      <c r="FT201" s="420"/>
      <c r="FU201" s="422"/>
      <c r="FV201" s="433"/>
      <c r="FW201" s="426"/>
      <c r="FX201" s="417"/>
      <c r="FY201" s="433"/>
      <c r="FZ201" s="426"/>
      <c r="GA201" s="417"/>
      <c r="GB201" s="433"/>
      <c r="GC201" s="426"/>
      <c r="GD201" s="417"/>
      <c r="GE201" s="433"/>
      <c r="GF201" s="426"/>
      <c r="GG201" s="417"/>
      <c r="GH201" s="433"/>
      <c r="GI201" s="426"/>
      <c r="GJ201" s="422"/>
      <c r="GK201" s="483"/>
      <c r="GL201" s="321"/>
      <c r="GM201" s="321"/>
      <c r="GN201" s="321"/>
      <c r="GO201" s="321"/>
      <c r="GP201" s="321"/>
      <c r="GQ201" s="321"/>
      <c r="GR201" s="321"/>
      <c r="GS201" s="321"/>
      <c r="GT201" s="321"/>
      <c r="GU201" s="321"/>
      <c r="GV201" s="321"/>
      <c r="GW201" s="321"/>
      <c r="GX201" s="321"/>
      <c r="GY201" s="321"/>
      <c r="GZ201" s="321"/>
      <c r="HA201" s="483"/>
      <c r="HB201" s="321"/>
      <c r="HC201" s="321"/>
      <c r="HD201" s="321"/>
      <c r="HE201" s="432">
        <v>6</v>
      </c>
      <c r="HF201" s="321"/>
      <c r="HG201" s="321"/>
      <c r="HH201" s="432">
        <v>6</v>
      </c>
      <c r="HI201" s="321"/>
      <c r="HJ201" s="321"/>
      <c r="HK201" s="321"/>
      <c r="HL201" s="321"/>
      <c r="HM201" s="321"/>
      <c r="HN201" s="321"/>
      <c r="HO201" s="321"/>
      <c r="HP201" s="564"/>
      <c r="HQ201" s="321"/>
      <c r="HR201" s="321"/>
      <c r="HS201" s="321"/>
      <c r="HT201" s="432"/>
      <c r="HU201" s="321"/>
      <c r="HV201" s="439"/>
      <c r="HW201" s="321"/>
      <c r="HX201" s="417"/>
      <c r="HY201" s="321"/>
      <c r="HZ201" s="439"/>
      <c r="IA201" s="321"/>
      <c r="IB201" s="321"/>
      <c r="IC201" s="321"/>
      <c r="ID201" s="439"/>
      <c r="IE201" s="321"/>
      <c r="IF201" s="321"/>
      <c r="IG201" s="483"/>
      <c r="IH201" s="432"/>
      <c r="II201" s="321"/>
      <c r="IJ201" s="321"/>
      <c r="IK201" s="321"/>
      <c r="IL201" s="432"/>
      <c r="IM201" s="417"/>
      <c r="IN201" s="432"/>
      <c r="IO201" s="439"/>
      <c r="IP201" s="432"/>
      <c r="IQ201" s="414"/>
      <c r="IR201" s="321"/>
      <c r="IS201" s="432"/>
      <c r="IT201" s="321"/>
      <c r="IU201" s="321"/>
      <c r="IV201" s="564"/>
    </row>
    <row r="202" spans="1:256" s="326" customFormat="1" ht="8.25" customHeight="1">
      <c r="A202" s="483">
        <v>-10</v>
      </c>
      <c r="C202" s="321"/>
      <c r="D202" s="321"/>
      <c r="E202" s="321"/>
      <c r="F202" s="321"/>
      <c r="G202" s="321"/>
      <c r="H202" s="321"/>
      <c r="I202" s="321"/>
      <c r="J202" s="321"/>
      <c r="K202" s="321"/>
      <c r="L202" s="321"/>
      <c r="M202" s="321"/>
      <c r="N202" s="321"/>
      <c r="O202" s="321"/>
      <c r="P202" s="564"/>
      <c r="Q202" s="483">
        <v>-15</v>
      </c>
      <c r="R202" s="321"/>
      <c r="S202" s="321"/>
      <c r="T202" s="321"/>
      <c r="U202" s="321"/>
      <c r="V202" s="321"/>
      <c r="W202" s="321"/>
      <c r="X202" s="321"/>
      <c r="Y202" s="321"/>
      <c r="Z202" s="321"/>
      <c r="AA202" s="321"/>
      <c r="AB202" s="321"/>
      <c r="AC202" s="321"/>
      <c r="AD202" s="321"/>
      <c r="AE202" s="321"/>
      <c r="AF202" s="564"/>
      <c r="AG202" s="483">
        <v>-6</v>
      </c>
      <c r="AH202" s="321"/>
      <c r="AI202" s="321"/>
      <c r="AJ202" s="321"/>
      <c r="AK202" s="321"/>
      <c r="AL202" s="321"/>
      <c r="AM202" s="321"/>
      <c r="AN202" s="321"/>
      <c r="AO202" s="321"/>
      <c r="AP202" s="321"/>
      <c r="AQ202" s="321"/>
      <c r="AR202" s="321"/>
      <c r="AS202" s="321"/>
      <c r="AT202" s="321"/>
      <c r="AU202" s="321"/>
      <c r="AV202" s="564"/>
      <c r="AW202" s="483"/>
      <c r="AX202" s="321"/>
      <c r="AY202" s="321"/>
      <c r="AZ202" s="321"/>
      <c r="BA202" s="321"/>
      <c r="BB202" s="321"/>
      <c r="BC202" s="321"/>
      <c r="BD202" s="321"/>
      <c r="BE202" s="321"/>
      <c r="BF202" s="321"/>
      <c r="BG202" s="321"/>
      <c r="BH202" s="321"/>
      <c r="BI202" s="321"/>
      <c r="BJ202" s="321"/>
      <c r="BK202" s="321"/>
      <c r="BL202" s="564"/>
      <c r="BM202" s="483"/>
      <c r="BN202" s="321"/>
      <c r="BO202" s="321"/>
      <c r="BP202" s="321"/>
      <c r="BQ202" s="321"/>
      <c r="BR202" s="321"/>
      <c r="BS202" s="321"/>
      <c r="BT202" s="321"/>
      <c r="BU202" s="321"/>
      <c r="BV202" s="321"/>
      <c r="BW202" s="321"/>
      <c r="BX202" s="321"/>
      <c r="BY202" s="321"/>
      <c r="BZ202" s="321"/>
      <c r="CA202" s="321"/>
      <c r="CB202" s="564"/>
      <c r="CC202" s="483"/>
      <c r="CD202" s="321"/>
      <c r="CE202" s="321"/>
      <c r="CF202" s="321"/>
      <c r="CG202" s="321"/>
      <c r="CH202" s="321"/>
      <c r="CI202" s="321"/>
      <c r="CJ202" s="321"/>
      <c r="CK202" s="321"/>
      <c r="CL202" s="321"/>
      <c r="CM202" s="321"/>
      <c r="CN202" s="321"/>
      <c r="CO202" s="321"/>
      <c r="CP202" s="321"/>
      <c r="CQ202" s="321"/>
      <c r="CR202" s="564"/>
      <c r="CS202" s="483">
        <v>-24</v>
      </c>
      <c r="CU202" s="321"/>
      <c r="CV202" s="321"/>
      <c r="CW202" s="321"/>
      <c r="CX202" s="321"/>
      <c r="CY202" s="321"/>
      <c r="CZ202" s="321"/>
      <c r="DA202" s="321"/>
      <c r="DB202" s="321"/>
      <c r="DC202" s="321"/>
      <c r="DD202" s="321"/>
      <c r="DE202" s="321"/>
      <c r="DF202" s="321"/>
      <c r="DG202" s="321"/>
      <c r="DH202" s="564"/>
      <c r="DI202" s="483">
        <v>-16</v>
      </c>
      <c r="DJ202" s="321"/>
      <c r="DK202" s="321"/>
      <c r="DL202" s="321"/>
      <c r="DM202" s="321"/>
      <c r="DN202" s="321"/>
      <c r="DO202" s="321"/>
      <c r="DP202" s="321"/>
      <c r="DQ202" s="321"/>
      <c r="DR202" s="321"/>
      <c r="DS202" s="321"/>
      <c r="DT202" s="321"/>
      <c r="DU202" s="321"/>
      <c r="DV202" s="321"/>
      <c r="DW202" s="321"/>
      <c r="DX202" s="564"/>
      <c r="DY202" s="483">
        <v>-10</v>
      </c>
      <c r="DZ202" s="321"/>
      <c r="EA202" s="321"/>
      <c r="EB202" s="321"/>
      <c r="EC202" s="321"/>
      <c r="ED202" s="321"/>
      <c r="EE202" s="321"/>
      <c r="EF202" s="321"/>
      <c r="EG202" s="321"/>
      <c r="EH202" s="321"/>
      <c r="EI202" s="445">
        <v>0</v>
      </c>
      <c r="EJ202" s="321"/>
      <c r="EK202" s="321"/>
      <c r="EL202" s="321"/>
      <c r="EM202" s="321"/>
      <c r="EN202" s="321"/>
      <c r="EO202" s="429"/>
      <c r="EP202" s="409"/>
      <c r="EQ202" s="420"/>
      <c r="ER202" s="409"/>
      <c r="ES202" s="415"/>
      <c r="ET202" s="429"/>
      <c r="EU202" s="409"/>
      <c r="EV202" s="409"/>
      <c r="EW202" s="420"/>
      <c r="EX202" s="409"/>
      <c r="EY202" s="409"/>
      <c r="EZ202" s="415"/>
      <c r="FA202" s="409"/>
      <c r="FB202" s="420"/>
      <c r="FC202" s="409"/>
      <c r="FD202" s="420"/>
      <c r="FE202" s="429"/>
      <c r="FF202" s="420"/>
      <c r="FG202" s="446"/>
      <c r="FH202" s="440"/>
      <c r="FI202" s="420"/>
      <c r="FJ202" s="420"/>
      <c r="FK202" s="446"/>
      <c r="FL202" s="420"/>
      <c r="FM202" s="420"/>
      <c r="FN202" s="446"/>
      <c r="FO202" s="420"/>
      <c r="FP202" s="420"/>
      <c r="FQ202" s="446"/>
      <c r="FR202" s="440"/>
      <c r="FS202" s="420"/>
      <c r="FT202" s="420"/>
      <c r="FU202" s="422"/>
      <c r="FV202" s="433"/>
      <c r="FW202" s="426"/>
      <c r="FX202" s="417"/>
      <c r="FY202" s="433"/>
      <c r="FZ202" s="426"/>
      <c r="GA202" s="417"/>
      <c r="GB202" s="433"/>
      <c r="GC202" s="426"/>
      <c r="GD202" s="417"/>
      <c r="GE202" s="433"/>
      <c r="GF202" s="426"/>
      <c r="GG202" s="417"/>
      <c r="GH202" s="433"/>
      <c r="GI202" s="426"/>
      <c r="GJ202" s="422"/>
      <c r="GK202" s="483"/>
      <c r="GL202" s="321"/>
      <c r="GM202" s="321"/>
      <c r="GN202" s="321"/>
      <c r="GO202" s="321"/>
      <c r="GP202" s="321"/>
      <c r="GQ202" s="321"/>
      <c r="GR202" s="321"/>
      <c r="GS202" s="321"/>
      <c r="GT202" s="321"/>
      <c r="GU202" s="321"/>
      <c r="GV202" s="321"/>
      <c r="GW202" s="321"/>
      <c r="GX202" s="321"/>
      <c r="GY202" s="321"/>
      <c r="GZ202" s="321"/>
      <c r="HA202" s="483"/>
      <c r="HB202" s="321"/>
      <c r="HC202" s="321"/>
      <c r="HD202" s="321"/>
      <c r="HE202" s="321"/>
      <c r="HF202" s="432">
        <v>6</v>
      </c>
      <c r="HG202" s="321"/>
      <c r="HH202" s="439">
        <v>8</v>
      </c>
      <c r="HI202" s="321"/>
      <c r="HJ202" s="321"/>
      <c r="HK202" s="321"/>
      <c r="HL202" s="321"/>
      <c r="HM202" s="321"/>
      <c r="HN202" s="321"/>
      <c r="HO202" s="321"/>
      <c r="HP202" s="564"/>
      <c r="HQ202" s="432"/>
      <c r="HR202" s="321"/>
      <c r="HS202" s="321"/>
      <c r="HT202" s="321"/>
      <c r="HU202" s="432"/>
      <c r="HV202" s="321"/>
      <c r="HW202" s="321"/>
      <c r="HX202" s="321"/>
      <c r="HY202" s="321"/>
      <c r="HZ202" s="432"/>
      <c r="IA202" s="321"/>
      <c r="IB202" s="429"/>
      <c r="IC202" s="321"/>
      <c r="ID202" s="432"/>
      <c r="IE202" s="321"/>
      <c r="IF202" s="321"/>
      <c r="IG202" s="483"/>
      <c r="IH202" s="321"/>
      <c r="II202" s="432"/>
      <c r="IJ202" s="439"/>
      <c r="IK202" s="321"/>
      <c r="IL202" s="439"/>
      <c r="IM202" s="414"/>
      <c r="IN202" s="417"/>
      <c r="IO202" s="414"/>
      <c r="IP202" s="414"/>
      <c r="IQ202" s="414"/>
      <c r="IR202" s="432"/>
      <c r="IS202" s="321"/>
      <c r="IT202" s="321"/>
      <c r="IU202" s="321"/>
      <c r="IV202" s="556"/>
    </row>
    <row r="203" spans="1:256" s="326" customFormat="1" ht="8.25" customHeight="1">
      <c r="A203" s="483">
        <v>16</v>
      </c>
      <c r="C203" s="321"/>
      <c r="D203" s="321"/>
      <c r="E203" s="321"/>
      <c r="F203" s="321"/>
      <c r="G203" s="321"/>
      <c r="H203" s="321"/>
      <c r="I203" s="321"/>
      <c r="J203" s="321"/>
      <c r="K203" s="321"/>
      <c r="L203" s="321"/>
      <c r="M203" s="321"/>
      <c r="N203" s="321"/>
      <c r="O203" s="321"/>
      <c r="P203" s="564"/>
      <c r="Q203" s="483">
        <v>16</v>
      </c>
      <c r="R203" s="321"/>
      <c r="S203" s="321"/>
      <c r="T203" s="321"/>
      <c r="U203" s="321"/>
      <c r="V203" s="321"/>
      <c r="W203" s="321"/>
      <c r="X203" s="321"/>
      <c r="Y203" s="321"/>
      <c r="Z203" s="321"/>
      <c r="AA203" s="321"/>
      <c r="AB203" s="321"/>
      <c r="AC203" s="321"/>
      <c r="AD203" s="321"/>
      <c r="AE203" s="321"/>
      <c r="AF203" s="564"/>
      <c r="AG203" s="483">
        <v>16</v>
      </c>
      <c r="AH203" s="321"/>
      <c r="AI203" s="321"/>
      <c r="AV203" s="564"/>
      <c r="AW203" s="483"/>
      <c r="AX203" s="321"/>
      <c r="AY203" s="321"/>
      <c r="AZ203" s="321"/>
      <c r="BA203" s="321"/>
      <c r="BB203" s="321"/>
      <c r="BC203" s="321"/>
      <c r="BD203" s="321"/>
      <c r="BE203" s="321"/>
      <c r="BF203" s="321"/>
      <c r="BG203" s="321"/>
      <c r="BH203" s="321"/>
      <c r="BI203" s="321"/>
      <c r="BJ203" s="321"/>
      <c r="BK203" s="321"/>
      <c r="BL203" s="564"/>
      <c r="BM203" s="483"/>
      <c r="BN203" s="321"/>
      <c r="BO203" s="321"/>
      <c r="BP203" s="321"/>
      <c r="BQ203" s="321"/>
      <c r="BR203" s="321"/>
      <c r="BS203" s="321"/>
      <c r="BT203" s="321"/>
      <c r="BU203" s="321"/>
      <c r="BV203" s="321"/>
      <c r="BW203" s="321"/>
      <c r="BX203" s="321"/>
      <c r="BY203" s="321"/>
      <c r="BZ203" s="321"/>
      <c r="CA203" s="321"/>
      <c r="CB203" s="564"/>
      <c r="CC203" s="483"/>
      <c r="CD203" s="321"/>
      <c r="CE203" s="321"/>
      <c r="CF203" s="321"/>
      <c r="CG203" s="321"/>
      <c r="CH203" s="321"/>
      <c r="CI203" s="321"/>
      <c r="CJ203" s="321"/>
      <c r="CK203" s="321"/>
      <c r="CL203" s="321"/>
      <c r="CM203" s="321"/>
      <c r="CN203" s="321"/>
      <c r="CO203" s="321"/>
      <c r="CP203" s="321"/>
      <c r="CQ203" s="321"/>
      <c r="CR203" s="564"/>
      <c r="CS203" s="483">
        <v>24</v>
      </c>
      <c r="CU203" s="321"/>
      <c r="CV203" s="321"/>
      <c r="CW203" s="321"/>
      <c r="CX203" s="321"/>
      <c r="CY203" s="321"/>
      <c r="CZ203" s="321"/>
      <c r="DA203" s="321"/>
      <c r="DB203" s="321"/>
      <c r="DC203" s="321"/>
      <c r="DD203" s="321"/>
      <c r="DE203" s="321"/>
      <c r="DF203" s="321"/>
      <c r="DG203" s="321"/>
      <c r="DH203" s="564"/>
      <c r="DI203" s="483">
        <v>24</v>
      </c>
      <c r="DJ203" s="321"/>
      <c r="DK203" s="321"/>
      <c r="DL203" s="321"/>
      <c r="DM203" s="321"/>
      <c r="DN203" s="321"/>
      <c r="DO203" s="321"/>
      <c r="DP203" s="321"/>
      <c r="DQ203" s="321"/>
      <c r="DR203" s="321"/>
      <c r="DS203" s="321"/>
      <c r="DT203" s="321"/>
      <c r="DU203" s="321"/>
      <c r="DV203" s="321"/>
      <c r="DW203" s="321"/>
      <c r="DX203" s="564"/>
      <c r="DY203" s="483">
        <v>24</v>
      </c>
      <c r="DZ203" s="321"/>
      <c r="EA203" s="321"/>
      <c r="EB203" s="321"/>
      <c r="EC203" s="321"/>
      <c r="ED203" s="321"/>
      <c r="EE203" s="321"/>
      <c r="EF203" s="321"/>
      <c r="EG203" s="321"/>
      <c r="EH203" s="321"/>
      <c r="EI203" s="451">
        <v>0</v>
      </c>
      <c r="EJ203" s="321"/>
      <c r="EK203" s="321"/>
      <c r="EL203" s="321"/>
      <c r="EM203" s="321"/>
      <c r="EN203" s="321"/>
      <c r="EO203" s="429"/>
      <c r="EP203" s="409"/>
      <c r="EQ203" s="420"/>
      <c r="ER203" s="415"/>
      <c r="ES203" s="429"/>
      <c r="ET203" s="409"/>
      <c r="EU203" s="409"/>
      <c r="EV203" s="415"/>
      <c r="EW203" s="415"/>
      <c r="EX203" s="409"/>
      <c r="EY203" s="409"/>
      <c r="EZ203" s="409"/>
      <c r="FA203" s="415"/>
      <c r="FB203" s="420"/>
      <c r="FC203" s="409"/>
      <c r="FD203" s="420"/>
      <c r="FE203" s="429"/>
      <c r="FF203" s="409"/>
      <c r="FG203" s="409"/>
      <c r="FH203" s="409"/>
      <c r="FI203" s="420"/>
      <c r="FJ203" s="420"/>
      <c r="FK203" s="420"/>
      <c r="FL203" s="420"/>
      <c r="FM203" s="409"/>
      <c r="FN203" s="409"/>
      <c r="FO203" s="409"/>
      <c r="FP203" s="409"/>
      <c r="FQ203" s="409"/>
      <c r="FR203" s="409"/>
      <c r="FS203" s="409"/>
      <c r="FT203" s="420"/>
      <c r="FU203" s="422"/>
      <c r="FV203" s="433"/>
      <c r="FW203" s="426"/>
      <c r="FX203" s="417"/>
      <c r="FY203" s="433"/>
      <c r="FZ203" s="426"/>
      <c r="GA203" s="417"/>
      <c r="GB203" s="433"/>
      <c r="GC203" s="426"/>
      <c r="GD203" s="417"/>
      <c r="GE203" s="433"/>
      <c r="GF203" s="426"/>
      <c r="GG203" s="417"/>
      <c r="GH203" s="433"/>
      <c r="GI203" s="426"/>
      <c r="GJ203" s="422"/>
      <c r="GK203" s="483"/>
      <c r="GL203" s="321"/>
      <c r="GM203" s="321"/>
      <c r="GN203" s="321"/>
      <c r="GO203" s="321"/>
      <c r="GP203" s="321"/>
      <c r="GQ203" s="321"/>
      <c r="GR203" s="321"/>
      <c r="GS203" s="321"/>
      <c r="GT203" s="321"/>
      <c r="GU203" s="321"/>
      <c r="GV203" s="321"/>
      <c r="GW203" s="321"/>
      <c r="GX203" s="321"/>
      <c r="GY203" s="321"/>
      <c r="GZ203" s="321"/>
      <c r="HA203" s="483"/>
      <c r="HB203" s="321"/>
      <c r="HC203" s="432">
        <v>6</v>
      </c>
      <c r="HD203" s="321"/>
      <c r="HE203" s="321"/>
      <c r="HF203" s="321"/>
      <c r="HG203" s="432">
        <v>6</v>
      </c>
      <c r="HH203" s="321"/>
      <c r="HI203" s="321"/>
      <c r="HJ203" s="321"/>
      <c r="HK203" s="321"/>
      <c r="HL203" s="321"/>
      <c r="HM203" s="432">
        <v>6</v>
      </c>
      <c r="HN203" s="321"/>
      <c r="HO203" s="321"/>
      <c r="HP203" s="564"/>
      <c r="HQ203" s="321"/>
      <c r="HR203" s="432"/>
      <c r="HS203" s="321"/>
      <c r="HT203" s="321"/>
      <c r="HU203" s="439"/>
      <c r="HV203" s="321"/>
      <c r="HW203" s="321"/>
      <c r="HX203" s="321"/>
      <c r="HY203" s="321"/>
      <c r="HZ203" s="432"/>
      <c r="IA203" s="321"/>
      <c r="IB203" s="321"/>
      <c r="IC203" s="432"/>
      <c r="ID203" s="321"/>
      <c r="IE203" s="321"/>
      <c r="IF203" s="321"/>
      <c r="IG203" s="483"/>
      <c r="IH203" s="432"/>
      <c r="II203" s="321"/>
      <c r="IJ203" s="432"/>
      <c r="IK203" s="439"/>
      <c r="IL203" s="432"/>
      <c r="IM203" s="414"/>
      <c r="IN203" s="414"/>
      <c r="IO203" s="415"/>
      <c r="IP203" s="414"/>
      <c r="IQ203" s="414"/>
      <c r="IR203" s="414"/>
      <c r="IS203" s="432"/>
      <c r="IT203" s="439"/>
      <c r="IU203" s="439"/>
      <c r="IV203" s="564"/>
    </row>
    <row r="204" spans="1:256" s="326" customFormat="1" ht="8.25" customHeight="1">
      <c r="A204" s="483"/>
      <c r="C204" s="321"/>
      <c r="D204" s="321"/>
      <c r="E204" s="321"/>
      <c r="F204" s="321"/>
      <c r="G204" s="321"/>
      <c r="H204" s="321"/>
      <c r="I204" s="321"/>
      <c r="J204" s="321"/>
      <c r="K204" s="321"/>
      <c r="L204" s="321"/>
      <c r="M204" s="321"/>
      <c r="N204" s="321"/>
      <c r="O204" s="321"/>
      <c r="P204" s="564"/>
      <c r="Q204" s="483"/>
      <c r="R204" s="321"/>
      <c r="S204" s="321"/>
      <c r="T204" s="321"/>
      <c r="U204" s="321"/>
      <c r="V204" s="321"/>
      <c r="W204" s="321"/>
      <c r="X204" s="321"/>
      <c r="Y204" s="321"/>
      <c r="Z204" s="321"/>
      <c r="AA204" s="321"/>
      <c r="AB204" s="321"/>
      <c r="AC204" s="321"/>
      <c r="AD204" s="321"/>
      <c r="AE204" s="321"/>
      <c r="AF204" s="564"/>
      <c r="AG204" s="483"/>
      <c r="AH204" s="321"/>
      <c r="AI204" s="321"/>
      <c r="AJ204" s="321"/>
      <c r="AK204" s="321"/>
      <c r="AL204" s="321"/>
      <c r="AM204" s="321"/>
      <c r="AN204" s="321"/>
      <c r="AO204" s="321"/>
      <c r="AP204" s="321"/>
      <c r="AQ204" s="321"/>
      <c r="AR204" s="321"/>
      <c r="AS204" s="321"/>
      <c r="AT204" s="321"/>
      <c r="AU204" s="321"/>
      <c r="AV204" s="564"/>
      <c r="AW204" s="483"/>
      <c r="AX204" s="321"/>
      <c r="AY204" s="321"/>
      <c r="AZ204" s="321"/>
      <c r="BA204" s="321"/>
      <c r="BB204" s="321"/>
      <c r="BC204" s="321"/>
      <c r="BD204" s="321"/>
      <c r="BE204" s="321"/>
      <c r="BF204" s="321"/>
      <c r="BG204" s="321"/>
      <c r="BH204" s="321"/>
      <c r="BI204" s="321"/>
      <c r="BJ204" s="321"/>
      <c r="BK204" s="321"/>
      <c r="BL204" s="564"/>
      <c r="BM204" s="483"/>
      <c r="BN204" s="321"/>
      <c r="BO204" s="321"/>
      <c r="BP204" s="321"/>
      <c r="BQ204" s="321"/>
      <c r="BR204" s="321"/>
      <c r="BS204" s="321"/>
      <c r="BT204" s="321"/>
      <c r="BU204" s="321"/>
      <c r="BV204" s="321"/>
      <c r="BW204" s="321"/>
      <c r="BX204" s="321"/>
      <c r="BY204" s="321"/>
      <c r="BZ204" s="321"/>
      <c r="CA204" s="321"/>
      <c r="CB204" s="564"/>
      <c r="CC204" s="483"/>
      <c r="CD204" s="321"/>
      <c r="CE204" s="321"/>
      <c r="CF204" s="321"/>
      <c r="CG204" s="321"/>
      <c r="CH204" s="321"/>
      <c r="CI204" s="321"/>
      <c r="CJ204" s="321"/>
      <c r="CK204" s="321"/>
      <c r="CL204" s="321"/>
      <c r="CM204" s="321"/>
      <c r="CN204" s="321"/>
      <c r="CO204" s="321"/>
      <c r="CP204" s="321"/>
      <c r="CQ204" s="321"/>
      <c r="CR204" s="564"/>
      <c r="CS204" s="483"/>
      <c r="CU204" s="321"/>
      <c r="CV204" s="321"/>
      <c r="CW204" s="321"/>
      <c r="CX204" s="321"/>
      <c r="CY204" s="321"/>
      <c r="CZ204" s="321"/>
      <c r="DA204" s="445">
        <v>0</v>
      </c>
      <c r="DB204" s="321"/>
      <c r="DC204" s="321"/>
      <c r="DD204" s="321"/>
      <c r="DE204" s="321"/>
      <c r="DF204" s="321"/>
      <c r="DG204" s="321"/>
      <c r="DH204" s="564"/>
      <c r="DI204" s="483"/>
      <c r="DJ204" s="321"/>
      <c r="DK204" s="321"/>
      <c r="DL204" s="321"/>
      <c r="DM204" s="321"/>
      <c r="DN204" s="321"/>
      <c r="DO204" s="321"/>
      <c r="DP204" s="321"/>
      <c r="DQ204" s="321"/>
      <c r="DR204" s="321"/>
      <c r="DS204" s="445">
        <v>0</v>
      </c>
      <c r="DT204" s="321"/>
      <c r="DU204" s="321"/>
      <c r="DV204" s="321"/>
      <c r="DW204" s="321"/>
      <c r="DX204" s="564"/>
      <c r="DY204" s="483"/>
      <c r="DZ204" s="321"/>
      <c r="EA204" s="321"/>
      <c r="EB204" s="445">
        <v>0</v>
      </c>
      <c r="EC204" s="321"/>
      <c r="ED204" s="321"/>
      <c r="EE204" s="321"/>
      <c r="EF204" s="321"/>
      <c r="EG204" s="321"/>
      <c r="EH204" s="321"/>
      <c r="EI204" s="321"/>
      <c r="EJ204" s="321"/>
      <c r="EK204" s="321"/>
      <c r="EL204" s="321"/>
      <c r="EM204" s="321"/>
      <c r="EN204" s="321"/>
      <c r="EO204" s="429"/>
      <c r="EP204" s="409"/>
      <c r="EQ204" s="415"/>
      <c r="ER204" s="429"/>
      <c r="ES204" s="409"/>
      <c r="ET204" s="409"/>
      <c r="EU204" s="415"/>
      <c r="EV204" s="420"/>
      <c r="EW204" s="420"/>
      <c r="EX204" s="415"/>
      <c r="EY204" s="409"/>
      <c r="EZ204" s="409"/>
      <c r="FA204" s="409"/>
      <c r="FB204" s="415"/>
      <c r="FC204" s="409"/>
      <c r="FD204" s="420"/>
      <c r="FE204" s="429"/>
      <c r="FF204" s="409"/>
      <c r="FG204" s="409"/>
      <c r="FH204" s="409"/>
      <c r="FI204" s="409"/>
      <c r="FJ204" s="409"/>
      <c r="FK204" s="409"/>
      <c r="FL204" s="409"/>
      <c r="FM204" s="409"/>
      <c r="FN204" s="409"/>
      <c r="FO204" s="409"/>
      <c r="FP204" s="429"/>
      <c r="FQ204" s="429"/>
      <c r="FR204" s="429"/>
      <c r="FS204" s="409"/>
      <c r="FT204" s="420"/>
      <c r="FU204" s="422"/>
      <c r="FV204" s="429"/>
      <c r="FW204" s="429"/>
      <c r="FX204" s="409"/>
      <c r="FY204" s="429"/>
      <c r="FZ204" s="429"/>
      <c r="GA204" s="409"/>
      <c r="GB204" s="429"/>
      <c r="GC204" s="429"/>
      <c r="GD204" s="409"/>
      <c r="GE204" s="429"/>
      <c r="GF204" s="429"/>
      <c r="GG204" s="409"/>
      <c r="GH204" s="429"/>
      <c r="GI204" s="429"/>
      <c r="GJ204" s="422"/>
      <c r="GK204" s="483"/>
      <c r="GL204" s="321"/>
      <c r="GM204" s="321"/>
      <c r="GN204" s="321"/>
      <c r="GO204" s="321"/>
      <c r="GP204" s="321"/>
      <c r="GQ204" s="321"/>
      <c r="GR204" s="321"/>
      <c r="GS204" s="321"/>
      <c r="GT204" s="321"/>
      <c r="GU204" s="321"/>
      <c r="GV204" s="321"/>
      <c r="GW204" s="321"/>
      <c r="GX204" s="321"/>
      <c r="GY204" s="321"/>
      <c r="GZ204" s="321"/>
      <c r="HA204" s="483"/>
      <c r="HB204" s="321"/>
      <c r="HC204" s="321"/>
      <c r="HD204" s="432">
        <v>6</v>
      </c>
      <c r="HE204" s="321"/>
      <c r="HF204" s="321"/>
      <c r="HG204" s="439">
        <v>8</v>
      </c>
      <c r="HH204" s="321"/>
      <c r="HI204" s="321"/>
      <c r="HJ204" s="321"/>
      <c r="HK204" s="321"/>
      <c r="HL204" s="432">
        <v>6</v>
      </c>
      <c r="HM204" s="321"/>
      <c r="HN204" s="321"/>
      <c r="HO204" s="321"/>
      <c r="HP204" s="564"/>
      <c r="HQ204" s="321"/>
      <c r="HR204" s="439"/>
      <c r="HS204" s="321"/>
      <c r="HT204" s="321"/>
      <c r="HU204" s="321"/>
      <c r="HV204" s="432"/>
      <c r="HW204" s="321"/>
      <c r="HX204" s="321"/>
      <c r="HY204" s="432"/>
      <c r="HZ204" s="321"/>
      <c r="IA204" s="321"/>
      <c r="IB204" s="432"/>
      <c r="IC204" s="321"/>
      <c r="ID204" s="321"/>
      <c r="IE204" s="321"/>
      <c r="IF204" s="321"/>
      <c r="IG204" s="483"/>
      <c r="IH204" s="321"/>
      <c r="II204" s="321"/>
      <c r="IJ204" s="321"/>
      <c r="IK204" s="432"/>
      <c r="IL204" s="414"/>
      <c r="IM204" s="414"/>
      <c r="IN204" s="414"/>
      <c r="IO204" s="415"/>
      <c r="IP204" s="409"/>
      <c r="IQ204" s="414"/>
      <c r="IR204" s="432"/>
      <c r="IS204" s="432"/>
      <c r="IT204" s="321"/>
      <c r="IU204" s="432"/>
      <c r="IV204" s="564"/>
    </row>
    <row r="205" spans="1:256" s="326" customFormat="1" ht="8.25" customHeight="1">
      <c r="A205" s="1308">
        <v>10</v>
      </c>
      <c r="C205" s="321"/>
      <c r="D205" s="321"/>
      <c r="E205" s="321"/>
      <c r="F205" s="321"/>
      <c r="G205" s="321"/>
      <c r="H205" s="321"/>
      <c r="I205" s="321"/>
      <c r="J205" s="321"/>
      <c r="K205" s="321"/>
      <c r="L205" s="321"/>
      <c r="M205" s="321"/>
      <c r="N205" s="321"/>
      <c r="O205" s="321"/>
      <c r="P205" s="564"/>
      <c r="Q205" s="1308">
        <v>10</v>
      </c>
      <c r="R205" s="321"/>
      <c r="S205" s="321"/>
      <c r="T205" s="321">
        <v>10</v>
      </c>
      <c r="U205" s="321"/>
      <c r="V205" s="321"/>
      <c r="W205" s="321"/>
      <c r="X205" s="321"/>
      <c r="Y205" s="321"/>
      <c r="Z205" s="321"/>
      <c r="AA205" s="321"/>
      <c r="AB205" s="321"/>
      <c r="AC205" s="321"/>
      <c r="AD205" s="321">
        <v>10</v>
      </c>
      <c r="AE205" s="321"/>
      <c r="AF205" s="564"/>
      <c r="AG205" s="1308">
        <v>10</v>
      </c>
      <c r="AH205" s="321"/>
      <c r="AI205" s="321"/>
      <c r="AJ205" s="443">
        <v>8</v>
      </c>
      <c r="AK205" s="321"/>
      <c r="AL205" s="321"/>
      <c r="AM205" s="321"/>
      <c r="AN205" s="321"/>
      <c r="AO205" s="321"/>
      <c r="AP205" s="321">
        <v>10</v>
      </c>
      <c r="AQ205" s="321"/>
      <c r="AR205" s="321"/>
      <c r="AS205" s="321"/>
      <c r="AT205" s="321"/>
      <c r="AU205" s="321"/>
      <c r="AV205" s="564"/>
      <c r="AW205" s="1308">
        <v>10</v>
      </c>
      <c r="AX205" s="321"/>
      <c r="AY205" s="321"/>
      <c r="AZ205" s="321"/>
      <c r="BA205" s="321"/>
      <c r="BB205" s="321"/>
      <c r="BC205" s="321"/>
      <c r="BD205" s="321"/>
      <c r="BE205" s="321"/>
      <c r="BF205" s="321"/>
      <c r="BG205" s="321"/>
      <c r="BH205" s="321"/>
      <c r="BI205" s="321"/>
      <c r="BJ205" s="321"/>
      <c r="BK205" s="321"/>
      <c r="BL205" s="564"/>
      <c r="BM205" s="1308">
        <v>10</v>
      </c>
      <c r="BN205" s="321"/>
      <c r="BO205" s="321"/>
      <c r="BP205" s="321"/>
      <c r="BQ205" s="321"/>
      <c r="BR205" s="321"/>
      <c r="BS205" s="321"/>
      <c r="BT205" s="321"/>
      <c r="BU205" s="321"/>
      <c r="BV205" s="321"/>
      <c r="BW205" s="321"/>
      <c r="BX205" s="321"/>
      <c r="BY205" s="321"/>
      <c r="BZ205" s="321"/>
      <c r="CA205" s="321"/>
      <c r="CB205" s="564"/>
      <c r="CC205" s="1308">
        <v>10</v>
      </c>
      <c r="CD205" s="321"/>
      <c r="CE205" s="321"/>
      <c r="CF205" s="321"/>
      <c r="CG205" s="321"/>
      <c r="CH205" s="321"/>
      <c r="CI205" s="321"/>
      <c r="CJ205" s="321"/>
      <c r="CK205" s="321"/>
      <c r="CL205" s="321"/>
      <c r="CM205" s="321"/>
      <c r="CN205" s="321"/>
      <c r="CO205" s="321"/>
      <c r="CP205" s="321"/>
      <c r="CQ205" s="321"/>
      <c r="CR205" s="564"/>
      <c r="CS205" s="1308">
        <v>10</v>
      </c>
      <c r="CU205" s="321"/>
      <c r="CV205" s="321"/>
      <c r="CW205" s="321"/>
      <c r="CX205" s="321"/>
      <c r="CY205" s="321"/>
      <c r="CZ205" s="321"/>
      <c r="DA205" s="321"/>
      <c r="DB205" s="321"/>
      <c r="DC205" s="321"/>
      <c r="DD205" s="321"/>
      <c r="DE205" s="321"/>
      <c r="DF205" s="321"/>
      <c r="DG205" s="321"/>
      <c r="DH205" s="564"/>
      <c r="DI205" s="1308">
        <v>10</v>
      </c>
      <c r="DJ205" s="321"/>
      <c r="DK205" s="321"/>
      <c r="DL205" s="321"/>
      <c r="DM205" s="321"/>
      <c r="DN205" s="321"/>
      <c r="DO205" s="321"/>
      <c r="DP205" s="321"/>
      <c r="DQ205" s="321"/>
      <c r="DR205" s="445">
        <v>0</v>
      </c>
      <c r="DS205" s="321"/>
      <c r="DT205" s="321"/>
      <c r="DU205" s="321"/>
      <c r="DV205" s="321"/>
      <c r="DW205" s="321"/>
      <c r="DX205" s="564"/>
      <c r="DY205" s="1308">
        <v>10</v>
      </c>
      <c r="DZ205" s="321"/>
      <c r="EA205" s="321"/>
      <c r="EB205" s="321"/>
      <c r="EC205" s="445">
        <v>0</v>
      </c>
      <c r="ED205" s="321"/>
      <c r="EE205" s="321"/>
      <c r="EF205" s="321"/>
      <c r="EG205" s="321"/>
      <c r="EH205" s="321"/>
      <c r="EI205" s="321"/>
      <c r="EJ205" s="321"/>
      <c r="EK205" s="321"/>
      <c r="EL205" s="321"/>
      <c r="EM205" s="445">
        <v>0</v>
      </c>
      <c r="EN205" s="321"/>
      <c r="EO205" s="429"/>
      <c r="EP205" s="409"/>
      <c r="EQ205" s="420"/>
      <c r="ER205" s="409"/>
      <c r="ES205" s="409"/>
      <c r="ET205" s="415"/>
      <c r="EU205" s="429"/>
      <c r="EV205" s="429"/>
      <c r="EW205" s="429"/>
      <c r="EX205" s="409"/>
      <c r="EY205" s="415"/>
      <c r="EZ205" s="409"/>
      <c r="FA205" s="409"/>
      <c r="FB205" s="420"/>
      <c r="FC205" s="409"/>
      <c r="FD205" s="420"/>
      <c r="FE205" s="429"/>
      <c r="FF205" s="420"/>
      <c r="FG205" s="420"/>
      <c r="FH205" s="420"/>
      <c r="FI205" s="420"/>
      <c r="FJ205" s="420"/>
      <c r="FK205" s="420"/>
      <c r="FL205" s="420"/>
      <c r="FM205" s="420"/>
      <c r="FN205" s="420"/>
      <c r="FO205" s="420"/>
      <c r="FP205" s="420"/>
      <c r="FQ205" s="420"/>
      <c r="FR205" s="420"/>
      <c r="FS205" s="420"/>
      <c r="FT205" s="420"/>
      <c r="FU205" s="422"/>
      <c r="FV205" s="443"/>
      <c r="FW205" s="436"/>
      <c r="FX205" s="429"/>
      <c r="FY205" s="443"/>
      <c r="FZ205" s="436"/>
      <c r="GA205" s="429"/>
      <c r="GB205" s="443"/>
      <c r="GC205" s="436"/>
      <c r="GD205" s="429"/>
      <c r="GE205" s="443"/>
      <c r="GF205" s="436"/>
      <c r="GG205" s="429"/>
      <c r="GH205" s="443"/>
      <c r="GI205" s="436"/>
      <c r="GJ205" s="422"/>
      <c r="GK205" s="1308"/>
      <c r="GL205" s="321"/>
      <c r="GM205" s="321"/>
      <c r="GN205" s="321"/>
      <c r="GO205" s="321"/>
      <c r="GP205" s="321"/>
      <c r="GQ205" s="321"/>
      <c r="GR205" s="321"/>
      <c r="GS205" s="321"/>
      <c r="GT205" s="321"/>
      <c r="GU205" s="321"/>
      <c r="GV205" s="321"/>
      <c r="GW205" s="321"/>
      <c r="GX205" s="321"/>
      <c r="GY205" s="321"/>
      <c r="GZ205" s="321"/>
      <c r="HA205" s="1308"/>
      <c r="HB205" s="321"/>
      <c r="HC205" s="321"/>
      <c r="HD205" s="439">
        <v>8</v>
      </c>
      <c r="HE205" s="321"/>
      <c r="HF205" s="321"/>
      <c r="HG205" s="321"/>
      <c r="HH205" s="432">
        <v>7</v>
      </c>
      <c r="HI205" s="321"/>
      <c r="HJ205" s="321"/>
      <c r="HK205" s="432">
        <v>6</v>
      </c>
      <c r="HL205" s="321"/>
      <c r="HM205" s="321"/>
      <c r="HN205" s="321"/>
      <c r="HO205" s="321"/>
      <c r="HP205" s="564"/>
      <c r="HQ205" s="321"/>
      <c r="HR205" s="432"/>
      <c r="HS205" s="321"/>
      <c r="HT205" s="321"/>
      <c r="HU205" s="321"/>
      <c r="HV205" s="439"/>
      <c r="HW205" s="321"/>
      <c r="HX205" s="432"/>
      <c r="HY205" s="439"/>
      <c r="HZ205" s="432"/>
      <c r="IA205" s="321"/>
      <c r="IB205" s="321"/>
      <c r="IC205" s="439"/>
      <c r="ID205" s="321"/>
      <c r="IE205" s="321"/>
      <c r="IF205" s="321"/>
      <c r="IG205" s="483"/>
      <c r="IH205" s="439"/>
      <c r="II205" s="321"/>
      <c r="IJ205" s="321"/>
      <c r="IK205" s="414"/>
      <c r="IL205" s="414"/>
      <c r="IM205" s="415"/>
      <c r="IN205" s="414"/>
      <c r="IO205" s="415"/>
      <c r="IP205" s="414"/>
      <c r="IQ205" s="417"/>
      <c r="IR205" s="439"/>
      <c r="IS205" s="432"/>
      <c r="IT205" s="321"/>
      <c r="IU205" s="321"/>
      <c r="IV205" s="564"/>
    </row>
    <row r="206" spans="1:256" s="326" customFormat="1" ht="8.25" customHeight="1">
      <c r="A206" s="1308">
        <v>16</v>
      </c>
      <c r="C206" s="321"/>
      <c r="D206" s="321"/>
      <c r="E206" s="321"/>
      <c r="F206" s="321"/>
      <c r="G206" s="321"/>
      <c r="H206" s="321"/>
      <c r="I206" s="321"/>
      <c r="J206" s="321"/>
      <c r="K206" s="321"/>
      <c r="L206" s="321"/>
      <c r="M206" s="321"/>
      <c r="N206" s="321"/>
      <c r="O206" s="321"/>
      <c r="P206" s="564"/>
      <c r="Q206" s="1308">
        <v>48</v>
      </c>
      <c r="R206" s="321"/>
      <c r="S206" s="321"/>
      <c r="T206" s="321"/>
      <c r="U206" s="443">
        <v>8</v>
      </c>
      <c r="V206" s="321"/>
      <c r="W206" s="321"/>
      <c r="X206" s="321"/>
      <c r="Y206" s="321"/>
      <c r="Z206" s="321"/>
      <c r="AA206" s="321"/>
      <c r="AB206" s="321"/>
      <c r="AC206" s="321">
        <v>10</v>
      </c>
      <c r="AD206" s="443">
        <v>8</v>
      </c>
      <c r="AE206" s="321"/>
      <c r="AF206" s="564"/>
      <c r="AG206" s="1308"/>
      <c r="AH206" s="321"/>
      <c r="AI206" s="321"/>
      <c r="AJ206" s="321"/>
      <c r="AK206" s="443">
        <v>8</v>
      </c>
      <c r="AL206" s="321"/>
      <c r="AM206" s="321"/>
      <c r="AN206" s="321"/>
      <c r="AO206" s="321"/>
      <c r="AP206" s="449">
        <v>9</v>
      </c>
      <c r="AQ206" s="321"/>
      <c r="AR206" s="321"/>
      <c r="AS206" s="321"/>
      <c r="AT206" s="321"/>
      <c r="AU206" s="443">
        <v>8</v>
      </c>
      <c r="AV206" s="564"/>
      <c r="AW206" s="321"/>
      <c r="AX206" s="321"/>
      <c r="AY206" s="321"/>
      <c r="AZ206" s="321"/>
      <c r="BA206" s="321"/>
      <c r="BB206" s="321"/>
      <c r="BC206" s="321"/>
      <c r="BD206" s="321"/>
      <c r="BE206" s="321"/>
      <c r="BF206" s="321"/>
      <c r="BG206" s="321"/>
      <c r="BH206" s="321"/>
      <c r="BI206" s="321"/>
      <c r="BJ206" s="321"/>
      <c r="BK206" s="321"/>
      <c r="BL206" s="564"/>
      <c r="BM206" s="321"/>
      <c r="BN206" s="321"/>
      <c r="BO206" s="321"/>
      <c r="BP206" s="321"/>
      <c r="BQ206" s="321"/>
      <c r="BR206" s="321"/>
      <c r="BS206" s="321"/>
      <c r="BT206" s="321"/>
      <c r="BU206" s="321"/>
      <c r="BV206" s="321"/>
      <c r="BW206" s="321"/>
      <c r="BX206" s="321"/>
      <c r="BY206" s="321"/>
      <c r="BZ206" s="321"/>
      <c r="CA206" s="321"/>
      <c r="CB206" s="564"/>
      <c r="CC206" s="321"/>
      <c r="CD206" s="321"/>
      <c r="CE206" s="321"/>
      <c r="CF206" s="321"/>
      <c r="CG206" s="321"/>
      <c r="CH206" s="321"/>
      <c r="CI206" s="321"/>
      <c r="CJ206" s="321"/>
      <c r="CK206" s="321"/>
      <c r="CL206" s="321"/>
      <c r="CM206" s="321"/>
      <c r="CN206" s="321"/>
      <c r="CO206" s="321"/>
      <c r="CP206" s="321"/>
      <c r="CQ206" s="321"/>
      <c r="CR206" s="564"/>
      <c r="CS206" s="1308">
        <v>53</v>
      </c>
      <c r="CU206" s="321"/>
      <c r="CV206" s="321"/>
      <c r="CW206" s="321"/>
      <c r="CX206" s="321"/>
      <c r="CY206" s="321"/>
      <c r="CZ206" s="321"/>
      <c r="DA206" s="321"/>
      <c r="DB206" s="445">
        <v>0</v>
      </c>
      <c r="DC206" s="321"/>
      <c r="DD206" s="321"/>
      <c r="DE206" s="321"/>
      <c r="DF206" s="321"/>
      <c r="DG206" s="321"/>
      <c r="DH206" s="564"/>
      <c r="DI206" s="1308">
        <v>41</v>
      </c>
      <c r="DJ206" s="321"/>
      <c r="DK206" s="321"/>
      <c r="DL206" s="321"/>
      <c r="DM206" s="445">
        <v>0</v>
      </c>
      <c r="DN206" s="321"/>
      <c r="DO206" s="321"/>
      <c r="DP206" s="321"/>
      <c r="DQ206" s="321">
        <v>10</v>
      </c>
      <c r="DR206" s="451">
        <v>0</v>
      </c>
      <c r="DS206" s="321"/>
      <c r="DT206" s="321"/>
      <c r="DU206" s="321"/>
      <c r="DV206" s="445">
        <v>0</v>
      </c>
      <c r="DW206" s="321"/>
      <c r="DX206" s="564"/>
      <c r="DY206" s="1308"/>
      <c r="DZ206" s="321"/>
      <c r="EA206" s="321"/>
      <c r="EB206" s="321"/>
      <c r="EC206" s="321">
        <v>10</v>
      </c>
      <c r="ED206" s="321"/>
      <c r="EE206" s="321"/>
      <c r="EF206" s="321"/>
      <c r="EG206" s="321"/>
      <c r="EH206" s="321"/>
      <c r="EI206" s="321"/>
      <c r="EJ206" s="321"/>
      <c r="EK206" s="321"/>
      <c r="EL206" s="321"/>
      <c r="EM206" s="321"/>
      <c r="EN206" s="321"/>
      <c r="EO206" s="429"/>
      <c r="EP206" s="409"/>
      <c r="EQ206" s="420"/>
      <c r="ER206" s="420"/>
      <c r="ES206" s="415"/>
      <c r="ET206" s="420"/>
      <c r="EU206" s="420"/>
      <c r="EV206" s="420"/>
      <c r="EW206" s="420"/>
      <c r="EX206" s="420"/>
      <c r="EY206" s="420"/>
      <c r="EZ206" s="415"/>
      <c r="FA206" s="420"/>
      <c r="FB206" s="420"/>
      <c r="FC206" s="409"/>
      <c r="FD206" s="420"/>
      <c r="FE206" s="429"/>
      <c r="FF206" s="409"/>
      <c r="FG206" s="409"/>
      <c r="FH206" s="409"/>
      <c r="FI206" s="429"/>
      <c r="FJ206" s="429"/>
      <c r="FK206" s="429"/>
      <c r="FL206" s="409"/>
      <c r="FM206" s="409"/>
      <c r="FN206" s="409"/>
      <c r="FO206" s="409"/>
      <c r="FP206" s="409"/>
      <c r="FQ206" s="409"/>
      <c r="FR206" s="409"/>
      <c r="FS206" s="409"/>
      <c r="FT206" s="420"/>
      <c r="FU206" s="433"/>
      <c r="FV206" s="433"/>
      <c r="FW206" s="433"/>
      <c r="FX206" s="433"/>
      <c r="FY206" s="433"/>
      <c r="FZ206" s="433"/>
      <c r="GA206" s="433"/>
      <c r="GB206" s="433"/>
      <c r="GC206" s="433"/>
      <c r="GD206" s="433"/>
      <c r="GE206" s="433"/>
      <c r="GF206" s="433"/>
      <c r="GG206" s="433"/>
      <c r="GH206" s="433"/>
      <c r="GI206" s="433"/>
      <c r="GJ206" s="433"/>
      <c r="GK206" s="1308"/>
      <c r="GL206" s="321"/>
      <c r="GM206" s="321"/>
      <c r="GN206" s="321"/>
      <c r="GO206" s="321"/>
      <c r="GP206" s="321"/>
      <c r="GQ206" s="321"/>
      <c r="GR206" s="321"/>
      <c r="GS206" s="321"/>
      <c r="GT206" s="321"/>
      <c r="GU206" s="321"/>
      <c r="GV206" s="321"/>
      <c r="GW206" s="321"/>
      <c r="GX206" s="321"/>
      <c r="GY206" s="321"/>
      <c r="GZ206" s="321"/>
      <c r="HA206" s="1308"/>
      <c r="HB206" s="321"/>
      <c r="HC206" s="321"/>
      <c r="HD206" s="432"/>
      <c r="HE206" s="321"/>
      <c r="HF206" s="321"/>
      <c r="HG206" s="321"/>
      <c r="HH206" s="439">
        <v>8</v>
      </c>
      <c r="HI206" s="321"/>
      <c r="HJ206" s="321"/>
      <c r="HK206" s="321"/>
      <c r="HL206" s="439">
        <v>8</v>
      </c>
      <c r="HM206" s="321"/>
      <c r="HN206" s="321"/>
      <c r="HO206" s="321"/>
      <c r="HP206" s="564"/>
      <c r="HQ206" s="321">
        <v>31</v>
      </c>
      <c r="HR206" s="321"/>
      <c r="HS206" s="432"/>
      <c r="HT206" s="432"/>
      <c r="HU206" s="321"/>
      <c r="HV206" s="321"/>
      <c r="HW206" s="432"/>
      <c r="HX206" s="417"/>
      <c r="HY206" s="414"/>
      <c r="HZ206" s="414"/>
      <c r="IA206" s="321"/>
      <c r="IB206" s="432"/>
      <c r="IC206" s="321"/>
      <c r="ID206" s="321"/>
      <c r="IE206" s="321"/>
      <c r="IF206" s="432"/>
      <c r="IG206" s="1242">
        <v>23</v>
      </c>
      <c r="IH206" s="321"/>
      <c r="II206" s="432"/>
      <c r="IJ206" s="439"/>
      <c r="IK206" s="409"/>
      <c r="IL206" s="417"/>
      <c r="IM206" s="415"/>
      <c r="IN206" s="415"/>
      <c r="IO206" s="414"/>
      <c r="IP206" s="417"/>
      <c r="IQ206" s="415"/>
      <c r="IR206" s="415"/>
      <c r="IS206" s="414"/>
      <c r="IT206" s="432"/>
      <c r="IU206" s="321"/>
      <c r="IV206" s="564"/>
    </row>
    <row r="207" spans="1:256" s="326" customFormat="1" ht="8.25" customHeight="1">
      <c r="A207" s="321">
        <v>256</v>
      </c>
      <c r="C207" s="321"/>
      <c r="D207" s="321"/>
      <c r="E207" s="321"/>
      <c r="F207" s="436">
        <v>8</v>
      </c>
      <c r="G207" s="321"/>
      <c r="H207" s="321"/>
      <c r="I207" s="321"/>
      <c r="J207" s="321"/>
      <c r="K207" s="321"/>
      <c r="L207" s="321"/>
      <c r="M207" s="443">
        <v>9</v>
      </c>
      <c r="N207" s="321"/>
      <c r="O207" s="321"/>
      <c r="P207" s="564"/>
      <c r="Q207" s="321">
        <v>64</v>
      </c>
      <c r="R207" s="321"/>
      <c r="S207" s="321"/>
      <c r="T207" s="321"/>
      <c r="U207" s="443">
        <v>8</v>
      </c>
      <c r="V207" s="321"/>
      <c r="W207" s="321"/>
      <c r="X207" s="321"/>
      <c r="Y207" s="321"/>
      <c r="Z207" s="321"/>
      <c r="AA207" s="321"/>
      <c r="AB207" s="321"/>
      <c r="AC207" s="443">
        <v>8</v>
      </c>
      <c r="AD207" s="321"/>
      <c r="AE207" s="321"/>
      <c r="AF207" s="564"/>
      <c r="AG207" s="483"/>
      <c r="AH207" s="321"/>
      <c r="AI207" s="321"/>
      <c r="AJ207" s="321"/>
      <c r="AK207" s="321">
        <v>10</v>
      </c>
      <c r="AL207" s="321"/>
      <c r="AM207" s="321"/>
      <c r="AN207" s="321"/>
      <c r="AO207" s="321"/>
      <c r="AP207" s="321"/>
      <c r="AQ207" s="321"/>
      <c r="AR207" s="321"/>
      <c r="AS207" s="321"/>
      <c r="AT207" s="321">
        <v>10</v>
      </c>
      <c r="AU207" s="321"/>
      <c r="AV207" s="564"/>
      <c r="CS207" s="321">
        <v>128</v>
      </c>
      <c r="CU207" s="321"/>
      <c r="CV207" s="321"/>
      <c r="CW207" s="321"/>
      <c r="CX207" s="445">
        <v>0</v>
      </c>
      <c r="CY207" s="321"/>
      <c r="CZ207" s="321"/>
      <c r="DA207" s="321"/>
      <c r="DB207" s="458">
        <v>0</v>
      </c>
      <c r="DC207" s="321"/>
      <c r="DE207" s="445">
        <v>0</v>
      </c>
      <c r="DF207" s="321"/>
      <c r="DG207" s="321"/>
      <c r="DH207" s="564"/>
      <c r="DI207" s="321">
        <v>256</v>
      </c>
      <c r="DJ207" s="321"/>
      <c r="DK207" s="321"/>
      <c r="DL207" s="321"/>
      <c r="DM207" s="445">
        <v>0</v>
      </c>
      <c r="DN207" s="321"/>
      <c r="DO207" s="321"/>
      <c r="DP207" s="321"/>
      <c r="DQ207" s="321"/>
      <c r="DR207" s="321"/>
      <c r="DS207" s="321"/>
      <c r="DT207" s="321"/>
      <c r="DU207" s="445">
        <v>0</v>
      </c>
      <c r="DV207" s="321"/>
      <c r="DW207" s="321"/>
      <c r="DX207" s="564"/>
      <c r="DY207" s="321"/>
      <c r="DZ207" s="321"/>
      <c r="EA207" s="321"/>
      <c r="EB207" s="321"/>
      <c r="EC207" s="445">
        <v>0</v>
      </c>
      <c r="ED207" s="451">
        <v>0</v>
      </c>
      <c r="EE207" s="321"/>
      <c r="EF207" s="321"/>
      <c r="EG207" s="321"/>
      <c r="EH207" s="321"/>
      <c r="EI207" s="321"/>
      <c r="EJ207" s="321"/>
      <c r="EK207" s="445">
        <v>0</v>
      </c>
      <c r="EL207" s="321">
        <v>10</v>
      </c>
      <c r="EM207" s="321"/>
      <c r="EN207" s="321"/>
      <c r="EO207" s="429"/>
      <c r="EP207" s="415"/>
      <c r="EQ207" s="409"/>
      <c r="ER207" s="409"/>
      <c r="ES207" s="409"/>
      <c r="ET207" s="409"/>
      <c r="EU207" s="409"/>
      <c r="EV207" s="409"/>
      <c r="EW207" s="409"/>
      <c r="EX207" s="409"/>
      <c r="EY207" s="409"/>
      <c r="EZ207" s="409"/>
      <c r="FA207" s="409"/>
      <c r="FB207" s="409"/>
      <c r="FC207" s="415"/>
      <c r="FD207" s="420"/>
      <c r="FE207" s="429"/>
      <c r="FF207" s="409"/>
      <c r="FG207" s="409"/>
      <c r="FH207" s="409"/>
      <c r="FI207" s="409"/>
      <c r="FJ207" s="409"/>
      <c r="FK207" s="409"/>
      <c r="FL207" s="409"/>
      <c r="FM207" s="420"/>
      <c r="FN207" s="420"/>
      <c r="FO207" s="420"/>
      <c r="FP207" s="420"/>
      <c r="FQ207" s="420"/>
      <c r="FR207" s="409"/>
      <c r="FS207" s="409"/>
      <c r="FT207" s="420"/>
      <c r="FU207" s="440"/>
      <c r="FV207" s="440"/>
      <c r="FW207" s="440"/>
      <c r="FX207" s="440"/>
      <c r="FY207" s="440"/>
      <c r="FZ207" s="440"/>
      <c r="GA207" s="440"/>
      <c r="GB207" s="440"/>
      <c r="GC207" s="440"/>
      <c r="GD207" s="440"/>
      <c r="GE207" s="440"/>
      <c r="GF207" s="440"/>
      <c r="GG207" s="440"/>
      <c r="GH207" s="440"/>
      <c r="GI207" s="440"/>
      <c r="GJ207" s="440"/>
      <c r="GK207" s="321"/>
      <c r="GL207" s="321"/>
      <c r="GM207" s="321"/>
      <c r="GN207" s="321"/>
      <c r="GO207" s="321"/>
      <c r="GP207" s="321"/>
      <c r="GQ207" s="321"/>
      <c r="GR207" s="321"/>
      <c r="GS207" s="321"/>
      <c r="GT207" s="321"/>
      <c r="GU207" s="421">
        <v>6</v>
      </c>
      <c r="GV207" s="321"/>
      <c r="GW207" s="321"/>
      <c r="GX207" s="321"/>
      <c r="GY207" s="321"/>
      <c r="GZ207" s="321"/>
      <c r="HA207" s="483"/>
      <c r="HB207" s="321"/>
      <c r="HC207" s="321"/>
      <c r="HD207" s="321"/>
      <c r="HE207" s="432">
        <v>7</v>
      </c>
      <c r="HF207" s="432">
        <v>7</v>
      </c>
      <c r="HG207" s="321"/>
      <c r="HH207" s="321"/>
      <c r="HI207" s="432">
        <v>7</v>
      </c>
      <c r="HJ207" s="321"/>
      <c r="HK207" s="432">
        <v>7</v>
      </c>
      <c r="HL207" s="321"/>
      <c r="HM207" s="321"/>
      <c r="HN207" s="321"/>
      <c r="HO207" s="432">
        <v>6</v>
      </c>
      <c r="HP207" s="564"/>
      <c r="HQ207" s="321">
        <v>200</v>
      </c>
      <c r="HR207" s="432"/>
      <c r="HS207" s="321"/>
      <c r="HT207" s="321"/>
      <c r="HU207" s="439"/>
      <c r="HV207" s="321"/>
      <c r="HW207" s="439"/>
      <c r="HX207" s="414"/>
      <c r="HY207" s="415"/>
      <c r="HZ207" s="439"/>
      <c r="IA207" s="432"/>
      <c r="IB207" s="321"/>
      <c r="IC207" s="321"/>
      <c r="ID207" s="321"/>
      <c r="IE207" s="439"/>
      <c r="IF207" s="321"/>
      <c r="IG207" s="321">
        <v>256</v>
      </c>
      <c r="IH207" s="321"/>
      <c r="II207" s="439"/>
      <c r="IJ207" s="432"/>
      <c r="IK207" s="414"/>
      <c r="IL207" s="417"/>
      <c r="IM207" s="415"/>
      <c r="IN207" s="415"/>
      <c r="IO207" s="414"/>
      <c r="IP207" s="415"/>
      <c r="IQ207" s="415"/>
      <c r="IR207" s="414"/>
      <c r="IS207" s="432"/>
      <c r="IT207" s="321"/>
      <c r="IU207" s="321"/>
      <c r="IV207" s="321"/>
    </row>
    <row r="208" spans="1:256" s="326" customFormat="1" ht="8.25" customHeight="1">
      <c r="A208" s="321"/>
      <c r="C208" s="321"/>
      <c r="D208" s="321"/>
      <c r="E208" s="321"/>
      <c r="F208" s="443">
        <v>9</v>
      </c>
      <c r="G208" s="443"/>
      <c r="H208" s="321"/>
      <c r="I208" s="321"/>
      <c r="J208" s="321"/>
      <c r="K208" s="321"/>
      <c r="L208" s="443">
        <v>8</v>
      </c>
      <c r="M208" s="321"/>
      <c r="N208" s="321"/>
      <c r="O208" s="321"/>
      <c r="P208" s="564"/>
      <c r="Q208" s="321"/>
      <c r="R208" s="321"/>
      <c r="S208" s="321"/>
      <c r="T208" s="321"/>
      <c r="U208" s="321"/>
      <c r="V208" s="446">
        <v>9</v>
      </c>
      <c r="W208" s="456">
        <v>10</v>
      </c>
      <c r="X208" s="321"/>
      <c r="Y208" s="321"/>
      <c r="Z208" s="321"/>
      <c r="AA208" s="321"/>
      <c r="AB208" s="456">
        <v>10</v>
      </c>
      <c r="AC208" s="456">
        <v>9</v>
      </c>
      <c r="AD208" s="321"/>
      <c r="AE208" s="321"/>
      <c r="AF208" s="564"/>
      <c r="AG208" s="1308"/>
      <c r="AH208" s="321"/>
      <c r="AI208" s="321"/>
      <c r="AJ208" s="321"/>
      <c r="AK208" s="443">
        <v>7</v>
      </c>
      <c r="AL208" s="449">
        <v>9</v>
      </c>
      <c r="AM208" s="321"/>
      <c r="AN208" s="321"/>
      <c r="AO208" s="321"/>
      <c r="AP208" s="321"/>
      <c r="AQ208" s="321"/>
      <c r="AR208" s="321"/>
      <c r="AS208" s="449">
        <v>9</v>
      </c>
      <c r="AT208" s="321"/>
      <c r="AU208" s="321"/>
      <c r="AV208" s="564"/>
      <c r="CS208" s="321"/>
      <c r="CT208" s="321"/>
      <c r="CU208" s="321"/>
      <c r="CV208" s="321"/>
      <c r="CW208" s="321"/>
      <c r="CX208" s="445">
        <v>0</v>
      </c>
      <c r="CY208" s="445">
        <v>0</v>
      </c>
      <c r="CZ208" s="321"/>
      <c r="DA208" s="321"/>
      <c r="DB208" s="321"/>
      <c r="DC208" s="321"/>
      <c r="DE208" s="321"/>
      <c r="DF208" s="321"/>
      <c r="DG208" s="321"/>
      <c r="DH208" s="564"/>
      <c r="DI208" s="321"/>
      <c r="DJ208" s="321"/>
      <c r="DK208" s="321"/>
      <c r="DL208" s="321"/>
      <c r="DM208" s="321"/>
      <c r="DN208" s="451">
        <v>0</v>
      </c>
      <c r="DO208" s="445">
        <v>0</v>
      </c>
      <c r="DP208" s="321">
        <v>10</v>
      </c>
      <c r="DQ208" s="321">
        <v>10</v>
      </c>
      <c r="DR208" s="321">
        <v>10</v>
      </c>
      <c r="DS208" s="321"/>
      <c r="DT208" s="451">
        <v>0</v>
      </c>
      <c r="DU208" s="445">
        <v>0</v>
      </c>
      <c r="DV208" s="321"/>
      <c r="DW208" s="321"/>
      <c r="DX208" s="564"/>
      <c r="DY208" s="321"/>
      <c r="DZ208" s="321"/>
      <c r="EA208" s="321"/>
      <c r="EB208" s="321"/>
      <c r="EC208" s="321"/>
      <c r="ED208" s="321">
        <v>10</v>
      </c>
      <c r="EE208" s="449">
        <v>0</v>
      </c>
      <c r="EF208" s="321">
        <v>10</v>
      </c>
      <c r="EG208" s="321"/>
      <c r="EH208" s="321"/>
      <c r="EI208" s="321">
        <v>10</v>
      </c>
      <c r="EJ208" s="451">
        <v>0</v>
      </c>
      <c r="EK208" s="445">
        <v>0</v>
      </c>
      <c r="EL208" s="321"/>
      <c r="EM208" s="321"/>
      <c r="EN208" s="321"/>
      <c r="EO208" s="676"/>
      <c r="EP208" s="581"/>
      <c r="EQ208" s="581"/>
      <c r="ER208" s="581"/>
      <c r="ES208" s="581"/>
      <c r="ET208" s="581"/>
      <c r="EU208" s="581"/>
      <c r="EV208" s="581"/>
      <c r="EW208" s="581"/>
      <c r="EX208" s="581"/>
      <c r="EY208" s="581"/>
      <c r="EZ208" s="581"/>
      <c r="FA208" s="581"/>
      <c r="FB208" s="581"/>
      <c r="FC208" s="581"/>
      <c r="FD208" s="581"/>
      <c r="FE208" s="409"/>
      <c r="FF208" s="581"/>
      <c r="FG208" s="581"/>
      <c r="FH208" s="581"/>
      <c r="FI208" s="581"/>
      <c r="FJ208" s="581"/>
      <c r="FK208" s="581"/>
      <c r="FL208" s="581"/>
      <c r="FM208" s="581"/>
      <c r="FN208" s="581"/>
      <c r="FO208" s="581"/>
      <c r="FP208" s="581"/>
      <c r="FQ208" s="581"/>
      <c r="FR208" s="581"/>
      <c r="FS208" s="581"/>
      <c r="FT208" s="581"/>
      <c r="FU208" s="1236"/>
      <c r="FV208" s="328"/>
      <c r="FW208" s="328"/>
      <c r="FX208" s="328"/>
      <c r="FY208" s="328"/>
      <c r="FZ208" s="328"/>
      <c r="GA208" s="328"/>
      <c r="GB208" s="328"/>
      <c r="GC208" s="328"/>
      <c r="GD208" s="328"/>
      <c r="GE208" s="328"/>
      <c r="GF208" s="328"/>
      <c r="GG208" s="328"/>
      <c r="GH208" s="328"/>
      <c r="GI208" s="328"/>
      <c r="GJ208" s="1237"/>
      <c r="GK208" s="321"/>
      <c r="GL208" s="321"/>
      <c r="GM208" s="321"/>
      <c r="GN208" s="321"/>
      <c r="GO208" s="321"/>
      <c r="GP208" s="432">
        <v>7</v>
      </c>
      <c r="GQ208" s="439">
        <v>8</v>
      </c>
      <c r="GR208" s="321"/>
      <c r="GS208" s="321"/>
      <c r="GT208" s="421">
        <v>6</v>
      </c>
      <c r="GU208" s="321"/>
      <c r="GV208" s="321"/>
      <c r="GW208" s="321"/>
      <c r="GX208" s="321"/>
      <c r="GY208" s="321"/>
      <c r="GZ208" s="321"/>
      <c r="HA208" s="483"/>
      <c r="HB208" s="321"/>
      <c r="HC208" s="321"/>
      <c r="HD208" s="321"/>
      <c r="HE208" s="321"/>
      <c r="HF208" s="321"/>
      <c r="HG208" s="439">
        <v>8</v>
      </c>
      <c r="HH208" s="321"/>
      <c r="HI208" s="439">
        <v>8</v>
      </c>
      <c r="HJ208" s="432">
        <v>7</v>
      </c>
      <c r="HK208" s="321"/>
      <c r="HL208" s="321"/>
      <c r="HM208" s="321"/>
      <c r="HN208" s="432">
        <v>6</v>
      </c>
      <c r="HO208" s="321"/>
      <c r="HP208" s="564"/>
      <c r="HQ208" s="321"/>
      <c r="HR208" s="321"/>
      <c r="HS208" s="321"/>
      <c r="HT208" s="321"/>
      <c r="HU208" s="432"/>
      <c r="HV208" s="439"/>
      <c r="HW208" s="432"/>
      <c r="HX208" s="414"/>
      <c r="HY208" s="415"/>
      <c r="HZ208" s="414"/>
      <c r="IA208" s="414"/>
      <c r="IB208" s="432"/>
      <c r="IC208" s="439"/>
      <c r="ID208" s="321"/>
      <c r="IE208" s="432"/>
      <c r="IF208" s="321"/>
      <c r="IG208" s="483"/>
      <c r="IH208" s="321"/>
      <c r="II208" s="432"/>
      <c r="IJ208" s="414"/>
      <c r="IK208" s="414"/>
      <c r="IL208" s="415"/>
      <c r="IM208" s="417"/>
      <c r="IN208" s="415"/>
      <c r="IO208" s="415"/>
      <c r="IP208" s="414"/>
      <c r="IQ208" s="415"/>
      <c r="IR208" s="414"/>
      <c r="IS208" s="414"/>
      <c r="IT208" s="432"/>
      <c r="IU208" s="439"/>
      <c r="IV208" s="321"/>
    </row>
    <row r="209" spans="1:256" s="326" customFormat="1" ht="8.25" customHeight="1">
      <c r="A209" s="321"/>
      <c r="C209" s="321"/>
      <c r="D209" s="321"/>
      <c r="E209" s="321"/>
      <c r="F209" s="321"/>
      <c r="G209" s="446"/>
      <c r="H209" s="456"/>
      <c r="I209" s="321">
        <v>10</v>
      </c>
      <c r="J209" s="321">
        <v>10</v>
      </c>
      <c r="K209" s="456"/>
      <c r="L209" s="456">
        <v>10</v>
      </c>
      <c r="M209" s="321"/>
      <c r="N209" s="321"/>
      <c r="O209" s="321"/>
      <c r="P209" s="564"/>
      <c r="Q209" s="321"/>
      <c r="R209" s="321"/>
      <c r="S209" s="321"/>
      <c r="T209" s="321"/>
      <c r="U209" s="321"/>
      <c r="V209" s="443">
        <v>9</v>
      </c>
      <c r="W209" s="443">
        <v>9</v>
      </c>
      <c r="X209" s="456">
        <v>10</v>
      </c>
      <c r="Y209" s="321">
        <v>10</v>
      </c>
      <c r="Z209" s="321">
        <v>10</v>
      </c>
      <c r="AA209" s="449"/>
      <c r="AB209" s="446">
        <v>10</v>
      </c>
      <c r="AC209" s="321"/>
      <c r="AD209" s="321"/>
      <c r="AE209" s="321"/>
      <c r="AF209" s="564"/>
      <c r="AG209" s="1308"/>
      <c r="AH209" s="321"/>
      <c r="AI209" s="321"/>
      <c r="AJ209" s="321"/>
      <c r="AK209" s="321"/>
      <c r="AL209" s="321"/>
      <c r="AM209" s="449">
        <v>9</v>
      </c>
      <c r="AN209" s="321"/>
      <c r="AO209" s="321"/>
      <c r="AP209" s="321"/>
      <c r="AQ209" s="321"/>
      <c r="AR209" s="449">
        <v>9</v>
      </c>
      <c r="AS209" s="446">
        <v>9</v>
      </c>
      <c r="AT209" s="321"/>
      <c r="AU209" s="321"/>
      <c r="AV209" s="564"/>
      <c r="AW209" s="321"/>
      <c r="AX209" s="321"/>
      <c r="AY209" s="321"/>
      <c r="AZ209" s="321"/>
      <c r="BA209" s="321"/>
      <c r="BB209" s="321"/>
      <c r="BC209" s="321">
        <v>10</v>
      </c>
      <c r="BD209" s="321">
        <v>10</v>
      </c>
      <c r="BE209" s="321">
        <v>10</v>
      </c>
      <c r="BF209" s="321">
        <v>10</v>
      </c>
      <c r="BG209" s="321"/>
      <c r="BH209" s="321"/>
      <c r="BI209" s="321"/>
      <c r="BJ209" s="321"/>
      <c r="BK209" s="321"/>
      <c r="BL209" s="564"/>
      <c r="BM209" s="321"/>
      <c r="BN209" s="321"/>
      <c r="BO209" s="321"/>
      <c r="BP209" s="321"/>
      <c r="BQ209" s="321"/>
      <c r="BR209" s="321"/>
      <c r="BS209" s="321">
        <v>10</v>
      </c>
      <c r="BT209" s="321">
        <v>10</v>
      </c>
      <c r="BU209" s="321">
        <v>10</v>
      </c>
      <c r="BV209" s="321">
        <v>10</v>
      </c>
      <c r="BW209" s="321"/>
      <c r="BX209" s="321"/>
      <c r="BY209" s="321"/>
      <c r="BZ209" s="321"/>
      <c r="CA209" s="321"/>
      <c r="CB209" s="564"/>
      <c r="CC209" s="321"/>
      <c r="CD209" s="321"/>
      <c r="CE209" s="321"/>
      <c r="CF209" s="321"/>
      <c r="CG209" s="321"/>
      <c r="CH209" s="321"/>
      <c r="CI209" s="321">
        <v>10</v>
      </c>
      <c r="CJ209" s="321">
        <v>10</v>
      </c>
      <c r="CK209" s="321">
        <v>10</v>
      </c>
      <c r="CL209" s="321">
        <v>10</v>
      </c>
      <c r="CM209" s="321"/>
      <c r="CN209" s="321"/>
      <c r="CO209" s="321"/>
      <c r="CP209" s="321"/>
      <c r="CQ209" s="321"/>
      <c r="CR209" s="564"/>
      <c r="CS209" s="321"/>
      <c r="CT209" s="321"/>
      <c r="CU209" s="321"/>
      <c r="CV209" s="321"/>
      <c r="CW209" s="321"/>
      <c r="CX209" s="321"/>
      <c r="CY209" s="451">
        <v>0</v>
      </c>
      <c r="CZ209" s="458">
        <v>0</v>
      </c>
      <c r="DA209" s="321">
        <v>10</v>
      </c>
      <c r="DB209" s="321">
        <v>10</v>
      </c>
      <c r="DC209" s="458">
        <v>0</v>
      </c>
      <c r="DD209" s="451">
        <v>0</v>
      </c>
      <c r="DE209" s="321"/>
      <c r="DF209" s="321"/>
      <c r="DG209" s="321"/>
      <c r="DH209" s="564"/>
      <c r="DI209" s="321"/>
      <c r="DJ209" s="445">
        <v>0</v>
      </c>
      <c r="DK209" s="321"/>
      <c r="DL209" s="321"/>
      <c r="DM209" s="321">
        <v>10</v>
      </c>
      <c r="DN209" s="451">
        <v>0</v>
      </c>
      <c r="DO209" s="458">
        <v>0</v>
      </c>
      <c r="DP209" s="464">
        <v>0</v>
      </c>
      <c r="DQ209" s="464">
        <v>0</v>
      </c>
      <c r="DR209" s="458">
        <v>0</v>
      </c>
      <c r="DS209" s="458">
        <v>0</v>
      </c>
      <c r="DT209" s="451">
        <v>0</v>
      </c>
      <c r="DU209" s="321"/>
      <c r="DV209" s="321"/>
      <c r="DW209" s="321"/>
      <c r="DX209" s="564"/>
      <c r="DY209" s="321"/>
      <c r="DZ209" s="321"/>
      <c r="EA209" s="321"/>
      <c r="EB209" s="321"/>
      <c r="EC209" s="321">
        <v>11</v>
      </c>
      <c r="ED209" s="321">
        <v>11</v>
      </c>
      <c r="EE209" s="321">
        <v>11</v>
      </c>
      <c r="EF209" s="449"/>
      <c r="EG209" s="321"/>
      <c r="EH209" s="321">
        <v>10</v>
      </c>
      <c r="EI209" s="456"/>
      <c r="EJ209" s="449">
        <v>0</v>
      </c>
      <c r="EK209" s="451">
        <v>0</v>
      </c>
      <c r="EL209" s="321"/>
      <c r="EM209" s="321"/>
      <c r="EN209" s="321"/>
      <c r="EO209" s="1236"/>
      <c r="EP209" s="328"/>
      <c r="EQ209" s="328"/>
      <c r="ER209" s="328"/>
      <c r="ES209" s="328"/>
      <c r="ET209" s="328"/>
      <c r="EU209" s="328"/>
      <c r="EV209" s="328"/>
      <c r="EW209" s="328"/>
      <c r="EX209" s="328"/>
      <c r="EY209" s="328"/>
      <c r="EZ209" s="328"/>
      <c r="FA209" s="328"/>
      <c r="FB209" s="328"/>
      <c r="FC209" s="328"/>
      <c r="FD209" s="1237"/>
      <c r="FE209" s="1236"/>
      <c r="FF209" s="328"/>
      <c r="FG209" s="328"/>
      <c r="FH209" s="328"/>
      <c r="FI209" s="328"/>
      <c r="FJ209" s="328"/>
      <c r="FK209" s="328"/>
      <c r="FL209" s="328"/>
      <c r="FM209" s="328"/>
      <c r="FN209" s="328"/>
      <c r="FO209" s="328"/>
      <c r="FP209" s="328"/>
      <c r="FQ209" s="328"/>
      <c r="FR209" s="328"/>
      <c r="FS209" s="328"/>
      <c r="FT209" s="1237"/>
      <c r="FU209" s="1236"/>
      <c r="FV209" s="328"/>
      <c r="FW209" s="328"/>
      <c r="FX209" s="328"/>
      <c r="FY209" s="328"/>
      <c r="FZ209" s="328"/>
      <c r="GA209" s="328"/>
      <c r="GB209" s="328"/>
      <c r="GC209" s="328"/>
      <c r="GD209" s="328"/>
      <c r="GE209" s="328"/>
      <c r="GF209" s="328"/>
      <c r="GG209" s="328"/>
      <c r="GH209" s="328"/>
      <c r="GI209" s="328"/>
      <c r="GJ209" s="1237"/>
      <c r="GK209" s="321"/>
      <c r="GL209" s="321"/>
      <c r="GM209" s="321"/>
      <c r="GN209" s="321"/>
      <c r="GO209" s="321"/>
      <c r="GP209" s="321"/>
      <c r="GQ209" s="321"/>
      <c r="GR209" s="421">
        <v>6</v>
      </c>
      <c r="GS209" s="321"/>
      <c r="GT209" s="439">
        <v>8</v>
      </c>
      <c r="GU209" s="321"/>
      <c r="GV209" s="321"/>
      <c r="GW209" s="321"/>
      <c r="GX209" s="321"/>
      <c r="GY209" s="321"/>
      <c r="GZ209" s="321"/>
      <c r="HA209" s="483"/>
      <c r="HB209" s="321"/>
      <c r="HC209" s="321"/>
      <c r="HD209" s="321"/>
      <c r="HE209" s="321"/>
      <c r="HF209" s="321"/>
      <c r="HG209" s="432">
        <v>7</v>
      </c>
      <c r="HH209" s="439">
        <v>8</v>
      </c>
      <c r="HI209" s="432"/>
      <c r="HJ209" s="414"/>
      <c r="HK209" s="432">
        <v>7</v>
      </c>
      <c r="HL209" s="439">
        <v>8</v>
      </c>
      <c r="HM209" s="321"/>
      <c r="HN209" s="432">
        <v>6</v>
      </c>
      <c r="HO209" s="321"/>
      <c r="HP209" s="564"/>
      <c r="HQ209" s="321"/>
      <c r="HR209" s="439"/>
      <c r="HS209" s="321"/>
      <c r="HT209" s="321"/>
      <c r="HU209" s="321"/>
      <c r="HV209" s="432"/>
      <c r="HW209" s="414"/>
      <c r="HX209" s="414"/>
      <c r="HY209" s="415"/>
      <c r="HZ209" s="414"/>
      <c r="IA209" s="432"/>
      <c r="IB209" s="432"/>
      <c r="IC209" s="321"/>
      <c r="ID209" s="432"/>
      <c r="IE209" s="321"/>
      <c r="IF209" s="321"/>
      <c r="IG209" s="483"/>
      <c r="IH209" s="321"/>
      <c r="II209" s="321"/>
      <c r="IJ209" s="432"/>
      <c r="IK209" s="414"/>
      <c r="IL209" s="414"/>
      <c r="IM209" s="415"/>
      <c r="IN209" s="417"/>
      <c r="IO209" s="414"/>
      <c r="IP209" s="417"/>
      <c r="IQ209" s="415"/>
      <c r="IR209" s="414"/>
      <c r="IS209" s="432"/>
      <c r="IT209" s="432"/>
      <c r="IU209" s="321"/>
      <c r="IV209" s="432"/>
    </row>
    <row r="210" spans="1:256" s="326" customFormat="1" ht="8.25" customHeight="1">
      <c r="A210" s="321"/>
      <c r="C210" s="321"/>
      <c r="D210" s="321"/>
      <c r="E210" s="321"/>
      <c r="F210" s="321">
        <v>10</v>
      </c>
      <c r="G210" s="443"/>
      <c r="H210" s="459"/>
      <c r="I210" s="443"/>
      <c r="J210" s="449"/>
      <c r="K210" s="446"/>
      <c r="L210" s="321">
        <v>10</v>
      </c>
      <c r="M210" s="321"/>
      <c r="N210" s="321"/>
      <c r="O210" s="321"/>
      <c r="P210" s="564"/>
      <c r="Q210" s="321"/>
      <c r="R210" s="321"/>
      <c r="S210" s="321"/>
      <c r="T210" s="321"/>
      <c r="U210" s="321">
        <v>11</v>
      </c>
      <c r="V210" s="456"/>
      <c r="W210" s="321">
        <v>12</v>
      </c>
      <c r="X210" s="459"/>
      <c r="Y210" s="443"/>
      <c r="Z210" s="449"/>
      <c r="AA210" s="321">
        <v>12</v>
      </c>
      <c r="AB210" s="456"/>
      <c r="AC210" s="321">
        <v>11</v>
      </c>
      <c r="AD210" s="321"/>
      <c r="AE210" s="321"/>
      <c r="AF210" s="564"/>
      <c r="AG210" s="321"/>
      <c r="AH210" s="321"/>
      <c r="AI210" s="321"/>
      <c r="AJ210" s="321"/>
      <c r="AK210" s="321"/>
      <c r="AL210" s="321"/>
      <c r="AM210" s="321"/>
      <c r="AN210" s="449">
        <v>9</v>
      </c>
      <c r="AO210" s="321"/>
      <c r="AP210" s="321"/>
      <c r="AQ210" s="449">
        <v>9</v>
      </c>
      <c r="AR210" s="321">
        <v>10</v>
      </c>
      <c r="AS210" s="449">
        <v>9</v>
      </c>
      <c r="AT210" s="321"/>
      <c r="AU210" s="321"/>
      <c r="AV210" s="564"/>
      <c r="AW210" s="321"/>
      <c r="AX210" s="321"/>
      <c r="AY210" s="321"/>
      <c r="AZ210" s="321"/>
      <c r="BA210" s="321"/>
      <c r="BB210" s="321">
        <v>10</v>
      </c>
      <c r="BC210" s="445">
        <v>0</v>
      </c>
      <c r="BD210" s="451">
        <v>0</v>
      </c>
      <c r="BE210" s="451">
        <v>0</v>
      </c>
      <c r="BF210" s="458">
        <v>0</v>
      </c>
      <c r="BG210" s="321">
        <v>10</v>
      </c>
      <c r="BH210" s="321"/>
      <c r="BI210" s="321"/>
      <c r="BJ210" s="321"/>
      <c r="BK210" s="321"/>
      <c r="BL210" s="564"/>
      <c r="BM210" s="321"/>
      <c r="BN210" s="321"/>
      <c r="BO210" s="321"/>
      <c r="BP210" s="321"/>
      <c r="BQ210" s="321"/>
      <c r="BR210" s="321">
        <v>11</v>
      </c>
      <c r="BS210" s="458">
        <v>0</v>
      </c>
      <c r="BT210" s="451">
        <v>0</v>
      </c>
      <c r="BU210" s="451">
        <v>0</v>
      </c>
      <c r="BV210" s="445">
        <v>0</v>
      </c>
      <c r="BW210" s="321">
        <v>10</v>
      </c>
      <c r="BX210" s="321"/>
      <c r="BY210" s="321"/>
      <c r="BZ210" s="321"/>
      <c r="CA210" s="321"/>
      <c r="CB210" s="564"/>
      <c r="CC210" s="321"/>
      <c r="CD210" s="321"/>
      <c r="CE210" s="321"/>
      <c r="CF210" s="321"/>
      <c r="CG210" s="321"/>
      <c r="CH210" s="321">
        <v>10</v>
      </c>
      <c r="CI210" s="451">
        <v>0</v>
      </c>
      <c r="CJ210" s="458">
        <v>0</v>
      </c>
      <c r="CK210" s="458">
        <v>0</v>
      </c>
      <c r="CL210" s="451">
        <v>0</v>
      </c>
      <c r="CM210" s="321">
        <v>10</v>
      </c>
      <c r="CN210" s="321"/>
      <c r="CO210" s="321"/>
      <c r="CP210" s="321"/>
      <c r="CQ210" s="321"/>
      <c r="CR210" s="564"/>
      <c r="CS210" s="321"/>
      <c r="CT210" s="321"/>
      <c r="CU210" s="445">
        <v>0</v>
      </c>
      <c r="CV210" s="321"/>
      <c r="CW210" s="321"/>
      <c r="CX210" s="321">
        <v>10</v>
      </c>
      <c r="CY210" s="458">
        <v>0</v>
      </c>
      <c r="CZ210" s="456">
        <v>0</v>
      </c>
      <c r="DA210" s="443">
        <v>0</v>
      </c>
      <c r="DB210" s="458">
        <v>0</v>
      </c>
      <c r="DC210" s="458">
        <v>0</v>
      </c>
      <c r="DD210" s="321"/>
      <c r="DE210" s="321"/>
      <c r="DF210" s="458">
        <v>0</v>
      </c>
      <c r="DG210" s="445">
        <v>0</v>
      </c>
      <c r="DH210" s="564"/>
      <c r="DI210" s="321"/>
      <c r="DJ210" s="321"/>
      <c r="DK210" s="451">
        <v>0</v>
      </c>
      <c r="DL210" s="321"/>
      <c r="DM210" s="458">
        <v>0</v>
      </c>
      <c r="DN210" s="464">
        <v>0</v>
      </c>
      <c r="DO210" s="464"/>
      <c r="DP210" s="462">
        <v>0</v>
      </c>
      <c r="DQ210" s="456">
        <v>0</v>
      </c>
      <c r="DR210" s="464"/>
      <c r="DS210" s="458">
        <v>0</v>
      </c>
      <c r="DT210" s="458">
        <v>0</v>
      </c>
      <c r="DU210" s="321">
        <v>10</v>
      </c>
      <c r="DV210" s="321"/>
      <c r="DW210" s="321"/>
      <c r="DX210" s="564"/>
      <c r="DY210" s="321"/>
      <c r="DZ210" s="321"/>
      <c r="EA210" s="321"/>
      <c r="EB210" s="445">
        <v>0</v>
      </c>
      <c r="EC210" s="453">
        <v>0</v>
      </c>
      <c r="ED210" s="462"/>
      <c r="EE210" s="321">
        <v>11</v>
      </c>
      <c r="EF210" s="321">
        <v>11</v>
      </c>
      <c r="EG210" s="321">
        <v>11</v>
      </c>
      <c r="EH210" s="321"/>
      <c r="EI210" s="321">
        <v>11</v>
      </c>
      <c r="EJ210" s="456"/>
      <c r="EK210" s="321"/>
      <c r="EL210" s="321"/>
      <c r="EM210" s="321"/>
      <c r="EN210" s="445">
        <v>0</v>
      </c>
      <c r="EO210" s="1236"/>
      <c r="EP210" s="328"/>
      <c r="EQ210" s="328"/>
      <c r="ER210" s="328"/>
      <c r="ES210" s="328"/>
      <c r="ET210" s="328"/>
      <c r="EU210" s="328"/>
      <c r="EV210" s="328"/>
      <c r="EW210" s="328"/>
      <c r="EX210" s="328"/>
      <c r="EY210" s="328"/>
      <c r="EZ210" s="328"/>
      <c r="FA210" s="328"/>
      <c r="FB210" s="328"/>
      <c r="FC210" s="328"/>
      <c r="FD210" s="1237"/>
      <c r="FE210" s="1236"/>
      <c r="FF210" s="328"/>
      <c r="FG210" s="328"/>
      <c r="FH210" s="328"/>
      <c r="FI210" s="328"/>
      <c r="FJ210" s="328"/>
      <c r="FK210" s="328"/>
      <c r="FL210" s="328"/>
      <c r="FM210" s="328"/>
      <c r="FN210" s="328"/>
      <c r="FO210" s="328"/>
      <c r="FP210" s="328"/>
      <c r="FQ210" s="328"/>
      <c r="FR210" s="328"/>
      <c r="FS210" s="328"/>
      <c r="FT210" s="1237"/>
      <c r="FU210" s="1236"/>
      <c r="FV210" s="328"/>
      <c r="FW210" s="328"/>
      <c r="FX210" s="328"/>
      <c r="FY210" s="328"/>
      <c r="FZ210" s="328"/>
      <c r="GA210" s="328"/>
      <c r="GB210" s="328"/>
      <c r="GC210" s="328"/>
      <c r="GD210" s="328"/>
      <c r="GE210" s="328"/>
      <c r="GF210" s="328"/>
      <c r="GG210" s="328"/>
      <c r="GH210" s="328"/>
      <c r="GI210" s="328"/>
      <c r="GJ210" s="1237"/>
      <c r="GK210" s="321"/>
      <c r="GL210" s="321"/>
      <c r="GM210" s="321"/>
      <c r="GN210" s="321"/>
      <c r="GO210" s="321"/>
      <c r="GP210" s="321"/>
      <c r="GQ210" s="321"/>
      <c r="GR210" s="321"/>
      <c r="GS210" s="421"/>
      <c r="GT210" s="321"/>
      <c r="GU210" s="321"/>
      <c r="GV210" s="321"/>
      <c r="GW210" s="321"/>
      <c r="GX210" s="321"/>
      <c r="GY210" s="321"/>
      <c r="GZ210" s="321"/>
      <c r="HA210" s="483"/>
      <c r="HB210" s="321"/>
      <c r="HC210" s="321"/>
      <c r="HD210" s="439">
        <v>8</v>
      </c>
      <c r="HE210" s="321"/>
      <c r="HF210" s="321"/>
      <c r="HG210" s="321"/>
      <c r="HH210" s="432">
        <v>7</v>
      </c>
      <c r="HI210" s="414"/>
      <c r="HJ210" s="432">
        <v>7</v>
      </c>
      <c r="HK210" s="321"/>
      <c r="HL210" s="321"/>
      <c r="HM210" s="432">
        <v>7</v>
      </c>
      <c r="HN210" s="321"/>
      <c r="HO210" s="321"/>
      <c r="HP210" s="564"/>
      <c r="HQ210" s="432"/>
      <c r="HR210" s="321"/>
      <c r="HS210" s="432"/>
      <c r="HT210" s="439"/>
      <c r="HU210" s="321"/>
      <c r="HV210" s="414"/>
      <c r="HW210" s="414"/>
      <c r="HX210" s="409"/>
      <c r="HY210" s="414"/>
      <c r="HZ210" s="417"/>
      <c r="IA210" s="439"/>
      <c r="IB210" s="432"/>
      <c r="IC210" s="321"/>
      <c r="ID210" s="321"/>
      <c r="IE210" s="321"/>
      <c r="IF210" s="321"/>
      <c r="IG210" s="483"/>
      <c r="IH210" s="439"/>
      <c r="II210" s="321"/>
      <c r="IJ210" s="414"/>
      <c r="IK210" s="414"/>
      <c r="IL210" s="415"/>
      <c r="IM210" s="414"/>
      <c r="IN210" s="414"/>
      <c r="IO210" s="417"/>
      <c r="IP210" s="415"/>
      <c r="IQ210" s="414"/>
      <c r="IR210" s="417"/>
      <c r="IS210" s="432"/>
      <c r="IT210" s="432"/>
      <c r="IU210" s="321"/>
      <c r="IV210" s="321"/>
    </row>
    <row r="211" spans="1:256" s="326" customFormat="1" ht="8.25" customHeight="1">
      <c r="A211" s="321"/>
      <c r="C211" s="321"/>
      <c r="D211" s="321"/>
      <c r="E211" s="321">
        <v>10</v>
      </c>
      <c r="F211" s="443"/>
      <c r="G211" s="456"/>
      <c r="H211" s="462"/>
      <c r="I211" s="462"/>
      <c r="J211" s="459"/>
      <c r="K211" s="456"/>
      <c r="L211" s="321">
        <v>10</v>
      </c>
      <c r="M211" s="321"/>
      <c r="N211" s="321"/>
      <c r="O211" s="321"/>
      <c r="P211" s="564"/>
      <c r="Q211" s="321"/>
      <c r="R211" s="321"/>
      <c r="S211" s="321"/>
      <c r="T211" s="443">
        <v>8</v>
      </c>
      <c r="U211" s="321">
        <v>12</v>
      </c>
      <c r="V211" s="443"/>
      <c r="W211" s="456"/>
      <c r="X211" s="462"/>
      <c r="Y211" s="462"/>
      <c r="Z211" s="443"/>
      <c r="AA211" s="457"/>
      <c r="AB211" s="443"/>
      <c r="AC211" s="321">
        <v>10</v>
      </c>
      <c r="AD211" s="321"/>
      <c r="AE211" s="456">
        <v>9</v>
      </c>
      <c r="AF211" s="564"/>
      <c r="AG211" s="321"/>
      <c r="AH211" s="321"/>
      <c r="AI211" s="321"/>
      <c r="AJ211" s="443">
        <v>8</v>
      </c>
      <c r="AK211" s="321">
        <v>10</v>
      </c>
      <c r="AL211" s="449">
        <v>9</v>
      </c>
      <c r="AM211" s="321"/>
      <c r="AN211" s="321">
        <v>10</v>
      </c>
      <c r="AO211" s="321"/>
      <c r="AP211" s="321">
        <v>10</v>
      </c>
      <c r="AQ211" s="321"/>
      <c r="AR211" s="321">
        <v>10</v>
      </c>
      <c r="AS211" s="321"/>
      <c r="AT211" s="321"/>
      <c r="AU211" s="321"/>
      <c r="AV211" s="449">
        <v>9</v>
      </c>
      <c r="AW211" s="321"/>
      <c r="AX211" s="321"/>
      <c r="AY211" s="321"/>
      <c r="AZ211" s="321"/>
      <c r="BA211" s="321">
        <v>10</v>
      </c>
      <c r="BB211" s="445">
        <v>0</v>
      </c>
      <c r="BC211" s="451">
        <v>0</v>
      </c>
      <c r="BD211" s="458">
        <v>11</v>
      </c>
      <c r="BE211" s="464">
        <v>12</v>
      </c>
      <c r="BF211" s="464">
        <v>0</v>
      </c>
      <c r="BG211" s="458">
        <v>0</v>
      </c>
      <c r="BH211" s="321">
        <v>10</v>
      </c>
      <c r="BI211" s="321"/>
      <c r="BJ211" s="321"/>
      <c r="BK211" s="321"/>
      <c r="BL211" s="564"/>
      <c r="BM211" s="321"/>
      <c r="BN211" s="321"/>
      <c r="BO211" s="321"/>
      <c r="BP211" s="321"/>
      <c r="BQ211" s="321">
        <v>10</v>
      </c>
      <c r="BR211" s="458">
        <v>0</v>
      </c>
      <c r="BS211" s="464">
        <v>12</v>
      </c>
      <c r="BT211" s="464">
        <v>12</v>
      </c>
      <c r="BU211" s="458">
        <v>11</v>
      </c>
      <c r="BV211" s="451">
        <v>0</v>
      </c>
      <c r="BW211" s="445">
        <v>0</v>
      </c>
      <c r="BX211" s="321">
        <v>10</v>
      </c>
      <c r="BY211" s="321"/>
      <c r="BZ211" s="321"/>
      <c r="CA211" s="321"/>
      <c r="CB211" s="564"/>
      <c r="CC211" s="321"/>
      <c r="CD211" s="321"/>
      <c r="CE211" s="321"/>
      <c r="CF211" s="321"/>
      <c r="CG211" s="321">
        <v>10</v>
      </c>
      <c r="CH211" s="451">
        <v>0</v>
      </c>
      <c r="CI211" s="458">
        <v>11</v>
      </c>
      <c r="CJ211" s="464">
        <v>12</v>
      </c>
      <c r="CK211" s="464">
        <v>12</v>
      </c>
      <c r="CL211" s="458">
        <v>11</v>
      </c>
      <c r="CM211" s="451">
        <v>0</v>
      </c>
      <c r="CN211" s="321">
        <v>10</v>
      </c>
      <c r="CO211" s="321"/>
      <c r="CP211" s="321"/>
      <c r="CQ211" s="321"/>
      <c r="CR211" s="564"/>
      <c r="CS211" s="321"/>
      <c r="CT211" s="321"/>
      <c r="CU211" s="321"/>
      <c r="CV211" s="456">
        <v>0</v>
      </c>
      <c r="CW211" s="321"/>
      <c r="CX211" s="445">
        <v>0</v>
      </c>
      <c r="CY211" s="458">
        <v>0</v>
      </c>
      <c r="CZ211" s="462">
        <v>0</v>
      </c>
      <c r="DA211" s="459">
        <v>0</v>
      </c>
      <c r="DB211" s="456">
        <v>0</v>
      </c>
      <c r="DC211" s="464">
        <v>0</v>
      </c>
      <c r="DD211" s="321">
        <v>10</v>
      </c>
      <c r="DE211" s="458">
        <v>0</v>
      </c>
      <c r="DF211" s="321"/>
      <c r="DG211" s="321"/>
      <c r="DH211" s="564"/>
      <c r="DI211" s="321"/>
      <c r="DJ211" s="321"/>
      <c r="DK211" s="321"/>
      <c r="DL211" s="321">
        <v>10</v>
      </c>
      <c r="DM211" s="464">
        <v>0</v>
      </c>
      <c r="DN211" s="449"/>
      <c r="DO211" s="459">
        <v>0</v>
      </c>
      <c r="DP211" s="410"/>
      <c r="DQ211" s="410"/>
      <c r="DR211" s="463"/>
      <c r="DS211" s="457">
        <v>0</v>
      </c>
      <c r="DT211" s="445">
        <v>0</v>
      </c>
      <c r="DU211" s="321">
        <v>10</v>
      </c>
      <c r="DV211" s="321"/>
      <c r="DW211" s="445">
        <v>0</v>
      </c>
      <c r="DX211" s="445">
        <v>0</v>
      </c>
      <c r="DY211" s="321"/>
      <c r="DZ211" s="321"/>
      <c r="EA211" s="321">
        <v>10</v>
      </c>
      <c r="EB211" s="449">
        <v>0</v>
      </c>
      <c r="EC211" s="456"/>
      <c r="ED211" s="321">
        <v>11</v>
      </c>
      <c r="EE211" s="321"/>
      <c r="EF211" s="321"/>
      <c r="EG211" s="321"/>
      <c r="EH211" s="321"/>
      <c r="EI211" s="321"/>
      <c r="EJ211" s="321">
        <v>11</v>
      </c>
      <c r="EK211" s="449">
        <v>0</v>
      </c>
      <c r="EL211" s="445">
        <v>0</v>
      </c>
      <c r="EM211" s="321"/>
      <c r="EN211" s="321"/>
      <c r="EO211" s="1236"/>
      <c r="EP211" s="328"/>
      <c r="EQ211" s="328"/>
      <c r="ER211" s="328"/>
      <c r="ES211" s="328"/>
      <c r="ET211" s="328"/>
      <c r="EU211" s="328"/>
      <c r="EV211" s="328"/>
      <c r="EW211" s="328"/>
      <c r="EX211" s="328"/>
      <c r="EY211" s="328"/>
      <c r="EZ211" s="328"/>
      <c r="FA211" s="328"/>
      <c r="FB211" s="328"/>
      <c r="FC211" s="328"/>
      <c r="FD211" s="1237"/>
      <c r="FE211" s="1236"/>
      <c r="FF211" s="328"/>
      <c r="FG211" s="328"/>
      <c r="FH211" s="328"/>
      <c r="FI211" s="328"/>
      <c r="FJ211" s="328"/>
      <c r="FK211" s="328"/>
      <c r="FL211" s="328"/>
      <c r="FM211" s="328"/>
      <c r="FN211" s="328"/>
      <c r="FO211" s="328"/>
      <c r="FP211" s="328"/>
      <c r="FQ211" s="328"/>
      <c r="FR211" s="328"/>
      <c r="FS211" s="328"/>
      <c r="FT211" s="1237"/>
      <c r="FU211" s="1236"/>
      <c r="FV211" s="328"/>
      <c r="FW211" s="328"/>
      <c r="FX211" s="328"/>
      <c r="FY211" s="328"/>
      <c r="FZ211" s="328"/>
      <c r="GA211" s="328"/>
      <c r="GB211" s="328"/>
      <c r="GC211" s="328"/>
      <c r="GD211" s="328"/>
      <c r="GE211" s="328"/>
      <c r="GF211" s="328"/>
      <c r="GG211" s="328"/>
      <c r="GH211" s="328"/>
      <c r="GI211" s="328"/>
      <c r="GJ211" s="1237"/>
      <c r="GK211" s="321"/>
      <c r="GL211" s="321"/>
      <c r="GM211" s="321"/>
      <c r="GN211" s="321"/>
      <c r="GO211" s="321"/>
      <c r="GP211" s="439">
        <v>8</v>
      </c>
      <c r="GQ211" s="321"/>
      <c r="GR211" s="439">
        <v>8</v>
      </c>
      <c r="GS211" s="432">
        <v>7</v>
      </c>
      <c r="GT211" s="321"/>
      <c r="GU211" s="321"/>
      <c r="GV211" s="321"/>
      <c r="GW211" s="321"/>
      <c r="GX211" s="321"/>
      <c r="GY211" s="321"/>
      <c r="GZ211" s="321"/>
      <c r="HA211" s="483"/>
      <c r="HB211" s="321"/>
      <c r="HC211" s="432">
        <v>6</v>
      </c>
      <c r="HD211" s="321"/>
      <c r="HE211" s="432">
        <v>6</v>
      </c>
      <c r="HF211" s="439">
        <v>8</v>
      </c>
      <c r="HG211" s="321"/>
      <c r="HH211" s="414"/>
      <c r="HI211" s="414"/>
      <c r="HJ211" s="439">
        <v>8</v>
      </c>
      <c r="HK211" s="321"/>
      <c r="HL211" s="321"/>
      <c r="HM211" s="321"/>
      <c r="HN211" s="321"/>
      <c r="HO211" s="321"/>
      <c r="HP211" s="564"/>
      <c r="HQ211" s="321"/>
      <c r="HR211" s="321"/>
      <c r="HS211" s="321"/>
      <c r="HT211" s="429"/>
      <c r="HU211" s="439"/>
      <c r="HV211" s="432"/>
      <c r="HW211" s="414"/>
      <c r="HX211" s="415"/>
      <c r="HY211" s="414"/>
      <c r="HZ211" s="414"/>
      <c r="IA211" s="432"/>
      <c r="IB211" s="439"/>
      <c r="IC211" s="429"/>
      <c r="ID211" s="321"/>
      <c r="IE211" s="321"/>
      <c r="IF211" s="321"/>
      <c r="IG211" s="483"/>
      <c r="IH211" s="321"/>
      <c r="II211" s="439"/>
      <c r="IJ211" s="432"/>
      <c r="IK211" s="414"/>
      <c r="IL211" s="415"/>
      <c r="IM211" s="415"/>
      <c r="IN211" s="415"/>
      <c r="IO211" s="414"/>
      <c r="IP211" s="415"/>
      <c r="IQ211" s="414"/>
      <c r="IR211" s="414"/>
      <c r="IS211" s="439"/>
      <c r="IT211" s="432"/>
      <c r="IU211" s="321"/>
      <c r="IV211" s="429"/>
    </row>
    <row r="212" spans="1:256" s="326" customFormat="1" ht="8.25" customHeight="1">
      <c r="A212" s="321"/>
      <c r="B212" s="321"/>
      <c r="C212" s="321"/>
      <c r="D212" s="321"/>
      <c r="E212" s="321">
        <v>11</v>
      </c>
      <c r="F212" s="456"/>
      <c r="G212" s="453"/>
      <c r="H212" s="410"/>
      <c r="I212" s="410"/>
      <c r="J212" s="457"/>
      <c r="K212" s="443"/>
      <c r="L212" s="321">
        <v>11</v>
      </c>
      <c r="M212" s="321"/>
      <c r="N212" s="321"/>
      <c r="O212" s="321"/>
      <c r="P212" s="564"/>
      <c r="Q212" s="321"/>
      <c r="R212" s="321"/>
      <c r="S212" s="321"/>
      <c r="T212" s="321"/>
      <c r="U212" s="456"/>
      <c r="V212" s="462"/>
      <c r="W212" s="453"/>
      <c r="X212" s="410"/>
      <c r="Y212" s="410"/>
      <c r="Z212" s="457"/>
      <c r="AA212" s="456"/>
      <c r="AB212" s="321">
        <v>12</v>
      </c>
      <c r="AC212" s="456">
        <v>9</v>
      </c>
      <c r="AD212" s="443">
        <v>8</v>
      </c>
      <c r="AE212" s="321"/>
      <c r="AF212" s="564"/>
      <c r="AG212" s="321"/>
      <c r="AH212" s="321"/>
      <c r="AI212" s="321"/>
      <c r="AJ212" s="446">
        <v>10</v>
      </c>
      <c r="AK212" s="449">
        <v>9</v>
      </c>
      <c r="AL212" s="321">
        <v>10</v>
      </c>
      <c r="AM212" s="321">
        <v>10</v>
      </c>
      <c r="AN212" s="321"/>
      <c r="AO212" s="321"/>
      <c r="AP212" s="321"/>
      <c r="AQ212" s="321">
        <v>10</v>
      </c>
      <c r="AR212" s="321">
        <v>10</v>
      </c>
      <c r="AS212" s="456">
        <v>9</v>
      </c>
      <c r="AT212" s="443">
        <v>8</v>
      </c>
      <c r="AU212" s="321">
        <v>10</v>
      </c>
      <c r="AV212" s="564"/>
      <c r="AW212" s="321"/>
      <c r="AX212" s="321"/>
      <c r="AY212" s="321"/>
      <c r="AZ212" s="321"/>
      <c r="BA212" s="321">
        <v>10</v>
      </c>
      <c r="BB212" s="451">
        <v>0</v>
      </c>
      <c r="BC212" s="458">
        <v>11</v>
      </c>
      <c r="BD212" s="463"/>
      <c r="BE212" s="452"/>
      <c r="BF212" s="464"/>
      <c r="BG212" s="451">
        <v>0</v>
      </c>
      <c r="BH212" s="321">
        <v>10</v>
      </c>
      <c r="BI212" s="321"/>
      <c r="BJ212" s="321"/>
      <c r="BK212" s="321"/>
      <c r="BL212" s="564"/>
      <c r="BM212" s="321"/>
      <c r="BN212" s="321"/>
      <c r="BO212" s="321"/>
      <c r="BP212" s="321"/>
      <c r="BQ212" s="321">
        <v>10</v>
      </c>
      <c r="BR212" s="451">
        <v>0</v>
      </c>
      <c r="BS212" s="464"/>
      <c r="BT212" s="410"/>
      <c r="BU212" s="463"/>
      <c r="BV212" s="458">
        <v>11</v>
      </c>
      <c r="BW212" s="451">
        <v>0</v>
      </c>
      <c r="BX212" s="321">
        <v>10</v>
      </c>
      <c r="BY212" s="321"/>
      <c r="BZ212" s="321"/>
      <c r="CA212" s="321"/>
      <c r="CB212" s="564"/>
      <c r="CC212" s="321"/>
      <c r="CD212" s="321"/>
      <c r="CE212" s="321"/>
      <c r="CF212" s="321"/>
      <c r="CG212" s="321">
        <v>10</v>
      </c>
      <c r="CH212" s="445">
        <v>0</v>
      </c>
      <c r="CI212" s="451">
        <v>11</v>
      </c>
      <c r="CJ212" s="452"/>
      <c r="CK212" s="410"/>
      <c r="CL212" s="451">
        <v>11</v>
      </c>
      <c r="CM212" s="445">
        <v>0</v>
      </c>
      <c r="CN212" s="321">
        <v>10</v>
      </c>
      <c r="CO212" s="321"/>
      <c r="CP212" s="321"/>
      <c r="CQ212" s="321"/>
      <c r="CR212" s="564"/>
      <c r="CS212" s="321"/>
      <c r="CT212" s="321"/>
      <c r="CU212" s="321"/>
      <c r="CV212" s="321"/>
      <c r="CW212" s="321">
        <v>10</v>
      </c>
      <c r="CX212" s="458">
        <v>0</v>
      </c>
      <c r="CY212" s="456">
        <v>0</v>
      </c>
      <c r="CZ212" s="410"/>
      <c r="DA212" s="410"/>
      <c r="DB212" s="457">
        <v>0</v>
      </c>
      <c r="DC212" s="458">
        <v>0</v>
      </c>
      <c r="DD212" s="321">
        <v>10</v>
      </c>
      <c r="DE212" s="321"/>
      <c r="DF212" s="321"/>
      <c r="DG212" s="321"/>
      <c r="DH212" s="564"/>
      <c r="DI212" s="321"/>
      <c r="DJ212" s="321"/>
      <c r="DK212" s="321"/>
      <c r="DL212" s="464">
        <v>0</v>
      </c>
      <c r="DM212" s="456">
        <v>0</v>
      </c>
      <c r="DN212" s="449"/>
      <c r="DO212" s="410"/>
      <c r="DP212" s="321">
        <v>11</v>
      </c>
      <c r="DQ212" s="321">
        <v>11</v>
      </c>
      <c r="DR212" s="456"/>
      <c r="DS212" s="463">
        <v>0</v>
      </c>
      <c r="DT212" s="464">
        <v>0</v>
      </c>
      <c r="DU212" s="458">
        <v>0</v>
      </c>
      <c r="DV212" s="445">
        <v>0</v>
      </c>
      <c r="DW212" s="321"/>
      <c r="DX212" s="564"/>
      <c r="DY212" s="321"/>
      <c r="DZ212" s="321"/>
      <c r="EA212" s="445">
        <v>0</v>
      </c>
      <c r="EB212" s="321"/>
      <c r="EC212" s="321"/>
      <c r="ED212" s="321"/>
      <c r="EE212" s="321"/>
      <c r="EF212" s="321"/>
      <c r="EG212" s="321"/>
      <c r="EH212" s="321"/>
      <c r="EI212" s="321"/>
      <c r="EJ212" s="321">
        <v>11</v>
      </c>
      <c r="EK212" s="457">
        <v>0</v>
      </c>
      <c r="EL212" s="321">
        <v>10</v>
      </c>
      <c r="EM212" s="321"/>
      <c r="EN212" s="321"/>
      <c r="EO212" s="1236"/>
      <c r="EP212" s="328"/>
      <c r="EQ212" s="328"/>
      <c r="ER212" s="328"/>
      <c r="ES212" s="328"/>
      <c r="ET212" s="328"/>
      <c r="EU212" s="328"/>
      <c r="EV212" s="328"/>
      <c r="EW212" s="328"/>
      <c r="EX212" s="328"/>
      <c r="EY212" s="328"/>
      <c r="EZ212" s="328"/>
      <c r="FA212" s="328"/>
      <c r="FB212" s="328"/>
      <c r="FC212" s="328"/>
      <c r="FD212" s="1237"/>
      <c r="FE212" s="1236"/>
      <c r="FF212" s="328"/>
      <c r="FG212" s="328"/>
      <c r="FH212" s="328"/>
      <c r="FI212" s="328"/>
      <c r="FJ212" s="328"/>
      <c r="FK212" s="328"/>
      <c r="FL212" s="328"/>
      <c r="FM212" s="328"/>
      <c r="FN212" s="328"/>
      <c r="FO212" s="328"/>
      <c r="FP212" s="328"/>
      <c r="FQ212" s="328"/>
      <c r="FR212" s="328"/>
      <c r="FS212" s="328"/>
      <c r="FT212" s="1237"/>
      <c r="FU212" s="1236"/>
      <c r="FV212" s="328"/>
      <c r="FW212" s="328"/>
      <c r="FX212" s="328"/>
      <c r="FY212" s="328"/>
      <c r="FZ212" s="328"/>
      <c r="GA212" s="328"/>
      <c r="GB212" s="328"/>
      <c r="GC212" s="328"/>
      <c r="GD212" s="328"/>
      <c r="GE212" s="328"/>
      <c r="GF212" s="328"/>
      <c r="GG212" s="328"/>
      <c r="GH212" s="328"/>
      <c r="GI212" s="328"/>
      <c r="GJ212" s="1237"/>
      <c r="GK212" s="321"/>
      <c r="GL212" s="321"/>
      <c r="GM212" s="321"/>
      <c r="GN212" s="321"/>
      <c r="GO212" s="432">
        <v>7</v>
      </c>
      <c r="GP212" s="321"/>
      <c r="GQ212" s="432">
        <v>7</v>
      </c>
      <c r="GR212" s="415"/>
      <c r="GS212" s="432">
        <v>7</v>
      </c>
      <c r="GT212" s="439">
        <v>8</v>
      </c>
      <c r="GU212" s="321"/>
      <c r="GV212" s="321"/>
      <c r="GW212" s="321"/>
      <c r="GX212" s="321"/>
      <c r="GY212" s="321"/>
      <c r="GZ212" s="321"/>
      <c r="HA212" s="483"/>
      <c r="HB212" s="321"/>
      <c r="HC212" s="321"/>
      <c r="HD212" s="321"/>
      <c r="HE212" s="321"/>
      <c r="HF212" s="321"/>
      <c r="HG212" s="439">
        <v>8</v>
      </c>
      <c r="HH212" s="432"/>
      <c r="HI212" s="414"/>
      <c r="HJ212" s="321"/>
      <c r="HK212" s="439">
        <v>8</v>
      </c>
      <c r="HL212" s="321"/>
      <c r="HM212" s="321"/>
      <c r="HN212" s="321"/>
      <c r="HO212" s="321"/>
      <c r="HP212" s="564"/>
      <c r="HQ212" s="321"/>
      <c r="HR212" s="321"/>
      <c r="HS212" s="321"/>
      <c r="HT212" s="321"/>
      <c r="HU212" s="439"/>
      <c r="HV212" s="432"/>
      <c r="HW212" s="414"/>
      <c r="HX212" s="414"/>
      <c r="HY212" s="417"/>
      <c r="HZ212" s="414"/>
      <c r="IA212" s="432"/>
      <c r="IB212" s="439"/>
      <c r="IC212" s="321"/>
      <c r="ID212" s="321"/>
      <c r="IE212" s="321"/>
      <c r="IF212" s="321"/>
      <c r="IG212" s="429"/>
      <c r="IH212" s="321"/>
      <c r="II212" s="439"/>
      <c r="IJ212" s="432"/>
      <c r="IK212" s="414"/>
      <c r="IL212" s="414"/>
      <c r="IM212" s="417"/>
      <c r="IN212" s="414"/>
      <c r="IO212" s="415"/>
      <c r="IP212" s="417"/>
      <c r="IQ212" s="417"/>
      <c r="IR212" s="414"/>
      <c r="IS212" s="432"/>
      <c r="IT212" s="439"/>
      <c r="IU212" s="321"/>
      <c r="IV212" s="321"/>
    </row>
    <row r="213" spans="1:256" s="326" customFormat="1" ht="8.25" customHeight="1">
      <c r="A213" s="321"/>
      <c r="B213" s="321"/>
      <c r="C213" s="436">
        <v>8</v>
      </c>
      <c r="D213" s="443">
        <v>9</v>
      </c>
      <c r="E213" s="446"/>
      <c r="F213" s="456"/>
      <c r="G213" s="462"/>
      <c r="H213" s="321">
        <v>12</v>
      </c>
      <c r="I213" s="321">
        <v>12</v>
      </c>
      <c r="J213" s="410"/>
      <c r="K213" s="463"/>
      <c r="L213" s="456"/>
      <c r="M213" s="321">
        <v>10</v>
      </c>
      <c r="N213" s="321"/>
      <c r="O213" s="321"/>
      <c r="P213" s="564"/>
      <c r="Q213" s="321"/>
      <c r="R213" s="443">
        <v>8</v>
      </c>
      <c r="S213" s="443"/>
      <c r="T213" s="446"/>
      <c r="U213" s="456"/>
      <c r="V213" s="321">
        <v>12</v>
      </c>
      <c r="W213" s="321">
        <v>12</v>
      </c>
      <c r="X213" s="321">
        <v>12</v>
      </c>
      <c r="Y213" s="321">
        <v>12</v>
      </c>
      <c r="Z213" s="321">
        <v>12</v>
      </c>
      <c r="AA213" s="463"/>
      <c r="AB213" s="443"/>
      <c r="AC213" s="321">
        <v>10</v>
      </c>
      <c r="AD213" s="321"/>
      <c r="AE213" s="321"/>
      <c r="AF213" s="564"/>
      <c r="AG213" s="443">
        <v>8</v>
      </c>
      <c r="AH213" s="321"/>
      <c r="AI213" s="449">
        <v>9</v>
      </c>
      <c r="AJ213" s="321">
        <v>10</v>
      </c>
      <c r="AK213" s="321"/>
      <c r="AL213" s="321"/>
      <c r="AM213" s="321"/>
      <c r="AN213" s="321"/>
      <c r="AO213" s="321"/>
      <c r="AP213" s="321"/>
      <c r="AQ213" s="321"/>
      <c r="AR213" s="321">
        <v>10</v>
      </c>
      <c r="AS213" s="457">
        <v>9</v>
      </c>
      <c r="AT213" s="321"/>
      <c r="AU213" s="321"/>
      <c r="AV213" s="564"/>
      <c r="AW213" s="321"/>
      <c r="AX213" s="321"/>
      <c r="AY213" s="321"/>
      <c r="AZ213" s="321"/>
      <c r="BA213" s="321">
        <v>10</v>
      </c>
      <c r="BB213" s="451">
        <v>0</v>
      </c>
      <c r="BC213" s="410"/>
      <c r="BD213" s="410"/>
      <c r="BE213" s="410"/>
      <c r="BF213" s="410"/>
      <c r="BG213" s="451">
        <v>0</v>
      </c>
      <c r="BH213" s="321">
        <v>10</v>
      </c>
      <c r="BI213" s="321"/>
      <c r="BJ213" s="321"/>
      <c r="BK213" s="321"/>
      <c r="BL213" s="564"/>
      <c r="BM213" s="321"/>
      <c r="BN213" s="321"/>
      <c r="BO213" s="321"/>
      <c r="BP213" s="321"/>
      <c r="BQ213" s="321">
        <v>10</v>
      </c>
      <c r="BR213" s="451">
        <v>0</v>
      </c>
      <c r="BS213" s="452"/>
      <c r="BT213" s="410"/>
      <c r="BU213" s="410"/>
      <c r="BV213" s="452"/>
      <c r="BW213" s="451">
        <v>0</v>
      </c>
      <c r="BX213" s="321">
        <v>10</v>
      </c>
      <c r="BY213" s="321"/>
      <c r="BZ213" s="321"/>
      <c r="CA213" s="321"/>
      <c r="CB213" s="564"/>
      <c r="CC213" s="321"/>
      <c r="CD213" s="321"/>
      <c r="CE213" s="321"/>
      <c r="CF213" s="321"/>
      <c r="CG213" s="321">
        <v>10</v>
      </c>
      <c r="CH213" s="445">
        <v>0</v>
      </c>
      <c r="CI213" s="462"/>
      <c r="CJ213" s="410"/>
      <c r="CK213" s="410"/>
      <c r="CL213" s="463"/>
      <c r="CM213" s="445">
        <v>0</v>
      </c>
      <c r="CN213" s="321">
        <v>10</v>
      </c>
      <c r="CO213" s="321"/>
      <c r="CP213" s="321"/>
      <c r="CQ213" s="321"/>
      <c r="CR213" s="564"/>
      <c r="CS213" s="321"/>
      <c r="CT213" s="321"/>
      <c r="CU213" s="445">
        <v>0</v>
      </c>
      <c r="CV213" s="458">
        <v>0</v>
      </c>
      <c r="CW213" s="458">
        <v>0</v>
      </c>
      <c r="CX213" s="456">
        <v>0</v>
      </c>
      <c r="CY213" s="462"/>
      <c r="CZ213" s="321">
        <v>12</v>
      </c>
      <c r="DA213" s="321">
        <v>12</v>
      </c>
      <c r="DB213" s="410"/>
      <c r="DC213" s="463">
        <v>0</v>
      </c>
      <c r="DD213" s="458">
        <v>0</v>
      </c>
      <c r="DE213" s="321"/>
      <c r="DF213" s="321"/>
      <c r="DG213" s="321"/>
      <c r="DH213" s="564"/>
      <c r="DI213" s="321"/>
      <c r="DJ213" s="445">
        <v>0</v>
      </c>
      <c r="DK213" s="451">
        <v>0</v>
      </c>
      <c r="DL213" s="458">
        <v>0</v>
      </c>
      <c r="DM213" s="464">
        <v>0</v>
      </c>
      <c r="DN213" s="462"/>
      <c r="DO213" s="321">
        <v>11</v>
      </c>
      <c r="DP213" s="321"/>
      <c r="DQ213" s="321">
        <v>11</v>
      </c>
      <c r="DR213" s="456"/>
      <c r="DS213" s="463"/>
      <c r="DT213" s="464">
        <v>0</v>
      </c>
      <c r="DU213" s="321"/>
      <c r="DV213" s="321"/>
      <c r="DW213" s="321"/>
      <c r="DX213" s="564"/>
      <c r="DY213" s="445">
        <v>0</v>
      </c>
      <c r="DZ213" s="321"/>
      <c r="EA213" s="321">
        <v>10</v>
      </c>
      <c r="EB213" s="449"/>
      <c r="EC213" s="321">
        <v>11</v>
      </c>
      <c r="ED213" s="321"/>
      <c r="EE213" s="321"/>
      <c r="EF213" s="321"/>
      <c r="EG213" s="321"/>
      <c r="EH213" s="321"/>
      <c r="EI213" s="321"/>
      <c r="EJ213" s="321">
        <v>11</v>
      </c>
      <c r="EK213" s="321">
        <v>10</v>
      </c>
      <c r="EL213" s="321"/>
      <c r="EM213" s="321"/>
      <c r="EN213" s="321"/>
      <c r="EO213" s="1236"/>
      <c r="EP213" s="328"/>
      <c r="EQ213" s="328"/>
      <c r="ER213" s="328"/>
      <c r="ES213" s="328"/>
      <c r="ET213" s="328"/>
      <c r="EU213" s="328"/>
      <c r="EV213" s="328"/>
      <c r="EW213" s="328"/>
      <c r="EX213" s="328"/>
      <c r="EY213" s="328"/>
      <c r="EZ213" s="328"/>
      <c r="FA213" s="328"/>
      <c r="FB213" s="328"/>
      <c r="FC213" s="328"/>
      <c r="FD213" s="1237"/>
      <c r="FE213" s="1236"/>
      <c r="FF213" s="328"/>
      <c r="FG213" s="328"/>
      <c r="FH213" s="328"/>
      <c r="FI213" s="328"/>
      <c r="FJ213" s="328"/>
      <c r="FK213" s="328"/>
      <c r="FL213" s="328"/>
      <c r="FM213" s="328"/>
      <c r="FN213" s="328"/>
      <c r="FO213" s="328"/>
      <c r="FP213" s="328"/>
      <c r="FQ213" s="328"/>
      <c r="FR213" s="328"/>
      <c r="FS213" s="328"/>
      <c r="FT213" s="1237"/>
      <c r="FU213" s="1236"/>
      <c r="FV213" s="328"/>
      <c r="FW213" s="328"/>
      <c r="FX213" s="328"/>
      <c r="FY213" s="328"/>
      <c r="FZ213" s="328"/>
      <c r="GA213" s="328"/>
      <c r="GB213" s="328"/>
      <c r="GC213" s="328"/>
      <c r="GD213" s="328"/>
      <c r="GE213" s="328"/>
      <c r="GF213" s="328"/>
      <c r="GG213" s="328"/>
      <c r="GH213" s="328"/>
      <c r="GI213" s="328"/>
      <c r="GJ213" s="1237"/>
      <c r="GK213" s="321"/>
      <c r="GL213" s="321"/>
      <c r="GM213" s="321"/>
      <c r="GN213" s="321"/>
      <c r="GO213" s="321"/>
      <c r="GP213" s="321"/>
      <c r="GQ213" s="321"/>
      <c r="GR213" s="432"/>
      <c r="GS213" s="321"/>
      <c r="GT213" s="321"/>
      <c r="GU213" s="432">
        <v>7</v>
      </c>
      <c r="GV213" s="321"/>
      <c r="GW213" s="321"/>
      <c r="GX213" s="321"/>
      <c r="GY213" s="321"/>
      <c r="GZ213" s="321"/>
      <c r="HA213" s="483"/>
      <c r="HB213" s="321"/>
      <c r="HC213" s="321"/>
      <c r="HD213" s="321"/>
      <c r="HE213" s="321"/>
      <c r="HF213" s="432">
        <v>7</v>
      </c>
      <c r="HG213" s="321"/>
      <c r="HH213" s="321"/>
      <c r="HI213" s="432">
        <v>7</v>
      </c>
      <c r="HJ213" s="321"/>
      <c r="HK213" s="321"/>
      <c r="HL213" s="432">
        <v>7</v>
      </c>
      <c r="HM213" s="439">
        <v>8</v>
      </c>
      <c r="HN213" s="321"/>
      <c r="HO213" s="321"/>
      <c r="HP213" s="564"/>
      <c r="HQ213" s="321"/>
      <c r="HR213" s="321"/>
      <c r="HS213" s="321"/>
      <c r="HT213" s="432"/>
      <c r="HU213" s="321"/>
      <c r="HV213" s="321"/>
      <c r="HW213" s="432"/>
      <c r="HX213" s="415"/>
      <c r="HY213" s="415"/>
      <c r="HZ213" s="415"/>
      <c r="IA213" s="432"/>
      <c r="IB213" s="321"/>
      <c r="IC213" s="432"/>
      <c r="ID213" s="439"/>
      <c r="IE213" s="321"/>
      <c r="IF213" s="321"/>
      <c r="IG213" s="483"/>
      <c r="IH213" s="432"/>
      <c r="II213" s="321"/>
      <c r="IJ213" s="321"/>
      <c r="IK213" s="432"/>
      <c r="IL213" s="415"/>
      <c r="IM213" s="414"/>
      <c r="IN213" s="417"/>
      <c r="IO213" s="415"/>
      <c r="IP213" s="417"/>
      <c r="IQ213" s="415"/>
      <c r="IR213" s="415"/>
      <c r="IS213" s="432"/>
      <c r="IT213" s="321"/>
      <c r="IU213" s="432"/>
      <c r="IV213" s="439"/>
    </row>
    <row r="214" spans="1:256" s="326" customFormat="1" ht="8.25" customHeight="1">
      <c r="A214" s="321"/>
      <c r="B214" s="321"/>
      <c r="C214" s="321"/>
      <c r="D214" s="321"/>
      <c r="E214" s="456"/>
      <c r="F214" s="459"/>
      <c r="G214" s="451"/>
      <c r="H214" s="321">
        <v>11</v>
      </c>
      <c r="I214" s="410"/>
      <c r="J214" s="462"/>
      <c r="K214" s="459"/>
      <c r="L214" s="443"/>
      <c r="M214" s="446"/>
      <c r="N214" s="321"/>
      <c r="O214" s="321"/>
      <c r="P214" s="564"/>
      <c r="Q214" s="483"/>
      <c r="R214" s="321"/>
      <c r="S214" s="321"/>
      <c r="T214" s="456"/>
      <c r="U214" s="443"/>
      <c r="V214" s="321">
        <v>12</v>
      </c>
      <c r="W214" s="321">
        <v>11</v>
      </c>
      <c r="X214" s="321">
        <v>11</v>
      </c>
      <c r="Y214" s="321">
        <v>11</v>
      </c>
      <c r="Z214" s="321">
        <v>12</v>
      </c>
      <c r="AA214" s="459"/>
      <c r="AB214" s="463"/>
      <c r="AC214" s="456">
        <v>10</v>
      </c>
      <c r="AD214" s="321"/>
      <c r="AE214" s="321"/>
      <c r="AF214" s="564"/>
      <c r="AG214" s="321"/>
      <c r="AH214" s="321"/>
      <c r="AI214" s="321"/>
      <c r="AJ214" s="449">
        <v>9</v>
      </c>
      <c r="AK214" s="321">
        <v>10</v>
      </c>
      <c r="AL214" s="321"/>
      <c r="AM214" s="321"/>
      <c r="AN214" s="321"/>
      <c r="AO214" s="321"/>
      <c r="AP214" s="321"/>
      <c r="AQ214" s="321"/>
      <c r="AR214" s="321">
        <v>10</v>
      </c>
      <c r="AS214" s="321"/>
      <c r="AT214" s="321"/>
      <c r="AU214" s="321"/>
      <c r="AV214" s="564"/>
      <c r="AW214" s="321"/>
      <c r="AX214" s="321"/>
      <c r="AY214" s="321"/>
      <c r="AZ214" s="321"/>
      <c r="BA214" s="321">
        <v>10</v>
      </c>
      <c r="BB214" s="458">
        <v>0</v>
      </c>
      <c r="BC214" s="464"/>
      <c r="BD214" s="452"/>
      <c r="BE214" s="462"/>
      <c r="BF214" s="458">
        <v>11</v>
      </c>
      <c r="BG214" s="451">
        <v>0</v>
      </c>
      <c r="BH214" s="321">
        <v>10</v>
      </c>
      <c r="BI214" s="321"/>
      <c r="BJ214" s="321"/>
      <c r="BK214" s="321"/>
      <c r="BL214" s="564"/>
      <c r="BM214" s="483"/>
      <c r="BN214" s="321"/>
      <c r="BO214" s="321"/>
      <c r="BP214" s="321"/>
      <c r="BQ214" s="321">
        <v>10</v>
      </c>
      <c r="BR214" s="458">
        <v>0</v>
      </c>
      <c r="BS214" s="458">
        <v>11</v>
      </c>
      <c r="BT214" s="462"/>
      <c r="BU214" s="410"/>
      <c r="BV214" s="464"/>
      <c r="BW214" s="451">
        <v>0</v>
      </c>
      <c r="BX214" s="321">
        <v>10</v>
      </c>
      <c r="BY214" s="321"/>
      <c r="BZ214" s="321"/>
      <c r="CA214" s="321"/>
      <c r="CB214" s="564"/>
      <c r="CC214" s="483"/>
      <c r="CD214" s="321"/>
      <c r="CE214" s="321"/>
      <c r="CF214" s="321"/>
      <c r="CG214" s="321">
        <v>10</v>
      </c>
      <c r="CH214" s="445">
        <v>0</v>
      </c>
      <c r="CI214" s="451">
        <v>11</v>
      </c>
      <c r="CJ214" s="410"/>
      <c r="CK214" s="452"/>
      <c r="CL214" s="451">
        <v>11</v>
      </c>
      <c r="CM214" s="445">
        <v>0</v>
      </c>
      <c r="CN214" s="321">
        <v>10</v>
      </c>
      <c r="CO214" s="321"/>
      <c r="CP214" s="321"/>
      <c r="CQ214" s="321"/>
      <c r="CR214" s="564"/>
      <c r="CS214" s="321"/>
      <c r="CT214" s="321"/>
      <c r="CU214" s="321"/>
      <c r="CV214" s="321"/>
      <c r="CW214" s="456">
        <v>0</v>
      </c>
      <c r="CX214" s="458">
        <v>0</v>
      </c>
      <c r="CY214" s="456">
        <v>0</v>
      </c>
      <c r="CZ214" s="321">
        <v>12</v>
      </c>
      <c r="DA214" s="410"/>
      <c r="DB214" s="462"/>
      <c r="DC214" s="456">
        <v>0</v>
      </c>
      <c r="DD214" s="458">
        <v>0</v>
      </c>
      <c r="DE214" s="445">
        <v>0</v>
      </c>
      <c r="DF214" s="321"/>
      <c r="DG214" s="321"/>
      <c r="DH214" s="564"/>
      <c r="DI214" s="483"/>
      <c r="DJ214" s="321"/>
      <c r="DK214" s="321">
        <v>10</v>
      </c>
      <c r="DL214" s="456">
        <v>0</v>
      </c>
      <c r="DM214" s="464">
        <v>0</v>
      </c>
      <c r="DN214" s="462"/>
      <c r="DO214" s="321">
        <v>11</v>
      </c>
      <c r="DP214" s="321">
        <v>11</v>
      </c>
      <c r="DQ214" s="321">
        <v>11</v>
      </c>
      <c r="DR214" s="462"/>
      <c r="DS214" s="449"/>
      <c r="DT214" s="464">
        <v>0</v>
      </c>
      <c r="DU214" s="451">
        <v>0</v>
      </c>
      <c r="DV214" s="321"/>
      <c r="DW214" s="321"/>
      <c r="DX214" s="564"/>
      <c r="DY214" s="483"/>
      <c r="DZ214" s="321"/>
      <c r="EA214" s="321"/>
      <c r="EB214" s="443">
        <v>0</v>
      </c>
      <c r="EC214" s="451">
        <v>0</v>
      </c>
      <c r="ED214" s="321"/>
      <c r="EE214" s="321"/>
      <c r="EF214" s="321"/>
      <c r="EG214" s="321"/>
      <c r="EH214" s="321"/>
      <c r="EI214" s="321"/>
      <c r="EJ214" s="321">
        <v>11</v>
      </c>
      <c r="EK214" s="449">
        <v>0</v>
      </c>
      <c r="EL214" s="321"/>
      <c r="EM214" s="321"/>
      <c r="EN214" s="321"/>
      <c r="EO214" s="1236"/>
      <c r="EP214" s="328"/>
      <c r="EQ214" s="328"/>
      <c r="ER214" s="328"/>
      <c r="ES214" s="328"/>
      <c r="ET214" s="328"/>
      <c r="EU214" s="328"/>
      <c r="EV214" s="328"/>
      <c r="EW214" s="328"/>
      <c r="EX214" s="328"/>
      <c r="EY214" s="328"/>
      <c r="EZ214" s="328"/>
      <c r="FA214" s="328"/>
      <c r="FB214" s="328"/>
      <c r="FC214" s="328"/>
      <c r="FD214" s="1237"/>
      <c r="FE214" s="1236"/>
      <c r="FF214" s="328"/>
      <c r="FG214" s="328"/>
      <c r="FH214" s="328"/>
      <c r="FI214" s="328"/>
      <c r="FJ214" s="328"/>
      <c r="FK214" s="328"/>
      <c r="FL214" s="328"/>
      <c r="FM214" s="328"/>
      <c r="FN214" s="328"/>
      <c r="FO214" s="328"/>
      <c r="FP214" s="328"/>
      <c r="FQ214" s="328"/>
      <c r="FR214" s="328"/>
      <c r="FS214" s="328"/>
      <c r="FT214" s="1237"/>
      <c r="FU214" s="1236"/>
      <c r="FV214" s="328"/>
      <c r="FW214" s="328"/>
      <c r="FX214" s="328"/>
      <c r="FY214" s="328"/>
      <c r="FZ214" s="328"/>
      <c r="GA214" s="328"/>
      <c r="GB214" s="328"/>
      <c r="GC214" s="328"/>
      <c r="GD214" s="328"/>
      <c r="GE214" s="328"/>
      <c r="GF214" s="328"/>
      <c r="GG214" s="328"/>
      <c r="GH214" s="328"/>
      <c r="GI214" s="328"/>
      <c r="GJ214" s="1237"/>
      <c r="GK214" s="321"/>
      <c r="GL214" s="321"/>
      <c r="GM214" s="321"/>
      <c r="GN214" s="321"/>
      <c r="GO214" s="321"/>
      <c r="GP214" s="321"/>
      <c r="GQ214" s="439">
        <v>8</v>
      </c>
      <c r="GR214" s="321"/>
      <c r="GS214" s="439">
        <v>8</v>
      </c>
      <c r="GT214" s="321"/>
      <c r="GU214" s="321"/>
      <c r="GV214" s="321"/>
      <c r="GW214" s="321"/>
      <c r="GX214" s="321"/>
      <c r="GY214" s="321"/>
      <c r="GZ214" s="321"/>
      <c r="HA214" s="483"/>
      <c r="HB214" s="321"/>
      <c r="HC214" s="321"/>
      <c r="HD214" s="321"/>
      <c r="HE214" s="321"/>
      <c r="HF214" s="321"/>
      <c r="HG214" s="321"/>
      <c r="HH214" s="432">
        <v>7</v>
      </c>
      <c r="HI214" s="321"/>
      <c r="HJ214" s="439">
        <v>8</v>
      </c>
      <c r="HK214" s="321"/>
      <c r="HL214" s="321"/>
      <c r="HM214" s="321"/>
      <c r="HN214" s="432">
        <v>6</v>
      </c>
      <c r="HO214" s="321"/>
      <c r="HP214" s="564"/>
      <c r="HQ214" s="432"/>
      <c r="HR214" s="321"/>
      <c r="HS214" s="432"/>
      <c r="HT214" s="439"/>
      <c r="HU214" s="321"/>
      <c r="HV214" s="414"/>
      <c r="HW214" s="414"/>
      <c r="HX214" s="415"/>
      <c r="HY214" s="409"/>
      <c r="HZ214" s="414"/>
      <c r="IA214" s="439"/>
      <c r="IB214" s="321"/>
      <c r="IC214" s="321"/>
      <c r="ID214" s="321"/>
      <c r="IE214" s="321"/>
      <c r="IF214" s="321"/>
      <c r="IG214" s="483"/>
      <c r="IH214" s="439"/>
      <c r="II214" s="321"/>
      <c r="IJ214" s="414"/>
      <c r="IK214" s="414"/>
      <c r="IL214" s="415"/>
      <c r="IM214" s="414"/>
      <c r="IN214" s="415"/>
      <c r="IO214" s="414"/>
      <c r="IP214" s="414"/>
      <c r="IQ214" s="414"/>
      <c r="IR214" s="414"/>
      <c r="IS214" s="414"/>
      <c r="IT214" s="439"/>
      <c r="IU214" s="321"/>
      <c r="IV214" s="321"/>
    </row>
    <row r="215" spans="1:256" s="326" customFormat="1" ht="8.25" customHeight="1">
      <c r="A215" s="483"/>
      <c r="B215" s="321"/>
      <c r="C215" s="321"/>
      <c r="D215" s="321"/>
      <c r="E215" s="321">
        <v>11</v>
      </c>
      <c r="F215" s="449"/>
      <c r="G215" s="458"/>
      <c r="H215" s="464"/>
      <c r="I215" s="456"/>
      <c r="J215" s="449"/>
      <c r="K215" s="456"/>
      <c r="L215" s="321">
        <v>11</v>
      </c>
      <c r="M215" s="321">
        <v>10</v>
      </c>
      <c r="N215" s="443">
        <v>9</v>
      </c>
      <c r="O215" s="321"/>
      <c r="P215" s="564"/>
      <c r="Q215" s="483"/>
      <c r="R215" s="321"/>
      <c r="S215" s="456">
        <v>10</v>
      </c>
      <c r="T215" s="459"/>
      <c r="U215" s="451"/>
      <c r="V215" s="321">
        <v>12</v>
      </c>
      <c r="W215" s="321">
        <v>12</v>
      </c>
      <c r="X215" s="321">
        <v>12</v>
      </c>
      <c r="Y215" s="321">
        <v>12</v>
      </c>
      <c r="Z215" s="321">
        <v>12</v>
      </c>
      <c r="AA215" s="456"/>
      <c r="AB215" s="321">
        <v>12</v>
      </c>
      <c r="AC215" s="446">
        <v>10</v>
      </c>
      <c r="AD215" s="321"/>
      <c r="AE215" s="321"/>
      <c r="AF215" s="564"/>
      <c r="AG215" s="321"/>
      <c r="AH215" s="321"/>
      <c r="AI215" s="321"/>
      <c r="AJ215" s="443">
        <v>8</v>
      </c>
      <c r="AK215" s="451">
        <v>9</v>
      </c>
      <c r="AL215" s="321"/>
      <c r="AM215" s="321"/>
      <c r="AN215" s="321"/>
      <c r="AO215" s="321"/>
      <c r="AP215" s="321"/>
      <c r="AQ215" s="321"/>
      <c r="AR215" s="321">
        <v>10</v>
      </c>
      <c r="AS215" s="443">
        <v>8</v>
      </c>
      <c r="AT215" s="321"/>
      <c r="AU215" s="321"/>
      <c r="AV215" s="564"/>
      <c r="AW215" s="483"/>
      <c r="AX215" s="321"/>
      <c r="AY215" s="321"/>
      <c r="AZ215" s="321"/>
      <c r="BA215" s="321">
        <v>10</v>
      </c>
      <c r="BB215" s="458">
        <v>0</v>
      </c>
      <c r="BC215" s="464">
        <v>0</v>
      </c>
      <c r="BD215" s="464">
        <v>12</v>
      </c>
      <c r="BE215" s="458">
        <v>11</v>
      </c>
      <c r="BF215" s="451">
        <v>0</v>
      </c>
      <c r="BG215" s="445">
        <v>0</v>
      </c>
      <c r="BH215" s="321">
        <v>10</v>
      </c>
      <c r="BI215" s="321"/>
      <c r="BJ215" s="321"/>
      <c r="BK215" s="321"/>
      <c r="BL215" s="564"/>
      <c r="BM215" s="483"/>
      <c r="BN215" s="321"/>
      <c r="BO215" s="321"/>
      <c r="BP215" s="321"/>
      <c r="BQ215" s="321">
        <v>10</v>
      </c>
      <c r="BR215" s="445">
        <v>0</v>
      </c>
      <c r="BS215" s="451">
        <v>0</v>
      </c>
      <c r="BT215" s="458">
        <v>11</v>
      </c>
      <c r="BU215" s="464">
        <v>12</v>
      </c>
      <c r="BV215" s="464">
        <v>12</v>
      </c>
      <c r="BW215" s="458">
        <v>0</v>
      </c>
      <c r="BX215" s="321">
        <v>10</v>
      </c>
      <c r="BY215" s="321"/>
      <c r="BZ215" s="321"/>
      <c r="CA215" s="321"/>
      <c r="CB215" s="564"/>
      <c r="CC215" s="483"/>
      <c r="CD215" s="321"/>
      <c r="CE215" s="321"/>
      <c r="CF215" s="321"/>
      <c r="CG215" s="321">
        <v>10</v>
      </c>
      <c r="CH215" s="451">
        <v>0</v>
      </c>
      <c r="CI215" s="458">
        <v>11</v>
      </c>
      <c r="CJ215" s="464">
        <v>12</v>
      </c>
      <c r="CK215" s="464">
        <v>12</v>
      </c>
      <c r="CL215" s="458">
        <v>11</v>
      </c>
      <c r="CM215" s="451">
        <v>0</v>
      </c>
      <c r="CN215" s="321">
        <v>10</v>
      </c>
      <c r="CO215" s="321"/>
      <c r="CP215" s="321"/>
      <c r="CQ215" s="321"/>
      <c r="CR215" s="564"/>
      <c r="CS215" s="483"/>
      <c r="CT215" s="321"/>
      <c r="CU215" s="321"/>
      <c r="CV215" s="458">
        <v>0</v>
      </c>
      <c r="CW215" s="321">
        <v>10</v>
      </c>
      <c r="CX215" s="458">
        <v>0</v>
      </c>
      <c r="CY215" s="458">
        <v>0</v>
      </c>
      <c r="CZ215" s="459"/>
      <c r="DA215" s="456">
        <v>0</v>
      </c>
      <c r="DB215" s="449">
        <v>0</v>
      </c>
      <c r="DC215" s="458">
        <v>0</v>
      </c>
      <c r="DD215" s="321">
        <v>10</v>
      </c>
      <c r="DE215" s="321"/>
      <c r="DF215" s="445">
        <v>0</v>
      </c>
      <c r="DG215" s="321"/>
      <c r="DH215" s="564"/>
      <c r="DI215" s="483"/>
      <c r="DJ215" s="321"/>
      <c r="DK215" s="456">
        <v>0</v>
      </c>
      <c r="DL215" s="464">
        <v>0</v>
      </c>
      <c r="DM215" s="464">
        <v>0</v>
      </c>
      <c r="DN215" s="459"/>
      <c r="DO215" s="321">
        <v>10</v>
      </c>
      <c r="DP215" s="410"/>
      <c r="DQ215" s="410"/>
      <c r="DR215" s="456"/>
      <c r="DS215" s="464">
        <v>0</v>
      </c>
      <c r="DT215" s="321">
        <v>10</v>
      </c>
      <c r="DU215" s="451">
        <v>0</v>
      </c>
      <c r="DV215" s="321"/>
      <c r="DW215" s="321"/>
      <c r="DX215" s="564"/>
      <c r="DY215" s="483"/>
      <c r="DZ215" s="321"/>
      <c r="EA215" s="321"/>
      <c r="EB215" s="321"/>
      <c r="EC215" s="321"/>
      <c r="ED215" s="321">
        <v>11</v>
      </c>
      <c r="EE215" s="321"/>
      <c r="EF215" s="321"/>
      <c r="EG215" s="321"/>
      <c r="EH215" s="321"/>
      <c r="EI215" s="321">
        <v>11</v>
      </c>
      <c r="EJ215" s="449"/>
      <c r="EK215" s="451">
        <v>0</v>
      </c>
      <c r="EL215" s="445">
        <v>0</v>
      </c>
      <c r="EM215" s="321"/>
      <c r="EN215" s="321"/>
      <c r="EO215" s="1236"/>
      <c r="EP215" s="328"/>
      <c r="EQ215" s="328"/>
      <c r="ER215" s="328"/>
      <c r="ES215" s="328"/>
      <c r="ET215" s="328"/>
      <c r="EU215" s="328"/>
      <c r="EV215" s="328"/>
      <c r="EW215" s="328"/>
      <c r="EX215" s="328"/>
      <c r="EY215" s="328"/>
      <c r="EZ215" s="328"/>
      <c r="FA215" s="328"/>
      <c r="FB215" s="328"/>
      <c r="FC215" s="328"/>
      <c r="FD215" s="1237"/>
      <c r="FE215" s="1236"/>
      <c r="FF215" s="328"/>
      <c r="FG215" s="328"/>
      <c r="FH215" s="328"/>
      <c r="FI215" s="328"/>
      <c r="FJ215" s="328"/>
      <c r="FK215" s="328"/>
      <c r="FL215" s="328"/>
      <c r="FM215" s="328"/>
      <c r="FN215" s="328"/>
      <c r="FO215" s="328"/>
      <c r="FP215" s="328"/>
      <c r="FQ215" s="328"/>
      <c r="FR215" s="328"/>
      <c r="FS215" s="328"/>
      <c r="FT215" s="1237"/>
      <c r="FU215" s="1236"/>
      <c r="FV215" s="328"/>
      <c r="FW215" s="328"/>
      <c r="FX215" s="328"/>
      <c r="FY215" s="328"/>
      <c r="FZ215" s="328"/>
      <c r="GA215" s="328"/>
      <c r="GB215" s="328"/>
      <c r="GC215" s="328"/>
      <c r="GD215" s="328"/>
      <c r="GE215" s="328"/>
      <c r="GF215" s="328"/>
      <c r="GG215" s="328"/>
      <c r="GH215" s="328"/>
      <c r="GI215" s="328"/>
      <c r="GJ215" s="1237"/>
      <c r="GK215" s="483"/>
      <c r="GL215" s="321"/>
      <c r="GM215" s="321"/>
      <c r="GN215" s="321"/>
      <c r="GO215" s="321"/>
      <c r="GP215" s="432">
        <v>7</v>
      </c>
      <c r="GQ215" s="321"/>
      <c r="GR215" s="321"/>
      <c r="GS215" s="421">
        <v>6</v>
      </c>
      <c r="GT215" s="321"/>
      <c r="GU215" s="321"/>
      <c r="GV215" s="321"/>
      <c r="GW215" s="321"/>
      <c r="GX215" s="321"/>
      <c r="GY215" s="321"/>
      <c r="GZ215" s="321"/>
      <c r="HA215" s="483"/>
      <c r="HB215" s="321"/>
      <c r="HC215" s="432">
        <v>6</v>
      </c>
      <c r="HD215" s="321"/>
      <c r="HE215" s="321"/>
      <c r="HF215" s="321"/>
      <c r="HG215" s="439">
        <v>8</v>
      </c>
      <c r="HH215" s="321"/>
      <c r="HI215" s="321"/>
      <c r="HJ215" s="439">
        <v>8</v>
      </c>
      <c r="HK215" s="321"/>
      <c r="HL215" s="321"/>
      <c r="HM215" s="321"/>
      <c r="HN215" s="321"/>
      <c r="HO215" s="321"/>
      <c r="HP215" s="564"/>
      <c r="HQ215" s="321"/>
      <c r="HR215" s="321"/>
      <c r="HS215" s="321"/>
      <c r="HT215" s="321"/>
      <c r="HU215" s="439"/>
      <c r="HV215" s="432"/>
      <c r="HW215" s="414"/>
      <c r="HX215" s="414"/>
      <c r="HY215" s="414"/>
      <c r="HZ215" s="414"/>
      <c r="IA215" s="432"/>
      <c r="IB215" s="439"/>
      <c r="IC215" s="321"/>
      <c r="ID215" s="321"/>
      <c r="IE215" s="321"/>
      <c r="IF215" s="321"/>
      <c r="IG215" s="483"/>
      <c r="IH215" s="321"/>
      <c r="II215" s="439"/>
      <c r="IJ215" s="432"/>
      <c r="IK215" s="414"/>
      <c r="IL215" s="414"/>
      <c r="IM215" s="414"/>
      <c r="IN215" s="414"/>
      <c r="IO215" s="417"/>
      <c r="IP215" s="414"/>
      <c r="IQ215" s="414"/>
      <c r="IR215" s="414"/>
      <c r="IS215" s="414"/>
      <c r="IT215" s="432"/>
      <c r="IU215" s="321"/>
      <c r="IV215" s="321"/>
    </row>
    <row r="216" spans="1:256" s="326" customFormat="1" ht="8.25" customHeight="1">
      <c r="A216" s="483"/>
      <c r="B216" s="321"/>
      <c r="C216" s="321"/>
      <c r="D216" s="321"/>
      <c r="E216" s="321">
        <v>10</v>
      </c>
      <c r="F216" s="443"/>
      <c r="G216" s="459"/>
      <c r="H216" s="456"/>
      <c r="I216" s="443"/>
      <c r="J216" s="446"/>
      <c r="K216" s="443"/>
      <c r="L216" s="321">
        <v>10</v>
      </c>
      <c r="M216" s="321"/>
      <c r="N216" s="321"/>
      <c r="O216" s="321"/>
      <c r="P216" s="564"/>
      <c r="Q216" s="483"/>
      <c r="R216" s="321"/>
      <c r="S216" s="321"/>
      <c r="T216" s="321"/>
      <c r="U216" s="321">
        <v>11</v>
      </c>
      <c r="V216" s="449"/>
      <c r="W216" s="321">
        <v>12</v>
      </c>
      <c r="X216" s="456"/>
      <c r="Y216" s="321">
        <v>12</v>
      </c>
      <c r="Z216" s="446"/>
      <c r="AA216" s="443"/>
      <c r="AB216" s="456"/>
      <c r="AC216" s="321">
        <v>10</v>
      </c>
      <c r="AD216" s="456">
        <v>9</v>
      </c>
      <c r="AE216" s="321"/>
      <c r="AF216" s="564"/>
      <c r="AG216" s="321"/>
      <c r="AH216" s="321"/>
      <c r="AI216" s="321"/>
      <c r="AJ216" s="321"/>
      <c r="AK216" s="321"/>
      <c r="AL216" s="321">
        <v>10</v>
      </c>
      <c r="AM216" s="321"/>
      <c r="AN216" s="321"/>
      <c r="AO216" s="321"/>
      <c r="AP216" s="321"/>
      <c r="AQ216" s="321">
        <v>10</v>
      </c>
      <c r="AR216" s="456">
        <v>10</v>
      </c>
      <c r="AS216" s="446">
        <v>9</v>
      </c>
      <c r="AT216" s="449">
        <v>9</v>
      </c>
      <c r="AU216" s="321"/>
      <c r="AV216" s="564"/>
      <c r="AW216" s="483"/>
      <c r="AX216" s="321"/>
      <c r="AY216" s="321"/>
      <c r="AZ216" s="321"/>
      <c r="BA216" s="321"/>
      <c r="BB216" s="321">
        <v>10</v>
      </c>
      <c r="BC216" s="458">
        <v>0</v>
      </c>
      <c r="BD216" s="451">
        <v>0</v>
      </c>
      <c r="BE216" s="451">
        <v>0</v>
      </c>
      <c r="BF216" s="445">
        <v>0</v>
      </c>
      <c r="BG216" s="321">
        <v>10</v>
      </c>
      <c r="BH216" s="321"/>
      <c r="BI216" s="321"/>
      <c r="BJ216" s="321"/>
      <c r="BK216" s="321"/>
      <c r="BL216" s="564"/>
      <c r="BM216" s="483"/>
      <c r="BN216" s="321"/>
      <c r="BO216" s="321"/>
      <c r="BP216" s="321"/>
      <c r="BQ216" s="321"/>
      <c r="BR216" s="321">
        <v>10</v>
      </c>
      <c r="BS216" s="445">
        <v>0</v>
      </c>
      <c r="BT216" s="451">
        <v>0</v>
      </c>
      <c r="BU216" s="451">
        <v>0</v>
      </c>
      <c r="BV216" s="458">
        <v>0</v>
      </c>
      <c r="BW216" s="321">
        <v>11</v>
      </c>
      <c r="BX216" s="321"/>
      <c r="BY216" s="321"/>
      <c r="BZ216" s="321"/>
      <c r="CA216" s="321"/>
      <c r="CB216" s="564"/>
      <c r="CC216" s="483"/>
      <c r="CD216" s="321"/>
      <c r="CE216" s="321"/>
      <c r="CF216" s="321"/>
      <c r="CG216" s="321"/>
      <c r="CH216" s="321">
        <v>10</v>
      </c>
      <c r="CI216" s="451">
        <v>0</v>
      </c>
      <c r="CJ216" s="458">
        <v>0</v>
      </c>
      <c r="CK216" s="458">
        <v>0</v>
      </c>
      <c r="CL216" s="451">
        <v>0</v>
      </c>
      <c r="CM216" s="321">
        <v>10</v>
      </c>
      <c r="CN216" s="321"/>
      <c r="CO216" s="321"/>
      <c r="CP216" s="321"/>
      <c r="CQ216" s="321"/>
      <c r="CR216" s="564"/>
      <c r="CS216" s="483"/>
      <c r="CT216" s="321"/>
      <c r="CU216" s="445">
        <v>0</v>
      </c>
      <c r="CV216" s="321"/>
      <c r="CW216" s="321">
        <v>10</v>
      </c>
      <c r="CX216" s="451">
        <v>0</v>
      </c>
      <c r="CY216" s="458">
        <v>0</v>
      </c>
      <c r="CZ216" s="456">
        <v>0</v>
      </c>
      <c r="DA216" s="458">
        <v>0</v>
      </c>
      <c r="DB216" s="458">
        <v>0</v>
      </c>
      <c r="DC216" s="458">
        <v>0</v>
      </c>
      <c r="DD216" s="321">
        <v>10</v>
      </c>
      <c r="DE216" s="321"/>
      <c r="DF216" s="321"/>
      <c r="DG216" s="321"/>
      <c r="DH216" s="564"/>
      <c r="DI216" s="483"/>
      <c r="DJ216" s="321"/>
      <c r="DK216" s="321"/>
      <c r="DL216" s="321">
        <v>10</v>
      </c>
      <c r="DM216" s="464">
        <v>0</v>
      </c>
      <c r="DN216" s="464"/>
      <c r="DO216" s="449">
        <v>0</v>
      </c>
      <c r="DP216" s="456">
        <v>0</v>
      </c>
      <c r="DQ216" s="459">
        <v>0</v>
      </c>
      <c r="DR216" s="464"/>
      <c r="DS216" s="458">
        <v>0</v>
      </c>
      <c r="DT216" s="458">
        <v>0</v>
      </c>
      <c r="DU216" s="321"/>
      <c r="DV216" s="445">
        <v>0</v>
      </c>
      <c r="DW216" s="321"/>
      <c r="DX216" s="564"/>
      <c r="DY216" s="483"/>
      <c r="DZ216" s="321"/>
      <c r="EA216" s="321"/>
      <c r="EB216" s="321"/>
      <c r="EC216" s="449">
        <v>0</v>
      </c>
      <c r="ED216" s="453"/>
      <c r="EE216" s="321">
        <v>11</v>
      </c>
      <c r="EF216" s="321"/>
      <c r="EG216" s="321"/>
      <c r="EH216" s="321">
        <v>11</v>
      </c>
      <c r="EI216" s="453">
        <v>0</v>
      </c>
      <c r="EJ216" s="451">
        <v>0</v>
      </c>
      <c r="EK216" s="321">
        <v>10</v>
      </c>
      <c r="EL216" s="321">
        <v>10</v>
      </c>
      <c r="EM216" s="445">
        <v>0</v>
      </c>
      <c r="EN216" s="321"/>
      <c r="EO216" s="1236"/>
      <c r="EP216" s="328"/>
      <c r="EQ216" s="328"/>
      <c r="ER216" s="328"/>
      <c r="ES216" s="328"/>
      <c r="ET216" s="328"/>
      <c r="EU216" s="328"/>
      <c r="EV216" s="328"/>
      <c r="EW216" s="328"/>
      <c r="EX216" s="328"/>
      <c r="EY216" s="328"/>
      <c r="EZ216" s="328"/>
      <c r="FA216" s="328"/>
      <c r="FB216" s="328"/>
      <c r="FC216" s="328"/>
      <c r="FD216" s="1237"/>
      <c r="FE216" s="1236"/>
      <c r="FF216" s="328"/>
      <c r="FG216" s="328"/>
      <c r="FH216" s="328"/>
      <c r="FI216" s="328"/>
      <c r="FJ216" s="328"/>
      <c r="FK216" s="328"/>
      <c r="FL216" s="328"/>
      <c r="FM216" s="328"/>
      <c r="FN216" s="328"/>
      <c r="FO216" s="328"/>
      <c r="FP216" s="328"/>
      <c r="FQ216" s="328"/>
      <c r="FR216" s="328"/>
      <c r="FS216" s="328"/>
      <c r="FT216" s="1237"/>
      <c r="FU216" s="1236"/>
      <c r="FV216" s="328"/>
      <c r="FW216" s="328"/>
      <c r="FX216" s="328"/>
      <c r="FY216" s="328"/>
      <c r="FZ216" s="328"/>
      <c r="GA216" s="328"/>
      <c r="GB216" s="328"/>
      <c r="GC216" s="328"/>
      <c r="GD216" s="328"/>
      <c r="GE216" s="328"/>
      <c r="GF216" s="328"/>
      <c r="GG216" s="328"/>
      <c r="GH216" s="328"/>
      <c r="GI216" s="328"/>
      <c r="GJ216" s="1237"/>
      <c r="GK216" s="483"/>
      <c r="GL216" s="321"/>
      <c r="GM216" s="321"/>
      <c r="GN216" s="321"/>
      <c r="GO216" s="321"/>
      <c r="GP216" s="321"/>
      <c r="GQ216" s="321"/>
      <c r="GR216" s="321"/>
      <c r="GS216" s="321"/>
      <c r="GT216" s="432">
        <v>7</v>
      </c>
      <c r="GU216" s="321"/>
      <c r="GV216" s="321"/>
      <c r="GW216" s="321"/>
      <c r="GX216" s="321"/>
      <c r="GY216" s="321"/>
      <c r="GZ216" s="321"/>
      <c r="HA216" s="483"/>
      <c r="HB216" s="321"/>
      <c r="HC216" s="321"/>
      <c r="HD216" s="432">
        <v>7</v>
      </c>
      <c r="HE216" s="439">
        <v>8</v>
      </c>
      <c r="HF216" s="321"/>
      <c r="HG216" s="432">
        <v>7</v>
      </c>
      <c r="HH216" s="321"/>
      <c r="HI216" s="321"/>
      <c r="HJ216" s="439">
        <v>8</v>
      </c>
      <c r="HK216" s="321"/>
      <c r="HL216" s="321"/>
      <c r="HM216" s="321"/>
      <c r="HN216" s="321"/>
      <c r="HO216" s="321"/>
      <c r="HP216" s="564"/>
      <c r="HQ216" s="321"/>
      <c r="HR216" s="321"/>
      <c r="HS216" s="321"/>
      <c r="HT216" s="432"/>
      <c r="HU216" s="321"/>
      <c r="HV216" s="321"/>
      <c r="HW216" s="432"/>
      <c r="HX216" s="432"/>
      <c r="HY216" s="414"/>
      <c r="HZ216" s="432"/>
      <c r="IA216" s="321"/>
      <c r="IB216" s="321"/>
      <c r="IC216" s="432"/>
      <c r="ID216" s="439"/>
      <c r="IE216" s="321"/>
      <c r="IF216" s="321"/>
      <c r="IG216" s="483"/>
      <c r="IH216" s="432"/>
      <c r="II216" s="321"/>
      <c r="IJ216" s="321"/>
      <c r="IK216" s="432"/>
      <c r="IL216" s="432"/>
      <c r="IM216" s="432"/>
      <c r="IN216" s="415"/>
      <c r="IO216" s="415"/>
      <c r="IP216" s="415"/>
      <c r="IQ216" s="415"/>
      <c r="IR216" s="414"/>
      <c r="IS216" s="432"/>
      <c r="IT216" s="321"/>
      <c r="IU216" s="432"/>
      <c r="IV216" s="439"/>
    </row>
    <row r="217" spans="1:256" s="326" customFormat="1" ht="8.25" customHeight="1">
      <c r="A217" s="483"/>
      <c r="B217" s="321"/>
      <c r="C217" s="321"/>
      <c r="D217" s="321"/>
      <c r="E217" s="321"/>
      <c r="F217" s="446"/>
      <c r="G217" s="321">
        <v>11</v>
      </c>
      <c r="H217" s="443"/>
      <c r="I217" s="321">
        <v>10</v>
      </c>
      <c r="J217" s="443"/>
      <c r="K217" s="446"/>
      <c r="L217" s="321"/>
      <c r="M217" s="321"/>
      <c r="N217" s="321"/>
      <c r="O217" s="321"/>
      <c r="P217" s="564"/>
      <c r="Q217" s="483"/>
      <c r="R217" s="321"/>
      <c r="S217" s="321"/>
      <c r="T217" s="321"/>
      <c r="U217" s="443"/>
      <c r="V217" s="321">
        <v>11</v>
      </c>
      <c r="W217" s="464"/>
      <c r="X217" s="321">
        <v>12</v>
      </c>
      <c r="Y217" s="456"/>
      <c r="Z217" s="449"/>
      <c r="AA217" s="321">
        <v>11</v>
      </c>
      <c r="AB217" s="449"/>
      <c r="AC217" s="321"/>
      <c r="AD217" s="321"/>
      <c r="AE217" s="443">
        <v>8</v>
      </c>
      <c r="AF217" s="564"/>
      <c r="AG217" s="483"/>
      <c r="AH217" s="321"/>
      <c r="AI217" s="321"/>
      <c r="AJ217" s="321"/>
      <c r="AK217" s="449">
        <v>9</v>
      </c>
      <c r="AL217" s="321">
        <v>10</v>
      </c>
      <c r="AM217" s="321"/>
      <c r="AN217" s="321"/>
      <c r="AO217" s="321"/>
      <c r="AP217" s="321"/>
      <c r="AQ217" s="321">
        <v>10</v>
      </c>
      <c r="AR217" s="443">
        <v>8</v>
      </c>
      <c r="AS217" s="321"/>
      <c r="AT217" s="321"/>
      <c r="AU217" s="449">
        <v>9</v>
      </c>
      <c r="AV217" s="321"/>
      <c r="AW217" s="483"/>
      <c r="AX217" s="321"/>
      <c r="AY217" s="321"/>
      <c r="AZ217" s="321"/>
      <c r="BA217" s="321"/>
      <c r="BB217" s="321"/>
      <c r="BC217" s="321">
        <v>10</v>
      </c>
      <c r="BD217" s="321">
        <v>10</v>
      </c>
      <c r="BE217" s="321">
        <v>10</v>
      </c>
      <c r="BF217" s="321">
        <v>10</v>
      </c>
      <c r="BG217" s="321"/>
      <c r="BH217" s="321"/>
      <c r="BI217" s="321"/>
      <c r="BJ217" s="321"/>
      <c r="BK217" s="321"/>
      <c r="BL217" s="564"/>
      <c r="BM217" s="483"/>
      <c r="BN217" s="321"/>
      <c r="BO217" s="321"/>
      <c r="BP217" s="321"/>
      <c r="BQ217" s="321"/>
      <c r="BR217" s="321"/>
      <c r="BS217" s="321">
        <v>10</v>
      </c>
      <c r="BT217" s="321">
        <v>10</v>
      </c>
      <c r="BU217" s="321">
        <v>10</v>
      </c>
      <c r="BV217" s="321">
        <v>10</v>
      </c>
      <c r="BW217" s="321"/>
      <c r="BX217" s="321"/>
      <c r="BY217" s="321"/>
      <c r="BZ217" s="321"/>
      <c r="CA217" s="321"/>
      <c r="CB217" s="564"/>
      <c r="CC217" s="483"/>
      <c r="CD217" s="321"/>
      <c r="CE217" s="321"/>
      <c r="CF217" s="321"/>
      <c r="CG217" s="321"/>
      <c r="CH217" s="321"/>
      <c r="CI217" s="321">
        <v>10</v>
      </c>
      <c r="CJ217" s="321">
        <v>10</v>
      </c>
      <c r="CK217" s="321">
        <v>10</v>
      </c>
      <c r="CL217" s="321">
        <v>10</v>
      </c>
      <c r="CM217" s="321"/>
      <c r="CN217" s="321"/>
      <c r="CO217" s="321"/>
      <c r="CP217" s="321"/>
      <c r="CQ217" s="321"/>
      <c r="CR217" s="564"/>
      <c r="CS217" s="483"/>
      <c r="CT217" s="321"/>
      <c r="CU217" s="321"/>
      <c r="CV217" s="321"/>
      <c r="CW217" s="321"/>
      <c r="CX217" s="445">
        <v>0</v>
      </c>
      <c r="CY217" s="321">
        <v>10</v>
      </c>
      <c r="CZ217" s="443">
        <v>0</v>
      </c>
      <c r="DA217" s="321">
        <v>10</v>
      </c>
      <c r="DB217" s="443">
        <v>0</v>
      </c>
      <c r="DC217" s="445">
        <v>0</v>
      </c>
      <c r="DD217" s="321"/>
      <c r="DE217" s="321"/>
      <c r="DF217" s="321"/>
      <c r="DG217" s="321"/>
      <c r="DH217" s="564"/>
      <c r="DI217" s="483"/>
      <c r="DJ217" s="321"/>
      <c r="DK217" s="321"/>
      <c r="DL217" s="321">
        <v>10</v>
      </c>
      <c r="DM217" s="458">
        <v>0</v>
      </c>
      <c r="DN217" s="464">
        <v>0</v>
      </c>
      <c r="DO217" s="464">
        <v>0</v>
      </c>
      <c r="DP217" s="464">
        <v>0</v>
      </c>
      <c r="DQ217" s="464">
        <v>0</v>
      </c>
      <c r="DR217" s="464">
        <v>0</v>
      </c>
      <c r="DS217" s="321">
        <v>10</v>
      </c>
      <c r="DT217" s="451">
        <v>0</v>
      </c>
      <c r="DU217" s="321"/>
      <c r="DV217" s="321"/>
      <c r="DW217" s="445">
        <v>0</v>
      </c>
      <c r="DX217" s="564"/>
      <c r="DY217" s="483"/>
      <c r="DZ217" s="321"/>
      <c r="EA217" s="321"/>
      <c r="EB217" s="321">
        <v>10</v>
      </c>
      <c r="EC217" s="451">
        <v>0</v>
      </c>
      <c r="ED217" s="456"/>
      <c r="EE217" s="321"/>
      <c r="EF217" s="321"/>
      <c r="EG217" s="321">
        <v>11</v>
      </c>
      <c r="EH217" s="321"/>
      <c r="EI217" s="321"/>
      <c r="EJ217" s="321"/>
      <c r="EK217" s="445">
        <v>0</v>
      </c>
      <c r="EL217" s="321"/>
      <c r="EM217" s="321"/>
      <c r="EN217" s="445">
        <v>0</v>
      </c>
      <c r="EO217" s="1236"/>
      <c r="EP217" s="328"/>
      <c r="EQ217" s="328"/>
      <c r="ER217" s="328"/>
      <c r="ES217" s="328"/>
      <c r="ET217" s="328"/>
      <c r="EU217" s="328"/>
      <c r="EV217" s="328"/>
      <c r="EW217" s="328"/>
      <c r="EX217" s="328"/>
      <c r="EY217" s="328"/>
      <c r="EZ217" s="328"/>
      <c r="FA217" s="328"/>
      <c r="FB217" s="328"/>
      <c r="FC217" s="328"/>
      <c r="FD217" s="1237"/>
      <c r="FE217" s="1236"/>
      <c r="FF217" s="328"/>
      <c r="FG217" s="328"/>
      <c r="FH217" s="328"/>
      <c r="FI217" s="328"/>
      <c r="FJ217" s="328"/>
      <c r="FK217" s="328"/>
      <c r="FL217" s="328"/>
      <c r="FM217" s="328"/>
      <c r="FN217" s="328"/>
      <c r="FO217" s="328"/>
      <c r="FP217" s="328"/>
      <c r="FQ217" s="328"/>
      <c r="FR217" s="328"/>
      <c r="FS217" s="328"/>
      <c r="FT217" s="1237"/>
      <c r="FU217" s="1236"/>
      <c r="FV217" s="328"/>
      <c r="FW217" s="328"/>
      <c r="FX217" s="328"/>
      <c r="FY217" s="328"/>
      <c r="FZ217" s="328"/>
      <c r="GA217" s="328"/>
      <c r="GB217" s="328"/>
      <c r="GC217" s="328"/>
      <c r="GD217" s="328"/>
      <c r="GE217" s="328"/>
      <c r="GF217" s="328"/>
      <c r="GG217" s="328"/>
      <c r="GH217" s="328"/>
      <c r="GI217" s="328"/>
      <c r="GJ217" s="1237"/>
      <c r="GK217" s="483"/>
      <c r="GL217" s="321"/>
      <c r="GM217" s="321"/>
      <c r="GN217" s="321"/>
      <c r="GO217" s="321"/>
      <c r="GP217" s="321"/>
      <c r="GQ217" s="321"/>
      <c r="GR217" s="321"/>
      <c r="GS217" s="321"/>
      <c r="GT217" s="321"/>
      <c r="GU217" s="321"/>
      <c r="GV217" s="321"/>
      <c r="GW217" s="321"/>
      <c r="GX217" s="321"/>
      <c r="GY217" s="321"/>
      <c r="GZ217" s="321"/>
      <c r="HA217" s="483"/>
      <c r="HB217" s="321"/>
      <c r="HC217" s="321"/>
      <c r="HD217" s="321"/>
      <c r="HE217" s="321"/>
      <c r="HF217" s="439">
        <v>8</v>
      </c>
      <c r="HG217" s="321"/>
      <c r="HH217" s="321"/>
      <c r="HI217" s="321"/>
      <c r="HJ217" s="321"/>
      <c r="HK217" s="432">
        <v>7</v>
      </c>
      <c r="HL217" s="321"/>
      <c r="HM217" s="321"/>
      <c r="HN217" s="321"/>
      <c r="HO217" s="321"/>
      <c r="HP217" s="564"/>
      <c r="HQ217" s="321"/>
      <c r="HR217" s="321"/>
      <c r="HS217" s="321"/>
      <c r="HT217" s="321"/>
      <c r="HU217" s="321"/>
      <c r="HV217" s="432"/>
      <c r="HW217" s="321"/>
      <c r="HX217" s="432"/>
      <c r="HY217" s="439"/>
      <c r="HZ217" s="432"/>
      <c r="IA217" s="439"/>
      <c r="IB217" s="321"/>
      <c r="IC217" s="321"/>
      <c r="ID217" s="321"/>
      <c r="IE217" s="432"/>
      <c r="IF217" s="321"/>
      <c r="IG217" s="1242"/>
      <c r="IH217" s="321"/>
      <c r="II217" s="321"/>
      <c r="IJ217" s="432"/>
      <c r="IK217" s="321"/>
      <c r="IL217" s="432"/>
      <c r="IM217" s="414"/>
      <c r="IN217" s="415"/>
      <c r="IO217" s="414"/>
      <c r="IP217" s="409"/>
      <c r="IQ217" s="414"/>
      <c r="IR217" s="439"/>
      <c r="IS217" s="432"/>
      <c r="IT217" s="439"/>
      <c r="IU217" s="321"/>
      <c r="IV217" s="321"/>
    </row>
    <row r="218" spans="1:256" s="326" customFormat="1" ht="8.25" customHeight="1">
      <c r="A218" s="483"/>
      <c r="B218" s="321"/>
      <c r="C218" s="321"/>
      <c r="D218" s="321"/>
      <c r="E218" s="443">
        <v>9</v>
      </c>
      <c r="F218" s="321">
        <v>10</v>
      </c>
      <c r="G218" s="321"/>
      <c r="H218" s="321"/>
      <c r="I218" s="321"/>
      <c r="J218" s="321">
        <v>10</v>
      </c>
      <c r="K218" s="321">
        <v>10</v>
      </c>
      <c r="L218" s="443">
        <v>9</v>
      </c>
      <c r="M218" s="321"/>
      <c r="N218" s="321"/>
      <c r="O218" s="321"/>
      <c r="P218" s="564"/>
      <c r="Q218" s="483"/>
      <c r="R218" s="321"/>
      <c r="S218" s="321"/>
      <c r="T218" s="321"/>
      <c r="U218" s="446">
        <v>9</v>
      </c>
      <c r="V218" s="456"/>
      <c r="W218" s="321">
        <v>10</v>
      </c>
      <c r="X218" s="321">
        <v>11</v>
      </c>
      <c r="Y218" s="456"/>
      <c r="Z218" s="446"/>
      <c r="AA218" s="321">
        <v>10</v>
      </c>
      <c r="AB218" s="321"/>
      <c r="AC218" s="456">
        <v>9</v>
      </c>
      <c r="AD218" s="321"/>
      <c r="AE218" s="321"/>
      <c r="AF218" s="564"/>
      <c r="AG218" s="483"/>
      <c r="AH218" s="321"/>
      <c r="AI218" s="321"/>
      <c r="AJ218" s="321"/>
      <c r="AK218" s="446"/>
      <c r="AL218" s="321">
        <v>10</v>
      </c>
      <c r="AM218" s="321"/>
      <c r="AN218" s="321"/>
      <c r="AO218" s="321"/>
      <c r="AP218" s="321"/>
      <c r="AQ218" s="321"/>
      <c r="AR218" s="321"/>
      <c r="AS218" s="449">
        <v>10</v>
      </c>
      <c r="AT218" s="321"/>
      <c r="AU218" s="321"/>
      <c r="AV218" s="443">
        <v>8</v>
      </c>
      <c r="AW218" s="483"/>
      <c r="AX218" s="321"/>
      <c r="AY218" s="321"/>
      <c r="AZ218" s="321"/>
      <c r="BA218" s="321"/>
      <c r="BB218" s="321"/>
      <c r="BC218" s="321"/>
      <c r="BD218" s="321"/>
      <c r="BE218" s="321"/>
      <c r="BF218" s="321"/>
      <c r="BG218" s="321"/>
      <c r="BH218" s="321"/>
      <c r="BI218" s="321"/>
      <c r="BJ218" s="321"/>
      <c r="BK218" s="321"/>
      <c r="BL218" s="564"/>
      <c r="BM218" s="483"/>
      <c r="BN218" s="321"/>
      <c r="BO218" s="321"/>
      <c r="BP218" s="321"/>
      <c r="BQ218" s="321"/>
      <c r="BR218" s="321"/>
      <c r="BS218" s="321"/>
      <c r="BT218" s="321"/>
      <c r="BU218" s="321"/>
      <c r="BV218" s="321"/>
      <c r="BW218" s="321"/>
      <c r="BX218" s="321"/>
      <c r="BY218" s="321"/>
      <c r="BZ218" s="321"/>
      <c r="CA218" s="321"/>
      <c r="CB218" s="564"/>
      <c r="CC218" s="483"/>
      <c r="CD218" s="321"/>
      <c r="CE218" s="321"/>
      <c r="CF218" s="321"/>
      <c r="CG218" s="321"/>
      <c r="CH218" s="321"/>
      <c r="CI218" s="321"/>
      <c r="CJ218" s="321"/>
      <c r="CK218" s="321"/>
      <c r="CL218" s="321"/>
      <c r="CM218" s="321"/>
      <c r="CN218" s="321"/>
      <c r="CO218" s="321"/>
      <c r="CP218" s="321"/>
      <c r="CQ218" s="321"/>
      <c r="CR218" s="564"/>
      <c r="CS218" s="483"/>
      <c r="CT218" s="321"/>
      <c r="CU218" s="321"/>
      <c r="CV218" s="321"/>
      <c r="CW218" s="445">
        <v>0</v>
      </c>
      <c r="CX218" s="321"/>
      <c r="CY218" s="321"/>
      <c r="CZ218" s="321"/>
      <c r="DA218" s="321"/>
      <c r="DB218" s="321"/>
      <c r="DC218" s="321"/>
      <c r="DD218" s="445">
        <v>0</v>
      </c>
      <c r="DE218" s="321"/>
      <c r="DF218" s="321"/>
      <c r="DG218" s="321"/>
      <c r="DH218" s="564"/>
      <c r="DI218" s="483"/>
      <c r="DJ218" s="321"/>
      <c r="DK218" s="321"/>
      <c r="DL218" s="321"/>
      <c r="DM218" s="451">
        <v>0</v>
      </c>
      <c r="DN218" s="458">
        <v>0</v>
      </c>
      <c r="DO218" s="321">
        <v>10</v>
      </c>
      <c r="DP218" s="321">
        <v>10</v>
      </c>
      <c r="DQ218" s="458">
        <v>0</v>
      </c>
      <c r="DR218" s="458">
        <v>0</v>
      </c>
      <c r="DS218" s="321"/>
      <c r="DT218" s="321"/>
      <c r="DU218" s="445">
        <v>0</v>
      </c>
      <c r="DV218" s="321"/>
      <c r="DW218" s="321"/>
      <c r="DX218" s="564"/>
      <c r="DY218" s="483"/>
      <c r="DZ218" s="321"/>
      <c r="EA218" s="321"/>
      <c r="EB218" s="445">
        <v>0</v>
      </c>
      <c r="EC218" s="445">
        <v>0</v>
      </c>
      <c r="ED218" s="321"/>
      <c r="EE218" s="321"/>
      <c r="EF218" s="321"/>
      <c r="EG218" s="321"/>
      <c r="EH218" s="456"/>
      <c r="EI218" s="449">
        <v>0</v>
      </c>
      <c r="EJ218" s="321"/>
      <c r="EK218" s="321"/>
      <c r="EL218" s="321"/>
      <c r="EM218" s="321"/>
      <c r="EN218" s="321"/>
      <c r="EO218" s="1236"/>
      <c r="EP218" s="328"/>
      <c r="EQ218" s="328"/>
      <c r="ER218" s="328"/>
      <c r="ES218" s="328"/>
      <c r="ET218" s="328"/>
      <c r="EU218" s="328"/>
      <c r="EV218" s="328"/>
      <c r="EW218" s="328"/>
      <c r="EX218" s="328"/>
      <c r="EY218" s="328"/>
      <c r="EZ218" s="328"/>
      <c r="FA218" s="328"/>
      <c r="FB218" s="328"/>
      <c r="FC218" s="328"/>
      <c r="FD218" s="1237"/>
      <c r="FE218" s="1236"/>
      <c r="FF218" s="328"/>
      <c r="FG218" s="328"/>
      <c r="FH218" s="328"/>
      <c r="FI218" s="328"/>
      <c r="FJ218" s="328"/>
      <c r="FK218" s="328"/>
      <c r="FL218" s="328"/>
      <c r="FM218" s="328"/>
      <c r="FN218" s="328"/>
      <c r="FO218" s="328"/>
      <c r="FP218" s="328"/>
      <c r="FQ218" s="328"/>
      <c r="FR218" s="328"/>
      <c r="FS218" s="328"/>
      <c r="FT218" s="1237"/>
      <c r="FU218" s="1236"/>
      <c r="FV218" s="328"/>
      <c r="FW218" s="328"/>
      <c r="FX218" s="328"/>
      <c r="FY218" s="328"/>
      <c r="FZ218" s="328"/>
      <c r="GA218" s="328"/>
      <c r="GB218" s="328"/>
      <c r="GC218" s="328"/>
      <c r="GD218" s="328"/>
      <c r="GE218" s="328"/>
      <c r="GF218" s="328"/>
      <c r="GG218" s="328"/>
      <c r="GH218" s="328"/>
      <c r="GI218" s="328"/>
      <c r="GJ218" s="1237"/>
      <c r="GK218" s="483"/>
      <c r="GL218" s="321"/>
      <c r="GM218" s="321"/>
      <c r="GN218" s="321"/>
      <c r="GO218" s="321"/>
      <c r="GP218" s="321"/>
      <c r="GQ218" s="321"/>
      <c r="GR218" s="321"/>
      <c r="GS218" s="321"/>
      <c r="GT218" s="321"/>
      <c r="GU218" s="321"/>
      <c r="GV218" s="321"/>
      <c r="GW218" s="321"/>
      <c r="GX218" s="321"/>
      <c r="GY218" s="321"/>
      <c r="GZ218" s="321"/>
      <c r="HA218" s="483"/>
      <c r="HB218" s="321"/>
      <c r="HC218" s="321"/>
      <c r="HD218" s="321"/>
      <c r="HE218" s="321"/>
      <c r="HF218" s="432">
        <v>7</v>
      </c>
      <c r="HG218" s="321"/>
      <c r="HH218" s="321"/>
      <c r="HI218" s="321"/>
      <c r="HJ218" s="321"/>
      <c r="HK218" s="321"/>
      <c r="HL218" s="432">
        <v>7</v>
      </c>
      <c r="HM218" s="321"/>
      <c r="HN218" s="321"/>
      <c r="HO218" s="321"/>
      <c r="HP218" s="564"/>
      <c r="HQ218" s="432"/>
      <c r="HR218" s="321"/>
      <c r="HS218" s="321"/>
      <c r="HT218" s="321"/>
      <c r="HU218" s="439"/>
      <c r="HV218" s="321"/>
      <c r="HW218" s="429"/>
      <c r="HX218" s="321"/>
      <c r="HY218" s="439"/>
      <c r="HZ218" s="432"/>
      <c r="IA218" s="439"/>
      <c r="IB218" s="321"/>
      <c r="IC218" s="417"/>
      <c r="ID218" s="321"/>
      <c r="IE218" s="321"/>
      <c r="IF218" s="321"/>
      <c r="IG218" s="483"/>
      <c r="IH218" s="321"/>
      <c r="II218" s="439"/>
      <c r="IJ218" s="321"/>
      <c r="IK218" s="321"/>
      <c r="IL218" s="321"/>
      <c r="IM218" s="414"/>
      <c r="IN218" s="414"/>
      <c r="IO218" s="414"/>
      <c r="IP218" s="414"/>
      <c r="IQ218" s="414"/>
      <c r="IR218" s="439"/>
      <c r="IS218" s="432"/>
      <c r="IT218" s="439"/>
      <c r="IU218" s="321"/>
      <c r="IV218" s="321"/>
    </row>
    <row r="219" spans="1:256" s="326" customFormat="1" ht="8.25" customHeight="1">
      <c r="A219" s="483"/>
      <c r="B219" s="321"/>
      <c r="C219" s="321"/>
      <c r="D219" s="321"/>
      <c r="E219" s="321"/>
      <c r="F219" s="321"/>
      <c r="G219" s="321"/>
      <c r="H219" s="321"/>
      <c r="I219" s="321"/>
      <c r="J219" s="321"/>
      <c r="K219" s="321"/>
      <c r="L219" s="436">
        <v>8</v>
      </c>
      <c r="M219" s="321"/>
      <c r="N219" s="321"/>
      <c r="O219" s="321"/>
      <c r="P219" s="564"/>
      <c r="Q219" s="483"/>
      <c r="R219" s="321"/>
      <c r="S219" s="321"/>
      <c r="T219" s="443">
        <v>8</v>
      </c>
      <c r="U219" s="456">
        <v>9</v>
      </c>
      <c r="V219" s="321"/>
      <c r="W219" s="321"/>
      <c r="X219" s="321"/>
      <c r="Y219" s="321">
        <v>10</v>
      </c>
      <c r="Z219" s="443"/>
      <c r="AA219" s="321"/>
      <c r="AB219" s="321"/>
      <c r="AC219" s="321"/>
      <c r="AD219" s="321">
        <v>10</v>
      </c>
      <c r="AE219" s="321"/>
      <c r="AF219" s="564"/>
      <c r="AG219" s="483"/>
      <c r="AH219" s="321"/>
      <c r="AI219" s="321"/>
      <c r="AJ219" s="443">
        <v>8</v>
      </c>
      <c r="AK219" s="449"/>
      <c r="AL219" s="321"/>
      <c r="AM219" s="321">
        <v>10</v>
      </c>
      <c r="AN219" s="321"/>
      <c r="AO219" s="321"/>
      <c r="AP219" s="321">
        <v>10</v>
      </c>
      <c r="AQ219" s="321">
        <v>10</v>
      </c>
      <c r="AR219" s="321"/>
      <c r="AS219" s="321"/>
      <c r="AT219" s="321"/>
      <c r="AU219" s="321"/>
      <c r="AV219" s="564"/>
      <c r="AW219" s="483"/>
      <c r="AX219" s="321"/>
      <c r="AY219" s="321"/>
      <c r="AZ219" s="321"/>
      <c r="BA219" s="321"/>
      <c r="BB219" s="321"/>
      <c r="BC219" s="321"/>
      <c r="BD219" s="321"/>
      <c r="BE219" s="321"/>
      <c r="BF219" s="321"/>
      <c r="BG219" s="321"/>
      <c r="BH219" s="321"/>
      <c r="BI219" s="321"/>
      <c r="BJ219" s="321"/>
      <c r="BK219" s="321"/>
      <c r="BL219" s="564"/>
      <c r="BM219" s="483"/>
      <c r="BN219" s="321"/>
      <c r="BO219" s="321"/>
      <c r="BP219" s="321"/>
      <c r="BQ219" s="321"/>
      <c r="BR219" s="321"/>
      <c r="BS219" s="321"/>
      <c r="BT219" s="321"/>
      <c r="BU219" s="321"/>
      <c r="BV219" s="321"/>
      <c r="BW219" s="321"/>
      <c r="BX219" s="321"/>
      <c r="BY219" s="321"/>
      <c r="BZ219" s="321"/>
      <c r="CA219" s="321"/>
      <c r="CB219" s="564"/>
      <c r="CC219" s="483"/>
      <c r="CD219" s="321"/>
      <c r="CE219" s="321"/>
      <c r="CF219" s="321"/>
      <c r="CG219" s="321"/>
      <c r="CH219" s="321"/>
      <c r="CI219" s="321"/>
      <c r="CJ219" s="321"/>
      <c r="CK219" s="321"/>
      <c r="CL219" s="321"/>
      <c r="CM219" s="321"/>
      <c r="CN219" s="321"/>
      <c r="CO219" s="321"/>
      <c r="CP219" s="321"/>
      <c r="CQ219" s="321"/>
      <c r="CR219" s="564"/>
      <c r="CS219" s="483"/>
      <c r="CT219" s="321"/>
      <c r="CU219" s="321"/>
      <c r="CV219" s="321"/>
      <c r="CW219" s="321"/>
      <c r="CX219" s="321"/>
      <c r="CY219" s="321"/>
      <c r="CZ219" s="458">
        <v>0</v>
      </c>
      <c r="DA219" s="321"/>
      <c r="DB219" s="321"/>
      <c r="DC219" s="321"/>
      <c r="DD219" s="445">
        <v>0</v>
      </c>
      <c r="DE219" s="321"/>
      <c r="DF219" s="321"/>
      <c r="DG219" s="321"/>
      <c r="DH219" s="564"/>
      <c r="DI219" s="483"/>
      <c r="DJ219" s="321"/>
      <c r="DK219" s="321"/>
      <c r="DL219" s="445">
        <v>0</v>
      </c>
      <c r="DM219" s="445">
        <v>0</v>
      </c>
      <c r="DN219" s="321"/>
      <c r="DO219" s="321"/>
      <c r="DP219" s="321"/>
      <c r="DQ219" s="321"/>
      <c r="DR219" s="451">
        <v>0</v>
      </c>
      <c r="DS219" s="321"/>
      <c r="DT219" s="321"/>
      <c r="DU219" s="321"/>
      <c r="DV219" s="321"/>
      <c r="DW219" s="321"/>
      <c r="DX219" s="564"/>
      <c r="DY219" s="483"/>
      <c r="DZ219" s="321"/>
      <c r="EA219" s="445">
        <v>0</v>
      </c>
      <c r="EB219" s="321"/>
      <c r="EC219" s="321"/>
      <c r="ED219" s="321"/>
      <c r="EE219" s="321"/>
      <c r="EF219" s="321"/>
      <c r="EG219" s="321"/>
      <c r="EH219" s="321">
        <v>10</v>
      </c>
      <c r="EI219" s="451">
        <v>0</v>
      </c>
      <c r="EJ219" s="321"/>
      <c r="EK219" s="321"/>
      <c r="EL219" s="321"/>
      <c r="EM219" s="321"/>
      <c r="EN219" s="321"/>
      <c r="EO219" s="1236"/>
      <c r="EP219" s="328"/>
      <c r="EQ219" s="328"/>
      <c r="ER219" s="328"/>
      <c r="ES219" s="328"/>
      <c r="ET219" s="328"/>
      <c r="EU219" s="328"/>
      <c r="EV219" s="328"/>
      <c r="EW219" s="328"/>
      <c r="EX219" s="328"/>
      <c r="EY219" s="328"/>
      <c r="EZ219" s="328"/>
      <c r="FA219" s="328"/>
      <c r="FB219" s="328"/>
      <c r="FC219" s="328"/>
      <c r="FD219" s="1237"/>
      <c r="FE219" s="1236"/>
      <c r="FF219" s="328"/>
      <c r="FG219" s="328"/>
      <c r="FH219" s="328"/>
      <c r="FI219" s="328"/>
      <c r="FJ219" s="328"/>
      <c r="FK219" s="328"/>
      <c r="FL219" s="328"/>
      <c r="FM219" s="328"/>
      <c r="FN219" s="328"/>
      <c r="FO219" s="328"/>
      <c r="FP219" s="328"/>
      <c r="FQ219" s="328"/>
      <c r="FR219" s="328"/>
      <c r="FS219" s="328"/>
      <c r="FT219" s="1237"/>
      <c r="FU219" s="1236"/>
      <c r="FV219" s="328"/>
      <c r="FW219" s="328"/>
      <c r="FX219" s="328"/>
      <c r="FY219" s="328"/>
      <c r="FZ219" s="328"/>
      <c r="GA219" s="328"/>
      <c r="GB219" s="328"/>
      <c r="GC219" s="328"/>
      <c r="GD219" s="328"/>
      <c r="GE219" s="328"/>
      <c r="GF219" s="328"/>
      <c r="GG219" s="328"/>
      <c r="GH219" s="328"/>
      <c r="GI219" s="328"/>
      <c r="GJ219" s="1237"/>
      <c r="GK219" s="483"/>
      <c r="GL219" s="321"/>
      <c r="GM219" s="321"/>
      <c r="GN219" s="321"/>
      <c r="GO219" s="321"/>
      <c r="GP219" s="321"/>
      <c r="GQ219" s="321"/>
      <c r="GR219" s="321"/>
      <c r="GS219" s="321"/>
      <c r="GT219" s="321"/>
      <c r="GU219" s="321"/>
      <c r="GV219" s="321"/>
      <c r="GW219" s="321"/>
      <c r="GX219" s="321"/>
      <c r="GY219" s="321"/>
      <c r="GZ219" s="321"/>
      <c r="HA219" s="483"/>
      <c r="HB219" s="321"/>
      <c r="HC219" s="321"/>
      <c r="HD219" s="432">
        <v>7</v>
      </c>
      <c r="HE219" s="439">
        <v>8</v>
      </c>
      <c r="HF219" s="321"/>
      <c r="HG219" s="321"/>
      <c r="HH219" s="321"/>
      <c r="HI219" s="321"/>
      <c r="HJ219" s="321"/>
      <c r="HK219" s="321"/>
      <c r="HL219" s="439">
        <v>8</v>
      </c>
      <c r="HM219" s="321"/>
      <c r="HN219" s="321"/>
      <c r="HO219" s="321"/>
      <c r="HP219" s="564"/>
      <c r="HQ219" s="321"/>
      <c r="HR219" s="432"/>
      <c r="HS219" s="439"/>
      <c r="HT219" s="321"/>
      <c r="HU219" s="432"/>
      <c r="HV219" s="321"/>
      <c r="HW219" s="321"/>
      <c r="HX219" s="432"/>
      <c r="HY219" s="432"/>
      <c r="HZ219" s="321"/>
      <c r="IA219" s="439"/>
      <c r="IB219" s="321"/>
      <c r="IC219" s="321"/>
      <c r="ID219" s="321"/>
      <c r="IE219" s="321"/>
      <c r="IF219" s="321"/>
      <c r="IG219" s="483"/>
      <c r="IH219" s="321"/>
      <c r="II219" s="432"/>
      <c r="IJ219" s="321"/>
      <c r="IK219" s="321"/>
      <c r="IL219" s="432"/>
      <c r="IM219" s="432"/>
      <c r="IN219" s="432"/>
      <c r="IO219" s="414"/>
      <c r="IP219" s="432"/>
      <c r="IQ219" s="432"/>
      <c r="IR219" s="321"/>
      <c r="IS219" s="321"/>
      <c r="IT219" s="432"/>
      <c r="IU219" s="321"/>
      <c r="IV219" s="564"/>
    </row>
    <row r="220" spans="1:256" s="326" customFormat="1" ht="8.25" customHeight="1">
      <c r="A220" s="483"/>
      <c r="B220" s="321"/>
      <c r="C220" s="321"/>
      <c r="D220" s="321"/>
      <c r="E220" s="321"/>
      <c r="F220" s="321"/>
      <c r="G220" s="321"/>
      <c r="H220" s="321"/>
      <c r="I220" s="321"/>
      <c r="J220" s="321"/>
      <c r="K220" s="321"/>
      <c r="L220" s="321"/>
      <c r="M220" s="321"/>
      <c r="N220" s="321"/>
      <c r="O220" s="321"/>
      <c r="P220" s="564"/>
      <c r="Q220" s="483"/>
      <c r="R220" s="321"/>
      <c r="S220" s="321"/>
      <c r="T220" s="321"/>
      <c r="U220" s="321"/>
      <c r="V220" s="321"/>
      <c r="W220" s="456">
        <v>10</v>
      </c>
      <c r="X220" s="321"/>
      <c r="Y220" s="321"/>
      <c r="Z220" s="321"/>
      <c r="AA220" s="446">
        <v>10</v>
      </c>
      <c r="AB220" s="321"/>
      <c r="AC220" s="321"/>
      <c r="AD220" s="321"/>
      <c r="AE220" s="321"/>
      <c r="AF220" s="564"/>
      <c r="AG220" s="483"/>
      <c r="AH220" s="321"/>
      <c r="AI220" s="443">
        <v>7</v>
      </c>
      <c r="AJ220" s="449">
        <v>9</v>
      </c>
      <c r="AK220" s="321"/>
      <c r="AL220" s="321"/>
      <c r="AM220" s="321"/>
      <c r="AN220" s="321">
        <v>10</v>
      </c>
      <c r="AO220" s="321">
        <v>10</v>
      </c>
      <c r="AP220" s="321"/>
      <c r="AQ220" s="449">
        <v>10</v>
      </c>
      <c r="AR220" s="321"/>
      <c r="AS220" s="321"/>
      <c r="AT220" s="321"/>
      <c r="AU220" s="321"/>
      <c r="AV220" s="564"/>
      <c r="AW220" s="483"/>
      <c r="AX220" s="321"/>
      <c r="AY220" s="321"/>
      <c r="AZ220" s="321"/>
      <c r="BA220" s="321"/>
      <c r="BB220" s="321"/>
      <c r="BC220" s="321"/>
      <c r="BD220" s="321"/>
      <c r="BE220" s="321"/>
      <c r="BF220" s="321"/>
      <c r="BG220" s="321"/>
      <c r="BH220" s="321"/>
      <c r="BI220" s="321"/>
      <c r="BJ220" s="321"/>
      <c r="BK220" s="321"/>
      <c r="BL220" s="564"/>
      <c r="BM220" s="483"/>
      <c r="BN220" s="321"/>
      <c r="BO220" s="321"/>
      <c r="BP220" s="321"/>
      <c r="BQ220" s="321"/>
      <c r="BR220" s="321"/>
      <c r="BS220" s="321"/>
      <c r="BT220" s="321"/>
      <c r="BU220" s="321"/>
      <c r="BV220" s="321"/>
      <c r="BW220" s="321"/>
      <c r="BX220" s="321"/>
      <c r="BY220" s="321"/>
      <c r="BZ220" s="321"/>
      <c r="CA220" s="321"/>
      <c r="CB220" s="564"/>
      <c r="CC220" s="483"/>
      <c r="CD220" s="321"/>
      <c r="CE220" s="321"/>
      <c r="CF220" s="321"/>
      <c r="CG220" s="321"/>
      <c r="CH220" s="321"/>
      <c r="CI220" s="321"/>
      <c r="CJ220" s="321"/>
      <c r="CK220" s="321"/>
      <c r="CL220" s="321"/>
      <c r="CM220" s="321"/>
      <c r="CN220" s="321"/>
      <c r="CO220" s="321"/>
      <c r="CP220" s="321"/>
      <c r="CQ220" s="321"/>
      <c r="CR220" s="564"/>
      <c r="CS220" s="483"/>
      <c r="CT220" s="321"/>
      <c r="CU220" s="321"/>
      <c r="CV220" s="321"/>
      <c r="CW220" s="321"/>
      <c r="CX220" s="321"/>
      <c r="CY220" s="321"/>
      <c r="CZ220" s="445">
        <v>0</v>
      </c>
      <c r="DA220" s="321"/>
      <c r="DB220" s="321"/>
      <c r="DC220" s="321"/>
      <c r="DD220" s="321"/>
      <c r="DE220" s="321"/>
      <c r="DF220" s="321"/>
      <c r="DG220" s="321"/>
      <c r="DH220" s="564"/>
      <c r="DI220" s="483"/>
      <c r="DJ220" s="321"/>
      <c r="DK220" s="445">
        <v>0</v>
      </c>
      <c r="DL220" s="321"/>
      <c r="DM220" s="321"/>
      <c r="DN220" s="321"/>
      <c r="DO220" s="456">
        <v>0</v>
      </c>
      <c r="DP220" s="321">
        <v>10</v>
      </c>
      <c r="DQ220" s="321"/>
      <c r="DR220" s="321"/>
      <c r="DS220" s="445">
        <v>0</v>
      </c>
      <c r="DT220" s="321"/>
      <c r="DU220" s="321"/>
      <c r="DV220" s="321"/>
      <c r="DW220" s="321"/>
      <c r="DX220" s="564"/>
      <c r="DY220" s="483"/>
      <c r="DZ220" s="321"/>
      <c r="EA220" s="321"/>
      <c r="EB220" s="321"/>
      <c r="EC220" s="321"/>
      <c r="ED220" s="321"/>
      <c r="EE220" s="321"/>
      <c r="EF220" s="321"/>
      <c r="EG220" s="321"/>
      <c r="EH220" s="321"/>
      <c r="EI220" s="321"/>
      <c r="EJ220" s="445">
        <v>0</v>
      </c>
      <c r="EK220" s="321"/>
      <c r="EL220" s="321"/>
      <c r="EM220" s="321"/>
      <c r="EN220" s="321"/>
      <c r="EO220" s="1236"/>
      <c r="EP220" s="328"/>
      <c r="EQ220" s="328"/>
      <c r="ER220" s="328"/>
      <c r="ES220" s="328"/>
      <c r="ET220" s="328"/>
      <c r="EU220" s="328"/>
      <c r="EV220" s="328"/>
      <c r="EW220" s="328"/>
      <c r="EX220" s="328"/>
      <c r="EY220" s="328"/>
      <c r="EZ220" s="328"/>
      <c r="FA220" s="328"/>
      <c r="FB220" s="328"/>
      <c r="FC220" s="328"/>
      <c r="FD220" s="1237"/>
      <c r="FE220" s="1236"/>
      <c r="FF220" s="328"/>
      <c r="FG220" s="328"/>
      <c r="FH220" s="328"/>
      <c r="FI220" s="328"/>
      <c r="FJ220" s="328"/>
      <c r="FK220" s="328"/>
      <c r="FL220" s="328"/>
      <c r="FM220" s="328"/>
      <c r="FN220" s="328"/>
      <c r="FO220" s="328"/>
      <c r="FP220" s="328"/>
      <c r="FQ220" s="328"/>
      <c r="FR220" s="328"/>
      <c r="FS220" s="328"/>
      <c r="FT220" s="1237"/>
      <c r="FU220" s="1236"/>
      <c r="FV220" s="328"/>
      <c r="FW220" s="328"/>
      <c r="FX220" s="328"/>
      <c r="FY220" s="328"/>
      <c r="FZ220" s="328"/>
      <c r="GA220" s="328"/>
      <c r="GB220" s="328"/>
      <c r="GC220" s="328"/>
      <c r="GD220" s="328"/>
      <c r="GE220" s="328"/>
      <c r="GF220" s="328"/>
      <c r="GG220" s="328"/>
      <c r="GH220" s="328"/>
      <c r="GI220" s="328"/>
      <c r="GJ220" s="1237"/>
      <c r="GK220" s="483"/>
      <c r="GL220" s="321"/>
      <c r="GM220" s="321"/>
      <c r="GN220" s="321"/>
      <c r="GO220" s="321"/>
      <c r="GP220" s="321"/>
      <c r="GQ220" s="321"/>
      <c r="GR220" s="321"/>
      <c r="GS220" s="321"/>
      <c r="GT220" s="321"/>
      <c r="GU220" s="321"/>
      <c r="GV220" s="321"/>
      <c r="GW220" s="321"/>
      <c r="GX220" s="321"/>
      <c r="GY220" s="321"/>
      <c r="GZ220" s="321"/>
      <c r="HA220" s="483"/>
      <c r="HB220" s="321"/>
      <c r="HC220" s="432">
        <v>6</v>
      </c>
      <c r="HD220" s="321"/>
      <c r="HE220" s="432">
        <v>7</v>
      </c>
      <c r="HF220" s="321"/>
      <c r="HG220" s="321"/>
      <c r="HH220" s="321"/>
      <c r="HI220" s="321"/>
      <c r="HJ220" s="321"/>
      <c r="HK220" s="321"/>
      <c r="HL220" s="439">
        <v>7</v>
      </c>
      <c r="HM220" s="321"/>
      <c r="HN220" s="321"/>
      <c r="HO220" s="321"/>
      <c r="HP220" s="564"/>
      <c r="HQ220" s="321"/>
      <c r="HR220" s="321"/>
      <c r="HS220" s="321"/>
      <c r="HT220" s="439"/>
      <c r="HU220" s="321"/>
      <c r="HV220" s="321"/>
      <c r="HW220" s="321"/>
      <c r="HX220" s="432"/>
      <c r="HY220" s="321"/>
      <c r="HZ220" s="321"/>
      <c r="IA220" s="321"/>
      <c r="IB220" s="432"/>
      <c r="IC220" s="321"/>
      <c r="ID220" s="321"/>
      <c r="IE220" s="321"/>
      <c r="IF220" s="321"/>
      <c r="IG220" s="483"/>
      <c r="IH220" s="321"/>
      <c r="II220" s="321"/>
      <c r="IJ220" s="321"/>
      <c r="IK220" s="321"/>
      <c r="IL220" s="432"/>
      <c r="IM220" s="321"/>
      <c r="IN220" s="432"/>
      <c r="IO220" s="439"/>
      <c r="IP220" s="432"/>
      <c r="IQ220" s="439"/>
      <c r="IR220" s="321"/>
      <c r="IS220" s="321"/>
      <c r="IT220" s="321"/>
      <c r="IU220" s="432"/>
      <c r="IV220" s="564"/>
    </row>
    <row r="221" spans="1:256" s="326" customFormat="1" ht="8.25" customHeight="1">
      <c r="A221" s="483"/>
      <c r="B221" s="321"/>
      <c r="C221" s="321"/>
      <c r="D221" s="321"/>
      <c r="E221" s="321"/>
      <c r="F221" s="321"/>
      <c r="G221" s="321"/>
      <c r="H221" s="321"/>
      <c r="I221" s="321"/>
      <c r="J221" s="321"/>
      <c r="K221" s="321"/>
      <c r="L221" s="321"/>
      <c r="M221" s="321"/>
      <c r="N221" s="321"/>
      <c r="O221" s="321"/>
      <c r="P221" s="321"/>
      <c r="Q221" s="483"/>
      <c r="R221" s="321"/>
      <c r="S221" s="321"/>
      <c r="T221" s="321"/>
      <c r="U221" s="321"/>
      <c r="V221" s="456">
        <v>9</v>
      </c>
      <c r="W221" s="449">
        <v>9</v>
      </c>
      <c r="X221" s="321"/>
      <c r="Y221" s="321"/>
      <c r="Z221" s="321"/>
      <c r="AA221" s="321"/>
      <c r="AB221" s="443">
        <v>8</v>
      </c>
      <c r="AC221" s="321"/>
      <c r="AD221" s="321"/>
      <c r="AE221" s="321"/>
      <c r="AF221" s="564"/>
      <c r="AG221" s="483"/>
      <c r="AH221" s="321"/>
      <c r="AI221" s="321"/>
      <c r="AJ221" s="321"/>
      <c r="AK221" s="321"/>
      <c r="AL221" s="321">
        <v>10</v>
      </c>
      <c r="AM221" s="321"/>
      <c r="AN221" s="443">
        <v>9</v>
      </c>
      <c r="AO221" s="321"/>
      <c r="AP221" s="321"/>
      <c r="AQ221" s="321"/>
      <c r="AR221" s="446">
        <v>9</v>
      </c>
      <c r="AS221" s="321"/>
      <c r="AT221" s="321"/>
      <c r="AU221" s="321"/>
      <c r="AV221" s="564"/>
      <c r="AW221" s="483"/>
      <c r="AX221" s="321"/>
      <c r="AY221" s="321"/>
      <c r="AZ221" s="321"/>
      <c r="BA221" s="321"/>
      <c r="BB221" s="321"/>
      <c r="BC221" s="321"/>
      <c r="BD221" s="321"/>
      <c r="BE221" s="321"/>
      <c r="BF221" s="321"/>
      <c r="BG221" s="321"/>
      <c r="BH221" s="321"/>
      <c r="BI221" s="321"/>
      <c r="BJ221" s="321"/>
      <c r="BK221" s="321"/>
      <c r="BL221" s="564"/>
      <c r="BM221" s="483"/>
      <c r="BN221" s="321"/>
      <c r="BO221" s="321"/>
      <c r="BP221" s="321"/>
      <c r="BQ221" s="321"/>
      <c r="BR221" s="321"/>
      <c r="BS221" s="321"/>
      <c r="BT221" s="321"/>
      <c r="BU221" s="321"/>
      <c r="BV221" s="321"/>
      <c r="BW221" s="321"/>
      <c r="BX221" s="321"/>
      <c r="BY221" s="321"/>
      <c r="BZ221" s="321"/>
      <c r="CA221" s="321"/>
      <c r="CB221" s="564"/>
      <c r="CC221" s="483"/>
      <c r="CD221" s="321"/>
      <c r="CE221" s="321"/>
      <c r="CF221" s="321"/>
      <c r="CG221" s="321"/>
      <c r="CH221" s="321"/>
      <c r="CI221" s="321"/>
      <c r="CJ221" s="321"/>
      <c r="CK221" s="321"/>
      <c r="CL221" s="321"/>
      <c r="CM221" s="321"/>
      <c r="CN221" s="321"/>
      <c r="CO221" s="321"/>
      <c r="CP221" s="321"/>
      <c r="CQ221" s="321"/>
      <c r="CR221" s="564"/>
      <c r="CS221" s="483"/>
      <c r="CT221" s="321"/>
      <c r="CU221" s="321"/>
      <c r="CV221" s="321"/>
      <c r="CW221" s="321"/>
      <c r="CX221" s="321"/>
      <c r="CY221" s="321"/>
      <c r="CZ221" s="321"/>
      <c r="DA221" s="321"/>
      <c r="DB221" s="321"/>
      <c r="DC221" s="321"/>
      <c r="DD221" s="321"/>
      <c r="DE221" s="321"/>
      <c r="DF221" s="321"/>
      <c r="DG221" s="321"/>
      <c r="DH221" s="564"/>
      <c r="DI221" s="483"/>
      <c r="DJ221" s="321"/>
      <c r="DK221" s="321"/>
      <c r="DL221" s="321"/>
      <c r="DM221" s="321"/>
      <c r="DN221" s="445">
        <v>0</v>
      </c>
      <c r="DO221" s="451">
        <v>0</v>
      </c>
      <c r="DP221" s="321"/>
      <c r="DQ221" s="321"/>
      <c r="DR221" s="321"/>
      <c r="DS221" s="321"/>
      <c r="DT221" s="445">
        <v>0</v>
      </c>
      <c r="DU221" s="321"/>
      <c r="DV221" s="321"/>
      <c r="DW221" s="321"/>
      <c r="DX221" s="564"/>
      <c r="DY221" s="483"/>
      <c r="DZ221" s="321"/>
      <c r="EA221" s="321"/>
      <c r="EB221" s="321"/>
      <c r="EC221" s="321"/>
      <c r="ED221" s="321"/>
      <c r="EE221" s="321"/>
      <c r="EF221" s="321"/>
      <c r="EG221" s="321"/>
      <c r="EH221" s="321"/>
      <c r="EI221" s="321"/>
      <c r="EJ221" s="321"/>
      <c r="EK221" s="321"/>
      <c r="EL221" s="321"/>
      <c r="EM221" s="321"/>
      <c r="EN221" s="321"/>
      <c r="EO221" s="1236"/>
      <c r="EP221" s="328"/>
      <c r="EQ221" s="328"/>
      <c r="ER221" s="328"/>
      <c r="ES221" s="328"/>
      <c r="ET221" s="328"/>
      <c r="EU221" s="328"/>
      <c r="EV221" s="328"/>
      <c r="EW221" s="328"/>
      <c r="EX221" s="328"/>
      <c r="EY221" s="328"/>
      <c r="EZ221" s="328"/>
      <c r="FA221" s="328"/>
      <c r="FB221" s="328"/>
      <c r="FC221" s="328"/>
      <c r="FD221" s="1237"/>
      <c r="FE221" s="1236"/>
      <c r="FF221" s="328"/>
      <c r="FG221" s="328"/>
      <c r="FH221" s="328"/>
      <c r="FI221" s="328"/>
      <c r="FJ221" s="328"/>
      <c r="FK221" s="328"/>
      <c r="FL221" s="328"/>
      <c r="FM221" s="328"/>
      <c r="FN221" s="328"/>
      <c r="FO221" s="328"/>
      <c r="FP221" s="328"/>
      <c r="FQ221" s="328"/>
      <c r="FR221" s="328"/>
      <c r="FS221" s="328"/>
      <c r="FT221" s="1237"/>
      <c r="FU221" s="1236"/>
      <c r="FV221" s="328"/>
      <c r="FW221" s="328"/>
      <c r="FX221" s="328"/>
      <c r="FY221" s="328"/>
      <c r="FZ221" s="328"/>
      <c r="GA221" s="328"/>
      <c r="GB221" s="328"/>
      <c r="GC221" s="328"/>
      <c r="GD221" s="328"/>
      <c r="GE221" s="328"/>
      <c r="GF221" s="328"/>
      <c r="GG221" s="328"/>
      <c r="GH221" s="328"/>
      <c r="GI221" s="328"/>
      <c r="GJ221" s="1237"/>
      <c r="GK221" s="483"/>
      <c r="GL221" s="321"/>
      <c r="GM221" s="321"/>
      <c r="GN221" s="321"/>
      <c r="GO221" s="321"/>
      <c r="GP221" s="321"/>
      <c r="GQ221" s="321"/>
      <c r="GR221" s="321"/>
      <c r="GS221" s="321"/>
      <c r="GT221" s="321"/>
      <c r="GU221" s="321"/>
      <c r="GV221" s="321"/>
      <c r="GW221" s="321"/>
      <c r="GX221" s="321"/>
      <c r="GY221" s="321"/>
      <c r="GZ221" s="321"/>
      <c r="HA221" s="483"/>
      <c r="HB221" s="321"/>
      <c r="HC221" s="321"/>
      <c r="HD221" s="321"/>
      <c r="HE221" s="321"/>
      <c r="HF221" s="439">
        <v>8</v>
      </c>
      <c r="HG221" s="321"/>
      <c r="HH221" s="321"/>
      <c r="HI221" s="321"/>
      <c r="HJ221" s="321"/>
      <c r="HK221" s="321"/>
      <c r="HL221" s="321"/>
      <c r="HM221" s="432">
        <v>6</v>
      </c>
      <c r="HN221" s="321"/>
      <c r="HO221" s="321"/>
      <c r="HP221" s="564"/>
      <c r="HQ221" s="321"/>
      <c r="HR221" s="321"/>
      <c r="HS221" s="321"/>
      <c r="HT221" s="432"/>
      <c r="HU221" s="321"/>
      <c r="HV221" s="321"/>
      <c r="HW221" s="321"/>
      <c r="HX221" s="432"/>
      <c r="HY221" s="321"/>
      <c r="HZ221" s="321"/>
      <c r="IA221" s="321"/>
      <c r="IB221" s="321"/>
      <c r="IC221" s="432"/>
      <c r="ID221" s="321"/>
      <c r="IE221" s="321"/>
      <c r="IF221" s="321"/>
      <c r="IG221" s="1242"/>
      <c r="IH221" s="321"/>
      <c r="II221" s="321"/>
      <c r="IJ221" s="321"/>
      <c r="IK221" s="439"/>
      <c r="IL221" s="321"/>
      <c r="IM221" s="321"/>
      <c r="IN221" s="321"/>
      <c r="IO221" s="439"/>
      <c r="IP221" s="432"/>
      <c r="IQ221" s="439"/>
      <c r="IR221" s="321"/>
      <c r="IS221" s="321"/>
      <c r="IT221" s="321"/>
      <c r="IU221" s="321"/>
      <c r="IV221" s="564"/>
    </row>
    <row r="222" spans="1:256" s="326" customFormat="1" ht="8.25" customHeight="1">
      <c r="A222" s="483"/>
      <c r="B222" s="321"/>
      <c r="C222" s="321"/>
      <c r="D222" s="321"/>
      <c r="E222" s="321"/>
      <c r="F222" s="321"/>
      <c r="G222" s="321"/>
      <c r="H222" s="321"/>
      <c r="I222" s="321"/>
      <c r="J222" s="321"/>
      <c r="K222" s="321"/>
      <c r="L222" s="321"/>
      <c r="M222" s="321"/>
      <c r="N222" s="321"/>
      <c r="O222" s="321"/>
      <c r="P222" s="321"/>
      <c r="Q222" s="483"/>
      <c r="R222" s="321"/>
      <c r="S222" s="321"/>
      <c r="T222" s="321"/>
      <c r="U222" s="321"/>
      <c r="V222" s="443">
        <v>8</v>
      </c>
      <c r="W222" s="321"/>
      <c r="X222" s="321"/>
      <c r="Y222" s="321"/>
      <c r="Z222" s="321"/>
      <c r="AA222" s="321"/>
      <c r="AB222" s="443">
        <v>8</v>
      </c>
      <c r="AC222" s="321"/>
      <c r="AD222" s="321"/>
      <c r="AE222" s="321"/>
      <c r="AF222" s="564"/>
      <c r="AG222" s="483"/>
      <c r="AH222" s="321"/>
      <c r="AI222" s="321"/>
      <c r="AJ222" s="321"/>
      <c r="AK222" s="449">
        <v>9</v>
      </c>
      <c r="AL222" s="321"/>
      <c r="AM222" s="321"/>
      <c r="AN222" s="449">
        <v>10</v>
      </c>
      <c r="AO222" s="321"/>
      <c r="AP222" s="321"/>
      <c r="AQ222" s="321"/>
      <c r="AR222" s="321"/>
      <c r="AS222" s="443">
        <v>8</v>
      </c>
      <c r="AT222" s="321"/>
      <c r="AU222" s="321"/>
      <c r="AV222" s="564"/>
      <c r="AW222" s="483"/>
      <c r="AX222" s="321"/>
      <c r="AY222" s="321"/>
      <c r="AZ222" s="321"/>
      <c r="BA222" s="321"/>
      <c r="BB222" s="321"/>
      <c r="BC222" s="321"/>
      <c r="BD222" s="321"/>
      <c r="BE222" s="321"/>
      <c r="BF222" s="321"/>
      <c r="BG222" s="321"/>
      <c r="BH222" s="321"/>
      <c r="BI222" s="321"/>
      <c r="BJ222" s="321"/>
      <c r="BK222" s="321"/>
      <c r="BL222" s="564"/>
      <c r="BM222" s="483"/>
      <c r="BN222" s="321"/>
      <c r="BO222" s="321"/>
      <c r="BP222" s="321"/>
      <c r="BQ222" s="321"/>
      <c r="BR222" s="321"/>
      <c r="BS222" s="321"/>
      <c r="BT222" s="321"/>
      <c r="BU222" s="321"/>
      <c r="BV222" s="321"/>
      <c r="BW222" s="321"/>
      <c r="BX222" s="321"/>
      <c r="BY222" s="321"/>
      <c r="BZ222" s="321"/>
      <c r="CA222" s="321"/>
      <c r="CB222" s="564"/>
      <c r="CC222" s="483"/>
      <c r="CD222" s="321"/>
      <c r="CE222" s="321"/>
      <c r="CF222" s="321"/>
      <c r="CG222" s="321"/>
      <c r="CH222" s="321"/>
      <c r="CI222" s="321"/>
      <c r="CJ222" s="321"/>
      <c r="CK222" s="321"/>
      <c r="CL222" s="321"/>
      <c r="CM222" s="321"/>
      <c r="CN222" s="321"/>
      <c r="CO222" s="321"/>
      <c r="CP222" s="321"/>
      <c r="CQ222" s="321"/>
      <c r="CR222" s="564"/>
      <c r="CS222" s="483"/>
      <c r="CT222" s="321"/>
      <c r="CU222" s="321"/>
      <c r="CV222" s="321"/>
      <c r="CW222" s="321"/>
      <c r="CX222" s="321"/>
      <c r="CY222" s="321"/>
      <c r="CZ222" s="321"/>
      <c r="DA222" s="321"/>
      <c r="DB222" s="321"/>
      <c r="DC222" s="321"/>
      <c r="DD222" s="321"/>
      <c r="DE222" s="321"/>
      <c r="DF222" s="321"/>
      <c r="DG222" s="321"/>
      <c r="DH222" s="564"/>
      <c r="DI222" s="483"/>
      <c r="DJ222" s="321"/>
      <c r="DK222" s="321"/>
      <c r="DL222" s="321"/>
      <c r="DM222" s="321"/>
      <c r="DN222" s="445">
        <v>0</v>
      </c>
      <c r="DO222" s="321"/>
      <c r="DP222" s="321"/>
      <c r="DQ222" s="321"/>
      <c r="DR222" s="321"/>
      <c r="DS222" s="321"/>
      <c r="DT222" s="445">
        <v>0</v>
      </c>
      <c r="DU222" s="321"/>
      <c r="DV222" s="321"/>
      <c r="DW222" s="321"/>
      <c r="DX222" s="564"/>
      <c r="DY222" s="483"/>
      <c r="DZ222" s="321"/>
      <c r="EA222" s="321"/>
      <c r="EB222" s="321"/>
      <c r="EC222" s="321"/>
      <c r="ED222" s="445">
        <v>0</v>
      </c>
      <c r="EE222" s="321"/>
      <c r="EF222" s="321"/>
      <c r="EG222" s="321"/>
      <c r="EH222" s="321"/>
      <c r="EI222" s="321"/>
      <c r="EJ222" s="321"/>
      <c r="EK222" s="321"/>
      <c r="EL222" s="321"/>
      <c r="EM222" s="321"/>
      <c r="EN222" s="321"/>
      <c r="EO222" s="1236"/>
      <c r="EP222" s="328"/>
      <c r="EQ222" s="328"/>
      <c r="ER222" s="328"/>
      <c r="ES222" s="328"/>
      <c r="ET222" s="328"/>
      <c r="EU222" s="328"/>
      <c r="EV222" s="328"/>
      <c r="EW222" s="328"/>
      <c r="EX222" s="328"/>
      <c r="EY222" s="328"/>
      <c r="EZ222" s="328"/>
      <c r="FA222" s="328"/>
      <c r="FB222" s="328"/>
      <c r="FC222" s="328"/>
      <c r="FD222" s="1237"/>
      <c r="FE222" s="1236"/>
      <c r="FF222" s="328"/>
      <c r="FG222" s="328"/>
      <c r="FH222" s="328"/>
      <c r="FI222" s="328"/>
      <c r="FJ222" s="328"/>
      <c r="FK222" s="328"/>
      <c r="FL222" s="328"/>
      <c r="FM222" s="328"/>
      <c r="FN222" s="328"/>
      <c r="FO222" s="328"/>
      <c r="FP222" s="328"/>
      <c r="FQ222" s="328"/>
      <c r="FR222" s="328"/>
      <c r="FS222" s="328"/>
      <c r="FT222" s="1237"/>
      <c r="FU222" s="1236"/>
      <c r="FV222" s="328"/>
      <c r="FW222" s="328"/>
      <c r="FX222" s="328"/>
      <c r="FY222" s="328"/>
      <c r="FZ222" s="328"/>
      <c r="GA222" s="328"/>
      <c r="GB222" s="328"/>
      <c r="GC222" s="328"/>
      <c r="GD222" s="328"/>
      <c r="GE222" s="328"/>
      <c r="GF222" s="328"/>
      <c r="GG222" s="328"/>
      <c r="GH222" s="328"/>
      <c r="GI222" s="328"/>
      <c r="GJ222" s="1237"/>
      <c r="GK222" s="483"/>
      <c r="GL222" s="321"/>
      <c r="GM222" s="321"/>
      <c r="GN222" s="321"/>
      <c r="GO222" s="321"/>
      <c r="GP222" s="321"/>
      <c r="GQ222" s="321"/>
      <c r="GR222" s="321"/>
      <c r="GS222" s="321"/>
      <c r="GT222" s="321"/>
      <c r="GU222" s="321"/>
      <c r="GV222" s="321"/>
      <c r="GW222" s="321"/>
      <c r="GX222" s="321"/>
      <c r="GY222" s="321"/>
      <c r="GZ222" s="321"/>
      <c r="HA222" s="483"/>
      <c r="HB222" s="321"/>
      <c r="HC222" s="321"/>
      <c r="HD222" s="321"/>
      <c r="HE222" s="321"/>
      <c r="HF222" s="321"/>
      <c r="HG222" s="321"/>
      <c r="HH222" s="321"/>
      <c r="HI222" s="321"/>
      <c r="HJ222" s="321"/>
      <c r="HK222" s="321"/>
      <c r="HL222" s="321"/>
      <c r="HM222" s="321"/>
      <c r="HN222" s="321"/>
      <c r="HO222" s="321"/>
      <c r="HP222" s="564"/>
      <c r="HQ222" s="321"/>
      <c r="HR222" s="432"/>
      <c r="HS222" s="439"/>
      <c r="HT222" s="321"/>
      <c r="HU222" s="321"/>
      <c r="HV222" s="321"/>
      <c r="HW222" s="432"/>
      <c r="HX222" s="321"/>
      <c r="HY222" s="321"/>
      <c r="HZ222" s="321"/>
      <c r="IA222" s="321"/>
      <c r="IB222" s="321"/>
      <c r="IC222" s="439"/>
      <c r="ID222" s="321"/>
      <c r="IE222" s="321"/>
      <c r="IF222" s="321"/>
      <c r="IG222" s="483"/>
      <c r="IH222" s="432"/>
      <c r="II222" s="439"/>
      <c r="IJ222" s="321"/>
      <c r="IK222" s="432"/>
      <c r="IL222" s="321"/>
      <c r="IM222" s="321"/>
      <c r="IN222" s="432"/>
      <c r="IO222" s="432"/>
      <c r="IP222" s="321"/>
      <c r="IQ222" s="439"/>
      <c r="IR222" s="321"/>
      <c r="IS222" s="321"/>
      <c r="IT222" s="321"/>
      <c r="IU222" s="321"/>
      <c r="IV222" s="564"/>
    </row>
    <row r="223" spans="1:256" s="326" customFormat="1" ht="8.25" customHeight="1">
      <c r="A223" s="483"/>
      <c r="B223" s="321"/>
      <c r="C223" s="321"/>
      <c r="D223" s="321"/>
      <c r="E223" s="321"/>
      <c r="F223" s="321"/>
      <c r="G223" s="321"/>
      <c r="H223" s="321"/>
      <c r="I223" s="321"/>
      <c r="J223" s="321"/>
      <c r="K223" s="321"/>
      <c r="L223" s="321"/>
      <c r="M223" s="321"/>
      <c r="N223" s="321"/>
      <c r="O223" s="321"/>
      <c r="P223" s="564"/>
      <c r="Q223" s="483"/>
      <c r="R223" s="321"/>
      <c r="S223" s="321"/>
      <c r="T223" s="321"/>
      <c r="U223" s="321"/>
      <c r="V223" s="321">
        <v>10</v>
      </c>
      <c r="W223" s="321"/>
      <c r="X223" s="321"/>
      <c r="Y223" s="321"/>
      <c r="Z223" s="321"/>
      <c r="AA223" s="321"/>
      <c r="AB223" s="321"/>
      <c r="AC223" s="321">
        <v>10</v>
      </c>
      <c r="AD223" s="321"/>
      <c r="AE223" s="321"/>
      <c r="AF223" s="564"/>
      <c r="AG223" s="483"/>
      <c r="AH223" s="321"/>
      <c r="AI223" s="321"/>
      <c r="AJ223" s="443">
        <v>8</v>
      </c>
      <c r="AK223" s="321"/>
      <c r="AL223" s="321"/>
      <c r="AM223" s="321"/>
      <c r="AN223" s="443">
        <v>8</v>
      </c>
      <c r="AO223" s="321"/>
      <c r="AP223" s="321"/>
      <c r="AQ223" s="321"/>
      <c r="AR223" s="321"/>
      <c r="AS223" s="321"/>
      <c r="AT223" s="321"/>
      <c r="AU223" s="321"/>
      <c r="AV223" s="564"/>
      <c r="AW223" s="483"/>
      <c r="AX223" s="321"/>
      <c r="AY223" s="321"/>
      <c r="AZ223" s="321"/>
      <c r="BA223" s="321"/>
      <c r="BB223" s="321"/>
      <c r="BC223" s="321"/>
      <c r="BD223" s="321"/>
      <c r="BE223" s="321"/>
      <c r="BF223" s="321"/>
      <c r="BG223" s="321"/>
      <c r="BH223" s="321"/>
      <c r="BI223" s="321"/>
      <c r="BJ223" s="321"/>
      <c r="BK223" s="321"/>
      <c r="BL223" s="564"/>
      <c r="BM223" s="483"/>
      <c r="BN223" s="321"/>
      <c r="BO223" s="321"/>
      <c r="BP223" s="321"/>
      <c r="BQ223" s="321"/>
      <c r="BR223" s="321"/>
      <c r="BS223" s="321"/>
      <c r="BT223" s="321"/>
      <c r="BU223" s="321"/>
      <c r="BV223" s="321"/>
      <c r="BW223" s="321"/>
      <c r="BX223" s="321"/>
      <c r="BY223" s="321"/>
      <c r="BZ223" s="321"/>
      <c r="CA223" s="321"/>
      <c r="CB223" s="564"/>
      <c r="CC223" s="483"/>
      <c r="CD223" s="321"/>
      <c r="CE223" s="321"/>
      <c r="CF223" s="321"/>
      <c r="CG223" s="321"/>
      <c r="CH223" s="321"/>
      <c r="CI223" s="321"/>
      <c r="CJ223" s="321"/>
      <c r="CK223" s="321"/>
      <c r="CL223" s="321"/>
      <c r="CM223" s="321"/>
      <c r="CN223" s="321"/>
      <c r="CO223" s="321"/>
      <c r="CP223" s="321"/>
      <c r="CQ223" s="321"/>
      <c r="CR223" s="564"/>
      <c r="CS223" s="483"/>
      <c r="CT223" s="321"/>
      <c r="CU223" s="321"/>
      <c r="CV223" s="321"/>
      <c r="CW223" s="321"/>
      <c r="CX223" s="321"/>
      <c r="CY223" s="321"/>
      <c r="CZ223" s="321"/>
      <c r="DA223" s="321"/>
      <c r="DB223" s="321"/>
      <c r="DC223" s="321"/>
      <c r="DD223" s="321"/>
      <c r="DE223" s="321"/>
      <c r="DF223" s="321"/>
      <c r="DG223" s="321"/>
      <c r="DH223" s="564"/>
      <c r="DI223" s="483"/>
      <c r="DJ223" s="321"/>
      <c r="DK223" s="321"/>
      <c r="DL223" s="321"/>
      <c r="DM223" s="445">
        <v>0</v>
      </c>
      <c r="DN223" s="321"/>
      <c r="DO223" s="321"/>
      <c r="DP223" s="321"/>
      <c r="DQ223" s="321"/>
      <c r="DR223" s="321"/>
      <c r="DS223" s="321"/>
      <c r="DT223" s="321"/>
      <c r="DU223" s="321"/>
      <c r="DV223" s="321"/>
      <c r="DW223" s="321"/>
      <c r="DX223" s="564"/>
      <c r="DY223" s="483"/>
      <c r="DZ223" s="321"/>
      <c r="EA223" s="321"/>
      <c r="EB223" s="321"/>
      <c r="EC223" s="321"/>
      <c r="ED223" s="445">
        <v>0</v>
      </c>
      <c r="EE223" s="321"/>
      <c r="EF223" s="321"/>
      <c r="EG223" s="321"/>
      <c r="EH223" s="321"/>
      <c r="EI223" s="321"/>
      <c r="EJ223" s="321"/>
      <c r="EK223" s="321"/>
      <c r="EL223" s="321"/>
      <c r="EM223" s="321"/>
      <c r="EN223" s="321"/>
      <c r="EO223" s="1236"/>
      <c r="EP223" s="328"/>
      <c r="EQ223" s="328"/>
      <c r="ER223" s="328"/>
      <c r="ES223" s="328"/>
      <c r="ET223" s="328"/>
      <c r="EU223" s="328"/>
      <c r="EV223" s="328"/>
      <c r="EW223" s="328"/>
      <c r="EX223" s="328"/>
      <c r="EY223" s="328"/>
      <c r="EZ223" s="328"/>
      <c r="FA223" s="328"/>
      <c r="FB223" s="328"/>
      <c r="FC223" s="328"/>
      <c r="FD223" s="1237"/>
      <c r="FE223" s="1236"/>
      <c r="FF223" s="328"/>
      <c r="FG223" s="328"/>
      <c r="FH223" s="328"/>
      <c r="FI223" s="328"/>
      <c r="FJ223" s="328"/>
      <c r="FK223" s="328"/>
      <c r="FL223" s="328"/>
      <c r="FM223" s="328"/>
      <c r="FN223" s="328"/>
      <c r="FO223" s="328"/>
      <c r="FP223" s="328"/>
      <c r="FQ223" s="328"/>
      <c r="FR223" s="328"/>
      <c r="FS223" s="328"/>
      <c r="FT223" s="1237"/>
      <c r="FU223" s="1236"/>
      <c r="FV223" s="328"/>
      <c r="FW223" s="328"/>
      <c r="FX223" s="328"/>
      <c r="FY223" s="328"/>
      <c r="FZ223" s="328"/>
      <c r="GA223" s="328"/>
      <c r="GB223" s="328"/>
      <c r="GC223" s="328"/>
      <c r="GD223" s="328"/>
      <c r="GE223" s="328"/>
      <c r="GF223" s="328"/>
      <c r="GG223" s="328"/>
      <c r="GH223" s="328"/>
      <c r="GI223" s="328"/>
      <c r="GJ223" s="1237"/>
      <c r="GK223" s="483"/>
      <c r="GL223" s="321"/>
      <c r="GM223" s="321"/>
      <c r="GN223" s="321"/>
      <c r="GO223" s="321"/>
      <c r="GP223" s="321"/>
      <c r="GQ223" s="321"/>
      <c r="GR223" s="321"/>
      <c r="GS223" s="321"/>
      <c r="GT223" s="321"/>
      <c r="GU223" s="321"/>
      <c r="GV223" s="321"/>
      <c r="GW223" s="321"/>
      <c r="GX223" s="321"/>
      <c r="GY223" s="321"/>
      <c r="GZ223" s="564"/>
      <c r="HA223" s="483"/>
      <c r="HB223" s="321"/>
      <c r="HC223" s="321"/>
      <c r="HD223" s="321"/>
      <c r="HE223" s="321"/>
      <c r="HF223" s="321"/>
      <c r="HG223" s="321"/>
      <c r="HH223" s="321"/>
      <c r="HI223" s="321"/>
      <c r="HJ223" s="321"/>
      <c r="HK223" s="321"/>
      <c r="HL223" s="321"/>
      <c r="HM223" s="321"/>
      <c r="HN223" s="321"/>
      <c r="HO223" s="321"/>
      <c r="HP223" s="564"/>
      <c r="HQ223" s="432"/>
      <c r="HR223" s="321"/>
      <c r="HS223" s="432"/>
      <c r="HT223" s="321"/>
      <c r="HU223" s="321"/>
      <c r="HV223" s="321"/>
      <c r="HW223" s="321"/>
      <c r="HX223" s="432"/>
      <c r="HY223" s="321"/>
      <c r="HZ223" s="321"/>
      <c r="IA223" s="321"/>
      <c r="IB223" s="321"/>
      <c r="IC223" s="439"/>
      <c r="ID223" s="321"/>
      <c r="IE223" s="321"/>
      <c r="IF223" s="321"/>
      <c r="IG223" s="483"/>
      <c r="IH223" s="321"/>
      <c r="II223" s="321"/>
      <c r="IJ223" s="439"/>
      <c r="IK223" s="321"/>
      <c r="IL223" s="429"/>
      <c r="IM223" s="321"/>
      <c r="IN223" s="432"/>
      <c r="IO223" s="321"/>
      <c r="IP223" s="321"/>
      <c r="IQ223" s="321"/>
      <c r="IR223" s="432"/>
      <c r="IS223" s="321"/>
      <c r="IT223" s="321"/>
      <c r="IU223" s="417"/>
      <c r="IV223" s="564"/>
    </row>
    <row r="224" spans="1:256" s="326" customFormat="1" ht="8.25" customHeight="1">
      <c r="A224" s="569"/>
      <c r="B224" s="569"/>
      <c r="C224" s="569"/>
      <c r="D224" s="569"/>
      <c r="E224" s="569"/>
      <c r="F224" s="569"/>
      <c r="G224" s="569"/>
      <c r="H224" s="569"/>
      <c r="I224" s="569"/>
      <c r="J224" s="569"/>
      <c r="K224" s="569"/>
      <c r="L224" s="569"/>
      <c r="M224" s="569"/>
      <c r="N224" s="569"/>
      <c r="O224" s="569"/>
      <c r="P224" s="570"/>
      <c r="Q224" s="569"/>
      <c r="R224" s="321"/>
      <c r="S224" s="321"/>
      <c r="T224" s="321"/>
      <c r="U224" s="321"/>
      <c r="V224" s="321"/>
      <c r="W224" s="321"/>
      <c r="X224" s="321"/>
      <c r="Y224" s="321"/>
      <c r="Z224" s="321"/>
      <c r="AA224" s="321"/>
      <c r="AB224" s="321"/>
      <c r="AC224" s="321"/>
      <c r="AD224" s="321"/>
      <c r="AE224" s="321"/>
      <c r="AF224" s="564"/>
      <c r="AG224" s="483"/>
      <c r="AH224" s="321"/>
      <c r="AI224" s="321"/>
      <c r="AJ224" s="321"/>
      <c r="AK224" s="321"/>
      <c r="AL224" s="321"/>
      <c r="AM224" s="321"/>
      <c r="AN224" s="321"/>
      <c r="AO224" s="321"/>
      <c r="AP224" s="321"/>
      <c r="AQ224" s="321"/>
      <c r="AR224" s="321"/>
      <c r="AS224" s="321"/>
      <c r="AT224" s="321"/>
      <c r="AU224" s="321"/>
      <c r="AV224" s="564"/>
      <c r="AW224" s="569"/>
      <c r="AX224" s="569"/>
      <c r="AY224" s="569"/>
      <c r="AZ224" s="569"/>
      <c r="BA224" s="569"/>
      <c r="BB224" s="569"/>
      <c r="BC224" s="569"/>
      <c r="BD224" s="569"/>
      <c r="BE224" s="569"/>
      <c r="BF224" s="569"/>
      <c r="BG224" s="569"/>
      <c r="BH224" s="569"/>
      <c r="BI224" s="569"/>
      <c r="BJ224" s="569"/>
      <c r="BK224" s="569"/>
      <c r="BL224" s="570"/>
      <c r="BM224" s="321"/>
      <c r="BN224" s="321"/>
      <c r="BO224" s="321"/>
      <c r="BP224" s="321"/>
      <c r="BQ224" s="321"/>
      <c r="BR224" s="321"/>
      <c r="BS224" s="321"/>
      <c r="BT224" s="321"/>
      <c r="BU224" s="321"/>
      <c r="BV224" s="321"/>
      <c r="BW224" s="321"/>
      <c r="BX224" s="321"/>
      <c r="BY224" s="321"/>
      <c r="BZ224" s="321"/>
      <c r="CA224" s="321"/>
      <c r="CB224" s="564"/>
      <c r="CC224" s="569"/>
      <c r="CD224" s="569"/>
      <c r="CE224" s="569"/>
      <c r="CF224" s="569"/>
      <c r="CG224" s="569"/>
      <c r="CH224" s="569"/>
      <c r="CI224" s="569"/>
      <c r="CJ224" s="569"/>
      <c r="CK224" s="569"/>
      <c r="CL224" s="569"/>
      <c r="CM224" s="569"/>
      <c r="CN224" s="569"/>
      <c r="CO224" s="569"/>
      <c r="CP224" s="569"/>
      <c r="CQ224" s="569"/>
      <c r="CR224" s="570"/>
      <c r="CS224" s="569"/>
      <c r="CT224" s="569"/>
      <c r="CU224" s="569"/>
      <c r="CV224" s="569"/>
      <c r="CW224" s="569"/>
      <c r="CX224" s="321"/>
      <c r="CY224" s="321"/>
      <c r="CZ224" s="321"/>
      <c r="DA224" s="321"/>
      <c r="DB224" s="321"/>
      <c r="DC224" s="321"/>
      <c r="DD224" s="321"/>
      <c r="DE224" s="321"/>
      <c r="DF224" s="321"/>
      <c r="DG224" s="569"/>
      <c r="DH224" s="570"/>
      <c r="DI224" s="569"/>
      <c r="DJ224" s="321"/>
      <c r="DK224" s="321"/>
      <c r="DL224" s="321"/>
      <c r="DM224" s="321"/>
      <c r="DN224" s="321"/>
      <c r="DO224" s="321"/>
      <c r="DP224" s="321"/>
      <c r="DQ224" s="321"/>
      <c r="DR224" s="321"/>
      <c r="DS224" s="321"/>
      <c r="DT224" s="321"/>
      <c r="DU224" s="321"/>
      <c r="DV224" s="321"/>
      <c r="DW224" s="321"/>
      <c r="DX224" s="564"/>
      <c r="DY224" s="321"/>
      <c r="DZ224" s="321"/>
      <c r="EA224" s="321"/>
      <c r="EB224" s="321"/>
      <c r="EC224" s="445">
        <v>0</v>
      </c>
      <c r="ED224" s="321"/>
      <c r="EE224" s="321"/>
      <c r="EF224" s="321"/>
      <c r="EG224" s="321"/>
      <c r="EH224" s="321"/>
      <c r="EI224" s="321"/>
      <c r="EJ224" s="321"/>
      <c r="EK224" s="321"/>
      <c r="EL224" s="321"/>
      <c r="EM224" s="321"/>
      <c r="EN224" s="321"/>
      <c r="EO224" s="1238"/>
      <c r="EP224" s="479"/>
      <c r="EQ224" s="479"/>
      <c r="ER224" s="479"/>
      <c r="ES224" s="479"/>
      <c r="ET224" s="479"/>
      <c r="EU224" s="479"/>
      <c r="EV224" s="479"/>
      <c r="EW224" s="479"/>
      <c r="EX224" s="479"/>
      <c r="EY224" s="479"/>
      <c r="EZ224" s="479"/>
      <c r="FA224" s="479"/>
      <c r="FB224" s="479"/>
      <c r="FC224" s="479"/>
      <c r="FD224" s="1240"/>
      <c r="FE224" s="1238"/>
      <c r="FF224" s="479"/>
      <c r="FG224" s="479"/>
      <c r="FH224" s="479"/>
      <c r="FI224" s="479"/>
      <c r="FJ224" s="479"/>
      <c r="FK224" s="479"/>
      <c r="FL224" s="479"/>
      <c r="FM224" s="479"/>
      <c r="FN224" s="479"/>
      <c r="FO224" s="479"/>
      <c r="FP224" s="479"/>
      <c r="FQ224" s="479"/>
      <c r="FR224" s="479"/>
      <c r="FS224" s="479"/>
      <c r="FT224" s="1240"/>
      <c r="FU224" s="1238"/>
      <c r="FV224" s="479"/>
      <c r="FW224" s="479"/>
      <c r="FX224" s="479"/>
      <c r="FY224" s="479"/>
      <c r="FZ224" s="479"/>
      <c r="GA224" s="479"/>
      <c r="GB224" s="479"/>
      <c r="GC224" s="479"/>
      <c r="GD224" s="479"/>
      <c r="GE224" s="479"/>
      <c r="GF224" s="479"/>
      <c r="GG224" s="479"/>
      <c r="GH224" s="479"/>
      <c r="GI224" s="479"/>
      <c r="GJ224" s="1240"/>
      <c r="GK224" s="569"/>
      <c r="GL224" s="569"/>
      <c r="GM224" s="569"/>
      <c r="GN224" s="569"/>
      <c r="GO224" s="569"/>
      <c r="GP224" s="569"/>
      <c r="GQ224" s="569"/>
      <c r="GR224" s="569"/>
      <c r="GS224" s="569"/>
      <c r="GT224" s="569"/>
      <c r="GU224" s="569"/>
      <c r="GV224" s="569"/>
      <c r="GW224" s="569"/>
      <c r="GX224" s="569"/>
      <c r="GY224" s="569"/>
      <c r="GZ224" s="570"/>
      <c r="HA224" s="569"/>
      <c r="HB224" s="569"/>
      <c r="HC224" s="569"/>
      <c r="HD224" s="569"/>
      <c r="HE224" s="569"/>
      <c r="HF224" s="569"/>
      <c r="HG224" s="569"/>
      <c r="HH224" s="569"/>
      <c r="HI224" s="569"/>
      <c r="HJ224" s="569"/>
      <c r="HK224" s="569"/>
      <c r="HL224" s="569"/>
      <c r="HM224" s="569"/>
      <c r="HN224" s="569"/>
      <c r="HO224" s="569"/>
      <c r="HP224" s="570"/>
      <c r="HQ224" s="651"/>
      <c r="HR224" s="569"/>
      <c r="HS224" s="569"/>
      <c r="HT224" s="580"/>
      <c r="HU224" s="569"/>
      <c r="HV224" s="569"/>
      <c r="HW224" s="569"/>
      <c r="HX224" s="569"/>
      <c r="HY224" s="432"/>
      <c r="HZ224" s="569"/>
      <c r="IA224" s="569"/>
      <c r="IB224" s="569"/>
      <c r="IC224" s="569"/>
      <c r="ID224" s="561"/>
      <c r="IE224" s="569"/>
      <c r="IF224" s="569"/>
      <c r="IG224" s="651"/>
      <c r="IH224" s="569"/>
      <c r="II224" s="569"/>
      <c r="IJ224" s="561"/>
      <c r="IK224" s="569"/>
      <c r="IL224" s="569"/>
      <c r="IM224" s="569"/>
      <c r="IN224" s="561"/>
      <c r="IO224" s="569"/>
      <c r="IP224" s="569"/>
      <c r="IQ224" s="569"/>
      <c r="IR224" s="569"/>
      <c r="IS224" s="561"/>
      <c r="IT224" s="569"/>
      <c r="IU224" s="569"/>
      <c r="IV224" s="570"/>
    </row>
    <row r="225" spans="1:256" s="326" customFormat="1" ht="8.25" customHeight="1">
      <c r="A225" s="679">
        <v>113</v>
      </c>
      <c r="B225" s="484"/>
      <c r="C225" s="484"/>
      <c r="D225" s="484"/>
      <c r="E225" s="484"/>
      <c r="F225" s="484"/>
      <c r="G225" s="484"/>
      <c r="H225" s="484"/>
      <c r="I225" s="484"/>
      <c r="J225" s="484"/>
      <c r="K225" s="484"/>
      <c r="L225" s="484"/>
      <c r="M225" s="484"/>
      <c r="N225" s="484"/>
      <c r="O225" s="484"/>
      <c r="P225" s="696"/>
      <c r="Q225" s="679">
        <v>114</v>
      </c>
      <c r="R225" s="484"/>
      <c r="S225" s="484"/>
      <c r="T225" s="484"/>
      <c r="U225" s="484"/>
      <c r="V225" s="484"/>
      <c r="W225" s="484"/>
      <c r="X225" s="484"/>
      <c r="Y225" s="484"/>
      <c r="Z225" s="484"/>
      <c r="AA225" s="484"/>
      <c r="AB225" s="484"/>
      <c r="AC225" s="484"/>
      <c r="AD225" s="484"/>
      <c r="AE225" s="484"/>
      <c r="AF225" s="696"/>
      <c r="AG225" s="679">
        <v>115</v>
      </c>
      <c r="AH225" s="484"/>
      <c r="AI225" s="484"/>
      <c r="AJ225" s="484"/>
      <c r="AK225" s="484"/>
      <c r="AL225" s="484"/>
      <c r="AM225" s="484"/>
      <c r="AN225" s="484"/>
      <c r="AO225" s="484"/>
      <c r="AP225" s="484"/>
      <c r="AQ225" s="484"/>
      <c r="AR225" s="484"/>
      <c r="AS225" s="484"/>
      <c r="AT225" s="484"/>
      <c r="AU225" s="484"/>
      <c r="AV225" s="484"/>
      <c r="AW225" s="679">
        <v>116</v>
      </c>
      <c r="AX225" s="452"/>
      <c r="AY225" s="452"/>
      <c r="AZ225" s="452"/>
      <c r="BA225" s="452"/>
      <c r="BB225" s="452"/>
      <c r="BC225" s="452"/>
      <c r="BD225" s="452"/>
      <c r="BE225" s="452"/>
      <c r="BF225" s="452"/>
      <c r="BG225" s="452"/>
      <c r="BH225" s="452"/>
      <c r="BI225" s="452"/>
      <c r="BJ225" s="452"/>
      <c r="BK225" s="452"/>
      <c r="BL225" s="484"/>
      <c r="BM225" s="679">
        <v>117</v>
      </c>
      <c r="BN225" s="484"/>
      <c r="BO225" s="484"/>
      <c r="BP225" s="484"/>
      <c r="BQ225" s="484"/>
      <c r="BR225" s="484"/>
      <c r="BS225" s="646"/>
      <c r="BT225" s="646"/>
      <c r="BU225" s="646"/>
      <c r="BV225" s="484"/>
      <c r="BW225" s="484"/>
      <c r="BX225" s="484"/>
      <c r="BY225" s="484"/>
      <c r="BZ225" s="484"/>
      <c r="CA225" s="484"/>
      <c r="CB225" s="696"/>
      <c r="CC225" s="679">
        <v>118</v>
      </c>
      <c r="CD225" s="484"/>
      <c r="CE225" s="484"/>
      <c r="CF225" s="484"/>
      <c r="CG225" s="484"/>
      <c r="CH225" s="484"/>
      <c r="CI225" s="646"/>
      <c r="CJ225" s="646"/>
      <c r="CK225" s="646"/>
      <c r="CL225" s="484"/>
      <c r="CM225" s="484"/>
      <c r="CN225" s="484"/>
      <c r="CO225" s="484"/>
      <c r="CP225" s="484"/>
      <c r="CQ225" s="484"/>
      <c r="CR225" s="696"/>
      <c r="CS225" s="1233">
        <v>119</v>
      </c>
      <c r="CT225" s="1234"/>
      <c r="CU225" s="1234"/>
      <c r="CV225" s="1234"/>
      <c r="CW225" s="1234"/>
      <c r="CX225" s="1234"/>
      <c r="CY225" s="1234"/>
      <c r="CZ225" s="1234"/>
      <c r="DA225" s="1234"/>
      <c r="DB225" s="1234"/>
      <c r="DC225" s="1234"/>
      <c r="DD225" s="1234"/>
      <c r="DE225" s="1234"/>
      <c r="DF225" s="1234"/>
      <c r="DG225" s="1234"/>
      <c r="DH225" s="1235"/>
      <c r="DI225" s="1233">
        <v>120</v>
      </c>
      <c r="DJ225" s="1234"/>
      <c r="DK225" s="1234"/>
      <c r="DL225" s="1234"/>
      <c r="DM225" s="1234"/>
      <c r="DN225" s="1234"/>
      <c r="DO225" s="1234"/>
      <c r="DP225" s="1234"/>
      <c r="DQ225" s="1234"/>
      <c r="DR225" s="1234"/>
      <c r="DS225" s="1234"/>
      <c r="DT225" s="1234"/>
      <c r="DU225" s="1234"/>
      <c r="DV225" s="1234"/>
      <c r="DW225" s="1234"/>
      <c r="DX225" s="1235"/>
      <c r="DY225" s="645">
        <v>121</v>
      </c>
      <c r="DZ225" s="646"/>
      <c r="EA225" s="646"/>
      <c r="EB225" s="646"/>
      <c r="EC225" s="646"/>
      <c r="ED225" s="646"/>
      <c r="EE225" s="646"/>
      <c r="EF225" s="646"/>
      <c r="EG225" s="646"/>
      <c r="EH225" s="646"/>
      <c r="EI225" s="646"/>
      <c r="EJ225" s="646"/>
      <c r="EK225" s="646"/>
      <c r="EL225" s="646"/>
      <c r="EM225" s="646"/>
      <c r="EN225" s="647"/>
      <c r="EO225" s="1233">
        <v>122</v>
      </c>
      <c r="EP225" s="1234"/>
      <c r="EQ225" s="1234"/>
      <c r="ER225" s="1234"/>
      <c r="ES225" s="1234"/>
      <c r="ET225" s="1234"/>
      <c r="EU225" s="1234"/>
      <c r="EV225" s="1234"/>
      <c r="EW225" s="1234"/>
      <c r="EX225" s="1234"/>
      <c r="EY225" s="1234"/>
      <c r="EZ225" s="1234"/>
      <c r="FA225" s="1234"/>
      <c r="FB225" s="1234"/>
      <c r="FC225" s="1234"/>
      <c r="FD225" s="1235"/>
      <c r="FE225" s="1233">
        <v>123</v>
      </c>
      <c r="FF225" s="1234"/>
      <c r="FG225" s="1234"/>
      <c r="FH225" s="1234"/>
      <c r="FI225" s="1234"/>
      <c r="FJ225" s="1234"/>
      <c r="FK225" s="1234"/>
      <c r="FL225" s="1234"/>
      <c r="FM225" s="1234"/>
      <c r="FN225" s="1234"/>
      <c r="FO225" s="1234"/>
      <c r="FP225" s="1234"/>
      <c r="FQ225" s="1234"/>
      <c r="FR225" s="1234"/>
      <c r="FS225" s="1234"/>
      <c r="FT225" s="1234"/>
      <c r="FU225" s="1233">
        <v>124</v>
      </c>
      <c r="FV225" s="1234"/>
      <c r="FW225" s="1234"/>
      <c r="FX225" s="1234"/>
      <c r="FY225" s="1234"/>
      <c r="FZ225" s="1234"/>
      <c r="GA225" s="1234"/>
      <c r="GB225" s="1234"/>
      <c r="GC225" s="1234"/>
      <c r="GD225" s="1234"/>
      <c r="GE225" s="1234"/>
      <c r="GF225" s="1234"/>
      <c r="GG225" s="1234"/>
      <c r="GH225" s="1234"/>
      <c r="GI225" s="1234"/>
      <c r="GJ225" s="1235"/>
      <c r="GK225" s="1233">
        <v>125</v>
      </c>
      <c r="GL225" s="1234"/>
      <c r="GM225" s="1234"/>
      <c r="GN225" s="1234"/>
      <c r="GO225" s="1234"/>
      <c r="GP225" s="1234"/>
      <c r="GQ225" s="1234"/>
      <c r="GR225" s="1234"/>
      <c r="GS225" s="1234"/>
      <c r="GT225" s="1234"/>
      <c r="GU225" s="1234"/>
      <c r="GV225" s="1234"/>
      <c r="GW225" s="1234"/>
      <c r="GX225" s="1234"/>
      <c r="GY225" s="1234"/>
      <c r="GZ225" s="1235"/>
      <c r="HA225" s="1233">
        <v>126</v>
      </c>
      <c r="HB225" s="1234"/>
      <c r="HC225" s="1234"/>
      <c r="HD225" s="1234"/>
      <c r="HE225" s="1234"/>
      <c r="HF225" s="1234"/>
      <c r="HG225" s="1234"/>
      <c r="HH225" s="1234"/>
      <c r="HI225" s="1234"/>
      <c r="HJ225" s="1234"/>
      <c r="HK225" s="1234"/>
      <c r="HL225" s="1234"/>
      <c r="HM225" s="1234"/>
      <c r="HN225" s="1234"/>
      <c r="HO225" s="1234"/>
      <c r="HP225" s="1235"/>
      <c r="HQ225" s="483">
        <v>127</v>
      </c>
      <c r="HR225" s="484"/>
      <c r="HS225" s="484"/>
      <c r="HT225" s="484"/>
      <c r="HU225" s="484"/>
      <c r="HV225" s="484"/>
      <c r="HW225" s="484"/>
      <c r="HX225" s="484"/>
      <c r="HY225" s="484"/>
      <c r="HZ225" s="484"/>
      <c r="IA225" s="484"/>
      <c r="IB225" s="484"/>
      <c r="IC225" s="484"/>
      <c r="ID225" s="484"/>
      <c r="IE225" s="484"/>
      <c r="IF225" s="696"/>
      <c r="IG225" s="483">
        <v>128</v>
      </c>
      <c r="IH225" s="484"/>
      <c r="II225" s="484"/>
      <c r="IJ225" s="484"/>
      <c r="IK225" s="484"/>
      <c r="IL225" s="484"/>
      <c r="IM225" s="484"/>
      <c r="IN225" s="484"/>
      <c r="IO225" s="484"/>
      <c r="IP225" s="484"/>
      <c r="IQ225" s="484"/>
      <c r="IR225" s="484"/>
      <c r="IS225" s="484"/>
      <c r="IT225" s="484"/>
      <c r="IU225" s="484"/>
      <c r="IV225" s="696"/>
    </row>
    <row r="226" spans="1:256" s="326" customFormat="1" ht="8.25" customHeight="1">
      <c r="A226" s="483">
        <v>20</v>
      </c>
      <c r="B226" s="321"/>
      <c r="C226" s="321"/>
      <c r="D226" s="321"/>
      <c r="E226" s="321"/>
      <c r="F226" s="321"/>
      <c r="G226" s="321"/>
      <c r="H226" s="321"/>
      <c r="I226" s="321"/>
      <c r="J226" s="321"/>
      <c r="K226" s="321"/>
      <c r="L226" s="321"/>
      <c r="M226" s="321"/>
      <c r="N226" s="321"/>
      <c r="O226" s="321"/>
      <c r="P226" s="564"/>
      <c r="Q226" s="483">
        <v>10</v>
      </c>
      <c r="R226" s="321"/>
      <c r="S226" s="321"/>
      <c r="T226" s="321"/>
      <c r="U226" s="321"/>
      <c r="V226" s="321"/>
      <c r="W226" s="321"/>
      <c r="X226" s="321"/>
      <c r="Y226" s="321"/>
      <c r="Z226" s="321"/>
      <c r="AA226" s="321"/>
      <c r="AB226" s="321"/>
      <c r="AC226" s="321"/>
      <c r="AD226" s="321"/>
      <c r="AE226" s="321"/>
      <c r="AF226" s="564"/>
      <c r="AG226" s="483"/>
      <c r="AH226" s="328"/>
      <c r="AI226" s="328"/>
      <c r="AJ226" s="328"/>
      <c r="AK226" s="328"/>
      <c r="AL226" s="328"/>
      <c r="AM226" s="328"/>
      <c r="AN226" s="328"/>
      <c r="AO226" s="328"/>
      <c r="AP226" s="328"/>
      <c r="AQ226" s="328"/>
      <c r="AR226" s="328"/>
      <c r="AS226" s="328"/>
      <c r="AT226" s="328"/>
      <c r="AU226" s="328"/>
      <c r="AV226" s="1237"/>
      <c r="AW226" s="452"/>
      <c r="AX226" s="450"/>
      <c r="AY226" s="450"/>
      <c r="AZ226" s="463"/>
      <c r="BA226" s="410"/>
      <c r="BB226" s="463"/>
      <c r="BC226" s="450"/>
      <c r="BD226" s="463"/>
      <c r="BE226" s="410"/>
      <c r="BF226" s="463"/>
      <c r="BG226" s="450"/>
      <c r="BH226" s="463"/>
      <c r="BI226" s="410"/>
      <c r="BJ226" s="463"/>
      <c r="BK226" s="410"/>
      <c r="BL226" s="452"/>
      <c r="BM226" s="483"/>
      <c r="BN226" s="321"/>
      <c r="BO226" s="321"/>
      <c r="BP226" s="321"/>
      <c r="BQ226" s="321"/>
      <c r="BR226" s="410"/>
      <c r="BS226" s="410"/>
      <c r="BT226" s="410"/>
      <c r="BU226" s="410"/>
      <c r="BV226" s="410"/>
      <c r="BW226" s="321"/>
      <c r="BX226" s="321"/>
      <c r="BY226" s="321"/>
      <c r="BZ226" s="321"/>
      <c r="CA226" s="321"/>
      <c r="CB226" s="564"/>
      <c r="CC226" s="483"/>
      <c r="CD226" s="321"/>
      <c r="CE226" s="321"/>
      <c r="CF226" s="321"/>
      <c r="CG226" s="321"/>
      <c r="CH226" s="410"/>
      <c r="CI226" s="410"/>
      <c r="CJ226" s="410"/>
      <c r="CK226" s="410"/>
      <c r="CL226" s="410"/>
      <c r="CM226" s="321"/>
      <c r="CN226" s="321"/>
      <c r="CO226" s="321"/>
      <c r="CP226" s="321"/>
      <c r="CQ226" s="321"/>
      <c r="CR226" s="564"/>
      <c r="CS226" s="1236"/>
      <c r="CT226" s="328"/>
      <c r="CU226" s="328"/>
      <c r="CV226" s="328"/>
      <c r="CW226" s="328"/>
      <c r="CX226" s="328"/>
      <c r="CY226" s="328"/>
      <c r="CZ226" s="328"/>
      <c r="DA226" s="328"/>
      <c r="DB226" s="328"/>
      <c r="DC226" s="328"/>
      <c r="DD226" s="328"/>
      <c r="DE226" s="328"/>
      <c r="DF226" s="328"/>
      <c r="DG226" s="328"/>
      <c r="DH226" s="1237"/>
      <c r="DI226" s="483"/>
      <c r="DJ226" s="328"/>
      <c r="DK226" s="328"/>
      <c r="DL226" s="328"/>
      <c r="DM226" s="328"/>
      <c r="DN226" s="328"/>
      <c r="DO226" s="328"/>
      <c r="DP226" s="328"/>
      <c r="DQ226" s="328"/>
      <c r="DR226" s="328"/>
      <c r="DS226" s="328"/>
      <c r="DT226" s="328"/>
      <c r="DU226" s="328"/>
      <c r="DV226" s="328"/>
      <c r="DW226" s="328"/>
      <c r="DX226" s="564"/>
      <c r="DY226" s="861"/>
      <c r="DZ226" s="439"/>
      <c r="EA226" s="439"/>
      <c r="EB226" s="410"/>
      <c r="EC226" s="439"/>
      <c r="ED226" s="410"/>
      <c r="EE226" s="439"/>
      <c r="EF226" s="439"/>
      <c r="EG226" s="439"/>
      <c r="EH226" s="410"/>
      <c r="EI226" s="439"/>
      <c r="EJ226" s="439"/>
      <c r="EK226" s="439"/>
      <c r="EL226" s="411"/>
      <c r="EM226" s="410"/>
      <c r="EN226" s="439"/>
      <c r="EO226" s="1236"/>
      <c r="EP226" s="328"/>
      <c r="EQ226" s="328"/>
      <c r="ER226" s="328"/>
      <c r="ES226" s="328"/>
      <c r="ET226" s="328"/>
      <c r="EU226" s="328"/>
      <c r="EV226" s="328"/>
      <c r="EW226" s="328"/>
      <c r="EX226" s="328"/>
      <c r="EY226" s="328"/>
      <c r="EZ226" s="328"/>
      <c r="FA226" s="328"/>
      <c r="FB226" s="328"/>
      <c r="FC226" s="328"/>
      <c r="FD226" s="1237"/>
      <c r="FE226" s="1236"/>
      <c r="FF226" s="328"/>
      <c r="FG226" s="328"/>
      <c r="FH226" s="328"/>
      <c r="FI226" s="328"/>
      <c r="FJ226" s="328"/>
      <c r="FK226" s="328"/>
      <c r="FL226" s="328"/>
      <c r="FM226" s="328"/>
      <c r="FN226" s="328"/>
      <c r="FO226" s="328"/>
      <c r="FP226" s="328"/>
      <c r="FQ226" s="328"/>
      <c r="FR226" s="328"/>
      <c r="FS226" s="328"/>
      <c r="FT226" s="328"/>
      <c r="FU226" s="1236"/>
      <c r="FV226" s="328"/>
      <c r="FW226" s="328"/>
      <c r="FX226" s="328"/>
      <c r="FY226" s="328"/>
      <c r="FZ226" s="328"/>
      <c r="GA226" s="328"/>
      <c r="GB226" s="328"/>
      <c r="GC226" s="328"/>
      <c r="GD226" s="328"/>
      <c r="GE226" s="328"/>
      <c r="GF226" s="328"/>
      <c r="GG226" s="328"/>
      <c r="GH226" s="328"/>
      <c r="GI226" s="328"/>
      <c r="GJ226" s="1237"/>
      <c r="GK226" s="1236"/>
      <c r="GL226" s="328"/>
      <c r="GM226" s="328"/>
      <c r="GN226" s="328"/>
      <c r="GO226" s="328"/>
      <c r="GP226" s="328"/>
      <c r="GQ226" s="328"/>
      <c r="GR226" s="328"/>
      <c r="GS226" s="328"/>
      <c r="GT226" s="328"/>
      <c r="GU226" s="328"/>
      <c r="GV226" s="328"/>
      <c r="GW226" s="328"/>
      <c r="GX226" s="328"/>
      <c r="GY226" s="328"/>
      <c r="GZ226" s="1237"/>
      <c r="HA226" s="1236">
        <v>70</v>
      </c>
      <c r="HB226" s="328"/>
      <c r="HC226" s="328"/>
      <c r="HD226" s="328"/>
      <c r="HE226" s="328"/>
      <c r="HF226" s="328"/>
      <c r="HG226" s="328"/>
      <c r="HH226" s="328"/>
      <c r="HI226" s="328"/>
      <c r="HJ226" s="328"/>
      <c r="HK226" s="328"/>
      <c r="HL226" s="328"/>
      <c r="HM226" s="328"/>
      <c r="HN226" s="328"/>
      <c r="HO226" s="328"/>
      <c r="HP226" s="1237"/>
      <c r="HQ226" s="483">
        <v>50</v>
      </c>
      <c r="HR226" s="321"/>
      <c r="HS226" s="321"/>
      <c r="HT226" s="321"/>
      <c r="HU226" s="321"/>
      <c r="HV226" s="321"/>
      <c r="HW226" s="321"/>
      <c r="HX226" s="321"/>
      <c r="HY226" s="321"/>
      <c r="HZ226" s="321"/>
      <c r="IA226" s="321"/>
      <c r="IB226" s="321"/>
      <c r="IC226" s="321"/>
      <c r="ID226" s="321"/>
      <c r="IE226" s="321"/>
      <c r="IF226" s="564"/>
      <c r="IG226" s="483">
        <v>70</v>
      </c>
      <c r="IH226" s="321"/>
      <c r="II226" s="321"/>
      <c r="IJ226" s="321"/>
      <c r="IK226" s="321"/>
      <c r="IL226" s="321"/>
      <c r="IM226" s="321"/>
      <c r="IN226" s="321"/>
      <c r="IO226" s="321"/>
      <c r="IP226" s="321"/>
      <c r="IQ226" s="321"/>
      <c r="IR226" s="321"/>
      <c r="IS226" s="321"/>
      <c r="IT226" s="321"/>
      <c r="IU226" s="321"/>
      <c r="IV226" s="564"/>
    </row>
    <row r="227" spans="1:256" s="326" customFormat="1" ht="8.25" customHeight="1">
      <c r="A227" s="483"/>
      <c r="B227" s="321"/>
      <c r="C227" s="321"/>
      <c r="D227" s="321"/>
      <c r="E227" s="321"/>
      <c r="F227" s="321"/>
      <c r="G227" s="321"/>
      <c r="H227" s="321"/>
      <c r="I227" s="321"/>
      <c r="J227" s="321"/>
      <c r="K227" s="321"/>
      <c r="L227" s="321"/>
      <c r="M227" s="321"/>
      <c r="N227" s="321"/>
      <c r="O227" s="321"/>
      <c r="P227" s="564"/>
      <c r="Q227" s="483"/>
      <c r="R227" s="452"/>
      <c r="S227" s="452"/>
      <c r="T227" s="452"/>
      <c r="U227" s="452"/>
      <c r="V227" s="452"/>
      <c r="W227" s="452"/>
      <c r="X227" s="452"/>
      <c r="Y227" s="452"/>
      <c r="Z227" s="452"/>
      <c r="AA227" s="452"/>
      <c r="AB227" s="452"/>
      <c r="AC227" s="452"/>
      <c r="AD227" s="452"/>
      <c r="AE227" s="452"/>
      <c r="AF227" s="321"/>
      <c r="AG227" s="483"/>
      <c r="AH227" s="328"/>
      <c r="AI227" s="328"/>
      <c r="AJ227" s="328"/>
      <c r="AK227" s="328"/>
      <c r="AL227" s="328"/>
      <c r="AM227" s="328"/>
      <c r="AN227" s="328"/>
      <c r="AO227" s="328"/>
      <c r="AP227" s="328"/>
      <c r="AQ227" s="328"/>
      <c r="AR227" s="328"/>
      <c r="AS227" s="328"/>
      <c r="AT227" s="328"/>
      <c r="AU227" s="328"/>
      <c r="AV227" s="1237"/>
      <c r="AW227" s="452"/>
      <c r="AX227" s="450"/>
      <c r="AY227" s="410"/>
      <c r="AZ227" s="450"/>
      <c r="BA227" s="410"/>
      <c r="BB227" s="450"/>
      <c r="BC227" s="410"/>
      <c r="BD227" s="450"/>
      <c r="BE227" s="410"/>
      <c r="BF227" s="450"/>
      <c r="BG227" s="410"/>
      <c r="BH227" s="450"/>
      <c r="BI227" s="410"/>
      <c r="BJ227" s="450"/>
      <c r="BK227" s="410"/>
      <c r="BL227" s="452"/>
      <c r="BM227" s="483"/>
      <c r="BN227" s="321"/>
      <c r="BO227" s="321"/>
      <c r="BP227" s="321"/>
      <c r="BQ227" s="321"/>
      <c r="BR227" s="410"/>
      <c r="BS227" s="410"/>
      <c r="BT227" s="410"/>
      <c r="BU227" s="410"/>
      <c r="BV227" s="410"/>
      <c r="BW227" s="321"/>
      <c r="BX227" s="321"/>
      <c r="BY227" s="321"/>
      <c r="BZ227" s="321"/>
      <c r="CA227" s="321"/>
      <c r="CB227" s="564"/>
      <c r="CC227" s="483"/>
      <c r="CD227" s="321"/>
      <c r="CE227" s="321"/>
      <c r="CF227" s="321"/>
      <c r="CG227" s="321"/>
      <c r="CH227" s="410"/>
      <c r="CI227" s="410"/>
      <c r="CJ227" s="410"/>
      <c r="CK227" s="410"/>
      <c r="CL227" s="410"/>
      <c r="CM227" s="321"/>
      <c r="CN227" s="321"/>
      <c r="CO227" s="321"/>
      <c r="CP227" s="321"/>
      <c r="CQ227" s="321"/>
      <c r="CR227" s="564"/>
      <c r="CS227" s="483"/>
      <c r="CT227" s="452"/>
      <c r="CU227" s="452"/>
      <c r="CV227" s="452"/>
      <c r="CW227" s="452"/>
      <c r="CX227" s="452"/>
      <c r="CY227" s="452"/>
      <c r="CZ227" s="452"/>
      <c r="DA227" s="452"/>
      <c r="DB227" s="452"/>
      <c r="DC227" s="452"/>
      <c r="DD227" s="452"/>
      <c r="DE227" s="452"/>
      <c r="DF227" s="452"/>
      <c r="DG227" s="452"/>
      <c r="DH227" s="321"/>
      <c r="DI227" s="483"/>
      <c r="DJ227" s="328"/>
      <c r="DK227" s="328"/>
      <c r="DL227" s="328"/>
      <c r="DM227" s="328"/>
      <c r="DN227" s="328"/>
      <c r="DO227" s="328"/>
      <c r="DP227" s="328"/>
      <c r="DQ227" s="328"/>
      <c r="DR227" s="328"/>
      <c r="DS227" s="328"/>
      <c r="DT227" s="328"/>
      <c r="DU227" s="328"/>
      <c r="DV227" s="328"/>
      <c r="DW227" s="328"/>
      <c r="DX227" s="564"/>
      <c r="DY227" s="648"/>
      <c r="DZ227" s="439"/>
      <c r="EA227" s="452"/>
      <c r="EB227" s="410"/>
      <c r="EC227" s="439"/>
      <c r="ED227" s="410"/>
      <c r="EE227" s="439"/>
      <c r="EF227" s="410"/>
      <c r="EG227" s="410"/>
      <c r="EH227" s="410"/>
      <c r="EI227" s="439"/>
      <c r="EJ227" s="410"/>
      <c r="EK227" s="410"/>
      <c r="EL227" s="411"/>
      <c r="EM227" s="452"/>
      <c r="EN227" s="439"/>
      <c r="EO227" s="1236">
        <v>122</v>
      </c>
      <c r="EP227" s="328"/>
      <c r="EQ227" s="328"/>
      <c r="ER227" s="328"/>
      <c r="ES227" s="328"/>
      <c r="ET227" s="328"/>
      <c r="EU227" s="328"/>
      <c r="EV227" s="328"/>
      <c r="EW227" s="328"/>
      <c r="EX227" s="328"/>
      <c r="EY227" s="328"/>
      <c r="EZ227" s="328"/>
      <c r="FA227" s="328"/>
      <c r="FB227" s="328"/>
      <c r="FC227" s="328"/>
      <c r="FD227" s="1237"/>
      <c r="FE227" s="415"/>
      <c r="FF227" s="415"/>
      <c r="FG227" s="420"/>
      <c r="FH227" s="420"/>
      <c r="FI227" s="420"/>
      <c r="FJ227" s="420"/>
      <c r="FK227" s="415"/>
      <c r="FL227" s="420"/>
      <c r="FM227" s="415"/>
      <c r="FN227" s="420"/>
      <c r="FO227" s="420"/>
      <c r="FP227" s="415"/>
      <c r="FQ227" s="420"/>
      <c r="FR227" s="420"/>
      <c r="FS227" s="420"/>
      <c r="FT227" s="420"/>
      <c r="FU227" s="1236"/>
      <c r="FV227" s="328"/>
      <c r="FW227" s="328"/>
      <c r="FX227" s="328"/>
      <c r="FY227" s="328"/>
      <c r="FZ227" s="328"/>
      <c r="GA227" s="328"/>
      <c r="GB227" s="328"/>
      <c r="GC227" s="328"/>
      <c r="GD227" s="328"/>
      <c r="GE227" s="328"/>
      <c r="GF227" s="328"/>
      <c r="GG227" s="328"/>
      <c r="GH227" s="328"/>
      <c r="GI227" s="328"/>
      <c r="GJ227" s="1237"/>
      <c r="GK227" s="1236"/>
      <c r="GL227" s="328"/>
      <c r="GM227" s="328"/>
      <c r="GN227" s="328"/>
      <c r="GO227" s="328"/>
      <c r="GP227" s="328"/>
      <c r="GQ227" s="328"/>
      <c r="GR227" s="328"/>
      <c r="GS227" s="328"/>
      <c r="GT227" s="328"/>
      <c r="GU227" s="328"/>
      <c r="GV227" s="328"/>
      <c r="GW227" s="328"/>
      <c r="GX227" s="328"/>
      <c r="GY227" s="328"/>
      <c r="GZ227" s="1237"/>
      <c r="HA227" s="1236"/>
      <c r="HB227" s="328"/>
      <c r="HC227" s="328"/>
      <c r="HD227" s="328"/>
      <c r="HE227" s="328"/>
      <c r="HF227" s="328"/>
      <c r="HG227" s="328"/>
      <c r="HH227" s="328"/>
      <c r="HI227" s="328"/>
      <c r="HJ227" s="328"/>
      <c r="HK227" s="328"/>
      <c r="HL227" s="328"/>
      <c r="HM227" s="328"/>
      <c r="HN227" s="328"/>
      <c r="HO227" s="328"/>
      <c r="HP227" s="1237"/>
      <c r="HQ227" s="483">
        <v>128</v>
      </c>
      <c r="HR227" s="321"/>
      <c r="HS227" s="321"/>
      <c r="HT227" s="321"/>
      <c r="HU227" s="321"/>
      <c r="IC227" s="321"/>
      <c r="ID227" s="321"/>
      <c r="IE227" s="321"/>
      <c r="IF227" s="564"/>
      <c r="IG227" s="483">
        <v>127</v>
      </c>
      <c r="IH227" s="321"/>
      <c r="II227" s="321"/>
      <c r="IJ227" s="321"/>
      <c r="IK227" s="321"/>
      <c r="IL227" s="321"/>
      <c r="IM227" s="321"/>
      <c r="IN227" s="321"/>
      <c r="IO227" s="321"/>
      <c r="IP227" s="321"/>
      <c r="IQ227" s="321"/>
      <c r="IR227" s="321"/>
      <c r="IS227" s="321"/>
      <c r="IT227" s="321"/>
      <c r="IU227" s="321"/>
      <c r="IV227" s="564"/>
    </row>
    <row r="228" spans="1:256" s="326" customFormat="1" ht="8.25" customHeight="1">
      <c r="A228" s="483"/>
      <c r="B228" s="321"/>
      <c r="C228" s="321"/>
      <c r="D228" s="321"/>
      <c r="E228" s="321"/>
      <c r="F228" s="321"/>
      <c r="G228" s="321"/>
      <c r="H228" s="321"/>
      <c r="I228" s="321"/>
      <c r="J228" s="321"/>
      <c r="K228" s="321"/>
      <c r="L228" s="321"/>
      <c r="M228" s="321"/>
      <c r="N228" s="321"/>
      <c r="O228" s="321"/>
      <c r="P228" s="564"/>
      <c r="Q228" s="452"/>
      <c r="R228" s="410"/>
      <c r="S228" s="410"/>
      <c r="T228" s="410"/>
      <c r="U228" s="410"/>
      <c r="V228" s="410"/>
      <c r="W228" s="410"/>
      <c r="X228" s="410"/>
      <c r="Y228" s="410"/>
      <c r="Z228" s="410"/>
      <c r="AA228" s="410"/>
      <c r="AB228" s="410"/>
      <c r="AC228" s="410"/>
      <c r="AD228" s="410"/>
      <c r="AE228" s="410"/>
      <c r="AF228" s="452"/>
      <c r="AG228" s="483"/>
      <c r="AH228" s="328"/>
      <c r="AI228" s="328"/>
      <c r="AJ228" s="328"/>
      <c r="AK228" s="328"/>
      <c r="AL228" s="328"/>
      <c r="AM228" s="328"/>
      <c r="AN228" s="328"/>
      <c r="AO228" s="328"/>
      <c r="AP228" s="328"/>
      <c r="AQ228" s="328"/>
      <c r="AR228" s="328"/>
      <c r="AS228" s="328"/>
      <c r="AT228" s="328"/>
      <c r="AU228" s="328"/>
      <c r="AV228" s="1237"/>
      <c r="AW228" s="452"/>
      <c r="AX228" s="450"/>
      <c r="AY228" s="450"/>
      <c r="AZ228" s="450"/>
      <c r="BA228" s="410"/>
      <c r="BB228" s="450"/>
      <c r="BC228" s="410"/>
      <c r="BD228" s="450"/>
      <c r="BE228" s="410"/>
      <c r="BF228" s="450"/>
      <c r="BG228" s="410"/>
      <c r="BH228" s="450"/>
      <c r="BI228" s="410"/>
      <c r="BJ228" s="450"/>
      <c r="BK228" s="410"/>
      <c r="BL228" s="411"/>
      <c r="BM228" s="483"/>
      <c r="BN228" s="328"/>
      <c r="BO228" s="328"/>
      <c r="BP228" s="328"/>
      <c r="BQ228" s="328"/>
      <c r="BR228" s="410"/>
      <c r="BS228" s="410"/>
      <c r="BT228" s="410"/>
      <c r="BU228" s="410"/>
      <c r="BV228" s="410"/>
      <c r="BW228" s="328"/>
      <c r="BX228" s="328"/>
      <c r="BY228" s="328"/>
      <c r="BZ228" s="328"/>
      <c r="CA228" s="321"/>
      <c r="CB228" s="564"/>
      <c r="CC228" s="483"/>
      <c r="CD228" s="328"/>
      <c r="CE228" s="328"/>
      <c r="CF228" s="328"/>
      <c r="CG228" s="328"/>
      <c r="CH228" s="410"/>
      <c r="CI228" s="410"/>
      <c r="CJ228" s="410"/>
      <c r="CK228" s="410"/>
      <c r="CL228" s="410"/>
      <c r="CM228" s="328"/>
      <c r="CN228" s="328"/>
      <c r="CO228" s="328"/>
      <c r="CP228" s="328"/>
      <c r="CQ228" s="321"/>
      <c r="CR228" s="564"/>
      <c r="CS228" s="452"/>
      <c r="CT228" s="410"/>
      <c r="CU228" s="410"/>
      <c r="CV228" s="410"/>
      <c r="CW228" s="410"/>
      <c r="CX228" s="410"/>
      <c r="CY228" s="410"/>
      <c r="CZ228" s="410"/>
      <c r="DA228" s="410"/>
      <c r="DB228" s="410"/>
      <c r="DC228" s="410"/>
      <c r="DD228" s="410"/>
      <c r="DE228" s="410"/>
      <c r="DF228" s="410"/>
      <c r="DG228" s="410"/>
      <c r="DH228" s="452"/>
      <c r="DI228" s="483"/>
      <c r="DJ228" s="328"/>
      <c r="DK228" s="328"/>
      <c r="DL228" s="328"/>
      <c r="DM228" s="328"/>
      <c r="DN228" s="328"/>
      <c r="DO228" s="328"/>
      <c r="DP228" s="328"/>
      <c r="DQ228" s="328"/>
      <c r="DR228" s="328"/>
      <c r="DS228" s="328"/>
      <c r="DT228" s="328"/>
      <c r="DU228" s="328"/>
      <c r="DV228" s="328"/>
      <c r="DW228" s="328"/>
      <c r="DX228" s="564"/>
      <c r="DY228" s="439"/>
      <c r="DZ228" s="452"/>
      <c r="EA228" s="410"/>
      <c r="EB228" s="410"/>
      <c r="EC228" s="439"/>
      <c r="ED228" s="410"/>
      <c r="EE228" s="439"/>
      <c r="EF228" s="452"/>
      <c r="EG228" s="439"/>
      <c r="EH228" s="410"/>
      <c r="EI228" s="439"/>
      <c r="EJ228" s="452"/>
      <c r="EK228" s="439"/>
      <c r="EL228" s="410"/>
      <c r="EM228" s="439"/>
      <c r="EN228" s="649"/>
      <c r="EO228" s="491">
        <v>3000</v>
      </c>
      <c r="EP228" s="415"/>
      <c r="EQ228" s="415"/>
      <c r="ER228" s="415"/>
      <c r="ES228" s="415"/>
      <c r="ET228" s="415"/>
      <c r="EU228" s="415"/>
      <c r="EV228" s="432"/>
      <c r="EW228" s="439"/>
      <c r="EX228" s="415"/>
      <c r="EY228" s="415"/>
      <c r="EZ228" s="415"/>
      <c r="FA228" s="415"/>
      <c r="FB228" s="415"/>
      <c r="FC228" s="415"/>
      <c r="FD228" s="607"/>
      <c r="FE228" s="415"/>
      <c r="FF228" s="420"/>
      <c r="FG228" s="440"/>
      <c r="FH228" s="420"/>
      <c r="FI228" s="440"/>
      <c r="FJ228" s="420"/>
      <c r="FK228" s="416"/>
      <c r="FL228" s="440"/>
      <c r="FM228" s="420"/>
      <c r="FN228" s="440"/>
      <c r="FO228" s="440"/>
      <c r="FP228" s="422"/>
      <c r="FQ228" s="440"/>
      <c r="FR228" s="420"/>
      <c r="FS228" s="416"/>
      <c r="FT228" s="433"/>
      <c r="FU228" s="1236"/>
      <c r="FV228" s="328"/>
      <c r="FW228" s="328"/>
      <c r="FX228" s="328"/>
      <c r="FY228" s="328"/>
      <c r="FZ228" s="328"/>
      <c r="GA228" s="328"/>
      <c r="GB228" s="328"/>
      <c r="GC228" s="328"/>
      <c r="GD228" s="328"/>
      <c r="GE228" s="328"/>
      <c r="GF228" s="328"/>
      <c r="GG228" s="328"/>
      <c r="GH228" s="328"/>
      <c r="GI228" s="328"/>
      <c r="GJ228" s="1237"/>
      <c r="GK228" s="1236"/>
      <c r="GL228" s="328"/>
      <c r="GM228" s="328"/>
      <c r="GN228" s="328"/>
      <c r="GO228" s="328"/>
      <c r="GP228" s="328"/>
      <c r="GQ228" s="328"/>
      <c r="GR228" s="328"/>
      <c r="GS228" s="328"/>
      <c r="GT228" s="328"/>
      <c r="GU228" s="328"/>
      <c r="GV228" s="328"/>
      <c r="GW228" s="328"/>
      <c r="GX228" s="328"/>
      <c r="GY228" s="328"/>
      <c r="GZ228" s="1237"/>
      <c r="HA228" s="1236"/>
      <c r="HB228" s="328"/>
      <c r="HC228" s="328"/>
      <c r="HD228" s="328"/>
      <c r="HE228" s="328"/>
      <c r="HF228" s="328"/>
      <c r="HG228" s="328"/>
      <c r="HH228" s="328"/>
      <c r="HI228" s="328"/>
      <c r="HJ228" s="328"/>
      <c r="HK228" s="328"/>
      <c r="HL228" s="328"/>
      <c r="HM228" s="328"/>
      <c r="HN228" s="328"/>
      <c r="HO228" s="328"/>
      <c r="HP228" s="1237"/>
      <c r="HQ228" s="483">
        <v>80</v>
      </c>
      <c r="HR228" s="321"/>
      <c r="HS228" s="321"/>
      <c r="HT228" s="321"/>
      <c r="HU228" s="321"/>
      <c r="IC228" s="321"/>
      <c r="ID228" s="321"/>
      <c r="IE228" s="321"/>
      <c r="IF228" s="564"/>
      <c r="IG228" s="483">
        <v>80</v>
      </c>
      <c r="IH228" s="321"/>
      <c r="II228" s="321"/>
      <c r="IJ228" s="321"/>
      <c r="IK228" s="321"/>
      <c r="IL228" s="321"/>
      <c r="IM228" s="321"/>
      <c r="IN228" s="321"/>
      <c r="IO228" s="321"/>
      <c r="IP228" s="321"/>
      <c r="IQ228" s="321"/>
      <c r="IR228" s="321"/>
      <c r="IS228" s="321"/>
      <c r="IT228" s="321"/>
      <c r="IU228" s="321"/>
      <c r="IV228" s="564"/>
    </row>
    <row r="229" spans="1:256" s="326" customFormat="1" ht="8.25" customHeight="1">
      <c r="A229" s="483"/>
      <c r="B229" s="321"/>
      <c r="C229" s="321"/>
      <c r="D229" s="321"/>
      <c r="E229" s="321"/>
      <c r="F229" s="321"/>
      <c r="G229" s="321"/>
      <c r="H229" s="321"/>
      <c r="I229" s="321"/>
      <c r="J229" s="321"/>
      <c r="K229" s="321"/>
      <c r="L229" s="321"/>
      <c r="M229" s="321"/>
      <c r="N229" s="321"/>
      <c r="O229" s="321"/>
      <c r="P229" s="564"/>
      <c r="Q229" s="452"/>
      <c r="R229" s="445"/>
      <c r="S229" s="410"/>
      <c r="T229" s="458"/>
      <c r="U229" s="410"/>
      <c r="V229" s="458"/>
      <c r="W229" s="445"/>
      <c r="X229" s="458"/>
      <c r="Y229" s="410"/>
      <c r="Z229" s="458"/>
      <c r="AA229" s="445"/>
      <c r="AB229" s="452"/>
      <c r="AC229" s="445"/>
      <c r="AD229" s="445"/>
      <c r="AE229" s="458"/>
      <c r="AF229" s="452"/>
      <c r="AG229" s="483">
        <v>20</v>
      </c>
      <c r="AH229" s="328"/>
      <c r="AI229" s="328"/>
      <c r="AJ229" s="328"/>
      <c r="AK229" s="328"/>
      <c r="AL229" s="328"/>
      <c r="AM229" s="328"/>
      <c r="AN229" s="328"/>
      <c r="AO229" s="328"/>
      <c r="AP229" s="328"/>
      <c r="AQ229" s="328"/>
      <c r="AR229" s="328"/>
      <c r="AS229" s="328"/>
      <c r="AT229" s="328"/>
      <c r="AU229" s="328"/>
      <c r="AV229" s="1237"/>
      <c r="AW229" s="411"/>
      <c r="AX229" s="444"/>
      <c r="AY229" s="452"/>
      <c r="AZ229" s="452"/>
      <c r="BA229" s="452"/>
      <c r="BB229" s="444"/>
      <c r="BC229" s="452"/>
      <c r="BD229" s="444"/>
      <c r="BE229" s="452"/>
      <c r="BF229" s="444"/>
      <c r="BG229" s="452"/>
      <c r="BH229" s="444"/>
      <c r="BI229" s="452"/>
      <c r="BJ229" s="444"/>
      <c r="BK229" s="452"/>
      <c r="BL229" s="411"/>
      <c r="BM229" s="1236">
        <v>10</v>
      </c>
      <c r="BN229" s="328"/>
      <c r="BO229" s="328"/>
      <c r="BP229" s="328"/>
      <c r="BQ229" s="328"/>
      <c r="BR229" s="410"/>
      <c r="BS229" s="410"/>
      <c r="BT229" s="410"/>
      <c r="BU229" s="410"/>
      <c r="BV229" s="410"/>
      <c r="BW229" s="328"/>
      <c r="BX229" s="328"/>
      <c r="BY229" s="328"/>
      <c r="BZ229" s="328"/>
      <c r="CA229" s="321"/>
      <c r="CB229" s="564"/>
      <c r="CC229" s="1236"/>
      <c r="CD229" s="328"/>
      <c r="CE229" s="328"/>
      <c r="CF229" s="328"/>
      <c r="CG229" s="328"/>
      <c r="CH229" s="410"/>
      <c r="CI229" s="410"/>
      <c r="CJ229" s="410"/>
      <c r="CK229" s="410"/>
      <c r="CL229" s="410"/>
      <c r="CM229" s="328"/>
      <c r="CN229" s="328"/>
      <c r="CO229" s="328"/>
      <c r="CP229" s="328"/>
      <c r="CQ229" s="321"/>
      <c r="CR229" s="564"/>
      <c r="CS229" s="452"/>
      <c r="CT229" s="450"/>
      <c r="CU229" s="450"/>
      <c r="CV229" s="463"/>
      <c r="CW229" s="410"/>
      <c r="CX229" s="463"/>
      <c r="CY229" s="450"/>
      <c r="CZ229" s="463"/>
      <c r="DA229" s="410"/>
      <c r="DB229" s="463"/>
      <c r="DC229" s="450"/>
      <c r="DD229" s="463"/>
      <c r="DE229" s="410"/>
      <c r="DF229" s="463"/>
      <c r="DG229" s="410"/>
      <c r="DH229" s="452"/>
      <c r="DI229" s="483">
        <v>20</v>
      </c>
      <c r="DJ229" s="328"/>
      <c r="DK229" s="328"/>
      <c r="DL229" s="328"/>
      <c r="DM229" s="328"/>
      <c r="DN229" s="328"/>
      <c r="DO229" s="328"/>
      <c r="DP229" s="328"/>
      <c r="DQ229" s="328"/>
      <c r="DR229" s="328"/>
      <c r="DS229" s="328"/>
      <c r="DT229" s="328"/>
      <c r="DU229" s="328"/>
      <c r="DV229" s="328"/>
      <c r="DW229" s="328"/>
      <c r="DX229" s="564"/>
      <c r="DY229" s="861"/>
      <c r="DZ229" s="439"/>
      <c r="EA229" s="439"/>
      <c r="EB229" s="410"/>
      <c r="EC229" s="439"/>
      <c r="ED229" s="410"/>
      <c r="EE229" s="439"/>
      <c r="EF229" s="439"/>
      <c r="EG229" s="411"/>
      <c r="EH229" s="410"/>
      <c r="EI229" s="439"/>
      <c r="EJ229" s="439"/>
      <c r="EK229" s="411"/>
      <c r="EL229" s="410"/>
      <c r="EM229" s="439"/>
      <c r="EN229" s="649"/>
      <c r="EO229" s="491">
        <v>200</v>
      </c>
      <c r="EP229" s="415"/>
      <c r="EQ229" s="415"/>
      <c r="ER229" s="415"/>
      <c r="ES229" s="415"/>
      <c r="ET229" s="415"/>
      <c r="EU229" s="415"/>
      <c r="EV229" s="432"/>
      <c r="EW229" s="439"/>
      <c r="EX229" s="415"/>
      <c r="EY229" s="415"/>
      <c r="EZ229" s="415"/>
      <c r="FA229" s="415"/>
      <c r="FB229" s="415"/>
      <c r="FC229" s="415"/>
      <c r="FD229" s="607"/>
      <c r="FE229" s="420"/>
      <c r="FF229" s="440"/>
      <c r="FG229" s="440"/>
      <c r="FH229" s="420"/>
      <c r="FI229" s="440"/>
      <c r="FJ229" s="420"/>
      <c r="FK229" s="416"/>
      <c r="FL229" s="440"/>
      <c r="FM229" s="420"/>
      <c r="FN229" s="440"/>
      <c r="FO229" s="415"/>
      <c r="FP229" s="420"/>
      <c r="FQ229" s="440"/>
      <c r="FR229" s="433"/>
      <c r="FS229" s="420"/>
      <c r="FT229" s="433"/>
      <c r="FU229" s="1236"/>
      <c r="FV229" s="328"/>
      <c r="FW229" s="328"/>
      <c r="FX229" s="328"/>
      <c r="FY229" s="328"/>
      <c r="FZ229" s="328"/>
      <c r="GA229" s="328"/>
      <c r="GB229" s="328"/>
      <c r="GC229" s="328"/>
      <c r="GD229" s="328"/>
      <c r="GE229" s="328"/>
      <c r="GF229" s="328"/>
      <c r="GG229" s="328"/>
      <c r="GH229" s="328"/>
      <c r="GI229" s="328"/>
      <c r="GJ229" s="1237"/>
      <c r="GK229" s="1236"/>
      <c r="GL229" s="328"/>
      <c r="GM229" s="328"/>
      <c r="GN229" s="328"/>
      <c r="GO229" s="328"/>
      <c r="GP229" s="328"/>
      <c r="GQ229" s="328"/>
      <c r="GR229" s="328"/>
      <c r="GS229" s="328"/>
      <c r="GT229" s="328"/>
      <c r="GU229" s="328"/>
      <c r="GV229" s="328"/>
      <c r="GW229" s="328"/>
      <c r="GX229" s="328"/>
      <c r="GY229" s="328"/>
      <c r="GZ229" s="1237"/>
      <c r="HA229" s="1236"/>
      <c r="HB229" s="328"/>
      <c r="HC229" s="328"/>
      <c r="HD229" s="328"/>
      <c r="HE229" s="328"/>
      <c r="HF229" s="328"/>
      <c r="HG229" s="328"/>
      <c r="HH229" s="328"/>
      <c r="HI229" s="328"/>
      <c r="HJ229" s="328"/>
      <c r="HK229" s="328"/>
      <c r="HL229" s="328"/>
      <c r="HM229" s="328"/>
      <c r="HN229" s="328"/>
      <c r="HO229" s="328"/>
      <c r="HP229" s="1237"/>
      <c r="HQ229" s="483"/>
      <c r="HR229" s="321"/>
      <c r="HS229" s="321"/>
      <c r="HT229" s="321"/>
      <c r="HU229" s="321"/>
      <c r="IC229" s="321"/>
      <c r="ID229" s="321"/>
      <c r="IE229" s="321"/>
      <c r="IF229" s="564"/>
      <c r="IG229" s="483"/>
      <c r="IH229" s="321"/>
      <c r="II229" s="321"/>
      <c r="IJ229" s="321"/>
      <c r="IK229" s="321"/>
      <c r="IL229" s="321"/>
      <c r="IM229" s="321"/>
      <c r="IN229" s="321"/>
      <c r="IO229" s="321"/>
      <c r="IP229" s="321"/>
      <c r="IQ229" s="321"/>
      <c r="IR229" s="321"/>
      <c r="IS229" s="321"/>
      <c r="IT229" s="321"/>
      <c r="IU229" s="321"/>
      <c r="IV229" s="564"/>
    </row>
    <row r="230" spans="1:256" s="326" customFormat="1" ht="8.25" customHeight="1">
      <c r="A230" s="483"/>
      <c r="B230" s="321"/>
      <c r="C230" s="321"/>
      <c r="D230" s="321"/>
      <c r="E230" s="321"/>
      <c r="F230" s="321"/>
      <c r="G230" s="321"/>
      <c r="H230" s="321"/>
      <c r="I230" s="321"/>
      <c r="J230" s="321"/>
      <c r="K230" s="321"/>
      <c r="L230" s="321"/>
      <c r="M230" s="321"/>
      <c r="N230" s="321"/>
      <c r="O230" s="321"/>
      <c r="P230" s="564"/>
      <c r="Q230" s="452"/>
      <c r="R230" s="445"/>
      <c r="S230" s="410"/>
      <c r="T230" s="445"/>
      <c r="U230" s="410"/>
      <c r="V230" s="445"/>
      <c r="W230" s="410"/>
      <c r="X230" s="445"/>
      <c r="Y230" s="410"/>
      <c r="Z230" s="445"/>
      <c r="AA230" s="410"/>
      <c r="AB230" s="410"/>
      <c r="AC230" s="445"/>
      <c r="AD230" s="410"/>
      <c r="AE230" s="445"/>
      <c r="AF230" s="452"/>
      <c r="AG230" s="483">
        <v>75</v>
      </c>
      <c r="AH230" s="328"/>
      <c r="AI230" s="328"/>
      <c r="AJ230" s="328"/>
      <c r="AK230" s="328"/>
      <c r="AL230" s="328"/>
      <c r="AM230" s="328"/>
      <c r="AN230" s="328"/>
      <c r="AO230" s="328"/>
      <c r="AP230" s="328"/>
      <c r="AQ230" s="328"/>
      <c r="AR230" s="328"/>
      <c r="AS230" s="328"/>
      <c r="AT230" s="328"/>
      <c r="AU230" s="328"/>
      <c r="AV230" s="1237"/>
      <c r="AW230" s="411"/>
      <c r="AX230" s="444"/>
      <c r="AY230" s="452"/>
      <c r="AZ230" s="452"/>
      <c r="BA230" s="452"/>
      <c r="BB230" s="463"/>
      <c r="BC230" s="444"/>
      <c r="BD230" s="463"/>
      <c r="BE230" s="452"/>
      <c r="BF230" s="463"/>
      <c r="BG230" s="444"/>
      <c r="BH230" s="463"/>
      <c r="BI230" s="452"/>
      <c r="BJ230" s="444"/>
      <c r="BK230" s="444"/>
      <c r="BL230" s="411"/>
      <c r="BM230" s="1236">
        <v>118</v>
      </c>
      <c r="BN230" s="328"/>
      <c r="BO230" s="328"/>
      <c r="BP230" s="328"/>
      <c r="BQ230" s="328"/>
      <c r="BR230" s="328"/>
      <c r="BS230" s="410"/>
      <c r="BT230" s="410"/>
      <c r="BU230" s="410"/>
      <c r="BV230" s="328"/>
      <c r="BW230" s="328"/>
      <c r="BX230" s="328"/>
      <c r="BY230" s="328"/>
      <c r="BZ230" s="328"/>
      <c r="CA230" s="321"/>
      <c r="CB230" s="564"/>
      <c r="CC230" s="1236"/>
      <c r="CD230" s="328"/>
      <c r="CE230" s="328"/>
      <c r="CF230" s="328"/>
      <c r="CG230" s="328"/>
      <c r="CH230" s="328"/>
      <c r="CI230" s="321"/>
      <c r="CJ230" s="321"/>
      <c r="CK230" s="410"/>
      <c r="CL230" s="328"/>
      <c r="CM230" s="328"/>
      <c r="CN230" s="328"/>
      <c r="CO230" s="328"/>
      <c r="CP230" s="328"/>
      <c r="CQ230" s="321"/>
      <c r="CR230" s="564"/>
      <c r="CS230" s="452"/>
      <c r="CT230" s="450"/>
      <c r="CU230" s="410"/>
      <c r="CV230" s="450"/>
      <c r="CW230" s="410"/>
      <c r="CX230" s="450"/>
      <c r="CY230" s="410"/>
      <c r="CZ230" s="450"/>
      <c r="DA230" s="410"/>
      <c r="DB230" s="450"/>
      <c r="DC230" s="410"/>
      <c r="DD230" s="450"/>
      <c r="DE230" s="410"/>
      <c r="DF230" s="450"/>
      <c r="DG230" s="410"/>
      <c r="DH230" s="452"/>
      <c r="DI230" s="483">
        <v>75</v>
      </c>
      <c r="DJ230" s="328"/>
      <c r="DK230" s="328"/>
      <c r="DL230" s="328"/>
      <c r="DM230" s="328"/>
      <c r="DN230" s="328"/>
      <c r="DO230" s="328"/>
      <c r="DP230" s="328"/>
      <c r="DQ230" s="328"/>
      <c r="DR230" s="328"/>
      <c r="DS230" s="328"/>
      <c r="DT230" s="328"/>
      <c r="DU230" s="328"/>
      <c r="DV230" s="328"/>
      <c r="DW230" s="328"/>
      <c r="DX230" s="564"/>
      <c r="DY230" s="648"/>
      <c r="DZ230" s="410"/>
      <c r="EA230" s="410"/>
      <c r="EB230" s="410"/>
      <c r="EC230" s="410"/>
      <c r="ED230" s="410"/>
      <c r="EE230" s="410"/>
      <c r="EF230" s="410"/>
      <c r="EG230" s="410"/>
      <c r="EH230" s="410"/>
      <c r="EI230" s="410"/>
      <c r="EJ230" s="410"/>
      <c r="EK230" s="410"/>
      <c r="EL230" s="410"/>
      <c r="EM230" s="410"/>
      <c r="EN230" s="649"/>
      <c r="EO230" s="491">
        <v>112</v>
      </c>
      <c r="EP230" s="409"/>
      <c r="EQ230" s="429"/>
      <c r="ER230" s="409"/>
      <c r="ES230" s="429"/>
      <c r="ET230" s="415"/>
      <c r="EU230" s="415"/>
      <c r="EV230" s="432"/>
      <c r="EW230" s="439"/>
      <c r="EX230" s="415"/>
      <c r="EY230" s="432"/>
      <c r="EZ230" s="415"/>
      <c r="FA230" s="415"/>
      <c r="FB230" s="415"/>
      <c r="FC230" s="415"/>
      <c r="FD230" s="607"/>
      <c r="FE230" s="420"/>
      <c r="FF230" s="433"/>
      <c r="FG230" s="440"/>
      <c r="FH230" s="420"/>
      <c r="FI230" s="440"/>
      <c r="FJ230" s="420"/>
      <c r="FK230" s="416"/>
      <c r="FL230" s="440"/>
      <c r="FM230" s="420"/>
      <c r="FN230" s="440"/>
      <c r="FO230" s="440"/>
      <c r="FP230" s="422"/>
      <c r="FQ230" s="440"/>
      <c r="FR230" s="420"/>
      <c r="FS230" s="426"/>
      <c r="FT230" s="433"/>
      <c r="FU230" s="1236"/>
      <c r="FV230" s="328"/>
      <c r="FW230" s="328"/>
      <c r="FX230" s="328"/>
      <c r="FY230" s="328"/>
      <c r="FZ230" s="328"/>
      <c r="GA230" s="328"/>
      <c r="GB230" s="328"/>
      <c r="GC230" s="328"/>
      <c r="GD230" s="328"/>
      <c r="GE230" s="328"/>
      <c r="GF230" s="328"/>
      <c r="GG230" s="328"/>
      <c r="GH230" s="328"/>
      <c r="GI230" s="328"/>
      <c r="GJ230" s="1237"/>
      <c r="GK230" s="1236"/>
      <c r="GL230" s="328"/>
      <c r="GM230" s="328"/>
      <c r="GN230" s="328"/>
      <c r="GO230" s="328"/>
      <c r="GP230" s="328"/>
      <c r="GQ230" s="328"/>
      <c r="GR230" s="328"/>
      <c r="GS230" s="328"/>
      <c r="GT230" s="328"/>
      <c r="GU230" s="328"/>
      <c r="GV230" s="328"/>
      <c r="GW230" s="328"/>
      <c r="GX230" s="328"/>
      <c r="GY230" s="328"/>
      <c r="GZ230" s="1237"/>
      <c r="HA230" s="1236"/>
      <c r="HB230" s="328"/>
      <c r="HC230" s="328"/>
      <c r="HD230" s="328"/>
      <c r="HE230" s="328"/>
      <c r="HF230" s="328"/>
      <c r="HG230" s="328"/>
      <c r="HH230" s="328"/>
      <c r="HI230" s="328"/>
      <c r="HJ230" s="328"/>
      <c r="HK230" s="328"/>
      <c r="HL230" s="328"/>
      <c r="HM230" s="328"/>
      <c r="HN230" s="328"/>
      <c r="HO230" s="328"/>
      <c r="HP230" s="1237"/>
      <c r="HQ230" s="483">
        <v>97</v>
      </c>
      <c r="HR230" s="321"/>
      <c r="HS230" s="321"/>
      <c r="HT230" s="321"/>
      <c r="HU230" s="321"/>
      <c r="IC230" s="321"/>
      <c r="ID230" s="321"/>
      <c r="IE230" s="321"/>
      <c r="IF230" s="564"/>
      <c r="IG230" s="483">
        <v>97</v>
      </c>
      <c r="IH230" s="321"/>
      <c r="II230" s="321"/>
      <c r="IJ230" s="321"/>
      <c r="IK230" s="321"/>
      <c r="IL230" s="321"/>
      <c r="IM230" s="321"/>
      <c r="IN230" s="321"/>
      <c r="IO230" s="321"/>
      <c r="IP230" s="321"/>
      <c r="IQ230" s="321"/>
      <c r="IR230" s="321"/>
      <c r="IS230" s="321"/>
      <c r="IT230" s="321"/>
      <c r="IU230" s="321"/>
      <c r="IV230" s="564"/>
    </row>
    <row r="231" spans="1:256" s="326" customFormat="1" ht="8.25" customHeight="1">
      <c r="A231" s="483"/>
      <c r="B231" s="321"/>
      <c r="C231" s="321"/>
      <c r="D231" s="321"/>
      <c r="E231" s="321"/>
      <c r="F231" s="321"/>
      <c r="G231" s="321"/>
      <c r="H231" s="321"/>
      <c r="I231" s="321"/>
      <c r="J231" s="321"/>
      <c r="K231" s="321"/>
      <c r="L231" s="321"/>
      <c r="M231" s="321"/>
      <c r="N231" s="321"/>
      <c r="O231" s="321"/>
      <c r="P231" s="564"/>
      <c r="Q231" s="452"/>
      <c r="R231" s="445"/>
      <c r="S231" s="445"/>
      <c r="T231" s="445"/>
      <c r="U231" s="410"/>
      <c r="V231" s="445"/>
      <c r="W231" s="410"/>
      <c r="X231" s="445"/>
      <c r="Y231" s="410"/>
      <c r="Z231" s="445"/>
      <c r="AA231" s="445"/>
      <c r="AB231" s="410"/>
      <c r="AC231" s="445"/>
      <c r="AD231" s="445"/>
      <c r="AE231" s="458"/>
      <c r="AF231" s="411"/>
      <c r="AG231" s="483"/>
      <c r="AH231" s="328"/>
      <c r="AI231" s="328"/>
      <c r="AJ231" s="328"/>
      <c r="AK231" s="328"/>
      <c r="AL231" s="328"/>
      <c r="AM231" s="328"/>
      <c r="AN231" s="328"/>
      <c r="AO231" s="328"/>
      <c r="AP231" s="328"/>
      <c r="AQ231" s="328"/>
      <c r="AR231" s="328"/>
      <c r="AS231" s="328"/>
      <c r="AT231" s="328"/>
      <c r="AU231" s="328"/>
      <c r="AV231" s="1237"/>
      <c r="AW231" s="321"/>
      <c r="AX231" s="411"/>
      <c r="AY231" s="411"/>
      <c r="AZ231" s="411"/>
      <c r="BA231" s="411"/>
      <c r="BB231" s="411"/>
      <c r="BC231" s="411"/>
      <c r="BD231" s="411"/>
      <c r="BE231" s="411"/>
      <c r="BF231" s="411"/>
      <c r="BG231" s="411"/>
      <c r="BH231" s="411"/>
      <c r="BI231" s="411"/>
      <c r="BJ231" s="411"/>
      <c r="BK231" s="411"/>
      <c r="BL231" s="321"/>
      <c r="BM231" s="1236"/>
      <c r="BN231" s="328"/>
      <c r="BO231" s="328"/>
      <c r="BP231" s="410"/>
      <c r="BQ231" s="410"/>
      <c r="BR231" s="410"/>
      <c r="BS231" s="410"/>
      <c r="BT231" s="410"/>
      <c r="BU231" s="410"/>
      <c r="BV231" s="410"/>
      <c r="BW231" s="410"/>
      <c r="BX231" s="410"/>
      <c r="BY231" s="328"/>
      <c r="BZ231" s="328"/>
      <c r="CA231" s="321"/>
      <c r="CB231" s="564"/>
      <c r="CC231" s="1236"/>
      <c r="CD231" s="328"/>
      <c r="CE231" s="328"/>
      <c r="CF231" s="410"/>
      <c r="CG231" s="410"/>
      <c r="CH231" s="410"/>
      <c r="CI231" s="321"/>
      <c r="CJ231" s="410"/>
      <c r="CK231" s="410"/>
      <c r="CL231" s="410"/>
      <c r="CM231" s="410"/>
      <c r="CN231" s="410"/>
      <c r="CO231" s="328"/>
      <c r="CP231" s="328"/>
      <c r="CQ231" s="321"/>
      <c r="CR231" s="564"/>
      <c r="CS231" s="452"/>
      <c r="CT231" s="450"/>
      <c r="CU231" s="450"/>
      <c r="CV231" s="450"/>
      <c r="CW231" s="410"/>
      <c r="CX231" s="450"/>
      <c r="CY231" s="410"/>
      <c r="CZ231" s="450"/>
      <c r="DA231" s="410"/>
      <c r="DB231" s="450"/>
      <c r="DC231" s="410"/>
      <c r="DD231" s="450"/>
      <c r="DE231" s="410"/>
      <c r="DF231" s="450"/>
      <c r="DG231" s="410"/>
      <c r="DH231" s="411"/>
      <c r="DI231" s="483"/>
      <c r="DJ231" s="328"/>
      <c r="DK231" s="328"/>
      <c r="DL231" s="328"/>
      <c r="DM231" s="328"/>
      <c r="DN231" s="328"/>
      <c r="DO231" s="328"/>
      <c r="DP231" s="328"/>
      <c r="DQ231" s="328"/>
      <c r="DR231" s="328"/>
      <c r="DS231" s="328"/>
      <c r="DT231" s="328"/>
      <c r="DU231" s="328"/>
      <c r="DV231" s="328"/>
      <c r="DW231" s="328"/>
      <c r="DX231" s="564"/>
      <c r="DY231" s="648"/>
      <c r="DZ231" s="411"/>
      <c r="EA231" s="411"/>
      <c r="EB231" s="410"/>
      <c r="EC231" s="411"/>
      <c r="ED231" s="410"/>
      <c r="EE231" s="436"/>
      <c r="EF231" s="443"/>
      <c r="EG231" s="436"/>
      <c r="EH231" s="429"/>
      <c r="EI231" s="410"/>
      <c r="EJ231" s="452"/>
      <c r="EK231" s="411"/>
      <c r="EL231" s="411"/>
      <c r="EM231" s="410"/>
      <c r="EN231" s="649"/>
      <c r="EO231" s="1337"/>
      <c r="EP231" s="409"/>
      <c r="EQ231" s="429"/>
      <c r="ER231" s="409"/>
      <c r="ES231" s="429"/>
      <c r="ET231" s="415"/>
      <c r="EU231" s="415"/>
      <c r="EV231" s="432"/>
      <c r="EW231" s="439"/>
      <c r="EX231" s="415"/>
      <c r="EY231" s="415"/>
      <c r="EZ231" s="452"/>
      <c r="FA231" s="439"/>
      <c r="FB231" s="439"/>
      <c r="FC231" s="439"/>
      <c r="FD231" s="1330"/>
      <c r="FE231" s="433"/>
      <c r="FF231" s="433"/>
      <c r="FG231" s="433"/>
      <c r="FH231" s="420"/>
      <c r="FI231" s="440"/>
      <c r="FJ231" s="420"/>
      <c r="FK231" s="420"/>
      <c r="FL231" s="440"/>
      <c r="FM231" s="420"/>
      <c r="FN231" s="440"/>
      <c r="FO231" s="420"/>
      <c r="FP231" s="420"/>
      <c r="FQ231" s="440"/>
      <c r="FR231" s="420"/>
      <c r="FS231" s="433"/>
      <c r="FT231" s="433"/>
      <c r="FU231" s="1236"/>
      <c r="FV231" s="328"/>
      <c r="FW231" s="328"/>
      <c r="FX231" s="328"/>
      <c r="FY231" s="328"/>
      <c r="FZ231" s="328"/>
      <c r="GA231" s="328"/>
      <c r="GB231" s="328"/>
      <c r="GC231" s="328"/>
      <c r="GD231" s="328"/>
      <c r="GE231" s="328"/>
      <c r="GF231" s="328"/>
      <c r="GG231" s="328"/>
      <c r="GH231" s="328"/>
      <c r="GI231" s="328"/>
      <c r="GJ231" s="1237"/>
      <c r="GK231" s="1236"/>
      <c r="GL231" s="328"/>
      <c r="GM231" s="328"/>
      <c r="GN231" s="328"/>
      <c r="GO231" s="328"/>
      <c r="GP231" s="328"/>
      <c r="GQ231" s="328"/>
      <c r="GR231" s="328"/>
      <c r="GS231" s="328"/>
      <c r="GT231" s="328"/>
      <c r="GU231" s="328"/>
      <c r="GV231" s="328"/>
      <c r="GW231" s="328"/>
      <c r="GX231" s="328"/>
      <c r="GY231" s="328"/>
      <c r="GZ231" s="1237"/>
      <c r="HA231" s="1236"/>
      <c r="HB231" s="328"/>
      <c r="HC231" s="328"/>
      <c r="HD231" s="328"/>
      <c r="HE231" s="328"/>
      <c r="HF231" s="328"/>
      <c r="HG231" s="328"/>
      <c r="HH231" s="328"/>
      <c r="HI231" s="328"/>
      <c r="HJ231" s="328"/>
      <c r="HK231" s="328"/>
      <c r="HL231" s="328"/>
      <c r="HM231" s="328"/>
      <c r="HN231" s="328"/>
      <c r="HO231" s="328"/>
      <c r="HP231" s="1237"/>
      <c r="HQ231" s="483"/>
      <c r="HR231" s="321"/>
      <c r="HS231" s="321"/>
      <c r="HT231" s="321"/>
      <c r="HU231" s="321"/>
      <c r="IC231" s="321"/>
      <c r="ID231" s="321"/>
      <c r="IE231" s="321"/>
      <c r="IF231" s="564"/>
      <c r="IG231" s="483"/>
      <c r="IH231" s="321"/>
      <c r="II231" s="321"/>
      <c r="IJ231" s="321"/>
      <c r="IK231" s="321"/>
      <c r="IL231" s="321"/>
      <c r="IM231" s="321"/>
      <c r="IN231" s="321"/>
      <c r="IO231" s="321"/>
      <c r="IP231" s="321"/>
      <c r="IQ231" s="321"/>
      <c r="IR231" s="321"/>
      <c r="IS231" s="321"/>
      <c r="IT231" s="321"/>
      <c r="IU231" s="321"/>
      <c r="IV231" s="564"/>
    </row>
    <row r="232" spans="1:256" s="326" customFormat="1" ht="8.25" customHeight="1">
      <c r="A232" s="483"/>
      <c r="B232" s="321"/>
      <c r="C232" s="321"/>
      <c r="D232" s="321"/>
      <c r="E232" s="321"/>
      <c r="F232" s="321"/>
      <c r="G232" s="321"/>
      <c r="H232" s="321"/>
      <c r="I232" s="321"/>
      <c r="J232" s="321"/>
      <c r="K232" s="321"/>
      <c r="L232" s="321"/>
      <c r="M232" s="321"/>
      <c r="N232" s="321"/>
      <c r="O232" s="321"/>
      <c r="P232" s="564"/>
      <c r="Q232" s="411"/>
      <c r="R232" s="438"/>
      <c r="S232" s="452"/>
      <c r="T232" s="438"/>
      <c r="U232" s="452"/>
      <c r="V232" s="438"/>
      <c r="W232" s="452"/>
      <c r="X232" s="438"/>
      <c r="Y232" s="452"/>
      <c r="Z232" s="452"/>
      <c r="AA232" s="438"/>
      <c r="AB232" s="452"/>
      <c r="AC232" s="438"/>
      <c r="AD232" s="452"/>
      <c r="AE232" s="452"/>
      <c r="AF232" s="411"/>
      <c r="AG232" s="483"/>
      <c r="AH232" s="328"/>
      <c r="AI232" s="328"/>
      <c r="AJ232" s="328"/>
      <c r="AK232" s="328"/>
      <c r="AL232" s="328"/>
      <c r="AM232" s="328"/>
      <c r="AN232" s="328"/>
      <c r="AO232" s="328"/>
      <c r="AP232" s="328"/>
      <c r="AQ232" s="328"/>
      <c r="AR232" s="328"/>
      <c r="AS232" s="328"/>
      <c r="AT232" s="328"/>
      <c r="AU232" s="328"/>
      <c r="AV232" s="1237"/>
      <c r="AW232" s="321"/>
      <c r="AX232" s="321"/>
      <c r="AY232" s="321"/>
      <c r="AZ232" s="321"/>
      <c r="BA232" s="321"/>
      <c r="BB232" s="321"/>
      <c r="BC232" s="321"/>
      <c r="BD232" s="321"/>
      <c r="BE232" s="321"/>
      <c r="BF232" s="321"/>
      <c r="BG232" s="321"/>
      <c r="BH232" s="321"/>
      <c r="BI232" s="321"/>
      <c r="BJ232" s="321"/>
      <c r="BK232" s="321"/>
      <c r="BL232" s="321"/>
      <c r="BM232" s="1236"/>
      <c r="BN232" s="328"/>
      <c r="BO232" s="410"/>
      <c r="BP232" s="410"/>
      <c r="BQ232" s="410"/>
      <c r="BR232" s="410"/>
      <c r="BS232" s="410"/>
      <c r="BT232" s="410"/>
      <c r="BU232" s="410"/>
      <c r="BV232" s="410"/>
      <c r="BW232" s="410"/>
      <c r="BX232" s="410"/>
      <c r="BY232" s="410"/>
      <c r="BZ232" s="328"/>
      <c r="CA232" s="321"/>
      <c r="CB232" s="564"/>
      <c r="CC232" s="1236"/>
      <c r="CD232" s="328"/>
      <c r="CE232" s="410"/>
      <c r="CF232" s="410"/>
      <c r="CG232" s="410"/>
      <c r="CH232" s="410"/>
      <c r="CI232" s="410"/>
      <c r="CJ232" s="410"/>
      <c r="CK232" s="410"/>
      <c r="CL232" s="321"/>
      <c r="CM232" s="321"/>
      <c r="CN232" s="410"/>
      <c r="CO232" s="410"/>
      <c r="CP232" s="328"/>
      <c r="CQ232" s="321"/>
      <c r="CR232" s="564"/>
      <c r="CS232" s="411"/>
      <c r="CT232" s="444"/>
      <c r="CU232" s="452"/>
      <c r="CV232" s="452"/>
      <c r="CW232" s="452"/>
      <c r="CX232" s="444"/>
      <c r="CY232" s="452"/>
      <c r="CZ232" s="444"/>
      <c r="DA232" s="452"/>
      <c r="DB232" s="444"/>
      <c r="DC232" s="452"/>
      <c r="DD232" s="444"/>
      <c r="DE232" s="452"/>
      <c r="DF232" s="444"/>
      <c r="DG232" s="452"/>
      <c r="DH232" s="411"/>
      <c r="DI232" s="483"/>
      <c r="DJ232" s="328"/>
      <c r="DK232" s="328"/>
      <c r="DL232" s="328"/>
      <c r="DM232" s="328"/>
      <c r="DN232" s="328"/>
      <c r="DO232" s="328"/>
      <c r="DP232" s="328"/>
      <c r="DQ232" s="328"/>
      <c r="DR232" s="328"/>
      <c r="DS232" s="328"/>
      <c r="DT232" s="328"/>
      <c r="DU232" s="328"/>
      <c r="DV232" s="328"/>
      <c r="DW232" s="328"/>
      <c r="DX232" s="564"/>
      <c r="DY232" s="648"/>
      <c r="DZ232" s="452"/>
      <c r="EA232" s="452"/>
      <c r="EB232" s="452"/>
      <c r="EC232" s="410"/>
      <c r="ED232" s="410"/>
      <c r="EE232" s="440"/>
      <c r="EF232" s="453"/>
      <c r="EG232" s="436"/>
      <c r="EH232" s="436"/>
      <c r="EI232" s="436"/>
      <c r="EJ232" s="410"/>
      <c r="EK232" s="410"/>
      <c r="EL232" s="410"/>
      <c r="EM232" s="410"/>
      <c r="EN232" s="649"/>
      <c r="EO232" s="1337"/>
      <c r="EP232" s="409"/>
      <c r="EQ232" s="429"/>
      <c r="ER232" s="409"/>
      <c r="ES232" s="429"/>
      <c r="ET232" s="418"/>
      <c r="EU232" s="427"/>
      <c r="EV232" s="432"/>
      <c r="EW232" s="439"/>
      <c r="EX232" s="415"/>
      <c r="EY232" s="432"/>
      <c r="EZ232" s="432"/>
      <c r="FA232" s="411"/>
      <c r="FB232" s="432"/>
      <c r="FC232" s="432"/>
      <c r="FD232" s="607"/>
      <c r="FE232" s="440"/>
      <c r="FF232" s="420"/>
      <c r="FG232" s="440"/>
      <c r="FH232" s="420"/>
      <c r="FI232" s="440"/>
      <c r="FJ232" s="440"/>
      <c r="FK232" s="422"/>
      <c r="FL232" s="440"/>
      <c r="FM232" s="420"/>
      <c r="FN232" s="440"/>
      <c r="FO232" s="440"/>
      <c r="FP232" s="426"/>
      <c r="FQ232" s="440"/>
      <c r="FR232" s="416"/>
      <c r="FS232" s="420"/>
      <c r="FT232" s="433"/>
      <c r="FU232" s="436"/>
      <c r="FV232" s="436"/>
      <c r="FW232" s="436"/>
      <c r="FX232" s="436"/>
      <c r="FY232" s="436"/>
      <c r="FZ232" s="436"/>
      <c r="GA232" s="436"/>
      <c r="GB232" s="436"/>
      <c r="GC232" s="436"/>
      <c r="GD232" s="436"/>
      <c r="GE232" s="436"/>
      <c r="GF232" s="436"/>
      <c r="GG232" s="436"/>
      <c r="GH232" s="436"/>
      <c r="GI232" s="436"/>
      <c r="GJ232" s="436"/>
      <c r="GK232" s="436"/>
      <c r="GL232" s="436"/>
      <c r="GM232" s="436"/>
      <c r="GN232" s="436"/>
      <c r="GO232" s="436"/>
      <c r="GP232" s="436"/>
      <c r="GQ232" s="436"/>
      <c r="GR232" s="436"/>
      <c r="GS232" s="436"/>
      <c r="GT232" s="436"/>
      <c r="GU232" s="436"/>
      <c r="GV232" s="436"/>
      <c r="GW232" s="436"/>
      <c r="GX232" s="436"/>
      <c r="GY232" s="436"/>
      <c r="GZ232" s="436"/>
      <c r="HA232" s="1236"/>
      <c r="HB232" s="328"/>
      <c r="HC232" s="328"/>
      <c r="HD232" s="328"/>
      <c r="HE232" s="328"/>
      <c r="HF232" s="328"/>
      <c r="HG232" s="328"/>
      <c r="HH232" s="328"/>
      <c r="HI232" s="328"/>
      <c r="HJ232" s="328"/>
      <c r="HK232" s="328"/>
      <c r="HL232" s="328"/>
      <c r="HM232" s="328"/>
      <c r="HN232" s="328"/>
      <c r="HO232" s="328"/>
      <c r="HP232" s="1237"/>
      <c r="HQ232" s="483"/>
      <c r="HR232" s="321"/>
      <c r="HS232" s="321"/>
      <c r="HT232" s="321"/>
      <c r="HU232" s="321"/>
      <c r="IC232" s="321"/>
      <c r="ID232" s="321"/>
      <c r="IE232" s="321"/>
      <c r="IF232" s="564"/>
      <c r="IG232" s="483"/>
      <c r="IH232" s="321"/>
      <c r="II232" s="321"/>
      <c r="IJ232" s="321"/>
      <c r="IK232" s="321"/>
      <c r="IL232" s="321"/>
      <c r="IM232" s="321"/>
      <c r="IN232" s="321"/>
      <c r="IO232" s="321"/>
      <c r="IP232" s="321"/>
      <c r="IQ232" s="321"/>
      <c r="IR232" s="321"/>
      <c r="IS232" s="321"/>
      <c r="IT232" s="321"/>
      <c r="IU232" s="321"/>
      <c r="IV232" s="564"/>
    </row>
    <row r="233" spans="1:256" s="326" customFormat="1" ht="8.25" customHeight="1">
      <c r="A233" s="483"/>
      <c r="B233" s="321"/>
      <c r="C233" s="321"/>
      <c r="D233" s="321"/>
      <c r="E233" s="321"/>
      <c r="F233" s="321"/>
      <c r="G233" s="321"/>
      <c r="H233" s="321"/>
      <c r="I233" s="321"/>
      <c r="J233" s="321"/>
      <c r="K233" s="321"/>
      <c r="L233" s="321"/>
      <c r="M233" s="321"/>
      <c r="N233" s="321"/>
      <c r="O233" s="321"/>
      <c r="P233" s="564"/>
      <c r="Q233" s="411"/>
      <c r="R233" s="445"/>
      <c r="S233" s="452"/>
      <c r="T233" s="445"/>
      <c r="U233" s="452"/>
      <c r="V233" s="445"/>
      <c r="W233" s="445"/>
      <c r="X233" s="445"/>
      <c r="Y233" s="411"/>
      <c r="Z233" s="438"/>
      <c r="AA233" s="438"/>
      <c r="AB233" s="452"/>
      <c r="AC233" s="438"/>
      <c r="AD233" s="452"/>
      <c r="AE233" s="438"/>
      <c r="AF233" s="411"/>
      <c r="AG233" s="483"/>
      <c r="AH233" s="328"/>
      <c r="AI233" s="328"/>
      <c r="AJ233" s="328"/>
      <c r="AK233" s="328"/>
      <c r="AL233" s="328"/>
      <c r="AM233" s="328"/>
      <c r="AN233" s="328"/>
      <c r="AO233" s="328"/>
      <c r="AP233" s="328"/>
      <c r="AQ233" s="328"/>
      <c r="AR233" s="328"/>
      <c r="AS233" s="328"/>
      <c r="AT233" s="328"/>
      <c r="AU233" s="328"/>
      <c r="AV233" s="1237"/>
      <c r="AW233" s="648"/>
      <c r="AX233" s="410"/>
      <c r="AY233" s="410"/>
      <c r="AZ233" s="410"/>
      <c r="BA233" s="410"/>
      <c r="BB233" s="410"/>
      <c r="BC233" s="410"/>
      <c r="BD233" s="410"/>
      <c r="BE233" s="410"/>
      <c r="BF233" s="410"/>
      <c r="BG233" s="410"/>
      <c r="BH233" s="410"/>
      <c r="BI233" s="410"/>
      <c r="BJ233" s="410"/>
      <c r="BK233" s="410"/>
      <c r="BL233" s="410"/>
      <c r="BM233" s="1236"/>
      <c r="BN233" s="410"/>
      <c r="BO233" s="410"/>
      <c r="BP233" s="410"/>
      <c r="BQ233" s="410"/>
      <c r="BR233" s="410"/>
      <c r="BS233" s="410"/>
      <c r="BT233" s="410"/>
      <c r="BU233" s="410"/>
      <c r="BV233" s="410"/>
      <c r="BW233" s="410"/>
      <c r="BX233" s="410"/>
      <c r="BY233" s="410"/>
      <c r="BZ233" s="410"/>
      <c r="CA233" s="321"/>
      <c r="CB233" s="564"/>
      <c r="CC233" s="1236"/>
      <c r="CD233" s="410"/>
      <c r="CE233" s="410"/>
      <c r="CF233" s="410"/>
      <c r="CG233" s="410"/>
      <c r="CH233" s="410"/>
      <c r="CI233" s="410"/>
      <c r="CJ233" s="410"/>
      <c r="CK233" s="410"/>
      <c r="CL233" s="410"/>
      <c r="CM233" s="410"/>
      <c r="CN233" s="410"/>
      <c r="CO233" s="410"/>
      <c r="CP233" s="410"/>
      <c r="CQ233" s="321"/>
      <c r="CR233" s="564"/>
      <c r="CS233" s="411"/>
      <c r="CT233" s="444"/>
      <c r="CU233" s="452"/>
      <c r="CV233" s="452"/>
      <c r="CW233" s="452"/>
      <c r="CX233" s="463"/>
      <c r="CY233" s="444"/>
      <c r="CZ233" s="463"/>
      <c r="DA233" s="452"/>
      <c r="DB233" s="463"/>
      <c r="DC233" s="444"/>
      <c r="DD233" s="463"/>
      <c r="DE233" s="452"/>
      <c r="DF233" s="444"/>
      <c r="DG233" s="444"/>
      <c r="DH233" s="411"/>
      <c r="DI233" s="483"/>
      <c r="DJ233" s="328"/>
      <c r="DK233" s="328"/>
      <c r="DL233" s="328"/>
      <c r="DM233" s="328"/>
      <c r="DN233" s="328"/>
      <c r="DO233" s="328"/>
      <c r="DP233" s="328"/>
      <c r="DQ233" s="328"/>
      <c r="DR233" s="328"/>
      <c r="DS233" s="328"/>
      <c r="DT233" s="328"/>
      <c r="DU233" s="328"/>
      <c r="DV233" s="328"/>
      <c r="DW233" s="328"/>
      <c r="DX233" s="564"/>
      <c r="DY233" s="648"/>
      <c r="DZ233" s="411"/>
      <c r="EA233" s="411"/>
      <c r="EB233" s="410"/>
      <c r="EC233" s="410"/>
      <c r="ED233" s="410"/>
      <c r="EE233" s="436"/>
      <c r="EF233" s="436"/>
      <c r="EG233" s="436"/>
      <c r="EH233" s="429"/>
      <c r="EI233" s="436"/>
      <c r="EJ233" s="436"/>
      <c r="EK233" s="410"/>
      <c r="EL233" s="410"/>
      <c r="EM233" s="410"/>
      <c r="EN233" s="649"/>
      <c r="EO233" s="1337"/>
      <c r="EP233" s="409"/>
      <c r="EQ233" s="429"/>
      <c r="ER233" s="409"/>
      <c r="ES233" s="429"/>
      <c r="ET233" s="418"/>
      <c r="EU233" s="427"/>
      <c r="EV233" s="432"/>
      <c r="EW233" s="439"/>
      <c r="EX233" s="415"/>
      <c r="EY233" s="439"/>
      <c r="EZ233" s="439"/>
      <c r="FA233" s="439"/>
      <c r="FB233" s="411"/>
      <c r="FC233" s="439"/>
      <c r="FD233" s="607"/>
      <c r="FE233" s="416"/>
      <c r="FF233" s="415"/>
      <c r="FG233" s="416"/>
      <c r="FH233" s="415"/>
      <c r="FI233" s="416"/>
      <c r="FJ233" s="416"/>
      <c r="FK233" s="415"/>
      <c r="FL233" s="416"/>
      <c r="FM233" s="415"/>
      <c r="FN233" s="416"/>
      <c r="FO233" s="416"/>
      <c r="FP233" s="415"/>
      <c r="FQ233" s="416"/>
      <c r="FR233" s="415"/>
      <c r="FS233" s="415"/>
      <c r="FT233" s="416"/>
      <c r="FU233" s="429"/>
      <c r="FV233" s="420"/>
      <c r="FW233" s="420"/>
      <c r="FX233" s="420"/>
      <c r="FY233" s="420"/>
      <c r="FZ233" s="420"/>
      <c r="GA233" s="420"/>
      <c r="GB233" s="420"/>
      <c r="GC233" s="420"/>
      <c r="GD233" s="420"/>
      <c r="GE233" s="420"/>
      <c r="GF233" s="420"/>
      <c r="GG233" s="420"/>
      <c r="GH233" s="420"/>
      <c r="GI233" s="420"/>
      <c r="GJ233" s="429"/>
      <c r="GK233" s="429"/>
      <c r="GL233" s="418"/>
      <c r="GM233" s="418"/>
      <c r="GN233" s="418"/>
      <c r="GO233" s="418"/>
      <c r="GP233" s="418"/>
      <c r="GQ233" s="418"/>
      <c r="GR233" s="418"/>
      <c r="GS233" s="418"/>
      <c r="GT233" s="418"/>
      <c r="GU233" s="418"/>
      <c r="GV233" s="418"/>
      <c r="GW233" s="418"/>
      <c r="GX233" s="418"/>
      <c r="GY233" s="418"/>
      <c r="GZ233" s="429"/>
      <c r="HA233" s="1236"/>
      <c r="HB233" s="328"/>
      <c r="HC233" s="328"/>
      <c r="HD233" s="328"/>
      <c r="HE233" s="328"/>
      <c r="HF233" s="328"/>
      <c r="HG233" s="328"/>
      <c r="HH233" s="328"/>
      <c r="HI233" s="328"/>
      <c r="HJ233" s="328"/>
      <c r="HK233" s="328"/>
      <c r="HL233" s="328"/>
      <c r="HM233" s="328"/>
      <c r="HN233" s="328"/>
      <c r="HO233" s="328"/>
      <c r="HP233" s="1237"/>
      <c r="HQ233" s="483"/>
      <c r="HR233" s="321"/>
      <c r="HS233" s="321"/>
      <c r="HT233" s="321"/>
      <c r="HU233" s="321"/>
      <c r="IC233" s="321"/>
      <c r="ID233" s="321"/>
      <c r="IE233" s="321"/>
      <c r="IF233" s="564"/>
      <c r="IG233" s="483"/>
      <c r="IH233" s="321"/>
      <c r="II233" s="321"/>
      <c r="IJ233" s="321"/>
      <c r="IK233" s="321"/>
      <c r="IL233" s="321"/>
      <c r="IM233" s="321"/>
      <c r="IN233" s="321"/>
      <c r="IO233" s="321"/>
      <c r="IP233" s="321"/>
      <c r="IQ233" s="321"/>
      <c r="IR233" s="321"/>
      <c r="IS233" s="321"/>
      <c r="IT233" s="321"/>
      <c r="IU233" s="321"/>
      <c r="IV233" s="564"/>
    </row>
    <row r="234" spans="1:256" s="326" customFormat="1" ht="8.25" customHeight="1">
      <c r="A234" s="483"/>
      <c r="B234" s="321"/>
      <c r="C234" s="321"/>
      <c r="D234" s="321"/>
      <c r="E234" s="321"/>
      <c r="F234" s="321"/>
      <c r="G234" s="321"/>
      <c r="H234" s="321"/>
      <c r="I234" s="321"/>
      <c r="J234" s="321"/>
      <c r="K234" s="321"/>
      <c r="L234" s="321"/>
      <c r="M234" s="321"/>
      <c r="N234" s="321"/>
      <c r="O234" s="321"/>
      <c r="P234" s="564"/>
      <c r="Q234" s="411"/>
      <c r="R234" s="411"/>
      <c r="S234" s="452"/>
      <c r="T234" s="452"/>
      <c r="U234" s="452"/>
      <c r="V234" s="452"/>
      <c r="W234" s="452"/>
      <c r="X234" s="452"/>
      <c r="Y234" s="452"/>
      <c r="Z234" s="452"/>
      <c r="AA234" s="452"/>
      <c r="AB234" s="452"/>
      <c r="AC234" s="452"/>
      <c r="AD234" s="452"/>
      <c r="AE234" s="411"/>
      <c r="AF234" s="411"/>
      <c r="AG234" s="483"/>
      <c r="AH234" s="328"/>
      <c r="AI234" s="328"/>
      <c r="AJ234" s="328"/>
      <c r="AK234" s="328"/>
      <c r="AL234" s="328"/>
      <c r="AM234" s="328"/>
      <c r="AN234" s="427"/>
      <c r="AO234" s="328"/>
      <c r="AP234" s="328"/>
      <c r="AQ234" s="328"/>
      <c r="AR234" s="328"/>
      <c r="AS234" s="328"/>
      <c r="AT234" s="328"/>
      <c r="AU234" s="328"/>
      <c r="AV234" s="1237"/>
      <c r="AW234" s="648"/>
      <c r="AX234" s="410"/>
      <c r="AY234" s="410"/>
      <c r="AZ234" s="410"/>
      <c r="BA234" s="410"/>
      <c r="BB234" s="410"/>
      <c r="BC234" s="410"/>
      <c r="BD234" s="410"/>
      <c r="BE234" s="416"/>
      <c r="BF234" s="410"/>
      <c r="BG234" s="410"/>
      <c r="BH234" s="410"/>
      <c r="BI234" s="410"/>
      <c r="BJ234" s="410"/>
      <c r="BK234" s="410"/>
      <c r="BL234" s="410"/>
      <c r="BM234" s="648"/>
      <c r="BN234" s="410"/>
      <c r="BO234" s="410"/>
      <c r="BP234" s="410"/>
      <c r="BQ234" s="410"/>
      <c r="BR234" s="410"/>
      <c r="BS234" s="410"/>
      <c r="BT234" s="432"/>
      <c r="BU234" s="410"/>
      <c r="BV234" s="410"/>
      <c r="BW234" s="410"/>
      <c r="BX234" s="410"/>
      <c r="BY234" s="410"/>
      <c r="BZ234" s="410"/>
      <c r="CA234" s="410"/>
      <c r="CB234" s="564"/>
      <c r="CC234" s="648"/>
      <c r="CD234" s="410"/>
      <c r="CE234" s="410"/>
      <c r="CF234" s="410"/>
      <c r="CG234" s="410"/>
      <c r="CH234" s="410"/>
      <c r="CI234" s="410"/>
      <c r="CJ234" s="432"/>
      <c r="CK234" s="410"/>
      <c r="CL234" s="410"/>
      <c r="CM234" s="410"/>
      <c r="CN234" s="410"/>
      <c r="CO234" s="410"/>
      <c r="CP234" s="410"/>
      <c r="CQ234" s="410"/>
      <c r="CR234" s="564"/>
      <c r="CS234" s="411"/>
      <c r="CT234" s="411"/>
      <c r="CU234" s="452"/>
      <c r="CV234" s="452"/>
      <c r="CW234" s="452"/>
      <c r="CX234" s="452"/>
      <c r="CY234" s="452"/>
      <c r="CZ234" s="452"/>
      <c r="DA234" s="452"/>
      <c r="DB234" s="452"/>
      <c r="DC234" s="452"/>
      <c r="DD234" s="452"/>
      <c r="DE234" s="452"/>
      <c r="DF234" s="452"/>
      <c r="DG234" s="411"/>
      <c r="DH234" s="411"/>
      <c r="DI234" s="483"/>
      <c r="DJ234" s="328"/>
      <c r="DK234" s="328"/>
      <c r="DL234" s="328"/>
      <c r="DM234" s="328"/>
      <c r="DN234" s="328"/>
      <c r="DO234" s="328"/>
      <c r="DP234" s="328"/>
      <c r="DQ234" s="328"/>
      <c r="DR234" s="328"/>
      <c r="DS234" s="328"/>
      <c r="DT234" s="328"/>
      <c r="DU234" s="328"/>
      <c r="DV234" s="328"/>
      <c r="DW234" s="328"/>
      <c r="DX234" s="564"/>
      <c r="DY234" s="648"/>
      <c r="DZ234" s="452"/>
      <c r="EA234" s="452"/>
      <c r="EB234" s="410"/>
      <c r="EC234" s="410"/>
      <c r="ED234" s="439"/>
      <c r="EE234" s="410"/>
      <c r="EF234" s="432"/>
      <c r="EG234" s="436"/>
      <c r="EH234" s="410"/>
      <c r="EI234" s="429"/>
      <c r="EJ234" s="429"/>
      <c r="EK234" s="410"/>
      <c r="EL234" s="410"/>
      <c r="EM234" s="410"/>
      <c r="EN234" s="649"/>
      <c r="EO234" s="1337"/>
      <c r="EP234" s="409"/>
      <c r="EQ234" s="429"/>
      <c r="ER234" s="409"/>
      <c r="ES234" s="429"/>
      <c r="ET234" s="418"/>
      <c r="EU234" s="427"/>
      <c r="EV234" s="432"/>
      <c r="EW234" s="439"/>
      <c r="EX234" s="432"/>
      <c r="EY234" s="432"/>
      <c r="EZ234" s="432"/>
      <c r="FA234" s="432"/>
      <c r="FB234" s="432"/>
      <c r="FC234" s="415"/>
      <c r="FD234" s="607"/>
      <c r="FE234" s="415"/>
      <c r="FF234" s="415"/>
      <c r="FG234" s="415"/>
      <c r="FH234" s="415"/>
      <c r="FI234" s="415"/>
      <c r="FJ234" s="415"/>
      <c r="FK234" s="415"/>
      <c r="FL234" s="415"/>
      <c r="FM234" s="415"/>
      <c r="FN234" s="415"/>
      <c r="FO234" s="415"/>
      <c r="FP234" s="415"/>
      <c r="FQ234" s="415"/>
      <c r="FR234" s="415"/>
      <c r="FS234" s="415"/>
      <c r="FT234" s="415"/>
      <c r="FU234" s="429"/>
      <c r="FV234" s="420"/>
      <c r="FW234" s="420"/>
      <c r="FX234" s="420"/>
      <c r="FY234" s="452"/>
      <c r="FZ234" s="452"/>
      <c r="GA234" s="420"/>
      <c r="GB234" s="420"/>
      <c r="GC234" s="452"/>
      <c r="GD234" s="452"/>
      <c r="GE234" s="452"/>
      <c r="GF234" s="420"/>
      <c r="GG234" s="420"/>
      <c r="GH234" s="420"/>
      <c r="GI234" s="420"/>
      <c r="GJ234" s="429"/>
      <c r="GK234" s="429"/>
      <c r="GL234" s="418"/>
      <c r="GM234" s="441"/>
      <c r="GN234" s="441"/>
      <c r="GO234" s="441"/>
      <c r="GP234" s="418"/>
      <c r="GQ234" s="441"/>
      <c r="GR234" s="418"/>
      <c r="GS234" s="441"/>
      <c r="GT234" s="418"/>
      <c r="GU234" s="441"/>
      <c r="GV234" s="441"/>
      <c r="GW234" s="418"/>
      <c r="GX234" s="418"/>
      <c r="GY234" s="418"/>
      <c r="GZ234" s="429"/>
      <c r="HA234" s="1236"/>
      <c r="HB234" s="328"/>
      <c r="HC234" s="328"/>
      <c r="HD234" s="328"/>
      <c r="HE234" s="328"/>
      <c r="HF234" s="328"/>
      <c r="HG234" s="328"/>
      <c r="HH234" s="328"/>
      <c r="HI234" s="328"/>
      <c r="HJ234" s="328"/>
      <c r="HK234" s="328"/>
      <c r="HL234" s="328"/>
      <c r="HM234" s="328"/>
      <c r="HN234" s="328"/>
      <c r="HO234" s="328"/>
      <c r="HP234" s="1237"/>
      <c r="HQ234" s="483"/>
      <c r="HR234" s="321"/>
      <c r="HS234" s="321"/>
      <c r="HT234" s="321"/>
      <c r="HU234" s="321"/>
      <c r="IC234" s="321"/>
      <c r="ID234" s="321"/>
      <c r="IE234" s="321"/>
      <c r="IF234" s="564"/>
      <c r="IG234" s="483"/>
      <c r="IH234" s="321"/>
      <c r="II234" s="321"/>
      <c r="IJ234" s="321"/>
      <c r="IK234" s="321"/>
      <c r="IL234" s="321"/>
      <c r="IM234" s="321"/>
      <c r="IN234" s="321"/>
      <c r="IO234" s="321"/>
      <c r="IP234" s="321"/>
      <c r="IQ234" s="321"/>
      <c r="IR234" s="321"/>
      <c r="IS234" s="321"/>
      <c r="IT234" s="321"/>
      <c r="IU234" s="321"/>
      <c r="IV234" s="564"/>
    </row>
    <row r="235" spans="1:256" s="326" customFormat="1" ht="8.25" customHeight="1">
      <c r="A235" s="483"/>
      <c r="B235" s="321"/>
      <c r="C235" s="321"/>
      <c r="D235" s="321"/>
      <c r="E235" s="321"/>
      <c r="F235" s="321"/>
      <c r="G235" s="321"/>
      <c r="H235" s="321"/>
      <c r="I235" s="321"/>
      <c r="J235" s="321"/>
      <c r="K235" s="321"/>
      <c r="L235" s="321"/>
      <c r="M235" s="321"/>
      <c r="N235" s="321"/>
      <c r="O235" s="321"/>
      <c r="P235" s="564"/>
      <c r="Q235" s="321"/>
      <c r="R235" s="411"/>
      <c r="S235" s="411"/>
      <c r="T235" s="411"/>
      <c r="U235" s="411"/>
      <c r="V235" s="411"/>
      <c r="W235" s="411"/>
      <c r="X235" s="411"/>
      <c r="Y235" s="411"/>
      <c r="Z235" s="411"/>
      <c r="AA235" s="411"/>
      <c r="AB235" s="411"/>
      <c r="AC235" s="411"/>
      <c r="AD235" s="411"/>
      <c r="AE235" s="411"/>
      <c r="AF235" s="321"/>
      <c r="AG235" s="483"/>
      <c r="AH235" s="328"/>
      <c r="AI235" s="328"/>
      <c r="AJ235" s="328"/>
      <c r="AK235" s="328"/>
      <c r="AL235" s="328"/>
      <c r="AM235" s="427"/>
      <c r="AN235" s="434"/>
      <c r="AO235" s="427"/>
      <c r="AP235" s="328"/>
      <c r="AQ235" s="328"/>
      <c r="AR235" s="328"/>
      <c r="AS235" s="328"/>
      <c r="AT235" s="328"/>
      <c r="AU235" s="328"/>
      <c r="AV235" s="1237"/>
      <c r="AW235" s="648"/>
      <c r="AX235" s="410"/>
      <c r="AY235" s="410"/>
      <c r="AZ235" s="410"/>
      <c r="BA235" s="410"/>
      <c r="BB235" s="410"/>
      <c r="BC235" s="410"/>
      <c r="BD235" s="416"/>
      <c r="BE235" s="462"/>
      <c r="BF235" s="416"/>
      <c r="BG235" s="410"/>
      <c r="BH235" s="410"/>
      <c r="BI235" s="410"/>
      <c r="BJ235" s="410"/>
      <c r="BK235" s="410"/>
      <c r="BL235" s="410"/>
      <c r="BM235" s="648"/>
      <c r="BN235" s="410"/>
      <c r="BO235" s="410"/>
      <c r="BP235" s="410"/>
      <c r="BQ235" s="432"/>
      <c r="BR235" s="432"/>
      <c r="BS235" s="410"/>
      <c r="BT235" s="432"/>
      <c r="BU235" s="410"/>
      <c r="BV235" s="432"/>
      <c r="BW235" s="432"/>
      <c r="BX235" s="410"/>
      <c r="BY235" s="410"/>
      <c r="BZ235" s="410"/>
      <c r="CA235" s="410"/>
      <c r="CB235" s="564"/>
      <c r="CC235" s="648"/>
      <c r="CD235" s="328"/>
      <c r="CE235" s="410"/>
      <c r="CF235" s="410"/>
      <c r="CG235" s="432"/>
      <c r="CH235" s="432"/>
      <c r="CI235" s="410"/>
      <c r="CJ235" s="432"/>
      <c r="CK235" s="410"/>
      <c r="CL235" s="432"/>
      <c r="CM235" s="432"/>
      <c r="CN235" s="410"/>
      <c r="CO235" s="328"/>
      <c r="CP235" s="410"/>
      <c r="CQ235" s="410"/>
      <c r="CR235" s="564"/>
      <c r="CS235" s="321"/>
      <c r="CT235" s="411"/>
      <c r="CU235" s="411"/>
      <c r="CV235" s="411"/>
      <c r="CW235" s="411"/>
      <c r="CX235" s="411"/>
      <c r="CY235" s="411"/>
      <c r="CZ235" s="411"/>
      <c r="DA235" s="411"/>
      <c r="DB235" s="411"/>
      <c r="DC235" s="411"/>
      <c r="DD235" s="411"/>
      <c r="DE235" s="411"/>
      <c r="DF235" s="411"/>
      <c r="DG235" s="411"/>
      <c r="DH235" s="321"/>
      <c r="DI235" s="483"/>
      <c r="DJ235" s="328"/>
      <c r="DK235" s="328"/>
      <c r="DL235" s="328"/>
      <c r="DM235" s="328"/>
      <c r="DN235" s="328"/>
      <c r="DO235" s="328"/>
      <c r="DP235" s="328"/>
      <c r="DQ235" s="328"/>
      <c r="DR235" s="328"/>
      <c r="DS235" s="328"/>
      <c r="DT235" s="328"/>
      <c r="DU235" s="328"/>
      <c r="DV235" s="328"/>
      <c r="DW235" s="328"/>
      <c r="DX235" s="564"/>
      <c r="DY235" s="648"/>
      <c r="DZ235" s="411"/>
      <c r="EA235" s="452"/>
      <c r="EB235" s="411"/>
      <c r="EC235" s="410"/>
      <c r="ED235" s="410"/>
      <c r="EE235" s="410"/>
      <c r="EF235" s="436"/>
      <c r="EG235" s="436"/>
      <c r="EH235" s="410"/>
      <c r="EI235" s="410"/>
      <c r="EJ235" s="410"/>
      <c r="EK235" s="436"/>
      <c r="EL235" s="410"/>
      <c r="EM235" s="410"/>
      <c r="EN235" s="649"/>
      <c r="EO235" s="1337"/>
      <c r="EP235" s="409"/>
      <c r="EQ235" s="429"/>
      <c r="ER235" s="409"/>
      <c r="ES235" s="429"/>
      <c r="ET235" s="418"/>
      <c r="EU235" s="427"/>
      <c r="EV235" s="432"/>
      <c r="EW235" s="439"/>
      <c r="EX235" s="415"/>
      <c r="EY235" s="439"/>
      <c r="EZ235" s="439"/>
      <c r="FA235" s="439"/>
      <c r="FB235" s="439"/>
      <c r="FC235" s="439"/>
      <c r="FD235" s="607"/>
      <c r="FE235" s="415"/>
      <c r="FF235" s="415"/>
      <c r="FG235" s="415"/>
      <c r="FH235" s="415"/>
      <c r="FI235" s="415"/>
      <c r="FJ235" s="415"/>
      <c r="FK235" s="418"/>
      <c r="FL235" s="423"/>
      <c r="FM235" s="418"/>
      <c r="FN235" s="415"/>
      <c r="FO235" s="415"/>
      <c r="FP235" s="415"/>
      <c r="FQ235" s="415"/>
      <c r="FR235" s="415"/>
      <c r="FS235" s="415"/>
      <c r="FT235" s="415"/>
      <c r="FU235" s="429"/>
      <c r="FV235" s="420"/>
      <c r="FW235" s="420"/>
      <c r="FX235" s="420"/>
      <c r="FY235" s="411"/>
      <c r="FZ235" s="420"/>
      <c r="GA235" s="411"/>
      <c r="GB235" s="420"/>
      <c r="GC235" s="420"/>
      <c r="GD235" s="420"/>
      <c r="GE235" s="411"/>
      <c r="GF235" s="420"/>
      <c r="GG235" s="420"/>
      <c r="GH235" s="420"/>
      <c r="GI235" s="420"/>
      <c r="GJ235" s="429"/>
      <c r="GK235" s="429"/>
      <c r="GL235" s="434"/>
      <c r="GM235" s="418"/>
      <c r="GN235" s="418"/>
      <c r="GO235" s="418"/>
      <c r="GP235" s="418"/>
      <c r="GQ235" s="441"/>
      <c r="GR235" s="418"/>
      <c r="GS235" s="441"/>
      <c r="GT235" s="418"/>
      <c r="GU235" s="441"/>
      <c r="GV235" s="418"/>
      <c r="GW235" s="441"/>
      <c r="GX235" s="418"/>
      <c r="GY235" s="418"/>
      <c r="GZ235" s="429"/>
      <c r="HA235" s="1236"/>
      <c r="HB235" s="328"/>
      <c r="HC235" s="328"/>
      <c r="HD235" s="328"/>
      <c r="HE235" s="328"/>
      <c r="HF235" s="328"/>
      <c r="HG235" s="328"/>
      <c r="HH235" s="328"/>
      <c r="HI235" s="328"/>
      <c r="HJ235" s="328"/>
      <c r="HK235" s="328"/>
      <c r="HL235" s="328"/>
      <c r="HM235" s="328"/>
      <c r="HN235" s="328"/>
      <c r="HO235" s="328"/>
      <c r="HP235" s="1237"/>
      <c r="HQ235" s="483"/>
      <c r="HR235" s="321"/>
      <c r="HS235" s="321"/>
      <c r="HT235" s="321"/>
      <c r="HU235" s="321"/>
      <c r="IC235" s="321"/>
      <c r="ID235" s="321"/>
      <c r="IE235" s="321"/>
      <c r="IF235" s="564"/>
      <c r="IG235" s="483"/>
      <c r="IH235" s="321"/>
      <c r="II235" s="321"/>
      <c r="IJ235" s="321"/>
      <c r="IK235" s="321"/>
      <c r="IL235" s="321"/>
      <c r="IM235" s="321"/>
      <c r="IN235" s="321"/>
      <c r="IO235" s="321"/>
      <c r="IP235" s="321"/>
      <c r="IQ235" s="321"/>
      <c r="IR235" s="321"/>
      <c r="IS235" s="321"/>
      <c r="IT235" s="321"/>
      <c r="IU235" s="321"/>
      <c r="IV235" s="564"/>
    </row>
    <row r="236" spans="1:256" s="326" customFormat="1" ht="8.25" customHeight="1">
      <c r="A236" s="483"/>
      <c r="B236" s="321"/>
      <c r="C236" s="321"/>
      <c r="D236" s="321"/>
      <c r="E236" s="321"/>
      <c r="F236" s="321"/>
      <c r="G236" s="321"/>
      <c r="H236" s="321"/>
      <c r="I236" s="321"/>
      <c r="J236" s="321"/>
      <c r="K236" s="321"/>
      <c r="L236" s="321"/>
      <c r="M236" s="410"/>
      <c r="N236" s="321"/>
      <c r="O236" s="321"/>
      <c r="P236" s="564"/>
      <c r="Q236" s="483"/>
      <c r="R236" s="321"/>
      <c r="S236" s="321"/>
      <c r="T236" s="321"/>
      <c r="U236" s="321"/>
      <c r="V236" s="321"/>
      <c r="W236" s="321"/>
      <c r="X236" s="321"/>
      <c r="Y236" s="321"/>
      <c r="Z236" s="321"/>
      <c r="AA236" s="321"/>
      <c r="AB236" s="321"/>
      <c r="AC236" s="321"/>
      <c r="AD236" s="321"/>
      <c r="AE236" s="321"/>
      <c r="AF236" s="564"/>
      <c r="AG236" s="483"/>
      <c r="AH236" s="328"/>
      <c r="AI236" s="328"/>
      <c r="AJ236" s="328"/>
      <c r="AK236" s="427"/>
      <c r="AL236" s="427"/>
      <c r="AM236" s="434"/>
      <c r="AN236" s="427"/>
      <c r="AO236" s="434"/>
      <c r="AP236" s="427"/>
      <c r="AQ236" s="328"/>
      <c r="AR236" s="328"/>
      <c r="AS236" s="328"/>
      <c r="AT236" s="328"/>
      <c r="AU236" s="328"/>
      <c r="AV236" s="1237"/>
      <c r="AW236" s="648"/>
      <c r="AX236" s="410"/>
      <c r="AY236" s="410"/>
      <c r="AZ236" s="410"/>
      <c r="BA236" s="410"/>
      <c r="BB236" s="410"/>
      <c r="BC236" s="416"/>
      <c r="BD236" s="436"/>
      <c r="BE236" s="462"/>
      <c r="BF236" s="436"/>
      <c r="BG236" s="416"/>
      <c r="BH236" s="410"/>
      <c r="BI236" s="410"/>
      <c r="BJ236" s="410"/>
      <c r="BK236" s="410"/>
      <c r="BL236" s="410"/>
      <c r="BM236" s="648"/>
      <c r="BN236" s="410"/>
      <c r="BO236" s="410"/>
      <c r="BP236" s="432"/>
      <c r="BQ236" s="410"/>
      <c r="BR236" s="410"/>
      <c r="BS236" s="410"/>
      <c r="BT236" s="432"/>
      <c r="BU236" s="410"/>
      <c r="BV236" s="410"/>
      <c r="BW236" s="410"/>
      <c r="BX236" s="432"/>
      <c r="BY236" s="410"/>
      <c r="BZ236" s="410"/>
      <c r="CA236" s="410"/>
      <c r="CB236" s="564"/>
      <c r="CC236" s="648"/>
      <c r="CD236" s="410"/>
      <c r="CE236" s="410"/>
      <c r="CF236" s="432"/>
      <c r="CG236" s="328"/>
      <c r="CH236" s="410"/>
      <c r="CI236" s="410"/>
      <c r="CJ236" s="432"/>
      <c r="CK236" s="328"/>
      <c r="CL236" s="328"/>
      <c r="CM236" s="410"/>
      <c r="CN236" s="432"/>
      <c r="CO236" s="410"/>
      <c r="CP236" s="410"/>
      <c r="CQ236" s="410"/>
      <c r="CR236" s="564"/>
      <c r="CS236" s="1236"/>
      <c r="CT236" s="328"/>
      <c r="CU236" s="328"/>
      <c r="CV236" s="328"/>
      <c r="DD236" s="328"/>
      <c r="DE236" s="328"/>
      <c r="DF236" s="328"/>
      <c r="DG236" s="328"/>
      <c r="DH236" s="1237"/>
      <c r="DI236" s="483"/>
      <c r="DJ236" s="328"/>
      <c r="DK236" s="328"/>
      <c r="DL236" s="328"/>
      <c r="DM236" s="328"/>
      <c r="DN236" s="328"/>
      <c r="DO236" s="328"/>
      <c r="DP236" s="328"/>
      <c r="DQ236" s="328"/>
      <c r="DR236" s="328"/>
      <c r="DS236" s="328"/>
      <c r="DT236" s="328"/>
      <c r="DU236" s="328"/>
      <c r="DV236" s="328"/>
      <c r="DW236" s="328"/>
      <c r="DX236" s="564"/>
      <c r="DY236" s="648"/>
      <c r="DZ236" s="411"/>
      <c r="EA236" s="411"/>
      <c r="EB236" s="410"/>
      <c r="EC236" s="410"/>
      <c r="ED236" s="410"/>
      <c r="EE236" s="443"/>
      <c r="EF236" s="436"/>
      <c r="EG236" s="436"/>
      <c r="EH236" s="429"/>
      <c r="EI236" s="410"/>
      <c r="EJ236" s="410"/>
      <c r="EK236" s="410"/>
      <c r="EL236" s="410"/>
      <c r="EM236" s="410"/>
      <c r="EN236" s="649"/>
      <c r="EO236" s="670"/>
      <c r="EP236" s="421"/>
      <c r="EQ236" s="421"/>
      <c r="ER236" s="421"/>
      <c r="ES236" s="421"/>
      <c r="ET236" s="421"/>
      <c r="EU236" s="421"/>
      <c r="EV236" s="432"/>
      <c r="EW236" s="439"/>
      <c r="EX236" s="421"/>
      <c r="EY236" s="421"/>
      <c r="EZ236" s="421"/>
      <c r="FA236" s="421"/>
      <c r="FB236" s="421"/>
      <c r="FC236" s="421"/>
      <c r="FD236" s="671"/>
      <c r="FE236" s="415"/>
      <c r="FF236" s="415"/>
      <c r="FG236" s="415"/>
      <c r="FH236" s="415"/>
      <c r="FI236" s="415"/>
      <c r="FJ236" s="418"/>
      <c r="FK236" s="427"/>
      <c r="FL236" s="418"/>
      <c r="FM236" s="418"/>
      <c r="FN236" s="423"/>
      <c r="FO236" s="415"/>
      <c r="FP236" s="415"/>
      <c r="FQ236" s="415"/>
      <c r="FR236" s="415"/>
      <c r="FS236" s="415"/>
      <c r="FT236" s="415"/>
      <c r="FU236" s="429"/>
      <c r="FV236" s="420"/>
      <c r="FW236" s="420"/>
      <c r="FX236" s="420"/>
      <c r="FY236" s="411"/>
      <c r="FZ236" s="420"/>
      <c r="GA236" s="411"/>
      <c r="GB236" s="420"/>
      <c r="GC236" s="420"/>
      <c r="GD236" s="411"/>
      <c r="GE236" s="420"/>
      <c r="GF236" s="420"/>
      <c r="GG236" s="420"/>
      <c r="GH236" s="420"/>
      <c r="GI236" s="420"/>
      <c r="GJ236" s="429"/>
      <c r="GK236" s="429"/>
      <c r="GL236" s="418"/>
      <c r="GM236" s="441"/>
      <c r="GN236" s="441"/>
      <c r="GO236" s="418"/>
      <c r="GP236" s="418"/>
      <c r="GQ236" s="441"/>
      <c r="GR236" s="418"/>
      <c r="GS236" s="441"/>
      <c r="GT236" s="418"/>
      <c r="GU236" s="441"/>
      <c r="GV236" s="441"/>
      <c r="GW236" s="441"/>
      <c r="GX236" s="418"/>
      <c r="GY236" s="418"/>
      <c r="GZ236" s="429"/>
      <c r="HA236" s="1236"/>
      <c r="HB236" s="328"/>
      <c r="HC236" s="328"/>
      <c r="HD236" s="328"/>
      <c r="HE236" s="328"/>
      <c r="HF236" s="328"/>
      <c r="HG236" s="328"/>
      <c r="HH236" s="328"/>
      <c r="HI236" s="328"/>
      <c r="HJ236" s="328"/>
      <c r="HK236" s="328"/>
      <c r="HL236" s="328"/>
      <c r="HM236" s="328"/>
      <c r="HN236" s="328"/>
      <c r="HO236" s="328"/>
      <c r="HP236" s="1237"/>
      <c r="HQ236" s="483"/>
      <c r="HR236" s="321"/>
      <c r="HS236" s="321"/>
      <c r="HT236" s="321"/>
      <c r="HU236" s="321"/>
      <c r="IC236" s="321"/>
      <c r="ID236" s="321"/>
      <c r="IE236" s="321"/>
      <c r="IF236" s="564"/>
      <c r="IG236" s="483"/>
      <c r="IH236" s="321"/>
      <c r="II236" s="321"/>
      <c r="IJ236" s="321"/>
      <c r="IK236" s="321"/>
      <c r="IL236" s="321"/>
      <c r="IM236" s="321"/>
      <c r="IN236" s="321"/>
      <c r="IO236" s="321"/>
      <c r="IP236" s="321"/>
      <c r="IQ236" s="321"/>
      <c r="IR236" s="321"/>
      <c r="IS236" s="321"/>
      <c r="IT236" s="321"/>
      <c r="IU236" s="321"/>
      <c r="IV236" s="564"/>
    </row>
    <row r="237" spans="1:256" s="326" customFormat="1" ht="8.25" customHeight="1">
      <c r="A237" s="483"/>
      <c r="B237" s="321"/>
      <c r="C237" s="321"/>
      <c r="D237" s="321"/>
      <c r="E237" s="321"/>
      <c r="F237" s="321"/>
      <c r="G237" s="321"/>
      <c r="H237" s="321"/>
      <c r="I237" s="321"/>
      <c r="J237" s="321"/>
      <c r="K237" s="321"/>
      <c r="L237" s="321"/>
      <c r="M237" s="452"/>
      <c r="N237" s="321"/>
      <c r="O237" s="321"/>
      <c r="P237" s="564"/>
      <c r="Q237" s="483"/>
      <c r="R237" s="321"/>
      <c r="S237" s="321"/>
      <c r="T237" s="321"/>
      <c r="U237" s="321"/>
      <c r="V237" s="321"/>
      <c r="W237" s="321"/>
      <c r="X237" s="321"/>
      <c r="Y237" s="321"/>
      <c r="Z237" s="321"/>
      <c r="AA237" s="321"/>
      <c r="AB237" s="321"/>
      <c r="AC237" s="321"/>
      <c r="AD237" s="321"/>
      <c r="AE237" s="321"/>
      <c r="AF237" s="564"/>
      <c r="AG237" s="1308">
        <v>12</v>
      </c>
      <c r="AH237" s="328"/>
      <c r="AI237" s="328"/>
      <c r="AJ237" s="427"/>
      <c r="AK237" s="423"/>
      <c r="AL237" s="423"/>
      <c r="AM237" s="427"/>
      <c r="AN237" s="427"/>
      <c r="AO237" s="427"/>
      <c r="AP237" s="328"/>
      <c r="AQ237" s="427"/>
      <c r="AR237" s="328"/>
      <c r="AS237" s="328"/>
      <c r="AT237" s="328"/>
      <c r="AU237" s="328"/>
      <c r="AV237" s="1237"/>
      <c r="AW237" s="648"/>
      <c r="AX237" s="410"/>
      <c r="AY237" s="410"/>
      <c r="AZ237" s="410"/>
      <c r="BA237" s="410"/>
      <c r="BB237" s="410"/>
      <c r="BC237" s="416"/>
      <c r="BD237" s="462"/>
      <c r="BE237" s="462"/>
      <c r="BF237" s="462"/>
      <c r="BG237" s="416"/>
      <c r="BH237" s="410"/>
      <c r="BI237" s="410"/>
      <c r="BJ237" s="410"/>
      <c r="BK237" s="410"/>
      <c r="BL237" s="410"/>
      <c r="BM237" s="648"/>
      <c r="BN237" s="410"/>
      <c r="BO237" s="432"/>
      <c r="BP237" s="410"/>
      <c r="BQ237" s="410"/>
      <c r="BR237" s="432"/>
      <c r="BS237" s="410"/>
      <c r="BT237" s="432"/>
      <c r="BU237" s="410"/>
      <c r="BV237" s="432"/>
      <c r="BW237" s="410"/>
      <c r="BX237" s="410"/>
      <c r="BY237" s="432"/>
      <c r="BZ237" s="410"/>
      <c r="CA237" s="410"/>
      <c r="CB237" s="564"/>
      <c r="CC237" s="648"/>
      <c r="CD237" s="410"/>
      <c r="CE237" s="432"/>
      <c r="CF237" s="410"/>
      <c r="CG237" s="410"/>
      <c r="CH237" s="432"/>
      <c r="CI237" s="410"/>
      <c r="CJ237" s="432"/>
      <c r="CK237" s="410"/>
      <c r="CL237" s="432"/>
      <c r="CM237" s="410"/>
      <c r="CN237" s="410"/>
      <c r="CO237" s="432"/>
      <c r="CP237" s="410"/>
      <c r="CQ237" s="410"/>
      <c r="CR237" s="564"/>
      <c r="CS237" s="1236"/>
      <c r="CT237" s="328"/>
      <c r="CU237" s="328"/>
      <c r="CV237" s="328"/>
      <c r="DD237" s="328"/>
      <c r="DE237" s="328"/>
      <c r="DF237" s="328"/>
      <c r="DG237" s="328"/>
      <c r="DH237" s="1237"/>
      <c r="DI237" s="1308">
        <v>5</v>
      </c>
      <c r="DJ237" s="328"/>
      <c r="DK237" s="328"/>
      <c r="DL237" s="328"/>
      <c r="DM237" s="328"/>
      <c r="DN237" s="328"/>
      <c r="DO237" s="328"/>
      <c r="DP237" s="328"/>
      <c r="DQ237" s="328"/>
      <c r="DR237" s="328"/>
      <c r="DS237" s="328"/>
      <c r="DT237" s="328"/>
      <c r="DU237" s="328"/>
      <c r="DV237" s="328"/>
      <c r="DW237" s="328"/>
      <c r="DX237" s="564"/>
      <c r="DY237" s="648"/>
      <c r="DZ237" s="452"/>
      <c r="EA237" s="410"/>
      <c r="EB237" s="410"/>
      <c r="EC237" s="410"/>
      <c r="ED237" s="443"/>
      <c r="EE237" s="436"/>
      <c r="EF237" s="436"/>
      <c r="EG237" s="436"/>
      <c r="EH237" s="436"/>
      <c r="EI237" s="429"/>
      <c r="EJ237" s="410"/>
      <c r="EK237" s="410"/>
      <c r="EL237" s="410"/>
      <c r="EM237" s="410"/>
      <c r="EN237" s="649"/>
      <c r="EO237" s="491"/>
      <c r="EP237" s="415"/>
      <c r="EQ237" s="415"/>
      <c r="ER237" s="415"/>
      <c r="ES237" s="415"/>
      <c r="ET237" s="415"/>
      <c r="EU237" s="415"/>
      <c r="EV237" s="432"/>
      <c r="EW237" s="439"/>
      <c r="EX237" s="415"/>
      <c r="EY237" s="415"/>
      <c r="EZ237" s="415"/>
      <c r="FA237" s="415"/>
      <c r="FB237" s="415"/>
      <c r="FC237" s="415"/>
      <c r="FD237" s="607"/>
      <c r="FE237" s="415"/>
      <c r="FF237" s="415"/>
      <c r="FG237" s="415"/>
      <c r="FH237" s="415"/>
      <c r="FI237" s="415"/>
      <c r="FJ237" s="423"/>
      <c r="FK237" s="423"/>
      <c r="FL237" s="418"/>
      <c r="FM237" s="418"/>
      <c r="FN237" s="418"/>
      <c r="FO237" s="415"/>
      <c r="FP237" s="415"/>
      <c r="FQ237" s="415"/>
      <c r="FR237" s="415"/>
      <c r="FS237" s="415"/>
      <c r="FT237" s="415"/>
      <c r="FU237" s="429"/>
      <c r="FV237" s="420"/>
      <c r="FW237" s="420"/>
      <c r="FX237" s="420"/>
      <c r="FY237" s="411"/>
      <c r="FZ237" s="411"/>
      <c r="GA237" s="420"/>
      <c r="GB237" s="420"/>
      <c r="GC237" s="420"/>
      <c r="GD237" s="411"/>
      <c r="GE237" s="420"/>
      <c r="GF237" s="420"/>
      <c r="GG237" s="420"/>
      <c r="GH237" s="420"/>
      <c r="GI237" s="420"/>
      <c r="GJ237" s="429"/>
      <c r="GK237" s="429"/>
      <c r="GL237" s="418"/>
      <c r="GM237" s="418"/>
      <c r="GN237" s="418"/>
      <c r="GO237" s="441"/>
      <c r="GP237" s="418"/>
      <c r="GQ237" s="441"/>
      <c r="GR237" s="418"/>
      <c r="GS237" s="441"/>
      <c r="GT237" s="418"/>
      <c r="GU237" s="441"/>
      <c r="GV237" s="418"/>
      <c r="GW237" s="418"/>
      <c r="GX237" s="441"/>
      <c r="GY237" s="418"/>
      <c r="GZ237" s="429"/>
      <c r="HA237" s="1236"/>
      <c r="HB237" s="328"/>
      <c r="HC237" s="328"/>
      <c r="HD237" s="328"/>
      <c r="HE237" s="328"/>
      <c r="HF237" s="328"/>
      <c r="HG237" s="328"/>
      <c r="HH237" s="328"/>
      <c r="HI237" s="328"/>
      <c r="HJ237" s="328"/>
      <c r="HK237" s="328"/>
      <c r="HL237" s="328"/>
      <c r="HM237" s="328"/>
      <c r="HN237" s="328"/>
      <c r="HO237" s="328"/>
      <c r="HP237" s="1237"/>
      <c r="HQ237" s="1308">
        <v>10</v>
      </c>
      <c r="HR237" s="321"/>
      <c r="HS237" s="321"/>
      <c r="HT237" s="321"/>
      <c r="HU237" s="321"/>
      <c r="IC237" s="321"/>
      <c r="ID237" s="321"/>
      <c r="IE237" s="321"/>
      <c r="IF237" s="564"/>
      <c r="IG237" s="1308">
        <v>10</v>
      </c>
      <c r="IH237" s="321"/>
      <c r="II237" s="321"/>
      <c r="IJ237" s="321"/>
      <c r="IK237" s="321"/>
      <c r="IL237" s="321"/>
      <c r="IM237" s="321"/>
      <c r="IN237" s="321"/>
      <c r="IO237" s="321"/>
      <c r="IP237" s="321"/>
      <c r="IQ237" s="321"/>
      <c r="IR237" s="321"/>
      <c r="IS237" s="321"/>
      <c r="IT237" s="321"/>
      <c r="IU237" s="321"/>
      <c r="IV237" s="564"/>
    </row>
    <row r="238" spans="1:256" s="326" customFormat="1" ht="8.25" customHeight="1">
      <c r="A238" s="483"/>
      <c r="B238" s="321"/>
      <c r="C238" s="452"/>
      <c r="D238" s="321"/>
      <c r="E238" s="321"/>
      <c r="F238" s="321"/>
      <c r="G238" s="321"/>
      <c r="H238" s="321"/>
      <c r="I238" s="321"/>
      <c r="J238" s="321"/>
      <c r="K238" s="321"/>
      <c r="L238" s="321"/>
      <c r="M238" s="410"/>
      <c r="N238" s="321"/>
      <c r="O238" s="321"/>
      <c r="P238" s="564"/>
      <c r="Q238" s="483"/>
      <c r="R238" s="321"/>
      <c r="S238" s="321"/>
      <c r="T238" s="321"/>
      <c r="AC238" s="321"/>
      <c r="AD238" s="321"/>
      <c r="AE238" s="321"/>
      <c r="AF238" s="564"/>
      <c r="AG238" s="483"/>
      <c r="AH238" s="328"/>
      <c r="AI238" s="328"/>
      <c r="AJ238" s="427"/>
      <c r="AK238" s="418"/>
      <c r="AL238" s="427"/>
      <c r="AM238" s="434"/>
      <c r="AN238" s="427"/>
      <c r="AO238" s="434"/>
      <c r="AP238" s="427"/>
      <c r="AQ238" s="423"/>
      <c r="AR238" s="328"/>
      <c r="AS238" s="328"/>
      <c r="AT238" s="328"/>
      <c r="AU238" s="328"/>
      <c r="AV238" s="1237"/>
      <c r="AW238" s="648"/>
      <c r="AX238" s="410"/>
      <c r="AY238" s="410"/>
      <c r="AZ238" s="410"/>
      <c r="BA238" s="410"/>
      <c r="BB238" s="416"/>
      <c r="BC238" s="462"/>
      <c r="BD238" s="462"/>
      <c r="BE238" s="462"/>
      <c r="BF238" s="462"/>
      <c r="BG238" s="462"/>
      <c r="BH238" s="416"/>
      <c r="BI238" s="410"/>
      <c r="BJ238" s="410"/>
      <c r="BK238" s="410"/>
      <c r="BL238" s="410"/>
      <c r="BM238" s="648"/>
      <c r="BN238" s="432"/>
      <c r="BO238" s="410"/>
      <c r="BP238" s="410"/>
      <c r="BQ238" s="432"/>
      <c r="BR238" s="410"/>
      <c r="BS238" s="410"/>
      <c r="BT238" s="432"/>
      <c r="BU238" s="410"/>
      <c r="BV238" s="410"/>
      <c r="BW238" s="432"/>
      <c r="BX238" s="410"/>
      <c r="BY238" s="410"/>
      <c r="BZ238" s="432"/>
      <c r="CA238" s="410"/>
      <c r="CB238" s="564"/>
      <c r="CC238" s="648"/>
      <c r="CD238" s="432"/>
      <c r="CE238" s="410"/>
      <c r="CF238" s="410"/>
      <c r="CG238" s="432"/>
      <c r="CH238" s="410"/>
      <c r="CI238" s="410"/>
      <c r="CJ238" s="432"/>
      <c r="CK238" s="410"/>
      <c r="CL238" s="410"/>
      <c r="CM238" s="432"/>
      <c r="CN238" s="410"/>
      <c r="CO238" s="410"/>
      <c r="CP238" s="432"/>
      <c r="CQ238" s="410"/>
      <c r="CR238" s="564"/>
      <c r="CS238" s="1236"/>
      <c r="CT238" s="328"/>
      <c r="CU238" s="328"/>
      <c r="CV238" s="328"/>
      <c r="CW238" s="328"/>
      <c r="CX238" s="328"/>
      <c r="CY238" s="328"/>
      <c r="CZ238" s="328"/>
      <c r="DA238" s="328"/>
      <c r="DB238" s="328"/>
      <c r="DC238" s="328"/>
      <c r="DD238" s="328"/>
      <c r="DE238" s="328"/>
      <c r="DF238" s="328"/>
      <c r="DG238" s="328"/>
      <c r="DH238" s="1237"/>
      <c r="DI238" s="1236"/>
      <c r="DJ238" s="328"/>
      <c r="DK238" s="328"/>
      <c r="DL238" s="328"/>
      <c r="DM238" s="429"/>
      <c r="DN238" s="328"/>
      <c r="DO238" s="328"/>
      <c r="DP238" s="328"/>
      <c r="DQ238" s="328"/>
      <c r="DR238" s="328"/>
      <c r="DS238" s="328"/>
      <c r="DT238" s="328"/>
      <c r="DU238" s="414"/>
      <c r="DV238" s="415"/>
      <c r="DW238" s="328"/>
      <c r="DX238" s="564"/>
      <c r="DY238" s="648"/>
      <c r="DZ238" s="410"/>
      <c r="EA238" s="410"/>
      <c r="EB238" s="410"/>
      <c r="EC238" s="410"/>
      <c r="ED238" s="436"/>
      <c r="EE238" s="436"/>
      <c r="EF238" s="436"/>
      <c r="EG238" s="436"/>
      <c r="EH238" s="436"/>
      <c r="EI238" s="436"/>
      <c r="EJ238" s="410"/>
      <c r="EK238" s="411"/>
      <c r="EL238" s="452"/>
      <c r="EM238" s="410"/>
      <c r="EN238" s="649"/>
      <c r="EO238" s="491"/>
      <c r="EP238" s="415"/>
      <c r="EQ238" s="415"/>
      <c r="ER238" s="415"/>
      <c r="ES238" s="415"/>
      <c r="ET238" s="415"/>
      <c r="EU238" s="415"/>
      <c r="EV238" s="432"/>
      <c r="EW238" s="439"/>
      <c r="EX238" s="415"/>
      <c r="EY238" s="415"/>
      <c r="EZ238" s="415"/>
      <c r="FA238" s="415"/>
      <c r="FB238" s="415"/>
      <c r="FC238" s="431"/>
      <c r="FD238" s="659"/>
      <c r="FE238" s="415"/>
      <c r="FF238" s="415"/>
      <c r="FG238" s="415"/>
      <c r="FH238" s="415"/>
      <c r="FI238" s="418"/>
      <c r="FJ238" s="427"/>
      <c r="FK238" s="418"/>
      <c r="FL238" s="418"/>
      <c r="FM238" s="415"/>
      <c r="FN238" s="418"/>
      <c r="FO238" s="418"/>
      <c r="FP238" s="415"/>
      <c r="FQ238" s="415"/>
      <c r="FR238" s="415"/>
      <c r="FS238" s="415"/>
      <c r="FT238" s="415"/>
      <c r="FU238" s="429"/>
      <c r="FV238" s="420"/>
      <c r="FW238" s="420"/>
      <c r="FX238" s="420"/>
      <c r="FY238" s="411"/>
      <c r="FZ238" s="420"/>
      <c r="GA238" s="420"/>
      <c r="GB238" s="411"/>
      <c r="GC238" s="420"/>
      <c r="GD238" s="411"/>
      <c r="GE238" s="420"/>
      <c r="GF238" s="420"/>
      <c r="GG238" s="420"/>
      <c r="GH238" s="420"/>
      <c r="GI238" s="420"/>
      <c r="GJ238" s="429"/>
      <c r="GK238" s="429"/>
      <c r="GL238" s="434"/>
      <c r="GM238" s="434"/>
      <c r="GN238" s="434"/>
      <c r="GO238" s="418"/>
      <c r="GP238" s="418"/>
      <c r="GQ238" s="418"/>
      <c r="GR238" s="434"/>
      <c r="GS238" s="434"/>
      <c r="GT238" s="418"/>
      <c r="GU238" s="434"/>
      <c r="GV238" s="434"/>
      <c r="GW238" s="434"/>
      <c r="GX238" s="434"/>
      <c r="GY238" s="418"/>
      <c r="GZ238" s="429"/>
      <c r="HA238" s="1236"/>
      <c r="HB238" s="328"/>
      <c r="HC238" s="328"/>
      <c r="HD238" s="328"/>
      <c r="HE238" s="328"/>
      <c r="HF238" s="328"/>
      <c r="HG238" s="328"/>
      <c r="HH238" s="328"/>
      <c r="HI238" s="328"/>
      <c r="HJ238" s="328"/>
      <c r="HK238" s="328"/>
      <c r="HL238" s="328"/>
      <c r="HM238" s="328"/>
      <c r="HN238" s="328"/>
      <c r="HO238" s="328"/>
      <c r="HP238" s="1237"/>
      <c r="HQ238" s="321"/>
      <c r="HR238" s="321"/>
      <c r="HS238" s="321"/>
      <c r="HT238" s="321"/>
      <c r="HU238" s="321"/>
      <c r="HV238" s="321"/>
      <c r="HW238" s="321"/>
      <c r="HX238" s="321"/>
      <c r="HY238" s="321"/>
      <c r="HZ238" s="321"/>
      <c r="IA238" s="321"/>
      <c r="IB238" s="321"/>
      <c r="IC238" s="321"/>
      <c r="ID238" s="321"/>
      <c r="IE238" s="321"/>
      <c r="IF238" s="564"/>
      <c r="IG238" s="321"/>
      <c r="IH238" s="321"/>
      <c r="II238" s="321"/>
      <c r="IJ238" s="321"/>
      <c r="IK238" s="321"/>
      <c r="IL238" s="321"/>
      <c r="IM238" s="321"/>
      <c r="IN238" s="321"/>
      <c r="IO238" s="321"/>
      <c r="IP238" s="321"/>
      <c r="IQ238" s="321"/>
      <c r="IR238" s="321"/>
      <c r="IS238" s="321"/>
      <c r="IT238" s="321"/>
      <c r="IU238" s="321"/>
      <c r="IV238" s="564"/>
    </row>
    <row r="239" spans="1:256" s="326" customFormat="1" ht="8.25" customHeight="1">
      <c r="A239" s="483"/>
      <c r="B239" s="321"/>
      <c r="C239" s="410"/>
      <c r="D239" s="321"/>
      <c r="E239" s="321"/>
      <c r="F239" s="321"/>
      <c r="G239" s="410"/>
      <c r="H239" s="410"/>
      <c r="I239" s="410"/>
      <c r="J239" s="410"/>
      <c r="K239" s="321"/>
      <c r="L239" s="321"/>
      <c r="M239" s="452"/>
      <c r="N239" s="410"/>
      <c r="O239" s="321"/>
      <c r="P239" s="564"/>
      <c r="Q239" s="483"/>
      <c r="R239" s="321"/>
      <c r="S239" s="321"/>
      <c r="T239" s="321"/>
      <c r="AC239" s="321"/>
      <c r="AD239" s="321"/>
      <c r="AE239" s="321"/>
      <c r="AF239" s="564"/>
      <c r="AG239" s="483"/>
      <c r="AH239" s="328"/>
      <c r="AI239" s="427"/>
      <c r="AJ239" s="423"/>
      <c r="AK239" s="423"/>
      <c r="AL239" s="418"/>
      <c r="AM239" s="427"/>
      <c r="AN239" s="427"/>
      <c r="AO239" s="427"/>
      <c r="AP239" s="423"/>
      <c r="AQ239" s="423"/>
      <c r="AR239" s="427"/>
      <c r="AS239" s="328"/>
      <c r="AT239" s="328"/>
      <c r="AU239" s="328"/>
      <c r="AV239" s="1237"/>
      <c r="AW239" s="648"/>
      <c r="AX239" s="410"/>
      <c r="AY239" s="410"/>
      <c r="AZ239" s="410"/>
      <c r="BA239" s="416"/>
      <c r="BB239" s="436"/>
      <c r="BC239" s="462"/>
      <c r="BD239" s="462"/>
      <c r="BE239" s="462"/>
      <c r="BF239" s="462"/>
      <c r="BG239" s="416"/>
      <c r="BH239" s="436"/>
      <c r="BI239" s="416"/>
      <c r="BJ239" s="410"/>
      <c r="BK239" s="410"/>
      <c r="BL239" s="410"/>
      <c r="BM239" s="648"/>
      <c r="BN239" s="432"/>
      <c r="BO239" s="410"/>
      <c r="BP239" s="432"/>
      <c r="BQ239" s="410"/>
      <c r="BR239" s="410"/>
      <c r="BS239" s="410"/>
      <c r="BT239" s="432"/>
      <c r="BU239" s="410"/>
      <c r="BV239" s="410"/>
      <c r="BW239" s="410"/>
      <c r="BX239" s="432"/>
      <c r="BY239" s="410"/>
      <c r="BZ239" s="432"/>
      <c r="CA239" s="410"/>
      <c r="CB239" s="564"/>
      <c r="CC239" s="648"/>
      <c r="CD239" s="432"/>
      <c r="CE239" s="410"/>
      <c r="CF239" s="432"/>
      <c r="CG239" s="410"/>
      <c r="CH239" s="328"/>
      <c r="CI239" s="410"/>
      <c r="CJ239" s="432"/>
      <c r="CK239" s="328"/>
      <c r="CL239" s="328"/>
      <c r="CM239" s="410"/>
      <c r="CN239" s="432"/>
      <c r="CO239" s="410"/>
      <c r="CP239" s="432"/>
      <c r="CQ239" s="410"/>
      <c r="CR239" s="564"/>
      <c r="CS239" s="1236"/>
      <c r="CT239" s="328"/>
      <c r="CU239" s="328"/>
      <c r="CV239" s="328"/>
      <c r="CW239" s="328"/>
      <c r="CX239" s="328"/>
      <c r="CY239" s="328"/>
      <c r="CZ239" s="328"/>
      <c r="DA239" s="328"/>
      <c r="DB239" s="328"/>
      <c r="DC239" s="328"/>
      <c r="DD239" s="328"/>
      <c r="DE239" s="328"/>
      <c r="DF239" s="328"/>
      <c r="DG239" s="328"/>
      <c r="DH239" s="1237"/>
      <c r="DI239" s="1236"/>
      <c r="DJ239" s="328"/>
      <c r="DK239" s="328"/>
      <c r="DL239" s="328"/>
      <c r="DM239" s="409"/>
      <c r="DN239" s="328"/>
      <c r="DO239" s="328"/>
      <c r="DP239" s="328"/>
      <c r="DQ239" s="328"/>
      <c r="DR239" s="328"/>
      <c r="DS239" s="328"/>
      <c r="DT239" s="414"/>
      <c r="DU239" s="416"/>
      <c r="DV239" s="414"/>
      <c r="DW239" s="415"/>
      <c r="DX239" s="564"/>
      <c r="DY239" s="648"/>
      <c r="DZ239" s="410"/>
      <c r="EA239" s="410"/>
      <c r="EB239" s="410"/>
      <c r="EC239" s="443"/>
      <c r="ED239" s="436"/>
      <c r="EE239" s="429"/>
      <c r="EF239" s="436"/>
      <c r="EG239" s="436"/>
      <c r="EH239" s="429"/>
      <c r="EI239" s="436"/>
      <c r="EJ239" s="429"/>
      <c r="EK239" s="410"/>
      <c r="EL239" s="410"/>
      <c r="EM239" s="410"/>
      <c r="EN239" s="649"/>
      <c r="EO239" s="491"/>
      <c r="EP239" s="421"/>
      <c r="EQ239" s="415"/>
      <c r="ER239" s="415"/>
      <c r="ES239" s="415"/>
      <c r="ET239" s="415"/>
      <c r="EU239" s="415"/>
      <c r="EV239" s="432"/>
      <c r="EW239" s="439"/>
      <c r="EX239" s="415"/>
      <c r="EY239" s="415"/>
      <c r="EZ239" s="415"/>
      <c r="FA239" s="437"/>
      <c r="FB239" s="430"/>
      <c r="FC239" s="431"/>
      <c r="FD239" s="659"/>
      <c r="FE239" s="415"/>
      <c r="FF239" s="415"/>
      <c r="FG239" s="415"/>
      <c r="FH239" s="415"/>
      <c r="FI239" s="423"/>
      <c r="FJ239" s="423"/>
      <c r="FK239" s="418"/>
      <c r="FL239" s="418"/>
      <c r="FM239" s="418"/>
      <c r="FN239" s="418"/>
      <c r="FO239" s="423"/>
      <c r="FP239" s="415"/>
      <c r="FQ239" s="415"/>
      <c r="FR239" s="415"/>
      <c r="FS239" s="415"/>
      <c r="FT239" s="415"/>
      <c r="FU239" s="429"/>
      <c r="FV239" s="420"/>
      <c r="FW239" s="420"/>
      <c r="FX239" s="420"/>
      <c r="FY239" s="420"/>
      <c r="FZ239" s="420"/>
      <c r="GA239" s="420"/>
      <c r="GB239" s="420"/>
      <c r="GC239" s="420"/>
      <c r="GD239" s="420"/>
      <c r="GE239" s="420"/>
      <c r="GF239" s="420"/>
      <c r="GG239" s="420"/>
      <c r="GH239" s="420"/>
      <c r="GI239" s="420"/>
      <c r="GJ239" s="429"/>
      <c r="GK239" s="429"/>
      <c r="GL239" s="418"/>
      <c r="GM239" s="418"/>
      <c r="GN239" s="418"/>
      <c r="GO239" s="418"/>
      <c r="GP239" s="418"/>
      <c r="GQ239" s="418"/>
      <c r="GR239" s="418"/>
      <c r="GS239" s="418"/>
      <c r="GT239" s="418"/>
      <c r="GU239" s="418"/>
      <c r="GV239" s="418"/>
      <c r="GW239" s="418"/>
      <c r="GX239" s="418"/>
      <c r="GY239" s="418"/>
      <c r="GZ239" s="429"/>
      <c r="HA239" s="1236"/>
      <c r="HB239" s="328"/>
      <c r="HC239" s="328"/>
      <c r="HD239" s="328"/>
      <c r="HE239" s="328"/>
      <c r="HF239" s="328"/>
      <c r="HG239" s="328"/>
      <c r="HH239" s="328"/>
      <c r="HI239" s="328"/>
      <c r="HJ239" s="328"/>
      <c r="HK239" s="328"/>
      <c r="HL239" s="328"/>
      <c r="HM239" s="328"/>
      <c r="HN239" s="328"/>
      <c r="HO239" s="328"/>
      <c r="HP239" s="1237"/>
      <c r="HQ239" s="321"/>
      <c r="HR239" s="321"/>
      <c r="HS239" s="321"/>
      <c r="HT239" s="321"/>
      <c r="HU239" s="321"/>
      <c r="HV239" s="321"/>
      <c r="HW239" s="321"/>
      <c r="HX239" s="321"/>
      <c r="HY239" s="321"/>
      <c r="HZ239" s="321"/>
      <c r="IA239" s="321"/>
      <c r="IB239" s="321"/>
      <c r="IC239" s="321"/>
      <c r="ID239" s="321"/>
      <c r="IE239" s="321"/>
      <c r="IF239" s="564"/>
      <c r="IG239" s="321"/>
      <c r="IH239" s="321"/>
      <c r="II239" s="321"/>
      <c r="IJ239" s="321"/>
      <c r="IK239" s="321"/>
      <c r="IL239" s="321"/>
      <c r="IM239" s="321"/>
      <c r="IN239" s="321"/>
      <c r="IO239" s="321"/>
      <c r="IP239" s="321"/>
      <c r="IQ239" s="321"/>
      <c r="IR239" s="321"/>
      <c r="IS239" s="321"/>
      <c r="IT239" s="321"/>
      <c r="IU239" s="321"/>
      <c r="IV239" s="564"/>
    </row>
    <row r="240" spans="1:256" s="326" customFormat="1" ht="8.25" customHeight="1">
      <c r="A240" s="483"/>
      <c r="B240" s="321"/>
      <c r="C240" s="410"/>
      <c r="D240" s="321"/>
      <c r="E240" s="410"/>
      <c r="F240" s="452"/>
      <c r="G240" s="421"/>
      <c r="H240" s="421"/>
      <c r="I240" s="421"/>
      <c r="J240" s="452"/>
      <c r="K240" s="410"/>
      <c r="L240" s="410"/>
      <c r="M240" s="321"/>
      <c r="N240" s="321"/>
      <c r="O240" s="321"/>
      <c r="P240" s="564"/>
      <c r="Q240" s="483"/>
      <c r="R240" s="321"/>
      <c r="S240" s="321"/>
      <c r="T240" s="321"/>
      <c r="U240" s="321"/>
      <c r="V240" s="321"/>
      <c r="W240" s="432"/>
      <c r="X240" s="439"/>
      <c r="Y240" s="439"/>
      <c r="Z240" s="432"/>
      <c r="AA240" s="321"/>
      <c r="AB240" s="321"/>
      <c r="AC240" s="321"/>
      <c r="AD240" s="321"/>
      <c r="AE240" s="321"/>
      <c r="AF240" s="564"/>
      <c r="AG240" s="483"/>
      <c r="AH240" s="328"/>
      <c r="AI240" s="427"/>
      <c r="AJ240" s="328"/>
      <c r="AK240" s="423"/>
      <c r="AL240" s="427"/>
      <c r="AM240" s="328"/>
      <c r="AN240" s="434"/>
      <c r="AO240" s="328"/>
      <c r="AP240" s="427"/>
      <c r="AQ240" s="423"/>
      <c r="AR240" s="423"/>
      <c r="AS240" s="328"/>
      <c r="AT240" s="328"/>
      <c r="AU240" s="328"/>
      <c r="AV240" s="1237"/>
      <c r="AW240" s="648"/>
      <c r="AX240" s="410"/>
      <c r="AY240" s="410"/>
      <c r="AZ240" s="410"/>
      <c r="BA240" s="416"/>
      <c r="BB240" s="462"/>
      <c r="BC240" s="416"/>
      <c r="BD240" s="462"/>
      <c r="BE240" s="462"/>
      <c r="BF240" s="462"/>
      <c r="BG240" s="416"/>
      <c r="BH240" s="462"/>
      <c r="BI240" s="416"/>
      <c r="BJ240" s="410"/>
      <c r="BK240" s="410"/>
      <c r="BL240" s="410"/>
      <c r="BM240" s="648"/>
      <c r="BN240" s="410"/>
      <c r="BO240" s="410"/>
      <c r="BP240" s="410"/>
      <c r="BQ240" s="410"/>
      <c r="BR240" s="410"/>
      <c r="BS240" s="410"/>
      <c r="BT240" s="410"/>
      <c r="BU240" s="410"/>
      <c r="BV240" s="410"/>
      <c r="BW240" s="410"/>
      <c r="BX240" s="410"/>
      <c r="BY240" s="410"/>
      <c r="BZ240" s="410"/>
      <c r="CA240" s="410"/>
      <c r="CB240" s="564"/>
      <c r="CC240" s="648"/>
      <c r="CD240" s="410"/>
      <c r="CE240" s="410"/>
      <c r="CF240" s="410"/>
      <c r="CG240" s="410"/>
      <c r="CH240" s="410"/>
      <c r="CI240" s="410"/>
      <c r="CJ240" s="410"/>
      <c r="CK240" s="410"/>
      <c r="CL240" s="410"/>
      <c r="CM240" s="410"/>
      <c r="CN240" s="410"/>
      <c r="CO240" s="410"/>
      <c r="CP240" s="410"/>
      <c r="CQ240" s="410"/>
      <c r="CR240" s="564"/>
      <c r="CS240" s="1236"/>
      <c r="CT240" s="328"/>
      <c r="CU240" s="328"/>
      <c r="CV240" s="328"/>
      <c r="CW240" s="328"/>
      <c r="CX240" s="328"/>
      <c r="CY240" s="328"/>
      <c r="CZ240" s="328"/>
      <c r="DA240" s="328"/>
      <c r="DB240" s="328"/>
      <c r="DC240" s="328"/>
      <c r="DD240" s="328"/>
      <c r="DE240" s="328"/>
      <c r="DF240" s="328"/>
      <c r="DG240" s="328"/>
      <c r="DH240" s="1237"/>
      <c r="DI240" s="1236"/>
      <c r="DJ240" s="328"/>
      <c r="DK240" s="328"/>
      <c r="DL240" s="328"/>
      <c r="DM240" s="409"/>
      <c r="DN240" s="328"/>
      <c r="DO240" s="328"/>
      <c r="DP240" s="328"/>
      <c r="DQ240" s="328"/>
      <c r="DR240" s="328"/>
      <c r="DS240" s="328"/>
      <c r="DT240" s="426"/>
      <c r="DU240" s="414"/>
      <c r="DV240" s="414"/>
      <c r="DW240" s="414"/>
      <c r="DX240" s="564"/>
      <c r="DY240" s="648"/>
      <c r="DZ240" s="410"/>
      <c r="EA240" s="410"/>
      <c r="EB240" s="410"/>
      <c r="EC240" s="436"/>
      <c r="ED240" s="410"/>
      <c r="EE240" s="436"/>
      <c r="EF240" s="436"/>
      <c r="EG240" s="436"/>
      <c r="EH240" s="429"/>
      <c r="EI240" s="410"/>
      <c r="EJ240" s="436"/>
      <c r="EK240" s="410"/>
      <c r="EL240" s="410"/>
      <c r="EM240" s="410"/>
      <c r="EN240" s="649"/>
      <c r="EO240" s="1338">
        <v>284</v>
      </c>
      <c r="EP240" s="426"/>
      <c r="EQ240" s="433"/>
      <c r="ER240" s="426"/>
      <c r="ES240" s="415"/>
      <c r="ET240" s="415"/>
      <c r="EU240" s="415"/>
      <c r="EV240" s="432"/>
      <c r="EW240" s="439"/>
      <c r="EX240" s="415"/>
      <c r="EY240" s="415"/>
      <c r="EZ240" s="415"/>
      <c r="FA240" s="444"/>
      <c r="FB240" s="431"/>
      <c r="FC240" s="412"/>
      <c r="FD240" s="607"/>
      <c r="FE240" s="415"/>
      <c r="FF240" s="415"/>
      <c r="FG240" s="415"/>
      <c r="FH240" s="415"/>
      <c r="FI240" s="427"/>
      <c r="FJ240" s="423"/>
      <c r="FK240" s="418"/>
      <c r="FL240" s="423"/>
      <c r="FM240" s="418"/>
      <c r="FN240" s="418"/>
      <c r="FO240" s="423"/>
      <c r="FP240" s="415"/>
      <c r="FQ240" s="415"/>
      <c r="FR240" s="415"/>
      <c r="FS240" s="415"/>
      <c r="FT240" s="415"/>
      <c r="FU240" s="429"/>
      <c r="FV240" s="452"/>
      <c r="FW240" s="420"/>
      <c r="FX240" s="420"/>
      <c r="FY240" s="420"/>
      <c r="FZ240" s="452"/>
      <c r="GA240" s="420"/>
      <c r="GB240" s="452"/>
      <c r="GC240" s="420"/>
      <c r="GD240" s="420"/>
      <c r="GE240" s="452"/>
      <c r="GF240" s="420"/>
      <c r="GG240" s="452"/>
      <c r="GH240" s="452"/>
      <c r="GI240" s="452"/>
      <c r="GJ240" s="429"/>
      <c r="GK240" s="429"/>
      <c r="GL240" s="434"/>
      <c r="GM240" s="418"/>
      <c r="GN240" s="418"/>
      <c r="GO240" s="418"/>
      <c r="GP240" s="441"/>
      <c r="GQ240" s="418"/>
      <c r="GR240" s="418"/>
      <c r="GS240" s="441"/>
      <c r="GT240" s="441"/>
      <c r="GU240" s="418"/>
      <c r="GV240" s="441"/>
      <c r="GW240" s="418"/>
      <c r="GX240" s="441"/>
      <c r="GY240" s="418"/>
      <c r="GZ240" s="429"/>
      <c r="HA240" s="1236"/>
      <c r="HB240" s="328"/>
      <c r="HC240" s="328"/>
      <c r="HD240" s="328"/>
      <c r="HE240" s="328"/>
      <c r="HF240" s="328"/>
      <c r="HG240" s="328"/>
      <c r="HH240" s="432"/>
      <c r="HI240" s="432"/>
      <c r="HJ240" s="328"/>
      <c r="HK240" s="328"/>
      <c r="HL240" s="328"/>
      <c r="HM240" s="328"/>
      <c r="HN240" s="328"/>
      <c r="HO240" s="328"/>
      <c r="HP240" s="1237"/>
      <c r="HQ240" s="321"/>
      <c r="HR240" s="321"/>
      <c r="HS240" s="321"/>
      <c r="HT240" s="321"/>
      <c r="HU240" s="321"/>
      <c r="HV240" s="321"/>
      <c r="HW240" s="321"/>
      <c r="HX240" s="321"/>
      <c r="HY240" s="321"/>
      <c r="HZ240" s="446">
        <v>9</v>
      </c>
      <c r="IA240" s="321"/>
      <c r="IB240" s="321"/>
      <c r="IC240" s="321"/>
      <c r="ID240" s="321"/>
      <c r="IE240" s="321"/>
      <c r="IF240" s="564"/>
      <c r="IG240" s="321"/>
      <c r="IH240" s="321"/>
      <c r="II240" s="321"/>
      <c r="IJ240" s="321"/>
      <c r="IK240" s="321"/>
      <c r="IL240" s="321"/>
      <c r="IM240" s="321"/>
      <c r="IN240" s="440">
        <v>9</v>
      </c>
      <c r="IO240" s="321"/>
      <c r="IP240" s="321"/>
      <c r="IQ240" s="321"/>
      <c r="IR240" s="321"/>
      <c r="IS240" s="321"/>
      <c r="IT240" s="321"/>
      <c r="IU240" s="321"/>
      <c r="IV240" s="564"/>
    </row>
    <row r="241" spans="1:256" s="326" customFormat="1" ht="8.25" customHeight="1">
      <c r="A241" s="483"/>
      <c r="B241" s="321"/>
      <c r="C241" s="321"/>
      <c r="D241" s="410"/>
      <c r="E241" s="452"/>
      <c r="F241" s="421"/>
      <c r="G241" s="421"/>
      <c r="H241" s="411"/>
      <c r="I241" s="421"/>
      <c r="J241" s="421"/>
      <c r="K241" s="432"/>
      <c r="L241" s="452"/>
      <c r="M241" s="410"/>
      <c r="N241" s="321"/>
      <c r="O241" s="321"/>
      <c r="P241" s="564"/>
      <c r="Q241" s="483"/>
      <c r="R241" s="321"/>
      <c r="S241" s="321"/>
      <c r="T241" s="321"/>
      <c r="U241" s="321"/>
      <c r="V241" s="321"/>
      <c r="W241" s="439"/>
      <c r="X241" s="452"/>
      <c r="Y241" s="452"/>
      <c r="Z241" s="439"/>
      <c r="AA241" s="321"/>
      <c r="AB241" s="321"/>
      <c r="AC241" s="321"/>
      <c r="AD241" s="321"/>
      <c r="AE241" s="321"/>
      <c r="AF241" s="564"/>
      <c r="AG241" s="483"/>
      <c r="AH241" s="328"/>
      <c r="AI241" s="427"/>
      <c r="AJ241" s="328"/>
      <c r="AK241" s="423"/>
      <c r="AL241" s="418"/>
      <c r="AM241" s="423"/>
      <c r="AN241" s="427"/>
      <c r="AO241" s="328"/>
      <c r="AP241" s="423"/>
      <c r="AQ241" s="427"/>
      <c r="AR241" s="423"/>
      <c r="AS241" s="423"/>
      <c r="AT241" s="328"/>
      <c r="AU241" s="328"/>
      <c r="AV241" s="1237"/>
      <c r="AW241" s="648"/>
      <c r="AX241" s="410"/>
      <c r="AY241" s="410"/>
      <c r="AZ241" s="416"/>
      <c r="BA241" s="436"/>
      <c r="BB241" s="462"/>
      <c r="BC241" s="416"/>
      <c r="BD241" s="462"/>
      <c r="BE241" s="416"/>
      <c r="BF241" s="462"/>
      <c r="BG241" s="416"/>
      <c r="BH241" s="462"/>
      <c r="BI241" s="436"/>
      <c r="BJ241" s="416"/>
      <c r="BK241" s="410"/>
      <c r="BL241" s="410"/>
      <c r="BM241" s="648"/>
      <c r="BN241" s="432"/>
      <c r="BO241" s="410"/>
      <c r="BP241" s="432"/>
      <c r="BQ241" s="410"/>
      <c r="BR241" s="432"/>
      <c r="BS241" s="410"/>
      <c r="BT241" s="432"/>
      <c r="BU241" s="410"/>
      <c r="BV241" s="432"/>
      <c r="BW241" s="410"/>
      <c r="BX241" s="432"/>
      <c r="BY241" s="410"/>
      <c r="BZ241" s="432"/>
      <c r="CA241" s="410"/>
      <c r="CB241" s="564"/>
      <c r="CC241" s="648"/>
      <c r="CD241" s="432"/>
      <c r="CE241" s="410"/>
      <c r="CF241" s="432"/>
      <c r="CG241" s="410"/>
      <c r="CH241" s="432"/>
      <c r="CI241" s="410"/>
      <c r="CJ241" s="432"/>
      <c r="CK241" s="410"/>
      <c r="CL241" s="321"/>
      <c r="CM241" s="410"/>
      <c r="CN241" s="432"/>
      <c r="CO241" s="321"/>
      <c r="CP241" s="321"/>
      <c r="CQ241" s="410"/>
      <c r="CR241" s="564"/>
      <c r="CS241" s="1236"/>
      <c r="CT241" s="328"/>
      <c r="CU241" s="328"/>
      <c r="CV241" s="328"/>
      <c r="CW241" s="328"/>
      <c r="CX241" s="328"/>
      <c r="CY241" s="328"/>
      <c r="CZ241" s="328"/>
      <c r="DA241" s="328"/>
      <c r="DB241" s="328"/>
      <c r="DC241" s="328"/>
      <c r="DD241" s="328"/>
      <c r="DE241" s="328"/>
      <c r="DF241" s="328"/>
      <c r="DG241" s="328"/>
      <c r="DH241" s="1237"/>
      <c r="DI241" s="1236"/>
      <c r="DJ241" s="328"/>
      <c r="DK241" s="328"/>
      <c r="DL241" s="328"/>
      <c r="DM241" s="429"/>
      <c r="DN241" s="328"/>
      <c r="DO241" s="328"/>
      <c r="DP241" s="328"/>
      <c r="DQ241" s="328"/>
      <c r="DR241" s="328"/>
      <c r="DS241" s="328"/>
      <c r="DT241" s="426"/>
      <c r="DU241" s="417"/>
      <c r="DV241" s="414"/>
      <c r="DW241" s="415"/>
      <c r="DX241" s="564"/>
      <c r="DY241" s="648"/>
      <c r="DZ241" s="410"/>
      <c r="EA241" s="410"/>
      <c r="EB241" s="436"/>
      <c r="EC241" s="436"/>
      <c r="ED241" s="410"/>
      <c r="EE241" s="436"/>
      <c r="EF241" s="429"/>
      <c r="EG241" s="436"/>
      <c r="EH241" s="429"/>
      <c r="EI241" s="410"/>
      <c r="EJ241" s="436"/>
      <c r="EK241" s="429"/>
      <c r="EL241" s="410"/>
      <c r="EM241" s="410"/>
      <c r="EN241" s="649"/>
      <c r="EO241" s="1338">
        <v>2</v>
      </c>
      <c r="EP241" s="426"/>
      <c r="EQ241" s="422"/>
      <c r="ER241" s="433"/>
      <c r="ES241" s="415"/>
      <c r="ET241" s="415"/>
      <c r="EU241" s="415"/>
      <c r="EV241" s="439"/>
      <c r="EW241" s="411"/>
      <c r="EX241" s="415"/>
      <c r="EY241" s="415"/>
      <c r="EZ241" s="437"/>
      <c r="FA241" s="430"/>
      <c r="FB241" s="431"/>
      <c r="FC241" s="412"/>
      <c r="FD241" s="607"/>
      <c r="FE241" s="415"/>
      <c r="FF241" s="415"/>
      <c r="FG241" s="415"/>
      <c r="FH241" s="415"/>
      <c r="FI241" s="423"/>
      <c r="FJ241" s="418"/>
      <c r="FK241" s="418"/>
      <c r="FL241" s="418"/>
      <c r="FM241" s="418"/>
      <c r="FN241" s="418"/>
      <c r="FO241" s="423"/>
      <c r="FP241" s="415"/>
      <c r="FQ241" s="415"/>
      <c r="FR241" s="415"/>
      <c r="FS241" s="415"/>
      <c r="FT241" s="415"/>
      <c r="FU241" s="429"/>
      <c r="FV241" s="411"/>
      <c r="FW241" s="420"/>
      <c r="FX241" s="420"/>
      <c r="FY241" s="420"/>
      <c r="FZ241" s="411"/>
      <c r="GA241" s="420"/>
      <c r="GB241" s="411"/>
      <c r="GC241" s="411"/>
      <c r="GD241" s="420"/>
      <c r="GE241" s="411"/>
      <c r="GF241" s="420"/>
      <c r="GG241" s="411"/>
      <c r="GH241" s="420"/>
      <c r="GI241" s="420"/>
      <c r="GJ241" s="429"/>
      <c r="GK241" s="429"/>
      <c r="GL241" s="434"/>
      <c r="GM241" s="418"/>
      <c r="GN241" s="441"/>
      <c r="GO241" s="418"/>
      <c r="GP241" s="441"/>
      <c r="GQ241" s="418"/>
      <c r="GR241" s="441"/>
      <c r="GS241" s="418"/>
      <c r="GT241" s="441"/>
      <c r="GU241" s="418"/>
      <c r="GV241" s="441"/>
      <c r="GW241" s="418"/>
      <c r="GX241" s="441"/>
      <c r="GY241" s="418"/>
      <c r="GZ241" s="429"/>
      <c r="HA241" s="1236">
        <v>4</v>
      </c>
      <c r="HB241" s="328"/>
      <c r="HC241" s="328"/>
      <c r="HD241" s="328"/>
      <c r="HE241" s="328"/>
      <c r="HF241" s="328"/>
      <c r="HG241" s="432"/>
      <c r="HH241" s="456"/>
      <c r="HI241" s="456"/>
      <c r="HJ241" s="432"/>
      <c r="HK241" s="328"/>
      <c r="HL241" s="328"/>
      <c r="HM241" s="328"/>
      <c r="HN241" s="328"/>
      <c r="HO241" s="328"/>
      <c r="HP241" s="1237"/>
      <c r="HQ241" s="321"/>
      <c r="HR241" s="321"/>
      <c r="HS241" s="321"/>
      <c r="HT241" s="321"/>
      <c r="HU241" s="321"/>
      <c r="HV241" s="321"/>
      <c r="HW241" s="321"/>
      <c r="HX241" s="321">
        <v>10</v>
      </c>
      <c r="HY241" s="446">
        <v>9</v>
      </c>
      <c r="HZ241" s="321">
        <v>10</v>
      </c>
      <c r="IA241" s="321"/>
      <c r="IB241" s="321"/>
      <c r="IC241" s="321"/>
      <c r="ID241" s="321"/>
      <c r="IE241" s="321"/>
      <c r="IF241" s="564"/>
      <c r="IG241" s="321"/>
      <c r="IH241" s="321"/>
      <c r="II241" s="321"/>
      <c r="IJ241" s="321"/>
      <c r="IK241" s="321"/>
      <c r="IL241" s="321"/>
      <c r="IM241" s="440">
        <v>9</v>
      </c>
      <c r="IN241" s="321">
        <v>10</v>
      </c>
      <c r="IO241" s="321">
        <v>10</v>
      </c>
      <c r="IP241" s="321"/>
      <c r="IQ241" s="321"/>
      <c r="IR241" s="321"/>
      <c r="IS241" s="321"/>
      <c r="IT241" s="321"/>
      <c r="IU241" s="321"/>
      <c r="IV241" s="564"/>
    </row>
    <row r="242" spans="1:256" s="326" customFormat="1" ht="8.25" customHeight="1">
      <c r="A242" s="483"/>
      <c r="B242" s="321"/>
      <c r="C242" s="321"/>
      <c r="D242" s="452"/>
      <c r="E242" s="421"/>
      <c r="F242" s="421"/>
      <c r="G242" s="421"/>
      <c r="H242" s="421"/>
      <c r="I242" s="421"/>
      <c r="J242" s="421"/>
      <c r="K242" s="432"/>
      <c r="L242" s="421"/>
      <c r="M242" s="452"/>
      <c r="N242" s="321"/>
      <c r="O242" s="321"/>
      <c r="P242" s="564"/>
      <c r="Q242" s="483"/>
      <c r="R242" s="321"/>
      <c r="S242" s="321"/>
      <c r="T242" s="321"/>
      <c r="U242" s="321"/>
      <c r="V242" s="321"/>
      <c r="W242" s="439"/>
      <c r="X242" s="411"/>
      <c r="Y242" s="411"/>
      <c r="Z242" s="439"/>
      <c r="AA242" s="321"/>
      <c r="AB242" s="321"/>
      <c r="AC242" s="321"/>
      <c r="AD242" s="321"/>
      <c r="AE242" s="321"/>
      <c r="AF242" s="564"/>
      <c r="AG242" s="483"/>
      <c r="AH242" s="328"/>
      <c r="AI242" s="328"/>
      <c r="AJ242" s="328"/>
      <c r="AK242" s="328"/>
      <c r="AL242" s="423"/>
      <c r="AM242" s="418"/>
      <c r="AN242" s="427"/>
      <c r="AO242" s="328"/>
      <c r="AP242" s="423"/>
      <c r="AQ242" s="328"/>
      <c r="AR242" s="427"/>
      <c r="AS242" s="423"/>
      <c r="AT242" s="328"/>
      <c r="AU242" s="328"/>
      <c r="AV242" s="1237"/>
      <c r="AW242" s="648"/>
      <c r="AX242" s="410"/>
      <c r="AY242" s="410"/>
      <c r="AZ242" s="416"/>
      <c r="BA242" s="458"/>
      <c r="BB242" s="458"/>
      <c r="BC242" s="412"/>
      <c r="BD242" s="412"/>
      <c r="BE242" s="412"/>
      <c r="BF242" s="412"/>
      <c r="BG242" s="431"/>
      <c r="BH242" s="458"/>
      <c r="BI242" s="458"/>
      <c r="BJ242" s="416"/>
      <c r="BK242" s="410"/>
      <c r="BL242" s="410"/>
      <c r="BM242" s="648"/>
      <c r="BN242" s="410"/>
      <c r="BO242" s="410"/>
      <c r="BP242" s="410"/>
      <c r="BQ242" s="410"/>
      <c r="BR242" s="410"/>
      <c r="BS242" s="410"/>
      <c r="BT242" s="410"/>
      <c r="BU242" s="410"/>
      <c r="BV242" s="410"/>
      <c r="BW242" s="410"/>
      <c r="BX242" s="410"/>
      <c r="BY242" s="410"/>
      <c r="BZ242" s="410"/>
      <c r="CA242" s="410"/>
      <c r="CB242" s="564"/>
      <c r="CC242" s="648"/>
      <c r="CD242" s="410"/>
      <c r="CE242" s="410"/>
      <c r="CF242" s="410"/>
      <c r="CG242" s="410"/>
      <c r="CH242" s="321"/>
      <c r="CI242" s="321"/>
      <c r="CJ242" s="410"/>
      <c r="CK242" s="321"/>
      <c r="CL242" s="321"/>
      <c r="CM242" s="410"/>
      <c r="CN242" s="410"/>
      <c r="CO242" s="321"/>
      <c r="CP242" s="410"/>
      <c r="CQ242" s="410"/>
      <c r="CR242" s="564"/>
      <c r="CS242" s="1236"/>
      <c r="CT242" s="328"/>
      <c r="CU242" s="328"/>
      <c r="CV242" s="328"/>
      <c r="CW242" s="328"/>
      <c r="CX242" s="328"/>
      <c r="CY242" s="328"/>
      <c r="CZ242" s="328"/>
      <c r="DA242" s="328"/>
      <c r="DB242" s="328"/>
      <c r="DC242" s="328"/>
      <c r="DD242" s="328"/>
      <c r="DE242" s="328"/>
      <c r="DF242" s="328"/>
      <c r="DG242" s="328"/>
      <c r="DH242" s="1237"/>
      <c r="DI242" s="1236"/>
      <c r="DJ242" s="328"/>
      <c r="DK242" s="328"/>
      <c r="DL242" s="328"/>
      <c r="DM242" s="328"/>
      <c r="DN242" s="409"/>
      <c r="DO242" s="328"/>
      <c r="DP242" s="328"/>
      <c r="DQ242" s="328"/>
      <c r="DR242" s="328"/>
      <c r="DS242" s="328"/>
      <c r="DT242" s="417"/>
      <c r="DU242" s="328"/>
      <c r="DV242" s="414"/>
      <c r="DW242" s="415"/>
      <c r="DX242" s="564"/>
      <c r="DY242" s="648"/>
      <c r="DZ242" s="410"/>
      <c r="EA242" s="410"/>
      <c r="EB242" s="445"/>
      <c r="EC242" s="436"/>
      <c r="ED242" s="410"/>
      <c r="EE242" s="436"/>
      <c r="EF242" s="436"/>
      <c r="EG242" s="436"/>
      <c r="EH242" s="429"/>
      <c r="EI242" s="410"/>
      <c r="EJ242" s="436"/>
      <c r="EK242" s="438"/>
      <c r="EL242" s="410"/>
      <c r="EM242" s="410"/>
      <c r="EN242" s="649"/>
      <c r="EO242" s="1338"/>
      <c r="EP242" s="426"/>
      <c r="EQ242" s="422"/>
      <c r="ER242" s="426"/>
      <c r="ES242" s="421"/>
      <c r="ET242" s="415"/>
      <c r="EU242" s="415"/>
      <c r="EV242" s="432"/>
      <c r="EW242" s="439"/>
      <c r="EX242" s="415"/>
      <c r="EY242" s="415"/>
      <c r="EZ242" s="444"/>
      <c r="FA242" s="431"/>
      <c r="FB242" s="412"/>
      <c r="FC242" s="415"/>
      <c r="FD242" s="607"/>
      <c r="FE242" s="415"/>
      <c r="FF242" s="415"/>
      <c r="FG242" s="415"/>
      <c r="FH242" s="415"/>
      <c r="FI242" s="429"/>
      <c r="FJ242" s="418"/>
      <c r="FK242" s="423"/>
      <c r="FL242" s="418"/>
      <c r="FM242" s="415"/>
      <c r="FN242" s="418"/>
      <c r="FO242" s="436"/>
      <c r="FP242" s="415"/>
      <c r="FQ242" s="415"/>
      <c r="FR242" s="415"/>
      <c r="FS242" s="415"/>
      <c r="FT242" s="415"/>
      <c r="FU242" s="429"/>
      <c r="FV242" s="411"/>
      <c r="FW242" s="420"/>
      <c r="FX242" s="420"/>
      <c r="FY242" s="420"/>
      <c r="FZ242" s="411"/>
      <c r="GA242" s="420"/>
      <c r="GB242" s="411"/>
      <c r="GC242" s="420"/>
      <c r="GD242" s="411"/>
      <c r="GE242" s="411"/>
      <c r="GF242" s="420"/>
      <c r="GG242" s="411"/>
      <c r="GH242" s="411"/>
      <c r="GI242" s="420"/>
      <c r="GJ242" s="429"/>
      <c r="GK242" s="429"/>
      <c r="GL242" s="434"/>
      <c r="GM242" s="418"/>
      <c r="GN242" s="441"/>
      <c r="GO242" s="418"/>
      <c r="GP242" s="441"/>
      <c r="GQ242" s="418"/>
      <c r="GR242" s="441"/>
      <c r="GS242" s="441"/>
      <c r="GT242" s="441"/>
      <c r="GU242" s="418"/>
      <c r="GV242" s="418"/>
      <c r="GW242" s="441"/>
      <c r="GX242" s="418"/>
      <c r="GY242" s="418"/>
      <c r="GZ242" s="429"/>
      <c r="HA242" s="1236"/>
      <c r="HB242" s="328"/>
      <c r="HC242" s="328"/>
      <c r="HD242" s="328"/>
      <c r="HE242" s="328"/>
      <c r="HF242" s="432"/>
      <c r="HG242" s="456"/>
      <c r="HH242" s="449"/>
      <c r="HI242" s="449"/>
      <c r="HJ242" s="456"/>
      <c r="HK242" s="432"/>
      <c r="HL242" s="328"/>
      <c r="HM242" s="328"/>
      <c r="HN242" s="328"/>
      <c r="HO242" s="328"/>
      <c r="HP242" s="1237"/>
      <c r="HQ242" s="321"/>
      <c r="HR242" s="321"/>
      <c r="HS242" s="321"/>
      <c r="HT242" s="321"/>
      <c r="HU242" s="321"/>
      <c r="HV242" s="321"/>
      <c r="HW242" s="440">
        <v>9</v>
      </c>
      <c r="HX242" s="446">
        <v>10</v>
      </c>
      <c r="HY242" s="446">
        <v>10</v>
      </c>
      <c r="HZ242" s="446">
        <v>9</v>
      </c>
      <c r="IA242" s="321"/>
      <c r="IB242" s="321"/>
      <c r="IC242" s="321"/>
      <c r="ID242" s="321"/>
      <c r="IE242" s="321"/>
      <c r="IF242" s="564"/>
      <c r="IG242" s="321"/>
      <c r="IH242" s="321"/>
      <c r="II242" s="321"/>
      <c r="IJ242" s="321"/>
      <c r="IK242" s="321"/>
      <c r="IL242" s="321">
        <v>10</v>
      </c>
      <c r="IM242" s="446">
        <v>10</v>
      </c>
      <c r="IN242" s="446">
        <v>9</v>
      </c>
      <c r="IO242" s="440">
        <v>9</v>
      </c>
      <c r="IP242" s="440">
        <v>9</v>
      </c>
      <c r="IQ242" s="321">
        <v>10</v>
      </c>
      <c r="IR242" s="321"/>
      <c r="IS242" s="321"/>
      <c r="IT242" s="321"/>
      <c r="IU242" s="321"/>
      <c r="IV242" s="564"/>
    </row>
    <row r="243" spans="1:256" s="326" customFormat="1" ht="8.25" customHeight="1">
      <c r="A243" s="483"/>
      <c r="B243" s="321"/>
      <c r="C243" s="410"/>
      <c r="D243" s="421"/>
      <c r="E243" s="432"/>
      <c r="F243" s="421"/>
      <c r="G243" s="411"/>
      <c r="H243" s="452"/>
      <c r="I243" s="452"/>
      <c r="J243" s="411"/>
      <c r="K243" s="421"/>
      <c r="L243" s="432"/>
      <c r="M243" s="421"/>
      <c r="N243" s="410"/>
      <c r="O243" s="321"/>
      <c r="P243" s="564"/>
      <c r="Q243" s="483"/>
      <c r="R243" s="321"/>
      <c r="S243" s="321"/>
      <c r="T243" s="321"/>
      <c r="U243" s="321"/>
      <c r="V243" s="321"/>
      <c r="W243" s="439"/>
      <c r="X243" s="411"/>
      <c r="Y243" s="411"/>
      <c r="Z243" s="439"/>
      <c r="AA243" s="321"/>
      <c r="AB243" s="321"/>
      <c r="AC243" s="321"/>
      <c r="AD243" s="321"/>
      <c r="AE243" s="321"/>
      <c r="AF243" s="564"/>
      <c r="AG243" s="483"/>
      <c r="AH243" s="328"/>
      <c r="AI243" s="328"/>
      <c r="AJ243" s="328"/>
      <c r="AK243" s="328"/>
      <c r="AL243" s="423"/>
      <c r="AM243" s="418"/>
      <c r="AN243" s="427"/>
      <c r="AO243" s="423"/>
      <c r="AP243" s="418"/>
      <c r="AQ243" s="328"/>
      <c r="AR243" s="427"/>
      <c r="AS243" s="423"/>
      <c r="AT243" s="328"/>
      <c r="AU243" s="328"/>
      <c r="AV243" s="1237"/>
      <c r="AW243" s="648"/>
      <c r="AX243" s="410"/>
      <c r="AY243" s="416"/>
      <c r="AZ243" s="445"/>
      <c r="BA243" s="445"/>
      <c r="BB243" s="445"/>
      <c r="BC243" s="445"/>
      <c r="BD243" s="412"/>
      <c r="BE243" s="412"/>
      <c r="BF243" s="412"/>
      <c r="BG243" s="445"/>
      <c r="BH243" s="445"/>
      <c r="BI243" s="445"/>
      <c r="BJ243" s="445"/>
      <c r="BK243" s="416"/>
      <c r="BL243" s="410"/>
      <c r="BM243" s="648"/>
      <c r="BN243" s="432"/>
      <c r="BO243" s="410"/>
      <c r="BP243" s="432"/>
      <c r="BQ243" s="410"/>
      <c r="BR243" s="410"/>
      <c r="BS243" s="410"/>
      <c r="BT243" s="432"/>
      <c r="BU243" s="410"/>
      <c r="BV243" s="410"/>
      <c r="BW243" s="410"/>
      <c r="BX243" s="432"/>
      <c r="BY243" s="410"/>
      <c r="BZ243" s="432"/>
      <c r="CA243" s="410"/>
      <c r="CB243" s="564"/>
      <c r="CC243" s="648"/>
      <c r="CD243" s="432"/>
      <c r="CE243" s="410"/>
      <c r="CF243" s="432"/>
      <c r="CG243" s="410"/>
      <c r="CH243" s="321"/>
      <c r="CI243" s="410"/>
      <c r="CJ243" s="432"/>
      <c r="CK243" s="410"/>
      <c r="CL243" s="410"/>
      <c r="CM243" s="410"/>
      <c r="CN243" s="432"/>
      <c r="CO243" s="410"/>
      <c r="CP243" s="432"/>
      <c r="CQ243" s="410"/>
      <c r="CR243" s="564"/>
      <c r="CS243" s="1236"/>
      <c r="CT243" s="328"/>
      <c r="CU243" s="328"/>
      <c r="CV243" s="328"/>
      <c r="CW243" s="328"/>
      <c r="CX243" s="328"/>
      <c r="CY243" s="328"/>
      <c r="CZ243" s="328"/>
      <c r="DA243" s="328"/>
      <c r="DB243" s="328"/>
      <c r="DC243" s="328"/>
      <c r="DD243" s="328"/>
      <c r="DE243" s="328"/>
      <c r="DF243" s="328"/>
      <c r="DG243" s="328"/>
      <c r="DH243" s="1237"/>
      <c r="DI243" s="1236"/>
      <c r="DJ243" s="328"/>
      <c r="DK243" s="328"/>
      <c r="DL243" s="328"/>
      <c r="DM243" s="328"/>
      <c r="DN243" s="409"/>
      <c r="DO243" s="328"/>
      <c r="DP243" s="328"/>
      <c r="DQ243" s="328"/>
      <c r="DR243" s="328"/>
      <c r="DS243" s="426"/>
      <c r="DT243" s="328"/>
      <c r="DU243" s="328"/>
      <c r="DV243" s="414"/>
      <c r="DW243" s="416"/>
      <c r="DX243" s="564"/>
      <c r="DY243" s="648"/>
      <c r="DZ243" s="410"/>
      <c r="EA243" s="445"/>
      <c r="EB243" s="431"/>
      <c r="EC243" s="438"/>
      <c r="ED243" s="410"/>
      <c r="EE243" s="436"/>
      <c r="EF243" s="429"/>
      <c r="EG243" s="436"/>
      <c r="EH243" s="429"/>
      <c r="EI243" s="410"/>
      <c r="EJ243" s="438"/>
      <c r="EK243" s="431"/>
      <c r="EL243" s="431"/>
      <c r="EM243" s="410"/>
      <c r="EN243" s="649"/>
      <c r="EO243" s="1338"/>
      <c r="EP243" s="426"/>
      <c r="EQ243" s="422"/>
      <c r="ER243" s="426"/>
      <c r="ES243" s="415"/>
      <c r="ET243" s="421"/>
      <c r="EU243" s="415"/>
      <c r="EV243" s="432"/>
      <c r="EW243" s="439"/>
      <c r="EX243" s="415"/>
      <c r="EY243" s="444"/>
      <c r="EZ243" s="430"/>
      <c r="FA243" s="431"/>
      <c r="FB243" s="412"/>
      <c r="FC243" s="415"/>
      <c r="FD243" s="607"/>
      <c r="FE243" s="415"/>
      <c r="FF243" s="415"/>
      <c r="FG243" s="415"/>
      <c r="FH243" s="415"/>
      <c r="FI243" s="423"/>
      <c r="FJ243" s="443"/>
      <c r="FK243" s="418"/>
      <c r="FL243" s="418"/>
      <c r="FM243" s="418"/>
      <c r="FN243" s="443"/>
      <c r="FO243" s="409"/>
      <c r="FP243" s="415"/>
      <c r="FQ243" s="415"/>
      <c r="FR243" s="415"/>
      <c r="FS243" s="415"/>
      <c r="FT243" s="415"/>
      <c r="FU243" s="429"/>
      <c r="FV243" s="411"/>
      <c r="FW243" s="420"/>
      <c r="FX243" s="420"/>
      <c r="FY243" s="420"/>
      <c r="FZ243" s="411"/>
      <c r="GA243" s="420"/>
      <c r="GB243" s="411"/>
      <c r="GC243" s="420"/>
      <c r="GD243" s="420"/>
      <c r="GE243" s="411"/>
      <c r="GF243" s="420"/>
      <c r="GG243" s="411"/>
      <c r="GH243" s="420"/>
      <c r="GI243" s="420"/>
      <c r="GJ243" s="429"/>
      <c r="GK243" s="429"/>
      <c r="GL243" s="418"/>
      <c r="GM243" s="434"/>
      <c r="GN243" s="418"/>
      <c r="GO243" s="434"/>
      <c r="GP243" s="418"/>
      <c r="GQ243" s="418"/>
      <c r="GR243" s="434"/>
      <c r="GS243" s="418"/>
      <c r="GT243" s="434"/>
      <c r="GU243" s="418"/>
      <c r="GV243" s="418"/>
      <c r="GW243" s="434"/>
      <c r="GX243" s="418"/>
      <c r="GY243" s="418"/>
      <c r="GZ243" s="429"/>
      <c r="HA243" s="1236"/>
      <c r="HB243" s="328"/>
      <c r="HC243" s="328"/>
      <c r="HD243" s="328"/>
      <c r="HE243" s="432"/>
      <c r="HF243" s="456"/>
      <c r="HG243" s="436"/>
      <c r="HH243" s="436"/>
      <c r="HI243" s="436"/>
      <c r="HJ243" s="436"/>
      <c r="HK243" s="456"/>
      <c r="HL243" s="432"/>
      <c r="HM243" s="328"/>
      <c r="HN243" s="328"/>
      <c r="HO243" s="328"/>
      <c r="HP243" s="1237"/>
      <c r="HQ243" s="321"/>
      <c r="HR243" s="321"/>
      <c r="HS243" s="321"/>
      <c r="HT243" s="446">
        <v>9</v>
      </c>
      <c r="HU243" s="321">
        <v>10</v>
      </c>
      <c r="HV243" s="440">
        <v>9</v>
      </c>
      <c r="HW243" s="446">
        <v>11</v>
      </c>
      <c r="HX243" s="453"/>
      <c r="HY243" s="453"/>
      <c r="HZ243" s="453">
        <v>12</v>
      </c>
      <c r="IA243" s="446">
        <v>9</v>
      </c>
      <c r="IB243" s="321"/>
      <c r="IC243" s="321"/>
      <c r="ID243" s="321"/>
      <c r="IE243" s="321"/>
      <c r="IF243" s="564"/>
      <c r="IG243" s="321"/>
      <c r="IH243" s="321"/>
      <c r="II243" s="321"/>
      <c r="IJ243" s="321"/>
      <c r="IK243" s="321"/>
      <c r="IL243" s="446">
        <v>9</v>
      </c>
      <c r="IM243" s="453">
        <v>12</v>
      </c>
      <c r="IN243" s="453"/>
      <c r="IO243" s="453"/>
      <c r="IP243" s="446">
        <v>11</v>
      </c>
      <c r="IQ243" s="440">
        <v>9</v>
      </c>
      <c r="IR243" s="440">
        <v>9</v>
      </c>
      <c r="IS243" s="321"/>
      <c r="IT243" s="321"/>
      <c r="IU243" s="321"/>
      <c r="IV243" s="564"/>
    </row>
    <row r="244" spans="1:256" s="326" customFormat="1" ht="8.25" customHeight="1">
      <c r="A244" s="483"/>
      <c r="B244" s="321"/>
      <c r="C244" s="410"/>
      <c r="D244" s="421"/>
      <c r="E244" s="432"/>
      <c r="F244" s="411"/>
      <c r="G244" s="421"/>
      <c r="H244" s="432"/>
      <c r="I244" s="410"/>
      <c r="J244" s="452"/>
      <c r="K244" s="411"/>
      <c r="L244" s="421"/>
      <c r="M244" s="421"/>
      <c r="N244" s="410"/>
      <c r="O244" s="321"/>
      <c r="P244" s="564"/>
      <c r="Q244" s="483"/>
      <c r="R244" s="321"/>
      <c r="S244" s="321"/>
      <c r="T244" s="321"/>
      <c r="U244" s="321"/>
      <c r="V244" s="321"/>
      <c r="W244" s="439"/>
      <c r="X244" s="411"/>
      <c r="Y244" s="411"/>
      <c r="Z244" s="439"/>
      <c r="AA244" s="321"/>
      <c r="AB244" s="321"/>
      <c r="AC244" s="321"/>
      <c r="AD244" s="321"/>
      <c r="AE244" s="321"/>
      <c r="AF244" s="564"/>
      <c r="AG244" s="483"/>
      <c r="AH244" s="328"/>
      <c r="AI244" s="328"/>
      <c r="AJ244" s="328"/>
      <c r="AK244" s="328"/>
      <c r="AL244" s="423"/>
      <c r="AM244" s="423"/>
      <c r="AN244" s="427"/>
      <c r="AO244" s="423"/>
      <c r="AP244" s="418"/>
      <c r="AQ244" s="328"/>
      <c r="AR244" s="328"/>
      <c r="AS244" s="423"/>
      <c r="AT244" s="328"/>
      <c r="AU244" s="328"/>
      <c r="AV244" s="1237"/>
      <c r="AW244" s="648"/>
      <c r="AX244" s="410"/>
      <c r="AY244" s="416"/>
      <c r="AZ244" s="416"/>
      <c r="BA244" s="416"/>
      <c r="BB244" s="416"/>
      <c r="BC244" s="416"/>
      <c r="BD244" s="416"/>
      <c r="BE244" s="416"/>
      <c r="BF244" s="416"/>
      <c r="BG244" s="416"/>
      <c r="BH244" s="416"/>
      <c r="BI244" s="416"/>
      <c r="BJ244" s="416"/>
      <c r="BK244" s="416"/>
      <c r="BL244" s="410"/>
      <c r="BM244" s="648"/>
      <c r="BN244" s="432"/>
      <c r="BO244" s="410"/>
      <c r="BP244" s="410"/>
      <c r="BQ244" s="432"/>
      <c r="BR244" s="410"/>
      <c r="BS244" s="410"/>
      <c r="BT244" s="432"/>
      <c r="BU244" s="410"/>
      <c r="BV244" s="410"/>
      <c r="BW244" s="432"/>
      <c r="BX244" s="410"/>
      <c r="BY244" s="410"/>
      <c r="BZ244" s="432"/>
      <c r="CA244" s="410"/>
      <c r="CB244" s="564"/>
      <c r="CC244" s="648"/>
      <c r="CD244" s="432"/>
      <c r="CE244" s="410"/>
      <c r="CF244" s="410"/>
      <c r="CG244" s="432"/>
      <c r="CH244" s="410"/>
      <c r="CI244" s="410"/>
      <c r="CJ244" s="432"/>
      <c r="CK244" s="321"/>
      <c r="CL244" s="410"/>
      <c r="CM244" s="321"/>
      <c r="CN244" s="321"/>
      <c r="CO244" s="410"/>
      <c r="CP244" s="432"/>
      <c r="CQ244" s="410"/>
      <c r="CR244" s="564"/>
      <c r="CS244" s="1236"/>
      <c r="CT244" s="328"/>
      <c r="CU244" s="328"/>
      <c r="CV244" s="328"/>
      <c r="CW244" s="328"/>
      <c r="CX244" s="328"/>
      <c r="CY244" s="328"/>
      <c r="CZ244" s="328"/>
      <c r="DA244" s="328"/>
      <c r="DB244" s="328"/>
      <c r="DC244" s="328"/>
      <c r="DD244" s="328"/>
      <c r="DE244" s="328"/>
      <c r="DF244" s="328"/>
      <c r="DG244" s="328"/>
      <c r="DH244" s="1237"/>
      <c r="DI244" s="1236"/>
      <c r="DJ244" s="328"/>
      <c r="DK244" s="328"/>
      <c r="DL244" s="328"/>
      <c r="DM244" s="328"/>
      <c r="DN244" s="409"/>
      <c r="DO244" s="328"/>
      <c r="DP244" s="328"/>
      <c r="DQ244" s="328"/>
      <c r="DR244" s="328"/>
      <c r="DS244" s="417"/>
      <c r="DT244" s="328"/>
      <c r="DU244" s="328"/>
      <c r="DV244" s="414"/>
      <c r="DW244" s="416"/>
      <c r="DX244" s="564"/>
      <c r="DY244" s="648"/>
      <c r="DZ244" s="445"/>
      <c r="EA244" s="438"/>
      <c r="EB244" s="438"/>
      <c r="EC244" s="431"/>
      <c r="ED244" s="410"/>
      <c r="EE244" s="436"/>
      <c r="EF244" s="436"/>
      <c r="EG244" s="436"/>
      <c r="EH244" s="429"/>
      <c r="EI244" s="410"/>
      <c r="EJ244" s="445"/>
      <c r="EK244" s="438"/>
      <c r="EL244" s="438"/>
      <c r="EM244" s="431"/>
      <c r="EN244" s="649"/>
      <c r="EO244" s="1338"/>
      <c r="EP244" s="426"/>
      <c r="EQ244" s="422"/>
      <c r="ER244" s="426"/>
      <c r="ES244" s="415"/>
      <c r="ET244" s="415"/>
      <c r="EU244" s="415"/>
      <c r="EV244" s="432"/>
      <c r="EW244" s="439"/>
      <c r="EX244" s="425"/>
      <c r="EY244" s="430"/>
      <c r="EZ244" s="431"/>
      <c r="FA244" s="412"/>
      <c r="FB244" s="421"/>
      <c r="FC244" s="415"/>
      <c r="FD244" s="607"/>
      <c r="FE244" s="415"/>
      <c r="FF244" s="415"/>
      <c r="FG244" s="415"/>
      <c r="FH244" s="415"/>
      <c r="FI244" s="418"/>
      <c r="FJ244" s="418"/>
      <c r="FK244" s="449"/>
      <c r="FL244" s="418"/>
      <c r="FM244" s="436"/>
      <c r="FN244" s="409"/>
      <c r="FO244" s="418"/>
      <c r="FP244" s="415"/>
      <c r="FQ244" s="415"/>
      <c r="FR244" s="415"/>
      <c r="FS244" s="415"/>
      <c r="FT244" s="415"/>
      <c r="FU244" s="429"/>
      <c r="FV244" s="411"/>
      <c r="FW244" s="411"/>
      <c r="FX244" s="411"/>
      <c r="FY244" s="420"/>
      <c r="FZ244" s="411"/>
      <c r="GA244" s="420"/>
      <c r="GB244" s="411"/>
      <c r="GC244" s="420"/>
      <c r="GD244" s="420"/>
      <c r="GE244" s="411"/>
      <c r="GF244" s="420"/>
      <c r="GG244" s="411"/>
      <c r="GH244" s="411"/>
      <c r="GI244" s="411"/>
      <c r="GJ244" s="429"/>
      <c r="GK244" s="429"/>
      <c r="GL244" s="418"/>
      <c r="GM244" s="418"/>
      <c r="GN244" s="418"/>
      <c r="GO244" s="418"/>
      <c r="GP244" s="418"/>
      <c r="GQ244" s="418"/>
      <c r="GR244" s="418"/>
      <c r="GS244" s="418"/>
      <c r="GT244" s="418"/>
      <c r="GU244" s="418"/>
      <c r="GV244" s="418"/>
      <c r="GW244" s="418"/>
      <c r="GX244" s="418"/>
      <c r="GY244" s="418"/>
      <c r="GZ244" s="429"/>
      <c r="HA244" s="1236"/>
      <c r="HB244" s="328"/>
      <c r="HC244" s="328"/>
      <c r="HD244" s="328"/>
      <c r="HE244" s="432"/>
      <c r="HF244" s="449"/>
      <c r="HG244" s="436"/>
      <c r="HH244" s="449"/>
      <c r="HI244" s="443"/>
      <c r="HJ244" s="436"/>
      <c r="HK244" s="449"/>
      <c r="HL244" s="432"/>
      <c r="HM244" s="328"/>
      <c r="HN244" s="328"/>
      <c r="HO244" s="328"/>
      <c r="HP244" s="1237"/>
      <c r="HQ244" s="321"/>
      <c r="HR244" s="321"/>
      <c r="HS244" s="321"/>
      <c r="HT244" s="321"/>
      <c r="HU244" s="446">
        <v>9</v>
      </c>
      <c r="HV244" s="440">
        <v>10</v>
      </c>
      <c r="HW244" s="453"/>
      <c r="HX244" s="453"/>
      <c r="HY244" s="443"/>
      <c r="HZ244" s="453"/>
      <c r="IA244" s="446">
        <v>10</v>
      </c>
      <c r="IB244" s="321">
        <v>10</v>
      </c>
      <c r="IC244" s="321"/>
      <c r="ID244" s="321"/>
      <c r="IE244" s="321"/>
      <c r="IF244" s="564"/>
      <c r="IG244" s="321"/>
      <c r="IH244" s="321"/>
      <c r="II244" s="321"/>
      <c r="IJ244" s="321"/>
      <c r="IK244" s="321">
        <v>10</v>
      </c>
      <c r="IL244" s="446">
        <v>10</v>
      </c>
      <c r="IM244" s="453"/>
      <c r="IN244" s="443"/>
      <c r="IO244" s="453"/>
      <c r="IP244" s="453"/>
      <c r="IQ244" s="446">
        <v>10</v>
      </c>
      <c r="IR244" s="321">
        <v>10</v>
      </c>
      <c r="IS244" s="440">
        <v>9</v>
      </c>
      <c r="IT244" s="321"/>
      <c r="IU244" s="321"/>
      <c r="IV244" s="564"/>
    </row>
    <row r="245" spans="1:256" s="326" customFormat="1" ht="8.25" customHeight="1">
      <c r="A245" s="483"/>
      <c r="B245" s="321"/>
      <c r="C245" s="410"/>
      <c r="D245" s="421"/>
      <c r="E245" s="432"/>
      <c r="F245" s="452"/>
      <c r="G245" s="432"/>
      <c r="H245" s="439"/>
      <c r="I245" s="410"/>
      <c r="J245" s="410"/>
      <c r="K245" s="452"/>
      <c r="L245" s="421"/>
      <c r="M245" s="421"/>
      <c r="N245" s="410"/>
      <c r="O245" s="321"/>
      <c r="P245" s="564"/>
      <c r="Q245" s="483"/>
      <c r="R245" s="432"/>
      <c r="S245" s="439"/>
      <c r="T245" s="439"/>
      <c r="U245" s="439"/>
      <c r="V245" s="439"/>
      <c r="W245" s="411"/>
      <c r="X245" s="411"/>
      <c r="Y245" s="411"/>
      <c r="Z245" s="411"/>
      <c r="AA245" s="439"/>
      <c r="AB245" s="439"/>
      <c r="AC245" s="439"/>
      <c r="AD245" s="439"/>
      <c r="AE245" s="432"/>
      <c r="AF245" s="564"/>
      <c r="AG245" s="483"/>
      <c r="AH245" s="328"/>
      <c r="AI245" s="328"/>
      <c r="AJ245" s="328"/>
      <c r="AK245" s="328"/>
      <c r="AL245" s="328"/>
      <c r="AM245" s="423"/>
      <c r="AN245" s="423"/>
      <c r="AO245" s="423"/>
      <c r="AP245" s="418"/>
      <c r="AQ245" s="328"/>
      <c r="AR245" s="328"/>
      <c r="AS245" s="423"/>
      <c r="AT245" s="328"/>
      <c r="AU245" s="328"/>
      <c r="AV245" s="1237"/>
      <c r="AW245" s="1339"/>
      <c r="AX245" s="452"/>
      <c r="AY245" s="452"/>
      <c r="AZ245" s="452"/>
      <c r="BA245" s="452"/>
      <c r="BB245" s="452"/>
      <c r="BC245" s="452"/>
      <c r="BD245" s="452"/>
      <c r="BE245" s="452"/>
      <c r="BF245" s="452"/>
      <c r="BG245" s="452"/>
      <c r="BH245" s="452"/>
      <c r="BI245" s="452"/>
      <c r="BJ245" s="452"/>
      <c r="BK245" s="452"/>
      <c r="BL245" s="452"/>
      <c r="BM245" s="648"/>
      <c r="BN245" s="410"/>
      <c r="BO245" s="432"/>
      <c r="BP245" s="410"/>
      <c r="BQ245" s="410"/>
      <c r="BR245" s="432"/>
      <c r="BS245" s="410"/>
      <c r="BT245" s="432"/>
      <c r="BU245" s="410"/>
      <c r="BV245" s="432"/>
      <c r="BW245" s="410"/>
      <c r="BX245" s="410"/>
      <c r="BY245" s="432"/>
      <c r="BZ245" s="410"/>
      <c r="CA245" s="410"/>
      <c r="CB245" s="564"/>
      <c r="CC245" s="648"/>
      <c r="CD245" s="321"/>
      <c r="CE245" s="321"/>
      <c r="CF245" s="410"/>
      <c r="CG245" s="410"/>
      <c r="CH245" s="432"/>
      <c r="CI245" s="410"/>
      <c r="CJ245" s="432"/>
      <c r="CK245" s="410"/>
      <c r="CL245" s="432"/>
      <c r="CM245" s="321"/>
      <c r="CN245" s="410"/>
      <c r="CO245" s="432"/>
      <c r="CP245" s="410"/>
      <c r="CQ245" s="410"/>
      <c r="CR245" s="564"/>
      <c r="CS245" s="1236"/>
      <c r="CT245" s="328"/>
      <c r="CU245" s="410"/>
      <c r="CV245" s="410"/>
      <c r="CW245" s="410"/>
      <c r="CX245" s="432"/>
      <c r="CY245" s="410"/>
      <c r="CZ245" s="410"/>
      <c r="DA245" s="410"/>
      <c r="DB245" s="410"/>
      <c r="DC245" s="410"/>
      <c r="DD245" s="410"/>
      <c r="DE245" s="410"/>
      <c r="DF245" s="410"/>
      <c r="DG245" s="440"/>
      <c r="DH245" s="1237"/>
      <c r="DI245" s="1236"/>
      <c r="DJ245" s="328"/>
      <c r="DK245" s="328"/>
      <c r="DL245" s="328"/>
      <c r="DM245" s="328"/>
      <c r="DN245" s="429"/>
      <c r="DO245" s="328"/>
      <c r="DP245" s="328"/>
      <c r="DQ245" s="328"/>
      <c r="DR245" s="426"/>
      <c r="DS245" s="328"/>
      <c r="DT245" s="328"/>
      <c r="DU245" s="328"/>
      <c r="DV245" s="416"/>
      <c r="DW245" s="328"/>
      <c r="DX245" s="564"/>
      <c r="DY245" s="648"/>
      <c r="DZ245" s="456"/>
      <c r="EA245" s="438"/>
      <c r="EB245" s="438"/>
      <c r="EC245" s="431"/>
      <c r="ED245" s="410"/>
      <c r="EE245" s="436"/>
      <c r="EF245" s="436"/>
      <c r="EG245" s="436"/>
      <c r="EH245" s="429"/>
      <c r="EI245" s="410"/>
      <c r="EJ245" s="445"/>
      <c r="EK245" s="438"/>
      <c r="EL245" s="438"/>
      <c r="EM245" s="456"/>
      <c r="EN245" s="649"/>
      <c r="EO245" s="670"/>
      <c r="EP245" s="421"/>
      <c r="EQ245" s="421"/>
      <c r="ER245" s="421"/>
      <c r="ES245" s="421"/>
      <c r="ET245" s="421"/>
      <c r="EU245" s="421"/>
      <c r="EV245" s="432"/>
      <c r="EW245" s="439"/>
      <c r="EX245" s="421"/>
      <c r="EY245" s="421"/>
      <c r="EZ245" s="421"/>
      <c r="FA245" s="421"/>
      <c r="FB245" s="421"/>
      <c r="FC245" s="421"/>
      <c r="FD245" s="671"/>
      <c r="FE245" s="415"/>
      <c r="FF245" s="415"/>
      <c r="FG245" s="415"/>
      <c r="FH245" s="415"/>
      <c r="FI245" s="415"/>
      <c r="FJ245" s="418"/>
      <c r="FK245" s="420"/>
      <c r="FL245" s="449"/>
      <c r="FM245" s="420"/>
      <c r="FN245" s="418"/>
      <c r="FO245" s="415"/>
      <c r="FP245" s="415"/>
      <c r="FQ245" s="415"/>
      <c r="FR245" s="415"/>
      <c r="FS245" s="415"/>
      <c r="FT245" s="415"/>
      <c r="FU245" s="429"/>
      <c r="FV245" s="429"/>
      <c r="FW245" s="429"/>
      <c r="FX245" s="429"/>
      <c r="FY245" s="429"/>
      <c r="FZ245" s="429"/>
      <c r="GA245" s="429"/>
      <c r="GB245" s="429"/>
      <c r="GC245" s="429"/>
      <c r="GD245" s="429"/>
      <c r="GE245" s="429"/>
      <c r="GF245" s="429"/>
      <c r="GG245" s="429"/>
      <c r="GH245" s="429"/>
      <c r="GI245" s="429"/>
      <c r="GJ245" s="429"/>
      <c r="GK245" s="429"/>
      <c r="GL245" s="429"/>
      <c r="GM245" s="429"/>
      <c r="GN245" s="429"/>
      <c r="GO245" s="429"/>
      <c r="GP245" s="429"/>
      <c r="GQ245" s="429"/>
      <c r="GR245" s="429"/>
      <c r="GS245" s="429"/>
      <c r="GT245" s="429"/>
      <c r="GU245" s="429"/>
      <c r="GV245" s="429"/>
      <c r="GW245" s="429"/>
      <c r="GX245" s="429"/>
      <c r="GY245" s="429"/>
      <c r="GZ245" s="429"/>
      <c r="HA245" s="1236"/>
      <c r="HB245" s="328"/>
      <c r="HC245" s="328"/>
      <c r="HD245" s="432"/>
      <c r="HE245" s="456"/>
      <c r="HF245" s="436"/>
      <c r="HG245" s="436"/>
      <c r="HH245" s="436"/>
      <c r="HI245" s="436"/>
      <c r="HJ245" s="436"/>
      <c r="HK245" s="436"/>
      <c r="HL245" s="456"/>
      <c r="HM245" s="432"/>
      <c r="HN245" s="328"/>
      <c r="HO245" s="328"/>
      <c r="HP245" s="1237"/>
      <c r="HQ245" s="321"/>
      <c r="HR245" s="321"/>
      <c r="HS245" s="321"/>
      <c r="HT245" s="321"/>
      <c r="HU245" s="321">
        <v>10</v>
      </c>
      <c r="HV245" s="446">
        <v>10</v>
      </c>
      <c r="HW245" s="453"/>
      <c r="HX245" s="462"/>
      <c r="HY245" s="449"/>
      <c r="HZ245" s="453"/>
      <c r="IA245" s="446">
        <v>10</v>
      </c>
      <c r="IB245" s="321">
        <v>10</v>
      </c>
      <c r="IC245" s="321"/>
      <c r="ID245" s="321"/>
      <c r="IE245" s="321"/>
      <c r="IF245" s="564"/>
      <c r="IG245" s="321"/>
      <c r="IH245" s="321"/>
      <c r="II245" s="321"/>
      <c r="IJ245" s="321"/>
      <c r="IK245" s="321">
        <v>10</v>
      </c>
      <c r="IL245" s="446">
        <v>10</v>
      </c>
      <c r="IM245" s="453"/>
      <c r="IN245" s="449"/>
      <c r="IO245" s="462"/>
      <c r="IP245" s="453"/>
      <c r="IQ245" s="446">
        <v>10</v>
      </c>
      <c r="IR245" s="321">
        <v>10</v>
      </c>
      <c r="IS245" s="321"/>
      <c r="IT245" s="321"/>
      <c r="IU245" s="321"/>
      <c r="IV245" s="564"/>
    </row>
    <row r="246" spans="1:256" s="326" customFormat="1" ht="8.25" customHeight="1">
      <c r="A246" s="483"/>
      <c r="B246" s="321"/>
      <c r="C246" s="410"/>
      <c r="D246" s="421"/>
      <c r="E246" s="421"/>
      <c r="F246" s="411"/>
      <c r="G246" s="452"/>
      <c r="H246" s="410"/>
      <c r="I246" s="410"/>
      <c r="J246" s="452"/>
      <c r="K246" s="452"/>
      <c r="L246" s="421"/>
      <c r="M246" s="421"/>
      <c r="N246" s="410"/>
      <c r="O246" s="321"/>
      <c r="P246" s="564"/>
      <c r="Q246" s="483"/>
      <c r="R246" s="439"/>
      <c r="S246" s="452"/>
      <c r="T246" s="452"/>
      <c r="U246" s="452"/>
      <c r="V246" s="452"/>
      <c r="W246" s="411"/>
      <c r="X246" s="439"/>
      <c r="Y246" s="452"/>
      <c r="Z246" s="411"/>
      <c r="AA246" s="452"/>
      <c r="AB246" s="452"/>
      <c r="AC246" s="452"/>
      <c r="AD246" s="452"/>
      <c r="AE246" s="439"/>
      <c r="AF246" s="564"/>
      <c r="AG246" s="483"/>
      <c r="AH246" s="328"/>
      <c r="AI246" s="328"/>
      <c r="AJ246" s="328"/>
      <c r="AK246" s="328"/>
      <c r="AL246" s="328"/>
      <c r="AM246" s="423"/>
      <c r="AN246" s="420"/>
      <c r="AO246" s="423"/>
      <c r="AP246" s="328"/>
      <c r="AQ246" s="328"/>
      <c r="AR246" s="328"/>
      <c r="AS246" s="328"/>
      <c r="AT246" s="328"/>
      <c r="AU246" s="328"/>
      <c r="AV246" s="1237"/>
      <c r="AW246" s="1242"/>
      <c r="AX246" s="432"/>
      <c r="AY246" s="452"/>
      <c r="AZ246" s="416"/>
      <c r="BA246" s="416"/>
      <c r="BB246" s="452"/>
      <c r="BC246" s="416"/>
      <c r="BD246" s="432"/>
      <c r="BE246" s="416"/>
      <c r="BF246" s="432"/>
      <c r="BG246" s="416"/>
      <c r="BH246" s="432"/>
      <c r="BI246" s="416"/>
      <c r="BJ246" s="432"/>
      <c r="BK246" s="452"/>
      <c r="BL246" s="416"/>
      <c r="BM246" s="648"/>
      <c r="BN246" s="410"/>
      <c r="BO246" s="410"/>
      <c r="BP246" s="432"/>
      <c r="BQ246" s="410"/>
      <c r="BR246" s="410"/>
      <c r="BS246" s="410"/>
      <c r="BT246" s="432"/>
      <c r="BU246" s="410"/>
      <c r="BV246" s="410"/>
      <c r="BW246" s="410"/>
      <c r="BX246" s="432"/>
      <c r="BY246" s="410"/>
      <c r="BZ246" s="410"/>
      <c r="CA246" s="410"/>
      <c r="CB246" s="564"/>
      <c r="CC246" s="648"/>
      <c r="CD246" s="410"/>
      <c r="CE246" s="321"/>
      <c r="CF246" s="432"/>
      <c r="CG246" s="410"/>
      <c r="CH246" s="410"/>
      <c r="CI246" s="321"/>
      <c r="CJ246" s="321"/>
      <c r="CK246" s="410"/>
      <c r="CL246" s="410"/>
      <c r="CM246" s="410"/>
      <c r="CN246" s="432"/>
      <c r="CO246" s="410"/>
      <c r="CP246" s="410"/>
      <c r="CQ246" s="410"/>
      <c r="CR246" s="564"/>
      <c r="CS246" s="1236"/>
      <c r="CT246" s="328"/>
      <c r="CU246" s="432"/>
      <c r="CV246" s="432"/>
      <c r="CW246" s="432"/>
      <c r="CX246" s="410"/>
      <c r="CY246" s="411"/>
      <c r="CZ246" s="439"/>
      <c r="DA246" s="410"/>
      <c r="DB246" s="410"/>
      <c r="DC246" s="410"/>
      <c r="DD246" s="440"/>
      <c r="DE246" s="410"/>
      <c r="DF246" s="440"/>
      <c r="DG246" s="410"/>
      <c r="DH246" s="1237"/>
      <c r="DI246" s="1236"/>
      <c r="DJ246" s="328"/>
      <c r="DK246" s="328"/>
      <c r="DL246" s="328"/>
      <c r="DM246" s="328"/>
      <c r="DN246" s="328"/>
      <c r="DO246" s="409"/>
      <c r="DP246" s="328"/>
      <c r="DQ246" s="328"/>
      <c r="DR246" s="417"/>
      <c r="DS246" s="328"/>
      <c r="DT246" s="328"/>
      <c r="DU246" s="328"/>
      <c r="DV246" s="416"/>
      <c r="DW246" s="328"/>
      <c r="DX246" s="564"/>
      <c r="DY246" s="648"/>
      <c r="DZ246" s="410"/>
      <c r="EA246" s="456"/>
      <c r="EB246" s="456"/>
      <c r="EC246" s="431"/>
      <c r="ED246" s="410"/>
      <c r="EE246" s="436"/>
      <c r="EF246" s="436"/>
      <c r="EG246" s="436"/>
      <c r="EH246" s="436"/>
      <c r="EI246" s="410"/>
      <c r="EJ246" s="445"/>
      <c r="EK246" s="456"/>
      <c r="EL246" s="456"/>
      <c r="EM246" s="410"/>
      <c r="EN246" s="649"/>
      <c r="EO246" s="491"/>
      <c r="EP246" s="415"/>
      <c r="EQ246" s="415"/>
      <c r="ER246" s="415"/>
      <c r="ES246" s="415"/>
      <c r="ET246" s="415"/>
      <c r="EU246" s="415"/>
      <c r="EV246" s="432"/>
      <c r="EW246" s="439"/>
      <c r="EX246" s="415"/>
      <c r="EY246" s="415"/>
      <c r="EZ246" s="415"/>
      <c r="FA246" s="415"/>
      <c r="FB246" s="415"/>
      <c r="FC246" s="415"/>
      <c r="FD246" s="607"/>
      <c r="FE246" s="415"/>
      <c r="FF246" s="415"/>
      <c r="FG246" s="415"/>
      <c r="FH246" s="415"/>
      <c r="FI246" s="415"/>
      <c r="FJ246" s="415"/>
      <c r="FK246" s="409"/>
      <c r="FL246" s="436"/>
      <c r="FM246" s="418"/>
      <c r="FN246" s="415"/>
      <c r="FO246" s="415"/>
      <c r="FP246" s="415"/>
      <c r="FQ246" s="415"/>
      <c r="FR246" s="415"/>
      <c r="FS246" s="415"/>
      <c r="FT246" s="415"/>
      <c r="FU246" s="1236"/>
      <c r="FV246" s="328"/>
      <c r="FW246" s="328"/>
      <c r="FX246" s="328"/>
      <c r="FY246" s="328"/>
      <c r="FZ246" s="328"/>
      <c r="GA246" s="328"/>
      <c r="GB246" s="328"/>
      <c r="GC246" s="328"/>
      <c r="GD246" s="328"/>
      <c r="GE246" s="328"/>
      <c r="GF246" s="328"/>
      <c r="GG246" s="328"/>
      <c r="GH246" s="328"/>
      <c r="GI246" s="328"/>
      <c r="GJ246" s="1237"/>
      <c r="GK246" s="1236"/>
      <c r="GL246" s="328"/>
      <c r="GM246" s="328"/>
      <c r="GN246" s="328"/>
      <c r="GO246" s="328"/>
      <c r="GP246" s="328"/>
      <c r="GQ246" s="328"/>
      <c r="GR246" s="328"/>
      <c r="GS246" s="328"/>
      <c r="GT246" s="328"/>
      <c r="GU246" s="328"/>
      <c r="GV246" s="328"/>
      <c r="GW246" s="328"/>
      <c r="GX246" s="328"/>
      <c r="GY246" s="328"/>
      <c r="GZ246" s="1237"/>
      <c r="HA246" s="1236"/>
      <c r="HB246" s="328"/>
      <c r="HC246" s="432"/>
      <c r="HD246" s="456"/>
      <c r="HE246" s="436"/>
      <c r="HF246" s="456"/>
      <c r="HG246" s="456"/>
      <c r="HH246" s="464"/>
      <c r="HI246" s="464"/>
      <c r="HJ246" s="464"/>
      <c r="HK246" s="436"/>
      <c r="HL246" s="456"/>
      <c r="HM246" s="456"/>
      <c r="HN246" s="432"/>
      <c r="HO246" s="328"/>
      <c r="HP246" s="1237"/>
      <c r="HQ246" s="321"/>
      <c r="HR246" s="321"/>
      <c r="HS246" s="321"/>
      <c r="HT246" s="321"/>
      <c r="HU246" s="321">
        <v>10</v>
      </c>
      <c r="HV246" s="446">
        <v>10</v>
      </c>
      <c r="HW246" s="453"/>
      <c r="HX246" s="443"/>
      <c r="HY246" s="453"/>
      <c r="HZ246" s="453"/>
      <c r="IA246" s="440">
        <v>9</v>
      </c>
      <c r="IB246" s="321">
        <v>10</v>
      </c>
      <c r="IC246" s="321"/>
      <c r="ID246" s="321"/>
      <c r="IE246" s="321"/>
      <c r="IF246" s="564"/>
      <c r="IG246" s="483"/>
      <c r="IH246" s="321"/>
      <c r="II246" s="321"/>
      <c r="IJ246" s="440">
        <v>9</v>
      </c>
      <c r="IK246" s="321">
        <v>10</v>
      </c>
      <c r="IL246" s="446">
        <v>9</v>
      </c>
      <c r="IM246" s="453"/>
      <c r="IN246" s="453"/>
      <c r="IO246" s="443"/>
      <c r="IP246" s="453"/>
      <c r="IQ246" s="446">
        <v>10</v>
      </c>
      <c r="IR246" s="321">
        <v>10</v>
      </c>
      <c r="IS246" s="321"/>
      <c r="IT246" s="321"/>
      <c r="IU246" s="321"/>
      <c r="IV246" s="564"/>
    </row>
    <row r="247" spans="1:256" s="326" customFormat="1" ht="8.25" customHeight="1">
      <c r="A247" s="483"/>
      <c r="B247" s="321"/>
      <c r="C247" s="410"/>
      <c r="D247" s="421"/>
      <c r="E247" s="421"/>
      <c r="F247" s="421"/>
      <c r="G247" s="411"/>
      <c r="H247" s="452"/>
      <c r="I247" s="452"/>
      <c r="J247" s="411"/>
      <c r="K247" s="421"/>
      <c r="L247" s="432"/>
      <c r="M247" s="421"/>
      <c r="N247" s="410"/>
      <c r="O247" s="321"/>
      <c r="P247" s="564"/>
      <c r="Q247" s="483"/>
      <c r="R247" s="439"/>
      <c r="S247" s="411"/>
      <c r="T247" s="411"/>
      <c r="U247" s="411"/>
      <c r="V247" s="411"/>
      <c r="W247" s="411"/>
      <c r="X247" s="452"/>
      <c r="Y247" s="439"/>
      <c r="Z247" s="411"/>
      <c r="AA247" s="411"/>
      <c r="AB247" s="411"/>
      <c r="AC247" s="411"/>
      <c r="AD247" s="411"/>
      <c r="AE247" s="439"/>
      <c r="AF247" s="564"/>
      <c r="AG247" s="483"/>
      <c r="AH247" s="328"/>
      <c r="AI247" s="328"/>
      <c r="AJ247" s="328"/>
      <c r="AK247" s="328"/>
      <c r="AL247" s="328"/>
      <c r="AM247" s="420"/>
      <c r="AN247" s="420"/>
      <c r="AO247" s="420"/>
      <c r="AP247" s="328"/>
      <c r="AQ247" s="328"/>
      <c r="AR247" s="328"/>
      <c r="AS247" s="328"/>
      <c r="AT247" s="328"/>
      <c r="AU247" s="328"/>
      <c r="AV247" s="1237"/>
      <c r="AW247" s="1242"/>
      <c r="AX247" s="452"/>
      <c r="AY247" s="416"/>
      <c r="AZ247" s="416"/>
      <c r="BA247" s="416"/>
      <c r="BB247" s="452"/>
      <c r="BC247" s="416"/>
      <c r="BD247" s="452"/>
      <c r="BE247" s="416"/>
      <c r="BF247" s="452"/>
      <c r="BG247" s="416"/>
      <c r="BH247" s="416"/>
      <c r="BI247" s="452"/>
      <c r="BJ247" s="416"/>
      <c r="BK247" s="432"/>
      <c r="BL247" s="416"/>
      <c r="BM247" s="483"/>
      <c r="BN247" s="410"/>
      <c r="BO247" s="410"/>
      <c r="BP247" s="410"/>
      <c r="BQ247" s="432"/>
      <c r="BR247" s="432"/>
      <c r="BS247" s="410"/>
      <c r="BT247" s="432"/>
      <c r="BU247" s="410"/>
      <c r="BV247" s="432"/>
      <c r="BW247" s="432"/>
      <c r="BX247" s="410"/>
      <c r="BY247" s="410"/>
      <c r="BZ247" s="410"/>
      <c r="CA247" s="321"/>
      <c r="CB247" s="564"/>
      <c r="CC247" s="483"/>
      <c r="CD247" s="410"/>
      <c r="CE247" s="410"/>
      <c r="CF247" s="410"/>
      <c r="CG247" s="432"/>
      <c r="CH247" s="432"/>
      <c r="CI247" s="321"/>
      <c r="CJ247" s="432"/>
      <c r="CK247" s="410"/>
      <c r="CL247" s="432"/>
      <c r="CM247" s="432"/>
      <c r="CN247" s="410"/>
      <c r="CO247" s="410"/>
      <c r="CP247" s="410"/>
      <c r="CQ247" s="321"/>
      <c r="CR247" s="564"/>
      <c r="CS247" s="1236"/>
      <c r="CT247" s="328"/>
      <c r="CU247" s="410"/>
      <c r="CV247" s="432"/>
      <c r="CW247" s="410"/>
      <c r="CX247" s="410"/>
      <c r="CY247" s="439"/>
      <c r="CZ247" s="410"/>
      <c r="DA247" s="410"/>
      <c r="DB247" s="410"/>
      <c r="DC247" s="440"/>
      <c r="DD247" s="410"/>
      <c r="DE247" s="440"/>
      <c r="DF247" s="410"/>
      <c r="DG247" s="410"/>
      <c r="DH247" s="1237"/>
      <c r="DI247" s="1236"/>
      <c r="DJ247" s="328"/>
      <c r="DK247" s="328"/>
      <c r="DL247" s="328"/>
      <c r="DM247" s="328"/>
      <c r="DN247" s="328"/>
      <c r="DO247" s="409"/>
      <c r="DP247" s="328"/>
      <c r="DQ247" s="426"/>
      <c r="DR247" s="328"/>
      <c r="DS247" s="328"/>
      <c r="DT247" s="328"/>
      <c r="DU247" s="328"/>
      <c r="DV247" s="328"/>
      <c r="DW247" s="328"/>
      <c r="DX247" s="564"/>
      <c r="DY247" s="648"/>
      <c r="DZ247" s="410"/>
      <c r="EA247" s="410"/>
      <c r="EB247" s="410"/>
      <c r="EC247" s="410"/>
      <c r="ED247" s="443"/>
      <c r="EE247" s="436"/>
      <c r="EF247" s="429"/>
      <c r="EG247" s="436"/>
      <c r="EH247" s="436"/>
      <c r="EI247" s="429"/>
      <c r="EJ247" s="410"/>
      <c r="EK247" s="410"/>
      <c r="EL247" s="410"/>
      <c r="EM247" s="410"/>
      <c r="EN247" s="649"/>
      <c r="EO247" s="1340"/>
      <c r="EP247" s="442"/>
      <c r="EQ247" s="424"/>
      <c r="ER247" s="442"/>
      <c r="ES247" s="442"/>
      <c r="ET247" s="424"/>
      <c r="EU247" s="415"/>
      <c r="EV247" s="432"/>
      <c r="EW247" s="439"/>
      <c r="EX247" s="442"/>
      <c r="EY247" s="442"/>
      <c r="EZ247" s="424"/>
      <c r="FA247" s="442"/>
      <c r="FB247" s="442"/>
      <c r="FC247" s="424"/>
      <c r="FD247" s="607"/>
      <c r="FE247" s="415"/>
      <c r="FF247" s="415"/>
      <c r="FG247" s="415"/>
      <c r="FH247" s="415"/>
      <c r="FI247" s="415"/>
      <c r="FJ247" s="415"/>
      <c r="FK247" s="415"/>
      <c r="FL247" s="415"/>
      <c r="FM247" s="415"/>
      <c r="FN247" s="415"/>
      <c r="FO247" s="415"/>
      <c r="FP247" s="415"/>
      <c r="FQ247" s="415"/>
      <c r="FR247" s="415"/>
      <c r="FS247" s="415"/>
      <c r="FT247" s="415"/>
      <c r="FU247" s="1236"/>
      <c r="FV247" s="328"/>
      <c r="FW247" s="328"/>
      <c r="FX247" s="328"/>
      <c r="FY247" s="328"/>
      <c r="FZ247" s="328"/>
      <c r="GA247" s="328"/>
      <c r="GB247" s="328"/>
      <c r="GC247" s="328"/>
      <c r="GD247" s="328"/>
      <c r="GE247" s="328"/>
      <c r="GF247" s="328"/>
      <c r="GG247" s="328"/>
      <c r="GH247" s="328"/>
      <c r="GI247" s="328"/>
      <c r="GJ247" s="1237"/>
      <c r="GK247" s="1236"/>
      <c r="GL247" s="328"/>
      <c r="GM247" s="328"/>
      <c r="GN247" s="328"/>
      <c r="GO247" s="328"/>
      <c r="GP247" s="328"/>
      <c r="GQ247" s="328"/>
      <c r="GR247" s="328"/>
      <c r="GS247" s="328"/>
      <c r="GT247" s="328"/>
      <c r="GU247" s="328"/>
      <c r="GV247" s="328"/>
      <c r="GW247" s="328"/>
      <c r="GX247" s="328"/>
      <c r="GY247" s="328"/>
      <c r="GZ247" s="1237"/>
      <c r="HA247" s="1236"/>
      <c r="HB247" s="328"/>
      <c r="HC247" s="432"/>
      <c r="HD247" s="449"/>
      <c r="HE247" s="436"/>
      <c r="HF247" s="436"/>
      <c r="HG247" s="464"/>
      <c r="HH247" s="450"/>
      <c r="HI247" s="437"/>
      <c r="HJ247" s="457"/>
      <c r="HK247" s="452"/>
      <c r="HL247" s="464"/>
      <c r="HM247" s="436"/>
      <c r="HN247" s="432"/>
      <c r="HO247" s="328"/>
      <c r="HP247" s="1237"/>
      <c r="HQ247" s="483"/>
      <c r="HR247" s="321"/>
      <c r="HS247" s="321"/>
      <c r="HT247" s="321"/>
      <c r="HU247" s="321"/>
      <c r="HV247" s="446">
        <v>9</v>
      </c>
      <c r="HW247" s="453">
        <v>12</v>
      </c>
      <c r="HX247" s="453"/>
      <c r="HY247" s="453"/>
      <c r="HZ247" s="446">
        <v>11</v>
      </c>
      <c r="IA247" s="440">
        <v>10</v>
      </c>
      <c r="IB247" s="446">
        <v>9</v>
      </c>
      <c r="IC247" s="321"/>
      <c r="ID247" s="321"/>
      <c r="IE247" s="321"/>
      <c r="IF247" s="564"/>
      <c r="IG247" s="483"/>
      <c r="IH247" s="321"/>
      <c r="II247" s="321"/>
      <c r="IJ247" s="321"/>
      <c r="IK247" s="440">
        <v>9</v>
      </c>
      <c r="IL247" s="440">
        <v>10</v>
      </c>
      <c r="IM247" s="446">
        <v>11</v>
      </c>
      <c r="IN247" s="453"/>
      <c r="IO247" s="453"/>
      <c r="IP247" s="453">
        <v>12</v>
      </c>
      <c r="IQ247" s="446">
        <v>9</v>
      </c>
      <c r="IR247" s="321"/>
      <c r="IS247" s="321"/>
      <c r="IT247" s="321"/>
      <c r="IU247" s="321"/>
      <c r="IV247" s="564"/>
    </row>
    <row r="248" spans="1:256" s="326" customFormat="1" ht="8.25" customHeight="1">
      <c r="A248" s="483"/>
      <c r="B248" s="321"/>
      <c r="C248" s="321"/>
      <c r="D248" s="410"/>
      <c r="E248" s="421"/>
      <c r="F248" s="421"/>
      <c r="G248" s="432"/>
      <c r="H248" s="421"/>
      <c r="I248" s="421"/>
      <c r="J248" s="421"/>
      <c r="K248" s="421"/>
      <c r="L248" s="432"/>
      <c r="M248" s="452"/>
      <c r="N248" s="321"/>
      <c r="O248" s="321"/>
      <c r="P248" s="564"/>
      <c r="Q248" s="483"/>
      <c r="R248" s="432"/>
      <c r="S248" s="439"/>
      <c r="T248" s="439"/>
      <c r="U248" s="439"/>
      <c r="V248" s="439"/>
      <c r="W248" s="411"/>
      <c r="X248" s="411"/>
      <c r="Y248" s="411"/>
      <c r="Z248" s="411"/>
      <c r="AA248" s="439"/>
      <c r="AB248" s="439"/>
      <c r="AC248" s="439"/>
      <c r="AD248" s="439"/>
      <c r="AE248" s="432"/>
      <c r="AF248" s="564"/>
      <c r="AG248" s="483"/>
      <c r="AH248" s="328"/>
      <c r="AI248" s="328"/>
      <c r="AJ248" s="328"/>
      <c r="AK248" s="328"/>
      <c r="AL248" s="328"/>
      <c r="AM248" s="420"/>
      <c r="AN248" s="420"/>
      <c r="AO248" s="420"/>
      <c r="AP248" s="328"/>
      <c r="AQ248" s="328"/>
      <c r="AR248" s="328"/>
      <c r="AS248" s="328"/>
      <c r="AT248" s="328"/>
      <c r="AU248" s="328"/>
      <c r="AV248" s="1237"/>
      <c r="AW248" s="1242"/>
      <c r="AX248" s="432"/>
      <c r="AY248" s="416"/>
      <c r="AZ248" s="416"/>
      <c r="BA248" s="432"/>
      <c r="BB248" s="416"/>
      <c r="BC248" s="416"/>
      <c r="BD248" s="452"/>
      <c r="BE248" s="416"/>
      <c r="BF248" s="452"/>
      <c r="BG248" s="416"/>
      <c r="BH248" s="432"/>
      <c r="BI248" s="416"/>
      <c r="BJ248" s="416"/>
      <c r="BK248" s="452"/>
      <c r="BL248" s="432"/>
      <c r="BM248" s="483"/>
      <c r="BN248" s="410"/>
      <c r="BO248" s="410"/>
      <c r="BP248" s="410"/>
      <c r="BQ248" s="410"/>
      <c r="BR248" s="410"/>
      <c r="BS248" s="410"/>
      <c r="BT248" s="432"/>
      <c r="BU248" s="410"/>
      <c r="BV248" s="410"/>
      <c r="BW248" s="410"/>
      <c r="BX248" s="410"/>
      <c r="BY248" s="410"/>
      <c r="BZ248" s="410"/>
      <c r="CA248" s="321"/>
      <c r="CB248" s="564"/>
      <c r="CC248" s="483"/>
      <c r="CD248" s="410"/>
      <c r="CE248" s="410"/>
      <c r="CF248" s="410"/>
      <c r="CG248" s="410"/>
      <c r="CH248" s="321"/>
      <c r="CI248" s="321"/>
      <c r="CJ248" s="432"/>
      <c r="CK248" s="410"/>
      <c r="CL248" s="410"/>
      <c r="CM248" s="410"/>
      <c r="CN248" s="410"/>
      <c r="CO248" s="410"/>
      <c r="CP248" s="410"/>
      <c r="CQ248" s="321"/>
      <c r="CR248" s="564"/>
      <c r="CS248" s="1236"/>
      <c r="CT248" s="328"/>
      <c r="CU248" s="410"/>
      <c r="CV248" s="432"/>
      <c r="CW248" s="410"/>
      <c r="CX248" s="410"/>
      <c r="CY248" s="411"/>
      <c r="CZ248" s="439"/>
      <c r="DA248" s="410"/>
      <c r="DB248" s="410"/>
      <c r="DC248" s="440"/>
      <c r="DD248" s="410"/>
      <c r="DE248" s="410"/>
      <c r="DF248" s="410"/>
      <c r="DG248" s="410"/>
      <c r="DH248" s="1237"/>
      <c r="DI248" s="1236"/>
      <c r="DJ248" s="328"/>
      <c r="DK248" s="328"/>
      <c r="DL248" s="328"/>
      <c r="DM248" s="328"/>
      <c r="DN248" s="328"/>
      <c r="DO248" s="409"/>
      <c r="DP248" s="421"/>
      <c r="DQ248" s="417"/>
      <c r="DR248" s="328"/>
      <c r="DS248" s="328"/>
      <c r="DT248" s="328"/>
      <c r="DU248" s="328"/>
      <c r="DV248" s="328"/>
      <c r="DW248" s="328"/>
      <c r="DX248" s="564"/>
      <c r="DY248" s="648"/>
      <c r="DZ248" s="446"/>
      <c r="EA248" s="446"/>
      <c r="EB248" s="446"/>
      <c r="EC248" s="410"/>
      <c r="ED248" s="436"/>
      <c r="EE248" s="436"/>
      <c r="EF248" s="410"/>
      <c r="EG248" s="410"/>
      <c r="EH248" s="436"/>
      <c r="EI248" s="429"/>
      <c r="EJ248" s="410"/>
      <c r="EK248" s="410"/>
      <c r="EL248" s="410"/>
      <c r="EM248" s="410"/>
      <c r="EN248" s="649"/>
      <c r="EO248" s="1340"/>
      <c r="EP248" s="431"/>
      <c r="EQ248" s="424"/>
      <c r="ER248" s="442"/>
      <c r="ES248" s="431"/>
      <c r="ET248" s="424"/>
      <c r="EU248" s="415"/>
      <c r="EV248" s="432"/>
      <c r="EW248" s="439"/>
      <c r="EX248" s="442"/>
      <c r="EY248" s="431"/>
      <c r="EZ248" s="424"/>
      <c r="FA248" s="442"/>
      <c r="FB248" s="431"/>
      <c r="FC248" s="424"/>
      <c r="FD248" s="607"/>
      <c r="FE248" s="415"/>
      <c r="FF248" s="452"/>
      <c r="FG248" s="452"/>
      <c r="FH248" s="415"/>
      <c r="FI248" s="415"/>
      <c r="FJ248" s="452"/>
      <c r="FK248" s="415"/>
      <c r="FL248" s="415"/>
      <c r="FM248" s="415"/>
      <c r="FN248" s="452"/>
      <c r="FO248" s="415"/>
      <c r="FP248" s="415"/>
      <c r="FQ248" s="452"/>
      <c r="FR248" s="415"/>
      <c r="FS248" s="415"/>
      <c r="FT248" s="452"/>
      <c r="FU248" s="1236"/>
      <c r="FV248" s="328"/>
      <c r="FW248" s="328"/>
      <c r="FX248" s="328"/>
      <c r="FY248" s="328"/>
      <c r="FZ248" s="328"/>
      <c r="GA248" s="328"/>
      <c r="GB248" s="328"/>
      <c r="GC248" s="328"/>
      <c r="GD248" s="328"/>
      <c r="GE248" s="328"/>
      <c r="GF248" s="328"/>
      <c r="GG248" s="328"/>
      <c r="GH248" s="328"/>
      <c r="GI248" s="328"/>
      <c r="GJ248" s="1237"/>
      <c r="GK248" s="1236"/>
      <c r="GL248" s="328"/>
      <c r="GM248" s="328"/>
      <c r="GN248" s="328"/>
      <c r="GO248" s="328"/>
      <c r="GP248" s="328"/>
      <c r="GQ248" s="328"/>
      <c r="GR248" s="328"/>
      <c r="GS248" s="328"/>
      <c r="GT248" s="328"/>
      <c r="GU248" s="328"/>
      <c r="GV248" s="328"/>
      <c r="GW248" s="328"/>
      <c r="GX248" s="328"/>
      <c r="GY248" s="328"/>
      <c r="GZ248" s="1237"/>
      <c r="HA248" s="1236"/>
      <c r="HB248" s="432"/>
      <c r="HC248" s="436"/>
      <c r="HD248" s="449"/>
      <c r="HE248" s="443"/>
      <c r="HF248" s="464"/>
      <c r="HG248" s="452"/>
      <c r="HH248" s="410"/>
      <c r="HI248" s="463"/>
      <c r="HJ248" s="410"/>
      <c r="HK248" s="464"/>
      <c r="HL248" s="456"/>
      <c r="HM248" s="449"/>
      <c r="HN248" s="436"/>
      <c r="HO248" s="432"/>
      <c r="HP248" s="1237"/>
      <c r="HQ248" s="483"/>
      <c r="HR248" s="321"/>
      <c r="HS248" s="321"/>
      <c r="HT248" s="321"/>
      <c r="HU248" s="321"/>
      <c r="HV248" s="321"/>
      <c r="HW248" s="446">
        <v>9</v>
      </c>
      <c r="HX248" s="446">
        <v>10</v>
      </c>
      <c r="HY248" s="446">
        <v>10</v>
      </c>
      <c r="HZ248" s="440">
        <v>9</v>
      </c>
      <c r="IA248" s="321"/>
      <c r="IB248" s="321">
        <v>10</v>
      </c>
      <c r="IC248" s="446">
        <v>9</v>
      </c>
      <c r="ID248" s="321"/>
      <c r="IE248" s="321"/>
      <c r="IF248" s="564"/>
      <c r="IG248" s="483"/>
      <c r="IH248" s="321"/>
      <c r="II248" s="321"/>
      <c r="IJ248" s="321"/>
      <c r="IK248" s="321"/>
      <c r="IL248" s="321">
        <v>10</v>
      </c>
      <c r="IM248" s="440">
        <v>9</v>
      </c>
      <c r="IN248" s="440">
        <v>9</v>
      </c>
      <c r="IO248" s="446">
        <v>10</v>
      </c>
      <c r="IP248" s="446">
        <v>10</v>
      </c>
      <c r="IQ248" s="321">
        <v>10</v>
      </c>
      <c r="IR248" s="321"/>
      <c r="IS248" s="321"/>
      <c r="IT248" s="321"/>
      <c r="IU248" s="321"/>
      <c r="IV248" s="564"/>
    </row>
    <row r="249" spans="1:256" s="326" customFormat="1" ht="8.25" customHeight="1">
      <c r="A249" s="483"/>
      <c r="B249" s="321"/>
      <c r="C249" s="321"/>
      <c r="D249" s="410"/>
      <c r="E249" s="452"/>
      <c r="F249" s="421"/>
      <c r="G249" s="421"/>
      <c r="H249" s="421"/>
      <c r="I249" s="432"/>
      <c r="J249" s="421"/>
      <c r="K249" s="421"/>
      <c r="L249" s="452"/>
      <c r="M249" s="410"/>
      <c r="N249" s="321"/>
      <c r="O249" s="321"/>
      <c r="P249" s="564"/>
      <c r="Q249" s="483"/>
      <c r="W249" s="439"/>
      <c r="X249" s="411"/>
      <c r="Y249" s="411"/>
      <c r="Z249" s="439"/>
      <c r="AF249" s="564"/>
      <c r="AG249" s="483"/>
      <c r="AH249" s="328"/>
      <c r="AI249" s="328"/>
      <c r="AJ249" s="417"/>
      <c r="AK249" s="413"/>
      <c r="AL249" s="413"/>
      <c r="AM249" s="413"/>
      <c r="AN249" s="420"/>
      <c r="AO249" s="413"/>
      <c r="AP249" s="413"/>
      <c r="AQ249" s="413"/>
      <c r="AR249" s="413"/>
      <c r="AS249" s="417"/>
      <c r="AT249" s="328"/>
      <c r="AU249" s="328"/>
      <c r="AV249" s="1237"/>
      <c r="AW249" s="1317"/>
      <c r="AX249" s="449"/>
      <c r="AY249" s="449"/>
      <c r="AZ249" s="449"/>
      <c r="BA249" s="449"/>
      <c r="BB249" s="449"/>
      <c r="BC249" s="449"/>
      <c r="BD249" s="449"/>
      <c r="BE249" s="449"/>
      <c r="BF249" s="449"/>
      <c r="BG249" s="449"/>
      <c r="BH249" s="449"/>
      <c r="BI249" s="449"/>
      <c r="BJ249" s="449"/>
      <c r="BK249" s="449"/>
      <c r="BL249" s="449"/>
      <c r="BM249" s="483"/>
      <c r="BN249" s="321"/>
      <c r="BO249" s="410"/>
      <c r="BP249" s="410"/>
      <c r="BQ249" s="410"/>
      <c r="BR249" s="410"/>
      <c r="BS249" s="410"/>
      <c r="BT249" s="410"/>
      <c r="BU249" s="410"/>
      <c r="BV249" s="410"/>
      <c r="BW249" s="410"/>
      <c r="BX249" s="410"/>
      <c r="BY249" s="410"/>
      <c r="BZ249" s="321"/>
      <c r="CA249" s="321"/>
      <c r="CB249" s="564"/>
      <c r="CC249" s="483"/>
      <c r="CD249" s="321"/>
      <c r="CE249" s="410"/>
      <c r="CF249" s="410"/>
      <c r="CG249" s="410"/>
      <c r="CH249" s="321"/>
      <c r="CI249" s="410"/>
      <c r="CJ249" s="410"/>
      <c r="CK249" s="410"/>
      <c r="CL249" s="321"/>
      <c r="CM249" s="321"/>
      <c r="CN249" s="410"/>
      <c r="CO249" s="410"/>
      <c r="CP249" s="321"/>
      <c r="CQ249" s="321"/>
      <c r="CR249" s="564"/>
      <c r="CS249" s="1236"/>
      <c r="CT249" s="328"/>
      <c r="CU249" s="410"/>
      <c r="CV249" s="410"/>
      <c r="CW249" s="410"/>
      <c r="CX249" s="410"/>
      <c r="CY249" s="410"/>
      <c r="CZ249" s="410"/>
      <c r="DA249" s="410"/>
      <c r="DB249" s="453"/>
      <c r="DC249" s="410"/>
      <c r="DD249" s="410"/>
      <c r="DE249" s="410"/>
      <c r="DF249" s="410"/>
      <c r="DG249" s="410"/>
      <c r="DH249" s="1237"/>
      <c r="DI249" s="1236"/>
      <c r="DJ249" s="328"/>
      <c r="DK249" s="328"/>
      <c r="DL249" s="328"/>
      <c r="DM249" s="438"/>
      <c r="DN249" s="431"/>
      <c r="DO249" s="431"/>
      <c r="DP249" s="431"/>
      <c r="DQ249" s="431"/>
      <c r="DR249" s="431"/>
      <c r="DS249" s="431"/>
      <c r="DT249" s="328"/>
      <c r="DU249" s="328"/>
      <c r="DV249" s="328"/>
      <c r="DW249" s="328"/>
      <c r="DX249" s="564"/>
      <c r="DY249" s="648"/>
      <c r="DZ249" s="410"/>
      <c r="EA249" s="433"/>
      <c r="EB249" s="446"/>
      <c r="EC249" s="410"/>
      <c r="ED249" s="436"/>
      <c r="EE249" s="429"/>
      <c r="EF249" s="410"/>
      <c r="EG249" s="410"/>
      <c r="EH249" s="436"/>
      <c r="EI249" s="429"/>
      <c r="EJ249" s="410"/>
      <c r="EK249" s="452"/>
      <c r="EL249" s="452"/>
      <c r="EM249" s="410"/>
      <c r="EN249" s="649"/>
      <c r="EO249" s="1340"/>
      <c r="EP249" s="442"/>
      <c r="EQ249" s="424"/>
      <c r="ER249" s="442"/>
      <c r="ES249" s="442"/>
      <c r="ET249" s="424"/>
      <c r="EU249" s="415"/>
      <c r="EV249" s="432"/>
      <c r="EW249" s="439"/>
      <c r="EX249" s="461"/>
      <c r="EY249" s="442"/>
      <c r="EZ249" s="424"/>
      <c r="FA249" s="442"/>
      <c r="FB249" s="442"/>
      <c r="FC249" s="424"/>
      <c r="FD249" s="607"/>
      <c r="FE249" s="452"/>
      <c r="FF249" s="415"/>
      <c r="FG249" s="415"/>
      <c r="FH249" s="415"/>
      <c r="FI249" s="452"/>
      <c r="FJ249" s="415"/>
      <c r="FK249" s="452"/>
      <c r="FL249" s="415"/>
      <c r="FM249" s="452"/>
      <c r="FN249" s="415"/>
      <c r="FO249" s="452"/>
      <c r="FP249" s="415"/>
      <c r="FQ249" s="452"/>
      <c r="FR249" s="452"/>
      <c r="FS249" s="415"/>
      <c r="FT249" s="452"/>
      <c r="FU249" s="1236"/>
      <c r="FV249" s="328"/>
      <c r="FW249" s="328"/>
      <c r="FX249" s="328"/>
      <c r="FY249" s="328"/>
      <c r="FZ249" s="328"/>
      <c r="GA249" s="328"/>
      <c r="GB249" s="328"/>
      <c r="GC249" s="328"/>
      <c r="GD249" s="328"/>
      <c r="GE249" s="328"/>
      <c r="GF249" s="328"/>
      <c r="GG249" s="328"/>
      <c r="GH249" s="328"/>
      <c r="GI249" s="328"/>
      <c r="GJ249" s="1237"/>
      <c r="GK249" s="1236"/>
      <c r="GL249" s="328"/>
      <c r="GM249" s="328"/>
      <c r="GN249" s="328"/>
      <c r="GO249" s="328"/>
      <c r="GP249" s="328"/>
      <c r="GQ249" s="328"/>
      <c r="GR249" s="328"/>
      <c r="GS249" s="328"/>
      <c r="GT249" s="328"/>
      <c r="GU249" s="328"/>
      <c r="GV249" s="328"/>
      <c r="GW249" s="328"/>
      <c r="GX249" s="328"/>
      <c r="GY249" s="328"/>
      <c r="GZ249" s="1237"/>
      <c r="HA249" s="432"/>
      <c r="HB249" s="456"/>
      <c r="HC249" s="436"/>
      <c r="HD249" s="436"/>
      <c r="HE249" s="436"/>
      <c r="HF249" s="436"/>
      <c r="HG249" s="464"/>
      <c r="HH249" s="464"/>
      <c r="HI249" s="464"/>
      <c r="HJ249" s="464"/>
      <c r="HK249" s="436"/>
      <c r="HL249" s="436"/>
      <c r="HM249" s="436"/>
      <c r="HN249" s="436"/>
      <c r="HO249" s="456"/>
      <c r="HP249" s="432"/>
      <c r="HQ249" s="483"/>
      <c r="HR249" s="321"/>
      <c r="HS249" s="321"/>
      <c r="HT249" s="321"/>
      <c r="HU249" s="321"/>
      <c r="HV249" s="321"/>
      <c r="HW249" s="321">
        <v>10</v>
      </c>
      <c r="HX249" s="446">
        <v>9</v>
      </c>
      <c r="HY249" s="321">
        <v>10</v>
      </c>
      <c r="HZ249" s="321"/>
      <c r="IA249" s="321"/>
      <c r="IB249" s="321"/>
      <c r="IC249" s="321"/>
      <c r="ID249" s="321"/>
      <c r="IE249" s="321"/>
      <c r="IF249" s="564"/>
      <c r="IG249" s="483"/>
      <c r="IH249" s="321"/>
      <c r="II249" s="321"/>
      <c r="IJ249" s="321"/>
      <c r="IK249" s="321"/>
      <c r="IL249" s="321"/>
      <c r="IM249" s="321"/>
      <c r="IN249" s="321">
        <v>10</v>
      </c>
      <c r="IO249" s="321">
        <v>10</v>
      </c>
      <c r="IP249" s="440">
        <v>9</v>
      </c>
      <c r="IQ249" s="321"/>
      <c r="IR249" s="321"/>
      <c r="IS249" s="321"/>
      <c r="IT249" s="321"/>
      <c r="IU249" s="321"/>
      <c r="IV249" s="564"/>
    </row>
    <row r="250" spans="1:256" s="326" customFormat="1" ht="8.25" customHeight="1">
      <c r="A250" s="483"/>
      <c r="B250" s="321"/>
      <c r="C250" s="410"/>
      <c r="D250" s="321"/>
      <c r="E250" s="410"/>
      <c r="F250" s="452"/>
      <c r="G250" s="421"/>
      <c r="H250" s="421"/>
      <c r="I250" s="421"/>
      <c r="J250" s="421"/>
      <c r="K250" s="410"/>
      <c r="L250" s="410"/>
      <c r="M250" s="452"/>
      <c r="N250" s="321"/>
      <c r="O250" s="321"/>
      <c r="P250" s="564"/>
      <c r="Q250" s="483"/>
      <c r="W250" s="439"/>
      <c r="X250" s="411"/>
      <c r="Y250" s="411"/>
      <c r="Z250" s="439"/>
      <c r="AF250" s="564"/>
      <c r="AG250" s="483"/>
      <c r="AH250" s="328"/>
      <c r="AI250" s="328"/>
      <c r="AJ250" s="422"/>
      <c r="AK250" s="417"/>
      <c r="AL250" s="417"/>
      <c r="AM250" s="417"/>
      <c r="AN250" s="417"/>
      <c r="AO250" s="417"/>
      <c r="AP250" s="417"/>
      <c r="AQ250" s="417"/>
      <c r="AR250" s="417"/>
      <c r="AS250" s="417"/>
      <c r="AT250" s="328"/>
      <c r="AU250" s="328"/>
      <c r="AV250" s="1237"/>
      <c r="AW250" s="1341"/>
      <c r="AX250" s="433"/>
      <c r="AY250" s="436"/>
      <c r="AZ250" s="449"/>
      <c r="BA250" s="426"/>
      <c r="BB250" s="426"/>
      <c r="BC250" s="449"/>
      <c r="BD250" s="449"/>
      <c r="BE250" s="433"/>
      <c r="BF250" s="426"/>
      <c r="BG250" s="426"/>
      <c r="BH250" s="433"/>
      <c r="BI250" s="426"/>
      <c r="BJ250" s="433"/>
      <c r="BK250" s="433"/>
      <c r="BL250" s="449"/>
      <c r="BM250" s="483"/>
      <c r="BN250" s="321"/>
      <c r="BO250" s="410"/>
      <c r="BP250" s="410"/>
      <c r="BQ250" s="410"/>
      <c r="BR250" s="410"/>
      <c r="BS250" s="410"/>
      <c r="BT250" s="410"/>
      <c r="BU250" s="410"/>
      <c r="BV250" s="410"/>
      <c r="BW250" s="410"/>
      <c r="BX250" s="410"/>
      <c r="BY250" s="410"/>
      <c r="BZ250" s="321"/>
      <c r="CA250" s="321"/>
      <c r="CB250" s="564"/>
      <c r="CC250" s="483"/>
      <c r="CD250" s="321"/>
      <c r="CE250" s="410"/>
      <c r="CF250" s="410"/>
      <c r="CG250" s="410"/>
      <c r="CH250" s="410"/>
      <c r="CI250" s="410"/>
      <c r="CJ250" s="410"/>
      <c r="CK250" s="410"/>
      <c r="CL250" s="321"/>
      <c r="CM250" s="410"/>
      <c r="CN250" s="410"/>
      <c r="CO250" s="410"/>
      <c r="CP250" s="321"/>
      <c r="CQ250" s="321"/>
      <c r="CR250" s="564"/>
      <c r="CS250" s="1236"/>
      <c r="CT250" s="328"/>
      <c r="CU250" s="410"/>
      <c r="CV250" s="410"/>
      <c r="CW250" s="410"/>
      <c r="CX250" s="410"/>
      <c r="CY250" s="410"/>
      <c r="CZ250" s="410"/>
      <c r="DA250" s="459"/>
      <c r="DB250" s="410"/>
      <c r="DC250" s="410"/>
      <c r="DD250" s="410"/>
      <c r="DE250" s="410"/>
      <c r="DF250" s="410"/>
      <c r="DG250" s="410"/>
      <c r="DH250" s="1237"/>
      <c r="DI250" s="1236"/>
      <c r="DJ250" s="328"/>
      <c r="DK250" s="328"/>
      <c r="DL250" s="328"/>
      <c r="DM250" s="438"/>
      <c r="DN250" s="438"/>
      <c r="DO250" s="452"/>
      <c r="DP250" s="438"/>
      <c r="DQ250" s="438"/>
      <c r="DR250" s="412"/>
      <c r="DS250" s="438"/>
      <c r="DT250" s="328"/>
      <c r="DU250" s="328"/>
      <c r="DV250" s="328"/>
      <c r="DW250" s="328"/>
      <c r="DX250" s="564"/>
      <c r="DY250" s="648"/>
      <c r="DZ250" s="433"/>
      <c r="EA250" s="410"/>
      <c r="EB250" s="446"/>
      <c r="EC250" s="410"/>
      <c r="ED250" s="436"/>
      <c r="EE250" s="429"/>
      <c r="EF250" s="410"/>
      <c r="EG250" s="410"/>
      <c r="EH250" s="436"/>
      <c r="EI250" s="436"/>
      <c r="EJ250" s="410"/>
      <c r="EK250" s="411"/>
      <c r="EL250" s="411"/>
      <c r="EM250" s="411"/>
      <c r="EN250" s="649"/>
      <c r="EO250" s="1340"/>
      <c r="EP250" s="442"/>
      <c r="EQ250" s="424"/>
      <c r="ER250" s="442"/>
      <c r="ES250" s="442"/>
      <c r="ET250" s="424"/>
      <c r="EU250" s="415"/>
      <c r="EV250" s="432"/>
      <c r="EW250" s="439"/>
      <c r="EX250" s="442"/>
      <c r="EY250" s="461"/>
      <c r="EZ250" s="424"/>
      <c r="FA250" s="442"/>
      <c r="FB250" s="442"/>
      <c r="FC250" s="424"/>
      <c r="FD250" s="607"/>
      <c r="FE250" s="415"/>
      <c r="FF250" s="411"/>
      <c r="FG250" s="415"/>
      <c r="FH250" s="415"/>
      <c r="FI250" s="411"/>
      <c r="FJ250" s="415"/>
      <c r="FK250" s="411"/>
      <c r="FL250" s="415"/>
      <c r="FM250" s="411"/>
      <c r="FN250" s="415"/>
      <c r="FO250" s="411"/>
      <c r="FP250" s="415"/>
      <c r="FQ250" s="411"/>
      <c r="FR250" s="415"/>
      <c r="FS250" s="411"/>
      <c r="FT250" s="411"/>
      <c r="FU250" s="1236"/>
      <c r="FV250" s="328"/>
      <c r="FW250" s="328"/>
      <c r="FX250" s="328"/>
      <c r="FY250" s="328"/>
      <c r="FZ250" s="328"/>
      <c r="GA250" s="328"/>
      <c r="GB250" s="328"/>
      <c r="GC250" s="328"/>
      <c r="GD250" s="328"/>
      <c r="GE250" s="328"/>
      <c r="GF250" s="328"/>
      <c r="GG250" s="328"/>
      <c r="GH250" s="328"/>
      <c r="GI250" s="328"/>
      <c r="GJ250" s="1237"/>
      <c r="GK250" s="1236"/>
      <c r="GL250" s="328"/>
      <c r="GM250" s="328"/>
      <c r="GN250" s="328"/>
      <c r="GO250" s="328"/>
      <c r="GP250" s="328"/>
      <c r="GQ250" s="328"/>
      <c r="GR250" s="328"/>
      <c r="GS250" s="328"/>
      <c r="GT250" s="328"/>
      <c r="GU250" s="328"/>
      <c r="GV250" s="328"/>
      <c r="GW250" s="328"/>
      <c r="GX250" s="328"/>
      <c r="GY250" s="328"/>
      <c r="GZ250" s="1237"/>
      <c r="HA250" s="432"/>
      <c r="HB250" s="449"/>
      <c r="HC250" s="443"/>
      <c r="HD250" s="443"/>
      <c r="HE250" s="436"/>
      <c r="HF250" s="443"/>
      <c r="HG250" s="443"/>
      <c r="HH250" s="443"/>
      <c r="HI250" s="436"/>
      <c r="HJ250" s="443"/>
      <c r="HK250" s="443"/>
      <c r="HL250" s="443"/>
      <c r="HM250" s="436"/>
      <c r="HN250" s="443"/>
      <c r="HO250" s="449"/>
      <c r="HP250" s="432"/>
      <c r="HQ250" s="483"/>
      <c r="HR250" s="321"/>
      <c r="HS250" s="321"/>
      <c r="HT250" s="321"/>
      <c r="HU250" s="321"/>
      <c r="HV250" s="321"/>
      <c r="HW250" s="446">
        <v>9</v>
      </c>
      <c r="HX250" s="321"/>
      <c r="HY250" s="321"/>
      <c r="HZ250" s="321"/>
      <c r="IA250" s="321"/>
      <c r="IB250" s="321"/>
      <c r="IC250" s="321"/>
      <c r="ID250" s="321"/>
      <c r="IE250" s="321"/>
      <c r="IF250" s="564"/>
      <c r="IG250" s="483"/>
      <c r="IH250" s="321"/>
      <c r="II250" s="321"/>
      <c r="IJ250" s="321"/>
      <c r="IK250" s="321"/>
      <c r="IL250" s="321"/>
      <c r="IM250" s="321"/>
      <c r="IN250" s="321"/>
      <c r="IO250" s="440">
        <v>9</v>
      </c>
      <c r="IP250" s="321"/>
      <c r="IQ250" s="321"/>
      <c r="IR250" s="321"/>
      <c r="IS250" s="321"/>
      <c r="IT250" s="321"/>
      <c r="IU250" s="321"/>
      <c r="IV250" s="564"/>
    </row>
    <row r="251" spans="1:256" s="326" customFormat="1" ht="8.25" customHeight="1">
      <c r="A251" s="483"/>
      <c r="B251" s="321"/>
      <c r="C251" s="321"/>
      <c r="D251" s="321"/>
      <c r="E251" s="321"/>
      <c r="F251" s="410"/>
      <c r="G251" s="410"/>
      <c r="H251" s="410"/>
      <c r="I251" s="410"/>
      <c r="J251" s="410"/>
      <c r="K251" s="452"/>
      <c r="L251" s="321"/>
      <c r="M251" s="410"/>
      <c r="N251" s="321"/>
      <c r="O251" s="321"/>
      <c r="P251" s="564"/>
      <c r="Q251" s="483"/>
      <c r="R251" s="321"/>
      <c r="S251" s="321"/>
      <c r="T251" s="321"/>
      <c r="U251" s="321"/>
      <c r="V251" s="321"/>
      <c r="W251" s="439"/>
      <c r="X251" s="411"/>
      <c r="Y251" s="411"/>
      <c r="Z251" s="439"/>
      <c r="AA251" s="321"/>
      <c r="AB251" s="321"/>
      <c r="AC251" s="321"/>
      <c r="AD251" s="321"/>
      <c r="AE251" s="321"/>
      <c r="AF251" s="564"/>
      <c r="AG251" s="483"/>
      <c r="AH251" s="328"/>
      <c r="AI251" s="328"/>
      <c r="AJ251" s="422"/>
      <c r="AK251" s="417"/>
      <c r="AL251" s="422"/>
      <c r="AM251" s="417"/>
      <c r="AN251" s="422"/>
      <c r="AO251" s="417"/>
      <c r="AP251" s="422"/>
      <c r="AQ251" s="417"/>
      <c r="AR251" s="422"/>
      <c r="AS251" s="417"/>
      <c r="AT251" s="328"/>
      <c r="AU251" s="328"/>
      <c r="AV251" s="1237"/>
      <c r="AW251" s="1341"/>
      <c r="AX251" s="449"/>
      <c r="AY251" s="433"/>
      <c r="AZ251" s="426"/>
      <c r="BA251" s="436"/>
      <c r="BB251" s="426"/>
      <c r="BC251" s="433"/>
      <c r="BD251" s="449"/>
      <c r="BE251" s="433"/>
      <c r="BF251" s="449"/>
      <c r="BG251" s="449"/>
      <c r="BH251" s="433"/>
      <c r="BI251" s="436"/>
      <c r="BJ251" s="433"/>
      <c r="BK251" s="449"/>
      <c r="BL251" s="433"/>
      <c r="BM251" s="483"/>
      <c r="BN251" s="321"/>
      <c r="BO251" s="321"/>
      <c r="BP251" s="410"/>
      <c r="BQ251" s="410"/>
      <c r="BR251" s="410"/>
      <c r="BS251" s="410"/>
      <c r="BT251" s="410"/>
      <c r="BU251" s="410"/>
      <c r="BV251" s="410"/>
      <c r="BW251" s="410"/>
      <c r="BX251" s="410"/>
      <c r="BY251" s="321"/>
      <c r="BZ251" s="321"/>
      <c r="CA251" s="321"/>
      <c r="CB251" s="564"/>
      <c r="CC251" s="483"/>
      <c r="CD251" s="321"/>
      <c r="CE251" s="321"/>
      <c r="CF251" s="410"/>
      <c r="CG251" s="410"/>
      <c r="CH251" s="410"/>
      <c r="CI251" s="410"/>
      <c r="CJ251" s="410"/>
      <c r="CK251" s="410"/>
      <c r="CL251" s="410"/>
      <c r="CM251" s="410"/>
      <c r="CN251" s="410"/>
      <c r="CO251" s="321"/>
      <c r="CP251" s="321"/>
      <c r="CQ251" s="321"/>
      <c r="CR251" s="564"/>
      <c r="CS251" s="1236"/>
      <c r="CT251" s="328"/>
      <c r="CU251" s="410"/>
      <c r="CV251" s="410"/>
      <c r="CW251" s="410"/>
      <c r="CX251" s="410"/>
      <c r="CY251" s="410"/>
      <c r="CZ251" s="443"/>
      <c r="DA251" s="410"/>
      <c r="DB251" s="410"/>
      <c r="DC251" s="410"/>
      <c r="DD251" s="410"/>
      <c r="DE251" s="410"/>
      <c r="DF251" s="410"/>
      <c r="DG251" s="444"/>
      <c r="DH251" s="1237"/>
      <c r="DI251" s="1236"/>
      <c r="DJ251" s="328"/>
      <c r="DK251" s="328"/>
      <c r="DL251" s="328"/>
      <c r="DM251" s="438"/>
      <c r="DN251" s="438"/>
      <c r="DO251" s="452"/>
      <c r="DP251" s="438"/>
      <c r="DQ251" s="438"/>
      <c r="DR251" s="412"/>
      <c r="DS251" s="431"/>
      <c r="DT251" s="328"/>
      <c r="DU251" s="328"/>
      <c r="DV251" s="328"/>
      <c r="DW251" s="328"/>
      <c r="DX251" s="564"/>
      <c r="DY251" s="433"/>
      <c r="DZ251" s="410"/>
      <c r="EA251" s="410"/>
      <c r="EB251" s="410"/>
      <c r="EC251" s="410"/>
      <c r="ED251" s="436"/>
      <c r="EE251" s="410"/>
      <c r="EF251" s="410"/>
      <c r="EG251" s="410"/>
      <c r="EH251" s="410"/>
      <c r="EI251" s="436"/>
      <c r="EJ251" s="410"/>
      <c r="EK251" s="410"/>
      <c r="EL251" s="452"/>
      <c r="EM251" s="452"/>
      <c r="EN251" s="649"/>
      <c r="EO251" s="1340"/>
      <c r="EP251" s="442"/>
      <c r="EQ251" s="424"/>
      <c r="ER251" s="442"/>
      <c r="ES251" s="442"/>
      <c r="ET251" s="424"/>
      <c r="EU251" s="415"/>
      <c r="EV251" s="432"/>
      <c r="EW251" s="439"/>
      <c r="EX251" s="442"/>
      <c r="EY251" s="442"/>
      <c r="EZ251" s="455"/>
      <c r="FA251" s="442"/>
      <c r="FB251" s="442"/>
      <c r="FC251" s="424"/>
      <c r="FD251" s="607"/>
      <c r="FE251" s="415"/>
      <c r="FF251" s="415"/>
      <c r="FG251" s="439"/>
      <c r="FH251" s="415"/>
      <c r="FI251" s="439"/>
      <c r="FJ251" s="415"/>
      <c r="FK251" s="439"/>
      <c r="FL251" s="415"/>
      <c r="FM251" s="439"/>
      <c r="FN251" s="415"/>
      <c r="FO251" s="439"/>
      <c r="FP251" s="415"/>
      <c r="FQ251" s="439"/>
      <c r="FR251" s="415"/>
      <c r="FS251" s="415"/>
      <c r="FT251" s="439"/>
      <c r="FU251" s="1236"/>
      <c r="FV251" s="328"/>
      <c r="FW251" s="328"/>
      <c r="FX251" s="328"/>
      <c r="FY251" s="328"/>
      <c r="FZ251" s="328"/>
      <c r="GA251" s="328"/>
      <c r="GB251" s="328"/>
      <c r="GC251" s="328"/>
      <c r="GD251" s="328"/>
      <c r="GE251" s="328"/>
      <c r="GF251" s="328"/>
      <c r="GG251" s="328"/>
      <c r="GH251" s="328"/>
      <c r="GI251" s="328"/>
      <c r="GJ251" s="1237"/>
      <c r="GK251" s="1236"/>
      <c r="GL251" s="328"/>
      <c r="GM251" s="328"/>
      <c r="GN251" s="328"/>
      <c r="GO251" s="328"/>
      <c r="GP251" s="328"/>
      <c r="GQ251" s="328"/>
      <c r="GR251" s="328"/>
      <c r="GS251" s="328"/>
      <c r="GT251" s="328"/>
      <c r="GU251" s="328"/>
      <c r="GV251" s="328"/>
      <c r="GW251" s="328"/>
      <c r="GX251" s="328"/>
      <c r="GY251" s="328"/>
      <c r="GZ251" s="1237"/>
      <c r="HA251" s="436"/>
      <c r="HB251" s="429"/>
      <c r="HC251" s="429"/>
      <c r="HD251" s="429"/>
      <c r="HE251" s="429"/>
      <c r="HF251" s="429"/>
      <c r="HG251" s="429"/>
      <c r="HH251" s="429"/>
      <c r="HI251" s="429"/>
      <c r="HJ251" s="429"/>
      <c r="HK251" s="429"/>
      <c r="HL251" s="429"/>
      <c r="HM251" s="429"/>
      <c r="HN251" s="429"/>
      <c r="HO251" s="429"/>
      <c r="HP251" s="436"/>
      <c r="HQ251" s="483"/>
      <c r="HR251" s="321"/>
      <c r="HS251" s="321"/>
      <c r="HT251" s="321"/>
      <c r="HU251" s="321"/>
      <c r="HV251" s="321"/>
      <c r="HW251" s="321"/>
      <c r="HX251" s="321"/>
      <c r="HY251" s="321"/>
      <c r="HZ251" s="321"/>
      <c r="IA251" s="321"/>
      <c r="IB251" s="321"/>
      <c r="IC251" s="321"/>
      <c r="ID251" s="321"/>
      <c r="IE251" s="321"/>
      <c r="IF251" s="564"/>
      <c r="IG251" s="483"/>
      <c r="IH251" s="321"/>
      <c r="II251" s="321"/>
      <c r="IJ251" s="321"/>
      <c r="IK251" s="321"/>
      <c r="IL251" s="321"/>
      <c r="IM251" s="321"/>
      <c r="IN251" s="321"/>
      <c r="IO251" s="321"/>
      <c r="IP251" s="321"/>
      <c r="IQ251" s="321"/>
      <c r="IR251" s="321"/>
      <c r="IS251" s="321"/>
      <c r="IT251" s="321"/>
      <c r="IU251" s="321"/>
      <c r="IV251" s="564"/>
    </row>
    <row r="252" spans="1:256" s="326" customFormat="1" ht="8.25" customHeight="1">
      <c r="A252" s="483"/>
      <c r="B252" s="321"/>
      <c r="C252" s="321"/>
      <c r="D252" s="321"/>
      <c r="E252" s="321"/>
      <c r="F252" s="452"/>
      <c r="G252" s="321"/>
      <c r="H252" s="321"/>
      <c r="I252" s="321"/>
      <c r="J252" s="321"/>
      <c r="K252" s="410"/>
      <c r="L252" s="321"/>
      <c r="M252" s="410"/>
      <c r="N252" s="321"/>
      <c r="O252" s="321"/>
      <c r="P252" s="564"/>
      <c r="Q252" s="483"/>
      <c r="R252" s="321"/>
      <c r="S252" s="321"/>
      <c r="T252" s="321"/>
      <c r="U252" s="321"/>
      <c r="V252" s="321"/>
      <c r="W252" s="439"/>
      <c r="X252" s="411"/>
      <c r="Y252" s="411"/>
      <c r="Z252" s="439"/>
      <c r="AA252" s="321"/>
      <c r="AB252" s="321"/>
      <c r="AC252" s="321"/>
      <c r="AD252" s="321"/>
      <c r="AE252" s="321"/>
      <c r="AF252" s="564"/>
      <c r="AG252" s="483"/>
      <c r="AH252" s="328"/>
      <c r="AI252" s="328"/>
      <c r="AJ252" s="415"/>
      <c r="AK252" s="417"/>
      <c r="AL252" s="422"/>
      <c r="AM252" s="417"/>
      <c r="AN252" s="422"/>
      <c r="AO252" s="417"/>
      <c r="AP252" s="422"/>
      <c r="AQ252" s="417"/>
      <c r="AR252" s="422"/>
      <c r="AS252" s="415"/>
      <c r="AT252" s="328"/>
      <c r="AU252" s="328"/>
      <c r="AV252" s="1237"/>
      <c r="AW252" s="1341"/>
      <c r="AX252" s="449"/>
      <c r="AY252" s="433"/>
      <c r="AZ252" s="426"/>
      <c r="BA252" s="426"/>
      <c r="BB252" s="426"/>
      <c r="BC252" s="449"/>
      <c r="BD252" s="433"/>
      <c r="BE252" s="433"/>
      <c r="BF252" s="449"/>
      <c r="BG252" s="426"/>
      <c r="BH252" s="433"/>
      <c r="BI252" s="426"/>
      <c r="BJ252" s="433"/>
      <c r="BK252" s="449"/>
      <c r="BL252" s="433"/>
      <c r="BM252" s="483"/>
      <c r="BN252" s="321"/>
      <c r="BO252" s="321"/>
      <c r="BP252" s="410"/>
      <c r="BQ252" s="410"/>
      <c r="BR252" s="410"/>
      <c r="BS252" s="410"/>
      <c r="BT252" s="410"/>
      <c r="BU252" s="410"/>
      <c r="BV252" s="410"/>
      <c r="BW252" s="410"/>
      <c r="BX252" s="410"/>
      <c r="BY252" s="321"/>
      <c r="BZ252" s="321"/>
      <c r="CA252" s="321"/>
      <c r="CB252" s="564"/>
      <c r="CC252" s="483"/>
      <c r="CD252" s="321"/>
      <c r="CE252" s="321"/>
      <c r="CF252" s="410"/>
      <c r="CG252" s="410"/>
      <c r="CH252" s="410"/>
      <c r="CI252" s="410"/>
      <c r="CJ252" s="410"/>
      <c r="CK252" s="410"/>
      <c r="CL252" s="410"/>
      <c r="CM252" s="410"/>
      <c r="CN252" s="410"/>
      <c r="CO252" s="321"/>
      <c r="CP252" s="321"/>
      <c r="CQ252" s="321"/>
      <c r="CR252" s="564"/>
      <c r="CS252" s="1236"/>
      <c r="CT252" s="328"/>
      <c r="CU252" s="410"/>
      <c r="CV252" s="410"/>
      <c r="CW252" s="443"/>
      <c r="CX252" s="410"/>
      <c r="CY252" s="443"/>
      <c r="CZ252" s="410"/>
      <c r="DA252" s="410"/>
      <c r="DB252" s="444"/>
      <c r="DC252" s="410"/>
      <c r="DD252" s="444"/>
      <c r="DE252" s="450"/>
      <c r="DF252" s="450"/>
      <c r="DG252" s="410"/>
      <c r="DH252" s="1237"/>
      <c r="DI252" s="1236"/>
      <c r="DJ252" s="328"/>
      <c r="DK252" s="328"/>
      <c r="DL252" s="328"/>
      <c r="DM252" s="438"/>
      <c r="DN252" s="438"/>
      <c r="DO252" s="452"/>
      <c r="DP252" s="438"/>
      <c r="DQ252" s="412"/>
      <c r="DR252" s="431"/>
      <c r="DS252" s="431"/>
      <c r="DT252" s="328"/>
      <c r="DU252" s="328"/>
      <c r="DV252" s="328"/>
      <c r="DW252" s="328"/>
      <c r="DX252" s="564"/>
      <c r="DY252" s="648"/>
      <c r="DZ252" s="411"/>
      <c r="EA252" s="411"/>
      <c r="EB252" s="411"/>
      <c r="EC252" s="410"/>
      <c r="ED252" s="436"/>
      <c r="EE252" s="436"/>
      <c r="EF252" s="410"/>
      <c r="EG252" s="410"/>
      <c r="EH252" s="436"/>
      <c r="EI252" s="436"/>
      <c r="EJ252" s="410"/>
      <c r="EK252" s="410"/>
      <c r="EL252" s="410"/>
      <c r="EM252" s="410"/>
      <c r="EN252" s="649"/>
      <c r="EO252" s="1340"/>
      <c r="EP252" s="442"/>
      <c r="EQ252" s="424"/>
      <c r="ER252" s="442"/>
      <c r="ES252" s="442"/>
      <c r="ET252" s="424"/>
      <c r="EU252" s="415"/>
      <c r="EV252" s="432"/>
      <c r="EW252" s="439"/>
      <c r="EX252" s="442"/>
      <c r="EY252" s="442"/>
      <c r="EZ252" s="424"/>
      <c r="FA252" s="461"/>
      <c r="FB252" s="442"/>
      <c r="FC252" s="424"/>
      <c r="FD252" s="607"/>
      <c r="FE252" s="432"/>
      <c r="FF252" s="432"/>
      <c r="FG252" s="415"/>
      <c r="FH252" s="415"/>
      <c r="FI252" s="415"/>
      <c r="FJ252" s="432"/>
      <c r="FK252" s="415"/>
      <c r="FL252" s="415"/>
      <c r="FM252" s="415"/>
      <c r="FN252" s="432"/>
      <c r="FO252" s="415"/>
      <c r="FP252" s="415"/>
      <c r="FQ252" s="432"/>
      <c r="FR252" s="415"/>
      <c r="FS252" s="415"/>
      <c r="FT252" s="432"/>
      <c r="FU252" s="1236"/>
      <c r="FV252" s="328"/>
      <c r="FW252" s="328"/>
      <c r="FX252" s="328"/>
      <c r="FY252" s="328"/>
      <c r="FZ252" s="328"/>
      <c r="GA252" s="328"/>
      <c r="GB252" s="328"/>
      <c r="GC252" s="328"/>
      <c r="GD252" s="328"/>
      <c r="GE252" s="328"/>
      <c r="GF252" s="328"/>
      <c r="GG252" s="328"/>
      <c r="GH252" s="328"/>
      <c r="GI252" s="328"/>
      <c r="GJ252" s="1237"/>
      <c r="GK252" s="1236"/>
      <c r="GL252" s="328"/>
      <c r="GM252" s="328"/>
      <c r="GN252" s="328"/>
      <c r="GO252" s="328"/>
      <c r="GP252" s="328"/>
      <c r="GQ252" s="328"/>
      <c r="GR252" s="328"/>
      <c r="GS252" s="328"/>
      <c r="GT252" s="328"/>
      <c r="GU252" s="328"/>
      <c r="GV252" s="328"/>
      <c r="GW252" s="328"/>
      <c r="GX252" s="328"/>
      <c r="GY252" s="328"/>
      <c r="GZ252" s="1237"/>
      <c r="HA252" s="432"/>
      <c r="HB252" s="432"/>
      <c r="HC252" s="432"/>
      <c r="HD252" s="432"/>
      <c r="HE252" s="432"/>
      <c r="HF252" s="432"/>
      <c r="HG252" s="432"/>
      <c r="HH252" s="432"/>
      <c r="HI252" s="432"/>
      <c r="HJ252" s="432"/>
      <c r="HK252" s="432"/>
      <c r="HL252" s="432"/>
      <c r="HM252" s="432"/>
      <c r="HN252" s="432"/>
      <c r="HO252" s="432"/>
      <c r="HP252" s="432"/>
      <c r="HQ252" s="483"/>
      <c r="HR252" s="321"/>
      <c r="HS252" s="321"/>
      <c r="HT252" s="321"/>
      <c r="HU252" s="321"/>
      <c r="HV252" s="321"/>
      <c r="HW252" s="321"/>
      <c r="HX252" s="321"/>
      <c r="HY252" s="321"/>
      <c r="HZ252" s="321"/>
      <c r="IA252" s="321"/>
      <c r="IB252" s="321"/>
      <c r="IC252" s="321"/>
      <c r="ID252" s="321"/>
      <c r="IE252" s="321"/>
      <c r="IF252" s="564"/>
      <c r="IG252" s="483"/>
      <c r="IH252" s="321"/>
      <c r="II252" s="321"/>
      <c r="IJ252" s="321"/>
      <c r="IK252" s="321"/>
      <c r="IL252" s="321"/>
      <c r="IM252" s="321"/>
      <c r="IN252" s="321"/>
      <c r="IO252" s="321"/>
      <c r="IP252" s="321"/>
      <c r="IQ252" s="321"/>
      <c r="IR252" s="321"/>
      <c r="IS252" s="321"/>
      <c r="IT252" s="321"/>
      <c r="IU252" s="321"/>
      <c r="IV252" s="564"/>
    </row>
    <row r="253" spans="1:256" s="326" customFormat="1" ht="8.25" customHeight="1">
      <c r="A253" s="483"/>
      <c r="B253" s="321"/>
      <c r="C253" s="321"/>
      <c r="D253" s="321"/>
      <c r="E253" s="321"/>
      <c r="F253" s="410"/>
      <c r="G253" s="321"/>
      <c r="H253" s="321"/>
      <c r="I253" s="321"/>
      <c r="J253" s="321"/>
      <c r="K253" s="410"/>
      <c r="L253" s="321"/>
      <c r="M253" s="410"/>
      <c r="N253" s="321"/>
      <c r="O253" s="321"/>
      <c r="P253" s="564"/>
      <c r="Q253" s="483"/>
      <c r="R253" s="321"/>
      <c r="S253" s="321"/>
      <c r="T253" s="321"/>
      <c r="U253" s="321"/>
      <c r="V253" s="321"/>
      <c r="W253" s="439"/>
      <c r="X253" s="411"/>
      <c r="Y253" s="411"/>
      <c r="Z253" s="439"/>
      <c r="AA253" s="321"/>
      <c r="AB253" s="321"/>
      <c r="AC253" s="321"/>
      <c r="AD253" s="321"/>
      <c r="AE253" s="321"/>
      <c r="AF253" s="564"/>
      <c r="AG253" s="483"/>
      <c r="AH253" s="328"/>
      <c r="AI253" s="328"/>
      <c r="AJ253" s="416"/>
      <c r="AK253" s="415"/>
      <c r="AL253" s="420"/>
      <c r="AM253" s="415"/>
      <c r="AN253" s="415"/>
      <c r="AO253" s="415"/>
      <c r="AP253" s="414"/>
      <c r="AQ253" s="414"/>
      <c r="AR253" s="415"/>
      <c r="AS253" s="415"/>
      <c r="AT253" s="328"/>
      <c r="AU253" s="328"/>
      <c r="AV253" s="1237"/>
      <c r="AW253" s="1341"/>
      <c r="AX253" s="449"/>
      <c r="AY253" s="433"/>
      <c r="AZ253" s="426"/>
      <c r="BA253" s="449"/>
      <c r="BB253" s="426"/>
      <c r="BC253" s="449"/>
      <c r="BD253" s="449"/>
      <c r="BE253" s="433"/>
      <c r="BF253" s="436"/>
      <c r="BG253" s="426"/>
      <c r="BH253" s="433"/>
      <c r="BI253" s="436"/>
      <c r="BJ253" s="433"/>
      <c r="BK253" s="433"/>
      <c r="BL253" s="436"/>
      <c r="BM253" s="483"/>
      <c r="BN253" s="321"/>
      <c r="BO253" s="321"/>
      <c r="BP253" s="321"/>
      <c r="BQ253" s="410"/>
      <c r="BR253" s="410"/>
      <c r="BS253" s="410"/>
      <c r="BT253" s="410"/>
      <c r="BU253" s="410"/>
      <c r="BV253" s="410"/>
      <c r="BW253" s="410"/>
      <c r="BX253" s="321"/>
      <c r="BY253" s="321"/>
      <c r="BZ253" s="321"/>
      <c r="CA253" s="321"/>
      <c r="CB253" s="564"/>
      <c r="CC253" s="483"/>
      <c r="CD253" s="321"/>
      <c r="CE253" s="321"/>
      <c r="CF253" s="321"/>
      <c r="CG253" s="410"/>
      <c r="CH253" s="410"/>
      <c r="CI253" s="410"/>
      <c r="CJ253" s="410"/>
      <c r="CK253" s="410"/>
      <c r="CL253" s="410"/>
      <c r="CM253" s="410"/>
      <c r="CN253" s="321"/>
      <c r="CO253" s="321"/>
      <c r="CP253" s="321"/>
      <c r="CQ253" s="321"/>
      <c r="CR253" s="564"/>
      <c r="CS253" s="1236"/>
      <c r="CT253" s="328"/>
      <c r="CU253" s="410"/>
      <c r="CV253" s="441"/>
      <c r="CW253" s="410"/>
      <c r="CX253" s="441"/>
      <c r="CY253" s="410"/>
      <c r="CZ253" s="410"/>
      <c r="DA253" s="410"/>
      <c r="DB253" s="444"/>
      <c r="DC253" s="444"/>
      <c r="DD253" s="444"/>
      <c r="DE253" s="410"/>
      <c r="DF253" s="450"/>
      <c r="DG253" s="410"/>
      <c r="DH253" s="1237"/>
      <c r="DI253" s="1236"/>
      <c r="DJ253" s="328"/>
      <c r="DK253" s="328"/>
      <c r="DL253" s="328"/>
      <c r="DM253" s="328"/>
      <c r="DN253" s="438"/>
      <c r="DO253" s="452"/>
      <c r="DP253" s="438"/>
      <c r="DQ253" s="412"/>
      <c r="DR253" s="431"/>
      <c r="DS253" s="328"/>
      <c r="DT253" s="328"/>
      <c r="DU253" s="328"/>
      <c r="DV253" s="328"/>
      <c r="DW253" s="328"/>
      <c r="DX253" s="564"/>
      <c r="DY253" s="648"/>
      <c r="DZ253" s="410"/>
      <c r="EA253" s="452"/>
      <c r="EB253" s="452"/>
      <c r="EC253" s="410"/>
      <c r="ED253" s="436"/>
      <c r="EE253" s="429"/>
      <c r="EF253" s="410"/>
      <c r="EG253" s="410"/>
      <c r="EH253" s="429"/>
      <c r="EI253" s="436"/>
      <c r="EJ253" s="410"/>
      <c r="EK253" s="410"/>
      <c r="EL253" s="410"/>
      <c r="EM253" s="410"/>
      <c r="EN253" s="649"/>
      <c r="EO253" s="1340"/>
      <c r="EP253" s="442"/>
      <c r="EQ253" s="424"/>
      <c r="ER253" s="442"/>
      <c r="ES253" s="442"/>
      <c r="ET253" s="424"/>
      <c r="EU253" s="415"/>
      <c r="EV253" s="432"/>
      <c r="EW253" s="439"/>
      <c r="EX253" s="442"/>
      <c r="EY253" s="442"/>
      <c r="EZ253" s="424"/>
      <c r="FA253" s="442"/>
      <c r="FB253" s="461"/>
      <c r="FC253" s="424"/>
      <c r="FD253" s="607"/>
      <c r="FE253" s="1236"/>
      <c r="FF253" s="328"/>
      <c r="FG253" s="328"/>
      <c r="FH253" s="328"/>
      <c r="FI253" s="328"/>
      <c r="FJ253" s="328"/>
      <c r="FK253" s="328"/>
      <c r="FL253" s="328"/>
      <c r="FM253" s="328"/>
      <c r="FN253" s="328"/>
      <c r="FO253" s="328"/>
      <c r="FP253" s="328"/>
      <c r="FQ253" s="328"/>
      <c r="FR253" s="328"/>
      <c r="FS253" s="328"/>
      <c r="FT253" s="328"/>
      <c r="FU253" s="1236"/>
      <c r="FV253" s="328"/>
      <c r="FW253" s="328"/>
      <c r="FX253" s="328"/>
      <c r="FY253" s="328"/>
      <c r="FZ253" s="328"/>
      <c r="GA253" s="328"/>
      <c r="GB253" s="328"/>
      <c r="GC253" s="328"/>
      <c r="GD253" s="328"/>
      <c r="GE253" s="328"/>
      <c r="GF253" s="328"/>
      <c r="GG253" s="328"/>
      <c r="GH253" s="328"/>
      <c r="GI253" s="328"/>
      <c r="GJ253" s="1237"/>
      <c r="GK253" s="1236"/>
      <c r="GL253" s="328"/>
      <c r="GM253" s="328"/>
      <c r="GN253" s="328"/>
      <c r="GO253" s="328"/>
      <c r="GP253" s="328"/>
      <c r="GQ253" s="328"/>
      <c r="GR253" s="328"/>
      <c r="GS253" s="328"/>
      <c r="GT253" s="328"/>
      <c r="GU253" s="328"/>
      <c r="GV253" s="328"/>
      <c r="GW253" s="328"/>
      <c r="GX253" s="328"/>
      <c r="GY253" s="328"/>
      <c r="GZ253" s="1237"/>
      <c r="HA253" s="1236"/>
      <c r="HB253" s="328"/>
      <c r="HC253" s="328"/>
      <c r="HD253" s="328"/>
      <c r="HE253" s="328"/>
      <c r="HF253" s="328"/>
      <c r="HG253" s="328"/>
      <c r="HH253" s="328"/>
      <c r="HI253" s="328"/>
      <c r="HJ253" s="328"/>
      <c r="HK253" s="328"/>
      <c r="HL253" s="328"/>
      <c r="HM253" s="328"/>
      <c r="HN253" s="328"/>
      <c r="HO253" s="328"/>
      <c r="HP253" s="1237"/>
      <c r="HQ253" s="483"/>
      <c r="HR253" s="321"/>
      <c r="HS253" s="321"/>
      <c r="HT253" s="321"/>
      <c r="HU253" s="321"/>
      <c r="HV253" s="321"/>
      <c r="HW253" s="321"/>
      <c r="HX253" s="321"/>
      <c r="HY253" s="321"/>
      <c r="HZ253" s="321"/>
      <c r="IA253" s="321"/>
      <c r="IB253" s="321"/>
      <c r="IC253" s="321"/>
      <c r="ID253" s="321"/>
      <c r="IE253" s="321"/>
      <c r="IF253" s="564"/>
      <c r="IG253" s="483"/>
      <c r="IH253" s="321"/>
      <c r="II253" s="321"/>
      <c r="IJ253" s="321"/>
      <c r="IK253" s="321"/>
      <c r="IL253" s="321"/>
      <c r="IM253" s="321"/>
      <c r="IN253" s="321"/>
      <c r="IO253" s="321"/>
      <c r="IP253" s="321"/>
      <c r="IQ253" s="321"/>
      <c r="IR253" s="321"/>
      <c r="IS253" s="321"/>
      <c r="IT253" s="321"/>
      <c r="IU253" s="321"/>
      <c r="IV253" s="564"/>
    </row>
    <row r="254" spans="1:256" s="326" customFormat="1" ht="8.25" customHeight="1">
      <c r="A254" s="483"/>
      <c r="B254" s="321"/>
      <c r="C254" s="321"/>
      <c r="D254" s="321"/>
      <c r="E254" s="321"/>
      <c r="F254" s="410"/>
      <c r="G254" s="321"/>
      <c r="H254" s="321"/>
      <c r="I254" s="321"/>
      <c r="J254" s="321"/>
      <c r="K254" s="410"/>
      <c r="L254" s="321"/>
      <c r="M254" s="452"/>
      <c r="N254" s="321"/>
      <c r="O254" s="321"/>
      <c r="P254" s="564"/>
      <c r="Q254" s="483"/>
      <c r="R254" s="321"/>
      <c r="S254" s="321"/>
      <c r="T254" s="321"/>
      <c r="U254" s="321"/>
      <c r="V254" s="321"/>
      <c r="W254" s="439"/>
      <c r="X254" s="411"/>
      <c r="Y254" s="411"/>
      <c r="Z254" s="439"/>
      <c r="AA254" s="321"/>
      <c r="AB254" s="321"/>
      <c r="AC254" s="321"/>
      <c r="AD254" s="321"/>
      <c r="AE254" s="321"/>
      <c r="AF254" s="564"/>
      <c r="AG254" s="483"/>
      <c r="AH254" s="328"/>
      <c r="AI254" s="328"/>
      <c r="AJ254" s="422"/>
      <c r="AK254" s="416"/>
      <c r="AL254" s="415"/>
      <c r="AM254" s="416"/>
      <c r="AN254" s="416"/>
      <c r="AO254" s="416"/>
      <c r="AP254" s="415"/>
      <c r="AQ254" s="415"/>
      <c r="AR254" s="416"/>
      <c r="AS254" s="417"/>
      <c r="AT254" s="328"/>
      <c r="AU254" s="328"/>
      <c r="AV254" s="1237"/>
      <c r="AW254" s="1341"/>
      <c r="AX254" s="433"/>
      <c r="AY254" s="436"/>
      <c r="AZ254" s="426"/>
      <c r="BA254" s="449"/>
      <c r="BB254" s="426"/>
      <c r="BC254" s="449"/>
      <c r="BD254" s="449"/>
      <c r="BE254" s="433"/>
      <c r="BF254" s="426"/>
      <c r="BG254" s="426"/>
      <c r="BH254" s="433"/>
      <c r="BI254" s="426"/>
      <c r="BJ254" s="433"/>
      <c r="BK254" s="449"/>
      <c r="BL254" s="433"/>
      <c r="BM254" s="483"/>
      <c r="BN254" s="321"/>
      <c r="BO254" s="321"/>
      <c r="BP254" s="321"/>
      <c r="BQ254" s="410"/>
      <c r="BR254" s="410"/>
      <c r="BS254" s="410"/>
      <c r="BT254" s="410"/>
      <c r="BU254" s="410"/>
      <c r="BV254" s="410"/>
      <c r="BW254" s="410"/>
      <c r="BX254" s="321"/>
      <c r="BY254" s="321"/>
      <c r="BZ254" s="321"/>
      <c r="CA254" s="321"/>
      <c r="CB254" s="564"/>
      <c r="CC254" s="483"/>
      <c r="CD254" s="321"/>
      <c r="CE254" s="321"/>
      <c r="CF254" s="321"/>
      <c r="CG254" s="410"/>
      <c r="CH254" s="410"/>
      <c r="CI254" s="410"/>
      <c r="CJ254" s="410"/>
      <c r="CK254" s="410"/>
      <c r="CL254" s="410"/>
      <c r="CM254" s="410"/>
      <c r="CN254" s="321"/>
      <c r="CO254" s="321"/>
      <c r="CP254" s="321"/>
      <c r="CQ254" s="321"/>
      <c r="CR254" s="564"/>
      <c r="CS254" s="1236"/>
      <c r="CT254" s="328"/>
      <c r="CU254" s="441"/>
      <c r="CV254" s="410"/>
      <c r="CW254" s="410"/>
      <c r="CX254" s="410"/>
      <c r="CY254" s="410"/>
      <c r="CZ254" s="410"/>
      <c r="DA254" s="410"/>
      <c r="DB254" s="410"/>
      <c r="DC254" s="410"/>
      <c r="DD254" s="444"/>
      <c r="DE254" s="410"/>
      <c r="DF254" s="450"/>
      <c r="DG254" s="410"/>
      <c r="DH254" s="1237"/>
      <c r="DI254" s="1236"/>
      <c r="DJ254" s="328"/>
      <c r="DK254" s="328"/>
      <c r="DL254" s="328"/>
      <c r="DM254" s="328"/>
      <c r="DN254" s="438"/>
      <c r="DO254" s="452"/>
      <c r="DP254" s="438"/>
      <c r="DQ254" s="412"/>
      <c r="DR254" s="431"/>
      <c r="DS254" s="328"/>
      <c r="DT254" s="328"/>
      <c r="DU254" s="328"/>
      <c r="DV254" s="328"/>
      <c r="DW254" s="328"/>
      <c r="DX254" s="564"/>
      <c r="DY254" s="648"/>
      <c r="DZ254" s="410"/>
      <c r="EA254" s="410"/>
      <c r="EB254" s="410"/>
      <c r="EC254" s="410"/>
      <c r="ED254" s="436"/>
      <c r="EE254" s="410"/>
      <c r="EF254" s="410"/>
      <c r="EG254" s="410"/>
      <c r="EH254" s="410"/>
      <c r="EI254" s="436"/>
      <c r="EJ254" s="410"/>
      <c r="EK254" s="410"/>
      <c r="EL254" s="410"/>
      <c r="EM254" s="410"/>
      <c r="EN254" s="649"/>
      <c r="EO254" s="1236"/>
      <c r="EP254" s="328"/>
      <c r="EQ254" s="328"/>
      <c r="ER254" s="328"/>
      <c r="ES254" s="328"/>
      <c r="ET254" s="328"/>
      <c r="EU254" s="328"/>
      <c r="EV254" s="328"/>
      <c r="EW254" s="328"/>
      <c r="EX254" s="328"/>
      <c r="EY254" s="328"/>
      <c r="EZ254" s="328"/>
      <c r="FA254" s="328"/>
      <c r="FB254" s="328"/>
      <c r="FC254" s="328"/>
      <c r="FD254" s="1237"/>
      <c r="FE254" s="1236"/>
      <c r="FF254" s="328"/>
      <c r="FG254" s="328"/>
      <c r="FH254" s="328"/>
      <c r="FI254" s="328"/>
      <c r="FJ254" s="328"/>
      <c r="FK254" s="328"/>
      <c r="FL254" s="328"/>
      <c r="FM254" s="328"/>
      <c r="FN254" s="328"/>
      <c r="FO254" s="328"/>
      <c r="FP254" s="328"/>
      <c r="FQ254" s="328"/>
      <c r="FR254" s="328"/>
      <c r="FS254" s="328"/>
      <c r="FT254" s="328"/>
      <c r="FU254" s="1236"/>
      <c r="FV254" s="328"/>
      <c r="FW254" s="328"/>
      <c r="FX254" s="328"/>
      <c r="FY254" s="328"/>
      <c r="FZ254" s="328"/>
      <c r="GA254" s="328"/>
      <c r="GB254" s="328"/>
      <c r="GC254" s="328"/>
      <c r="GD254" s="328"/>
      <c r="GE254" s="328"/>
      <c r="GF254" s="328"/>
      <c r="GG254" s="328"/>
      <c r="GH254" s="328"/>
      <c r="GI254" s="328"/>
      <c r="GJ254" s="1237"/>
      <c r="GK254" s="1236"/>
      <c r="GL254" s="328"/>
      <c r="GM254" s="328"/>
      <c r="GN254" s="328"/>
      <c r="GO254" s="328"/>
      <c r="GP254" s="328"/>
      <c r="GQ254" s="328"/>
      <c r="GR254" s="328"/>
      <c r="GS254" s="328"/>
      <c r="GT254" s="328"/>
      <c r="GU254" s="328"/>
      <c r="GV254" s="328"/>
      <c r="GW254" s="328"/>
      <c r="GX254" s="328"/>
      <c r="GY254" s="328"/>
      <c r="GZ254" s="1237"/>
      <c r="HA254" s="1236"/>
      <c r="HB254" s="328"/>
      <c r="HC254" s="328"/>
      <c r="HD254" s="328"/>
      <c r="HE254" s="328"/>
      <c r="HF254" s="328"/>
      <c r="HG254" s="328"/>
      <c r="HH254" s="328"/>
      <c r="HI254" s="328"/>
      <c r="HJ254" s="328"/>
      <c r="HK254" s="328"/>
      <c r="HL254" s="328"/>
      <c r="HM254" s="328"/>
      <c r="HN254" s="328"/>
      <c r="HO254" s="328"/>
      <c r="HP254" s="1237"/>
      <c r="HQ254" s="483"/>
      <c r="HR254" s="321"/>
      <c r="HS254" s="321"/>
      <c r="HT254" s="321"/>
      <c r="HU254" s="321"/>
      <c r="HV254" s="321"/>
      <c r="HW254" s="321"/>
      <c r="HX254" s="321"/>
      <c r="HY254" s="321"/>
      <c r="HZ254" s="321"/>
      <c r="IA254" s="321"/>
      <c r="IB254" s="321"/>
      <c r="IC254" s="321"/>
      <c r="ID254" s="321"/>
      <c r="IE254" s="321"/>
      <c r="IF254" s="564"/>
      <c r="IG254" s="483"/>
      <c r="IH254" s="321"/>
      <c r="II254" s="321"/>
      <c r="IJ254" s="321"/>
      <c r="IK254" s="321"/>
      <c r="IL254" s="321"/>
      <c r="IM254" s="321"/>
      <c r="IN254" s="321"/>
      <c r="IO254" s="321"/>
      <c r="IP254" s="321"/>
      <c r="IQ254" s="321"/>
      <c r="IR254" s="321"/>
      <c r="IS254" s="321"/>
      <c r="IT254" s="321"/>
      <c r="IU254" s="321"/>
      <c r="IV254" s="564"/>
    </row>
    <row r="255" spans="1:256" s="326" customFormat="1" ht="8.25" customHeight="1">
      <c r="A255" s="483"/>
      <c r="B255" s="321"/>
      <c r="C255" s="321"/>
      <c r="D255" s="321"/>
      <c r="E255" s="321"/>
      <c r="F255" s="410"/>
      <c r="G255" s="321"/>
      <c r="H255" s="321"/>
      <c r="I255" s="321"/>
      <c r="J255" s="321"/>
      <c r="K255" s="410"/>
      <c r="L255" s="321"/>
      <c r="M255" s="321"/>
      <c r="N255" s="321"/>
      <c r="O255" s="321"/>
      <c r="P255" s="564"/>
      <c r="Q255" s="483"/>
      <c r="R255" s="321"/>
      <c r="S255" s="439"/>
      <c r="T255" s="439"/>
      <c r="U255" s="439"/>
      <c r="V255" s="439"/>
      <c r="W255" s="439"/>
      <c r="X255" s="439"/>
      <c r="Y255" s="439"/>
      <c r="Z255" s="439"/>
      <c r="AA255" s="439"/>
      <c r="AB255" s="439"/>
      <c r="AC255" s="439"/>
      <c r="AD255" s="439"/>
      <c r="AE255" s="321"/>
      <c r="AF255" s="564"/>
      <c r="AG255" s="483"/>
      <c r="AH255" s="328"/>
      <c r="AI255" s="328"/>
      <c r="AJ255" s="417"/>
      <c r="AK255" s="417"/>
      <c r="AL255" s="422"/>
      <c r="AM255" s="417"/>
      <c r="AN255" s="422"/>
      <c r="AO255" s="417"/>
      <c r="AP255" s="422"/>
      <c r="AQ255" s="417"/>
      <c r="AR255" s="422"/>
      <c r="AS255" s="417"/>
      <c r="AT255" s="328"/>
      <c r="AU255" s="328"/>
      <c r="AV255" s="1237"/>
      <c r="AW255" s="1317"/>
      <c r="AX255" s="449"/>
      <c r="AY255" s="449"/>
      <c r="AZ255" s="449"/>
      <c r="BA255" s="449"/>
      <c r="BB255" s="449"/>
      <c r="BC255" s="449"/>
      <c r="BD255" s="449"/>
      <c r="BE255" s="449"/>
      <c r="BF255" s="449"/>
      <c r="BG255" s="449"/>
      <c r="BH255" s="449"/>
      <c r="BI255" s="449"/>
      <c r="BJ255" s="449"/>
      <c r="BK255" s="449"/>
      <c r="BL255" s="449"/>
      <c r="BM255" s="483"/>
      <c r="BN255" s="321"/>
      <c r="BO255" s="321"/>
      <c r="BP255" s="321"/>
      <c r="BQ255" s="410"/>
      <c r="BR255" s="410"/>
      <c r="BS255" s="410"/>
      <c r="BT255" s="410"/>
      <c r="BU255" s="410"/>
      <c r="BV255" s="410"/>
      <c r="BW255" s="410"/>
      <c r="BX255" s="321"/>
      <c r="BY255" s="321"/>
      <c r="BZ255" s="321"/>
      <c r="CA255" s="321"/>
      <c r="CB255" s="564"/>
      <c r="CC255" s="483"/>
      <c r="CD255" s="321"/>
      <c r="CE255" s="321"/>
      <c r="CF255" s="321"/>
      <c r="CG255" s="410"/>
      <c r="CH255" s="410"/>
      <c r="CI255" s="410"/>
      <c r="CJ255" s="410"/>
      <c r="CK255" s="410"/>
      <c r="CL255" s="410"/>
      <c r="CM255" s="410"/>
      <c r="CN255" s="321"/>
      <c r="CO255" s="321"/>
      <c r="CP255" s="321"/>
      <c r="CQ255" s="321"/>
      <c r="CR255" s="564"/>
      <c r="CS255" s="1236"/>
      <c r="CT255" s="328"/>
      <c r="CU255" s="328"/>
      <c r="CV255" s="328"/>
      <c r="CW255" s="328"/>
      <c r="CX255" s="328"/>
      <c r="CY255" s="328"/>
      <c r="CZ255" s="328"/>
      <c r="DA255" s="328"/>
      <c r="DB255" s="328"/>
      <c r="DC255" s="328"/>
      <c r="DD255" s="328"/>
      <c r="DE255" s="328"/>
      <c r="DF255" s="328"/>
      <c r="DG255" s="328"/>
      <c r="DH255" s="1237"/>
      <c r="DI255" s="1236"/>
      <c r="DJ255" s="328"/>
      <c r="DK255" s="328"/>
      <c r="DL255" s="328"/>
      <c r="DM255" s="328"/>
      <c r="DN255" s="431"/>
      <c r="DO255" s="452"/>
      <c r="DP255" s="438"/>
      <c r="DQ255" s="412"/>
      <c r="DR255" s="431"/>
      <c r="DS255" s="328"/>
      <c r="DT255" s="328"/>
      <c r="DU255" s="328"/>
      <c r="DV255" s="328"/>
      <c r="DW255" s="328"/>
      <c r="DX255" s="564"/>
      <c r="DY255" s="648"/>
      <c r="DZ255" s="410"/>
      <c r="EA255" s="410"/>
      <c r="EB255" s="436"/>
      <c r="EC255" s="436"/>
      <c r="ED255" s="436"/>
      <c r="EE255" s="410"/>
      <c r="EF255" s="410"/>
      <c r="EG255" s="410"/>
      <c r="EH255" s="410"/>
      <c r="EI255" s="429"/>
      <c r="EJ255" s="436"/>
      <c r="EK255" s="436"/>
      <c r="EL255" s="410"/>
      <c r="EM255" s="410"/>
      <c r="EN255" s="649"/>
      <c r="EO255" s="1236"/>
      <c r="EP255" s="328"/>
      <c r="EQ255" s="328"/>
      <c r="ER255" s="328"/>
      <c r="ES255" s="328"/>
      <c r="ET255" s="328"/>
      <c r="EU255" s="328"/>
      <c r="EV255" s="328"/>
      <c r="EW255" s="328"/>
      <c r="EX255" s="328"/>
      <c r="EY255" s="328"/>
      <c r="EZ255" s="328"/>
      <c r="FA255" s="328"/>
      <c r="FB255" s="328"/>
      <c r="FC255" s="328"/>
      <c r="FD255" s="1237"/>
      <c r="FE255" s="1236"/>
      <c r="FF255" s="328"/>
      <c r="FG255" s="328"/>
      <c r="FH255" s="328"/>
      <c r="FI255" s="328"/>
      <c r="FJ255" s="328"/>
      <c r="FK255" s="328"/>
      <c r="FL255" s="328"/>
      <c r="FM255" s="328"/>
      <c r="FN255" s="328"/>
      <c r="FO255" s="328"/>
      <c r="FP255" s="328"/>
      <c r="FQ255" s="328"/>
      <c r="FR255" s="328"/>
      <c r="FS255" s="328"/>
      <c r="FT255" s="328"/>
      <c r="FU255" s="1236"/>
      <c r="FV255" s="328"/>
      <c r="FW255" s="328"/>
      <c r="FX255" s="328"/>
      <c r="FY255" s="328"/>
      <c r="FZ255" s="328"/>
      <c r="GA255" s="328"/>
      <c r="GB255" s="328"/>
      <c r="GC255" s="328"/>
      <c r="GD255" s="328"/>
      <c r="GE255" s="328"/>
      <c r="GF255" s="328"/>
      <c r="GG255" s="328"/>
      <c r="GH255" s="328"/>
      <c r="GI255" s="328"/>
      <c r="GJ255" s="1237"/>
      <c r="GK255" s="1236"/>
      <c r="GL255" s="328"/>
      <c r="GM255" s="328"/>
      <c r="GN255" s="328"/>
      <c r="GO255" s="328"/>
      <c r="GP255" s="328"/>
      <c r="GQ255" s="328"/>
      <c r="GR255" s="328"/>
      <c r="GS255" s="328"/>
      <c r="GT255" s="328"/>
      <c r="GU255" s="328"/>
      <c r="GV255" s="328"/>
      <c r="GW255" s="328"/>
      <c r="GX255" s="328"/>
      <c r="GY255" s="328"/>
      <c r="GZ255" s="1237"/>
      <c r="HA255" s="1236"/>
      <c r="HB255" s="328"/>
      <c r="HC255" s="328"/>
      <c r="HD255" s="328"/>
      <c r="HE255" s="328"/>
      <c r="HF255" s="328"/>
      <c r="HG255" s="328"/>
      <c r="HH255" s="328"/>
      <c r="HI255" s="328"/>
      <c r="HJ255" s="328"/>
      <c r="HK255" s="328"/>
      <c r="HL255" s="328"/>
      <c r="HM255" s="328"/>
      <c r="HN255" s="328"/>
      <c r="HO255" s="328"/>
      <c r="HP255" s="1237"/>
      <c r="HQ255" s="483"/>
      <c r="HR255" s="321"/>
      <c r="HS255" s="321"/>
      <c r="HT255" s="321"/>
      <c r="HU255" s="321"/>
      <c r="HV255" s="321"/>
      <c r="HW255" s="321"/>
      <c r="HX255" s="321"/>
      <c r="HY255" s="321"/>
      <c r="HZ255" s="321"/>
      <c r="IA255" s="321"/>
      <c r="IB255" s="321"/>
      <c r="IC255" s="321"/>
      <c r="ID255" s="321"/>
      <c r="IE255" s="321"/>
      <c r="IF255" s="564"/>
      <c r="IG255" s="483"/>
      <c r="IH255" s="321"/>
      <c r="II255" s="321"/>
      <c r="IJ255" s="321"/>
      <c r="IK255" s="321"/>
      <c r="IL255" s="321"/>
      <c r="IM255" s="321"/>
      <c r="IN255" s="321"/>
      <c r="IO255" s="321"/>
      <c r="IP255" s="321"/>
      <c r="IQ255" s="321"/>
      <c r="IR255" s="321"/>
      <c r="IS255" s="321"/>
      <c r="IT255" s="321"/>
      <c r="IU255" s="321"/>
      <c r="IV255" s="564"/>
    </row>
    <row r="256" spans="1:256" s="326" customFormat="1" ht="8.25" customHeight="1">
      <c r="A256" s="651"/>
      <c r="B256" s="569"/>
      <c r="C256" s="569"/>
      <c r="D256" s="569"/>
      <c r="E256" s="569"/>
      <c r="F256" s="569"/>
      <c r="G256" s="569"/>
      <c r="H256" s="569"/>
      <c r="I256" s="569"/>
      <c r="J256" s="569"/>
      <c r="K256" s="569"/>
      <c r="L256" s="569"/>
      <c r="M256" s="569"/>
      <c r="N256" s="569"/>
      <c r="O256" s="569"/>
      <c r="P256" s="570"/>
      <c r="Q256" s="651"/>
      <c r="R256" s="569"/>
      <c r="S256" s="439"/>
      <c r="T256" s="411"/>
      <c r="U256" s="411"/>
      <c r="V256" s="411"/>
      <c r="W256" s="411"/>
      <c r="X256" s="411"/>
      <c r="Y256" s="411"/>
      <c r="Z256" s="411"/>
      <c r="AA256" s="411"/>
      <c r="AB256" s="411"/>
      <c r="AC256" s="411"/>
      <c r="AD256" s="439"/>
      <c r="AE256" s="569"/>
      <c r="AF256" s="570"/>
      <c r="AG256" s="483"/>
      <c r="AH256" s="328"/>
      <c r="AI256" s="328"/>
      <c r="AJ256" s="328"/>
      <c r="AK256" s="417"/>
      <c r="AL256" s="417"/>
      <c r="AM256" s="417"/>
      <c r="AN256" s="417"/>
      <c r="AO256" s="417"/>
      <c r="AP256" s="417"/>
      <c r="AQ256" s="417"/>
      <c r="AR256" s="417"/>
      <c r="AS256" s="328"/>
      <c r="AT256" s="328"/>
      <c r="AU256" s="328"/>
      <c r="AV256" s="1237"/>
      <c r="AW256" s="1312"/>
      <c r="AX256" s="569"/>
      <c r="AY256" s="569"/>
      <c r="AZ256" s="569"/>
      <c r="BA256" s="569"/>
      <c r="BB256" s="569"/>
      <c r="BC256" s="569"/>
      <c r="BD256" s="569"/>
      <c r="BE256" s="569"/>
      <c r="BF256" s="569"/>
      <c r="BG256" s="569"/>
      <c r="BH256" s="569"/>
      <c r="BI256" s="569"/>
      <c r="BJ256" s="569"/>
      <c r="BK256" s="569"/>
      <c r="BL256" s="1313"/>
      <c r="BM256" s="651"/>
      <c r="BN256" s="569"/>
      <c r="BO256" s="569"/>
      <c r="BP256" s="569"/>
      <c r="BQ256" s="1342"/>
      <c r="BR256" s="1342"/>
      <c r="BS256" s="1342"/>
      <c r="BT256" s="1342"/>
      <c r="BU256" s="1342"/>
      <c r="BV256" s="1342"/>
      <c r="BW256" s="1342"/>
      <c r="BX256" s="569"/>
      <c r="BY256" s="569"/>
      <c r="BZ256" s="569"/>
      <c r="CA256" s="569"/>
      <c r="CB256" s="570"/>
      <c r="CC256" s="651"/>
      <c r="CD256" s="569"/>
      <c r="CE256" s="569"/>
      <c r="CF256" s="569"/>
      <c r="CG256" s="1342"/>
      <c r="CH256" s="1342"/>
      <c r="CI256" s="1342"/>
      <c r="CJ256" s="1342"/>
      <c r="CK256" s="1342"/>
      <c r="CL256" s="1342"/>
      <c r="CM256" s="1342"/>
      <c r="CN256" s="569"/>
      <c r="CO256" s="569"/>
      <c r="CP256" s="569"/>
      <c r="CQ256" s="569"/>
      <c r="CR256" s="570"/>
      <c r="CS256" s="1238"/>
      <c r="CT256" s="479"/>
      <c r="CU256" s="479"/>
      <c r="CV256" s="479"/>
      <c r="CW256" s="479"/>
      <c r="CX256" s="479"/>
      <c r="CY256" s="479"/>
      <c r="CZ256" s="479"/>
      <c r="DA256" s="479"/>
      <c r="DB256" s="479"/>
      <c r="DC256" s="479"/>
      <c r="DD256" s="479"/>
      <c r="DE256" s="479"/>
      <c r="DF256" s="479"/>
      <c r="DG256" s="479"/>
      <c r="DH256" s="1240"/>
      <c r="DI256" s="1236"/>
      <c r="DJ256" s="328"/>
      <c r="DK256" s="328"/>
      <c r="DL256" s="328"/>
      <c r="DM256" s="328"/>
      <c r="DN256" s="328">
        <v>4</v>
      </c>
      <c r="DO256" s="431"/>
      <c r="DP256" s="431"/>
      <c r="DQ256" s="431"/>
      <c r="DR256" s="328">
        <v>4</v>
      </c>
      <c r="DS256" s="328"/>
      <c r="DT256" s="328"/>
      <c r="DU256" s="328"/>
      <c r="DV256" s="328"/>
      <c r="DW256" s="328"/>
      <c r="DX256" s="1237"/>
      <c r="DY256" s="1343"/>
      <c r="DZ256" s="1342"/>
      <c r="EA256" s="1342"/>
      <c r="EB256" s="1342"/>
      <c r="EC256" s="1342"/>
      <c r="ED256" s="1342"/>
      <c r="EE256" s="1342"/>
      <c r="EF256" s="1342"/>
      <c r="EG256" s="1342"/>
      <c r="EH256" s="1342"/>
      <c r="EI256" s="1342"/>
      <c r="EJ256" s="1342"/>
      <c r="EK256" s="1342"/>
      <c r="EL256" s="1342"/>
      <c r="EM256" s="1342"/>
      <c r="EN256" s="1344"/>
      <c r="EO256" s="1238"/>
      <c r="EP256" s="479"/>
      <c r="EQ256" s="479"/>
      <c r="ER256" s="479"/>
      <c r="ES256" s="479"/>
      <c r="ET256" s="479"/>
      <c r="EU256" s="479"/>
      <c r="EV256" s="479"/>
      <c r="EW256" s="479"/>
      <c r="EX256" s="479"/>
      <c r="EY256" s="479"/>
      <c r="EZ256" s="479"/>
      <c r="FA256" s="479"/>
      <c r="FB256" s="479"/>
      <c r="FC256" s="479"/>
      <c r="FD256" s="1240"/>
      <c r="FE256" s="1238"/>
      <c r="FF256" s="479"/>
      <c r="FG256" s="479"/>
      <c r="FH256" s="479"/>
      <c r="FI256" s="479"/>
      <c r="FJ256" s="479"/>
      <c r="FK256" s="479"/>
      <c r="FL256" s="479"/>
      <c r="FM256" s="479"/>
      <c r="FN256" s="479"/>
      <c r="FO256" s="479"/>
      <c r="FP256" s="479"/>
      <c r="FQ256" s="479"/>
      <c r="FR256" s="479"/>
      <c r="FS256" s="479"/>
      <c r="FT256" s="479"/>
      <c r="FU256" s="1238"/>
      <c r="FV256" s="479"/>
      <c r="FW256" s="479"/>
      <c r="FX256" s="479"/>
      <c r="FY256" s="479"/>
      <c r="FZ256" s="479"/>
      <c r="GA256" s="479"/>
      <c r="GB256" s="479"/>
      <c r="GC256" s="479"/>
      <c r="GD256" s="479"/>
      <c r="GE256" s="479"/>
      <c r="GF256" s="479"/>
      <c r="GG256" s="479"/>
      <c r="GH256" s="479"/>
      <c r="GI256" s="479"/>
      <c r="GJ256" s="1240"/>
      <c r="GK256" s="1238"/>
      <c r="GL256" s="479"/>
      <c r="GM256" s="479"/>
      <c r="GN256" s="479"/>
      <c r="GO256" s="479"/>
      <c r="GP256" s="479"/>
      <c r="GQ256" s="479"/>
      <c r="GR256" s="479"/>
      <c r="GS256" s="479"/>
      <c r="GT256" s="479"/>
      <c r="GU256" s="479"/>
      <c r="GV256" s="479"/>
      <c r="GW256" s="479"/>
      <c r="GX256" s="479"/>
      <c r="GY256" s="479"/>
      <c r="GZ256" s="1240"/>
      <c r="HA256" s="1238"/>
      <c r="HB256" s="479"/>
      <c r="HC256" s="479"/>
      <c r="HD256" s="479"/>
      <c r="HE256" s="479"/>
      <c r="HF256" s="479"/>
      <c r="HG256" s="479"/>
      <c r="HH256" s="479"/>
      <c r="HI256" s="479"/>
      <c r="HJ256" s="479"/>
      <c r="HK256" s="479"/>
      <c r="HL256" s="479"/>
      <c r="HM256" s="479"/>
      <c r="HN256" s="479"/>
      <c r="HO256" s="479"/>
      <c r="HP256" s="1240"/>
      <c r="HQ256" s="569"/>
      <c r="HR256" s="569"/>
      <c r="HS256" s="569"/>
      <c r="HT256" s="569"/>
      <c r="HU256" s="569"/>
      <c r="HV256" s="569"/>
      <c r="HW256" s="569"/>
      <c r="HX256" s="569"/>
      <c r="HY256" s="569"/>
      <c r="HZ256" s="569"/>
      <c r="IA256" s="569"/>
      <c r="IB256" s="569"/>
      <c r="IC256" s="569"/>
      <c r="ID256" s="569"/>
      <c r="IE256" s="569"/>
      <c r="IF256" s="570"/>
      <c r="IG256" s="569"/>
      <c r="IH256" s="569"/>
      <c r="II256" s="569"/>
      <c r="IJ256" s="569"/>
      <c r="IK256" s="569"/>
      <c r="IL256" s="569"/>
      <c r="IM256" s="569"/>
      <c r="IN256" s="569"/>
      <c r="IO256" s="569"/>
      <c r="IP256" s="569"/>
      <c r="IQ256" s="569"/>
      <c r="IR256" s="569"/>
      <c r="IS256" s="569"/>
      <c r="IT256" s="569"/>
      <c r="IU256" s="569"/>
      <c r="IV256" s="570"/>
    </row>
    <row r="257" spans="1:256" s="326" customFormat="1" ht="8.25" customHeight="1">
      <c r="A257" s="483">
        <v>129</v>
      </c>
      <c r="B257" s="484"/>
      <c r="C257" s="484"/>
      <c r="D257" s="484"/>
      <c r="E257" s="484"/>
      <c r="F257" s="484"/>
      <c r="G257" s="484"/>
      <c r="H257" s="484"/>
      <c r="I257" s="484"/>
      <c r="J257" s="484"/>
      <c r="K257" s="484"/>
      <c r="L257" s="484"/>
      <c r="M257" s="484"/>
      <c r="N257" s="484"/>
      <c r="O257" s="484"/>
      <c r="P257" s="696"/>
      <c r="Q257" s="483">
        <v>130</v>
      </c>
      <c r="R257" s="484"/>
      <c r="S257" s="484"/>
      <c r="T257" s="484"/>
      <c r="U257" s="484"/>
      <c r="V257" s="484"/>
      <c r="W257" s="484"/>
      <c r="X257" s="484"/>
      <c r="Y257" s="484"/>
      <c r="Z257" s="484"/>
      <c r="AA257" s="484"/>
      <c r="AB257" s="484"/>
      <c r="AC257" s="484"/>
      <c r="AD257" s="484"/>
      <c r="AE257" s="484"/>
      <c r="AF257" s="696"/>
      <c r="AG257" s="483">
        <v>131</v>
      </c>
      <c r="AH257" s="484"/>
      <c r="AI257" s="484"/>
      <c r="AJ257" s="484"/>
      <c r="AK257" s="484"/>
      <c r="AL257" s="484"/>
      <c r="AM257" s="484"/>
      <c r="AN257" s="484"/>
      <c r="AO257" s="484"/>
      <c r="AP257" s="484"/>
      <c r="AQ257" s="484"/>
      <c r="AR257" s="484"/>
      <c r="AS257" s="484"/>
      <c r="AT257" s="484"/>
      <c r="AU257" s="484"/>
      <c r="AV257" s="696"/>
      <c r="AW257" s="483">
        <v>132</v>
      </c>
      <c r="AX257" s="484"/>
      <c r="AY257" s="484"/>
      <c r="AZ257" s="484"/>
      <c r="BA257" s="484"/>
      <c r="BB257" s="484"/>
      <c r="BC257" s="484"/>
      <c r="BD257" s="484"/>
      <c r="BE257" s="484"/>
      <c r="BF257" s="484"/>
      <c r="BG257" s="484"/>
      <c r="BH257" s="484"/>
      <c r="BI257" s="484"/>
      <c r="BJ257" s="484"/>
      <c r="BK257" s="484"/>
      <c r="BL257" s="696"/>
      <c r="BM257" s="483">
        <v>133</v>
      </c>
      <c r="BN257" s="484"/>
      <c r="BO257" s="484"/>
      <c r="BP257" s="484"/>
      <c r="BQ257" s="484"/>
      <c r="BR257" s="484"/>
      <c r="BS257" s="484"/>
      <c r="BT257" s="484"/>
      <c r="BU257" s="484"/>
      <c r="BV257" s="484"/>
      <c r="BW257" s="484"/>
      <c r="BX257" s="484"/>
      <c r="BY257" s="484"/>
      <c r="BZ257" s="484"/>
      <c r="CA257" s="484"/>
      <c r="CB257" s="696"/>
      <c r="CC257" s="1233">
        <v>134</v>
      </c>
      <c r="CD257" s="1234"/>
      <c r="CE257" s="1234"/>
      <c r="CF257" s="1234"/>
      <c r="CG257" s="1234"/>
      <c r="CH257" s="1234"/>
      <c r="CI257" s="1234"/>
      <c r="CJ257" s="1234"/>
      <c r="CK257" s="1234"/>
      <c r="CL257" s="1234"/>
      <c r="CM257" s="1234"/>
      <c r="CN257" s="1234"/>
      <c r="CO257" s="1234"/>
      <c r="CP257" s="1234"/>
      <c r="CQ257" s="1234"/>
      <c r="CR257" s="1235"/>
      <c r="CS257" s="1233">
        <v>135</v>
      </c>
      <c r="CT257" s="1234"/>
      <c r="CU257" s="1234"/>
      <c r="CV257" s="1234"/>
      <c r="CW257" s="1234"/>
      <c r="CX257" s="1234"/>
      <c r="CY257" s="1234"/>
      <c r="CZ257" s="1234"/>
      <c r="DA257" s="1234"/>
      <c r="DB257" s="1234"/>
      <c r="DC257" s="1234"/>
      <c r="DD257" s="1234"/>
      <c r="DE257" s="1234"/>
      <c r="DF257" s="1234"/>
      <c r="DG257" s="1234"/>
      <c r="DH257" s="1234"/>
      <c r="DI257" s="1233">
        <v>136</v>
      </c>
      <c r="DJ257" s="1234"/>
      <c r="DK257" s="1234"/>
      <c r="DL257" s="1234"/>
      <c r="DM257" s="1234"/>
      <c r="DN257" s="1234"/>
      <c r="DO257" s="1234"/>
      <c r="DP257" s="1234"/>
      <c r="DQ257" s="1234"/>
      <c r="DR257" s="1234"/>
      <c r="DS257" s="1234"/>
      <c r="DT257" s="1234"/>
      <c r="DU257" s="1234"/>
      <c r="DV257" s="1234"/>
      <c r="DW257" s="1234"/>
      <c r="DX257" s="1234"/>
      <c r="DY257" s="1233">
        <v>137</v>
      </c>
      <c r="DZ257" s="1234"/>
      <c r="EA257" s="1234"/>
      <c r="EB257" s="1234"/>
      <c r="EC257" s="1234"/>
      <c r="ED257" s="1234"/>
      <c r="EE257" s="1234"/>
      <c r="EF257" s="1234"/>
      <c r="EG257" s="1234"/>
      <c r="EH257" s="1234"/>
      <c r="EI257" s="1234"/>
      <c r="EJ257" s="1234"/>
      <c r="EK257" s="1234"/>
      <c r="EL257" s="1234"/>
      <c r="EM257" s="1234"/>
      <c r="EN257" s="1235"/>
      <c r="EO257" s="483">
        <v>138</v>
      </c>
      <c r="EP257" s="484"/>
      <c r="EQ257" s="484"/>
      <c r="ER257" s="484"/>
      <c r="ES257" s="484"/>
      <c r="ET257" s="484"/>
      <c r="EU257" s="484"/>
      <c r="EV257" s="484"/>
      <c r="EW257" s="484"/>
      <c r="EX257" s="484"/>
      <c r="EY257" s="484"/>
      <c r="EZ257" s="484"/>
      <c r="FA257" s="484"/>
      <c r="FB257" s="484"/>
      <c r="FC257" s="484"/>
      <c r="FD257" s="696"/>
      <c r="FE257" s="483">
        <v>139</v>
      </c>
      <c r="FF257" s="484"/>
      <c r="FG257" s="484"/>
      <c r="FH257" s="484"/>
      <c r="FI257" s="484"/>
      <c r="FJ257" s="484"/>
      <c r="FK257" s="484"/>
      <c r="FL257" s="484"/>
      <c r="FM257" s="484"/>
      <c r="FN257" s="484"/>
      <c r="FO257" s="484"/>
      <c r="FP257" s="484"/>
      <c r="FQ257" s="484"/>
      <c r="FR257" s="484"/>
      <c r="FS257" s="484"/>
      <c r="FT257" s="696"/>
      <c r="FU257" s="484">
        <v>140</v>
      </c>
      <c r="FV257" s="484"/>
      <c r="FW257" s="484"/>
      <c r="FX257" s="484"/>
      <c r="FY257" s="484"/>
      <c r="FZ257" s="484"/>
      <c r="GA257" s="484"/>
      <c r="GB257" s="484"/>
      <c r="GC257" s="484"/>
      <c r="GD257" s="484"/>
      <c r="GE257" s="484"/>
      <c r="GF257" s="484"/>
      <c r="GG257" s="484"/>
      <c r="GH257" s="484"/>
      <c r="GI257" s="484"/>
      <c r="GJ257" s="696"/>
      <c r="GK257" s="484">
        <v>141</v>
      </c>
      <c r="GL257" s="484"/>
      <c r="GM257" s="484"/>
      <c r="GN257" s="484"/>
      <c r="GO257" s="484"/>
      <c r="GP257" s="484"/>
      <c r="GQ257" s="484"/>
      <c r="GR257" s="484"/>
      <c r="GS257" s="484"/>
      <c r="GT257" s="484"/>
      <c r="GU257" s="484"/>
      <c r="GV257" s="484"/>
      <c r="GW257" s="484"/>
      <c r="GX257" s="484"/>
      <c r="GY257" s="484"/>
      <c r="GZ257" s="696"/>
      <c r="HA257" s="679">
        <v>142</v>
      </c>
      <c r="HB257" s="484"/>
      <c r="HC257" s="484"/>
      <c r="HD257" s="484"/>
      <c r="HE257" s="484"/>
      <c r="HF257" s="484"/>
      <c r="HG257" s="484"/>
      <c r="HH257" s="484"/>
      <c r="HI257" s="484"/>
      <c r="HJ257" s="484"/>
      <c r="HK257" s="484"/>
      <c r="HL257" s="484"/>
      <c r="HM257" s="484"/>
      <c r="HN257" s="484"/>
      <c r="HO257" s="484"/>
      <c r="HP257" s="696"/>
      <c r="HQ257" s="483">
        <v>143</v>
      </c>
      <c r="HR257" s="484"/>
      <c r="HS257" s="484"/>
      <c r="HT257" s="484"/>
      <c r="HU257" s="484"/>
      <c r="HV257" s="484"/>
      <c r="HW257" s="484"/>
      <c r="HX257" s="484"/>
      <c r="HY257" s="484"/>
      <c r="HZ257" s="484"/>
      <c r="IA257" s="484"/>
      <c r="IB257" s="484"/>
      <c r="IC257" s="484"/>
      <c r="ID257" s="484"/>
      <c r="IE257" s="484"/>
      <c r="IF257" s="696"/>
      <c r="IG257" s="483">
        <v>144</v>
      </c>
      <c r="IH257" s="484"/>
      <c r="II257" s="484"/>
      <c r="IJ257" s="484"/>
      <c r="IK257" s="484"/>
      <c r="IL257" s="484"/>
      <c r="IM257" s="484"/>
      <c r="IN257" s="484"/>
      <c r="IO257" s="484"/>
      <c r="IP257" s="484"/>
      <c r="IQ257" s="484"/>
      <c r="IR257" s="484"/>
      <c r="IS257" s="484"/>
      <c r="IT257" s="484"/>
      <c r="IU257" s="484"/>
      <c r="IV257" s="696"/>
    </row>
    <row r="258" spans="1:256" s="326" customFormat="1" ht="8.25" customHeight="1">
      <c r="A258" s="483">
        <v>105</v>
      </c>
      <c r="B258" s="321"/>
      <c r="C258" s="321"/>
      <c r="D258" s="321"/>
      <c r="E258" s="321"/>
      <c r="F258" s="321"/>
      <c r="G258" s="321"/>
      <c r="H258" s="321"/>
      <c r="I258" s="321"/>
      <c r="J258" s="321"/>
      <c r="K258" s="321"/>
      <c r="L258" s="321"/>
      <c r="M258" s="321"/>
      <c r="N258" s="321"/>
      <c r="O258" s="321"/>
      <c r="P258" s="564"/>
      <c r="Q258" s="483">
        <v>120</v>
      </c>
      <c r="R258" s="321"/>
      <c r="S258" s="321"/>
      <c r="T258" s="321"/>
      <c r="U258" s="321"/>
      <c r="V258" s="321"/>
      <c r="W258" s="321"/>
      <c r="X258" s="321"/>
      <c r="Y258" s="321"/>
      <c r="Z258" s="321"/>
      <c r="AA258" s="321"/>
      <c r="AB258" s="321"/>
      <c r="AC258" s="321"/>
      <c r="AD258" s="321"/>
      <c r="AE258" s="321"/>
      <c r="AF258" s="564"/>
      <c r="AG258" s="483">
        <v>20</v>
      </c>
      <c r="AH258" s="321"/>
      <c r="AI258" s="321"/>
      <c r="AJ258" s="321"/>
      <c r="AK258" s="321"/>
      <c r="AL258" s="321"/>
      <c r="AM258" s="321"/>
      <c r="AN258" s="321"/>
      <c r="AO258" s="321"/>
      <c r="AP258" s="321"/>
      <c r="AQ258" s="321"/>
      <c r="AR258" s="321"/>
      <c r="AS258" s="321"/>
      <c r="AT258" s="321"/>
      <c r="AU258" s="321"/>
      <c r="AV258" s="564"/>
      <c r="AW258" s="483">
        <v>40</v>
      </c>
      <c r="AX258" s="321"/>
      <c r="AY258" s="321"/>
      <c r="AZ258" s="321"/>
      <c r="BA258" s="321"/>
      <c r="BB258" s="321"/>
      <c r="BC258" s="321"/>
      <c r="BD258" s="321"/>
      <c r="BE258" s="321"/>
      <c r="BF258" s="321"/>
      <c r="BG258" s="321"/>
      <c r="BH258" s="321"/>
      <c r="BI258" s="321"/>
      <c r="BJ258" s="321"/>
      <c r="BK258" s="321"/>
      <c r="BL258" s="564"/>
      <c r="BM258" s="483">
        <v>40</v>
      </c>
      <c r="BN258" s="321"/>
      <c r="BO258" s="321"/>
      <c r="BP258" s="321"/>
      <c r="BQ258" s="321"/>
      <c r="BR258" s="321"/>
      <c r="BS258" s="321"/>
      <c r="BT258" s="321"/>
      <c r="BU258" s="321"/>
      <c r="BV258" s="321"/>
      <c r="BW258" s="321"/>
      <c r="BX258" s="321"/>
      <c r="BY258" s="321"/>
      <c r="BZ258" s="321"/>
      <c r="CA258" s="321"/>
      <c r="CB258" s="564"/>
      <c r="CC258" s="1236"/>
      <c r="CD258" s="328"/>
      <c r="CE258" s="328"/>
      <c r="CF258" s="328"/>
      <c r="CG258" s="328"/>
      <c r="CH258" s="328"/>
      <c r="CI258" s="328"/>
      <c r="CJ258" s="328"/>
      <c r="CK258" s="328"/>
      <c r="CL258" s="328"/>
      <c r="CM258" s="328"/>
      <c r="CN258" s="328"/>
      <c r="CO258" s="328"/>
      <c r="CP258" s="328"/>
      <c r="CQ258" s="328"/>
      <c r="CR258" s="1237"/>
      <c r="CS258" s="1236"/>
      <c r="CT258" s="328"/>
      <c r="CU258" s="328"/>
      <c r="CV258" s="328"/>
      <c r="CW258" s="328"/>
      <c r="CX258" s="328"/>
      <c r="CY258" s="328"/>
      <c r="CZ258" s="328"/>
      <c r="DA258" s="328"/>
      <c r="DB258" s="328"/>
      <c r="DC258" s="328"/>
      <c r="DD258" s="328"/>
      <c r="DE258" s="328"/>
      <c r="DF258" s="328"/>
      <c r="DG258" s="328"/>
      <c r="DH258" s="328"/>
      <c r="DI258" s="1236"/>
      <c r="DJ258" s="328"/>
      <c r="DK258" s="328"/>
      <c r="DL258" s="328"/>
      <c r="DM258" s="328"/>
      <c r="DN258" s="328"/>
      <c r="DO258" s="328"/>
      <c r="DP258" s="328"/>
      <c r="DQ258" s="328"/>
      <c r="DR258" s="328"/>
      <c r="DS258" s="328"/>
      <c r="DT258" s="328"/>
      <c r="DU258" s="328"/>
      <c r="DV258" s="328"/>
      <c r="DW258" s="328"/>
      <c r="DX258" s="328"/>
      <c r="DY258" s="1236"/>
      <c r="DZ258" s="328"/>
      <c r="EA258" s="328"/>
      <c r="EB258" s="328"/>
      <c r="EC258" s="328"/>
      <c r="ED258" s="328"/>
      <c r="EE258" s="328"/>
      <c r="EF258" s="328"/>
      <c r="EG258" s="328"/>
      <c r="EH258" s="328"/>
      <c r="EI258" s="328"/>
      <c r="EJ258" s="328"/>
      <c r="EK258" s="328"/>
      <c r="EL258" s="328"/>
      <c r="EM258" s="328"/>
      <c r="EN258" s="1237"/>
      <c r="EO258" s="483">
        <v>40</v>
      </c>
      <c r="EP258" s="321"/>
      <c r="EQ258" s="321"/>
      <c r="ER258" s="321"/>
      <c r="ES258" s="321"/>
      <c r="ET258" s="321"/>
      <c r="EU258" s="321"/>
      <c r="EV258" s="321"/>
      <c r="EW258" s="321"/>
      <c r="EX258" s="321"/>
      <c r="EY258" s="321"/>
      <c r="EZ258" s="321"/>
      <c r="FA258" s="321"/>
      <c r="FB258" s="321"/>
      <c r="FC258" s="321"/>
      <c r="FD258" s="564"/>
      <c r="FE258" s="483"/>
      <c r="FF258" s="321"/>
      <c r="FG258" s="321"/>
      <c r="FH258" s="321"/>
      <c r="FI258" s="321"/>
      <c r="FJ258" s="321"/>
      <c r="FK258" s="321"/>
      <c r="FL258" s="321"/>
      <c r="FM258" s="321"/>
      <c r="FN258" s="321"/>
      <c r="FO258" s="321"/>
      <c r="FP258" s="321"/>
      <c r="FQ258" s="321"/>
      <c r="FR258" s="321"/>
      <c r="FS258" s="321"/>
      <c r="FT258" s="564"/>
      <c r="FU258" s="321">
        <v>0</v>
      </c>
      <c r="FV258" s="321"/>
      <c r="FW258" s="321"/>
      <c r="FX258" s="321"/>
      <c r="FY258" s="321"/>
      <c r="FZ258" s="321"/>
      <c r="GA258" s="321"/>
      <c r="GB258" s="321"/>
      <c r="GC258" s="321"/>
      <c r="GD258" s="321"/>
      <c r="GE258" s="321"/>
      <c r="GF258" s="321"/>
      <c r="GG258" s="321"/>
      <c r="GH258" s="321"/>
      <c r="GI258" s="321"/>
      <c r="GJ258" s="564"/>
      <c r="GK258" s="321">
        <v>0</v>
      </c>
      <c r="GL258" s="321"/>
      <c r="GM258" s="321"/>
      <c r="GN258" s="321"/>
      <c r="GO258" s="321"/>
      <c r="GP258" s="321"/>
      <c r="GQ258" s="321"/>
      <c r="GR258" s="321"/>
      <c r="GS258" s="321"/>
      <c r="GT258" s="321"/>
      <c r="GU258" s="321"/>
      <c r="GV258" s="321"/>
      <c r="GW258" s="321"/>
      <c r="GX258" s="321"/>
      <c r="GY258" s="321"/>
      <c r="GZ258" s="564"/>
      <c r="HA258" s="483">
        <v>150</v>
      </c>
      <c r="HB258" s="321"/>
      <c r="HC258" s="321"/>
      <c r="HD258" s="321"/>
      <c r="HE258" s="321"/>
      <c r="HF258" s="321"/>
      <c r="HG258" s="321"/>
      <c r="HH258" s="321"/>
      <c r="HI258" s="321"/>
      <c r="HJ258" s="321"/>
      <c r="HK258" s="321"/>
      <c r="HL258" s="321"/>
      <c r="HM258" s="452"/>
      <c r="HN258" s="452"/>
      <c r="HO258" s="321"/>
      <c r="HP258" s="564"/>
      <c r="HQ258" s="483">
        <v>40</v>
      </c>
      <c r="HR258" s="321"/>
      <c r="HS258" s="321"/>
      <c r="HT258" s="321"/>
      <c r="HU258" s="321"/>
      <c r="HV258" s="321"/>
      <c r="HW258" s="321"/>
      <c r="HX258" s="321"/>
      <c r="HY258" s="321"/>
      <c r="HZ258" s="321"/>
      <c r="IA258" s="321"/>
      <c r="IB258" s="321"/>
      <c r="IC258" s="321"/>
      <c r="ID258" s="321"/>
      <c r="IE258" s="321"/>
      <c r="IF258" s="564"/>
      <c r="IG258" s="483">
        <v>60</v>
      </c>
      <c r="IH258" s="321"/>
      <c r="II258" s="321"/>
      <c r="IJ258" s="321"/>
      <c r="IK258" s="321"/>
      <c r="IL258" s="321"/>
      <c r="IM258" s="321"/>
      <c r="IN258" s="321"/>
      <c r="IO258" s="321"/>
      <c r="IP258" s="321"/>
      <c r="IQ258" s="321"/>
      <c r="IR258" s="321"/>
      <c r="IS258" s="321"/>
      <c r="IT258" s="321"/>
      <c r="IU258" s="321"/>
      <c r="IV258" s="564"/>
    </row>
    <row r="259" spans="1:256" s="326" customFormat="1" ht="8.25" customHeight="1">
      <c r="A259" s="483">
        <v>130</v>
      </c>
      <c r="B259" s="321"/>
      <c r="C259" s="321"/>
      <c r="D259" s="321"/>
      <c r="E259" s="321"/>
      <c r="F259" s="321"/>
      <c r="G259" s="321"/>
      <c r="H259" s="321"/>
      <c r="I259" s="321"/>
      <c r="J259" s="321"/>
      <c r="K259" s="321"/>
      <c r="L259" s="321"/>
      <c r="M259" s="321"/>
      <c r="N259" s="321"/>
      <c r="O259" s="321"/>
      <c r="P259" s="564"/>
      <c r="Q259" s="483">
        <v>129</v>
      </c>
      <c r="R259" s="321"/>
      <c r="S259" s="321"/>
      <c r="T259" s="321"/>
      <c r="U259" s="321"/>
      <c r="V259" s="321"/>
      <c r="W259" s="321"/>
      <c r="X259" s="321"/>
      <c r="Y259" s="321"/>
      <c r="Z259" s="321"/>
      <c r="AA259" s="321"/>
      <c r="AB259" s="321"/>
      <c r="AC259" s="321"/>
      <c r="AD259" s="321"/>
      <c r="AE259" s="321"/>
      <c r="AF259" s="564"/>
      <c r="AG259" s="483"/>
      <c r="AH259" s="321"/>
      <c r="AI259" s="321"/>
      <c r="AJ259" s="321"/>
      <c r="AK259" s="321"/>
      <c r="AL259" s="321"/>
      <c r="AM259" s="321"/>
      <c r="AN259" s="321"/>
      <c r="AO259" s="321"/>
      <c r="AP259" s="321"/>
      <c r="AQ259" s="321"/>
      <c r="AR259" s="321"/>
      <c r="AS259" s="321"/>
      <c r="AT259" s="321"/>
      <c r="AU259" s="321"/>
      <c r="AV259" s="564"/>
      <c r="AW259" s="483">
        <v>132</v>
      </c>
      <c r="AX259" s="321"/>
      <c r="AY259" s="321"/>
      <c r="AZ259" s="321"/>
      <c r="BA259" s="321"/>
      <c r="BB259" s="321"/>
      <c r="BC259" s="321"/>
      <c r="BD259" s="321"/>
      <c r="BE259" s="321"/>
      <c r="BF259" s="321"/>
      <c r="BG259" s="321"/>
      <c r="BH259" s="321"/>
      <c r="BI259" s="321"/>
      <c r="BJ259" s="321"/>
      <c r="BK259" s="321"/>
      <c r="BL259" s="564"/>
      <c r="BM259" s="483">
        <v>133</v>
      </c>
      <c r="BN259" s="321"/>
      <c r="BO259" s="321"/>
      <c r="BP259" s="321"/>
      <c r="BQ259" s="321"/>
      <c r="BR259" s="321"/>
      <c r="BS259" s="321"/>
      <c r="BT259" s="321"/>
      <c r="BU259" s="321"/>
      <c r="BV259" s="321"/>
      <c r="BW259" s="321"/>
      <c r="BX259" s="321"/>
      <c r="BY259" s="321"/>
      <c r="BZ259" s="321"/>
      <c r="CA259" s="321"/>
      <c r="CB259" s="564"/>
      <c r="CC259" s="1236">
        <v>134</v>
      </c>
      <c r="CD259" s="328"/>
      <c r="CE259" s="328"/>
      <c r="CF259" s="328"/>
      <c r="CG259" s="328"/>
      <c r="CH259" s="432"/>
      <c r="CI259" s="421"/>
      <c r="CJ259" s="421"/>
      <c r="CK259" s="421"/>
      <c r="CL259" s="432"/>
      <c r="CM259" s="328"/>
      <c r="CN259" s="328"/>
      <c r="CO259" s="328"/>
      <c r="CP259" s="328"/>
      <c r="CQ259" s="328"/>
      <c r="CR259" s="1237"/>
      <c r="CS259" s="1233">
        <v>135</v>
      </c>
      <c r="CT259" s="456"/>
      <c r="CU259" s="456"/>
      <c r="CV259" s="456"/>
      <c r="CW259" s="456"/>
      <c r="CX259" s="456"/>
      <c r="CY259" s="456"/>
      <c r="CZ259" s="456"/>
      <c r="DA259" s="456"/>
      <c r="DB259" s="456"/>
      <c r="DC259" s="456"/>
      <c r="DD259" s="456"/>
      <c r="DE259" s="456"/>
      <c r="DF259" s="456"/>
      <c r="DG259" s="456"/>
      <c r="DH259" s="328"/>
      <c r="DI259" s="1233">
        <v>136</v>
      </c>
      <c r="DJ259" s="315"/>
      <c r="DK259" s="315"/>
      <c r="DL259" s="315"/>
      <c r="DM259" s="315"/>
      <c r="DN259" s="315"/>
      <c r="DO259" s="315"/>
      <c r="DP259" s="315"/>
      <c r="DQ259" s="315"/>
      <c r="DR259" s="315"/>
      <c r="DS259" s="315"/>
      <c r="DT259" s="315"/>
      <c r="DU259" s="315"/>
      <c r="DV259" s="315"/>
      <c r="DW259" s="315"/>
      <c r="DX259" s="328"/>
      <c r="DY259" s="328"/>
      <c r="DZ259" s="328"/>
      <c r="EA259" s="328"/>
      <c r="EB259" s="328"/>
      <c r="EC259" s="328"/>
      <c r="ED259" s="328"/>
      <c r="EE259" s="328"/>
      <c r="EF259" s="328"/>
      <c r="EG259" s="328"/>
      <c r="EH259" s="328"/>
      <c r="EI259" s="328"/>
      <c r="EJ259" s="328"/>
      <c r="EK259" s="328"/>
      <c r="EL259" s="328"/>
      <c r="EM259" s="328"/>
      <c r="EN259" s="328"/>
      <c r="EO259" s="483"/>
      <c r="EP259" s="321"/>
      <c r="EQ259" s="321"/>
      <c r="ER259" s="321"/>
      <c r="ES259" s="321"/>
      <c r="ET259" s="321"/>
      <c r="EU259" s="321"/>
      <c r="EV259" s="321"/>
      <c r="EW259" s="321"/>
      <c r="EX259" s="321"/>
      <c r="EY259" s="321"/>
      <c r="EZ259" s="321"/>
      <c r="FA259" s="321"/>
      <c r="FB259" s="321"/>
      <c r="FC259" s="321"/>
      <c r="FD259" s="564"/>
      <c r="FE259" s="483"/>
      <c r="FF259" s="321"/>
      <c r="FG259" s="321"/>
      <c r="FH259" s="321"/>
      <c r="FI259" s="321"/>
      <c r="FJ259" s="321"/>
      <c r="FK259" s="321"/>
      <c r="FL259" s="321"/>
      <c r="FM259" s="321"/>
      <c r="FN259" s="321"/>
      <c r="FO259" s="321"/>
      <c r="FP259" s="321"/>
      <c r="FQ259" s="321"/>
      <c r="FR259" s="321"/>
      <c r="FS259" s="321"/>
      <c r="FT259" s="564"/>
      <c r="FU259" s="321">
        <v>37</v>
      </c>
      <c r="FV259" s="321"/>
      <c r="FW259" s="321"/>
      <c r="FX259" s="321"/>
      <c r="FY259" s="321"/>
      <c r="FZ259" s="321"/>
      <c r="GA259" s="321"/>
      <c r="GB259" s="321"/>
      <c r="GC259" s="321"/>
      <c r="GD259" s="321"/>
      <c r="GE259" s="321"/>
      <c r="GF259" s="321"/>
      <c r="GG259" s="321"/>
      <c r="GH259" s="321"/>
      <c r="GI259" s="321"/>
      <c r="GJ259" s="564"/>
      <c r="GK259" s="321">
        <v>64</v>
      </c>
      <c r="GL259" s="321"/>
      <c r="GM259" s="321"/>
      <c r="GN259" s="321"/>
      <c r="GO259" s="321"/>
      <c r="GP259" s="321"/>
      <c r="GQ259" s="321"/>
      <c r="GR259" s="321"/>
      <c r="GS259" s="321"/>
      <c r="GT259" s="321"/>
      <c r="GU259" s="321"/>
      <c r="GV259" s="321"/>
      <c r="GW259" s="321"/>
      <c r="GX259" s="321"/>
      <c r="GY259" s="321"/>
      <c r="GZ259" s="564"/>
      <c r="HA259" s="483">
        <v>-129</v>
      </c>
      <c r="HB259" s="321"/>
      <c r="HC259" s="321"/>
      <c r="HD259" s="321"/>
      <c r="HE259" s="321"/>
      <c r="HF259" s="321"/>
      <c r="HG259" s="321"/>
      <c r="HH259" s="321"/>
      <c r="HI259" s="321"/>
      <c r="HJ259" s="321"/>
      <c r="HK259" s="321"/>
      <c r="HL259" s="321"/>
      <c r="HM259" s="321"/>
      <c r="HN259" s="452"/>
      <c r="HO259" s="321"/>
      <c r="HP259" s="564"/>
      <c r="HQ259" s="483"/>
      <c r="HR259" s="321"/>
      <c r="HS259" s="321"/>
      <c r="HT259" s="321"/>
      <c r="HU259" s="321"/>
      <c r="HV259" s="321"/>
      <c r="HW259" s="321"/>
      <c r="HX259" s="321"/>
      <c r="HY259" s="321"/>
      <c r="HZ259" s="321"/>
      <c r="IA259" s="321"/>
      <c r="IB259" s="321"/>
      <c r="IC259" s="321"/>
      <c r="ID259" s="321"/>
      <c r="IE259" s="321"/>
      <c r="IF259" s="564"/>
      <c r="IG259" s="483">
        <v>-55</v>
      </c>
      <c r="IH259" s="321"/>
      <c r="II259" s="321"/>
      <c r="IJ259" s="321"/>
      <c r="IK259" s="321"/>
      <c r="IL259" s="321"/>
      <c r="IM259" s="321"/>
      <c r="IN259" s="321"/>
      <c r="IO259" s="321"/>
      <c r="IP259" s="321"/>
      <c r="IQ259" s="321"/>
      <c r="IR259" s="321"/>
      <c r="IS259" s="321"/>
      <c r="IT259" s="321"/>
      <c r="IU259" s="321"/>
      <c r="IV259" s="564"/>
    </row>
    <row r="260" spans="1:256" s="326" customFormat="1" ht="8.25" customHeight="1">
      <c r="A260" s="483">
        <v>500</v>
      </c>
      <c r="B260" s="321"/>
      <c r="C260" s="321"/>
      <c r="D260" s="321"/>
      <c r="E260" s="321"/>
      <c r="F260" s="321"/>
      <c r="G260" s="321"/>
      <c r="H260" s="321"/>
      <c r="I260" s="321"/>
      <c r="J260" s="321"/>
      <c r="K260" s="321"/>
      <c r="L260" s="321"/>
      <c r="M260" s="321"/>
      <c r="N260" s="321"/>
      <c r="O260" s="321"/>
      <c r="P260" s="564"/>
      <c r="Q260" s="483">
        <v>800</v>
      </c>
      <c r="R260" s="321"/>
      <c r="S260" s="321"/>
      <c r="T260" s="321"/>
      <c r="U260" s="321"/>
      <c r="V260" s="321"/>
      <c r="W260" s="321"/>
      <c r="X260" s="321"/>
      <c r="Y260" s="321"/>
      <c r="Z260" s="321"/>
      <c r="AA260" s="321"/>
      <c r="AB260" s="321"/>
      <c r="AC260" s="321"/>
      <c r="AD260" s="321"/>
      <c r="AE260" s="321"/>
      <c r="AF260" s="564"/>
      <c r="AG260" s="483"/>
      <c r="AH260" s="321"/>
      <c r="AI260" s="321"/>
      <c r="AJ260" s="321"/>
      <c r="AK260" s="321"/>
      <c r="AL260" s="321"/>
      <c r="AM260" s="321"/>
      <c r="AN260" s="321"/>
      <c r="AO260" s="321"/>
      <c r="AP260" s="321"/>
      <c r="AQ260" s="321"/>
      <c r="AR260" s="321"/>
      <c r="AS260" s="321"/>
      <c r="AT260" s="321"/>
      <c r="AU260" s="321"/>
      <c r="AV260" s="564"/>
      <c r="AW260" s="483">
        <v>30000</v>
      </c>
      <c r="AX260" s="321"/>
      <c r="AY260" s="321"/>
      <c r="AZ260" s="321"/>
      <c r="BA260" s="321"/>
      <c r="BB260" s="321"/>
      <c r="BC260" s="321"/>
      <c r="BD260" s="321"/>
      <c r="BE260" s="321"/>
      <c r="BF260" s="321"/>
      <c r="BG260" s="321"/>
      <c r="BH260" s="321"/>
      <c r="BI260" s="321"/>
      <c r="BJ260" s="321"/>
      <c r="BK260" s="321"/>
      <c r="BL260" s="564"/>
      <c r="BM260" s="421">
        <v>30000</v>
      </c>
      <c r="BN260" s="432"/>
      <c r="BO260" s="432"/>
      <c r="BP260" s="432"/>
      <c r="BQ260" s="432"/>
      <c r="BR260" s="432"/>
      <c r="BS260" s="432"/>
      <c r="BT260" s="432"/>
      <c r="BU260" s="432"/>
      <c r="BV260" s="432"/>
      <c r="BW260" s="432"/>
      <c r="BX260" s="432"/>
      <c r="BY260" s="432"/>
      <c r="BZ260" s="432"/>
      <c r="CA260" s="432"/>
      <c r="CB260" s="439"/>
      <c r="CC260" s="1236">
        <v>1000</v>
      </c>
      <c r="CD260" s="328"/>
      <c r="CE260" s="328"/>
      <c r="CF260" s="328"/>
      <c r="CG260" s="432"/>
      <c r="CH260" s="410"/>
      <c r="CI260" s="410"/>
      <c r="CJ260" s="411"/>
      <c r="CK260" s="410"/>
      <c r="CL260" s="410"/>
      <c r="CM260" s="432"/>
      <c r="CN260" s="328"/>
      <c r="CO260" s="328"/>
      <c r="CP260" s="328"/>
      <c r="CQ260" s="328"/>
      <c r="CR260" s="1237"/>
      <c r="CS260" s="449">
        <v>30000</v>
      </c>
      <c r="CT260" s="440"/>
      <c r="CU260" s="440"/>
      <c r="CV260" s="440"/>
      <c r="CW260" s="440"/>
      <c r="CX260" s="440"/>
      <c r="CY260" s="440"/>
      <c r="CZ260" s="440"/>
      <c r="DA260" s="440"/>
      <c r="DB260" s="440"/>
      <c r="DC260" s="440"/>
      <c r="DD260" s="440"/>
      <c r="DE260" s="440"/>
      <c r="DF260" s="440"/>
      <c r="DG260" s="440"/>
      <c r="DH260" s="1345"/>
      <c r="DI260" s="315">
        <v>30000</v>
      </c>
      <c r="DJ260" s="300"/>
      <c r="DK260" s="300"/>
      <c r="DL260" s="300"/>
      <c r="DM260" s="300"/>
      <c r="DN260" s="300"/>
      <c r="DO260" s="300"/>
      <c r="DP260" s="300"/>
      <c r="DQ260" s="300"/>
      <c r="DR260" s="300"/>
      <c r="DS260" s="300"/>
      <c r="DT260" s="300"/>
      <c r="DU260" s="300"/>
      <c r="DV260" s="300"/>
      <c r="DW260" s="300"/>
      <c r="DX260" s="315"/>
      <c r="DY260" s="328"/>
      <c r="DZ260" s="328"/>
      <c r="EA260" s="328"/>
      <c r="EB260" s="328"/>
      <c r="EC260" s="328"/>
      <c r="ED260" s="328"/>
      <c r="EE260" s="328"/>
      <c r="EF260" s="328"/>
      <c r="EG260" s="328"/>
      <c r="EH260" s="328"/>
      <c r="EI260" s="328"/>
      <c r="EJ260" s="328"/>
      <c r="EK260" s="328"/>
      <c r="EL260" s="328"/>
      <c r="EM260" s="328"/>
      <c r="EN260" s="328"/>
      <c r="EO260" s="483"/>
      <c r="EP260" s="321"/>
      <c r="EQ260" s="321"/>
      <c r="ER260" s="321"/>
      <c r="ES260" s="321"/>
      <c r="ET260" s="321"/>
      <c r="EU260" s="321"/>
      <c r="EV260" s="321"/>
      <c r="EW260" s="321"/>
      <c r="EX260" s="321"/>
      <c r="EY260" s="321"/>
      <c r="EZ260" s="321"/>
      <c r="FA260" s="321"/>
      <c r="FB260" s="321"/>
      <c r="FC260" s="321"/>
      <c r="FD260" s="564"/>
      <c r="FE260" s="483"/>
      <c r="FF260" s="321"/>
      <c r="FG260" s="321"/>
      <c r="FH260" s="321"/>
      <c r="FI260" s="321"/>
      <c r="FJ260" s="321"/>
      <c r="FK260" s="321"/>
      <c r="FL260" s="321"/>
      <c r="FM260" s="321"/>
      <c r="FN260" s="321"/>
      <c r="FO260" s="321"/>
      <c r="FP260" s="321"/>
      <c r="FQ260" s="321"/>
      <c r="FR260" s="321"/>
      <c r="FS260" s="321"/>
      <c r="FT260" s="564"/>
      <c r="FU260" s="321">
        <v>60</v>
      </c>
      <c r="FV260" s="321"/>
      <c r="FW260" s="321"/>
      <c r="FX260" s="321"/>
      <c r="FY260" s="321"/>
      <c r="FZ260" s="321"/>
      <c r="GA260" s="321"/>
      <c r="GB260" s="321"/>
      <c r="GC260" s="321"/>
      <c r="GD260" s="321"/>
      <c r="GE260" s="321"/>
      <c r="GF260" s="321"/>
      <c r="GG260" s="321"/>
      <c r="GH260" s="321"/>
      <c r="GI260" s="321"/>
      <c r="GJ260" s="564"/>
      <c r="GK260" s="321">
        <v>60</v>
      </c>
      <c r="GL260" s="321"/>
      <c r="GM260" s="321"/>
      <c r="GN260" s="321"/>
      <c r="GO260" s="321"/>
      <c r="GP260" s="321"/>
      <c r="GQ260" s="321"/>
      <c r="GR260" s="321"/>
      <c r="GS260" s="321"/>
      <c r="GT260" s="321"/>
      <c r="GU260" s="321"/>
      <c r="GV260" s="321"/>
      <c r="GW260" s="321"/>
      <c r="GX260" s="321"/>
      <c r="GY260" s="321"/>
      <c r="GZ260" s="564"/>
      <c r="HA260" s="483">
        <v>60</v>
      </c>
      <c r="HB260" s="321"/>
      <c r="HC260" s="321"/>
      <c r="HD260" s="452"/>
      <c r="HE260" s="321"/>
      <c r="HF260" s="321"/>
      <c r="HG260" s="321"/>
      <c r="HH260" s="321"/>
      <c r="HI260" s="452"/>
      <c r="HJ260" s="321"/>
      <c r="HK260" s="321"/>
      <c r="HL260" s="321"/>
      <c r="HM260" s="321"/>
      <c r="HN260" s="321"/>
      <c r="HO260" s="321"/>
      <c r="HP260" s="564"/>
      <c r="HQ260" s="421"/>
      <c r="HR260" s="432"/>
      <c r="HS260" s="432"/>
      <c r="HT260" s="432"/>
      <c r="HU260" s="432"/>
      <c r="HV260" s="432"/>
      <c r="HW260" s="432"/>
      <c r="HX260" s="432"/>
      <c r="HY260" s="432"/>
      <c r="HZ260" s="432"/>
      <c r="IA260" s="432"/>
      <c r="IB260" s="432"/>
      <c r="IC260" s="432"/>
      <c r="ID260" s="432"/>
      <c r="IE260" s="432"/>
      <c r="IF260" s="439"/>
      <c r="IG260" s="421">
        <v>180</v>
      </c>
      <c r="IH260" s="432"/>
      <c r="II260" s="432"/>
      <c r="IJ260" s="432"/>
      <c r="IK260" s="432"/>
      <c r="IL260" s="432"/>
      <c r="IM260" s="432"/>
      <c r="IN260" s="432"/>
      <c r="IO260" s="432"/>
      <c r="IP260" s="432"/>
      <c r="IQ260" s="432"/>
      <c r="IR260" s="432"/>
      <c r="IS260" s="432"/>
      <c r="IT260" s="432"/>
      <c r="IU260" s="432"/>
      <c r="IV260" s="439"/>
    </row>
    <row r="261" spans="1:256" s="326" customFormat="1" ht="8.25" customHeight="1">
      <c r="A261" s="483"/>
      <c r="B261" s="321"/>
      <c r="C261" s="321"/>
      <c r="D261" s="321"/>
      <c r="E261" s="321"/>
      <c r="F261" s="321"/>
      <c r="G261" s="321"/>
      <c r="H261" s="321"/>
      <c r="I261" s="321"/>
      <c r="J261" s="321"/>
      <c r="K261" s="321"/>
      <c r="L261" s="321"/>
      <c r="M261" s="321"/>
      <c r="N261" s="321"/>
      <c r="O261" s="321"/>
      <c r="P261" s="564"/>
      <c r="Q261" s="483"/>
      <c r="R261" s="321"/>
      <c r="S261" s="321"/>
      <c r="T261" s="321"/>
      <c r="U261" s="321"/>
      <c r="V261" s="321"/>
      <c r="W261" s="321"/>
      <c r="X261" s="321"/>
      <c r="Y261" s="321"/>
      <c r="Z261" s="321"/>
      <c r="AA261" s="321"/>
      <c r="AB261" s="321"/>
      <c r="AC261" s="321"/>
      <c r="AD261" s="321"/>
      <c r="AE261" s="321"/>
      <c r="AF261" s="564"/>
      <c r="AG261" s="483"/>
      <c r="AH261" s="321"/>
      <c r="AI261" s="321"/>
      <c r="AJ261" s="321"/>
      <c r="AK261" s="321"/>
      <c r="AL261" s="321"/>
      <c r="AM261" s="321"/>
      <c r="AN261" s="321"/>
      <c r="AO261" s="321"/>
      <c r="AP261" s="321"/>
      <c r="AQ261" s="321"/>
      <c r="AR261" s="321"/>
      <c r="AS261" s="321"/>
      <c r="AT261" s="321"/>
      <c r="AU261" s="321"/>
      <c r="AV261" s="564"/>
      <c r="AW261" s="483"/>
      <c r="AX261" s="321"/>
      <c r="AY261" s="321"/>
      <c r="AZ261" s="321"/>
      <c r="BA261" s="321"/>
      <c r="BB261" s="321"/>
      <c r="BC261" s="321"/>
      <c r="BD261" s="321"/>
      <c r="BE261" s="321"/>
      <c r="BF261" s="321"/>
      <c r="BG261" s="321"/>
      <c r="BH261" s="321"/>
      <c r="BI261" s="321"/>
      <c r="BJ261" s="321"/>
      <c r="BK261" s="321"/>
      <c r="BL261" s="564"/>
      <c r="BM261" s="432"/>
      <c r="BN261" s="415"/>
      <c r="BO261" s="415"/>
      <c r="BP261" s="415"/>
      <c r="BQ261" s="415"/>
      <c r="BR261" s="415"/>
      <c r="BS261" s="415"/>
      <c r="BT261" s="415"/>
      <c r="BU261" s="415"/>
      <c r="BV261" s="415"/>
      <c r="BW261" s="415"/>
      <c r="BX261" s="415"/>
      <c r="BY261" s="415"/>
      <c r="BZ261" s="415"/>
      <c r="CA261" s="415"/>
      <c r="CB261" s="411"/>
      <c r="CC261" s="1236"/>
      <c r="CD261" s="328"/>
      <c r="CE261" s="328"/>
      <c r="CF261" s="432"/>
      <c r="CG261" s="410"/>
      <c r="CH261" s="410"/>
      <c r="CI261" s="410"/>
      <c r="CJ261" s="410"/>
      <c r="CK261" s="410"/>
      <c r="CL261" s="411"/>
      <c r="CM261" s="452"/>
      <c r="CN261" s="432"/>
      <c r="CO261" s="328"/>
      <c r="CP261" s="328"/>
      <c r="CQ261" s="328"/>
      <c r="CR261" s="1237"/>
      <c r="CS261" s="449"/>
      <c r="CT261" s="456"/>
      <c r="CU261" s="456"/>
      <c r="CV261" s="456"/>
      <c r="CW261" s="440"/>
      <c r="CX261" s="456"/>
      <c r="CY261" s="456"/>
      <c r="CZ261" s="440"/>
      <c r="DA261" s="456"/>
      <c r="DB261" s="440"/>
      <c r="DC261" s="440"/>
      <c r="DD261" s="456"/>
      <c r="DE261" s="456"/>
      <c r="DF261" s="440"/>
      <c r="DG261" s="440"/>
      <c r="DH261" s="1345"/>
      <c r="DI261" s="311"/>
      <c r="DJ261" s="318"/>
      <c r="DK261" s="318"/>
      <c r="DL261" s="318"/>
      <c r="DM261" s="300"/>
      <c r="DN261" s="318"/>
      <c r="DO261" s="300"/>
      <c r="DP261" s="318"/>
      <c r="DQ261" s="300"/>
      <c r="DR261" s="318"/>
      <c r="DS261" s="300"/>
      <c r="DT261" s="318"/>
      <c r="DU261" s="318"/>
      <c r="DV261" s="300"/>
      <c r="DW261" s="300"/>
      <c r="DX261" s="315"/>
      <c r="DY261" s="483">
        <v>50</v>
      </c>
      <c r="DZ261" s="328"/>
      <c r="EA261" s="328"/>
      <c r="EB261" s="328"/>
      <c r="EC261" s="328"/>
      <c r="ED261" s="328"/>
      <c r="EE261" s="328"/>
      <c r="EF261" s="328"/>
      <c r="EG261" s="328"/>
      <c r="EH261" s="328"/>
      <c r="EI261" s="328"/>
      <c r="EJ261" s="328"/>
      <c r="EK261" s="328"/>
      <c r="EL261" s="328"/>
      <c r="EM261" s="328"/>
      <c r="EN261" s="328"/>
      <c r="EO261" s="483"/>
      <c r="EZ261" s="321"/>
      <c r="FA261" s="321"/>
      <c r="FB261" s="321"/>
      <c r="FC261" s="321"/>
      <c r="FD261" s="564"/>
      <c r="FE261" s="483">
        <v>20</v>
      </c>
      <c r="FF261" s="321"/>
      <c r="FG261" s="321"/>
      <c r="FH261" s="321"/>
      <c r="FI261" s="321"/>
      <c r="FJ261" s="321"/>
      <c r="FK261" s="321"/>
      <c r="FL261" s="321"/>
      <c r="FM261" s="321"/>
      <c r="FN261" s="321"/>
      <c r="FO261" s="321"/>
      <c r="FP261" s="321"/>
      <c r="FQ261" s="321"/>
      <c r="FR261" s="321"/>
      <c r="FS261" s="321"/>
      <c r="FT261" s="564"/>
      <c r="FU261" s="321"/>
      <c r="FV261" s="321"/>
      <c r="FW261" s="321"/>
      <c r="FX261" s="321"/>
      <c r="FY261" s="321"/>
      <c r="FZ261" s="321"/>
      <c r="GA261" s="321"/>
      <c r="GB261" s="321"/>
      <c r="GC261" s="321"/>
      <c r="GD261" s="321"/>
      <c r="GE261" s="321"/>
      <c r="GF261" s="321"/>
      <c r="GG261" s="321"/>
      <c r="GH261" s="321"/>
      <c r="GI261" s="321"/>
      <c r="GJ261" s="564"/>
      <c r="GK261" s="321"/>
      <c r="GL261" s="321"/>
      <c r="GM261" s="321"/>
      <c r="GN261" s="321"/>
      <c r="GO261" s="321"/>
      <c r="GP261" s="321"/>
      <c r="GQ261" s="321"/>
      <c r="GR261" s="321"/>
      <c r="GS261" s="321"/>
      <c r="GT261" s="321"/>
      <c r="GU261" s="321"/>
      <c r="GV261" s="321"/>
      <c r="GW261" s="321"/>
      <c r="GX261" s="321"/>
      <c r="GY261" s="321"/>
      <c r="GZ261" s="564"/>
      <c r="HA261" s="416"/>
      <c r="HB261" s="416"/>
      <c r="HC261" s="416"/>
      <c r="HD261" s="452"/>
      <c r="HE261" s="416"/>
      <c r="HF261" s="416"/>
      <c r="HG261" s="416"/>
      <c r="HH261" s="452"/>
      <c r="HI261" s="416"/>
      <c r="HJ261" s="416"/>
      <c r="HK261" s="416"/>
      <c r="HL261" s="416"/>
      <c r="HM261" s="428"/>
      <c r="HN261" s="428"/>
      <c r="HO261" s="416"/>
      <c r="HP261" s="416"/>
      <c r="HQ261" s="432">
        <v>20</v>
      </c>
      <c r="HR261" s="290"/>
      <c r="HS261" s="417"/>
      <c r="HT261" s="417"/>
      <c r="HU261" s="417"/>
      <c r="HV261" s="417"/>
      <c r="HW261" s="417"/>
      <c r="HX261" s="417"/>
      <c r="HY261" s="417"/>
      <c r="HZ261" s="417"/>
      <c r="IA261" s="417"/>
      <c r="IB261" s="417"/>
      <c r="IC261" s="417"/>
      <c r="ID261" s="417"/>
      <c r="IE261" s="417"/>
      <c r="IF261" s="411"/>
      <c r="IG261" s="432"/>
      <c r="IH261" s="417"/>
      <c r="II261" s="417"/>
      <c r="IJ261" s="417"/>
      <c r="IK261" s="417"/>
      <c r="IL261" s="417"/>
      <c r="IM261" s="417"/>
      <c r="IN261" s="417"/>
      <c r="IO261" s="417"/>
      <c r="IP261" s="417"/>
      <c r="IQ261" s="417"/>
      <c r="IR261" s="417"/>
      <c r="IS261" s="417"/>
      <c r="IT261" s="417"/>
      <c r="IU261" s="417"/>
      <c r="IV261" s="411"/>
    </row>
    <row r="262" spans="1:256" s="326" customFormat="1" ht="8.25" customHeight="1">
      <c r="A262" s="483"/>
      <c r="B262" s="321"/>
      <c r="C262" s="321"/>
      <c r="D262" s="321"/>
      <c r="E262" s="321"/>
      <c r="F262" s="321"/>
      <c r="G262" s="321"/>
      <c r="H262" s="321"/>
      <c r="I262" s="321"/>
      <c r="J262" s="321"/>
      <c r="K262" s="321"/>
      <c r="L262" s="321"/>
      <c r="M262" s="321"/>
      <c r="N262" s="321"/>
      <c r="O262" s="321"/>
      <c r="P262" s="564"/>
      <c r="Q262" s="483"/>
      <c r="R262" s="321"/>
      <c r="S262" s="321"/>
      <c r="T262" s="321"/>
      <c r="U262" s="321"/>
      <c r="V262" s="321"/>
      <c r="W262" s="321"/>
      <c r="X262" s="321"/>
      <c r="Y262" s="321"/>
      <c r="Z262" s="321"/>
      <c r="AA262" s="321"/>
      <c r="AB262" s="321"/>
      <c r="AC262" s="321"/>
      <c r="AD262" s="321"/>
      <c r="AE262" s="321"/>
      <c r="AF262" s="564"/>
      <c r="AG262" s="483"/>
      <c r="AH262" s="321"/>
      <c r="AI262" s="321"/>
      <c r="AJ262" s="321"/>
      <c r="AK262" s="321"/>
      <c r="AL262" s="321"/>
      <c r="AM262" s="321"/>
      <c r="AN262" s="321"/>
      <c r="AO262" s="321"/>
      <c r="AP262" s="321"/>
      <c r="AQ262" s="321"/>
      <c r="AR262" s="321"/>
      <c r="AS262" s="321"/>
      <c r="AT262" s="321"/>
      <c r="AU262" s="321"/>
      <c r="AV262" s="564"/>
      <c r="AW262" s="421"/>
      <c r="AX262" s="432"/>
      <c r="AY262" s="432"/>
      <c r="AZ262" s="432"/>
      <c r="BA262" s="432"/>
      <c r="BB262" s="432"/>
      <c r="BC262" s="432"/>
      <c r="BD262" s="432"/>
      <c r="BE262" s="432"/>
      <c r="BF262" s="432"/>
      <c r="BG262" s="432"/>
      <c r="BH262" s="432"/>
      <c r="BI262" s="432"/>
      <c r="BJ262" s="432"/>
      <c r="BK262" s="432"/>
      <c r="BL262" s="439"/>
      <c r="BM262" s="432"/>
      <c r="BN262" s="415"/>
      <c r="BO262" s="421"/>
      <c r="BP262" s="421"/>
      <c r="BQ262" s="421"/>
      <c r="BR262" s="421"/>
      <c r="BS262" s="421"/>
      <c r="BT262" s="415"/>
      <c r="BU262" s="417"/>
      <c r="BV262" s="421"/>
      <c r="BW262" s="421"/>
      <c r="BX262" s="421"/>
      <c r="BY262" s="421"/>
      <c r="BZ262" s="421"/>
      <c r="CA262" s="417"/>
      <c r="CB262" s="411"/>
      <c r="CC262" s="1236"/>
      <c r="CD262" s="328"/>
      <c r="CE262" s="328"/>
      <c r="CF262" s="421"/>
      <c r="CG262" s="410"/>
      <c r="CH262" s="410"/>
      <c r="CI262" s="410"/>
      <c r="CJ262" s="452"/>
      <c r="CK262" s="411"/>
      <c r="CL262" s="410"/>
      <c r="CM262" s="410"/>
      <c r="CN262" s="421"/>
      <c r="CO262" s="328"/>
      <c r="CP262" s="328"/>
      <c r="CQ262" s="328"/>
      <c r="CR262" s="1237"/>
      <c r="CS262" s="449"/>
      <c r="CT262" s="440"/>
      <c r="CU262" s="456"/>
      <c r="CV262" s="440"/>
      <c r="CW262" s="440"/>
      <c r="CX262" s="456"/>
      <c r="CY262" s="440"/>
      <c r="CZ262" s="440"/>
      <c r="DA262" s="456"/>
      <c r="DB262" s="440"/>
      <c r="DC262" s="440"/>
      <c r="DD262" s="456"/>
      <c r="DE262" s="440"/>
      <c r="DF262" s="440"/>
      <c r="DG262" s="440"/>
      <c r="DH262" s="1345"/>
      <c r="DI262" s="315"/>
      <c r="DJ262" s="300"/>
      <c r="DK262" s="318"/>
      <c r="DL262" s="300"/>
      <c r="DM262" s="300"/>
      <c r="DN262" s="318"/>
      <c r="DO262" s="300"/>
      <c r="DP262" s="315"/>
      <c r="DQ262" s="318"/>
      <c r="DR262" s="315"/>
      <c r="DS262" s="300"/>
      <c r="DT262" s="318"/>
      <c r="DU262" s="300"/>
      <c r="DV262" s="300"/>
      <c r="DW262" s="300"/>
      <c r="DX262" s="315"/>
      <c r="DY262" s="483">
        <v>164</v>
      </c>
      <c r="DZ262" s="328"/>
      <c r="EA262" s="328"/>
      <c r="EB262" s="328"/>
      <c r="EC262" s="328"/>
      <c r="ED262" s="328"/>
      <c r="EE262" s="328"/>
      <c r="EF262" s="328"/>
      <c r="EG262" s="328"/>
      <c r="EH262" s="328"/>
      <c r="EI262" s="328"/>
      <c r="EJ262" s="328"/>
      <c r="EK262" s="328"/>
      <c r="EL262" s="328"/>
      <c r="EM262" s="328"/>
      <c r="EN262" s="328"/>
      <c r="EO262" s="483">
        <v>71</v>
      </c>
      <c r="EZ262" s="321"/>
      <c r="FA262" s="321"/>
      <c r="FB262" s="321"/>
      <c r="FC262" s="321"/>
      <c r="FD262" s="564"/>
      <c r="FE262" s="483">
        <v>85</v>
      </c>
      <c r="FF262" s="321"/>
      <c r="FG262" s="321"/>
      <c r="FH262" s="321"/>
      <c r="FI262" s="321"/>
      <c r="FJ262" s="321"/>
      <c r="FK262" s="321"/>
      <c r="FL262" s="321"/>
      <c r="FM262" s="321"/>
      <c r="FN262" s="321"/>
      <c r="FO262" s="321"/>
      <c r="FP262" s="321"/>
      <c r="FQ262" s="321"/>
      <c r="FR262" s="321"/>
      <c r="FS262" s="321"/>
      <c r="FT262" s="564"/>
      <c r="FU262" s="321"/>
      <c r="FV262" s="321"/>
      <c r="FW262" s="321"/>
      <c r="FX262" s="321"/>
      <c r="FY262" s="321"/>
      <c r="FZ262" s="321"/>
      <c r="GA262" s="321"/>
      <c r="GB262" s="321"/>
      <c r="GC262" s="321"/>
      <c r="GD262" s="321"/>
      <c r="GE262" s="321"/>
      <c r="GF262" s="321"/>
      <c r="GG262" s="321"/>
      <c r="GH262" s="321"/>
      <c r="GI262" s="321"/>
      <c r="GJ262" s="564"/>
      <c r="GK262" s="321"/>
      <c r="GL262" s="321"/>
      <c r="GM262" s="321"/>
      <c r="GN262" s="321"/>
      <c r="GO262" s="321"/>
      <c r="GP262" s="321"/>
      <c r="GQ262" s="321"/>
      <c r="GR262" s="321"/>
      <c r="GS262" s="321"/>
      <c r="GT262" s="321"/>
      <c r="GU262" s="321"/>
      <c r="GV262" s="321"/>
      <c r="GW262" s="321"/>
      <c r="GX262" s="321"/>
      <c r="GY262" s="321"/>
      <c r="GZ262" s="564"/>
      <c r="HA262" s="416"/>
      <c r="HB262" s="423"/>
      <c r="HC262" s="423"/>
      <c r="HD262" s="416"/>
      <c r="HE262" s="416"/>
      <c r="HF262" s="416"/>
      <c r="HG262" s="416"/>
      <c r="HH262" s="416"/>
      <c r="HI262" s="416"/>
      <c r="HJ262" s="416"/>
      <c r="HK262" s="416"/>
      <c r="HL262" s="416"/>
      <c r="HM262" s="416"/>
      <c r="HN262" s="416"/>
      <c r="HO262" s="416"/>
      <c r="HP262" s="416"/>
      <c r="HQ262" s="432">
        <v>144</v>
      </c>
      <c r="HR262" s="417"/>
      <c r="HS262" s="421"/>
      <c r="HT262" s="421"/>
      <c r="HU262" s="421"/>
      <c r="HV262" s="421"/>
      <c r="HW262" s="421"/>
      <c r="HX262" s="421"/>
      <c r="HY262" s="421"/>
      <c r="HZ262" s="421"/>
      <c r="IA262" s="421"/>
      <c r="IB262" s="421"/>
      <c r="IC262" s="421"/>
      <c r="ID262" s="421"/>
      <c r="IE262" s="417"/>
      <c r="IF262" s="411"/>
      <c r="IG262" s="432">
        <v>73</v>
      </c>
      <c r="IH262" s="417"/>
      <c r="II262" s="421"/>
      <c r="IJ262" s="421"/>
      <c r="IK262" s="421"/>
      <c r="IL262" s="421"/>
      <c r="IM262" s="413"/>
      <c r="IN262" s="421"/>
      <c r="IO262" s="421"/>
      <c r="IP262" s="421"/>
      <c r="IQ262" s="421"/>
      <c r="IR262" s="421"/>
      <c r="IS262" s="421"/>
      <c r="IT262" s="421"/>
      <c r="IU262" s="417"/>
      <c r="IV262" s="411"/>
    </row>
    <row r="263" spans="1:256" s="326" customFormat="1" ht="8.25" customHeight="1">
      <c r="A263" s="483"/>
      <c r="B263" s="321"/>
      <c r="C263" s="321"/>
      <c r="D263" s="321"/>
      <c r="E263" s="321"/>
      <c r="F263" s="321"/>
      <c r="G263" s="321"/>
      <c r="H263" s="321"/>
      <c r="I263" s="321"/>
      <c r="J263" s="321"/>
      <c r="K263" s="321"/>
      <c r="L263" s="321"/>
      <c r="M263" s="321"/>
      <c r="N263" s="321"/>
      <c r="O263" s="321"/>
      <c r="P263" s="564"/>
      <c r="Q263" s="483"/>
      <c r="R263" s="321"/>
      <c r="S263" s="321"/>
      <c r="T263" s="321"/>
      <c r="U263" s="321"/>
      <c r="V263" s="321"/>
      <c r="W263" s="321"/>
      <c r="X263" s="321"/>
      <c r="Y263" s="321"/>
      <c r="Z263" s="321"/>
      <c r="AA263" s="321"/>
      <c r="AB263" s="321"/>
      <c r="AC263" s="321"/>
      <c r="AD263" s="321"/>
      <c r="AE263" s="321"/>
      <c r="AF263" s="564"/>
      <c r="AG263" s="483"/>
      <c r="AH263" s="321"/>
      <c r="AI263" s="321"/>
      <c r="AJ263" s="321"/>
      <c r="AK263" s="321"/>
      <c r="AL263" s="321"/>
      <c r="AM263" s="321"/>
      <c r="AN263" s="321"/>
      <c r="AO263" s="321"/>
      <c r="AP263" s="321"/>
      <c r="AQ263" s="321"/>
      <c r="AR263" s="321"/>
      <c r="AS263" s="321"/>
      <c r="AT263" s="321"/>
      <c r="AU263" s="321"/>
      <c r="AV263" s="564"/>
      <c r="AW263" s="432"/>
      <c r="AX263" s="417"/>
      <c r="AY263" s="417"/>
      <c r="AZ263" s="417"/>
      <c r="BA263" s="417"/>
      <c r="BB263" s="417"/>
      <c r="BC263" s="417"/>
      <c r="BD263" s="417"/>
      <c r="BE263" s="417"/>
      <c r="BF263" s="417"/>
      <c r="BG263" s="417"/>
      <c r="BH263" s="417"/>
      <c r="BI263" s="417"/>
      <c r="BJ263" s="417"/>
      <c r="BK263" s="417"/>
      <c r="BL263" s="411"/>
      <c r="BM263" s="432"/>
      <c r="BN263" s="415"/>
      <c r="BO263" s="421"/>
      <c r="BP263" s="421"/>
      <c r="BQ263" s="421"/>
      <c r="BR263" s="421"/>
      <c r="BS263" s="412"/>
      <c r="BT263" s="415"/>
      <c r="BU263" s="417"/>
      <c r="BV263" s="421"/>
      <c r="BW263" s="421"/>
      <c r="BX263" s="421"/>
      <c r="BY263" s="421"/>
      <c r="BZ263" s="412"/>
      <c r="CA263" s="417"/>
      <c r="CB263" s="411"/>
      <c r="CC263" s="1236"/>
      <c r="CD263" s="328"/>
      <c r="CE263" s="328"/>
      <c r="CF263" s="421"/>
      <c r="CG263" s="411"/>
      <c r="CH263" s="421"/>
      <c r="CI263" s="421"/>
      <c r="CJ263" s="432"/>
      <c r="CK263" s="410"/>
      <c r="CL263" s="410"/>
      <c r="CM263" s="411"/>
      <c r="CN263" s="421"/>
      <c r="CO263" s="328"/>
      <c r="CP263" s="328"/>
      <c r="CQ263" s="328"/>
      <c r="CR263" s="1237"/>
      <c r="CS263" s="449"/>
      <c r="CT263" s="440"/>
      <c r="CU263" s="456"/>
      <c r="CV263" s="440"/>
      <c r="CW263" s="440"/>
      <c r="CX263" s="456"/>
      <c r="CY263" s="456"/>
      <c r="CZ263" s="440"/>
      <c r="DA263" s="456"/>
      <c r="DB263" s="440"/>
      <c r="DC263" s="440"/>
      <c r="DD263" s="456"/>
      <c r="DE263" s="456"/>
      <c r="DF263" s="440"/>
      <c r="DG263" s="456"/>
      <c r="DH263" s="1345"/>
      <c r="DI263" s="315"/>
      <c r="DJ263" s="300"/>
      <c r="DK263" s="318"/>
      <c r="DL263" s="300"/>
      <c r="DM263" s="300"/>
      <c r="DN263" s="318"/>
      <c r="DO263" s="300"/>
      <c r="DP263" s="318"/>
      <c r="DQ263" s="311"/>
      <c r="DR263" s="318"/>
      <c r="DS263" s="300"/>
      <c r="DT263" s="318"/>
      <c r="DU263" s="318"/>
      <c r="DV263" s="300"/>
      <c r="DW263" s="318"/>
      <c r="DX263" s="311"/>
      <c r="DY263" s="328"/>
      <c r="DZ263" s="328"/>
      <c r="EA263" s="328"/>
      <c r="EB263" s="328"/>
      <c r="EC263" s="328"/>
      <c r="ED263" s="328"/>
      <c r="EE263" s="328"/>
      <c r="EF263" s="328"/>
      <c r="EG263" s="328"/>
      <c r="EH263" s="328"/>
      <c r="EI263" s="328"/>
      <c r="EJ263" s="328"/>
      <c r="EK263" s="328"/>
      <c r="EL263" s="328"/>
      <c r="EM263" s="328"/>
      <c r="EN263" s="328"/>
      <c r="EO263" s="483"/>
      <c r="EZ263" s="321"/>
      <c r="FA263" s="321"/>
      <c r="FB263" s="321"/>
      <c r="FC263" s="321"/>
      <c r="FD263" s="564"/>
      <c r="FE263" s="483"/>
      <c r="FF263" s="321"/>
      <c r="FG263" s="321"/>
      <c r="FH263" s="321"/>
      <c r="FI263" s="321"/>
      <c r="FJ263" s="321"/>
      <c r="FK263" s="321"/>
      <c r="FL263" s="321"/>
      <c r="FM263" s="321"/>
      <c r="FN263" s="321"/>
      <c r="FO263" s="321"/>
      <c r="FP263" s="321"/>
      <c r="FQ263" s="321"/>
      <c r="FR263" s="321"/>
      <c r="FS263" s="321"/>
      <c r="FT263" s="564"/>
      <c r="FU263" s="321"/>
      <c r="FV263" s="321"/>
      <c r="FW263" s="321"/>
      <c r="FX263" s="321"/>
      <c r="FY263" s="321"/>
      <c r="FZ263" s="321"/>
      <c r="GA263" s="321"/>
      <c r="GB263" s="321"/>
      <c r="GC263" s="321"/>
      <c r="GD263" s="321"/>
      <c r="GE263" s="321"/>
      <c r="GF263" s="321"/>
      <c r="GG263" s="321"/>
      <c r="GH263" s="321"/>
      <c r="GI263" s="321"/>
      <c r="GJ263" s="564"/>
      <c r="GK263" s="321"/>
      <c r="GL263" s="321"/>
      <c r="GM263" s="321"/>
      <c r="GN263" s="321"/>
      <c r="GO263" s="321"/>
      <c r="GP263" s="321"/>
      <c r="GQ263" s="321"/>
      <c r="GR263" s="321"/>
      <c r="GS263" s="321"/>
      <c r="GT263" s="321"/>
      <c r="GU263" s="321"/>
      <c r="GV263" s="321"/>
      <c r="GW263" s="321"/>
      <c r="GX263" s="321"/>
      <c r="GY263" s="321"/>
      <c r="GZ263" s="564"/>
      <c r="HA263" s="416"/>
      <c r="HB263" s="416"/>
      <c r="HC263" s="416"/>
      <c r="HD263" s="416"/>
      <c r="HE263" s="416"/>
      <c r="HF263" s="422"/>
      <c r="HG263" s="422"/>
      <c r="HH263" s="416"/>
      <c r="HI263" s="416"/>
      <c r="HJ263" s="423"/>
      <c r="HK263" s="423"/>
      <c r="HL263" s="416"/>
      <c r="HM263" s="416"/>
      <c r="HN263" s="416"/>
      <c r="HO263" s="416"/>
      <c r="HP263" s="416"/>
      <c r="HQ263" s="432"/>
      <c r="HR263" s="290"/>
      <c r="HS263" s="421"/>
      <c r="HT263" s="421"/>
      <c r="HU263" s="421"/>
      <c r="HV263" s="421"/>
      <c r="HW263" s="421"/>
      <c r="HX263" s="421"/>
      <c r="HY263" s="421"/>
      <c r="HZ263" s="421"/>
      <c r="IA263" s="421"/>
      <c r="IB263" s="412"/>
      <c r="IC263" s="412"/>
      <c r="ID263" s="412"/>
      <c r="IE263" s="417"/>
      <c r="IF263" s="411"/>
      <c r="IG263" s="432"/>
      <c r="IH263" s="417"/>
      <c r="II263" s="413"/>
      <c r="IJ263" s="421"/>
      <c r="IK263" s="421"/>
      <c r="IL263" s="413"/>
      <c r="IM263" s="413"/>
      <c r="IN263" s="421"/>
      <c r="IO263" s="421"/>
      <c r="IP263" s="421"/>
      <c r="IQ263" s="421"/>
      <c r="IR263" s="412"/>
      <c r="IS263" s="412"/>
      <c r="IT263" s="413"/>
      <c r="IU263" s="417"/>
      <c r="IV263" s="411"/>
    </row>
    <row r="264" spans="1:256" s="326" customFormat="1" ht="8.25" customHeight="1">
      <c r="A264" s="483"/>
      <c r="B264" s="321"/>
      <c r="C264" s="321"/>
      <c r="D264" s="321"/>
      <c r="E264" s="321"/>
      <c r="F264" s="321"/>
      <c r="G264" s="321"/>
      <c r="H264" s="321"/>
      <c r="I264" s="321"/>
      <c r="J264" s="321"/>
      <c r="K264" s="321"/>
      <c r="L264" s="321"/>
      <c r="M264" s="321"/>
      <c r="N264" s="321"/>
      <c r="O264" s="321"/>
      <c r="P264" s="564"/>
      <c r="Q264" s="483"/>
      <c r="R264" s="321"/>
      <c r="S264" s="321"/>
      <c r="T264" s="321"/>
      <c r="U264" s="321"/>
      <c r="V264" s="321"/>
      <c r="W264" s="321"/>
      <c r="X264" s="321"/>
      <c r="Y264" s="321"/>
      <c r="Z264" s="321"/>
      <c r="AA264" s="321"/>
      <c r="AB264" s="321"/>
      <c r="AC264" s="321"/>
      <c r="AD264" s="321"/>
      <c r="AE264" s="321"/>
      <c r="AF264" s="564"/>
      <c r="AG264" s="483"/>
      <c r="AH264" s="321"/>
      <c r="AI264" s="321"/>
      <c r="AJ264" s="321"/>
      <c r="AK264" s="321"/>
      <c r="AL264" s="321"/>
      <c r="AM264" s="321"/>
      <c r="AN264" s="321"/>
      <c r="AO264" s="321"/>
      <c r="AP264" s="321"/>
      <c r="AQ264" s="321"/>
      <c r="AR264" s="321"/>
      <c r="AS264" s="321"/>
      <c r="AT264" s="321"/>
      <c r="AU264" s="321"/>
      <c r="AV264" s="564"/>
      <c r="AW264" s="432"/>
      <c r="AX264" s="417"/>
      <c r="AY264" s="417"/>
      <c r="AZ264" s="417"/>
      <c r="BA264" s="417"/>
      <c r="BB264" s="417"/>
      <c r="BC264" s="417"/>
      <c r="BD264" s="417"/>
      <c r="BE264" s="417"/>
      <c r="BF264" s="417"/>
      <c r="BG264" s="417"/>
      <c r="BH264" s="417"/>
      <c r="BI264" s="417"/>
      <c r="BJ264" s="417"/>
      <c r="BK264" s="417"/>
      <c r="BL264" s="411"/>
      <c r="BM264" s="432"/>
      <c r="BN264" s="415"/>
      <c r="BO264" s="421"/>
      <c r="BP264" s="421"/>
      <c r="BQ264" s="421"/>
      <c r="BR264" s="412"/>
      <c r="BS264" s="412"/>
      <c r="BT264" s="415"/>
      <c r="BU264" s="417"/>
      <c r="BV264" s="421"/>
      <c r="BW264" s="421"/>
      <c r="BX264" s="421"/>
      <c r="BY264" s="412"/>
      <c r="BZ264" s="412"/>
      <c r="CA264" s="417"/>
      <c r="CB264" s="411"/>
      <c r="CC264" s="1236"/>
      <c r="CD264" s="328"/>
      <c r="CE264" s="328"/>
      <c r="CF264" s="421"/>
      <c r="CG264" s="410"/>
      <c r="CH264" s="410"/>
      <c r="CI264" s="410"/>
      <c r="CJ264" s="410"/>
      <c r="CK264" s="410"/>
      <c r="CL264" s="410"/>
      <c r="CM264" s="410"/>
      <c r="CN264" s="421"/>
      <c r="CO264" s="328"/>
      <c r="CP264" s="328"/>
      <c r="CQ264" s="328"/>
      <c r="CR264" s="1237"/>
      <c r="CS264" s="449"/>
      <c r="CT264" s="440"/>
      <c r="CU264" s="456"/>
      <c r="CV264" s="440"/>
      <c r="CW264" s="440"/>
      <c r="CX264" s="456"/>
      <c r="CY264" s="440"/>
      <c r="CZ264" s="440"/>
      <c r="DA264" s="456"/>
      <c r="DB264" s="440"/>
      <c r="DC264" s="440"/>
      <c r="DD264" s="456"/>
      <c r="DE264" s="440"/>
      <c r="DF264" s="440"/>
      <c r="DG264" s="440"/>
      <c r="DH264" s="1345"/>
      <c r="DI264" s="315"/>
      <c r="DJ264" s="300"/>
      <c r="DK264" s="318"/>
      <c r="DL264" s="300"/>
      <c r="DM264" s="300"/>
      <c r="DN264" s="318"/>
      <c r="DO264" s="300"/>
      <c r="DP264" s="318"/>
      <c r="DQ264" s="300"/>
      <c r="DR264" s="318"/>
      <c r="DS264" s="300"/>
      <c r="DT264" s="318"/>
      <c r="DU264" s="300"/>
      <c r="DV264" s="300"/>
      <c r="DW264" s="300"/>
      <c r="DX264" s="315"/>
      <c r="DY264" s="328"/>
      <c r="DZ264" s="328"/>
      <c r="EA264" s="328"/>
      <c r="EB264" s="328"/>
      <c r="EC264" s="328"/>
      <c r="ED264" s="328"/>
      <c r="EE264" s="328"/>
      <c r="EF264" s="328"/>
      <c r="EG264" s="328"/>
      <c r="EH264" s="328"/>
      <c r="EI264" s="328"/>
      <c r="EJ264" s="328"/>
      <c r="EK264" s="328"/>
      <c r="EL264" s="328"/>
      <c r="EM264" s="328"/>
      <c r="EN264" s="328"/>
      <c r="EO264" s="483"/>
      <c r="EZ264" s="321"/>
      <c r="FA264" s="321"/>
      <c r="FB264" s="321"/>
      <c r="FC264" s="321"/>
      <c r="FD264" s="564"/>
      <c r="FE264" s="483"/>
      <c r="FF264" s="321"/>
      <c r="FG264" s="321"/>
      <c r="FH264" s="321"/>
      <c r="FI264" s="321"/>
      <c r="FJ264" s="321"/>
      <c r="FK264" s="321"/>
      <c r="FL264" s="321"/>
      <c r="FM264" s="321"/>
      <c r="FN264" s="321"/>
      <c r="FO264" s="321"/>
      <c r="FP264" s="321"/>
      <c r="FQ264" s="321"/>
      <c r="FR264" s="321"/>
      <c r="FS264" s="321"/>
      <c r="FT264" s="564"/>
      <c r="FU264" s="321"/>
      <c r="FV264" s="321"/>
      <c r="FW264" s="321"/>
      <c r="FX264" s="452"/>
      <c r="FY264" s="321"/>
      <c r="FZ264" s="321"/>
      <c r="GA264" s="321"/>
      <c r="GB264" s="321"/>
      <c r="GC264" s="321"/>
      <c r="GD264" s="321"/>
      <c r="GE264" s="321"/>
      <c r="GF264" s="321"/>
      <c r="GG264" s="321"/>
      <c r="GH264" s="321"/>
      <c r="GI264" s="321"/>
      <c r="GJ264" s="564"/>
      <c r="GK264" s="321"/>
      <c r="GL264" s="321"/>
      <c r="GM264" s="321"/>
      <c r="GN264" s="452"/>
      <c r="GO264" s="321"/>
      <c r="GP264" s="321"/>
      <c r="GQ264" s="321"/>
      <c r="GR264" s="321"/>
      <c r="GS264" s="321"/>
      <c r="GT264" s="321"/>
      <c r="GU264" s="321"/>
      <c r="GV264" s="321"/>
      <c r="GW264" s="321"/>
      <c r="GX264" s="321"/>
      <c r="GY264" s="321"/>
      <c r="GZ264" s="564"/>
      <c r="HA264" s="416"/>
      <c r="HB264" s="428"/>
      <c r="HC264" s="428"/>
      <c r="HD264" s="416"/>
      <c r="HE264" s="416"/>
      <c r="HF264" s="416"/>
      <c r="HG264" s="416"/>
      <c r="HH264" s="416"/>
      <c r="HI264" s="416"/>
      <c r="HJ264" s="416"/>
      <c r="HK264" s="416"/>
      <c r="HL264" s="416"/>
      <c r="HM264" s="416"/>
      <c r="HN264" s="416"/>
      <c r="HO264" s="416"/>
      <c r="HP264" s="416"/>
      <c r="HQ264" s="432"/>
      <c r="HR264" s="290"/>
      <c r="HS264" s="421"/>
      <c r="HT264" s="421"/>
      <c r="HU264" s="421"/>
      <c r="HV264" s="421"/>
      <c r="HW264" s="421"/>
      <c r="HX264" s="421"/>
      <c r="HY264" s="412"/>
      <c r="HZ264" s="412"/>
      <c r="IA264" s="412"/>
      <c r="IB264" s="412"/>
      <c r="IC264" s="412"/>
      <c r="ID264" s="412"/>
      <c r="IE264" s="417"/>
      <c r="IF264" s="411"/>
      <c r="IG264" s="432"/>
      <c r="IH264" s="417"/>
      <c r="II264" s="413"/>
      <c r="IJ264" s="413"/>
      <c r="IK264" s="421"/>
      <c r="IL264" s="413"/>
      <c r="IM264" s="421"/>
      <c r="IN264" s="413"/>
      <c r="IO264" s="412"/>
      <c r="IP264" s="412"/>
      <c r="IQ264" s="412"/>
      <c r="IR264" s="412"/>
      <c r="IS264" s="413"/>
      <c r="IT264" s="413"/>
      <c r="IU264" s="417"/>
      <c r="IV264" s="411"/>
    </row>
    <row r="265" spans="1:256" s="326" customFormat="1" ht="8.25" customHeight="1">
      <c r="A265" s="483"/>
      <c r="B265" s="321"/>
      <c r="C265" s="321"/>
      <c r="D265" s="321"/>
      <c r="E265" s="321"/>
      <c r="F265" s="321"/>
      <c r="G265" s="321"/>
      <c r="H265" s="321"/>
      <c r="I265" s="321"/>
      <c r="J265" s="321"/>
      <c r="K265" s="321"/>
      <c r="L265" s="321"/>
      <c r="M265" s="321"/>
      <c r="N265" s="321"/>
      <c r="O265" s="321"/>
      <c r="P265" s="564"/>
      <c r="Q265" s="483"/>
      <c r="R265" s="321"/>
      <c r="S265" s="321"/>
      <c r="T265" s="321"/>
      <c r="U265" s="321"/>
      <c r="V265" s="321"/>
      <c r="W265" s="321"/>
      <c r="X265" s="321"/>
      <c r="Y265" s="321"/>
      <c r="Z265" s="321"/>
      <c r="AA265" s="321"/>
      <c r="AB265" s="321"/>
      <c r="AC265" s="321"/>
      <c r="AD265" s="321"/>
      <c r="AE265" s="321"/>
      <c r="AF265" s="564"/>
      <c r="AG265" s="483"/>
      <c r="AH265" s="321"/>
      <c r="AI265" s="321"/>
      <c r="AJ265" s="321"/>
      <c r="AK265" s="321"/>
      <c r="AL265" s="321"/>
      <c r="AM265" s="321"/>
      <c r="AN265" s="321"/>
      <c r="AO265" s="321"/>
      <c r="AP265" s="321"/>
      <c r="AQ265" s="321"/>
      <c r="AR265" s="321"/>
      <c r="AS265" s="321"/>
      <c r="AT265" s="321"/>
      <c r="AU265" s="321"/>
      <c r="AV265" s="564"/>
      <c r="AW265" s="432"/>
      <c r="AX265" s="417"/>
      <c r="AY265" s="417"/>
      <c r="AZ265" s="415"/>
      <c r="BA265" s="415"/>
      <c r="BB265" s="415"/>
      <c r="BC265" s="415"/>
      <c r="BD265" s="415"/>
      <c r="BE265" s="415"/>
      <c r="BF265" s="415"/>
      <c r="BG265" s="415"/>
      <c r="BH265" s="415"/>
      <c r="BI265" s="417"/>
      <c r="BJ265" s="417"/>
      <c r="BK265" s="417"/>
      <c r="BL265" s="411"/>
      <c r="BM265" s="432"/>
      <c r="BN265" s="415"/>
      <c r="BO265" s="421"/>
      <c r="BP265" s="421"/>
      <c r="BQ265" s="421"/>
      <c r="BR265" s="412"/>
      <c r="BS265" s="412"/>
      <c r="BT265" s="415"/>
      <c r="BU265" s="417"/>
      <c r="BV265" s="421"/>
      <c r="BW265" s="421"/>
      <c r="BX265" s="421"/>
      <c r="BY265" s="412"/>
      <c r="BZ265" s="412"/>
      <c r="CA265" s="417"/>
      <c r="CB265" s="411"/>
      <c r="CC265" s="1236"/>
      <c r="CD265" s="328"/>
      <c r="CE265" s="328"/>
      <c r="CF265" s="432"/>
      <c r="CG265" s="410"/>
      <c r="CH265" s="410"/>
      <c r="CI265" s="410"/>
      <c r="CJ265" s="410"/>
      <c r="CK265" s="410"/>
      <c r="CL265" s="410"/>
      <c r="CM265" s="410"/>
      <c r="CN265" s="421"/>
      <c r="CO265" s="328"/>
      <c r="CP265" s="328"/>
      <c r="CQ265" s="328"/>
      <c r="CR265" s="1237"/>
      <c r="CS265" s="449"/>
      <c r="CT265" s="440"/>
      <c r="CU265" s="456"/>
      <c r="CV265" s="440"/>
      <c r="CW265" s="440"/>
      <c r="CX265" s="456"/>
      <c r="CY265" s="456"/>
      <c r="CZ265" s="440"/>
      <c r="DA265" s="456"/>
      <c r="DB265" s="456"/>
      <c r="DC265" s="440"/>
      <c r="DD265" s="456"/>
      <c r="DE265" s="456"/>
      <c r="DF265" s="440"/>
      <c r="DG265" s="440"/>
      <c r="DH265" s="1345"/>
      <c r="DI265" s="315"/>
      <c r="DJ265" s="300"/>
      <c r="DK265" s="318"/>
      <c r="DL265" s="300"/>
      <c r="DM265" s="300"/>
      <c r="DN265" s="318"/>
      <c r="DO265" s="300"/>
      <c r="DP265" s="318"/>
      <c r="DQ265" s="300"/>
      <c r="DR265" s="318"/>
      <c r="DS265" s="300"/>
      <c r="DT265" s="318"/>
      <c r="DU265" s="318"/>
      <c r="DV265" s="300"/>
      <c r="DW265" s="300"/>
      <c r="DX265" s="315"/>
      <c r="DY265" s="328"/>
      <c r="DZ265" s="328"/>
      <c r="EA265" s="328"/>
      <c r="EB265" s="328"/>
      <c r="EC265" s="328"/>
      <c r="ED265" s="328"/>
      <c r="EE265" s="328"/>
      <c r="EF265" s="328"/>
      <c r="EG265" s="328"/>
      <c r="EH265" s="328"/>
      <c r="EI265" s="328"/>
      <c r="EJ265" s="328"/>
      <c r="EK265" s="328"/>
      <c r="EL265" s="328"/>
      <c r="EM265" s="328"/>
      <c r="EN265" s="328"/>
      <c r="EO265" s="483"/>
      <c r="EZ265" s="321"/>
      <c r="FA265" s="321"/>
      <c r="FB265" s="321"/>
      <c r="FC265" s="321"/>
      <c r="FD265" s="564"/>
      <c r="FE265" s="483"/>
      <c r="FF265" s="321"/>
      <c r="FG265" s="321"/>
      <c r="FH265" s="321"/>
      <c r="FI265" s="321"/>
      <c r="FJ265" s="321"/>
      <c r="FK265" s="321"/>
      <c r="FL265" s="321"/>
      <c r="FM265" s="321"/>
      <c r="FN265" s="321"/>
      <c r="FO265" s="321"/>
      <c r="FP265" s="321"/>
      <c r="FQ265" s="321"/>
      <c r="FR265" s="321"/>
      <c r="FS265" s="321"/>
      <c r="FT265" s="564"/>
      <c r="FU265" s="321"/>
      <c r="FV265" s="321"/>
      <c r="FW265" s="321"/>
      <c r="FX265" s="321"/>
      <c r="FY265" s="452"/>
      <c r="FZ265" s="321"/>
      <c r="GA265" s="321"/>
      <c r="GB265" s="321"/>
      <c r="GC265" s="321"/>
      <c r="GD265" s="321"/>
      <c r="GE265" s="321"/>
      <c r="GF265" s="452"/>
      <c r="GG265" s="452"/>
      <c r="GH265" s="321"/>
      <c r="GI265" s="321"/>
      <c r="GJ265" s="564"/>
      <c r="GK265" s="321"/>
      <c r="GL265" s="321"/>
      <c r="GM265" s="321"/>
      <c r="GN265" s="321"/>
      <c r="GO265" s="452"/>
      <c r="GP265" s="321"/>
      <c r="GQ265" s="321"/>
      <c r="GR265" s="321"/>
      <c r="GS265" s="321"/>
      <c r="GT265" s="321"/>
      <c r="GU265" s="321"/>
      <c r="GV265" s="452"/>
      <c r="GW265" s="452"/>
      <c r="GX265" s="321"/>
      <c r="GY265" s="321"/>
      <c r="GZ265" s="564"/>
      <c r="HA265" s="416"/>
      <c r="HB265" s="416"/>
      <c r="HC265" s="416"/>
      <c r="HD265" s="416"/>
      <c r="HE265" s="416"/>
      <c r="HF265" s="416"/>
      <c r="HG265" s="416"/>
      <c r="HH265" s="416"/>
      <c r="HI265" s="416"/>
      <c r="HJ265" s="416"/>
      <c r="HK265" s="416"/>
      <c r="HL265" s="416"/>
      <c r="HM265" s="452"/>
      <c r="HN265" s="439"/>
      <c r="HO265" s="416"/>
      <c r="HP265" s="416"/>
      <c r="HQ265" s="432"/>
      <c r="HR265" s="417"/>
      <c r="HS265" s="421"/>
      <c r="HT265" s="421"/>
      <c r="HU265" s="421"/>
      <c r="HV265" s="421"/>
      <c r="HW265" s="412"/>
      <c r="HX265" s="412"/>
      <c r="HY265" s="412"/>
      <c r="HZ265" s="412"/>
      <c r="IA265" s="412"/>
      <c r="IB265" s="412"/>
      <c r="IC265" s="412"/>
      <c r="ID265" s="412"/>
      <c r="IE265" s="417"/>
      <c r="IF265" s="411"/>
      <c r="IG265" s="432"/>
      <c r="IH265" s="417"/>
      <c r="II265" s="413"/>
      <c r="IJ265" s="413"/>
      <c r="IK265" s="413"/>
      <c r="IL265" s="421"/>
      <c r="IM265" s="412"/>
      <c r="IN265" s="413"/>
      <c r="IO265" s="412"/>
      <c r="IP265" s="412"/>
      <c r="IQ265" s="412"/>
      <c r="IR265" s="413"/>
      <c r="IS265" s="412"/>
      <c r="IT265" s="413"/>
      <c r="IU265" s="417"/>
      <c r="IV265" s="411"/>
    </row>
    <row r="266" spans="1:256" s="326" customFormat="1" ht="8.25" customHeight="1">
      <c r="A266" s="321"/>
      <c r="B266" s="321"/>
      <c r="C266" s="321"/>
      <c r="D266" s="321"/>
      <c r="E266" s="321"/>
      <c r="F266" s="321"/>
      <c r="G266" s="321"/>
      <c r="H266" s="321"/>
      <c r="I266" s="321"/>
      <c r="J266" s="321"/>
      <c r="K266" s="321"/>
      <c r="L266" s="321"/>
      <c r="M266" s="321"/>
      <c r="N266" s="321"/>
      <c r="O266" s="321"/>
      <c r="P266" s="564"/>
      <c r="Q266" s="321"/>
      <c r="R266" s="321"/>
      <c r="S266" s="321"/>
      <c r="T266" s="321"/>
      <c r="U266" s="321"/>
      <c r="V266" s="321"/>
      <c r="W266" s="321"/>
      <c r="X266" s="321"/>
      <c r="Y266" s="321"/>
      <c r="Z266" s="321"/>
      <c r="AA266" s="321"/>
      <c r="AB266" s="321"/>
      <c r="AC266" s="321"/>
      <c r="AD266" s="321"/>
      <c r="AE266" s="321"/>
      <c r="AF266" s="564"/>
      <c r="AG266" s="321"/>
      <c r="AH266" s="321"/>
      <c r="AI266" s="321"/>
      <c r="AJ266" s="321"/>
      <c r="AK266" s="321"/>
      <c r="AL266" s="321"/>
      <c r="AM266" s="321"/>
      <c r="AN266" s="321"/>
      <c r="AO266" s="321"/>
      <c r="AP266" s="321"/>
      <c r="AQ266" s="321"/>
      <c r="AR266" s="321"/>
      <c r="AS266" s="321"/>
      <c r="AT266" s="321"/>
      <c r="AU266" s="321"/>
      <c r="AV266" s="564"/>
      <c r="AW266" s="432"/>
      <c r="AX266" s="417"/>
      <c r="AY266" s="417"/>
      <c r="AZ266" s="415"/>
      <c r="BA266" s="412"/>
      <c r="BB266" s="412"/>
      <c r="BC266" s="421"/>
      <c r="BD266" s="412"/>
      <c r="BE266" s="412"/>
      <c r="BF266" s="421"/>
      <c r="BG266" s="412"/>
      <c r="BH266" s="412"/>
      <c r="BI266" s="422"/>
      <c r="BJ266" s="417"/>
      <c r="BK266" s="417"/>
      <c r="BL266" s="411"/>
      <c r="BM266" s="432"/>
      <c r="BN266" s="415"/>
      <c r="BO266" s="421"/>
      <c r="BP266" s="421"/>
      <c r="BQ266" s="412"/>
      <c r="BR266" s="412"/>
      <c r="BS266" s="412"/>
      <c r="BT266" s="415"/>
      <c r="BU266" s="417"/>
      <c r="BV266" s="421"/>
      <c r="BW266" s="421"/>
      <c r="BX266" s="412"/>
      <c r="BY266" s="412"/>
      <c r="BZ266" s="412"/>
      <c r="CA266" s="417"/>
      <c r="CB266" s="411"/>
      <c r="CC266" s="1236"/>
      <c r="CD266" s="328"/>
      <c r="CE266" s="328"/>
      <c r="CF266" s="431"/>
      <c r="CG266" s="432"/>
      <c r="CH266" s="410"/>
      <c r="CI266" s="410"/>
      <c r="CJ266" s="411"/>
      <c r="CK266" s="410"/>
      <c r="CL266" s="410"/>
      <c r="CM266" s="432"/>
      <c r="CN266" s="431"/>
      <c r="CO266" s="328"/>
      <c r="CP266" s="328"/>
      <c r="CQ266" s="328"/>
      <c r="CR266" s="1237"/>
      <c r="CS266" s="449"/>
      <c r="CT266" s="440"/>
      <c r="CU266" s="440"/>
      <c r="CV266" s="440"/>
      <c r="CW266" s="440"/>
      <c r="CX266" s="440"/>
      <c r="CY266" s="440"/>
      <c r="CZ266" s="440"/>
      <c r="DA266" s="440"/>
      <c r="DB266" s="440"/>
      <c r="DC266" s="440"/>
      <c r="DD266" s="440"/>
      <c r="DE266" s="440"/>
      <c r="DF266" s="440"/>
      <c r="DG266" s="440"/>
      <c r="DH266" s="1345"/>
      <c r="DI266" s="315"/>
      <c r="DJ266" s="300"/>
      <c r="DK266" s="300"/>
      <c r="DL266" s="300"/>
      <c r="DM266" s="300"/>
      <c r="DN266" s="300"/>
      <c r="DO266" s="300"/>
      <c r="DP266" s="300"/>
      <c r="DQ266" s="300"/>
      <c r="DR266" s="300"/>
      <c r="DS266" s="300"/>
      <c r="DT266" s="300"/>
      <c r="DU266" s="300"/>
      <c r="DV266" s="300"/>
      <c r="DW266" s="300"/>
      <c r="DX266" s="315"/>
      <c r="DY266" s="440"/>
      <c r="DZ266" s="426"/>
      <c r="EA266" s="328"/>
      <c r="EB266" s="328"/>
      <c r="EC266" s="328"/>
      <c r="ED266" s="328"/>
      <c r="EE266" s="328"/>
      <c r="EF266" s="328"/>
      <c r="EG266" s="328"/>
      <c r="EH266" s="328"/>
      <c r="EI266" s="328"/>
      <c r="EJ266" s="328"/>
      <c r="EK266" s="328"/>
      <c r="EL266" s="328"/>
      <c r="EM266" s="426"/>
      <c r="EN266" s="433"/>
      <c r="EO266" s="483"/>
      <c r="EZ266" s="321"/>
      <c r="FA266" s="321"/>
      <c r="FB266" s="321"/>
      <c r="FC266" s="321"/>
      <c r="FD266" s="564"/>
      <c r="FE266" s="483"/>
      <c r="FF266" s="321"/>
      <c r="FG266" s="321"/>
      <c r="FH266" s="321"/>
      <c r="FI266" s="321"/>
      <c r="FJ266" s="321"/>
      <c r="FK266" s="321"/>
      <c r="FL266" s="321"/>
      <c r="FM266" s="321"/>
      <c r="FN266" s="321"/>
      <c r="FO266" s="321"/>
      <c r="FP266" s="321"/>
      <c r="FQ266" s="321"/>
      <c r="FR266" s="321"/>
      <c r="FS266" s="321"/>
      <c r="FT266" s="564"/>
      <c r="FU266" s="321"/>
      <c r="FV266" s="321"/>
      <c r="FW266" s="321"/>
      <c r="FX266" s="321"/>
      <c r="FY266" s="321"/>
      <c r="FZ266" s="321"/>
      <c r="GA266" s="321"/>
      <c r="GB266" s="321"/>
      <c r="GC266" s="321"/>
      <c r="GD266" s="452"/>
      <c r="GE266" s="321"/>
      <c r="GF266" s="321"/>
      <c r="GG266" s="321"/>
      <c r="GH266" s="321"/>
      <c r="GI266" s="321"/>
      <c r="GJ266" s="564"/>
      <c r="GK266" s="321"/>
      <c r="GL266" s="321"/>
      <c r="GM266" s="321"/>
      <c r="GN266" s="321"/>
      <c r="GO266" s="321"/>
      <c r="GP266" s="321"/>
      <c r="GQ266" s="321"/>
      <c r="GR266" s="321"/>
      <c r="GS266" s="321"/>
      <c r="GT266" s="452"/>
      <c r="GU266" s="321"/>
      <c r="GV266" s="321"/>
      <c r="GW266" s="321"/>
      <c r="GX266" s="321"/>
      <c r="GY266" s="321"/>
      <c r="GZ266" s="564"/>
      <c r="HA266" s="416"/>
      <c r="HB266" s="416"/>
      <c r="HC266" s="452"/>
      <c r="HD266" s="416"/>
      <c r="HE266" s="423"/>
      <c r="HF266" s="423"/>
      <c r="HG266" s="416"/>
      <c r="HH266" s="416"/>
      <c r="HI266" s="439"/>
      <c r="HJ266" s="416"/>
      <c r="HK266" s="416"/>
      <c r="HL266" s="452"/>
      <c r="HM266" s="416"/>
      <c r="HN266" s="416"/>
      <c r="HO266" s="416"/>
      <c r="HP266" s="416"/>
      <c r="HQ266" s="432"/>
      <c r="HR266" s="417"/>
      <c r="HS266" s="421"/>
      <c r="HT266" s="421"/>
      <c r="HU266" s="421"/>
      <c r="HV266" s="412"/>
      <c r="HW266" s="412"/>
      <c r="HX266" s="412"/>
      <c r="HY266" s="412"/>
      <c r="HZ266" s="412"/>
      <c r="IA266" s="412"/>
      <c r="IB266" s="412"/>
      <c r="IC266" s="412"/>
      <c r="ID266" s="412"/>
      <c r="IE266" s="417"/>
      <c r="IF266" s="411"/>
      <c r="IG266" s="432"/>
      <c r="IH266" s="417"/>
      <c r="II266" s="413"/>
      <c r="IJ266" s="413"/>
      <c r="IK266" s="413"/>
      <c r="IL266" s="412"/>
      <c r="IM266" s="412"/>
      <c r="IN266" s="413"/>
      <c r="IO266" s="413"/>
      <c r="IP266" s="412"/>
      <c r="IQ266" s="413"/>
      <c r="IR266" s="412"/>
      <c r="IS266" s="412"/>
      <c r="IT266" s="413"/>
      <c r="IU266" s="417"/>
      <c r="IV266" s="411"/>
    </row>
    <row r="267" spans="1:256" s="326" customFormat="1" ht="8.25" customHeight="1">
      <c r="A267" s="321"/>
      <c r="B267" s="321"/>
      <c r="C267" s="321"/>
      <c r="D267" s="321"/>
      <c r="E267" s="321"/>
      <c r="F267" s="321"/>
      <c r="G267" s="321"/>
      <c r="H267" s="321"/>
      <c r="I267" s="321"/>
      <c r="J267" s="321"/>
      <c r="K267" s="321"/>
      <c r="L267" s="321"/>
      <c r="M267" s="321"/>
      <c r="N267" s="321"/>
      <c r="O267" s="321"/>
      <c r="P267" s="564"/>
      <c r="Q267" s="321"/>
      <c r="R267" s="321"/>
      <c r="S267" s="321"/>
      <c r="T267" s="321"/>
      <c r="U267" s="321"/>
      <c r="V267" s="321"/>
      <c r="W267" s="321"/>
      <c r="X267" s="321"/>
      <c r="Y267" s="321"/>
      <c r="Z267" s="321"/>
      <c r="AA267" s="321"/>
      <c r="AB267" s="321"/>
      <c r="AC267" s="321"/>
      <c r="AD267" s="321"/>
      <c r="AE267" s="321"/>
      <c r="AF267" s="564"/>
      <c r="AG267" s="321"/>
      <c r="AH267" s="321"/>
      <c r="AI267" s="321"/>
      <c r="AJ267" s="321"/>
      <c r="AK267" s="321"/>
      <c r="AL267" s="321"/>
      <c r="AM267" s="321"/>
      <c r="AN267" s="321"/>
      <c r="AO267" s="321"/>
      <c r="AP267" s="321"/>
      <c r="AQ267" s="321"/>
      <c r="AR267" s="321"/>
      <c r="AS267" s="321"/>
      <c r="AT267" s="321"/>
      <c r="AU267" s="321"/>
      <c r="AV267" s="564"/>
      <c r="AW267" s="432"/>
      <c r="AX267" s="417"/>
      <c r="AY267" s="417"/>
      <c r="AZ267" s="415"/>
      <c r="BA267" s="412"/>
      <c r="BB267" s="412"/>
      <c r="BC267" s="421"/>
      <c r="BD267" s="412"/>
      <c r="BE267" s="412"/>
      <c r="BF267" s="421"/>
      <c r="BG267" s="412"/>
      <c r="BH267" s="412"/>
      <c r="BI267" s="422"/>
      <c r="BJ267" s="417"/>
      <c r="BK267" s="417"/>
      <c r="BL267" s="411"/>
      <c r="BM267" s="432"/>
      <c r="BN267" s="415"/>
      <c r="BO267" s="421"/>
      <c r="BP267" s="421"/>
      <c r="BQ267" s="412"/>
      <c r="BR267" s="412"/>
      <c r="BS267" s="412"/>
      <c r="BT267" s="415"/>
      <c r="BU267" s="417"/>
      <c r="BV267" s="421"/>
      <c r="BW267" s="421"/>
      <c r="BX267" s="412"/>
      <c r="BY267" s="412"/>
      <c r="BZ267" s="412"/>
      <c r="CA267" s="417"/>
      <c r="CB267" s="411"/>
      <c r="CC267" s="1236"/>
      <c r="CD267" s="328"/>
      <c r="CE267" s="328"/>
      <c r="CF267" s="328"/>
      <c r="CG267" s="431"/>
      <c r="CH267" s="432"/>
      <c r="CI267" s="421"/>
      <c r="CJ267" s="421"/>
      <c r="CK267" s="421"/>
      <c r="CL267" s="432"/>
      <c r="CM267" s="431"/>
      <c r="CN267" s="328"/>
      <c r="CO267" s="328"/>
      <c r="CP267" s="328"/>
      <c r="CQ267" s="328"/>
      <c r="CR267" s="1237"/>
      <c r="CS267" s="449"/>
      <c r="CT267" s="440"/>
      <c r="CU267" s="440"/>
      <c r="CV267" s="440"/>
      <c r="CW267" s="440"/>
      <c r="CX267" s="440"/>
      <c r="CY267" s="440"/>
      <c r="CZ267" s="440"/>
      <c r="DA267" s="440"/>
      <c r="DB267" s="440"/>
      <c r="DC267" s="440"/>
      <c r="DD267" s="440"/>
      <c r="DE267" s="440"/>
      <c r="DF267" s="440"/>
      <c r="DG267" s="440"/>
      <c r="DH267" s="449"/>
      <c r="DI267" s="315"/>
      <c r="DJ267" s="300"/>
      <c r="DK267" s="300"/>
      <c r="DL267" s="300"/>
      <c r="DM267" s="300"/>
      <c r="DN267" s="300"/>
      <c r="DO267" s="300"/>
      <c r="DP267" s="300"/>
      <c r="DQ267" s="300"/>
      <c r="DR267" s="300"/>
      <c r="DS267" s="300"/>
      <c r="DT267" s="300"/>
      <c r="DU267" s="300"/>
      <c r="DV267" s="300"/>
      <c r="DW267" s="300"/>
      <c r="DX267" s="315"/>
      <c r="DY267" s="433"/>
      <c r="DZ267" s="413"/>
      <c r="EA267" s="436"/>
      <c r="EB267" s="328"/>
      <c r="EC267" s="328"/>
      <c r="ED267" s="328"/>
      <c r="EE267" s="328"/>
      <c r="EF267" s="328"/>
      <c r="EG267" s="328"/>
      <c r="EH267" s="328"/>
      <c r="EI267" s="328"/>
      <c r="EJ267" s="328"/>
      <c r="EK267" s="328"/>
      <c r="EL267" s="429"/>
      <c r="EM267" s="413"/>
      <c r="EN267" s="422"/>
      <c r="EO267" s="483"/>
      <c r="EZ267" s="321"/>
      <c r="FA267" s="321"/>
      <c r="FB267" s="321"/>
      <c r="FC267" s="321"/>
      <c r="FD267" s="564"/>
      <c r="FE267" s="483"/>
      <c r="FF267" s="321"/>
      <c r="FG267" s="321"/>
      <c r="FH267" s="321"/>
      <c r="FI267" s="321"/>
      <c r="FJ267" s="321"/>
      <c r="FK267" s="321"/>
      <c r="FL267" s="321"/>
      <c r="FM267" s="321"/>
      <c r="FN267" s="321"/>
      <c r="FO267" s="321"/>
      <c r="FP267" s="321"/>
      <c r="FQ267" s="321"/>
      <c r="FR267" s="321"/>
      <c r="FS267" s="321"/>
      <c r="FT267" s="564"/>
      <c r="FU267" s="439"/>
      <c r="FV267" s="439"/>
      <c r="FW267" s="439"/>
      <c r="FX267" s="439"/>
      <c r="FY267" s="439"/>
      <c r="FZ267" s="439"/>
      <c r="GA267" s="439"/>
      <c r="GB267" s="439"/>
      <c r="GC267" s="439"/>
      <c r="GD267" s="452"/>
      <c r="GE267" s="439"/>
      <c r="GF267" s="439"/>
      <c r="GG267" s="439"/>
      <c r="GH267" s="439"/>
      <c r="GI267" s="439"/>
      <c r="GJ267" s="432"/>
      <c r="GK267" s="413"/>
      <c r="GL267" s="413"/>
      <c r="GM267" s="413"/>
      <c r="GN267" s="413"/>
      <c r="GO267" s="413"/>
      <c r="GP267" s="413"/>
      <c r="GQ267" s="413"/>
      <c r="GR267" s="413"/>
      <c r="GS267" s="413"/>
      <c r="GT267" s="452"/>
      <c r="GU267" s="413"/>
      <c r="GV267" s="413"/>
      <c r="GW267" s="413"/>
      <c r="GX267" s="413"/>
      <c r="GY267" s="413"/>
      <c r="GZ267" s="413"/>
      <c r="HA267" s="416"/>
      <c r="HB267" s="416"/>
      <c r="HC267" s="416"/>
      <c r="HD267" s="416"/>
      <c r="HE267" s="416"/>
      <c r="HF267" s="416"/>
      <c r="HG267" s="416"/>
      <c r="HH267" s="416"/>
      <c r="HI267" s="452"/>
      <c r="HJ267" s="416"/>
      <c r="HK267" s="416"/>
      <c r="HL267" s="439"/>
      <c r="HM267" s="416"/>
      <c r="HN267" s="452"/>
      <c r="HO267" s="416"/>
      <c r="HP267" s="416"/>
      <c r="HQ267" s="432"/>
      <c r="HR267" s="417"/>
      <c r="HS267" s="421"/>
      <c r="HT267" s="421"/>
      <c r="HU267" s="421"/>
      <c r="HV267" s="412"/>
      <c r="HW267" s="412"/>
      <c r="HX267" s="412"/>
      <c r="HY267" s="412"/>
      <c r="HZ267" s="412"/>
      <c r="IA267" s="412"/>
      <c r="IB267" s="412"/>
      <c r="IC267" s="412"/>
      <c r="ID267" s="412"/>
      <c r="IE267" s="417"/>
      <c r="IF267" s="411"/>
      <c r="IG267" s="432"/>
      <c r="IH267" s="417"/>
      <c r="II267" s="413"/>
      <c r="IJ267" s="431"/>
      <c r="IK267" s="413"/>
      <c r="IL267" s="413"/>
      <c r="IM267" s="413"/>
      <c r="IN267" s="431"/>
      <c r="IO267" s="412"/>
      <c r="IP267" s="413"/>
      <c r="IQ267" s="413"/>
      <c r="IR267" s="412"/>
      <c r="IS267" s="413"/>
      <c r="IT267" s="413"/>
      <c r="IU267" s="417"/>
      <c r="IV267" s="411"/>
    </row>
    <row r="268" spans="1:256" s="326" customFormat="1" ht="8.25" customHeight="1">
      <c r="A268" s="321"/>
      <c r="B268" s="321"/>
      <c r="C268" s="321"/>
      <c r="D268" s="321"/>
      <c r="E268" s="321"/>
      <c r="F268" s="321"/>
      <c r="G268" s="321"/>
      <c r="H268" s="321"/>
      <c r="I268" s="321"/>
      <c r="J268" s="321"/>
      <c r="K268" s="321"/>
      <c r="L268" s="321"/>
      <c r="M268" s="321"/>
      <c r="N268" s="321"/>
      <c r="O268" s="321"/>
      <c r="P268" s="564"/>
      <c r="Q268" s="321"/>
      <c r="R268" s="321"/>
      <c r="S268" s="321"/>
      <c r="T268" s="321"/>
      <c r="U268" s="321"/>
      <c r="V268" s="321"/>
      <c r="W268" s="321"/>
      <c r="X268" s="321"/>
      <c r="Y268" s="321"/>
      <c r="Z268" s="321"/>
      <c r="AA268" s="321"/>
      <c r="AB268" s="321"/>
      <c r="AC268" s="321"/>
      <c r="AD268" s="321"/>
      <c r="AE268" s="321"/>
      <c r="AF268" s="564"/>
      <c r="AG268" s="321"/>
      <c r="AH268" s="321"/>
      <c r="AI268" s="321"/>
      <c r="AJ268" s="321"/>
      <c r="AK268" s="321"/>
      <c r="AL268" s="321"/>
      <c r="AM268" s="321"/>
      <c r="AN268" s="321"/>
      <c r="AO268" s="321"/>
      <c r="AP268" s="321"/>
      <c r="AQ268" s="321"/>
      <c r="AR268" s="321"/>
      <c r="AS268" s="321"/>
      <c r="AT268" s="321"/>
      <c r="AU268" s="321"/>
      <c r="AV268" s="564"/>
      <c r="AW268" s="432"/>
      <c r="AX268" s="417"/>
      <c r="AY268" s="417"/>
      <c r="AZ268" s="415"/>
      <c r="BA268" s="412"/>
      <c r="BB268" s="412"/>
      <c r="BC268" s="421"/>
      <c r="BD268" s="412"/>
      <c r="BE268" s="412"/>
      <c r="BF268" s="421"/>
      <c r="BG268" s="412"/>
      <c r="BH268" s="412"/>
      <c r="BI268" s="422"/>
      <c r="BJ268" s="417"/>
      <c r="BK268" s="417"/>
      <c r="BL268" s="411"/>
      <c r="BM268" s="432"/>
      <c r="BN268" s="415"/>
      <c r="BO268" s="421"/>
      <c r="BP268" s="421"/>
      <c r="BQ268" s="412"/>
      <c r="BR268" s="412"/>
      <c r="BS268" s="412"/>
      <c r="BT268" s="415"/>
      <c r="BU268" s="417"/>
      <c r="BV268" s="421"/>
      <c r="BW268" s="421"/>
      <c r="BX268" s="412"/>
      <c r="BY268" s="412"/>
      <c r="BZ268" s="412"/>
      <c r="CA268" s="417"/>
      <c r="CB268" s="411"/>
      <c r="CC268" s="1236"/>
      <c r="CD268" s="328"/>
      <c r="CE268" s="328"/>
      <c r="CF268" s="328"/>
      <c r="CG268" s="328"/>
      <c r="CH268" s="431"/>
      <c r="CI268" s="412"/>
      <c r="CJ268" s="412"/>
      <c r="CK268" s="412"/>
      <c r="CL268" s="431"/>
      <c r="CM268" s="328"/>
      <c r="CN268" s="328"/>
      <c r="CO268" s="328"/>
      <c r="CP268" s="328"/>
      <c r="CQ268" s="328"/>
      <c r="CR268" s="1237"/>
      <c r="CS268" s="449"/>
      <c r="CT268" s="456"/>
      <c r="CU268" s="456"/>
      <c r="CV268" s="440"/>
      <c r="CW268" s="440"/>
      <c r="CX268" s="440"/>
      <c r="CY268" s="456"/>
      <c r="CZ268" s="440"/>
      <c r="DA268" s="440"/>
      <c r="DB268" s="456"/>
      <c r="DC268" s="456"/>
      <c r="DD268" s="440"/>
      <c r="DE268" s="456"/>
      <c r="DF268" s="456"/>
      <c r="DG268" s="456"/>
      <c r="DH268" s="449"/>
      <c r="DI268" s="311"/>
      <c r="DJ268" s="318"/>
      <c r="DK268" s="318"/>
      <c r="DL268" s="303"/>
      <c r="DM268" s="300"/>
      <c r="DN268" s="303"/>
      <c r="DO268" s="318"/>
      <c r="DP268" s="303"/>
      <c r="DQ268" s="300"/>
      <c r="DR268" s="318"/>
      <c r="DS268" s="318"/>
      <c r="DT268" s="300"/>
      <c r="DU268" s="318"/>
      <c r="DV268" s="318"/>
      <c r="DW268" s="318"/>
      <c r="DX268" s="311"/>
      <c r="DY268" s="1236"/>
      <c r="DZ268" s="436"/>
      <c r="EA268" s="429"/>
      <c r="EB268" s="436"/>
      <c r="EC268" s="328"/>
      <c r="ED268" s="328"/>
      <c r="EE268" s="426"/>
      <c r="EF268" s="433"/>
      <c r="EG268" s="426"/>
      <c r="EH268" s="426"/>
      <c r="EI268" s="328"/>
      <c r="EJ268" s="328"/>
      <c r="EK268" s="436"/>
      <c r="EL268" s="429"/>
      <c r="EM268" s="409"/>
      <c r="EN268" s="328"/>
      <c r="EO268" s="483"/>
      <c r="EZ268" s="321"/>
      <c r="FA268" s="321"/>
      <c r="FB268" s="321"/>
      <c r="FC268" s="321"/>
      <c r="FD268" s="564"/>
      <c r="FE268" s="483"/>
      <c r="FF268" s="321"/>
      <c r="FG268" s="321"/>
      <c r="FH268" s="321"/>
      <c r="FI268" s="321"/>
      <c r="FJ268" s="321"/>
      <c r="FK268" s="321"/>
      <c r="FL268" s="321"/>
      <c r="FM268" s="321"/>
      <c r="FN268" s="321"/>
      <c r="FO268" s="321"/>
      <c r="FP268" s="321"/>
      <c r="FQ268" s="321"/>
      <c r="FR268" s="321"/>
      <c r="FS268" s="321"/>
      <c r="FT268" s="564"/>
      <c r="FU268" s="439"/>
      <c r="FV268" s="416"/>
      <c r="FW268" s="416"/>
      <c r="FX268" s="452"/>
      <c r="FY268" s="416"/>
      <c r="FZ268" s="416"/>
      <c r="GA268" s="416"/>
      <c r="GB268" s="416"/>
      <c r="GC268" s="416"/>
      <c r="GD268" s="416"/>
      <c r="GE268" s="416"/>
      <c r="GF268" s="419"/>
      <c r="GG268" s="419"/>
      <c r="GH268" s="419"/>
      <c r="GI268" s="416"/>
      <c r="GJ268" s="432"/>
      <c r="GK268" s="413"/>
      <c r="GL268" s="416"/>
      <c r="GM268" s="416"/>
      <c r="GN268" s="416"/>
      <c r="GO268" s="416"/>
      <c r="GP268" s="416"/>
      <c r="GQ268" s="416"/>
      <c r="GR268" s="416"/>
      <c r="GS268" s="416"/>
      <c r="GT268" s="416"/>
      <c r="GU268" s="416"/>
      <c r="GV268" s="419"/>
      <c r="GW268" s="419"/>
      <c r="GX268" s="419"/>
      <c r="GY268" s="416"/>
      <c r="GZ268" s="413"/>
      <c r="HA268" s="416"/>
      <c r="HB268" s="452"/>
      <c r="HC268" s="416"/>
      <c r="HD268" s="416"/>
      <c r="HE268" s="416"/>
      <c r="HF268" s="452"/>
      <c r="HG268" s="416"/>
      <c r="HH268" s="416"/>
      <c r="HI268" s="452"/>
      <c r="HJ268" s="416"/>
      <c r="HK268" s="439"/>
      <c r="HL268" s="416"/>
      <c r="HM268" s="416"/>
      <c r="HN268" s="416"/>
      <c r="HO268" s="416"/>
      <c r="HP268" s="416"/>
      <c r="HQ268" s="432"/>
      <c r="HR268" s="417"/>
      <c r="HS268" s="421"/>
      <c r="HT268" s="421"/>
      <c r="HU268" s="412"/>
      <c r="HV268" s="412"/>
      <c r="HW268" s="412"/>
      <c r="HX268" s="412"/>
      <c r="HY268" s="412"/>
      <c r="HZ268" s="412"/>
      <c r="IA268" s="412"/>
      <c r="IB268" s="412"/>
      <c r="IC268" s="412"/>
      <c r="ID268" s="412"/>
      <c r="IE268" s="417"/>
      <c r="IF268" s="411"/>
      <c r="IG268" s="432"/>
      <c r="IH268" s="417"/>
      <c r="II268" s="413"/>
      <c r="IJ268" s="413"/>
      <c r="IK268" s="413"/>
      <c r="IL268" s="413"/>
      <c r="IM268" s="431"/>
      <c r="IN268" s="412"/>
      <c r="IO268" s="412"/>
      <c r="IP268" s="413"/>
      <c r="IQ268" s="413"/>
      <c r="IR268" s="413"/>
      <c r="IS268" s="431"/>
      <c r="IT268" s="413"/>
      <c r="IU268" s="417"/>
      <c r="IV268" s="411"/>
    </row>
    <row r="269" spans="1:256" s="326" customFormat="1" ht="8.25" customHeight="1">
      <c r="A269" s="321"/>
      <c r="B269" s="321"/>
      <c r="C269" s="321"/>
      <c r="D269" s="321"/>
      <c r="E269" s="321"/>
      <c r="F269" s="321"/>
      <c r="G269" s="321"/>
      <c r="H269" s="321"/>
      <c r="I269" s="321"/>
      <c r="J269" s="321"/>
      <c r="K269" s="321"/>
      <c r="L269" s="321"/>
      <c r="M269" s="321"/>
      <c r="N269" s="321"/>
      <c r="O269" s="321"/>
      <c r="P269" s="564"/>
      <c r="Q269" s="321"/>
      <c r="R269" s="321"/>
      <c r="S269" s="321"/>
      <c r="T269" s="321"/>
      <c r="U269" s="321"/>
      <c r="V269" s="321"/>
      <c r="W269" s="321"/>
      <c r="X269" s="321"/>
      <c r="Y269" s="321"/>
      <c r="Z269" s="321"/>
      <c r="AA269" s="321"/>
      <c r="AB269" s="321"/>
      <c r="AC269" s="321"/>
      <c r="AD269" s="321"/>
      <c r="AE269" s="321"/>
      <c r="AF269" s="564"/>
      <c r="AG269" s="321"/>
      <c r="AH269" s="321"/>
      <c r="AI269" s="321"/>
      <c r="AJ269" s="321"/>
      <c r="AK269" s="321"/>
      <c r="AL269" s="321"/>
      <c r="AM269" s="321"/>
      <c r="AN269" s="321"/>
      <c r="AO269" s="321"/>
      <c r="AP269" s="321"/>
      <c r="AQ269" s="321"/>
      <c r="AR269" s="321"/>
      <c r="AS269" s="321"/>
      <c r="AT269" s="321"/>
      <c r="AU269" s="321"/>
      <c r="AV269" s="564"/>
      <c r="AW269" s="432"/>
      <c r="AX269" s="417"/>
      <c r="AY269" s="417"/>
      <c r="AZ269" s="415"/>
      <c r="BA269" s="412"/>
      <c r="BB269" s="412"/>
      <c r="BC269" s="421"/>
      <c r="BD269" s="412"/>
      <c r="BE269" s="412"/>
      <c r="BF269" s="421"/>
      <c r="BG269" s="412"/>
      <c r="BH269" s="412"/>
      <c r="BI269" s="422"/>
      <c r="BJ269" s="417"/>
      <c r="BK269" s="417"/>
      <c r="BL269" s="411"/>
      <c r="BM269" s="432"/>
      <c r="BN269" s="415"/>
      <c r="BO269" s="421"/>
      <c r="BP269" s="412"/>
      <c r="BQ269" s="412"/>
      <c r="BR269" s="412"/>
      <c r="BS269" s="412"/>
      <c r="BT269" s="415"/>
      <c r="BU269" s="417"/>
      <c r="BV269" s="421"/>
      <c r="BW269" s="412"/>
      <c r="BX269" s="412"/>
      <c r="BY269" s="412"/>
      <c r="BZ269" s="412"/>
      <c r="CA269" s="417"/>
      <c r="CB269" s="411"/>
      <c r="CC269" s="1236"/>
      <c r="CD269" s="328"/>
      <c r="CE269" s="328"/>
      <c r="CF269" s="328"/>
      <c r="CG269" s="328"/>
      <c r="CH269" s="328"/>
      <c r="CI269" s="328"/>
      <c r="CJ269" s="328"/>
      <c r="CK269" s="328"/>
      <c r="CL269" s="328"/>
      <c r="CM269" s="328"/>
      <c r="CN269" s="328"/>
      <c r="CO269" s="328"/>
      <c r="CP269" s="328"/>
      <c r="CQ269" s="328"/>
      <c r="CR269" s="1237"/>
      <c r="CS269" s="449"/>
      <c r="CT269" s="456"/>
      <c r="CU269" s="440"/>
      <c r="CV269" s="456"/>
      <c r="CW269" s="440"/>
      <c r="CX269" s="456"/>
      <c r="CY269" s="440"/>
      <c r="CZ269" s="456"/>
      <c r="DA269" s="440"/>
      <c r="DB269" s="456"/>
      <c r="DC269" s="440"/>
      <c r="DD269" s="456"/>
      <c r="DE269" s="440"/>
      <c r="DF269" s="456"/>
      <c r="DG269" s="440"/>
      <c r="DH269" s="449"/>
      <c r="DI269" s="311"/>
      <c r="DJ269" s="318"/>
      <c r="DK269" s="300"/>
      <c r="DL269" s="318"/>
      <c r="DM269" s="300"/>
      <c r="DN269" s="318"/>
      <c r="DO269" s="300"/>
      <c r="DP269" s="318"/>
      <c r="DQ269" s="300"/>
      <c r="DR269" s="318"/>
      <c r="DS269" s="300"/>
      <c r="DT269" s="318"/>
      <c r="DU269" s="300"/>
      <c r="DV269" s="318"/>
      <c r="DW269" s="300"/>
      <c r="DX269" s="311"/>
      <c r="DY269" s="426"/>
      <c r="DZ269" s="328"/>
      <c r="EA269" s="429"/>
      <c r="EB269" s="429"/>
      <c r="EC269" s="436"/>
      <c r="ED269" s="328"/>
      <c r="EE269" s="429"/>
      <c r="EF269" s="422"/>
      <c r="EG269" s="422"/>
      <c r="EH269" s="409"/>
      <c r="EI269" s="328"/>
      <c r="EJ269" s="436"/>
      <c r="EK269" s="429"/>
      <c r="EL269" s="409"/>
      <c r="EM269" s="328"/>
      <c r="EN269" s="426"/>
      <c r="EO269" s="321">
        <v>10</v>
      </c>
      <c r="EZ269" s="321"/>
      <c r="FA269" s="321"/>
      <c r="FB269" s="321"/>
      <c r="FC269" s="321"/>
      <c r="FD269" s="564"/>
      <c r="FE269" s="1308">
        <v>5</v>
      </c>
      <c r="FF269" s="321"/>
      <c r="FG269" s="321"/>
      <c r="FH269" s="321"/>
      <c r="FI269" s="321"/>
      <c r="FJ269" s="321"/>
      <c r="FK269" s="321"/>
      <c r="FL269" s="321"/>
      <c r="FM269" s="321"/>
      <c r="FN269" s="321"/>
      <c r="FO269" s="321"/>
      <c r="FP269" s="321"/>
      <c r="FQ269" s="321"/>
      <c r="FR269" s="321"/>
      <c r="FS269" s="321"/>
      <c r="FT269" s="564"/>
      <c r="FU269" s="439"/>
      <c r="FV269" s="416"/>
      <c r="FW269" s="419"/>
      <c r="FX269" s="419"/>
      <c r="FY269" s="452"/>
      <c r="FZ269" s="416"/>
      <c r="GA269" s="416"/>
      <c r="GB269" s="416"/>
      <c r="GC269" s="416"/>
      <c r="GD269" s="416"/>
      <c r="GE269" s="416"/>
      <c r="GF269" s="416"/>
      <c r="GG269" s="416"/>
      <c r="GH269" s="416"/>
      <c r="GI269" s="416"/>
      <c r="GJ269" s="432"/>
      <c r="GK269" s="413"/>
      <c r="GL269" s="416"/>
      <c r="GM269" s="419"/>
      <c r="GN269" s="419"/>
      <c r="GO269" s="452"/>
      <c r="GP269" s="416"/>
      <c r="GQ269" s="416"/>
      <c r="GR269" s="416"/>
      <c r="GS269" s="416"/>
      <c r="GT269" s="416"/>
      <c r="GU269" s="416"/>
      <c r="GV269" s="416"/>
      <c r="GW269" s="416"/>
      <c r="GX269" s="416"/>
      <c r="GY269" s="416"/>
      <c r="GZ269" s="413"/>
      <c r="HA269" s="416"/>
      <c r="HB269" s="416"/>
      <c r="HC269" s="452"/>
      <c r="HD269" s="439"/>
      <c r="HE269" s="416"/>
      <c r="HF269" s="416"/>
      <c r="HG269" s="416"/>
      <c r="HH269" s="416"/>
      <c r="HI269" s="452"/>
      <c r="HJ269" s="452"/>
      <c r="HK269" s="452"/>
      <c r="HL269" s="416"/>
      <c r="HM269" s="416"/>
      <c r="HN269" s="428"/>
      <c r="HO269" s="428"/>
      <c r="HP269" s="416"/>
      <c r="HQ269" s="432"/>
      <c r="HR269" s="417"/>
      <c r="HS269" s="421"/>
      <c r="HT269" s="421"/>
      <c r="HU269" s="412"/>
      <c r="HV269" s="412"/>
      <c r="HW269" s="412"/>
      <c r="HX269" s="412"/>
      <c r="HY269" s="412"/>
      <c r="HZ269" s="412"/>
      <c r="IA269" s="412"/>
      <c r="IB269" s="412"/>
      <c r="IC269" s="412"/>
      <c r="ID269" s="412"/>
      <c r="IE269" s="417"/>
      <c r="IF269" s="411"/>
      <c r="IG269" s="432"/>
      <c r="IH269" s="417"/>
      <c r="II269" s="413"/>
      <c r="IJ269" s="413"/>
      <c r="IK269" s="413"/>
      <c r="IL269" s="431"/>
      <c r="IM269" s="412"/>
      <c r="IN269" s="413"/>
      <c r="IO269" s="413"/>
      <c r="IP269" s="413"/>
      <c r="IQ269" s="413"/>
      <c r="IR269" s="431"/>
      <c r="IS269" s="431"/>
      <c r="IT269" s="413"/>
      <c r="IU269" s="417"/>
      <c r="IV269" s="411"/>
    </row>
    <row r="270" spans="1:256" s="326" customFormat="1" ht="8.25" customHeight="1">
      <c r="A270" s="321"/>
      <c r="B270" s="321"/>
      <c r="C270" s="321"/>
      <c r="D270" s="321"/>
      <c r="E270" s="321"/>
      <c r="F270" s="321"/>
      <c r="G270" s="321"/>
      <c r="H270" s="321"/>
      <c r="I270" s="321"/>
      <c r="J270" s="321"/>
      <c r="K270" s="321"/>
      <c r="L270" s="321"/>
      <c r="M270" s="321"/>
      <c r="N270" s="321"/>
      <c r="O270" s="321"/>
      <c r="P270" s="564"/>
      <c r="Q270" s="321"/>
      <c r="R270" s="321"/>
      <c r="S270" s="321"/>
      <c r="T270" s="321"/>
      <c r="U270" s="321"/>
      <c r="V270" s="321"/>
      <c r="W270" s="321"/>
      <c r="X270" s="321"/>
      <c r="Y270" s="321"/>
      <c r="Z270" s="321"/>
      <c r="AA270" s="321"/>
      <c r="AB270" s="321"/>
      <c r="AC270" s="321"/>
      <c r="AD270" s="321"/>
      <c r="AE270" s="321"/>
      <c r="AF270" s="564"/>
      <c r="AG270" s="321"/>
      <c r="AH270" s="321"/>
      <c r="AI270" s="321"/>
      <c r="AJ270" s="321"/>
      <c r="AK270" s="321"/>
      <c r="AL270" s="321"/>
      <c r="AM270" s="321"/>
      <c r="AN270" s="321"/>
      <c r="AO270" s="321"/>
      <c r="AP270" s="321"/>
      <c r="AQ270" s="321"/>
      <c r="AR270" s="321"/>
      <c r="AS270" s="321"/>
      <c r="AT270" s="321"/>
      <c r="AU270" s="321"/>
      <c r="AV270" s="564"/>
      <c r="AW270" s="432"/>
      <c r="AX270" s="417"/>
      <c r="AY270" s="417"/>
      <c r="AZ270" s="415"/>
      <c r="BA270" s="412"/>
      <c r="BB270" s="412"/>
      <c r="BC270" s="421"/>
      <c r="BD270" s="412"/>
      <c r="BE270" s="412"/>
      <c r="BF270" s="421"/>
      <c r="BG270" s="412"/>
      <c r="BH270" s="412"/>
      <c r="BI270" s="422"/>
      <c r="BJ270" s="417"/>
      <c r="BK270" s="417"/>
      <c r="BL270" s="411"/>
      <c r="BM270" s="432"/>
      <c r="BN270" s="415"/>
      <c r="BO270" s="421"/>
      <c r="BP270" s="412"/>
      <c r="BQ270" s="412"/>
      <c r="BR270" s="412"/>
      <c r="BS270" s="412"/>
      <c r="BT270" s="415"/>
      <c r="BU270" s="417"/>
      <c r="BV270" s="421"/>
      <c r="BW270" s="412"/>
      <c r="BX270" s="412"/>
      <c r="BY270" s="412"/>
      <c r="BZ270" s="412"/>
      <c r="CA270" s="417"/>
      <c r="CB270" s="411"/>
      <c r="CC270" s="1236">
        <v>13</v>
      </c>
      <c r="CD270" s="328"/>
      <c r="CE270" s="328"/>
      <c r="CF270" s="328"/>
      <c r="CG270" s="328"/>
      <c r="CH270" s="328"/>
      <c r="CI270" s="328"/>
      <c r="CJ270" s="328"/>
      <c r="CK270" s="328"/>
      <c r="CL270" s="328"/>
      <c r="CM270" s="328"/>
      <c r="CN270" s="328"/>
      <c r="CO270" s="328"/>
      <c r="CR270" s="1237"/>
      <c r="CS270" s="443"/>
      <c r="CT270" s="456"/>
      <c r="CU270" s="456"/>
      <c r="CV270" s="440"/>
      <c r="CW270" s="433"/>
      <c r="CX270" s="456"/>
      <c r="CY270" s="433"/>
      <c r="CZ270" s="456"/>
      <c r="DA270" s="433"/>
      <c r="DB270" s="456"/>
      <c r="DC270" s="456"/>
      <c r="DD270" s="433"/>
      <c r="DE270" s="433"/>
      <c r="DF270" s="456"/>
      <c r="DG270" s="433"/>
      <c r="DH270" s="443"/>
      <c r="DI270" s="311"/>
      <c r="DJ270" s="318"/>
      <c r="DK270" s="318"/>
      <c r="DL270" s="300"/>
      <c r="DM270" s="296"/>
      <c r="DN270" s="318"/>
      <c r="DO270" s="296"/>
      <c r="DP270" s="318"/>
      <c r="DQ270" s="296"/>
      <c r="DR270" s="318"/>
      <c r="DS270" s="318"/>
      <c r="DT270" s="296"/>
      <c r="DU270" s="296"/>
      <c r="DV270" s="318"/>
      <c r="DW270" s="296"/>
      <c r="DX270" s="311"/>
      <c r="DY270" s="440"/>
      <c r="DZ270" s="328"/>
      <c r="EA270" s="436"/>
      <c r="EB270" s="429"/>
      <c r="EC270" s="429"/>
      <c r="ED270" s="429"/>
      <c r="EE270" s="436"/>
      <c r="EF270" s="429"/>
      <c r="EG270" s="436"/>
      <c r="EH270" s="409"/>
      <c r="EI270" s="429"/>
      <c r="EJ270" s="429"/>
      <c r="EK270" s="429"/>
      <c r="EL270" s="409"/>
      <c r="EM270" s="328"/>
      <c r="EN270" s="426"/>
      <c r="EO270" s="321"/>
      <c r="EZ270" s="321"/>
      <c r="FA270" s="321"/>
      <c r="FB270" s="321"/>
      <c r="FC270" s="321"/>
      <c r="FD270" s="564"/>
      <c r="FE270" s="1308"/>
      <c r="FF270" s="321"/>
      <c r="FG270" s="321"/>
      <c r="FH270" s="321"/>
      <c r="FI270" s="321"/>
      <c r="FJ270" s="321"/>
      <c r="FK270" s="321"/>
      <c r="FL270" s="321"/>
      <c r="FM270" s="321"/>
      <c r="FN270" s="321"/>
      <c r="FO270" s="321"/>
      <c r="FP270" s="321"/>
      <c r="FQ270" s="321"/>
      <c r="FR270" s="321"/>
      <c r="FS270" s="321"/>
      <c r="FT270" s="564"/>
      <c r="FU270" s="439">
        <v>32</v>
      </c>
      <c r="FV270" s="416"/>
      <c r="FW270" s="416"/>
      <c r="FX270" s="416"/>
      <c r="FY270" s="416"/>
      <c r="FZ270" s="416"/>
      <c r="GA270" s="416"/>
      <c r="GB270" s="452"/>
      <c r="GC270" s="419"/>
      <c r="GD270" s="419"/>
      <c r="GE270" s="416"/>
      <c r="GF270" s="452"/>
      <c r="GG270" s="411"/>
      <c r="GH270" s="416"/>
      <c r="GI270" s="416"/>
      <c r="GJ270" s="432"/>
      <c r="GK270" s="413">
        <v>32</v>
      </c>
      <c r="GL270" s="416"/>
      <c r="GM270" s="416"/>
      <c r="GN270" s="416"/>
      <c r="GO270" s="416"/>
      <c r="GP270" s="452"/>
      <c r="GQ270" s="416"/>
      <c r="GR270" s="452"/>
      <c r="GS270" s="419"/>
      <c r="GT270" s="419"/>
      <c r="GU270" s="416"/>
      <c r="GV270" s="416"/>
      <c r="GW270" s="416"/>
      <c r="GX270" s="416"/>
      <c r="GY270" s="416"/>
      <c r="GZ270" s="422"/>
      <c r="HA270" s="416">
        <v>32</v>
      </c>
      <c r="HB270" s="416"/>
      <c r="HC270" s="416"/>
      <c r="HD270" s="416"/>
      <c r="HE270" s="452"/>
      <c r="HF270" s="416"/>
      <c r="HG270" s="416"/>
      <c r="HH270" s="452"/>
      <c r="HI270" s="413"/>
      <c r="HJ270" s="439"/>
      <c r="HK270" s="416"/>
      <c r="HL270" s="452"/>
      <c r="HM270" s="416"/>
      <c r="HN270" s="416"/>
      <c r="HO270" s="416"/>
      <c r="HP270" s="416"/>
      <c r="HQ270" s="432"/>
      <c r="HR270" s="417"/>
      <c r="HS270" s="421"/>
      <c r="HT270" s="421"/>
      <c r="HU270" s="412"/>
      <c r="HV270" s="412"/>
      <c r="HW270" s="412"/>
      <c r="HX270" s="412"/>
      <c r="HY270" s="412"/>
      <c r="HZ270" s="412"/>
      <c r="IA270" s="412"/>
      <c r="IB270" s="412"/>
      <c r="IC270" s="412"/>
      <c r="ID270" s="412"/>
      <c r="IE270" s="417"/>
      <c r="IF270" s="411"/>
      <c r="IG270" s="432">
        <v>32</v>
      </c>
      <c r="IH270" s="417"/>
      <c r="II270" s="413"/>
      <c r="IJ270" s="412"/>
      <c r="IK270" s="413"/>
      <c r="IL270" s="412"/>
      <c r="IM270" s="412"/>
      <c r="IN270" s="413"/>
      <c r="IO270" s="413"/>
      <c r="IP270" s="413"/>
      <c r="IQ270" s="412"/>
      <c r="IR270" s="431"/>
      <c r="IS270" s="431"/>
      <c r="IT270" s="413"/>
      <c r="IU270" s="417"/>
      <c r="IV270" s="411"/>
    </row>
    <row r="271" spans="1:256" s="326" customFormat="1" ht="8.25" customHeight="1">
      <c r="A271" s="321"/>
      <c r="B271" s="321"/>
      <c r="C271" s="321"/>
      <c r="D271" s="321"/>
      <c r="E271" s="321"/>
      <c r="F271" s="321"/>
      <c r="G271" s="321"/>
      <c r="H271" s="321"/>
      <c r="I271" s="321"/>
      <c r="J271" s="321"/>
      <c r="K271" s="321"/>
      <c r="L271" s="321"/>
      <c r="M271" s="321"/>
      <c r="N271" s="321"/>
      <c r="O271" s="321"/>
      <c r="P271" s="564"/>
      <c r="Q271" s="321"/>
      <c r="R271" s="321"/>
      <c r="S271" s="321"/>
      <c r="T271" s="321"/>
      <c r="U271" s="321"/>
      <c r="V271" s="321"/>
      <c r="W271" s="321"/>
      <c r="X271" s="321"/>
      <c r="Y271" s="321"/>
      <c r="Z271" s="321"/>
      <c r="AA271" s="321"/>
      <c r="AB271" s="321"/>
      <c r="AC271" s="321"/>
      <c r="AD271" s="321"/>
      <c r="AE271" s="321"/>
      <c r="AF271" s="564"/>
      <c r="AG271" s="321"/>
      <c r="AH271" s="321"/>
      <c r="AI271" s="321"/>
      <c r="AJ271" s="321"/>
      <c r="AK271" s="321"/>
      <c r="AL271" s="321"/>
      <c r="AM271" s="321"/>
      <c r="AN271" s="321"/>
      <c r="AO271" s="321"/>
      <c r="AP271" s="321"/>
      <c r="AQ271" s="321"/>
      <c r="AR271" s="321"/>
      <c r="AS271" s="321"/>
      <c r="AT271" s="321"/>
      <c r="AU271" s="321"/>
      <c r="AV271" s="564"/>
      <c r="AW271" s="432"/>
      <c r="AX271" s="417"/>
      <c r="AY271" s="417"/>
      <c r="AZ271" s="415"/>
      <c r="BA271" s="412"/>
      <c r="BB271" s="412"/>
      <c r="BC271" s="421"/>
      <c r="BD271" s="412"/>
      <c r="BE271" s="412"/>
      <c r="BF271" s="421"/>
      <c r="BG271" s="412"/>
      <c r="BH271" s="412"/>
      <c r="BI271" s="422"/>
      <c r="BJ271" s="417"/>
      <c r="BK271" s="417"/>
      <c r="BL271" s="411"/>
      <c r="BM271" s="432"/>
      <c r="BN271" s="415"/>
      <c r="BO271" s="421"/>
      <c r="BP271" s="412"/>
      <c r="BQ271" s="412"/>
      <c r="BR271" s="412"/>
      <c r="BS271" s="412"/>
      <c r="BT271" s="417"/>
      <c r="BU271" s="417"/>
      <c r="BV271" s="421"/>
      <c r="BW271" s="412"/>
      <c r="BX271" s="412"/>
      <c r="BY271" s="412"/>
      <c r="BZ271" s="412"/>
      <c r="CA271" s="417"/>
      <c r="CB271" s="411"/>
      <c r="CC271" s="1236">
        <v>32</v>
      </c>
      <c r="CD271" s="328"/>
      <c r="CE271" s="328"/>
      <c r="CF271" s="328"/>
      <c r="CG271" s="328"/>
      <c r="CH271" s="328"/>
      <c r="CI271" s="328"/>
      <c r="CJ271" s="328"/>
      <c r="CK271" s="328"/>
      <c r="CL271" s="328"/>
      <c r="CM271" s="328"/>
      <c r="CN271" s="328"/>
      <c r="CO271" s="328"/>
      <c r="CR271" s="1237"/>
      <c r="CS271" s="443"/>
      <c r="CT271" s="456"/>
      <c r="CU271" s="433"/>
      <c r="CV271" s="433"/>
      <c r="CW271" s="433"/>
      <c r="CX271" s="456"/>
      <c r="CY271" s="433"/>
      <c r="CZ271" s="456"/>
      <c r="DA271" s="433"/>
      <c r="DB271" s="456"/>
      <c r="DC271" s="449"/>
      <c r="DD271" s="433"/>
      <c r="DE271" s="433"/>
      <c r="DF271" s="456"/>
      <c r="DG271" s="433"/>
      <c r="DH271" s="443"/>
      <c r="DI271" s="311"/>
      <c r="DJ271" s="318"/>
      <c r="DK271" s="296"/>
      <c r="DL271" s="296"/>
      <c r="DM271" s="296"/>
      <c r="DN271" s="318"/>
      <c r="DO271" s="296"/>
      <c r="DP271" s="318"/>
      <c r="DQ271" s="296"/>
      <c r="DR271" s="318"/>
      <c r="DS271" s="311"/>
      <c r="DT271" s="296"/>
      <c r="DU271" s="296"/>
      <c r="DV271" s="318"/>
      <c r="DW271" s="296"/>
      <c r="DX271" s="311"/>
      <c r="DY271" s="433"/>
      <c r="DZ271" s="426"/>
      <c r="EA271" s="328"/>
      <c r="EB271" s="436"/>
      <c r="EC271" s="429"/>
      <c r="ED271" s="429"/>
      <c r="EE271" s="429"/>
      <c r="EF271" s="429"/>
      <c r="EG271" s="429"/>
      <c r="EH271" s="429"/>
      <c r="EI271" s="429"/>
      <c r="EJ271" s="429"/>
      <c r="EK271" s="409"/>
      <c r="EL271" s="328"/>
      <c r="EM271" s="328"/>
      <c r="EN271" s="328"/>
      <c r="EO271" s="483"/>
      <c r="EZ271" s="321"/>
      <c r="FA271" s="321"/>
      <c r="FB271" s="321"/>
      <c r="FC271" s="321"/>
      <c r="FD271" s="564"/>
      <c r="FE271" s="483"/>
      <c r="FF271" s="321"/>
      <c r="FG271" s="321"/>
      <c r="FH271" s="321"/>
      <c r="FI271" s="321"/>
      <c r="FJ271" s="321"/>
      <c r="FK271" s="321"/>
      <c r="FL271" s="321"/>
      <c r="FM271" s="321"/>
      <c r="FN271" s="321"/>
      <c r="FO271" s="321"/>
      <c r="FP271" s="321"/>
      <c r="FQ271" s="321"/>
      <c r="FR271" s="321"/>
      <c r="FS271" s="321"/>
      <c r="FT271" s="564"/>
      <c r="FU271" s="439">
        <v>64</v>
      </c>
      <c r="FV271" s="416"/>
      <c r="FW271" s="416"/>
      <c r="FX271" s="416"/>
      <c r="FY271" s="416"/>
      <c r="FZ271" s="416"/>
      <c r="GA271" s="411"/>
      <c r="GB271" s="416"/>
      <c r="GC271" s="416"/>
      <c r="GD271" s="416"/>
      <c r="GE271" s="452"/>
      <c r="GF271" s="416"/>
      <c r="GG271" s="416"/>
      <c r="GH271" s="416"/>
      <c r="GI271" s="416"/>
      <c r="GJ271" s="432"/>
      <c r="GK271" s="413">
        <v>64</v>
      </c>
      <c r="GL271" s="416"/>
      <c r="GM271" s="416"/>
      <c r="GN271" s="416"/>
      <c r="GO271" s="416"/>
      <c r="GP271" s="416"/>
      <c r="GQ271" s="411"/>
      <c r="GR271" s="416"/>
      <c r="GS271" s="416"/>
      <c r="GT271" s="416"/>
      <c r="GU271" s="452"/>
      <c r="GV271" s="416"/>
      <c r="GW271" s="416"/>
      <c r="GX271" s="416"/>
      <c r="GY271" s="416"/>
      <c r="GZ271" s="413"/>
      <c r="HA271" s="416">
        <v>64</v>
      </c>
      <c r="HB271" s="423"/>
      <c r="HC271" s="423"/>
      <c r="HD271" s="416"/>
      <c r="HE271" s="416"/>
      <c r="HF271" s="452"/>
      <c r="HG271" s="452"/>
      <c r="HH271" s="413"/>
      <c r="HI271" s="413"/>
      <c r="HJ271" s="439"/>
      <c r="HK271" s="416"/>
      <c r="HL271" s="416"/>
      <c r="HM271" s="452"/>
      <c r="HN271" s="416"/>
      <c r="HO271" s="452"/>
      <c r="HP271" s="416"/>
      <c r="HQ271" s="432"/>
      <c r="HR271" s="417"/>
      <c r="HS271" s="421"/>
      <c r="HT271" s="412"/>
      <c r="HU271" s="412"/>
      <c r="HV271" s="412"/>
      <c r="HW271" s="412"/>
      <c r="HX271" s="412"/>
      <c r="HY271" s="412"/>
      <c r="HZ271" s="412"/>
      <c r="IA271" s="412"/>
      <c r="IB271" s="412"/>
      <c r="IC271" s="412"/>
      <c r="ID271" s="412"/>
      <c r="IE271" s="417"/>
      <c r="IF271" s="411"/>
      <c r="IG271" s="432">
        <v>64</v>
      </c>
      <c r="IH271" s="417"/>
      <c r="II271" s="413"/>
      <c r="IJ271" s="413"/>
      <c r="IK271" s="431"/>
      <c r="IL271" s="413"/>
      <c r="IM271" s="412"/>
      <c r="IN271" s="413"/>
      <c r="IO271" s="431"/>
      <c r="IP271" s="413"/>
      <c r="IQ271" s="413"/>
      <c r="IR271" s="412"/>
      <c r="IS271" s="431"/>
      <c r="IT271" s="413"/>
      <c r="IU271" s="417"/>
      <c r="IV271" s="411"/>
    </row>
    <row r="272" spans="1:256" s="326" customFormat="1" ht="8.25" customHeight="1">
      <c r="A272" s="483">
        <v>126</v>
      </c>
      <c r="B272" s="321"/>
      <c r="C272" s="321"/>
      <c r="D272" s="321"/>
      <c r="E272" s="321"/>
      <c r="F272" s="321"/>
      <c r="G272" s="321"/>
      <c r="H272" s="321"/>
      <c r="I272" s="321"/>
      <c r="J272" s="321"/>
      <c r="K272" s="321"/>
      <c r="L272" s="321"/>
      <c r="M272" s="321"/>
      <c r="N272" s="321"/>
      <c r="O272" s="321"/>
      <c r="P272" s="564"/>
      <c r="Q272" s="483">
        <v>126</v>
      </c>
      <c r="R272" s="321"/>
      <c r="S272" s="321"/>
      <c r="T272" s="321"/>
      <c r="U272" s="321"/>
      <c r="V272" s="321"/>
      <c r="W272" s="321"/>
      <c r="X272" s="321"/>
      <c r="Y272" s="321"/>
      <c r="Z272" s="321"/>
      <c r="AA272" s="321"/>
      <c r="AB272" s="321"/>
      <c r="AC272" s="321"/>
      <c r="AD272" s="321"/>
      <c r="AE272" s="321"/>
      <c r="AF272" s="564"/>
      <c r="AG272" s="321"/>
      <c r="AH272" s="321"/>
      <c r="AI272" s="321"/>
      <c r="AJ272" s="321"/>
      <c r="AK272" s="321"/>
      <c r="AL272" s="321"/>
      <c r="AM272" s="321"/>
      <c r="AN272" s="321"/>
      <c r="AO272" s="321"/>
      <c r="AP272" s="321"/>
      <c r="AQ272" s="321"/>
      <c r="AR272" s="321"/>
      <c r="AS272" s="321"/>
      <c r="AT272" s="321"/>
      <c r="AU272" s="321"/>
      <c r="AV272" s="564"/>
      <c r="AW272" s="432"/>
      <c r="AX272" s="417"/>
      <c r="AY272" s="417"/>
      <c r="AZ272" s="415"/>
      <c r="BA272" s="412"/>
      <c r="BB272" s="412"/>
      <c r="BC272" s="421"/>
      <c r="BD272" s="412"/>
      <c r="BE272" s="412"/>
      <c r="BF272" s="421"/>
      <c r="BG272" s="412"/>
      <c r="BH272" s="412"/>
      <c r="BI272" s="422"/>
      <c r="BJ272" s="417"/>
      <c r="BK272" s="417"/>
      <c r="BL272" s="411"/>
      <c r="BM272" s="432"/>
      <c r="BN272" s="415"/>
      <c r="BO272" s="421"/>
      <c r="BP272" s="412"/>
      <c r="BQ272" s="412"/>
      <c r="BR272" s="412"/>
      <c r="BS272" s="412"/>
      <c r="BT272" s="417"/>
      <c r="BU272" s="417"/>
      <c r="BV272" s="421"/>
      <c r="BW272" s="412"/>
      <c r="BX272" s="412"/>
      <c r="BY272" s="412"/>
      <c r="BZ272" s="412"/>
      <c r="CA272" s="417"/>
      <c r="CB272" s="411"/>
      <c r="CC272" s="1236"/>
      <c r="CR272" s="1237"/>
      <c r="CS272" s="443"/>
      <c r="CT272" s="456"/>
      <c r="CU272" s="433"/>
      <c r="CV272" s="433"/>
      <c r="CW272" s="433"/>
      <c r="CX272" s="440"/>
      <c r="CY272" s="456"/>
      <c r="CZ272" s="440"/>
      <c r="DA272" s="433"/>
      <c r="DB272" s="456"/>
      <c r="DC272" s="440"/>
      <c r="DD272" s="456"/>
      <c r="DE272" s="433"/>
      <c r="DF272" s="456"/>
      <c r="DG272" s="433"/>
      <c r="DH272" s="443"/>
      <c r="DI272" s="311"/>
      <c r="DJ272" s="318"/>
      <c r="DK272" s="296"/>
      <c r="DL272" s="296"/>
      <c r="DM272" s="296"/>
      <c r="DN272" s="300"/>
      <c r="DO272" s="318"/>
      <c r="DP272" s="300"/>
      <c r="DQ272" s="296"/>
      <c r="DR272" s="318"/>
      <c r="DS272" s="300"/>
      <c r="DT272" s="318"/>
      <c r="DU272" s="296"/>
      <c r="DV272" s="318"/>
      <c r="DW272" s="296"/>
      <c r="DX272" s="311"/>
      <c r="DY272" s="1236">
        <v>-85</v>
      </c>
      <c r="DZ272" s="433"/>
      <c r="EA272" s="328"/>
      <c r="EB272" s="328"/>
      <c r="EC272" s="429"/>
      <c r="ED272" s="429"/>
      <c r="EE272" s="409"/>
      <c r="EF272" s="429"/>
      <c r="EG272" s="429"/>
      <c r="EH272" s="409"/>
      <c r="EI272" s="409"/>
      <c r="EJ272" s="429"/>
      <c r="EK272" s="409"/>
      <c r="EL272" s="328"/>
      <c r="EM272" s="328"/>
      <c r="EN272" s="328"/>
      <c r="EO272" s="483"/>
      <c r="EZ272" s="321"/>
      <c r="FA272" s="321"/>
      <c r="FB272" s="321"/>
      <c r="FC272" s="321"/>
      <c r="FD272" s="564"/>
      <c r="FE272" s="483">
        <v>286</v>
      </c>
      <c r="FF272" s="321"/>
      <c r="FG272" s="321"/>
      <c r="FH272" s="321"/>
      <c r="FI272" s="321"/>
      <c r="FJ272" s="321"/>
      <c r="FK272" s="321"/>
      <c r="FL272" s="321"/>
      <c r="FM272" s="321"/>
      <c r="FN272" s="321"/>
      <c r="FO272" s="321"/>
      <c r="FP272" s="321"/>
      <c r="FQ272" s="321"/>
      <c r="FR272" s="321"/>
      <c r="FS272" s="321"/>
      <c r="FT272" s="564"/>
      <c r="FU272" s="439"/>
      <c r="FV272" s="416"/>
      <c r="FW272" s="416"/>
      <c r="FX272" s="411"/>
      <c r="FY272" s="416"/>
      <c r="FZ272" s="416"/>
      <c r="GA272" s="452"/>
      <c r="GB272" s="416"/>
      <c r="GC272" s="416"/>
      <c r="GD272" s="452"/>
      <c r="GE272" s="416"/>
      <c r="GF272" s="416"/>
      <c r="GG272" s="416"/>
      <c r="GH272" s="419"/>
      <c r="GI272" s="419"/>
      <c r="GJ272" s="432"/>
      <c r="GK272" s="413"/>
      <c r="GL272" s="416"/>
      <c r="GM272" s="416"/>
      <c r="GN272" s="411"/>
      <c r="GO272" s="416"/>
      <c r="GP272" s="416"/>
      <c r="GQ272" s="452"/>
      <c r="GR272" s="416"/>
      <c r="GS272" s="416"/>
      <c r="GT272" s="452"/>
      <c r="GU272" s="416"/>
      <c r="GV272" s="416"/>
      <c r="GW272" s="416"/>
      <c r="GX272" s="419"/>
      <c r="GY272" s="419"/>
      <c r="GZ272" s="423"/>
      <c r="HA272" s="416"/>
      <c r="HB272" s="416"/>
      <c r="HC272" s="416"/>
      <c r="HD272" s="416"/>
      <c r="HE272" s="416"/>
      <c r="HF272" s="416"/>
      <c r="HG272" s="439"/>
      <c r="HH272" s="413"/>
      <c r="HI272" s="439"/>
      <c r="HJ272" s="416"/>
      <c r="HK272" s="416"/>
      <c r="HL272" s="416"/>
      <c r="HM272" s="416"/>
      <c r="HN272" s="416"/>
      <c r="HO272" s="416"/>
      <c r="HP272" s="416"/>
      <c r="HQ272" s="432"/>
      <c r="HR272" s="417"/>
      <c r="HS272" s="421"/>
      <c r="HT272" s="412"/>
      <c r="HU272" s="412"/>
      <c r="HV272" s="412"/>
      <c r="HW272" s="412"/>
      <c r="HX272" s="412"/>
      <c r="HY272" s="412"/>
      <c r="HZ272" s="412"/>
      <c r="IA272" s="412"/>
      <c r="IB272" s="412"/>
      <c r="IC272" s="412"/>
      <c r="ID272" s="412"/>
      <c r="IE272" s="417"/>
      <c r="IF272" s="411"/>
      <c r="IG272" s="432"/>
      <c r="IH272" s="417"/>
      <c r="II272" s="413"/>
      <c r="IJ272" s="431"/>
      <c r="IK272" s="412"/>
      <c r="IL272" s="412"/>
      <c r="IM272" s="413"/>
      <c r="IN272" s="413"/>
      <c r="IO272" s="431"/>
      <c r="IP272" s="431"/>
      <c r="IQ272" s="413"/>
      <c r="IR272" s="413"/>
      <c r="IS272" s="412"/>
      <c r="IT272" s="413"/>
      <c r="IU272" s="417"/>
      <c r="IV272" s="411"/>
    </row>
    <row r="273" spans="1:256" s="326" customFormat="1" ht="8.25" customHeight="1">
      <c r="A273" s="321">
        <v>1</v>
      </c>
      <c r="B273" s="321"/>
      <c r="C273" s="321"/>
      <c r="D273" s="450"/>
      <c r="E273" s="437"/>
      <c r="F273" s="437"/>
      <c r="G273" s="437"/>
      <c r="H273" s="437"/>
      <c r="I273" s="437"/>
      <c r="J273" s="437"/>
      <c r="K273" s="437"/>
      <c r="L273" s="430"/>
      <c r="M273" s="425"/>
      <c r="N273" s="321"/>
      <c r="O273" s="321"/>
      <c r="P273" s="564"/>
      <c r="Q273" s="321">
        <v>1</v>
      </c>
      <c r="R273" s="321"/>
      <c r="S273" s="321"/>
      <c r="T273" s="450"/>
      <c r="U273" s="437"/>
      <c r="V273" s="437"/>
      <c r="W273" s="437"/>
      <c r="X273" s="437"/>
      <c r="Y273" s="437"/>
      <c r="Z273" s="437"/>
      <c r="AA273" s="437"/>
      <c r="AB273" s="430"/>
      <c r="AC273" s="425"/>
      <c r="AD273" s="321"/>
      <c r="AE273" s="321"/>
      <c r="AF273" s="564"/>
      <c r="AG273" s="321"/>
      <c r="AH273" s="321"/>
      <c r="AI273" s="321"/>
      <c r="AJ273" s="321"/>
      <c r="AK273" s="321"/>
      <c r="AL273" s="321"/>
      <c r="AM273" s="321"/>
      <c r="AN273" s="321"/>
      <c r="AO273" s="321"/>
      <c r="AP273" s="321"/>
      <c r="AQ273" s="321"/>
      <c r="AR273" s="321"/>
      <c r="AS273" s="321"/>
      <c r="AT273" s="321"/>
      <c r="AU273" s="321"/>
      <c r="AV273" s="564"/>
      <c r="AW273" s="432">
        <v>1</v>
      </c>
      <c r="AX273" s="417"/>
      <c r="AY273" s="417"/>
      <c r="AZ273" s="415"/>
      <c r="BA273" s="412"/>
      <c r="BB273" s="412"/>
      <c r="BC273" s="421"/>
      <c r="BD273" s="412"/>
      <c r="BE273" s="412"/>
      <c r="BF273" s="421"/>
      <c r="BG273" s="412"/>
      <c r="BH273" s="412"/>
      <c r="BI273" s="422"/>
      <c r="BJ273" s="417"/>
      <c r="BK273" s="417"/>
      <c r="BL273" s="411"/>
      <c r="BM273" s="432">
        <v>1</v>
      </c>
      <c r="BN273" s="415"/>
      <c r="BO273" s="421"/>
      <c r="BP273" s="412"/>
      <c r="BQ273" s="412"/>
      <c r="BR273" s="412"/>
      <c r="BS273" s="412"/>
      <c r="BT273" s="417"/>
      <c r="BU273" s="417"/>
      <c r="BV273" s="421"/>
      <c r="BW273" s="412"/>
      <c r="BX273" s="412"/>
      <c r="BY273" s="412"/>
      <c r="BZ273" s="412"/>
      <c r="CA273" s="417"/>
      <c r="CB273" s="411"/>
      <c r="CC273" s="1236">
        <v>3</v>
      </c>
      <c r="CR273" s="1237"/>
      <c r="CS273" s="443">
        <v>4</v>
      </c>
      <c r="CT273" s="433"/>
      <c r="CU273" s="433"/>
      <c r="CV273" s="433"/>
      <c r="CW273" s="433"/>
      <c r="CX273" s="433"/>
      <c r="CY273" s="433"/>
      <c r="CZ273" s="433"/>
      <c r="DA273" s="433"/>
      <c r="DB273" s="433"/>
      <c r="DC273" s="433"/>
      <c r="DD273" s="433"/>
      <c r="DE273" s="433"/>
      <c r="DF273" s="433"/>
      <c r="DG273" s="433"/>
      <c r="DH273" s="443"/>
      <c r="DI273" s="311">
        <v>4</v>
      </c>
      <c r="DJ273" s="296"/>
      <c r="DK273" s="296"/>
      <c r="DL273" s="296"/>
      <c r="DM273" s="296"/>
      <c r="DN273" s="296"/>
      <c r="DO273" s="296"/>
      <c r="DP273" s="296"/>
      <c r="DQ273" s="296"/>
      <c r="DR273" s="296"/>
      <c r="DS273" s="296"/>
      <c r="DT273" s="296"/>
      <c r="DU273" s="296"/>
      <c r="DV273" s="296"/>
      <c r="DW273" s="296"/>
      <c r="DX273" s="311"/>
      <c r="DY273" s="1236"/>
      <c r="DZ273" s="426"/>
      <c r="EA273" s="328"/>
      <c r="EB273" s="328"/>
      <c r="EC273" s="436"/>
      <c r="ED273" s="429"/>
      <c r="EE273" s="436"/>
      <c r="EF273" s="436"/>
      <c r="EG273" s="429"/>
      <c r="EH273" s="429"/>
      <c r="EI273" s="429"/>
      <c r="EJ273" s="409"/>
      <c r="EK273" s="328"/>
      <c r="EL273" s="328"/>
      <c r="EM273" s="426"/>
      <c r="EN273" s="328"/>
      <c r="EO273" s="483"/>
      <c r="EZ273" s="321"/>
      <c r="FA273" s="321"/>
      <c r="FB273" s="321"/>
      <c r="FC273" s="321"/>
      <c r="FD273" s="564"/>
      <c r="FE273" s="483"/>
      <c r="FF273" s="321"/>
      <c r="FG273" s="321"/>
      <c r="FH273" s="321"/>
      <c r="FI273" s="321"/>
      <c r="FJ273" s="321"/>
      <c r="FK273" s="321"/>
      <c r="FL273" s="321"/>
      <c r="FM273" s="321"/>
      <c r="FN273" s="321"/>
      <c r="FO273" s="321"/>
      <c r="FP273" s="321"/>
      <c r="FQ273" s="321"/>
      <c r="FR273" s="321"/>
      <c r="FS273" s="321"/>
      <c r="FT273" s="564"/>
      <c r="FU273" s="439"/>
      <c r="FV273" s="416"/>
      <c r="FW273" s="416"/>
      <c r="FX273" s="416"/>
      <c r="FY273" s="452"/>
      <c r="FZ273" s="416"/>
      <c r="GA273" s="416"/>
      <c r="GB273" s="452"/>
      <c r="GC273" s="452"/>
      <c r="GD273" s="416"/>
      <c r="GE273" s="416"/>
      <c r="GF273" s="416"/>
      <c r="GG273" s="452"/>
      <c r="GH273" s="416"/>
      <c r="GI273" s="416"/>
      <c r="GJ273" s="432"/>
      <c r="GK273" s="413"/>
      <c r="GL273" s="416"/>
      <c r="GM273" s="416"/>
      <c r="GN273" s="416"/>
      <c r="GO273" s="452"/>
      <c r="GP273" s="416"/>
      <c r="GQ273" s="416"/>
      <c r="GR273" s="452"/>
      <c r="GS273" s="452"/>
      <c r="GT273" s="416"/>
      <c r="GU273" s="416"/>
      <c r="GV273" s="416"/>
      <c r="GW273" s="452"/>
      <c r="GX273" s="452"/>
      <c r="GY273" s="416"/>
      <c r="GZ273" s="413"/>
      <c r="HA273" s="416"/>
      <c r="HB273" s="452"/>
      <c r="HC273" s="416"/>
      <c r="HD273" s="439"/>
      <c r="HE273" s="452"/>
      <c r="HF273" s="416"/>
      <c r="HG273" s="452"/>
      <c r="HH273" s="439"/>
      <c r="HI273" s="452"/>
      <c r="HJ273" s="416"/>
      <c r="HK273" s="416"/>
      <c r="HL273" s="423"/>
      <c r="HM273" s="423"/>
      <c r="HN273" s="416"/>
      <c r="HO273" s="416"/>
      <c r="HP273" s="416"/>
      <c r="HQ273" s="432">
        <v>2</v>
      </c>
      <c r="HR273" s="417"/>
      <c r="HS273" s="421"/>
      <c r="HT273" s="412"/>
      <c r="HU273" s="412"/>
      <c r="HV273" s="412"/>
      <c r="HW273" s="412"/>
      <c r="HX273" s="412"/>
      <c r="HY273" s="412"/>
      <c r="HZ273" s="412"/>
      <c r="IA273" s="412"/>
      <c r="IB273" s="412"/>
      <c r="IC273" s="412"/>
      <c r="ID273" s="412"/>
      <c r="IE273" s="417"/>
      <c r="IF273" s="411"/>
      <c r="IG273" s="432"/>
      <c r="IH273" s="417"/>
      <c r="II273" s="413"/>
      <c r="IJ273" s="412"/>
      <c r="IK273" s="412"/>
      <c r="IL273" s="413"/>
      <c r="IM273" s="413"/>
      <c r="IN273" s="413"/>
      <c r="IO273" s="431"/>
      <c r="IP273" s="431"/>
      <c r="IQ273" s="431"/>
      <c r="IR273" s="413"/>
      <c r="IS273" s="413"/>
      <c r="IT273" s="413"/>
      <c r="IU273" s="417"/>
      <c r="IV273" s="411"/>
    </row>
    <row r="274" spans="1:256" s="326" customFormat="1" ht="8.25" customHeight="1">
      <c r="A274" s="321"/>
      <c r="B274" s="321"/>
      <c r="C274" s="321"/>
      <c r="D274" s="437"/>
      <c r="E274" s="425"/>
      <c r="F274" s="425"/>
      <c r="G274" s="425"/>
      <c r="H274" s="425"/>
      <c r="I274" s="425"/>
      <c r="J274" s="425"/>
      <c r="K274" s="425"/>
      <c r="L274" s="425"/>
      <c r="M274" s="416"/>
      <c r="N274" s="321"/>
      <c r="O274" s="321"/>
      <c r="P274" s="564"/>
      <c r="Q274" s="321"/>
      <c r="R274" s="321"/>
      <c r="S274" s="321"/>
      <c r="T274" s="437"/>
      <c r="U274" s="425"/>
      <c r="V274" s="425"/>
      <c r="W274" s="425"/>
      <c r="X274" s="425"/>
      <c r="Y274" s="425"/>
      <c r="Z274" s="425"/>
      <c r="AA274" s="425"/>
      <c r="AB274" s="425"/>
      <c r="AC274" s="416"/>
      <c r="AD274" s="321"/>
      <c r="AE274" s="321"/>
      <c r="AF274" s="564"/>
      <c r="AG274" s="321"/>
      <c r="AH274" s="321"/>
      <c r="AI274" s="321"/>
      <c r="AJ274" s="321"/>
      <c r="AK274" s="439"/>
      <c r="AL274" s="452"/>
      <c r="AM274" s="452"/>
      <c r="AN274" s="452"/>
      <c r="AO274" s="452"/>
      <c r="AP274" s="452"/>
      <c r="AQ274" s="452"/>
      <c r="AR274" s="439"/>
      <c r="AS274" s="321"/>
      <c r="AT274" s="321"/>
      <c r="AU274" s="321"/>
      <c r="AV274" s="564"/>
      <c r="AW274" s="432">
        <v>1</v>
      </c>
      <c r="AX274" s="417"/>
      <c r="AY274" s="417"/>
      <c r="AZ274" s="415"/>
      <c r="BA274" s="412"/>
      <c r="BB274" s="412"/>
      <c r="BC274" s="421"/>
      <c r="BD274" s="412"/>
      <c r="BE274" s="412"/>
      <c r="BF274" s="421"/>
      <c r="BG274" s="412"/>
      <c r="BH274" s="412"/>
      <c r="BI274" s="422"/>
      <c r="BJ274" s="417"/>
      <c r="BK274" s="417"/>
      <c r="BL274" s="411"/>
      <c r="BM274" s="432">
        <v>1</v>
      </c>
      <c r="BN274" s="417"/>
      <c r="BO274" s="417"/>
      <c r="BP274" s="417"/>
      <c r="BQ274" s="417"/>
      <c r="BR274" s="417"/>
      <c r="BS274" s="417"/>
      <c r="BT274" s="417"/>
      <c r="BU274" s="417"/>
      <c r="BV274" s="417"/>
      <c r="BW274" s="417"/>
      <c r="BX274" s="417"/>
      <c r="BY274" s="417"/>
      <c r="BZ274" s="417"/>
      <c r="CA274" s="417"/>
      <c r="CB274" s="411"/>
      <c r="CC274" s="1236">
        <v>7</v>
      </c>
      <c r="CR274" s="1237"/>
      <c r="CS274" s="443">
        <v>2</v>
      </c>
      <c r="CT274" s="433"/>
      <c r="CU274" s="433"/>
      <c r="CV274" s="433"/>
      <c r="CW274" s="433"/>
      <c r="CX274" s="433"/>
      <c r="CY274" s="433"/>
      <c r="CZ274" s="433"/>
      <c r="DA274" s="433"/>
      <c r="DB274" s="433"/>
      <c r="DC274" s="433"/>
      <c r="DD274" s="433"/>
      <c r="DE274" s="433"/>
      <c r="DF274" s="433"/>
      <c r="DG274" s="433"/>
      <c r="DH274" s="443"/>
      <c r="DI274" s="311"/>
      <c r="DJ274" s="296"/>
      <c r="DK274" s="296"/>
      <c r="DL274" s="296"/>
      <c r="DM274" s="296"/>
      <c r="DN274" s="296"/>
      <c r="DO274" s="296"/>
      <c r="DP274" s="296"/>
      <c r="DQ274" s="296"/>
      <c r="DR274" s="296"/>
      <c r="DS274" s="296"/>
      <c r="DT274" s="296"/>
      <c r="DU274" s="296"/>
      <c r="DV274" s="296"/>
      <c r="DW274" s="296"/>
      <c r="DX274" s="311"/>
      <c r="DY274" s="1236"/>
      <c r="DZ274" s="328"/>
      <c r="EA274" s="328"/>
      <c r="EB274" s="328"/>
      <c r="EC274" s="328"/>
      <c r="ED274" s="429"/>
      <c r="EE274" s="429"/>
      <c r="EF274" s="429"/>
      <c r="EG274" s="409"/>
      <c r="EH274" s="409"/>
      <c r="EI274" s="429"/>
      <c r="EJ274" s="328"/>
      <c r="EK274" s="328"/>
      <c r="EL274" s="328"/>
      <c r="EM274" s="426"/>
      <c r="EN274" s="328"/>
      <c r="EO274" s="483"/>
      <c r="EZ274" s="321"/>
      <c r="FA274" s="321"/>
      <c r="FB274" s="321"/>
      <c r="FC274" s="321"/>
      <c r="FD274" s="564"/>
      <c r="FE274" s="483"/>
      <c r="FF274" s="321"/>
      <c r="FG274" s="321"/>
      <c r="FH274" s="321"/>
      <c r="FI274" s="321"/>
      <c r="FJ274" s="321"/>
      <c r="FK274" s="321"/>
      <c r="FL274" s="321"/>
      <c r="FM274" s="321"/>
      <c r="FN274" s="321"/>
      <c r="FO274" s="321"/>
      <c r="FP274" s="321"/>
      <c r="FQ274" s="321"/>
      <c r="FR274" s="321"/>
      <c r="FS274" s="321"/>
      <c r="FT274" s="564"/>
      <c r="FU274" s="439"/>
      <c r="FV274" s="416"/>
      <c r="FW274" s="416"/>
      <c r="FX274" s="416"/>
      <c r="FY274" s="424"/>
      <c r="FZ274" s="416"/>
      <c r="GA274" s="452"/>
      <c r="GB274" s="413"/>
      <c r="GC274" s="452"/>
      <c r="GD274" s="416"/>
      <c r="GE274" s="452"/>
      <c r="GF274" s="416"/>
      <c r="GG274" s="416"/>
      <c r="GH274" s="416"/>
      <c r="GI274" s="416"/>
      <c r="GJ274" s="432"/>
      <c r="GK274" s="413"/>
      <c r="GL274" s="416"/>
      <c r="GM274" s="416"/>
      <c r="GN274" s="416"/>
      <c r="GO274" s="424"/>
      <c r="GP274" s="416"/>
      <c r="GQ274" s="452"/>
      <c r="GR274" s="413"/>
      <c r="GS274" s="452"/>
      <c r="GT274" s="416"/>
      <c r="GU274" s="452"/>
      <c r="GV274" s="416"/>
      <c r="GW274" s="416"/>
      <c r="GX274" s="416"/>
      <c r="GY274" s="416"/>
      <c r="GZ274" s="428"/>
      <c r="HA274" s="416"/>
      <c r="HB274" s="416"/>
      <c r="HC274" s="416"/>
      <c r="HD274" s="416"/>
      <c r="HE274" s="416"/>
      <c r="HF274" s="439"/>
      <c r="HG274" s="416"/>
      <c r="HH274" s="416"/>
      <c r="HI274" s="416"/>
      <c r="HJ274" s="452"/>
      <c r="HK274" s="416"/>
      <c r="HL274" s="416"/>
      <c r="HM274" s="416"/>
      <c r="HN274" s="416"/>
      <c r="HO274" s="416"/>
      <c r="HP274" s="416"/>
      <c r="HQ274" s="432">
        <v>1</v>
      </c>
      <c r="HR274" s="417"/>
      <c r="HS274" s="421"/>
      <c r="HT274" s="412"/>
      <c r="HU274" s="412"/>
      <c r="HV274" s="412"/>
      <c r="HW274" s="412"/>
      <c r="HX274" s="412"/>
      <c r="HY274" s="412"/>
      <c r="HZ274" s="412"/>
      <c r="IA274" s="412"/>
      <c r="IB274" s="412"/>
      <c r="IC274" s="412"/>
      <c r="ID274" s="412"/>
      <c r="IE274" s="417"/>
      <c r="IF274" s="411"/>
      <c r="IG274" s="432"/>
      <c r="IH274" s="417"/>
      <c r="II274" s="421"/>
      <c r="IJ274" s="412"/>
      <c r="IK274" s="412"/>
      <c r="IL274" s="413"/>
      <c r="IM274" s="413"/>
      <c r="IN274" s="413"/>
      <c r="IO274" s="431"/>
      <c r="IP274" s="413"/>
      <c r="IQ274" s="413"/>
      <c r="IR274" s="413"/>
      <c r="IS274" s="413"/>
      <c r="IT274" s="413"/>
      <c r="IU274" s="417"/>
      <c r="IV274" s="411"/>
    </row>
    <row r="275" spans="1:256" s="326" customFormat="1" ht="8.25" customHeight="1">
      <c r="A275" s="321"/>
      <c r="B275" s="321"/>
      <c r="C275" s="321"/>
      <c r="D275" s="437"/>
      <c r="E275" s="415"/>
      <c r="F275" s="414"/>
      <c r="G275" s="414"/>
      <c r="H275" s="414"/>
      <c r="I275" s="414"/>
      <c r="J275" s="414"/>
      <c r="K275" s="414"/>
      <c r="L275" s="414"/>
      <c r="M275" s="416"/>
      <c r="N275" s="321"/>
      <c r="O275" s="321"/>
      <c r="P275" s="564"/>
      <c r="Q275" s="321"/>
      <c r="R275" s="321"/>
      <c r="S275" s="321"/>
      <c r="T275" s="437"/>
      <c r="U275" s="414"/>
      <c r="V275" s="414"/>
      <c r="W275" s="414"/>
      <c r="X275" s="414"/>
      <c r="Y275" s="414"/>
      <c r="Z275" s="415"/>
      <c r="AA275" s="415"/>
      <c r="AB275" s="415"/>
      <c r="AC275" s="416"/>
      <c r="AD275" s="321"/>
      <c r="AE275" s="321"/>
      <c r="AF275" s="564"/>
      <c r="AG275" s="321"/>
      <c r="AH275" s="321"/>
      <c r="AI275" s="321"/>
      <c r="AJ275" s="321"/>
      <c r="AK275" s="452"/>
      <c r="AL275" s="452"/>
      <c r="AM275" s="439"/>
      <c r="AN275" s="432"/>
      <c r="AO275" s="432"/>
      <c r="AP275" s="439"/>
      <c r="AQ275" s="452"/>
      <c r="AR275" s="452"/>
      <c r="AS275" s="321"/>
      <c r="AT275" s="321"/>
      <c r="AU275" s="321"/>
      <c r="AV275" s="564"/>
      <c r="AW275" s="432"/>
      <c r="AX275" s="417"/>
      <c r="AY275" s="417"/>
      <c r="AZ275" s="415"/>
      <c r="BA275" s="412"/>
      <c r="BB275" s="412"/>
      <c r="BC275" s="421"/>
      <c r="BD275" s="412"/>
      <c r="BE275" s="412"/>
      <c r="BF275" s="421"/>
      <c r="BG275" s="412"/>
      <c r="BH275" s="412"/>
      <c r="BI275" s="422"/>
      <c r="BJ275" s="417"/>
      <c r="BK275" s="417"/>
      <c r="BL275" s="411"/>
      <c r="BM275" s="432"/>
      <c r="BN275" s="411"/>
      <c r="BO275" s="411"/>
      <c r="BP275" s="411"/>
      <c r="BQ275" s="411"/>
      <c r="BR275" s="411"/>
      <c r="BS275" s="411"/>
      <c r="BT275" s="411"/>
      <c r="BU275" s="411"/>
      <c r="BV275" s="411"/>
      <c r="BW275" s="411"/>
      <c r="BX275" s="411"/>
      <c r="BY275" s="411"/>
      <c r="BZ275" s="411"/>
      <c r="CA275" s="411"/>
      <c r="CB275" s="439"/>
      <c r="CC275" s="1236"/>
      <c r="CR275" s="1237"/>
      <c r="CS275" s="443"/>
      <c r="CT275" s="433"/>
      <c r="CU275" s="456"/>
      <c r="CV275" s="456"/>
      <c r="CW275" s="433"/>
      <c r="CX275" s="456"/>
      <c r="CY275" s="456"/>
      <c r="CZ275" s="440"/>
      <c r="DA275" s="433"/>
      <c r="DB275" s="456"/>
      <c r="DC275" s="456"/>
      <c r="DD275" s="433"/>
      <c r="DE275" s="433"/>
      <c r="DF275" s="456"/>
      <c r="DG275" s="456"/>
      <c r="DH275" s="443"/>
      <c r="DI275" s="311"/>
      <c r="DJ275" s="300"/>
      <c r="DK275" s="318"/>
      <c r="DL275" s="318"/>
      <c r="DM275" s="296"/>
      <c r="DN275" s="318"/>
      <c r="DO275" s="318"/>
      <c r="DP275" s="300"/>
      <c r="DQ275" s="296"/>
      <c r="DR275" s="318"/>
      <c r="DS275" s="318"/>
      <c r="DT275" s="296"/>
      <c r="DU275" s="300"/>
      <c r="DV275" s="318"/>
      <c r="DW275" s="318"/>
      <c r="DX275" s="311"/>
      <c r="DY275" s="1236"/>
      <c r="DZ275" s="328"/>
      <c r="EA275" s="328"/>
      <c r="EB275" s="328"/>
      <c r="EC275" s="328"/>
      <c r="ED275" s="436"/>
      <c r="EE275" s="429"/>
      <c r="EF275" s="436"/>
      <c r="EG275" s="429"/>
      <c r="EH275" s="429"/>
      <c r="EI275" s="436"/>
      <c r="EJ275" s="328"/>
      <c r="EK275" s="328"/>
      <c r="EL275" s="328"/>
      <c r="EM275" s="433"/>
      <c r="EN275" s="328"/>
      <c r="EO275" s="483"/>
      <c r="EZ275" s="321"/>
      <c r="FA275" s="321"/>
      <c r="FB275" s="321"/>
      <c r="FC275" s="321"/>
      <c r="FD275" s="564"/>
      <c r="FE275" s="483"/>
      <c r="FF275" s="321"/>
      <c r="FG275" s="321"/>
      <c r="FH275" s="321"/>
      <c r="FI275" s="321"/>
      <c r="FJ275" s="321"/>
      <c r="FK275" s="321"/>
      <c r="FL275" s="321"/>
      <c r="FM275" s="321"/>
      <c r="FN275" s="321"/>
      <c r="FO275" s="321"/>
      <c r="FP275" s="321"/>
      <c r="FQ275" s="321"/>
      <c r="FR275" s="321"/>
      <c r="FS275" s="321"/>
      <c r="FT275" s="564"/>
      <c r="FU275" s="439"/>
      <c r="FV275" s="416"/>
      <c r="FW275" s="419"/>
      <c r="FX275" s="419"/>
      <c r="FY275" s="416"/>
      <c r="FZ275" s="416"/>
      <c r="GA275" s="452"/>
      <c r="GB275" s="452"/>
      <c r="GC275" s="416"/>
      <c r="GD275" s="416"/>
      <c r="GE275" s="416"/>
      <c r="GF275" s="452"/>
      <c r="GG275" s="411"/>
      <c r="GH275" s="416"/>
      <c r="GI275" s="416"/>
      <c r="GJ275" s="432"/>
      <c r="GK275" s="413"/>
      <c r="GL275" s="416"/>
      <c r="GM275" s="419"/>
      <c r="GN275" s="419"/>
      <c r="GO275" s="416"/>
      <c r="GP275" s="416"/>
      <c r="GQ275" s="452"/>
      <c r="GR275" s="416"/>
      <c r="GS275" s="452"/>
      <c r="GT275" s="416"/>
      <c r="GU275" s="416"/>
      <c r="GV275" s="452"/>
      <c r="GW275" s="416"/>
      <c r="GX275" s="416"/>
      <c r="GY275" s="416"/>
      <c r="GZ275" s="413"/>
      <c r="HA275" s="416"/>
      <c r="HB275" s="422"/>
      <c r="HC275" s="422"/>
      <c r="HD275" s="416"/>
      <c r="HE275" s="416"/>
      <c r="HF275" s="452"/>
      <c r="HG275" s="416"/>
      <c r="HH275" s="416"/>
      <c r="HI275" s="416"/>
      <c r="HJ275" s="416"/>
      <c r="HK275" s="439"/>
      <c r="HL275" s="416"/>
      <c r="HM275" s="416"/>
      <c r="HN275" s="416"/>
      <c r="HO275" s="416"/>
      <c r="HP275" s="416"/>
      <c r="HQ275" s="432">
        <v>1</v>
      </c>
      <c r="HR275" s="417"/>
      <c r="HS275" s="421"/>
      <c r="HT275" s="412"/>
      <c r="HU275" s="412"/>
      <c r="HV275" s="412"/>
      <c r="HW275" s="412"/>
      <c r="HX275" s="412"/>
      <c r="HY275" s="412"/>
      <c r="HZ275" s="412"/>
      <c r="IA275" s="412"/>
      <c r="IB275" s="412"/>
      <c r="IC275" s="412"/>
      <c r="ID275" s="412"/>
      <c r="IE275" s="417"/>
      <c r="IF275" s="411"/>
      <c r="IG275" s="432">
        <v>1</v>
      </c>
      <c r="IH275" s="417"/>
      <c r="II275" s="421"/>
      <c r="IJ275" s="412"/>
      <c r="IK275" s="413"/>
      <c r="IL275" s="431"/>
      <c r="IM275" s="431"/>
      <c r="IN275" s="431"/>
      <c r="IO275" s="413"/>
      <c r="IP275" s="413"/>
      <c r="IQ275" s="413"/>
      <c r="IR275" s="413"/>
      <c r="IS275" s="413"/>
      <c r="IT275" s="431"/>
      <c r="IU275" s="417"/>
      <c r="IV275" s="411"/>
    </row>
    <row r="276" spans="1:256" s="326" customFormat="1" ht="8.25" customHeight="1">
      <c r="A276" s="321"/>
      <c r="B276" s="321"/>
      <c r="C276" s="321"/>
      <c r="D276" s="437"/>
      <c r="E276" s="429"/>
      <c r="F276" s="420"/>
      <c r="G276" s="436"/>
      <c r="H276" s="420"/>
      <c r="I276" s="429"/>
      <c r="J276" s="414"/>
      <c r="K276" s="414"/>
      <c r="L276" s="414"/>
      <c r="M276" s="416"/>
      <c r="N276" s="321"/>
      <c r="O276" s="321"/>
      <c r="P276" s="564"/>
      <c r="Q276" s="321"/>
      <c r="R276" s="321"/>
      <c r="S276" s="321"/>
      <c r="T276" s="437"/>
      <c r="U276" s="409"/>
      <c r="V276" s="429"/>
      <c r="W276" s="420"/>
      <c r="X276" s="429"/>
      <c r="Y276" s="436"/>
      <c r="Z276" s="409"/>
      <c r="AA276" s="415"/>
      <c r="AB276" s="415"/>
      <c r="AC276" s="416"/>
      <c r="AD276" s="321"/>
      <c r="AE276" s="321"/>
      <c r="AF276" s="564"/>
      <c r="AG276" s="321"/>
      <c r="AH276" s="321"/>
      <c r="AI276" s="321"/>
      <c r="AJ276" s="321"/>
      <c r="AK276" s="452"/>
      <c r="AL276" s="452"/>
      <c r="AM276" s="452"/>
      <c r="AN276" s="452"/>
      <c r="AO276" s="452"/>
      <c r="AP276" s="452"/>
      <c r="AQ276" s="452"/>
      <c r="AR276" s="452"/>
      <c r="AS276" s="321"/>
      <c r="AT276" s="321"/>
      <c r="AU276" s="321"/>
      <c r="AV276" s="564"/>
      <c r="AW276" s="432"/>
      <c r="AX276" s="417"/>
      <c r="AY276" s="417"/>
      <c r="AZ276" s="415"/>
      <c r="BA276" s="412"/>
      <c r="BB276" s="412"/>
      <c r="BC276" s="421"/>
      <c r="BD276" s="412"/>
      <c r="BE276" s="412"/>
      <c r="BF276" s="421"/>
      <c r="BG276" s="412"/>
      <c r="BH276" s="412"/>
      <c r="BI276" s="422"/>
      <c r="BJ276" s="417"/>
      <c r="BK276" s="417"/>
      <c r="BL276" s="411"/>
      <c r="BM276" s="483"/>
      <c r="BN276" s="321"/>
      <c r="BO276" s="321"/>
      <c r="BP276" s="321"/>
      <c r="BQ276" s="321"/>
      <c r="BR276" s="321"/>
      <c r="BS276" s="321"/>
      <c r="BT276" s="321"/>
      <c r="BU276" s="321"/>
      <c r="BV276" s="321"/>
      <c r="BW276" s="321"/>
      <c r="BX276" s="321"/>
      <c r="BY276" s="321"/>
      <c r="BZ276" s="321"/>
      <c r="CA276" s="321"/>
      <c r="CB276" s="564"/>
      <c r="CC276" s="1236"/>
      <c r="CR276" s="1237"/>
      <c r="CS276" s="443"/>
      <c r="CT276" s="456"/>
      <c r="CU276" s="440"/>
      <c r="CV276" s="456"/>
      <c r="CW276" s="433"/>
      <c r="CX276" s="456"/>
      <c r="CY276" s="440"/>
      <c r="CZ276" s="456"/>
      <c r="DA276" s="433"/>
      <c r="DB276" s="456"/>
      <c r="DC276" s="440"/>
      <c r="DD276" s="433"/>
      <c r="DE276" s="456"/>
      <c r="DF276" s="440"/>
      <c r="DG276" s="456"/>
      <c r="DH276" s="443"/>
      <c r="DI276" s="311"/>
      <c r="DJ276" s="318"/>
      <c r="DK276" s="300"/>
      <c r="DL276" s="318"/>
      <c r="DM276" s="296"/>
      <c r="DN276" s="318"/>
      <c r="DO276" s="300"/>
      <c r="DP276" s="318"/>
      <c r="DQ276" s="296"/>
      <c r="DR276" s="318"/>
      <c r="DS276" s="300"/>
      <c r="DT276" s="296"/>
      <c r="DU276" s="318"/>
      <c r="DV276" s="300"/>
      <c r="DW276" s="318"/>
      <c r="DX276" s="311"/>
      <c r="DY276" s="1236"/>
      <c r="DZ276" s="328"/>
      <c r="EA276" s="328"/>
      <c r="EB276" s="328"/>
      <c r="EC276" s="328"/>
      <c r="ED276" s="328"/>
      <c r="EE276" s="429"/>
      <c r="EF276" s="429"/>
      <c r="EG276" s="409"/>
      <c r="EH276" s="409"/>
      <c r="EI276" s="328"/>
      <c r="EJ276" s="328"/>
      <c r="EK276" s="328"/>
      <c r="EL276" s="328"/>
      <c r="EM276" s="426"/>
      <c r="EN276" s="328"/>
      <c r="EO276" s="483"/>
      <c r="EW276" s="321"/>
      <c r="EX276" s="321"/>
      <c r="EY276" s="321"/>
      <c r="EZ276" s="321"/>
      <c r="FA276" s="321"/>
      <c r="FB276" s="321"/>
      <c r="FC276" s="321"/>
      <c r="FD276" s="564"/>
      <c r="FE276" s="483"/>
      <c r="FF276" s="321"/>
      <c r="FG276" s="321"/>
      <c r="FH276" s="321"/>
      <c r="FI276" s="321"/>
      <c r="FJ276" s="321"/>
      <c r="FK276" s="321"/>
      <c r="FL276" s="321"/>
      <c r="FM276" s="321"/>
      <c r="FN276" s="321"/>
      <c r="FO276" s="321"/>
      <c r="FP276" s="321"/>
      <c r="FQ276" s="321"/>
      <c r="FR276" s="321"/>
      <c r="FS276" s="321"/>
      <c r="FT276" s="564"/>
      <c r="FU276" s="439"/>
      <c r="FV276" s="416"/>
      <c r="FW276" s="416"/>
      <c r="FX276" s="416"/>
      <c r="FY276" s="416"/>
      <c r="FZ276" s="452"/>
      <c r="GA276" s="416"/>
      <c r="GB276" s="452"/>
      <c r="GC276" s="416"/>
      <c r="GD276" s="419"/>
      <c r="GE276" s="419"/>
      <c r="GF276" s="416"/>
      <c r="GG276" s="416"/>
      <c r="GH276" s="416"/>
      <c r="GI276" s="416"/>
      <c r="GJ276" s="432"/>
      <c r="GK276" s="413"/>
      <c r="GL276" s="416"/>
      <c r="GM276" s="416"/>
      <c r="GN276" s="416"/>
      <c r="GO276" s="416"/>
      <c r="GP276" s="452"/>
      <c r="GQ276" s="416"/>
      <c r="GR276" s="452"/>
      <c r="GS276" s="416"/>
      <c r="GT276" s="419"/>
      <c r="GU276" s="419"/>
      <c r="GV276" s="416"/>
      <c r="GW276" s="416"/>
      <c r="GX276" s="416"/>
      <c r="GY276" s="416"/>
      <c r="GZ276" s="413"/>
      <c r="HA276" s="416"/>
      <c r="HB276" s="416"/>
      <c r="HC276" s="416"/>
      <c r="HD276" s="416"/>
      <c r="HE276" s="439"/>
      <c r="HF276" s="416"/>
      <c r="HG276" s="416"/>
      <c r="HH276" s="423"/>
      <c r="HI276" s="423"/>
      <c r="HJ276" s="416"/>
      <c r="HK276" s="416"/>
      <c r="HL276" s="416"/>
      <c r="HM276" s="416"/>
      <c r="HN276" s="452"/>
      <c r="HO276" s="422"/>
      <c r="HP276" s="416"/>
      <c r="HQ276" s="432"/>
      <c r="HR276" s="417"/>
      <c r="HS276" s="421"/>
      <c r="HT276" s="412"/>
      <c r="HU276" s="412"/>
      <c r="HV276" s="412"/>
      <c r="HW276" s="412"/>
      <c r="HX276" s="412"/>
      <c r="HY276" s="412"/>
      <c r="HZ276" s="412"/>
      <c r="IA276" s="412"/>
      <c r="IB276" s="412"/>
      <c r="IC276" s="412"/>
      <c r="ID276" s="412"/>
      <c r="IE276" s="417"/>
      <c r="IF276" s="411"/>
      <c r="IG276" s="432"/>
      <c r="IH276" s="431"/>
      <c r="II276" s="421"/>
      <c r="IJ276" s="412"/>
      <c r="IK276" s="413"/>
      <c r="IL276" s="412"/>
      <c r="IM276" s="431"/>
      <c r="IN276" s="413"/>
      <c r="IO276" s="412"/>
      <c r="IP276" s="413"/>
      <c r="IQ276" s="413"/>
      <c r="IR276" s="413"/>
      <c r="IS276" s="431"/>
      <c r="IT276" s="412"/>
      <c r="IU276" s="417"/>
      <c r="IV276" s="411"/>
    </row>
    <row r="277" spans="1:256" s="326" customFormat="1" ht="8.25" customHeight="1">
      <c r="A277" s="321"/>
      <c r="B277" s="321"/>
      <c r="C277" s="321"/>
      <c r="D277" s="437"/>
      <c r="E277" s="415"/>
      <c r="F277" s="415"/>
      <c r="G277" s="415"/>
      <c r="H277" s="415"/>
      <c r="I277" s="415"/>
      <c r="J277" s="414"/>
      <c r="K277" s="414"/>
      <c r="L277" s="414"/>
      <c r="M277" s="416"/>
      <c r="N277" s="321"/>
      <c r="O277" s="321"/>
      <c r="P277" s="564"/>
      <c r="Q277" s="321"/>
      <c r="R277" s="321"/>
      <c r="S277" s="321"/>
      <c r="T277" s="437"/>
      <c r="U277" s="414"/>
      <c r="V277" s="415"/>
      <c r="W277" s="415"/>
      <c r="X277" s="415"/>
      <c r="Y277" s="415"/>
      <c r="Z277" s="415"/>
      <c r="AA277" s="415"/>
      <c r="AB277" s="415"/>
      <c r="AC277" s="416"/>
      <c r="AD277" s="321"/>
      <c r="AE277" s="321"/>
      <c r="AF277" s="564"/>
      <c r="AG277" s="321"/>
      <c r="AH277" s="321"/>
      <c r="AI277" s="321"/>
      <c r="AJ277" s="321"/>
      <c r="AK277" s="452"/>
      <c r="AL277" s="439"/>
      <c r="AM277" s="411"/>
      <c r="AN277" s="411"/>
      <c r="AO277" s="439"/>
      <c r="AP277" s="439"/>
      <c r="AQ277" s="411"/>
      <c r="AR277" s="452"/>
      <c r="AS277" s="321"/>
      <c r="AT277" s="321"/>
      <c r="AU277" s="321"/>
      <c r="AV277" s="564"/>
      <c r="AW277" s="432"/>
      <c r="AX277" s="417"/>
      <c r="AY277" s="417"/>
      <c r="AZ277" s="417"/>
      <c r="BA277" s="422"/>
      <c r="BB277" s="422"/>
      <c r="BC277" s="422"/>
      <c r="BD277" s="422"/>
      <c r="BE277" s="422"/>
      <c r="BF277" s="422"/>
      <c r="BG277" s="422"/>
      <c r="BH277" s="422"/>
      <c r="BI277" s="422"/>
      <c r="BJ277" s="417"/>
      <c r="BK277" s="417"/>
      <c r="BL277" s="411"/>
      <c r="BM277" s="483"/>
      <c r="BN277" s="321"/>
      <c r="BO277" s="321"/>
      <c r="BP277" s="321"/>
      <c r="BQ277" s="321"/>
      <c r="BR277" s="321"/>
      <c r="BS277" s="321"/>
      <c r="BT277" s="321"/>
      <c r="BU277" s="321"/>
      <c r="BV277" s="321"/>
      <c r="BW277" s="321"/>
      <c r="BX277" s="321"/>
      <c r="BY277" s="321"/>
      <c r="BZ277" s="321"/>
      <c r="CA277" s="321"/>
      <c r="CB277" s="564"/>
      <c r="CC277" s="1236"/>
      <c r="CR277" s="1237"/>
      <c r="CS277" s="443"/>
      <c r="CT277" s="456"/>
      <c r="CU277" s="456"/>
      <c r="CV277" s="456"/>
      <c r="CW277" s="433"/>
      <c r="CX277" s="456"/>
      <c r="CY277" s="456"/>
      <c r="CZ277" s="440"/>
      <c r="DA277" s="433"/>
      <c r="DB277" s="456"/>
      <c r="DC277" s="456"/>
      <c r="DD277" s="433"/>
      <c r="DE277" s="456"/>
      <c r="DF277" s="456"/>
      <c r="DG277" s="456"/>
      <c r="DH277" s="443"/>
      <c r="DI277" s="311"/>
      <c r="DJ277" s="318"/>
      <c r="DK277" s="318"/>
      <c r="DL277" s="318"/>
      <c r="DM277" s="296"/>
      <c r="DN277" s="318"/>
      <c r="DO277" s="318"/>
      <c r="DP277" s="300"/>
      <c r="DQ277" s="296"/>
      <c r="DR277" s="318"/>
      <c r="DS277" s="318"/>
      <c r="DT277" s="296"/>
      <c r="DU277" s="318"/>
      <c r="DV277" s="318"/>
      <c r="DW277" s="318"/>
      <c r="DX277" s="311"/>
      <c r="DY277" s="426"/>
      <c r="DZ277" s="328"/>
      <c r="EA277" s="328"/>
      <c r="EB277" s="328"/>
      <c r="EC277" s="328"/>
      <c r="ED277" s="328"/>
      <c r="EE277" s="429"/>
      <c r="EF277" s="429"/>
      <c r="EG277" s="429"/>
      <c r="EH277" s="409"/>
      <c r="EI277" s="328"/>
      <c r="EJ277" s="328"/>
      <c r="EK277" s="328"/>
      <c r="EL277" s="328"/>
      <c r="EM277" s="328"/>
      <c r="EN277" s="328"/>
      <c r="EO277" s="483"/>
      <c r="EP277" s="321"/>
      <c r="EQ277" s="321"/>
      <c r="ER277" s="321"/>
      <c r="ES277" s="321"/>
      <c r="ET277" s="321"/>
      <c r="EU277" s="321"/>
      <c r="EV277" s="205"/>
      <c r="EW277" s="321"/>
      <c r="EX277" s="321"/>
      <c r="EY277" s="321"/>
      <c r="EZ277" s="321"/>
      <c r="FA277" s="321"/>
      <c r="FB277" s="321"/>
      <c r="FC277" s="321"/>
      <c r="FD277" s="564"/>
      <c r="FE277" s="483"/>
      <c r="FF277" s="321"/>
      <c r="FG277" s="321"/>
      <c r="FH277" s="321"/>
      <c r="FI277" s="321"/>
      <c r="FJ277" s="321"/>
      <c r="FK277" s="321"/>
      <c r="FL277" s="321"/>
      <c r="FM277" s="321"/>
      <c r="FN277" s="321"/>
      <c r="FO277" s="321"/>
      <c r="FP277" s="321"/>
      <c r="FQ277" s="321"/>
      <c r="FR277" s="321"/>
      <c r="FS277" s="321"/>
      <c r="FT277" s="564"/>
      <c r="FU277" s="439"/>
      <c r="FV277" s="452"/>
      <c r="FW277" s="416"/>
      <c r="FX277" s="416"/>
      <c r="FY277" s="411"/>
      <c r="FZ277" s="416"/>
      <c r="GA277" s="416"/>
      <c r="GB277" s="416"/>
      <c r="GC277" s="411"/>
      <c r="GD277" s="416"/>
      <c r="GE277" s="416"/>
      <c r="GF277" s="416"/>
      <c r="GG277" s="416"/>
      <c r="GH277" s="416"/>
      <c r="GI277" s="416"/>
      <c r="GJ277" s="432"/>
      <c r="GK277" s="413"/>
      <c r="GL277" s="452"/>
      <c r="GM277" s="416"/>
      <c r="GN277" s="416"/>
      <c r="GO277" s="411"/>
      <c r="GP277" s="416"/>
      <c r="GQ277" s="416"/>
      <c r="GR277" s="416"/>
      <c r="GS277" s="411"/>
      <c r="GT277" s="416"/>
      <c r="GU277" s="416"/>
      <c r="GV277" s="416"/>
      <c r="GW277" s="416"/>
      <c r="GX277" s="416"/>
      <c r="GY277" s="416"/>
      <c r="GZ277" s="413"/>
      <c r="HA277" s="416"/>
      <c r="HB277" s="416"/>
      <c r="HC277" s="452"/>
      <c r="HD277" s="416"/>
      <c r="HE277" s="416"/>
      <c r="HF277" s="416"/>
      <c r="HG277" s="416"/>
      <c r="HH277" s="416"/>
      <c r="HI277" s="416"/>
      <c r="HJ277" s="416"/>
      <c r="HK277" s="428"/>
      <c r="HL277" s="428"/>
      <c r="HM277" s="416"/>
      <c r="HN277" s="416"/>
      <c r="HO277" s="452"/>
      <c r="HP277" s="416"/>
      <c r="HQ277" s="432"/>
      <c r="HR277" s="417"/>
      <c r="HS277" s="421"/>
      <c r="HT277" s="412"/>
      <c r="HU277" s="412"/>
      <c r="HV277" s="412"/>
      <c r="HW277" s="412"/>
      <c r="HX277" s="412"/>
      <c r="HY277" s="412"/>
      <c r="HZ277" s="412"/>
      <c r="IA277" s="412"/>
      <c r="IB277" s="412"/>
      <c r="IC277" s="412"/>
      <c r="ID277" s="412"/>
      <c r="IE277" s="417"/>
      <c r="IF277" s="411"/>
      <c r="IG277" s="432"/>
      <c r="IH277" s="431"/>
      <c r="II277" s="431"/>
      <c r="IJ277" s="412"/>
      <c r="IK277" s="413"/>
      <c r="IL277" s="412"/>
      <c r="IM277" s="413"/>
      <c r="IN277" s="412"/>
      <c r="IO277" s="412"/>
      <c r="IP277" s="413"/>
      <c r="IQ277" s="413"/>
      <c r="IR277" s="431"/>
      <c r="IS277" s="431"/>
      <c r="IT277" s="412"/>
      <c r="IU277" s="417"/>
      <c r="IV277" s="411"/>
    </row>
    <row r="278" spans="1:256" s="326" customFormat="1" ht="8.25" customHeight="1">
      <c r="A278" s="321"/>
      <c r="B278" s="321"/>
      <c r="C278" s="321"/>
      <c r="D278" s="437"/>
      <c r="E278" s="409"/>
      <c r="F278" s="429"/>
      <c r="G278" s="420"/>
      <c r="H278" s="429"/>
      <c r="I278" s="436"/>
      <c r="J278" s="409"/>
      <c r="K278" s="415"/>
      <c r="L278" s="414"/>
      <c r="M278" s="416"/>
      <c r="N278" s="321"/>
      <c r="O278" s="321"/>
      <c r="P278" s="564"/>
      <c r="Q278" s="321"/>
      <c r="R278" s="321"/>
      <c r="S278" s="321"/>
      <c r="T278" s="437"/>
      <c r="U278" s="429"/>
      <c r="V278" s="420"/>
      <c r="W278" s="436"/>
      <c r="X278" s="420"/>
      <c r="Y278" s="429"/>
      <c r="Z278" s="415"/>
      <c r="AA278" s="415"/>
      <c r="AB278" s="415"/>
      <c r="AC278" s="416"/>
      <c r="AD278" s="321"/>
      <c r="AE278" s="321"/>
      <c r="AF278" s="564"/>
      <c r="AG278" s="321"/>
      <c r="AH278" s="321"/>
      <c r="AI278" s="321"/>
      <c r="AJ278" s="321"/>
      <c r="AK278" s="452"/>
      <c r="AL278" s="452"/>
      <c r="AM278" s="452"/>
      <c r="AN278" s="452"/>
      <c r="AO278" s="452"/>
      <c r="AP278" s="452"/>
      <c r="AQ278" s="452"/>
      <c r="AR278" s="452"/>
      <c r="AS278" s="321"/>
      <c r="AT278" s="321"/>
      <c r="AU278" s="321"/>
      <c r="AV278" s="564"/>
      <c r="AW278" s="432"/>
      <c r="AX278" s="417"/>
      <c r="AY278" s="411"/>
      <c r="AZ278" s="439"/>
      <c r="BA278" s="417"/>
      <c r="BB278" s="417"/>
      <c r="BC278" s="417"/>
      <c r="BD278" s="417"/>
      <c r="BE278" s="417"/>
      <c r="BF278" s="417"/>
      <c r="BG278" s="417"/>
      <c r="BH278" s="417"/>
      <c r="BI278" s="417"/>
      <c r="BJ278" s="417"/>
      <c r="BK278" s="417"/>
      <c r="BL278" s="411"/>
      <c r="BM278" s="483"/>
      <c r="BN278" s="321"/>
      <c r="BO278" s="321"/>
      <c r="BP278" s="321"/>
      <c r="BQ278" s="321"/>
      <c r="BR278" s="321"/>
      <c r="BS278" s="321"/>
      <c r="BT278" s="321"/>
      <c r="BU278" s="321"/>
      <c r="BV278" s="321"/>
      <c r="BW278" s="321"/>
      <c r="BX278" s="321"/>
      <c r="BY278" s="321"/>
      <c r="BZ278" s="321"/>
      <c r="CA278" s="321"/>
      <c r="CB278" s="564"/>
      <c r="CC278" s="1236"/>
      <c r="CR278" s="1237"/>
      <c r="CS278" s="443"/>
      <c r="CT278" s="456"/>
      <c r="CU278" s="433"/>
      <c r="CV278" s="456"/>
      <c r="CW278" s="433"/>
      <c r="CX278" s="456"/>
      <c r="CY278" s="449"/>
      <c r="CZ278" s="433"/>
      <c r="DA278" s="433"/>
      <c r="DB278" s="456"/>
      <c r="DC278" s="440"/>
      <c r="DD278" s="433"/>
      <c r="DE278" s="456"/>
      <c r="DF278" s="433"/>
      <c r="DG278" s="456"/>
      <c r="DH278" s="443"/>
      <c r="DI278" s="311"/>
      <c r="DJ278" s="318"/>
      <c r="DK278" s="296"/>
      <c r="DL278" s="318"/>
      <c r="DM278" s="296"/>
      <c r="DN278" s="318"/>
      <c r="DO278" s="311"/>
      <c r="DP278" s="296"/>
      <c r="DQ278" s="296"/>
      <c r="DR278" s="318"/>
      <c r="DS278" s="300"/>
      <c r="DT278" s="296"/>
      <c r="DU278" s="318"/>
      <c r="DV278" s="296"/>
      <c r="DW278" s="318"/>
      <c r="DX278" s="311"/>
      <c r="DY278" s="433"/>
      <c r="DZ278" s="328"/>
      <c r="EA278" s="328"/>
      <c r="EB278" s="328"/>
      <c r="EC278" s="328"/>
      <c r="ED278" s="436"/>
      <c r="EE278" s="429"/>
      <c r="EF278" s="429"/>
      <c r="EG278" s="429"/>
      <c r="EH278" s="409"/>
      <c r="EI278" s="409"/>
      <c r="EJ278" s="328"/>
      <c r="EK278" s="328"/>
      <c r="EL278" s="328"/>
      <c r="EM278" s="328"/>
      <c r="EN278" s="328"/>
      <c r="EO278" s="483"/>
      <c r="EP278" s="321"/>
      <c r="EQ278" s="321"/>
      <c r="ER278" s="321"/>
      <c r="ES278" s="321"/>
      <c r="ET278" s="321"/>
      <c r="EU278" s="321"/>
      <c r="EV278" s="321"/>
      <c r="EW278" s="321"/>
      <c r="EX278" s="321"/>
      <c r="EY278" s="321"/>
      <c r="EZ278" s="321"/>
      <c r="FA278" s="321"/>
      <c r="FB278" s="321"/>
      <c r="FC278" s="321"/>
      <c r="FD278" s="564"/>
      <c r="FE278" s="483"/>
      <c r="FF278" s="321"/>
      <c r="FG278" s="321"/>
      <c r="FH278" s="321"/>
      <c r="FI278" s="321"/>
      <c r="FJ278" s="321"/>
      <c r="FK278" s="321"/>
      <c r="FL278" s="321"/>
      <c r="FM278" s="321"/>
      <c r="FN278" s="321"/>
      <c r="FO278" s="321"/>
      <c r="FP278" s="321"/>
      <c r="FQ278" s="321"/>
      <c r="FR278" s="321"/>
      <c r="FS278" s="321"/>
      <c r="FT278" s="564"/>
      <c r="FU278" s="439"/>
      <c r="FV278" s="416"/>
      <c r="FW278" s="419"/>
      <c r="FX278" s="419"/>
      <c r="FY278" s="416"/>
      <c r="FZ278" s="416"/>
      <c r="GA278" s="416"/>
      <c r="GB278" s="416"/>
      <c r="GC278" s="416"/>
      <c r="GD278" s="416"/>
      <c r="GE278" s="416"/>
      <c r="GF278" s="452"/>
      <c r="GG278" s="419"/>
      <c r="GH278" s="419"/>
      <c r="GI278" s="416"/>
      <c r="GJ278" s="432"/>
      <c r="GK278" s="413"/>
      <c r="GL278" s="416"/>
      <c r="GM278" s="419"/>
      <c r="GN278" s="419"/>
      <c r="GO278" s="416"/>
      <c r="GP278" s="416"/>
      <c r="GQ278" s="416"/>
      <c r="GR278" s="416"/>
      <c r="GS278" s="416"/>
      <c r="GT278" s="416"/>
      <c r="GU278" s="416"/>
      <c r="GV278" s="452"/>
      <c r="GW278" s="419"/>
      <c r="GX278" s="419"/>
      <c r="GY278" s="416"/>
      <c r="GZ278" s="413"/>
      <c r="HA278" s="321"/>
      <c r="HB278" s="321"/>
      <c r="HC278" s="452"/>
      <c r="HD278" s="321"/>
      <c r="HE278" s="321"/>
      <c r="HF278" s="321"/>
      <c r="HG278" s="321"/>
      <c r="HH278" s="321"/>
      <c r="HI278" s="321"/>
      <c r="HJ278" s="321"/>
      <c r="HK278" s="321"/>
      <c r="HL278" s="321"/>
      <c r="HM278" s="321"/>
      <c r="HN278" s="321"/>
      <c r="HO278" s="321"/>
      <c r="HP278" s="564"/>
      <c r="HQ278" s="432"/>
      <c r="HR278" s="417"/>
      <c r="HS278" s="421"/>
      <c r="HT278" s="412"/>
      <c r="HU278" s="412"/>
      <c r="HV278" s="412"/>
      <c r="HW278" s="412"/>
      <c r="HX278" s="412"/>
      <c r="HY278" s="412"/>
      <c r="HZ278" s="412"/>
      <c r="IA278" s="412"/>
      <c r="IB278" s="412"/>
      <c r="IC278" s="412"/>
      <c r="ID278" s="412"/>
      <c r="IE278" s="417"/>
      <c r="IF278" s="411"/>
      <c r="IG278" s="432"/>
      <c r="IH278" s="431"/>
      <c r="II278" s="431"/>
      <c r="IJ278" s="431"/>
      <c r="IK278" s="413"/>
      <c r="IL278" s="413"/>
      <c r="IM278" s="412"/>
      <c r="IN278" s="412"/>
      <c r="IO278" s="412"/>
      <c r="IP278" s="413"/>
      <c r="IQ278" s="431"/>
      <c r="IR278" s="431"/>
      <c r="IS278" s="412"/>
      <c r="IT278" s="412"/>
      <c r="IU278" s="417"/>
      <c r="IV278" s="411"/>
    </row>
    <row r="279" spans="1:256" s="326" customFormat="1" ht="8.25" customHeight="1">
      <c r="A279" s="321"/>
      <c r="B279" s="321"/>
      <c r="C279" s="321"/>
      <c r="D279" s="437"/>
      <c r="E279" s="415"/>
      <c r="F279" s="415"/>
      <c r="G279" s="415"/>
      <c r="H279" s="415"/>
      <c r="I279" s="415"/>
      <c r="J279" s="415"/>
      <c r="K279" s="415"/>
      <c r="L279" s="415"/>
      <c r="M279" s="416"/>
      <c r="N279" s="321"/>
      <c r="O279" s="321"/>
      <c r="P279" s="564"/>
      <c r="Q279" s="321"/>
      <c r="R279" s="321"/>
      <c r="S279" s="321"/>
      <c r="T279" s="437"/>
      <c r="U279" s="415"/>
      <c r="V279" s="415"/>
      <c r="W279" s="415"/>
      <c r="X279" s="415"/>
      <c r="Y279" s="415"/>
      <c r="Z279" s="415"/>
      <c r="AA279" s="415"/>
      <c r="AB279" s="415"/>
      <c r="AC279" s="416"/>
      <c r="AD279" s="321"/>
      <c r="AE279" s="321"/>
      <c r="AF279" s="564"/>
      <c r="AG279" s="321"/>
      <c r="AH279" s="321"/>
      <c r="AI279" s="321"/>
      <c r="AJ279" s="321"/>
      <c r="AK279" s="452"/>
      <c r="AL279" s="411"/>
      <c r="AM279" s="439"/>
      <c r="AN279" s="411"/>
      <c r="AO279" s="452"/>
      <c r="AP279" s="411"/>
      <c r="AQ279" s="411"/>
      <c r="AR279" s="452"/>
      <c r="AS279" s="321"/>
      <c r="AT279" s="321"/>
      <c r="AU279" s="321"/>
      <c r="AV279" s="564"/>
      <c r="AW279" s="432"/>
      <c r="AX279" s="417"/>
      <c r="AY279" s="439"/>
      <c r="AZ279" s="432"/>
      <c r="BA279" s="417"/>
      <c r="BB279" s="417"/>
      <c r="BC279" s="417"/>
      <c r="BD279" s="417"/>
      <c r="BE279" s="417"/>
      <c r="BF279" s="417"/>
      <c r="BG279" s="417"/>
      <c r="BH279" s="417"/>
      <c r="BI279" s="417"/>
      <c r="BJ279" s="417"/>
      <c r="BK279" s="417"/>
      <c r="BL279" s="411"/>
      <c r="BM279" s="483"/>
      <c r="BN279" s="321"/>
      <c r="BO279" s="321"/>
      <c r="BP279" s="321"/>
      <c r="BQ279" s="321"/>
      <c r="BR279" s="321"/>
      <c r="BS279" s="321"/>
      <c r="BT279" s="321"/>
      <c r="BU279" s="321"/>
      <c r="BV279" s="321"/>
      <c r="BW279" s="321"/>
      <c r="BX279" s="321"/>
      <c r="BY279" s="321"/>
      <c r="BZ279" s="321"/>
      <c r="CA279" s="321"/>
      <c r="CB279" s="564"/>
      <c r="CC279" s="1236"/>
      <c r="CR279" s="1237"/>
      <c r="CS279" s="443"/>
      <c r="CT279" s="456"/>
      <c r="CU279" s="433"/>
      <c r="CV279" s="456"/>
      <c r="CW279" s="433"/>
      <c r="CX279" s="456"/>
      <c r="CY279" s="440"/>
      <c r="CZ279" s="456"/>
      <c r="DA279" s="433"/>
      <c r="DB279" s="456"/>
      <c r="DC279" s="456"/>
      <c r="DD279" s="433"/>
      <c r="DE279" s="456"/>
      <c r="DF279" s="433"/>
      <c r="DG279" s="456"/>
      <c r="DH279" s="443"/>
      <c r="DI279" s="311"/>
      <c r="DJ279" s="318"/>
      <c r="DK279" s="296"/>
      <c r="DL279" s="318"/>
      <c r="DM279" s="296"/>
      <c r="DN279" s="318"/>
      <c r="DO279" s="300"/>
      <c r="DP279" s="318"/>
      <c r="DQ279" s="296"/>
      <c r="DR279" s="318"/>
      <c r="DS279" s="318"/>
      <c r="DT279" s="296"/>
      <c r="DU279" s="318"/>
      <c r="DV279" s="296"/>
      <c r="DW279" s="318"/>
      <c r="DX279" s="311"/>
      <c r="DY279" s="1236"/>
      <c r="DZ279" s="328"/>
      <c r="EA279" s="328"/>
      <c r="EB279" s="328"/>
      <c r="EC279" s="328"/>
      <c r="ED279" s="429"/>
      <c r="EE279" s="429"/>
      <c r="EF279" s="429"/>
      <c r="EG279" s="429"/>
      <c r="EH279" s="429"/>
      <c r="EI279" s="409"/>
      <c r="EJ279" s="328"/>
      <c r="EK279" s="328"/>
      <c r="EL279" s="328"/>
      <c r="EM279" s="328"/>
      <c r="EN279" s="328"/>
      <c r="EO279" s="483"/>
      <c r="EP279" s="321"/>
      <c r="EQ279" s="321"/>
      <c r="ER279" s="321"/>
      <c r="ES279" s="321"/>
      <c r="ET279" s="321"/>
      <c r="EU279" s="321"/>
      <c r="EV279" s="321"/>
      <c r="EW279" s="321"/>
      <c r="EX279" s="321"/>
      <c r="EY279" s="321"/>
      <c r="EZ279" s="321"/>
      <c r="FA279" s="321"/>
      <c r="FB279" s="321"/>
      <c r="FC279" s="321"/>
      <c r="FD279" s="564"/>
      <c r="FE279" s="483"/>
      <c r="FF279" s="321"/>
      <c r="FG279" s="321"/>
      <c r="FH279" s="321"/>
      <c r="FI279" s="321"/>
      <c r="FJ279" s="321"/>
      <c r="FK279" s="321"/>
      <c r="FL279" s="321"/>
      <c r="FM279" s="321"/>
      <c r="FN279" s="321"/>
      <c r="FO279" s="321"/>
      <c r="FP279" s="321"/>
      <c r="FQ279" s="321"/>
      <c r="FR279" s="321"/>
      <c r="FS279" s="321"/>
      <c r="FT279" s="564"/>
      <c r="FU279" s="432"/>
      <c r="FV279" s="432"/>
      <c r="FW279" s="432"/>
      <c r="FX279" s="432"/>
      <c r="FY279" s="432"/>
      <c r="FZ279" s="432"/>
      <c r="GA279" s="432"/>
      <c r="GB279" s="432"/>
      <c r="GC279" s="432"/>
      <c r="GD279" s="432"/>
      <c r="GE279" s="432"/>
      <c r="GF279" s="432"/>
      <c r="GG279" s="432"/>
      <c r="GH279" s="432"/>
      <c r="GI279" s="432"/>
      <c r="GJ279" s="432"/>
      <c r="GK279" s="413"/>
      <c r="GL279" s="413"/>
      <c r="GM279" s="413"/>
      <c r="GN279" s="413"/>
      <c r="GO279" s="413"/>
      <c r="GP279" s="413"/>
      <c r="GQ279" s="452"/>
      <c r="GR279" s="413"/>
      <c r="GS279" s="413"/>
      <c r="GT279" s="413"/>
      <c r="GU279" s="413"/>
      <c r="GV279" s="413"/>
      <c r="GW279" s="413"/>
      <c r="GX279" s="413"/>
      <c r="GY279" s="413"/>
      <c r="GZ279" s="413"/>
      <c r="HA279" s="321"/>
      <c r="HB279" s="321"/>
      <c r="HC279" s="321"/>
      <c r="HD279" s="321"/>
      <c r="HE279" s="321"/>
      <c r="HF279" s="452"/>
      <c r="HG279" s="321"/>
      <c r="HH279" s="321"/>
      <c r="HI279" s="321"/>
      <c r="HJ279" s="321"/>
      <c r="HK279" s="321"/>
      <c r="HL279" s="452"/>
      <c r="HM279" s="321"/>
      <c r="HN279" s="321"/>
      <c r="HO279" s="321"/>
      <c r="HP279" s="564"/>
      <c r="HQ279" s="432"/>
      <c r="HR279" s="417"/>
      <c r="HS279" s="421"/>
      <c r="HT279" s="412"/>
      <c r="HU279" s="412"/>
      <c r="HV279" s="412"/>
      <c r="HW279" s="412"/>
      <c r="HX279" s="412"/>
      <c r="HY279" s="412"/>
      <c r="HZ279" s="412"/>
      <c r="IA279" s="412"/>
      <c r="IB279" s="412"/>
      <c r="IC279" s="412"/>
      <c r="ID279" s="412"/>
      <c r="IE279" s="417"/>
      <c r="IF279" s="411"/>
      <c r="IG279" s="432"/>
      <c r="IH279" s="431"/>
      <c r="II279" s="431"/>
      <c r="IJ279" s="431"/>
      <c r="IK279" s="412"/>
      <c r="IL279" s="413"/>
      <c r="IM279" s="412"/>
      <c r="IN279" s="412"/>
      <c r="IO279" s="412"/>
      <c r="IP279" s="431"/>
      <c r="IQ279" s="431"/>
      <c r="IR279" s="431"/>
      <c r="IS279" s="412"/>
      <c r="IT279" s="412"/>
      <c r="IU279" s="417"/>
      <c r="IV279" s="411"/>
    </row>
    <row r="280" spans="1:256" s="326" customFormat="1" ht="8.25" customHeight="1">
      <c r="A280" s="321"/>
      <c r="B280" s="321"/>
      <c r="C280" s="321"/>
      <c r="D280" s="437"/>
      <c r="E280" s="437"/>
      <c r="F280" s="437"/>
      <c r="G280" s="437"/>
      <c r="H280" s="437"/>
      <c r="I280" s="437"/>
      <c r="J280" s="437"/>
      <c r="K280" s="437"/>
      <c r="L280" s="430"/>
      <c r="M280" s="416"/>
      <c r="N280" s="321"/>
      <c r="O280" s="321"/>
      <c r="P280" s="564"/>
      <c r="Q280" s="321"/>
      <c r="R280" s="321"/>
      <c r="S280" s="321"/>
      <c r="T280" s="437"/>
      <c r="U280" s="437"/>
      <c r="V280" s="437"/>
      <c r="W280" s="437"/>
      <c r="X280" s="437"/>
      <c r="Y280" s="437"/>
      <c r="Z280" s="437"/>
      <c r="AA280" s="437"/>
      <c r="AB280" s="430"/>
      <c r="AC280" s="416"/>
      <c r="AD280" s="321"/>
      <c r="AE280" s="321"/>
      <c r="AF280" s="564"/>
      <c r="AG280" s="321"/>
      <c r="AH280" s="321"/>
      <c r="AI280" s="321"/>
      <c r="AJ280" s="321"/>
      <c r="AK280" s="452"/>
      <c r="AL280" s="452"/>
      <c r="AM280" s="452"/>
      <c r="AN280" s="452"/>
      <c r="AO280" s="452"/>
      <c r="AP280" s="452"/>
      <c r="AQ280" s="452"/>
      <c r="AR280" s="452"/>
      <c r="AS280" s="321"/>
      <c r="AT280" s="321"/>
      <c r="AU280" s="321"/>
      <c r="AV280" s="564"/>
      <c r="AW280" s="432"/>
      <c r="AX280" s="417"/>
      <c r="AY280" s="417"/>
      <c r="AZ280" s="415"/>
      <c r="BA280" s="415"/>
      <c r="BB280" s="415"/>
      <c r="BC280" s="415"/>
      <c r="BD280" s="415"/>
      <c r="BE280" s="415"/>
      <c r="BF280" s="415"/>
      <c r="BG280" s="415"/>
      <c r="BH280" s="415"/>
      <c r="BI280" s="417"/>
      <c r="BJ280" s="417"/>
      <c r="BK280" s="417"/>
      <c r="BL280" s="411"/>
      <c r="BM280" s="483"/>
      <c r="BN280" s="321"/>
      <c r="BO280" s="321"/>
      <c r="BP280" s="321"/>
      <c r="BQ280" s="321"/>
      <c r="BR280" s="321"/>
      <c r="BS280" s="321"/>
      <c r="BT280" s="321"/>
      <c r="BU280" s="321"/>
      <c r="BV280" s="321"/>
      <c r="BW280" s="321"/>
      <c r="BX280" s="321"/>
      <c r="BY280" s="321"/>
      <c r="BZ280" s="321"/>
      <c r="CA280" s="321"/>
      <c r="CB280" s="564"/>
      <c r="CC280" s="1236"/>
      <c r="CR280" s="1237"/>
      <c r="CS280" s="443"/>
      <c r="CT280" s="433"/>
      <c r="CU280" s="433"/>
      <c r="CV280" s="433"/>
      <c r="CW280" s="433"/>
      <c r="CX280" s="433"/>
      <c r="CY280" s="433"/>
      <c r="CZ280" s="433"/>
      <c r="DA280" s="433"/>
      <c r="DB280" s="433"/>
      <c r="DC280" s="433"/>
      <c r="DD280" s="433"/>
      <c r="DE280" s="433"/>
      <c r="DF280" s="433"/>
      <c r="DG280" s="433"/>
      <c r="DH280" s="443"/>
      <c r="DI280" s="311"/>
      <c r="DJ280" s="296"/>
      <c r="DK280" s="296"/>
      <c r="DL280" s="296"/>
      <c r="DM280" s="296"/>
      <c r="DN280" s="296"/>
      <c r="DO280" s="296"/>
      <c r="DP280" s="296"/>
      <c r="DQ280" s="296"/>
      <c r="DR280" s="296"/>
      <c r="DS280" s="296"/>
      <c r="DT280" s="296"/>
      <c r="DU280" s="296"/>
      <c r="DV280" s="296"/>
      <c r="DW280" s="296"/>
      <c r="DX280" s="311"/>
      <c r="DY280" s="1236"/>
      <c r="DZ280" s="328"/>
      <c r="EA280" s="328"/>
      <c r="EB280" s="328"/>
      <c r="EC280" s="436"/>
      <c r="ED280" s="429"/>
      <c r="EE280" s="429"/>
      <c r="EF280" s="409"/>
      <c r="EG280" s="429"/>
      <c r="EH280" s="429"/>
      <c r="EI280" s="429"/>
      <c r="EJ280" s="409"/>
      <c r="EK280" s="328"/>
      <c r="EL280" s="328"/>
      <c r="EM280" s="328"/>
      <c r="EN280" s="328"/>
      <c r="EO280" s="483"/>
      <c r="EP280" s="321"/>
      <c r="EQ280" s="321"/>
      <c r="ER280" s="321"/>
      <c r="ES280" s="321"/>
      <c r="ET280" s="321"/>
      <c r="EU280" s="321"/>
      <c r="EV280" s="321"/>
      <c r="EW280" s="321"/>
      <c r="EX280" s="321"/>
      <c r="EY280" s="321"/>
      <c r="EZ280" s="321"/>
      <c r="FA280" s="321"/>
      <c r="FB280" s="321"/>
      <c r="FC280" s="321"/>
      <c r="FD280" s="564"/>
      <c r="FE280" s="483"/>
      <c r="FF280" s="321"/>
      <c r="FG280" s="321"/>
      <c r="FH280" s="321"/>
      <c r="FI280" s="321"/>
      <c r="FJ280" s="321"/>
      <c r="FK280" s="321"/>
      <c r="FL280" s="434"/>
      <c r="FM280" s="427"/>
      <c r="FN280" s="321"/>
      <c r="FO280" s="321"/>
      <c r="FP280" s="321"/>
      <c r="FQ280" s="321"/>
      <c r="FR280" s="321"/>
      <c r="FS280" s="321"/>
      <c r="FT280" s="564"/>
      <c r="FU280" s="321"/>
      <c r="FV280" s="321"/>
      <c r="FW280" s="452"/>
      <c r="FX280" s="321"/>
      <c r="FY280" s="321"/>
      <c r="FZ280" s="452"/>
      <c r="GA280" s="321"/>
      <c r="GB280" s="321"/>
      <c r="GC280" s="321"/>
      <c r="GD280" s="321"/>
      <c r="GE280" s="321"/>
      <c r="GF280" s="321"/>
      <c r="GG280" s="321"/>
      <c r="GH280" s="452"/>
      <c r="GI280" s="321"/>
      <c r="GJ280" s="564"/>
      <c r="GK280" s="321"/>
      <c r="GL280" s="321"/>
      <c r="GM280" s="452"/>
      <c r="GN280" s="321"/>
      <c r="GO280" s="321"/>
      <c r="GP280" s="452"/>
      <c r="GQ280" s="321"/>
      <c r="GR280" s="321"/>
      <c r="GS280" s="321"/>
      <c r="GT280" s="321"/>
      <c r="GU280" s="321"/>
      <c r="GV280" s="321"/>
      <c r="GW280" s="321"/>
      <c r="GX280" s="452"/>
      <c r="GY280" s="321"/>
      <c r="GZ280" s="564"/>
      <c r="HA280" s="321"/>
      <c r="HB280" s="321"/>
      <c r="HC280" s="321"/>
      <c r="HD280" s="321"/>
      <c r="HE280" s="321"/>
      <c r="HF280" s="452"/>
      <c r="HG280" s="321"/>
      <c r="HH280" s="321"/>
      <c r="HI280" s="321"/>
      <c r="HJ280" s="321"/>
      <c r="HK280" s="321"/>
      <c r="HL280" s="452"/>
      <c r="HM280" s="321"/>
      <c r="HN280" s="321"/>
      <c r="HO280" s="321"/>
      <c r="HP280" s="564"/>
      <c r="HQ280" s="432"/>
      <c r="HR280" s="417"/>
      <c r="HS280" s="421"/>
      <c r="HT280" s="412"/>
      <c r="HU280" s="412"/>
      <c r="HV280" s="412"/>
      <c r="HW280" s="412"/>
      <c r="HX280" s="412"/>
      <c r="HY280" s="412"/>
      <c r="HZ280" s="412"/>
      <c r="IA280" s="412"/>
      <c r="IB280" s="412"/>
      <c r="IC280" s="412"/>
      <c r="ID280" s="412"/>
      <c r="IE280" s="417"/>
      <c r="IF280" s="411"/>
      <c r="IG280" s="432"/>
      <c r="IH280" s="431"/>
      <c r="II280" s="431"/>
      <c r="IJ280" s="412"/>
      <c r="IK280" s="411"/>
      <c r="IL280" s="412"/>
      <c r="IM280" s="412"/>
      <c r="IN280" s="412"/>
      <c r="IO280" s="412"/>
      <c r="IP280" s="431"/>
      <c r="IQ280" s="431"/>
      <c r="IR280" s="412"/>
      <c r="IS280" s="412"/>
      <c r="IT280" s="412"/>
      <c r="IU280" s="417"/>
      <c r="IV280" s="411"/>
    </row>
    <row r="281" spans="1:256" s="326" customFormat="1" ht="8.25" customHeight="1">
      <c r="A281" s="483"/>
      <c r="B281" s="321"/>
      <c r="C281" s="321"/>
      <c r="D281" s="437"/>
      <c r="E281" s="459"/>
      <c r="F281" s="437"/>
      <c r="G281" s="460"/>
      <c r="H281" s="437"/>
      <c r="I281" s="436"/>
      <c r="J281" s="430"/>
      <c r="K281" s="430"/>
      <c r="L281" s="430"/>
      <c r="M281" s="416"/>
      <c r="N281" s="321"/>
      <c r="O281" s="321"/>
      <c r="P281" s="564"/>
      <c r="Q281" s="483"/>
      <c r="R281" s="321"/>
      <c r="S281" s="321"/>
      <c r="T281" s="437"/>
      <c r="U281" s="433"/>
      <c r="V281" s="430"/>
      <c r="W281" s="427"/>
      <c r="X281" s="437"/>
      <c r="Y281" s="462"/>
      <c r="Z281" s="437"/>
      <c r="AA281" s="430"/>
      <c r="AB281" s="430"/>
      <c r="AC281" s="416"/>
      <c r="AD281" s="321"/>
      <c r="AE281" s="321"/>
      <c r="AF281" s="564"/>
      <c r="AG281" s="483"/>
      <c r="AH281" s="321"/>
      <c r="AI281" s="321"/>
      <c r="AJ281" s="321"/>
      <c r="AK281" s="452"/>
      <c r="AL281" s="411"/>
      <c r="AM281" s="452"/>
      <c r="AN281" s="411"/>
      <c r="AO281" s="411"/>
      <c r="AP281" s="452"/>
      <c r="AQ281" s="411"/>
      <c r="AR281" s="452"/>
      <c r="AS281" s="321"/>
      <c r="AT281" s="321"/>
      <c r="AU281" s="321"/>
      <c r="AV281" s="564"/>
      <c r="AW281" s="432"/>
      <c r="AX281" s="417"/>
      <c r="AY281" s="417"/>
      <c r="AZ281" s="415"/>
      <c r="BA281" s="417"/>
      <c r="BB281" s="417"/>
      <c r="BC281" s="417"/>
      <c r="BD281" s="417"/>
      <c r="BE281" s="417"/>
      <c r="BF281" s="417"/>
      <c r="BG281" s="417"/>
      <c r="BH281" s="417"/>
      <c r="BI281" s="422"/>
      <c r="BJ281" s="417"/>
      <c r="BK281" s="417"/>
      <c r="BL281" s="411"/>
      <c r="BM281" s="483"/>
      <c r="BN281" s="321"/>
      <c r="BO281" s="321"/>
      <c r="BP281" s="321"/>
      <c r="BQ281" s="321"/>
      <c r="BR281" s="321"/>
      <c r="BS281" s="321"/>
      <c r="BT281" s="321"/>
      <c r="BU281" s="321"/>
      <c r="BV281" s="321"/>
      <c r="BW281" s="321"/>
      <c r="BX281" s="321"/>
      <c r="BY281" s="321"/>
      <c r="BZ281" s="321"/>
      <c r="CA281" s="321"/>
      <c r="CB281" s="564"/>
      <c r="CC281" s="1236"/>
      <c r="CR281" s="1237"/>
      <c r="CS281" s="328"/>
      <c r="CT281" s="436"/>
      <c r="CU281" s="436"/>
      <c r="CV281" s="436"/>
      <c r="CW281" s="436"/>
      <c r="CX281" s="436"/>
      <c r="CY281" s="436"/>
      <c r="CZ281" s="436"/>
      <c r="DA281" s="436"/>
      <c r="DB281" s="436"/>
      <c r="DC281" s="436"/>
      <c r="DD281" s="436"/>
      <c r="DE281" s="436"/>
      <c r="DF281" s="436"/>
      <c r="DG281" s="436"/>
      <c r="DH281" s="328"/>
      <c r="DI281" s="328"/>
      <c r="DJ281" s="306"/>
      <c r="DK281" s="306"/>
      <c r="DL281" s="306"/>
      <c r="DM281" s="306"/>
      <c r="DN281" s="306"/>
      <c r="DO281" s="306"/>
      <c r="DP281" s="306"/>
      <c r="DQ281" s="306"/>
      <c r="DR281" s="306"/>
      <c r="DS281" s="306"/>
      <c r="DT281" s="306"/>
      <c r="DU281" s="306"/>
      <c r="DV281" s="306"/>
      <c r="DW281" s="306"/>
      <c r="DX281" s="328"/>
      <c r="DY281" s="1236"/>
      <c r="DZ281" s="328"/>
      <c r="EA281" s="328"/>
      <c r="EB281" s="328"/>
      <c r="EC281" s="429"/>
      <c r="ED281" s="429"/>
      <c r="EE281" s="409"/>
      <c r="EF281" s="409"/>
      <c r="EG281" s="409"/>
      <c r="EH281" s="429"/>
      <c r="EI281" s="429"/>
      <c r="EJ281" s="429"/>
      <c r="EK281" s="409"/>
      <c r="EL281" s="328"/>
      <c r="EM281" s="328"/>
      <c r="EN281" s="328"/>
      <c r="EO281" s="483"/>
      <c r="EP281" s="321"/>
      <c r="EQ281" s="321"/>
      <c r="ER281" s="321"/>
      <c r="ES281" s="321"/>
      <c r="ET281" s="321"/>
      <c r="EU281" s="321"/>
      <c r="EV281" s="321"/>
      <c r="EW281" s="321"/>
      <c r="EX281" s="321"/>
      <c r="EY281" s="321"/>
      <c r="EZ281" s="321"/>
      <c r="FA281" s="321"/>
      <c r="FB281" s="321"/>
      <c r="FC281" s="321"/>
      <c r="FD281" s="564"/>
      <c r="FE281" s="483"/>
      <c r="FF281" s="321"/>
      <c r="FG281" s="321"/>
      <c r="FH281" s="321"/>
      <c r="FI281" s="321"/>
      <c r="FJ281" s="321"/>
      <c r="FK281" s="427"/>
      <c r="FL281" s="443"/>
      <c r="FM281" s="426"/>
      <c r="FN281" s="423"/>
      <c r="FO281" s="321"/>
      <c r="FP281" s="321"/>
      <c r="FQ281" s="321"/>
      <c r="FR281" s="321"/>
      <c r="FS281" s="321"/>
      <c r="FT281" s="564"/>
      <c r="FU281" s="321"/>
      <c r="FV281" s="452"/>
      <c r="FW281" s="321"/>
      <c r="FX281" s="321"/>
      <c r="FY281" s="321"/>
      <c r="FZ281" s="452"/>
      <c r="GA281" s="321"/>
      <c r="GB281" s="321"/>
      <c r="GC281" s="321"/>
      <c r="GD281" s="321"/>
      <c r="GE281" s="321"/>
      <c r="GF281" s="321"/>
      <c r="GG281" s="321"/>
      <c r="GH281" s="321"/>
      <c r="GI281" s="452"/>
      <c r="GJ281" s="564"/>
      <c r="GK281" s="321"/>
      <c r="GL281" s="452"/>
      <c r="GM281" s="321"/>
      <c r="GN281" s="321"/>
      <c r="GO281" s="321"/>
      <c r="GP281" s="452"/>
      <c r="GQ281" s="321"/>
      <c r="GR281" s="321"/>
      <c r="GS281" s="321"/>
      <c r="GT281" s="321"/>
      <c r="GU281" s="321"/>
      <c r="GV281" s="321"/>
      <c r="GW281" s="321"/>
      <c r="GX281" s="321"/>
      <c r="GY281" s="452"/>
      <c r="GZ281" s="564"/>
      <c r="HA281" s="321"/>
      <c r="HB281" s="321"/>
      <c r="HC281" s="321"/>
      <c r="HD281" s="321"/>
      <c r="HE281" s="321"/>
      <c r="HF281" s="321"/>
      <c r="HG281" s="321"/>
      <c r="HH281" s="321"/>
      <c r="HI281" s="321"/>
      <c r="HJ281" s="321"/>
      <c r="HK281" s="321"/>
      <c r="HL281" s="321"/>
      <c r="HM281" s="321"/>
      <c r="HN281" s="321"/>
      <c r="HO281" s="321"/>
      <c r="HP281" s="564"/>
      <c r="HQ281" s="432"/>
      <c r="HR281" s="417"/>
      <c r="HS281" s="417"/>
      <c r="HT281" s="417"/>
      <c r="HU281" s="417"/>
      <c r="HV281" s="417"/>
      <c r="HW281" s="417"/>
      <c r="HX281" s="417"/>
      <c r="HY281" s="417"/>
      <c r="HZ281" s="417"/>
      <c r="IA281" s="417"/>
      <c r="IB281" s="417"/>
      <c r="IC281" s="417"/>
      <c r="ID281" s="417"/>
      <c r="IE281" s="417"/>
      <c r="IF281" s="411"/>
      <c r="IG281" s="432"/>
      <c r="IH281" s="431"/>
      <c r="II281" s="431"/>
      <c r="IJ281" s="412"/>
      <c r="IK281" s="417"/>
      <c r="IL281" s="417"/>
      <c r="IM281" s="417"/>
      <c r="IN281" s="417"/>
      <c r="IO281" s="417"/>
      <c r="IP281" s="431"/>
      <c r="IQ281" s="431"/>
      <c r="IR281" s="417"/>
      <c r="IS281" s="417"/>
      <c r="IT281" s="417"/>
      <c r="IU281" s="417"/>
      <c r="IV281" s="411"/>
    </row>
    <row r="282" spans="1:256" s="326" customFormat="1" ht="8.25" customHeight="1">
      <c r="A282" s="483"/>
      <c r="B282" s="321"/>
      <c r="C282" s="321"/>
      <c r="D282" s="437"/>
      <c r="E282" s="437"/>
      <c r="F282" s="437"/>
      <c r="G282" s="437"/>
      <c r="H282" s="430"/>
      <c r="I282" s="430"/>
      <c r="J282" s="430"/>
      <c r="K282" s="430"/>
      <c r="L282" s="430"/>
      <c r="M282" s="416"/>
      <c r="N282" s="321"/>
      <c r="O282" s="321"/>
      <c r="P282" s="564"/>
      <c r="Q282" s="483"/>
      <c r="R282" s="321"/>
      <c r="S282" s="321"/>
      <c r="T282" s="437"/>
      <c r="U282" s="430"/>
      <c r="V282" s="430"/>
      <c r="W282" s="430"/>
      <c r="X282" s="430"/>
      <c r="Y282" s="437"/>
      <c r="Z282" s="430"/>
      <c r="AA282" s="430"/>
      <c r="AB282" s="430"/>
      <c r="AC282" s="416"/>
      <c r="AD282" s="321"/>
      <c r="AE282" s="321"/>
      <c r="AF282" s="564"/>
      <c r="AG282" s="483"/>
      <c r="AH282" s="321"/>
      <c r="AI282" s="321"/>
      <c r="AJ282" s="321"/>
      <c r="AK282" s="452"/>
      <c r="AL282" s="452"/>
      <c r="AM282" s="452"/>
      <c r="AN282" s="452"/>
      <c r="AO282" s="452"/>
      <c r="AP282" s="452"/>
      <c r="AQ282" s="452"/>
      <c r="AR282" s="452"/>
      <c r="AS282" s="321"/>
      <c r="AT282" s="321"/>
      <c r="AU282" s="321"/>
      <c r="AV282" s="564"/>
      <c r="AW282" s="432"/>
      <c r="AX282" s="417"/>
      <c r="AY282" s="417"/>
      <c r="AZ282" s="415"/>
      <c r="BA282" s="417"/>
      <c r="BB282" s="417"/>
      <c r="BC282" s="417"/>
      <c r="BD282" s="417"/>
      <c r="BE282" s="417"/>
      <c r="BF282" s="417"/>
      <c r="BG282" s="417"/>
      <c r="BH282" s="417"/>
      <c r="BI282" s="422"/>
      <c r="BJ282" s="417"/>
      <c r="BK282" s="417"/>
      <c r="BL282" s="411"/>
      <c r="BM282" s="483"/>
      <c r="BN282" s="321"/>
      <c r="BO282" s="321"/>
      <c r="BP282" s="321"/>
      <c r="BQ282" s="321"/>
      <c r="BR282" s="321"/>
      <c r="BS282" s="321"/>
      <c r="BT282" s="321"/>
      <c r="BU282" s="321"/>
      <c r="BV282" s="321"/>
      <c r="BW282" s="321"/>
      <c r="BX282" s="321"/>
      <c r="BY282" s="321"/>
      <c r="BZ282" s="321"/>
      <c r="CA282" s="321"/>
      <c r="CB282" s="564"/>
      <c r="CC282" s="1236"/>
      <c r="CR282" s="1237"/>
      <c r="CS282" s="1236"/>
      <c r="DH282" s="328"/>
      <c r="DI282" s="1236"/>
      <c r="DX282" s="328"/>
      <c r="DY282" s="1236"/>
      <c r="DZ282" s="328"/>
      <c r="EA282" s="328"/>
      <c r="EB282" s="436"/>
      <c r="EC282" s="413"/>
      <c r="ED282" s="429"/>
      <c r="EE282" s="409"/>
      <c r="EF282" s="328"/>
      <c r="EG282" s="328"/>
      <c r="EH282" s="436"/>
      <c r="EI282" s="429"/>
      <c r="EJ282" s="413"/>
      <c r="EK282" s="409"/>
      <c r="EL282" s="328"/>
      <c r="EM282" s="328"/>
      <c r="EN282" s="328"/>
      <c r="EO282" s="483"/>
      <c r="EP282" s="321"/>
      <c r="EQ282" s="321"/>
      <c r="ER282" s="321"/>
      <c r="ES282" s="321"/>
      <c r="ET282" s="321"/>
      <c r="EU282" s="321"/>
      <c r="EV282" s="321"/>
      <c r="EW282" s="321"/>
      <c r="EX282" s="321"/>
      <c r="EY282" s="321"/>
      <c r="EZ282" s="321"/>
      <c r="FA282" s="321"/>
      <c r="FB282" s="321"/>
      <c r="FC282" s="321"/>
      <c r="FD282" s="564"/>
      <c r="FE282" s="483"/>
      <c r="FF282" s="321"/>
      <c r="FG282" s="321"/>
      <c r="FH282" s="321"/>
      <c r="FI282" s="321"/>
      <c r="FJ282" s="321"/>
      <c r="FK282" s="429"/>
      <c r="FL282" s="449"/>
      <c r="FM282" s="436"/>
      <c r="FN282" s="429"/>
      <c r="FO282" s="321"/>
      <c r="FP282" s="321"/>
      <c r="FQ282" s="321"/>
      <c r="FR282" s="321"/>
      <c r="FS282" s="321"/>
      <c r="FT282" s="564"/>
      <c r="FU282" s="483"/>
      <c r="FV282" s="321"/>
      <c r="FW282" s="321"/>
      <c r="FX282" s="321"/>
      <c r="FY282" s="321"/>
      <c r="FZ282" s="321"/>
      <c r="GA282" s="321"/>
      <c r="GB282" s="321"/>
      <c r="GC282" s="321"/>
      <c r="GD282" s="321"/>
      <c r="GE282" s="452"/>
      <c r="GF282" s="321"/>
      <c r="GG282" s="321"/>
      <c r="GH282" s="321"/>
      <c r="GI282" s="321"/>
      <c r="GJ282" s="564"/>
      <c r="GK282" s="483"/>
      <c r="GL282" s="321"/>
      <c r="GM282" s="321"/>
      <c r="GN282" s="321"/>
      <c r="GO282" s="321"/>
      <c r="GP282" s="321"/>
      <c r="GQ282" s="321"/>
      <c r="GR282" s="321"/>
      <c r="GS282" s="321"/>
      <c r="GT282" s="321"/>
      <c r="GU282" s="452"/>
      <c r="GV282" s="321"/>
      <c r="GW282" s="321"/>
      <c r="GX282" s="321"/>
      <c r="GY282" s="321"/>
      <c r="GZ282" s="564"/>
      <c r="HA282" s="321"/>
      <c r="HB282" s="321"/>
      <c r="HC282" s="321"/>
      <c r="HD282" s="321"/>
      <c r="HE282" s="321"/>
      <c r="HF282" s="321"/>
      <c r="HG282" s="321"/>
      <c r="HH282" s="321"/>
      <c r="HI282" s="321"/>
      <c r="HJ282" s="321"/>
      <c r="HK282" s="321"/>
      <c r="HL282" s="321"/>
      <c r="HM282" s="321"/>
      <c r="HN282" s="321"/>
      <c r="HO282" s="321"/>
      <c r="HP282" s="564"/>
      <c r="HQ282" s="432"/>
      <c r="HR282" s="411"/>
      <c r="HS282" s="411"/>
      <c r="HT282" s="411"/>
      <c r="HU282" s="411"/>
      <c r="HV282" s="411"/>
      <c r="HW282" s="411"/>
      <c r="HX282" s="411"/>
      <c r="HY282" s="411"/>
      <c r="HZ282" s="411"/>
      <c r="IA282" s="411"/>
      <c r="IB282" s="411"/>
      <c r="IC282" s="411"/>
      <c r="ID282" s="411"/>
      <c r="IE282" s="411"/>
      <c r="IF282" s="439"/>
      <c r="IG282" s="432"/>
      <c r="IH282" s="431"/>
      <c r="II282" s="412"/>
      <c r="IJ282" s="411"/>
      <c r="IK282" s="411"/>
      <c r="IL282" s="411"/>
      <c r="IM282" s="411"/>
      <c r="IN282" s="411"/>
      <c r="IO282" s="411"/>
      <c r="IP282" s="431"/>
      <c r="IQ282" s="431"/>
      <c r="IR282" s="411"/>
      <c r="IS282" s="411"/>
      <c r="IT282" s="411"/>
      <c r="IU282" s="411"/>
      <c r="IV282" s="439"/>
    </row>
    <row r="283" spans="1:256" s="326" customFormat="1" ht="8.25" customHeight="1">
      <c r="A283" s="483"/>
      <c r="B283" s="321"/>
      <c r="C283" s="321"/>
      <c r="D283" s="425"/>
      <c r="E283" s="416"/>
      <c r="F283" s="416"/>
      <c r="G283" s="416"/>
      <c r="H283" s="416"/>
      <c r="I283" s="416"/>
      <c r="J283" s="416"/>
      <c r="K283" s="416"/>
      <c r="L283" s="416"/>
      <c r="M283" s="425"/>
      <c r="N283" s="321"/>
      <c r="O283" s="321"/>
      <c r="P283" s="564"/>
      <c r="Q283" s="483"/>
      <c r="R283" s="321"/>
      <c r="S283" s="321"/>
      <c r="T283" s="425"/>
      <c r="U283" s="416"/>
      <c r="V283" s="416"/>
      <c r="W283" s="416"/>
      <c r="X283" s="416"/>
      <c r="Y283" s="416"/>
      <c r="Z283" s="416"/>
      <c r="AA283" s="416"/>
      <c r="AB283" s="416"/>
      <c r="AC283" s="425"/>
      <c r="AD283" s="321"/>
      <c r="AE283" s="321"/>
      <c r="AF283" s="564"/>
      <c r="AG283" s="483"/>
      <c r="AH283" s="321"/>
      <c r="AI283" s="321"/>
      <c r="AJ283" s="321"/>
      <c r="AK283" s="452"/>
      <c r="AL283" s="439"/>
      <c r="AM283" s="439"/>
      <c r="AN283" s="411"/>
      <c r="AO283" s="439"/>
      <c r="AP283" s="411"/>
      <c r="AQ283" s="452"/>
      <c r="AR283" s="452"/>
      <c r="AS283" s="321"/>
      <c r="AT283" s="321"/>
      <c r="AU283" s="321"/>
      <c r="AV283" s="564"/>
      <c r="AW283" s="432"/>
      <c r="AX283" s="417"/>
      <c r="AY283" s="417"/>
      <c r="AZ283" s="415"/>
      <c r="BA283" s="417"/>
      <c r="BB283" s="417"/>
      <c r="BC283" s="417"/>
      <c r="BD283" s="417"/>
      <c r="BE283" s="417"/>
      <c r="BF283" s="417"/>
      <c r="BG283" s="417"/>
      <c r="BH283" s="417"/>
      <c r="BI283" s="422"/>
      <c r="BJ283" s="417"/>
      <c r="BK283" s="417"/>
      <c r="BL283" s="411"/>
      <c r="BM283" s="483"/>
      <c r="BN283" s="321"/>
      <c r="BO283" s="321"/>
      <c r="BP283" s="321"/>
      <c r="BQ283" s="321"/>
      <c r="BR283" s="321"/>
      <c r="BS283" s="321"/>
      <c r="BT283" s="321"/>
      <c r="BU283" s="321"/>
      <c r="BV283" s="321"/>
      <c r="BW283" s="321"/>
      <c r="BX283" s="321"/>
      <c r="BY283" s="321"/>
      <c r="BZ283" s="321"/>
      <c r="CA283" s="321"/>
      <c r="CB283" s="564"/>
      <c r="CC283" s="1236"/>
      <c r="CR283" s="1237"/>
      <c r="CS283" s="1236"/>
      <c r="CZ283" s="440"/>
      <c r="DH283" s="328"/>
      <c r="DI283" s="1236"/>
      <c r="DP283" s="303"/>
      <c r="DX283" s="328"/>
      <c r="DY283" s="1236"/>
      <c r="DZ283" s="328"/>
      <c r="EA283" s="433"/>
      <c r="EB283" s="422"/>
      <c r="EC283" s="429"/>
      <c r="ED283" s="409"/>
      <c r="EE283" s="328"/>
      <c r="EF283" s="328"/>
      <c r="EG283" s="328"/>
      <c r="EH283" s="328"/>
      <c r="EI283" s="429"/>
      <c r="EJ283" s="422"/>
      <c r="EK283" s="429"/>
      <c r="EL283" s="417"/>
      <c r="EM283" s="328"/>
      <c r="EN283" s="328"/>
      <c r="EO283" s="483"/>
      <c r="EP283" s="321"/>
      <c r="EQ283" s="321"/>
      <c r="ER283" s="321"/>
      <c r="ES283" s="321"/>
      <c r="ET283" s="321"/>
      <c r="EU283" s="321"/>
      <c r="EV283" s="321"/>
      <c r="EW283" s="321"/>
      <c r="EX283" s="321"/>
      <c r="EY283" s="321"/>
      <c r="EZ283" s="321"/>
      <c r="FA283" s="321"/>
      <c r="FB283" s="321"/>
      <c r="FC283" s="321"/>
      <c r="FD283" s="564"/>
      <c r="FE283" s="483"/>
      <c r="FF283" s="321"/>
      <c r="FG283" s="321"/>
      <c r="FH283" s="321"/>
      <c r="FI283" s="434"/>
      <c r="FJ283" s="427"/>
      <c r="FK283" s="434"/>
      <c r="FL283" s="440"/>
      <c r="FM283" s="433"/>
      <c r="FN283" s="426"/>
      <c r="FO283" s="423"/>
      <c r="FP283" s="427"/>
      <c r="FQ283" s="321"/>
      <c r="FR283" s="321"/>
      <c r="FS283" s="321"/>
      <c r="FT283" s="564"/>
      <c r="FU283" s="483"/>
      <c r="FV283" s="321"/>
      <c r="FW283" s="321"/>
      <c r="FX283" s="321"/>
      <c r="FY283" s="321"/>
      <c r="FZ283" s="321"/>
      <c r="GA283" s="321"/>
      <c r="GB283" s="321"/>
      <c r="GC283" s="321"/>
      <c r="GD283" s="321"/>
      <c r="GE283" s="321"/>
      <c r="GF283" s="452"/>
      <c r="GG283" s="321"/>
      <c r="GH283" s="321"/>
      <c r="GI283" s="321"/>
      <c r="GJ283" s="564"/>
      <c r="GK283" s="483"/>
      <c r="GL283" s="321"/>
      <c r="GM283" s="321"/>
      <c r="GN283" s="321"/>
      <c r="GO283" s="321"/>
      <c r="GP283" s="321"/>
      <c r="GQ283" s="321"/>
      <c r="GR283" s="321"/>
      <c r="GS283" s="321"/>
      <c r="GT283" s="321"/>
      <c r="GU283" s="321"/>
      <c r="GV283" s="452"/>
      <c r="GW283" s="321"/>
      <c r="GX283" s="321"/>
      <c r="GY283" s="321"/>
      <c r="GZ283" s="564"/>
      <c r="HA283" s="483"/>
      <c r="HB283" s="321"/>
      <c r="HC283" s="321"/>
      <c r="HD283" s="321"/>
      <c r="HE283" s="321"/>
      <c r="HF283" s="321"/>
      <c r="HG283" s="321"/>
      <c r="HH283" s="321"/>
      <c r="HI283" s="321"/>
      <c r="HJ283" s="321"/>
      <c r="HK283" s="321"/>
      <c r="HL283" s="321"/>
      <c r="HM283" s="321"/>
      <c r="HN283" s="321"/>
      <c r="HO283" s="321"/>
      <c r="HP283" s="564"/>
      <c r="HQ283" s="483"/>
      <c r="HR283" s="321"/>
      <c r="HS283" s="321"/>
      <c r="HT283" s="321"/>
      <c r="HU283" s="321"/>
      <c r="HV283" s="321"/>
      <c r="HW283" s="321"/>
      <c r="HX283" s="321"/>
      <c r="HY283" s="321"/>
      <c r="HZ283" s="321"/>
      <c r="IA283" s="321"/>
      <c r="IB283" s="321"/>
      <c r="IC283" s="321"/>
      <c r="ID283" s="321"/>
      <c r="IE283" s="321"/>
      <c r="IF283" s="564"/>
      <c r="IG283" s="483"/>
      <c r="IH283" s="431"/>
      <c r="II283" s="412"/>
      <c r="IJ283" s="321"/>
      <c r="IK283" s="321"/>
      <c r="IL283" s="431"/>
      <c r="IM283" s="321"/>
      <c r="IN283" s="321"/>
      <c r="IO283" s="321"/>
      <c r="IP283" s="431"/>
      <c r="IQ283" s="321"/>
      <c r="IR283" s="321"/>
      <c r="IS283" s="321"/>
      <c r="IT283" s="321"/>
      <c r="IU283" s="321"/>
      <c r="IV283" s="564"/>
    </row>
    <row r="284" spans="1:256" s="326" customFormat="1" ht="8.25" customHeight="1">
      <c r="A284" s="483"/>
      <c r="B284" s="321"/>
      <c r="C284" s="321"/>
      <c r="D284" s="321"/>
      <c r="E284" s="321"/>
      <c r="F284" s="321"/>
      <c r="G284" s="321"/>
      <c r="H284" s="321"/>
      <c r="I284" s="321"/>
      <c r="J284" s="321"/>
      <c r="K284" s="321"/>
      <c r="L284" s="321"/>
      <c r="M284" s="321"/>
      <c r="N284" s="321"/>
      <c r="O284" s="321"/>
      <c r="P284" s="564"/>
      <c r="Q284" s="483"/>
      <c r="R284" s="321"/>
      <c r="S284" s="321"/>
      <c r="T284" s="321"/>
      <c r="U284" s="321"/>
      <c r="V284" s="321"/>
      <c r="W284" s="321"/>
      <c r="X284" s="321"/>
      <c r="Y284" s="321"/>
      <c r="Z284" s="321"/>
      <c r="AA284" s="321"/>
      <c r="AB284" s="321"/>
      <c r="AC284" s="321"/>
      <c r="AD284" s="321"/>
      <c r="AE284" s="321"/>
      <c r="AF284" s="564"/>
      <c r="AG284" s="483"/>
      <c r="AH284" s="321"/>
      <c r="AI284" s="321"/>
      <c r="AJ284" s="321"/>
      <c r="AK284" s="452"/>
      <c r="AL284" s="452"/>
      <c r="AM284" s="452"/>
      <c r="AN284" s="452"/>
      <c r="AO284" s="452"/>
      <c r="AP284" s="452"/>
      <c r="AQ284" s="452"/>
      <c r="AR284" s="452"/>
      <c r="AS284" s="321"/>
      <c r="AT284" s="321"/>
      <c r="AU284" s="321"/>
      <c r="AV284" s="564"/>
      <c r="AW284" s="432"/>
      <c r="AX284" s="417"/>
      <c r="AY284" s="417"/>
      <c r="AZ284" s="415"/>
      <c r="BA284" s="417"/>
      <c r="BB284" s="417"/>
      <c r="BC284" s="417"/>
      <c r="BD284" s="417"/>
      <c r="BE284" s="417"/>
      <c r="BF284" s="417"/>
      <c r="BG284" s="417"/>
      <c r="BH284" s="417"/>
      <c r="BI284" s="422"/>
      <c r="BJ284" s="417"/>
      <c r="BK284" s="417"/>
      <c r="BL284" s="411"/>
      <c r="BM284" s="483"/>
      <c r="BN284" s="321"/>
      <c r="BO284" s="321"/>
      <c r="BP284" s="321"/>
      <c r="BQ284" s="321"/>
      <c r="BR284" s="321"/>
      <c r="BS284" s="321"/>
      <c r="BT284" s="321"/>
      <c r="BU284" s="321"/>
      <c r="BV284" s="321"/>
      <c r="BW284" s="321"/>
      <c r="BX284" s="321"/>
      <c r="BY284" s="321"/>
      <c r="BZ284" s="321"/>
      <c r="CA284" s="321"/>
      <c r="CB284" s="564"/>
      <c r="CC284" s="1236"/>
      <c r="CR284" s="1237"/>
      <c r="CS284" s="1236"/>
      <c r="CY284" s="440"/>
      <c r="CZ284" s="440"/>
      <c r="DA284" s="440"/>
      <c r="DH284" s="328"/>
      <c r="DI284" s="1236"/>
      <c r="DO284" s="303"/>
      <c r="DP284" s="306"/>
      <c r="DQ284" s="303"/>
      <c r="DX284" s="328"/>
      <c r="DY284" s="1236"/>
      <c r="DZ284" s="328"/>
      <c r="EA284" s="328"/>
      <c r="EB284" s="426"/>
      <c r="EC284" s="422"/>
      <c r="ED284" s="417"/>
      <c r="EE284" s="328"/>
      <c r="EF284" s="328"/>
      <c r="EG284" s="328"/>
      <c r="EH284" s="328"/>
      <c r="EI284" s="433"/>
      <c r="EJ284" s="422"/>
      <c r="EK284" s="426"/>
      <c r="EL284" s="328"/>
      <c r="EM284" s="328"/>
      <c r="EN284" s="328"/>
      <c r="EO284" s="483"/>
      <c r="EP284" s="321"/>
      <c r="EQ284" s="321"/>
      <c r="ER284" s="321"/>
      <c r="ES284" s="321"/>
      <c r="ET284" s="321"/>
      <c r="EU284" s="321"/>
      <c r="EV284" s="321"/>
      <c r="EW284" s="321"/>
      <c r="EX284" s="321"/>
      <c r="EY284" s="321"/>
      <c r="EZ284" s="321"/>
      <c r="FA284" s="321"/>
      <c r="FB284" s="321"/>
      <c r="FC284" s="321"/>
      <c r="FD284" s="564"/>
      <c r="FE284" s="483"/>
      <c r="FF284" s="321"/>
      <c r="FG284" s="434"/>
      <c r="FH284" s="427"/>
      <c r="FI284" s="423"/>
      <c r="FJ284" s="434"/>
      <c r="FK284" s="440"/>
      <c r="FL284" s="433"/>
      <c r="FM284" s="426"/>
      <c r="FN284" s="434"/>
      <c r="FO284" s="427"/>
      <c r="FP284" s="423"/>
      <c r="FQ284" s="427"/>
      <c r="FR284" s="423"/>
      <c r="FS284" s="321"/>
      <c r="FT284" s="564"/>
      <c r="FU284" s="483"/>
      <c r="FV284" s="321"/>
      <c r="FW284" s="321"/>
      <c r="FX284" s="321"/>
      <c r="FY284" s="321"/>
      <c r="FZ284" s="321"/>
      <c r="GA284" s="321"/>
      <c r="GB284" s="321"/>
      <c r="GC284" s="321"/>
      <c r="GD284" s="321"/>
      <c r="GE284" s="321"/>
      <c r="GF284" s="321"/>
      <c r="GG284" s="321"/>
      <c r="GH284" s="321"/>
      <c r="GI284" s="321"/>
      <c r="GJ284" s="564"/>
      <c r="GK284" s="483"/>
      <c r="GL284" s="321"/>
      <c r="GM284" s="321"/>
      <c r="GN284" s="321"/>
      <c r="GO284" s="321"/>
      <c r="GP284" s="321"/>
      <c r="GQ284" s="321"/>
      <c r="GR284" s="321"/>
      <c r="GS284" s="321"/>
      <c r="GT284" s="321"/>
      <c r="GU284" s="321"/>
      <c r="GV284" s="321"/>
      <c r="GW284" s="321"/>
      <c r="GX284" s="321"/>
      <c r="GY284" s="321"/>
      <c r="GZ284" s="564"/>
      <c r="HA284" s="483"/>
      <c r="HB284" s="321"/>
      <c r="HC284" s="321"/>
      <c r="HD284" s="321"/>
      <c r="HE284" s="321"/>
      <c r="HF284" s="321"/>
      <c r="HG284" s="321"/>
      <c r="HH284" s="321"/>
      <c r="HI284" s="321"/>
      <c r="HJ284" s="321"/>
      <c r="HK284" s="321"/>
      <c r="HL284" s="321"/>
      <c r="HM284" s="321"/>
      <c r="HN284" s="321"/>
      <c r="HO284" s="321"/>
      <c r="HP284" s="564"/>
      <c r="HQ284" s="483"/>
      <c r="HR284" s="321"/>
      <c r="HS284" s="321"/>
      <c r="HT284" s="321"/>
      <c r="HU284" s="321"/>
      <c r="HV284" s="321"/>
      <c r="HW284" s="321"/>
      <c r="HX284" s="321"/>
      <c r="HY284" s="321"/>
      <c r="HZ284" s="321"/>
      <c r="IA284" s="321"/>
      <c r="IB284" s="321"/>
      <c r="IC284" s="321"/>
      <c r="ID284" s="321"/>
      <c r="IE284" s="321"/>
      <c r="IF284" s="564"/>
      <c r="IG284" s="483"/>
      <c r="IH284" s="431"/>
      <c r="II284" s="321"/>
      <c r="IJ284" s="321"/>
      <c r="IK284" s="321"/>
      <c r="IL284" s="431"/>
      <c r="IM284" s="431"/>
      <c r="IN284" s="321"/>
      <c r="IO284" s="321"/>
      <c r="IP284" s="321"/>
      <c r="IQ284" s="321"/>
      <c r="IR284" s="321"/>
      <c r="IS284" s="321"/>
      <c r="IT284" s="321"/>
      <c r="IU284" s="321"/>
      <c r="IV284" s="564"/>
    </row>
    <row r="285" spans="1:256" s="326" customFormat="1" ht="8.25" customHeight="1">
      <c r="A285" s="483"/>
      <c r="B285" s="321"/>
      <c r="C285" s="321"/>
      <c r="D285" s="321"/>
      <c r="E285" s="321"/>
      <c r="F285" s="321"/>
      <c r="G285" s="321"/>
      <c r="H285" s="321"/>
      <c r="I285" s="321"/>
      <c r="J285" s="321"/>
      <c r="K285" s="321"/>
      <c r="L285" s="321"/>
      <c r="M285" s="321"/>
      <c r="N285" s="321"/>
      <c r="O285" s="321"/>
      <c r="P285" s="564"/>
      <c r="Q285" s="483"/>
      <c r="R285" s="321"/>
      <c r="S285" s="321"/>
      <c r="T285" s="321"/>
      <c r="U285" s="321"/>
      <c r="V285" s="321"/>
      <c r="W285" s="321"/>
      <c r="X285" s="321"/>
      <c r="Y285" s="321"/>
      <c r="Z285" s="321"/>
      <c r="AA285" s="321"/>
      <c r="AB285" s="321"/>
      <c r="AC285" s="321"/>
      <c r="AD285" s="321"/>
      <c r="AE285" s="321"/>
      <c r="AF285" s="564"/>
      <c r="AG285" s="483"/>
      <c r="AH285" s="321"/>
      <c r="AI285" s="321"/>
      <c r="AJ285" s="321"/>
      <c r="AK285" s="321"/>
      <c r="AL285" s="321"/>
      <c r="AM285" s="321"/>
      <c r="AN285" s="321"/>
      <c r="AO285" s="321"/>
      <c r="AP285" s="321"/>
      <c r="AQ285" s="321"/>
      <c r="AR285" s="321"/>
      <c r="AS285" s="321"/>
      <c r="AT285" s="321"/>
      <c r="AU285" s="321"/>
      <c r="AV285" s="564"/>
      <c r="AW285" s="432"/>
      <c r="AX285" s="417"/>
      <c r="AY285" s="417"/>
      <c r="AZ285" s="417"/>
      <c r="BA285" s="422"/>
      <c r="BB285" s="422"/>
      <c r="BC285" s="422"/>
      <c r="BD285" s="422"/>
      <c r="BE285" s="422"/>
      <c r="BF285" s="422"/>
      <c r="BG285" s="422"/>
      <c r="BH285" s="422"/>
      <c r="BI285" s="422"/>
      <c r="BJ285" s="417"/>
      <c r="BK285" s="417"/>
      <c r="BL285" s="411"/>
      <c r="BM285" s="483"/>
      <c r="BN285" s="321"/>
      <c r="BO285" s="321"/>
      <c r="BP285" s="321"/>
      <c r="BQ285" s="321"/>
      <c r="BR285" s="321"/>
      <c r="BS285" s="321"/>
      <c r="BT285" s="321"/>
      <c r="BU285" s="321"/>
      <c r="BV285" s="321"/>
      <c r="BW285" s="321"/>
      <c r="BX285" s="321"/>
      <c r="BY285" s="321"/>
      <c r="BZ285" s="321"/>
      <c r="CA285" s="321"/>
      <c r="CB285" s="564"/>
      <c r="CC285" s="1236"/>
      <c r="CR285" s="1237"/>
      <c r="CS285" s="1236"/>
      <c r="CX285" s="440"/>
      <c r="CY285" s="440"/>
      <c r="CZ285" s="440"/>
      <c r="DA285" s="440"/>
      <c r="DB285" s="440"/>
      <c r="DH285" s="328"/>
      <c r="DI285" s="1236"/>
      <c r="DN285" s="303"/>
      <c r="DO285" s="306"/>
      <c r="DP285" s="306"/>
      <c r="DQ285" s="306"/>
      <c r="DR285" s="303"/>
      <c r="DX285" s="328"/>
      <c r="DY285" s="1236"/>
      <c r="DZ285" s="328"/>
      <c r="EA285" s="426"/>
      <c r="EB285" s="328"/>
      <c r="EC285" s="328"/>
      <c r="ED285" s="328"/>
      <c r="EE285" s="328"/>
      <c r="EF285" s="328"/>
      <c r="EG285" s="328"/>
      <c r="EH285" s="328"/>
      <c r="EI285" s="426"/>
      <c r="EJ285" s="328"/>
      <c r="EK285" s="328"/>
      <c r="EL285" s="328"/>
      <c r="EM285" s="328"/>
      <c r="EN285" s="328"/>
      <c r="EO285" s="483"/>
      <c r="EP285" s="321"/>
      <c r="EQ285" s="321"/>
      <c r="ER285" s="321"/>
      <c r="ES285" s="321"/>
      <c r="ET285" s="321"/>
      <c r="EU285" s="321"/>
      <c r="EV285" s="321"/>
      <c r="EW285" s="321"/>
      <c r="EX285" s="321"/>
      <c r="EY285" s="321"/>
      <c r="EZ285" s="321"/>
      <c r="FA285" s="321"/>
      <c r="FB285" s="321"/>
      <c r="FC285" s="321"/>
      <c r="FD285" s="564"/>
      <c r="FE285" s="483"/>
      <c r="FF285" s="449"/>
      <c r="FG285" s="443"/>
      <c r="FH285" s="423"/>
      <c r="FI285" s="434"/>
      <c r="FJ285" s="427"/>
      <c r="FK285" s="433"/>
      <c r="FL285" s="423"/>
      <c r="FM285" s="427"/>
      <c r="FN285" s="434"/>
      <c r="FO285" s="434"/>
      <c r="FP285" s="427"/>
      <c r="FQ285" s="423"/>
      <c r="FR285" s="443"/>
      <c r="FS285" s="436"/>
      <c r="FT285" s="564"/>
      <c r="FU285" s="483"/>
      <c r="FV285" s="321"/>
      <c r="FW285" s="321"/>
      <c r="FX285" s="321"/>
      <c r="FY285" s="321"/>
      <c r="FZ285" s="321"/>
      <c r="GA285" s="321"/>
      <c r="GB285" s="321"/>
      <c r="GC285" s="321"/>
      <c r="GD285" s="321"/>
      <c r="GE285" s="321"/>
      <c r="GF285" s="321"/>
      <c r="GG285" s="321"/>
      <c r="GH285" s="321"/>
      <c r="GI285" s="321"/>
      <c r="GJ285" s="564"/>
      <c r="GK285" s="483"/>
      <c r="GL285" s="321"/>
      <c r="GM285" s="321"/>
      <c r="GN285" s="321"/>
      <c r="GO285" s="321"/>
      <c r="GP285" s="321"/>
      <c r="GQ285" s="321"/>
      <c r="GR285" s="321"/>
      <c r="GS285" s="321"/>
      <c r="GT285" s="321"/>
      <c r="GU285" s="321"/>
      <c r="GV285" s="321"/>
      <c r="GW285" s="321"/>
      <c r="GX285" s="321"/>
      <c r="GY285" s="321"/>
      <c r="GZ285" s="564"/>
      <c r="HA285" s="483"/>
      <c r="HB285" s="321"/>
      <c r="HC285" s="321"/>
      <c r="HD285" s="321"/>
      <c r="HE285" s="321"/>
      <c r="HF285" s="321"/>
      <c r="HG285" s="321"/>
      <c r="HH285" s="321"/>
      <c r="HI285" s="321"/>
      <c r="HJ285" s="321"/>
      <c r="HK285" s="321"/>
      <c r="HL285" s="321"/>
      <c r="HM285" s="321"/>
      <c r="HN285" s="321"/>
      <c r="HO285" s="321"/>
      <c r="HP285" s="564"/>
      <c r="HQ285" s="483"/>
      <c r="HR285" s="321"/>
      <c r="HS285" s="321"/>
      <c r="HT285" s="321"/>
      <c r="HU285" s="321"/>
      <c r="HV285" s="321"/>
      <c r="HW285" s="321"/>
      <c r="HX285" s="321"/>
      <c r="HY285" s="321"/>
      <c r="HZ285" s="321"/>
      <c r="IA285" s="321"/>
      <c r="IB285" s="321"/>
      <c r="IC285" s="321"/>
      <c r="ID285" s="321"/>
      <c r="IE285" s="321"/>
      <c r="IF285" s="564"/>
      <c r="IG285" s="483"/>
      <c r="IH285" s="412"/>
      <c r="II285" s="321"/>
      <c r="IJ285" s="321"/>
      <c r="IK285" s="321"/>
      <c r="IL285" s="431"/>
      <c r="IM285" s="412"/>
      <c r="IN285" s="321"/>
      <c r="IO285" s="321"/>
      <c r="IP285" s="321"/>
      <c r="IQ285" s="321"/>
      <c r="IR285" s="321"/>
      <c r="IS285" s="431"/>
      <c r="IT285" s="412"/>
      <c r="IU285" s="321"/>
      <c r="IV285" s="564"/>
    </row>
    <row r="286" spans="1:256" s="326" customFormat="1" ht="8.25" customHeight="1">
      <c r="A286" s="483"/>
      <c r="B286" s="321"/>
      <c r="C286" s="321"/>
      <c r="D286" s="321"/>
      <c r="E286" s="321"/>
      <c r="F286" s="321"/>
      <c r="G286" s="321"/>
      <c r="H286" s="321"/>
      <c r="I286" s="321"/>
      <c r="J286" s="321"/>
      <c r="K286" s="321"/>
      <c r="L286" s="321"/>
      <c r="M286" s="321"/>
      <c r="N286" s="321"/>
      <c r="O286" s="321"/>
      <c r="P286" s="564"/>
      <c r="Q286" s="483"/>
      <c r="R286" s="321"/>
      <c r="S286" s="321"/>
      <c r="T286" s="321"/>
      <c r="U286" s="321"/>
      <c r="V286" s="321"/>
      <c r="W286" s="321"/>
      <c r="X286" s="321"/>
      <c r="Y286" s="321"/>
      <c r="Z286" s="321"/>
      <c r="AA286" s="321"/>
      <c r="AB286" s="321"/>
      <c r="AC286" s="321"/>
      <c r="AD286" s="321"/>
      <c r="AE286" s="321"/>
      <c r="AF286" s="564"/>
      <c r="AG286" s="483"/>
      <c r="AH286" s="321"/>
      <c r="AI286" s="321"/>
      <c r="AJ286" s="321"/>
      <c r="AK286" s="321"/>
      <c r="AL286" s="321"/>
      <c r="AM286" s="321"/>
      <c r="AN286" s="321"/>
      <c r="AO286" s="321"/>
      <c r="AP286" s="321"/>
      <c r="AQ286" s="321"/>
      <c r="AR286" s="321"/>
      <c r="AS286" s="321"/>
      <c r="AT286" s="321"/>
      <c r="AU286" s="321"/>
      <c r="AV286" s="564"/>
      <c r="AW286" s="432"/>
      <c r="AX286" s="417"/>
      <c r="AY286" s="417"/>
      <c r="AZ286" s="417"/>
      <c r="BA286" s="417"/>
      <c r="BB286" s="417"/>
      <c r="BC286" s="417"/>
      <c r="BD286" s="417"/>
      <c r="BE286" s="417"/>
      <c r="BF286" s="417"/>
      <c r="BG286" s="417"/>
      <c r="BH286" s="417"/>
      <c r="BI286" s="417"/>
      <c r="BJ286" s="417"/>
      <c r="BK286" s="417"/>
      <c r="BL286" s="411"/>
      <c r="BM286" s="483"/>
      <c r="BN286" s="321"/>
      <c r="BO286" s="321"/>
      <c r="BP286" s="321"/>
      <c r="BQ286" s="321"/>
      <c r="BR286" s="321"/>
      <c r="BS286" s="321"/>
      <c r="BT286" s="321"/>
      <c r="BU286" s="321"/>
      <c r="BV286" s="321"/>
      <c r="BW286" s="321"/>
      <c r="BX286" s="321"/>
      <c r="BY286" s="321"/>
      <c r="BZ286" s="321"/>
      <c r="CA286" s="321"/>
      <c r="CB286" s="564"/>
      <c r="CC286" s="1236"/>
      <c r="CR286" s="1237"/>
      <c r="CS286" s="1236"/>
      <c r="CY286" s="440"/>
      <c r="CZ286" s="440"/>
      <c r="DA286" s="440"/>
      <c r="DH286" s="328"/>
      <c r="DI286" s="1236"/>
      <c r="DO286" s="303"/>
      <c r="DP286" s="306"/>
      <c r="DQ286" s="303"/>
      <c r="DX286" s="328"/>
      <c r="DY286" s="1236"/>
      <c r="DZ286" s="328"/>
      <c r="EA286" s="426"/>
      <c r="EB286" s="328"/>
      <c r="EC286" s="426"/>
      <c r="ED286" s="328"/>
      <c r="EE286" s="328"/>
      <c r="EF286" s="328"/>
      <c r="EG286" s="328"/>
      <c r="EH286" s="328"/>
      <c r="EI286" s="426"/>
      <c r="EJ286" s="328"/>
      <c r="EK286" s="433"/>
      <c r="EL286" s="328"/>
      <c r="EM286" s="328"/>
      <c r="EN286" s="328"/>
      <c r="EO286" s="483"/>
      <c r="EP286" s="321"/>
      <c r="EQ286" s="321"/>
      <c r="ER286" s="321"/>
      <c r="ES286" s="321"/>
      <c r="ET286" s="321"/>
      <c r="EU286" s="321"/>
      <c r="EV286" s="321"/>
      <c r="EW286" s="321"/>
      <c r="EX286" s="321"/>
      <c r="EY286" s="321"/>
      <c r="EZ286" s="321"/>
      <c r="FA286" s="321"/>
      <c r="FB286" s="321"/>
      <c r="FC286" s="321"/>
      <c r="FD286" s="564"/>
      <c r="FE286" s="432"/>
      <c r="FF286" s="421"/>
      <c r="FG286" s="433"/>
      <c r="FH286" s="434"/>
      <c r="FI286" s="427"/>
      <c r="FJ286" s="423"/>
      <c r="FK286" s="426"/>
      <c r="FL286" s="423"/>
      <c r="FM286" s="427"/>
      <c r="FN286" s="427"/>
      <c r="FO286" s="427"/>
      <c r="FP286" s="434"/>
      <c r="FQ286" s="427"/>
      <c r="FR286" s="436"/>
      <c r="FS286" s="432"/>
      <c r="FT286" s="415"/>
      <c r="FU286" s="483"/>
      <c r="FV286" s="321"/>
      <c r="FW286" s="321"/>
      <c r="FX286" s="321"/>
      <c r="FY286" s="321"/>
      <c r="FZ286" s="321"/>
      <c r="GA286" s="321"/>
      <c r="GB286" s="321"/>
      <c r="GC286" s="321"/>
      <c r="GD286" s="321"/>
      <c r="GE286" s="321"/>
      <c r="GF286" s="321"/>
      <c r="GG286" s="321"/>
      <c r="GH286" s="321"/>
      <c r="GI286" s="321"/>
      <c r="GJ286" s="564"/>
      <c r="GK286" s="483"/>
      <c r="GL286" s="321"/>
      <c r="GM286" s="321"/>
      <c r="GN286" s="321"/>
      <c r="GO286" s="321"/>
      <c r="GP286" s="321"/>
      <c r="GQ286" s="321"/>
      <c r="GR286" s="321"/>
      <c r="GS286" s="321"/>
      <c r="GT286" s="321"/>
      <c r="GU286" s="321"/>
      <c r="GV286" s="321"/>
      <c r="GW286" s="321"/>
      <c r="GX286" s="321"/>
      <c r="GY286" s="321"/>
      <c r="GZ286" s="564"/>
      <c r="HA286" s="483"/>
      <c r="HB286" s="321"/>
      <c r="HC286" s="321"/>
      <c r="HD286" s="321"/>
      <c r="HE286" s="321"/>
      <c r="HF286" s="321"/>
      <c r="HG286" s="321"/>
      <c r="HH286" s="321"/>
      <c r="HI286" s="321"/>
      <c r="HJ286" s="321"/>
      <c r="HK286" s="321"/>
      <c r="HL286" s="321"/>
      <c r="HM286" s="321"/>
      <c r="HN286" s="321"/>
      <c r="HO286" s="321"/>
      <c r="HP286" s="564"/>
      <c r="HQ286" s="483"/>
      <c r="HR286" s="321"/>
      <c r="HS286" s="321"/>
      <c r="HT286" s="321"/>
      <c r="HU286" s="321"/>
      <c r="HV286" s="321"/>
      <c r="HW286" s="321"/>
      <c r="HX286" s="321"/>
      <c r="HY286" s="321"/>
      <c r="HZ286" s="321"/>
      <c r="IA286" s="321"/>
      <c r="IB286" s="321"/>
      <c r="IC286" s="321"/>
      <c r="ID286" s="321"/>
      <c r="IE286" s="321"/>
      <c r="IF286" s="564"/>
      <c r="IG286" s="483"/>
      <c r="IH286" s="412"/>
      <c r="II286" s="321"/>
      <c r="IJ286" s="321"/>
      <c r="IK286" s="321"/>
      <c r="IL286" s="412"/>
      <c r="IM286" s="321"/>
      <c r="IN286" s="321"/>
      <c r="IO286" s="321"/>
      <c r="IP286" s="321"/>
      <c r="IQ286" s="321"/>
      <c r="IR286" s="321"/>
      <c r="IS286" s="321"/>
      <c r="IT286" s="412"/>
      <c r="IU286" s="321"/>
      <c r="IV286" s="564"/>
    </row>
    <row r="287" spans="1:256" s="326" customFormat="1" ht="8.25" customHeight="1">
      <c r="A287" s="483"/>
      <c r="B287" s="321"/>
      <c r="C287" s="321"/>
      <c r="D287" s="321"/>
      <c r="E287" s="321"/>
      <c r="F287" s="321"/>
      <c r="G287" s="321"/>
      <c r="H287" s="321"/>
      <c r="I287" s="321"/>
      <c r="J287" s="321"/>
      <c r="K287" s="321"/>
      <c r="L287" s="321"/>
      <c r="M287" s="321"/>
      <c r="N287" s="321"/>
      <c r="O287" s="321"/>
      <c r="P287" s="564"/>
      <c r="Q287" s="483"/>
      <c r="R287" s="321"/>
      <c r="S287" s="321"/>
      <c r="T287" s="321"/>
      <c r="U287" s="321"/>
      <c r="V287" s="321"/>
      <c r="W287" s="321"/>
      <c r="X287" s="321"/>
      <c r="Y287" s="321"/>
      <c r="Z287" s="321"/>
      <c r="AA287" s="321"/>
      <c r="AB287" s="321"/>
      <c r="AC287" s="321"/>
      <c r="AD287" s="321"/>
      <c r="AE287" s="321"/>
      <c r="AF287" s="564"/>
      <c r="AG287" s="483"/>
      <c r="AH287" s="321"/>
      <c r="AI287" s="321"/>
      <c r="AJ287" s="321"/>
      <c r="AK287" s="321"/>
      <c r="AL287" s="321"/>
      <c r="AM287" s="321"/>
      <c r="AN287" s="321"/>
      <c r="AO287" s="321"/>
      <c r="AP287" s="321"/>
      <c r="AQ287" s="321"/>
      <c r="AR287" s="321"/>
      <c r="AS287" s="321"/>
      <c r="AT287" s="321"/>
      <c r="AU287" s="321"/>
      <c r="AV287" s="564"/>
      <c r="AW287" s="432"/>
      <c r="AX287" s="417"/>
      <c r="AY287" s="417"/>
      <c r="AZ287" s="417"/>
      <c r="BA287" s="417"/>
      <c r="BB287" s="417"/>
      <c r="BC287" s="417"/>
      <c r="BD287" s="417"/>
      <c r="BE287" s="417"/>
      <c r="BF287" s="417"/>
      <c r="BG287" s="417"/>
      <c r="BH287" s="417"/>
      <c r="BI287" s="417"/>
      <c r="BJ287" s="417"/>
      <c r="BK287" s="417"/>
      <c r="BL287" s="411"/>
      <c r="BM287" s="483"/>
      <c r="BN287" s="321"/>
      <c r="BO287" s="321"/>
      <c r="BP287" s="321"/>
      <c r="BQ287" s="321"/>
      <c r="BR287" s="321"/>
      <c r="BS287" s="321"/>
      <c r="BT287" s="321"/>
      <c r="BU287" s="321"/>
      <c r="BV287" s="321"/>
      <c r="BW287" s="321"/>
      <c r="BX287" s="321"/>
      <c r="BY287" s="321"/>
      <c r="BZ287" s="321"/>
      <c r="CA287" s="321"/>
      <c r="CB287" s="564"/>
      <c r="CC287" s="1236"/>
      <c r="CR287" s="1237"/>
      <c r="CS287" s="1236"/>
      <c r="CY287" s="440"/>
      <c r="CZ287" s="440"/>
      <c r="DA287" s="440"/>
      <c r="DH287" s="328"/>
      <c r="DI287" s="1236"/>
      <c r="DO287" s="303"/>
      <c r="DP287" s="306"/>
      <c r="DQ287" s="303"/>
      <c r="DX287" s="328"/>
      <c r="DY287" s="1236"/>
      <c r="DZ287" s="328"/>
      <c r="EA287" s="328"/>
      <c r="EB287" s="328"/>
      <c r="EC287" s="433"/>
      <c r="ED287" s="328"/>
      <c r="EE287" s="328"/>
      <c r="EF287" s="328"/>
      <c r="EG287" s="328"/>
      <c r="EH287" s="328"/>
      <c r="EI287" s="328"/>
      <c r="EJ287" s="328"/>
      <c r="EK287" s="426"/>
      <c r="EL287" s="328"/>
      <c r="EM287" s="328"/>
      <c r="EN287" s="328"/>
      <c r="EO287" s="483"/>
      <c r="EP287" s="321"/>
      <c r="EQ287" s="321"/>
      <c r="ER287" s="321"/>
      <c r="ES287" s="321"/>
      <c r="ET287" s="321"/>
      <c r="EU287" s="321"/>
      <c r="EV287" s="321"/>
      <c r="EW287" s="321"/>
      <c r="EX287" s="321"/>
      <c r="EY287" s="321"/>
      <c r="EZ287" s="321"/>
      <c r="FA287" s="321"/>
      <c r="FB287" s="321"/>
      <c r="FC287" s="321"/>
      <c r="FD287" s="564"/>
      <c r="FE287" s="421"/>
      <c r="FF287" s="415"/>
      <c r="FG287" s="415"/>
      <c r="FH287" s="427"/>
      <c r="FI287" s="423"/>
      <c r="FJ287" s="426"/>
      <c r="FK287" s="426"/>
      <c r="FL287" s="433"/>
      <c r="FM287" s="569">
        <v>4</v>
      </c>
      <c r="FN287" s="569">
        <v>4</v>
      </c>
      <c r="FO287" s="427"/>
      <c r="FP287" s="427"/>
      <c r="FQ287" s="434"/>
      <c r="FR287" s="432"/>
      <c r="FS287" s="415"/>
      <c r="FT287" s="415"/>
      <c r="FU287" s="483"/>
      <c r="FV287" s="321"/>
      <c r="FW287" s="321"/>
      <c r="FX287" s="321"/>
      <c r="FY287" s="321"/>
      <c r="FZ287" s="321"/>
      <c r="GA287" s="321"/>
      <c r="GB287" s="321"/>
      <c r="GC287" s="321"/>
      <c r="GD287" s="321"/>
      <c r="GE287" s="321"/>
      <c r="GF287" s="321"/>
      <c r="GG287" s="321"/>
      <c r="GH287" s="321"/>
      <c r="GI287" s="321"/>
      <c r="GJ287" s="564"/>
      <c r="GK287" s="483"/>
      <c r="GL287" s="321"/>
      <c r="GM287" s="321"/>
      <c r="GN287" s="321"/>
      <c r="GO287" s="321"/>
      <c r="GP287" s="321"/>
      <c r="GQ287" s="321"/>
      <c r="GR287" s="321"/>
      <c r="GS287" s="321"/>
      <c r="GT287" s="321"/>
      <c r="GU287" s="321"/>
      <c r="GV287" s="321"/>
      <c r="GW287" s="321"/>
      <c r="GX287" s="321"/>
      <c r="GY287" s="321"/>
      <c r="GZ287" s="564"/>
      <c r="HA287" s="483"/>
      <c r="HB287" s="321"/>
      <c r="HC287" s="321"/>
      <c r="HD287" s="321"/>
      <c r="HE287" s="321"/>
      <c r="HF287" s="321"/>
      <c r="HG287" s="321"/>
      <c r="HH287" s="321"/>
      <c r="HI287" s="321"/>
      <c r="HJ287" s="321"/>
      <c r="HK287" s="321"/>
      <c r="HL287" s="321"/>
      <c r="HM287" s="321"/>
      <c r="HN287" s="321"/>
      <c r="HO287" s="321"/>
      <c r="HP287" s="564"/>
      <c r="HQ287" s="483"/>
      <c r="HR287" s="321"/>
      <c r="HS287" s="321"/>
      <c r="HT287" s="321"/>
      <c r="HU287" s="321"/>
      <c r="HV287" s="321"/>
      <c r="HW287" s="321"/>
      <c r="HX287" s="321"/>
      <c r="HY287" s="321"/>
      <c r="HZ287" s="321"/>
      <c r="IA287" s="321"/>
      <c r="IB287" s="321"/>
      <c r="IC287" s="321"/>
      <c r="ID287" s="321"/>
      <c r="IE287" s="321"/>
      <c r="IF287" s="564"/>
      <c r="IG287" s="483"/>
      <c r="IH287" s="321"/>
      <c r="II287" s="321"/>
      <c r="IJ287" s="321"/>
      <c r="IK287" s="321"/>
      <c r="IL287" s="321"/>
      <c r="IM287" s="321"/>
      <c r="IN287" s="321"/>
      <c r="IO287" s="321"/>
      <c r="IP287" s="321"/>
      <c r="IQ287" s="321"/>
      <c r="IR287" s="321"/>
      <c r="IS287" s="321"/>
      <c r="IT287" s="321"/>
      <c r="IU287" s="412"/>
      <c r="IV287" s="564"/>
    </row>
    <row r="288" spans="1:256" s="326" customFormat="1" ht="8.25" customHeight="1">
      <c r="A288" s="569"/>
      <c r="B288" s="569"/>
      <c r="C288" s="569"/>
      <c r="D288" s="569"/>
      <c r="E288" s="569"/>
      <c r="F288" s="569"/>
      <c r="G288" s="569"/>
      <c r="H288" s="569"/>
      <c r="I288" s="569"/>
      <c r="J288" s="569"/>
      <c r="K288" s="569"/>
      <c r="L288" s="569"/>
      <c r="M288" s="569"/>
      <c r="N288" s="569"/>
      <c r="O288" s="569"/>
      <c r="P288" s="570"/>
      <c r="Q288" s="569"/>
      <c r="R288" s="569"/>
      <c r="S288" s="569"/>
      <c r="T288" s="569"/>
      <c r="U288" s="569"/>
      <c r="V288" s="569"/>
      <c r="W288" s="569"/>
      <c r="X288" s="569"/>
      <c r="Y288" s="569"/>
      <c r="Z288" s="569"/>
      <c r="AA288" s="569"/>
      <c r="AB288" s="569"/>
      <c r="AC288" s="569"/>
      <c r="AD288" s="569"/>
      <c r="AE288" s="569"/>
      <c r="AF288" s="570"/>
      <c r="AG288" s="569"/>
      <c r="AH288" s="569"/>
      <c r="AI288" s="569"/>
      <c r="AJ288" s="569"/>
      <c r="AK288" s="569"/>
      <c r="AL288" s="569"/>
      <c r="AM288" s="569"/>
      <c r="AN288" s="569"/>
      <c r="AO288" s="569"/>
      <c r="AP288" s="569"/>
      <c r="AQ288" s="569"/>
      <c r="AR288" s="569"/>
      <c r="AS288" s="569"/>
      <c r="AT288" s="569"/>
      <c r="AU288" s="569"/>
      <c r="AV288" s="570"/>
      <c r="AW288" s="421"/>
      <c r="AX288" s="415"/>
      <c r="AY288" s="415"/>
      <c r="AZ288" s="415"/>
      <c r="BA288" s="415"/>
      <c r="BB288" s="415"/>
      <c r="BC288" s="415"/>
      <c r="BD288" s="415"/>
      <c r="BE288" s="415"/>
      <c r="BF288" s="415"/>
      <c r="BG288" s="415"/>
      <c r="BH288" s="415"/>
      <c r="BI288" s="415"/>
      <c r="BJ288" s="415"/>
      <c r="BK288" s="415"/>
      <c r="BL288" s="432"/>
      <c r="BM288" s="569"/>
      <c r="BN288" s="569"/>
      <c r="BO288" s="569"/>
      <c r="BP288" s="569"/>
      <c r="BQ288" s="569"/>
      <c r="BR288" s="569"/>
      <c r="BS288" s="569"/>
      <c r="BT288" s="569"/>
      <c r="BU288" s="569"/>
      <c r="BV288" s="569"/>
      <c r="BW288" s="569"/>
      <c r="BX288" s="569"/>
      <c r="BY288" s="569"/>
      <c r="BZ288" s="569"/>
      <c r="CA288" s="569"/>
      <c r="CB288" s="570"/>
      <c r="CC288" s="1238"/>
      <c r="CD288" s="479"/>
      <c r="CE288" s="479"/>
      <c r="CF288" s="479"/>
      <c r="CG288" s="479"/>
      <c r="CH288" s="479"/>
      <c r="CI288" s="479"/>
      <c r="CJ288" s="479"/>
      <c r="CK288" s="479"/>
      <c r="CL288" s="479"/>
      <c r="CM288" s="479"/>
      <c r="CN288" s="479"/>
      <c r="CO288" s="479"/>
      <c r="CP288" s="479"/>
      <c r="CQ288" s="479"/>
      <c r="CR288" s="1240"/>
      <c r="CS288" s="1238"/>
      <c r="CT288" s="479"/>
      <c r="CU288" s="479"/>
      <c r="CV288" s="479"/>
      <c r="CW288" s="479"/>
      <c r="CX288" s="479"/>
      <c r="CY288" s="479"/>
      <c r="CZ288" s="479"/>
      <c r="DA288" s="479"/>
      <c r="DB288" s="479"/>
      <c r="DC288" s="479"/>
      <c r="DD288" s="479"/>
      <c r="DE288" s="479"/>
      <c r="DF288" s="479"/>
      <c r="DG288" s="479"/>
      <c r="DH288" s="479"/>
      <c r="DI288" s="1238"/>
      <c r="DJ288" s="479"/>
      <c r="DK288" s="479"/>
      <c r="DL288" s="479"/>
      <c r="DM288" s="479"/>
      <c r="DN288" s="479"/>
      <c r="DO288" s="479"/>
      <c r="DP288" s="479"/>
      <c r="DQ288" s="479"/>
      <c r="DR288" s="479"/>
      <c r="DS288" s="479"/>
      <c r="DT288" s="479"/>
      <c r="DU288" s="479"/>
      <c r="DV288" s="479"/>
      <c r="DW288" s="479"/>
      <c r="DX288" s="479"/>
      <c r="DY288" s="1238"/>
      <c r="DZ288" s="479"/>
      <c r="EA288" s="479"/>
      <c r="EB288" s="479"/>
      <c r="EC288" s="426"/>
      <c r="ED288" s="479"/>
      <c r="EE288" s="479"/>
      <c r="EF288" s="479"/>
      <c r="EG288" s="479"/>
      <c r="EH288" s="479"/>
      <c r="EI288" s="479"/>
      <c r="EJ288" s="479"/>
      <c r="EK288" s="479"/>
      <c r="EL288" s="479"/>
      <c r="EM288" s="479"/>
      <c r="EN288" s="1240"/>
      <c r="EO288" s="569"/>
      <c r="EP288" s="569"/>
      <c r="EQ288" s="569"/>
      <c r="ER288" s="569"/>
      <c r="ES288" s="569"/>
      <c r="ET288" s="569"/>
      <c r="EU288" s="569"/>
      <c r="EV288" s="569"/>
      <c r="EW288" s="569"/>
      <c r="EX288" s="569"/>
      <c r="EY288" s="569"/>
      <c r="EZ288" s="569"/>
      <c r="FA288" s="569"/>
      <c r="FB288" s="569"/>
      <c r="FC288" s="569"/>
      <c r="FD288" s="570"/>
      <c r="FE288" s="483"/>
      <c r="FF288" s="415"/>
      <c r="FG288" s="415"/>
      <c r="FH288" s="423"/>
      <c r="FI288" s="433"/>
      <c r="FJ288" s="569">
        <v>4</v>
      </c>
      <c r="FK288" s="569"/>
      <c r="FL288" s="440"/>
      <c r="FM288" s="440"/>
      <c r="FN288" s="440"/>
      <c r="FO288" s="446"/>
      <c r="FP288" s="569">
        <v>4</v>
      </c>
      <c r="FQ288" s="427"/>
      <c r="FR288" s="415"/>
      <c r="FS288" s="415"/>
      <c r="FT288" s="564"/>
      <c r="FU288" s="569"/>
      <c r="FV288" s="569"/>
      <c r="FW288" s="569"/>
      <c r="FX288" s="569"/>
      <c r="FY288" s="569"/>
      <c r="FZ288" s="569"/>
      <c r="GA288" s="569"/>
      <c r="GB288" s="569"/>
      <c r="GC288" s="569"/>
      <c r="GD288" s="569"/>
      <c r="GE288" s="569"/>
      <c r="GF288" s="569"/>
      <c r="GG288" s="569"/>
      <c r="GH288" s="569"/>
      <c r="GI288" s="569"/>
      <c r="GJ288" s="570"/>
      <c r="GK288" s="569"/>
      <c r="GL288" s="569"/>
      <c r="GM288" s="569"/>
      <c r="GN288" s="569"/>
      <c r="GO288" s="569"/>
      <c r="GP288" s="569"/>
      <c r="GQ288" s="569"/>
      <c r="GR288" s="569"/>
      <c r="GS288" s="569"/>
      <c r="GT288" s="569"/>
      <c r="GU288" s="569"/>
      <c r="GV288" s="569"/>
      <c r="GW288" s="569"/>
      <c r="GX288" s="569"/>
      <c r="GY288" s="569"/>
      <c r="GZ288" s="570"/>
      <c r="HA288" s="569"/>
      <c r="HB288" s="569"/>
      <c r="HC288" s="569"/>
      <c r="HD288" s="569"/>
      <c r="HE288" s="569"/>
      <c r="HF288" s="569"/>
      <c r="HG288" s="569"/>
      <c r="HH288" s="569"/>
      <c r="HI288" s="569"/>
      <c r="HJ288" s="569"/>
      <c r="HK288" s="569"/>
      <c r="HL288" s="569"/>
      <c r="HM288" s="569"/>
      <c r="HN288" s="569"/>
      <c r="HO288" s="569"/>
      <c r="HP288" s="570"/>
      <c r="HQ288" s="569"/>
      <c r="HR288" s="569"/>
      <c r="HS288" s="569"/>
      <c r="HT288" s="569"/>
      <c r="HU288" s="569"/>
      <c r="HV288" s="569"/>
      <c r="HW288" s="569"/>
      <c r="HX288" s="569"/>
      <c r="HY288" s="569"/>
      <c r="HZ288" s="569"/>
      <c r="IA288" s="569"/>
      <c r="IB288" s="569"/>
      <c r="IC288" s="569"/>
      <c r="ID288" s="569"/>
      <c r="IE288" s="569"/>
      <c r="IF288" s="570"/>
      <c r="IG288" s="569"/>
      <c r="IH288" s="569"/>
      <c r="II288" s="569"/>
      <c r="IJ288" s="569"/>
      <c r="IK288" s="569"/>
      <c r="IL288" s="569"/>
      <c r="IM288" s="569"/>
      <c r="IN288" s="569"/>
      <c r="IO288" s="569"/>
      <c r="IP288" s="569"/>
      <c r="IQ288" s="569"/>
      <c r="IR288" s="569"/>
      <c r="IS288" s="569"/>
      <c r="IT288" s="569"/>
      <c r="IU288" s="569"/>
      <c r="IV288" s="570"/>
    </row>
    <row r="289" spans="1:256" s="326" customFormat="1" ht="8.25" customHeight="1">
      <c r="A289" s="679">
        <v>145</v>
      </c>
      <c r="B289" s="484"/>
      <c r="C289" s="484"/>
      <c r="D289" s="484"/>
      <c r="E289" s="484"/>
      <c r="F289" s="484"/>
      <c r="G289" s="484"/>
      <c r="H289" s="484"/>
      <c r="I289" s="484"/>
      <c r="J289" s="484"/>
      <c r="K289" s="484"/>
      <c r="L289" s="484"/>
      <c r="M289" s="484"/>
      <c r="N289" s="484"/>
      <c r="O289" s="484"/>
      <c r="P289" s="696"/>
      <c r="Q289" s="679">
        <v>146</v>
      </c>
      <c r="R289" s="484"/>
      <c r="S289" s="484"/>
      <c r="T289" s="484"/>
      <c r="U289" s="484"/>
      <c r="V289" s="484"/>
      <c r="W289" s="484"/>
      <c r="X289" s="484"/>
      <c r="Y289" s="484"/>
      <c r="Z289" s="484"/>
      <c r="AA289" s="484"/>
      <c r="AB289" s="484"/>
      <c r="AC289" s="484"/>
      <c r="AD289" s="484"/>
      <c r="AE289" s="484"/>
      <c r="AF289" s="696"/>
      <c r="AG289" s="679">
        <v>147</v>
      </c>
      <c r="AH289" s="484"/>
      <c r="AI289" s="484"/>
      <c r="AJ289" s="484"/>
      <c r="AK289" s="484"/>
      <c r="AL289" s="484"/>
      <c r="AM289" s="484"/>
      <c r="AN289" s="484"/>
      <c r="AO289" s="484"/>
      <c r="AP289" s="484"/>
      <c r="AQ289" s="484"/>
      <c r="AR289" s="484"/>
      <c r="AS289" s="484"/>
      <c r="AT289" s="484"/>
      <c r="AU289" s="484"/>
      <c r="AV289" s="696"/>
      <c r="AW289" s="679">
        <v>148</v>
      </c>
      <c r="AX289" s="484"/>
      <c r="AY289" s="484"/>
      <c r="AZ289" s="484"/>
      <c r="BA289" s="484"/>
      <c r="BB289" s="484"/>
      <c r="BC289" s="484"/>
      <c r="BD289" s="484"/>
      <c r="BE289" s="484"/>
      <c r="BF289" s="484"/>
      <c r="BG289" s="484"/>
      <c r="BH289" s="484"/>
      <c r="BI289" s="484"/>
      <c r="BJ289" s="484"/>
      <c r="BK289" s="484"/>
      <c r="BL289" s="696"/>
      <c r="BM289" s="679">
        <v>149</v>
      </c>
      <c r="BN289" s="484"/>
      <c r="BO289" s="484"/>
      <c r="BP289" s="484"/>
      <c r="BQ289" s="484"/>
      <c r="BR289" s="484"/>
      <c r="BS289" s="484"/>
      <c r="BT289" s="484"/>
      <c r="BU289" s="484"/>
      <c r="BV289" s="484"/>
      <c r="BW289" s="484"/>
      <c r="BX289" s="484"/>
      <c r="BY289" s="484"/>
      <c r="BZ289" s="484"/>
      <c r="CA289" s="484"/>
      <c r="CB289" s="484"/>
      <c r="CC289" s="1233">
        <v>150</v>
      </c>
      <c r="CD289" s="695"/>
      <c r="CE289" s="1234"/>
      <c r="CF289" s="1234"/>
      <c r="CG289" s="1234"/>
      <c r="CH289" s="1234"/>
      <c r="CI289" s="1234"/>
      <c r="CJ289" s="1234"/>
      <c r="CK289" s="1234"/>
      <c r="CL289" s="1234"/>
      <c r="CM289" s="1234"/>
      <c r="CN289" s="1234"/>
      <c r="CO289" s="1234"/>
      <c r="CP289" s="1234"/>
      <c r="CQ289" s="1234"/>
      <c r="CR289" s="1235"/>
      <c r="CS289" s="1233">
        <v>151</v>
      </c>
      <c r="CT289" s="1234"/>
      <c r="CU289" s="1234"/>
      <c r="CV289" s="1234"/>
      <c r="CW289" s="1234"/>
      <c r="CX289" s="1234"/>
      <c r="CY289" s="1234"/>
      <c r="CZ289" s="1234"/>
      <c r="DA289" s="1234"/>
      <c r="DB289" s="1234"/>
      <c r="DC289" s="1234"/>
      <c r="DD289" s="1234"/>
      <c r="DE289" s="1234"/>
      <c r="DF289" s="1234"/>
      <c r="DG289" s="1234"/>
      <c r="DH289" s="1235"/>
      <c r="DI289" s="679">
        <v>152</v>
      </c>
      <c r="DJ289" s="484"/>
      <c r="DK289" s="484"/>
      <c r="DL289" s="484"/>
      <c r="DM289" s="484"/>
      <c r="DN289" s="484"/>
      <c r="DO289" s="484"/>
      <c r="DP289" s="484"/>
      <c r="DQ289" s="484"/>
      <c r="DR289" s="484"/>
      <c r="DS289" s="484"/>
      <c r="DT289" s="484"/>
      <c r="DU289" s="484"/>
      <c r="DV289" s="484"/>
      <c r="DW289" s="484"/>
      <c r="DX289" s="696"/>
      <c r="DY289" s="679">
        <v>153</v>
      </c>
      <c r="DZ289" s="484"/>
      <c r="EA289" s="484"/>
      <c r="EB289" s="484"/>
      <c r="EC289" s="484"/>
      <c r="ED289" s="484"/>
      <c r="EE289" s="484"/>
      <c r="EF289" s="484"/>
      <c r="EG289" s="484"/>
      <c r="EH289" s="484"/>
      <c r="EI289" s="484"/>
      <c r="EJ289" s="484"/>
      <c r="EK289" s="484"/>
      <c r="EL289" s="484"/>
      <c r="EM289" s="484"/>
      <c r="EN289" s="696"/>
      <c r="EO289" s="1233">
        <v>154</v>
      </c>
      <c r="EP289" s="1234"/>
      <c r="EQ289" s="1234"/>
      <c r="ER289" s="1234"/>
      <c r="ES289" s="1234"/>
      <c r="ET289" s="1234"/>
      <c r="EU289" s="1234"/>
      <c r="EV289" s="1234"/>
      <c r="EW289" s="1234"/>
      <c r="EX289" s="1234"/>
      <c r="EY289" s="1234"/>
      <c r="EZ289" s="1234"/>
      <c r="FA289" s="1234"/>
      <c r="FB289" s="1234"/>
      <c r="FC289" s="1234"/>
      <c r="FD289" s="1235"/>
      <c r="FE289" s="483">
        <v>155</v>
      </c>
      <c r="FF289" s="484"/>
      <c r="FG289" s="484"/>
      <c r="FH289" s="484"/>
      <c r="FI289" s="484"/>
      <c r="FJ289" s="484"/>
      <c r="FK289" s="484"/>
      <c r="FL289" s="484"/>
      <c r="FM289" s="484"/>
      <c r="FN289" s="484"/>
      <c r="FO289" s="484"/>
      <c r="FP289" s="484"/>
      <c r="FQ289" s="484"/>
      <c r="FR289" s="484"/>
      <c r="FS289" s="484"/>
      <c r="FT289" s="484"/>
      <c r="FU289" s="679">
        <v>156</v>
      </c>
      <c r="FV289" s="484"/>
      <c r="FW289" s="484"/>
      <c r="FX289" s="484"/>
      <c r="FY289" s="484"/>
      <c r="FZ289" s="484"/>
      <c r="GA289" s="484"/>
      <c r="GB289" s="484"/>
      <c r="GC289" s="484"/>
      <c r="GD289" s="484"/>
      <c r="GE289" s="484"/>
      <c r="GF289" s="484"/>
      <c r="GG289" s="484"/>
      <c r="GH289" s="484"/>
      <c r="GI289" s="484"/>
      <c r="GJ289" s="696"/>
      <c r="GK289" s="679">
        <v>157</v>
      </c>
      <c r="GL289" s="484"/>
      <c r="GM289" s="484"/>
      <c r="GN289" s="484"/>
      <c r="GO289" s="484"/>
      <c r="GP289" s="484"/>
      <c r="GQ289" s="484"/>
      <c r="GR289" s="484"/>
      <c r="GS289" s="484"/>
      <c r="GT289" s="484"/>
      <c r="GU289" s="484"/>
      <c r="GV289" s="484"/>
      <c r="GW289" s="484"/>
      <c r="GX289" s="484"/>
      <c r="GY289" s="484"/>
      <c r="GZ289" s="696"/>
      <c r="HA289" s="679">
        <v>158</v>
      </c>
      <c r="HB289" s="484"/>
      <c r="HC289" s="484"/>
      <c r="HD289" s="484"/>
      <c r="HE289" s="484"/>
      <c r="HF289" s="484"/>
      <c r="HG289" s="484"/>
      <c r="HH289" s="484"/>
      <c r="HI289" s="484"/>
      <c r="HJ289" s="484"/>
      <c r="HK289" s="484"/>
      <c r="HL289" s="484"/>
      <c r="HM289" s="484"/>
      <c r="HN289" s="484"/>
      <c r="HO289" s="484"/>
      <c r="HP289" s="696"/>
      <c r="HQ289" s="483">
        <v>159</v>
      </c>
      <c r="HR289" s="321"/>
      <c r="HS289" s="321"/>
      <c r="HT289" s="321"/>
      <c r="HU289" s="321"/>
      <c r="HV289" s="321"/>
      <c r="HW289" s="321"/>
      <c r="HX289" s="321"/>
      <c r="HY289" s="321"/>
      <c r="HZ289" s="321"/>
      <c r="IA289" s="321"/>
      <c r="IB289" s="321"/>
      <c r="IC289" s="321"/>
      <c r="ID289" s="321"/>
      <c r="IE289" s="321"/>
      <c r="IF289" s="564"/>
      <c r="IG289" s="423">
        <v>160</v>
      </c>
      <c r="IH289" s="423"/>
      <c r="II289" s="423"/>
      <c r="IJ289" s="423"/>
      <c r="IK289" s="423"/>
      <c r="IL289" s="423"/>
      <c r="IM289" s="423"/>
      <c r="IN289" s="423"/>
      <c r="IO289" s="423"/>
      <c r="IP289" s="423"/>
      <c r="IQ289" s="423"/>
      <c r="IR289" s="423"/>
      <c r="IS289" s="423"/>
      <c r="IT289" s="423"/>
      <c r="IU289" s="423"/>
      <c r="IV289" s="423"/>
    </row>
    <row r="290" spans="1:256" s="326" customFormat="1" ht="8.25" customHeight="1">
      <c r="A290" s="483">
        <v>120</v>
      </c>
      <c r="B290" s="321"/>
      <c r="C290" s="321"/>
      <c r="D290" s="321"/>
      <c r="E290" s="321"/>
      <c r="F290" s="321"/>
      <c r="G290" s="321"/>
      <c r="H290" s="321"/>
      <c r="I290" s="321"/>
      <c r="J290" s="321"/>
      <c r="K290" s="321"/>
      <c r="L290" s="321"/>
      <c r="M290" s="321"/>
      <c r="N290" s="321"/>
      <c r="O290" s="321"/>
      <c r="P290" s="564"/>
      <c r="Q290" s="483">
        <v>105</v>
      </c>
      <c r="R290" s="321"/>
      <c r="S290" s="321"/>
      <c r="T290" s="321"/>
      <c r="U290" s="321"/>
      <c r="V290" s="321"/>
      <c r="W290" s="321"/>
      <c r="X290" s="321"/>
      <c r="Y290" s="321"/>
      <c r="Z290" s="321"/>
      <c r="AA290" s="321"/>
      <c r="AB290" s="321"/>
      <c r="AC290" s="321"/>
      <c r="AD290" s="321"/>
      <c r="AE290" s="321"/>
      <c r="AF290" s="564"/>
      <c r="AG290" s="483">
        <v>160</v>
      </c>
      <c r="AH290" s="321"/>
      <c r="AI290" s="321"/>
      <c r="AJ290" s="321"/>
      <c r="AK290" s="321"/>
      <c r="AL290" s="321"/>
      <c r="AM290" s="321"/>
      <c r="AN290" s="321"/>
      <c r="AO290" s="321"/>
      <c r="AP290" s="321"/>
      <c r="AQ290" s="321"/>
      <c r="AR290" s="321"/>
      <c r="AS290" s="321"/>
      <c r="AT290" s="321"/>
      <c r="AU290" s="321"/>
      <c r="AV290" s="564"/>
      <c r="AW290" s="483">
        <v>160</v>
      </c>
      <c r="AX290" s="321"/>
      <c r="AY290" s="321"/>
      <c r="AZ290" s="321"/>
      <c r="BA290" s="321"/>
      <c r="BB290" s="321"/>
      <c r="BC290" s="321"/>
      <c r="BD290" s="321"/>
      <c r="BE290" s="321"/>
      <c r="BF290" s="321"/>
      <c r="BG290" s="321"/>
      <c r="BH290" s="321"/>
      <c r="BI290" s="321"/>
      <c r="BJ290" s="321"/>
      <c r="BK290" s="321"/>
      <c r="BL290" s="564"/>
      <c r="BM290" s="483">
        <v>160</v>
      </c>
      <c r="BN290" s="321"/>
      <c r="BO290" s="321"/>
      <c r="BP290" s="321"/>
      <c r="BQ290" s="321"/>
      <c r="BR290" s="321"/>
      <c r="BS290" s="321"/>
      <c r="BT290" s="321"/>
      <c r="BU290" s="321"/>
      <c r="BV290" s="321"/>
      <c r="BW290" s="321"/>
      <c r="BX290" s="321"/>
      <c r="BY290" s="321"/>
      <c r="BZ290" s="321"/>
      <c r="CA290" s="321"/>
      <c r="CB290" s="321"/>
      <c r="CC290" s="1236"/>
      <c r="CD290" s="695"/>
      <c r="CE290" s="328"/>
      <c r="CF290" s="328"/>
      <c r="CG290" s="328"/>
      <c r="CH290" s="328"/>
      <c r="CI290" s="328"/>
      <c r="CJ290" s="328"/>
      <c r="CK290" s="328"/>
      <c r="CL290" s="328"/>
      <c r="CM290" s="328"/>
      <c r="CN290" s="328"/>
      <c r="CO290" s="328"/>
      <c r="CP290" s="328"/>
      <c r="CQ290" s="328"/>
      <c r="CR290" s="1237"/>
      <c r="CS290" s="1236"/>
      <c r="CT290" s="328"/>
      <c r="CU290" s="328"/>
      <c r="CV290" s="328"/>
      <c r="CW290" s="328"/>
      <c r="CX290" s="328"/>
      <c r="CY290" s="328"/>
      <c r="CZ290" s="328"/>
      <c r="DA290" s="328"/>
      <c r="DB290" s="328"/>
      <c r="DC290" s="328"/>
      <c r="DD290" s="328"/>
      <c r="DE290" s="328"/>
      <c r="DF290" s="328"/>
      <c r="DG290" s="328"/>
      <c r="DH290" s="1237"/>
      <c r="DI290" s="483">
        <v>150</v>
      </c>
      <c r="DJ290" s="321"/>
      <c r="DK290" s="321"/>
      <c r="DL290" s="321"/>
      <c r="DM290" s="321"/>
      <c r="DN290" s="321"/>
      <c r="DO290" s="321"/>
      <c r="DP290" s="321"/>
      <c r="DQ290" s="321"/>
      <c r="DR290" s="321"/>
      <c r="DS290" s="321"/>
      <c r="DT290" s="321"/>
      <c r="DU290" s="321"/>
      <c r="DV290" s="321"/>
      <c r="DW290" s="321"/>
      <c r="DX290" s="564"/>
      <c r="DY290" s="483">
        <v>60</v>
      </c>
      <c r="DZ290" s="321"/>
      <c r="EA290" s="321"/>
      <c r="EB290" s="321"/>
      <c r="EC290" s="321"/>
      <c r="ED290" s="321"/>
      <c r="EE290" s="321"/>
      <c r="EF290" s="321"/>
      <c r="EG290" s="321"/>
      <c r="EH290" s="321"/>
      <c r="EI290" s="321"/>
      <c r="EJ290" s="321"/>
      <c r="EK290" s="321"/>
      <c r="EL290" s="321"/>
      <c r="EM290" s="321"/>
      <c r="EN290" s="564"/>
      <c r="EO290" s="1236"/>
      <c r="EP290" s="328"/>
      <c r="EQ290" s="328"/>
      <c r="ER290" s="443"/>
      <c r="ES290" s="328"/>
      <c r="ET290" s="328"/>
      <c r="EU290" s="328"/>
      <c r="EV290" s="443"/>
      <c r="EW290" s="328"/>
      <c r="EX290" s="436"/>
      <c r="EY290" s="443"/>
      <c r="EZ290" s="443"/>
      <c r="FA290" s="443"/>
      <c r="FB290" s="328"/>
      <c r="FC290" s="328"/>
      <c r="FD290" s="1237"/>
      <c r="FE290" s="483">
        <v>80</v>
      </c>
      <c r="FF290" s="321"/>
      <c r="FG290" s="321"/>
      <c r="FH290" s="321"/>
      <c r="FI290" s="321"/>
      <c r="FJ290" s="321"/>
      <c r="FK290" s="321"/>
      <c r="FL290" s="321"/>
      <c r="FM290" s="321"/>
      <c r="FN290" s="321"/>
      <c r="FO290" s="321"/>
      <c r="FP290" s="321"/>
      <c r="FQ290" s="321"/>
      <c r="FR290" s="321"/>
      <c r="FS290" s="321"/>
      <c r="FT290" s="321"/>
      <c r="FU290" s="483"/>
      <c r="FV290" s="321"/>
      <c r="FW290" s="321"/>
      <c r="FX290" s="321"/>
      <c r="FY290" s="321"/>
      <c r="FZ290" s="321"/>
      <c r="GA290" s="321"/>
      <c r="GB290" s="321"/>
      <c r="GC290" s="321"/>
      <c r="GD290" s="321"/>
      <c r="GE290" s="321"/>
      <c r="GF290" s="321"/>
      <c r="GG290" s="321"/>
      <c r="GH290" s="321"/>
      <c r="GI290" s="321"/>
      <c r="GJ290" s="564"/>
      <c r="GK290" s="483">
        <v>60</v>
      </c>
      <c r="GL290" s="321"/>
      <c r="GM290" s="321"/>
      <c r="GN290" s="321"/>
      <c r="GO290" s="321"/>
      <c r="GP290" s="321"/>
      <c r="GQ290" s="321"/>
      <c r="GR290" s="321"/>
      <c r="GS290" s="321"/>
      <c r="GT290" s="321"/>
      <c r="GU290" s="321"/>
      <c r="GV290" s="321"/>
      <c r="GW290" s="321"/>
      <c r="GX290" s="321"/>
      <c r="GY290" s="321"/>
      <c r="GZ290" s="564"/>
      <c r="HA290" s="483">
        <v>40</v>
      </c>
      <c r="HB290" s="321"/>
      <c r="HC290" s="321"/>
      <c r="HD290" s="321"/>
      <c r="HE290" s="321"/>
      <c r="HF290" s="321"/>
      <c r="HG290" s="321"/>
      <c r="HH290" s="321"/>
      <c r="HI290" s="321"/>
      <c r="HJ290" s="321"/>
      <c r="HK290" s="321"/>
      <c r="HL290" s="321"/>
      <c r="HM290" s="321"/>
      <c r="HN290" s="321"/>
      <c r="HO290" s="321"/>
      <c r="HP290" s="564"/>
      <c r="HQ290" s="483">
        <v>100</v>
      </c>
      <c r="HR290" s="321"/>
      <c r="HS290" s="321"/>
      <c r="HT290" s="321"/>
      <c r="HU290" s="321"/>
      <c r="HV290" s="321"/>
      <c r="HW290" s="321"/>
      <c r="HX290" s="321"/>
      <c r="HY290" s="321"/>
      <c r="HZ290" s="321"/>
      <c r="IA290" s="321"/>
      <c r="IB290" s="321"/>
      <c r="IC290" s="321"/>
      <c r="ID290" s="321"/>
      <c r="IE290" s="321"/>
      <c r="IF290" s="564"/>
      <c r="IG290" s="423"/>
      <c r="IH290" s="417"/>
      <c r="II290" s="417"/>
      <c r="IJ290" s="417"/>
      <c r="IK290" s="417"/>
      <c r="IL290" s="417"/>
      <c r="IM290" s="417"/>
      <c r="IN290" s="417"/>
      <c r="IO290" s="417"/>
      <c r="IP290" s="417"/>
      <c r="IQ290" s="417"/>
      <c r="IR290" s="417"/>
      <c r="IS290" s="417"/>
      <c r="IT290" s="417"/>
      <c r="IU290" s="417"/>
      <c r="IV290" s="423"/>
    </row>
    <row r="291" spans="1:256" s="326" customFormat="1" ht="8.25" customHeight="1">
      <c r="A291" s="483">
        <v>146</v>
      </c>
      <c r="B291" s="321"/>
      <c r="C291" s="321"/>
      <c r="D291" s="321"/>
      <c r="E291" s="321"/>
      <c r="F291" s="321"/>
      <c r="G291" s="321"/>
      <c r="H291" s="321"/>
      <c r="I291" s="321"/>
      <c r="J291" s="321"/>
      <c r="K291" s="321"/>
      <c r="L291" s="321"/>
      <c r="M291" s="321"/>
      <c r="N291" s="321"/>
      <c r="O291" s="321"/>
      <c r="P291" s="564"/>
      <c r="Q291" s="483">
        <v>145</v>
      </c>
      <c r="R291" s="321"/>
      <c r="S291" s="321"/>
      <c r="T291" s="321"/>
      <c r="U291" s="321"/>
      <c r="V291" s="321"/>
      <c r="W291" s="321"/>
      <c r="X291" s="321"/>
      <c r="Y291" s="321"/>
      <c r="Z291" s="321"/>
      <c r="AA291" s="321"/>
      <c r="AB291" s="321"/>
      <c r="AC291" s="321"/>
      <c r="AD291" s="321"/>
      <c r="AE291" s="321"/>
      <c r="AF291" s="564"/>
      <c r="AG291" s="483"/>
      <c r="AH291" s="321"/>
      <c r="AI291" s="321"/>
      <c r="AJ291" s="321"/>
      <c r="AK291" s="321"/>
      <c r="AL291" s="321"/>
      <c r="AM291" s="321"/>
      <c r="AN291" s="321"/>
      <c r="AO291" s="321"/>
      <c r="AP291" s="321"/>
      <c r="AQ291" s="321"/>
      <c r="AR291" s="321"/>
      <c r="AS291" s="321"/>
      <c r="AT291" s="321"/>
      <c r="AU291" s="321"/>
      <c r="AV291" s="564"/>
      <c r="AW291" s="483"/>
      <c r="AX291" s="321"/>
      <c r="AY291" s="321"/>
      <c r="AZ291" s="321"/>
      <c r="BA291" s="321"/>
      <c r="BB291" s="321"/>
      <c r="BC291" s="321"/>
      <c r="BD291" s="321"/>
      <c r="BE291" s="321"/>
      <c r="BF291" s="321"/>
      <c r="BG291" s="321"/>
      <c r="BH291" s="321"/>
      <c r="BI291" s="321"/>
      <c r="BJ291" s="321"/>
      <c r="BK291" s="321"/>
      <c r="BL291" s="564"/>
      <c r="BM291" s="483"/>
      <c r="BN291" s="321"/>
      <c r="BO291" s="321"/>
      <c r="BP291" s="321"/>
      <c r="BQ291" s="321"/>
      <c r="BR291" s="321"/>
      <c r="BS291" s="321"/>
      <c r="BT291" s="321"/>
      <c r="BU291" s="321"/>
      <c r="BV291" s="321"/>
      <c r="BW291" s="321"/>
      <c r="BX291" s="321"/>
      <c r="BY291" s="321"/>
      <c r="BZ291" s="321"/>
      <c r="CA291" s="321"/>
      <c r="CB291" s="321"/>
      <c r="CC291" s="1236"/>
      <c r="CD291" s="695"/>
      <c r="CE291" s="328"/>
      <c r="CF291" s="328"/>
      <c r="CG291" s="328"/>
      <c r="CH291" s="328"/>
      <c r="CI291" s="328"/>
      <c r="CJ291" s="328"/>
      <c r="CK291" s="328"/>
      <c r="CL291" s="328"/>
      <c r="CM291" s="328"/>
      <c r="CN291" s="328"/>
      <c r="CO291" s="328"/>
      <c r="CP291" s="328"/>
      <c r="CQ291" s="328"/>
      <c r="CR291" s="1237"/>
      <c r="CS291" s="1236"/>
      <c r="CT291" s="328"/>
      <c r="CU291" s="328"/>
      <c r="CV291" s="328"/>
      <c r="CW291" s="328"/>
      <c r="CX291" s="328"/>
      <c r="CY291" s="328"/>
      <c r="CZ291" s="328"/>
      <c r="DA291" s="328"/>
      <c r="DB291" s="328"/>
      <c r="DC291" s="328"/>
      <c r="DD291" s="328"/>
      <c r="DE291" s="328"/>
      <c r="DF291" s="328"/>
      <c r="DG291" s="328"/>
      <c r="DH291" s="1237"/>
      <c r="DI291" s="483">
        <v>153</v>
      </c>
      <c r="DJ291" s="321"/>
      <c r="DK291" s="321"/>
      <c r="DL291" s="321"/>
      <c r="DM291" s="321"/>
      <c r="DN291" s="321"/>
      <c r="DO291" s="321"/>
      <c r="DP291" s="321"/>
      <c r="DQ291" s="321"/>
      <c r="DR291" s="321"/>
      <c r="DS291" s="321"/>
      <c r="DT291" s="321"/>
      <c r="DU291" s="321"/>
      <c r="DV291" s="321"/>
      <c r="DW291" s="321"/>
      <c r="DX291" s="564"/>
      <c r="DY291" s="483">
        <v>152</v>
      </c>
      <c r="DZ291" s="321"/>
      <c r="EA291" s="321"/>
      <c r="EB291" s="321"/>
      <c r="EC291" s="321"/>
      <c r="ED291" s="321"/>
      <c r="EE291" s="321"/>
      <c r="EF291" s="321"/>
      <c r="EG291" s="321"/>
      <c r="EH291" s="321"/>
      <c r="EI291" s="321"/>
      <c r="EJ291" s="321"/>
      <c r="EK291" s="321"/>
      <c r="EL291" s="321"/>
      <c r="EM291" s="321"/>
      <c r="EN291" s="564"/>
      <c r="EO291" s="1236"/>
      <c r="EP291" s="328"/>
      <c r="EQ291" s="328"/>
      <c r="ER291" s="443"/>
      <c r="ES291" s="328"/>
      <c r="ET291" s="443"/>
      <c r="EU291" s="328"/>
      <c r="EV291" s="443"/>
      <c r="EW291" s="328"/>
      <c r="EX291" s="443"/>
      <c r="EY291" s="328"/>
      <c r="EZ291" s="328"/>
      <c r="FA291" s="328"/>
      <c r="FB291" s="328"/>
      <c r="FC291" s="328"/>
      <c r="FD291" s="1237"/>
      <c r="FE291" s="483"/>
      <c r="FF291" s="321"/>
      <c r="FG291" s="321"/>
      <c r="FH291" s="321"/>
      <c r="FI291" s="321"/>
      <c r="FJ291" s="321"/>
      <c r="FK291" s="321"/>
      <c r="FL291" s="321"/>
      <c r="FM291" s="321"/>
      <c r="FN291" s="321"/>
      <c r="FO291" s="321"/>
      <c r="FP291" s="321"/>
      <c r="FQ291" s="321"/>
      <c r="FR291" s="321"/>
      <c r="FS291" s="321"/>
      <c r="FT291" s="321"/>
      <c r="FU291" s="483"/>
      <c r="FV291" s="321"/>
      <c r="FW291" s="321"/>
      <c r="FX291" s="321"/>
      <c r="FY291" s="321"/>
      <c r="FZ291" s="321"/>
      <c r="GA291" s="321"/>
      <c r="GB291" s="321"/>
      <c r="GC291" s="321"/>
      <c r="GD291" s="321"/>
      <c r="GE291" s="321"/>
      <c r="GF291" s="321"/>
      <c r="GG291" s="321"/>
      <c r="GH291" s="321"/>
      <c r="GI291" s="321"/>
      <c r="GJ291" s="564"/>
      <c r="GK291" s="483">
        <v>158</v>
      </c>
      <c r="GL291" s="321"/>
      <c r="GM291" s="321"/>
      <c r="GN291" s="321"/>
      <c r="GO291" s="321"/>
      <c r="GP291" s="321"/>
      <c r="GQ291" s="321"/>
      <c r="GR291" s="321"/>
      <c r="GS291" s="321"/>
      <c r="GT291" s="321"/>
      <c r="GU291" s="321"/>
      <c r="GV291" s="321"/>
      <c r="GW291" s="321"/>
      <c r="GX291" s="321"/>
      <c r="GY291" s="321"/>
      <c r="GZ291" s="564"/>
      <c r="HA291" s="483">
        <v>-60</v>
      </c>
      <c r="HB291" s="321"/>
      <c r="HC291" s="321"/>
      <c r="HD291" s="321"/>
      <c r="HE291" s="321"/>
      <c r="HF291" s="321"/>
      <c r="HG291" s="321"/>
      <c r="HH291" s="321"/>
      <c r="HI291" s="321"/>
      <c r="HJ291" s="321"/>
      <c r="HK291" s="321"/>
      <c r="HL291" s="321"/>
      <c r="HM291" s="321"/>
      <c r="HN291" s="321"/>
      <c r="HO291" s="321"/>
      <c r="HP291" s="564"/>
      <c r="HQ291" s="483"/>
      <c r="HR291" s="321"/>
      <c r="HS291" s="321"/>
      <c r="HT291" s="321"/>
      <c r="HU291" s="321"/>
      <c r="HV291" s="321"/>
      <c r="HW291" s="321"/>
      <c r="HX291" s="321"/>
      <c r="HY291" s="321"/>
      <c r="HZ291" s="321"/>
      <c r="IA291" s="321"/>
      <c r="IB291" s="321"/>
      <c r="IC291" s="321"/>
      <c r="ID291" s="321"/>
      <c r="IE291" s="321"/>
      <c r="IF291" s="564"/>
      <c r="IG291" s="423"/>
      <c r="IH291" s="409"/>
      <c r="II291" s="417"/>
      <c r="IJ291" s="409"/>
      <c r="IK291" s="417"/>
      <c r="IL291" s="409"/>
      <c r="IM291" s="417"/>
      <c r="IN291" s="409"/>
      <c r="IO291" s="417"/>
      <c r="IP291" s="429"/>
      <c r="IQ291" s="417"/>
      <c r="IR291" s="429"/>
      <c r="IS291" s="417"/>
      <c r="IT291" s="429"/>
      <c r="IU291" s="417"/>
      <c r="IV291" s="423"/>
    </row>
    <row r="292" spans="1:256" s="326" customFormat="1" ht="8.25" customHeight="1">
      <c r="A292" s="483">
        <v>400</v>
      </c>
      <c r="B292" s="321"/>
      <c r="C292" s="321"/>
      <c r="D292" s="321"/>
      <c r="E292" s="321"/>
      <c r="F292" s="321"/>
      <c r="G292" s="321"/>
      <c r="H292" s="321"/>
      <c r="I292" s="321"/>
      <c r="J292" s="321"/>
      <c r="K292" s="321"/>
      <c r="L292" s="321"/>
      <c r="M292" s="321"/>
      <c r="N292" s="321"/>
      <c r="O292" s="321"/>
      <c r="P292" s="564"/>
      <c r="Q292" s="483">
        <v>400</v>
      </c>
      <c r="R292" s="321"/>
      <c r="S292" s="321"/>
      <c r="T292" s="321"/>
      <c r="U292" s="321"/>
      <c r="V292" s="321"/>
      <c r="W292" s="321"/>
      <c r="X292" s="321"/>
      <c r="Y292" s="321"/>
      <c r="Z292" s="321"/>
      <c r="AA292" s="321"/>
      <c r="AB292" s="321"/>
      <c r="AC292" s="321"/>
      <c r="AD292" s="321"/>
      <c r="AE292" s="321"/>
      <c r="AF292" s="564"/>
      <c r="AG292" s="483"/>
      <c r="AH292" s="321"/>
      <c r="AI292" s="321"/>
      <c r="AJ292" s="321"/>
      <c r="AK292" s="321"/>
      <c r="AL292" s="321"/>
      <c r="AM292" s="321"/>
      <c r="AN292" s="321"/>
      <c r="AO292" s="321"/>
      <c r="AP292" s="321"/>
      <c r="AQ292" s="321"/>
      <c r="AR292" s="321"/>
      <c r="AS292" s="321"/>
      <c r="AT292" s="321"/>
      <c r="AU292" s="321"/>
      <c r="AV292" s="564"/>
      <c r="AW292" s="483"/>
      <c r="AX292" s="321"/>
      <c r="AY292" s="321"/>
      <c r="AZ292" s="321"/>
      <c r="BA292" s="321"/>
      <c r="BB292" s="321"/>
      <c r="BC292" s="321"/>
      <c r="BD292" s="321"/>
      <c r="BE292" s="321"/>
      <c r="BF292" s="321"/>
      <c r="BG292" s="321"/>
      <c r="BH292" s="321"/>
      <c r="BI292" s="321"/>
      <c r="BJ292" s="321"/>
      <c r="BK292" s="321"/>
      <c r="BL292" s="564"/>
      <c r="BM292" s="432"/>
      <c r="BN292" s="432"/>
      <c r="BO292" s="432"/>
      <c r="BP292" s="432"/>
      <c r="BQ292" s="432"/>
      <c r="BR292" s="439"/>
      <c r="BS292" s="411"/>
      <c r="BT292" s="452"/>
      <c r="BU292" s="411"/>
      <c r="BV292" s="439"/>
      <c r="BW292" s="432"/>
      <c r="BX292" s="432"/>
      <c r="BY292" s="432"/>
      <c r="BZ292" s="432"/>
      <c r="CA292" s="439"/>
      <c r="CB292" s="411"/>
      <c r="CC292" s="1236"/>
      <c r="CD292" s="695"/>
      <c r="CE292" s="328"/>
      <c r="CF292" s="328"/>
      <c r="CG292" s="328"/>
      <c r="CH292" s="328"/>
      <c r="CI292" s="328"/>
      <c r="CJ292" s="328"/>
      <c r="CK292" s="328"/>
      <c r="CL292" s="328"/>
      <c r="CM292" s="328"/>
      <c r="CN292" s="328"/>
      <c r="CO292" s="328"/>
      <c r="CP292" s="328"/>
      <c r="CQ292" s="328"/>
      <c r="CR292" s="1237"/>
      <c r="CS292" s="1236"/>
      <c r="CT292" s="328"/>
      <c r="CU292" s="328"/>
      <c r="CV292" s="328"/>
      <c r="CW292" s="328"/>
      <c r="CX292" s="328"/>
      <c r="CY292" s="328"/>
      <c r="CZ292" s="328"/>
      <c r="DA292" s="328"/>
      <c r="DB292" s="328"/>
      <c r="DC292" s="328"/>
      <c r="DD292" s="328"/>
      <c r="DE292" s="328"/>
      <c r="DF292" s="328"/>
      <c r="DG292" s="328"/>
      <c r="DH292" s="1237"/>
      <c r="DI292" s="483">
        <v>400</v>
      </c>
      <c r="DJ292" s="321"/>
      <c r="DK292" s="321"/>
      <c r="DL292" s="321"/>
      <c r="DM292" s="321"/>
      <c r="DN292" s="321"/>
      <c r="DO292" s="321"/>
      <c r="DP292" s="321"/>
      <c r="DQ292" s="321"/>
      <c r="DR292" s="321"/>
      <c r="DS292" s="321"/>
      <c r="DT292" s="321"/>
      <c r="DU292" s="321"/>
      <c r="DV292" s="321"/>
      <c r="DW292" s="321"/>
      <c r="DX292" s="564"/>
      <c r="DY292" s="483">
        <v>400</v>
      </c>
      <c r="DZ292" s="321"/>
      <c r="EA292" s="321"/>
      <c r="EB292" s="321"/>
      <c r="EC292" s="321"/>
      <c r="ED292" s="321"/>
      <c r="EE292" s="321"/>
      <c r="EF292" s="321"/>
      <c r="EG292" s="321"/>
      <c r="EH292" s="321"/>
      <c r="EI292" s="321"/>
      <c r="EJ292" s="321"/>
      <c r="EK292" s="321"/>
      <c r="EL292" s="321"/>
      <c r="EM292" s="321"/>
      <c r="EN292" s="564"/>
      <c r="EO292" s="1236"/>
      <c r="EP292" s="328"/>
      <c r="EQ292" s="328"/>
      <c r="ER292" s="436"/>
      <c r="ES292" s="328"/>
      <c r="ET292" s="436"/>
      <c r="EU292" s="328"/>
      <c r="EV292" s="436"/>
      <c r="EW292" s="328"/>
      <c r="EX292" s="443"/>
      <c r="EY292" s="328"/>
      <c r="EZ292" s="328"/>
      <c r="FA292" s="328"/>
      <c r="FB292" s="328"/>
      <c r="FC292" s="328"/>
      <c r="FD292" s="1237"/>
      <c r="FE292" s="483"/>
      <c r="FF292" s="321"/>
      <c r="FG292" s="321"/>
      <c r="FH292" s="321"/>
      <c r="FI292" s="321"/>
      <c r="FJ292" s="321"/>
      <c r="FK292" s="321"/>
      <c r="FL292" s="321"/>
      <c r="FM292" s="321"/>
      <c r="FN292" s="321"/>
      <c r="FO292" s="321"/>
      <c r="FP292" s="321"/>
      <c r="FQ292" s="321"/>
      <c r="FR292" s="321"/>
      <c r="FS292" s="321"/>
      <c r="FT292" s="321"/>
      <c r="FU292" s="1236"/>
      <c r="FV292" s="328"/>
      <c r="FW292" s="328"/>
      <c r="FX292" s="328"/>
      <c r="FY292" s="328"/>
      <c r="FZ292" s="328"/>
      <c r="GA292" s="328"/>
      <c r="GB292" s="328"/>
      <c r="GC292" s="328"/>
      <c r="GD292" s="328"/>
      <c r="GE292" s="328"/>
      <c r="GF292" s="328"/>
      <c r="GG292" s="328"/>
      <c r="GH292" s="328"/>
      <c r="GI292" s="328"/>
      <c r="GJ292" s="1237"/>
      <c r="GK292" s="1236">
        <v>120</v>
      </c>
      <c r="GL292" s="328"/>
      <c r="GM292" s="328"/>
      <c r="GN292" s="328"/>
      <c r="GO292" s="328"/>
      <c r="GP292" s="328"/>
      <c r="GQ292" s="328"/>
      <c r="GR292" s="328"/>
      <c r="GS292" s="328"/>
      <c r="GT292" s="328"/>
      <c r="GU292" s="328"/>
      <c r="GV292" s="328"/>
      <c r="GW292" s="328"/>
      <c r="GX292" s="328"/>
      <c r="GY292" s="328"/>
      <c r="GZ292" s="1237"/>
      <c r="HA292" s="1236">
        <v>120</v>
      </c>
      <c r="HB292" s="328"/>
      <c r="HC292" s="328"/>
      <c r="HD292" s="328"/>
      <c r="HE292" s="328"/>
      <c r="HF292" s="328"/>
      <c r="HG292" s="328"/>
      <c r="HH292" s="328"/>
      <c r="HI292" s="328"/>
      <c r="HJ292" s="328"/>
      <c r="HK292" s="328"/>
      <c r="HL292" s="328"/>
      <c r="HM292" s="328"/>
      <c r="HN292" s="328"/>
      <c r="HO292" s="328"/>
      <c r="HP292" s="1237"/>
      <c r="HQ292" s="483"/>
      <c r="HR292" s="321"/>
      <c r="HS292" s="321"/>
      <c r="HT292" s="321"/>
      <c r="HU292" s="321"/>
      <c r="HV292" s="321"/>
      <c r="HW292" s="321"/>
      <c r="HX292" s="321"/>
      <c r="HY292" s="321"/>
      <c r="HZ292" s="321"/>
      <c r="IA292" s="321"/>
      <c r="IB292" s="321"/>
      <c r="IC292" s="321"/>
      <c r="ID292" s="321"/>
      <c r="IE292" s="321"/>
      <c r="IF292" s="564"/>
      <c r="IG292" s="423"/>
      <c r="IH292" s="429"/>
      <c r="II292" s="418"/>
      <c r="IJ292" s="429"/>
      <c r="IK292" s="418"/>
      <c r="IL292" s="429"/>
      <c r="IM292" s="423"/>
      <c r="IN292" s="429"/>
      <c r="IO292" s="423"/>
      <c r="IP292" s="436"/>
      <c r="IQ292" s="423"/>
      <c r="IR292" s="443"/>
      <c r="IS292" s="423"/>
      <c r="IT292" s="443"/>
      <c r="IU292" s="423"/>
      <c r="IV292" s="423"/>
    </row>
    <row r="293" spans="1:256" s="326" customFormat="1" ht="8.25" customHeight="1">
      <c r="A293" s="483">
        <v>10</v>
      </c>
      <c r="B293" s="321"/>
      <c r="C293" s="321"/>
      <c r="D293" s="321"/>
      <c r="E293" s="321"/>
      <c r="F293" s="321"/>
      <c r="G293" s="321"/>
      <c r="H293" s="321"/>
      <c r="I293" s="321"/>
      <c r="J293" s="321"/>
      <c r="K293" s="321"/>
      <c r="L293" s="321"/>
      <c r="M293" s="321"/>
      <c r="N293" s="321"/>
      <c r="O293" s="321"/>
      <c r="P293" s="564"/>
      <c r="Q293" s="483">
        <v>10</v>
      </c>
      <c r="R293" s="321"/>
      <c r="S293" s="321"/>
      <c r="T293" s="321"/>
      <c r="U293" s="321"/>
      <c r="V293" s="321"/>
      <c r="W293" s="321"/>
      <c r="X293" s="321"/>
      <c r="Y293" s="321"/>
      <c r="Z293" s="321"/>
      <c r="AA293" s="321"/>
      <c r="AB293" s="321"/>
      <c r="AC293" s="321"/>
      <c r="AD293" s="321"/>
      <c r="AE293" s="321"/>
      <c r="AF293" s="564"/>
      <c r="AG293" s="461"/>
      <c r="AH293" s="455"/>
      <c r="AI293" s="428"/>
      <c r="AJ293" s="428"/>
      <c r="AK293" s="428"/>
      <c r="AL293" s="428"/>
      <c r="AM293" s="428"/>
      <c r="AN293" s="448"/>
      <c r="AO293" s="455"/>
      <c r="AP293" s="448"/>
      <c r="AQ293" s="448"/>
      <c r="AR293" s="428"/>
      <c r="AS293" s="428"/>
      <c r="AT293" s="448"/>
      <c r="AU293" s="461"/>
      <c r="AV293" s="461"/>
      <c r="AW293" s="427"/>
      <c r="AX293" s="427"/>
      <c r="AY293" s="427"/>
      <c r="AZ293" s="427"/>
      <c r="BA293" s="427"/>
      <c r="BB293" s="427"/>
      <c r="BC293" s="434"/>
      <c r="BD293" s="441"/>
      <c r="BE293" s="447"/>
      <c r="BF293" s="447"/>
      <c r="BG293" s="441"/>
      <c r="BH293" s="434"/>
      <c r="BI293" s="434"/>
      <c r="BJ293" s="427"/>
      <c r="BK293" s="427"/>
      <c r="BL293" s="427"/>
      <c r="BM293" s="432"/>
      <c r="BN293" s="432"/>
      <c r="BO293" s="432"/>
      <c r="BP293" s="432"/>
      <c r="BQ293" s="432"/>
      <c r="BR293" s="432"/>
      <c r="BS293" s="439"/>
      <c r="BT293" s="411"/>
      <c r="BU293" s="452"/>
      <c r="BV293" s="411"/>
      <c r="BW293" s="439"/>
      <c r="BX293" s="432"/>
      <c r="BY293" s="432"/>
      <c r="BZ293" s="432"/>
      <c r="CA293" s="432"/>
      <c r="CB293" s="439"/>
      <c r="CC293" s="1236"/>
      <c r="CD293" s="695"/>
      <c r="CE293" s="328"/>
      <c r="CF293" s="328"/>
      <c r="CG293" s="328"/>
      <c r="CH293" s="328"/>
      <c r="CI293" s="328"/>
      <c r="CJ293" s="328"/>
      <c r="CK293" s="328"/>
      <c r="CL293" s="328"/>
      <c r="CM293" s="328"/>
      <c r="CN293" s="328"/>
      <c r="CO293" s="328"/>
      <c r="CP293" s="328"/>
      <c r="CQ293" s="328"/>
      <c r="CR293" s="1237"/>
      <c r="CS293" s="1236"/>
      <c r="CT293" s="328"/>
      <c r="CU293" s="328"/>
      <c r="CV293" s="328"/>
      <c r="CW293" s="328"/>
      <c r="CX293" s="328"/>
      <c r="CY293" s="328"/>
      <c r="CZ293" s="328"/>
      <c r="DA293" s="328"/>
      <c r="DB293" s="328"/>
      <c r="DC293" s="328"/>
      <c r="DD293" s="328"/>
      <c r="DE293" s="328"/>
      <c r="DF293" s="328"/>
      <c r="DG293" s="328"/>
      <c r="DH293" s="1237"/>
      <c r="DI293" s="483">
        <v>10</v>
      </c>
      <c r="DJ293" s="321"/>
      <c r="DK293" s="321"/>
      <c r="DL293" s="321"/>
      <c r="DM293" s="321"/>
      <c r="DN293" s="321"/>
      <c r="DO293" s="321"/>
      <c r="DP293" s="321"/>
      <c r="DQ293" s="321"/>
      <c r="DR293" s="321"/>
      <c r="DS293" s="321"/>
      <c r="DT293" s="321"/>
      <c r="DU293" s="321"/>
      <c r="DV293" s="321"/>
      <c r="DW293" s="321"/>
      <c r="DX293" s="564"/>
      <c r="DY293" s="483">
        <v>10</v>
      </c>
      <c r="DZ293" s="321"/>
      <c r="EA293" s="321"/>
      <c r="EB293" s="321"/>
      <c r="EC293" s="321"/>
      <c r="ED293" s="321"/>
      <c r="EE293" s="321"/>
      <c r="EF293" s="321"/>
      <c r="EG293" s="321"/>
      <c r="EH293" s="321"/>
      <c r="EI293" s="321"/>
      <c r="EJ293" s="321"/>
      <c r="EK293" s="321"/>
      <c r="EL293" s="321"/>
      <c r="EM293" s="321"/>
      <c r="EN293" s="564"/>
      <c r="EO293" s="1236"/>
      <c r="EP293" s="328"/>
      <c r="EQ293" s="328"/>
      <c r="ER293" s="328"/>
      <c r="ES293" s="443"/>
      <c r="ET293" s="328"/>
      <c r="EU293" s="443"/>
      <c r="EV293" s="328"/>
      <c r="EW293" s="328"/>
      <c r="EX293" s="436"/>
      <c r="EY293" s="443"/>
      <c r="EZ293" s="443"/>
      <c r="FA293" s="443"/>
      <c r="FB293" s="328"/>
      <c r="FC293" s="328"/>
      <c r="FD293" s="1237"/>
      <c r="FE293" s="483"/>
      <c r="FF293" s="321"/>
      <c r="FG293" s="321"/>
      <c r="FH293" s="321"/>
      <c r="FI293" s="321"/>
      <c r="FJ293" s="321"/>
      <c r="FK293" s="321"/>
      <c r="FL293" s="321"/>
      <c r="FM293" s="321"/>
      <c r="FN293" s="321"/>
      <c r="FO293" s="321"/>
      <c r="FP293" s="321"/>
      <c r="FQ293" s="321"/>
      <c r="FR293" s="321"/>
      <c r="FS293" s="321"/>
      <c r="FT293" s="321"/>
      <c r="FU293" s="1236">
        <v>20</v>
      </c>
      <c r="FV293" s="328"/>
      <c r="FW293" s="328"/>
      <c r="FX293" s="328"/>
      <c r="FY293" s="328"/>
      <c r="FZ293" s="328"/>
      <c r="GA293" s="328"/>
      <c r="GB293" s="328"/>
      <c r="GC293" s="328"/>
      <c r="GD293" s="328"/>
      <c r="GE293" s="328"/>
      <c r="GF293" s="328"/>
      <c r="GG293" s="328"/>
      <c r="GH293" s="328"/>
      <c r="GI293" s="328"/>
      <c r="GJ293" s="1237"/>
      <c r="GK293" s="1236"/>
      <c r="GL293" s="328"/>
      <c r="GM293" s="328"/>
      <c r="GN293" s="328"/>
      <c r="GO293" s="328"/>
      <c r="GP293" s="328"/>
      <c r="GQ293" s="328"/>
      <c r="GR293" s="328"/>
      <c r="GS293" s="328"/>
      <c r="GT293" s="328"/>
      <c r="GU293" s="328"/>
      <c r="GV293" s="328"/>
      <c r="GW293" s="328"/>
      <c r="GX293" s="328"/>
      <c r="GY293" s="328"/>
      <c r="GZ293" s="1237"/>
      <c r="HA293" s="1236"/>
      <c r="HB293" s="328"/>
      <c r="HC293" s="328"/>
      <c r="HD293" s="328"/>
      <c r="HE293" s="328"/>
      <c r="HF293" s="328"/>
      <c r="HG293" s="328"/>
      <c r="HH293" s="328"/>
      <c r="HI293" s="328"/>
      <c r="HJ293" s="328"/>
      <c r="HK293" s="328"/>
      <c r="HL293" s="328"/>
      <c r="HM293" s="328"/>
      <c r="HN293" s="328"/>
      <c r="HO293" s="328"/>
      <c r="HP293" s="1237"/>
      <c r="HQ293" s="483">
        <v>50</v>
      </c>
      <c r="HR293" s="321"/>
      <c r="HS293" s="321"/>
      <c r="HT293" s="321"/>
      <c r="HU293" s="321"/>
      <c r="HV293" s="321"/>
      <c r="HW293" s="321"/>
      <c r="HX293" s="321"/>
      <c r="HY293" s="321"/>
      <c r="HZ293" s="321"/>
      <c r="IA293" s="321"/>
      <c r="IB293" s="321"/>
      <c r="IC293" s="321"/>
      <c r="ID293" s="321"/>
      <c r="IE293" s="321"/>
      <c r="IF293" s="564"/>
      <c r="IG293" s="423"/>
      <c r="IH293" s="429"/>
      <c r="II293" s="418"/>
      <c r="IJ293" s="429"/>
      <c r="IK293" s="418"/>
      <c r="IL293" s="429"/>
      <c r="IM293" s="418"/>
      <c r="IN293" s="436"/>
      <c r="IO293" s="418"/>
      <c r="IP293" s="443"/>
      <c r="IQ293" s="418"/>
      <c r="IR293" s="443"/>
      <c r="IS293" s="418"/>
      <c r="IT293" s="443"/>
      <c r="IU293" s="418"/>
      <c r="IV293" s="423"/>
    </row>
    <row r="294" spans="1:256" s="326" customFormat="1" ht="8.25" customHeight="1">
      <c r="A294" s="483">
        <v>141</v>
      </c>
      <c r="B294" s="321"/>
      <c r="C294" s="321"/>
      <c r="D294" s="321"/>
      <c r="E294" s="321"/>
      <c r="F294" s="321"/>
      <c r="G294" s="321"/>
      <c r="H294" s="321"/>
      <c r="I294" s="321"/>
      <c r="J294" s="321"/>
      <c r="K294" s="321"/>
      <c r="L294" s="321"/>
      <c r="M294" s="321"/>
      <c r="N294" s="321"/>
      <c r="O294" s="321"/>
      <c r="P294" s="564"/>
      <c r="Q294" s="483">
        <v>141</v>
      </c>
      <c r="R294" s="321"/>
      <c r="S294" s="321"/>
      <c r="T294" s="321"/>
      <c r="U294" s="321"/>
      <c r="V294" s="321"/>
      <c r="W294" s="321"/>
      <c r="X294" s="321"/>
      <c r="Y294" s="321"/>
      <c r="Z294" s="321"/>
      <c r="AA294" s="321"/>
      <c r="AB294" s="321"/>
      <c r="AC294" s="321"/>
      <c r="AD294" s="321"/>
      <c r="AE294" s="321"/>
      <c r="AF294" s="564"/>
      <c r="AG294" s="455"/>
      <c r="AH294" s="428"/>
      <c r="AI294" s="428"/>
      <c r="AJ294" s="428"/>
      <c r="AK294" s="428"/>
      <c r="AL294" s="428"/>
      <c r="AM294" s="428"/>
      <c r="AN294" s="428"/>
      <c r="AO294" s="448"/>
      <c r="AP294" s="455"/>
      <c r="AQ294" s="448"/>
      <c r="AR294" s="448"/>
      <c r="AS294" s="428"/>
      <c r="AT294" s="428"/>
      <c r="AU294" s="428"/>
      <c r="AV294" s="461"/>
      <c r="AW294" s="449"/>
      <c r="AX294" s="449"/>
      <c r="AY294" s="427"/>
      <c r="AZ294" s="427"/>
      <c r="BA294" s="427"/>
      <c r="BB294" s="427"/>
      <c r="BC294" s="456"/>
      <c r="BD294" s="462"/>
      <c r="BE294" s="441"/>
      <c r="BF294" s="462"/>
      <c r="BG294" s="462"/>
      <c r="BH294" s="441"/>
      <c r="BI294" s="434"/>
      <c r="BJ294" s="456"/>
      <c r="BK294" s="427"/>
      <c r="BL294" s="449"/>
      <c r="BM294" s="432"/>
      <c r="BN294" s="462"/>
      <c r="BO294" s="436"/>
      <c r="BP294" s="420"/>
      <c r="BQ294" s="432"/>
      <c r="BR294" s="416"/>
      <c r="BS294" s="421"/>
      <c r="BT294" s="412"/>
      <c r="BU294" s="431"/>
      <c r="BV294" s="438"/>
      <c r="BW294" s="431"/>
      <c r="BX294" s="431"/>
      <c r="BY294" s="412"/>
      <c r="BZ294" s="412"/>
      <c r="CA294" s="421"/>
      <c r="CB294" s="432"/>
      <c r="CC294" s="1236"/>
      <c r="CD294" s="695"/>
      <c r="CE294" s="328"/>
      <c r="CF294" s="328"/>
      <c r="CG294" s="328"/>
      <c r="CH294" s="328"/>
      <c r="CI294" s="328"/>
      <c r="CJ294" s="328"/>
      <c r="CK294" s="328"/>
      <c r="CL294" s="328"/>
      <c r="CM294" s="328"/>
      <c r="CN294" s="328"/>
      <c r="CO294" s="328"/>
      <c r="CP294" s="328"/>
      <c r="CQ294" s="328"/>
      <c r="CR294" s="1237"/>
      <c r="CS294" s="1236"/>
      <c r="CT294" s="328"/>
      <c r="CU294" s="328"/>
      <c r="CV294" s="328"/>
      <c r="CW294" s="328"/>
      <c r="CX294" s="328"/>
      <c r="CY294" s="328"/>
      <c r="CZ294" s="328"/>
      <c r="DA294" s="328"/>
      <c r="DB294" s="328"/>
      <c r="DC294" s="328"/>
      <c r="DD294" s="328"/>
      <c r="DE294" s="328"/>
      <c r="DF294" s="328"/>
      <c r="DG294" s="328"/>
      <c r="DH294" s="1237"/>
      <c r="DI294" s="483">
        <v>141</v>
      </c>
      <c r="DJ294" s="321"/>
      <c r="DK294" s="321"/>
      <c r="DL294" s="321"/>
      <c r="DM294" s="321"/>
      <c r="DN294" s="321"/>
      <c r="DO294" s="321"/>
      <c r="DP294" s="321"/>
      <c r="DQ294" s="321"/>
      <c r="DR294" s="321"/>
      <c r="DS294" s="321"/>
      <c r="DT294" s="321"/>
      <c r="DU294" s="321"/>
      <c r="DV294" s="321"/>
      <c r="DW294" s="321"/>
      <c r="DX294" s="564"/>
      <c r="DY294" s="483">
        <v>141</v>
      </c>
      <c r="DZ294" s="321"/>
      <c r="EA294" s="321"/>
      <c r="EB294" s="321"/>
      <c r="EC294" s="321"/>
      <c r="ED294" s="321"/>
      <c r="EE294" s="321"/>
      <c r="EF294" s="321"/>
      <c r="EG294" s="321"/>
      <c r="EH294" s="321"/>
      <c r="EI294" s="321"/>
      <c r="EJ294" s="321"/>
      <c r="EK294" s="321"/>
      <c r="EL294" s="321"/>
      <c r="EM294" s="321"/>
      <c r="EN294" s="564"/>
      <c r="EO294" s="1236"/>
      <c r="EP294" s="328"/>
      <c r="EQ294" s="328"/>
      <c r="ER294" s="328"/>
      <c r="ES294" s="328"/>
      <c r="ET294" s="328"/>
      <c r="EU294" s="328"/>
      <c r="EV294" s="328"/>
      <c r="EW294" s="328"/>
      <c r="EX294" s="328"/>
      <c r="EY294" s="328"/>
      <c r="EZ294" s="328"/>
      <c r="FA294" s="328"/>
      <c r="FB294" s="328"/>
      <c r="FC294" s="328"/>
      <c r="FD294" s="1237"/>
      <c r="FE294" s="483"/>
      <c r="FF294" s="321"/>
      <c r="FG294" s="321"/>
      <c r="FH294" s="321"/>
      <c r="FI294" s="321"/>
      <c r="FJ294" s="321"/>
      <c r="FK294" s="321"/>
      <c r="FL294" s="321"/>
      <c r="FM294" s="321"/>
      <c r="FN294" s="321"/>
      <c r="FO294" s="321"/>
      <c r="FP294" s="321"/>
      <c r="FQ294" s="321"/>
      <c r="FR294" s="321"/>
      <c r="FS294" s="321"/>
      <c r="FT294" s="321"/>
      <c r="FU294" s="1236">
        <v>157</v>
      </c>
      <c r="FV294" s="328"/>
      <c r="FW294" s="328"/>
      <c r="FX294" s="328"/>
      <c r="FY294" s="328"/>
      <c r="FZ294" s="328"/>
      <c r="GA294" s="328"/>
      <c r="GB294" s="328"/>
      <c r="GC294" s="328"/>
      <c r="GD294" s="328"/>
      <c r="GE294" s="328"/>
      <c r="GF294" s="328"/>
      <c r="GG294" s="328"/>
      <c r="GH294" s="328"/>
      <c r="GI294" s="328"/>
      <c r="GJ294" s="1237"/>
      <c r="GK294" s="1236"/>
      <c r="GL294" s="328"/>
      <c r="GM294" s="328"/>
      <c r="GN294" s="328"/>
      <c r="GO294" s="328"/>
      <c r="GP294" s="328"/>
      <c r="GQ294" s="328"/>
      <c r="GR294" s="328"/>
      <c r="GS294" s="328"/>
      <c r="GT294" s="328"/>
      <c r="GU294" s="328"/>
      <c r="GV294" s="328"/>
      <c r="GW294" s="328"/>
      <c r="GX294" s="328"/>
      <c r="GY294" s="328"/>
      <c r="GZ294" s="1237"/>
      <c r="HA294" s="1236"/>
      <c r="HB294" s="328"/>
      <c r="HC294" s="328"/>
      <c r="HD294" s="328"/>
      <c r="HE294" s="328"/>
      <c r="HF294" s="328"/>
      <c r="HG294" s="328"/>
      <c r="HH294" s="328"/>
      <c r="HI294" s="328"/>
      <c r="HJ294" s="328"/>
      <c r="HK294" s="328"/>
      <c r="HL294" s="328"/>
      <c r="HM294" s="328"/>
      <c r="HN294" s="328"/>
      <c r="HO294" s="328"/>
      <c r="HP294" s="1237"/>
      <c r="HQ294" s="483">
        <v>176</v>
      </c>
      <c r="HR294" s="321"/>
      <c r="HS294" s="414"/>
      <c r="HT294" s="414"/>
      <c r="HU294" s="414"/>
      <c r="HV294" s="414"/>
      <c r="HW294" s="414"/>
      <c r="HX294" s="414"/>
      <c r="HY294" s="414"/>
      <c r="HZ294" s="414"/>
      <c r="IA294" s="414"/>
      <c r="IB294" s="414"/>
      <c r="IC294" s="414"/>
      <c r="ID294" s="414"/>
      <c r="IE294" s="321"/>
      <c r="IF294" s="564"/>
      <c r="IG294" s="423"/>
      <c r="IH294" s="429"/>
      <c r="II294" s="418"/>
      <c r="IJ294" s="429"/>
      <c r="IK294" s="418"/>
      <c r="IL294" s="436"/>
      <c r="IM294" s="418"/>
      <c r="IN294" s="443"/>
      <c r="IO294" s="418"/>
      <c r="IP294" s="443"/>
      <c r="IQ294" s="418"/>
      <c r="IR294" s="443"/>
      <c r="IS294" s="418"/>
      <c r="IT294" s="443"/>
      <c r="IU294" s="418"/>
      <c r="IV294" s="423"/>
    </row>
    <row r="295" spans="1:256" s="326" customFormat="1" ht="8.25" customHeight="1">
      <c r="A295" s="483"/>
      <c r="B295" s="321"/>
      <c r="C295" s="321"/>
      <c r="D295" s="321"/>
      <c r="E295" s="321"/>
      <c r="F295" s="321"/>
      <c r="G295" s="321"/>
      <c r="H295" s="321"/>
      <c r="I295" s="321"/>
      <c r="J295" s="321"/>
      <c r="K295" s="321"/>
      <c r="L295" s="321"/>
      <c r="M295" s="321"/>
      <c r="N295" s="321"/>
      <c r="O295" s="321"/>
      <c r="P295" s="564"/>
      <c r="Q295" s="483"/>
      <c r="R295" s="321"/>
      <c r="S295" s="321"/>
      <c r="T295" s="321"/>
      <c r="U295" s="321"/>
      <c r="V295" s="321"/>
      <c r="W295" s="321"/>
      <c r="X295" s="321"/>
      <c r="Y295" s="321"/>
      <c r="Z295" s="321"/>
      <c r="AA295" s="321"/>
      <c r="AB295" s="321"/>
      <c r="AC295" s="321"/>
      <c r="AD295" s="321"/>
      <c r="AE295" s="321"/>
      <c r="AF295" s="564"/>
      <c r="AG295" s="428">
        <v>-5</v>
      </c>
      <c r="AH295" s="420"/>
      <c r="AI295" s="462"/>
      <c r="AJ295" s="436"/>
      <c r="AK295" s="420"/>
      <c r="AL295" s="428"/>
      <c r="AM295" s="428"/>
      <c r="AN295" s="428"/>
      <c r="AO295" s="428"/>
      <c r="AP295" s="448"/>
      <c r="AQ295" s="446"/>
      <c r="AR295" s="433"/>
      <c r="AS295" s="433"/>
      <c r="AT295" s="426"/>
      <c r="AU295" s="428"/>
      <c r="AV295" s="448"/>
      <c r="AW295" s="456">
        <v>40</v>
      </c>
      <c r="AX295" s="427"/>
      <c r="AY295" s="449"/>
      <c r="AZ295" s="427"/>
      <c r="BA295" s="427"/>
      <c r="BB295" s="456"/>
      <c r="BC295" s="427"/>
      <c r="BD295" s="456"/>
      <c r="BE295" s="434"/>
      <c r="BF295" s="456"/>
      <c r="BG295" s="447"/>
      <c r="BH295" s="462"/>
      <c r="BI295" s="441"/>
      <c r="BJ295" s="462"/>
      <c r="BK295" s="434"/>
      <c r="BL295" s="449"/>
      <c r="BM295" s="462">
        <v>-5</v>
      </c>
      <c r="BN295" s="443"/>
      <c r="BO295" s="443"/>
      <c r="BP295" s="436"/>
      <c r="BQ295" s="432"/>
      <c r="BR295" s="416"/>
      <c r="BS295" s="421"/>
      <c r="BT295" s="412"/>
      <c r="BU295" s="412"/>
      <c r="BV295" s="431"/>
      <c r="BW295" s="438"/>
      <c r="BX295" s="431"/>
      <c r="BY295" s="431"/>
      <c r="BZ295" s="412"/>
      <c r="CA295" s="412"/>
      <c r="CB295" s="432"/>
      <c r="CC295" s="1236"/>
      <c r="CD295" s="695"/>
      <c r="CE295" s="328"/>
      <c r="CF295" s="328"/>
      <c r="CG295" s="328"/>
      <c r="CH295" s="328"/>
      <c r="CI295" s="328"/>
      <c r="CJ295" s="328"/>
      <c r="CK295" s="328"/>
      <c r="CL295" s="328"/>
      <c r="CM295" s="328"/>
      <c r="CN295" s="328"/>
      <c r="CO295" s="328"/>
      <c r="CP295" s="328"/>
      <c r="CQ295" s="328"/>
      <c r="CR295" s="1237"/>
      <c r="CS295" s="1236"/>
      <c r="CT295" s="328"/>
      <c r="CU295" s="328"/>
      <c r="CV295" s="328"/>
      <c r="CW295" s="328"/>
      <c r="CX295" s="328"/>
      <c r="CY295" s="328"/>
      <c r="CZ295" s="328"/>
      <c r="DA295" s="328"/>
      <c r="DB295" s="328"/>
      <c r="DC295" s="328"/>
      <c r="DD295" s="328"/>
      <c r="DE295" s="328"/>
      <c r="DF295" s="328"/>
      <c r="DG295" s="328"/>
      <c r="DH295" s="1237"/>
      <c r="DI295" s="483"/>
      <c r="DJ295" s="321"/>
      <c r="DK295" s="321"/>
      <c r="DL295" s="321"/>
      <c r="DM295" s="321"/>
      <c r="DN295" s="321"/>
      <c r="DO295" s="321"/>
      <c r="DP295" s="321"/>
      <c r="DQ295" s="321"/>
      <c r="DR295" s="321"/>
      <c r="DS295" s="321"/>
      <c r="DT295" s="321"/>
      <c r="DU295" s="321"/>
      <c r="DV295" s="321"/>
      <c r="DW295" s="321"/>
      <c r="DX295" s="564"/>
      <c r="DY295" s="483"/>
      <c r="DZ295" s="321"/>
      <c r="EA295" s="321"/>
      <c r="EB295" s="321"/>
      <c r="EC295" s="321"/>
      <c r="ED295" s="321"/>
      <c r="EE295" s="321"/>
      <c r="EF295" s="321"/>
      <c r="EG295" s="321"/>
      <c r="EH295" s="321"/>
      <c r="EI295" s="321"/>
      <c r="EJ295" s="321"/>
      <c r="EK295" s="321"/>
      <c r="EL295" s="321"/>
      <c r="EM295" s="321"/>
      <c r="EN295" s="564"/>
      <c r="EO295" s="1236"/>
      <c r="EP295" s="328"/>
      <c r="EQ295" s="452"/>
      <c r="ER295" s="452"/>
      <c r="ES295" s="452"/>
      <c r="ET295" s="452"/>
      <c r="EU295" s="452"/>
      <c r="EV295" s="452"/>
      <c r="EW295" s="452"/>
      <c r="EX295" s="452"/>
      <c r="EY295" s="452"/>
      <c r="EZ295" s="452"/>
      <c r="FA295" s="452"/>
      <c r="FB295" s="452"/>
      <c r="FC295" s="328"/>
      <c r="FD295" s="1237"/>
      <c r="FE295" s="483"/>
      <c r="FF295" s="321"/>
      <c r="FG295" s="321"/>
      <c r="FH295" s="321"/>
      <c r="FI295" s="321"/>
      <c r="FJ295" s="321"/>
      <c r="FK295" s="321"/>
      <c r="FL295" s="321"/>
      <c r="FM295" s="321"/>
      <c r="FN295" s="321"/>
      <c r="FO295" s="321"/>
      <c r="FP295" s="321"/>
      <c r="FQ295" s="321"/>
      <c r="FR295" s="321"/>
      <c r="FS295" s="321"/>
      <c r="FT295" s="321"/>
      <c r="FU295" s="1236"/>
      <c r="FV295" s="328"/>
      <c r="FW295" s="328"/>
      <c r="FX295" s="328"/>
      <c r="FY295" s="328"/>
      <c r="FZ295" s="328"/>
      <c r="GA295" s="328"/>
      <c r="GB295" s="328"/>
      <c r="GC295" s="328"/>
      <c r="GD295" s="328"/>
      <c r="GE295" s="328"/>
      <c r="GF295" s="328"/>
      <c r="GG295" s="328"/>
      <c r="GH295" s="328"/>
      <c r="GI295" s="328"/>
      <c r="GJ295" s="1237"/>
      <c r="GK295" s="1236"/>
      <c r="GL295" s="328"/>
      <c r="GM295" s="328"/>
      <c r="GN295" s="328"/>
      <c r="GO295" s="328"/>
      <c r="GP295" s="328"/>
      <c r="GQ295" s="328"/>
      <c r="GR295" s="328"/>
      <c r="GS295" s="328"/>
      <c r="GT295" s="328"/>
      <c r="GU295" s="328"/>
      <c r="GV295" s="328"/>
      <c r="GW295" s="328"/>
      <c r="GX295" s="328"/>
      <c r="GY295" s="328"/>
      <c r="GZ295" s="1237"/>
      <c r="HA295" s="1236"/>
      <c r="HB295" s="328"/>
      <c r="HC295" s="328"/>
      <c r="HD295" s="328"/>
      <c r="HE295" s="328"/>
      <c r="HF295" s="328"/>
      <c r="HG295" s="328"/>
      <c r="HH295" s="328"/>
      <c r="HI295" s="328"/>
      <c r="HJ295" s="328"/>
      <c r="HK295" s="328"/>
      <c r="HL295" s="328"/>
      <c r="HM295" s="328"/>
      <c r="HN295" s="328"/>
      <c r="HO295" s="328"/>
      <c r="HP295" s="1237"/>
      <c r="HQ295" s="483"/>
      <c r="HR295" s="321"/>
      <c r="HS295" s="414"/>
      <c r="HT295" s="412"/>
      <c r="HU295" s="412"/>
      <c r="HV295" s="412"/>
      <c r="HW295" s="412"/>
      <c r="HX295" s="412"/>
      <c r="HY295" s="412"/>
      <c r="HZ295" s="412"/>
      <c r="IA295" s="412"/>
      <c r="IB295" s="412"/>
      <c r="IC295" s="412"/>
      <c r="ID295" s="414"/>
      <c r="IE295" s="321"/>
      <c r="IF295" s="564"/>
      <c r="IG295" s="423"/>
      <c r="IH295" s="429"/>
      <c r="II295" s="418"/>
      <c r="IJ295" s="436"/>
      <c r="IK295" s="418"/>
      <c r="IL295" s="443"/>
      <c r="IM295" s="418"/>
      <c r="IN295" s="443"/>
      <c r="IO295" s="418"/>
      <c r="IP295" s="443"/>
      <c r="IQ295" s="418"/>
      <c r="IR295" s="443"/>
      <c r="IS295" s="418"/>
      <c r="IT295" s="443"/>
      <c r="IU295" s="418"/>
      <c r="IV295" s="423"/>
    </row>
    <row r="296" spans="1:256" s="326" customFormat="1" ht="8.25" customHeight="1">
      <c r="A296" s="483"/>
      <c r="B296" s="321"/>
      <c r="C296" s="321"/>
      <c r="D296" s="321"/>
      <c r="E296" s="321"/>
      <c r="F296" s="321"/>
      <c r="G296" s="321"/>
      <c r="H296" s="321"/>
      <c r="I296" s="321"/>
      <c r="J296" s="321"/>
      <c r="K296" s="321"/>
      <c r="L296" s="321"/>
      <c r="M296" s="321"/>
      <c r="N296" s="321"/>
      <c r="O296" s="321"/>
      <c r="P296" s="564"/>
      <c r="Q296" s="483"/>
      <c r="R296" s="321"/>
      <c r="S296" s="321"/>
      <c r="T296" s="321"/>
      <c r="U296" s="321"/>
      <c r="V296" s="321"/>
      <c r="W296" s="321"/>
      <c r="X296" s="321"/>
      <c r="Y296" s="321"/>
      <c r="Z296" s="321"/>
      <c r="AA296" s="321"/>
      <c r="AB296" s="321"/>
      <c r="AC296" s="321"/>
      <c r="AD296" s="321"/>
      <c r="AE296" s="321"/>
      <c r="AF296" s="564"/>
      <c r="AG296" s="428">
        <v>2</v>
      </c>
      <c r="AH296" s="462"/>
      <c r="AI296" s="443"/>
      <c r="AJ296" s="443"/>
      <c r="AK296" s="436"/>
      <c r="AL296" s="428"/>
      <c r="AM296" s="464"/>
      <c r="AN296" s="464"/>
      <c r="AO296" s="428"/>
      <c r="AP296" s="446"/>
      <c r="AQ296" s="426"/>
      <c r="AR296" s="446"/>
      <c r="AS296" s="426"/>
      <c r="AT296" s="440"/>
      <c r="AU296" s="426"/>
      <c r="AV296" s="428"/>
      <c r="AW296" s="456"/>
      <c r="AX296" s="456"/>
      <c r="AY296" s="449"/>
      <c r="AZ296" s="449"/>
      <c r="BA296" s="427"/>
      <c r="BB296" s="449"/>
      <c r="BC296" s="427"/>
      <c r="BD296" s="456"/>
      <c r="BE296" s="427"/>
      <c r="BF296" s="456"/>
      <c r="BG296" s="441"/>
      <c r="BH296" s="462"/>
      <c r="BI296" s="447"/>
      <c r="BJ296" s="462"/>
      <c r="BK296" s="462"/>
      <c r="BL296" s="434"/>
      <c r="BM296" s="436"/>
      <c r="BN296" s="443"/>
      <c r="BO296" s="443"/>
      <c r="BP296" s="449"/>
      <c r="BQ296" s="432"/>
      <c r="BR296" s="416"/>
      <c r="BS296" s="421"/>
      <c r="BT296" s="412"/>
      <c r="BU296" s="412"/>
      <c r="BV296" s="438"/>
      <c r="BW296" s="451"/>
      <c r="BX296" s="458"/>
      <c r="BY296" s="445"/>
      <c r="BZ296" s="438"/>
      <c r="CA296" s="412"/>
      <c r="CB296" s="432"/>
      <c r="CC296" s="1236"/>
      <c r="CD296" s="695"/>
      <c r="CE296" s="328"/>
      <c r="CF296" s="328"/>
      <c r="CG296" s="328"/>
      <c r="CH296" s="328"/>
      <c r="CI296" s="328"/>
      <c r="CJ296" s="328"/>
      <c r="CK296" s="328"/>
      <c r="CL296" s="328"/>
      <c r="CM296" s="328"/>
      <c r="CN296" s="328"/>
      <c r="CO296" s="328"/>
      <c r="CP296" s="328"/>
      <c r="CQ296" s="328"/>
      <c r="CR296" s="1237"/>
      <c r="CS296" s="1236"/>
      <c r="CT296" s="328"/>
      <c r="CU296" s="328"/>
      <c r="CV296" s="328"/>
      <c r="CW296" s="328"/>
      <c r="CX296" s="328"/>
      <c r="CY296" s="328"/>
      <c r="CZ296" s="328"/>
      <c r="DA296" s="328"/>
      <c r="DB296" s="328"/>
      <c r="DC296" s="328"/>
      <c r="DD296" s="328"/>
      <c r="DE296" s="328"/>
      <c r="DF296" s="328"/>
      <c r="DG296" s="328"/>
      <c r="DH296" s="1237"/>
      <c r="DI296" s="483"/>
      <c r="DJ296" s="321"/>
      <c r="DK296" s="321"/>
      <c r="DL296" s="321"/>
      <c r="DM296" s="321"/>
      <c r="DN296" s="321"/>
      <c r="DO296" s="321"/>
      <c r="DP296" s="321"/>
      <c r="DQ296" s="321"/>
      <c r="DR296" s="321"/>
      <c r="DS296" s="321"/>
      <c r="DT296" s="321"/>
      <c r="DU296" s="321"/>
      <c r="DV296" s="321"/>
      <c r="DW296" s="321"/>
      <c r="DX296" s="564"/>
      <c r="DY296" s="483"/>
      <c r="DZ296" s="321"/>
      <c r="EA296" s="321"/>
      <c r="EB296" s="321"/>
      <c r="EC296" s="321"/>
      <c r="ED296" s="321"/>
      <c r="EE296" s="321"/>
      <c r="EF296" s="321"/>
      <c r="EG296" s="321"/>
      <c r="EH296" s="321"/>
      <c r="EI296" s="321"/>
      <c r="EJ296" s="321"/>
      <c r="EK296" s="321"/>
      <c r="EL296" s="321"/>
      <c r="EM296" s="321"/>
      <c r="EN296" s="564"/>
      <c r="EO296" s="1236"/>
      <c r="EP296" s="452"/>
      <c r="EQ296" s="411"/>
      <c r="ER296" s="411"/>
      <c r="ES296" s="413"/>
      <c r="ET296" s="411"/>
      <c r="EU296" s="411"/>
      <c r="EV296" s="411"/>
      <c r="EW296" s="411"/>
      <c r="EX296" s="411"/>
      <c r="EY296" s="411"/>
      <c r="EZ296" s="413"/>
      <c r="FA296" s="411"/>
      <c r="FB296" s="411"/>
      <c r="FC296" s="411"/>
      <c r="FD296" s="1237"/>
      <c r="FE296" s="483"/>
      <c r="FF296" s="321"/>
      <c r="FG296" s="321"/>
      <c r="FH296" s="321"/>
      <c r="FI296" s="321"/>
      <c r="FJ296" s="321"/>
      <c r="FK296" s="321"/>
      <c r="FL296" s="321"/>
      <c r="FM296" s="321"/>
      <c r="FN296" s="321"/>
      <c r="FO296" s="321"/>
      <c r="FP296" s="321"/>
      <c r="FQ296" s="321"/>
      <c r="FR296" s="321"/>
      <c r="FS296" s="321"/>
      <c r="FT296" s="321"/>
      <c r="FU296" s="1236"/>
      <c r="FV296" s="328"/>
      <c r="FW296" s="328"/>
      <c r="FX296" s="328"/>
      <c r="FY296" s="328"/>
      <c r="FZ296" s="328"/>
      <c r="GA296" s="328"/>
      <c r="GB296" s="328"/>
      <c r="GC296" s="328"/>
      <c r="GD296" s="328"/>
      <c r="GE296" s="328"/>
      <c r="GF296" s="328"/>
      <c r="GG296" s="328"/>
      <c r="GH296" s="328"/>
      <c r="GI296" s="328"/>
      <c r="GJ296" s="1237"/>
      <c r="GK296" s="1236"/>
      <c r="GL296" s="328"/>
      <c r="GM296" s="328"/>
      <c r="GN296" s="328"/>
      <c r="GO296" s="328"/>
      <c r="GP296" s="328"/>
      <c r="GQ296" s="328"/>
      <c r="GR296" s="328"/>
      <c r="GS296" s="328"/>
      <c r="GT296" s="328"/>
      <c r="GU296" s="328"/>
      <c r="GV296" s="328"/>
      <c r="GW296" s="328"/>
      <c r="GX296" s="328"/>
      <c r="GY296" s="328"/>
      <c r="GZ296" s="1237"/>
      <c r="HA296" s="1236"/>
      <c r="HB296" s="328"/>
      <c r="HC296" s="328"/>
      <c r="HD296" s="328"/>
      <c r="HE296" s="328"/>
      <c r="HF296" s="328"/>
      <c r="HG296" s="328"/>
      <c r="HH296" s="328"/>
      <c r="HI296" s="328"/>
      <c r="HJ296" s="328"/>
      <c r="HK296" s="328"/>
      <c r="HL296" s="328"/>
      <c r="HM296" s="328"/>
      <c r="HN296" s="328"/>
      <c r="HO296" s="328"/>
      <c r="HP296" s="1237"/>
      <c r="HQ296" s="483"/>
      <c r="HR296" s="321"/>
      <c r="HS296" s="414"/>
      <c r="HT296" s="412"/>
      <c r="HU296" s="412"/>
      <c r="HV296" s="412"/>
      <c r="HW296" s="412"/>
      <c r="HX296" s="412"/>
      <c r="HY296" s="431"/>
      <c r="HZ296" s="412"/>
      <c r="IA296" s="412"/>
      <c r="IB296" s="412"/>
      <c r="IC296" s="412"/>
      <c r="ID296" s="414"/>
      <c r="IE296" s="321"/>
      <c r="IF296" s="564"/>
      <c r="IG296" s="423"/>
      <c r="IH296" s="436"/>
      <c r="II296" s="409"/>
      <c r="IJ296" s="443"/>
      <c r="IK296" s="409"/>
      <c r="IL296" s="456"/>
      <c r="IM296" s="409"/>
      <c r="IN296" s="456"/>
      <c r="IO296" s="409"/>
      <c r="IP296" s="456"/>
      <c r="IQ296" s="409"/>
      <c r="IR296" s="456"/>
      <c r="IS296" s="409"/>
      <c r="IT296" s="456"/>
      <c r="IU296" s="417"/>
      <c r="IV296" s="423"/>
    </row>
    <row r="297" spans="1:256" s="326" customFormat="1" ht="8.25" customHeight="1">
      <c r="A297" s="483"/>
      <c r="B297" s="321"/>
      <c r="C297" s="321"/>
      <c r="D297" s="321"/>
      <c r="E297" s="321"/>
      <c r="F297" s="321"/>
      <c r="G297" s="321"/>
      <c r="H297" s="321"/>
      <c r="I297" s="321"/>
      <c r="J297" s="321"/>
      <c r="K297" s="321"/>
      <c r="L297" s="321"/>
      <c r="M297" s="321"/>
      <c r="N297" s="321"/>
      <c r="O297" s="321"/>
      <c r="P297" s="564"/>
      <c r="Q297" s="483"/>
      <c r="R297" s="321"/>
      <c r="S297" s="321"/>
      <c r="T297" s="321"/>
      <c r="U297" s="321"/>
      <c r="V297" s="321"/>
      <c r="W297" s="321"/>
      <c r="X297" s="321"/>
      <c r="Y297" s="321"/>
      <c r="Z297" s="321"/>
      <c r="AA297" s="321"/>
      <c r="AB297" s="321"/>
      <c r="AC297" s="321"/>
      <c r="AD297" s="321"/>
      <c r="AE297" s="321"/>
      <c r="AF297" s="564"/>
      <c r="AG297" s="428">
        <v>5</v>
      </c>
      <c r="AH297" s="436"/>
      <c r="AI297" s="443"/>
      <c r="AJ297" s="443"/>
      <c r="AK297" s="449"/>
      <c r="AL297" s="428"/>
      <c r="AM297" s="412"/>
      <c r="AN297" s="412"/>
      <c r="AO297" s="428"/>
      <c r="AP297" s="446"/>
      <c r="AQ297" s="426"/>
      <c r="AR297" s="446"/>
      <c r="AS297" s="422"/>
      <c r="AT297" s="440"/>
      <c r="AU297" s="422"/>
      <c r="AV297" s="428"/>
      <c r="AW297" s="456"/>
      <c r="AX297" s="427"/>
      <c r="AY297" s="427"/>
      <c r="AZ297" s="449"/>
      <c r="BA297" s="427"/>
      <c r="BB297" s="449"/>
      <c r="BC297" s="449"/>
      <c r="BD297" s="449"/>
      <c r="BE297" s="427"/>
      <c r="BF297" s="456"/>
      <c r="BG297" s="434"/>
      <c r="BH297" s="456"/>
      <c r="BI297" s="447"/>
      <c r="BJ297" s="462"/>
      <c r="BK297" s="441"/>
      <c r="BL297" s="456"/>
      <c r="BM297" s="432"/>
      <c r="BN297" s="436"/>
      <c r="BO297" s="449"/>
      <c r="BP297" s="420"/>
      <c r="BQ297" s="432"/>
      <c r="BR297" s="416"/>
      <c r="BS297" s="431"/>
      <c r="BT297" s="412"/>
      <c r="BU297" s="412"/>
      <c r="BV297" s="412"/>
      <c r="BW297" s="438"/>
      <c r="BX297" s="445"/>
      <c r="BY297" s="438"/>
      <c r="BZ297" s="431"/>
      <c r="CA297" s="431"/>
      <c r="CB297" s="432"/>
      <c r="CC297" s="1236"/>
      <c r="CD297" s="695"/>
      <c r="CE297" s="328"/>
      <c r="CF297" s="328"/>
      <c r="CG297" s="328"/>
      <c r="CH297" s="328"/>
      <c r="CI297" s="328"/>
      <c r="CJ297" s="328"/>
      <c r="CK297" s="328"/>
      <c r="CL297" s="328"/>
      <c r="CM297" s="328"/>
      <c r="CN297" s="328"/>
      <c r="CO297" s="328"/>
      <c r="CP297" s="328"/>
      <c r="CQ297" s="328"/>
      <c r="CR297" s="1237"/>
      <c r="CS297" s="1236"/>
      <c r="CT297" s="328"/>
      <c r="CU297" s="328"/>
      <c r="CV297" s="328"/>
      <c r="CW297" s="328"/>
      <c r="CX297" s="328"/>
      <c r="CY297" s="328"/>
      <c r="CZ297" s="328"/>
      <c r="DA297" s="328"/>
      <c r="DB297" s="328"/>
      <c r="DC297" s="328"/>
      <c r="DD297" s="328"/>
      <c r="DE297" s="328"/>
      <c r="DF297" s="328"/>
      <c r="DG297" s="328"/>
      <c r="DH297" s="1237"/>
      <c r="DI297" s="483"/>
      <c r="DJ297" s="321"/>
      <c r="DK297" s="321"/>
      <c r="DL297" s="321"/>
      <c r="DM297" s="321"/>
      <c r="DN297" s="321"/>
      <c r="DO297" s="321"/>
      <c r="DP297" s="321"/>
      <c r="DQ297" s="321"/>
      <c r="DR297" s="321"/>
      <c r="DS297" s="321"/>
      <c r="DT297" s="321"/>
      <c r="DU297" s="321"/>
      <c r="DV297" s="321"/>
      <c r="DW297" s="321"/>
      <c r="DX297" s="564"/>
      <c r="DY297" s="483"/>
      <c r="DZ297" s="321"/>
      <c r="EA297" s="321"/>
      <c r="EB297" s="321"/>
      <c r="EC297" s="321"/>
      <c r="ED297" s="321"/>
      <c r="EE297" s="321"/>
      <c r="EF297" s="321"/>
      <c r="EG297" s="321"/>
      <c r="EH297" s="321"/>
      <c r="EI297" s="321"/>
      <c r="EJ297" s="321"/>
      <c r="EK297" s="321"/>
      <c r="EL297" s="321"/>
      <c r="EM297" s="321"/>
      <c r="EN297" s="564"/>
      <c r="EO297" s="1236"/>
      <c r="EP297" s="452"/>
      <c r="EQ297" s="411"/>
      <c r="ER297" s="413"/>
      <c r="ES297" s="413"/>
      <c r="ET297" s="413"/>
      <c r="EU297" s="411"/>
      <c r="EV297" s="411"/>
      <c r="EW297" s="411"/>
      <c r="EX297" s="411"/>
      <c r="EY297" s="413"/>
      <c r="EZ297" s="413"/>
      <c r="FA297" s="413"/>
      <c r="FB297" s="411"/>
      <c r="FC297" s="439"/>
      <c r="FD297" s="1237"/>
      <c r="FE297" s="483"/>
      <c r="FF297" s="321"/>
      <c r="FG297" s="321"/>
      <c r="FH297" s="321"/>
      <c r="FI297" s="321"/>
      <c r="FJ297" s="321"/>
      <c r="FK297" s="321"/>
      <c r="FL297" s="321"/>
      <c r="FM297" s="321"/>
      <c r="FN297" s="321"/>
      <c r="FO297" s="321"/>
      <c r="FP297" s="321"/>
      <c r="FQ297" s="321"/>
      <c r="FR297" s="321"/>
      <c r="FS297" s="321"/>
      <c r="FT297" s="321"/>
      <c r="FU297" s="1236"/>
      <c r="FV297" s="328"/>
      <c r="FW297" s="328"/>
      <c r="FX297" s="328"/>
      <c r="FY297" s="328"/>
      <c r="FZ297" s="328"/>
      <c r="GA297" s="328"/>
      <c r="GB297" s="328"/>
      <c r="GC297" s="328"/>
      <c r="GD297" s="328"/>
      <c r="GE297" s="328"/>
      <c r="GF297" s="328"/>
      <c r="GG297" s="328"/>
      <c r="GH297" s="328"/>
      <c r="GI297" s="328"/>
      <c r="GJ297" s="1237"/>
      <c r="GK297" s="1236"/>
      <c r="GL297" s="328"/>
      <c r="GM297" s="328"/>
      <c r="GN297" s="328"/>
      <c r="GO297" s="328"/>
      <c r="GP297" s="328"/>
      <c r="GQ297" s="328"/>
      <c r="GR297" s="328"/>
      <c r="GS297" s="328"/>
      <c r="GT297" s="328"/>
      <c r="GU297" s="328"/>
      <c r="GV297" s="328"/>
      <c r="GW297" s="328"/>
      <c r="GX297" s="328"/>
      <c r="GY297" s="328"/>
      <c r="GZ297" s="1237"/>
      <c r="HA297" s="1236"/>
      <c r="HB297" s="328"/>
      <c r="HC297" s="328"/>
      <c r="HD297" s="328"/>
      <c r="HE297" s="328"/>
      <c r="HF297" s="328"/>
      <c r="HG297" s="328"/>
      <c r="HH297" s="328"/>
      <c r="HI297" s="328"/>
      <c r="HJ297" s="328"/>
      <c r="HK297" s="328"/>
      <c r="HL297" s="328"/>
      <c r="HM297" s="328"/>
      <c r="HN297" s="328"/>
      <c r="HO297" s="328"/>
      <c r="HP297" s="1237"/>
      <c r="HQ297" s="483"/>
      <c r="HR297" s="321"/>
      <c r="HS297" s="414"/>
      <c r="HT297" s="412"/>
      <c r="HU297" s="412"/>
      <c r="HV297" s="412"/>
      <c r="HW297" s="412"/>
      <c r="HX297" s="431"/>
      <c r="HY297" s="412"/>
      <c r="HZ297" s="412"/>
      <c r="IA297" s="412"/>
      <c r="IB297" s="412"/>
      <c r="IC297" s="412"/>
      <c r="ID297" s="414"/>
      <c r="IE297" s="321"/>
      <c r="IF297" s="564"/>
      <c r="IG297" s="423"/>
      <c r="IH297" s="427"/>
      <c r="II297" s="427"/>
      <c r="IJ297" s="427"/>
      <c r="IK297" s="427"/>
      <c r="IL297" s="427"/>
      <c r="IM297" s="427"/>
      <c r="IN297" s="427"/>
      <c r="IO297" s="427"/>
      <c r="IP297" s="427"/>
      <c r="IQ297" s="427"/>
      <c r="IR297" s="427"/>
      <c r="IS297" s="427"/>
      <c r="IT297" s="427"/>
      <c r="IU297" s="427"/>
      <c r="IV297" s="423"/>
    </row>
    <row r="298" spans="1:256" s="326" customFormat="1" ht="8.25" customHeight="1">
      <c r="A298" s="483"/>
      <c r="B298" s="321"/>
      <c r="C298" s="321"/>
      <c r="D298" s="321"/>
      <c r="E298" s="321"/>
      <c r="F298" s="321"/>
      <c r="G298" s="321"/>
      <c r="H298" s="321"/>
      <c r="I298" s="321"/>
      <c r="J298" s="321"/>
      <c r="K298" s="321"/>
      <c r="L298" s="321"/>
      <c r="M298" s="321"/>
      <c r="N298" s="321"/>
      <c r="O298" s="321"/>
      <c r="P298" s="564"/>
      <c r="Q298" s="483"/>
      <c r="R298" s="321"/>
      <c r="S298" s="321"/>
      <c r="T298" s="321"/>
      <c r="U298" s="321"/>
      <c r="V298" s="321"/>
      <c r="W298" s="321"/>
      <c r="X298" s="321"/>
      <c r="Y298" s="321"/>
      <c r="Z298" s="321"/>
      <c r="AA298" s="321"/>
      <c r="AB298" s="321"/>
      <c r="AC298" s="321"/>
      <c r="AD298" s="321"/>
      <c r="AE298" s="321"/>
      <c r="AF298" s="564"/>
      <c r="AG298" s="428"/>
      <c r="AH298" s="420"/>
      <c r="AI298" s="436"/>
      <c r="AJ298" s="449"/>
      <c r="AK298" s="420"/>
      <c r="AL298" s="428"/>
      <c r="AM298" s="464"/>
      <c r="AN298" s="464"/>
      <c r="AO298" s="428"/>
      <c r="AP298" s="446"/>
      <c r="AQ298" s="426"/>
      <c r="AR298" s="446"/>
      <c r="AS298" s="422"/>
      <c r="AT298" s="440"/>
      <c r="AU298" s="422"/>
      <c r="AV298" s="448"/>
      <c r="AW298" s="462"/>
      <c r="AX298" s="456"/>
      <c r="AY298" s="456"/>
      <c r="AZ298" s="456"/>
      <c r="BA298" s="427"/>
      <c r="BB298" s="449"/>
      <c r="BC298" s="427"/>
      <c r="BD298" s="449"/>
      <c r="BE298" s="427"/>
      <c r="BF298" s="449"/>
      <c r="BG298" s="427"/>
      <c r="BH298" s="456"/>
      <c r="BI298" s="441"/>
      <c r="BJ298" s="462"/>
      <c r="BK298" s="447"/>
      <c r="BL298" s="462"/>
      <c r="BM298" s="432">
        <v>5</v>
      </c>
      <c r="BN298" s="432"/>
      <c r="BO298" s="432"/>
      <c r="BP298" s="432"/>
      <c r="BQ298" s="432"/>
      <c r="BR298" s="416"/>
      <c r="BS298" s="421"/>
      <c r="BT298" s="431"/>
      <c r="BU298" s="412"/>
      <c r="BV298" s="438"/>
      <c r="BW298" s="451"/>
      <c r="BX298" s="458"/>
      <c r="BY298" s="451"/>
      <c r="BZ298" s="445"/>
      <c r="CA298" s="438"/>
      <c r="CB298" s="439"/>
      <c r="CC298" s="1236"/>
      <c r="CD298" s="695"/>
      <c r="CE298" s="328"/>
      <c r="CF298" s="328"/>
      <c r="CG298" s="328"/>
      <c r="CH298" s="328"/>
      <c r="CI298" s="328"/>
      <c r="CJ298" s="328"/>
      <c r="CK298" s="328"/>
      <c r="CL298" s="328"/>
      <c r="CM298" s="328"/>
      <c r="CN298" s="328"/>
      <c r="CO298" s="328"/>
      <c r="CP298" s="328"/>
      <c r="CQ298" s="328"/>
      <c r="CR298" s="1237"/>
      <c r="CS298" s="1236"/>
      <c r="CT298" s="328"/>
      <c r="CU298" s="328"/>
      <c r="CV298" s="328"/>
      <c r="CW298" s="328"/>
      <c r="CX298" s="328"/>
      <c r="CY298" s="328"/>
      <c r="CZ298" s="328"/>
      <c r="DA298" s="328"/>
      <c r="DB298" s="328"/>
      <c r="DC298" s="328"/>
      <c r="DD298" s="328"/>
      <c r="DE298" s="328"/>
      <c r="DF298" s="328"/>
      <c r="DG298" s="328"/>
      <c r="DH298" s="1237"/>
      <c r="DI298" s="483"/>
      <c r="DJ298" s="321"/>
      <c r="DK298" s="321"/>
      <c r="DL298" s="321"/>
      <c r="DM298" s="321"/>
      <c r="DN298" s="321"/>
      <c r="DO298" s="321"/>
      <c r="DP298" s="321"/>
      <c r="DQ298" s="321"/>
      <c r="DR298" s="321"/>
      <c r="DS298" s="321"/>
      <c r="DT298" s="321"/>
      <c r="DU298" s="321"/>
      <c r="DV298" s="321"/>
      <c r="DW298" s="321"/>
      <c r="DX298" s="564"/>
      <c r="DY298" s="483"/>
      <c r="DZ298" s="321"/>
      <c r="EA298" s="321"/>
      <c r="EB298" s="321"/>
      <c r="EC298" s="321"/>
      <c r="ED298" s="321"/>
      <c r="EE298" s="321"/>
      <c r="EF298" s="321"/>
      <c r="EG298" s="321"/>
      <c r="EH298" s="321"/>
      <c r="EI298" s="321"/>
      <c r="EJ298" s="321"/>
      <c r="EK298" s="321"/>
      <c r="EL298" s="321"/>
      <c r="EM298" s="321"/>
      <c r="EN298" s="564"/>
      <c r="EO298" s="1236"/>
      <c r="EP298" s="452"/>
      <c r="EQ298" s="411"/>
      <c r="ER298" s="411"/>
      <c r="ES298" s="413"/>
      <c r="ET298" s="411"/>
      <c r="EU298" s="411"/>
      <c r="EV298" s="411"/>
      <c r="EW298" s="411"/>
      <c r="EX298" s="411"/>
      <c r="EY298" s="411"/>
      <c r="EZ298" s="413"/>
      <c r="FA298" s="411"/>
      <c r="FB298" s="411"/>
      <c r="FC298" s="439"/>
      <c r="FD298" s="1237"/>
      <c r="FE298" s="483"/>
      <c r="FF298" s="321"/>
      <c r="FG298" s="321"/>
      <c r="FH298" s="321"/>
      <c r="FI298" s="321"/>
      <c r="FJ298" s="321"/>
      <c r="FK298" s="321"/>
      <c r="FL298" s="321"/>
      <c r="FM298" s="321"/>
      <c r="FN298" s="321"/>
      <c r="FO298" s="321"/>
      <c r="FP298" s="321"/>
      <c r="FQ298" s="321"/>
      <c r="FR298" s="321"/>
      <c r="FS298" s="321"/>
      <c r="FT298" s="321"/>
      <c r="FU298" s="1236"/>
      <c r="FV298" s="328"/>
      <c r="FW298" s="328"/>
      <c r="FX298" s="328"/>
      <c r="FY298" s="328"/>
      <c r="FZ298" s="328"/>
      <c r="GA298" s="328"/>
      <c r="GB298" s="328"/>
      <c r="GC298" s="328"/>
      <c r="GD298" s="328"/>
      <c r="GE298" s="328"/>
      <c r="GF298" s="328"/>
      <c r="GG298" s="328"/>
      <c r="GH298" s="328"/>
      <c r="GI298" s="328"/>
      <c r="GJ298" s="1237"/>
      <c r="GK298" s="1236"/>
      <c r="GL298" s="328"/>
      <c r="GM298" s="328"/>
      <c r="GN298" s="328"/>
      <c r="GO298" s="328"/>
      <c r="GP298" s="328"/>
      <c r="GQ298" s="328"/>
      <c r="GR298" s="328"/>
      <c r="GS298" s="328"/>
      <c r="GT298" s="328"/>
      <c r="GU298" s="328"/>
      <c r="GV298" s="328"/>
      <c r="GW298" s="328"/>
      <c r="GX298" s="328"/>
      <c r="GY298" s="328"/>
      <c r="GZ298" s="1237"/>
      <c r="HA298" s="1236"/>
      <c r="HB298" s="328"/>
      <c r="HC298" s="328"/>
      <c r="HD298" s="328"/>
      <c r="HE298" s="328"/>
      <c r="HF298" s="328"/>
      <c r="HG298" s="328"/>
      <c r="HH298" s="328"/>
      <c r="HI298" s="328"/>
      <c r="HJ298" s="328"/>
      <c r="HK298" s="328"/>
      <c r="HL298" s="328"/>
      <c r="HM298" s="328"/>
      <c r="HN298" s="328"/>
      <c r="HO298" s="328"/>
      <c r="HP298" s="1237"/>
      <c r="HQ298" s="483"/>
      <c r="HR298" s="321"/>
      <c r="HS298" s="414"/>
      <c r="HT298" s="412"/>
      <c r="HU298" s="412"/>
      <c r="HV298" s="412"/>
      <c r="HW298" s="431"/>
      <c r="HX298" s="412"/>
      <c r="HY298" s="412"/>
      <c r="HZ298" s="412"/>
      <c r="IA298" s="412"/>
      <c r="IB298" s="412"/>
      <c r="IC298" s="412"/>
      <c r="ID298" s="414"/>
      <c r="IE298" s="321"/>
      <c r="IF298" s="564"/>
      <c r="IG298" s="423"/>
      <c r="IH298" s="423"/>
      <c r="II298" s="423"/>
      <c r="IJ298" s="423"/>
      <c r="IK298" s="423"/>
      <c r="IL298" s="423"/>
      <c r="IM298" s="423"/>
      <c r="IN298" s="423"/>
      <c r="IO298" s="423"/>
      <c r="IP298" s="423"/>
      <c r="IQ298" s="423"/>
      <c r="IR298" s="423"/>
      <c r="IS298" s="423"/>
      <c r="IT298" s="423"/>
      <c r="IU298" s="423"/>
      <c r="IV298" s="423"/>
    </row>
    <row r="299" spans="1:256" s="326" customFormat="1" ht="8.25" customHeight="1">
      <c r="A299" s="413"/>
      <c r="B299" s="413"/>
      <c r="C299" s="413"/>
      <c r="D299" s="413"/>
      <c r="E299" s="413"/>
      <c r="F299" s="413"/>
      <c r="G299" s="413"/>
      <c r="H299" s="413"/>
      <c r="I299" s="413"/>
      <c r="J299" s="413"/>
      <c r="K299" s="413"/>
      <c r="L299" s="413"/>
      <c r="M299" s="413"/>
      <c r="N299" s="413"/>
      <c r="O299" s="413"/>
      <c r="P299" s="413"/>
      <c r="Q299" s="413"/>
      <c r="R299" s="413"/>
      <c r="S299" s="413"/>
      <c r="T299" s="413"/>
      <c r="U299" s="413"/>
      <c r="V299" s="413"/>
      <c r="W299" s="413"/>
      <c r="X299" s="413"/>
      <c r="Y299" s="413"/>
      <c r="Z299" s="413"/>
      <c r="AA299" s="413"/>
      <c r="AB299" s="413"/>
      <c r="AC299" s="413"/>
      <c r="AD299" s="413"/>
      <c r="AE299" s="413"/>
      <c r="AF299" s="413"/>
      <c r="AG299" s="448"/>
      <c r="AH299" s="428"/>
      <c r="AI299" s="428"/>
      <c r="AJ299" s="428"/>
      <c r="AK299" s="428"/>
      <c r="AL299" s="428"/>
      <c r="AM299" s="412"/>
      <c r="AN299" s="412"/>
      <c r="AO299" s="428"/>
      <c r="AP299" s="462"/>
      <c r="AQ299" s="436"/>
      <c r="AR299" s="462"/>
      <c r="AS299" s="436"/>
      <c r="AT299" s="462"/>
      <c r="AU299" s="436"/>
      <c r="AV299" s="448"/>
      <c r="AW299" s="441"/>
      <c r="AX299" s="434"/>
      <c r="AY299" s="427"/>
      <c r="AZ299" s="427"/>
      <c r="BA299" s="427"/>
      <c r="BB299" s="427"/>
      <c r="BC299" s="427"/>
      <c r="BD299" s="427"/>
      <c r="BE299" s="427"/>
      <c r="BF299" s="427"/>
      <c r="BG299" s="427"/>
      <c r="BH299" s="427"/>
      <c r="BI299" s="434"/>
      <c r="BJ299" s="441"/>
      <c r="BK299" s="447"/>
      <c r="BL299" s="447"/>
      <c r="BM299" s="439"/>
      <c r="BN299" s="432"/>
      <c r="BO299" s="432"/>
      <c r="BP299" s="432"/>
      <c r="BQ299" s="432"/>
      <c r="BR299" s="416"/>
      <c r="BS299" s="421"/>
      <c r="BT299" s="412"/>
      <c r="BU299" s="412"/>
      <c r="BV299" s="438"/>
      <c r="BW299" s="451"/>
      <c r="BX299" s="433"/>
      <c r="BY299" s="445"/>
      <c r="BZ299" s="445"/>
      <c r="CA299" s="438"/>
      <c r="CB299" s="411"/>
      <c r="CC299" s="1236"/>
      <c r="CD299" s="695"/>
      <c r="CE299" s="328"/>
      <c r="CF299" s="328"/>
      <c r="CG299" s="328"/>
      <c r="CH299" s="328"/>
      <c r="CI299" s="328"/>
      <c r="CJ299" s="328"/>
      <c r="CK299" s="328"/>
      <c r="CL299" s="328"/>
      <c r="CM299" s="328"/>
      <c r="CN299" s="328"/>
      <c r="CO299" s="328"/>
      <c r="CP299" s="328"/>
      <c r="CQ299" s="328"/>
      <c r="CR299" s="1237"/>
      <c r="CS299" s="1236"/>
      <c r="CT299" s="328"/>
      <c r="CU299" s="328"/>
      <c r="CV299" s="328"/>
      <c r="CW299" s="328"/>
      <c r="CX299" s="328"/>
      <c r="CY299" s="328"/>
      <c r="CZ299" s="328"/>
      <c r="DA299" s="328"/>
      <c r="DB299" s="328"/>
      <c r="DC299" s="328"/>
      <c r="DD299" s="328"/>
      <c r="DE299" s="328"/>
      <c r="DF299" s="328"/>
      <c r="DG299" s="328"/>
      <c r="DH299" s="1237"/>
      <c r="DI299" s="413"/>
      <c r="DJ299" s="413"/>
      <c r="DK299" s="413"/>
      <c r="DL299" s="413"/>
      <c r="DM299" s="413"/>
      <c r="DN299" s="413"/>
      <c r="DO299" s="413"/>
      <c r="DP299" s="413"/>
      <c r="DQ299" s="413"/>
      <c r="DR299" s="413"/>
      <c r="DS299" s="413"/>
      <c r="DT299" s="413"/>
      <c r="DU299" s="413"/>
      <c r="DV299" s="413"/>
      <c r="DW299" s="413"/>
      <c r="DX299" s="413"/>
      <c r="DY299" s="413"/>
      <c r="DZ299" s="413"/>
      <c r="EA299" s="413"/>
      <c r="EB299" s="413"/>
      <c r="EC299" s="413"/>
      <c r="ED299" s="413"/>
      <c r="EE299" s="413"/>
      <c r="EF299" s="413"/>
      <c r="EG299" s="413"/>
      <c r="EH299" s="413"/>
      <c r="EI299" s="413"/>
      <c r="EJ299" s="413"/>
      <c r="EK299" s="413"/>
      <c r="EL299" s="413"/>
      <c r="EM299" s="413"/>
      <c r="EN299" s="413"/>
      <c r="EO299" s="1236"/>
      <c r="EP299" s="452"/>
      <c r="EQ299" s="411"/>
      <c r="ER299" s="411"/>
      <c r="ES299" s="411"/>
      <c r="ET299" s="411"/>
      <c r="EU299" s="411"/>
      <c r="EV299" s="411"/>
      <c r="EW299" s="411"/>
      <c r="EX299" s="411"/>
      <c r="EY299" s="411"/>
      <c r="EZ299" s="411"/>
      <c r="FA299" s="411"/>
      <c r="FB299" s="411"/>
      <c r="FC299" s="439"/>
      <c r="FD299" s="1237"/>
      <c r="FE299" s="483"/>
      <c r="FF299" s="321"/>
      <c r="FG299" s="321"/>
      <c r="FH299" s="321"/>
      <c r="FI299" s="321"/>
      <c r="FJ299" s="321"/>
      <c r="FK299" s="321"/>
      <c r="FL299" s="321"/>
      <c r="FM299" s="321"/>
      <c r="FN299" s="321"/>
      <c r="FO299" s="321"/>
      <c r="FP299" s="321"/>
      <c r="FQ299" s="321"/>
      <c r="FR299" s="321"/>
      <c r="FS299" s="321"/>
      <c r="FT299" s="321"/>
      <c r="FU299" s="1236"/>
      <c r="FV299" s="328"/>
      <c r="FW299" s="328"/>
      <c r="FX299" s="328"/>
      <c r="FY299" s="328"/>
      <c r="FZ299" s="328"/>
      <c r="GA299" s="328"/>
      <c r="GB299" s="328"/>
      <c r="GC299" s="328"/>
      <c r="GD299" s="328"/>
      <c r="GE299" s="328"/>
      <c r="GF299" s="328"/>
      <c r="GG299" s="328"/>
      <c r="GH299" s="328"/>
      <c r="GI299" s="328"/>
      <c r="GJ299" s="1237"/>
      <c r="GK299" s="1236"/>
      <c r="GL299" s="328"/>
      <c r="GM299" s="328"/>
      <c r="GN299" s="328"/>
      <c r="GO299" s="328"/>
      <c r="GP299" s="328"/>
      <c r="GQ299" s="328"/>
      <c r="GR299" s="328"/>
      <c r="GS299" s="328"/>
      <c r="GT299" s="328"/>
      <c r="GU299" s="328"/>
      <c r="GV299" s="328"/>
      <c r="GW299" s="328"/>
      <c r="GX299" s="328"/>
      <c r="GY299" s="328"/>
      <c r="GZ299" s="1237"/>
      <c r="HA299" s="439"/>
      <c r="HB299" s="328"/>
      <c r="HC299" s="328"/>
      <c r="HD299" s="328"/>
      <c r="HE299" s="328"/>
      <c r="HF299" s="328"/>
      <c r="HG299" s="328"/>
      <c r="HH299" s="328"/>
      <c r="HI299" s="328"/>
      <c r="HJ299" s="432"/>
      <c r="HK299" s="328"/>
      <c r="HL299" s="328"/>
      <c r="HM299" s="328"/>
      <c r="HN299" s="328"/>
      <c r="HO299" s="328"/>
      <c r="HP299" s="1237"/>
      <c r="HQ299" s="483"/>
      <c r="HR299" s="321"/>
      <c r="HS299" s="414"/>
      <c r="HT299" s="412"/>
      <c r="HU299" s="412"/>
      <c r="HV299" s="412"/>
      <c r="HW299" s="412"/>
      <c r="HX299" s="412"/>
      <c r="HY299" s="412"/>
      <c r="HZ299" s="412"/>
      <c r="IA299" s="412"/>
      <c r="IB299" s="412"/>
      <c r="IC299" s="412"/>
      <c r="ID299" s="414"/>
      <c r="IE299" s="321"/>
      <c r="IF299" s="564"/>
      <c r="IG299" s="1236"/>
      <c r="IH299" s="328"/>
      <c r="II299" s="328"/>
      <c r="IJ299" s="328"/>
      <c r="IK299" s="328"/>
      <c r="IL299" s="328"/>
      <c r="IM299" s="328"/>
      <c r="IN299" s="328"/>
      <c r="IO299" s="328"/>
      <c r="IP299" s="328"/>
      <c r="IQ299" s="328"/>
      <c r="IR299" s="328"/>
      <c r="IS299" s="328"/>
      <c r="IT299" s="328"/>
      <c r="IU299" s="328"/>
      <c r="IV299" s="1237"/>
    </row>
    <row r="300" spans="1:256" s="326" customFormat="1" ht="8.25" customHeight="1">
      <c r="A300" s="413"/>
      <c r="B300" s="443"/>
      <c r="C300" s="443"/>
      <c r="D300" s="443"/>
      <c r="E300" s="436"/>
      <c r="F300" s="201"/>
      <c r="G300" s="436"/>
      <c r="H300" s="443"/>
      <c r="I300" s="443"/>
      <c r="J300" s="443"/>
      <c r="K300" s="443"/>
      <c r="L300" s="436"/>
      <c r="M300" s="201"/>
      <c r="N300" s="161"/>
      <c r="O300" s="161"/>
      <c r="P300" s="413"/>
      <c r="Q300" s="413"/>
      <c r="R300" s="161"/>
      <c r="S300" s="161"/>
      <c r="T300" s="161"/>
      <c r="U300" s="161"/>
      <c r="V300" s="161"/>
      <c r="W300" s="161"/>
      <c r="X300" s="161"/>
      <c r="Y300" s="161"/>
      <c r="Z300" s="161"/>
      <c r="AA300" s="161"/>
      <c r="AB300" s="161"/>
      <c r="AC300" s="161"/>
      <c r="AD300" s="161"/>
      <c r="AE300" s="161"/>
      <c r="AF300" s="413"/>
      <c r="AG300" s="448"/>
      <c r="AH300" s="448"/>
      <c r="AI300" s="420"/>
      <c r="AJ300" s="428"/>
      <c r="AK300" s="428"/>
      <c r="AL300" s="428"/>
      <c r="AM300" s="428"/>
      <c r="AN300" s="428"/>
      <c r="AO300" s="428"/>
      <c r="AP300" s="428"/>
      <c r="AQ300" s="428"/>
      <c r="AR300" s="428"/>
      <c r="AS300" s="428"/>
      <c r="AT300" s="428"/>
      <c r="AU300" s="448"/>
      <c r="AV300" s="455"/>
      <c r="AW300" s="447"/>
      <c r="AX300" s="441"/>
      <c r="AY300" s="441"/>
      <c r="AZ300" s="434"/>
      <c r="BA300" s="423"/>
      <c r="BB300" s="423"/>
      <c r="BC300" s="423"/>
      <c r="BD300" s="423"/>
      <c r="BE300" s="423"/>
      <c r="BF300" s="423"/>
      <c r="BG300" s="423"/>
      <c r="BH300" s="423"/>
      <c r="BI300" s="427"/>
      <c r="BJ300" s="434"/>
      <c r="BK300" s="441"/>
      <c r="BL300" s="447"/>
      <c r="BM300" s="411"/>
      <c r="BN300" s="427"/>
      <c r="BO300" s="427"/>
      <c r="BP300" s="432"/>
      <c r="BQ300" s="432"/>
      <c r="BR300" s="416"/>
      <c r="BS300" s="412"/>
      <c r="BT300" s="412"/>
      <c r="BU300" s="412"/>
      <c r="BV300" s="438"/>
      <c r="BW300" s="433"/>
      <c r="BX300" s="433"/>
      <c r="BY300" s="426"/>
      <c r="BZ300" s="438"/>
      <c r="CA300" s="431"/>
      <c r="CB300" s="452"/>
      <c r="CC300" s="1236"/>
      <c r="CD300" s="695"/>
      <c r="CE300" s="328"/>
      <c r="CF300" s="328"/>
      <c r="CG300" s="328"/>
      <c r="CH300" s="328"/>
      <c r="CI300" s="328"/>
      <c r="CJ300" s="328"/>
      <c r="CK300" s="328"/>
      <c r="CL300" s="328"/>
      <c r="CM300" s="328"/>
      <c r="CN300" s="328"/>
      <c r="CO300" s="328"/>
      <c r="CP300" s="328"/>
      <c r="CQ300" s="328"/>
      <c r="CR300" s="328"/>
      <c r="CS300" s="1236"/>
      <c r="CT300" s="328"/>
      <c r="CU300" s="328"/>
      <c r="CV300" s="328"/>
      <c r="CW300" s="328"/>
      <c r="CX300" s="328"/>
      <c r="CY300" s="328"/>
      <c r="CZ300" s="328"/>
      <c r="DA300" s="328"/>
      <c r="DB300" s="328"/>
      <c r="DC300" s="328"/>
      <c r="DD300" s="328"/>
      <c r="DE300" s="328"/>
      <c r="DF300" s="328"/>
      <c r="DG300" s="328"/>
      <c r="DH300" s="328"/>
      <c r="DI300" s="413"/>
      <c r="DJ300" s="436"/>
      <c r="DK300" s="443"/>
      <c r="DL300" s="443"/>
      <c r="DM300" s="421"/>
      <c r="DN300" s="421"/>
      <c r="DO300" s="443"/>
      <c r="DP300" s="443"/>
      <c r="DQ300" s="421"/>
      <c r="DR300" s="443"/>
      <c r="DS300" s="421"/>
      <c r="DT300" s="443"/>
      <c r="DU300" s="421"/>
      <c r="DV300" s="443"/>
      <c r="DW300" s="443"/>
      <c r="DX300" s="413"/>
      <c r="DY300" s="413"/>
      <c r="DZ300" s="421"/>
      <c r="EA300" s="421"/>
      <c r="EB300" s="421"/>
      <c r="EC300" s="421"/>
      <c r="ED300" s="421"/>
      <c r="EE300" s="421"/>
      <c r="EF300" s="421"/>
      <c r="EG300" s="421"/>
      <c r="EH300" s="421"/>
      <c r="EI300" s="421"/>
      <c r="EJ300" s="421"/>
      <c r="EK300" s="421"/>
      <c r="EL300" s="421"/>
      <c r="EM300" s="421"/>
      <c r="EN300" s="413"/>
      <c r="EO300" s="1236"/>
      <c r="EP300" s="452"/>
      <c r="EQ300" s="413"/>
      <c r="ER300" s="413"/>
      <c r="ES300" s="413"/>
      <c r="ET300" s="413"/>
      <c r="EU300" s="413"/>
      <c r="EV300" s="411"/>
      <c r="EW300" s="411"/>
      <c r="EX300" s="411"/>
      <c r="EY300" s="411"/>
      <c r="EZ300" s="413"/>
      <c r="FA300" s="411"/>
      <c r="FB300" s="411"/>
      <c r="FC300" s="439"/>
      <c r="FD300" s="1237"/>
      <c r="FE300" s="483"/>
      <c r="FF300" s="321"/>
      <c r="FG300" s="321"/>
      <c r="FH300" s="321"/>
      <c r="FI300" s="321"/>
      <c r="FJ300" s="321"/>
      <c r="FK300" s="321"/>
      <c r="FL300" s="321"/>
      <c r="FM300" s="321"/>
      <c r="FN300" s="321"/>
      <c r="FO300" s="321"/>
      <c r="FP300" s="321"/>
      <c r="FQ300" s="321"/>
      <c r="FR300" s="321"/>
      <c r="FS300" s="321"/>
      <c r="FT300" s="321"/>
      <c r="FU300" s="1236"/>
      <c r="FV300" s="328"/>
      <c r="FW300" s="328"/>
      <c r="FX300" s="328"/>
      <c r="FY300" s="328"/>
      <c r="FZ300" s="328"/>
      <c r="GA300" s="328"/>
      <c r="GB300" s="328"/>
      <c r="GC300" s="328"/>
      <c r="GD300" s="328"/>
      <c r="GE300" s="328"/>
      <c r="GF300" s="328"/>
      <c r="GG300" s="328"/>
      <c r="GH300" s="328"/>
      <c r="GI300" s="328"/>
      <c r="GJ300" s="1237"/>
      <c r="GK300" s="1236"/>
      <c r="GL300" s="328"/>
      <c r="GM300" s="328"/>
      <c r="GN300" s="328"/>
      <c r="GO300" s="328"/>
      <c r="GP300" s="328"/>
      <c r="GQ300" s="328"/>
      <c r="GR300" s="432"/>
      <c r="GS300" s="328"/>
      <c r="GT300" s="328"/>
      <c r="GU300" s="328"/>
      <c r="GV300" s="328"/>
      <c r="GW300" s="328"/>
      <c r="GX300" s="328"/>
      <c r="GY300" s="328"/>
      <c r="GZ300" s="1237"/>
      <c r="HA300" s="328"/>
      <c r="HB300" s="432"/>
      <c r="HC300" s="328"/>
      <c r="HD300" s="328"/>
      <c r="HE300" s="328"/>
      <c r="HF300" s="328"/>
      <c r="HG300" s="328"/>
      <c r="HH300" s="328"/>
      <c r="HI300" s="328"/>
      <c r="HJ300" s="328"/>
      <c r="HK300" s="328"/>
      <c r="HL300" s="328"/>
      <c r="HM300" s="328"/>
      <c r="HN300" s="328"/>
      <c r="HO300" s="328"/>
      <c r="HP300" s="1237"/>
      <c r="HQ300" s="483"/>
      <c r="HR300" s="321"/>
      <c r="HS300" s="414"/>
      <c r="HT300" s="412"/>
      <c r="HU300" s="412"/>
      <c r="HV300" s="412"/>
      <c r="HW300" s="412"/>
      <c r="HX300" s="412"/>
      <c r="HY300" s="412"/>
      <c r="HZ300" s="412"/>
      <c r="IA300" s="412"/>
      <c r="IB300" s="412"/>
      <c r="IC300" s="412"/>
      <c r="ID300" s="414"/>
      <c r="IE300" s="321"/>
      <c r="IF300" s="564"/>
      <c r="IG300" s="1236"/>
      <c r="IH300" s="328"/>
      <c r="II300" s="328"/>
      <c r="IJ300" s="328"/>
      <c r="IK300" s="328"/>
      <c r="IL300" s="328"/>
      <c r="IM300" s="328"/>
      <c r="IN300" s="328"/>
      <c r="IO300" s="328"/>
      <c r="IP300" s="328"/>
      <c r="IQ300" s="328"/>
      <c r="IR300" s="328"/>
      <c r="IS300" s="328"/>
      <c r="IT300" s="328"/>
      <c r="IU300" s="328"/>
      <c r="IV300" s="1237"/>
    </row>
    <row r="301" spans="1:256" s="326" customFormat="1" ht="8.25" customHeight="1">
      <c r="A301" s="413"/>
      <c r="B301" s="161"/>
      <c r="C301" s="161"/>
      <c r="D301" s="161"/>
      <c r="E301" s="161"/>
      <c r="F301" s="161"/>
      <c r="G301" s="161"/>
      <c r="H301" s="161"/>
      <c r="I301" s="161"/>
      <c r="J301" s="161"/>
      <c r="K301" s="161"/>
      <c r="L301" s="161"/>
      <c r="M301" s="161"/>
      <c r="N301" s="161"/>
      <c r="O301" s="161"/>
      <c r="P301" s="413"/>
      <c r="Q301" s="413"/>
      <c r="R301" s="443"/>
      <c r="S301" s="443"/>
      <c r="T301" s="443"/>
      <c r="U301" s="436"/>
      <c r="V301" s="201"/>
      <c r="W301" s="436"/>
      <c r="X301" s="443"/>
      <c r="Y301" s="443"/>
      <c r="Z301" s="443"/>
      <c r="AA301" s="443"/>
      <c r="AB301" s="436"/>
      <c r="AC301" s="201"/>
      <c r="AD301" s="161"/>
      <c r="AE301" s="161"/>
      <c r="AF301" s="413"/>
      <c r="AG301" s="448"/>
      <c r="AH301" s="448"/>
      <c r="AI301" s="436"/>
      <c r="AJ301" s="428"/>
      <c r="AK301" s="428"/>
      <c r="AL301" s="428"/>
      <c r="AM301" s="428"/>
      <c r="AN301" s="428"/>
      <c r="AO301" s="428"/>
      <c r="AP301" s="428"/>
      <c r="AQ301" s="428"/>
      <c r="AR301" s="428"/>
      <c r="AS301" s="428"/>
      <c r="AT301" s="428"/>
      <c r="AU301" s="428"/>
      <c r="AV301" s="448"/>
      <c r="AW301" s="447"/>
      <c r="AX301" s="447"/>
      <c r="AY301" s="441"/>
      <c r="AZ301" s="423"/>
      <c r="BA301" s="448"/>
      <c r="BB301" s="448"/>
      <c r="BC301" s="448"/>
      <c r="BD301" s="448"/>
      <c r="BE301" s="428"/>
      <c r="BF301" s="448"/>
      <c r="BG301" s="428"/>
      <c r="BH301" s="428"/>
      <c r="BI301" s="434"/>
      <c r="BJ301" s="427"/>
      <c r="BK301" s="434"/>
      <c r="BL301" s="441"/>
      <c r="BM301" s="452"/>
      <c r="BN301" s="434"/>
      <c r="BO301" s="427"/>
      <c r="BP301" s="432"/>
      <c r="BQ301" s="432"/>
      <c r="BR301" s="416"/>
      <c r="BS301" s="421"/>
      <c r="BT301" s="431"/>
      <c r="BU301" s="412"/>
      <c r="BV301" s="438"/>
      <c r="BW301" s="451"/>
      <c r="BX301" s="433"/>
      <c r="BY301" s="445"/>
      <c r="BZ301" s="438"/>
      <c r="CA301" s="412"/>
      <c r="CB301" s="411"/>
      <c r="CC301" s="1236"/>
      <c r="CD301" s="695"/>
      <c r="CE301" s="328"/>
      <c r="CF301" s="328"/>
      <c r="CG301" s="328"/>
      <c r="CH301" s="328"/>
      <c r="CI301" s="328"/>
      <c r="CJ301" s="328"/>
      <c r="CK301" s="328"/>
      <c r="CP301" s="433"/>
      <c r="CS301" s="1236"/>
      <c r="CT301" s="328"/>
      <c r="CU301" s="328"/>
      <c r="CV301" s="328"/>
      <c r="CW301" s="328"/>
      <c r="CX301" s="328"/>
      <c r="CY301" s="328"/>
      <c r="CZ301" s="328"/>
      <c r="DA301" s="328"/>
      <c r="DE301" s="433"/>
      <c r="DF301" s="433"/>
      <c r="DG301" s="433"/>
      <c r="DI301" s="413"/>
      <c r="DJ301" s="443"/>
      <c r="DK301" s="421"/>
      <c r="DL301" s="421"/>
      <c r="DM301" s="421"/>
      <c r="DN301" s="436"/>
      <c r="DO301" s="421"/>
      <c r="DP301" s="443"/>
      <c r="DQ301" s="421"/>
      <c r="DR301" s="443"/>
      <c r="DS301" s="436"/>
      <c r="DT301" s="443"/>
      <c r="DU301" s="421"/>
      <c r="DV301" s="443"/>
      <c r="DW301" s="421"/>
      <c r="DX301" s="413"/>
      <c r="DY301" s="413"/>
      <c r="DZ301" s="421"/>
      <c r="EA301" s="421"/>
      <c r="EB301" s="421"/>
      <c r="EC301" s="421"/>
      <c r="ED301" s="421"/>
      <c r="EE301" s="421"/>
      <c r="EF301" s="421"/>
      <c r="EG301" s="421"/>
      <c r="EH301" s="421"/>
      <c r="EI301" s="421"/>
      <c r="EJ301" s="421"/>
      <c r="EK301" s="421"/>
      <c r="EL301" s="421"/>
      <c r="EM301" s="421"/>
      <c r="EN301" s="413"/>
      <c r="EO301" s="1236"/>
      <c r="EP301" s="452"/>
      <c r="EQ301" s="411"/>
      <c r="ER301" s="413"/>
      <c r="ES301" s="413"/>
      <c r="ET301" s="413"/>
      <c r="EU301" s="411"/>
      <c r="EV301" s="411"/>
      <c r="EW301" s="411"/>
      <c r="EX301" s="411"/>
      <c r="EY301" s="413"/>
      <c r="EZ301" s="413"/>
      <c r="FA301" s="413"/>
      <c r="FB301" s="411"/>
      <c r="FC301" s="439"/>
      <c r="FD301" s="1237"/>
      <c r="FE301" s="1308"/>
      <c r="FF301" s="321"/>
      <c r="FG301" s="321"/>
      <c r="FH301" s="321"/>
      <c r="FI301" s="321"/>
      <c r="FJ301" s="321"/>
      <c r="FK301" s="321"/>
      <c r="FL301" s="321"/>
      <c r="FM301" s="321"/>
      <c r="FN301" s="321"/>
      <c r="FO301" s="321"/>
      <c r="FP301" s="321"/>
      <c r="FQ301" s="321"/>
      <c r="FR301" s="321"/>
      <c r="FS301" s="321"/>
      <c r="FT301" s="321"/>
      <c r="FU301" s="1236"/>
      <c r="FV301" s="328"/>
      <c r="FW301" s="328"/>
      <c r="FX301" s="328"/>
      <c r="FY301" s="328"/>
      <c r="FZ301" s="328"/>
      <c r="GA301" s="328"/>
      <c r="GB301" s="328"/>
      <c r="GC301" s="328"/>
      <c r="GD301" s="328"/>
      <c r="GE301" s="328"/>
      <c r="GF301" s="328"/>
      <c r="GG301" s="328"/>
      <c r="GH301" s="328"/>
      <c r="GI301" s="328"/>
      <c r="GJ301" s="1237"/>
      <c r="GK301" s="1236"/>
      <c r="GL301" s="328"/>
      <c r="GM301" s="439"/>
      <c r="GN301" s="328"/>
      <c r="GO301" s="328"/>
      <c r="GP301" s="328"/>
      <c r="GQ301" s="328"/>
      <c r="GR301" s="439"/>
      <c r="GS301" s="328"/>
      <c r="GT301" s="328"/>
      <c r="GU301" s="328"/>
      <c r="GV301" s="328"/>
      <c r="GW301" s="328"/>
      <c r="GX301" s="328"/>
      <c r="GY301" s="328"/>
      <c r="GZ301" s="1237"/>
      <c r="HA301" s="1236"/>
      <c r="HB301" s="328"/>
      <c r="HC301" s="328"/>
      <c r="HD301" s="328"/>
      <c r="HE301" s="328"/>
      <c r="HF301" s="328"/>
      <c r="HG301" s="328"/>
      <c r="HH301" s="452"/>
      <c r="HI301" s="328"/>
      <c r="HJ301" s="328"/>
      <c r="HK301" s="328"/>
      <c r="HL301" s="328"/>
      <c r="HM301" s="328"/>
      <c r="HN301" s="328"/>
      <c r="HO301" s="328"/>
      <c r="HP301" s="1237"/>
      <c r="HQ301" s="1308"/>
      <c r="HR301" s="321"/>
      <c r="HS301" s="414"/>
      <c r="HT301" s="412"/>
      <c r="HU301" s="412"/>
      <c r="HV301" s="412"/>
      <c r="HW301" s="412"/>
      <c r="HX301" s="412"/>
      <c r="HY301" s="412"/>
      <c r="HZ301" s="412"/>
      <c r="IA301" s="412"/>
      <c r="IB301" s="412"/>
      <c r="IC301" s="412"/>
      <c r="ID301" s="414"/>
      <c r="IE301" s="321"/>
      <c r="IF301" s="564"/>
      <c r="IG301" s="1236"/>
      <c r="IH301" s="328"/>
      <c r="II301" s="328"/>
      <c r="IJ301" s="328"/>
      <c r="IK301" s="328"/>
      <c r="IL301" s="328"/>
      <c r="IM301" s="328"/>
      <c r="IN301" s="328"/>
      <c r="IO301" s="328"/>
      <c r="IP301" s="328"/>
      <c r="IQ301" s="328"/>
      <c r="IR301" s="328"/>
      <c r="IS301" s="328"/>
      <c r="IT301" s="328"/>
      <c r="IU301" s="328"/>
      <c r="IV301" s="1237"/>
    </row>
    <row r="302" spans="1:256" s="326" customFormat="1" ht="8.25" customHeight="1">
      <c r="A302" s="413"/>
      <c r="B302" s="443"/>
      <c r="C302" s="443"/>
      <c r="D302" s="443"/>
      <c r="E302" s="443"/>
      <c r="F302" s="443"/>
      <c r="G302" s="443"/>
      <c r="H302" s="443"/>
      <c r="I302" s="436"/>
      <c r="J302" s="201"/>
      <c r="K302" s="161"/>
      <c r="L302" s="161"/>
      <c r="M302" s="161"/>
      <c r="N302" s="161"/>
      <c r="O302" s="161"/>
      <c r="P302" s="426"/>
      <c r="Q302" s="413"/>
      <c r="R302" s="161"/>
      <c r="S302" s="161"/>
      <c r="T302" s="161"/>
      <c r="U302" s="161"/>
      <c r="V302" s="161"/>
      <c r="W302" s="161"/>
      <c r="X302" s="161"/>
      <c r="Y302" s="161"/>
      <c r="Z302" s="161"/>
      <c r="AA302" s="161"/>
      <c r="AB302" s="161"/>
      <c r="AC302" s="161"/>
      <c r="AD302" s="161"/>
      <c r="AE302" s="161"/>
      <c r="AF302" s="426"/>
      <c r="AG302" s="455"/>
      <c r="AH302" s="448"/>
      <c r="AI302" s="443"/>
      <c r="AJ302" s="448"/>
      <c r="AK302" s="428"/>
      <c r="AL302" s="428"/>
      <c r="AM302" s="462"/>
      <c r="AN302" s="428"/>
      <c r="AO302" s="428"/>
      <c r="AP302" s="428"/>
      <c r="AQ302" s="428"/>
      <c r="AR302" s="428"/>
      <c r="AS302" s="428"/>
      <c r="AT302" s="428"/>
      <c r="AU302" s="428"/>
      <c r="AV302" s="428"/>
      <c r="AW302" s="441"/>
      <c r="AX302" s="447"/>
      <c r="AY302" s="447"/>
      <c r="AZ302" s="423"/>
      <c r="BA302" s="442"/>
      <c r="BB302" s="428"/>
      <c r="BC302" s="424"/>
      <c r="BD302" s="424"/>
      <c r="BE302" s="424"/>
      <c r="BF302" s="424"/>
      <c r="BG302" s="424"/>
      <c r="BH302" s="424"/>
      <c r="BI302" s="434"/>
      <c r="BJ302" s="427"/>
      <c r="BK302" s="427"/>
      <c r="BL302" s="434"/>
      <c r="BM302" s="410"/>
      <c r="BN302" s="441"/>
      <c r="BO302" s="434"/>
      <c r="BP302" s="439"/>
      <c r="BQ302" s="432"/>
      <c r="BR302" s="416"/>
      <c r="BS302" s="421"/>
      <c r="BT302" s="412"/>
      <c r="BU302" s="431"/>
      <c r="BV302" s="438"/>
      <c r="BW302" s="451"/>
      <c r="BX302" s="451"/>
      <c r="BY302" s="445"/>
      <c r="BZ302" s="438"/>
      <c r="CA302" s="412"/>
      <c r="CB302" s="439"/>
      <c r="CC302" s="1236"/>
      <c r="CD302" s="695"/>
      <c r="CE302" s="328"/>
      <c r="CF302" s="328"/>
      <c r="CG302" s="328"/>
      <c r="CH302" s="328"/>
      <c r="CI302" s="328"/>
      <c r="CJ302" s="328"/>
      <c r="CK302" s="328"/>
      <c r="CO302" s="440"/>
      <c r="CP302" s="440"/>
      <c r="CQ302" s="433"/>
      <c r="CS302" s="1236"/>
      <c r="CT302" s="328"/>
      <c r="CU302" s="328"/>
      <c r="CV302" s="328"/>
      <c r="CW302" s="328"/>
      <c r="CX302" s="328"/>
      <c r="CY302" s="328"/>
      <c r="CZ302" s="328"/>
      <c r="DA302" s="328"/>
      <c r="DE302" s="440"/>
      <c r="DF302" s="440"/>
      <c r="DG302" s="433"/>
      <c r="DI302" s="413">
        <v>26</v>
      </c>
      <c r="DJ302" s="443"/>
      <c r="DK302" s="421"/>
      <c r="DL302" s="421"/>
      <c r="DM302" s="421"/>
      <c r="DN302" s="443"/>
      <c r="DO302" s="443"/>
      <c r="DP302" s="443"/>
      <c r="DQ302" s="421"/>
      <c r="DR302" s="443"/>
      <c r="DS302" s="409"/>
      <c r="DT302" s="443"/>
      <c r="DU302" s="421"/>
      <c r="DV302" s="443"/>
      <c r="DW302" s="436"/>
      <c r="DX302" s="459"/>
      <c r="DY302" s="413"/>
      <c r="DZ302" s="421"/>
      <c r="EA302" s="421"/>
      <c r="EB302" s="421"/>
      <c r="EC302" s="421"/>
      <c r="ED302" s="421"/>
      <c r="EE302" s="421"/>
      <c r="EF302" s="421"/>
      <c r="EG302" s="421"/>
      <c r="EH302" s="421"/>
      <c r="EI302" s="421"/>
      <c r="EJ302" s="421"/>
      <c r="EK302" s="421"/>
      <c r="EL302" s="421"/>
      <c r="EM302" s="421"/>
      <c r="EN302" s="426"/>
      <c r="EO302" s="1236"/>
      <c r="EP302" s="411"/>
      <c r="EQ302" s="411"/>
      <c r="ER302" s="411"/>
      <c r="ES302" s="413"/>
      <c r="ET302" s="411"/>
      <c r="EU302" s="411"/>
      <c r="EV302" s="411"/>
      <c r="EW302" s="411"/>
      <c r="EX302" s="413"/>
      <c r="EY302" s="413"/>
      <c r="EZ302" s="413"/>
      <c r="FA302" s="413"/>
      <c r="FB302" s="413"/>
      <c r="FC302" s="439"/>
      <c r="FD302" s="1237"/>
      <c r="FE302" s="1308"/>
      <c r="FF302" s="321"/>
      <c r="FG302" s="321"/>
      <c r="FH302" s="321"/>
      <c r="FI302" s="321"/>
      <c r="FJ302" s="321"/>
      <c r="FK302" s="321"/>
      <c r="FL302" s="321"/>
      <c r="FM302" s="321"/>
      <c r="FN302" s="321"/>
      <c r="FO302" s="321"/>
      <c r="FP302" s="321"/>
      <c r="FQ302" s="321"/>
      <c r="FR302" s="321"/>
      <c r="FS302" s="321"/>
      <c r="FT302" s="321"/>
      <c r="FU302" s="1236"/>
      <c r="FV302" s="328"/>
      <c r="FW302" s="328"/>
      <c r="FX302" s="328"/>
      <c r="FY302" s="328"/>
      <c r="FZ302" s="328"/>
      <c r="GA302" s="328"/>
      <c r="GB302" s="328"/>
      <c r="GC302" s="328"/>
      <c r="GD302" s="328"/>
      <c r="GE302" s="328"/>
      <c r="GF302" s="328"/>
      <c r="GG302" s="328"/>
      <c r="GH302" s="328"/>
      <c r="GI302" s="328"/>
      <c r="GJ302" s="1237"/>
      <c r="GK302" s="1236">
        <v>31</v>
      </c>
      <c r="GL302" s="328"/>
      <c r="GM302" s="328"/>
      <c r="GN302" s="432"/>
      <c r="GO302" s="328"/>
      <c r="GP302" s="328"/>
      <c r="GQ302" s="328"/>
      <c r="GR302" s="328"/>
      <c r="GS302" s="328"/>
      <c r="GT302" s="328"/>
      <c r="GU302" s="328"/>
      <c r="GV302" s="328"/>
      <c r="GW302" s="439"/>
      <c r="GX302" s="452"/>
      <c r="GY302" s="439"/>
      <c r="GZ302" s="1237"/>
      <c r="HA302" s="1236">
        <v>31</v>
      </c>
      <c r="HB302" s="328"/>
      <c r="HC302" s="328"/>
      <c r="HD302" s="328"/>
      <c r="HE302" s="439"/>
      <c r="HF302" s="328"/>
      <c r="HG302" s="328"/>
      <c r="HH302" s="439"/>
      <c r="HI302" s="328"/>
      <c r="HJ302" s="328"/>
      <c r="HK302" s="328"/>
      <c r="HL302" s="328"/>
      <c r="HM302" s="328"/>
      <c r="HN302" s="328"/>
      <c r="HO302" s="328"/>
      <c r="HP302" s="328"/>
      <c r="HQ302" s="1308"/>
      <c r="HR302" s="321"/>
      <c r="HS302" s="414"/>
      <c r="HT302" s="412"/>
      <c r="HU302" s="412"/>
      <c r="HV302" s="412"/>
      <c r="HW302" s="412"/>
      <c r="HX302" s="412"/>
      <c r="HY302" s="412"/>
      <c r="HZ302" s="412"/>
      <c r="IA302" s="412"/>
      <c r="IB302" s="412"/>
      <c r="IC302" s="412"/>
      <c r="ID302" s="414"/>
      <c r="IE302" s="321"/>
      <c r="IF302" s="1310"/>
      <c r="IG302" s="1236"/>
      <c r="IH302" s="328"/>
      <c r="II302" s="328"/>
      <c r="IJ302" s="328"/>
      <c r="IK302" s="328"/>
      <c r="IL302" s="328"/>
      <c r="IM302" s="328"/>
      <c r="IN302" s="328"/>
      <c r="IO302" s="328"/>
      <c r="IP302" s="328"/>
      <c r="IQ302" s="328"/>
      <c r="IR302" s="328"/>
      <c r="IS302" s="328"/>
      <c r="IT302" s="328"/>
      <c r="IU302" s="328"/>
      <c r="IV302" s="1237"/>
    </row>
    <row r="303" spans="1:256" s="326" customFormat="1" ht="8.25" customHeight="1">
      <c r="A303" s="413"/>
      <c r="B303" s="161"/>
      <c r="C303" s="161"/>
      <c r="D303" s="161"/>
      <c r="E303" s="161"/>
      <c r="F303" s="161"/>
      <c r="G303" s="161"/>
      <c r="H303" s="161"/>
      <c r="I303" s="161"/>
      <c r="J303" s="161"/>
      <c r="K303" s="161"/>
      <c r="L303" s="161"/>
      <c r="M303" s="161"/>
      <c r="N303" s="161"/>
      <c r="O303" s="161"/>
      <c r="P303" s="413"/>
      <c r="Q303" s="413"/>
      <c r="R303" s="443"/>
      <c r="S303" s="443"/>
      <c r="T303" s="443"/>
      <c r="U303" s="443"/>
      <c r="V303" s="443"/>
      <c r="W303" s="443"/>
      <c r="X303" s="443"/>
      <c r="Y303" s="436"/>
      <c r="Z303" s="201"/>
      <c r="AA303" s="161"/>
      <c r="AB303" s="161"/>
      <c r="AC303" s="161"/>
      <c r="AD303" s="161"/>
      <c r="AE303" s="161"/>
      <c r="AF303" s="413"/>
      <c r="AG303" s="448"/>
      <c r="AH303" s="456"/>
      <c r="AI303" s="462"/>
      <c r="AJ303" s="436"/>
      <c r="AK303" s="448"/>
      <c r="AL303" s="428"/>
      <c r="AM303" s="462"/>
      <c r="AN303" s="462"/>
      <c r="AO303" s="420"/>
      <c r="AP303" s="460"/>
      <c r="AQ303" s="423"/>
      <c r="AR303" s="447"/>
      <c r="AS303" s="463"/>
      <c r="AT303" s="425"/>
      <c r="AU303" s="450"/>
      <c r="AV303" s="428"/>
      <c r="AW303" s="434"/>
      <c r="AX303" s="441"/>
      <c r="AY303" s="447"/>
      <c r="AZ303" s="423"/>
      <c r="BA303" s="448"/>
      <c r="BB303" s="448"/>
      <c r="BC303" s="424"/>
      <c r="BD303" s="424"/>
      <c r="BE303" s="424"/>
      <c r="BF303" s="424"/>
      <c r="BG303" s="424"/>
      <c r="BH303" s="424"/>
      <c r="BI303" s="434"/>
      <c r="BJ303" s="427"/>
      <c r="BK303" s="427"/>
      <c r="BL303" s="427"/>
      <c r="BM303" s="452"/>
      <c r="BN303" s="447"/>
      <c r="BO303" s="441"/>
      <c r="BP303" s="411"/>
      <c r="BQ303" s="439"/>
      <c r="BR303" s="416"/>
      <c r="BS303" s="421"/>
      <c r="BT303" s="412"/>
      <c r="BU303" s="412"/>
      <c r="BV303" s="438"/>
      <c r="BW303" s="451"/>
      <c r="BX303" s="451"/>
      <c r="BY303" s="445"/>
      <c r="BZ303" s="438"/>
      <c r="CA303" s="412"/>
      <c r="CB303" s="432"/>
      <c r="CC303" s="1236"/>
      <c r="CD303" s="695"/>
      <c r="CE303" s="328"/>
      <c r="CF303" s="328"/>
      <c r="CG303" s="328"/>
      <c r="CH303" s="328"/>
      <c r="CI303" s="328"/>
      <c r="CJ303" s="328"/>
      <c r="CK303" s="328"/>
      <c r="CN303" s="440"/>
      <c r="CO303" s="440"/>
      <c r="CP303" s="440"/>
      <c r="CQ303" s="440"/>
      <c r="CR303" s="433"/>
      <c r="CS303" s="1236"/>
      <c r="CT303" s="328"/>
      <c r="CU303" s="328"/>
      <c r="CV303" s="328"/>
      <c r="CW303" s="328"/>
      <c r="CX303" s="328"/>
      <c r="CY303" s="328"/>
      <c r="CZ303" s="328"/>
      <c r="DA303" s="328"/>
      <c r="DE303" s="440"/>
      <c r="DF303" s="440"/>
      <c r="DG303" s="433"/>
      <c r="DI303" s="413">
        <v>32</v>
      </c>
      <c r="DJ303" s="443"/>
      <c r="DK303" s="421"/>
      <c r="DL303" s="443"/>
      <c r="DM303" s="421"/>
      <c r="DN303" s="443"/>
      <c r="DO303" s="421"/>
      <c r="DP303" s="443"/>
      <c r="DQ303" s="421"/>
      <c r="DR303" s="443"/>
      <c r="DS303" s="421"/>
      <c r="DT303" s="443"/>
      <c r="DU303" s="421"/>
      <c r="DV303" s="443"/>
      <c r="DW303" s="421"/>
      <c r="DX303" s="413"/>
      <c r="DY303" s="413"/>
      <c r="DZ303" s="421"/>
      <c r="EA303" s="421"/>
      <c r="EB303" s="421"/>
      <c r="EC303" s="421"/>
      <c r="ED303" s="421"/>
      <c r="EE303" s="421"/>
      <c r="EF303" s="421"/>
      <c r="EG303" s="421"/>
      <c r="EH303" s="421"/>
      <c r="EI303" s="421"/>
      <c r="EJ303" s="421"/>
      <c r="EK303" s="421"/>
      <c r="EL303" s="421"/>
      <c r="EM303" s="421"/>
      <c r="EN303" s="413"/>
      <c r="EO303" s="1236"/>
      <c r="EP303" s="328"/>
      <c r="EQ303" s="439"/>
      <c r="ER303" s="439"/>
      <c r="ES303" s="439"/>
      <c r="ET303" s="439"/>
      <c r="EU303" s="439"/>
      <c r="EV303" s="439"/>
      <c r="EW303" s="439"/>
      <c r="EX303" s="439"/>
      <c r="EY303" s="439"/>
      <c r="EZ303" s="439"/>
      <c r="FA303" s="439"/>
      <c r="FB303" s="439"/>
      <c r="FC303" s="328"/>
      <c r="FD303" s="1237"/>
      <c r="FE303" s="483"/>
      <c r="FF303" s="459"/>
      <c r="FG303" s="459"/>
      <c r="FH303" s="459"/>
      <c r="FI303" s="459"/>
      <c r="FJ303" s="459"/>
      <c r="FK303" s="459"/>
      <c r="FL303" s="459"/>
      <c r="FM303" s="459"/>
      <c r="FN303" s="447"/>
      <c r="FO303" s="447"/>
      <c r="FP303" s="447"/>
      <c r="FQ303" s="447"/>
      <c r="FR303" s="447"/>
      <c r="FS303" s="447"/>
      <c r="FT303" s="447"/>
      <c r="FU303" s="1236"/>
      <c r="FV303" s="328"/>
      <c r="FW303" s="328"/>
      <c r="FX303" s="328"/>
      <c r="FY303" s="328"/>
      <c r="FZ303" s="328"/>
      <c r="GA303" s="328"/>
      <c r="GB303" s="328"/>
      <c r="GC303" s="328"/>
      <c r="GD303" s="328"/>
      <c r="GE303" s="328"/>
      <c r="GF303" s="328"/>
      <c r="GG303" s="328"/>
      <c r="GH303" s="328"/>
      <c r="GI303" s="328"/>
      <c r="GJ303" s="1237"/>
      <c r="GK303" s="1236">
        <v>64</v>
      </c>
      <c r="GL303" s="328"/>
      <c r="GM303" s="328"/>
      <c r="GN303" s="328"/>
      <c r="GO303" s="328"/>
      <c r="GP303" s="328"/>
      <c r="GQ303" s="452"/>
      <c r="GR303" s="328"/>
      <c r="GS303" s="328"/>
      <c r="GT303" s="328"/>
      <c r="GU303" s="328"/>
      <c r="GV303" s="432"/>
      <c r="GW303" s="328"/>
      <c r="GX303" s="328"/>
      <c r="GY303" s="328"/>
      <c r="GZ303" s="1237"/>
      <c r="HA303" s="1236">
        <v>64</v>
      </c>
      <c r="HB303" s="328"/>
      <c r="HC303" s="328"/>
      <c r="HD303" s="328"/>
      <c r="HE303" s="328"/>
      <c r="HF303" s="328"/>
      <c r="HG303" s="328"/>
      <c r="HH303" s="328"/>
      <c r="HI303" s="328"/>
      <c r="HJ303" s="328"/>
      <c r="HK303" s="328"/>
      <c r="HL303" s="328"/>
      <c r="HM303" s="328"/>
      <c r="HN303" s="439"/>
      <c r="HO303" s="452"/>
      <c r="HP303" s="328"/>
      <c r="HQ303" s="1308"/>
      <c r="HR303" s="321"/>
      <c r="HS303" s="414"/>
      <c r="HT303" s="412"/>
      <c r="HU303" s="412"/>
      <c r="HV303" s="412"/>
      <c r="HW303" s="412"/>
      <c r="HX303" s="412"/>
      <c r="HY303" s="412"/>
      <c r="HZ303" s="412"/>
      <c r="IA303" s="412"/>
      <c r="IB303" s="412"/>
      <c r="IC303" s="412"/>
      <c r="ID303" s="414"/>
      <c r="IE303" s="321"/>
      <c r="IF303" s="1310"/>
      <c r="IG303" s="1236"/>
      <c r="IH303" s="328"/>
      <c r="II303" s="328"/>
      <c r="IJ303" s="328"/>
      <c r="IK303" s="328"/>
      <c r="IL303" s="328"/>
      <c r="IM303" s="328"/>
      <c r="IN303" s="328"/>
      <c r="IO303" s="328"/>
      <c r="IP303" s="328"/>
      <c r="IQ303" s="328"/>
      <c r="IR303" s="328"/>
      <c r="IS303" s="328"/>
      <c r="IT303" s="328"/>
      <c r="IU303" s="328"/>
      <c r="IV303" s="1237"/>
    </row>
    <row r="304" spans="1:256" s="326" customFormat="1" ht="8.25" customHeight="1">
      <c r="A304" s="413">
        <v>61</v>
      </c>
      <c r="B304" s="443"/>
      <c r="C304" s="443"/>
      <c r="D304" s="443"/>
      <c r="E304" s="436"/>
      <c r="F304" s="201"/>
      <c r="G304" s="443"/>
      <c r="H304" s="443"/>
      <c r="I304" s="443"/>
      <c r="J304" s="443"/>
      <c r="K304" s="443"/>
      <c r="L304" s="436"/>
      <c r="M304" s="201"/>
      <c r="N304" s="161"/>
      <c r="O304" s="161"/>
      <c r="P304" s="423"/>
      <c r="Q304" s="413">
        <v>62</v>
      </c>
      <c r="R304" s="161"/>
      <c r="S304" s="161"/>
      <c r="T304" s="161"/>
      <c r="U304" s="161"/>
      <c r="V304" s="161"/>
      <c r="W304" s="161"/>
      <c r="X304" s="161"/>
      <c r="Y304" s="161"/>
      <c r="Z304" s="161"/>
      <c r="AA304" s="161"/>
      <c r="AB304" s="161"/>
      <c r="AC304" s="161"/>
      <c r="AD304" s="161"/>
      <c r="AE304" s="161"/>
      <c r="AF304" s="423"/>
      <c r="AG304" s="428"/>
      <c r="AH304" s="428"/>
      <c r="AI304" s="462"/>
      <c r="AJ304" s="420"/>
      <c r="AK304" s="448"/>
      <c r="AL304" s="448"/>
      <c r="AM304" s="462"/>
      <c r="AN304" s="409"/>
      <c r="AO304" s="443"/>
      <c r="AP304" s="460"/>
      <c r="AQ304" s="423"/>
      <c r="AR304" s="447"/>
      <c r="AS304" s="463"/>
      <c r="AT304" s="425"/>
      <c r="AU304" s="450"/>
      <c r="AV304" s="428"/>
      <c r="AW304" s="434">
        <v>51</v>
      </c>
      <c r="AX304" s="434"/>
      <c r="AY304" s="441"/>
      <c r="AZ304" s="447"/>
      <c r="BA304" s="434"/>
      <c r="BB304" s="434"/>
      <c r="BC304" s="434"/>
      <c r="BD304" s="434"/>
      <c r="BE304" s="434"/>
      <c r="BF304" s="434"/>
      <c r="BG304" s="434"/>
      <c r="BH304" s="434"/>
      <c r="BI304" s="427"/>
      <c r="BJ304" s="427"/>
      <c r="BK304" s="459"/>
      <c r="BL304" s="427"/>
      <c r="BM304" s="411"/>
      <c r="BN304" s="441"/>
      <c r="BO304" s="447"/>
      <c r="BP304" s="452"/>
      <c r="BQ304" s="411"/>
      <c r="BR304" s="421"/>
      <c r="BS304" s="431"/>
      <c r="BT304" s="431"/>
      <c r="BU304" s="431"/>
      <c r="BV304" s="431"/>
      <c r="BW304" s="431"/>
      <c r="BX304" s="431"/>
      <c r="BY304" s="431"/>
      <c r="BZ304" s="431"/>
      <c r="CA304" s="431"/>
      <c r="CB304" s="432"/>
      <c r="CC304" s="1236"/>
      <c r="CD304" s="695"/>
      <c r="CE304" s="328"/>
      <c r="CF304" s="328"/>
      <c r="CG304" s="328"/>
      <c r="CH304" s="328"/>
      <c r="CI304" s="328"/>
      <c r="CJ304" s="328"/>
      <c r="CK304" s="328"/>
      <c r="CO304" s="440"/>
      <c r="CP304" s="440"/>
      <c r="CQ304" s="433"/>
      <c r="CS304" s="1236"/>
      <c r="CT304" s="328"/>
      <c r="CU304" s="328"/>
      <c r="CV304" s="328"/>
      <c r="CW304" s="328"/>
      <c r="CX304" s="328"/>
      <c r="CY304" s="328"/>
      <c r="CZ304" s="328"/>
      <c r="DA304" s="328"/>
      <c r="DD304" s="440"/>
      <c r="DE304" s="440"/>
      <c r="DF304" s="440"/>
      <c r="DG304" s="440"/>
      <c r="DH304" s="433"/>
      <c r="DI304" s="413">
        <v>110</v>
      </c>
      <c r="DJ304" s="436"/>
      <c r="DK304" s="443"/>
      <c r="DL304" s="443"/>
      <c r="DM304" s="421"/>
      <c r="DN304" s="443"/>
      <c r="DO304" s="421"/>
      <c r="DP304" s="443"/>
      <c r="DQ304" s="421"/>
      <c r="DR304" s="443"/>
      <c r="DS304" s="421"/>
      <c r="DT304" s="443"/>
      <c r="DU304" s="421"/>
      <c r="DV304" s="443"/>
      <c r="DW304" s="443"/>
      <c r="DX304" s="423"/>
      <c r="DY304" s="413">
        <v>110</v>
      </c>
      <c r="DZ304" s="421"/>
      <c r="EA304" s="421"/>
      <c r="EB304" s="421"/>
      <c r="EC304" s="421"/>
      <c r="ED304" s="421"/>
      <c r="EE304" s="421"/>
      <c r="EF304" s="421"/>
      <c r="EG304" s="421"/>
      <c r="EH304" s="421"/>
      <c r="EI304" s="421"/>
      <c r="EJ304" s="421"/>
      <c r="EK304" s="421"/>
      <c r="EL304" s="421"/>
      <c r="EM304" s="421"/>
      <c r="EN304" s="423"/>
      <c r="EO304" s="1236"/>
      <c r="EP304" s="328"/>
      <c r="EQ304" s="328"/>
      <c r="ER304" s="328"/>
      <c r="ES304" s="328"/>
      <c r="ET304" s="328"/>
      <c r="EU304" s="328"/>
      <c r="EV304" s="328"/>
      <c r="EW304" s="328"/>
      <c r="EX304" s="328"/>
      <c r="EY304" s="328"/>
      <c r="EZ304" s="328"/>
      <c r="FA304" s="328"/>
      <c r="FB304" s="328"/>
      <c r="FC304" s="328"/>
      <c r="FD304" s="1237"/>
      <c r="FE304" s="459">
        <v>56</v>
      </c>
      <c r="FF304" s="410"/>
      <c r="FG304" s="410"/>
      <c r="FH304" s="410"/>
      <c r="FI304" s="459"/>
      <c r="FJ304" s="410"/>
      <c r="FK304" s="410"/>
      <c r="FL304" s="410"/>
      <c r="FM304" s="459"/>
      <c r="FN304" s="410"/>
      <c r="FO304" s="410"/>
      <c r="FP304" s="410"/>
      <c r="FQ304" s="447"/>
      <c r="FR304" s="410"/>
      <c r="FS304" s="410"/>
      <c r="FT304" s="410"/>
      <c r="FU304" s="1236"/>
      <c r="FV304" s="328"/>
      <c r="FW304" s="328"/>
      <c r="FX304" s="328"/>
      <c r="FY304" s="328"/>
      <c r="FZ304" s="328"/>
      <c r="GA304" s="328"/>
      <c r="GB304" s="328"/>
      <c r="GC304" s="328"/>
      <c r="GD304" s="328"/>
      <c r="GE304" s="328"/>
      <c r="GF304" s="328"/>
      <c r="GG304" s="328"/>
      <c r="GH304" s="328"/>
      <c r="GI304" s="328"/>
      <c r="GJ304" s="1237"/>
      <c r="GK304" s="1236"/>
      <c r="GL304" s="328"/>
      <c r="GM304" s="328"/>
      <c r="GN304" s="439"/>
      <c r="GO304" s="328"/>
      <c r="GP304" s="328"/>
      <c r="GQ304" s="439"/>
      <c r="GR304" s="328"/>
      <c r="GS304" s="328"/>
      <c r="GT304" s="328"/>
      <c r="GU304" s="328"/>
      <c r="GV304" s="328"/>
      <c r="GW304" s="328"/>
      <c r="GX304" s="328"/>
      <c r="GY304" s="328"/>
      <c r="GZ304" s="1237"/>
      <c r="HA304" s="1236"/>
      <c r="HB304" s="328"/>
      <c r="HC304" s="328"/>
      <c r="HD304" s="328"/>
      <c r="HE304" s="328"/>
      <c r="HF304" s="328"/>
      <c r="HG304" s="328"/>
      <c r="HH304" s="328"/>
      <c r="HI304" s="328"/>
      <c r="HJ304" s="328"/>
      <c r="HK304" s="328"/>
      <c r="HL304" s="328"/>
      <c r="HM304" s="432"/>
      <c r="HN304" s="328"/>
      <c r="HO304" s="328"/>
      <c r="HP304" s="439"/>
      <c r="HQ304" s="1308"/>
      <c r="HR304" s="321"/>
      <c r="HS304" s="414"/>
      <c r="HT304" s="412"/>
      <c r="HU304" s="412"/>
      <c r="HV304" s="412"/>
      <c r="HW304" s="431"/>
      <c r="HX304" s="412"/>
      <c r="HY304" s="412"/>
      <c r="HZ304" s="412"/>
      <c r="IA304" s="412"/>
      <c r="IB304" s="412"/>
      <c r="IC304" s="412"/>
      <c r="ID304" s="414"/>
      <c r="IE304" s="321"/>
      <c r="IF304" s="1310"/>
      <c r="IG304" s="1236"/>
      <c r="IH304" s="328"/>
      <c r="II304" s="328"/>
      <c r="IJ304" s="328"/>
      <c r="IK304" s="328"/>
      <c r="IL304" s="328"/>
      <c r="IM304" s="328"/>
      <c r="IN304" s="328"/>
      <c r="IO304" s="328"/>
      <c r="IP304" s="328"/>
      <c r="IQ304" s="328"/>
      <c r="IR304" s="328"/>
      <c r="IS304" s="328"/>
      <c r="IT304" s="328"/>
      <c r="IU304" s="328"/>
      <c r="IV304" s="1237"/>
    </row>
    <row r="305" spans="1:256" s="326" customFormat="1" ht="8.25" customHeight="1">
      <c r="A305" s="413">
        <v>2</v>
      </c>
      <c r="B305" s="161"/>
      <c r="C305" s="161"/>
      <c r="D305" s="161"/>
      <c r="E305" s="161"/>
      <c r="F305" s="161"/>
      <c r="G305" s="161"/>
      <c r="H305" s="161"/>
      <c r="I305" s="161"/>
      <c r="J305" s="161"/>
      <c r="K305" s="161"/>
      <c r="L305" s="161"/>
      <c r="M305" s="161"/>
      <c r="N305" s="161"/>
      <c r="O305" s="161"/>
      <c r="P305" s="413"/>
      <c r="Q305" s="413">
        <v>1</v>
      </c>
      <c r="R305" s="443"/>
      <c r="S305" s="443"/>
      <c r="T305" s="443"/>
      <c r="U305" s="436"/>
      <c r="V305" s="201"/>
      <c r="W305" s="443"/>
      <c r="X305" s="443"/>
      <c r="Y305" s="443"/>
      <c r="Z305" s="443"/>
      <c r="AA305" s="443"/>
      <c r="AB305" s="436"/>
      <c r="AC305" s="201"/>
      <c r="AD305" s="161"/>
      <c r="AE305" s="161"/>
      <c r="AF305" s="413"/>
      <c r="AG305" s="428">
        <v>2</v>
      </c>
      <c r="AH305" s="428"/>
      <c r="AI305" s="448"/>
      <c r="AJ305" s="455"/>
      <c r="AK305" s="448"/>
      <c r="AL305" s="448"/>
      <c r="AM305" s="462"/>
      <c r="AN305" s="443"/>
      <c r="AO305" s="420"/>
      <c r="AP305" s="423"/>
      <c r="AQ305" s="447"/>
      <c r="AR305" s="441"/>
      <c r="AS305" s="428"/>
      <c r="AT305" s="450"/>
      <c r="AU305" s="416"/>
      <c r="AV305" s="428"/>
      <c r="AW305" s="427">
        <v>2</v>
      </c>
      <c r="AX305" s="434"/>
      <c r="AY305" s="434"/>
      <c r="AZ305" s="432"/>
      <c r="BA305" s="411"/>
      <c r="BB305" s="411"/>
      <c r="BC305" s="411"/>
      <c r="BD305" s="411"/>
      <c r="BE305" s="411"/>
      <c r="BF305" s="411"/>
      <c r="BG305" s="411"/>
      <c r="BH305" s="411"/>
      <c r="BI305" s="452"/>
      <c r="BJ305" s="427"/>
      <c r="BK305" s="427"/>
      <c r="BL305" s="427"/>
      <c r="BM305" s="439">
        <v>2</v>
      </c>
      <c r="BN305" s="434"/>
      <c r="BO305" s="441"/>
      <c r="BP305" s="410"/>
      <c r="BQ305" s="452"/>
      <c r="BR305" s="416"/>
      <c r="BS305" s="421"/>
      <c r="BT305" s="412"/>
      <c r="BU305" s="412"/>
      <c r="BV305" s="412"/>
      <c r="BW305" s="412"/>
      <c r="BX305" s="412"/>
      <c r="BY305" s="412"/>
      <c r="BZ305" s="412"/>
      <c r="CA305" s="412"/>
      <c r="CB305" s="432"/>
      <c r="CC305" s="1236"/>
      <c r="CD305" s="695"/>
      <c r="CJ305" s="328"/>
      <c r="CK305" s="328"/>
      <c r="CO305" s="440"/>
      <c r="CP305" s="440"/>
      <c r="CQ305" s="433"/>
      <c r="CS305" s="1236"/>
      <c r="CZ305" s="328"/>
      <c r="DA305" s="328"/>
      <c r="DE305" s="440"/>
      <c r="DF305" s="440"/>
      <c r="DG305" s="433"/>
      <c r="DI305" s="413">
        <v>2</v>
      </c>
      <c r="DJ305" s="421"/>
      <c r="DK305" s="421"/>
      <c r="DL305" s="421"/>
      <c r="DM305" s="421"/>
      <c r="DN305" s="421"/>
      <c r="DO305" s="421"/>
      <c r="DP305" s="421"/>
      <c r="DQ305" s="421"/>
      <c r="DR305" s="421"/>
      <c r="DS305" s="421"/>
      <c r="DT305" s="421"/>
      <c r="DU305" s="421"/>
      <c r="DV305" s="421"/>
      <c r="DW305" s="421"/>
      <c r="DX305" s="413"/>
      <c r="DY305" s="413">
        <v>2</v>
      </c>
      <c r="DZ305" s="421"/>
      <c r="EA305" s="421"/>
      <c r="EB305" s="421"/>
      <c r="EC305" s="421"/>
      <c r="ED305" s="421"/>
      <c r="EE305" s="421"/>
      <c r="EF305" s="421"/>
      <c r="EG305" s="421"/>
      <c r="EH305" s="421"/>
      <c r="EI305" s="421"/>
      <c r="EJ305" s="421"/>
      <c r="EK305" s="421"/>
      <c r="EL305" s="421"/>
      <c r="EM305" s="421"/>
      <c r="EN305" s="413"/>
      <c r="EO305" s="1236">
        <v>2</v>
      </c>
      <c r="EP305" s="328"/>
      <c r="EQ305" s="328"/>
      <c r="ER305" s="328"/>
      <c r="ES305" s="328"/>
      <c r="ET305" s="328"/>
      <c r="EU305" s="328"/>
      <c r="EV305" s="328"/>
      <c r="EW305" s="328"/>
      <c r="EX305" s="328"/>
      <c r="EY305" s="328"/>
      <c r="EZ305" s="328"/>
      <c r="FA305" s="328"/>
      <c r="FB305" s="328"/>
      <c r="FC305" s="328"/>
      <c r="FD305" s="1237"/>
      <c r="FE305" s="446"/>
      <c r="FF305" s="446"/>
      <c r="FG305" s="446"/>
      <c r="FH305" s="410"/>
      <c r="FI305" s="446"/>
      <c r="FJ305" s="410"/>
      <c r="FK305" s="446"/>
      <c r="FL305" s="410"/>
      <c r="FM305" s="446"/>
      <c r="FN305" s="441"/>
      <c r="FO305" s="441"/>
      <c r="FP305" s="410"/>
      <c r="FQ305" s="441"/>
      <c r="FR305" s="410"/>
      <c r="FS305" s="441"/>
      <c r="FT305" s="410"/>
      <c r="FU305" s="411">
        <v>2</v>
      </c>
      <c r="FV305" s="431"/>
      <c r="FW305" s="431"/>
      <c r="FX305" s="431"/>
      <c r="FY305" s="431"/>
      <c r="FZ305" s="431"/>
      <c r="GA305" s="431"/>
      <c r="GB305" s="431"/>
      <c r="GC305" s="431"/>
      <c r="GD305" s="431"/>
      <c r="GE305" s="431"/>
      <c r="GF305" s="431"/>
      <c r="GG305" s="431"/>
      <c r="GH305" s="431"/>
      <c r="GI305" s="431"/>
      <c r="GJ305" s="411"/>
      <c r="GK305" s="411"/>
      <c r="GL305" s="431"/>
      <c r="GM305" s="431"/>
      <c r="GN305" s="431"/>
      <c r="GO305" s="452"/>
      <c r="GP305" s="431"/>
      <c r="GQ305" s="431"/>
      <c r="GR305" s="431"/>
      <c r="GS305" s="431"/>
      <c r="GT305" s="431"/>
      <c r="GU305" s="431"/>
      <c r="GV305" s="431"/>
      <c r="GW305" s="431"/>
      <c r="GX305" s="431"/>
      <c r="GY305" s="431"/>
      <c r="GZ305" s="411"/>
      <c r="HA305" s="411"/>
      <c r="HB305" s="431"/>
      <c r="HC305" s="452"/>
      <c r="HD305" s="431"/>
      <c r="HE305" s="431"/>
      <c r="HF305" s="431"/>
      <c r="HG305" s="431"/>
      <c r="HH305" s="431"/>
      <c r="HI305" s="431"/>
      <c r="HJ305" s="411"/>
      <c r="HK305" s="431"/>
      <c r="HL305" s="431"/>
      <c r="HM305" s="431"/>
      <c r="HN305" s="431"/>
      <c r="HO305" s="431"/>
      <c r="HP305" s="411"/>
      <c r="HQ305" s="1308">
        <v>5</v>
      </c>
      <c r="HR305" s="321"/>
      <c r="HS305" s="414"/>
      <c r="HT305" s="412"/>
      <c r="HU305" s="412"/>
      <c r="HV305" s="431"/>
      <c r="HW305" s="412"/>
      <c r="HX305" s="412"/>
      <c r="HY305" s="412"/>
      <c r="HZ305" s="412"/>
      <c r="IA305" s="412"/>
      <c r="IB305" s="412"/>
      <c r="IC305" s="412"/>
      <c r="ID305" s="414"/>
      <c r="IE305" s="321"/>
      <c r="IF305" s="1310"/>
      <c r="IG305" s="1236"/>
      <c r="IH305" s="328"/>
      <c r="II305" s="328"/>
      <c r="IJ305" s="328"/>
      <c r="IK305" s="328"/>
      <c r="IL305" s="328"/>
      <c r="IM305" s="328"/>
      <c r="IN305" s="328"/>
      <c r="IO305" s="328"/>
      <c r="IP305" s="328"/>
      <c r="IQ305" s="328"/>
      <c r="IR305" s="328"/>
      <c r="IS305" s="328"/>
      <c r="IT305" s="328"/>
      <c r="IU305" s="328"/>
      <c r="IV305" s="1237"/>
    </row>
    <row r="306" spans="1:256" s="326" customFormat="1" ht="8.25" customHeight="1">
      <c r="A306" s="413">
        <v>1</v>
      </c>
      <c r="B306" s="443"/>
      <c r="C306" s="443"/>
      <c r="D306" s="443"/>
      <c r="E306" s="443"/>
      <c r="F306" s="443"/>
      <c r="G306" s="443"/>
      <c r="H306" s="443"/>
      <c r="I306" s="436"/>
      <c r="J306" s="201"/>
      <c r="K306" s="161"/>
      <c r="L306" s="161"/>
      <c r="M306" s="161"/>
      <c r="N306" s="161"/>
      <c r="O306" s="161"/>
      <c r="P306" s="461"/>
      <c r="Q306" s="413"/>
      <c r="R306" s="161"/>
      <c r="S306" s="161"/>
      <c r="T306" s="161"/>
      <c r="U306" s="161"/>
      <c r="V306" s="161"/>
      <c r="W306" s="161"/>
      <c r="X306" s="161"/>
      <c r="Y306" s="161"/>
      <c r="Z306" s="161"/>
      <c r="AA306" s="161"/>
      <c r="AB306" s="161"/>
      <c r="AC306" s="161"/>
      <c r="AD306" s="161"/>
      <c r="AE306" s="161"/>
      <c r="AF306" s="461"/>
      <c r="AG306" s="428">
        <v>1</v>
      </c>
      <c r="AH306" s="461"/>
      <c r="AI306" s="413"/>
      <c r="AJ306" s="448"/>
      <c r="AK306" s="455"/>
      <c r="AL306" s="448"/>
      <c r="AM306" s="448"/>
      <c r="AN306" s="448"/>
      <c r="AO306" s="428"/>
      <c r="AP306" s="428"/>
      <c r="AQ306" s="428"/>
      <c r="AR306" s="428"/>
      <c r="AS306" s="450"/>
      <c r="AT306" s="416"/>
      <c r="AU306" s="428"/>
      <c r="AV306" s="428"/>
      <c r="AW306" s="427"/>
      <c r="AX306" s="427"/>
      <c r="AY306" s="434"/>
      <c r="AZ306" s="434"/>
      <c r="BA306" s="439"/>
      <c r="BB306" s="439"/>
      <c r="BC306" s="439"/>
      <c r="BD306" s="439"/>
      <c r="BE306" s="439"/>
      <c r="BF306" s="439"/>
      <c r="BG306" s="439"/>
      <c r="BH306" s="439"/>
      <c r="BI306" s="427"/>
      <c r="BJ306" s="427"/>
      <c r="BK306" s="464"/>
      <c r="BL306" s="427"/>
      <c r="BM306" s="423"/>
      <c r="BN306" s="427"/>
      <c r="BO306" s="434"/>
      <c r="BP306" s="434"/>
      <c r="BQ306" s="410"/>
      <c r="BR306" s="416"/>
      <c r="BS306" s="438"/>
      <c r="BT306" s="431"/>
      <c r="BU306" s="431"/>
      <c r="BV306" s="431"/>
      <c r="BW306" s="431"/>
      <c r="BX306" s="431"/>
      <c r="BY306" s="431"/>
      <c r="BZ306" s="431"/>
      <c r="CA306" s="412"/>
      <c r="CB306" s="432"/>
      <c r="CC306" s="1236"/>
      <c r="CD306" s="695"/>
      <c r="CO306" s="433"/>
      <c r="CP306" s="433"/>
      <c r="CQ306" s="433"/>
      <c r="CS306" s="1236"/>
      <c r="DF306" s="433"/>
      <c r="DI306" s="413">
        <v>1</v>
      </c>
      <c r="DJ306" s="421"/>
      <c r="DK306" s="443"/>
      <c r="DL306" s="436"/>
      <c r="DM306" s="421"/>
      <c r="DN306" s="443"/>
      <c r="DO306" s="421"/>
      <c r="DP306" s="443"/>
      <c r="DQ306" s="421"/>
      <c r="DR306" s="443"/>
      <c r="DS306" s="443"/>
      <c r="DT306" s="421"/>
      <c r="DU306" s="443"/>
      <c r="DV306" s="443"/>
      <c r="DW306" s="421"/>
      <c r="DX306" s="461"/>
      <c r="DY306" s="413"/>
      <c r="DZ306" s="421"/>
      <c r="EA306" s="421"/>
      <c r="EB306" s="421"/>
      <c r="EC306" s="421"/>
      <c r="ED306" s="421"/>
      <c r="EE306" s="421"/>
      <c r="EF306" s="421"/>
      <c r="EG306" s="421"/>
      <c r="EH306" s="421"/>
      <c r="EI306" s="421"/>
      <c r="EJ306" s="421"/>
      <c r="EK306" s="421"/>
      <c r="EL306" s="421"/>
      <c r="EM306" s="421"/>
      <c r="EN306" s="461"/>
      <c r="EO306" s="1236"/>
      <c r="EP306" s="328"/>
      <c r="EQ306" s="328"/>
      <c r="ER306" s="328"/>
      <c r="ES306" s="328"/>
      <c r="ET306" s="328"/>
      <c r="EU306" s="328"/>
      <c r="EV306" s="328"/>
      <c r="EW306" s="328"/>
      <c r="EX306" s="328"/>
      <c r="EY306" s="328"/>
      <c r="EZ306" s="328"/>
      <c r="FA306" s="328"/>
      <c r="FB306" s="328"/>
      <c r="FC306" s="328"/>
      <c r="FD306" s="1237"/>
      <c r="FE306" s="461"/>
      <c r="FF306" s="410"/>
      <c r="FG306" s="410"/>
      <c r="FH306" s="410"/>
      <c r="FI306" s="461"/>
      <c r="FJ306" s="410"/>
      <c r="FK306" s="461"/>
      <c r="FL306" s="410"/>
      <c r="FM306" s="431"/>
      <c r="FN306" s="410"/>
      <c r="FO306" s="410"/>
      <c r="FP306" s="410"/>
      <c r="FQ306" s="441"/>
      <c r="FR306" s="410"/>
      <c r="FS306" s="410"/>
      <c r="FT306" s="410"/>
      <c r="FU306" s="431"/>
      <c r="FV306" s="439"/>
      <c r="FW306" s="411"/>
      <c r="FX306" s="411"/>
      <c r="FY306" s="411"/>
      <c r="FZ306" s="411"/>
      <c r="GA306" s="411"/>
      <c r="GB306" s="411"/>
      <c r="GC306" s="411"/>
      <c r="GD306" s="411"/>
      <c r="GE306" s="411"/>
      <c r="GF306" s="411"/>
      <c r="GG306" s="411"/>
      <c r="GH306" s="411"/>
      <c r="GI306" s="439"/>
      <c r="GJ306" s="412"/>
      <c r="GK306" s="431"/>
      <c r="GL306" s="439"/>
      <c r="GM306" s="411"/>
      <c r="GN306" s="411"/>
      <c r="GO306" s="411"/>
      <c r="GP306" s="411"/>
      <c r="GQ306" s="411"/>
      <c r="GR306" s="411"/>
      <c r="GS306" s="411"/>
      <c r="GT306" s="411"/>
      <c r="GU306" s="411"/>
      <c r="GV306" s="411"/>
      <c r="GW306" s="439"/>
      <c r="GX306" s="439"/>
      <c r="GY306" s="439"/>
      <c r="GZ306" s="412"/>
      <c r="HA306" s="431"/>
      <c r="HB306" s="411"/>
      <c r="HC306" s="411"/>
      <c r="HD306" s="452"/>
      <c r="HE306" s="439"/>
      <c r="HF306" s="432"/>
      <c r="HG306" s="432"/>
      <c r="HH306" s="432"/>
      <c r="HI306" s="439"/>
      <c r="HJ306" s="432"/>
      <c r="HK306" s="452"/>
      <c r="HL306" s="411"/>
      <c r="HM306" s="411"/>
      <c r="HN306" s="411"/>
      <c r="HO306" s="439"/>
      <c r="HP306" s="412"/>
      <c r="HQ306" s="483">
        <v>1</v>
      </c>
      <c r="HR306" s="321"/>
      <c r="HS306" s="414"/>
      <c r="HT306" s="412"/>
      <c r="HU306" s="431"/>
      <c r="HV306" s="412"/>
      <c r="HW306" s="412"/>
      <c r="HX306" s="412"/>
      <c r="HY306" s="412"/>
      <c r="HZ306" s="412"/>
      <c r="IA306" s="412"/>
      <c r="IB306" s="431"/>
      <c r="IC306" s="412"/>
      <c r="ID306" s="414"/>
      <c r="IE306" s="321"/>
      <c r="IF306" s="564"/>
      <c r="IG306" s="1236"/>
      <c r="IH306" s="328"/>
      <c r="II306" s="328"/>
      <c r="IJ306"/>
      <c r="IK306"/>
      <c r="IL306"/>
      <c r="IM306"/>
      <c r="IN306"/>
      <c r="IO306"/>
      <c r="IP306"/>
      <c r="IQ306"/>
      <c r="IR306"/>
      <c r="IS306"/>
      <c r="IT306" s="328"/>
      <c r="IU306" s="328"/>
      <c r="IV306" s="1237"/>
    </row>
    <row r="307" spans="1:256" s="326" customFormat="1" ht="8.25" customHeight="1">
      <c r="A307" s="413"/>
      <c r="B307" s="161"/>
      <c r="C307" s="161"/>
      <c r="D307" s="161"/>
      <c r="E307" s="161"/>
      <c r="F307" s="161"/>
      <c r="G307" s="161"/>
      <c r="H307" s="161"/>
      <c r="I307" s="161"/>
      <c r="J307" s="161"/>
      <c r="K307" s="161"/>
      <c r="L307" s="161"/>
      <c r="M307" s="161"/>
      <c r="N307" s="161"/>
      <c r="O307" s="161"/>
      <c r="P307" s="413"/>
      <c r="Q307" s="413"/>
      <c r="R307" s="443"/>
      <c r="S307" s="443"/>
      <c r="T307" s="443"/>
      <c r="U307" s="443"/>
      <c r="V307" s="443"/>
      <c r="W307" s="443"/>
      <c r="X307" s="443"/>
      <c r="Y307" s="436"/>
      <c r="Z307" s="201"/>
      <c r="AA307" s="161"/>
      <c r="AB307" s="161"/>
      <c r="AC307" s="161"/>
      <c r="AD307" s="161"/>
      <c r="AE307" s="161"/>
      <c r="AF307" s="413"/>
      <c r="AG307" s="428"/>
      <c r="AH307" s="461"/>
      <c r="AI307" s="413"/>
      <c r="AJ307" s="428"/>
      <c r="AK307" s="448"/>
      <c r="AL307" s="455"/>
      <c r="AM307" s="448"/>
      <c r="AN307" s="448"/>
      <c r="AO307" s="448"/>
      <c r="AP307" s="428"/>
      <c r="AQ307" s="428"/>
      <c r="AR307" s="428"/>
      <c r="AS307" s="428"/>
      <c r="AT307" s="428"/>
      <c r="AU307" s="428"/>
      <c r="AV307" s="428"/>
      <c r="AW307" s="427"/>
      <c r="AX307" s="427"/>
      <c r="AY307" s="427"/>
      <c r="AZ307" s="434"/>
      <c r="BA307" s="434"/>
      <c r="BB307" s="441"/>
      <c r="BC307" s="447"/>
      <c r="BD307" s="447"/>
      <c r="BE307" s="441"/>
      <c r="BF307" s="434"/>
      <c r="BG307" s="427"/>
      <c r="BH307" s="427"/>
      <c r="BI307" s="427"/>
      <c r="BJ307" s="427"/>
      <c r="BK307" s="427"/>
      <c r="BL307" s="427"/>
      <c r="BM307" s="439"/>
      <c r="BN307" s="423"/>
      <c r="BO307" s="434"/>
      <c r="BP307" s="411"/>
      <c r="BQ307" s="452"/>
      <c r="BR307" s="416"/>
      <c r="BS307" s="445"/>
      <c r="BT307" s="445"/>
      <c r="BU307" s="438"/>
      <c r="BV307" s="438"/>
      <c r="BW307" s="438"/>
      <c r="BX307" s="438"/>
      <c r="BY307" s="438"/>
      <c r="BZ307" s="438"/>
      <c r="CA307" s="412"/>
      <c r="CB307" s="432"/>
      <c r="CC307" s="1236"/>
      <c r="CD307" s="695"/>
      <c r="CR307" s="1237"/>
      <c r="CS307" s="1236"/>
      <c r="DI307" s="413"/>
      <c r="DJ307" s="443"/>
      <c r="DK307" s="421"/>
      <c r="DL307" s="443"/>
      <c r="DM307" s="421"/>
      <c r="DN307" s="443"/>
      <c r="DO307" s="421"/>
      <c r="DP307" s="443"/>
      <c r="DQ307" s="421"/>
      <c r="DR307" s="443"/>
      <c r="DS307" s="421"/>
      <c r="DT307" s="421"/>
      <c r="DU307" s="443"/>
      <c r="DV307" s="421"/>
      <c r="DW307" s="443"/>
      <c r="DX307" s="413"/>
      <c r="DY307" s="413"/>
      <c r="DZ307" s="421"/>
      <c r="EA307" s="421"/>
      <c r="EB307" s="421"/>
      <c r="EC307" s="421"/>
      <c r="ED307" s="421"/>
      <c r="EE307" s="421"/>
      <c r="EF307" s="421"/>
      <c r="EG307" s="421"/>
      <c r="EH307" s="421"/>
      <c r="EI307" s="421"/>
      <c r="EJ307" s="421"/>
      <c r="EK307" s="421"/>
      <c r="EL307" s="421"/>
      <c r="EM307" s="421"/>
      <c r="EN307" s="413"/>
      <c r="EO307" s="1236"/>
      <c r="EP307" s="328"/>
      <c r="EQ307" s="328"/>
      <c r="ER307" s="328"/>
      <c r="ES307" s="328"/>
      <c r="ET307" s="328"/>
      <c r="EU307" s="328"/>
      <c r="EV307" s="328"/>
      <c r="EW307" s="328"/>
      <c r="EX307" s="328"/>
      <c r="EY307" s="328"/>
      <c r="EZ307" s="328"/>
      <c r="FA307" s="328"/>
      <c r="FB307" s="328"/>
      <c r="FC307" s="328"/>
      <c r="FD307" s="1237"/>
      <c r="FE307" s="455"/>
      <c r="FF307" s="410"/>
      <c r="FG307" s="455"/>
      <c r="FH307" s="455"/>
      <c r="FI307" s="455"/>
      <c r="FJ307" s="410"/>
      <c r="FK307" s="455"/>
      <c r="FL307" s="410"/>
      <c r="FM307" s="449"/>
      <c r="FN307" s="410"/>
      <c r="FO307" s="456"/>
      <c r="FP307" s="456"/>
      <c r="FQ307" s="456"/>
      <c r="FR307" s="456"/>
      <c r="FS307" s="456"/>
      <c r="FT307" s="410"/>
      <c r="FU307" s="431"/>
      <c r="FV307" s="452"/>
      <c r="FW307" s="452"/>
      <c r="FX307" s="452"/>
      <c r="FY307" s="452"/>
      <c r="FZ307" s="452"/>
      <c r="GA307" s="452"/>
      <c r="GB307" s="452"/>
      <c r="GC307" s="452"/>
      <c r="GD307" s="452"/>
      <c r="GE307" s="452"/>
      <c r="GF307" s="452"/>
      <c r="GG307" s="452"/>
      <c r="GH307" s="452"/>
      <c r="GI307" s="452"/>
      <c r="GJ307" s="412"/>
      <c r="GK307" s="431"/>
      <c r="GL307" s="452"/>
      <c r="GM307" s="452"/>
      <c r="GN307" s="452"/>
      <c r="GO307" s="452"/>
      <c r="GP307" s="452"/>
      <c r="GQ307" s="452"/>
      <c r="GR307" s="432"/>
      <c r="GS307" s="414"/>
      <c r="GT307" s="452"/>
      <c r="GU307" s="452"/>
      <c r="GV307" s="439"/>
      <c r="GW307" s="439"/>
      <c r="GX307" s="452"/>
      <c r="GY307" s="452"/>
      <c r="GZ307" s="412"/>
      <c r="HA307" s="431"/>
      <c r="HB307" s="452"/>
      <c r="HC307" s="452"/>
      <c r="HD307" s="452"/>
      <c r="HE307" s="432"/>
      <c r="HF307" s="414"/>
      <c r="HG307" s="414"/>
      <c r="HH307" s="414"/>
      <c r="HI307" s="432"/>
      <c r="HJ307" s="414"/>
      <c r="HK307" s="432"/>
      <c r="HL307" s="452"/>
      <c r="HM307" s="452"/>
      <c r="HN307" s="439"/>
      <c r="HO307" s="452"/>
      <c r="HP307" s="412"/>
      <c r="HQ307" s="483"/>
      <c r="HR307" s="321"/>
      <c r="HS307" s="414"/>
      <c r="HT307" s="412"/>
      <c r="HU307" s="412"/>
      <c r="HV307" s="412"/>
      <c r="HW307" s="412"/>
      <c r="HX307" s="412"/>
      <c r="HY307" s="412"/>
      <c r="HZ307" s="412"/>
      <c r="IA307" s="431"/>
      <c r="IB307" s="412"/>
      <c r="IC307" s="412"/>
      <c r="ID307" s="414"/>
      <c r="IE307" s="321"/>
      <c r="IF307" s="564"/>
      <c r="IG307" s="1236"/>
      <c r="IH307" s="328"/>
      <c r="II307" s="328"/>
      <c r="IJ307"/>
      <c r="IK307"/>
      <c r="IL307"/>
      <c r="IM307"/>
      <c r="IN307"/>
      <c r="IO307"/>
      <c r="IP307"/>
      <c r="IQ307"/>
      <c r="IR307"/>
      <c r="IS307"/>
      <c r="IT307" s="328"/>
      <c r="IU307" s="328"/>
      <c r="IV307" s="1237"/>
    </row>
    <row r="308" spans="1:256" s="326" customFormat="1" ht="8.25" customHeight="1">
      <c r="A308" s="413"/>
      <c r="B308" s="443"/>
      <c r="C308" s="443"/>
      <c r="D308" s="443"/>
      <c r="E308" s="436"/>
      <c r="F308" s="201"/>
      <c r="G308" s="436"/>
      <c r="H308" s="443"/>
      <c r="I308" s="443"/>
      <c r="J308" s="443"/>
      <c r="K308" s="443"/>
      <c r="L308" s="436"/>
      <c r="M308" s="201"/>
      <c r="N308" s="161"/>
      <c r="O308" s="161"/>
      <c r="P308" s="413"/>
      <c r="Q308" s="413"/>
      <c r="R308" s="161"/>
      <c r="S308" s="161"/>
      <c r="T308" s="161"/>
      <c r="U308" s="161"/>
      <c r="V308" s="161"/>
      <c r="W308" s="161"/>
      <c r="X308" s="161"/>
      <c r="Y308" s="161"/>
      <c r="Z308" s="161"/>
      <c r="AA308" s="161"/>
      <c r="AB308" s="161"/>
      <c r="AC308" s="161"/>
      <c r="AD308" s="161"/>
      <c r="AE308" s="161"/>
      <c r="AF308" s="413"/>
      <c r="AG308" s="428"/>
      <c r="AH308" s="461"/>
      <c r="AI308" s="413"/>
      <c r="AJ308" s="428"/>
      <c r="AK308" s="413"/>
      <c r="AL308" s="413"/>
      <c r="AM308" s="413"/>
      <c r="AN308" s="413"/>
      <c r="AO308" s="413"/>
      <c r="AP308" s="413"/>
      <c r="AQ308" s="413"/>
      <c r="AR308" s="413"/>
      <c r="AS308" s="428"/>
      <c r="AT308" s="428"/>
      <c r="AU308" s="428"/>
      <c r="AV308" s="428"/>
      <c r="AW308" s="427"/>
      <c r="AX308" s="427"/>
      <c r="AY308" s="427"/>
      <c r="AZ308" s="427"/>
      <c r="BA308" s="413"/>
      <c r="BB308" s="413"/>
      <c r="BC308" s="413"/>
      <c r="BD308" s="413"/>
      <c r="BE308" s="413"/>
      <c r="BF308" s="413"/>
      <c r="BG308" s="413"/>
      <c r="BH308" s="413"/>
      <c r="BI308" s="427"/>
      <c r="BJ308" s="427"/>
      <c r="BK308" s="427"/>
      <c r="BL308" s="427"/>
      <c r="BM308" s="439"/>
      <c r="BN308" s="439"/>
      <c r="BO308" s="439"/>
      <c r="BP308" s="439"/>
      <c r="BQ308" s="411"/>
      <c r="BR308" s="416"/>
      <c r="BS308" s="445"/>
      <c r="BT308" s="451"/>
      <c r="BU308" s="451"/>
      <c r="BV308" s="426"/>
      <c r="BW308" s="426"/>
      <c r="BX308" s="451"/>
      <c r="BY308" s="451"/>
      <c r="BZ308" s="438"/>
      <c r="CA308" s="412"/>
      <c r="CB308" s="432"/>
      <c r="CC308" s="1236"/>
      <c r="CD308" s="695"/>
      <c r="CR308" s="1237"/>
      <c r="CS308" s="1236"/>
      <c r="DI308" s="413"/>
      <c r="DJ308" s="443"/>
      <c r="DK308" s="421"/>
      <c r="DL308" s="443"/>
      <c r="DM308" s="421"/>
      <c r="DN308" s="443"/>
      <c r="DO308" s="421"/>
      <c r="DP308" s="443"/>
      <c r="DQ308" s="421"/>
      <c r="DR308" s="443"/>
      <c r="DS308" s="436"/>
      <c r="DT308" s="421"/>
      <c r="DU308" s="443"/>
      <c r="DV308" s="443"/>
      <c r="DW308" s="421"/>
      <c r="DX308" s="413"/>
      <c r="DY308" s="413"/>
      <c r="DZ308" s="421"/>
      <c r="EA308" s="421"/>
      <c r="EB308" s="421"/>
      <c r="EC308" s="421"/>
      <c r="ED308" s="421"/>
      <c r="EE308" s="421"/>
      <c r="EF308" s="421"/>
      <c r="EG308" s="421"/>
      <c r="EH308" s="421"/>
      <c r="EI308" s="421"/>
      <c r="EJ308" s="421"/>
      <c r="EK308" s="421"/>
      <c r="EL308" s="421"/>
      <c r="EM308" s="421"/>
      <c r="EN308" s="413"/>
      <c r="EO308" s="1236"/>
      <c r="EP308" s="328"/>
      <c r="EQ308" s="328"/>
      <c r="ER308" s="328"/>
      <c r="ES308" s="328"/>
      <c r="ET308" s="328"/>
      <c r="EU308" s="328"/>
      <c r="EV308" s="328"/>
      <c r="EW308" s="328"/>
      <c r="EX308" s="328"/>
      <c r="EY308" s="328"/>
      <c r="EZ308" s="328"/>
      <c r="FA308" s="328"/>
      <c r="FB308" s="328"/>
      <c r="FC308" s="328"/>
      <c r="FD308" s="1237"/>
      <c r="FE308" s="448"/>
      <c r="FF308" s="410"/>
      <c r="FG308" s="410"/>
      <c r="FH308" s="410"/>
      <c r="FI308" s="448"/>
      <c r="FJ308" s="410"/>
      <c r="FK308" s="410"/>
      <c r="FL308" s="410"/>
      <c r="FM308" s="449"/>
      <c r="FN308" s="410"/>
      <c r="FO308" s="410"/>
      <c r="FP308" s="410"/>
      <c r="FQ308" s="443"/>
      <c r="FR308" s="410"/>
      <c r="FS308" s="410"/>
      <c r="FT308" s="443"/>
      <c r="FU308" s="431"/>
      <c r="FV308" s="439"/>
      <c r="FW308" s="432"/>
      <c r="FX308" s="432"/>
      <c r="FY308" s="432"/>
      <c r="FZ308" s="432"/>
      <c r="GA308" s="432"/>
      <c r="GB308" s="432"/>
      <c r="GC308" s="432"/>
      <c r="GD308" s="432"/>
      <c r="GE308" s="432"/>
      <c r="GF308" s="432"/>
      <c r="GG308" s="432"/>
      <c r="GH308" s="432"/>
      <c r="GI308" s="439"/>
      <c r="GJ308" s="412"/>
      <c r="GK308" s="431"/>
      <c r="GL308" s="439"/>
      <c r="GM308" s="432"/>
      <c r="GN308" s="432"/>
      <c r="GO308" s="411"/>
      <c r="GP308" s="411"/>
      <c r="GQ308" s="432"/>
      <c r="GR308" s="414"/>
      <c r="GS308" s="414"/>
      <c r="GT308" s="432"/>
      <c r="GU308" s="432"/>
      <c r="GV308" s="439"/>
      <c r="GW308" s="432"/>
      <c r="GX308" s="439"/>
      <c r="GY308" s="439"/>
      <c r="GZ308" s="412"/>
      <c r="HA308" s="431"/>
      <c r="HB308" s="411"/>
      <c r="HC308" s="432"/>
      <c r="HD308" s="432"/>
      <c r="HE308" s="414"/>
      <c r="HF308" s="411"/>
      <c r="HG308" s="414"/>
      <c r="HH308" s="414"/>
      <c r="HI308" s="414"/>
      <c r="HJ308" s="414"/>
      <c r="HK308" s="439"/>
      <c r="HL308" s="432"/>
      <c r="HM308" s="432"/>
      <c r="HN308" s="432"/>
      <c r="HO308" s="432"/>
      <c r="HP308" s="412"/>
      <c r="HQ308" s="483"/>
      <c r="HR308" s="321"/>
      <c r="HS308" s="414"/>
      <c r="HT308" s="412"/>
      <c r="HU308" s="412"/>
      <c r="HV308" s="412"/>
      <c r="HW308" s="412"/>
      <c r="HX308" s="412"/>
      <c r="HY308" s="412"/>
      <c r="HZ308" s="431"/>
      <c r="IA308" s="412"/>
      <c r="IB308" s="412"/>
      <c r="IC308" s="412"/>
      <c r="ID308" s="414"/>
      <c r="IE308" s="321"/>
      <c r="IF308" s="564"/>
      <c r="IG308" s="1236"/>
      <c r="IH308" s="328"/>
      <c r="II308" s="328"/>
      <c r="IJ308"/>
      <c r="IK308"/>
      <c r="IL308"/>
      <c r="IM308"/>
      <c r="IN308"/>
      <c r="IO308"/>
      <c r="IP308"/>
      <c r="IQ308"/>
      <c r="IR308"/>
      <c r="IS308"/>
      <c r="IT308" s="328"/>
      <c r="IU308" s="328"/>
      <c r="IV308" s="1237"/>
    </row>
    <row r="309" spans="1:256" s="326" customFormat="1" ht="8.25" customHeight="1">
      <c r="A309" s="413"/>
      <c r="B309" s="161"/>
      <c r="C309" s="161"/>
      <c r="D309" s="161"/>
      <c r="E309" s="161"/>
      <c r="F309" s="161"/>
      <c r="G309" s="161"/>
      <c r="H309" s="161"/>
      <c r="I309" s="161"/>
      <c r="J309" s="161"/>
      <c r="K309" s="161"/>
      <c r="L309" s="161"/>
      <c r="M309" s="161"/>
      <c r="N309" s="161"/>
      <c r="O309" s="161"/>
      <c r="P309" s="413"/>
      <c r="Q309" s="413"/>
      <c r="R309" s="443"/>
      <c r="S309" s="443"/>
      <c r="T309" s="443"/>
      <c r="U309" s="436"/>
      <c r="V309" s="201"/>
      <c r="W309" s="436"/>
      <c r="X309" s="443"/>
      <c r="Y309" s="443"/>
      <c r="Z309" s="443"/>
      <c r="AA309" s="443"/>
      <c r="AB309" s="436"/>
      <c r="AC309" s="201"/>
      <c r="AD309" s="161"/>
      <c r="AE309" s="161"/>
      <c r="AF309" s="413"/>
      <c r="AG309" s="428"/>
      <c r="AH309" s="428"/>
      <c r="AI309" s="428"/>
      <c r="AJ309" s="428"/>
      <c r="AK309" s="413"/>
      <c r="AL309" s="419"/>
      <c r="AM309" s="413"/>
      <c r="AN309" s="413"/>
      <c r="AO309" s="413"/>
      <c r="AP309" s="413"/>
      <c r="AQ309" s="419"/>
      <c r="AR309" s="413"/>
      <c r="AS309" s="428"/>
      <c r="AT309" s="428"/>
      <c r="AU309" s="428"/>
      <c r="AV309" s="428"/>
      <c r="AW309" s="427"/>
      <c r="AX309" s="450"/>
      <c r="AY309" s="444"/>
      <c r="AZ309" s="427"/>
      <c r="BA309" s="413"/>
      <c r="BB309" s="445"/>
      <c r="BC309" s="419"/>
      <c r="BD309" s="451"/>
      <c r="BE309" s="419"/>
      <c r="BF309" s="445"/>
      <c r="BG309" s="419"/>
      <c r="BH309" s="413"/>
      <c r="BI309" s="427"/>
      <c r="BJ309" s="427"/>
      <c r="BK309" s="427"/>
      <c r="BL309" s="427"/>
      <c r="BM309" s="439"/>
      <c r="BN309" s="439"/>
      <c r="BO309" s="439"/>
      <c r="BP309" s="439"/>
      <c r="BQ309" s="439"/>
      <c r="BR309" s="416"/>
      <c r="BS309" s="438"/>
      <c r="BT309" s="451"/>
      <c r="BU309" s="451"/>
      <c r="BV309" s="433"/>
      <c r="BW309" s="426"/>
      <c r="BX309" s="451"/>
      <c r="BY309" s="451"/>
      <c r="BZ309" s="438"/>
      <c r="CA309" s="412"/>
      <c r="CB309" s="432"/>
      <c r="CC309" s="1236"/>
      <c r="CR309" s="1237"/>
      <c r="CS309" s="1236"/>
      <c r="DI309" s="413"/>
      <c r="DJ309" s="443"/>
      <c r="DK309" s="421"/>
      <c r="DL309" s="443"/>
      <c r="DM309" s="421"/>
      <c r="DN309" s="436"/>
      <c r="DO309" s="421"/>
      <c r="DP309" s="436"/>
      <c r="DQ309" s="421"/>
      <c r="DR309" s="443"/>
      <c r="DS309" s="421"/>
      <c r="DT309" s="421"/>
      <c r="DU309" s="443"/>
      <c r="DV309" s="421"/>
      <c r="DW309" s="436"/>
      <c r="DX309" s="413"/>
      <c r="DY309" s="413"/>
      <c r="DZ309" s="421"/>
      <c r="EA309" s="421"/>
      <c r="EB309" s="421"/>
      <c r="EC309" s="421"/>
      <c r="ED309" s="421"/>
      <c r="EE309" s="421"/>
      <c r="EF309" s="421"/>
      <c r="EG309" s="421"/>
      <c r="EH309" s="421"/>
      <c r="EI309" s="421"/>
      <c r="EJ309" s="421"/>
      <c r="EK309" s="421"/>
      <c r="EL309" s="421"/>
      <c r="EM309" s="421"/>
      <c r="EN309" s="413"/>
      <c r="EO309" s="1236"/>
      <c r="EP309" s="328"/>
      <c r="EQ309" s="328"/>
      <c r="ER309" s="328"/>
      <c r="ES309" s="328"/>
      <c r="ET309" s="328"/>
      <c r="EU309" s="328"/>
      <c r="EV309" s="328"/>
      <c r="EW309" s="328"/>
      <c r="EX309" s="328"/>
      <c r="EY309" s="328"/>
      <c r="EZ309" s="328"/>
      <c r="FA309" s="328"/>
      <c r="FB309" s="328"/>
      <c r="FC309" s="328"/>
      <c r="FD309" s="1237"/>
      <c r="FE309" s="442"/>
      <c r="FF309" s="442"/>
      <c r="FG309" s="442"/>
      <c r="FH309" s="442"/>
      <c r="FI309" s="442"/>
      <c r="FJ309" s="442"/>
      <c r="FK309" s="442"/>
      <c r="FL309" s="442"/>
      <c r="FM309" s="443"/>
      <c r="FN309" s="443"/>
      <c r="FO309" s="443"/>
      <c r="FP309" s="443"/>
      <c r="FQ309" s="443"/>
      <c r="FR309" s="443"/>
      <c r="FS309" s="443"/>
      <c r="FT309" s="321"/>
      <c r="FU309" s="431"/>
      <c r="FV309" s="411"/>
      <c r="FW309" s="411"/>
      <c r="FX309" s="411"/>
      <c r="FY309" s="411"/>
      <c r="FZ309" s="411"/>
      <c r="GA309" s="411"/>
      <c r="GB309" s="411"/>
      <c r="GC309" s="411"/>
      <c r="GD309" s="411"/>
      <c r="GE309" s="411"/>
      <c r="GF309" s="411"/>
      <c r="GG309" s="411"/>
      <c r="GH309" s="411"/>
      <c r="GI309" s="411"/>
      <c r="GJ309" s="412"/>
      <c r="GK309" s="431"/>
      <c r="GL309" s="411"/>
      <c r="GM309" s="411"/>
      <c r="GN309" s="411"/>
      <c r="GO309" s="452"/>
      <c r="GP309" s="452"/>
      <c r="GQ309" s="411"/>
      <c r="GR309" s="414"/>
      <c r="GS309" s="414"/>
      <c r="GT309" s="432"/>
      <c r="GU309" s="411"/>
      <c r="GV309" s="411"/>
      <c r="GW309" s="411"/>
      <c r="GX309" s="411"/>
      <c r="GY309" s="411"/>
      <c r="GZ309" s="412"/>
      <c r="HA309" s="431"/>
      <c r="HB309" s="452"/>
      <c r="HC309" s="452"/>
      <c r="HD309" s="411"/>
      <c r="HE309" s="414"/>
      <c r="HF309" s="414"/>
      <c r="HG309" s="411"/>
      <c r="HH309" s="414"/>
      <c r="HI309" s="414"/>
      <c r="HJ309" s="414"/>
      <c r="HK309" s="414"/>
      <c r="HL309" s="432"/>
      <c r="HM309" s="439"/>
      <c r="HN309" s="439"/>
      <c r="HO309" s="411"/>
      <c r="HP309" s="412"/>
      <c r="HQ309" s="1308"/>
      <c r="HR309" s="321"/>
      <c r="HS309" s="414"/>
      <c r="HT309" s="412"/>
      <c r="HU309" s="412"/>
      <c r="HV309" s="412"/>
      <c r="HW309" s="412"/>
      <c r="HX309" s="412"/>
      <c r="HY309" s="412"/>
      <c r="HZ309" s="412"/>
      <c r="IA309" s="412"/>
      <c r="IB309" s="412"/>
      <c r="IC309" s="412"/>
      <c r="ID309" s="414"/>
      <c r="IE309" s="321"/>
      <c r="IF309" s="1310"/>
      <c r="IG309" s="1236"/>
      <c r="IH309" s="328"/>
      <c r="II309" s="328"/>
      <c r="IJ309"/>
      <c r="IK309"/>
      <c r="IL309"/>
      <c r="IM309"/>
      <c r="IN309"/>
      <c r="IO309"/>
      <c r="IP309"/>
      <c r="IQ309"/>
      <c r="IR309"/>
      <c r="IS309"/>
      <c r="IT309" s="328"/>
      <c r="IU309" s="328"/>
      <c r="IV309" s="1237"/>
    </row>
    <row r="310" spans="1:256" s="326" customFormat="1" ht="8.25" customHeight="1">
      <c r="A310" s="413"/>
      <c r="B310" s="443"/>
      <c r="C310" s="443"/>
      <c r="D310" s="443"/>
      <c r="E310" s="443"/>
      <c r="F310" s="443"/>
      <c r="G310" s="443"/>
      <c r="H310" s="443"/>
      <c r="I310" s="436"/>
      <c r="J310" s="201"/>
      <c r="K310" s="161"/>
      <c r="L310" s="161"/>
      <c r="M310" s="161"/>
      <c r="N310" s="161"/>
      <c r="O310" s="161"/>
      <c r="P310" s="413"/>
      <c r="Q310" s="413"/>
      <c r="R310" s="161"/>
      <c r="S310" s="161"/>
      <c r="T310" s="161"/>
      <c r="U310" s="161"/>
      <c r="V310" s="161"/>
      <c r="W310" s="161"/>
      <c r="X310" s="161"/>
      <c r="Y310" s="161"/>
      <c r="Z310" s="161"/>
      <c r="AA310" s="161"/>
      <c r="AB310" s="161"/>
      <c r="AC310" s="161"/>
      <c r="AD310" s="161"/>
      <c r="AE310" s="161"/>
      <c r="AF310" s="413"/>
      <c r="AG310" s="428"/>
      <c r="AH310" s="441"/>
      <c r="AI310" s="428"/>
      <c r="AJ310" s="428"/>
      <c r="AK310" s="413"/>
      <c r="AL310" s="419"/>
      <c r="AM310" s="413"/>
      <c r="AN310" s="413"/>
      <c r="AO310" s="413"/>
      <c r="AP310" s="413"/>
      <c r="AQ310" s="413"/>
      <c r="AR310" s="413"/>
      <c r="AS310" s="428"/>
      <c r="AT310" s="428"/>
      <c r="AU310" s="428"/>
      <c r="AV310" s="428"/>
      <c r="AW310" s="427"/>
      <c r="AX310" s="450"/>
      <c r="AY310" s="437"/>
      <c r="AZ310" s="427"/>
      <c r="BA310" s="413"/>
      <c r="BB310" s="413"/>
      <c r="BC310" s="413"/>
      <c r="BD310" s="413"/>
      <c r="BE310" s="413"/>
      <c r="BF310" s="413"/>
      <c r="BG310" s="413"/>
      <c r="BH310" s="413"/>
      <c r="BI310" s="434"/>
      <c r="BJ310" s="427"/>
      <c r="BK310" s="427"/>
      <c r="BL310" s="427"/>
      <c r="BM310" s="439"/>
      <c r="BN310" s="411"/>
      <c r="BO310" s="416"/>
      <c r="BP310" s="439"/>
      <c r="BQ310" s="439"/>
      <c r="BR310" s="416"/>
      <c r="BS310" s="438"/>
      <c r="BT310" s="426"/>
      <c r="BU310" s="433"/>
      <c r="BV310" s="440"/>
      <c r="BW310" s="433"/>
      <c r="BX310" s="426"/>
      <c r="BY310" s="426"/>
      <c r="BZ310" s="438"/>
      <c r="CA310" s="412"/>
      <c r="CB310" s="432"/>
      <c r="CC310" s="1236"/>
      <c r="CR310" s="1237"/>
      <c r="CS310" s="1236"/>
      <c r="DH310" s="1237"/>
      <c r="DI310" s="413"/>
      <c r="DJ310" s="436"/>
      <c r="DK310" s="443"/>
      <c r="DL310" s="421"/>
      <c r="DM310" s="421"/>
      <c r="DN310" s="421"/>
      <c r="DO310" s="443"/>
      <c r="DP310" s="421"/>
      <c r="DQ310" s="421"/>
      <c r="DR310" s="443"/>
      <c r="DS310" s="443"/>
      <c r="DT310" s="421"/>
      <c r="DU310" s="443"/>
      <c r="DV310" s="421"/>
      <c r="DW310" s="443"/>
      <c r="DX310" s="413"/>
      <c r="DY310" s="413"/>
      <c r="DZ310" s="421"/>
      <c r="EA310" s="421"/>
      <c r="EB310" s="421"/>
      <c r="EC310" s="421"/>
      <c r="ED310" s="421"/>
      <c r="EE310" s="421"/>
      <c r="EF310" s="421"/>
      <c r="EG310" s="421"/>
      <c r="EH310" s="421"/>
      <c r="EI310" s="421"/>
      <c r="EJ310" s="421"/>
      <c r="EK310" s="421"/>
      <c r="EL310" s="421"/>
      <c r="EM310" s="421"/>
      <c r="EN310" s="413"/>
      <c r="EO310" s="1236"/>
      <c r="FD310" s="1237"/>
      <c r="FE310" s="483"/>
      <c r="FF310" s="321"/>
      <c r="FG310" s="321"/>
      <c r="FH310" s="321"/>
      <c r="FI310" s="321"/>
      <c r="FJ310" s="321"/>
      <c r="FK310" s="321"/>
      <c r="FL310" s="321"/>
      <c r="FM310" s="321"/>
      <c r="FN310" s="321"/>
      <c r="FO310" s="321"/>
      <c r="FP310" s="321"/>
      <c r="FQ310" s="321"/>
      <c r="FR310" s="321"/>
      <c r="FS310" s="321"/>
      <c r="FT310" s="321"/>
      <c r="FU310" s="431"/>
      <c r="FV310" s="452"/>
      <c r="FW310" s="452"/>
      <c r="FX310" s="452"/>
      <c r="FY310" s="452"/>
      <c r="FZ310" s="452"/>
      <c r="GA310" s="452"/>
      <c r="GB310" s="452"/>
      <c r="GC310" s="452"/>
      <c r="GD310" s="452"/>
      <c r="GE310" s="452"/>
      <c r="GF310" s="452"/>
      <c r="GG310" s="452"/>
      <c r="GH310" s="452"/>
      <c r="GI310" s="452"/>
      <c r="GJ310" s="412"/>
      <c r="GK310" s="431"/>
      <c r="GL310" s="452"/>
      <c r="GM310" s="452"/>
      <c r="GN310" s="452"/>
      <c r="GO310" s="432"/>
      <c r="GP310" s="432"/>
      <c r="GQ310" s="432"/>
      <c r="GR310" s="414"/>
      <c r="GS310" s="411"/>
      <c r="GT310" s="414"/>
      <c r="GU310" s="414"/>
      <c r="GV310" s="452"/>
      <c r="GW310" s="452"/>
      <c r="GX310" s="452"/>
      <c r="GY310" s="452"/>
      <c r="GZ310" s="412"/>
      <c r="HA310" s="431"/>
      <c r="HB310" s="432"/>
      <c r="HC310" s="432"/>
      <c r="HD310" s="432"/>
      <c r="HE310" s="414"/>
      <c r="HF310" s="414"/>
      <c r="HG310" s="414"/>
      <c r="HH310" s="414"/>
      <c r="HI310" s="411"/>
      <c r="HJ310" s="432"/>
      <c r="HK310" s="414"/>
      <c r="HL310" s="414"/>
      <c r="HM310" s="414"/>
      <c r="HN310" s="452"/>
      <c r="HO310" s="452"/>
      <c r="HP310" s="412"/>
      <c r="HQ310" s="1308"/>
      <c r="HR310" s="321"/>
      <c r="HS310" s="414"/>
      <c r="HT310" s="414"/>
      <c r="HU310" s="414"/>
      <c r="HV310" s="414"/>
      <c r="HW310" s="414"/>
      <c r="HX310" s="414"/>
      <c r="HY310" s="414"/>
      <c r="HZ310" s="414"/>
      <c r="IA310" s="414"/>
      <c r="IB310" s="414"/>
      <c r="IC310" s="414"/>
      <c r="ID310" s="414"/>
      <c r="IE310" s="321"/>
      <c r="IF310" s="1310"/>
      <c r="IG310" s="1236"/>
      <c r="IH310" s="328"/>
      <c r="II310" s="328"/>
      <c r="IJ310"/>
      <c r="IK310"/>
      <c r="IL310"/>
      <c r="IM310"/>
      <c r="IN310"/>
      <c r="IO310"/>
      <c r="IP310"/>
      <c r="IQ310"/>
      <c r="IR310"/>
      <c r="IS310"/>
      <c r="IT310" s="328"/>
      <c r="IU310" s="328"/>
      <c r="IV310" s="1237"/>
    </row>
    <row r="311" spans="1:256" s="326" customFormat="1" ht="8.25" customHeight="1">
      <c r="A311" s="413"/>
      <c r="B311" s="413"/>
      <c r="C311" s="413"/>
      <c r="D311" s="413"/>
      <c r="E311" s="413"/>
      <c r="F311" s="413"/>
      <c r="G311" s="413"/>
      <c r="H311" s="413"/>
      <c r="I311" s="413"/>
      <c r="J311" s="413"/>
      <c r="K311" s="413"/>
      <c r="L311" s="413"/>
      <c r="M311" s="413"/>
      <c r="N311" s="413"/>
      <c r="O311" s="413"/>
      <c r="P311" s="413"/>
      <c r="Q311" s="413"/>
      <c r="R311" s="413"/>
      <c r="S311" s="413"/>
      <c r="T311" s="413"/>
      <c r="U311" s="413"/>
      <c r="V311" s="413"/>
      <c r="W311" s="413"/>
      <c r="X311" s="413"/>
      <c r="Y311" s="413"/>
      <c r="Z311" s="413"/>
      <c r="AA311" s="413"/>
      <c r="AB311" s="413"/>
      <c r="AC311" s="413"/>
      <c r="AD311" s="413"/>
      <c r="AE311" s="413"/>
      <c r="AF311" s="413"/>
      <c r="AG311" s="428"/>
      <c r="AH311" s="428"/>
      <c r="AI311" s="428"/>
      <c r="AJ311" s="428"/>
      <c r="AK311" s="413"/>
      <c r="AL311" s="413"/>
      <c r="AM311" s="413"/>
      <c r="AN311" s="413"/>
      <c r="AO311" s="413"/>
      <c r="AP311" s="413"/>
      <c r="AQ311" s="419"/>
      <c r="AR311" s="413"/>
      <c r="AS311" s="448"/>
      <c r="AT311" s="428"/>
      <c r="AU311" s="428"/>
      <c r="AV311" s="428"/>
      <c r="AW311" s="427"/>
      <c r="AX311" s="450"/>
      <c r="AY311" s="430"/>
      <c r="AZ311" s="427"/>
      <c r="BA311" s="413"/>
      <c r="BB311" s="438"/>
      <c r="BC311" s="419"/>
      <c r="BD311" s="445"/>
      <c r="BE311" s="419"/>
      <c r="BF311" s="451"/>
      <c r="BG311" s="419"/>
      <c r="BH311" s="413"/>
      <c r="BI311" s="441"/>
      <c r="BJ311" s="434"/>
      <c r="BK311" s="427"/>
      <c r="BL311" s="427"/>
      <c r="BM311" s="439"/>
      <c r="BN311" s="411"/>
      <c r="BO311" s="416"/>
      <c r="BP311" s="439"/>
      <c r="BQ311" s="439"/>
      <c r="BR311" s="416"/>
      <c r="BS311" s="438"/>
      <c r="BT311" s="426"/>
      <c r="BU311" s="426"/>
      <c r="BV311" s="433"/>
      <c r="BW311" s="440"/>
      <c r="BX311" s="433"/>
      <c r="BY311" s="426"/>
      <c r="BZ311" s="438"/>
      <c r="CA311" s="412"/>
      <c r="CB311" s="432"/>
      <c r="CC311" s="1236"/>
      <c r="CR311" s="1237"/>
      <c r="CS311" s="1236"/>
      <c r="DH311" s="1237"/>
      <c r="DI311" s="413"/>
      <c r="DJ311" s="413"/>
      <c r="DK311" s="413"/>
      <c r="DL311" s="413"/>
      <c r="DM311" s="413"/>
      <c r="DN311" s="413"/>
      <c r="DO311" s="413"/>
      <c r="DP311" s="413"/>
      <c r="DQ311" s="413"/>
      <c r="DR311" s="413"/>
      <c r="DS311" s="413"/>
      <c r="DT311" s="413"/>
      <c r="DU311" s="413"/>
      <c r="DV311" s="413"/>
      <c r="DW311" s="413"/>
      <c r="DX311" s="413"/>
      <c r="DY311" s="413"/>
      <c r="DZ311" s="413"/>
      <c r="EA311" s="413"/>
      <c r="EB311" s="413"/>
      <c r="EC311" s="413"/>
      <c r="ED311" s="413"/>
      <c r="EE311" s="413"/>
      <c r="EF311" s="413"/>
      <c r="EG311" s="413"/>
      <c r="EH311" s="413"/>
      <c r="EI311" s="413"/>
      <c r="EJ311" s="413"/>
      <c r="EK311" s="413"/>
      <c r="EL311" s="413"/>
      <c r="EM311" s="413"/>
      <c r="EN311" s="413"/>
      <c r="EO311" s="1236"/>
      <c r="FD311" s="1237"/>
      <c r="FE311" s="483"/>
      <c r="FF311" s="321"/>
      <c r="FG311" s="321"/>
      <c r="FH311" s="321"/>
      <c r="FI311" s="321"/>
      <c r="FJ311" s="321"/>
      <c r="FK311" s="321"/>
      <c r="FL311" s="321"/>
      <c r="FM311" s="321"/>
      <c r="FN311" s="321"/>
      <c r="FO311" s="321"/>
      <c r="FP311" s="321"/>
      <c r="FQ311" s="321"/>
      <c r="FR311" s="321"/>
      <c r="FS311" s="321"/>
      <c r="FT311" s="321"/>
      <c r="FU311" s="431"/>
      <c r="FV311" s="439"/>
      <c r="FW311" s="432"/>
      <c r="FX311" s="432"/>
      <c r="FY311" s="432"/>
      <c r="FZ311" s="432"/>
      <c r="GA311" s="432"/>
      <c r="GB311" s="432"/>
      <c r="GC311" s="432"/>
      <c r="GD311" s="432"/>
      <c r="GE311" s="432"/>
      <c r="GF311" s="432"/>
      <c r="GG311" s="432"/>
      <c r="GH311" s="432"/>
      <c r="GI311" s="439"/>
      <c r="GJ311" s="412"/>
      <c r="GK311" s="431"/>
      <c r="GL311" s="439"/>
      <c r="GM311" s="432"/>
      <c r="GN311" s="432"/>
      <c r="GO311" s="411"/>
      <c r="GP311" s="432"/>
      <c r="GQ311" s="432"/>
      <c r="GR311" s="414"/>
      <c r="GS311" s="414"/>
      <c r="GT311" s="414"/>
      <c r="GU311" s="432"/>
      <c r="GV311" s="432"/>
      <c r="GW311" s="432"/>
      <c r="GX311" s="439"/>
      <c r="GY311" s="439"/>
      <c r="GZ311" s="412"/>
      <c r="HA311" s="431"/>
      <c r="HB311" s="411"/>
      <c r="HC311" s="432"/>
      <c r="HD311" s="432"/>
      <c r="HE311" s="414"/>
      <c r="HF311" s="432"/>
      <c r="HG311" s="414"/>
      <c r="HH311" s="414"/>
      <c r="HI311" s="414"/>
      <c r="HJ311" s="414"/>
      <c r="HK311" s="414"/>
      <c r="HL311" s="414"/>
      <c r="HM311" s="432"/>
      <c r="HN311" s="432"/>
      <c r="HO311" s="439"/>
      <c r="HP311" s="412"/>
      <c r="HQ311" s="1308"/>
      <c r="HR311" s="321"/>
      <c r="IE311" s="321"/>
      <c r="IF311" s="1310"/>
      <c r="IG311" s="1236"/>
      <c r="IH311" s="328"/>
      <c r="II311" s="328"/>
      <c r="IJ311"/>
      <c r="IK311"/>
      <c r="IL311"/>
      <c r="IM311"/>
      <c r="IN311"/>
      <c r="IO311"/>
      <c r="IP311"/>
      <c r="IQ311"/>
      <c r="IR311"/>
      <c r="IS311"/>
      <c r="IT311" s="328"/>
      <c r="IU311" s="328"/>
      <c r="IV311" s="1237"/>
    </row>
    <row r="312" spans="1:256" s="326" customFormat="1" ht="8.25" customHeight="1">
      <c r="A312" s="483"/>
      <c r="B312" s="321"/>
      <c r="C312" s="321"/>
      <c r="D312" s="321"/>
      <c r="E312" s="321"/>
      <c r="F312" s="321"/>
      <c r="G312" s="321"/>
      <c r="H312" s="321"/>
      <c r="I312" s="321"/>
      <c r="J312" s="321"/>
      <c r="K312" s="321"/>
      <c r="L312" s="321"/>
      <c r="M312" s="321"/>
      <c r="N312" s="321"/>
      <c r="O312" s="321"/>
      <c r="P312" s="564"/>
      <c r="Q312" s="483"/>
      <c r="R312" s="321"/>
      <c r="S312" s="321"/>
      <c r="T312" s="321"/>
      <c r="U312" s="321"/>
      <c r="V312" s="321"/>
      <c r="W312" s="321"/>
      <c r="X312" s="321"/>
      <c r="Y312" s="321"/>
      <c r="Z312" s="321"/>
      <c r="AA312" s="321"/>
      <c r="AB312" s="321"/>
      <c r="AC312" s="321"/>
      <c r="AD312" s="321"/>
      <c r="AE312" s="321"/>
      <c r="AF312" s="564"/>
      <c r="AG312" s="428"/>
      <c r="AH312" s="440"/>
      <c r="AI312" s="428"/>
      <c r="AJ312" s="428"/>
      <c r="AK312" s="413"/>
      <c r="AL312" s="419"/>
      <c r="AM312" s="413"/>
      <c r="AN312" s="413"/>
      <c r="AO312" s="413"/>
      <c r="AP312" s="413"/>
      <c r="AQ312" s="419"/>
      <c r="AR312" s="413"/>
      <c r="AS312" s="448"/>
      <c r="AT312" s="448"/>
      <c r="AU312" s="428"/>
      <c r="AV312" s="428"/>
      <c r="AW312" s="427"/>
      <c r="AX312" s="427"/>
      <c r="AY312" s="427"/>
      <c r="AZ312" s="427"/>
      <c r="BA312" s="413"/>
      <c r="BB312" s="419"/>
      <c r="BC312" s="413"/>
      <c r="BD312" s="413"/>
      <c r="BE312" s="413"/>
      <c r="BF312" s="413"/>
      <c r="BG312" s="413"/>
      <c r="BH312" s="413"/>
      <c r="BI312" s="447"/>
      <c r="BJ312" s="441"/>
      <c r="BK312" s="434"/>
      <c r="BL312" s="427"/>
      <c r="BM312" s="439"/>
      <c r="BN312" s="411"/>
      <c r="BO312" s="416"/>
      <c r="BP312" s="439"/>
      <c r="BQ312" s="439"/>
      <c r="BR312" s="416"/>
      <c r="BS312" s="438"/>
      <c r="BT312" s="451"/>
      <c r="BU312" s="451"/>
      <c r="BV312" s="426"/>
      <c r="BW312" s="433"/>
      <c r="BX312" s="458"/>
      <c r="BY312" s="451"/>
      <c r="BZ312" s="438"/>
      <c r="CA312" s="412"/>
      <c r="CB312" s="432"/>
      <c r="CC312" s="1236"/>
      <c r="CR312" s="1237"/>
      <c r="CS312" s="1236"/>
      <c r="DH312" s="1237"/>
      <c r="DI312" s="483"/>
      <c r="DJ312" s="321"/>
      <c r="DK312" s="321"/>
      <c r="DL312" s="321"/>
      <c r="DM312" s="321"/>
      <c r="DN312" s="321"/>
      <c r="DO312" s="321"/>
      <c r="DP312" s="321"/>
      <c r="DQ312" s="321"/>
      <c r="DR312" s="321"/>
      <c r="DS312" s="321"/>
      <c r="DT312" s="321"/>
      <c r="DU312" s="321"/>
      <c r="DV312" s="321"/>
      <c r="DW312" s="321"/>
      <c r="DX312" s="564"/>
      <c r="DY312" s="483"/>
      <c r="DZ312" s="321"/>
      <c r="EA312" s="321"/>
      <c r="EB312" s="321"/>
      <c r="EC312" s="321"/>
      <c r="ED312" s="321"/>
      <c r="EE312" s="321"/>
      <c r="EF312" s="321"/>
      <c r="EG312" s="321"/>
      <c r="EH312" s="321"/>
      <c r="EI312" s="321"/>
      <c r="EJ312" s="321"/>
      <c r="EK312" s="321"/>
      <c r="EL312" s="321"/>
      <c r="EM312" s="321"/>
      <c r="EN312" s="564"/>
      <c r="EO312" s="1236"/>
      <c r="FD312" s="1237"/>
      <c r="FE312" s="483"/>
      <c r="FF312" s="321"/>
      <c r="FG312" s="321"/>
      <c r="FH312" s="321"/>
      <c r="FI312" s="321"/>
      <c r="FJ312" s="321"/>
      <c r="FK312" s="321"/>
      <c r="FL312" s="321"/>
      <c r="FM312" s="321"/>
      <c r="FN312" s="321"/>
      <c r="FO312" s="321"/>
      <c r="FP312" s="321"/>
      <c r="FQ312" s="321"/>
      <c r="FR312" s="321"/>
      <c r="FS312" s="321"/>
      <c r="FT312" s="321"/>
      <c r="FU312" s="431"/>
      <c r="FV312" s="411"/>
      <c r="FW312" s="411"/>
      <c r="FX312" s="411"/>
      <c r="FY312" s="411"/>
      <c r="FZ312" s="411"/>
      <c r="GA312" s="411"/>
      <c r="GB312" s="411"/>
      <c r="GC312" s="411"/>
      <c r="GD312" s="411"/>
      <c r="GE312" s="411"/>
      <c r="GF312" s="411"/>
      <c r="GG312" s="411"/>
      <c r="GH312" s="411"/>
      <c r="GI312" s="411"/>
      <c r="GJ312" s="412"/>
      <c r="GK312" s="431"/>
      <c r="GL312" s="411"/>
      <c r="GM312" s="411"/>
      <c r="GN312" s="411"/>
      <c r="GO312" s="411"/>
      <c r="GP312" s="452"/>
      <c r="GQ312" s="414"/>
      <c r="GR312" s="414"/>
      <c r="GS312" s="414"/>
      <c r="GT312" s="452"/>
      <c r="GU312" s="414"/>
      <c r="GV312" s="414"/>
      <c r="GW312" s="411"/>
      <c r="GX312" s="411"/>
      <c r="GY312" s="411"/>
      <c r="GZ312" s="412"/>
      <c r="HA312" s="431"/>
      <c r="HB312" s="411"/>
      <c r="HC312" s="452"/>
      <c r="HD312" s="414"/>
      <c r="HE312" s="414"/>
      <c r="HF312" s="432"/>
      <c r="HG312" s="414"/>
      <c r="HH312" s="439"/>
      <c r="HI312" s="414"/>
      <c r="HJ312" s="432"/>
      <c r="HK312" s="414"/>
      <c r="HL312" s="452"/>
      <c r="HM312" s="414"/>
      <c r="HN312" s="414"/>
      <c r="HO312" s="411"/>
      <c r="HP312" s="412"/>
      <c r="HQ312" s="1308"/>
      <c r="HR312" s="321"/>
      <c r="HS312" s="321"/>
      <c r="HT312" s="321"/>
      <c r="HU312" s="321"/>
      <c r="IB312" s="321"/>
      <c r="IC312" s="321"/>
      <c r="ID312" s="321"/>
      <c r="IE312" s="321"/>
      <c r="IF312" s="1310"/>
      <c r="IG312" s="1236"/>
      <c r="IH312" s="328"/>
      <c r="II312" s="328"/>
      <c r="IJ312"/>
      <c r="IK312"/>
      <c r="IL312"/>
      <c r="IM312"/>
      <c r="IN312"/>
      <c r="IO312"/>
      <c r="IP312"/>
      <c r="IQ312"/>
      <c r="IR312"/>
      <c r="IS312"/>
      <c r="IT312" s="328"/>
      <c r="IU312" s="328"/>
      <c r="IV312" s="1237"/>
    </row>
    <row r="313" spans="1:256" s="326" customFormat="1" ht="8.25" customHeight="1">
      <c r="A313" s="483"/>
      <c r="B313" s="321"/>
      <c r="C313" s="321"/>
      <c r="D313" s="321"/>
      <c r="E313" s="321"/>
      <c r="F313" s="321"/>
      <c r="G313" s="321"/>
      <c r="H313" s="321"/>
      <c r="I313" s="321"/>
      <c r="J313" s="321"/>
      <c r="K313" s="321"/>
      <c r="L313" s="321"/>
      <c r="M313" s="321"/>
      <c r="N313" s="321"/>
      <c r="O313" s="321"/>
      <c r="P313" s="564"/>
      <c r="Q313" s="483"/>
      <c r="R313" s="321"/>
      <c r="S313" s="321"/>
      <c r="T313" s="321"/>
      <c r="U313" s="321"/>
      <c r="V313" s="321"/>
      <c r="W313" s="321"/>
      <c r="X313" s="321"/>
      <c r="Y313" s="321"/>
      <c r="Z313" s="321"/>
      <c r="AA313" s="321"/>
      <c r="AB313" s="321"/>
      <c r="AC313" s="321"/>
      <c r="AD313" s="321"/>
      <c r="AE313" s="321"/>
      <c r="AF313" s="564"/>
      <c r="AG313" s="428"/>
      <c r="AH313" s="428"/>
      <c r="AI313" s="428"/>
      <c r="AJ313" s="428"/>
      <c r="AK313" s="413"/>
      <c r="AL313" s="419"/>
      <c r="AM313" s="413"/>
      <c r="AN313" s="419"/>
      <c r="AO313" s="419"/>
      <c r="AP313" s="419"/>
      <c r="AQ313" s="424"/>
      <c r="AR313" s="413"/>
      <c r="AS313" s="448"/>
      <c r="AT313" s="448"/>
      <c r="AU313" s="448"/>
      <c r="AV313" s="428"/>
      <c r="AW313" s="427"/>
      <c r="AX313" s="427"/>
      <c r="AY313" s="427"/>
      <c r="AZ313" s="427"/>
      <c r="BA313" s="413"/>
      <c r="BB313" s="438"/>
      <c r="BC313" s="419"/>
      <c r="BD313" s="438"/>
      <c r="BE313" s="419"/>
      <c r="BF313" s="445"/>
      <c r="BG313" s="424"/>
      <c r="BH313" s="413"/>
      <c r="BI313" s="447"/>
      <c r="BJ313" s="447"/>
      <c r="BK313" s="441"/>
      <c r="BL313" s="434"/>
      <c r="BM313" s="439"/>
      <c r="BN313" s="439"/>
      <c r="BO313" s="439"/>
      <c r="BP313" s="439"/>
      <c r="BQ313" s="439"/>
      <c r="BR313" s="416"/>
      <c r="BS313" s="438"/>
      <c r="BT313" s="451"/>
      <c r="BU313" s="451"/>
      <c r="BV313" s="426"/>
      <c r="BW313" s="426"/>
      <c r="BX313" s="458"/>
      <c r="BY313" s="458"/>
      <c r="BZ313" s="445"/>
      <c r="CA313" s="412"/>
      <c r="CB313" s="432"/>
      <c r="CC313" s="1236"/>
      <c r="CR313" s="1237"/>
      <c r="CS313" s="1236"/>
      <c r="DH313" s="1237"/>
      <c r="DI313" s="483"/>
      <c r="DJ313" s="321"/>
      <c r="DK313" s="321"/>
      <c r="DL313" s="321"/>
      <c r="DM313" s="321"/>
      <c r="DN313" s="321"/>
      <c r="DO313" s="321"/>
      <c r="DP313" s="321"/>
      <c r="DQ313" s="321"/>
      <c r="DR313" s="321"/>
      <c r="DS313" s="321"/>
      <c r="DT313" s="321"/>
      <c r="DU313" s="321"/>
      <c r="DV313" s="321"/>
      <c r="DW313" s="321"/>
      <c r="DX313" s="564"/>
      <c r="DY313" s="483"/>
      <c r="DZ313" s="321"/>
      <c r="EA313" s="321"/>
      <c r="EB313" s="321"/>
      <c r="EC313" s="321"/>
      <c r="ED313" s="321"/>
      <c r="EE313" s="321"/>
      <c r="EF313" s="321"/>
      <c r="EG313" s="321"/>
      <c r="EH313" s="321"/>
      <c r="EI313" s="321"/>
      <c r="EJ313" s="321"/>
      <c r="EK313" s="321"/>
      <c r="EL313" s="321"/>
      <c r="EM313" s="321"/>
      <c r="EN313" s="564"/>
      <c r="EO313" s="1236"/>
      <c r="FD313" s="1237"/>
      <c r="FE313" s="483"/>
      <c r="FF313" s="321"/>
      <c r="FG313" s="321"/>
      <c r="FH313" s="321"/>
      <c r="FI313" s="321"/>
      <c r="FJ313" s="321"/>
      <c r="FK313" s="321"/>
      <c r="FL313" s="321"/>
      <c r="FM313" s="321"/>
      <c r="FN313" s="321"/>
      <c r="FO313" s="321"/>
      <c r="FP313" s="321"/>
      <c r="FQ313" s="321"/>
      <c r="FR313" s="321"/>
      <c r="FS313" s="321"/>
      <c r="FT313" s="321"/>
      <c r="FU313" s="431"/>
      <c r="FV313" s="452"/>
      <c r="FW313" s="452"/>
      <c r="FX313" s="452"/>
      <c r="FY313" s="452"/>
      <c r="FZ313" s="452"/>
      <c r="GA313" s="452"/>
      <c r="GB313" s="452"/>
      <c r="GC313" s="452"/>
      <c r="GD313" s="452"/>
      <c r="GE313" s="452"/>
      <c r="GF313" s="452"/>
      <c r="GG313" s="452"/>
      <c r="GH313" s="452"/>
      <c r="GI313" s="452"/>
      <c r="GJ313" s="412"/>
      <c r="GK313" s="431"/>
      <c r="GL313" s="452"/>
      <c r="GM313" s="452"/>
      <c r="GN313" s="452"/>
      <c r="GO313" s="452"/>
      <c r="GP313" s="411"/>
      <c r="GQ313" s="414"/>
      <c r="GR313" s="432"/>
      <c r="GS313" s="414"/>
      <c r="GT313" s="411"/>
      <c r="GU313" s="432"/>
      <c r="GV313" s="411"/>
      <c r="GW313" s="452"/>
      <c r="GX313" s="452"/>
      <c r="GY313" s="452"/>
      <c r="GZ313" s="412"/>
      <c r="HA313" s="431"/>
      <c r="HB313" s="452"/>
      <c r="HC313" s="411"/>
      <c r="HD313" s="414"/>
      <c r="HE313" s="414"/>
      <c r="HF313" s="414"/>
      <c r="HG313" s="414"/>
      <c r="HH313" s="432"/>
      <c r="HI313" s="414"/>
      <c r="HJ313" s="414"/>
      <c r="HK313" s="452"/>
      <c r="HL313" s="411"/>
      <c r="HM313" s="432"/>
      <c r="HN313" s="411"/>
      <c r="HO313" s="452"/>
      <c r="HP313" s="412"/>
      <c r="HQ313" s="483"/>
      <c r="HR313" s="321"/>
      <c r="HS313" s="321"/>
      <c r="HT313" s="321"/>
      <c r="HU313" s="321"/>
      <c r="HV313" s="321"/>
      <c r="IB313" s="321"/>
      <c r="IC313" s="321"/>
      <c r="ID313" s="321"/>
      <c r="IE313" s="321"/>
      <c r="IF313" s="564"/>
      <c r="IG313" s="1236"/>
      <c r="IH313" s="328"/>
      <c r="II313" s="328"/>
      <c r="IJ313"/>
      <c r="IK313"/>
      <c r="IL313"/>
      <c r="IM313"/>
      <c r="IN313"/>
      <c r="IO313"/>
      <c r="IP313"/>
      <c r="IQ313"/>
      <c r="IR313"/>
      <c r="IS313"/>
      <c r="IT313" s="328"/>
      <c r="IU313" s="328"/>
      <c r="IV313" s="1237"/>
    </row>
    <row r="314" spans="1:256" s="326" customFormat="1" ht="8.25" customHeight="1">
      <c r="A314" s="483"/>
      <c r="B314" s="321"/>
      <c r="C314" s="321"/>
      <c r="D314" s="321"/>
      <c r="E314" s="321"/>
      <c r="F314" s="321"/>
      <c r="G314" s="321"/>
      <c r="H314" s="321"/>
      <c r="I314" s="321"/>
      <c r="J314" s="321"/>
      <c r="K314" s="321"/>
      <c r="L314" s="321"/>
      <c r="M314" s="321"/>
      <c r="N314" s="321"/>
      <c r="O314" s="321"/>
      <c r="P314" s="564"/>
      <c r="Q314" s="483"/>
      <c r="R314" s="321"/>
      <c r="S314" s="321"/>
      <c r="T314" s="321"/>
      <c r="U314" s="321"/>
      <c r="V314" s="321"/>
      <c r="W314" s="321"/>
      <c r="X314" s="321"/>
      <c r="Y314" s="321"/>
      <c r="Z314" s="321"/>
      <c r="AA314" s="321"/>
      <c r="AB314" s="321"/>
      <c r="AC314" s="321"/>
      <c r="AD314" s="321"/>
      <c r="AE314" s="321"/>
      <c r="AF314" s="564"/>
      <c r="AG314" s="448"/>
      <c r="AH314" s="428"/>
      <c r="AI314" s="428"/>
      <c r="AJ314" s="428"/>
      <c r="AK314" s="424"/>
      <c r="AL314" s="413"/>
      <c r="AM314" s="413"/>
      <c r="AN314" s="413"/>
      <c r="AO314" s="413"/>
      <c r="AP314" s="413"/>
      <c r="AQ314" s="413"/>
      <c r="AR314" s="424"/>
      <c r="AS314" s="455"/>
      <c r="AT314" s="448"/>
      <c r="AU314" s="448"/>
      <c r="AV314" s="448"/>
      <c r="AW314" s="434"/>
      <c r="AX314" s="427"/>
      <c r="AY314" s="427"/>
      <c r="AZ314" s="427"/>
      <c r="BA314" s="424"/>
      <c r="BB314" s="413"/>
      <c r="BC314" s="413"/>
      <c r="BD314" s="413"/>
      <c r="BE314" s="413"/>
      <c r="BF314" s="413"/>
      <c r="BG314" s="413"/>
      <c r="BH314" s="424"/>
      <c r="BI314" s="441"/>
      <c r="BJ314" s="447"/>
      <c r="BK314" s="447"/>
      <c r="BL314" s="441"/>
      <c r="BM314" s="411"/>
      <c r="BN314" s="439"/>
      <c r="BO314" s="439"/>
      <c r="BP314" s="439"/>
      <c r="BQ314" s="439"/>
      <c r="BR314" s="416"/>
      <c r="BS314" s="438"/>
      <c r="BT314" s="438"/>
      <c r="BU314" s="438"/>
      <c r="BV314" s="438"/>
      <c r="BW314" s="438"/>
      <c r="BX314" s="438"/>
      <c r="BY314" s="445"/>
      <c r="BZ314" s="445"/>
      <c r="CA314" s="431"/>
      <c r="CB314" s="432"/>
      <c r="CC314" s="1236"/>
      <c r="CR314" s="1237"/>
      <c r="CS314" s="1236"/>
      <c r="DH314" s="1237"/>
      <c r="DI314" s="483"/>
      <c r="DJ314" s="321"/>
      <c r="DK314" s="321"/>
      <c r="DL314" s="321"/>
      <c r="DM314" s="321"/>
      <c r="DN314" s="321"/>
      <c r="DO314" s="321"/>
      <c r="DP314" s="321"/>
      <c r="DQ314" s="321"/>
      <c r="DR314" s="321"/>
      <c r="DS314" s="321"/>
      <c r="DT314" s="321"/>
      <c r="DU314" s="321"/>
      <c r="DV314" s="321"/>
      <c r="DW314" s="321"/>
      <c r="DX314" s="564"/>
      <c r="DY314" s="483"/>
      <c r="DZ314" s="321"/>
      <c r="EA314" s="321"/>
      <c r="EB314" s="321"/>
      <c r="EC314" s="321"/>
      <c r="ED314" s="321"/>
      <c r="EE314" s="321"/>
      <c r="EF314" s="321"/>
      <c r="EG314" s="321"/>
      <c r="EH314" s="321"/>
      <c r="EI314" s="321"/>
      <c r="EJ314" s="321"/>
      <c r="EK314" s="321"/>
      <c r="EL314" s="321"/>
      <c r="EM314" s="321"/>
      <c r="EN314" s="564"/>
      <c r="EO314" s="1236"/>
      <c r="FD314" s="1237"/>
      <c r="FE314" s="483"/>
      <c r="FF314" s="321"/>
      <c r="FG314" s="321"/>
      <c r="FH314" s="321"/>
      <c r="FI314" s="321"/>
      <c r="FJ314" s="321"/>
      <c r="FK314" s="321"/>
      <c r="FL314" s="321"/>
      <c r="FM314" s="321"/>
      <c r="FN314" s="321"/>
      <c r="FO314" s="321"/>
      <c r="FP314" s="321"/>
      <c r="FQ314" s="321"/>
      <c r="FR314" s="321"/>
      <c r="FS314" s="321"/>
      <c r="FT314" s="321"/>
      <c r="FU314" s="431"/>
      <c r="FV314" s="439"/>
      <c r="FW314" s="432"/>
      <c r="FX314" s="432"/>
      <c r="FY314" s="432"/>
      <c r="FZ314" s="432"/>
      <c r="GA314" s="432"/>
      <c r="GB314" s="432"/>
      <c r="GC314" s="432"/>
      <c r="GD314" s="432"/>
      <c r="GE314" s="432"/>
      <c r="GF314" s="432"/>
      <c r="GG314" s="432"/>
      <c r="GH314" s="432"/>
      <c r="GI314" s="439"/>
      <c r="GJ314" s="412"/>
      <c r="GK314" s="431"/>
      <c r="GL314" s="439"/>
      <c r="GM314" s="432"/>
      <c r="GN314" s="432"/>
      <c r="GO314" s="432"/>
      <c r="GP314" s="432"/>
      <c r="GQ314" s="432"/>
      <c r="GR314" s="414"/>
      <c r="GS314" s="414"/>
      <c r="GT314" s="414"/>
      <c r="GU314" s="432"/>
      <c r="GV314" s="452"/>
      <c r="GW314" s="432"/>
      <c r="GX314" s="439"/>
      <c r="GY314" s="439"/>
      <c r="GZ314" s="412"/>
      <c r="HA314" s="431"/>
      <c r="HB314" s="432"/>
      <c r="HC314" s="432"/>
      <c r="HD314" s="432"/>
      <c r="HE314" s="414"/>
      <c r="HF314" s="432"/>
      <c r="HG314" s="414"/>
      <c r="HH314" s="414"/>
      <c r="HI314" s="432"/>
      <c r="HJ314" s="414"/>
      <c r="HK314" s="452"/>
      <c r="HL314" s="414"/>
      <c r="HM314" s="432"/>
      <c r="HN314" s="452"/>
      <c r="HO314" s="439"/>
      <c r="HP314" s="412"/>
      <c r="HQ314" s="483"/>
      <c r="HR314" s="321"/>
      <c r="HS314" s="321"/>
      <c r="HT314" s="321"/>
      <c r="HU314" s="321"/>
      <c r="HV314" s="321"/>
      <c r="HW314" s="321"/>
      <c r="HX314" s="321"/>
      <c r="HY314" s="321"/>
      <c r="HZ314" s="321"/>
      <c r="IA314" s="321"/>
      <c r="IB314" s="321"/>
      <c r="IC314" s="321"/>
      <c r="ID314" s="321"/>
      <c r="IE314" s="321"/>
      <c r="IF314" s="564"/>
      <c r="IG314" s="1236"/>
      <c r="IH314" s="328"/>
      <c r="II314" s="328"/>
      <c r="IJ314"/>
      <c r="IK314"/>
      <c r="IL314"/>
      <c r="IM314"/>
      <c r="IN314"/>
      <c r="IO314"/>
      <c r="IP314"/>
      <c r="IQ314"/>
      <c r="IR314"/>
      <c r="IS314"/>
      <c r="IT314" s="328"/>
      <c r="IU314" s="328"/>
      <c r="IV314" s="1237"/>
    </row>
    <row r="315" spans="1:256" s="326" customFormat="1" ht="8.25" customHeight="1">
      <c r="A315" s="483"/>
      <c r="B315" s="321"/>
      <c r="C315" s="321"/>
      <c r="D315" s="321"/>
      <c r="E315" s="321"/>
      <c r="F315" s="321"/>
      <c r="G315" s="321"/>
      <c r="H315" s="321"/>
      <c r="I315" s="321"/>
      <c r="J315" s="321"/>
      <c r="K315" s="321"/>
      <c r="L315" s="321"/>
      <c r="M315" s="321"/>
      <c r="N315" s="321"/>
      <c r="O315" s="321"/>
      <c r="P315" s="564"/>
      <c r="Q315" s="483"/>
      <c r="R315" s="321"/>
      <c r="S315" s="321"/>
      <c r="T315" s="321"/>
      <c r="U315" s="321"/>
      <c r="V315" s="321"/>
      <c r="W315" s="321"/>
      <c r="X315" s="321"/>
      <c r="Y315" s="321"/>
      <c r="Z315" s="321"/>
      <c r="AA315" s="321"/>
      <c r="AB315" s="321"/>
      <c r="AC315" s="321"/>
      <c r="AD315" s="321"/>
      <c r="AE315" s="321"/>
      <c r="AF315" s="564"/>
      <c r="AG315" s="448"/>
      <c r="AH315" s="448"/>
      <c r="AI315" s="428"/>
      <c r="AJ315" s="428"/>
      <c r="AK315" s="428"/>
      <c r="AL315" s="428"/>
      <c r="AM315" s="428"/>
      <c r="AN315" s="428"/>
      <c r="AO315" s="428"/>
      <c r="AP315" s="428"/>
      <c r="AQ315" s="428"/>
      <c r="AR315" s="428"/>
      <c r="AS315" s="448"/>
      <c r="AT315" s="455"/>
      <c r="AU315" s="448"/>
      <c r="AV315" s="448"/>
      <c r="AW315" s="441"/>
      <c r="AX315" s="434"/>
      <c r="AY315" s="427"/>
      <c r="AZ315" s="427"/>
      <c r="BA315" s="427"/>
      <c r="BB315" s="427"/>
      <c r="BC315" s="427"/>
      <c r="BD315" s="427"/>
      <c r="BE315" s="427"/>
      <c r="BF315" s="427"/>
      <c r="BG315" s="427"/>
      <c r="BH315" s="434"/>
      <c r="BI315" s="434"/>
      <c r="BJ315" s="441"/>
      <c r="BK315" s="447"/>
      <c r="BL315" s="447"/>
      <c r="BM315" s="452"/>
      <c r="BN315" s="411"/>
      <c r="BO315" s="439"/>
      <c r="BP315" s="439"/>
      <c r="BQ315" s="439"/>
      <c r="BR315" s="416"/>
      <c r="BS315" s="412"/>
      <c r="BT315" s="412"/>
      <c r="BU315" s="412"/>
      <c r="BV315" s="412"/>
      <c r="BW315" s="412"/>
      <c r="BX315" s="412"/>
      <c r="BY315" s="431"/>
      <c r="BZ315" s="438"/>
      <c r="CA315" s="438"/>
      <c r="CB315" s="439"/>
      <c r="CC315" s="1236"/>
      <c r="CR315" s="1237"/>
      <c r="CS315" s="1236"/>
      <c r="DH315" s="1237"/>
      <c r="DI315" s="483"/>
      <c r="DJ315" s="321"/>
      <c r="DK315" s="321"/>
      <c r="DL315" s="321"/>
      <c r="DM315" s="321"/>
      <c r="DN315" s="321"/>
      <c r="DO315" s="321"/>
      <c r="DP315" s="321"/>
      <c r="DQ315" s="321"/>
      <c r="DR315" s="321"/>
      <c r="DS315" s="321"/>
      <c r="DT315" s="321"/>
      <c r="DU315" s="321"/>
      <c r="DV315" s="321"/>
      <c r="DW315" s="321"/>
      <c r="DX315" s="564"/>
      <c r="DY315" s="483"/>
      <c r="DZ315" s="321"/>
      <c r="EA315" s="321"/>
      <c r="EB315" s="321"/>
      <c r="EC315" s="321"/>
      <c r="ED315" s="321"/>
      <c r="EE315" s="321"/>
      <c r="EF315" s="321"/>
      <c r="EG315" s="321"/>
      <c r="EH315" s="321"/>
      <c r="EI315" s="321"/>
      <c r="EJ315" s="321"/>
      <c r="EK315" s="321"/>
      <c r="EL315" s="321"/>
      <c r="EM315" s="321"/>
      <c r="EN315" s="564"/>
      <c r="EO315" s="1236"/>
      <c r="FD315" s="1237"/>
      <c r="FE315" s="483"/>
      <c r="FF315" s="321"/>
      <c r="FG315" s="321"/>
      <c r="FH315" s="321"/>
      <c r="FI315" s="321"/>
      <c r="FJ315" s="321"/>
      <c r="FK315" s="321"/>
      <c r="FL315" s="321"/>
      <c r="FM315" s="321"/>
      <c r="FN315" s="321"/>
      <c r="FO315" s="321"/>
      <c r="FP315" s="321"/>
      <c r="FQ315" s="321"/>
      <c r="FR315" s="321"/>
      <c r="FS315" s="321"/>
      <c r="FT315" s="321"/>
      <c r="FU315" s="431"/>
      <c r="FV315" s="411"/>
      <c r="FW315" s="411"/>
      <c r="FX315" s="411"/>
      <c r="FY315" s="411"/>
      <c r="FZ315" s="411"/>
      <c r="GA315" s="411"/>
      <c r="GB315" s="411"/>
      <c r="GC315" s="411"/>
      <c r="GD315" s="411"/>
      <c r="GE315" s="411"/>
      <c r="GF315" s="411"/>
      <c r="GG315" s="411"/>
      <c r="GH315" s="411"/>
      <c r="GI315" s="411"/>
      <c r="GJ315" s="412"/>
      <c r="GK315" s="431"/>
      <c r="GL315" s="411"/>
      <c r="GM315" s="411"/>
      <c r="GN315" s="411"/>
      <c r="GO315" s="411"/>
      <c r="GP315" s="414"/>
      <c r="GQ315" s="414"/>
      <c r="GR315" s="414"/>
      <c r="GS315" s="414"/>
      <c r="GT315" s="414"/>
      <c r="GU315" s="414"/>
      <c r="GV315" s="432"/>
      <c r="GW315" s="411"/>
      <c r="GX315" s="411"/>
      <c r="GY315" s="411"/>
      <c r="GZ315" s="412"/>
      <c r="HA315" s="431"/>
      <c r="HB315" s="411"/>
      <c r="HC315" s="414"/>
      <c r="HD315" s="414"/>
      <c r="HE315" s="414"/>
      <c r="HF315" s="414"/>
      <c r="HG315" s="414"/>
      <c r="HH315" s="414"/>
      <c r="HI315" s="414"/>
      <c r="HJ315" s="414"/>
      <c r="HK315" s="414"/>
      <c r="HL315" s="414"/>
      <c r="HM315" s="414"/>
      <c r="HN315" s="432"/>
      <c r="HO315" s="411"/>
      <c r="HP315" s="412"/>
      <c r="HQ315" s="483"/>
      <c r="HR315" s="321"/>
      <c r="HS315" s="321"/>
      <c r="HT315" s="321"/>
      <c r="HU315" s="321"/>
      <c r="HV315" s="321"/>
      <c r="HW315" s="321"/>
      <c r="HX315" s="321"/>
      <c r="HY315" s="321"/>
      <c r="HZ315" s="321"/>
      <c r="IA315" s="321"/>
      <c r="IB315" s="321"/>
      <c r="IC315" s="321"/>
      <c r="ID315" s="321"/>
      <c r="IE315" s="321"/>
      <c r="IF315" s="564"/>
      <c r="IG315" s="1236"/>
      <c r="IH315" s="328"/>
      <c r="II315" s="328"/>
      <c r="IJ315"/>
      <c r="IK315"/>
      <c r="IL315"/>
      <c r="IM315"/>
      <c r="IN315"/>
      <c r="IO315"/>
      <c r="IP315"/>
      <c r="IQ315"/>
      <c r="IR315"/>
      <c r="IS315"/>
      <c r="IT315" s="328"/>
      <c r="IU315" s="328"/>
      <c r="IV315" s="1237"/>
    </row>
    <row r="316" spans="1:256" s="326" customFormat="1" ht="8.25" customHeight="1">
      <c r="A316" s="483"/>
      <c r="B316" s="321"/>
      <c r="C316" s="321"/>
      <c r="D316" s="321"/>
      <c r="E316" s="321"/>
      <c r="F316" s="321"/>
      <c r="G316" s="321"/>
      <c r="H316" s="321"/>
      <c r="I316" s="321"/>
      <c r="J316" s="321"/>
      <c r="K316" s="321"/>
      <c r="L316" s="321"/>
      <c r="M316" s="321"/>
      <c r="N316" s="321"/>
      <c r="O316" s="321"/>
      <c r="P316" s="564"/>
      <c r="Q316" s="483"/>
      <c r="R316" s="321"/>
      <c r="S316" s="321"/>
      <c r="T316" s="321"/>
      <c r="U316" s="321"/>
      <c r="V316" s="321"/>
      <c r="W316" s="321"/>
      <c r="X316" s="321"/>
      <c r="Y316" s="321"/>
      <c r="Z316" s="321"/>
      <c r="AA316" s="321"/>
      <c r="AB316" s="321"/>
      <c r="AC316" s="321"/>
      <c r="AD316" s="321"/>
      <c r="AE316" s="321"/>
      <c r="AF316" s="564"/>
      <c r="AG316" s="440"/>
      <c r="AH316" s="433"/>
      <c r="AI316" s="433"/>
      <c r="AJ316" s="426"/>
      <c r="AK316" s="426"/>
      <c r="AL316" s="426"/>
      <c r="AM316" s="426"/>
      <c r="AN316" s="426"/>
      <c r="AO316" s="426"/>
      <c r="AP316" s="426"/>
      <c r="AQ316" s="426"/>
      <c r="AR316" s="426"/>
      <c r="AS316" s="433"/>
      <c r="AT316" s="440"/>
      <c r="AU316" s="446"/>
      <c r="AV316" s="440"/>
      <c r="AW316" s="440"/>
      <c r="AX316" s="433"/>
      <c r="AY316" s="433"/>
      <c r="AZ316" s="426"/>
      <c r="BA316" s="426"/>
      <c r="BB316" s="426"/>
      <c r="BC316" s="426"/>
      <c r="BD316" s="426"/>
      <c r="BE316" s="426"/>
      <c r="BF316" s="426"/>
      <c r="BG316" s="426"/>
      <c r="BH316" s="426"/>
      <c r="BI316" s="433"/>
      <c r="BJ316" s="440"/>
      <c r="BK316" s="446"/>
      <c r="BL316" s="440"/>
      <c r="BM316" s="440"/>
      <c r="BN316" s="433"/>
      <c r="BO316" s="433"/>
      <c r="BP316" s="426"/>
      <c r="BQ316" s="426"/>
      <c r="BR316" s="426"/>
      <c r="BS316" s="426"/>
      <c r="BT316" s="426"/>
      <c r="BU316" s="426"/>
      <c r="BV316" s="426"/>
      <c r="BW316" s="426"/>
      <c r="BX316" s="426"/>
      <c r="BY316" s="433"/>
      <c r="BZ316" s="440"/>
      <c r="CA316" s="446"/>
      <c r="CB316" s="440"/>
      <c r="CC316" s="1236"/>
      <c r="CR316" s="1237"/>
      <c r="CS316" s="1236"/>
      <c r="DH316" s="1237"/>
      <c r="DI316" s="483"/>
      <c r="DJ316" s="321"/>
      <c r="DK316" s="321"/>
      <c r="DL316" s="321"/>
      <c r="DM316" s="321"/>
      <c r="DN316" s="321"/>
      <c r="DO316" s="321"/>
      <c r="DP316" s="321"/>
      <c r="DQ316" s="321"/>
      <c r="DR316" s="321"/>
      <c r="DS316" s="321"/>
      <c r="DT316" s="321"/>
      <c r="DU316" s="321"/>
      <c r="DV316" s="321"/>
      <c r="DW316" s="321"/>
      <c r="DX316" s="564"/>
      <c r="DY316" s="483"/>
      <c r="DZ316" s="321"/>
      <c r="EA316" s="321"/>
      <c r="EB316" s="321"/>
      <c r="EC316" s="321"/>
      <c r="ED316" s="321"/>
      <c r="EE316" s="321"/>
      <c r="EF316" s="321"/>
      <c r="EG316" s="321"/>
      <c r="EH316" s="321"/>
      <c r="EI316" s="321"/>
      <c r="EJ316" s="321"/>
      <c r="EK316" s="321"/>
      <c r="EL316" s="321"/>
      <c r="EM316" s="321"/>
      <c r="EN316" s="564"/>
      <c r="EO316" s="1236"/>
      <c r="FD316" s="1237"/>
      <c r="FE316" s="483"/>
      <c r="FF316" s="321"/>
      <c r="FG316" s="321"/>
      <c r="FH316" s="321"/>
      <c r="FI316" s="321"/>
      <c r="FJ316" s="321"/>
      <c r="FK316" s="321"/>
      <c r="FL316" s="321"/>
      <c r="FM316" s="321"/>
      <c r="FN316" s="321"/>
      <c r="FO316" s="321"/>
      <c r="FP316" s="321"/>
      <c r="FQ316" s="321"/>
      <c r="FR316" s="321"/>
      <c r="FS316" s="321"/>
      <c r="FT316" s="321"/>
      <c r="FU316" s="431"/>
      <c r="FV316" s="452"/>
      <c r="FW316" s="452"/>
      <c r="FX316" s="452"/>
      <c r="FY316" s="452"/>
      <c r="FZ316" s="452"/>
      <c r="GA316" s="452"/>
      <c r="GB316" s="452"/>
      <c r="GC316" s="452"/>
      <c r="GD316" s="452"/>
      <c r="GE316" s="452"/>
      <c r="GF316" s="452"/>
      <c r="GG316" s="452"/>
      <c r="GH316" s="452"/>
      <c r="GI316" s="452"/>
      <c r="GJ316" s="412"/>
      <c r="GK316" s="431"/>
      <c r="GL316" s="452"/>
      <c r="GM316" s="452"/>
      <c r="GN316" s="452"/>
      <c r="GO316" s="452"/>
      <c r="GP316" s="452"/>
      <c r="GQ316" s="411"/>
      <c r="GR316" s="414"/>
      <c r="GS316" s="432"/>
      <c r="GT316" s="411"/>
      <c r="GU316" s="452"/>
      <c r="GV316" s="452"/>
      <c r="GW316" s="452"/>
      <c r="GX316" s="452"/>
      <c r="GY316" s="452"/>
      <c r="GZ316" s="412"/>
      <c r="HA316" s="431"/>
      <c r="HB316" s="452"/>
      <c r="HC316" s="411"/>
      <c r="HD316" s="414"/>
      <c r="HE316" s="414"/>
      <c r="HF316" s="414"/>
      <c r="HG316" s="439"/>
      <c r="HH316" s="414"/>
      <c r="HI316" s="414"/>
      <c r="HJ316" s="439"/>
      <c r="HK316" s="414"/>
      <c r="HL316" s="414"/>
      <c r="HM316" s="432"/>
      <c r="HN316" s="411"/>
      <c r="HO316" s="452"/>
      <c r="HP316" s="412"/>
      <c r="HQ316" s="483"/>
      <c r="HR316" s="321"/>
      <c r="HS316" s="321"/>
      <c r="HT316" s="321"/>
      <c r="HU316" s="321"/>
      <c r="HV316" s="321"/>
      <c r="HW316" s="321"/>
      <c r="HX316" s="321"/>
      <c r="HY316" s="321"/>
      <c r="HZ316" s="321"/>
      <c r="IA316" s="321"/>
      <c r="IB316" s="321"/>
      <c r="IC316" s="321"/>
      <c r="ID316" s="321"/>
      <c r="IE316" s="321"/>
      <c r="IF316" s="564"/>
      <c r="IG316" s="1236"/>
      <c r="IH316" s="328"/>
      <c r="II316" s="328"/>
      <c r="IJ316"/>
      <c r="IK316"/>
      <c r="IL316"/>
      <c r="IM316"/>
      <c r="IN316"/>
      <c r="IO316"/>
      <c r="IP316"/>
      <c r="IQ316"/>
      <c r="IR316"/>
      <c r="IS316"/>
      <c r="IT316" s="328"/>
      <c r="IU316" s="328"/>
      <c r="IV316" s="1237"/>
    </row>
    <row r="317" spans="1:256" s="326" customFormat="1" ht="8.25" customHeight="1">
      <c r="A317" s="483"/>
      <c r="B317" s="321"/>
      <c r="C317" s="321"/>
      <c r="D317" s="321"/>
      <c r="E317" s="321"/>
      <c r="F317" s="321"/>
      <c r="G317" s="321"/>
      <c r="H317" s="321"/>
      <c r="I317" s="321"/>
      <c r="J317" s="321"/>
      <c r="K317" s="321"/>
      <c r="L317" s="321"/>
      <c r="M317" s="321"/>
      <c r="N317" s="321"/>
      <c r="O317" s="321"/>
      <c r="P317" s="564"/>
      <c r="Q317" s="483"/>
      <c r="R317" s="321"/>
      <c r="S317" s="321"/>
      <c r="T317" s="321"/>
      <c r="U317" s="321"/>
      <c r="V317" s="321"/>
      <c r="W317" s="321"/>
      <c r="X317" s="321"/>
      <c r="Y317" s="321"/>
      <c r="Z317" s="321"/>
      <c r="AA317" s="321"/>
      <c r="AB317" s="321"/>
      <c r="AC317" s="321"/>
      <c r="AD317" s="321"/>
      <c r="AE317" s="321"/>
      <c r="AF317" s="564"/>
      <c r="AG317" s="446"/>
      <c r="AH317" s="440"/>
      <c r="AI317" s="433"/>
      <c r="AJ317" s="433"/>
      <c r="AK317" s="426"/>
      <c r="AL317" s="426"/>
      <c r="AM317" s="426"/>
      <c r="AN317" s="426"/>
      <c r="AO317" s="426"/>
      <c r="AP317" s="426"/>
      <c r="AQ317" s="426"/>
      <c r="AR317" s="426"/>
      <c r="AS317" s="426"/>
      <c r="AT317" s="433"/>
      <c r="AU317" s="440"/>
      <c r="AV317" s="446"/>
      <c r="AW317" s="446"/>
      <c r="AX317" s="440"/>
      <c r="AY317" s="433"/>
      <c r="AZ317" s="433"/>
      <c r="BA317" s="426"/>
      <c r="BB317" s="426"/>
      <c r="BC317" s="426"/>
      <c r="BD317" s="426"/>
      <c r="BE317" s="426"/>
      <c r="BF317" s="426"/>
      <c r="BG317" s="426"/>
      <c r="BH317" s="426"/>
      <c r="BI317" s="426"/>
      <c r="BJ317" s="433"/>
      <c r="BK317" s="440"/>
      <c r="BL317" s="446"/>
      <c r="BM317" s="446"/>
      <c r="BN317" s="440"/>
      <c r="BO317" s="433"/>
      <c r="BP317" s="433"/>
      <c r="BQ317" s="426"/>
      <c r="BR317" s="426"/>
      <c r="BS317" s="426"/>
      <c r="BT317" s="426"/>
      <c r="BU317" s="426"/>
      <c r="BV317" s="426"/>
      <c r="BW317" s="426"/>
      <c r="BX317" s="426"/>
      <c r="BY317" s="426"/>
      <c r="BZ317" s="433"/>
      <c r="CA317" s="440"/>
      <c r="CB317" s="446"/>
      <c r="CC317" s="1236"/>
      <c r="CR317" s="1237"/>
      <c r="CS317" s="1236"/>
      <c r="DH317" s="1237"/>
      <c r="DI317" s="483"/>
      <c r="DJ317" s="321"/>
      <c r="DK317" s="321"/>
      <c r="DL317" s="321"/>
      <c r="DM317" s="321"/>
      <c r="DN317" s="321"/>
      <c r="DO317" s="321"/>
      <c r="DP317" s="321"/>
      <c r="DQ317" s="321"/>
      <c r="DR317" s="321"/>
      <c r="DS317" s="321"/>
      <c r="DT317" s="321"/>
      <c r="DU317" s="321"/>
      <c r="DV317" s="321"/>
      <c r="DW317" s="321"/>
      <c r="DX317" s="564"/>
      <c r="DY317" s="483"/>
      <c r="DZ317" s="321"/>
      <c r="EA317" s="321"/>
      <c r="EB317" s="321"/>
      <c r="EC317" s="321"/>
      <c r="ED317" s="321"/>
      <c r="EE317" s="321"/>
      <c r="EF317" s="321"/>
      <c r="EG317" s="321"/>
      <c r="EH317" s="321"/>
      <c r="EI317" s="321"/>
      <c r="EJ317" s="321"/>
      <c r="EK317" s="321"/>
      <c r="EL317" s="321"/>
      <c r="EM317" s="321"/>
      <c r="EN317" s="564"/>
      <c r="EO317" s="1236"/>
      <c r="FD317" s="1237"/>
      <c r="FE317" s="483"/>
      <c r="FF317" s="321"/>
      <c r="FG317" s="321"/>
      <c r="FH317" s="321"/>
      <c r="FI317" s="321"/>
      <c r="FJ317" s="321"/>
      <c r="FK317" s="321"/>
      <c r="FL317" s="321"/>
      <c r="FM317" s="321"/>
      <c r="FN317" s="321"/>
      <c r="FO317" s="321"/>
      <c r="FP317" s="321"/>
      <c r="FQ317" s="321"/>
      <c r="FR317" s="321"/>
      <c r="FS317" s="321"/>
      <c r="FT317" s="321"/>
      <c r="FU317" s="431"/>
      <c r="FV317" s="439"/>
      <c r="FW317" s="432"/>
      <c r="FX317" s="432"/>
      <c r="FY317" s="432"/>
      <c r="FZ317" s="432"/>
      <c r="GA317" s="432"/>
      <c r="GB317" s="432"/>
      <c r="GC317" s="432"/>
      <c r="GD317" s="432"/>
      <c r="GE317" s="432"/>
      <c r="GF317" s="432"/>
      <c r="GG317" s="432"/>
      <c r="GH317" s="432"/>
      <c r="GI317" s="439"/>
      <c r="GJ317" s="412"/>
      <c r="GK317" s="431"/>
      <c r="GL317" s="439"/>
      <c r="GM317" s="432"/>
      <c r="GN317" s="432"/>
      <c r="GO317" s="432"/>
      <c r="GP317" s="432"/>
      <c r="GQ317" s="432"/>
      <c r="GR317" s="432"/>
      <c r="GS317" s="432"/>
      <c r="GT317" s="432"/>
      <c r="GU317" s="432"/>
      <c r="GV317" s="432"/>
      <c r="GW317" s="432"/>
      <c r="GX317" s="439"/>
      <c r="GY317" s="439"/>
      <c r="GZ317" s="412"/>
      <c r="HA317" s="431"/>
      <c r="HB317" s="432"/>
      <c r="HC317" s="452"/>
      <c r="HD317" s="432"/>
      <c r="HE317" s="432"/>
      <c r="HF317" s="414"/>
      <c r="HG317" s="432"/>
      <c r="HH317" s="414"/>
      <c r="HI317" s="432"/>
      <c r="HJ317" s="432"/>
      <c r="HK317" s="414"/>
      <c r="HL317" s="432"/>
      <c r="HM317" s="411"/>
      <c r="HN317" s="432"/>
      <c r="HO317" s="439"/>
      <c r="HP317" s="412"/>
      <c r="HQ317" s="483"/>
      <c r="HR317" s="321"/>
      <c r="HS317" s="321"/>
      <c r="HT317" s="321"/>
      <c r="HU317" s="321"/>
      <c r="HV317" s="321"/>
      <c r="HW317" s="321"/>
      <c r="HX317" s="321"/>
      <c r="HY317" s="321"/>
      <c r="HZ317" s="321"/>
      <c r="IA317" s="321"/>
      <c r="IB317" s="321"/>
      <c r="IC317" s="321"/>
      <c r="ID317" s="321"/>
      <c r="IE317" s="321"/>
      <c r="IF317" s="564"/>
      <c r="IG317" s="1236"/>
      <c r="IH317" s="328"/>
      <c r="II317" s="328"/>
      <c r="IJ317"/>
      <c r="IK317"/>
      <c r="IL317"/>
      <c r="IM317"/>
      <c r="IN317"/>
      <c r="IO317"/>
      <c r="IP317"/>
      <c r="IQ317"/>
      <c r="IR317"/>
      <c r="IS317"/>
      <c r="IT317" s="328"/>
      <c r="IU317" s="328"/>
      <c r="IV317" s="1237"/>
    </row>
    <row r="318" spans="1:256" s="326" customFormat="1" ht="8.25" customHeight="1">
      <c r="A318" s="483"/>
      <c r="B318" s="321"/>
      <c r="C318" s="321"/>
      <c r="D318" s="321"/>
      <c r="E318" s="321"/>
      <c r="F318" s="321"/>
      <c r="G318" s="321"/>
      <c r="H318" s="321"/>
      <c r="I318" s="321"/>
      <c r="J318" s="321"/>
      <c r="K318" s="321"/>
      <c r="L318" s="321"/>
      <c r="M318" s="321"/>
      <c r="N318" s="321"/>
      <c r="O318" s="321"/>
      <c r="P318" s="564"/>
      <c r="Q318" s="483"/>
      <c r="R318" s="321"/>
      <c r="S318" s="321"/>
      <c r="T318" s="321"/>
      <c r="U318" s="321"/>
      <c r="V318" s="321"/>
      <c r="W318" s="321"/>
      <c r="X318" s="321"/>
      <c r="Y318" s="321"/>
      <c r="Z318" s="321"/>
      <c r="AA318" s="321"/>
      <c r="AB318" s="321"/>
      <c r="AC318" s="321"/>
      <c r="AD318" s="321"/>
      <c r="AE318" s="321"/>
      <c r="AF318" s="564"/>
      <c r="AG318" s="440"/>
      <c r="AH318" s="446"/>
      <c r="AI318" s="440"/>
      <c r="AJ318" s="433"/>
      <c r="AK318" s="433"/>
      <c r="AL318" s="426"/>
      <c r="AM318" s="426"/>
      <c r="AN318" s="426"/>
      <c r="AO318" s="426"/>
      <c r="AP318" s="426"/>
      <c r="AQ318" s="426"/>
      <c r="AR318" s="426"/>
      <c r="AS318" s="426"/>
      <c r="AT318" s="426"/>
      <c r="AU318" s="433"/>
      <c r="AV318" s="440"/>
      <c r="AW318" s="440"/>
      <c r="AX318" s="446"/>
      <c r="AY318" s="440"/>
      <c r="AZ318" s="433"/>
      <c r="BA318" s="433"/>
      <c r="BB318" s="426"/>
      <c r="BC318" s="426"/>
      <c r="BD318" s="426"/>
      <c r="BE318" s="426"/>
      <c r="BF318" s="426"/>
      <c r="BG318" s="426"/>
      <c r="BH318" s="426"/>
      <c r="BI318" s="426"/>
      <c r="BJ318" s="426"/>
      <c r="BK318" s="433"/>
      <c r="BL318" s="440"/>
      <c r="BM318" s="440"/>
      <c r="BN318" s="446"/>
      <c r="BO318" s="440"/>
      <c r="BP318" s="433"/>
      <c r="BQ318" s="433"/>
      <c r="BR318" s="426"/>
      <c r="BS318" s="426"/>
      <c r="BT318" s="426"/>
      <c r="BU318" s="426"/>
      <c r="BV318" s="426"/>
      <c r="BW318" s="426"/>
      <c r="BX318" s="426"/>
      <c r="BY318" s="426"/>
      <c r="BZ318" s="426"/>
      <c r="CA318" s="433"/>
      <c r="CB318" s="440"/>
      <c r="CC318" s="1236"/>
      <c r="CR318" s="1237"/>
      <c r="CS318" s="1236"/>
      <c r="DH318" s="1237"/>
      <c r="DI318" s="483"/>
      <c r="DJ318" s="321"/>
      <c r="DK318" s="321"/>
      <c r="DL318" s="321"/>
      <c r="DM318" s="321"/>
      <c r="DN318" s="321"/>
      <c r="DO318" s="321"/>
      <c r="DP318" s="321"/>
      <c r="DQ318" s="321"/>
      <c r="DR318" s="321"/>
      <c r="DS318" s="321"/>
      <c r="DT318" s="321"/>
      <c r="DU318" s="321"/>
      <c r="DV318" s="321"/>
      <c r="DW318" s="321"/>
      <c r="DX318" s="564"/>
      <c r="DY318" s="483"/>
      <c r="DZ318" s="321"/>
      <c r="EA318" s="321"/>
      <c r="EB318" s="321"/>
      <c r="EC318" s="321"/>
      <c r="ED318" s="321"/>
      <c r="EE318" s="321"/>
      <c r="EF318" s="321"/>
      <c r="EG318" s="321"/>
      <c r="EH318" s="321"/>
      <c r="EI318" s="321"/>
      <c r="EJ318" s="321"/>
      <c r="EK318" s="321"/>
      <c r="EL318" s="321"/>
      <c r="EM318" s="321"/>
      <c r="EN318" s="564"/>
      <c r="EO318" s="1236"/>
      <c r="FD318" s="1237"/>
      <c r="FE318" s="483"/>
      <c r="FF318" s="321"/>
      <c r="FG318" s="321"/>
      <c r="FH318" s="321"/>
      <c r="FI318" s="321"/>
      <c r="FJ318" s="321"/>
      <c r="FK318" s="321"/>
      <c r="FL318" s="321"/>
      <c r="FM318" s="321"/>
      <c r="FN318" s="321"/>
      <c r="FO318" s="321"/>
      <c r="FP318" s="321"/>
      <c r="FQ318" s="321"/>
      <c r="FR318" s="321"/>
      <c r="FS318" s="321"/>
      <c r="FT318" s="321"/>
      <c r="FU318" s="431"/>
      <c r="FV318" s="411"/>
      <c r="FW318" s="411"/>
      <c r="FX318" s="411"/>
      <c r="FY318" s="411"/>
      <c r="FZ318" s="411"/>
      <c r="GA318" s="411"/>
      <c r="GB318" s="411"/>
      <c r="GC318" s="411"/>
      <c r="GD318" s="411"/>
      <c r="GE318" s="411"/>
      <c r="GF318" s="411"/>
      <c r="GG318" s="411"/>
      <c r="GH318" s="411"/>
      <c r="GI318" s="411"/>
      <c r="GJ318" s="412"/>
      <c r="GK318" s="431"/>
      <c r="GL318" s="411"/>
      <c r="GM318" s="411"/>
      <c r="GN318" s="411"/>
      <c r="GO318" s="452"/>
      <c r="GP318" s="411"/>
      <c r="GQ318" s="411"/>
      <c r="GR318" s="411"/>
      <c r="GS318" s="414"/>
      <c r="GT318" s="411"/>
      <c r="GU318" s="411"/>
      <c r="GV318" s="411"/>
      <c r="GW318" s="411"/>
      <c r="GX318" s="411"/>
      <c r="GY318" s="411"/>
      <c r="GZ318" s="412"/>
      <c r="HA318" s="431"/>
      <c r="HB318" s="452"/>
      <c r="HC318" s="411"/>
      <c r="HD318" s="411"/>
      <c r="HE318" s="411"/>
      <c r="HF318" s="432"/>
      <c r="HG318" s="414"/>
      <c r="HH318" s="432"/>
      <c r="HI318" s="414"/>
      <c r="HJ318" s="414"/>
      <c r="HK318" s="432"/>
      <c r="HL318" s="411"/>
      <c r="HM318" s="411"/>
      <c r="HN318" s="411"/>
      <c r="HO318" s="411"/>
      <c r="HP318" s="412"/>
      <c r="HQ318" s="483"/>
      <c r="HR318" s="321"/>
      <c r="HS318" s="321"/>
      <c r="HT318" s="321"/>
      <c r="HU318" s="321"/>
      <c r="HV318" s="321"/>
      <c r="HW318" s="321"/>
      <c r="HX318" s="321"/>
      <c r="HY318" s="321"/>
      <c r="HZ318" s="321"/>
      <c r="IA318" s="321"/>
      <c r="IB318" s="321"/>
      <c r="IC318" s="321"/>
      <c r="ID318" s="321"/>
      <c r="IE318" s="321"/>
      <c r="IF318" s="564"/>
      <c r="IG318" s="1236"/>
      <c r="IH318" s="328"/>
      <c r="II318" s="328"/>
      <c r="IJ318" s="328"/>
      <c r="IT318" s="328"/>
      <c r="IU318" s="328"/>
      <c r="IV318" s="1237"/>
    </row>
    <row r="319" spans="1:256" s="326" customFormat="1" ht="8.25" customHeight="1">
      <c r="A319" s="483"/>
      <c r="B319" s="321"/>
      <c r="C319" s="321"/>
      <c r="D319" s="321"/>
      <c r="E319" s="321"/>
      <c r="F319" s="321"/>
      <c r="G319" s="321"/>
      <c r="H319" s="321"/>
      <c r="I319" s="321"/>
      <c r="J319" s="321"/>
      <c r="K319" s="321"/>
      <c r="L319" s="321"/>
      <c r="M319" s="321"/>
      <c r="N319" s="321"/>
      <c r="O319" s="321"/>
      <c r="P319" s="564"/>
      <c r="Q319" s="483"/>
      <c r="R319" s="321"/>
      <c r="S319" s="321"/>
      <c r="T319" s="321"/>
      <c r="U319" s="321"/>
      <c r="V319" s="321"/>
      <c r="W319" s="321"/>
      <c r="X319" s="321"/>
      <c r="Y319" s="321"/>
      <c r="Z319" s="321"/>
      <c r="AA319" s="321"/>
      <c r="AB319" s="321"/>
      <c r="AC319" s="321"/>
      <c r="AD319" s="321"/>
      <c r="AE319" s="321"/>
      <c r="AF319" s="564"/>
      <c r="AG319" s="448"/>
      <c r="AH319" s="448"/>
      <c r="AI319" s="455"/>
      <c r="AJ319" s="448"/>
      <c r="AK319" s="448"/>
      <c r="AL319" s="448"/>
      <c r="AM319" s="428"/>
      <c r="AN319" s="428"/>
      <c r="AO319" s="428"/>
      <c r="AP319" s="428"/>
      <c r="AQ319" s="428"/>
      <c r="AR319" s="428"/>
      <c r="AS319" s="428"/>
      <c r="AT319" s="428"/>
      <c r="AU319" s="428"/>
      <c r="AV319" s="448"/>
      <c r="AW319" s="434"/>
      <c r="AX319" s="441"/>
      <c r="AY319" s="447"/>
      <c r="AZ319" s="447"/>
      <c r="BA319" s="441"/>
      <c r="BB319" s="434"/>
      <c r="BC319" s="427"/>
      <c r="BD319" s="427"/>
      <c r="BE319" s="427"/>
      <c r="BF319" s="427"/>
      <c r="BG319" s="427"/>
      <c r="BH319" s="427"/>
      <c r="BI319" s="427"/>
      <c r="BJ319" s="427"/>
      <c r="BK319" s="427"/>
      <c r="BL319" s="434"/>
      <c r="BM319" s="439"/>
      <c r="BN319" s="411"/>
      <c r="BO319" s="452"/>
      <c r="BP319" s="410"/>
      <c r="BQ319" s="452"/>
      <c r="BR319" s="411"/>
      <c r="BS319" s="439"/>
      <c r="BT319" s="439"/>
      <c r="BU319" s="439"/>
      <c r="BV319" s="439"/>
      <c r="BW319" s="439"/>
      <c r="BX319" s="439"/>
      <c r="BY319" s="439"/>
      <c r="BZ319" s="439"/>
      <c r="CA319" s="411"/>
      <c r="CB319" s="452"/>
      <c r="CC319" s="1236"/>
      <c r="CR319" s="1237"/>
      <c r="CS319" s="1236"/>
      <c r="DH319" s="1237"/>
      <c r="DI319" s="483"/>
      <c r="DJ319" s="321"/>
      <c r="DK319" s="321"/>
      <c r="DL319" s="321"/>
      <c r="DM319" s="321"/>
      <c r="DN319" s="321"/>
      <c r="DO319" s="321"/>
      <c r="DP319" s="321"/>
      <c r="DQ319" s="321"/>
      <c r="DR319" s="321"/>
      <c r="DS319" s="321"/>
      <c r="DT319" s="321"/>
      <c r="DU319" s="321"/>
      <c r="DV319" s="321"/>
      <c r="DW319" s="321"/>
      <c r="DX319" s="564"/>
      <c r="DY319" s="483"/>
      <c r="DZ319" s="321"/>
      <c r="EA319" s="321"/>
      <c r="EB319" s="321"/>
      <c r="EC319" s="321"/>
      <c r="ED319" s="321"/>
      <c r="EE319" s="321"/>
      <c r="EF319" s="321"/>
      <c r="EG319" s="321"/>
      <c r="EH319" s="321"/>
      <c r="EI319" s="321"/>
      <c r="EJ319" s="321"/>
      <c r="EK319" s="321"/>
      <c r="EL319" s="321"/>
      <c r="EM319" s="321"/>
      <c r="EN319" s="564"/>
      <c r="EO319" s="1236"/>
      <c r="FD319" s="1237"/>
      <c r="FE319" s="483"/>
      <c r="FF319" s="321"/>
      <c r="FG319" s="321"/>
      <c r="FH319" s="321"/>
      <c r="FI319" s="321"/>
      <c r="FJ319" s="321"/>
      <c r="FK319" s="321"/>
      <c r="FL319" s="321"/>
      <c r="FM319" s="321"/>
      <c r="FN319" s="321"/>
      <c r="FO319" s="321"/>
      <c r="FP319" s="321"/>
      <c r="FQ319" s="321"/>
      <c r="FR319" s="321"/>
      <c r="FS319" s="321"/>
      <c r="FT319" s="321"/>
      <c r="FU319" s="411"/>
      <c r="FV319" s="412"/>
      <c r="FW319" s="412"/>
      <c r="FX319" s="412"/>
      <c r="FY319" s="412"/>
      <c r="FZ319" s="412"/>
      <c r="GA319" s="412"/>
      <c r="GB319" s="412"/>
      <c r="GC319" s="412"/>
      <c r="GD319" s="412"/>
      <c r="GE319" s="412"/>
      <c r="GF319" s="412"/>
      <c r="GG319" s="412"/>
      <c r="GH319" s="412"/>
      <c r="GI319" s="412"/>
      <c r="GJ319" s="439"/>
      <c r="GK319" s="411"/>
      <c r="GL319" s="412"/>
      <c r="GM319" s="412"/>
      <c r="GN319" s="452"/>
      <c r="GO319" s="412"/>
      <c r="GP319" s="412"/>
      <c r="GQ319" s="412"/>
      <c r="GR319" s="411"/>
      <c r="GS319" s="412"/>
      <c r="GT319" s="412"/>
      <c r="GU319" s="452"/>
      <c r="GV319" s="452"/>
      <c r="GW319" s="412"/>
      <c r="GX319" s="412"/>
      <c r="GY319" s="412"/>
      <c r="GZ319" s="439"/>
      <c r="HA319" s="411"/>
      <c r="HB319" s="412"/>
      <c r="HC319" s="412"/>
      <c r="HD319" s="439"/>
      <c r="HE319" s="412"/>
      <c r="HF319" s="412"/>
      <c r="HG319" s="432"/>
      <c r="HH319" s="432"/>
      <c r="HI319" s="412"/>
      <c r="HJ319" s="412"/>
      <c r="HK319" s="412"/>
      <c r="HL319" s="432"/>
      <c r="HM319" s="439"/>
      <c r="HN319" s="412"/>
      <c r="HO319" s="412"/>
      <c r="HP319" s="439"/>
      <c r="HQ319" s="483"/>
      <c r="HR319" s="321"/>
      <c r="HS319" s="321"/>
      <c r="HT319" s="321"/>
      <c r="HU319" s="321"/>
      <c r="HV319" s="321"/>
      <c r="HW319" s="321"/>
      <c r="HX319" s="321"/>
      <c r="HY319" s="321"/>
      <c r="HZ319" s="321"/>
      <c r="IA319" s="321"/>
      <c r="IB319" s="321"/>
      <c r="IC319" s="321"/>
      <c r="ID319" s="321"/>
      <c r="IE319" s="321"/>
      <c r="IF319" s="564"/>
      <c r="IG319" s="1236"/>
      <c r="IH319" s="328"/>
      <c r="II319" s="328"/>
      <c r="IJ319" s="328"/>
      <c r="IT319" s="328"/>
      <c r="IU319" s="328"/>
      <c r="IV319" s="1237"/>
    </row>
    <row r="320" spans="1:256" s="326" customFormat="1" ht="8.25" customHeight="1">
      <c r="A320" s="569"/>
      <c r="B320" s="569"/>
      <c r="C320" s="569"/>
      <c r="D320" s="569"/>
      <c r="E320" s="569"/>
      <c r="F320" s="569"/>
      <c r="G320" s="569"/>
      <c r="H320" s="569"/>
      <c r="I320" s="569"/>
      <c r="J320" s="569"/>
      <c r="K320" s="569"/>
      <c r="L320" s="569"/>
      <c r="M320" s="569"/>
      <c r="N320" s="569"/>
      <c r="O320" s="569"/>
      <c r="P320" s="570"/>
      <c r="Q320" s="569"/>
      <c r="R320" s="569"/>
      <c r="S320" s="569"/>
      <c r="T320" s="569"/>
      <c r="U320" s="569"/>
      <c r="V320" s="569"/>
      <c r="W320" s="569"/>
      <c r="X320" s="569"/>
      <c r="Y320" s="569"/>
      <c r="Z320" s="569"/>
      <c r="AA320" s="569"/>
      <c r="AB320" s="569"/>
      <c r="AC320" s="569"/>
      <c r="AD320" s="569"/>
      <c r="AE320" s="569"/>
      <c r="AF320" s="570"/>
      <c r="AG320" s="428"/>
      <c r="AH320" s="448"/>
      <c r="AI320" s="448"/>
      <c r="AJ320" s="455"/>
      <c r="AK320" s="448"/>
      <c r="AL320" s="448"/>
      <c r="AM320" s="448"/>
      <c r="AN320" s="428"/>
      <c r="AO320" s="428"/>
      <c r="AP320" s="428"/>
      <c r="AQ320" s="428"/>
      <c r="AR320" s="428"/>
      <c r="AS320" s="428"/>
      <c r="AT320" s="428"/>
      <c r="AU320" s="428"/>
      <c r="AV320" s="428"/>
      <c r="AW320" s="434"/>
      <c r="AX320" s="427"/>
      <c r="AY320" s="441"/>
      <c r="AZ320" s="447"/>
      <c r="BA320" s="447"/>
      <c r="BB320" s="441"/>
      <c r="BC320" s="434"/>
      <c r="BD320" s="427"/>
      <c r="BE320" s="427"/>
      <c r="BF320" s="427"/>
      <c r="BG320" s="427"/>
      <c r="BH320" s="427"/>
      <c r="BI320" s="427"/>
      <c r="BJ320" s="427"/>
      <c r="BK320" s="427"/>
      <c r="BL320" s="427"/>
      <c r="BM320" s="432"/>
      <c r="BN320" s="439"/>
      <c r="BO320" s="411"/>
      <c r="BP320" s="452"/>
      <c r="BQ320" s="410"/>
      <c r="BR320" s="452"/>
      <c r="BS320" s="411"/>
      <c r="BT320" s="439"/>
      <c r="BU320" s="439"/>
      <c r="BV320" s="439"/>
      <c r="BW320" s="439"/>
      <c r="BX320" s="439"/>
      <c r="BY320" s="439"/>
      <c r="BZ320" s="439"/>
      <c r="CA320" s="439"/>
      <c r="CB320" s="411"/>
      <c r="CC320" s="1238"/>
      <c r="CD320" s="479"/>
      <c r="CE320" s="479"/>
      <c r="CF320" s="479"/>
      <c r="CG320" s="479"/>
      <c r="CH320" s="479"/>
      <c r="CI320" s="479"/>
      <c r="CJ320" s="479"/>
      <c r="CK320" s="479"/>
      <c r="CL320" s="479"/>
      <c r="CM320" s="479"/>
      <c r="CN320" s="479"/>
      <c r="CO320" s="479"/>
      <c r="CP320" s="479"/>
      <c r="CQ320" s="479"/>
      <c r="CR320" s="1240"/>
      <c r="CS320" s="1238"/>
      <c r="CT320" s="479"/>
      <c r="CU320" s="479"/>
      <c r="CV320" s="479"/>
      <c r="CW320" s="479"/>
      <c r="CX320" s="479"/>
      <c r="CY320" s="479"/>
      <c r="CZ320" s="479"/>
      <c r="DA320" s="479"/>
      <c r="DB320" s="479"/>
      <c r="DC320" s="479"/>
      <c r="DD320" s="479"/>
      <c r="DE320" s="479"/>
      <c r="DF320" s="479"/>
      <c r="DG320" s="479"/>
      <c r="DH320" s="1240"/>
      <c r="DI320" s="569"/>
      <c r="DJ320" s="569"/>
      <c r="DK320" s="569"/>
      <c r="DL320" s="569"/>
      <c r="DM320" s="569"/>
      <c r="DN320" s="569"/>
      <c r="DO320" s="569"/>
      <c r="DP320" s="569"/>
      <c r="DQ320" s="569"/>
      <c r="DR320" s="569"/>
      <c r="DS320" s="569"/>
      <c r="DT320" s="569"/>
      <c r="DU320" s="569"/>
      <c r="DV320" s="569"/>
      <c r="DW320" s="569"/>
      <c r="DX320" s="570"/>
      <c r="DY320" s="569"/>
      <c r="DZ320" s="569"/>
      <c r="EA320" s="569"/>
      <c r="EB320" s="569"/>
      <c r="EC320" s="569"/>
      <c r="ED320" s="569"/>
      <c r="EE320" s="569"/>
      <c r="EF320" s="569"/>
      <c r="EG320" s="569"/>
      <c r="EH320" s="569"/>
      <c r="EI320" s="569"/>
      <c r="EJ320" s="569"/>
      <c r="EK320" s="569"/>
      <c r="EL320" s="569"/>
      <c r="EM320" s="569"/>
      <c r="EN320" s="570"/>
      <c r="EO320" s="1238"/>
      <c r="EP320" s="479"/>
      <c r="EQ320" s="479"/>
      <c r="ER320" s="479"/>
      <c r="ES320" s="479"/>
      <c r="ET320" s="479"/>
      <c r="EU320" s="479"/>
      <c r="EV320" s="479"/>
      <c r="EW320" s="479"/>
      <c r="EX320" s="479"/>
      <c r="EY320" s="479"/>
      <c r="EZ320" s="479"/>
      <c r="FA320" s="479"/>
      <c r="FB320" s="479"/>
      <c r="FC320" s="479"/>
      <c r="FD320" s="1240"/>
      <c r="FE320" s="651"/>
      <c r="FF320" s="569"/>
      <c r="FG320" s="569"/>
      <c r="FH320" s="569"/>
      <c r="FI320" s="569"/>
      <c r="FJ320" s="569"/>
      <c r="FK320" s="569"/>
      <c r="FL320" s="569"/>
      <c r="FM320" s="569"/>
      <c r="FN320" s="569"/>
      <c r="FO320" s="569"/>
      <c r="FP320" s="569"/>
      <c r="FQ320" s="569"/>
      <c r="FR320" s="569"/>
      <c r="FS320" s="569"/>
      <c r="FT320" s="569"/>
      <c r="FU320" s="651"/>
      <c r="FV320" s="569"/>
      <c r="FW320" s="569"/>
      <c r="FX320" s="569"/>
      <c r="FY320" s="569"/>
      <c r="FZ320" s="569"/>
      <c r="GA320" s="569"/>
      <c r="GB320" s="569"/>
      <c r="GC320" s="569"/>
      <c r="GD320" s="569"/>
      <c r="GE320" s="569"/>
      <c r="GF320" s="569"/>
      <c r="GG320" s="569"/>
      <c r="GH320" s="569"/>
      <c r="GI320" s="569"/>
      <c r="GJ320" s="569"/>
      <c r="GK320" s="651"/>
      <c r="GL320" s="569"/>
      <c r="GM320" s="569"/>
      <c r="GN320" s="569"/>
      <c r="GO320" s="569"/>
      <c r="GP320" s="569"/>
      <c r="GQ320" s="569"/>
      <c r="GR320" s="569"/>
      <c r="GS320" s="569"/>
      <c r="GT320" s="569"/>
      <c r="GU320" s="569"/>
      <c r="GV320" s="439"/>
      <c r="GW320" s="569"/>
      <c r="GX320" s="569"/>
      <c r="GY320" s="569"/>
      <c r="GZ320" s="569"/>
      <c r="HA320" s="651"/>
      <c r="HB320" s="569"/>
      <c r="HC320" s="414"/>
      <c r="HD320" s="411"/>
      <c r="HE320" s="569"/>
      <c r="HF320" s="569"/>
      <c r="HG320" s="569"/>
      <c r="HH320" s="411"/>
      <c r="HI320" s="414"/>
      <c r="HJ320" s="439"/>
      <c r="HK320" s="569"/>
      <c r="HL320" s="569"/>
      <c r="HM320" s="439"/>
      <c r="HN320" s="411"/>
      <c r="HO320" s="439"/>
      <c r="HP320" s="569"/>
      <c r="HQ320" s="1312"/>
      <c r="HR320" s="569"/>
      <c r="HS320" s="569"/>
      <c r="HT320" s="569"/>
      <c r="HU320" s="569"/>
      <c r="HV320" s="569"/>
      <c r="HW320" s="569"/>
      <c r="HX320" s="569"/>
      <c r="HY320" s="569"/>
      <c r="HZ320" s="569"/>
      <c r="IA320" s="569"/>
      <c r="IB320" s="569"/>
      <c r="IC320" s="569"/>
      <c r="ID320" s="569"/>
      <c r="IE320" s="569"/>
      <c r="IF320" s="1314"/>
      <c r="IG320" s="1238"/>
      <c r="IH320" s="479"/>
      <c r="II320" s="479"/>
      <c r="IJ320" s="479"/>
      <c r="IK320" s="479"/>
      <c r="IL320" s="479"/>
      <c r="IM320" s="479"/>
      <c r="IN320" s="479"/>
      <c r="IO320" s="479"/>
      <c r="IP320" s="479"/>
      <c r="IQ320" s="479"/>
      <c r="IR320" s="479"/>
      <c r="IS320" s="479"/>
      <c r="IT320" s="479"/>
      <c r="IU320" s="479"/>
      <c r="IV320" s="1240"/>
    </row>
    <row r="321" spans="1:256" s="326" customFormat="1" ht="8.25" customHeight="1">
      <c r="A321" s="483">
        <v>161</v>
      </c>
      <c r="B321" s="321"/>
      <c r="C321" s="321"/>
      <c r="D321" s="321"/>
      <c r="E321" s="321"/>
      <c r="F321" s="321"/>
      <c r="G321" s="321"/>
      <c r="H321" s="321"/>
      <c r="I321" s="321"/>
      <c r="J321" s="321"/>
      <c r="K321" s="321"/>
      <c r="L321" s="321"/>
      <c r="M321" s="321"/>
      <c r="N321" s="321"/>
      <c r="O321" s="321"/>
      <c r="P321" s="564"/>
      <c r="Q321" s="483">
        <v>162</v>
      </c>
      <c r="R321" s="321"/>
      <c r="S321" s="321"/>
      <c r="T321" s="321"/>
      <c r="U321" s="321"/>
      <c r="V321" s="321">
        <v>10</v>
      </c>
      <c r="W321" s="426"/>
      <c r="X321" s="433"/>
      <c r="Y321" s="426"/>
      <c r="Z321" s="321">
        <v>10</v>
      </c>
      <c r="AA321" s="321"/>
      <c r="AB321" s="321"/>
      <c r="AC321" s="321"/>
      <c r="AD321" s="321"/>
      <c r="AE321" s="321"/>
      <c r="AF321" s="564"/>
      <c r="AG321" s="679">
        <v>163</v>
      </c>
      <c r="AH321" s="1243"/>
      <c r="AI321" s="657"/>
      <c r="AJ321" s="484"/>
      <c r="AK321" s="484"/>
      <c r="AL321" s="1346"/>
      <c r="AM321" s="657"/>
      <c r="AN321" s="1243"/>
      <c r="AO321" s="1243"/>
      <c r="AP321" s="657"/>
      <c r="AQ321" s="1347"/>
      <c r="AR321" s="484"/>
      <c r="AS321" s="484"/>
      <c r="AT321" s="484"/>
      <c r="AU321" s="1241"/>
      <c r="AV321" s="657"/>
      <c r="AW321" s="679">
        <v>164</v>
      </c>
      <c r="AX321" s="1234"/>
      <c r="AY321" s="1234"/>
      <c r="AZ321" s="1234"/>
      <c r="BA321" s="1234"/>
      <c r="BB321" s="1234"/>
      <c r="BC321" s="1234"/>
      <c r="BD321" s="1234"/>
      <c r="BE321" s="1234"/>
      <c r="BF321" s="1234"/>
      <c r="BG321" s="1234"/>
      <c r="BH321" s="1234"/>
      <c r="BI321" s="1234"/>
      <c r="BJ321" s="1234"/>
      <c r="BK321" s="1234"/>
      <c r="BL321" s="1235"/>
      <c r="BM321" s="679">
        <v>165</v>
      </c>
      <c r="BN321" s="1234"/>
      <c r="BO321" s="1234"/>
      <c r="BP321" s="1234"/>
      <c r="BQ321" s="1234"/>
      <c r="BR321" s="1234"/>
      <c r="BS321" s="1234"/>
      <c r="BT321" s="1234"/>
      <c r="BU321" s="1234"/>
      <c r="BV321" s="1234"/>
      <c r="BW321" s="1234"/>
      <c r="BX321" s="1234"/>
      <c r="BY321" s="1234"/>
      <c r="BZ321" s="1234"/>
      <c r="CA321" s="1234"/>
      <c r="CB321" s="1235"/>
      <c r="CC321" s="679">
        <v>166</v>
      </c>
      <c r="CD321" s="1234"/>
      <c r="CE321" s="1234"/>
      <c r="CF321" s="1234"/>
      <c r="CG321" s="1234"/>
      <c r="CH321" s="1234"/>
      <c r="CI321" s="1234"/>
      <c r="CJ321" s="1234"/>
      <c r="CK321" s="1234"/>
      <c r="CL321" s="1234"/>
      <c r="CM321" s="1234"/>
      <c r="CN321" s="1234"/>
      <c r="CO321" s="1234"/>
      <c r="CP321" s="1234"/>
      <c r="CQ321" s="1234"/>
      <c r="CR321" s="1235"/>
      <c r="CS321" s="679">
        <v>167</v>
      </c>
      <c r="CT321" s="1234"/>
      <c r="CU321" s="1234"/>
      <c r="CV321" s="1234"/>
      <c r="CW321" s="1234"/>
      <c r="CX321" s="1234"/>
      <c r="CY321" s="1234"/>
      <c r="CZ321" s="1234"/>
      <c r="DA321" s="1234"/>
      <c r="DB321" s="1234"/>
      <c r="DC321" s="1234"/>
      <c r="DD321" s="1234"/>
      <c r="DE321" s="1234"/>
      <c r="DF321" s="1234"/>
      <c r="DG321" s="1234"/>
      <c r="DH321" s="1235"/>
      <c r="DI321" s="483">
        <v>168</v>
      </c>
      <c r="DJ321" s="484"/>
      <c r="DK321" s="484"/>
      <c r="DL321" s="484"/>
      <c r="DM321" s="484"/>
      <c r="DN321" s="484"/>
      <c r="DO321" s="484"/>
      <c r="DP321" s="484"/>
      <c r="DQ321" s="484"/>
      <c r="DR321" s="484"/>
      <c r="DS321" s="484"/>
      <c r="DT321" s="484"/>
      <c r="DU321" s="484"/>
      <c r="DV321" s="484"/>
      <c r="DW321" s="484"/>
      <c r="DX321" s="696"/>
      <c r="DY321" s="483">
        <v>169</v>
      </c>
      <c r="DZ321" s="484"/>
      <c r="EA321" s="484"/>
      <c r="EB321" s="484"/>
      <c r="EC321" s="484"/>
      <c r="ED321" s="484"/>
      <c r="EE321" s="484"/>
      <c r="EF321" s="484"/>
      <c r="EG321" s="484"/>
      <c r="EH321" s="484"/>
      <c r="EI321" s="484"/>
      <c r="EJ321" s="484"/>
      <c r="EK321" s="484"/>
      <c r="EL321" s="484"/>
      <c r="EM321" s="484"/>
      <c r="EN321" s="696"/>
      <c r="EO321" s="483">
        <v>170</v>
      </c>
      <c r="EP321" s="484"/>
      <c r="EQ321" s="484"/>
      <c r="ER321" s="484"/>
      <c r="ES321" s="484"/>
      <c r="ET321" s="484"/>
      <c r="EU321" s="484"/>
      <c r="EV321" s="484"/>
      <c r="EW321" s="484"/>
      <c r="EX321" s="484"/>
      <c r="EY321" s="484"/>
      <c r="EZ321" s="484"/>
      <c r="FA321" s="484"/>
      <c r="FB321" s="484"/>
      <c r="FC321" s="484"/>
      <c r="FD321" s="696"/>
      <c r="FE321" s="483">
        <v>171</v>
      </c>
      <c r="FF321" s="484"/>
      <c r="FG321" s="484"/>
      <c r="FH321" s="484"/>
      <c r="FI321" s="484"/>
      <c r="FJ321" s="484"/>
      <c r="FK321" s="484"/>
      <c r="FL321" s="484"/>
      <c r="FM321" s="484"/>
      <c r="FN321" s="484"/>
      <c r="FO321" s="484"/>
      <c r="FP321" s="484"/>
      <c r="FQ321" s="484"/>
      <c r="FR321" s="484"/>
      <c r="FS321" s="484"/>
      <c r="FT321" s="696"/>
      <c r="FU321" s="483">
        <v>172</v>
      </c>
      <c r="FV321" s="484"/>
      <c r="FW321" s="484"/>
      <c r="FX321" s="484"/>
      <c r="FY321" s="484"/>
      <c r="FZ321" s="484"/>
      <c r="GA321" s="484"/>
      <c r="GB321" s="484"/>
      <c r="GC321" s="484"/>
      <c r="GD321" s="484"/>
      <c r="GE321" s="484"/>
      <c r="GF321" s="484"/>
      <c r="GG321" s="484"/>
      <c r="GH321" s="484"/>
      <c r="GI321" s="484"/>
      <c r="GJ321" s="696"/>
      <c r="GK321" s="679">
        <v>173</v>
      </c>
      <c r="GL321" s="484"/>
      <c r="GM321" s="484"/>
      <c r="GN321" s="484"/>
      <c r="GO321" s="484"/>
      <c r="GP321" s="484"/>
      <c r="GQ321" s="484"/>
      <c r="GR321" s="484"/>
      <c r="GS321" s="484"/>
      <c r="GT321" s="484"/>
      <c r="GU321" s="484"/>
      <c r="GV321" s="484"/>
      <c r="GW321" s="484"/>
      <c r="GX321" s="484"/>
      <c r="GY321" s="484"/>
      <c r="GZ321" s="696"/>
      <c r="HA321" s="679">
        <v>174</v>
      </c>
      <c r="HB321" s="484"/>
      <c r="HC321" s="484"/>
      <c r="HD321" s="484"/>
      <c r="HE321" s="484"/>
      <c r="HF321" s="484"/>
      <c r="HG321" s="484"/>
      <c r="HH321" s="484"/>
      <c r="HI321" s="484"/>
      <c r="HJ321" s="484"/>
      <c r="HK321" s="484"/>
      <c r="HL321" s="484"/>
      <c r="HM321" s="484"/>
      <c r="HN321" s="484"/>
      <c r="HO321" s="484"/>
      <c r="HP321" s="696"/>
      <c r="HQ321" s="416">
        <v>175</v>
      </c>
      <c r="HR321" s="416"/>
      <c r="HS321" s="416"/>
      <c r="HT321" s="416"/>
      <c r="HU321" s="416"/>
      <c r="HV321" s="416"/>
      <c r="HW321" s="416"/>
      <c r="HX321" s="416"/>
      <c r="HY321" s="416"/>
      <c r="HZ321" s="416"/>
      <c r="IA321" s="416"/>
      <c r="IB321" s="416"/>
      <c r="IC321" s="416"/>
      <c r="ID321" s="416"/>
      <c r="IE321" s="416"/>
      <c r="IF321" s="416"/>
      <c r="IG321" s="483">
        <v>176</v>
      </c>
      <c r="IH321" s="321"/>
      <c r="II321" s="321"/>
      <c r="IJ321" s="321"/>
      <c r="IK321" s="321"/>
      <c r="IL321" s="321"/>
      <c r="IM321" s="321"/>
      <c r="IN321" s="321"/>
      <c r="IO321" s="321"/>
      <c r="IP321" s="321"/>
      <c r="IQ321" s="321"/>
      <c r="IR321" s="321"/>
      <c r="IS321" s="321"/>
      <c r="IT321" s="321"/>
      <c r="IU321" s="321"/>
      <c r="IV321" s="564"/>
    </row>
    <row r="322" spans="1:256" s="326" customFormat="1" ht="8.25" customHeight="1">
      <c r="A322" s="483">
        <v>100</v>
      </c>
      <c r="B322" s="321"/>
      <c r="C322"/>
      <c r="D322"/>
      <c r="E322"/>
      <c r="F322"/>
      <c r="G322"/>
      <c r="H322"/>
      <c r="I322"/>
      <c r="J322"/>
      <c r="K322"/>
      <c r="L322"/>
      <c r="M322"/>
      <c r="N322"/>
      <c r="O322"/>
      <c r="P322" s="564"/>
      <c r="Q322" s="483">
        <v>400</v>
      </c>
      <c r="R322" s="321"/>
      <c r="S322" s="321"/>
      <c r="T322" s="321"/>
      <c r="U322" s="321">
        <v>10</v>
      </c>
      <c r="V322" s="426"/>
      <c r="W322" s="446"/>
      <c r="X322" s="446"/>
      <c r="Y322" s="433"/>
      <c r="Z322" s="426"/>
      <c r="AA322" s="321">
        <v>10</v>
      </c>
      <c r="AB322" s="321"/>
      <c r="AC322" s="321"/>
      <c r="AD322" s="321"/>
      <c r="AE322" s="321"/>
      <c r="AF322" s="564"/>
      <c r="AG322" s="483">
        <v>80</v>
      </c>
      <c r="AH322" s="432"/>
      <c r="AI322" s="421"/>
      <c r="AJ322" s="321"/>
      <c r="AK322" s="321"/>
      <c r="AL322" s="430"/>
      <c r="AM322" s="439"/>
      <c r="AN322" s="439"/>
      <c r="AO322" s="439"/>
      <c r="AP322" s="439"/>
      <c r="AQ322" s="425"/>
      <c r="AR322" s="321"/>
      <c r="AS322" s="321"/>
      <c r="AT322" s="321"/>
      <c r="AU322" s="439"/>
      <c r="AV322" s="421"/>
      <c r="AW322" s="483"/>
      <c r="AX322" s="328"/>
      <c r="AY322" s="328"/>
      <c r="AZ322" s="328"/>
      <c r="BA322" s="328"/>
      <c r="BB322" s="328"/>
      <c r="BC322" s="328"/>
      <c r="BD322" s="328"/>
      <c r="BE322" s="328"/>
      <c r="BF322" s="328"/>
      <c r="BG322" s="328"/>
      <c r="BH322" s="328"/>
      <c r="BI322" s="328"/>
      <c r="BJ322" s="328"/>
      <c r="BK322" s="328"/>
      <c r="BL322" s="1237"/>
      <c r="BM322" s="483"/>
      <c r="BN322" s="328"/>
      <c r="BO322" s="328"/>
      <c r="BP322" s="328"/>
      <c r="BQ322" s="328"/>
      <c r="BR322" s="328"/>
      <c r="BS322" s="328"/>
      <c r="BT322" s="328"/>
      <c r="BU322" s="328"/>
      <c r="BV322" s="328"/>
      <c r="BW322" s="328"/>
      <c r="BX322" s="328"/>
      <c r="BY322" s="328"/>
      <c r="BZ322" s="328"/>
      <c r="CA322" s="328"/>
      <c r="CB322" s="1237"/>
      <c r="CC322" s="483"/>
      <c r="CD322" s="328"/>
      <c r="CE322" s="328"/>
      <c r="CF322" s="328"/>
      <c r="CG322" s="328"/>
      <c r="CH322" s="328"/>
      <c r="CI322" s="328"/>
      <c r="CJ322" s="328"/>
      <c r="CK322" s="328"/>
      <c r="CL322" s="328"/>
      <c r="CM322" s="328"/>
      <c r="CN322" s="328"/>
      <c r="CO322" s="328"/>
      <c r="CP322" s="328"/>
      <c r="CQ322" s="328"/>
      <c r="CR322" s="1237"/>
      <c r="CS322" s="483"/>
      <c r="CT322" s="328"/>
      <c r="CU322" s="328"/>
      <c r="CV322" s="328"/>
      <c r="CW322" s="328"/>
      <c r="CX322" s="328"/>
      <c r="CY322" s="328"/>
      <c r="CZ322" s="328"/>
      <c r="DA322" s="328"/>
      <c r="DB322" s="328"/>
      <c r="DC322" s="328"/>
      <c r="DD322" s="328"/>
      <c r="DE322" s="328"/>
      <c r="DF322" s="328"/>
      <c r="DG322" s="328"/>
      <c r="DH322" s="1237"/>
      <c r="DI322" s="483"/>
      <c r="DJ322"/>
      <c r="DK322"/>
      <c r="DL322"/>
      <c r="DM322"/>
      <c r="DN322"/>
      <c r="DO322"/>
      <c r="DP322"/>
      <c r="DQ322"/>
      <c r="DR322"/>
      <c r="DS322"/>
      <c r="DT322"/>
      <c r="DU322"/>
      <c r="DV322"/>
      <c r="DW322"/>
      <c r="DX322"/>
      <c r="DY322" s="483">
        <v>70</v>
      </c>
      <c r="DZ322"/>
      <c r="EA322"/>
      <c r="EB322"/>
      <c r="EC322"/>
      <c r="ED322"/>
      <c r="EE322"/>
      <c r="EF322"/>
      <c r="EG322"/>
      <c r="EH322"/>
      <c r="EI322"/>
      <c r="EJ322"/>
      <c r="EK322"/>
      <c r="EL322"/>
      <c r="EM322"/>
      <c r="EN322"/>
      <c r="EO322" s="483">
        <v>80</v>
      </c>
      <c r="EP322"/>
      <c r="EQ322"/>
      <c r="ER322"/>
      <c r="ES322"/>
      <c r="ET322"/>
      <c r="EU322"/>
      <c r="EV322"/>
      <c r="EW322"/>
      <c r="EX322"/>
      <c r="EY322"/>
      <c r="EZ322"/>
      <c r="FA322"/>
      <c r="FB322"/>
      <c r="FC322"/>
      <c r="FD322"/>
      <c r="FE322" s="483"/>
      <c r="FF322" s="321"/>
      <c r="FG322" s="321"/>
      <c r="FH322" s="321"/>
      <c r="FI322" s="321"/>
      <c r="FJ322" s="321"/>
      <c r="FK322" s="321"/>
      <c r="FL322" s="321"/>
      <c r="FM322" s="321"/>
      <c r="FN322" s="321"/>
      <c r="FO322" s="321"/>
      <c r="FP322" s="321"/>
      <c r="FQ322" s="321"/>
      <c r="FR322" s="321"/>
      <c r="FS322" s="321"/>
      <c r="FT322" s="564"/>
      <c r="FU322" s="483"/>
      <c r="FV322" s="321"/>
      <c r="FW322" s="321"/>
      <c r="FX322" s="321"/>
      <c r="FY322" s="321"/>
      <c r="FZ322" s="321"/>
      <c r="GA322" s="321"/>
      <c r="GB322" s="321"/>
      <c r="GC322" s="321"/>
      <c r="GD322" s="321"/>
      <c r="GE322" s="321"/>
      <c r="GF322" s="321"/>
      <c r="GG322" s="321"/>
      <c r="GH322" s="321"/>
      <c r="GI322" s="321"/>
      <c r="GJ322" s="564"/>
      <c r="GK322" s="483">
        <v>70</v>
      </c>
      <c r="GL322" s="321"/>
      <c r="GM322" s="321"/>
      <c r="GN322" s="321"/>
      <c r="GO322" s="321"/>
      <c r="GP322" s="321"/>
      <c r="GQ322" s="321"/>
      <c r="GR322" s="321"/>
      <c r="GS322" s="321"/>
      <c r="GT322" s="321"/>
      <c r="GU322" s="321"/>
      <c r="GV322" s="321"/>
      <c r="GW322" s="321"/>
      <c r="GX322" s="321"/>
      <c r="GY322" s="321"/>
      <c r="GZ322" s="564"/>
      <c r="HA322" s="483">
        <v>60</v>
      </c>
      <c r="HB322" s="321"/>
      <c r="HC322" s="321"/>
      <c r="HD322" s="321"/>
      <c r="HE322" s="321"/>
      <c r="HF322" s="321"/>
      <c r="HG322" s="321"/>
      <c r="HH322" s="321"/>
      <c r="HI322" s="321"/>
      <c r="HJ322" s="321"/>
      <c r="HK322" s="321"/>
      <c r="HL322" s="321"/>
      <c r="HM322" s="321"/>
      <c r="HN322" s="321"/>
      <c r="HO322" s="321"/>
      <c r="HP322" s="564"/>
      <c r="HQ322" s="416"/>
      <c r="HR322" s="416"/>
      <c r="HS322" s="462"/>
      <c r="HT322" s="416"/>
      <c r="HU322" s="416"/>
      <c r="HV322" s="462"/>
      <c r="HW322" s="462"/>
      <c r="HX322" s="416"/>
      <c r="HY322" s="462"/>
      <c r="HZ322" s="462"/>
      <c r="IA322" s="462"/>
      <c r="IB322" s="416"/>
      <c r="IC322" s="462"/>
      <c r="ID322" s="462"/>
      <c r="IE322" s="462"/>
      <c r="IF322" s="416"/>
      <c r="IG322" s="483">
        <v>140</v>
      </c>
      <c r="IH322" s="321"/>
      <c r="II322" s="321"/>
      <c r="IJ322" s="321"/>
      <c r="IK322" s="321"/>
      <c r="IL322" s="321"/>
      <c r="IM322" s="321"/>
      <c r="IN322" s="321"/>
      <c r="IO322" s="321"/>
      <c r="IP322" s="321"/>
      <c r="IQ322" s="321"/>
      <c r="IR322" s="321"/>
      <c r="IS322" s="321"/>
      <c r="IT322" s="321"/>
      <c r="IU322" s="321"/>
      <c r="IV322" s="564"/>
    </row>
    <row r="323" spans="1:256" s="326" customFormat="1" ht="8.25" customHeight="1">
      <c r="A323" s="483"/>
      <c r="B323" s="321"/>
      <c r="C323"/>
      <c r="D323"/>
      <c r="E323"/>
      <c r="F323"/>
      <c r="G323"/>
      <c r="H323"/>
      <c r="I323"/>
      <c r="J323"/>
      <c r="K323"/>
      <c r="L323"/>
      <c r="M323"/>
      <c r="N323"/>
      <c r="O323"/>
      <c r="P323" s="564"/>
      <c r="Q323" s="483"/>
      <c r="R323" s="321"/>
      <c r="S323" s="321"/>
      <c r="T323" s="321"/>
      <c r="U323" s="321">
        <v>10</v>
      </c>
      <c r="V323" s="440"/>
      <c r="W323" s="433"/>
      <c r="X323" s="440"/>
      <c r="Y323" s="426"/>
      <c r="Z323" s="433"/>
      <c r="AA323" s="321">
        <v>10</v>
      </c>
      <c r="AB323" s="321"/>
      <c r="AC323" s="321"/>
      <c r="AD323" s="321"/>
      <c r="AE323" s="321"/>
      <c r="AF323" s="564"/>
      <c r="AG323" s="483"/>
      <c r="AH323" s="432"/>
      <c r="AI323" s="421"/>
      <c r="AJ323" s="321"/>
      <c r="AK323" s="321"/>
      <c r="AL323" s="430"/>
      <c r="AM323" s="421"/>
      <c r="AN323" s="432"/>
      <c r="AO323" s="432"/>
      <c r="AP323" s="421"/>
      <c r="AQ323" s="425"/>
      <c r="AR323" s="321"/>
      <c r="AS323" s="321"/>
      <c r="AT323" s="321"/>
      <c r="AU323" s="439"/>
      <c r="AV323" s="421"/>
      <c r="AW323" s="483">
        <v>165</v>
      </c>
      <c r="AX323" s="328"/>
      <c r="AY323" s="328"/>
      <c r="AZ323" s="328"/>
      <c r="BA323" s="328"/>
      <c r="BB323" s="328"/>
      <c r="BC323" s="328"/>
      <c r="BD323" s="328"/>
      <c r="BE323" s="328"/>
      <c r="BF323" s="328"/>
      <c r="BG323" s="328"/>
      <c r="BH323" s="328"/>
      <c r="BI323" s="328"/>
      <c r="BJ323" s="328"/>
      <c r="BK323" s="328"/>
      <c r="BL323" s="1237"/>
      <c r="BM323" s="483">
        <v>166</v>
      </c>
      <c r="BN323" s="328"/>
      <c r="BO323" s="328"/>
      <c r="BP323" s="328"/>
      <c r="BQ323" s="328"/>
      <c r="BR323" s="328"/>
      <c r="BS323" s="328"/>
      <c r="BT323" s="328"/>
      <c r="BU323" s="328"/>
      <c r="BV323" s="328"/>
      <c r="BW323" s="328"/>
      <c r="BX323" s="328"/>
      <c r="BY323" s="328"/>
      <c r="BZ323" s="328"/>
      <c r="CA323" s="328"/>
      <c r="CB323" s="1237"/>
      <c r="CC323" s="483">
        <v>167</v>
      </c>
      <c r="CD323" s="328"/>
      <c r="CE323" s="328"/>
      <c r="CF323" s="328"/>
      <c r="CG323" s="328"/>
      <c r="CH323" s="328"/>
      <c r="CI323" s="328"/>
      <c r="CJ323" s="328"/>
      <c r="CK323" s="328"/>
      <c r="CL323" s="328"/>
      <c r="CM323" s="328"/>
      <c r="CN323" s="328"/>
      <c r="CO323" s="328"/>
      <c r="CP323" s="328"/>
      <c r="CQ323" s="328"/>
      <c r="CR323" s="1237"/>
      <c r="CS323" s="483">
        <v>168</v>
      </c>
      <c r="CT323" s="328"/>
      <c r="CU323" s="328"/>
      <c r="CV323" s="328"/>
      <c r="CW323" s="328"/>
      <c r="CX323" s="328"/>
      <c r="CY323" s="328"/>
      <c r="CZ323" s="328"/>
      <c r="DA323" s="328"/>
      <c r="DB323" s="328"/>
      <c r="DC323" s="328"/>
      <c r="DD323" s="328"/>
      <c r="DE323" s="328"/>
      <c r="DF323" s="328"/>
      <c r="DG323" s="328"/>
      <c r="DH323" s="1237"/>
      <c r="DI323" s="483">
        <v>-129</v>
      </c>
      <c r="DJ323"/>
      <c r="DK323"/>
      <c r="DL323"/>
      <c r="DM323"/>
      <c r="DN323"/>
      <c r="DO323"/>
      <c r="DP323"/>
      <c r="DQ323"/>
      <c r="DR323"/>
      <c r="DS323"/>
      <c r="DT323"/>
      <c r="DU323"/>
      <c r="DV323"/>
      <c r="DW323"/>
      <c r="DX323"/>
      <c r="DY323" s="483">
        <v>170</v>
      </c>
      <c r="DZ323"/>
      <c r="EA323"/>
      <c r="EB323"/>
      <c r="EC323"/>
      <c r="ED323"/>
      <c r="EE323"/>
      <c r="EF323"/>
      <c r="EG323"/>
      <c r="EH323"/>
      <c r="EI323"/>
      <c r="EJ323"/>
      <c r="EK323"/>
      <c r="EL323"/>
      <c r="EM323"/>
      <c r="EN323"/>
      <c r="EO323" s="483">
        <v>169</v>
      </c>
      <c r="EP323"/>
      <c r="EQ323"/>
      <c r="ER323"/>
      <c r="ES323"/>
      <c r="ET323"/>
      <c r="EU323"/>
      <c r="EV323"/>
      <c r="EW323"/>
      <c r="EX323"/>
      <c r="EY323"/>
      <c r="EZ323"/>
      <c r="FA323"/>
      <c r="FB323"/>
      <c r="FC323"/>
      <c r="FD323"/>
      <c r="FE323" s="483">
        <v>-129</v>
      </c>
      <c r="FF323" s="321"/>
      <c r="FG323" s="321"/>
      <c r="FH323" s="321"/>
      <c r="FI323" s="321"/>
      <c r="FJ323" s="321"/>
      <c r="FK323" s="321"/>
      <c r="FL323" s="321"/>
      <c r="FM323" s="321"/>
      <c r="FN323" s="321"/>
      <c r="FO323" s="321"/>
      <c r="FP323" s="321"/>
      <c r="FQ323" s="321"/>
      <c r="FR323" s="321"/>
      <c r="FS323" s="321"/>
      <c r="FT323" s="564"/>
      <c r="FU323" s="483">
        <v>-129</v>
      </c>
      <c r="FV323" s="321"/>
      <c r="FW323" s="321"/>
      <c r="FX323" s="321"/>
      <c r="FY323" s="321"/>
      <c r="FZ323" s="321"/>
      <c r="GA323" s="321"/>
      <c r="GB323" s="321"/>
      <c r="GC323" s="321"/>
      <c r="GD323" s="321"/>
      <c r="GE323" s="321"/>
      <c r="GF323" s="321"/>
      <c r="GG323" s="321"/>
      <c r="GH323" s="321"/>
      <c r="GI323" s="321"/>
      <c r="GJ323" s="564"/>
      <c r="GK323" s="483">
        <v>174</v>
      </c>
      <c r="GL323" s="321"/>
      <c r="GM323" s="321"/>
      <c r="GN323" s="321"/>
      <c r="GO323" s="321"/>
      <c r="GP323" s="321"/>
      <c r="GQ323" s="321"/>
      <c r="GR323" s="321"/>
      <c r="GS323" s="321"/>
      <c r="GT323" s="321"/>
      <c r="GU323" s="321"/>
      <c r="GV323" s="321"/>
      <c r="GW323" s="321"/>
      <c r="GX323" s="321"/>
      <c r="GY323" s="321"/>
      <c r="GZ323" s="564"/>
      <c r="HA323" s="483">
        <v>173</v>
      </c>
      <c r="HB323" s="321"/>
      <c r="HC323" s="321"/>
      <c r="HD323" s="321"/>
      <c r="HE323" s="321"/>
      <c r="HF323" s="321"/>
      <c r="HG323" s="321"/>
      <c r="HH323" s="321"/>
      <c r="HI323" s="321"/>
      <c r="HJ323" s="321"/>
      <c r="HK323" s="321"/>
      <c r="HL323" s="321"/>
      <c r="HM323" s="321"/>
      <c r="HN323" s="321"/>
      <c r="HO323" s="321"/>
      <c r="HP323" s="564"/>
      <c r="HQ323" s="416"/>
      <c r="HR323" s="416"/>
      <c r="HS323" s="416"/>
      <c r="HT323" s="416"/>
      <c r="HU323" s="462"/>
      <c r="HV323" s="416"/>
      <c r="HW323" s="462"/>
      <c r="HX323" s="416"/>
      <c r="HY323" s="416"/>
      <c r="HZ323" s="416"/>
      <c r="IA323" s="462"/>
      <c r="IB323" s="416"/>
      <c r="IC323" s="416"/>
      <c r="ID323" s="416"/>
      <c r="IE323" s="462"/>
      <c r="IF323" s="416"/>
      <c r="IG323" s="483">
        <v>177</v>
      </c>
      <c r="IH323" s="321"/>
      <c r="II323" s="321"/>
      <c r="IJ323" s="321"/>
      <c r="IK323" s="321"/>
      <c r="IL323" s="321"/>
      <c r="IM323" s="321"/>
      <c r="IN323" s="321"/>
      <c r="IO323" s="321"/>
      <c r="IP323" s="321"/>
      <c r="IQ323" s="321"/>
      <c r="IR323" s="321"/>
      <c r="IS323" s="321"/>
      <c r="IT323" s="321"/>
      <c r="IU323" s="321"/>
      <c r="IV323" s="564"/>
    </row>
    <row r="324" spans="1:256" s="326" customFormat="1" ht="8.25" customHeight="1">
      <c r="A324" s="483"/>
      <c r="B324" s="321"/>
      <c r="C324"/>
      <c r="D324"/>
      <c r="E324"/>
      <c r="F324"/>
      <c r="G324"/>
      <c r="H324"/>
      <c r="I324"/>
      <c r="J324"/>
      <c r="K324"/>
      <c r="L324"/>
      <c r="M324"/>
      <c r="N324"/>
      <c r="O324"/>
      <c r="P324" s="564"/>
      <c r="Q324" s="483"/>
      <c r="R324" s="321"/>
      <c r="S324" s="321"/>
      <c r="T324" s="321"/>
      <c r="U324" s="321">
        <v>10</v>
      </c>
      <c r="V324" s="433"/>
      <c r="W324" s="426"/>
      <c r="X324" s="433"/>
      <c r="Y324" s="440"/>
      <c r="Z324" s="433"/>
      <c r="AA324" s="321">
        <v>10</v>
      </c>
      <c r="AB324" s="321"/>
      <c r="AC324" s="321"/>
      <c r="AD324" s="321"/>
      <c r="AE324" s="321"/>
      <c r="AF324" s="564"/>
      <c r="AG324" s="483"/>
      <c r="AH324" s="432"/>
      <c r="AI324" s="421"/>
      <c r="AJ324" s="321"/>
      <c r="AK324" s="321"/>
      <c r="AL324" s="430"/>
      <c r="AM324" s="439"/>
      <c r="AN324" s="439"/>
      <c r="AO324" s="439"/>
      <c r="AP324" s="439"/>
      <c r="AQ324" s="425"/>
      <c r="AR324" s="321"/>
      <c r="AS324" s="321"/>
      <c r="AT324" s="321"/>
      <c r="AU324" s="439"/>
      <c r="AV324" s="421"/>
      <c r="AW324" s="483">
        <v>250</v>
      </c>
      <c r="AX324" s="328"/>
      <c r="AY324" s="328"/>
      <c r="AZ324" s="328"/>
      <c r="BA324" s="328"/>
      <c r="BB324" s="328"/>
      <c r="BC324" s="328"/>
      <c r="BD324" s="328"/>
      <c r="BE324" s="328"/>
      <c r="BF324" s="328"/>
      <c r="BG324" s="328"/>
      <c r="BH324" s="328"/>
      <c r="BI324" s="328"/>
      <c r="BJ324" s="328"/>
      <c r="BK324" s="328"/>
      <c r="BL324" s="1237"/>
      <c r="BM324" s="483">
        <v>300</v>
      </c>
      <c r="BN324" s="328"/>
      <c r="BO324" s="328"/>
      <c r="BP324" s="328"/>
      <c r="BQ324" s="328"/>
      <c r="BR324" s="328"/>
      <c r="BS324" s="328"/>
      <c r="BT324" s="328"/>
      <c r="BU324" s="328"/>
      <c r="BV324" s="328"/>
      <c r="BW324" s="328"/>
      <c r="BX324" s="328"/>
      <c r="BY324" s="328"/>
      <c r="BZ324" s="328"/>
      <c r="CA324" s="328"/>
      <c r="CB324" s="1237"/>
      <c r="CC324" s="483">
        <v>16000</v>
      </c>
      <c r="CD324" s="328"/>
      <c r="CE324" s="328"/>
      <c r="CF324" s="328"/>
      <c r="CG324" s="328"/>
      <c r="CH324" s="328"/>
      <c r="CI324" s="328"/>
      <c r="CJ324" s="328"/>
      <c r="CK324" s="328"/>
      <c r="CL324" s="328"/>
      <c r="CM324" s="328"/>
      <c r="CN324" s="328"/>
      <c r="CO324" s="328"/>
      <c r="CP324" s="328"/>
      <c r="CQ324" s="328"/>
      <c r="CR324" s="1237"/>
      <c r="CS324" s="483">
        <v>5000</v>
      </c>
      <c r="CT324" s="328"/>
      <c r="CU324" s="328"/>
      <c r="CV324" s="328"/>
      <c r="CW324" s="328"/>
      <c r="CX324" s="328"/>
      <c r="CY324" s="328"/>
      <c r="CZ324" s="328"/>
      <c r="DA324" s="328"/>
      <c r="DB324" s="328"/>
      <c r="DC324" s="328"/>
      <c r="DD324" s="328"/>
      <c r="DE324" s="328"/>
      <c r="DF324" s="328"/>
      <c r="DG324" s="328"/>
      <c r="DH324" s="1237"/>
      <c r="DI324" s="483">
        <v>3500</v>
      </c>
      <c r="DJ324"/>
      <c r="DK324"/>
      <c r="DL324"/>
      <c r="DM324"/>
      <c r="DN324"/>
      <c r="DO324"/>
      <c r="DP324"/>
      <c r="DQ324"/>
      <c r="DR324"/>
      <c r="DS324"/>
      <c r="DT324"/>
      <c r="DU324"/>
      <c r="DV324"/>
      <c r="DW324"/>
      <c r="DX324"/>
      <c r="DY324" s="483">
        <v>80</v>
      </c>
      <c r="DZ324"/>
      <c r="EA324"/>
      <c r="EB324"/>
      <c r="EC324"/>
      <c r="ED324"/>
      <c r="EE324"/>
      <c r="EF324"/>
      <c r="EG324"/>
      <c r="EH324"/>
      <c r="EI324"/>
      <c r="EJ324"/>
      <c r="EK324"/>
      <c r="EL324"/>
      <c r="EM324"/>
      <c r="EN324"/>
      <c r="EO324" s="483">
        <v>80</v>
      </c>
      <c r="EP324"/>
      <c r="EQ324"/>
      <c r="ER324"/>
      <c r="ES324"/>
      <c r="ET324"/>
      <c r="EU324"/>
      <c r="EV324"/>
      <c r="EW324"/>
      <c r="EX324"/>
      <c r="EY324"/>
      <c r="EZ324"/>
      <c r="FA324"/>
      <c r="FB324"/>
      <c r="FC324"/>
      <c r="FD324"/>
      <c r="FE324" s="483">
        <v>60</v>
      </c>
      <c r="FF324" s="321"/>
      <c r="FG324" s="321"/>
      <c r="FH324" s="321"/>
      <c r="FI324" s="321"/>
      <c r="FJ324" s="321"/>
      <c r="FK324" s="321"/>
      <c r="FL324" s="321"/>
      <c r="FM324" s="321"/>
      <c r="FN324" s="321"/>
      <c r="FO324" s="321"/>
      <c r="FP324" s="321"/>
      <c r="FQ324" s="321"/>
      <c r="FR324" s="321"/>
      <c r="FS324" s="321"/>
      <c r="FT324" s="564"/>
      <c r="FU324" s="483">
        <v>100</v>
      </c>
      <c r="FV324" s="321"/>
      <c r="FW324" s="321"/>
      <c r="FX324" s="321"/>
      <c r="FY324" s="321"/>
      <c r="FZ324" s="321"/>
      <c r="GA324" s="321"/>
      <c r="GB324" s="321"/>
      <c r="GC324" s="321"/>
      <c r="GD324" s="321"/>
      <c r="GE324" s="321"/>
      <c r="GF324" s="321"/>
      <c r="GG324" s="321"/>
      <c r="GH324" s="321"/>
      <c r="GI324" s="321"/>
      <c r="GJ324" s="564"/>
      <c r="GK324" s="483">
        <v>400</v>
      </c>
      <c r="GL324" s="321"/>
      <c r="GM324" s="321"/>
      <c r="GN324" s="321"/>
      <c r="GO324" s="321"/>
      <c r="GP324" s="321"/>
      <c r="GQ324" s="321"/>
      <c r="GR324" s="321"/>
      <c r="GS324" s="321"/>
      <c r="GT324" s="321"/>
      <c r="GU324" s="321"/>
      <c r="GV324" s="321"/>
      <c r="GW324" s="321"/>
      <c r="GX324" s="321"/>
      <c r="GY324" s="321"/>
      <c r="GZ324" s="564"/>
      <c r="HA324" s="483">
        <v>400</v>
      </c>
      <c r="HB324" s="321"/>
      <c r="HC324" s="321"/>
      <c r="HD324" s="321"/>
      <c r="HE324" s="321"/>
      <c r="HF324" s="321"/>
      <c r="HG324" s="321"/>
      <c r="HH324" s="321"/>
      <c r="HI324" s="321"/>
      <c r="HJ324" s="321"/>
      <c r="HK324" s="321"/>
      <c r="HL324" s="321"/>
      <c r="HM324" s="321"/>
      <c r="HN324" s="321"/>
      <c r="HO324" s="321"/>
      <c r="HP324" s="564"/>
      <c r="HQ324" s="416"/>
      <c r="HR324" s="416"/>
      <c r="HS324" s="462"/>
      <c r="HT324" s="416"/>
      <c r="HU324" s="416"/>
      <c r="HV324" s="416"/>
      <c r="HW324" s="416"/>
      <c r="HX324" s="416"/>
      <c r="HY324" s="416"/>
      <c r="HZ324" s="462"/>
      <c r="IA324" s="416"/>
      <c r="IB324" s="416"/>
      <c r="IC324" s="416"/>
      <c r="ID324" s="462"/>
      <c r="IE324" s="416"/>
      <c r="IF324" s="416"/>
      <c r="IG324" s="483">
        <v>60</v>
      </c>
      <c r="IH324" s="321"/>
      <c r="II324" s="321"/>
      <c r="IJ324" s="321"/>
      <c r="IK324" s="321"/>
      <c r="IL324" s="321"/>
      <c r="IM324" s="321"/>
      <c r="IN324" s="321"/>
      <c r="IO324" s="321"/>
      <c r="IP324" s="321"/>
      <c r="IQ324" s="321"/>
      <c r="IR324" s="321"/>
      <c r="IS324" s="321"/>
      <c r="IT324" s="321"/>
      <c r="IU324" s="321"/>
      <c r="IV324" s="564"/>
    </row>
    <row r="325" spans="1:256" s="326" customFormat="1" ht="8.25" customHeight="1">
      <c r="A325" s="483"/>
      <c r="B325" s="321"/>
      <c r="C325"/>
      <c r="D325"/>
      <c r="E325"/>
      <c r="F325"/>
      <c r="G325"/>
      <c r="H325"/>
      <c r="I325"/>
      <c r="J325"/>
      <c r="K325"/>
      <c r="L325"/>
      <c r="M325"/>
      <c r="N325"/>
      <c r="O325"/>
      <c r="P325" s="564"/>
      <c r="Q325" s="483"/>
      <c r="R325" s="321"/>
      <c r="S325" s="321"/>
      <c r="T325" s="321"/>
      <c r="U325" s="321"/>
      <c r="V325" s="426"/>
      <c r="W325" s="426"/>
      <c r="X325" s="426"/>
      <c r="Y325" s="433"/>
      <c r="Z325" s="426"/>
      <c r="AA325" s="321"/>
      <c r="AB325" s="321"/>
      <c r="AC325" s="321"/>
      <c r="AD325" s="321"/>
      <c r="AE325" s="321"/>
      <c r="AF325" s="564"/>
      <c r="AG325" s="483"/>
      <c r="AH325" s="432"/>
      <c r="AI325" s="421"/>
      <c r="AJ325" s="321"/>
      <c r="AK325" s="321"/>
      <c r="AL325" s="321"/>
      <c r="AM325" s="430"/>
      <c r="AN325" s="425"/>
      <c r="AO325" s="425"/>
      <c r="AP325" s="425"/>
      <c r="AQ325" s="321"/>
      <c r="AR325" s="321"/>
      <c r="AS325" s="321"/>
      <c r="AT325" s="321"/>
      <c r="AU325" s="439"/>
      <c r="AV325" s="421"/>
      <c r="AW325" s="1236"/>
      <c r="AX325" s="328"/>
      <c r="AY325" s="328"/>
      <c r="AZ325" s="328"/>
      <c r="BA325" s="328"/>
      <c r="BB325" s="328"/>
      <c r="BC325" s="328"/>
      <c r="BD325" s="328"/>
      <c r="BE325" s="328"/>
      <c r="BF325" s="328"/>
      <c r="BG325" s="328"/>
      <c r="BH325" s="328"/>
      <c r="BI325" s="328"/>
      <c r="BJ325" s="328"/>
      <c r="BK325" s="328"/>
      <c r="BL325" s="1237"/>
      <c r="BM325" s="1236"/>
      <c r="BN325" s="328"/>
      <c r="BO325" s="328"/>
      <c r="BP325" s="328"/>
      <c r="BQ325" s="328"/>
      <c r="BR325" s="328"/>
      <c r="BS325" s="328"/>
      <c r="BT325" s="328"/>
      <c r="BU325" s="328"/>
      <c r="BV325" s="328"/>
      <c r="BW325" s="328"/>
      <c r="BX325" s="328"/>
      <c r="BY325" s="328"/>
      <c r="BZ325" s="328"/>
      <c r="CA325" s="328"/>
      <c r="CB325" s="1237"/>
      <c r="CC325" s="1236"/>
      <c r="CD325" s="328"/>
      <c r="CE325" s="328"/>
      <c r="CF325" s="328"/>
      <c r="CG325" s="328"/>
      <c r="CH325" s="328"/>
      <c r="CI325" s="328"/>
      <c r="CJ325" s="328"/>
      <c r="CK325" s="328"/>
      <c r="CL325" s="328"/>
      <c r="CM325" s="328"/>
      <c r="CN325" s="328"/>
      <c r="CO325" s="328"/>
      <c r="CP325" s="328"/>
      <c r="CQ325" s="328"/>
      <c r="CR325" s="1237"/>
      <c r="CS325" s="1236"/>
      <c r="CT325" s="328"/>
      <c r="CU325" s="328"/>
      <c r="CV325" s="328"/>
      <c r="CW325" s="328"/>
      <c r="CX325" s="328"/>
      <c r="CY325" s="328"/>
      <c r="CZ325" s="328"/>
      <c r="DA325" s="328"/>
      <c r="DB325" s="328"/>
      <c r="DC325" s="328"/>
      <c r="DD325" s="328"/>
      <c r="DE325" s="328"/>
      <c r="DF325" s="328"/>
      <c r="DG325" s="328"/>
      <c r="DH325" s="1237"/>
      <c r="DI325" s="483"/>
      <c r="DJ325"/>
      <c r="DK325"/>
      <c r="DL325"/>
      <c r="DM325"/>
      <c r="DN325"/>
      <c r="DO325"/>
      <c r="DP325"/>
      <c r="DQ325"/>
      <c r="DR325"/>
      <c r="DS325"/>
      <c r="DT325"/>
      <c r="DU325"/>
      <c r="DV325"/>
      <c r="DW325"/>
      <c r="DX325"/>
      <c r="DY325" s="483"/>
      <c r="DZ325"/>
      <c r="EA325"/>
      <c r="EB325"/>
      <c r="EC325"/>
      <c r="ED325"/>
      <c r="EE325"/>
      <c r="EF325"/>
      <c r="EG325"/>
      <c r="EH325"/>
      <c r="EI325"/>
      <c r="EJ325"/>
      <c r="EK325"/>
      <c r="EL325"/>
      <c r="EM325"/>
      <c r="EN325"/>
      <c r="EO325" s="483"/>
      <c r="EP325"/>
      <c r="EQ325"/>
      <c r="ER325"/>
      <c r="ES325"/>
      <c r="ET325"/>
      <c r="EU325"/>
      <c r="EV325"/>
      <c r="EW325"/>
      <c r="EX325"/>
      <c r="EY325"/>
      <c r="EZ325"/>
      <c r="FA325"/>
      <c r="FB325"/>
      <c r="FC325"/>
      <c r="FD325"/>
      <c r="FE325" s="483"/>
      <c r="FF325" s="321"/>
      <c r="FG325" s="321"/>
      <c r="FH325" s="321"/>
      <c r="FI325" s="321"/>
      <c r="FJ325" s="321"/>
      <c r="FK325" s="321"/>
      <c r="FL325" s="321"/>
      <c r="FM325" s="321"/>
      <c r="FN325" s="321"/>
      <c r="FO325" s="321"/>
      <c r="FP325" s="321"/>
      <c r="FQ325" s="321"/>
      <c r="FR325" s="321"/>
      <c r="FS325" s="321"/>
      <c r="FT325" s="564"/>
      <c r="FU325" s="483"/>
      <c r="FV325" s="321"/>
      <c r="FW325" s="321"/>
      <c r="FX325" s="321"/>
      <c r="FY325" s="321"/>
      <c r="FZ325" s="321"/>
      <c r="GA325" s="321"/>
      <c r="GB325" s="321"/>
      <c r="GC325" s="321"/>
      <c r="GD325" s="321"/>
      <c r="GE325" s="321"/>
      <c r="GF325" s="321"/>
      <c r="GG325" s="321"/>
      <c r="GH325" s="321"/>
      <c r="GI325" s="321"/>
      <c r="GJ325" s="564"/>
      <c r="GK325" s="483">
        <v>10</v>
      </c>
      <c r="GL325" s="321"/>
      <c r="GM325" s="321"/>
      <c r="GN325" s="321"/>
      <c r="GO325" s="321"/>
      <c r="GP325" s="321"/>
      <c r="GQ325" s="321"/>
      <c r="GR325" s="321"/>
      <c r="GS325" s="321"/>
      <c r="GT325" s="321"/>
      <c r="GU325" s="321"/>
      <c r="GV325" s="321"/>
      <c r="GW325" s="321"/>
      <c r="GX325" s="321"/>
      <c r="GY325" s="321"/>
      <c r="GZ325" s="564"/>
      <c r="HA325" s="483">
        <v>10</v>
      </c>
      <c r="HB325" s="321"/>
      <c r="HC325" s="321"/>
      <c r="HD325" s="321"/>
      <c r="HE325" s="321"/>
      <c r="HF325" s="321"/>
      <c r="HG325" s="321"/>
      <c r="HH325" s="321"/>
      <c r="HI325" s="321"/>
      <c r="HJ325" s="321"/>
      <c r="HK325" s="321"/>
      <c r="HL325" s="321"/>
      <c r="HM325" s="321"/>
      <c r="HN325" s="321"/>
      <c r="HO325" s="321"/>
      <c r="HP325" s="564"/>
      <c r="HQ325" s="416"/>
      <c r="HR325" s="416"/>
      <c r="HS325" s="416"/>
      <c r="HT325" s="416"/>
      <c r="HU325" s="462"/>
      <c r="HV325" s="462"/>
      <c r="HW325" s="462"/>
      <c r="HX325" s="416"/>
      <c r="HY325" s="462"/>
      <c r="HZ325" s="416"/>
      <c r="IA325" s="416"/>
      <c r="IB325" s="416"/>
      <c r="IC325" s="462"/>
      <c r="ID325" s="416"/>
      <c r="IE325" s="416"/>
      <c r="IF325" s="416"/>
      <c r="IG325" s="483"/>
      <c r="IH325" s="321"/>
      <c r="II325" s="321"/>
      <c r="IJ325" s="321"/>
      <c r="IK325" s="321"/>
      <c r="IL325" s="321"/>
      <c r="IM325" s="321"/>
      <c r="IN325" s="321"/>
      <c r="IO325" s="321"/>
      <c r="IP325" s="321"/>
      <c r="IQ325" s="321"/>
      <c r="IR325" s="321"/>
      <c r="IS325" s="321"/>
      <c r="IT325" s="321"/>
      <c r="IU325" s="321"/>
      <c r="IV325" s="564"/>
    </row>
    <row r="326" spans="1:256" s="326" customFormat="1" ht="8.25" customHeight="1">
      <c r="A326" s="483"/>
      <c r="B326" s="321"/>
      <c r="C326"/>
      <c r="D326"/>
      <c r="E326"/>
      <c r="F326"/>
      <c r="G326"/>
      <c r="H326"/>
      <c r="I326"/>
      <c r="J326"/>
      <c r="K326"/>
      <c r="L326"/>
      <c r="M326"/>
      <c r="N326"/>
      <c r="O326"/>
      <c r="P326" s="564"/>
      <c r="Q326" s="483"/>
      <c r="R326" s="321"/>
      <c r="S326" s="321"/>
      <c r="T326" s="321"/>
      <c r="U326" s="321"/>
      <c r="V326" s="321"/>
      <c r="W326" s="426"/>
      <c r="X326" s="433"/>
      <c r="Y326" s="426"/>
      <c r="Z326" s="321"/>
      <c r="AA326" s="321"/>
      <c r="AB326" s="321"/>
      <c r="AC326" s="321"/>
      <c r="AD326" s="321"/>
      <c r="AE326" s="321"/>
      <c r="AF326" s="564"/>
      <c r="AG326" s="483"/>
      <c r="AH326" s="432"/>
      <c r="AI326" s="421"/>
      <c r="AJ326" s="321"/>
      <c r="AK326" s="321"/>
      <c r="AL326" s="321"/>
      <c r="AM326" s="321"/>
      <c r="AN326" s="321"/>
      <c r="AO326" s="321"/>
      <c r="AP326" s="321"/>
      <c r="AQ326" s="321"/>
      <c r="AR326" s="321"/>
      <c r="AS326" s="321"/>
      <c r="AT326" s="321"/>
      <c r="AU326" s="439"/>
      <c r="AV326" s="421"/>
      <c r="AW326" s="1236"/>
      <c r="AX326" s="328"/>
      <c r="AY326" s="328"/>
      <c r="AZ326" s="328"/>
      <c r="BA326" s="328"/>
      <c r="BB326" s="328"/>
      <c r="BC326" s="328"/>
      <c r="BD326" s="328"/>
      <c r="BE326" s="328"/>
      <c r="BF326" s="328"/>
      <c r="BG326" s="328"/>
      <c r="BH326" s="328"/>
      <c r="BI326" s="328"/>
      <c r="BJ326" s="328"/>
      <c r="BK326" s="328"/>
      <c r="BL326" s="1237"/>
      <c r="BM326" s="1236"/>
      <c r="BN326" s="328"/>
      <c r="BO326" s="328"/>
      <c r="BP326" s="328"/>
      <c r="BQ326" s="328"/>
      <c r="BR326" s="328"/>
      <c r="BS326" s="328"/>
      <c r="BT326" s="328"/>
      <c r="BU326" s="328"/>
      <c r="BV326" s="328"/>
      <c r="BW326" s="328"/>
      <c r="BX326" s="328"/>
      <c r="BY326" s="328"/>
      <c r="BZ326" s="328"/>
      <c r="CA326" s="328"/>
      <c r="CB326" s="1237"/>
      <c r="CC326" s="1236"/>
      <c r="CD326" s="328"/>
      <c r="CE326" s="328"/>
      <c r="CF326" s="328"/>
      <c r="CG326" s="328"/>
      <c r="CH326" s="328"/>
      <c r="CI326" s="328"/>
      <c r="CJ326" s="328"/>
      <c r="CK326" s="328"/>
      <c r="CL326" s="328"/>
      <c r="CM326" s="328"/>
      <c r="CN326" s="328"/>
      <c r="CO326" s="328"/>
      <c r="CP326" s="328"/>
      <c r="CQ326" s="328"/>
      <c r="CR326" s="1237"/>
      <c r="CS326" s="1236"/>
      <c r="CT326" s="328"/>
      <c r="CU326" s="328"/>
      <c r="CV326" s="328"/>
      <c r="CW326" s="328"/>
      <c r="CX326" s="328"/>
      <c r="CY326" s="328"/>
      <c r="CZ326" s="328"/>
      <c r="DA326" s="328"/>
      <c r="DB326" s="328"/>
      <c r="DC326" s="328"/>
      <c r="DD326" s="328"/>
      <c r="DE326" s="328"/>
      <c r="DF326" s="328"/>
      <c r="DG326" s="328"/>
      <c r="DH326" s="1237"/>
      <c r="DI326" s="483"/>
      <c r="DJ326"/>
      <c r="DK326"/>
      <c r="DL326"/>
      <c r="DM326"/>
      <c r="DN326"/>
      <c r="DO326"/>
      <c r="DP326"/>
      <c r="DQ326"/>
      <c r="DR326"/>
      <c r="DS326"/>
      <c r="DT326"/>
      <c r="DU326"/>
      <c r="DV326"/>
      <c r="DW326"/>
      <c r="DX326"/>
      <c r="DY326" s="483"/>
      <c r="DZ326"/>
      <c r="EA326"/>
      <c r="EB326"/>
      <c r="EC326"/>
      <c r="ED326"/>
      <c r="EE326"/>
      <c r="EF326"/>
      <c r="EG326"/>
      <c r="EH326"/>
      <c r="EI326"/>
      <c r="EJ326"/>
      <c r="EK326"/>
      <c r="EL326"/>
      <c r="EM326"/>
      <c r="EN326"/>
      <c r="EO326" s="483"/>
      <c r="EP326"/>
      <c r="EQ326"/>
      <c r="ER326"/>
      <c r="ES326"/>
      <c r="ET326"/>
      <c r="EU326"/>
      <c r="EV326"/>
      <c r="EW326"/>
      <c r="EX326"/>
      <c r="EY326"/>
      <c r="EZ326"/>
      <c r="FA326"/>
      <c r="FB326"/>
      <c r="FC326"/>
      <c r="FD326"/>
      <c r="FE326" s="483"/>
      <c r="FF326" s="321"/>
      <c r="FG326" s="321"/>
      <c r="FH326" s="321"/>
      <c r="FI326" s="321"/>
      <c r="FJ326" s="321"/>
      <c r="FK326" s="321"/>
      <c r="FL326" s="321"/>
      <c r="FM326" s="321"/>
      <c r="FN326" s="321"/>
      <c r="FO326" s="321"/>
      <c r="FP326" s="321"/>
      <c r="FQ326" s="321"/>
      <c r="FR326" s="321"/>
      <c r="FS326" s="321"/>
      <c r="FT326" s="564"/>
      <c r="FU326" s="483"/>
      <c r="FV326" s="321"/>
      <c r="FW326" s="321"/>
      <c r="FX326" s="321"/>
      <c r="FY326" s="321"/>
      <c r="FZ326" s="321"/>
      <c r="GA326" s="321"/>
      <c r="GB326" s="321"/>
      <c r="GC326" s="321"/>
      <c r="GD326" s="321"/>
      <c r="GE326" s="321"/>
      <c r="GF326" s="321"/>
      <c r="GG326" s="321"/>
      <c r="GH326" s="321"/>
      <c r="GI326" s="321"/>
      <c r="GJ326" s="564"/>
      <c r="GK326" s="483">
        <v>141</v>
      </c>
      <c r="GL326" s="321"/>
      <c r="GM326" s="321"/>
      <c r="GN326" s="321"/>
      <c r="GO326" s="321"/>
      <c r="GP326" s="321"/>
      <c r="GQ326" s="321"/>
      <c r="GR326" s="321"/>
      <c r="GS326" s="321"/>
      <c r="GT326" s="321"/>
      <c r="GU326" s="321"/>
      <c r="GV326" s="321"/>
      <c r="GW326" s="321"/>
      <c r="GX326" s="321"/>
      <c r="GY326" s="321"/>
      <c r="GZ326" s="564"/>
      <c r="HA326" s="483">
        <v>141</v>
      </c>
      <c r="HB326" s="321"/>
      <c r="HC326" s="321"/>
      <c r="HD326" s="321"/>
      <c r="HE326" s="321"/>
      <c r="HF326" s="321"/>
      <c r="HG326" s="321"/>
      <c r="HH326" s="321"/>
      <c r="HI326" s="321"/>
      <c r="HJ326" s="321"/>
      <c r="HK326" s="321"/>
      <c r="HL326" s="321"/>
      <c r="HM326" s="321"/>
      <c r="HN326" s="321"/>
      <c r="HO326" s="321"/>
      <c r="HP326" s="564"/>
      <c r="HQ326" s="462"/>
      <c r="HR326" s="416"/>
      <c r="HS326" s="462"/>
      <c r="HT326" s="416"/>
      <c r="HU326" s="416"/>
      <c r="HV326" s="416"/>
      <c r="HW326" s="416"/>
      <c r="HX326" s="416"/>
      <c r="HY326" s="416"/>
      <c r="HZ326" s="416"/>
      <c r="IA326" s="416"/>
      <c r="IB326" s="416"/>
      <c r="IC326" s="416"/>
      <c r="ID326" s="416"/>
      <c r="IE326" s="416"/>
      <c r="IF326" s="416"/>
      <c r="IG326" s="483"/>
      <c r="IH326" s="321"/>
      <c r="II326" s="414"/>
      <c r="IJ326" s="414"/>
      <c r="IK326" s="414"/>
      <c r="IL326" s="414"/>
      <c r="IM326" s="414"/>
      <c r="IN326" s="414"/>
      <c r="IO326" s="414"/>
      <c r="IP326" s="414"/>
      <c r="IQ326" s="414"/>
      <c r="IR326" s="414"/>
      <c r="IS326" s="414"/>
      <c r="IT326" s="414"/>
      <c r="IU326" s="321"/>
      <c r="IV326" s="564"/>
    </row>
    <row r="327" spans="1:256" s="326" customFormat="1" ht="8.25" customHeight="1">
      <c r="A327" s="483"/>
      <c r="B327" s="321"/>
      <c r="C327"/>
      <c r="D327"/>
      <c r="E327"/>
      <c r="F327"/>
      <c r="G327"/>
      <c r="H327"/>
      <c r="I327"/>
      <c r="J327"/>
      <c r="K327"/>
      <c r="L327"/>
      <c r="M327"/>
      <c r="N327"/>
      <c r="O327"/>
      <c r="P327" s="564"/>
      <c r="Q327" s="483"/>
      <c r="R327" s="321"/>
      <c r="S327" s="321"/>
      <c r="T327" s="321"/>
      <c r="U327" s="321"/>
      <c r="V327" s="321"/>
      <c r="W327" s="321"/>
      <c r="X327" s="321"/>
      <c r="Y327" s="321"/>
      <c r="Z327" s="321"/>
      <c r="AA327" s="321"/>
      <c r="AB327" s="321"/>
      <c r="AC327" s="321"/>
      <c r="AD327" s="321"/>
      <c r="AE327" s="321"/>
      <c r="AF327" s="564"/>
      <c r="AG327" s="483"/>
      <c r="AH327" s="432"/>
      <c r="AI327" s="421"/>
      <c r="AJ327" s="321"/>
      <c r="AK327" s="321"/>
      <c r="AL327" s="321"/>
      <c r="AM327" s="321"/>
      <c r="AN327" s="321"/>
      <c r="AO327" s="321"/>
      <c r="AP327" s="321"/>
      <c r="AQ327" s="321"/>
      <c r="AR327" s="321"/>
      <c r="AS327" s="321"/>
      <c r="AT327" s="321"/>
      <c r="AU327" s="439"/>
      <c r="AV327" s="421"/>
      <c r="AW327" s="1236"/>
      <c r="AX327" s="328"/>
      <c r="AY327" s="328"/>
      <c r="AZ327" s="328"/>
      <c r="BA327" s="328"/>
      <c r="BB327" s="328"/>
      <c r="BC327" s="328"/>
      <c r="BD327" s="328"/>
      <c r="BE327" s="328"/>
      <c r="BF327" s="328"/>
      <c r="BG327" s="328"/>
      <c r="BH327" s="328"/>
      <c r="BI327" s="328"/>
      <c r="BJ327" s="328"/>
      <c r="BK327" s="328"/>
      <c r="BL327" s="1237"/>
      <c r="BM327" s="1236"/>
      <c r="BN327" s="328"/>
      <c r="BO327" s="328"/>
      <c r="BP327" s="328"/>
      <c r="BQ327" s="328"/>
      <c r="BR327" s="328"/>
      <c r="BS327" s="328"/>
      <c r="BT327" s="328"/>
      <c r="BU327" s="328"/>
      <c r="BV327" s="328"/>
      <c r="BW327" s="328"/>
      <c r="BX327" s="328"/>
      <c r="BY327" s="328"/>
      <c r="BZ327" s="328"/>
      <c r="CA327" s="328"/>
      <c r="CB327" s="1237"/>
      <c r="CC327" s="1236"/>
      <c r="CD327" s="328"/>
      <c r="CE327" s="328"/>
      <c r="CF327" s="328"/>
      <c r="CG327" s="328"/>
      <c r="CH327" s="328"/>
      <c r="CI327" s="328"/>
      <c r="CJ327" s="328"/>
      <c r="CK327" s="328"/>
      <c r="CL327" s="328"/>
      <c r="CM327" s="328"/>
      <c r="CN327" s="328"/>
      <c r="CO327" s="328"/>
      <c r="CP327" s="328"/>
      <c r="CQ327" s="328"/>
      <c r="CR327" s="1237"/>
      <c r="CS327" s="1236"/>
      <c r="CT327" s="328"/>
      <c r="CU327" s="328"/>
      <c r="CV327" s="328"/>
      <c r="CW327" s="328"/>
      <c r="CX327" s="328"/>
      <c r="CY327" s="328"/>
      <c r="CZ327" s="328"/>
      <c r="DA327" s="328"/>
      <c r="DB327" s="328"/>
      <c r="DC327" s="328"/>
      <c r="DD327" s="328"/>
      <c r="DE327" s="328"/>
      <c r="DF327" s="328"/>
      <c r="DG327" s="328"/>
      <c r="DH327" s="1237"/>
      <c r="DI327" s="483"/>
      <c r="DJ327"/>
      <c r="DK327"/>
      <c r="DL327"/>
      <c r="DM327"/>
      <c r="DN327"/>
      <c r="DO327"/>
      <c r="DP327"/>
      <c r="DQ327"/>
      <c r="DR327"/>
      <c r="DS327"/>
      <c r="DT327"/>
      <c r="DU327"/>
      <c r="DV327"/>
      <c r="DW327"/>
      <c r="DX327"/>
      <c r="DY327" s="483"/>
      <c r="DZ327"/>
      <c r="EA327"/>
      <c r="EB327"/>
      <c r="EC327"/>
      <c r="ED327"/>
      <c r="EE327"/>
      <c r="EF327"/>
      <c r="EG327"/>
      <c r="EH327"/>
      <c r="EI327"/>
      <c r="EJ327"/>
      <c r="EK327"/>
      <c r="EL327"/>
      <c r="EM327"/>
      <c r="EN327"/>
      <c r="EO327" s="483"/>
      <c r="EP327"/>
      <c r="EQ327"/>
      <c r="ER327"/>
      <c r="ES327"/>
      <c r="ET327"/>
      <c r="EU327"/>
      <c r="EV327"/>
      <c r="EW327"/>
      <c r="EX327"/>
      <c r="EY327"/>
      <c r="EZ327"/>
      <c r="FA327"/>
      <c r="FB327"/>
      <c r="FC327"/>
      <c r="FD327"/>
      <c r="FE327" s="483"/>
      <c r="FF327" s="321"/>
      <c r="FH327" s="321"/>
      <c r="FI327" s="321"/>
      <c r="FJ327" s="321"/>
      <c r="FK327" s="321"/>
      <c r="FL327" s="321"/>
      <c r="FM327" s="321"/>
      <c r="FN327" s="321"/>
      <c r="FO327" s="321"/>
      <c r="FP327" s="321"/>
      <c r="FS327" s="321"/>
      <c r="FT327" s="564"/>
      <c r="FU327" s="483"/>
      <c r="FV327" s="321"/>
      <c r="FX327" s="321"/>
      <c r="FY327" s="321"/>
      <c r="FZ327" s="321"/>
      <c r="GA327" s="321"/>
      <c r="GB327" s="321"/>
      <c r="GC327" s="321"/>
      <c r="GD327" s="321"/>
      <c r="GE327" s="321"/>
      <c r="GF327" s="321"/>
      <c r="GI327" s="321"/>
      <c r="GJ327" s="564"/>
      <c r="GK327" s="483"/>
      <c r="GL327" s="321"/>
      <c r="GM327" s="321"/>
      <c r="GN327" s="321"/>
      <c r="GO327" s="321"/>
      <c r="GP327" s="321"/>
      <c r="GQ327" s="321"/>
      <c r="GR327" s="321"/>
      <c r="GS327" s="321"/>
      <c r="GT327" s="321"/>
      <c r="GU327" s="321"/>
      <c r="GV327" s="321"/>
      <c r="GW327" s="321"/>
      <c r="GX327" s="321"/>
      <c r="GY327" s="321"/>
      <c r="GZ327" s="564"/>
      <c r="HA327" s="483"/>
      <c r="HB327" s="321"/>
      <c r="HC327" s="321"/>
      <c r="HD327" s="321"/>
      <c r="HE327" s="321"/>
      <c r="HF327" s="321"/>
      <c r="HG327" s="321"/>
      <c r="HH327" s="321"/>
      <c r="HI327" s="321"/>
      <c r="HJ327" s="321"/>
      <c r="HK327" s="321"/>
      <c r="HL327" s="321"/>
      <c r="HM327" s="321"/>
      <c r="HN327" s="321"/>
      <c r="HO327" s="321"/>
      <c r="HP327" s="564"/>
      <c r="HQ327" s="416"/>
      <c r="HR327" s="462"/>
      <c r="HS327" s="416"/>
      <c r="HT327" s="416"/>
      <c r="HU327" s="462"/>
      <c r="HV327" s="416"/>
      <c r="HW327" s="462"/>
      <c r="HX327" s="416"/>
      <c r="HY327" s="462"/>
      <c r="HZ327" s="462"/>
      <c r="IA327" s="462"/>
      <c r="IB327" s="416"/>
      <c r="IC327" s="462"/>
      <c r="ID327" s="462"/>
      <c r="IE327" s="462"/>
      <c r="IF327" s="416"/>
      <c r="IG327" s="483"/>
      <c r="IH327" s="321"/>
      <c r="II327" s="414"/>
      <c r="IJ327" s="412"/>
      <c r="IK327" s="421"/>
      <c r="IL327" s="412"/>
      <c r="IM327" s="413"/>
      <c r="IN327" s="412"/>
      <c r="IO327" s="412"/>
      <c r="IP327" s="412"/>
      <c r="IQ327" s="431"/>
      <c r="IR327" s="412"/>
      <c r="IS327" s="431"/>
      <c r="IT327" s="414"/>
      <c r="IU327" s="321"/>
      <c r="IV327" s="564"/>
    </row>
    <row r="328" spans="1:256" s="326" customFormat="1" ht="8.25" customHeight="1">
      <c r="A328" s="483">
        <v>3</v>
      </c>
      <c r="B328" s="321"/>
      <c r="C328"/>
      <c r="D328"/>
      <c r="E328"/>
      <c r="F328"/>
      <c r="G328"/>
      <c r="H328"/>
      <c r="I328"/>
      <c r="J328"/>
      <c r="K328"/>
      <c r="L328"/>
      <c r="M328"/>
      <c r="N328"/>
      <c r="O328"/>
      <c r="P328" s="564"/>
      <c r="Q328" s="483"/>
      <c r="R328" s="321"/>
      <c r="S328"/>
      <c r="T328"/>
      <c r="U328"/>
      <c r="V328"/>
      <c r="W328"/>
      <c r="X328"/>
      <c r="Y328"/>
      <c r="Z328"/>
      <c r="AA328"/>
      <c r="AB328"/>
      <c r="AC328"/>
      <c r="AD328"/>
      <c r="AE328" s="321"/>
      <c r="AF328" s="564"/>
      <c r="AG328" s="483"/>
      <c r="AH328" s="432"/>
      <c r="AI328" s="432"/>
      <c r="AJ328" s="439"/>
      <c r="AK328" s="439"/>
      <c r="AL328" s="439"/>
      <c r="AM328" s="432"/>
      <c r="AN328" s="321"/>
      <c r="AO328" s="439"/>
      <c r="AP328" s="439"/>
      <c r="AQ328" s="439"/>
      <c r="AR328" s="439"/>
      <c r="AS328" s="432"/>
      <c r="AT328" s="432"/>
      <c r="AU328" s="432"/>
      <c r="AV328" s="421"/>
      <c r="AW328" s="1236"/>
      <c r="AX328" s="328"/>
      <c r="AY328" s="328"/>
      <c r="AZ328" s="328"/>
      <c r="BL328" s="1237"/>
      <c r="BM328" s="1236"/>
      <c r="BN328" s="328"/>
      <c r="BO328" s="328"/>
      <c r="BP328" s="328"/>
      <c r="CB328" s="1237"/>
      <c r="CC328" s="1236"/>
      <c r="CD328" s="328"/>
      <c r="CE328" s="328"/>
      <c r="CF328" s="328"/>
      <c r="CR328" s="1237"/>
      <c r="CS328" s="1236"/>
      <c r="CT328" s="328"/>
      <c r="CU328" s="328"/>
      <c r="CV328" s="328"/>
      <c r="DH328" s="1237"/>
      <c r="DI328" s="483"/>
      <c r="DJ328"/>
      <c r="DK328"/>
      <c r="DL328"/>
      <c r="DM328"/>
      <c r="DN328"/>
      <c r="DO328"/>
      <c r="DP328"/>
      <c r="DQ328"/>
      <c r="DR328"/>
      <c r="DS328"/>
      <c r="DT328"/>
      <c r="DU328"/>
      <c r="DV328"/>
      <c r="DW328"/>
      <c r="DX328"/>
      <c r="DY328" s="483"/>
      <c r="DZ328"/>
      <c r="EA328"/>
      <c r="EB328"/>
      <c r="EC328"/>
      <c r="ED328"/>
      <c r="EE328"/>
      <c r="EF328"/>
      <c r="EG328"/>
      <c r="EH328"/>
      <c r="EI328"/>
      <c r="EJ328"/>
      <c r="EK328"/>
      <c r="EL328"/>
      <c r="EM328"/>
      <c r="EN328"/>
      <c r="EO328" s="483"/>
      <c r="EP328"/>
      <c r="EQ328"/>
      <c r="ER328"/>
      <c r="ES328"/>
      <c r="ET328"/>
      <c r="EU328"/>
      <c r="EV328"/>
      <c r="EW328"/>
      <c r="EX328"/>
      <c r="EY328"/>
      <c r="EZ328"/>
      <c r="FA328"/>
      <c r="FB328"/>
      <c r="FC328"/>
      <c r="FD328"/>
      <c r="FE328" s="483"/>
      <c r="FF328" s="321"/>
      <c r="FH328" s="321"/>
      <c r="FI328" s="321"/>
      <c r="FJ328" s="321"/>
      <c r="FK328" s="321"/>
      <c r="FL328" s="321"/>
      <c r="FM328" s="321"/>
      <c r="FN328" s="321"/>
      <c r="FO328" s="321"/>
      <c r="FP328" s="321"/>
      <c r="FS328" s="321"/>
      <c r="FT328" s="564"/>
      <c r="FU328" s="483"/>
      <c r="FV328" s="321"/>
      <c r="FX328" s="321"/>
      <c r="FY328" s="321"/>
      <c r="FZ328" s="321"/>
      <c r="GA328" s="321"/>
      <c r="GB328" s="321"/>
      <c r="GC328" s="321"/>
      <c r="GD328" s="321"/>
      <c r="GE328" s="321"/>
      <c r="GF328" s="321"/>
      <c r="GI328" s="321"/>
      <c r="GJ328" s="564"/>
      <c r="GK328" s="483"/>
      <c r="GL328" s="321"/>
      <c r="GM328" s="321"/>
      <c r="GN328" s="321"/>
      <c r="GO328" s="321"/>
      <c r="GP328" s="321"/>
      <c r="GQ328" s="321"/>
      <c r="GR328" s="321"/>
      <c r="GS328" s="321"/>
      <c r="GT328" s="321"/>
      <c r="GU328" s="321"/>
      <c r="GV328" s="321"/>
      <c r="GW328" s="321"/>
      <c r="GX328" s="321"/>
      <c r="GY328" s="321"/>
      <c r="GZ328" s="564"/>
      <c r="HA328" s="483"/>
      <c r="HB328" s="321"/>
      <c r="HC328" s="321"/>
      <c r="HD328" s="321"/>
      <c r="HE328" s="321"/>
      <c r="HF328" s="321"/>
      <c r="HG328" s="321"/>
      <c r="HH328" s="321"/>
      <c r="HI328" s="321"/>
      <c r="HJ328" s="321"/>
      <c r="HK328" s="321"/>
      <c r="HL328" s="321"/>
      <c r="HM328" s="321"/>
      <c r="HN328" s="321"/>
      <c r="HO328" s="321"/>
      <c r="HP328" s="564"/>
      <c r="HQ328" s="416"/>
      <c r="HR328" s="416"/>
      <c r="HS328" s="416"/>
      <c r="HT328" s="416"/>
      <c r="HU328" s="416"/>
      <c r="HV328" s="416"/>
      <c r="HW328" s="416"/>
      <c r="HX328" s="416"/>
      <c r="HY328" s="416"/>
      <c r="HZ328" s="416"/>
      <c r="IA328" s="416"/>
      <c r="IB328" s="416"/>
      <c r="IC328" s="416"/>
      <c r="ID328" s="416"/>
      <c r="IE328" s="446"/>
      <c r="IF328" s="416"/>
      <c r="IG328" s="483"/>
      <c r="IH328" s="321"/>
      <c r="II328" s="414"/>
      <c r="IJ328" s="412"/>
      <c r="IK328" s="412"/>
      <c r="IL328" s="421"/>
      <c r="IM328" s="413"/>
      <c r="IN328" s="413"/>
      <c r="IO328" s="412"/>
      <c r="IP328" s="431"/>
      <c r="IQ328" s="412"/>
      <c r="IR328" s="412"/>
      <c r="IS328" s="413"/>
      <c r="IT328" s="414"/>
      <c r="IU328" s="321"/>
      <c r="IV328" s="564"/>
    </row>
    <row r="329" spans="1:256" s="326" customFormat="1" ht="8.25" customHeight="1">
      <c r="A329" s="483">
        <v>8</v>
      </c>
      <c r="B329" s="321"/>
      <c r="C329"/>
      <c r="D329"/>
      <c r="E329"/>
      <c r="F329"/>
      <c r="G329"/>
      <c r="H329"/>
      <c r="I329"/>
      <c r="J329"/>
      <c r="K329"/>
      <c r="L329"/>
      <c r="M329"/>
      <c r="N329"/>
      <c r="O329"/>
      <c r="P329" s="564"/>
      <c r="Q329" s="483"/>
      <c r="R329" s="321"/>
      <c r="S329"/>
      <c r="T329"/>
      <c r="U329"/>
      <c r="V329"/>
      <c r="W329"/>
      <c r="X329"/>
      <c r="Y329"/>
      <c r="Z329"/>
      <c r="AA329"/>
      <c r="AB329"/>
      <c r="AC329"/>
      <c r="AD329"/>
      <c r="AE329" s="321"/>
      <c r="AF329" s="564"/>
      <c r="AG329" s="483"/>
      <c r="AH329" s="432"/>
      <c r="AI329" s="432"/>
      <c r="AJ329" s="432"/>
      <c r="AK329" s="432"/>
      <c r="AL329" s="432"/>
      <c r="AM329" s="421"/>
      <c r="AN329" s="321"/>
      <c r="AO329" s="439"/>
      <c r="AP329" s="421"/>
      <c r="AQ329" s="421"/>
      <c r="AR329" s="421"/>
      <c r="AS329" s="421"/>
      <c r="AT329" s="421"/>
      <c r="AU329" s="421"/>
      <c r="AV329" s="421"/>
      <c r="AW329" s="1236"/>
      <c r="AX329" s="328"/>
      <c r="AY329" s="328"/>
      <c r="AZ329" s="328"/>
      <c r="BL329" s="1237"/>
      <c r="BM329" s="1236"/>
      <c r="BN329" s="328"/>
      <c r="BO329" s="328"/>
      <c r="BP329" s="328"/>
      <c r="CB329" s="1237"/>
      <c r="CC329" s="1236"/>
      <c r="CD329" s="328"/>
      <c r="CE329" s="328"/>
      <c r="CF329" s="328"/>
      <c r="CR329" s="1237"/>
      <c r="CS329" s="1236"/>
      <c r="CT329" s="328"/>
      <c r="CU329" s="328"/>
      <c r="CV329" s="328"/>
      <c r="DH329" s="1237"/>
      <c r="DI329" s="483"/>
      <c r="DJ329"/>
      <c r="DK329"/>
      <c r="DL329"/>
      <c r="DM329"/>
      <c r="DN329"/>
      <c r="DO329"/>
      <c r="DP329"/>
      <c r="DQ329"/>
      <c r="DR329"/>
      <c r="DS329"/>
      <c r="DT329"/>
      <c r="DU329"/>
      <c r="DV329"/>
      <c r="DW329"/>
      <c r="DX329"/>
      <c r="DY329" s="483"/>
      <c r="DZ329"/>
      <c r="EA329"/>
      <c r="EB329"/>
      <c r="EC329"/>
      <c r="ED329"/>
      <c r="EE329"/>
      <c r="EF329"/>
      <c r="EG329"/>
      <c r="EH329"/>
      <c r="EI329"/>
      <c r="EJ329"/>
      <c r="EK329"/>
      <c r="EL329"/>
      <c r="EM329"/>
      <c r="EN329"/>
      <c r="EO329" s="483"/>
      <c r="EP329"/>
      <c r="EQ329"/>
      <c r="ER329"/>
      <c r="ES329"/>
      <c r="ET329"/>
      <c r="EU329"/>
      <c r="EV329"/>
      <c r="EW329"/>
      <c r="EX329"/>
      <c r="EY329"/>
      <c r="EZ329"/>
      <c r="FA329"/>
      <c r="FB329"/>
      <c r="FC329"/>
      <c r="FD329"/>
      <c r="FE329" s="483"/>
      <c r="FF329" s="321"/>
      <c r="FH329" s="321"/>
      <c r="FI329" s="321"/>
      <c r="FJ329" s="321"/>
      <c r="FK329" s="321"/>
      <c r="FL329" s="321"/>
      <c r="FM329" s="321"/>
      <c r="FN329" s="321"/>
      <c r="FO329" s="321"/>
      <c r="FP329" s="321"/>
      <c r="FS329" s="321"/>
      <c r="FT329" s="564"/>
      <c r="FU329" s="483"/>
      <c r="FV329" s="321"/>
      <c r="FX329" s="321"/>
      <c r="FY329" s="321"/>
      <c r="FZ329" s="321"/>
      <c r="GA329" s="321"/>
      <c r="GB329" s="321"/>
      <c r="GC329" s="321"/>
      <c r="GD329" s="321"/>
      <c r="GE329" s="321"/>
      <c r="GF329" s="321"/>
      <c r="GI329" s="321"/>
      <c r="GJ329" s="564"/>
      <c r="GK329" s="483"/>
      <c r="GL329" s="321"/>
      <c r="GM329" s="321"/>
      <c r="GN329" s="321"/>
      <c r="GO329" s="321"/>
      <c r="GP329" s="321"/>
      <c r="GQ329" s="321"/>
      <c r="GR329" s="321"/>
      <c r="GS329" s="321"/>
      <c r="GT329" s="321"/>
      <c r="GU329" s="321"/>
      <c r="GV329" s="321"/>
      <c r="GW329" s="321"/>
      <c r="GX329" s="321"/>
      <c r="GY329" s="321"/>
      <c r="GZ329" s="564"/>
      <c r="HA329" s="483"/>
      <c r="HB329" s="321"/>
      <c r="HC329" s="321"/>
      <c r="HD329" s="321"/>
      <c r="HE329" s="321"/>
      <c r="HF329" s="321"/>
      <c r="HG329" s="321"/>
      <c r="HH329" s="321"/>
      <c r="HI329" s="321"/>
      <c r="HJ329" s="321"/>
      <c r="HK329" s="321"/>
      <c r="HL329" s="321"/>
      <c r="HM329" s="321"/>
      <c r="HN329" s="321"/>
      <c r="HO329" s="321"/>
      <c r="HP329" s="564"/>
      <c r="HQ329" s="416"/>
      <c r="HR329" s="416"/>
      <c r="HS329" s="416"/>
      <c r="HT329" s="416"/>
      <c r="HU329" s="416"/>
      <c r="HV329" s="416"/>
      <c r="HW329" s="416"/>
      <c r="HX329" s="416"/>
      <c r="HY329" s="416"/>
      <c r="HZ329" s="416"/>
      <c r="IA329" s="416"/>
      <c r="IB329" s="416"/>
      <c r="IC329" s="416"/>
      <c r="ID329" s="416"/>
      <c r="IE329" s="440"/>
      <c r="IF329" s="433"/>
      <c r="IG329" s="483"/>
      <c r="IH329" s="321"/>
      <c r="II329" s="414"/>
      <c r="IJ329" s="412"/>
      <c r="IK329" s="413"/>
      <c r="IL329" s="413"/>
      <c r="IM329" s="431"/>
      <c r="IN329" s="412"/>
      <c r="IO329" s="413"/>
      <c r="IP329" s="431"/>
      <c r="IQ329" s="412"/>
      <c r="IR329" s="413"/>
      <c r="IS329" s="431"/>
      <c r="IT329" s="414"/>
      <c r="IU329" s="321"/>
      <c r="IV329" s="564"/>
    </row>
    <row r="330" spans="1:256" s="326" customFormat="1" ht="8.25" customHeight="1">
      <c r="A330" s="483"/>
      <c r="B330" s="321"/>
      <c r="C330"/>
      <c r="D330"/>
      <c r="E330"/>
      <c r="F330"/>
      <c r="G330"/>
      <c r="H330"/>
      <c r="I330"/>
      <c r="J330"/>
      <c r="K330"/>
      <c r="L330"/>
      <c r="M330"/>
      <c r="N330"/>
      <c r="O330"/>
      <c r="P330" s="564"/>
      <c r="Q330" s="483"/>
      <c r="R330" s="321"/>
      <c r="S330"/>
      <c r="T330"/>
      <c r="U330"/>
      <c r="V330"/>
      <c r="W330"/>
      <c r="X330"/>
      <c r="Y330"/>
      <c r="Z330"/>
      <c r="AA330"/>
      <c r="AB330"/>
      <c r="AC330"/>
      <c r="AD330"/>
      <c r="AE330" s="321"/>
      <c r="AF330" s="564"/>
      <c r="AG330" s="483"/>
      <c r="AH330" s="321"/>
      <c r="AI330" s="321"/>
      <c r="AJ330" s="321"/>
      <c r="AK330" s="321"/>
      <c r="AL330" s="432"/>
      <c r="AM330" s="421"/>
      <c r="AN330" s="321"/>
      <c r="AO330" s="439"/>
      <c r="AP330" s="421"/>
      <c r="AQ330" s="321"/>
      <c r="AR330" s="321"/>
      <c r="AS330" s="321"/>
      <c r="AT330" s="321"/>
      <c r="AU330" s="321"/>
      <c r="AV330" s="321"/>
      <c r="AW330" s="422"/>
      <c r="AX330" s="328"/>
      <c r="AY330" s="328"/>
      <c r="AZ330" s="328"/>
      <c r="BD330" s="422"/>
      <c r="BL330" s="1237"/>
      <c r="BM330" s="422"/>
      <c r="BN330" s="328"/>
      <c r="BO330" s="328"/>
      <c r="BP330" s="328"/>
      <c r="BT330" s="422"/>
      <c r="CB330" s="1237"/>
      <c r="CC330" s="422"/>
      <c r="CD330" s="328"/>
      <c r="CE330" s="328"/>
      <c r="CF330" s="328"/>
      <c r="CJ330" s="422"/>
      <c r="CR330" s="1237"/>
      <c r="CS330" s="1236"/>
      <c r="CT330" s="328"/>
      <c r="CU330" s="328"/>
      <c r="CV330" s="328"/>
      <c r="DH330" s="1237"/>
      <c r="DI330" s="483"/>
      <c r="DJ330"/>
      <c r="DK330"/>
      <c r="DL330"/>
      <c r="DM330"/>
      <c r="DN330"/>
      <c r="DO330"/>
      <c r="DP330"/>
      <c r="DQ330"/>
      <c r="DR330"/>
      <c r="DS330"/>
      <c r="DT330"/>
      <c r="DU330"/>
      <c r="DV330"/>
      <c r="DW330"/>
      <c r="DX330"/>
      <c r="DY330" s="483">
        <v>-4</v>
      </c>
      <c r="DZ330"/>
      <c r="EA330"/>
      <c r="EB330"/>
      <c r="EC330"/>
      <c r="ED330"/>
      <c r="EE330"/>
      <c r="EF330"/>
      <c r="EG330"/>
      <c r="EH330"/>
      <c r="EI330"/>
      <c r="EJ330"/>
      <c r="EK330"/>
      <c r="EL330"/>
      <c r="EM330"/>
      <c r="EN330"/>
      <c r="EO330" s="483"/>
      <c r="EP330"/>
      <c r="EQ330"/>
      <c r="ER330"/>
      <c r="ES330"/>
      <c r="ET330"/>
      <c r="EU330"/>
      <c r="EV330"/>
      <c r="EW330"/>
      <c r="EX330"/>
      <c r="EY330"/>
      <c r="EZ330"/>
      <c r="FA330"/>
      <c r="FB330"/>
      <c r="FC330"/>
      <c r="FD330"/>
      <c r="FE330" s="483">
        <v>-8</v>
      </c>
      <c r="FF330" s="321"/>
      <c r="FH330" s="321"/>
      <c r="FI330" s="321"/>
      <c r="FJ330" s="321"/>
      <c r="FK330" s="321"/>
      <c r="FL330" s="321"/>
      <c r="FM330" s="321"/>
      <c r="FN330" s="321"/>
      <c r="FO330" s="321"/>
      <c r="FP330" s="321"/>
      <c r="FS330" s="321"/>
      <c r="FT330" s="564"/>
      <c r="FU330" s="483">
        <v>-5</v>
      </c>
      <c r="FV330" s="321"/>
      <c r="FX330" s="321"/>
      <c r="FY330" s="321"/>
      <c r="FZ330" s="321"/>
      <c r="GA330" s="321"/>
      <c r="GB330" s="321"/>
      <c r="GC330" s="321"/>
      <c r="GD330" s="321"/>
      <c r="GE330" s="321"/>
      <c r="GF330" s="321"/>
      <c r="GI330" s="321"/>
      <c r="GJ330" s="564"/>
      <c r="GK330" s="483"/>
      <c r="GL330" s="321"/>
      <c r="GM330" s="321"/>
      <c r="GN330" s="321"/>
      <c r="GO330" s="321"/>
      <c r="GP330" s="321"/>
      <c r="GQ330" s="321"/>
      <c r="GR330" s="321"/>
      <c r="GS330" s="321"/>
      <c r="GT330" s="321"/>
      <c r="GU330" s="321"/>
      <c r="GV330" s="321"/>
      <c r="GW330" s="321"/>
      <c r="GX330" s="321"/>
      <c r="GY330" s="321"/>
      <c r="GZ330" s="564"/>
      <c r="HA330" s="483"/>
      <c r="HB330" s="321"/>
      <c r="HC330" s="321"/>
      <c r="HD330" s="321"/>
      <c r="HE330" s="321"/>
      <c r="HF330" s="321"/>
      <c r="HG330" s="321"/>
      <c r="HH330" s="321"/>
      <c r="HI330" s="321"/>
      <c r="HJ330" s="321"/>
      <c r="HK330" s="321"/>
      <c r="HL330" s="321"/>
      <c r="HM330" s="321"/>
      <c r="HN330" s="321"/>
      <c r="HO330" s="321"/>
      <c r="HP330" s="564"/>
      <c r="HQ330" s="462"/>
      <c r="HR330" s="462"/>
      <c r="HS330" s="462"/>
      <c r="HT330" s="462"/>
      <c r="HU330" s="462"/>
      <c r="HV330" s="462"/>
      <c r="HW330" s="462"/>
      <c r="HX330" s="462"/>
      <c r="HY330" s="462"/>
      <c r="HZ330" s="462"/>
      <c r="IA330" s="462"/>
      <c r="IB330" s="462"/>
      <c r="IC330" s="462"/>
      <c r="ID330" s="456"/>
      <c r="IE330" s="440"/>
      <c r="IF330" s="440"/>
      <c r="IG330" s="483"/>
      <c r="IH330" s="321"/>
      <c r="II330" s="414"/>
      <c r="IJ330" s="412"/>
      <c r="IK330" s="413"/>
      <c r="IL330" s="431"/>
      <c r="IM330" s="412"/>
      <c r="IN330" s="412"/>
      <c r="IO330" s="413"/>
      <c r="IP330" s="431"/>
      <c r="IQ330" s="413"/>
      <c r="IR330" s="431"/>
      <c r="IS330" s="431"/>
      <c r="IT330" s="414"/>
      <c r="IU330" s="321"/>
      <c r="IV330" s="564"/>
    </row>
    <row r="331" spans="1:256" s="326" customFormat="1" ht="8.25" customHeight="1">
      <c r="A331" s="483"/>
      <c r="B331" s="321"/>
      <c r="C331"/>
      <c r="D331"/>
      <c r="E331"/>
      <c r="F331"/>
      <c r="G331"/>
      <c r="H331"/>
      <c r="I331"/>
      <c r="J331"/>
      <c r="K331"/>
      <c r="L331"/>
      <c r="M331"/>
      <c r="N331"/>
      <c r="O331"/>
      <c r="P331" s="564"/>
      <c r="Q331" s="483"/>
      <c r="R331" s="321"/>
      <c r="S331"/>
      <c r="T331"/>
      <c r="U331"/>
      <c r="V331"/>
      <c r="W331"/>
      <c r="X331"/>
      <c r="Y331"/>
      <c r="Z331"/>
      <c r="AA331"/>
      <c r="AB331"/>
      <c r="AC331"/>
      <c r="AD331"/>
      <c r="AE331" s="321"/>
      <c r="AF331" s="564"/>
      <c r="AG331" s="483"/>
      <c r="AH331" s="321"/>
      <c r="AI331" s="321"/>
      <c r="AJ331" s="321"/>
      <c r="AK331" s="321"/>
      <c r="AL331" s="432"/>
      <c r="AM331" s="421"/>
      <c r="AN331" s="321"/>
      <c r="AO331" s="439"/>
      <c r="AP331" s="421"/>
      <c r="AQ331" s="321"/>
      <c r="AR331" s="321"/>
      <c r="AS331" s="321"/>
      <c r="AT331" s="321"/>
      <c r="AU331" s="321"/>
      <c r="AV331" s="321"/>
      <c r="AW331" s="1236"/>
      <c r="AX331" s="426"/>
      <c r="AY331" s="328"/>
      <c r="AZ331" s="328"/>
      <c r="BD331" s="440"/>
      <c r="BK331" s="433"/>
      <c r="BL331" s="328"/>
      <c r="BM331" s="1236"/>
      <c r="BN331" s="426"/>
      <c r="BO331" s="328"/>
      <c r="BP331" s="328"/>
      <c r="BT331" s="440"/>
      <c r="CA331" s="453"/>
      <c r="CB331" s="1237"/>
      <c r="CC331" s="1236"/>
      <c r="CD331" s="426"/>
      <c r="CE331" s="328"/>
      <c r="CF331" s="328"/>
      <c r="CJ331" s="440"/>
      <c r="CQ331" s="453"/>
      <c r="CR331" s="1237"/>
      <c r="CS331" s="1236"/>
      <c r="CT331" s="328"/>
      <c r="CU331" s="328"/>
      <c r="CV331" s="328"/>
      <c r="DA331" s="422"/>
      <c r="DH331" s="1237"/>
      <c r="DI331" s="483"/>
      <c r="DJ331"/>
      <c r="DK331"/>
      <c r="DL331"/>
      <c r="DM331"/>
      <c r="DN331"/>
      <c r="DO331"/>
      <c r="DP331"/>
      <c r="DQ331"/>
      <c r="DR331"/>
      <c r="DS331"/>
      <c r="DT331"/>
      <c r="DU331"/>
      <c r="DV331"/>
      <c r="DW331"/>
      <c r="DX331"/>
      <c r="DY331" s="483">
        <v>12</v>
      </c>
      <c r="DZ331"/>
      <c r="EA331"/>
      <c r="EB331"/>
      <c r="EC331"/>
      <c r="ED331"/>
      <c r="EE331"/>
      <c r="EF331"/>
      <c r="EG331"/>
      <c r="EH331"/>
      <c r="EI331"/>
      <c r="EJ331"/>
      <c r="EK331"/>
      <c r="EL331"/>
      <c r="EM331"/>
      <c r="EN331"/>
      <c r="EO331" s="483"/>
      <c r="EP331"/>
      <c r="EQ331"/>
      <c r="ER331"/>
      <c r="ES331"/>
      <c r="ET331"/>
      <c r="EU331"/>
      <c r="EV331"/>
      <c r="EW331"/>
      <c r="EX331"/>
      <c r="EY331"/>
      <c r="EZ331"/>
      <c r="FA331"/>
      <c r="FB331"/>
      <c r="FC331"/>
      <c r="FD331"/>
      <c r="FE331" s="483">
        <v>8</v>
      </c>
      <c r="FF331" s="321"/>
      <c r="FH331" s="321"/>
      <c r="FI331" s="321"/>
      <c r="FJ331" s="321"/>
      <c r="FK331" s="321"/>
      <c r="FL331" s="321"/>
      <c r="FM331" s="321"/>
      <c r="FN331" s="321"/>
      <c r="FO331" s="321"/>
      <c r="FP331" s="321"/>
      <c r="FS331" s="321"/>
      <c r="FT331" s="564"/>
      <c r="FU331" s="483">
        <v>8</v>
      </c>
      <c r="FV331" s="321"/>
      <c r="FX331" s="321"/>
      <c r="FY331" s="321"/>
      <c r="FZ331" s="321"/>
      <c r="GA331" s="321"/>
      <c r="GB331" s="321"/>
      <c r="GC331" s="321"/>
      <c r="GD331" s="321"/>
      <c r="GE331" s="321"/>
      <c r="GF331" s="321"/>
      <c r="GI331" s="321"/>
      <c r="GJ331" s="564"/>
      <c r="GK331" s="413"/>
      <c r="GL331" s="413"/>
      <c r="GM331" s="413"/>
      <c r="GN331" s="413"/>
      <c r="GO331" s="413"/>
      <c r="GP331" s="413"/>
      <c r="GQ331" s="413"/>
      <c r="GR331" s="413"/>
      <c r="GS331" s="413"/>
      <c r="GT331" s="413"/>
      <c r="GU331" s="413"/>
      <c r="GV331" s="413"/>
      <c r="GW331" s="413"/>
      <c r="GX331" s="413"/>
      <c r="GY331" s="413"/>
      <c r="GZ331" s="413"/>
      <c r="HA331" s="413"/>
      <c r="HB331" s="413"/>
      <c r="HC331" s="413"/>
      <c r="HD331" s="413"/>
      <c r="HE331" s="413"/>
      <c r="HF331" s="413"/>
      <c r="HG331" s="413"/>
      <c r="HH331" s="413"/>
      <c r="HI331" s="413"/>
      <c r="HJ331" s="413"/>
      <c r="HK331" s="413"/>
      <c r="HL331" s="413"/>
      <c r="HM331" s="413"/>
      <c r="HN331" s="413"/>
      <c r="HO331" s="413"/>
      <c r="HP331" s="413"/>
      <c r="HQ331" s="459"/>
      <c r="HR331" s="453"/>
      <c r="HS331" s="456"/>
      <c r="HT331" s="459"/>
      <c r="HU331" s="453"/>
      <c r="HV331" s="446"/>
      <c r="HW331" s="446"/>
      <c r="HX331" s="440"/>
      <c r="HY331" s="459"/>
      <c r="HZ331" s="459"/>
      <c r="IA331" s="453"/>
      <c r="IB331" s="446"/>
      <c r="IC331" s="440"/>
      <c r="ID331" s="440"/>
      <c r="IE331" s="440"/>
      <c r="IF331" s="440"/>
      <c r="IG331" s="483"/>
      <c r="IH331" s="321"/>
      <c r="II331" s="414"/>
      <c r="IJ331" s="412"/>
      <c r="IK331" s="431"/>
      <c r="IL331" s="412"/>
      <c r="IM331" s="413"/>
      <c r="IN331" s="412"/>
      <c r="IO331" s="413"/>
      <c r="IP331" s="413"/>
      <c r="IQ331" s="431"/>
      <c r="IR331" s="431"/>
      <c r="IS331" s="431"/>
      <c r="IT331" s="414"/>
      <c r="IU331" s="321"/>
      <c r="IV331" s="564"/>
    </row>
    <row r="332" spans="1:256" s="326" customFormat="1" ht="8.25" customHeight="1">
      <c r="A332" s="483"/>
      <c r="B332" s="321"/>
      <c r="C332"/>
      <c r="D332"/>
      <c r="E332"/>
      <c r="F332"/>
      <c r="G332"/>
      <c r="H332"/>
      <c r="I332"/>
      <c r="J332"/>
      <c r="K332"/>
      <c r="L332"/>
      <c r="M332"/>
      <c r="N332"/>
      <c r="O332"/>
      <c r="P332" s="564"/>
      <c r="Q332" s="483"/>
      <c r="R332" s="321"/>
      <c r="S332"/>
      <c r="T332"/>
      <c r="U332"/>
      <c r="V332"/>
      <c r="W332"/>
      <c r="X332"/>
      <c r="Y332"/>
      <c r="Z332"/>
      <c r="AA332"/>
      <c r="AB332"/>
      <c r="AC332"/>
      <c r="AD332"/>
      <c r="AE332" s="321"/>
      <c r="AF332" s="564"/>
      <c r="AG332" s="483"/>
      <c r="AH332" s="321"/>
      <c r="AI332" s="321"/>
      <c r="AJ332" s="321"/>
      <c r="AK332" s="432"/>
      <c r="AL332" s="432"/>
      <c r="AM332" s="432"/>
      <c r="AN332" s="432"/>
      <c r="AO332" s="432"/>
      <c r="AP332" s="432"/>
      <c r="AQ332" s="432"/>
      <c r="AR332" s="432"/>
      <c r="AS332" s="414"/>
      <c r="AT332" s="321"/>
      <c r="AU332" s="321"/>
      <c r="AV332" s="321"/>
      <c r="AW332" s="1236"/>
      <c r="AX332" s="328"/>
      <c r="AY332" s="328"/>
      <c r="AZ332" s="328"/>
      <c r="BK332" s="433"/>
      <c r="BL332" s="422"/>
      <c r="BM332" s="1236"/>
      <c r="BN332" s="328"/>
      <c r="BO332" s="328"/>
      <c r="BP332" s="328"/>
      <c r="CA332" s="433"/>
      <c r="CB332" s="422"/>
      <c r="CC332" s="1236"/>
      <c r="CD332" s="328"/>
      <c r="CE332" s="328"/>
      <c r="CF332" s="328"/>
      <c r="CQ332" s="433"/>
      <c r="CR332" s="433"/>
      <c r="CS332" s="1236"/>
      <c r="CT332" s="328"/>
      <c r="CU332" s="328"/>
      <c r="CV332" s="328"/>
      <c r="DG332" s="433"/>
      <c r="DI332" s="483"/>
      <c r="DJ332"/>
      <c r="DK332"/>
      <c r="DL332"/>
      <c r="DM332"/>
      <c r="DN332"/>
      <c r="DO332"/>
      <c r="DP332"/>
      <c r="DQ332"/>
      <c r="DR332"/>
      <c r="DS332"/>
      <c r="DT332"/>
      <c r="DU332"/>
      <c r="DV332"/>
      <c r="DW332"/>
      <c r="DX332"/>
      <c r="DY332" s="483"/>
      <c r="DZ332"/>
      <c r="EA332"/>
      <c r="EB332"/>
      <c r="EC332"/>
      <c r="ED332"/>
      <c r="EE332"/>
      <c r="EF332"/>
      <c r="EG332"/>
      <c r="EH332"/>
      <c r="EI332"/>
      <c r="EJ332"/>
      <c r="EK332"/>
      <c r="EL332"/>
      <c r="EM332"/>
      <c r="EN332"/>
      <c r="EO332" s="483"/>
      <c r="EP332"/>
      <c r="EQ332"/>
      <c r="ER332"/>
      <c r="ES332"/>
      <c r="ET332"/>
      <c r="EU332"/>
      <c r="EV332"/>
      <c r="EW332"/>
      <c r="EX332"/>
      <c r="EY332"/>
      <c r="EZ332"/>
      <c r="FA332"/>
      <c r="FB332"/>
      <c r="FC332"/>
      <c r="FD332"/>
      <c r="FE332" s="483"/>
      <c r="FF332" s="321"/>
      <c r="FH332" s="321"/>
      <c r="FI332" s="321"/>
      <c r="FJ332" s="321"/>
      <c r="FK332" s="321"/>
      <c r="FL332" s="321"/>
      <c r="FM332" s="321"/>
      <c r="FN332" s="321"/>
      <c r="FO332" s="321"/>
      <c r="FP332" s="321"/>
      <c r="FS332" s="321"/>
      <c r="FT332" s="564"/>
      <c r="FU332" s="483"/>
      <c r="FV332" s="321"/>
      <c r="FX332" s="321"/>
      <c r="FY332" s="321"/>
      <c r="FZ332" s="321"/>
      <c r="GA332" s="321"/>
      <c r="GB332" s="321"/>
      <c r="GC332" s="321"/>
      <c r="GD332" s="321"/>
      <c r="GE332" s="321"/>
      <c r="GF332" s="321"/>
      <c r="GI332" s="321"/>
      <c r="GJ332" s="564"/>
      <c r="GK332" s="413"/>
      <c r="GL332" s="414"/>
      <c r="GM332" s="414"/>
      <c r="GN332" s="414"/>
      <c r="GO332" s="414"/>
      <c r="GP332" s="414"/>
      <c r="GQ332" s="414"/>
      <c r="GR332" s="414"/>
      <c r="GS332" s="414"/>
      <c r="GT332" s="414"/>
      <c r="GU332" s="414"/>
      <c r="GV332" s="414"/>
      <c r="GW332" s="414"/>
      <c r="GX332" s="414"/>
      <c r="GY332" s="414"/>
      <c r="GZ332" s="413"/>
      <c r="HA332" s="413"/>
      <c r="HB332" s="414"/>
      <c r="HC332" s="414"/>
      <c r="HD332" s="414"/>
      <c r="HE332" s="414"/>
      <c r="HF332" s="414"/>
      <c r="HG332" s="414"/>
      <c r="HH332" s="414"/>
      <c r="HI332" s="414"/>
      <c r="HJ332" s="414"/>
      <c r="HK332" s="414"/>
      <c r="HL332" s="414"/>
      <c r="HM332" s="414"/>
      <c r="HN332" s="414"/>
      <c r="HO332" s="414"/>
      <c r="HP332" s="413"/>
      <c r="HQ332" s="453"/>
      <c r="HR332" s="453"/>
      <c r="HS332" s="453"/>
      <c r="HT332" s="453"/>
      <c r="HU332" s="453"/>
      <c r="HV332" s="440"/>
      <c r="HW332" s="440"/>
      <c r="HX332" s="440"/>
      <c r="HY332" s="453"/>
      <c r="HZ332" s="453"/>
      <c r="IA332" s="453"/>
      <c r="IB332" s="440"/>
      <c r="IC332" s="433"/>
      <c r="ID332" s="433"/>
      <c r="IE332" s="440"/>
      <c r="IF332" s="440"/>
      <c r="IG332" s="483"/>
      <c r="IH332" s="321"/>
      <c r="II332" s="414"/>
      <c r="IJ332" s="412"/>
      <c r="IK332" s="412"/>
      <c r="IL332" s="412"/>
      <c r="IM332" s="413"/>
      <c r="IN332" s="413"/>
      <c r="IO332" s="413"/>
      <c r="IP332" s="412"/>
      <c r="IQ332" s="431"/>
      <c r="IR332" s="431"/>
      <c r="IS332" s="431"/>
      <c r="IT332" s="414"/>
      <c r="IU332" s="321"/>
      <c r="IV332" s="564"/>
    </row>
    <row r="333" spans="1:256" s="326" customFormat="1" ht="8.25" customHeight="1">
      <c r="A333" s="1308">
        <v>4</v>
      </c>
      <c r="B333" s="321"/>
      <c r="C333"/>
      <c r="D333"/>
      <c r="E333"/>
      <c r="F333"/>
      <c r="G333"/>
      <c r="H333"/>
      <c r="I333"/>
      <c r="J333"/>
      <c r="K333"/>
      <c r="L333"/>
      <c r="M333"/>
      <c r="N333"/>
      <c r="O333"/>
      <c r="P333" s="564"/>
      <c r="Q333" s="1308"/>
      <c r="R333" s="321"/>
      <c r="S333"/>
      <c r="T333"/>
      <c r="U333"/>
      <c r="V333"/>
      <c r="W333"/>
      <c r="X333"/>
      <c r="Y333"/>
      <c r="Z333"/>
      <c r="AA333"/>
      <c r="AB333"/>
      <c r="AC333"/>
      <c r="AD333"/>
      <c r="AE333" s="321"/>
      <c r="AF333" s="564"/>
      <c r="AG333" s="1308"/>
      <c r="AH333" s="321"/>
      <c r="AI333" s="321"/>
      <c r="AJ333" s="321"/>
      <c r="AK333" s="432"/>
      <c r="AL333" s="439"/>
      <c r="AM333" s="439"/>
      <c r="AN333" s="439"/>
      <c r="AO333" s="439"/>
      <c r="AP333" s="459"/>
      <c r="AQ333" s="439"/>
      <c r="AR333" s="462"/>
      <c r="AS333" s="414"/>
      <c r="AT333" s="321"/>
      <c r="AU333" s="321"/>
      <c r="AV333" s="321"/>
      <c r="AW333" s="1236"/>
      <c r="AX333" s="328"/>
      <c r="AY333" s="328"/>
      <c r="AZ333" s="328"/>
      <c r="BA333" s="328"/>
      <c r="BB333" s="328"/>
      <c r="BC333" s="328"/>
      <c r="BD333" s="328"/>
      <c r="BE333" s="328"/>
      <c r="BF333" s="433"/>
      <c r="BG333" s="328"/>
      <c r="BH333" s="328"/>
      <c r="BI333" s="328"/>
      <c r="BK333" s="328"/>
      <c r="BL333" s="328"/>
      <c r="BM333" s="1236"/>
      <c r="BN333" s="328"/>
      <c r="BO333" s="328"/>
      <c r="BP333" s="328"/>
      <c r="BQ333" s="328"/>
      <c r="BR333" s="328"/>
      <c r="BS333" s="328"/>
      <c r="BT333" s="328"/>
      <c r="BU333" s="328"/>
      <c r="BV333" s="433"/>
      <c r="BW333" s="328"/>
      <c r="BX333" s="328"/>
      <c r="BY333" s="328"/>
      <c r="CA333" s="433"/>
      <c r="CB333" s="422"/>
      <c r="CC333" s="1236"/>
      <c r="CD333" s="328"/>
      <c r="CE333" s="328"/>
      <c r="CF333" s="328"/>
      <c r="CG333" s="328"/>
      <c r="CH333" s="328"/>
      <c r="CI333" s="328"/>
      <c r="CJ333" s="328"/>
      <c r="CK333" s="328"/>
      <c r="CL333" s="433"/>
      <c r="CM333" s="328"/>
      <c r="CN333" s="328"/>
      <c r="CO333" s="328"/>
      <c r="CQ333" s="433"/>
      <c r="CR333" s="422"/>
      <c r="CS333" s="1236"/>
      <c r="CT333" s="328"/>
      <c r="CU333" s="328"/>
      <c r="CV333" s="328"/>
      <c r="CW333" s="328"/>
      <c r="CX333" s="328"/>
      <c r="CY333" s="328"/>
      <c r="CZ333" s="328"/>
      <c r="DA333" s="328"/>
      <c r="DB333" s="328"/>
      <c r="DC333" s="328"/>
      <c r="DD333" s="328"/>
      <c r="DE333" s="328"/>
      <c r="DG333" s="422"/>
      <c r="DH333" s="422"/>
      <c r="DI333" s="1308">
        <v>10</v>
      </c>
      <c r="DJ333"/>
      <c r="DK333"/>
      <c r="DL333"/>
      <c r="DM333"/>
      <c r="DN333"/>
      <c r="DO333"/>
      <c r="DP333"/>
      <c r="DQ333"/>
      <c r="DR333"/>
      <c r="DS333"/>
      <c r="DT333"/>
      <c r="DU333"/>
      <c r="DV333"/>
      <c r="DW333"/>
      <c r="DX333"/>
      <c r="DY333" s="1308">
        <v>6</v>
      </c>
      <c r="DZ333"/>
      <c r="EA333"/>
      <c r="EB333"/>
      <c r="EC333"/>
      <c r="ED333"/>
      <c r="EE333"/>
      <c r="EF333"/>
      <c r="EG333"/>
      <c r="EH333"/>
      <c r="EI333"/>
      <c r="EJ333"/>
      <c r="EK333"/>
      <c r="EL333"/>
      <c r="EM333"/>
      <c r="EN333"/>
      <c r="EO333" s="1308">
        <v>6</v>
      </c>
      <c r="EP333"/>
      <c r="EQ333"/>
      <c r="ER333"/>
      <c r="ES333"/>
      <c r="ET333"/>
      <c r="EU333"/>
      <c r="EV333"/>
      <c r="EW333"/>
      <c r="EX333"/>
      <c r="EY333"/>
      <c r="EZ333"/>
      <c r="FA333"/>
      <c r="FB333"/>
      <c r="FC333"/>
      <c r="FD333"/>
      <c r="FE333" s="483">
        <v>10</v>
      </c>
      <c r="FF333" s="321"/>
      <c r="FH333" s="321"/>
      <c r="FI333" s="321"/>
      <c r="FJ333" s="321"/>
      <c r="FK333" s="321"/>
      <c r="FL333" s="321"/>
      <c r="FM333" s="321"/>
      <c r="FN333" s="321"/>
      <c r="FO333" s="321"/>
      <c r="FP333" s="321"/>
      <c r="FS333" s="321"/>
      <c r="FT333" s="564"/>
      <c r="FU333" s="321">
        <v>10</v>
      </c>
      <c r="FV333" s="321"/>
      <c r="FX333" s="321"/>
      <c r="FY333" s="321"/>
      <c r="FZ333" s="321"/>
      <c r="GA333" s="321"/>
      <c r="GB333" s="321"/>
      <c r="GC333" s="321"/>
      <c r="GD333" s="321"/>
      <c r="GE333" s="321"/>
      <c r="GF333" s="321"/>
      <c r="GI333" s="321"/>
      <c r="GJ333" s="564"/>
      <c r="GK333" s="413"/>
      <c r="GL333" s="441"/>
      <c r="GM333" s="421"/>
      <c r="GN333" s="441"/>
      <c r="GO333" s="421"/>
      <c r="GP333" s="441"/>
      <c r="GQ333" s="421"/>
      <c r="GR333" s="441"/>
      <c r="GS333" s="421"/>
      <c r="GT333" s="441"/>
      <c r="GU333" s="421"/>
      <c r="GV333" s="441"/>
      <c r="GW333" s="421"/>
      <c r="GX333" s="441"/>
      <c r="GY333" s="421"/>
      <c r="GZ333" s="413"/>
      <c r="HA333" s="413"/>
      <c r="HB333" s="423"/>
      <c r="HC333" s="441"/>
      <c r="HD333" s="421"/>
      <c r="HE333" s="441"/>
      <c r="HF333" s="421"/>
      <c r="HG333" s="441"/>
      <c r="HH333" s="421"/>
      <c r="HI333" s="441"/>
      <c r="HJ333" s="421"/>
      <c r="HK333" s="441"/>
      <c r="HL333" s="421"/>
      <c r="HM333" s="441"/>
      <c r="HN333" s="421"/>
      <c r="HO333" s="441"/>
      <c r="HP333" s="413"/>
      <c r="HQ333" s="453"/>
      <c r="HR333" s="453"/>
      <c r="HS333" s="453"/>
      <c r="HT333" s="440"/>
      <c r="HU333" s="453"/>
      <c r="HV333" s="440"/>
      <c r="HW333" s="449"/>
      <c r="HX333" s="440"/>
      <c r="HY333" s="453"/>
      <c r="HZ333" s="449"/>
      <c r="IA333" s="453"/>
      <c r="IB333" s="440"/>
      <c r="IC333" s="433"/>
      <c r="ID333" s="449"/>
      <c r="IE333" s="440"/>
      <c r="IF333" s="440"/>
      <c r="IG333" s="1308"/>
      <c r="IH333" s="321"/>
      <c r="II333" s="414"/>
      <c r="IJ333" s="412"/>
      <c r="IK333" s="413"/>
      <c r="IL333" s="412"/>
      <c r="IM333" s="413"/>
      <c r="IN333" s="431"/>
      <c r="IO333" s="413"/>
      <c r="IP333" s="413"/>
      <c r="IQ333" s="412"/>
      <c r="IR333" s="431"/>
      <c r="IS333" s="431"/>
      <c r="IT333" s="414"/>
      <c r="IU333" s="321"/>
      <c r="IV333" s="564"/>
    </row>
    <row r="334" spans="1:256" s="326" customFormat="1" ht="8.25" customHeight="1">
      <c r="A334" s="1308"/>
      <c r="B334" s="321"/>
      <c r="C334"/>
      <c r="D334"/>
      <c r="E334"/>
      <c r="F334"/>
      <c r="G334"/>
      <c r="H334"/>
      <c r="I334"/>
      <c r="J334"/>
      <c r="K334"/>
      <c r="L334"/>
      <c r="M334"/>
      <c r="N334"/>
      <c r="O334"/>
      <c r="P334" s="1310"/>
      <c r="Q334" s="1308"/>
      <c r="R334"/>
      <c r="S334"/>
      <c r="T334"/>
      <c r="U334"/>
      <c r="V334"/>
      <c r="W334"/>
      <c r="X334"/>
      <c r="Y334"/>
      <c r="Z334"/>
      <c r="AA334"/>
      <c r="AB334"/>
      <c r="AC334"/>
      <c r="AD334"/>
      <c r="AE334"/>
      <c r="AF334"/>
      <c r="AG334" s="1308"/>
      <c r="AH334" s="321"/>
      <c r="AI334" s="321"/>
      <c r="AJ334" s="321"/>
      <c r="AK334" s="432"/>
      <c r="AL334" s="411"/>
      <c r="AM334" s="439"/>
      <c r="AN334" s="439"/>
      <c r="AO334" s="439"/>
      <c r="AP334" s="439"/>
      <c r="AQ334" s="411"/>
      <c r="AR334" s="439"/>
      <c r="AS334" s="414"/>
      <c r="AT334" s="321"/>
      <c r="AU334" s="321"/>
      <c r="AV334" s="321"/>
      <c r="AW334" s="1236"/>
      <c r="AX334" s="328"/>
      <c r="AY334" s="328"/>
      <c r="AZ334" s="433"/>
      <c r="BA334" s="433"/>
      <c r="BB334" s="328"/>
      <c r="BC334" s="328"/>
      <c r="BD334" s="328"/>
      <c r="BE334" s="433"/>
      <c r="BF334" s="433"/>
      <c r="BG334" s="422"/>
      <c r="BH334" s="328"/>
      <c r="BI334" s="328"/>
      <c r="BL334" s="1237"/>
      <c r="BM334" s="1236"/>
      <c r="BN334" s="328"/>
      <c r="BO334" s="328"/>
      <c r="BP334" s="433"/>
      <c r="BQ334" s="433"/>
      <c r="BR334" s="328"/>
      <c r="BS334" s="328"/>
      <c r="BT334" s="328"/>
      <c r="BU334" s="433"/>
      <c r="BV334" s="433"/>
      <c r="BW334" s="422"/>
      <c r="BX334" s="328"/>
      <c r="BY334" s="328"/>
      <c r="CB334" s="422"/>
      <c r="CC334" s="1236"/>
      <c r="CD334" s="328"/>
      <c r="CE334" s="328"/>
      <c r="CF334" s="433"/>
      <c r="CG334" s="433"/>
      <c r="CH334" s="328"/>
      <c r="CI334" s="328"/>
      <c r="CJ334" s="328"/>
      <c r="CK334" s="433"/>
      <c r="CL334" s="433"/>
      <c r="CM334" s="422"/>
      <c r="CN334" s="328"/>
      <c r="CO334" s="328"/>
      <c r="CR334" s="422"/>
      <c r="CS334" s="1236"/>
      <c r="CT334" s="328"/>
      <c r="CU334" s="328"/>
      <c r="CV334" s="433"/>
      <c r="CW334" s="426"/>
      <c r="CX334" s="328"/>
      <c r="CY334" s="328"/>
      <c r="CZ334" s="328"/>
      <c r="DA334" s="328"/>
      <c r="DB334" s="328"/>
      <c r="DC334" s="422"/>
      <c r="DD334" s="328"/>
      <c r="DE334" s="328"/>
      <c r="DI334" s="1308"/>
      <c r="DJ334"/>
      <c r="DK334"/>
      <c r="DL334"/>
      <c r="DM334"/>
      <c r="DN334"/>
      <c r="DO334"/>
      <c r="DP334"/>
      <c r="DQ334"/>
      <c r="DR334"/>
      <c r="DS334"/>
      <c r="DT334"/>
      <c r="DU334"/>
      <c r="DV334"/>
      <c r="DW334"/>
      <c r="DX334"/>
      <c r="DY334" s="1308">
        <v>20</v>
      </c>
      <c r="DZ334"/>
      <c r="EA334"/>
      <c r="EB334"/>
      <c r="EC334"/>
      <c r="ED334"/>
      <c r="EE334"/>
      <c r="EF334"/>
      <c r="EG334"/>
      <c r="EH334"/>
      <c r="EI334"/>
      <c r="EJ334"/>
      <c r="EK334"/>
      <c r="EL334"/>
      <c r="EM334"/>
      <c r="EN334"/>
      <c r="EO334" s="1308"/>
      <c r="EP334"/>
      <c r="EQ334"/>
      <c r="ER334"/>
      <c r="ES334"/>
      <c r="ET334"/>
      <c r="EU334"/>
      <c r="EV334"/>
      <c r="EW334"/>
      <c r="EX334"/>
      <c r="EY334"/>
      <c r="EZ334"/>
      <c r="FA334"/>
      <c r="FB334"/>
      <c r="FC334"/>
      <c r="FD334"/>
      <c r="FE334" s="483"/>
      <c r="FF334" s="321"/>
      <c r="FH334" s="321"/>
      <c r="FI334" s="321"/>
      <c r="FJ334" s="321"/>
      <c r="FK334" s="321"/>
      <c r="FL334" s="321"/>
      <c r="FM334" s="321"/>
      <c r="FN334" s="321"/>
      <c r="FO334" s="321"/>
      <c r="FP334" s="321"/>
      <c r="FS334" s="321"/>
      <c r="FT334" s="564"/>
      <c r="FU334" s="321">
        <v>48</v>
      </c>
      <c r="FV334" s="321"/>
      <c r="FX334" s="321"/>
      <c r="FY334" s="321"/>
      <c r="FZ334" s="321"/>
      <c r="GA334" s="321"/>
      <c r="GB334" s="321"/>
      <c r="GC334" s="321"/>
      <c r="GD334" s="321"/>
      <c r="GE334" s="321"/>
      <c r="GF334" s="321"/>
      <c r="GI334" s="321"/>
      <c r="GJ334" s="564"/>
      <c r="GK334" s="413"/>
      <c r="GL334" s="414"/>
      <c r="GM334" s="414"/>
      <c r="GN334" s="414"/>
      <c r="GO334" s="414"/>
      <c r="GP334" s="414"/>
      <c r="GQ334" s="414"/>
      <c r="GR334" s="414"/>
      <c r="GS334" s="414"/>
      <c r="GT334" s="414"/>
      <c r="GU334" s="414"/>
      <c r="GV334" s="414"/>
      <c r="GW334" s="414"/>
      <c r="GX334" s="414"/>
      <c r="GY334" s="414"/>
      <c r="GZ334" s="459"/>
      <c r="HA334" s="413">
        <v>25</v>
      </c>
      <c r="HB334" s="414"/>
      <c r="HC334" s="414"/>
      <c r="HD334" s="414"/>
      <c r="HE334" s="414"/>
      <c r="HF334" s="414"/>
      <c r="HG334" s="414"/>
      <c r="HH334" s="414"/>
      <c r="HI334" s="414"/>
      <c r="HJ334" s="414"/>
      <c r="HK334" s="414"/>
      <c r="HL334" s="414"/>
      <c r="HM334" s="414"/>
      <c r="HN334" s="414"/>
      <c r="HO334" s="414"/>
      <c r="HP334" s="426"/>
      <c r="HQ334" s="453">
        <v>52</v>
      </c>
      <c r="HR334" s="440"/>
      <c r="HS334" s="453"/>
      <c r="HT334" s="446"/>
      <c r="HU334" s="453"/>
      <c r="HV334" s="440"/>
      <c r="HW334" s="456"/>
      <c r="HX334" s="440"/>
      <c r="HY334" s="453"/>
      <c r="HZ334" s="456"/>
      <c r="IA334" s="453"/>
      <c r="IB334" s="440"/>
      <c r="IC334" s="433"/>
      <c r="ID334" s="456"/>
      <c r="IE334" s="440"/>
      <c r="IF334" s="440"/>
      <c r="IG334" s="1308">
        <v>32</v>
      </c>
      <c r="IH334" s="321"/>
      <c r="II334" s="414"/>
      <c r="IJ334" s="412"/>
      <c r="IK334" s="412"/>
      <c r="IL334" s="413"/>
      <c r="IM334" s="413"/>
      <c r="IN334" s="431"/>
      <c r="IO334" s="431"/>
      <c r="IP334" s="413"/>
      <c r="IQ334" s="413"/>
      <c r="IR334" s="412"/>
      <c r="IS334" s="431"/>
      <c r="IT334" s="414"/>
      <c r="IU334" s="321"/>
      <c r="IV334" s="1310"/>
    </row>
    <row r="335" spans="1:256" s="326" customFormat="1" ht="8.25" customHeight="1">
      <c r="A335" s="1308"/>
      <c r="B335" s="321"/>
      <c r="C335"/>
      <c r="D335"/>
      <c r="E335"/>
      <c r="F335"/>
      <c r="G335"/>
      <c r="H335"/>
      <c r="I335"/>
      <c r="J335"/>
      <c r="K335"/>
      <c r="L335"/>
      <c r="M335"/>
      <c r="N335"/>
      <c r="O335"/>
      <c r="P335" s="1310"/>
      <c r="Q335" s="483"/>
      <c r="R335"/>
      <c r="S335"/>
      <c r="T335"/>
      <c r="U335"/>
      <c r="V335"/>
      <c r="W335"/>
      <c r="X335"/>
      <c r="Y335"/>
      <c r="Z335"/>
      <c r="AA335"/>
      <c r="AB335"/>
      <c r="AC335"/>
      <c r="AD335"/>
      <c r="AE335"/>
      <c r="AF335"/>
      <c r="AG335" s="483"/>
      <c r="AH335" s="321"/>
      <c r="AI335" s="321"/>
      <c r="AJ335" s="321"/>
      <c r="AK335" s="432"/>
      <c r="AL335" s="439"/>
      <c r="AM335" s="411"/>
      <c r="AN335" s="439"/>
      <c r="AO335" s="439"/>
      <c r="AP335" s="439"/>
      <c r="AQ335" s="439"/>
      <c r="AR335" s="411"/>
      <c r="AS335" s="414"/>
      <c r="AT335" s="321"/>
      <c r="AU335" s="321"/>
      <c r="AV335" s="321"/>
      <c r="AW335" s="1236"/>
      <c r="AX335" s="328"/>
      <c r="AY335" s="328"/>
      <c r="AZ335" s="453"/>
      <c r="BA335" s="422"/>
      <c r="BB335" s="440"/>
      <c r="BC335" s="426"/>
      <c r="BD335" s="433"/>
      <c r="BE335" s="440"/>
      <c r="BF335" s="453"/>
      <c r="BG335" s="422"/>
      <c r="BH335" s="328"/>
      <c r="BI335" s="328"/>
      <c r="BJ335" s="440"/>
      <c r="BL335" s="1237"/>
      <c r="BM335" s="1236"/>
      <c r="BN335" s="328"/>
      <c r="BO335" s="328"/>
      <c r="BP335" s="453"/>
      <c r="BQ335" s="422"/>
      <c r="BR335" s="440"/>
      <c r="BS335" s="328"/>
      <c r="BT335" s="433"/>
      <c r="BU335" s="453"/>
      <c r="BV335" s="440"/>
      <c r="BW335" s="422"/>
      <c r="BX335" s="328"/>
      <c r="BY335" s="328"/>
      <c r="BZ335" s="440"/>
      <c r="CB335" s="1237"/>
      <c r="CC335" s="1236"/>
      <c r="CD335" s="328"/>
      <c r="CE335" s="328"/>
      <c r="CF335" s="446"/>
      <c r="CG335" s="422"/>
      <c r="CH335" s="328"/>
      <c r="CI335" s="328"/>
      <c r="CJ335" s="433"/>
      <c r="CK335" s="446"/>
      <c r="CL335" s="440"/>
      <c r="CM335" s="422"/>
      <c r="CN335" s="328"/>
      <c r="CO335" s="328"/>
      <c r="CP335" s="440"/>
      <c r="CR335" s="422"/>
      <c r="CS335" s="1236"/>
      <c r="CT335" s="328"/>
      <c r="CU335" s="328"/>
      <c r="CV335" s="426"/>
      <c r="CW335" s="422"/>
      <c r="CX335" s="422"/>
      <c r="CY335" s="328"/>
      <c r="CZ335" s="328"/>
      <c r="DA335" s="328"/>
      <c r="DB335" s="433"/>
      <c r="DC335" s="422"/>
      <c r="DD335" s="328"/>
      <c r="DE335" s="328"/>
      <c r="DI335" s="321"/>
      <c r="DJ335"/>
      <c r="DK335"/>
      <c r="DL335"/>
      <c r="DM335"/>
      <c r="DN335"/>
      <c r="DO335"/>
      <c r="DP335"/>
      <c r="DQ335"/>
      <c r="DR335"/>
      <c r="DS335"/>
      <c r="DT335"/>
      <c r="DU335"/>
      <c r="DV335"/>
      <c r="DW335"/>
      <c r="DX335"/>
      <c r="DY335" s="483">
        <v>64</v>
      </c>
      <c r="DZ335"/>
      <c r="EA335"/>
      <c r="EB335"/>
      <c r="EC335"/>
      <c r="ED335"/>
      <c r="EE335"/>
      <c r="EF335"/>
      <c r="EG335"/>
      <c r="EH335"/>
      <c r="EI335"/>
      <c r="EJ335"/>
      <c r="EK335"/>
      <c r="EL335"/>
      <c r="EM335"/>
      <c r="EN335"/>
      <c r="EO335" s="483"/>
      <c r="EP335"/>
      <c r="EQ335"/>
      <c r="ER335"/>
      <c r="ES335"/>
      <c r="ET335"/>
      <c r="EU335"/>
      <c r="EV335"/>
      <c r="EW335"/>
      <c r="EX335"/>
      <c r="EY335"/>
      <c r="EZ335"/>
      <c r="FA335"/>
      <c r="FB335"/>
      <c r="FC335"/>
      <c r="FD335"/>
      <c r="FE335" s="483"/>
      <c r="FF335" s="321"/>
      <c r="FH335" s="321"/>
      <c r="FI335" s="321"/>
      <c r="FJ335" s="321"/>
      <c r="FK335" s="321"/>
      <c r="FL335" s="321"/>
      <c r="FM335" s="321"/>
      <c r="FN335" s="321"/>
      <c r="FO335" s="321"/>
      <c r="FP335" s="321"/>
      <c r="FS335" s="321"/>
      <c r="FT335" s="564"/>
      <c r="FU335" s="321">
        <v>32</v>
      </c>
      <c r="FV335" s="321"/>
      <c r="FX335" s="321"/>
      <c r="FY335" s="321"/>
      <c r="FZ335" s="321"/>
      <c r="GA335" s="321"/>
      <c r="GB335" s="321"/>
      <c r="GC335" s="321"/>
      <c r="GD335" s="321"/>
      <c r="GE335" s="321"/>
      <c r="GF335" s="321"/>
      <c r="GI335" s="321"/>
      <c r="GJ335" s="564"/>
      <c r="GK335" s="413"/>
      <c r="GL335" s="423"/>
      <c r="GM335" s="427"/>
      <c r="GN335" s="414"/>
      <c r="GO335" s="414"/>
      <c r="GP335" s="427"/>
      <c r="GQ335" s="427"/>
      <c r="GR335" s="423"/>
      <c r="GS335" s="414"/>
      <c r="GT335" s="414"/>
      <c r="GU335" s="427"/>
      <c r="GV335" s="414"/>
      <c r="GW335" s="423"/>
      <c r="GX335" s="427"/>
      <c r="GY335" s="414"/>
      <c r="GZ335" s="413"/>
      <c r="HA335" s="413">
        <v>32</v>
      </c>
      <c r="HB335" s="427"/>
      <c r="HC335" s="441"/>
      <c r="HD335" s="414"/>
      <c r="HE335" s="414"/>
      <c r="HF335" s="441"/>
      <c r="HG335" s="441"/>
      <c r="HH335" s="427"/>
      <c r="HI335" s="414"/>
      <c r="HJ335" s="414"/>
      <c r="HK335" s="441"/>
      <c r="HL335" s="414"/>
      <c r="HM335" s="427"/>
      <c r="HN335" s="441"/>
      <c r="HO335" s="414"/>
      <c r="HP335" s="413"/>
      <c r="HQ335" s="453">
        <v>32</v>
      </c>
      <c r="HR335" s="440"/>
      <c r="HS335" s="453"/>
      <c r="HT335" s="446"/>
      <c r="HU335" s="453"/>
      <c r="HV335" s="440"/>
      <c r="HW335" s="456"/>
      <c r="HX335" s="440"/>
      <c r="HY335" s="453"/>
      <c r="HZ335" s="456"/>
      <c r="IA335" s="453"/>
      <c r="IB335" s="440"/>
      <c r="IC335" s="433"/>
      <c r="ID335" s="456"/>
      <c r="IE335" s="440"/>
      <c r="IF335" s="440"/>
      <c r="IG335" s="1308">
        <v>64</v>
      </c>
      <c r="IH335" s="321"/>
      <c r="II335" s="414"/>
      <c r="IJ335" s="412"/>
      <c r="IK335" s="413"/>
      <c r="IL335" s="413"/>
      <c r="IM335" s="413"/>
      <c r="IN335" s="431"/>
      <c r="IO335" s="431"/>
      <c r="IP335" s="431"/>
      <c r="IQ335" s="413"/>
      <c r="IR335" s="413"/>
      <c r="IS335" s="431"/>
      <c r="IT335" s="414"/>
      <c r="IU335" s="321"/>
      <c r="IV335" s="1310"/>
    </row>
    <row r="336" spans="1:256" s="326" customFormat="1" ht="8.25" customHeight="1">
      <c r="A336" s="1308"/>
      <c r="B336" s="321"/>
      <c r="C336"/>
      <c r="D336"/>
      <c r="E336"/>
      <c r="F336"/>
      <c r="G336"/>
      <c r="H336"/>
      <c r="I336"/>
      <c r="J336"/>
      <c r="K336"/>
      <c r="L336"/>
      <c r="M336"/>
      <c r="N336"/>
      <c r="O336"/>
      <c r="P336" s="1310"/>
      <c r="Q336" s="483"/>
      <c r="R336"/>
      <c r="S336"/>
      <c r="T336"/>
      <c r="U336"/>
      <c r="V336"/>
      <c r="W336"/>
      <c r="X336"/>
      <c r="Y336"/>
      <c r="Z336"/>
      <c r="AA336"/>
      <c r="AB336"/>
      <c r="AC336"/>
      <c r="AD336"/>
      <c r="AE336"/>
      <c r="AF336"/>
      <c r="AG336" s="483">
        <v>126</v>
      </c>
      <c r="AH336" s="321"/>
      <c r="AI336" s="321"/>
      <c r="AJ336" s="321"/>
      <c r="AK336" s="432"/>
      <c r="AL336" s="439"/>
      <c r="AM336" s="428"/>
      <c r="AN336" s="461"/>
      <c r="AO336" s="461"/>
      <c r="AP336" s="428"/>
      <c r="AQ336" s="428"/>
      <c r="AR336" s="439"/>
      <c r="AS336" s="414"/>
      <c r="AT336" s="321"/>
      <c r="AU336" s="321"/>
      <c r="AV336" s="321"/>
      <c r="AW336" s="1236"/>
      <c r="AX336" s="328"/>
      <c r="AY336" s="328"/>
      <c r="AZ336" s="426"/>
      <c r="BA336" s="453"/>
      <c r="BB336" s="440"/>
      <c r="BC336" s="426"/>
      <c r="BD336" s="433"/>
      <c r="BE336" s="422"/>
      <c r="BF336" s="328"/>
      <c r="BG336" s="328"/>
      <c r="BH336" s="328"/>
      <c r="BI336" s="328"/>
      <c r="BL336" s="1237"/>
      <c r="BM336" s="1236"/>
      <c r="BN336" s="328"/>
      <c r="BO336" s="328"/>
      <c r="BP336" s="426"/>
      <c r="BQ336" s="453"/>
      <c r="BR336" s="440"/>
      <c r="BS336" s="426"/>
      <c r="BT336" s="433"/>
      <c r="BU336" s="440"/>
      <c r="BV336" s="453"/>
      <c r="BW336" s="422"/>
      <c r="BX336" s="328"/>
      <c r="BY336" s="328"/>
      <c r="CB336" s="1237"/>
      <c r="CC336" s="1236"/>
      <c r="CD336" s="328"/>
      <c r="CE336" s="328"/>
      <c r="CF336" s="446"/>
      <c r="CG336" s="422"/>
      <c r="CH336" s="440"/>
      <c r="CI336" s="328"/>
      <c r="CJ336" s="433"/>
      <c r="CK336" s="328"/>
      <c r="CL336" s="440"/>
      <c r="CM336" s="422"/>
      <c r="CN336" s="328"/>
      <c r="CO336" s="328"/>
      <c r="CR336" s="1237"/>
      <c r="CS336" s="1236"/>
      <c r="CT336" s="328"/>
      <c r="CU336" s="328"/>
      <c r="CV336" s="328"/>
      <c r="CW336" s="422"/>
      <c r="CX336" s="328"/>
      <c r="CY336" s="328"/>
      <c r="CZ336" s="328"/>
      <c r="DA336" s="328"/>
      <c r="DB336" s="426"/>
      <c r="DC336" s="328"/>
      <c r="DD336" s="328"/>
      <c r="DE336" s="328"/>
      <c r="DH336" s="1237"/>
      <c r="DJ336"/>
      <c r="DK336"/>
      <c r="DL336"/>
      <c r="DM336"/>
      <c r="DN336"/>
      <c r="DO336"/>
      <c r="DP336"/>
      <c r="DQ336"/>
      <c r="DR336"/>
      <c r="DS336"/>
      <c r="DT336"/>
      <c r="DU336"/>
      <c r="DV336"/>
      <c r="DW336"/>
      <c r="DX336"/>
      <c r="DY336" s="1236"/>
      <c r="DZ336"/>
      <c r="EA336"/>
      <c r="EB336"/>
      <c r="EC336"/>
      <c r="ED336"/>
      <c r="EE336"/>
      <c r="EF336"/>
      <c r="EG336"/>
      <c r="EH336"/>
      <c r="EI336"/>
      <c r="EJ336"/>
      <c r="EK336"/>
      <c r="EL336"/>
      <c r="EM336"/>
      <c r="EN336"/>
      <c r="EO336" s="1236"/>
      <c r="EP336"/>
      <c r="EQ336"/>
      <c r="ER336"/>
      <c r="ES336"/>
      <c r="ET336"/>
      <c r="EU336"/>
      <c r="EV336"/>
      <c r="EW336"/>
      <c r="EX336"/>
      <c r="EY336"/>
      <c r="EZ336"/>
      <c r="FA336"/>
      <c r="FB336"/>
      <c r="FC336"/>
      <c r="FD336"/>
      <c r="FE336" s="483"/>
      <c r="FF336" s="321"/>
      <c r="FH336" s="321"/>
      <c r="FI336" s="321"/>
      <c r="FJ336" s="321"/>
      <c r="FK336" s="321"/>
      <c r="FL336" s="321"/>
      <c r="FM336" s="328"/>
      <c r="FN336" s="328"/>
      <c r="FO336" s="328"/>
      <c r="FS336" s="321"/>
      <c r="FT336" s="564"/>
      <c r="FU336" s="321"/>
      <c r="FV336" s="321"/>
      <c r="FX336" s="321"/>
      <c r="FY336" s="321"/>
      <c r="FZ336" s="321"/>
      <c r="GA336" s="321"/>
      <c r="GB336" s="321"/>
      <c r="GC336" s="321"/>
      <c r="GD336" s="321"/>
      <c r="GE336" s="321"/>
      <c r="GF336" s="321"/>
      <c r="GI336" s="321"/>
      <c r="GJ336" s="564"/>
      <c r="GK336" s="413">
        <v>109</v>
      </c>
      <c r="GL336" s="423"/>
      <c r="GM336" s="414"/>
      <c r="GN336" s="427"/>
      <c r="GO336" s="423"/>
      <c r="GP336" s="414"/>
      <c r="GQ336" s="427"/>
      <c r="GR336" s="423"/>
      <c r="GS336" s="423"/>
      <c r="GT336" s="414"/>
      <c r="GU336" s="427"/>
      <c r="GV336" s="423"/>
      <c r="GW336" s="414"/>
      <c r="GX336" s="414"/>
      <c r="GY336" s="414"/>
      <c r="GZ336" s="423"/>
      <c r="HA336" s="413">
        <v>109</v>
      </c>
      <c r="HB336" s="427"/>
      <c r="HC336" s="414"/>
      <c r="HD336" s="441"/>
      <c r="HE336" s="427"/>
      <c r="HF336" s="414"/>
      <c r="HG336" s="441"/>
      <c r="HH336" s="427"/>
      <c r="HI336" s="427"/>
      <c r="HJ336" s="414"/>
      <c r="HK336" s="441"/>
      <c r="HL336" s="427"/>
      <c r="HM336" s="414"/>
      <c r="HN336" s="414"/>
      <c r="HO336" s="414"/>
      <c r="HP336" s="423"/>
      <c r="HQ336" s="453"/>
      <c r="HR336" s="440"/>
      <c r="HS336" s="453"/>
      <c r="HT336" s="446"/>
      <c r="HU336" s="453"/>
      <c r="HV336" s="440"/>
      <c r="HW336" s="456"/>
      <c r="HX336" s="440"/>
      <c r="HY336" s="453"/>
      <c r="HZ336" s="456"/>
      <c r="IA336" s="453"/>
      <c r="IB336" s="440"/>
      <c r="IC336" s="433"/>
      <c r="ID336" s="456"/>
      <c r="IE336" s="440"/>
      <c r="IF336" s="440"/>
      <c r="IG336" s="1308"/>
      <c r="IH336" s="321"/>
      <c r="II336" s="414"/>
      <c r="IJ336" s="412"/>
      <c r="IK336" s="413"/>
      <c r="IL336" s="431"/>
      <c r="IM336" s="431"/>
      <c r="IN336" s="431"/>
      <c r="IO336" s="413"/>
      <c r="IP336" s="413"/>
      <c r="IQ336" s="413"/>
      <c r="IR336" s="413"/>
      <c r="IS336" s="413"/>
      <c r="IT336" s="414"/>
      <c r="IU336" s="321"/>
      <c r="IV336" s="1310"/>
    </row>
    <row r="337" spans="1:256" s="326" customFormat="1" ht="8.25" customHeight="1">
      <c r="A337" s="1308"/>
      <c r="B337" s="321"/>
      <c r="C337"/>
      <c r="D337"/>
      <c r="E337"/>
      <c r="F337"/>
      <c r="G337"/>
      <c r="H337"/>
      <c r="I337"/>
      <c r="J337"/>
      <c r="K337"/>
      <c r="L337"/>
      <c r="M337"/>
      <c r="N337"/>
      <c r="O337"/>
      <c r="P337" s="1310"/>
      <c r="Q337" s="483"/>
      <c r="R337"/>
      <c r="S337"/>
      <c r="T337"/>
      <c r="U337"/>
      <c r="V337"/>
      <c r="W337"/>
      <c r="X337"/>
      <c r="Y337"/>
      <c r="Z337"/>
      <c r="AA337"/>
      <c r="AB337"/>
      <c r="AC337"/>
      <c r="AD337"/>
      <c r="AE337"/>
      <c r="AF337"/>
      <c r="AG337" s="483">
        <v>2</v>
      </c>
      <c r="AH337" s="321"/>
      <c r="AI337" s="321"/>
      <c r="AJ337" s="321"/>
      <c r="AK337" s="432"/>
      <c r="AL337" s="411"/>
      <c r="AM337" s="461"/>
      <c r="AN337" s="428"/>
      <c r="AO337" s="428"/>
      <c r="AP337" s="461"/>
      <c r="AQ337" s="461"/>
      <c r="AR337" s="439"/>
      <c r="AS337" s="414"/>
      <c r="AT337" s="321"/>
      <c r="AU337" s="321"/>
      <c r="AV337" s="321"/>
      <c r="AW337" s="1236">
        <v>3</v>
      </c>
      <c r="AX337" s="328"/>
      <c r="AY337" s="446"/>
      <c r="AZ337" s="453"/>
      <c r="BA337" s="453"/>
      <c r="BB337" s="328"/>
      <c r="BC337" s="433"/>
      <c r="BD337" s="433"/>
      <c r="BE337" s="328"/>
      <c r="BF337" s="328"/>
      <c r="BG337" s="426"/>
      <c r="BH337" s="440"/>
      <c r="BI337" s="328"/>
      <c r="BL337" s="1237"/>
      <c r="BM337" s="1236">
        <v>2</v>
      </c>
      <c r="BN337" s="328"/>
      <c r="BO337" s="328"/>
      <c r="BP337" s="453"/>
      <c r="BQ337" s="440"/>
      <c r="BR337" s="453"/>
      <c r="BS337" s="446"/>
      <c r="BT337" s="433"/>
      <c r="BU337" s="328"/>
      <c r="BV337" s="328"/>
      <c r="BW337" s="426"/>
      <c r="BX337" s="440"/>
      <c r="BY337" s="328"/>
      <c r="CB337" s="1237"/>
      <c r="CC337" s="1236">
        <v>1</v>
      </c>
      <c r="CD337" s="328"/>
      <c r="CE337" s="328"/>
      <c r="CF337" s="426"/>
      <c r="CG337" s="453"/>
      <c r="CH337" s="440"/>
      <c r="CI337" s="426"/>
      <c r="CJ337" s="433"/>
      <c r="CK337" s="453"/>
      <c r="CL337" s="440"/>
      <c r="CM337" s="422"/>
      <c r="CN337" s="328"/>
      <c r="CO337" s="328"/>
      <c r="CR337" s="1237"/>
      <c r="CS337" s="1236"/>
      <c r="CT337" s="328"/>
      <c r="CU337" s="328"/>
      <c r="CV337" s="328"/>
      <c r="CW337" s="422"/>
      <c r="CX337" s="328"/>
      <c r="CY337" s="433"/>
      <c r="CZ337" s="328"/>
      <c r="DA337" s="328"/>
      <c r="DB337" s="328"/>
      <c r="DC337" s="328"/>
      <c r="DD337" s="328"/>
      <c r="DE337" s="328"/>
      <c r="DH337" s="1237"/>
      <c r="DI337" s="321"/>
      <c r="DJ337"/>
      <c r="DK337"/>
      <c r="DL337"/>
      <c r="DM337"/>
      <c r="DN337"/>
      <c r="DO337"/>
      <c r="DP337"/>
      <c r="DQ337"/>
      <c r="DR337"/>
      <c r="DS337"/>
      <c r="DT337"/>
      <c r="DU337"/>
      <c r="DV337"/>
      <c r="DW337"/>
      <c r="DX337"/>
      <c r="DY337" s="483"/>
      <c r="DZ337"/>
      <c r="EA337"/>
      <c r="EB337"/>
      <c r="EC337"/>
      <c r="ED337"/>
      <c r="EE337"/>
      <c r="EF337"/>
      <c r="EG337"/>
      <c r="EH337"/>
      <c r="EI337"/>
      <c r="EJ337"/>
      <c r="EK337"/>
      <c r="EL337"/>
      <c r="EM337"/>
      <c r="EN337"/>
      <c r="EO337" s="483"/>
      <c r="EP337"/>
      <c r="EQ337"/>
      <c r="ER337"/>
      <c r="ES337"/>
      <c r="ET337"/>
      <c r="EU337"/>
      <c r="EV337"/>
      <c r="EW337"/>
      <c r="EX337"/>
      <c r="EY337"/>
      <c r="EZ337"/>
      <c r="FA337"/>
      <c r="FB337"/>
      <c r="FC337"/>
      <c r="FD337"/>
      <c r="FE337" s="483"/>
      <c r="FF337" s="321"/>
      <c r="FM337" s="328"/>
      <c r="FN337" s="328"/>
      <c r="FO337" s="328"/>
      <c r="FS337" s="321"/>
      <c r="FT337" s="564"/>
      <c r="FU337" s="321"/>
      <c r="FV337" s="321"/>
      <c r="FZ337" s="321"/>
      <c r="GA337" s="321"/>
      <c r="GB337" s="321"/>
      <c r="GC337" s="321"/>
      <c r="GD337" s="321"/>
      <c r="GE337" s="321"/>
      <c r="GF337" s="321"/>
      <c r="GI337" s="321"/>
      <c r="GJ337" s="564"/>
      <c r="GK337" s="413">
        <v>2</v>
      </c>
      <c r="GL337" s="423"/>
      <c r="GM337" s="414"/>
      <c r="GN337" s="427"/>
      <c r="GO337" s="423"/>
      <c r="GP337" s="414"/>
      <c r="GQ337" s="427"/>
      <c r="GR337" s="423"/>
      <c r="GS337" s="423"/>
      <c r="GT337" s="427"/>
      <c r="GU337" s="427"/>
      <c r="GV337" s="423"/>
      <c r="GW337" s="414"/>
      <c r="GX337" s="414"/>
      <c r="GY337" s="414"/>
      <c r="GZ337" s="413"/>
      <c r="HA337" s="413">
        <v>2</v>
      </c>
      <c r="HB337" s="427"/>
      <c r="HC337" s="414"/>
      <c r="HD337" s="441"/>
      <c r="HE337" s="427"/>
      <c r="HF337" s="414"/>
      <c r="HG337" s="441"/>
      <c r="HH337" s="427"/>
      <c r="HI337" s="427"/>
      <c r="HJ337" s="441"/>
      <c r="HK337" s="441"/>
      <c r="HL337" s="427"/>
      <c r="HM337" s="414"/>
      <c r="HN337" s="414"/>
      <c r="HO337" s="414"/>
      <c r="HP337" s="413"/>
      <c r="HQ337" s="453"/>
      <c r="HR337" s="440"/>
      <c r="HS337" s="440"/>
      <c r="HT337" s="446"/>
      <c r="HU337" s="453"/>
      <c r="HV337" s="440"/>
      <c r="HW337" s="440"/>
      <c r="HX337" s="446"/>
      <c r="HY337" s="453"/>
      <c r="HZ337" s="459"/>
      <c r="IA337" s="453"/>
      <c r="IB337" s="433"/>
      <c r="IC337" s="440"/>
      <c r="ID337" s="440"/>
      <c r="IE337" s="446"/>
      <c r="IF337" s="440"/>
      <c r="IG337" s="1308">
        <v>5</v>
      </c>
      <c r="IH337" s="321"/>
      <c r="II337" s="414"/>
      <c r="IJ337" s="412"/>
      <c r="IK337" s="431"/>
      <c r="IL337" s="431"/>
      <c r="IM337" s="431"/>
      <c r="IN337" s="413"/>
      <c r="IO337" s="412"/>
      <c r="IP337" s="413"/>
      <c r="IQ337" s="413"/>
      <c r="IR337" s="431"/>
      <c r="IS337" s="412"/>
      <c r="IT337" s="414"/>
      <c r="IU337" s="321"/>
      <c r="IV337" s="1310"/>
    </row>
    <row r="338" spans="1:256" s="326" customFormat="1" ht="8.25" customHeight="1">
      <c r="A338" s="483"/>
      <c r="B338" s="321"/>
      <c r="C338"/>
      <c r="D338"/>
      <c r="E338"/>
      <c r="F338"/>
      <c r="G338"/>
      <c r="H338"/>
      <c r="I338"/>
      <c r="J338"/>
      <c r="K338"/>
      <c r="L338"/>
      <c r="M338"/>
      <c r="N338"/>
      <c r="O338"/>
      <c r="P338" s="564"/>
      <c r="Q338" s="483"/>
      <c r="R338"/>
      <c r="S338"/>
      <c r="T338"/>
      <c r="U338"/>
      <c r="V338"/>
      <c r="W338"/>
      <c r="X338"/>
      <c r="Y338"/>
      <c r="Z338"/>
      <c r="AA338"/>
      <c r="AB338"/>
      <c r="AC338"/>
      <c r="AD338"/>
      <c r="AE338"/>
      <c r="AF338"/>
      <c r="AG338" s="483">
        <v>6</v>
      </c>
      <c r="AH338" s="321"/>
      <c r="AI338" s="321"/>
      <c r="AJ338" s="321"/>
      <c r="AK338" s="432"/>
      <c r="AL338" s="439"/>
      <c r="AM338" s="411"/>
      <c r="AN338" s="439"/>
      <c r="AO338" s="439"/>
      <c r="AP338" s="439"/>
      <c r="AQ338" s="439"/>
      <c r="AR338" s="411"/>
      <c r="AS338" s="414"/>
      <c r="AT338" s="321"/>
      <c r="AU338" s="321"/>
      <c r="AV338" s="321"/>
      <c r="AW338" s="1236"/>
      <c r="AX338" s="328"/>
      <c r="AY338" s="446"/>
      <c r="AZ338" s="433"/>
      <c r="BA338" s="453"/>
      <c r="BB338" s="328"/>
      <c r="BC338" s="453"/>
      <c r="BD338" s="446"/>
      <c r="BE338" s="426"/>
      <c r="BF338" s="426"/>
      <c r="BG338" s="328"/>
      <c r="BH338" s="328"/>
      <c r="BI338" s="328"/>
      <c r="BL338" s="1237"/>
      <c r="BM338" s="1236"/>
      <c r="BN338" s="328"/>
      <c r="BO338" s="446"/>
      <c r="BP338" s="426"/>
      <c r="BQ338" s="440"/>
      <c r="BR338" s="328"/>
      <c r="BS338" s="440"/>
      <c r="BT338" s="440"/>
      <c r="BU338" s="328"/>
      <c r="BV338" s="453"/>
      <c r="BW338" s="446"/>
      <c r="BX338" s="426"/>
      <c r="BY338" s="328"/>
      <c r="CB338" s="1237"/>
      <c r="CC338" s="1236"/>
      <c r="CD338" s="328"/>
      <c r="CE338" s="328"/>
      <c r="CF338" s="446"/>
      <c r="CG338" s="440"/>
      <c r="CH338" s="446"/>
      <c r="CI338" s="446"/>
      <c r="CJ338" s="433"/>
      <c r="CK338" s="422"/>
      <c r="CL338" s="440"/>
      <c r="CM338" s="426"/>
      <c r="CN338" s="426"/>
      <c r="CO338" s="328"/>
      <c r="CR338" s="1237"/>
      <c r="CS338" s="1236"/>
      <c r="CT338" s="328"/>
      <c r="CU338" s="328"/>
      <c r="CV338" s="328"/>
      <c r="CW338" s="328"/>
      <c r="CX338" s="328"/>
      <c r="CY338" s="426"/>
      <c r="CZ338" s="422"/>
      <c r="DA338" s="328"/>
      <c r="DB338" s="328"/>
      <c r="DC338" s="433"/>
      <c r="DD338" s="422"/>
      <c r="DE338" s="328"/>
      <c r="DH338" s="1237"/>
      <c r="DI338" s="321"/>
      <c r="DJ338"/>
      <c r="DK338"/>
      <c r="DL338"/>
      <c r="DM338"/>
      <c r="DN338"/>
      <c r="DO338"/>
      <c r="DP338"/>
      <c r="DQ338"/>
      <c r="DR338"/>
      <c r="DS338"/>
      <c r="DT338"/>
      <c r="DU338"/>
      <c r="DV338"/>
      <c r="DW338"/>
      <c r="DX338"/>
      <c r="DY338" s="483"/>
      <c r="DZ338"/>
      <c r="EA338"/>
      <c r="EB338"/>
      <c r="EC338"/>
      <c r="ED338"/>
      <c r="EE338"/>
      <c r="EF338"/>
      <c r="EG338"/>
      <c r="EH338"/>
      <c r="EI338"/>
      <c r="EJ338"/>
      <c r="EK338"/>
      <c r="EL338"/>
      <c r="EM338"/>
      <c r="EN338"/>
      <c r="EO338" s="483"/>
      <c r="EP338"/>
      <c r="EQ338"/>
      <c r="ER338"/>
      <c r="ES338"/>
      <c r="ET338"/>
      <c r="EU338"/>
      <c r="EV338"/>
      <c r="EW338"/>
      <c r="EX338"/>
      <c r="EY338"/>
      <c r="EZ338"/>
      <c r="FA338"/>
      <c r="FB338"/>
      <c r="FC338"/>
      <c r="FD338"/>
      <c r="FE338" s="483"/>
      <c r="FF338" s="321"/>
      <c r="FJ338" s="432"/>
      <c r="FK338" s="411"/>
      <c r="FM338" s="328"/>
      <c r="FN338" s="328"/>
      <c r="FO338" s="421"/>
      <c r="FS338" s="321"/>
      <c r="FT338" s="564"/>
      <c r="FU338" s="321"/>
      <c r="FV338" s="321"/>
      <c r="FZ338" s="321"/>
      <c r="GA338" s="433"/>
      <c r="GB338" s="321"/>
      <c r="GC338" s="426"/>
      <c r="GD338" s="321"/>
      <c r="GE338" s="321"/>
      <c r="GI338" s="321"/>
      <c r="GJ338" s="564"/>
      <c r="GK338" s="413">
        <v>1</v>
      </c>
      <c r="GL338" s="423"/>
      <c r="GM338" s="427"/>
      <c r="GN338" s="414"/>
      <c r="GO338" s="423"/>
      <c r="GP338" s="414"/>
      <c r="GQ338" s="427"/>
      <c r="GR338" s="423"/>
      <c r="GS338" s="414"/>
      <c r="GT338" s="427"/>
      <c r="GU338" s="427"/>
      <c r="GV338" s="423"/>
      <c r="GW338" s="414"/>
      <c r="GX338" s="427"/>
      <c r="GY338" s="414"/>
      <c r="GZ338" s="461"/>
      <c r="HA338" s="413"/>
      <c r="HB338" s="427"/>
      <c r="HC338" s="441"/>
      <c r="HD338" s="414"/>
      <c r="HE338" s="427"/>
      <c r="HF338" s="414"/>
      <c r="HG338" s="441"/>
      <c r="HH338" s="427"/>
      <c r="HI338" s="414"/>
      <c r="HJ338" s="441"/>
      <c r="HK338" s="441"/>
      <c r="HL338" s="427"/>
      <c r="HM338" s="414"/>
      <c r="HN338" s="441"/>
      <c r="HO338" s="414"/>
      <c r="HP338" s="461"/>
      <c r="HQ338" s="453"/>
      <c r="HR338" s="440"/>
      <c r="HS338" s="449"/>
      <c r="HT338" s="456"/>
      <c r="HU338" s="440"/>
      <c r="HV338" s="433"/>
      <c r="HW338" s="440"/>
      <c r="HX338" s="449"/>
      <c r="HY338" s="456"/>
      <c r="HZ338" s="453"/>
      <c r="IA338" s="446"/>
      <c r="IB338" s="456"/>
      <c r="IC338" s="433"/>
      <c r="ID338" s="440"/>
      <c r="IE338" s="440"/>
      <c r="IF338" s="440"/>
      <c r="IG338" s="483">
        <v>1</v>
      </c>
      <c r="IH338" s="321"/>
      <c r="II338" s="414"/>
      <c r="IJ338" s="412"/>
      <c r="IK338" s="412"/>
      <c r="IL338" s="431"/>
      <c r="IM338" s="413"/>
      <c r="IN338" s="412"/>
      <c r="IO338" s="413"/>
      <c r="IP338" s="413"/>
      <c r="IQ338" s="431"/>
      <c r="IR338" s="412"/>
      <c r="IS338" s="412"/>
      <c r="IT338" s="414"/>
      <c r="IU338" s="321"/>
      <c r="IV338" s="564"/>
    </row>
    <row r="339" spans="1:256" s="326" customFormat="1" ht="8.25" customHeight="1">
      <c r="A339" s="483"/>
      <c r="B339" s="321"/>
      <c r="C339"/>
      <c r="D339"/>
      <c r="E339"/>
      <c r="F339"/>
      <c r="G339"/>
      <c r="H339"/>
      <c r="I339"/>
      <c r="J339"/>
      <c r="K339"/>
      <c r="L339"/>
      <c r="M339"/>
      <c r="N339"/>
      <c r="O339"/>
      <c r="P339" s="564"/>
      <c r="Q339" s="483"/>
      <c r="R339"/>
      <c r="S339"/>
      <c r="T339"/>
      <c r="U339"/>
      <c r="V339"/>
      <c r="W339"/>
      <c r="X339"/>
      <c r="Y339"/>
      <c r="Z339"/>
      <c r="AA339"/>
      <c r="AB339"/>
      <c r="AC339"/>
      <c r="AD339"/>
      <c r="AE339"/>
      <c r="AF339"/>
      <c r="AG339" s="483"/>
      <c r="AH339" s="321"/>
      <c r="AI339" s="321"/>
      <c r="AJ339" s="321"/>
      <c r="AK339" s="414"/>
      <c r="AL339" s="414"/>
      <c r="AM339" s="414"/>
      <c r="AN339" s="414"/>
      <c r="AO339" s="414"/>
      <c r="AP339" s="414"/>
      <c r="AQ339" s="414"/>
      <c r="AR339" s="414"/>
      <c r="AS339" s="414"/>
      <c r="AT339" s="321"/>
      <c r="AU339" s="321"/>
      <c r="AV339" s="321"/>
      <c r="AW339" s="1236"/>
      <c r="AX339" s="328"/>
      <c r="AY339" s="446"/>
      <c r="AZ339" s="433"/>
      <c r="BA339" s="328"/>
      <c r="BB339" s="328"/>
      <c r="BC339" s="440"/>
      <c r="BD339" s="440"/>
      <c r="BE339" s="422"/>
      <c r="BF339" s="422"/>
      <c r="BG339" s="328"/>
      <c r="BH339" s="440"/>
      <c r="BI339" s="328"/>
      <c r="BL339" s="1237"/>
      <c r="BM339" s="1236"/>
      <c r="BN339" s="328"/>
      <c r="BO339" s="446"/>
      <c r="BP339" s="433"/>
      <c r="BQ339" s="453"/>
      <c r="BR339" s="328"/>
      <c r="BS339" s="453"/>
      <c r="BT339" s="440"/>
      <c r="BU339" s="422"/>
      <c r="BV339" s="440"/>
      <c r="BW339" s="433"/>
      <c r="BX339" s="433"/>
      <c r="BY339" s="328"/>
      <c r="CB339" s="1237"/>
      <c r="CC339" s="1236"/>
      <c r="CD339" s="328"/>
      <c r="CE339" s="328"/>
      <c r="CF339" s="453"/>
      <c r="CG339" s="440"/>
      <c r="CH339" s="422"/>
      <c r="CI339" s="446"/>
      <c r="CJ339" s="440"/>
      <c r="CK339" s="426"/>
      <c r="CL339" s="328"/>
      <c r="CM339" s="446"/>
      <c r="CN339" s="440"/>
      <c r="CO339" s="328"/>
      <c r="CR339" s="1237"/>
      <c r="CS339" s="1236"/>
      <c r="CT339" s="328"/>
      <c r="CU339" s="328"/>
      <c r="CV339" s="426"/>
      <c r="CW339" s="422"/>
      <c r="CX339" s="328"/>
      <c r="CY339" s="328"/>
      <c r="CZ339" s="422"/>
      <c r="DA339" s="328"/>
      <c r="DB339" s="328"/>
      <c r="DC339" s="426"/>
      <c r="DD339" s="422"/>
      <c r="DE339" s="328"/>
      <c r="DH339" s="1237"/>
      <c r="DI339" s="321"/>
      <c r="DJ339"/>
      <c r="DK339"/>
      <c r="DL339"/>
      <c r="DM339"/>
      <c r="DN339"/>
      <c r="DO339"/>
      <c r="DP339"/>
      <c r="DQ339"/>
      <c r="DR339"/>
      <c r="DS339"/>
      <c r="DT339"/>
      <c r="DU339"/>
      <c r="DV339"/>
      <c r="DW339"/>
      <c r="DX339"/>
      <c r="DY339" s="483"/>
      <c r="DZ339"/>
      <c r="EA339"/>
      <c r="EB339"/>
      <c r="EC339"/>
      <c r="ED339"/>
      <c r="EE339"/>
      <c r="EF339"/>
      <c r="EG339"/>
      <c r="EH339"/>
      <c r="EI339"/>
      <c r="EJ339"/>
      <c r="EK339"/>
      <c r="EL339"/>
      <c r="EM339"/>
      <c r="EN339"/>
      <c r="EO339" s="483"/>
      <c r="EP339"/>
      <c r="EQ339"/>
      <c r="ER339"/>
      <c r="ES339"/>
      <c r="ET339"/>
      <c r="EU339"/>
      <c r="EV339"/>
      <c r="EW339"/>
      <c r="EX339"/>
      <c r="EY339"/>
      <c r="EZ339"/>
      <c r="FA339"/>
      <c r="FB339"/>
      <c r="FC339"/>
      <c r="FD339"/>
      <c r="FE339" s="483"/>
      <c r="FF339" s="321"/>
      <c r="FN339" s="411"/>
      <c r="FO339" s="328"/>
      <c r="FS339" s="321"/>
      <c r="FT339" s="564"/>
      <c r="FU339" s="321"/>
      <c r="FV339" s="321"/>
      <c r="FZ339" s="321"/>
      <c r="GA339" s="446"/>
      <c r="GB339" s="321"/>
      <c r="GC339" s="321"/>
      <c r="GD339" s="433"/>
      <c r="GE339" s="433"/>
      <c r="GI339" s="321"/>
      <c r="GJ339" s="564"/>
      <c r="GK339" s="413"/>
      <c r="GL339" s="423"/>
      <c r="GM339" s="414"/>
      <c r="GN339" s="414"/>
      <c r="GO339" s="423"/>
      <c r="GP339" s="427"/>
      <c r="GQ339" s="414"/>
      <c r="GR339" s="423"/>
      <c r="GS339" s="414"/>
      <c r="GT339" s="414"/>
      <c r="GU339" s="427"/>
      <c r="GV339" s="423"/>
      <c r="GW339" s="423"/>
      <c r="GX339" s="427"/>
      <c r="GY339" s="414"/>
      <c r="GZ339" s="413"/>
      <c r="HA339" s="413"/>
      <c r="HB339" s="427"/>
      <c r="HC339" s="414"/>
      <c r="HD339" s="414"/>
      <c r="HE339" s="427"/>
      <c r="HF339" s="441"/>
      <c r="HG339" s="414"/>
      <c r="HH339" s="427"/>
      <c r="HI339" s="414"/>
      <c r="HJ339" s="414"/>
      <c r="HK339" s="441"/>
      <c r="HL339" s="427"/>
      <c r="HM339" s="427"/>
      <c r="HN339" s="441"/>
      <c r="HO339" s="414"/>
      <c r="HP339" s="413"/>
      <c r="HQ339" s="453"/>
      <c r="HR339" s="440"/>
      <c r="HS339" s="456"/>
      <c r="HT339" s="462"/>
      <c r="HU339" s="462"/>
      <c r="HV339" s="462"/>
      <c r="HW339" s="433"/>
      <c r="HX339" s="456"/>
      <c r="HY339" s="462"/>
      <c r="HZ339" s="446"/>
      <c r="IA339" s="456"/>
      <c r="IB339" s="462"/>
      <c r="IC339" s="462"/>
      <c r="ID339" s="456"/>
      <c r="IE339" s="433"/>
      <c r="IF339" s="433"/>
      <c r="IG339" s="483"/>
      <c r="IH339" s="321"/>
      <c r="II339" s="414"/>
      <c r="IJ339" s="412"/>
      <c r="IK339" s="412"/>
      <c r="IL339" s="413"/>
      <c r="IM339" s="412"/>
      <c r="IN339" s="412"/>
      <c r="IO339" s="413"/>
      <c r="IP339" s="431"/>
      <c r="IQ339" s="412"/>
      <c r="IR339" s="412"/>
      <c r="IS339" s="412"/>
      <c r="IT339" s="414"/>
      <c r="IU339" s="321"/>
      <c r="IV339" s="564"/>
    </row>
    <row r="340" spans="1:256" s="326" customFormat="1" ht="8.25" customHeight="1">
      <c r="A340" s="483"/>
      <c r="B340" s="321"/>
      <c r="C340"/>
      <c r="D340"/>
      <c r="E340"/>
      <c r="F340"/>
      <c r="G340"/>
      <c r="H340"/>
      <c r="I340"/>
      <c r="J340"/>
      <c r="K340"/>
      <c r="L340"/>
      <c r="M340"/>
      <c r="N340"/>
      <c r="O340"/>
      <c r="P340" s="564"/>
      <c r="Q340" s="483"/>
      <c r="R340"/>
      <c r="S340"/>
      <c r="T340"/>
      <c r="U340"/>
      <c r="V340"/>
      <c r="W340"/>
      <c r="X340"/>
      <c r="Y340"/>
      <c r="Z340"/>
      <c r="AA340"/>
      <c r="AB340"/>
      <c r="AC340"/>
      <c r="AD340"/>
      <c r="AE340"/>
      <c r="AF340"/>
      <c r="AG340" s="1348"/>
      <c r="AH340" s="430"/>
      <c r="AI340" s="430"/>
      <c r="AJ340" s="430"/>
      <c r="AK340" s="430"/>
      <c r="AL340" s="430"/>
      <c r="AM340" s="425"/>
      <c r="AN340" s="328"/>
      <c r="AO340" s="321"/>
      <c r="AP340" s="328"/>
      <c r="AQ340" s="439"/>
      <c r="AR340" s="421"/>
      <c r="AS340" s="321"/>
      <c r="AT340" s="321"/>
      <c r="AU340" s="321"/>
      <c r="AV340" s="321"/>
      <c r="AW340" s="440"/>
      <c r="AX340" s="328"/>
      <c r="AY340" s="426"/>
      <c r="AZ340" s="453"/>
      <c r="BA340" s="328"/>
      <c r="BB340" s="440"/>
      <c r="BC340" s="446"/>
      <c r="BD340" s="426"/>
      <c r="BE340" s="426"/>
      <c r="BF340" s="426"/>
      <c r="BG340" s="422"/>
      <c r="BH340" s="426"/>
      <c r="BI340" s="328"/>
      <c r="BL340" s="1237"/>
      <c r="BM340" s="440"/>
      <c r="BN340" s="328"/>
      <c r="BO340" s="446"/>
      <c r="BP340" s="433"/>
      <c r="BQ340" s="328"/>
      <c r="BR340" s="440"/>
      <c r="BS340" s="433"/>
      <c r="BT340" s="426"/>
      <c r="BU340" s="422"/>
      <c r="BV340" s="426"/>
      <c r="BW340" s="433"/>
      <c r="BX340" s="328"/>
      <c r="BY340" s="328"/>
      <c r="CB340" s="1237"/>
      <c r="CC340" s="440"/>
      <c r="CD340" s="328"/>
      <c r="CE340" s="446"/>
      <c r="CF340" s="426"/>
      <c r="CG340" s="440"/>
      <c r="CH340" s="446"/>
      <c r="CI340" s="440"/>
      <c r="CJ340" s="440"/>
      <c r="CK340" s="426"/>
      <c r="CL340" s="328"/>
      <c r="CM340" s="426"/>
      <c r="CN340" s="328"/>
      <c r="CO340" s="328"/>
      <c r="CR340" s="1237"/>
      <c r="CS340" s="1236"/>
      <c r="CT340" s="328"/>
      <c r="CU340" s="433"/>
      <c r="CV340" s="328"/>
      <c r="CW340" s="422"/>
      <c r="CX340" s="328"/>
      <c r="CY340" s="328"/>
      <c r="CZ340" s="328"/>
      <c r="DA340" s="328"/>
      <c r="DB340" s="328"/>
      <c r="DC340" s="328"/>
      <c r="DD340" s="426"/>
      <c r="DE340" s="328"/>
      <c r="DH340" s="1237"/>
      <c r="DI340" s="321"/>
      <c r="DJ340"/>
      <c r="DK340"/>
      <c r="DL340"/>
      <c r="DM340"/>
      <c r="DN340"/>
      <c r="DO340"/>
      <c r="DP340"/>
      <c r="DQ340"/>
      <c r="DR340"/>
      <c r="DS340"/>
      <c r="DT340"/>
      <c r="DU340"/>
      <c r="DV340"/>
      <c r="DW340"/>
      <c r="DX340"/>
      <c r="DY340" s="483"/>
      <c r="DZ340"/>
      <c r="EA340"/>
      <c r="EB340"/>
      <c r="EC340"/>
      <c r="ED340"/>
      <c r="EE340"/>
      <c r="EF340"/>
      <c r="EG340"/>
      <c r="EH340"/>
      <c r="EI340"/>
      <c r="EJ340"/>
      <c r="EK340"/>
      <c r="EL340"/>
      <c r="EM340"/>
      <c r="EN340"/>
      <c r="EO340" s="483"/>
      <c r="EP340"/>
      <c r="EQ340"/>
      <c r="ER340"/>
      <c r="ES340"/>
      <c r="ET340"/>
      <c r="EU340"/>
      <c r="EV340"/>
      <c r="EW340"/>
      <c r="EX340"/>
      <c r="EY340"/>
      <c r="EZ340"/>
      <c r="FA340"/>
      <c r="FB340"/>
      <c r="FC340"/>
      <c r="FD340"/>
      <c r="FE340" s="483"/>
      <c r="FF340" s="321"/>
      <c r="FI340" s="321"/>
      <c r="FK340" s="452"/>
      <c r="FL340" s="321"/>
      <c r="FS340" s="321"/>
      <c r="FT340" s="564"/>
      <c r="FU340" s="321"/>
      <c r="FV340" s="321"/>
      <c r="FZ340" s="321"/>
      <c r="GA340" s="321"/>
      <c r="GB340" s="446"/>
      <c r="GC340" s="433"/>
      <c r="GD340" s="321"/>
      <c r="GF340" s="426"/>
      <c r="GI340" s="321"/>
      <c r="GJ340" s="564"/>
      <c r="GK340" s="413"/>
      <c r="GL340" s="414"/>
      <c r="GM340" s="414"/>
      <c r="GN340" s="414"/>
      <c r="GO340" s="414"/>
      <c r="GP340" s="414"/>
      <c r="GQ340" s="414"/>
      <c r="GR340" s="414"/>
      <c r="GS340" s="414"/>
      <c r="GT340" s="414"/>
      <c r="GU340" s="414"/>
      <c r="GV340" s="414"/>
      <c r="GW340" s="414"/>
      <c r="GX340" s="414"/>
      <c r="GY340" s="414"/>
      <c r="GZ340" s="413"/>
      <c r="HA340" s="413"/>
      <c r="HB340" s="414"/>
      <c r="HC340" s="414"/>
      <c r="HD340" s="414"/>
      <c r="HE340" s="414"/>
      <c r="HF340" s="414"/>
      <c r="HG340" s="414"/>
      <c r="HH340" s="414"/>
      <c r="HI340" s="414"/>
      <c r="HJ340" s="414"/>
      <c r="HK340" s="414"/>
      <c r="HL340" s="414"/>
      <c r="HM340" s="414"/>
      <c r="HN340" s="414"/>
      <c r="HO340" s="414"/>
      <c r="HP340" s="413"/>
      <c r="HQ340" s="440">
        <v>175</v>
      </c>
      <c r="HR340" s="456"/>
      <c r="HS340" s="462"/>
      <c r="HT340" s="416"/>
      <c r="HU340" s="416"/>
      <c r="HV340" s="462"/>
      <c r="HW340" s="462"/>
      <c r="HX340" s="462"/>
      <c r="HY340" s="462"/>
      <c r="HZ340" s="462"/>
      <c r="IA340" s="462"/>
      <c r="IB340" s="416"/>
      <c r="IC340" s="416"/>
      <c r="ID340" s="462"/>
      <c r="IE340" s="456"/>
      <c r="IF340" s="433"/>
      <c r="IG340" s="483"/>
      <c r="IH340" s="321"/>
      <c r="II340" s="414"/>
      <c r="IJ340" s="412"/>
      <c r="IK340" s="413"/>
      <c r="IL340" s="412"/>
      <c r="IM340" s="412"/>
      <c r="IN340" s="412"/>
      <c r="IO340" s="431"/>
      <c r="IP340" s="412"/>
      <c r="IQ340" s="412"/>
      <c r="IR340" s="412"/>
      <c r="IS340" s="412"/>
      <c r="IT340" s="414"/>
      <c r="IU340" s="321"/>
      <c r="IV340" s="564"/>
    </row>
    <row r="341" spans="1:256" s="326" customFormat="1" ht="8.25" customHeight="1">
      <c r="A341" s="1308"/>
      <c r="B341" s="321"/>
      <c r="C341"/>
      <c r="D341"/>
      <c r="E341"/>
      <c r="F341"/>
      <c r="G341"/>
      <c r="H341"/>
      <c r="I341"/>
      <c r="J341"/>
      <c r="K341"/>
      <c r="L341"/>
      <c r="M341"/>
      <c r="N341"/>
      <c r="O341"/>
      <c r="P341" s="1310"/>
      <c r="Q341" s="483"/>
      <c r="R341"/>
      <c r="S341"/>
      <c r="T341"/>
      <c r="U341"/>
      <c r="V341"/>
      <c r="W341"/>
      <c r="X341"/>
      <c r="Y341"/>
      <c r="Z341"/>
      <c r="AA341"/>
      <c r="AB341"/>
      <c r="AC341"/>
      <c r="AD341"/>
      <c r="AE341"/>
      <c r="AF341"/>
      <c r="AG341" s="1337"/>
      <c r="AH341" s="414"/>
      <c r="AI341" s="444"/>
      <c r="AJ341" s="444"/>
      <c r="AK341" s="444"/>
      <c r="AL341" s="414"/>
      <c r="AM341" s="430"/>
      <c r="AN341" s="328"/>
      <c r="AO341" s="321"/>
      <c r="AP341" s="328"/>
      <c r="AQ341" s="439"/>
      <c r="AR341" s="421"/>
      <c r="AS341" s="321"/>
      <c r="AT341" s="321"/>
      <c r="AU341" s="321"/>
      <c r="AV341" s="321"/>
      <c r="AW341" s="1236"/>
      <c r="AX341" s="328"/>
      <c r="AY341" s="328"/>
      <c r="AZ341" s="453"/>
      <c r="BA341" s="440"/>
      <c r="BB341" s="328"/>
      <c r="BC341" s="446"/>
      <c r="BD341" s="433"/>
      <c r="BE341" s="426"/>
      <c r="BF341" s="422"/>
      <c r="BG341" s="426"/>
      <c r="BH341" s="328"/>
      <c r="BI341" s="328"/>
      <c r="BL341" s="1237"/>
      <c r="BM341" s="1236"/>
      <c r="BN341" s="328"/>
      <c r="BO341" s="446"/>
      <c r="BP341" s="433"/>
      <c r="BQ341" s="426"/>
      <c r="BR341" s="433"/>
      <c r="BS341" s="453"/>
      <c r="BT341" s="446"/>
      <c r="BU341" s="426"/>
      <c r="BV341" s="422"/>
      <c r="BW341" s="328"/>
      <c r="BX341" s="328"/>
      <c r="BY341" s="328"/>
      <c r="CB341" s="1237"/>
      <c r="CC341" s="1236"/>
      <c r="CD341" s="328"/>
      <c r="CE341" s="446"/>
      <c r="CF341" s="433"/>
      <c r="CG341" s="453"/>
      <c r="CH341" s="328"/>
      <c r="CI341" s="446"/>
      <c r="CJ341" s="440"/>
      <c r="CK341" s="328"/>
      <c r="CL341" s="453"/>
      <c r="CM341" s="446"/>
      <c r="CN341" s="426"/>
      <c r="CO341" s="328"/>
      <c r="CR341" s="1237"/>
      <c r="CS341" s="1236"/>
      <c r="CT341" s="328"/>
      <c r="CU341" s="433"/>
      <c r="CV341" s="422"/>
      <c r="CW341" s="426"/>
      <c r="CX341" s="328"/>
      <c r="CY341" s="426"/>
      <c r="CZ341" s="422"/>
      <c r="DA341" s="328"/>
      <c r="DB341" s="422"/>
      <c r="DC341" s="328"/>
      <c r="DD341" s="328"/>
      <c r="DE341" s="328"/>
      <c r="DH341" s="1237"/>
      <c r="DI341" s="321"/>
      <c r="DJ341"/>
      <c r="DK341"/>
      <c r="DL341"/>
      <c r="DM341"/>
      <c r="DN341"/>
      <c r="DO341"/>
      <c r="DP341"/>
      <c r="DQ341"/>
      <c r="DR341"/>
      <c r="DS341"/>
      <c r="DT341"/>
      <c r="DU341"/>
      <c r="DV341"/>
      <c r="DW341"/>
      <c r="DX341"/>
      <c r="DY341" s="483"/>
      <c r="DZ341"/>
      <c r="EA341"/>
      <c r="EB341"/>
      <c r="EC341"/>
      <c r="ED341"/>
      <c r="EE341"/>
      <c r="EF341"/>
      <c r="EG341"/>
      <c r="EH341"/>
      <c r="EI341"/>
      <c r="EJ341"/>
      <c r="EK341"/>
      <c r="EL341"/>
      <c r="EM341"/>
      <c r="EN341"/>
      <c r="EO341" s="483"/>
      <c r="EP341"/>
      <c r="EQ341"/>
      <c r="ER341"/>
      <c r="ES341"/>
      <c r="ET341"/>
      <c r="EU341"/>
      <c r="EV341"/>
      <c r="EW341"/>
      <c r="EX341"/>
      <c r="EY341"/>
      <c r="EZ341"/>
      <c r="FA341"/>
      <c r="FB341"/>
      <c r="FC341"/>
      <c r="FD341"/>
      <c r="FE341" s="483"/>
      <c r="FF341" s="321"/>
      <c r="FI341" s="321"/>
      <c r="FJ341" s="411"/>
      <c r="FK341" s="321"/>
      <c r="FL341" s="321"/>
      <c r="FM341" s="439"/>
      <c r="FN341" s="321"/>
      <c r="FO341" s="321"/>
      <c r="FP341" s="321"/>
      <c r="FS341" s="321"/>
      <c r="FT341" s="564"/>
      <c r="FU341" s="321"/>
      <c r="FV341" s="321"/>
      <c r="FZ341" s="321"/>
      <c r="GA341" s="440"/>
      <c r="GB341" s="433"/>
      <c r="GC341" s="440"/>
      <c r="GD341" s="426"/>
      <c r="GI341" s="321"/>
      <c r="GJ341" s="564"/>
      <c r="GK341" s="413"/>
      <c r="GL341" s="441"/>
      <c r="GM341" s="421"/>
      <c r="GN341" s="441"/>
      <c r="GO341" s="421"/>
      <c r="GP341" s="441"/>
      <c r="GQ341" s="421"/>
      <c r="GR341" s="441"/>
      <c r="GS341" s="421"/>
      <c r="GT341" s="441"/>
      <c r="GU341" s="421"/>
      <c r="GV341" s="441"/>
      <c r="GW341" s="421"/>
      <c r="GX341" s="441"/>
      <c r="GY341" s="421"/>
      <c r="GZ341" s="413"/>
      <c r="HA341" s="413"/>
      <c r="HB341" s="423"/>
      <c r="HC341" s="441"/>
      <c r="HD341" s="421"/>
      <c r="HE341" s="441"/>
      <c r="HF341" s="421"/>
      <c r="HG341" s="441"/>
      <c r="HH341" s="421"/>
      <c r="HI341" s="441"/>
      <c r="HJ341" s="421"/>
      <c r="HK341" s="441"/>
      <c r="HL341" s="421"/>
      <c r="HM341" s="441"/>
      <c r="HN341" s="421"/>
      <c r="HO341" s="441"/>
      <c r="HP341" s="413"/>
      <c r="HQ341" s="456"/>
      <c r="HR341" s="462"/>
      <c r="HS341" s="416"/>
      <c r="HT341" s="416"/>
      <c r="HU341" s="416"/>
      <c r="HV341" s="416"/>
      <c r="HW341" s="416"/>
      <c r="HX341" s="416"/>
      <c r="HY341" s="416"/>
      <c r="HZ341" s="416"/>
      <c r="IA341" s="416"/>
      <c r="IB341" s="416"/>
      <c r="IC341" s="416"/>
      <c r="ID341" s="416"/>
      <c r="IE341" s="462"/>
      <c r="IF341" s="456"/>
      <c r="IG341" s="1308"/>
      <c r="IH341" s="321"/>
      <c r="II341" s="414"/>
      <c r="IJ341" s="412"/>
      <c r="IK341" s="413"/>
      <c r="IL341" s="412"/>
      <c r="IM341" s="431"/>
      <c r="IN341" s="412"/>
      <c r="IO341" s="431"/>
      <c r="IP341" s="412"/>
      <c r="IQ341" s="412"/>
      <c r="IR341" s="412"/>
      <c r="IS341" s="431"/>
      <c r="IT341" s="414"/>
      <c r="IU341" s="321"/>
      <c r="IV341" s="1310"/>
    </row>
    <row r="342" spans="1:256" s="326" customFormat="1" ht="8.25" customHeight="1">
      <c r="A342" s="1308"/>
      <c r="B342" s="321"/>
      <c r="C342"/>
      <c r="D342"/>
      <c r="E342"/>
      <c r="F342"/>
      <c r="G342"/>
      <c r="H342"/>
      <c r="I342"/>
      <c r="J342"/>
      <c r="K342"/>
      <c r="L342"/>
      <c r="M342"/>
      <c r="N342"/>
      <c r="O342"/>
      <c r="P342" s="1310"/>
      <c r="Q342" s="483"/>
      <c r="R342"/>
      <c r="S342"/>
      <c r="T342"/>
      <c r="U342"/>
      <c r="V342"/>
      <c r="W342"/>
      <c r="X342"/>
      <c r="Y342"/>
      <c r="Z342"/>
      <c r="AA342"/>
      <c r="AB342"/>
      <c r="AC342"/>
      <c r="AD342"/>
      <c r="AE342"/>
      <c r="AF342"/>
      <c r="AG342" s="1337"/>
      <c r="AH342" s="432"/>
      <c r="AI342" s="444"/>
      <c r="AJ342" s="444"/>
      <c r="AK342" s="444"/>
      <c r="AL342" s="421"/>
      <c r="AM342" s="430"/>
      <c r="AN342" s="328"/>
      <c r="AO342" s="321"/>
      <c r="AP342" s="328"/>
      <c r="AQ342" s="439"/>
      <c r="AR342" s="421"/>
      <c r="AS342" s="321"/>
      <c r="AT342" s="321"/>
      <c r="AU342" s="321"/>
      <c r="AV342" s="321"/>
      <c r="AW342" s="1236"/>
      <c r="AX342" s="328"/>
      <c r="AY342" s="328"/>
      <c r="AZ342" s="426"/>
      <c r="BA342" s="328"/>
      <c r="BB342" s="328"/>
      <c r="BC342" s="446"/>
      <c r="BD342" s="328"/>
      <c r="BE342" s="440"/>
      <c r="BF342" s="422"/>
      <c r="BG342" s="328"/>
      <c r="BH342" s="328"/>
      <c r="BI342" s="328"/>
      <c r="BJ342" s="328"/>
      <c r="BK342" s="328"/>
      <c r="BL342" s="1237"/>
      <c r="BM342" s="1236"/>
      <c r="BN342" s="328"/>
      <c r="BO342" s="426"/>
      <c r="BP342" s="453"/>
      <c r="BQ342" s="446"/>
      <c r="BR342" s="446"/>
      <c r="BS342" s="440"/>
      <c r="BT342" s="440"/>
      <c r="BU342" s="426"/>
      <c r="BV342" s="426"/>
      <c r="BW342" s="422"/>
      <c r="BX342" s="440"/>
      <c r="BY342" s="328"/>
      <c r="BZ342" s="328"/>
      <c r="CA342" s="328"/>
      <c r="CB342" s="1237"/>
      <c r="CC342" s="1236"/>
      <c r="CD342" s="328"/>
      <c r="CE342" s="446"/>
      <c r="CF342" s="433"/>
      <c r="CG342" s="328"/>
      <c r="CH342" s="440"/>
      <c r="CI342" s="440"/>
      <c r="CJ342" s="440"/>
      <c r="CK342" s="422"/>
      <c r="CL342" s="440"/>
      <c r="CM342" s="433"/>
      <c r="CN342" s="433"/>
      <c r="CO342" s="328"/>
      <c r="CQ342" s="328"/>
      <c r="CR342" s="1237"/>
      <c r="CS342" s="1236"/>
      <c r="CT342" s="328"/>
      <c r="CU342" s="426"/>
      <c r="CV342" s="328"/>
      <c r="CW342" s="328"/>
      <c r="CX342" s="426"/>
      <c r="CY342" s="433"/>
      <c r="CZ342" s="422"/>
      <c r="DA342" s="422"/>
      <c r="DB342" s="426"/>
      <c r="DC342" s="422"/>
      <c r="DD342" s="328"/>
      <c r="DE342" s="328"/>
      <c r="DG342" s="328"/>
      <c r="DH342" s="1237"/>
      <c r="DI342" s="321"/>
      <c r="DJ342"/>
      <c r="DK342"/>
      <c r="DL342"/>
      <c r="DM342"/>
      <c r="DN342"/>
      <c r="DO342"/>
      <c r="DP342"/>
      <c r="DQ342"/>
      <c r="DR342"/>
      <c r="DS342"/>
      <c r="DT342"/>
      <c r="DU342"/>
      <c r="DV342"/>
      <c r="DW342"/>
      <c r="DX342"/>
      <c r="DY342" s="483"/>
      <c r="DZ342"/>
      <c r="EA342"/>
      <c r="EB342"/>
      <c r="EC342"/>
      <c r="ED342"/>
      <c r="EE342"/>
      <c r="EF342"/>
      <c r="EG342"/>
      <c r="EH342"/>
      <c r="EI342"/>
      <c r="EJ342"/>
      <c r="EK342"/>
      <c r="EL342"/>
      <c r="EM342"/>
      <c r="EN342"/>
      <c r="EO342" s="483"/>
      <c r="EP342"/>
      <c r="EQ342"/>
      <c r="ER342"/>
      <c r="ES342"/>
      <c r="ET342"/>
      <c r="EU342"/>
      <c r="EV342"/>
      <c r="EW342"/>
      <c r="EX342"/>
      <c r="EY342"/>
      <c r="EZ342"/>
      <c r="FA342"/>
      <c r="FB342"/>
      <c r="FC342"/>
      <c r="FD342"/>
      <c r="FE342" s="483"/>
      <c r="FF342" s="321"/>
      <c r="FI342" s="321"/>
      <c r="FJ342" s="421"/>
      <c r="FL342" s="321"/>
      <c r="FM342" s="321"/>
      <c r="FN342" s="409"/>
      <c r="FO342" s="321"/>
      <c r="FP342" s="321"/>
      <c r="FS342" s="321"/>
      <c r="FT342" s="564"/>
      <c r="FU342" s="321"/>
      <c r="FV342" s="321"/>
      <c r="GA342" s="446"/>
      <c r="GB342" s="321"/>
      <c r="GC342" s="321"/>
      <c r="GD342" s="321"/>
      <c r="GE342" s="446"/>
      <c r="GG342" s="426"/>
      <c r="GI342" s="321"/>
      <c r="GJ342" s="564"/>
      <c r="GK342" s="413"/>
      <c r="GL342" s="414"/>
      <c r="GM342" s="414"/>
      <c r="GN342" s="414"/>
      <c r="GO342" s="414"/>
      <c r="GP342" s="414"/>
      <c r="GQ342" s="414"/>
      <c r="GR342" s="414"/>
      <c r="GS342" s="414"/>
      <c r="GT342" s="414"/>
      <c r="GU342" s="414"/>
      <c r="GV342" s="414"/>
      <c r="GW342" s="414"/>
      <c r="GX342" s="414"/>
      <c r="GY342" s="414"/>
      <c r="GZ342" s="413"/>
      <c r="HA342" s="413"/>
      <c r="HB342" s="414"/>
      <c r="HC342" s="414"/>
      <c r="HD342" s="414"/>
      <c r="HE342" s="414"/>
      <c r="HF342" s="414"/>
      <c r="HG342" s="414"/>
      <c r="HH342" s="414"/>
      <c r="HI342" s="414"/>
      <c r="HJ342" s="414"/>
      <c r="HK342" s="414"/>
      <c r="HL342" s="414"/>
      <c r="HM342" s="414"/>
      <c r="HN342" s="414"/>
      <c r="HO342" s="414"/>
      <c r="HP342" s="413"/>
      <c r="HQ342" s="416"/>
      <c r="HR342" s="416"/>
      <c r="HS342" s="416"/>
      <c r="HT342" s="416"/>
      <c r="HU342" s="416"/>
      <c r="HV342" s="416"/>
      <c r="HW342" s="416"/>
      <c r="HX342" s="416"/>
      <c r="HY342" s="416"/>
      <c r="HZ342" s="416"/>
      <c r="IA342" s="416"/>
      <c r="IB342" s="416"/>
      <c r="IC342" s="416"/>
      <c r="ID342" s="416"/>
      <c r="IE342" s="416"/>
      <c r="IF342" s="416"/>
      <c r="IG342" s="1308"/>
      <c r="IH342" s="321"/>
      <c r="II342" s="414"/>
      <c r="IJ342" s="414"/>
      <c r="IK342" s="414"/>
      <c r="IL342" s="414"/>
      <c r="IM342" s="431"/>
      <c r="IN342" s="431"/>
      <c r="IO342" s="414"/>
      <c r="IP342" s="414"/>
      <c r="IQ342" s="414"/>
      <c r="IR342" s="431"/>
      <c r="IS342" s="431"/>
      <c r="IT342" s="414"/>
      <c r="IU342" s="321"/>
      <c r="IV342" s="1310"/>
    </row>
    <row r="343" spans="1:256" s="326" customFormat="1" ht="8.25" customHeight="1">
      <c r="A343" s="1308"/>
      <c r="B343" s="321"/>
      <c r="C343"/>
      <c r="D343"/>
      <c r="E343"/>
      <c r="F343"/>
      <c r="G343"/>
      <c r="H343"/>
      <c r="I343"/>
      <c r="J343"/>
      <c r="K343"/>
      <c r="L343"/>
      <c r="M343"/>
      <c r="N343"/>
      <c r="O343"/>
      <c r="P343" s="1310"/>
      <c r="Q343" s="483"/>
      <c r="R343"/>
      <c r="S343"/>
      <c r="T343"/>
      <c r="U343"/>
      <c r="V343"/>
      <c r="W343"/>
      <c r="X343"/>
      <c r="Y343"/>
      <c r="Z343"/>
      <c r="AA343"/>
      <c r="AB343"/>
      <c r="AC343"/>
      <c r="AD343"/>
      <c r="AE343"/>
      <c r="AF343"/>
      <c r="AG343" s="1337"/>
      <c r="AH343" s="432"/>
      <c r="AI343" s="432"/>
      <c r="AJ343" s="432"/>
      <c r="AK343" s="432"/>
      <c r="AL343" s="421"/>
      <c r="AM343" s="430"/>
      <c r="AN343" s="328"/>
      <c r="AO343" s="321"/>
      <c r="AP343" s="328"/>
      <c r="AQ343" s="439"/>
      <c r="AR343" s="421"/>
      <c r="AS343" s="421"/>
      <c r="AT343" s="421"/>
      <c r="AU343" s="421"/>
      <c r="AV343" s="421"/>
      <c r="AW343" s="1236"/>
      <c r="AX343" s="328"/>
      <c r="AY343" s="328"/>
      <c r="AZ343" s="453"/>
      <c r="BA343" s="328"/>
      <c r="BB343" s="328"/>
      <c r="BC343" s="328"/>
      <c r="BD343" s="328"/>
      <c r="BE343" s="328"/>
      <c r="BF343" s="328"/>
      <c r="BG343" s="328"/>
      <c r="BH343" s="328"/>
      <c r="BI343" s="328"/>
      <c r="BJ343" s="440"/>
      <c r="BK343" s="422"/>
      <c r="BL343" s="1237"/>
      <c r="BM343" s="1236"/>
      <c r="BN343" s="328"/>
      <c r="BO343" s="328"/>
      <c r="BP343" s="453"/>
      <c r="BQ343" s="328"/>
      <c r="BR343" s="440"/>
      <c r="BS343" s="446"/>
      <c r="BT343" s="426"/>
      <c r="BU343" s="440"/>
      <c r="BV343" s="426"/>
      <c r="BW343" s="422"/>
      <c r="BX343" s="426"/>
      <c r="BY343" s="328"/>
      <c r="BZ343" s="440"/>
      <c r="CA343" s="422"/>
      <c r="CB343" s="1237"/>
      <c r="CC343" s="1236"/>
      <c r="CD343" s="328"/>
      <c r="CE343" s="446"/>
      <c r="CF343" s="433"/>
      <c r="CG343" s="426"/>
      <c r="CH343" s="433"/>
      <c r="CI343" s="446"/>
      <c r="CJ343" s="426"/>
      <c r="CK343" s="422"/>
      <c r="CL343" s="426"/>
      <c r="CM343" s="433"/>
      <c r="CN343" s="328"/>
      <c r="CO343" s="328"/>
      <c r="CP343" s="440"/>
      <c r="CQ343" s="422"/>
      <c r="CR343" s="1237"/>
      <c r="CS343" s="1236"/>
      <c r="CT343" s="328"/>
      <c r="CU343" s="422"/>
      <c r="CV343" s="328"/>
      <c r="CW343" s="328"/>
      <c r="CX343" s="328"/>
      <c r="CY343" s="426"/>
      <c r="CZ343" s="328"/>
      <c r="DA343" s="422"/>
      <c r="DB343" s="426"/>
      <c r="DC343" s="422"/>
      <c r="DD343" s="328"/>
      <c r="DE343" s="328"/>
      <c r="DG343" s="328"/>
      <c r="DH343" s="1237"/>
      <c r="DI343" s="483"/>
      <c r="DJ343"/>
      <c r="DK343"/>
      <c r="DL343"/>
      <c r="DM343"/>
      <c r="DN343"/>
      <c r="DO343"/>
      <c r="DP343"/>
      <c r="DQ343"/>
      <c r="DR343"/>
      <c r="DS343"/>
      <c r="DT343"/>
      <c r="DU343"/>
      <c r="DV343"/>
      <c r="DW343"/>
      <c r="DX343"/>
      <c r="DY343" s="483"/>
      <c r="DZ343"/>
      <c r="EA343"/>
      <c r="EB343"/>
      <c r="EC343"/>
      <c r="ED343"/>
      <c r="EE343"/>
      <c r="EF343"/>
      <c r="EG343"/>
      <c r="EH343"/>
      <c r="EI343"/>
      <c r="EJ343"/>
      <c r="EK343"/>
      <c r="EL343"/>
      <c r="EM343"/>
      <c r="EN343"/>
      <c r="EO343" s="483"/>
      <c r="EP343"/>
      <c r="EQ343"/>
      <c r="ER343"/>
      <c r="ES343"/>
      <c r="ET343"/>
      <c r="EU343"/>
      <c r="EV343"/>
      <c r="EW343"/>
      <c r="EX343"/>
      <c r="EY343"/>
      <c r="EZ343"/>
      <c r="FA343"/>
      <c r="FB343"/>
      <c r="FC343"/>
      <c r="FD343"/>
      <c r="FE343" s="483"/>
      <c r="FF343" s="321"/>
      <c r="FI343" s="321"/>
      <c r="FJ343" s="321"/>
      <c r="FK343" s="321"/>
      <c r="FL343" s="321"/>
      <c r="FM343" s="321"/>
      <c r="FN343" s="321"/>
      <c r="FO343" s="321"/>
      <c r="FP343" s="321"/>
      <c r="FS343" s="321"/>
      <c r="FT343" s="564"/>
      <c r="FU343" s="483"/>
      <c r="FV343" s="321"/>
      <c r="FZ343" s="321"/>
      <c r="GA343" s="321"/>
      <c r="GB343" s="321"/>
      <c r="GC343" s="446"/>
      <c r="GD343" s="321"/>
      <c r="GI343" s="321"/>
      <c r="GJ343" s="564"/>
      <c r="GK343" s="413"/>
      <c r="GL343" s="413"/>
      <c r="GM343" s="413"/>
      <c r="GN343" s="413"/>
      <c r="GO343" s="413"/>
      <c r="GP343" s="413"/>
      <c r="GQ343" s="413"/>
      <c r="GR343" s="413"/>
      <c r="GS343" s="413"/>
      <c r="GT343" s="413"/>
      <c r="GU343" s="413"/>
      <c r="GV343" s="413"/>
      <c r="GW343" s="413"/>
      <c r="GX343" s="413"/>
      <c r="GY343" s="413"/>
      <c r="GZ343" s="413"/>
      <c r="HA343" s="413"/>
      <c r="HB343" s="413"/>
      <c r="HC343" s="413"/>
      <c r="HD343" s="413"/>
      <c r="HE343" s="413"/>
      <c r="HF343" s="413"/>
      <c r="HG343" s="413"/>
      <c r="HH343" s="413"/>
      <c r="HI343" s="413"/>
      <c r="HJ343" s="413"/>
      <c r="HK343" s="413"/>
      <c r="HL343" s="413"/>
      <c r="HM343" s="413"/>
      <c r="HN343" s="413"/>
      <c r="HO343" s="413"/>
      <c r="HP343" s="413"/>
      <c r="HQ343" s="462"/>
      <c r="HR343" s="439"/>
      <c r="HS343" s="460"/>
      <c r="HT343" s="439"/>
      <c r="HU343" s="439"/>
      <c r="HV343" s="439"/>
      <c r="HW343" s="464"/>
      <c r="HX343" s="439"/>
      <c r="HY343" s="439"/>
      <c r="HZ343" s="439"/>
      <c r="IA343" s="458"/>
      <c r="IB343" s="439"/>
      <c r="IC343" s="439"/>
      <c r="ID343" s="439"/>
      <c r="IE343" s="437"/>
      <c r="IF343" s="437"/>
      <c r="IG343" s="1308"/>
      <c r="IH343" s="321"/>
      <c r="IM343" s="431"/>
      <c r="IN343" s="431"/>
      <c r="IO343" s="431"/>
      <c r="IQ343" s="431"/>
      <c r="IR343" s="431"/>
      <c r="IU343" s="321"/>
      <c r="IV343" s="1310"/>
    </row>
    <row r="344" spans="1:256" s="326" customFormat="1" ht="8.25" customHeight="1">
      <c r="A344" s="1308"/>
      <c r="B344" s="321"/>
      <c r="C344"/>
      <c r="D344"/>
      <c r="E344"/>
      <c r="F344"/>
      <c r="G344"/>
      <c r="H344"/>
      <c r="I344"/>
      <c r="J344"/>
      <c r="K344"/>
      <c r="L344"/>
      <c r="M344"/>
      <c r="N344"/>
      <c r="O344"/>
      <c r="P344" s="1310"/>
      <c r="Q344" s="483"/>
      <c r="R344"/>
      <c r="S344"/>
      <c r="T344"/>
      <c r="U344"/>
      <c r="V344"/>
      <c r="W344"/>
      <c r="X344"/>
      <c r="Y344"/>
      <c r="Z344"/>
      <c r="AA344"/>
      <c r="AB344"/>
      <c r="AC344"/>
      <c r="AD344"/>
      <c r="AE344"/>
      <c r="AF344"/>
      <c r="AG344" s="1337"/>
      <c r="AH344" s="444"/>
      <c r="AI344" s="444"/>
      <c r="AJ344" s="420"/>
      <c r="AK344" s="444"/>
      <c r="AL344" s="444"/>
      <c r="AM344" s="430"/>
      <c r="AN344" s="328"/>
      <c r="AO344" s="321"/>
      <c r="AP344" s="328"/>
      <c r="AQ344" s="432"/>
      <c r="AR344" s="432"/>
      <c r="AS344" s="432"/>
      <c r="AT344" s="432"/>
      <c r="AU344" s="432"/>
      <c r="AV344" s="421"/>
      <c r="AW344" s="1236"/>
      <c r="AX344" s="328"/>
      <c r="AY344" s="328"/>
      <c r="AZ344" s="328"/>
      <c r="BA344" s="328"/>
      <c r="BB344" s="328"/>
      <c r="BC344" s="328"/>
      <c r="BD344" s="328"/>
      <c r="BE344" s="328"/>
      <c r="BF344" s="328"/>
      <c r="BG344" s="328"/>
      <c r="BH344" s="328"/>
      <c r="BI344" s="328"/>
      <c r="BJ344" s="328"/>
      <c r="BK344" s="328"/>
      <c r="BL344" s="1237"/>
      <c r="BM344" s="1236"/>
      <c r="BN344" s="328"/>
      <c r="BO344" s="328"/>
      <c r="BP344" s="426"/>
      <c r="BQ344" s="328"/>
      <c r="BR344" s="328"/>
      <c r="BS344" s="446"/>
      <c r="BT344" s="433"/>
      <c r="BU344" s="328"/>
      <c r="BV344" s="426"/>
      <c r="BW344" s="422"/>
      <c r="BX344" s="328"/>
      <c r="BY344" s="328"/>
      <c r="BZ344" s="328"/>
      <c r="CA344" s="328"/>
      <c r="CB344" s="1237"/>
      <c r="CC344" s="1236"/>
      <c r="CD344" s="328"/>
      <c r="CE344" s="426"/>
      <c r="CF344" s="453"/>
      <c r="CG344" s="446"/>
      <c r="CH344" s="446"/>
      <c r="CI344" s="433"/>
      <c r="CJ344" s="446"/>
      <c r="CK344" s="426"/>
      <c r="CL344" s="422"/>
      <c r="CM344" s="328"/>
      <c r="CN344" s="328"/>
      <c r="CO344" s="328"/>
      <c r="CQ344" s="328"/>
      <c r="CR344" s="1237"/>
      <c r="CS344" s="1236"/>
      <c r="CT344" s="328"/>
      <c r="CU344" s="328"/>
      <c r="CV344" s="422"/>
      <c r="CW344" s="422"/>
      <c r="CX344" s="328"/>
      <c r="CY344" s="328"/>
      <c r="CZ344" s="328"/>
      <c r="DA344" s="328"/>
      <c r="DB344" s="422"/>
      <c r="DC344" s="328"/>
      <c r="DD344" s="328"/>
      <c r="DE344" s="328"/>
      <c r="DG344" s="328"/>
      <c r="DH344" s="1237"/>
      <c r="DI344" s="483"/>
      <c r="DJ344"/>
      <c r="DK344"/>
      <c r="DL344"/>
      <c r="DM344"/>
      <c r="DN344"/>
      <c r="DO344"/>
      <c r="DP344"/>
      <c r="DQ344"/>
      <c r="DR344"/>
      <c r="DS344"/>
      <c r="DT344"/>
      <c r="DU344"/>
      <c r="DV344"/>
      <c r="DW344"/>
      <c r="DX344"/>
      <c r="DY344" s="483"/>
      <c r="DZ344"/>
      <c r="EA344"/>
      <c r="EB344"/>
      <c r="EC344"/>
      <c r="ED344"/>
      <c r="EE344"/>
      <c r="EF344"/>
      <c r="EG344"/>
      <c r="EH344"/>
      <c r="EI344"/>
      <c r="EJ344"/>
      <c r="EK344"/>
      <c r="EL344"/>
      <c r="EM344"/>
      <c r="EN344"/>
      <c r="EO344" s="483"/>
      <c r="EP344"/>
      <c r="EQ344"/>
      <c r="ER344"/>
      <c r="ES344"/>
      <c r="ET344"/>
      <c r="EU344"/>
      <c r="EV344"/>
      <c r="EW344"/>
      <c r="EX344"/>
      <c r="EY344"/>
      <c r="EZ344"/>
      <c r="FA344"/>
      <c r="FB344"/>
      <c r="FC344"/>
      <c r="FD344"/>
      <c r="FE344" s="483"/>
      <c r="FF344" s="321"/>
      <c r="FH344" s="321"/>
      <c r="FI344" s="321"/>
      <c r="FJ344" s="321"/>
      <c r="FK344" s="321"/>
      <c r="FL344" s="321"/>
      <c r="FM344" s="321"/>
      <c r="FN344" s="321"/>
      <c r="FO344" s="321"/>
      <c r="FP344" s="321"/>
      <c r="FS344" s="321"/>
      <c r="FT344" s="564"/>
      <c r="FU344" s="483"/>
      <c r="FV344" s="321"/>
      <c r="FX344" s="321"/>
      <c r="FY344" s="321"/>
      <c r="FZ344" s="321"/>
      <c r="GA344" s="321"/>
      <c r="GB344" s="321"/>
      <c r="GC344" s="433"/>
      <c r="GD344" s="321"/>
      <c r="GE344" s="321"/>
      <c r="GF344" s="321"/>
      <c r="GI344" s="321"/>
      <c r="GJ344" s="564"/>
      <c r="GK344" s="483"/>
      <c r="GL344" s="321"/>
      <c r="GM344" s="321"/>
      <c r="GN344" s="321"/>
      <c r="GO344" s="321"/>
      <c r="GP344" s="321"/>
      <c r="GQ344" s="321"/>
      <c r="GR344" s="321"/>
      <c r="GS344" s="321"/>
      <c r="GT344" s="321"/>
      <c r="GU344" s="321"/>
      <c r="GV344" s="321"/>
      <c r="GW344" s="321"/>
      <c r="GX344" s="321"/>
      <c r="GY344" s="321"/>
      <c r="GZ344" s="564"/>
      <c r="HA344" s="483"/>
      <c r="HB344" s="321"/>
      <c r="HC344" s="321"/>
      <c r="HD344" s="321"/>
      <c r="HE344" s="321"/>
      <c r="HF344" s="321"/>
      <c r="HG344" s="321"/>
      <c r="HH344" s="321"/>
      <c r="HI344" s="321"/>
      <c r="HJ344" s="321"/>
      <c r="HK344" s="321"/>
      <c r="HL344" s="321"/>
      <c r="HM344" s="321"/>
      <c r="HN344" s="321"/>
      <c r="HO344" s="321"/>
      <c r="HP344" s="564"/>
      <c r="HQ344" s="462"/>
      <c r="HR344" s="432"/>
      <c r="HS344" s="460"/>
      <c r="HT344" s="439"/>
      <c r="HU344" s="460"/>
      <c r="HV344" s="432"/>
      <c r="HW344" s="460"/>
      <c r="HX344" s="464"/>
      <c r="HY344" s="464"/>
      <c r="HZ344" s="432"/>
      <c r="IA344" s="458"/>
      <c r="IB344" s="439"/>
      <c r="IC344" s="463"/>
      <c r="ID344" s="432"/>
      <c r="IE344" s="450"/>
      <c r="IF344" s="437"/>
      <c r="IG344" s="1308"/>
      <c r="IH344" s="321"/>
      <c r="II344" s="321"/>
      <c r="IJ344" s="321"/>
      <c r="IK344" s="321"/>
      <c r="IM344" s="431"/>
      <c r="IN344" s="431"/>
      <c r="IR344" s="321"/>
      <c r="IS344" s="321"/>
      <c r="IT344" s="321"/>
      <c r="IU344" s="321"/>
      <c r="IV344" s="1310"/>
    </row>
    <row r="345" spans="1:256" s="326" customFormat="1" ht="8.25" customHeight="1">
      <c r="A345" s="483"/>
      <c r="B345" s="321"/>
      <c r="C345"/>
      <c r="D345"/>
      <c r="E345"/>
      <c r="F345"/>
      <c r="G345"/>
      <c r="H345"/>
      <c r="I345"/>
      <c r="J345"/>
      <c r="K345"/>
      <c r="L345"/>
      <c r="M345"/>
      <c r="N345"/>
      <c r="O345"/>
      <c r="P345" s="564"/>
      <c r="Q345" s="483"/>
      <c r="R345"/>
      <c r="S345"/>
      <c r="T345"/>
      <c r="U345"/>
      <c r="V345"/>
      <c r="W345"/>
      <c r="X345"/>
      <c r="Y345"/>
      <c r="Z345"/>
      <c r="AA345"/>
      <c r="AB345"/>
      <c r="AC345"/>
      <c r="AD345"/>
      <c r="AE345"/>
      <c r="AF345"/>
      <c r="AG345" s="1348"/>
      <c r="AH345" s="430"/>
      <c r="AI345" s="430"/>
      <c r="AJ345" s="420"/>
      <c r="AK345" s="430"/>
      <c r="AL345" s="430"/>
      <c r="AM345" s="425"/>
      <c r="AN345" s="328"/>
      <c r="AO345" s="321"/>
      <c r="AP345" s="328"/>
      <c r="AQ345" s="321"/>
      <c r="AR345" s="321"/>
      <c r="AS345" s="321"/>
      <c r="AT345" s="321"/>
      <c r="AU345" s="439"/>
      <c r="AV345" s="421"/>
      <c r="AW345" s="1236"/>
      <c r="AX345" s="328"/>
      <c r="AY345" s="328"/>
      <c r="AZ345" s="328"/>
      <c r="BA345" s="328"/>
      <c r="BB345" s="328"/>
      <c r="BC345" s="328"/>
      <c r="BD345" s="328"/>
      <c r="BE345" s="328"/>
      <c r="BF345" s="328"/>
      <c r="BG345" s="328"/>
      <c r="BH345" s="328"/>
      <c r="BI345" s="328"/>
      <c r="BJ345" s="328"/>
      <c r="BK345" s="328"/>
      <c r="BL345" s="1237"/>
      <c r="BM345" s="1236"/>
      <c r="BN345" s="328"/>
      <c r="BO345" s="328"/>
      <c r="BP345" s="453"/>
      <c r="BQ345" s="328"/>
      <c r="BR345" s="328"/>
      <c r="BS345" s="446"/>
      <c r="BT345" s="433"/>
      <c r="BU345" s="328"/>
      <c r="BV345" s="426"/>
      <c r="BW345" s="328"/>
      <c r="BX345" s="328"/>
      <c r="BY345" s="328"/>
      <c r="BZ345" s="328"/>
      <c r="CA345" s="328"/>
      <c r="CB345" s="1237"/>
      <c r="CC345" s="1236"/>
      <c r="CD345" s="328"/>
      <c r="CE345" s="328"/>
      <c r="CF345" s="453"/>
      <c r="CG345" s="328"/>
      <c r="CH345" s="440"/>
      <c r="CI345" s="446"/>
      <c r="CJ345" s="440"/>
      <c r="CK345" s="426"/>
      <c r="CL345" s="426"/>
      <c r="CM345" s="422"/>
      <c r="CN345" s="440"/>
      <c r="CO345" s="328"/>
      <c r="CP345" s="328"/>
      <c r="CQ345" s="328"/>
      <c r="CR345" s="1237"/>
      <c r="CS345" s="1236"/>
      <c r="CT345" s="328"/>
      <c r="CU345" s="328"/>
      <c r="CV345" s="426"/>
      <c r="CW345" s="328"/>
      <c r="CX345" s="426"/>
      <c r="CY345" s="328"/>
      <c r="CZ345" s="328"/>
      <c r="DA345" s="328"/>
      <c r="DB345" s="426"/>
      <c r="DC345" s="328"/>
      <c r="DD345" s="328"/>
      <c r="DE345" s="328"/>
      <c r="DF345" s="328"/>
      <c r="DG345" s="328"/>
      <c r="DH345" s="1237"/>
      <c r="DI345" s="483"/>
      <c r="DJ345"/>
      <c r="DK345"/>
      <c r="DL345"/>
      <c r="DM345"/>
      <c r="DN345"/>
      <c r="DO345"/>
      <c r="DP345"/>
      <c r="DQ345"/>
      <c r="DR345"/>
      <c r="DS345"/>
      <c r="DT345"/>
      <c r="DU345"/>
      <c r="DV345"/>
      <c r="DW345"/>
      <c r="DX345"/>
      <c r="DY345" s="483"/>
      <c r="DZ345"/>
      <c r="EA345"/>
      <c r="EB345"/>
      <c r="EC345"/>
      <c r="ED345"/>
      <c r="EE345"/>
      <c r="EF345"/>
      <c r="EG345"/>
      <c r="EH345"/>
      <c r="EI345"/>
      <c r="EJ345"/>
      <c r="EK345"/>
      <c r="EL345"/>
      <c r="EM345"/>
      <c r="EN345"/>
      <c r="EO345" s="483"/>
      <c r="EP345"/>
      <c r="EQ345"/>
      <c r="ER345"/>
      <c r="ES345"/>
      <c r="ET345"/>
      <c r="EU345"/>
      <c r="EV345"/>
      <c r="EW345"/>
      <c r="EX345"/>
      <c r="EY345"/>
      <c r="EZ345"/>
      <c r="FA345"/>
      <c r="FB345"/>
      <c r="FC345"/>
      <c r="FD345"/>
      <c r="FE345" s="483"/>
      <c r="FF345" s="321"/>
      <c r="FH345" s="321"/>
      <c r="FI345" s="321"/>
      <c r="FJ345" s="321"/>
      <c r="FK345" s="321"/>
      <c r="FL345" s="321"/>
      <c r="FM345" s="321"/>
      <c r="FN345" s="321"/>
      <c r="FO345" s="321"/>
      <c r="FP345" s="321"/>
      <c r="FS345" s="321"/>
      <c r="FT345" s="564"/>
      <c r="FU345" s="483"/>
      <c r="FV345" s="321"/>
      <c r="FX345" s="321"/>
      <c r="FY345" s="321"/>
      <c r="FZ345" s="321"/>
      <c r="GA345" s="321"/>
      <c r="GB345" s="321"/>
      <c r="GC345" s="321"/>
      <c r="GD345" s="321"/>
      <c r="GE345" s="321"/>
      <c r="GF345" s="321"/>
      <c r="GI345" s="321"/>
      <c r="GJ345" s="564"/>
      <c r="GK345" s="483"/>
      <c r="GL345" s="321"/>
      <c r="GM345" s="321"/>
      <c r="GN345" s="321"/>
      <c r="GO345" s="321"/>
      <c r="GP345" s="321"/>
      <c r="GQ345" s="321"/>
      <c r="GR345" s="321"/>
      <c r="GS345" s="321"/>
      <c r="GT345" s="321"/>
      <c r="GU345" s="321"/>
      <c r="GV345" s="321"/>
      <c r="GW345" s="321"/>
      <c r="GX345" s="321"/>
      <c r="GY345" s="321"/>
      <c r="GZ345" s="564"/>
      <c r="HA345" s="483"/>
      <c r="HB345" s="321"/>
      <c r="HC345" s="321"/>
      <c r="HD345" s="321"/>
      <c r="HE345" s="321"/>
      <c r="HF345" s="321"/>
      <c r="HG345" s="321"/>
      <c r="HH345" s="321"/>
      <c r="HI345" s="321"/>
      <c r="HJ345" s="321"/>
      <c r="HK345" s="321"/>
      <c r="HL345" s="321"/>
      <c r="HM345" s="321"/>
      <c r="HN345" s="321"/>
      <c r="HO345" s="321"/>
      <c r="HP345" s="564"/>
      <c r="HQ345" s="462"/>
      <c r="HR345" s="432"/>
      <c r="HS345" s="456"/>
      <c r="HT345" s="439"/>
      <c r="HU345" s="432"/>
      <c r="HV345" s="432"/>
      <c r="HW345" s="460"/>
      <c r="HX345" s="460"/>
      <c r="HY345" s="464"/>
      <c r="HZ345" s="432"/>
      <c r="IA345" s="464"/>
      <c r="IB345" s="439"/>
      <c r="IC345" s="432"/>
      <c r="ID345" s="432"/>
      <c r="IE345" s="457"/>
      <c r="IF345" s="450"/>
      <c r="IG345" s="483"/>
      <c r="IH345" s="321"/>
      <c r="II345" s="431"/>
      <c r="IJ345" s="321"/>
      <c r="IK345" s="321"/>
      <c r="IL345" s="321"/>
      <c r="IM345" s="431"/>
      <c r="IR345" s="321"/>
      <c r="IS345" s="321"/>
      <c r="IT345" s="321"/>
      <c r="IU345" s="321"/>
      <c r="IV345" s="564"/>
    </row>
    <row r="346" spans="1:256" s="326" customFormat="1" ht="8.25" customHeight="1">
      <c r="A346" s="483"/>
      <c r="B346" s="321"/>
      <c r="C346"/>
      <c r="D346"/>
      <c r="E346"/>
      <c r="F346"/>
      <c r="G346"/>
      <c r="H346"/>
      <c r="I346"/>
      <c r="J346"/>
      <c r="K346"/>
      <c r="L346"/>
      <c r="M346"/>
      <c r="N346"/>
      <c r="O346"/>
      <c r="P346" s="564"/>
      <c r="Q346" s="483"/>
      <c r="R346"/>
      <c r="S346"/>
      <c r="T346"/>
      <c r="U346"/>
      <c r="V346"/>
      <c r="W346"/>
      <c r="X346"/>
      <c r="Y346"/>
      <c r="Z346"/>
      <c r="AA346"/>
      <c r="AB346"/>
      <c r="AC346"/>
      <c r="AD346"/>
      <c r="AE346"/>
      <c r="AF346"/>
      <c r="AG346" s="483"/>
      <c r="AH346" s="321"/>
      <c r="AI346" s="321"/>
      <c r="AJ346" s="321"/>
      <c r="AK346" s="321"/>
      <c r="AL346" s="321"/>
      <c r="AM346" s="321"/>
      <c r="AN346" s="321"/>
      <c r="AO346" s="321"/>
      <c r="AP346" s="328"/>
      <c r="AQ346" s="321"/>
      <c r="AR346" s="321"/>
      <c r="AS346" s="321"/>
      <c r="AT346" s="321"/>
      <c r="AU346" s="439"/>
      <c r="AV346" s="421"/>
      <c r="AW346" s="440"/>
      <c r="AX346" s="328"/>
      <c r="AY346" s="328"/>
      <c r="AZ346" s="328"/>
      <c r="BA346" s="328"/>
      <c r="BB346" s="328"/>
      <c r="BC346" s="328"/>
      <c r="BD346" s="328"/>
      <c r="BE346" s="328"/>
      <c r="BF346" s="328"/>
      <c r="BG346" s="328"/>
      <c r="BH346" s="328"/>
      <c r="BI346" s="328"/>
      <c r="BJ346" s="328"/>
      <c r="BK346" s="328"/>
      <c r="BL346" s="1237"/>
      <c r="BM346" s="440"/>
      <c r="BN346" s="328"/>
      <c r="BO346" s="328"/>
      <c r="BP346" s="328"/>
      <c r="BQ346" s="328"/>
      <c r="BR346" s="328"/>
      <c r="BS346" s="328"/>
      <c r="BT346" s="433"/>
      <c r="BU346" s="328"/>
      <c r="BV346" s="328"/>
      <c r="BW346" s="328"/>
      <c r="BX346" s="328"/>
      <c r="BY346" s="328"/>
      <c r="BZ346" s="328"/>
      <c r="CA346" s="328"/>
      <c r="CB346" s="1237"/>
      <c r="CC346" s="440"/>
      <c r="CD346" s="328"/>
      <c r="CE346" s="328"/>
      <c r="CF346" s="426"/>
      <c r="CG346" s="328"/>
      <c r="CH346" s="328"/>
      <c r="CI346" s="440"/>
      <c r="CJ346" s="426"/>
      <c r="CK346" s="440"/>
      <c r="CL346" s="426"/>
      <c r="CM346" s="422"/>
      <c r="CN346" s="426"/>
      <c r="CO346" s="328"/>
      <c r="CP346" s="328"/>
      <c r="CQ346" s="328"/>
      <c r="CR346" s="1237"/>
      <c r="CS346" s="1236"/>
      <c r="CT346" s="328"/>
      <c r="CU346" s="328"/>
      <c r="CV346" s="328"/>
      <c r="CW346" s="328"/>
      <c r="CX346" s="328"/>
      <c r="CY346" s="422"/>
      <c r="CZ346" s="328"/>
      <c r="DA346" s="433"/>
      <c r="DB346" s="328"/>
      <c r="DC346" s="422"/>
      <c r="DD346" s="422"/>
      <c r="DE346" s="328"/>
      <c r="DF346" s="328"/>
      <c r="DG346" s="328"/>
      <c r="DH346" s="1237"/>
      <c r="DI346" s="483"/>
      <c r="DJ346"/>
      <c r="DK346"/>
      <c r="DL346"/>
      <c r="DM346"/>
      <c r="DN346"/>
      <c r="DO346"/>
      <c r="DP346"/>
      <c r="DQ346"/>
      <c r="DR346"/>
      <c r="DS346"/>
      <c r="DT346"/>
      <c r="DU346"/>
      <c r="DV346"/>
      <c r="DW346"/>
      <c r="DX346"/>
      <c r="DY346" s="483"/>
      <c r="DZ346"/>
      <c r="EA346"/>
      <c r="EB346"/>
      <c r="EC346"/>
      <c r="ED346"/>
      <c r="EE346"/>
      <c r="EF346"/>
      <c r="EG346"/>
      <c r="EH346"/>
      <c r="EI346"/>
      <c r="EJ346"/>
      <c r="EK346"/>
      <c r="EL346"/>
      <c r="EM346"/>
      <c r="EN346"/>
      <c r="EO346" s="483"/>
      <c r="EP346"/>
      <c r="EQ346"/>
      <c r="ER346"/>
      <c r="ES346"/>
      <c r="ET346"/>
      <c r="EU346"/>
      <c r="EV346"/>
      <c r="EW346"/>
      <c r="EX346"/>
      <c r="EY346"/>
      <c r="EZ346"/>
      <c r="FA346"/>
      <c r="FB346"/>
      <c r="FC346"/>
      <c r="FD346"/>
      <c r="FE346" s="483"/>
      <c r="FF346" s="321"/>
      <c r="FH346" s="321"/>
      <c r="FI346" s="321"/>
      <c r="FJ346" s="321"/>
      <c r="FK346" s="321"/>
      <c r="FL346" s="321"/>
      <c r="FM346" s="321"/>
      <c r="FN346" s="321"/>
      <c r="FO346" s="321"/>
      <c r="FP346" s="321"/>
      <c r="FS346" s="321"/>
      <c r="FT346" s="564"/>
      <c r="FU346" s="483"/>
      <c r="FV346" s="321"/>
      <c r="FX346" s="321"/>
      <c r="FY346" s="321"/>
      <c r="FZ346" s="321"/>
      <c r="GA346" s="321"/>
      <c r="GB346" s="321"/>
      <c r="GC346" s="321"/>
      <c r="GD346" s="321"/>
      <c r="GE346" s="321"/>
      <c r="GF346" s="321"/>
      <c r="GI346" s="321"/>
      <c r="GJ346" s="564"/>
      <c r="GK346" s="483"/>
      <c r="GL346" s="321"/>
      <c r="GM346" s="321"/>
      <c r="GN346" s="321"/>
      <c r="GO346" s="321"/>
      <c r="GP346" s="321"/>
      <c r="GQ346" s="321"/>
      <c r="GR346" s="321"/>
      <c r="GS346" s="321"/>
      <c r="GT346" s="321"/>
      <c r="GU346" s="321"/>
      <c r="GV346" s="321"/>
      <c r="GW346" s="321"/>
      <c r="GX346" s="321"/>
      <c r="GY346" s="321"/>
      <c r="GZ346" s="564"/>
      <c r="HA346" s="483"/>
      <c r="HB346" s="321"/>
      <c r="HC346" s="321"/>
      <c r="HD346" s="321"/>
      <c r="HE346" s="321"/>
      <c r="HF346" s="321"/>
      <c r="HG346" s="321"/>
      <c r="HH346" s="321"/>
      <c r="HI346" s="321"/>
      <c r="HJ346" s="321"/>
      <c r="HK346" s="321"/>
      <c r="HL346" s="321"/>
      <c r="HM346" s="321"/>
      <c r="HN346" s="321"/>
      <c r="HO346" s="321"/>
      <c r="HP346" s="564"/>
      <c r="HQ346" s="459"/>
      <c r="HR346" s="432"/>
      <c r="HS346" s="462"/>
      <c r="HT346" s="456"/>
      <c r="HU346" s="460"/>
      <c r="HV346" s="432"/>
      <c r="HW346" s="460"/>
      <c r="HX346" s="460"/>
      <c r="HY346" s="464"/>
      <c r="HZ346" s="432"/>
      <c r="IA346" s="464"/>
      <c r="IB346" s="464"/>
      <c r="IC346" s="458"/>
      <c r="ID346" s="432"/>
      <c r="IE346" s="463"/>
      <c r="IF346" s="457"/>
      <c r="IG346" s="483"/>
      <c r="IH346" s="321"/>
      <c r="II346" s="431"/>
      <c r="IJ346" s="431"/>
      <c r="IK346" s="321"/>
      <c r="IL346" s="321"/>
      <c r="IM346" s="321"/>
      <c r="IN346" s="321"/>
      <c r="IO346" s="321"/>
      <c r="IP346" s="412"/>
      <c r="IQ346" s="321"/>
      <c r="IR346" s="321"/>
      <c r="IS346" s="321"/>
      <c r="IT346" s="321"/>
      <c r="IU346" s="321"/>
      <c r="IV346" s="564"/>
    </row>
    <row r="347" spans="1:256" s="326" customFormat="1" ht="8.25" customHeight="1">
      <c r="A347" s="483"/>
      <c r="B347" s="321"/>
      <c r="C347" s="321"/>
      <c r="D347" s="321"/>
      <c r="E347" s="321"/>
      <c r="F347" s="321"/>
      <c r="G347" s="321"/>
      <c r="K347" s="321"/>
      <c r="L347" s="321"/>
      <c r="M347" s="321"/>
      <c r="N347" s="321"/>
      <c r="O347" s="321"/>
      <c r="P347" s="564"/>
      <c r="Q347" s="483"/>
      <c r="R347"/>
      <c r="S347"/>
      <c r="T347"/>
      <c r="U347"/>
      <c r="V347"/>
      <c r="W347"/>
      <c r="X347"/>
      <c r="Y347"/>
      <c r="Z347"/>
      <c r="AA347"/>
      <c r="AB347"/>
      <c r="AC347"/>
      <c r="AD347"/>
      <c r="AE347"/>
      <c r="AF347"/>
      <c r="AG347" s="483"/>
      <c r="AH347" s="321"/>
      <c r="AI347" s="321"/>
      <c r="AJ347" s="321"/>
      <c r="AK347" s="321"/>
      <c r="AL347" s="321"/>
      <c r="AM347" s="321"/>
      <c r="AN347" s="321"/>
      <c r="AO347" s="321"/>
      <c r="AP347" s="328"/>
      <c r="AQ347" s="321"/>
      <c r="AR347" s="321"/>
      <c r="AS347" s="321"/>
      <c r="AT347" s="321"/>
      <c r="AU347" s="439"/>
      <c r="AV347" s="421"/>
      <c r="AW347" s="1236"/>
      <c r="AX347" s="328"/>
      <c r="AY347" s="328"/>
      <c r="AZ347" s="328"/>
      <c r="BA347" s="328"/>
      <c r="BB347" s="328"/>
      <c r="BC347" s="328"/>
      <c r="BD347" s="328"/>
      <c r="BE347" s="328"/>
      <c r="BF347" s="328"/>
      <c r="BG347" s="328"/>
      <c r="BH347" s="328"/>
      <c r="BI347" s="328"/>
      <c r="BJ347" s="328"/>
      <c r="BK347" s="328"/>
      <c r="BL347" s="1237"/>
      <c r="BM347" s="1236"/>
      <c r="BN347" s="328"/>
      <c r="BO347" s="328"/>
      <c r="BP347" s="328"/>
      <c r="BQ347" s="328"/>
      <c r="BR347" s="328"/>
      <c r="BS347" s="328"/>
      <c r="BT347" s="328"/>
      <c r="BU347" s="328"/>
      <c r="BV347" s="328"/>
      <c r="BW347" s="328"/>
      <c r="BX347" s="328"/>
      <c r="BY347" s="328"/>
      <c r="BZ347" s="328"/>
      <c r="CA347" s="328"/>
      <c r="CB347" s="1237"/>
      <c r="CC347" s="1236"/>
      <c r="CD347" s="328"/>
      <c r="CE347" s="328"/>
      <c r="CF347" s="453"/>
      <c r="CG347" s="328"/>
      <c r="CH347" s="328"/>
      <c r="CI347" s="446"/>
      <c r="CJ347" s="433"/>
      <c r="CK347" s="328"/>
      <c r="CL347" s="426"/>
      <c r="CM347" s="422"/>
      <c r="CN347" s="328"/>
      <c r="CO347" s="328"/>
      <c r="CP347" s="328"/>
      <c r="CQ347" s="328"/>
      <c r="CR347" s="1237"/>
      <c r="CS347" s="1236"/>
      <c r="CT347" s="328"/>
      <c r="CU347" s="328"/>
      <c r="CV347" s="328"/>
      <c r="CW347" s="328"/>
      <c r="CX347" s="328"/>
      <c r="CY347" s="422"/>
      <c r="CZ347" s="328"/>
      <c r="DA347" s="328"/>
      <c r="DB347" s="426"/>
      <c r="DC347" s="328"/>
      <c r="DD347" s="328"/>
      <c r="DE347" s="328"/>
      <c r="DF347" s="328"/>
      <c r="DG347" s="328"/>
      <c r="DH347" s="1237"/>
      <c r="DI347" s="483"/>
      <c r="DJ347"/>
      <c r="DK347"/>
      <c r="DL347"/>
      <c r="DM347"/>
      <c r="DN347"/>
      <c r="DO347"/>
      <c r="DP347"/>
      <c r="DQ347"/>
      <c r="DR347"/>
      <c r="DS347"/>
      <c r="DT347"/>
      <c r="DU347"/>
      <c r="DV347"/>
      <c r="DW347"/>
      <c r="DX347"/>
      <c r="DY347" s="483"/>
      <c r="DZ347"/>
      <c r="EA347"/>
      <c r="EB347"/>
      <c r="EC347"/>
      <c r="ED347"/>
      <c r="EE347"/>
      <c r="EF347"/>
      <c r="EG347"/>
      <c r="EH347"/>
      <c r="EI347"/>
      <c r="EJ347"/>
      <c r="EK347"/>
      <c r="EL347"/>
      <c r="EM347"/>
      <c r="EN347"/>
      <c r="EO347" s="483"/>
      <c r="EP347"/>
      <c r="EQ347"/>
      <c r="ER347"/>
      <c r="ES347"/>
      <c r="ET347"/>
      <c r="EU347"/>
      <c r="EV347"/>
      <c r="EW347"/>
      <c r="EX347"/>
      <c r="EY347"/>
      <c r="EZ347"/>
      <c r="FA347"/>
      <c r="FB347"/>
      <c r="FC347"/>
      <c r="FD347"/>
      <c r="FE347" s="483"/>
      <c r="FF347" s="321"/>
      <c r="FG347" s="321"/>
      <c r="FH347" s="321"/>
      <c r="FI347" s="321"/>
      <c r="FJ347" s="321"/>
      <c r="FK347" s="321"/>
      <c r="FL347" s="321"/>
      <c r="FM347" s="321"/>
      <c r="FN347" s="321"/>
      <c r="FO347" s="321"/>
      <c r="FP347" s="321"/>
      <c r="FQ347" s="321"/>
      <c r="FR347" s="321"/>
      <c r="FS347" s="321"/>
      <c r="FT347" s="564"/>
      <c r="FU347" s="483"/>
      <c r="FV347" s="321"/>
      <c r="FW347" s="321"/>
      <c r="FX347" s="321"/>
      <c r="FY347" s="321"/>
      <c r="FZ347" s="321"/>
      <c r="GA347" s="321"/>
      <c r="GB347" s="321"/>
      <c r="GC347" s="321"/>
      <c r="GD347" s="321"/>
      <c r="GE347" s="321"/>
      <c r="GF347" s="321"/>
      <c r="GG347" s="321"/>
      <c r="GH347" s="321"/>
      <c r="GI347" s="321"/>
      <c r="GJ347" s="564"/>
      <c r="GK347" s="483"/>
      <c r="GL347" s="321"/>
      <c r="GM347" s="321"/>
      <c r="GN347" s="321"/>
      <c r="GO347" s="321"/>
      <c r="GP347" s="321"/>
      <c r="GQ347" s="321"/>
      <c r="GR347" s="321"/>
      <c r="GS347" s="321"/>
      <c r="GT347" s="321"/>
      <c r="GU347" s="321"/>
      <c r="GV347" s="321"/>
      <c r="GW347" s="321"/>
      <c r="GX347" s="321"/>
      <c r="GY347" s="321"/>
      <c r="GZ347" s="564"/>
      <c r="HA347" s="483"/>
      <c r="HB347" s="321"/>
      <c r="HC347" s="321"/>
      <c r="HD347" s="321"/>
      <c r="HE347" s="321"/>
      <c r="HF347" s="321"/>
      <c r="HG347" s="321"/>
      <c r="HH347" s="321"/>
      <c r="HI347" s="321"/>
      <c r="HJ347" s="321"/>
      <c r="HK347" s="321"/>
      <c r="HL347" s="321"/>
      <c r="HM347" s="321"/>
      <c r="HN347" s="321"/>
      <c r="HO347" s="321"/>
      <c r="HP347" s="564"/>
      <c r="HQ347" s="453"/>
      <c r="HR347" s="432"/>
      <c r="HS347" s="462"/>
      <c r="HT347" s="439"/>
      <c r="HU347" s="432"/>
      <c r="HV347" s="432"/>
      <c r="HW347" s="460"/>
      <c r="HX347" s="460"/>
      <c r="HY347" s="460"/>
      <c r="HZ347" s="432"/>
      <c r="IA347" s="464"/>
      <c r="IB347" s="432"/>
      <c r="IC347" s="432"/>
      <c r="ID347" s="432"/>
      <c r="IE347" s="458"/>
      <c r="IF347" s="463"/>
      <c r="IG347" s="483"/>
      <c r="IH347" s="321"/>
      <c r="II347" s="412"/>
      <c r="IJ347" s="431"/>
      <c r="IK347" s="431"/>
      <c r="IL347" s="321"/>
      <c r="IM347" s="321"/>
      <c r="IN347" s="321"/>
      <c r="IO347" s="321"/>
      <c r="IP347" s="412"/>
      <c r="IQ347" s="412"/>
      <c r="IR347" s="321"/>
      <c r="IS347" s="321"/>
      <c r="IT347" s="321"/>
      <c r="IU347" s="321"/>
      <c r="IV347" s="564"/>
    </row>
    <row r="348" spans="1:256" s="326" customFormat="1" ht="8.25" customHeight="1">
      <c r="A348" s="483"/>
      <c r="B348" s="321"/>
      <c r="C348" s="321"/>
      <c r="D348" s="321"/>
      <c r="E348" s="429"/>
      <c r="F348" s="321"/>
      <c r="G348" s="429"/>
      <c r="H348" s="321"/>
      <c r="I348" s="429"/>
      <c r="J348" s="321"/>
      <c r="K348" s="429"/>
      <c r="L348" s="321"/>
      <c r="M348" s="321"/>
      <c r="N348" s="321"/>
      <c r="O348" s="321"/>
      <c r="P348" s="564"/>
      <c r="Q348" s="483"/>
      <c r="R348"/>
      <c r="S348"/>
      <c r="T348"/>
      <c r="U348"/>
      <c r="V348"/>
      <c r="W348"/>
      <c r="X348"/>
      <c r="Y348"/>
      <c r="Z348"/>
      <c r="AA348"/>
      <c r="AB348"/>
      <c r="AC348"/>
      <c r="AD348"/>
      <c r="AE348"/>
      <c r="AF348"/>
      <c r="AG348" s="483"/>
      <c r="AH348" s="321"/>
      <c r="AI348" s="321"/>
      <c r="AJ348" s="321"/>
      <c r="AK348" s="321"/>
      <c r="AL348" s="321"/>
      <c r="AM348" s="321"/>
      <c r="AN348" s="321"/>
      <c r="AO348" s="321"/>
      <c r="AP348" s="328"/>
      <c r="AQ348" s="321"/>
      <c r="AR348" s="321"/>
      <c r="AS348" s="321"/>
      <c r="AT348" s="321"/>
      <c r="AU348" s="439"/>
      <c r="AV348" s="421"/>
      <c r="AW348" s="1236"/>
      <c r="AX348" s="328"/>
      <c r="AY348" s="328"/>
      <c r="AZ348" s="328"/>
      <c r="BA348" s="328"/>
      <c r="BB348" s="328"/>
      <c r="BC348" s="328"/>
      <c r="BD348" s="328"/>
      <c r="BE348" s="328"/>
      <c r="BF348" s="328"/>
      <c r="BG348" s="328"/>
      <c r="BH348" s="440"/>
      <c r="BI348" s="453"/>
      <c r="BJ348" s="328"/>
      <c r="BK348" s="328"/>
      <c r="BL348" s="1237"/>
      <c r="BM348" s="1236"/>
      <c r="BN348" s="328"/>
      <c r="BO348" s="328"/>
      <c r="BP348" s="328"/>
      <c r="BQ348" s="328"/>
      <c r="BR348" s="328"/>
      <c r="BS348" s="328"/>
      <c r="BT348" s="328"/>
      <c r="BU348" s="328"/>
      <c r="BV348" s="328"/>
      <c r="BW348" s="328"/>
      <c r="BX348" s="453"/>
      <c r="BY348" s="440"/>
      <c r="BZ348" s="328"/>
      <c r="CA348" s="328"/>
      <c r="CB348" s="1237"/>
      <c r="CC348" s="1236"/>
      <c r="CD348" s="328"/>
      <c r="CE348" s="328"/>
      <c r="CF348" s="328"/>
      <c r="CG348" s="328"/>
      <c r="CH348" s="328"/>
      <c r="CI348" s="422"/>
      <c r="CJ348" s="433"/>
      <c r="CK348" s="328"/>
      <c r="CL348" s="426"/>
      <c r="CM348" s="328"/>
      <c r="CN348" s="422"/>
      <c r="CO348" s="440"/>
      <c r="CP348" s="328"/>
      <c r="CQ348" s="328"/>
      <c r="CR348" s="1237"/>
      <c r="CS348" s="1236"/>
      <c r="CT348" s="328"/>
      <c r="CU348" s="328"/>
      <c r="CV348" s="328"/>
      <c r="CW348" s="328"/>
      <c r="CX348" s="328"/>
      <c r="CY348" s="426"/>
      <c r="CZ348" s="328"/>
      <c r="DA348" s="328"/>
      <c r="DB348" s="426"/>
      <c r="DC348" s="328"/>
      <c r="DD348" s="422"/>
      <c r="DE348" s="328"/>
      <c r="DF348" s="328"/>
      <c r="DG348" s="328"/>
      <c r="DH348" s="1237"/>
      <c r="DI348" s="483"/>
      <c r="DJ348"/>
      <c r="DK348"/>
      <c r="DL348"/>
      <c r="DM348"/>
      <c r="DN348"/>
      <c r="DO348"/>
      <c r="DP348"/>
      <c r="DQ348"/>
      <c r="DR348"/>
      <c r="DS348"/>
      <c r="DT348"/>
      <c r="DU348"/>
      <c r="DV348"/>
      <c r="DW348"/>
      <c r="DX348"/>
      <c r="DY348" s="483"/>
      <c r="DZ348"/>
      <c r="EA348"/>
      <c r="EB348"/>
      <c r="EC348"/>
      <c r="ED348"/>
      <c r="EE348"/>
      <c r="EF348"/>
      <c r="EG348"/>
      <c r="EH348"/>
      <c r="EI348"/>
      <c r="EJ348"/>
      <c r="EK348"/>
      <c r="EL348"/>
      <c r="EM348"/>
      <c r="EN348"/>
      <c r="EO348" s="483"/>
      <c r="EP348"/>
      <c r="EQ348"/>
      <c r="ER348"/>
      <c r="ES348"/>
      <c r="ET348"/>
      <c r="EU348"/>
      <c r="EV348"/>
      <c r="EW348"/>
      <c r="EX348"/>
      <c r="EY348"/>
      <c r="EZ348"/>
      <c r="FA348"/>
      <c r="FB348"/>
      <c r="FC348"/>
      <c r="FD348"/>
      <c r="FE348" s="483"/>
      <c r="FF348" s="321"/>
      <c r="FG348" s="321"/>
      <c r="FH348" s="321"/>
      <c r="FI348" s="321"/>
      <c r="FJ348" s="321"/>
      <c r="FK348" s="321"/>
      <c r="FL348" s="321"/>
      <c r="FM348" s="321"/>
      <c r="FN348" s="321"/>
      <c r="FO348" s="321"/>
      <c r="FP348" s="321"/>
      <c r="FQ348" s="321"/>
      <c r="FR348" s="321"/>
      <c r="FS348" s="321"/>
      <c r="FT348" s="564"/>
      <c r="FU348" s="483"/>
      <c r="FV348" s="321"/>
      <c r="FW348" s="321"/>
      <c r="FX348" s="321"/>
      <c r="FY348" s="321"/>
      <c r="FZ348" s="321"/>
      <c r="GA348" s="321"/>
      <c r="GB348" s="321"/>
      <c r="GC348" s="321"/>
      <c r="GD348" s="321"/>
      <c r="GE348" s="321"/>
      <c r="GF348" s="321"/>
      <c r="GG348" s="321"/>
      <c r="GH348" s="321"/>
      <c r="GI348" s="321"/>
      <c r="GJ348" s="564"/>
      <c r="GK348" s="483"/>
      <c r="GL348" s="321"/>
      <c r="GM348" s="321"/>
      <c r="GN348" s="321"/>
      <c r="GO348" s="321"/>
      <c r="GP348" s="321"/>
      <c r="GQ348" s="321"/>
      <c r="GR348" s="321"/>
      <c r="GS348" s="321"/>
      <c r="GT348" s="321"/>
      <c r="GU348" s="321"/>
      <c r="GV348" s="321"/>
      <c r="GW348" s="321"/>
      <c r="GX348" s="321"/>
      <c r="GY348" s="321"/>
      <c r="GZ348" s="564"/>
      <c r="HA348" s="483"/>
      <c r="HB348" s="321"/>
      <c r="HC348" s="321"/>
      <c r="HD348" s="321"/>
      <c r="HE348" s="321"/>
      <c r="HF348" s="321"/>
      <c r="HG348" s="321"/>
      <c r="HH348" s="321"/>
      <c r="HI348" s="321"/>
      <c r="HJ348" s="321"/>
      <c r="HK348" s="321"/>
      <c r="HL348" s="321"/>
      <c r="HM348" s="321"/>
      <c r="HN348" s="321"/>
      <c r="HO348" s="321"/>
      <c r="HP348" s="564"/>
      <c r="HQ348" s="446"/>
      <c r="HR348" s="453"/>
      <c r="HS348" s="459"/>
      <c r="HT348" s="462"/>
      <c r="HU348" s="462"/>
      <c r="HV348" s="456"/>
      <c r="HW348" s="460"/>
      <c r="HX348" s="460"/>
      <c r="HY348" s="460"/>
      <c r="HZ348" s="460"/>
      <c r="IA348" s="464"/>
      <c r="IB348" s="464"/>
      <c r="IC348" s="464"/>
      <c r="ID348" s="464"/>
      <c r="IE348" s="464"/>
      <c r="IF348" s="458"/>
      <c r="IG348" s="483"/>
      <c r="IH348" s="321"/>
      <c r="II348" s="321"/>
      <c r="IJ348" s="321"/>
      <c r="IK348" s="412"/>
      <c r="IL348" s="431"/>
      <c r="IM348" s="321"/>
      <c r="IN348" s="321"/>
      <c r="IO348" s="321"/>
      <c r="IP348" s="321"/>
      <c r="IQ348" s="412"/>
      <c r="IR348" s="321"/>
      <c r="IS348" s="321"/>
      <c r="IT348" s="321"/>
      <c r="IU348" s="321"/>
      <c r="IV348" s="564"/>
    </row>
    <row r="349" spans="1:256" s="326" customFormat="1" ht="8.25" customHeight="1">
      <c r="A349" s="483"/>
      <c r="B349" s="321"/>
      <c r="C349" s="321"/>
      <c r="D349" s="427"/>
      <c r="E349" s="443"/>
      <c r="F349" s="427"/>
      <c r="G349" s="443"/>
      <c r="H349" s="423"/>
      <c r="I349" s="443"/>
      <c r="J349" s="423"/>
      <c r="K349" s="443"/>
      <c r="L349" s="423"/>
      <c r="M349" s="321"/>
      <c r="N349" s="321"/>
      <c r="O349" s="321"/>
      <c r="P349" s="564"/>
      <c r="Q349" s="483"/>
      <c r="R349"/>
      <c r="S349"/>
      <c r="T349"/>
      <c r="U349"/>
      <c r="V349"/>
      <c r="W349"/>
      <c r="X349"/>
      <c r="Y349"/>
      <c r="Z349"/>
      <c r="AA349"/>
      <c r="AB349"/>
      <c r="AC349"/>
      <c r="AD349"/>
      <c r="AE349"/>
      <c r="AF349"/>
      <c r="AG349" s="483"/>
      <c r="AH349" s="321"/>
      <c r="AI349" s="321"/>
      <c r="AJ349" s="321"/>
      <c r="AK349" s="321"/>
      <c r="AL349" s="321"/>
      <c r="AM349" s="321"/>
      <c r="AN349" s="321"/>
      <c r="AO349" s="321"/>
      <c r="AP349" s="328"/>
      <c r="AQ349" s="321"/>
      <c r="AR349" s="321"/>
      <c r="AS349" s="321"/>
      <c r="AT349" s="321"/>
      <c r="AU349" s="439"/>
      <c r="AV349" s="421"/>
      <c r="AW349" s="1236"/>
      <c r="AX349" s="328"/>
      <c r="AY349" s="328"/>
      <c r="AZ349" s="328"/>
      <c r="BA349" s="328"/>
      <c r="BB349" s="426"/>
      <c r="BC349" s="328"/>
      <c r="BD349" s="328"/>
      <c r="BE349" s="328"/>
      <c r="BF349" s="328"/>
      <c r="BG349" s="328"/>
      <c r="BH349" s="422"/>
      <c r="BI349" s="328"/>
      <c r="BJ349" s="328"/>
      <c r="BK349" s="328"/>
      <c r="BL349" s="1237"/>
      <c r="BM349" s="1236"/>
      <c r="BN349" s="328"/>
      <c r="BO349" s="328"/>
      <c r="BP349" s="328"/>
      <c r="BQ349" s="328"/>
      <c r="BR349" s="426"/>
      <c r="BS349" s="328"/>
      <c r="BT349" s="328"/>
      <c r="BU349" s="328"/>
      <c r="BV349" s="328"/>
      <c r="BW349" s="328"/>
      <c r="BX349" s="453"/>
      <c r="BY349" s="328"/>
      <c r="BZ349" s="328"/>
      <c r="CA349" s="328"/>
      <c r="CB349" s="1237"/>
      <c r="CC349" s="1236"/>
      <c r="CD349" s="328"/>
      <c r="CE349" s="328"/>
      <c r="CF349" s="328"/>
      <c r="CG349" s="328"/>
      <c r="CH349" s="426"/>
      <c r="CI349" s="446"/>
      <c r="CJ349" s="433"/>
      <c r="CK349" s="328"/>
      <c r="CL349" s="328"/>
      <c r="CM349" s="328"/>
      <c r="CN349" s="453"/>
      <c r="CO349" s="440"/>
      <c r="CP349" s="328"/>
      <c r="CQ349" s="328"/>
      <c r="CR349" s="1237"/>
      <c r="CS349" s="1236"/>
      <c r="CT349" s="328"/>
      <c r="CU349" s="328"/>
      <c r="CV349" s="328"/>
      <c r="CW349" s="328"/>
      <c r="CX349" s="328"/>
      <c r="CY349" s="426"/>
      <c r="CZ349" s="422"/>
      <c r="DA349" s="328"/>
      <c r="DB349" s="328"/>
      <c r="DC349" s="328"/>
      <c r="DD349" s="422"/>
      <c r="DE349" s="426"/>
      <c r="DF349" s="328"/>
      <c r="DG349" s="328"/>
      <c r="DH349" s="1237"/>
      <c r="DI349" s="483"/>
      <c r="DJ349"/>
      <c r="DK349"/>
      <c r="DL349"/>
      <c r="DM349"/>
      <c r="DN349"/>
      <c r="DO349"/>
      <c r="DP349"/>
      <c r="DQ349"/>
      <c r="DR349"/>
      <c r="DS349"/>
      <c r="DT349"/>
      <c r="DU349"/>
      <c r="DV349"/>
      <c r="DW349"/>
      <c r="DX349"/>
      <c r="DY349" s="483"/>
      <c r="DZ349" s="321"/>
      <c r="EA349" s="321"/>
      <c r="EB349" s="321"/>
      <c r="EC349" s="321"/>
      <c r="ED349" s="321"/>
      <c r="EE349" s="461">
        <v>0</v>
      </c>
      <c r="EF349" s="321"/>
      <c r="EG349" s="461">
        <v>0</v>
      </c>
      <c r="EH349" s="321"/>
      <c r="EI349" s="321"/>
      <c r="EJ349" s="321"/>
      <c r="EK349" s="321"/>
      <c r="EL349" s="321"/>
      <c r="EM349" s="321"/>
      <c r="EN349" s="564"/>
      <c r="EO349" s="483"/>
      <c r="EP349" s="321"/>
      <c r="EQ349" s="321"/>
      <c r="ER349" s="321"/>
      <c r="ES349" s="321"/>
      <c r="ET349" s="461">
        <v>0</v>
      </c>
      <c r="EU349" s="321">
        <v>10</v>
      </c>
      <c r="EV349" s="461">
        <v>0</v>
      </c>
      <c r="EW349" s="321">
        <v>10</v>
      </c>
      <c r="EX349" s="461">
        <v>0</v>
      </c>
      <c r="EY349" s="321"/>
      <c r="EZ349" s="321"/>
      <c r="FA349" s="321"/>
      <c r="FB349" s="321"/>
      <c r="FC349" s="321"/>
      <c r="FD349" s="564"/>
      <c r="FE349" s="483"/>
      <c r="FF349" s="321"/>
      <c r="FG349" s="321"/>
      <c r="FH349" s="321"/>
      <c r="FI349" s="321"/>
      <c r="FJ349" s="321"/>
      <c r="FK349" s="321"/>
      <c r="FL349" s="321"/>
      <c r="FM349" s="321"/>
      <c r="FN349" s="321"/>
      <c r="FO349" s="321"/>
      <c r="FP349" s="321"/>
      <c r="FQ349" s="321"/>
      <c r="FR349" s="321"/>
      <c r="FS349" s="321"/>
      <c r="FT349" s="564"/>
      <c r="FU349" s="483"/>
      <c r="FV349" s="321"/>
      <c r="FW349" s="321"/>
      <c r="FX349" s="321"/>
      <c r="FY349" s="321"/>
      <c r="FZ349" s="321"/>
      <c r="GA349" s="321"/>
      <c r="GB349" s="321"/>
      <c r="GC349" s="321"/>
      <c r="GD349" s="321"/>
      <c r="GE349" s="321"/>
      <c r="GF349" s="321"/>
      <c r="GG349" s="321"/>
      <c r="GH349" s="321"/>
      <c r="GI349" s="321"/>
      <c r="GJ349" s="564"/>
      <c r="GK349" s="483"/>
      <c r="GL349" s="321"/>
      <c r="GM349" s="321"/>
      <c r="GN349" s="321"/>
      <c r="GO349" s="321"/>
      <c r="GP349" s="321"/>
      <c r="GQ349" s="321"/>
      <c r="GR349" s="321"/>
      <c r="GS349" s="321"/>
      <c r="GT349" s="321"/>
      <c r="GU349" s="321"/>
      <c r="GV349" s="321"/>
      <c r="GW349" s="321"/>
      <c r="GX349" s="321"/>
      <c r="GY349" s="321"/>
      <c r="GZ349" s="564"/>
      <c r="HA349" s="483"/>
      <c r="HB349" s="321"/>
      <c r="HC349" s="321"/>
      <c r="HD349" s="321"/>
      <c r="HE349" s="321"/>
      <c r="HF349" s="321"/>
      <c r="HG349" s="321"/>
      <c r="HH349" s="321"/>
      <c r="HI349" s="321"/>
      <c r="HJ349" s="321"/>
      <c r="HK349" s="321"/>
      <c r="HL349" s="321"/>
      <c r="HM349" s="321"/>
      <c r="HN349" s="321"/>
      <c r="HO349" s="321"/>
      <c r="HP349" s="564"/>
      <c r="HQ349" s="410"/>
      <c r="HR349" s="432"/>
      <c r="HS349" s="432"/>
      <c r="HT349" s="410"/>
      <c r="HU349" s="410"/>
      <c r="HV349" s="432"/>
      <c r="HW349" s="432"/>
      <c r="HX349" s="410"/>
      <c r="HY349" s="410"/>
      <c r="HZ349" s="432"/>
      <c r="IA349" s="432"/>
      <c r="IB349" s="410"/>
      <c r="IC349" s="432"/>
      <c r="ID349" s="432"/>
      <c r="IE349" s="410"/>
      <c r="IF349" s="410"/>
      <c r="IG349" s="483"/>
      <c r="IH349" s="321"/>
      <c r="II349" s="321"/>
      <c r="IJ349" s="321"/>
      <c r="IK349" s="321"/>
      <c r="IL349" s="321"/>
      <c r="IM349" s="321"/>
      <c r="IN349" s="321"/>
      <c r="IO349" s="321"/>
      <c r="IP349" s="321"/>
      <c r="IQ349" s="321"/>
      <c r="IR349" s="321"/>
      <c r="IS349" s="321"/>
      <c r="IT349" s="321"/>
      <c r="IU349" s="321"/>
      <c r="IV349" s="564"/>
    </row>
    <row r="350" spans="1:256" s="326" customFormat="1" ht="8.25" customHeight="1">
      <c r="A350" s="483"/>
      <c r="B350" s="321"/>
      <c r="C350" s="321"/>
      <c r="D350" s="427"/>
      <c r="E350" s="443"/>
      <c r="F350" s="423"/>
      <c r="G350" s="443"/>
      <c r="H350" s="423"/>
      <c r="I350" s="443"/>
      <c r="J350" s="423"/>
      <c r="K350" s="443"/>
      <c r="L350" s="423"/>
      <c r="N350" s="321"/>
      <c r="O350" s="321"/>
      <c r="P350" s="564"/>
      <c r="Q350" s="483"/>
      <c r="R350"/>
      <c r="S350"/>
      <c r="T350"/>
      <c r="U350"/>
      <c r="V350"/>
      <c r="W350"/>
      <c r="X350"/>
      <c r="Y350"/>
      <c r="Z350"/>
      <c r="AA350"/>
      <c r="AB350"/>
      <c r="AC350"/>
      <c r="AD350"/>
      <c r="AE350"/>
      <c r="AF350"/>
      <c r="AG350" s="483"/>
      <c r="AH350" s="321"/>
      <c r="AI350" s="321"/>
      <c r="AJ350" s="321"/>
      <c r="AK350" s="321"/>
      <c r="AL350" s="321"/>
      <c r="AM350" s="321"/>
      <c r="AN350" s="321"/>
      <c r="AO350" s="321"/>
      <c r="AP350" s="328"/>
      <c r="AQ350" s="321"/>
      <c r="AR350" s="321"/>
      <c r="AS350" s="321"/>
      <c r="AT350" s="321"/>
      <c r="AU350" s="439"/>
      <c r="AV350" s="421"/>
      <c r="AW350" s="1236"/>
      <c r="AX350" s="433"/>
      <c r="AY350" s="433"/>
      <c r="AZ350" s="328"/>
      <c r="BA350" s="328"/>
      <c r="BB350" s="328"/>
      <c r="BC350" s="328"/>
      <c r="BD350" s="328"/>
      <c r="BE350" s="328"/>
      <c r="BF350" s="328"/>
      <c r="BG350" s="328"/>
      <c r="BH350" s="328"/>
      <c r="BI350" s="328"/>
      <c r="BJ350" s="328"/>
      <c r="BK350" s="328"/>
      <c r="BL350" s="1237"/>
      <c r="BM350" s="1236"/>
      <c r="BN350" s="433"/>
      <c r="BO350" s="433"/>
      <c r="BP350" s="328"/>
      <c r="BQ350" s="328"/>
      <c r="BR350" s="440"/>
      <c r="BS350" s="328"/>
      <c r="BT350" s="328"/>
      <c r="BU350" s="328"/>
      <c r="BV350" s="328"/>
      <c r="BW350" s="328"/>
      <c r="BX350" s="440"/>
      <c r="BY350" s="328"/>
      <c r="BZ350" s="328"/>
      <c r="CA350" s="328"/>
      <c r="CB350" s="1237"/>
      <c r="CC350" s="1236"/>
      <c r="CD350" s="433"/>
      <c r="CE350" s="433"/>
      <c r="CF350" s="328"/>
      <c r="CG350" s="328"/>
      <c r="CH350" s="440"/>
      <c r="CI350" s="328"/>
      <c r="CJ350" s="433"/>
      <c r="CK350" s="328"/>
      <c r="CL350" s="328"/>
      <c r="CM350" s="328"/>
      <c r="CN350" s="440"/>
      <c r="CO350" s="328"/>
      <c r="CP350" s="328"/>
      <c r="CQ350" s="328"/>
      <c r="CR350" s="1237"/>
      <c r="CS350" s="1236"/>
      <c r="CT350" s="328"/>
      <c r="CU350" s="328"/>
      <c r="CV350" s="328"/>
      <c r="CW350" s="328"/>
      <c r="CX350" s="328"/>
      <c r="CY350" s="328"/>
      <c r="CZ350" s="328"/>
      <c r="DA350" s="328"/>
      <c r="DB350" s="328"/>
      <c r="DC350" s="328"/>
      <c r="DD350" s="328"/>
      <c r="DE350" s="328"/>
      <c r="DF350" s="328"/>
      <c r="DG350" s="328"/>
      <c r="DH350" s="1237"/>
      <c r="DI350" s="483"/>
      <c r="DJ350"/>
      <c r="DK350"/>
      <c r="DL350"/>
      <c r="DM350"/>
      <c r="DN350"/>
      <c r="DO350"/>
      <c r="DP350"/>
      <c r="DQ350"/>
      <c r="DR350"/>
      <c r="DS350"/>
      <c r="DT350"/>
      <c r="DU350"/>
      <c r="DV350"/>
      <c r="DW350"/>
      <c r="DX350"/>
      <c r="DY350" s="483"/>
      <c r="DZ350" s="321"/>
      <c r="EA350" s="321"/>
      <c r="EB350" s="321"/>
      <c r="EC350" s="461">
        <v>0</v>
      </c>
      <c r="ED350" s="321"/>
      <c r="EE350" s="442">
        <v>0</v>
      </c>
      <c r="EF350" s="435">
        <v>0</v>
      </c>
      <c r="EG350" s="442">
        <v>0</v>
      </c>
      <c r="EH350" s="321"/>
      <c r="EI350" s="461">
        <v>0</v>
      </c>
      <c r="EJ350" s="321"/>
      <c r="EK350" s="321"/>
      <c r="EL350" s="321"/>
      <c r="EM350" s="321"/>
      <c r="EN350" s="564"/>
      <c r="EO350" s="483"/>
      <c r="EP350" s="321"/>
      <c r="EQ350" s="321"/>
      <c r="ER350" s="321"/>
      <c r="ES350" s="321"/>
      <c r="ET350" s="321">
        <v>10</v>
      </c>
      <c r="EU350" s="461">
        <v>0</v>
      </c>
      <c r="EV350" s="438">
        <v>0</v>
      </c>
      <c r="EW350" s="461">
        <v>0</v>
      </c>
      <c r="EX350" s="321">
        <v>10</v>
      </c>
      <c r="EY350" s="321"/>
      <c r="EZ350" s="321"/>
      <c r="FA350" s="321"/>
      <c r="FB350" s="321"/>
      <c r="FC350" s="321"/>
      <c r="FD350" s="564"/>
      <c r="FE350" s="483"/>
      <c r="FF350" s="321"/>
      <c r="FG350" s="321"/>
      <c r="FH350" s="321"/>
      <c r="FI350" s="321"/>
      <c r="FJ350" s="321"/>
      <c r="FK350" s="321"/>
      <c r="FL350" s="321"/>
      <c r="FM350" s="321"/>
      <c r="FN350" s="321"/>
      <c r="FO350" s="321"/>
      <c r="FP350" s="321"/>
      <c r="FQ350" s="321"/>
      <c r="FR350" s="321"/>
      <c r="FS350" s="321"/>
      <c r="FT350" s="564"/>
      <c r="FU350" s="483"/>
      <c r="FV350" s="321"/>
      <c r="FW350" s="321"/>
      <c r="FX350" s="321"/>
      <c r="FY350" s="321"/>
      <c r="FZ350" s="321"/>
      <c r="GA350" s="321"/>
      <c r="GB350" s="321"/>
      <c r="GC350" s="321"/>
      <c r="GD350" s="321"/>
      <c r="GE350" s="321"/>
      <c r="GF350" s="321"/>
      <c r="GG350" s="321"/>
      <c r="GH350" s="321"/>
      <c r="GI350" s="321"/>
      <c r="GJ350" s="564"/>
      <c r="GK350" s="483"/>
      <c r="GL350" s="321"/>
      <c r="GM350" s="321"/>
      <c r="GN350" s="321"/>
      <c r="GO350" s="321"/>
      <c r="GP350" s="321"/>
      <c r="GQ350" s="321"/>
      <c r="GR350" s="321"/>
      <c r="GS350" s="321"/>
      <c r="GT350" s="321"/>
      <c r="GU350" s="321"/>
      <c r="GV350" s="321"/>
      <c r="GW350" s="321"/>
      <c r="GX350" s="321"/>
      <c r="GY350" s="321"/>
      <c r="GZ350" s="564"/>
      <c r="HA350" s="483"/>
      <c r="HB350" s="321"/>
      <c r="HC350" s="321"/>
      <c r="HD350" s="321"/>
      <c r="HE350" s="321"/>
      <c r="HF350" s="321"/>
      <c r="HG350" s="321"/>
      <c r="HH350" s="321"/>
      <c r="HI350" s="321"/>
      <c r="HJ350" s="321"/>
      <c r="HK350" s="321"/>
      <c r="HL350" s="321"/>
      <c r="HM350" s="321"/>
      <c r="HN350" s="321"/>
      <c r="HO350" s="321"/>
      <c r="HP350" s="564"/>
      <c r="HQ350" s="410"/>
      <c r="HR350" s="432"/>
      <c r="HS350" s="410"/>
      <c r="HT350" s="410"/>
      <c r="HU350" s="432"/>
      <c r="HV350" s="410"/>
      <c r="HW350" s="432"/>
      <c r="HX350" s="410"/>
      <c r="HY350" s="432"/>
      <c r="HZ350" s="410"/>
      <c r="IA350" s="432"/>
      <c r="IB350" s="410"/>
      <c r="IC350" s="432"/>
      <c r="ID350" s="410"/>
      <c r="IE350" s="432"/>
      <c r="IF350" s="410"/>
      <c r="IG350" s="483"/>
      <c r="IH350" s="321"/>
      <c r="II350" s="321"/>
      <c r="IJ350" s="321"/>
      <c r="IK350" s="321"/>
      <c r="IL350" s="321"/>
      <c r="IM350" s="321"/>
      <c r="IN350" s="321"/>
      <c r="IO350" s="321"/>
      <c r="IP350" s="321"/>
      <c r="IQ350" s="321"/>
      <c r="IR350" s="321"/>
      <c r="IS350" s="321"/>
      <c r="IT350" s="321"/>
      <c r="IU350" s="321"/>
      <c r="IV350" s="564"/>
    </row>
    <row r="351" spans="1:256" s="326" customFormat="1" ht="8.25" customHeight="1">
      <c r="A351" s="483"/>
      <c r="B351" s="321"/>
      <c r="C351" s="321"/>
      <c r="D351" s="423"/>
      <c r="E351" s="456"/>
      <c r="F351" s="423"/>
      <c r="G351" s="456"/>
      <c r="H351" s="423"/>
      <c r="I351" s="456"/>
      <c r="J351" s="423"/>
      <c r="K351" s="449"/>
      <c r="L351" s="423"/>
      <c r="N351" s="321"/>
      <c r="O351" s="321"/>
      <c r="P351" s="564"/>
      <c r="Q351" s="483"/>
      <c r="R351"/>
      <c r="S351"/>
      <c r="T351"/>
      <c r="U351"/>
      <c r="V351"/>
      <c r="W351"/>
      <c r="X351"/>
      <c r="Y351"/>
      <c r="Z351"/>
      <c r="AA351"/>
      <c r="AB351"/>
      <c r="AC351"/>
      <c r="AD351"/>
      <c r="AE351"/>
      <c r="AF351"/>
      <c r="AG351" s="483"/>
      <c r="AH351" s="321"/>
      <c r="AI351" s="321"/>
      <c r="AJ351" s="321"/>
      <c r="AK351" s="321"/>
      <c r="AL351" s="321"/>
      <c r="AM351" s="321"/>
      <c r="AN351" s="321"/>
      <c r="AO351" s="321"/>
      <c r="AP351" s="328"/>
      <c r="AQ351" s="321"/>
      <c r="AR351" s="321"/>
      <c r="AS351" s="321"/>
      <c r="AT351" s="321"/>
      <c r="AU351" s="439"/>
      <c r="AV351" s="421"/>
      <c r="AW351" s="1236"/>
      <c r="AX351" s="328"/>
      <c r="AY351" s="328"/>
      <c r="AZ351" s="328"/>
      <c r="BA351" s="328"/>
      <c r="BB351" s="328"/>
      <c r="BC351" s="328"/>
      <c r="BD351" s="328"/>
      <c r="BE351" s="328"/>
      <c r="BF351" s="328"/>
      <c r="BG351" s="328"/>
      <c r="BH351" s="328"/>
      <c r="BI351" s="328"/>
      <c r="BJ351" s="328"/>
      <c r="BK351" s="328"/>
      <c r="BL351" s="1237"/>
      <c r="BM351" s="1236"/>
      <c r="BN351" s="328"/>
      <c r="BO351" s="422"/>
      <c r="BP351" s="328"/>
      <c r="BQ351" s="328"/>
      <c r="BR351" s="328"/>
      <c r="BS351" s="328"/>
      <c r="BT351" s="328"/>
      <c r="BU351" s="433"/>
      <c r="BV351" s="328"/>
      <c r="BW351" s="328"/>
      <c r="BX351" s="440"/>
      <c r="BY351" s="328"/>
      <c r="BZ351" s="328"/>
      <c r="CA351" s="328"/>
      <c r="CB351" s="1237"/>
      <c r="CC351" s="1236"/>
      <c r="CD351" s="328"/>
      <c r="CE351" s="422"/>
      <c r="CF351" s="328"/>
      <c r="CG351" s="328"/>
      <c r="CH351" s="440"/>
      <c r="CI351" s="328"/>
      <c r="CJ351" s="433"/>
      <c r="CK351" s="328"/>
      <c r="CL351" s="328"/>
      <c r="CM351" s="440"/>
      <c r="CN351" s="440"/>
      <c r="CO351" s="328"/>
      <c r="CP351" s="328"/>
      <c r="CQ351" s="328"/>
      <c r="CR351" s="1237"/>
      <c r="CS351" s="1236"/>
      <c r="CT351" s="328"/>
      <c r="CU351" s="422"/>
      <c r="CV351" s="328"/>
      <c r="CW351" s="328"/>
      <c r="CX351" s="328"/>
      <c r="CY351" s="328"/>
      <c r="CZ351" s="426"/>
      <c r="DA351" s="328"/>
      <c r="DB351" s="328"/>
      <c r="DC351" s="426"/>
      <c r="DD351" s="328"/>
      <c r="DE351" s="328"/>
      <c r="DF351" s="328"/>
      <c r="DG351" s="328"/>
      <c r="DH351" s="1237"/>
      <c r="DI351" s="483"/>
      <c r="DJ351" s="321"/>
      <c r="DK351" s="321"/>
      <c r="DL351" s="328"/>
      <c r="DM351" s="321"/>
      <c r="DN351" s="321"/>
      <c r="DO351" s="321"/>
      <c r="DP351" s="426"/>
      <c r="DQ351" s="321"/>
      <c r="DR351" s="321"/>
      <c r="DS351" s="433"/>
      <c r="DT351" s="328"/>
      <c r="DU351" s="321"/>
      <c r="DV351" s="321"/>
      <c r="DW351" s="321"/>
      <c r="DX351" s="564"/>
      <c r="DY351" s="483"/>
      <c r="DZ351" s="321"/>
      <c r="EA351" s="321"/>
      <c r="EB351" s="321"/>
      <c r="EC351" s="321"/>
      <c r="ED351" s="461">
        <v>0</v>
      </c>
      <c r="EE351" s="445">
        <v>0</v>
      </c>
      <c r="EF351" s="451">
        <v>0</v>
      </c>
      <c r="EG351" s="445">
        <v>0</v>
      </c>
      <c r="EH351" s="461">
        <v>0</v>
      </c>
      <c r="EI351" s="321"/>
      <c r="EJ351" s="321"/>
      <c r="EK351" s="321"/>
      <c r="EL351" s="321"/>
      <c r="EM351" s="321"/>
      <c r="EN351" s="564"/>
      <c r="EO351" s="483"/>
      <c r="EP351" s="321"/>
      <c r="EQ351" s="321"/>
      <c r="ER351" s="461">
        <v>0</v>
      </c>
      <c r="ES351" s="321">
        <v>10</v>
      </c>
      <c r="ET351" s="461">
        <v>0</v>
      </c>
      <c r="EU351" s="438">
        <v>0</v>
      </c>
      <c r="EV351" s="464">
        <v>0</v>
      </c>
      <c r="EW351" s="438">
        <v>0</v>
      </c>
      <c r="EX351" s="461">
        <v>0</v>
      </c>
      <c r="EY351" s="321">
        <v>10</v>
      </c>
      <c r="EZ351" s="461">
        <v>0</v>
      </c>
      <c r="FA351" s="321"/>
      <c r="FB351" s="321"/>
      <c r="FC351" s="321"/>
      <c r="FD351" s="564"/>
      <c r="FE351" s="483"/>
      <c r="FF351" s="321"/>
      <c r="FG351" s="321"/>
      <c r="FH351" s="321"/>
      <c r="FI351" s="321"/>
      <c r="FJ351" s="321"/>
      <c r="FK351" s="321"/>
      <c r="FL351" s="321"/>
      <c r="FM351" s="321"/>
      <c r="FN351" s="321"/>
      <c r="FO351" s="321"/>
      <c r="FP351" s="321"/>
      <c r="FQ351" s="321"/>
      <c r="FR351" s="321"/>
      <c r="FS351" s="321"/>
      <c r="FT351" s="564"/>
      <c r="FU351" s="483"/>
      <c r="FV351" s="321"/>
      <c r="FW351" s="321"/>
      <c r="FX351" s="321"/>
      <c r="FY351" s="321"/>
      <c r="FZ351" s="321"/>
      <c r="GA351" s="321"/>
      <c r="GB351" s="321"/>
      <c r="GC351" s="321"/>
      <c r="GD351" s="321"/>
      <c r="GE351" s="321"/>
      <c r="GF351" s="321"/>
      <c r="GG351" s="321"/>
      <c r="GH351" s="321"/>
      <c r="GI351" s="321"/>
      <c r="GJ351" s="564"/>
      <c r="GK351" s="483"/>
      <c r="GL351" s="321"/>
      <c r="GM351" s="321"/>
      <c r="GN351" s="321"/>
      <c r="GO351" s="321"/>
      <c r="GP351" s="321"/>
      <c r="GQ351" s="321"/>
      <c r="GR351" s="321"/>
      <c r="GS351" s="321"/>
      <c r="GT351" s="321"/>
      <c r="GU351" s="321"/>
      <c r="GV351" s="321"/>
      <c r="GW351" s="321"/>
      <c r="GX351" s="321"/>
      <c r="GY351" s="321"/>
      <c r="GZ351" s="564"/>
      <c r="HA351" s="483"/>
      <c r="HB351" s="321"/>
      <c r="HC351" s="321"/>
      <c r="HD351" s="321"/>
      <c r="HE351" s="321"/>
      <c r="HF351" s="321"/>
      <c r="HG351" s="321"/>
      <c r="HH351" s="321"/>
      <c r="HI351" s="321"/>
      <c r="HJ351" s="321"/>
      <c r="HK351" s="321"/>
      <c r="HL351" s="321"/>
      <c r="HM351" s="321"/>
      <c r="HN351" s="321"/>
      <c r="HO351" s="321"/>
      <c r="HP351" s="564"/>
      <c r="HQ351" s="410"/>
      <c r="HR351" s="410"/>
      <c r="HS351" s="432"/>
      <c r="HT351" s="410"/>
      <c r="HU351" s="432"/>
      <c r="HV351" s="410"/>
      <c r="HW351" s="432"/>
      <c r="HX351" s="410"/>
      <c r="HY351" s="432"/>
      <c r="HZ351" s="410"/>
      <c r="IA351" s="432"/>
      <c r="IB351" s="410"/>
      <c r="IC351" s="432"/>
      <c r="ID351" s="410"/>
      <c r="IE351" s="432"/>
      <c r="IF351" s="410"/>
      <c r="IG351" s="483"/>
      <c r="IH351" s="321"/>
      <c r="II351" s="321"/>
      <c r="IJ351" s="321"/>
      <c r="IK351" s="321"/>
      <c r="IL351" s="321"/>
      <c r="IM351" s="321"/>
      <c r="IN351" s="321"/>
      <c r="IO351" s="321"/>
      <c r="IP351" s="321"/>
      <c r="IQ351" s="321"/>
      <c r="IR351" s="321"/>
      <c r="IS351" s="321"/>
      <c r="IT351" s="321"/>
      <c r="IU351" s="321"/>
      <c r="IV351" s="564"/>
    </row>
    <row r="352" spans="1:256" s="326" customFormat="1" ht="8.25" customHeight="1">
      <c r="A352" s="1312"/>
      <c r="B352" s="569"/>
      <c r="C352" s="569"/>
      <c r="D352" s="569"/>
      <c r="E352" s="569">
        <v>5</v>
      </c>
      <c r="F352" s="569">
        <v>4</v>
      </c>
      <c r="G352" s="569">
        <v>4</v>
      </c>
      <c r="H352" s="569">
        <v>4</v>
      </c>
      <c r="I352" s="569">
        <v>4</v>
      </c>
      <c r="J352" s="569">
        <v>4</v>
      </c>
      <c r="K352" s="569">
        <v>5</v>
      </c>
      <c r="L352" s="569"/>
      <c r="M352" s="569"/>
      <c r="N352" s="569"/>
      <c r="O352" s="569"/>
      <c r="P352" s="1314"/>
      <c r="Q352" s="569"/>
      <c r="R352"/>
      <c r="S352"/>
      <c r="T352"/>
      <c r="U352"/>
      <c r="V352"/>
      <c r="W352"/>
      <c r="X352"/>
      <c r="Y352"/>
      <c r="Z352"/>
      <c r="AA352"/>
      <c r="AB352"/>
      <c r="AC352"/>
      <c r="AD352"/>
      <c r="AE352"/>
      <c r="AF352"/>
      <c r="AG352" s="651"/>
      <c r="AH352" s="569"/>
      <c r="AI352" s="569"/>
      <c r="AJ352" s="569"/>
      <c r="AK352" s="569"/>
      <c r="AL352" s="569"/>
      <c r="AM352" s="569"/>
      <c r="AN352" s="569"/>
      <c r="AO352" s="569"/>
      <c r="AP352" s="479"/>
      <c r="AQ352" s="569"/>
      <c r="AR352" s="569"/>
      <c r="AS352" s="569"/>
      <c r="AT352" s="569"/>
      <c r="AU352" s="580"/>
      <c r="AV352" s="588"/>
      <c r="AW352" s="1238"/>
      <c r="AX352" s="479"/>
      <c r="AY352" s="479"/>
      <c r="AZ352" s="479"/>
      <c r="BA352" s="440"/>
      <c r="BB352" s="453"/>
      <c r="BC352" s="479"/>
      <c r="BD352" s="479"/>
      <c r="BE352" s="479"/>
      <c r="BF352" s="479"/>
      <c r="BG352" s="479"/>
      <c r="BH352" s="479"/>
      <c r="BI352" s="479"/>
      <c r="BJ352" s="479"/>
      <c r="BK352" s="479"/>
      <c r="BL352" s="1240"/>
      <c r="BM352" s="1238"/>
      <c r="BN352" s="479"/>
      <c r="BO352" s="479"/>
      <c r="BP352" s="479"/>
      <c r="BQ352" s="440"/>
      <c r="BR352" s="453"/>
      <c r="BS352" s="479"/>
      <c r="BT352" s="479"/>
      <c r="BU352" s="479"/>
      <c r="BV352" s="479"/>
      <c r="BW352" s="479"/>
      <c r="BX352" s="422"/>
      <c r="BY352" s="479"/>
      <c r="BZ352" s="479"/>
      <c r="CA352" s="479"/>
      <c r="CB352" s="1240"/>
      <c r="CC352" s="1238"/>
      <c r="CD352" s="479"/>
      <c r="CE352" s="479"/>
      <c r="CF352" s="479"/>
      <c r="CG352" s="440"/>
      <c r="CH352" s="453"/>
      <c r="CI352" s="479"/>
      <c r="CJ352" s="479"/>
      <c r="CK352" s="426"/>
      <c r="CL352" s="440"/>
      <c r="CM352" s="453"/>
      <c r="CN352" s="440"/>
      <c r="CO352" s="426"/>
      <c r="CP352" s="426"/>
      <c r="CQ352" s="479"/>
      <c r="CR352" s="1240"/>
      <c r="CS352" s="1238"/>
      <c r="CT352" s="479"/>
      <c r="CU352" s="479"/>
      <c r="CV352" s="479"/>
      <c r="CW352" s="433"/>
      <c r="CX352" s="440"/>
      <c r="CY352" s="479"/>
      <c r="CZ352" s="479"/>
      <c r="DA352" s="422"/>
      <c r="DB352" s="433"/>
      <c r="DC352" s="440"/>
      <c r="DD352" s="433"/>
      <c r="DE352" s="422"/>
      <c r="DF352" s="479"/>
      <c r="DG352" s="479"/>
      <c r="DH352" s="1240"/>
      <c r="DI352" s="321"/>
      <c r="DJ352" s="321"/>
      <c r="DK352" s="321"/>
      <c r="DL352" s="321"/>
      <c r="DM352" s="433"/>
      <c r="DN352" s="440"/>
      <c r="DO352" s="321"/>
      <c r="DP352" s="321"/>
      <c r="DQ352" s="321"/>
      <c r="DR352" s="433"/>
      <c r="DS352" s="440"/>
      <c r="DT352" s="426"/>
      <c r="DU352" s="321"/>
      <c r="DV352" s="321"/>
      <c r="DW352" s="321"/>
      <c r="DX352" s="564"/>
      <c r="DY352" s="569"/>
      <c r="DZ352" s="569"/>
      <c r="EA352" s="569"/>
      <c r="EB352" s="461">
        <v>0</v>
      </c>
      <c r="EC352" s="442">
        <v>0</v>
      </c>
      <c r="ED352" s="445">
        <v>0</v>
      </c>
      <c r="EE352" s="464"/>
      <c r="EF352" s="451"/>
      <c r="EG352" s="464"/>
      <c r="EH352" s="445">
        <v>0</v>
      </c>
      <c r="EI352" s="442">
        <v>0</v>
      </c>
      <c r="EJ352" s="461">
        <v>0</v>
      </c>
      <c r="EK352" s="569"/>
      <c r="EL352" s="569"/>
      <c r="EM352" s="569"/>
      <c r="EN352" s="570"/>
      <c r="EO352" s="569"/>
      <c r="EP352" s="461">
        <v>0</v>
      </c>
      <c r="EQ352" s="569"/>
      <c r="ER352" s="569">
        <v>9</v>
      </c>
      <c r="ES352" s="461">
        <v>0</v>
      </c>
      <c r="ET352" s="438">
        <v>0</v>
      </c>
      <c r="EU352" s="445"/>
      <c r="EV352" s="464"/>
      <c r="EW352" s="445"/>
      <c r="EX352" s="438">
        <v>0</v>
      </c>
      <c r="EY352" s="461">
        <v>0</v>
      </c>
      <c r="EZ352" s="569">
        <v>9</v>
      </c>
      <c r="FA352" s="569"/>
      <c r="FB352" s="461">
        <v>0</v>
      </c>
      <c r="FC352" s="569"/>
      <c r="FD352" s="570"/>
      <c r="FE352" s="569"/>
      <c r="FF352" s="569"/>
      <c r="FG352" s="569"/>
      <c r="FH352" s="569"/>
      <c r="FI352" s="569"/>
      <c r="FJ352" s="569"/>
      <c r="FK352" s="569"/>
      <c r="FL352" s="569"/>
      <c r="FM352" s="569"/>
      <c r="FN352" s="569"/>
      <c r="FO352" s="569"/>
      <c r="FP352" s="569"/>
      <c r="FQ352" s="569"/>
      <c r="FR352" s="569"/>
      <c r="FS352" s="569"/>
      <c r="FT352" s="570"/>
      <c r="FU352" s="569"/>
      <c r="FV352" s="569"/>
      <c r="FW352" s="569"/>
      <c r="FX352" s="569"/>
      <c r="FY352" s="569"/>
      <c r="FZ352" s="569"/>
      <c r="GA352" s="569"/>
      <c r="GB352" s="569"/>
      <c r="GC352" s="569"/>
      <c r="GD352" s="569"/>
      <c r="GE352" s="569"/>
      <c r="GF352" s="569"/>
      <c r="GG352" s="569"/>
      <c r="GH352" s="569"/>
      <c r="GI352" s="569"/>
      <c r="GJ352" s="570"/>
      <c r="GK352" s="569"/>
      <c r="GL352" s="569"/>
      <c r="GM352" s="569"/>
      <c r="GN352" s="569"/>
      <c r="GO352" s="569"/>
      <c r="GP352" s="569"/>
      <c r="GQ352" s="569"/>
      <c r="GR352" s="569"/>
      <c r="GS352" s="569"/>
      <c r="GT352" s="569"/>
      <c r="GU352" s="569"/>
      <c r="GV352" s="569"/>
      <c r="GW352" s="569"/>
      <c r="GX352" s="569"/>
      <c r="GY352" s="569"/>
      <c r="GZ352" s="570"/>
      <c r="HA352" s="569"/>
      <c r="HB352" s="569"/>
      <c r="HC352" s="569"/>
      <c r="HD352" s="569"/>
      <c r="HE352" s="569"/>
      <c r="HF352" s="569"/>
      <c r="HG352" s="569"/>
      <c r="HH352" s="569"/>
      <c r="HI352" s="569"/>
      <c r="HJ352" s="569"/>
      <c r="HK352" s="569"/>
      <c r="HL352" s="569"/>
      <c r="HM352" s="569"/>
      <c r="HN352" s="569"/>
      <c r="HO352" s="569"/>
      <c r="HP352" s="570"/>
      <c r="HQ352" s="432"/>
      <c r="HR352" s="432"/>
      <c r="HS352" s="432"/>
      <c r="HT352" s="410"/>
      <c r="HU352" s="432"/>
      <c r="HV352" s="432"/>
      <c r="HW352" s="410"/>
      <c r="HX352" s="410"/>
      <c r="HY352" s="432"/>
      <c r="HZ352" s="432"/>
      <c r="IA352" s="410"/>
      <c r="IB352" s="410"/>
      <c r="IC352" s="432"/>
      <c r="ID352" s="410"/>
      <c r="IE352" s="432"/>
      <c r="IF352" s="410"/>
      <c r="IG352" s="1312"/>
      <c r="IH352" s="569"/>
      <c r="II352" s="569"/>
      <c r="IJ352" s="569"/>
      <c r="IK352" s="569"/>
      <c r="IL352" s="569"/>
      <c r="IM352" s="569"/>
      <c r="IN352" s="569"/>
      <c r="IO352" s="569"/>
      <c r="IP352" s="569"/>
      <c r="IQ352" s="569"/>
      <c r="IR352" s="569"/>
      <c r="IS352" s="569"/>
      <c r="IT352" s="569"/>
      <c r="IU352" s="569"/>
      <c r="IV352" s="1314"/>
    </row>
    <row r="353" spans="1:256" s="326" customFormat="1" ht="8.25" customHeight="1">
      <c r="A353" s="483">
        <v>177</v>
      </c>
      <c r="B353" s="321"/>
      <c r="C353" s="321"/>
      <c r="D353" s="321"/>
      <c r="E353" s="321"/>
      <c r="F353" s="321"/>
      <c r="G353" s="321"/>
      <c r="H353" s="321"/>
      <c r="I353" s="321"/>
      <c r="J353" s="321"/>
      <c r="K353" s="321"/>
      <c r="L353" s="321"/>
      <c r="M353" s="321"/>
      <c r="N353" s="321"/>
      <c r="O353" s="321"/>
      <c r="P353" s="564"/>
      <c r="Q353" s="483">
        <v>178</v>
      </c>
      <c r="R353" s="484"/>
      <c r="S353" s="484"/>
      <c r="T353" s="484"/>
      <c r="U353" s="484"/>
      <c r="V353" s="484"/>
      <c r="W353" s="484"/>
      <c r="X353" s="484"/>
      <c r="Y353" s="484"/>
      <c r="Z353" s="484"/>
      <c r="AA353" s="484"/>
      <c r="AB353" s="484"/>
      <c r="AC353" s="484"/>
      <c r="AD353" s="484"/>
      <c r="AE353" s="484"/>
      <c r="AF353" s="696"/>
      <c r="AG353" s="483">
        <v>179</v>
      </c>
      <c r="AH353" s="484"/>
      <c r="AI353" s="484"/>
      <c r="AJ353" s="484"/>
      <c r="AK353" s="484"/>
      <c r="AL353" s="484"/>
      <c r="AM353" s="484"/>
      <c r="AN353" s="484"/>
      <c r="AO353" s="484"/>
      <c r="AP353" s="484"/>
      <c r="AQ353" s="484"/>
      <c r="AR353" s="484"/>
      <c r="AS353" s="484"/>
      <c r="AT353" s="484"/>
      <c r="AU353" s="484"/>
      <c r="AV353" s="696"/>
      <c r="AW353" s="679">
        <v>180</v>
      </c>
      <c r="AX353" s="484"/>
      <c r="AY353" s="484"/>
      <c r="AZ353" s="484"/>
      <c r="BA353" s="484"/>
      <c r="BB353" s="484"/>
      <c r="BC353" s="484"/>
      <c r="BD353" s="484"/>
      <c r="BE353" s="484"/>
      <c r="BF353" s="484"/>
      <c r="BG353" s="484"/>
      <c r="BH353" s="484"/>
      <c r="BI353" s="484"/>
      <c r="BJ353" s="484"/>
      <c r="BK353" s="484"/>
      <c r="BL353" s="696"/>
      <c r="BM353" s="679">
        <v>181</v>
      </c>
      <c r="BN353" s="484"/>
      <c r="BO353" s="484"/>
      <c r="BP353" s="484"/>
      <c r="BQ353" s="484"/>
      <c r="BR353" s="484"/>
      <c r="BS353" s="484"/>
      <c r="BT353" s="484"/>
      <c r="BU353" s="484"/>
      <c r="BV353" s="484"/>
      <c r="BW353" s="484"/>
      <c r="BX353" s="484"/>
      <c r="BY353" s="484"/>
      <c r="BZ353" s="484"/>
      <c r="CA353" s="484"/>
      <c r="CB353" s="696"/>
      <c r="CC353" s="483">
        <v>182</v>
      </c>
      <c r="CD353" s="321"/>
      <c r="CE353" s="321"/>
      <c r="CF353" s="321"/>
      <c r="CG353" s="321"/>
      <c r="CH353" s="321"/>
      <c r="CI353" s="321"/>
      <c r="CJ353" s="321"/>
      <c r="CK353" s="321"/>
      <c r="CL353" s="321"/>
      <c r="CM353" s="321"/>
      <c r="CN353" s="321"/>
      <c r="CO353" s="484"/>
      <c r="CP353" s="484"/>
      <c r="CQ353" s="321"/>
      <c r="CR353" s="564"/>
      <c r="CS353" s="483">
        <v>183</v>
      </c>
      <c r="CT353" s="321"/>
      <c r="CU353" s="321"/>
      <c r="CV353" s="321"/>
      <c r="CW353" s="321"/>
      <c r="CX353" s="321"/>
      <c r="CY353" s="321"/>
      <c r="CZ353" s="321"/>
      <c r="DA353" s="321"/>
      <c r="DB353" s="321"/>
      <c r="DC353" s="321"/>
      <c r="DD353" s="321"/>
      <c r="DE353" s="484"/>
      <c r="DF353" s="484"/>
      <c r="DG353" s="321"/>
      <c r="DH353" s="564"/>
      <c r="DI353" s="1233">
        <v>184</v>
      </c>
      <c r="DJ353" s="1234"/>
      <c r="DK353" s="484"/>
      <c r="DL353" s="1234"/>
      <c r="DM353" s="1234"/>
      <c r="DN353" s="1234"/>
      <c r="DO353" s="1234"/>
      <c r="DP353" s="1234"/>
      <c r="DQ353" s="1234"/>
      <c r="DR353" s="1234"/>
      <c r="DS353" s="1234"/>
      <c r="DT353" s="1234"/>
      <c r="DU353" s="1234"/>
      <c r="DV353" s="1234"/>
      <c r="DW353" s="1234"/>
      <c r="DX353" s="1235"/>
      <c r="DY353" s="483">
        <v>185</v>
      </c>
      <c r="DZ353" s="321"/>
      <c r="EA353" s="321"/>
      <c r="EB353" s="321"/>
      <c r="EC353" s="321"/>
      <c r="ED353" s="321"/>
      <c r="EE353" s="321"/>
      <c r="EF353" s="321"/>
      <c r="EG353" s="321"/>
      <c r="EH353" s="321"/>
      <c r="EI353" s="321"/>
      <c r="EJ353" s="321"/>
      <c r="EK353" s="484"/>
      <c r="EL353" s="484"/>
      <c r="EM353" s="321"/>
      <c r="EN353" s="564"/>
      <c r="EO353" s="483">
        <v>186</v>
      </c>
      <c r="EP353" s="321"/>
      <c r="EQ353" s="321"/>
      <c r="ER353" s="321"/>
      <c r="ES353" s="321"/>
      <c r="ET353" s="321"/>
      <c r="EU353" s="321"/>
      <c r="EV353" s="321"/>
      <c r="EW353" s="321"/>
      <c r="EX353" s="321"/>
      <c r="EY353" s="321"/>
      <c r="EZ353" s="321"/>
      <c r="FA353" s="484"/>
      <c r="FB353" s="484"/>
      <c r="FC353" s="321"/>
      <c r="FD353" s="564"/>
      <c r="FE353" s="483">
        <v>187</v>
      </c>
      <c r="FF353" s="321"/>
      <c r="FG353" s="321"/>
      <c r="FH353" s="321"/>
      <c r="FI353" s="321"/>
      <c r="FJ353" s="321"/>
      <c r="FK353" s="321"/>
      <c r="FL353" s="321"/>
      <c r="FM353" s="321"/>
      <c r="FN353" s="321"/>
      <c r="FO353" s="321"/>
      <c r="FP353" s="321"/>
      <c r="FQ353" s="484"/>
      <c r="FR353" s="484"/>
      <c r="FS353" s="321"/>
      <c r="FT353" s="564"/>
      <c r="FU353" s="483">
        <v>188</v>
      </c>
      <c r="FV353" s="321"/>
      <c r="FW353" s="321"/>
      <c r="FX353" s="321"/>
      <c r="FY353" s="321"/>
      <c r="FZ353" s="321"/>
      <c r="GA353" s="321"/>
      <c r="GB353" s="321"/>
      <c r="GC353" s="321"/>
      <c r="GD353" s="321"/>
      <c r="GE353" s="321"/>
      <c r="GF353" s="321"/>
      <c r="GG353" s="321"/>
      <c r="GH353" s="321"/>
      <c r="GI353" s="321"/>
      <c r="GJ353" s="696"/>
      <c r="GK353" s="483">
        <v>189</v>
      </c>
      <c r="GL353" s="484"/>
      <c r="GM353" s="484"/>
      <c r="GN353" s="484"/>
      <c r="GO353" s="484"/>
      <c r="GP353" s="484"/>
      <c r="GQ353" s="484"/>
      <c r="GR353" s="189">
        <v>9</v>
      </c>
      <c r="GS353" s="484"/>
      <c r="GT353" s="484"/>
      <c r="GU353" s="484"/>
      <c r="GV353" s="484"/>
      <c r="GW353" s="484"/>
      <c r="GX353" s="484"/>
      <c r="GY353" s="484"/>
      <c r="GZ353" s="696"/>
      <c r="HA353" s="483">
        <v>190</v>
      </c>
      <c r="HB353" s="321"/>
      <c r="HC353" s="321"/>
      <c r="HD353" s="321"/>
      <c r="HE353" s="321"/>
      <c r="HF353" s="321"/>
      <c r="HG353" s="321"/>
      <c r="HH353" s="321"/>
      <c r="HI353" s="321"/>
      <c r="HJ353" s="321"/>
      <c r="HK353" s="321"/>
      <c r="HL353" s="321"/>
      <c r="HM353" s="321"/>
      <c r="HN353" s="321"/>
      <c r="HO353" s="321"/>
      <c r="HP353" s="696"/>
      <c r="HQ353" s="483">
        <v>191</v>
      </c>
      <c r="HR353" s="484"/>
      <c r="HS353" s="484"/>
      <c r="HT353" s="484"/>
      <c r="HU353" s="484"/>
      <c r="HV353" s="484"/>
      <c r="HW353" s="484"/>
      <c r="HX353" s="484"/>
      <c r="HY353" s="484"/>
      <c r="HZ353" s="484"/>
      <c r="IA353" s="484"/>
      <c r="IB353" s="484"/>
      <c r="IC353" s="484"/>
      <c r="ID353" s="484"/>
      <c r="IE353" s="484"/>
      <c r="IF353" s="696"/>
      <c r="IG353" s="483">
        <v>192</v>
      </c>
      <c r="IH353" s="484"/>
      <c r="II353" s="484"/>
      <c r="IJ353" s="484"/>
      <c r="IK353" s="484"/>
      <c r="IL353" s="484"/>
      <c r="IM353" s="484"/>
      <c r="IN353" s="484"/>
      <c r="IO353" s="484"/>
      <c r="IP353" s="484"/>
      <c r="IQ353" s="484"/>
      <c r="IR353" s="484"/>
      <c r="IS353" s="484"/>
      <c r="IT353" s="484"/>
      <c r="IU353" s="484"/>
      <c r="IV353" s="1350"/>
    </row>
    <row r="354" spans="1:256" s="326" customFormat="1" ht="8.25" customHeight="1">
      <c r="A354" s="483">
        <v>40</v>
      </c>
      <c r="B354" s="321"/>
      <c r="C354" s="321"/>
      <c r="D354" s="321"/>
      <c r="E354" s="321"/>
      <c r="F354" s="321"/>
      <c r="G354" s="321"/>
      <c r="H354" s="321"/>
      <c r="I354" s="321"/>
      <c r="J354" s="321"/>
      <c r="K354" s="321"/>
      <c r="L354" s="321"/>
      <c r="M354" s="321"/>
      <c r="N354" s="321"/>
      <c r="O354" s="321"/>
      <c r="P354" s="564"/>
      <c r="Q354" s="483"/>
      <c r="R354"/>
      <c r="S354"/>
      <c r="T354"/>
      <c r="U354"/>
      <c r="V354"/>
      <c r="W354"/>
      <c r="X354"/>
      <c r="Y354"/>
      <c r="Z354"/>
      <c r="AA354"/>
      <c r="AB354"/>
      <c r="AC354"/>
      <c r="AD354"/>
      <c r="AE354"/>
      <c r="AF354" s="564"/>
      <c r="AG354" s="483"/>
      <c r="AH354"/>
      <c r="AI354"/>
      <c r="AJ354"/>
      <c r="AK354"/>
      <c r="AL354"/>
      <c r="AM354"/>
      <c r="AN354"/>
      <c r="AO354"/>
      <c r="AP354"/>
      <c r="AQ354"/>
      <c r="AR354"/>
      <c r="AS354"/>
      <c r="AT354"/>
      <c r="AU354"/>
      <c r="AV354" s="564"/>
      <c r="AW354" s="483">
        <v>80</v>
      </c>
      <c r="AX354" s="321"/>
      <c r="AY354" s="321"/>
      <c r="AZ354" s="321"/>
      <c r="BA354" s="321"/>
      <c r="BB354" s="321"/>
      <c r="BC354" s="321"/>
      <c r="BD354" s="321"/>
      <c r="BE354" s="321"/>
      <c r="BF354" s="321"/>
      <c r="BG354" s="321"/>
      <c r="BH354" s="321"/>
      <c r="BI354" s="321"/>
      <c r="BJ354" s="321"/>
      <c r="BK354" s="321"/>
      <c r="BL354" s="564"/>
      <c r="BM354" s="483">
        <v>150</v>
      </c>
      <c r="BN354" s="321"/>
      <c r="BO354" s="321"/>
      <c r="BP354" s="321"/>
      <c r="BQ354" s="321"/>
      <c r="BR354" s="321"/>
      <c r="BS354" s="321"/>
      <c r="BT354" s="321"/>
      <c r="BU354" s="321"/>
      <c r="BV354" s="321"/>
      <c r="BW354" s="321"/>
      <c r="BX354" s="321"/>
      <c r="BY354" s="321"/>
      <c r="BZ354" s="321"/>
      <c r="CA354" s="321"/>
      <c r="CB354" s="564"/>
      <c r="CC354" s="483"/>
      <c r="CD354" s="321"/>
      <c r="CE354" s="321"/>
      <c r="CF354" s="321"/>
      <c r="CG354" s="321"/>
      <c r="CH354" s="321"/>
      <c r="CI354" s="321"/>
      <c r="CJ354" s="321"/>
      <c r="CK354" s="321"/>
      <c r="CL354" s="321"/>
      <c r="CM354" s="321"/>
      <c r="CN354" s="321"/>
      <c r="CO354" s="321"/>
      <c r="CP354" s="321"/>
      <c r="CQ354" s="321"/>
      <c r="CR354" s="564"/>
      <c r="CS354" s="483"/>
      <c r="CT354" s="321"/>
      <c r="CU354" s="321"/>
      <c r="CV354" s="321"/>
      <c r="CW354" s="321"/>
      <c r="CX354" s="321"/>
      <c r="CY354" s="321"/>
      <c r="CZ354" s="321"/>
      <c r="DA354" s="321"/>
      <c r="DB354" s="321"/>
      <c r="DC354" s="321"/>
      <c r="DD354" s="321"/>
      <c r="DE354" s="321"/>
      <c r="DF354" s="321"/>
      <c r="DG354" s="321"/>
      <c r="DH354" s="564"/>
      <c r="DI354" s="1236"/>
      <c r="DJ354" s="328"/>
      <c r="DK354" s="321"/>
      <c r="DL354" s="328"/>
      <c r="DM354" s="328"/>
      <c r="DN354" s="328"/>
      <c r="DO354" s="328"/>
      <c r="DP354" s="328"/>
      <c r="DQ354" s="328"/>
      <c r="DR354" s="328"/>
      <c r="DS354" s="328"/>
      <c r="DT354" s="328"/>
      <c r="DU354" s="328"/>
      <c r="DV354" s="328"/>
      <c r="DW354" s="328"/>
      <c r="DX354" s="1237"/>
      <c r="DY354" s="483"/>
      <c r="DZ354" s="321"/>
      <c r="EA354" s="321"/>
      <c r="EB354" s="321"/>
      <c r="EC354" s="321"/>
      <c r="ED354" s="321"/>
      <c r="EE354" s="321"/>
      <c r="EF354" s="321"/>
      <c r="EG354" s="321"/>
      <c r="EH354" s="321"/>
      <c r="EI354" s="321"/>
      <c r="EJ354" s="321"/>
      <c r="EK354" s="321"/>
      <c r="EL354" s="321"/>
      <c r="EM354" s="321"/>
      <c r="EN354" s="564"/>
      <c r="EO354" s="483">
        <v>80</v>
      </c>
      <c r="EP354" s="321"/>
      <c r="EQ354" s="321"/>
      <c r="ER354" s="321"/>
      <c r="ES354" s="321"/>
      <c r="ET354" s="321"/>
      <c r="EU354" s="321"/>
      <c r="EV354" s="321"/>
      <c r="EW354" s="321"/>
      <c r="EX354" s="321"/>
      <c r="EY354" s="321"/>
      <c r="EZ354" s="321"/>
      <c r="FA354" s="321"/>
      <c r="FB354" s="321"/>
      <c r="FC354" s="321"/>
      <c r="FD354" s="564"/>
      <c r="FE354" s="483"/>
      <c r="FF354" s="321"/>
      <c r="FG354" s="321"/>
      <c r="FH354" s="321"/>
      <c r="FI354" s="321"/>
      <c r="FJ354" s="321"/>
      <c r="FK354" s="321"/>
      <c r="FL354" s="321"/>
      <c r="FM354" s="321"/>
      <c r="FN354" s="321"/>
      <c r="FO354" s="321"/>
      <c r="FP354" s="321"/>
      <c r="FQ354" s="321"/>
      <c r="FR354" s="321"/>
      <c r="FS354" s="321"/>
      <c r="FT354" s="564"/>
      <c r="FU354" s="483"/>
      <c r="FV354" s="321"/>
      <c r="FW354" s="321"/>
      <c r="FX354" s="321"/>
      <c r="FY354" s="321"/>
      <c r="FZ354" s="321"/>
      <c r="GA354" s="321"/>
      <c r="GB354" s="321"/>
      <c r="GC354" s="321"/>
      <c r="GD354" s="321"/>
      <c r="GE354" s="321"/>
      <c r="GF354" s="321"/>
      <c r="GG354" s="321"/>
      <c r="GH354" s="321"/>
      <c r="GI354" s="321"/>
      <c r="GJ354" s="564"/>
      <c r="GK354" s="483">
        <v>24</v>
      </c>
      <c r="GL354" s="321"/>
      <c r="GM354" s="321"/>
      <c r="GN354" s="321"/>
      <c r="GO354" s="321"/>
      <c r="GP354" s="321"/>
      <c r="GQ354" s="321"/>
      <c r="GR354" s="301">
        <v>9</v>
      </c>
      <c r="GS354" s="321"/>
      <c r="GT354" s="321"/>
      <c r="GU354" s="321"/>
      <c r="GV354" s="321"/>
      <c r="GW354" s="321"/>
      <c r="GX354" s="321"/>
      <c r="GY354" s="321"/>
      <c r="GZ354" s="564"/>
      <c r="HA354" s="483"/>
      <c r="HB354" s="321"/>
      <c r="HC354" s="321"/>
      <c r="HD354" s="321"/>
      <c r="HE354" s="321"/>
      <c r="HF354" s="321"/>
      <c r="HG354" s="321"/>
      <c r="HH354" s="321"/>
      <c r="HI354" s="321"/>
      <c r="HJ354" s="321"/>
      <c r="HK354" s="321"/>
      <c r="HL354" s="321"/>
      <c r="HM354" s="321"/>
      <c r="HN354" s="321"/>
      <c r="HO354" s="321"/>
      <c r="HP354" s="564"/>
      <c r="HQ354" s="483">
        <v>100</v>
      </c>
      <c r="HR354" s="321"/>
      <c r="HS354" s="321"/>
      <c r="HT354" s="321"/>
      <c r="HU354" s="321"/>
      <c r="HV354" s="321"/>
      <c r="HW354" s="321"/>
      <c r="HX354" s="321"/>
      <c r="HY354" s="321"/>
      <c r="HZ354" s="321"/>
      <c r="IA354" s="321"/>
      <c r="IB354" s="321"/>
      <c r="IC354" s="321"/>
      <c r="ID354" s="321"/>
      <c r="IE354" s="321"/>
      <c r="IF354" s="564"/>
      <c r="IG354" s="483">
        <v>50</v>
      </c>
      <c r="IH354" s="321"/>
      <c r="II354" s="321"/>
      <c r="IJ354" s="321"/>
      <c r="IK354" s="321"/>
      <c r="IL354" s="321"/>
      <c r="IM354" s="321"/>
      <c r="IN354" s="321"/>
      <c r="IO354" s="321"/>
      <c r="IP354" s="321"/>
      <c r="IQ354" s="321"/>
      <c r="IR354" s="321"/>
      <c r="IS354" s="321"/>
      <c r="IT354" s="321"/>
      <c r="IU354" s="321"/>
      <c r="IV354" s="1351"/>
    </row>
    <row r="355" spans="1:256" s="326" customFormat="1" ht="8.25" customHeight="1">
      <c r="A355" s="483">
        <v>177</v>
      </c>
      <c r="B355" s="321"/>
      <c r="C355" s="321"/>
      <c r="D355" s="321"/>
      <c r="E355" s="321"/>
      <c r="F355" s="321"/>
      <c r="G355" s="321"/>
      <c r="H355" s="321"/>
      <c r="I355" s="321"/>
      <c r="J355" s="321"/>
      <c r="K355" s="321"/>
      <c r="L355" s="321"/>
      <c r="M355" s="321"/>
      <c r="N355" s="321"/>
      <c r="O355" s="321"/>
      <c r="P355" s="564"/>
      <c r="Q355" s="483">
        <v>-129</v>
      </c>
      <c r="R355"/>
      <c r="S355"/>
      <c r="T355"/>
      <c r="U355"/>
      <c r="V355"/>
      <c r="W355"/>
      <c r="X355"/>
      <c r="Y355"/>
      <c r="Z355"/>
      <c r="AA355"/>
      <c r="AB355"/>
      <c r="AC355"/>
      <c r="AD355"/>
      <c r="AE355"/>
      <c r="AF355" s="564"/>
      <c r="AG355" s="483">
        <v>-129</v>
      </c>
      <c r="AH355"/>
      <c r="AI355"/>
      <c r="AJ355"/>
      <c r="AK355"/>
      <c r="AL355"/>
      <c r="AM355"/>
      <c r="AN355"/>
      <c r="AO355"/>
      <c r="AP355"/>
      <c r="AQ355"/>
      <c r="AR355"/>
      <c r="AS355"/>
      <c r="AT355"/>
      <c r="AU355"/>
      <c r="AV355" s="564"/>
      <c r="AW355" s="483"/>
      <c r="AX355" s="321"/>
      <c r="AY355" s="321"/>
      <c r="AZ355" s="321"/>
      <c r="BA355" s="321"/>
      <c r="BB355" s="321"/>
      <c r="BC355" s="321"/>
      <c r="BD355" s="321"/>
      <c r="BE355" s="321"/>
      <c r="BF355" s="321"/>
      <c r="BG355" s="321"/>
      <c r="BH355" s="321"/>
      <c r="BI355" s="321"/>
      <c r="BJ355" s="321"/>
      <c r="BK355" s="321"/>
      <c r="BL355" s="564"/>
      <c r="BM355" s="483"/>
      <c r="BN355" s="321"/>
      <c r="BO355" s="321"/>
      <c r="BP355" s="321"/>
      <c r="BQ355" s="321"/>
      <c r="BR355" s="321"/>
      <c r="BS355" s="321"/>
      <c r="BT355" s="321"/>
      <c r="BU355" s="321"/>
      <c r="BV355" s="321"/>
      <c r="BW355" s="321"/>
      <c r="BX355" s="321"/>
      <c r="BY355" s="321"/>
      <c r="BZ355" s="321"/>
      <c r="CA355" s="321"/>
      <c r="CB355" s="564"/>
      <c r="CC355" s="483"/>
      <c r="CD355" s="321"/>
      <c r="CE355" s="321"/>
      <c r="CF355" s="321"/>
      <c r="CG355" s="321"/>
      <c r="CH355" s="321"/>
      <c r="CI355" s="321"/>
      <c r="CJ355" s="321"/>
      <c r="CK355" s="321"/>
      <c r="CL355" s="321"/>
      <c r="CM355" s="321"/>
      <c r="CN355" s="321"/>
      <c r="CO355" s="321"/>
      <c r="CP355" s="321"/>
      <c r="CQ355" s="321"/>
      <c r="CR355" s="564"/>
      <c r="CS355" s="483">
        <v>183</v>
      </c>
      <c r="CT355" s="321"/>
      <c r="CU355" s="321"/>
      <c r="CV355" s="321"/>
      <c r="CW355" s="321"/>
      <c r="CX355" s="321"/>
      <c r="CY355" s="321"/>
      <c r="CZ355" s="321"/>
      <c r="DA355" s="321"/>
      <c r="DB355" s="321"/>
      <c r="DC355" s="321"/>
      <c r="DD355" s="321"/>
      <c r="DE355" s="321"/>
      <c r="DF355" s="321"/>
      <c r="DG355" s="321"/>
      <c r="DH355" s="564"/>
      <c r="DI355" s="1236"/>
      <c r="DJ355" s="328"/>
      <c r="DK355" s="321"/>
      <c r="DL355" s="328"/>
      <c r="DM355" s="328"/>
      <c r="DN355" s="328"/>
      <c r="DO355" s="328"/>
      <c r="DP355" s="328"/>
      <c r="DQ355" s="328"/>
      <c r="DR355" s="328"/>
      <c r="DS355" s="328"/>
      <c r="DT355" s="328"/>
      <c r="DU355" s="328"/>
      <c r="DV355" s="328"/>
      <c r="DW355" s="328"/>
      <c r="DX355" s="1237"/>
      <c r="DY355" s="483">
        <v>185</v>
      </c>
      <c r="DZ355" s="321"/>
      <c r="EA355" s="321"/>
      <c r="EB355" s="321"/>
      <c r="EC355" s="321"/>
      <c r="ED355" s="321"/>
      <c r="EE355" s="321"/>
      <c r="EF355" s="321"/>
      <c r="EG355" s="321"/>
      <c r="EH355" s="321"/>
      <c r="EI355" s="321"/>
      <c r="EJ355" s="321"/>
      <c r="EK355" s="321"/>
      <c r="EL355" s="321"/>
      <c r="EM355" s="321"/>
      <c r="EN355" s="564"/>
      <c r="EO355" s="483">
        <v>187</v>
      </c>
      <c r="EP355" s="321"/>
      <c r="EQ355" s="321"/>
      <c r="ER355" s="321"/>
      <c r="ES355" s="321"/>
      <c r="ET355" s="321"/>
      <c r="EU355" s="321"/>
      <c r="EV355" s="321"/>
      <c r="EW355" s="321"/>
      <c r="EX355" s="321"/>
      <c r="EY355" s="321"/>
      <c r="EZ355" s="321"/>
      <c r="FA355" s="321"/>
      <c r="FB355" s="321"/>
      <c r="FC355" s="321"/>
      <c r="FD355" s="564"/>
      <c r="FE355" s="483">
        <v>186</v>
      </c>
      <c r="FF355" s="321"/>
      <c r="FG355" s="321"/>
      <c r="FH355" s="321"/>
      <c r="FI355" s="321"/>
      <c r="FJ355" s="321"/>
      <c r="FK355" s="321"/>
      <c r="FL355" s="321"/>
      <c r="FM355" s="321"/>
      <c r="FN355" s="321"/>
      <c r="FO355" s="321"/>
      <c r="FP355" s="321"/>
      <c r="FQ355" s="321"/>
      <c r="FR355" s="321"/>
      <c r="FS355" s="321"/>
      <c r="FT355" s="564"/>
      <c r="FU355" s="483">
        <v>189</v>
      </c>
      <c r="FV355" s="321"/>
      <c r="FW355" s="321"/>
      <c r="FX355" s="321"/>
      <c r="FY355" s="321"/>
      <c r="FZ355" s="321"/>
      <c r="GA355" s="321"/>
      <c r="GB355" s="321"/>
      <c r="GC355" s="321"/>
      <c r="GD355" s="321"/>
      <c r="GE355" s="321"/>
      <c r="GF355" s="321"/>
      <c r="GG355" s="321"/>
      <c r="GH355" s="321"/>
      <c r="GI355" s="321"/>
      <c r="GJ355" s="564"/>
      <c r="GK355" s="483">
        <v>188</v>
      </c>
      <c r="GL355" s="321"/>
      <c r="GM355" s="321"/>
      <c r="GN355" s="321"/>
      <c r="GO355" s="321"/>
      <c r="GP355" s="321"/>
      <c r="GQ355" s="321"/>
      <c r="GR355" s="301">
        <v>9</v>
      </c>
      <c r="GS355" s="321"/>
      <c r="GT355" s="321"/>
      <c r="GU355" s="321"/>
      <c r="GV355" s="321"/>
      <c r="GW355" s="321"/>
      <c r="GX355" s="321"/>
      <c r="GY355" s="321"/>
      <c r="GZ355" s="564"/>
      <c r="HA355" s="483">
        <v>191</v>
      </c>
      <c r="HB355" s="321"/>
      <c r="HC355" s="321"/>
      <c r="HD355" s="321"/>
      <c r="HE355" s="321"/>
      <c r="HF355" s="321"/>
      <c r="HG355" s="321"/>
      <c r="HH355" s="321"/>
      <c r="HI355" s="321"/>
      <c r="HJ355" s="321"/>
      <c r="HK355" s="321"/>
      <c r="HL355" s="321"/>
      <c r="HM355" s="321"/>
      <c r="HN355" s="321"/>
      <c r="HO355" s="321"/>
      <c r="HP355" s="564"/>
      <c r="HQ355" s="483">
        <v>192</v>
      </c>
      <c r="HR355" s="321"/>
      <c r="HS355" s="321"/>
      <c r="HT355" s="321"/>
      <c r="HU355" s="321"/>
      <c r="HV355" s="321"/>
      <c r="HW355" s="321"/>
      <c r="HX355" s="321"/>
      <c r="HY355" s="321"/>
      <c r="HZ355" s="321"/>
      <c r="IA355" s="321"/>
      <c r="IB355" s="321"/>
      <c r="IC355" s="321"/>
      <c r="ID355" s="321"/>
      <c r="IE355" s="321"/>
      <c r="IF355" s="564"/>
      <c r="IG355" s="483">
        <v>190</v>
      </c>
      <c r="IH355" s="321"/>
      <c r="II355" s="321"/>
      <c r="IJ355" s="321"/>
      <c r="IK355" s="321"/>
      <c r="IL355" s="321"/>
      <c r="IM355" s="321"/>
      <c r="IN355" s="321"/>
      <c r="IO355" s="321"/>
      <c r="IP355" s="321"/>
      <c r="IQ355" s="321"/>
      <c r="IR355" s="321"/>
      <c r="IS355" s="321"/>
      <c r="IT355" s="321"/>
      <c r="IU355" s="321"/>
      <c r="IV355" s="1351"/>
    </row>
    <row r="356" spans="1:256" s="326" customFormat="1" ht="8.25" customHeight="1">
      <c r="A356" s="483">
        <v>300</v>
      </c>
      <c r="B356" s="321"/>
      <c r="C356" s="321"/>
      <c r="D356" s="321"/>
      <c r="E356" s="321"/>
      <c r="F356" s="321"/>
      <c r="G356" s="321"/>
      <c r="H356" s="321"/>
      <c r="I356" s="321"/>
      <c r="J356" s="321"/>
      <c r="K356" s="321"/>
      <c r="L356" s="321"/>
      <c r="M356" s="321"/>
      <c r="N356" s="321"/>
      <c r="O356" s="321"/>
      <c r="P356" s="564"/>
      <c r="Q356" s="483">
        <v>3500</v>
      </c>
      <c r="R356"/>
      <c r="S356"/>
      <c r="T356"/>
      <c r="U356"/>
      <c r="V356"/>
      <c r="W356"/>
      <c r="X356"/>
      <c r="Y356"/>
      <c r="Z356"/>
      <c r="AA356"/>
      <c r="AB356"/>
      <c r="AC356"/>
      <c r="AD356"/>
      <c r="AE356"/>
      <c r="AF356" s="564"/>
      <c r="AG356" s="483">
        <v>100</v>
      </c>
      <c r="AH356"/>
      <c r="AI356"/>
      <c r="AJ356"/>
      <c r="AK356"/>
      <c r="AL356"/>
      <c r="AM356"/>
      <c r="AN356"/>
      <c r="AO356"/>
      <c r="AP356"/>
      <c r="AQ356"/>
      <c r="AR356"/>
      <c r="AS356"/>
      <c r="AT356"/>
      <c r="AU356"/>
      <c r="AV356" s="564"/>
      <c r="AW356" s="483"/>
      <c r="AX356" s="321"/>
      <c r="AY356" s="321"/>
      <c r="AZ356" s="321"/>
      <c r="BA356" s="321"/>
      <c r="BB356" s="321"/>
      <c r="BC356" s="321"/>
      <c r="BD356" s="321"/>
      <c r="BE356" s="321"/>
      <c r="BF356" s="321"/>
      <c r="BG356" s="321"/>
      <c r="BH356" s="321"/>
      <c r="BI356" s="321"/>
      <c r="BJ356" s="321"/>
      <c r="BK356" s="321"/>
      <c r="BL356" s="564"/>
      <c r="BM356" s="483"/>
      <c r="BN356" s="321"/>
      <c r="BO356" s="321"/>
      <c r="BP356" s="321"/>
      <c r="BQ356" s="321"/>
      <c r="BR356" s="321"/>
      <c r="BS356" s="321"/>
      <c r="BT356" s="321"/>
      <c r="BU356" s="321"/>
      <c r="BV356" s="321"/>
      <c r="BW356" s="321"/>
      <c r="BX356" s="321"/>
      <c r="BY356" s="321"/>
      <c r="BZ356" s="321"/>
      <c r="CA356" s="321"/>
      <c r="CB356" s="564"/>
      <c r="CC356" s="483"/>
      <c r="CD356" s="321"/>
      <c r="CE356" s="321"/>
      <c r="CF356" s="321"/>
      <c r="CG356" s="321"/>
      <c r="CH356" s="321"/>
      <c r="CI356" s="321"/>
      <c r="CJ356" s="321"/>
      <c r="CK356" s="321"/>
      <c r="CL356" s="321"/>
      <c r="CM356" s="321"/>
      <c r="CN356" s="321"/>
      <c r="CO356" s="321"/>
      <c r="CP356" s="321"/>
      <c r="CQ356" s="321"/>
      <c r="CR356" s="564"/>
      <c r="CS356" s="483">
        <v>1000</v>
      </c>
      <c r="CT356" s="321"/>
      <c r="CU356" s="321"/>
      <c r="CV356" s="321"/>
      <c r="CW356" s="321"/>
      <c r="CX356" s="321"/>
      <c r="CY356" s="321"/>
      <c r="CZ356" s="321"/>
      <c r="DA356" s="321"/>
      <c r="DB356" s="321"/>
      <c r="DC356" s="321"/>
      <c r="DD356" s="321"/>
      <c r="DE356" s="321"/>
      <c r="DF356" s="321"/>
      <c r="DG356" s="321"/>
      <c r="DH356" s="564"/>
      <c r="DI356" s="1236"/>
      <c r="DJ356" s="328"/>
      <c r="DK356" s="321"/>
      <c r="DL356" s="328"/>
      <c r="DM356" s="328"/>
      <c r="DN356" s="328"/>
      <c r="DO356" s="328"/>
      <c r="DP356" s="328"/>
      <c r="DQ356" s="328"/>
      <c r="DR356" s="328"/>
      <c r="DS356" s="328"/>
      <c r="DT356" s="328"/>
      <c r="DU356" s="328"/>
      <c r="DV356" s="328"/>
      <c r="DW356" s="328"/>
      <c r="DX356" s="1237"/>
      <c r="DY356" s="483">
        <v>2000</v>
      </c>
      <c r="DZ356" s="321"/>
      <c r="EA356" s="321"/>
      <c r="EB356" s="321"/>
      <c r="EC356" s="321"/>
      <c r="ED356" s="321"/>
      <c r="EE356" s="321"/>
      <c r="EF356" s="321"/>
      <c r="EG356" s="321"/>
      <c r="EH356" s="321"/>
      <c r="EI356" s="321"/>
      <c r="EJ356" s="321"/>
      <c r="EK356" s="321"/>
      <c r="EL356" s="321"/>
      <c r="EM356" s="321"/>
      <c r="EN356" s="564"/>
      <c r="EO356" s="483">
        <v>40</v>
      </c>
      <c r="EP356" s="321"/>
      <c r="EQ356" s="321"/>
      <c r="ER356" s="321"/>
      <c r="ES356" s="321"/>
      <c r="ET356" s="321"/>
      <c r="EU356" s="321"/>
      <c r="EV356" s="321"/>
      <c r="EW356" s="321"/>
      <c r="EX356" s="321"/>
      <c r="EY356" s="321"/>
      <c r="EZ356" s="321"/>
      <c r="FA356" s="321"/>
      <c r="FB356" s="321"/>
      <c r="FC356" s="321"/>
      <c r="FD356" s="564"/>
      <c r="FE356" s="483">
        <v>40</v>
      </c>
      <c r="FF356" s="321"/>
      <c r="FG356" s="321"/>
      <c r="FH356" s="321"/>
      <c r="FI356" s="321"/>
      <c r="FJ356" s="321"/>
      <c r="FK356" s="321"/>
      <c r="FL356" s="321"/>
      <c r="FM356" s="321"/>
      <c r="FN356" s="321"/>
      <c r="FO356" s="321"/>
      <c r="FP356" s="321"/>
      <c r="FQ356" s="321"/>
      <c r="FR356" s="321"/>
      <c r="FS356" s="321"/>
      <c r="FT356" s="564"/>
      <c r="FU356" s="483">
        <v>1500</v>
      </c>
      <c r="FV356" s="321"/>
      <c r="FW356" s="321"/>
      <c r="FX356" s="321"/>
      <c r="FY356" s="321"/>
      <c r="FZ356" s="321"/>
      <c r="GA356" s="321"/>
      <c r="GB356" s="321"/>
      <c r="GC356" s="321"/>
      <c r="GD356" s="321"/>
      <c r="GE356" s="321"/>
      <c r="GF356" s="321"/>
      <c r="GG356" s="321"/>
      <c r="GH356" s="321"/>
      <c r="GI356" s="321"/>
      <c r="GJ356" s="564"/>
      <c r="GK356" s="483">
        <v>200</v>
      </c>
      <c r="GL356" s="321"/>
      <c r="GM356" s="321"/>
      <c r="GN356" s="321"/>
      <c r="GO356" s="321"/>
      <c r="GP356" s="321"/>
      <c r="GQ356" s="321"/>
      <c r="GR356" s="301">
        <v>9</v>
      </c>
      <c r="GS356" s="321"/>
      <c r="GT356" s="321"/>
      <c r="GU356" s="321"/>
      <c r="GV356" s="321"/>
      <c r="GW356" s="321"/>
      <c r="GX356" s="321"/>
      <c r="GY356" s="321"/>
      <c r="GZ356" s="564"/>
      <c r="HA356" s="483">
        <v>1800</v>
      </c>
      <c r="HB356" s="321"/>
      <c r="HC356" s="321"/>
      <c r="HD356" s="321"/>
      <c r="HE356" s="321"/>
      <c r="HF356" s="321"/>
      <c r="HG356" s="321"/>
      <c r="HH356" s="321"/>
      <c r="HI356" s="321"/>
      <c r="HJ356" s="321"/>
      <c r="HK356" s="321"/>
      <c r="HL356" s="321"/>
      <c r="HM356" s="321"/>
      <c r="HN356" s="321"/>
      <c r="HO356" s="321"/>
      <c r="HP356" s="564"/>
      <c r="HQ356" s="483">
        <v>100</v>
      </c>
      <c r="HR356" s="321"/>
      <c r="HS356" s="321"/>
      <c r="HT356" s="321"/>
      <c r="HU356" s="321"/>
      <c r="HV356" s="321"/>
      <c r="HW356" s="321"/>
      <c r="HX356" s="321"/>
      <c r="HY356" s="321"/>
      <c r="HZ356" s="321"/>
      <c r="IA356" s="321"/>
      <c r="IB356" s="321"/>
      <c r="IC356" s="321"/>
      <c r="ID356" s="321"/>
      <c r="IE356" s="321"/>
      <c r="IF356" s="564"/>
      <c r="IG356" s="483">
        <v>100</v>
      </c>
      <c r="IH356" s="321"/>
      <c r="II356" s="321"/>
      <c r="IJ356" s="321"/>
      <c r="IK356" s="321"/>
      <c r="IL356" s="321"/>
      <c r="IM356" s="321"/>
      <c r="IN356" s="321"/>
      <c r="IO356" s="321"/>
      <c r="IP356" s="321"/>
      <c r="IQ356" s="321"/>
      <c r="IR356" s="321"/>
      <c r="IS356" s="321"/>
      <c r="IT356" s="321"/>
      <c r="IU356" s="321"/>
      <c r="IV356" s="1351"/>
    </row>
    <row r="357" spans="1:256" s="326" customFormat="1" ht="8.25" customHeight="1">
      <c r="A357" s="483"/>
      <c r="B357" s="321"/>
      <c r="C357" s="321"/>
      <c r="D357" s="321"/>
      <c r="E357" s="321"/>
      <c r="F357" s="321"/>
      <c r="G357" s="321"/>
      <c r="H357" s="321"/>
      <c r="I357" s="321"/>
      <c r="J357" s="321"/>
      <c r="K357" s="321"/>
      <c r="L357" s="321"/>
      <c r="M357" s="321"/>
      <c r="N357" s="321"/>
      <c r="O357" s="321"/>
      <c r="P357" s="564"/>
      <c r="Q357" s="483"/>
      <c r="R357"/>
      <c r="S357"/>
      <c r="T357"/>
      <c r="U357"/>
      <c r="V357"/>
      <c r="W357"/>
      <c r="X357"/>
      <c r="Y357"/>
      <c r="Z357"/>
      <c r="AA357"/>
      <c r="AB357"/>
      <c r="AC357"/>
      <c r="AD357"/>
      <c r="AE357"/>
      <c r="AF357" s="564"/>
      <c r="AG357" s="483"/>
      <c r="AH357"/>
      <c r="AI357"/>
      <c r="AJ357"/>
      <c r="AK357"/>
      <c r="AL357"/>
      <c r="AM357"/>
      <c r="AN357"/>
      <c r="AO357"/>
      <c r="AP357"/>
      <c r="AQ357"/>
      <c r="AR357"/>
      <c r="AS357"/>
      <c r="AT357"/>
      <c r="AU357"/>
      <c r="AV357" s="564"/>
      <c r="AW357" s="483"/>
      <c r="AX357" s="321"/>
      <c r="AY357" s="321"/>
      <c r="AZ357" s="321"/>
      <c r="BA357" s="321"/>
      <c r="BB357" s="321"/>
      <c r="BC357" s="321"/>
      <c r="BD357" s="321"/>
      <c r="BE357" s="321"/>
      <c r="BF357" s="321"/>
      <c r="BG357" s="321"/>
      <c r="BH357" s="321"/>
      <c r="BI357" s="321"/>
      <c r="BJ357" s="321"/>
      <c r="BK357" s="321"/>
      <c r="BL357" s="564"/>
      <c r="BM357" s="483"/>
      <c r="BN357" s="321"/>
      <c r="BO357" s="321"/>
      <c r="BP357" s="321"/>
      <c r="BQ357" s="321"/>
      <c r="BR357" s="321"/>
      <c r="BS357" s="321"/>
      <c r="BT357" s="321"/>
      <c r="BU357" s="321"/>
      <c r="BV357" s="321"/>
      <c r="BW357" s="321"/>
      <c r="BX357" s="321"/>
      <c r="BY357" s="321"/>
      <c r="BZ357" s="321"/>
      <c r="CA357" s="321"/>
      <c r="CB357" s="564"/>
      <c r="CC357" s="483"/>
      <c r="CD357" s="321"/>
      <c r="CE357" s="321"/>
      <c r="CF357" s="321"/>
      <c r="CG357" s="321"/>
      <c r="CH357" s="321"/>
      <c r="CI357" s="321"/>
      <c r="CJ357" s="321"/>
      <c r="CK357" s="321"/>
      <c r="CL357" s="321"/>
      <c r="CM357" s="321"/>
      <c r="CN357" s="321"/>
      <c r="CO357" s="321"/>
      <c r="CP357" s="321"/>
      <c r="CQ357" s="321"/>
      <c r="CR357" s="564"/>
      <c r="CS357" s="483">
        <v>600</v>
      </c>
      <c r="CT357" s="321"/>
      <c r="CU357" s="321"/>
      <c r="CV357" s="321"/>
      <c r="CW357" s="321"/>
      <c r="CX357" s="321"/>
      <c r="CY357" s="321"/>
      <c r="CZ357" s="321"/>
      <c r="DA357" s="321"/>
      <c r="DB357" s="321"/>
      <c r="DC357" s="321"/>
      <c r="DD357" s="321"/>
      <c r="DE357" s="321"/>
      <c r="DF357" s="321"/>
      <c r="DG357" s="321"/>
      <c r="DH357" s="564"/>
      <c r="DI357" s="1236"/>
      <c r="DJ357" s="328"/>
      <c r="DK357" s="321"/>
      <c r="DL357" s="328"/>
      <c r="DM357" s="328"/>
      <c r="DN357" s="328"/>
      <c r="DO357" s="328"/>
      <c r="DP357" s="328"/>
      <c r="DQ357" s="328"/>
      <c r="DR357" s="328"/>
      <c r="DS357" s="328"/>
      <c r="DT357" s="328"/>
      <c r="DU357" s="328"/>
      <c r="DV357" s="328"/>
      <c r="DW357" s="328"/>
      <c r="DX357" s="1237"/>
      <c r="DY357" s="483">
        <v>600</v>
      </c>
      <c r="DZ357" s="321"/>
      <c r="EA357" s="321"/>
      <c r="EB357" s="321"/>
      <c r="EC357" s="321"/>
      <c r="ED357" s="321"/>
      <c r="EE357" s="321"/>
      <c r="EF357" s="321"/>
      <c r="EG357" s="321"/>
      <c r="EH357" s="321"/>
      <c r="EI357" s="321"/>
      <c r="EJ357" s="321"/>
      <c r="EK357" s="321"/>
      <c r="EL357" s="321"/>
      <c r="EM357" s="321"/>
      <c r="EN357" s="564"/>
      <c r="EO357" s="483">
        <v>350</v>
      </c>
      <c r="EP357" s="321"/>
      <c r="EQ357" s="321"/>
      <c r="ER357" s="321"/>
      <c r="ES357" s="321"/>
      <c r="ET357" s="321"/>
      <c r="EU357" s="321"/>
      <c r="EV357" s="321"/>
      <c r="EW357" s="321"/>
      <c r="EX357" s="321"/>
      <c r="EY357" s="321"/>
      <c r="EZ357" s="321"/>
      <c r="FA357" s="321"/>
      <c r="FB357" s="321"/>
      <c r="FC357" s="321"/>
      <c r="FD357" s="564"/>
      <c r="FE357" s="483">
        <v>350</v>
      </c>
      <c r="FF357" s="321"/>
      <c r="FG357" s="321"/>
      <c r="FH357" s="321"/>
      <c r="FI357" s="321"/>
      <c r="FJ357" s="321"/>
      <c r="FK357" s="321"/>
      <c r="FL357" s="321"/>
      <c r="FM357" s="321"/>
      <c r="FN357" s="321"/>
      <c r="FO357" s="321"/>
      <c r="FP357" s="321"/>
      <c r="FQ357" s="321"/>
      <c r="FR357" s="321"/>
      <c r="FS357" s="321"/>
      <c r="FT357" s="564"/>
      <c r="FU357" s="483">
        <v>20</v>
      </c>
      <c r="FV357" s="321"/>
      <c r="FW357" s="321"/>
      <c r="FX357" s="321"/>
      <c r="FY357" s="321"/>
      <c r="FZ357" s="321"/>
      <c r="GA357" s="321"/>
      <c r="GB357" s="321"/>
      <c r="GC357" s="321"/>
      <c r="GD357" s="321"/>
      <c r="GE357" s="321"/>
      <c r="GF357" s="321"/>
      <c r="GG357" s="321"/>
      <c r="GH357" s="321"/>
      <c r="GI357" s="321"/>
      <c r="GJ357" s="564"/>
      <c r="GK357" s="483">
        <v>20</v>
      </c>
      <c r="GL357" s="321"/>
      <c r="GM357" s="321"/>
      <c r="GN357" s="321"/>
      <c r="GO357" s="321"/>
      <c r="GP357" s="321"/>
      <c r="GQ357" s="321"/>
      <c r="GR357" s="189">
        <v>9</v>
      </c>
      <c r="GS357" s="321"/>
      <c r="GT357" s="321"/>
      <c r="GU357" s="321"/>
      <c r="GV357" s="321"/>
      <c r="GW357" s="321"/>
      <c r="GX357" s="321"/>
      <c r="GY357" s="321"/>
      <c r="GZ357" s="564"/>
      <c r="HA357" s="483">
        <v>100</v>
      </c>
      <c r="HB357" s="321"/>
      <c r="HC357" s="321"/>
      <c r="HD357" s="321"/>
      <c r="HE357" s="321"/>
      <c r="HF357" s="321"/>
      <c r="HG357" s="321"/>
      <c r="HH357" s="321"/>
      <c r="HI357" s="321"/>
      <c r="HJ357" s="321"/>
      <c r="HK357" s="321"/>
      <c r="HL357" s="321"/>
      <c r="HM357" s="321"/>
      <c r="HN357" s="321"/>
      <c r="HO357" s="321"/>
      <c r="HP357" s="564"/>
      <c r="HQ357" s="483">
        <v>100</v>
      </c>
      <c r="HR357" s="321"/>
      <c r="HS357" s="321"/>
      <c r="HT357" s="321"/>
      <c r="HU357" s="321"/>
      <c r="HV357" s="321"/>
      <c r="HW357" s="321"/>
      <c r="HX357" s="321"/>
      <c r="HY357" s="321"/>
      <c r="HZ357" s="321"/>
      <c r="IA357" s="321"/>
      <c r="IB357" s="321"/>
      <c r="IC357" s="321"/>
      <c r="ID357" s="321"/>
      <c r="IE357" s="321"/>
      <c r="IF357" s="564"/>
      <c r="IG357" s="483">
        <v>100</v>
      </c>
      <c r="IH357" s="321"/>
      <c r="II357" s="321"/>
      <c r="IJ357" s="321"/>
      <c r="IK357" s="321"/>
      <c r="IL357" s="321"/>
      <c r="IM357" s="321"/>
      <c r="IN357" s="321"/>
      <c r="IO357" s="321"/>
      <c r="IP357" s="321"/>
      <c r="IQ357" s="321"/>
      <c r="IR357" s="321"/>
      <c r="IS357" s="321"/>
      <c r="IT357" s="321"/>
      <c r="IU357" s="321"/>
      <c r="IV357" s="1351"/>
    </row>
    <row r="358" spans="1:256" s="326" customFormat="1" ht="8.25" customHeight="1">
      <c r="A358" s="483"/>
      <c r="B358" s="321"/>
      <c r="C358" s="414"/>
      <c r="D358" s="414"/>
      <c r="E358" s="414"/>
      <c r="F358" s="414"/>
      <c r="G358" s="414"/>
      <c r="H358" s="414"/>
      <c r="I358" s="414"/>
      <c r="J358" s="414"/>
      <c r="K358" s="414"/>
      <c r="L358" s="414"/>
      <c r="M358" s="414"/>
      <c r="N358" s="414"/>
      <c r="O358" s="321"/>
      <c r="P358" s="564"/>
      <c r="Q358" s="483"/>
      <c r="R358"/>
      <c r="S358"/>
      <c r="T358"/>
      <c r="U358"/>
      <c r="V358"/>
      <c r="W358"/>
      <c r="X358"/>
      <c r="Y358"/>
      <c r="Z358"/>
      <c r="AA358"/>
      <c r="AB358"/>
      <c r="AC358"/>
      <c r="AD358"/>
      <c r="AE358"/>
      <c r="AF358" s="564"/>
      <c r="AG358" s="483"/>
      <c r="AH358"/>
      <c r="AI358"/>
      <c r="AJ358"/>
      <c r="AK358"/>
      <c r="AL358"/>
      <c r="AM358"/>
      <c r="AN358"/>
      <c r="AO358"/>
      <c r="AP358"/>
      <c r="AQ358"/>
      <c r="AR358"/>
      <c r="AS358"/>
      <c r="AT358"/>
      <c r="AU358"/>
      <c r="AV358" s="564"/>
      <c r="AW358" s="483"/>
      <c r="AX358" s="321"/>
      <c r="AY358" s="321"/>
      <c r="AZ358" s="321"/>
      <c r="BA358" s="321"/>
      <c r="BB358" s="321"/>
      <c r="BC358" s="321"/>
      <c r="BD358" s="321"/>
      <c r="BE358" s="321"/>
      <c r="BF358" s="321"/>
      <c r="BG358" s="321"/>
      <c r="BH358" s="321"/>
      <c r="BI358" s="321"/>
      <c r="BJ358" s="321"/>
      <c r="BK358" s="321"/>
      <c r="BL358" s="564"/>
      <c r="BM358" s="483"/>
      <c r="BN358" s="321"/>
      <c r="BO358" s="321"/>
      <c r="BP358" s="321"/>
      <c r="BQ358" s="321"/>
      <c r="BR358" s="321"/>
      <c r="BS358" s="321"/>
      <c r="BT358" s="321"/>
      <c r="BU358" s="321"/>
      <c r="BV358" s="321"/>
      <c r="BW358" s="321"/>
      <c r="BX358" s="321"/>
      <c r="BY358" s="321"/>
      <c r="BZ358" s="321"/>
      <c r="CA358" s="321"/>
      <c r="CB358" s="564"/>
      <c r="CC358" s="483">
        <v>111</v>
      </c>
      <c r="CD358" s="321"/>
      <c r="CE358" s="321"/>
      <c r="CF358" s="321"/>
      <c r="CG358" s="321"/>
      <c r="CH358" s="321"/>
      <c r="CI358" s="321"/>
      <c r="CJ358" s="321"/>
      <c r="CK358" s="321"/>
      <c r="CL358" s="321"/>
      <c r="CM358" s="321"/>
      <c r="CN358" s="321"/>
      <c r="CO358" s="321"/>
      <c r="CP358" s="321"/>
      <c r="CQ358" s="321"/>
      <c r="CR358" s="564"/>
      <c r="CS358" s="483">
        <v>111</v>
      </c>
      <c r="CT358" s="321"/>
      <c r="CU358" s="321"/>
      <c r="CV358" s="321"/>
      <c r="CW358" s="321"/>
      <c r="CX358" s="321"/>
      <c r="CY358" s="321"/>
      <c r="CZ358" s="321"/>
      <c r="DA358" s="321"/>
      <c r="DB358" s="321"/>
      <c r="DC358" s="321"/>
      <c r="DD358" s="321"/>
      <c r="DE358" s="321"/>
      <c r="DF358" s="321"/>
      <c r="DG358" s="321"/>
      <c r="DH358" s="564"/>
      <c r="DI358" s="1236"/>
      <c r="DJ358" s="328"/>
      <c r="DK358" s="321"/>
      <c r="DL358" s="328"/>
      <c r="DM358" s="328"/>
      <c r="DN358" s="328"/>
      <c r="DO358" s="328"/>
      <c r="DP358" s="328"/>
      <c r="DQ358" s="328"/>
      <c r="DR358" s="328"/>
      <c r="DS358" s="328"/>
      <c r="DT358" s="328"/>
      <c r="DU358" s="328"/>
      <c r="DV358" s="328"/>
      <c r="DW358" s="328"/>
      <c r="DX358" s="1237"/>
      <c r="DY358" s="483">
        <v>111</v>
      </c>
      <c r="DZ358" s="321"/>
      <c r="EA358" s="321"/>
      <c r="EB358" s="321"/>
      <c r="EC358" s="321"/>
      <c r="ED358" s="321"/>
      <c r="EE358" s="321"/>
      <c r="EF358" s="321"/>
      <c r="EG358" s="321"/>
      <c r="EH358" s="321"/>
      <c r="EI358" s="321"/>
      <c r="EJ358" s="321"/>
      <c r="EK358" s="321"/>
      <c r="EL358" s="321"/>
      <c r="EM358" s="321"/>
      <c r="EN358" s="564"/>
      <c r="EO358" s="483">
        <v>111</v>
      </c>
      <c r="EP358" s="321"/>
      <c r="EQ358" s="321"/>
      <c r="ER358" s="321"/>
      <c r="ES358" s="321"/>
      <c r="ET358" s="321"/>
      <c r="EU358" s="321"/>
      <c r="EV358" s="321"/>
      <c r="EW358" s="321"/>
      <c r="EX358" s="321"/>
      <c r="EY358" s="321"/>
      <c r="EZ358" s="321"/>
      <c r="FA358" s="321"/>
      <c r="FB358" s="321"/>
      <c r="FC358" s="321"/>
      <c r="FD358" s="564"/>
      <c r="FE358" s="483">
        <v>111</v>
      </c>
      <c r="FF358" s="321"/>
      <c r="FG358" s="321"/>
      <c r="FH358" s="321"/>
      <c r="FI358" s="321"/>
      <c r="FJ358" s="321"/>
      <c r="FK358" s="321"/>
      <c r="FL358" s="321"/>
      <c r="FM358" s="321"/>
      <c r="FN358" s="321"/>
      <c r="FO358" s="321"/>
      <c r="FP358" s="321"/>
      <c r="FQ358" s="321"/>
      <c r="FR358" s="321"/>
      <c r="FS358" s="321"/>
      <c r="FT358" s="564"/>
      <c r="FU358" s="483">
        <v>84</v>
      </c>
      <c r="FV358" s="321"/>
      <c r="FW358" s="321"/>
      <c r="FX358" s="321"/>
      <c r="FY358" s="321"/>
      <c r="FZ358" s="321"/>
      <c r="GA358" s="321"/>
      <c r="GB358" s="321"/>
      <c r="GC358" s="321"/>
      <c r="GD358" s="321"/>
      <c r="GE358" s="321"/>
      <c r="GF358" s="321"/>
      <c r="GG358" s="321"/>
      <c r="GH358" s="321"/>
      <c r="GI358" s="321"/>
      <c r="GJ358" s="564"/>
      <c r="GK358" s="483">
        <v>84</v>
      </c>
      <c r="GL358" s="321"/>
      <c r="GM358" s="321"/>
      <c r="GN358" s="321"/>
      <c r="GO358" s="321"/>
      <c r="GP358" s="321"/>
      <c r="GQ358" s="321"/>
      <c r="GR358" s="189">
        <v>9</v>
      </c>
      <c r="GS358" s="321"/>
      <c r="GT358" s="321"/>
      <c r="GU358" s="321"/>
      <c r="GV358" s="321"/>
      <c r="GW358" s="321"/>
      <c r="GX358" s="321"/>
      <c r="GY358" s="321"/>
      <c r="GZ358" s="564"/>
      <c r="HA358" s="483">
        <v>25</v>
      </c>
      <c r="HB358" s="321"/>
      <c r="HC358" s="321"/>
      <c r="HD358" s="321"/>
      <c r="HE358" s="321"/>
      <c r="HF358" s="321"/>
      <c r="HG358" s="321"/>
      <c r="HH358" s="321"/>
      <c r="HI358" s="321"/>
      <c r="HJ358" s="321"/>
      <c r="HK358" s="321"/>
      <c r="HL358" s="321"/>
      <c r="HM358" s="321"/>
      <c r="HN358" s="321"/>
      <c r="HO358" s="321"/>
      <c r="HP358" s="564"/>
      <c r="HQ358" s="483">
        <v>25</v>
      </c>
      <c r="HR358" s="321"/>
      <c r="HS358" s="321"/>
      <c r="HT358" s="321"/>
      <c r="HU358" s="321"/>
      <c r="HV358" s="321"/>
      <c r="HW358" s="321"/>
      <c r="HX358" s="321"/>
      <c r="HY358" s="321"/>
      <c r="HZ358" s="321"/>
      <c r="IA358" s="321"/>
      <c r="IB358" s="321"/>
      <c r="IC358" s="321"/>
      <c r="ID358" s="321"/>
      <c r="IE358" s="321"/>
      <c r="IF358" s="564"/>
      <c r="IG358" s="483">
        <v>25</v>
      </c>
      <c r="IH358" s="321"/>
      <c r="II358" s="321"/>
      <c r="IJ358" s="321"/>
      <c r="IK358" s="321"/>
      <c r="IL358" s="321"/>
      <c r="IM358" s="321"/>
      <c r="IN358" s="321"/>
      <c r="IO358" s="321"/>
      <c r="IP358" s="321"/>
      <c r="IQ358" s="321"/>
      <c r="IR358" s="321"/>
      <c r="IS358" s="321"/>
      <c r="IT358" s="321"/>
      <c r="IU358" s="321"/>
      <c r="IV358" s="1351"/>
    </row>
    <row r="359" spans="1:256" s="326" customFormat="1" ht="8.25" customHeight="1">
      <c r="A359" s="483"/>
      <c r="B359" s="321"/>
      <c r="C359" s="414"/>
      <c r="D359" s="412"/>
      <c r="E359" s="421"/>
      <c r="F359" s="412"/>
      <c r="G359" s="413"/>
      <c r="H359" s="412"/>
      <c r="I359" s="412"/>
      <c r="J359" s="412"/>
      <c r="K359" s="413"/>
      <c r="L359" s="412"/>
      <c r="M359" s="431"/>
      <c r="N359" s="414"/>
      <c r="O359" s="321"/>
      <c r="P359" s="564"/>
      <c r="Q359" s="483"/>
      <c r="R359"/>
      <c r="S359"/>
      <c r="T359"/>
      <c r="U359"/>
      <c r="V359"/>
      <c r="W359"/>
      <c r="X359"/>
      <c r="Y359"/>
      <c r="Z359"/>
      <c r="AA359"/>
      <c r="AB359"/>
      <c r="AC359"/>
      <c r="AD359"/>
      <c r="AE359"/>
      <c r="AF359" s="564"/>
      <c r="AG359" s="483"/>
      <c r="AH359"/>
      <c r="AI359"/>
      <c r="AJ359"/>
      <c r="AK359"/>
      <c r="AL359"/>
      <c r="AM359"/>
      <c r="AN359"/>
      <c r="AO359"/>
      <c r="AP359"/>
      <c r="AQ359"/>
      <c r="AR359"/>
      <c r="AS359"/>
      <c r="AT359"/>
      <c r="AU359"/>
      <c r="AV359" s="564"/>
      <c r="AW359" s="483"/>
      <c r="AX359" s="321"/>
      <c r="AY359" s="321"/>
      <c r="AZ359" s="321"/>
      <c r="BA359" s="321"/>
      <c r="BB359" s="321"/>
      <c r="BC359" s="321"/>
      <c r="BD359" s="321"/>
      <c r="BE359" s="321"/>
      <c r="BF359" s="321"/>
      <c r="BG359" s="321"/>
      <c r="BH359" s="321"/>
      <c r="BI359" s="321"/>
      <c r="BJ359" s="321"/>
      <c r="BK359" s="321"/>
      <c r="BL359" s="564"/>
      <c r="BM359" s="483"/>
      <c r="BN359" s="321"/>
      <c r="BO359" s="321"/>
      <c r="BP359" s="321"/>
      <c r="BQ359" s="321"/>
      <c r="BR359" s="321"/>
      <c r="BS359" s="321"/>
      <c r="BT359" s="321"/>
      <c r="BU359" s="321"/>
      <c r="BV359" s="321"/>
      <c r="BW359" s="321"/>
      <c r="BX359" s="321"/>
      <c r="BY359" s="321"/>
      <c r="BZ359" s="321"/>
      <c r="CA359" s="321"/>
      <c r="CB359" s="564"/>
      <c r="CC359" s="483"/>
      <c r="CD359" s="321"/>
      <c r="CE359" s="321"/>
      <c r="CF359" s="321"/>
      <c r="CG359" s="321"/>
      <c r="CH359" s="321"/>
      <c r="CI359" s="321"/>
      <c r="CJ359" s="321"/>
      <c r="CK359" s="321"/>
      <c r="CL359" s="321"/>
      <c r="CM359" s="321"/>
      <c r="CN359" s="321"/>
      <c r="CO359" s="321"/>
      <c r="CP359" s="321"/>
      <c r="CQ359" s="321"/>
      <c r="CR359" s="564"/>
      <c r="CS359" s="483"/>
      <c r="CT359" s="321"/>
      <c r="CU359" s="321"/>
      <c r="CV359" s="321"/>
      <c r="CW359" s="321"/>
      <c r="CX359" s="321"/>
      <c r="CY359" s="321"/>
      <c r="CZ359" s="321"/>
      <c r="DA359" s="321"/>
      <c r="DB359" s="321"/>
      <c r="DC359" s="321"/>
      <c r="DD359" s="321"/>
      <c r="DE359" s="321"/>
      <c r="DF359" s="321"/>
      <c r="DG359" s="321"/>
      <c r="DH359" s="564"/>
      <c r="DI359" s="1236"/>
      <c r="DJ359" s="328"/>
      <c r="DK359" s="321"/>
      <c r="DL359" s="328"/>
      <c r="DM359" s="328"/>
      <c r="DN359" s="328"/>
      <c r="DO359" s="328"/>
      <c r="DP359" s="328"/>
      <c r="DQ359" s="328"/>
      <c r="DR359" s="328"/>
      <c r="DS359" s="328"/>
      <c r="DT359" s="328"/>
      <c r="DU359" s="328"/>
      <c r="DV359" s="328"/>
      <c r="DW359" s="328"/>
      <c r="DX359" s="1237"/>
      <c r="DY359" s="483"/>
      <c r="DZ359" s="321"/>
      <c r="EA359" s="321"/>
      <c r="EB359" s="321"/>
      <c r="EC359" s="321"/>
      <c r="ED359" s="321"/>
      <c r="EE359" s="321"/>
      <c r="EF359" s="321"/>
      <c r="EG359" s="321"/>
      <c r="EH359" s="321"/>
      <c r="EI359" s="321"/>
      <c r="EJ359" s="321"/>
      <c r="EK359" s="321"/>
      <c r="EL359" s="321"/>
      <c r="EM359" s="321"/>
      <c r="EN359" s="564"/>
      <c r="EO359" s="483"/>
      <c r="EP359" s="321"/>
      <c r="EQ359" s="321"/>
      <c r="ER359" s="321"/>
      <c r="ES359" s="321"/>
      <c r="ET359" s="321"/>
      <c r="EU359" s="321"/>
      <c r="EV359" s="321"/>
      <c r="EW359" s="321"/>
      <c r="EX359" s="321"/>
      <c r="EY359" s="321"/>
      <c r="EZ359" s="321"/>
      <c r="FA359" s="321"/>
      <c r="FB359" s="321"/>
      <c r="FC359" s="321"/>
      <c r="FD359" s="564"/>
      <c r="FE359" s="483"/>
      <c r="FF359" s="321"/>
      <c r="FG359" s="321"/>
      <c r="FH359" s="321"/>
      <c r="FI359" s="321"/>
      <c r="FJ359" s="321"/>
      <c r="FK359" s="321"/>
      <c r="FL359" s="321"/>
      <c r="FM359" s="321"/>
      <c r="FN359" s="321"/>
      <c r="FO359" s="321"/>
      <c r="FP359" s="321"/>
      <c r="FQ359" s="321"/>
      <c r="FR359" s="321"/>
      <c r="FS359" s="321"/>
      <c r="FT359" s="564"/>
      <c r="FU359" s="483"/>
      <c r="FV359" s="321"/>
      <c r="FW359" s="321"/>
      <c r="FX359" s="321"/>
      <c r="FY359" s="321"/>
      <c r="FZ359" s="321"/>
      <c r="GA359" s="321"/>
      <c r="GB359" s="321"/>
      <c r="GC359" s="321"/>
      <c r="GD359" s="321"/>
      <c r="GE359" s="321"/>
      <c r="GF359" s="321"/>
      <c r="GG359" s="321"/>
      <c r="GH359" s="321"/>
      <c r="GI359" s="321"/>
      <c r="GJ359" s="564"/>
      <c r="GK359" s="483"/>
      <c r="GL359" s="321"/>
      <c r="GM359" s="321"/>
      <c r="GN359" s="321"/>
      <c r="GO359" s="321"/>
      <c r="GP359" s="321"/>
      <c r="GQ359" s="321"/>
      <c r="GR359" s="189">
        <v>9</v>
      </c>
      <c r="GS359" s="321"/>
      <c r="GT359" s="321"/>
      <c r="GU359" s="321"/>
      <c r="GV359" s="321"/>
      <c r="GW359" s="321"/>
      <c r="GX359" s="321"/>
      <c r="GY359" s="321"/>
      <c r="GZ359" s="564"/>
      <c r="HA359" s="483"/>
      <c r="HB359" s="321"/>
      <c r="HC359" s="321"/>
      <c r="HD359" s="321"/>
      <c r="HE359" s="321"/>
      <c r="HF359" s="321"/>
      <c r="HG359" s="321"/>
      <c r="HH359" s="321"/>
      <c r="HI359" s="321"/>
      <c r="HJ359" s="321"/>
      <c r="HK359" s="321"/>
      <c r="HL359" s="321"/>
      <c r="HM359" s="321"/>
      <c r="HN359" s="321"/>
      <c r="HO359" s="321"/>
      <c r="HP359" s="564"/>
      <c r="HQ359" s="483"/>
      <c r="HR359" s="321"/>
      <c r="HS359" s="321"/>
      <c r="HT359" s="321"/>
      <c r="HU359" s="321"/>
      <c r="HV359" s="321"/>
      <c r="HW359" s="321"/>
      <c r="HX359" s="321"/>
      <c r="HY359" s="321"/>
      <c r="HZ359" s="321"/>
      <c r="IA359" s="321"/>
      <c r="IB359" s="321"/>
      <c r="IC359" s="321"/>
      <c r="ID359" s="321"/>
      <c r="IE359" s="321"/>
      <c r="IF359" s="564"/>
      <c r="IG359" s="483"/>
      <c r="IH359" s="321"/>
      <c r="II359" s="321"/>
      <c r="IJ359" s="321"/>
      <c r="IK359" s="321"/>
      <c r="IL359" s="321"/>
      <c r="IM359" s="321"/>
      <c r="IN359" s="321"/>
      <c r="IO359" s="321"/>
      <c r="IP359" s="321"/>
      <c r="IQ359" s="321"/>
      <c r="IR359" s="321"/>
      <c r="IS359" s="321"/>
      <c r="IT359" s="321"/>
      <c r="IU359" s="321"/>
      <c r="IV359" s="1351"/>
    </row>
    <row r="360" spans="1:256" s="326" customFormat="1" ht="8.25" customHeight="1">
      <c r="A360" s="483"/>
      <c r="B360" s="321"/>
      <c r="C360" s="414"/>
      <c r="D360" s="412"/>
      <c r="E360" s="412"/>
      <c r="F360" s="412"/>
      <c r="G360" s="413"/>
      <c r="H360" s="413"/>
      <c r="I360" s="412"/>
      <c r="J360" s="413"/>
      <c r="K360" s="431"/>
      <c r="L360" s="412"/>
      <c r="M360" s="413"/>
      <c r="N360" s="414"/>
      <c r="O360" s="321"/>
      <c r="P360" s="564"/>
      <c r="Q360" s="483"/>
      <c r="R360"/>
      <c r="S360"/>
      <c r="T360"/>
      <c r="U360"/>
      <c r="V360"/>
      <c r="W360"/>
      <c r="X360"/>
      <c r="Y360"/>
      <c r="Z360"/>
      <c r="AA360"/>
      <c r="AB360"/>
      <c r="AC360"/>
      <c r="AD360"/>
      <c r="AE360"/>
      <c r="AF360" s="564"/>
      <c r="AG360" s="483"/>
      <c r="AH360"/>
      <c r="AI360"/>
      <c r="AJ360"/>
      <c r="AK360"/>
      <c r="AL360"/>
      <c r="AM360"/>
      <c r="AN360"/>
      <c r="AO360"/>
      <c r="AP360"/>
      <c r="AQ360"/>
      <c r="AR360"/>
      <c r="AS360"/>
      <c r="AT360"/>
      <c r="AU360"/>
      <c r="AV360" s="564"/>
      <c r="AW360" s="483"/>
      <c r="AX360" s="321"/>
      <c r="AY360" s="321"/>
      <c r="AZ360" s="321"/>
      <c r="BA360" s="321"/>
      <c r="BB360" s="321"/>
      <c r="BC360" s="321"/>
      <c r="BD360" s="321"/>
      <c r="BE360" s="321"/>
      <c r="BF360" s="321"/>
      <c r="BG360" s="321"/>
      <c r="BH360" s="321"/>
      <c r="BI360" s="321"/>
      <c r="BJ360" s="321"/>
      <c r="BK360" s="321"/>
      <c r="BL360" s="564"/>
      <c r="BM360" s="483"/>
      <c r="BN360" s="321"/>
      <c r="BO360" s="321"/>
      <c r="BP360" s="321"/>
      <c r="BQ360" s="321"/>
      <c r="BR360" s="321"/>
      <c r="BS360" s="321"/>
      <c r="BT360" s="321"/>
      <c r="BU360" s="321"/>
      <c r="BV360" s="321"/>
      <c r="BW360" s="321"/>
      <c r="BX360" s="321"/>
      <c r="BY360" s="321"/>
      <c r="BZ360" s="321"/>
      <c r="CA360" s="321"/>
      <c r="CB360" s="564"/>
      <c r="CC360" s="483"/>
      <c r="CD360" s="321"/>
      <c r="CE360" s="321"/>
      <c r="CF360" s="321"/>
      <c r="CG360" s="321"/>
      <c r="CH360" s="321"/>
      <c r="CI360" s="321"/>
      <c r="CJ360" s="321"/>
      <c r="CK360" s="321"/>
      <c r="CL360" s="321"/>
      <c r="CM360" s="321"/>
      <c r="CN360" s="321"/>
      <c r="CO360" s="321"/>
      <c r="CP360" s="321"/>
      <c r="CQ360" s="321"/>
      <c r="CR360" s="564"/>
      <c r="CS360" s="483"/>
      <c r="CT360" s="321"/>
      <c r="CU360" s="321"/>
      <c r="CV360" s="321"/>
      <c r="CW360" s="321"/>
      <c r="CX360" s="321"/>
      <c r="CY360" s="321"/>
      <c r="CZ360" s="321"/>
      <c r="DA360" s="321"/>
      <c r="DB360" s="321"/>
      <c r="DC360" s="321"/>
      <c r="DD360" s="321"/>
      <c r="DE360" s="321"/>
      <c r="DF360" s="321"/>
      <c r="DG360" s="321"/>
      <c r="DH360" s="564"/>
      <c r="DI360" s="1236"/>
      <c r="DJ360" s="328"/>
      <c r="DK360" s="321"/>
      <c r="DL360" s="328"/>
      <c r="DM360" s="328"/>
      <c r="DN360" s="328"/>
      <c r="DO360" s="328"/>
      <c r="DP360" s="328"/>
      <c r="DQ360" s="328"/>
      <c r="DR360" s="328"/>
      <c r="DS360" s="328"/>
      <c r="DT360" s="328"/>
      <c r="DU360" s="328"/>
      <c r="DV360" s="328"/>
      <c r="DW360" s="328"/>
      <c r="DX360" s="1237"/>
      <c r="DY360" s="483"/>
      <c r="DZ360" s="321"/>
      <c r="EA360" s="321"/>
      <c r="EB360" s="321"/>
      <c r="EC360" s="321"/>
      <c r="ED360" s="321"/>
      <c r="EE360" s="321"/>
      <c r="EF360" s="321"/>
      <c r="EG360" s="321"/>
      <c r="EH360" s="321"/>
      <c r="EI360" s="321"/>
      <c r="EJ360" s="321"/>
      <c r="EK360" s="321"/>
      <c r="EL360" s="321"/>
      <c r="EM360" s="321"/>
      <c r="EN360" s="564"/>
      <c r="EO360" s="483"/>
      <c r="EP360" s="321"/>
      <c r="EQ360" s="321"/>
      <c r="ER360" s="321"/>
      <c r="ES360" s="321"/>
      <c r="ET360" s="321"/>
      <c r="EU360" s="321"/>
      <c r="EV360" s="321"/>
      <c r="EW360" s="321"/>
      <c r="EX360" s="321"/>
      <c r="EY360" s="321"/>
      <c r="EZ360" s="321"/>
      <c r="FA360" s="321"/>
      <c r="FB360" s="321"/>
      <c r="FC360" s="321"/>
      <c r="FD360" s="564"/>
      <c r="FE360" s="483"/>
      <c r="FF360" s="321"/>
      <c r="FG360" s="321"/>
      <c r="FH360" s="321"/>
      <c r="FI360" s="321"/>
      <c r="FJ360" s="321"/>
      <c r="FK360" s="321"/>
      <c r="FL360" s="321"/>
      <c r="FM360" s="321"/>
      <c r="FN360" s="321"/>
      <c r="FO360" s="321"/>
      <c r="FP360" s="321"/>
      <c r="FQ360" s="321"/>
      <c r="FR360" s="321"/>
      <c r="FS360" s="321"/>
      <c r="FT360" s="564"/>
      <c r="FU360" s="483"/>
      <c r="FV360" s="321"/>
      <c r="FW360" s="321"/>
      <c r="FX360" s="321"/>
      <c r="FY360" s="321"/>
      <c r="FZ360" s="321"/>
      <c r="GA360" s="321"/>
      <c r="GB360" s="321"/>
      <c r="GC360" s="321"/>
      <c r="GD360" s="321"/>
      <c r="GE360" s="321"/>
      <c r="GF360" s="321"/>
      <c r="GG360" s="321"/>
      <c r="GH360" s="321"/>
      <c r="GI360" s="321"/>
      <c r="GJ360" s="564"/>
      <c r="GK360" s="483"/>
      <c r="GL360" s="321"/>
      <c r="GM360" s="321"/>
      <c r="GN360" s="321"/>
      <c r="GO360" s="321"/>
      <c r="GP360" s="321"/>
      <c r="GQ360" s="321"/>
      <c r="GR360" s="301">
        <v>9</v>
      </c>
      <c r="GS360" s="321"/>
      <c r="GT360" s="321"/>
      <c r="GU360" s="321"/>
      <c r="GV360" s="321"/>
      <c r="GW360" s="321"/>
      <c r="GX360" s="321"/>
      <c r="GY360" s="321"/>
      <c r="GZ360" s="564"/>
      <c r="HA360" s="483"/>
      <c r="HB360" s="321"/>
      <c r="HC360" s="321"/>
      <c r="HD360" s="321"/>
      <c r="HE360" s="321"/>
      <c r="HF360" s="321"/>
      <c r="HG360" s="321"/>
      <c r="HH360" s="321"/>
      <c r="HI360" s="321"/>
      <c r="HJ360" s="321"/>
      <c r="HK360" s="321"/>
      <c r="HL360" s="321"/>
      <c r="HM360" s="321"/>
      <c r="HN360" s="321"/>
      <c r="HO360" s="321"/>
      <c r="HP360" s="564"/>
      <c r="HQ360" s="483"/>
      <c r="HR360" s="321"/>
      <c r="HS360" s="321"/>
      <c r="HT360" s="321"/>
      <c r="HU360" s="321"/>
      <c r="HV360" s="321"/>
      <c r="HW360" s="321"/>
      <c r="HX360" s="321"/>
      <c r="HY360" s="321"/>
      <c r="HZ360" s="321"/>
      <c r="IA360" s="321"/>
      <c r="IB360" s="321"/>
      <c r="IC360" s="321"/>
      <c r="ID360" s="321"/>
      <c r="IE360" s="321"/>
      <c r="IF360" s="564"/>
      <c r="IG360" s="483"/>
      <c r="IH360" s="321"/>
      <c r="II360" s="321"/>
      <c r="IJ360" s="321"/>
      <c r="IK360" s="321"/>
      <c r="IL360" s="321"/>
      <c r="IM360" s="321"/>
      <c r="IN360" s="321"/>
      <c r="IO360" s="321"/>
      <c r="IP360" s="321"/>
      <c r="IQ360" s="321"/>
      <c r="IR360" s="321"/>
      <c r="IS360" s="321"/>
      <c r="IT360" s="321"/>
      <c r="IU360" s="321"/>
      <c r="IV360" s="1351"/>
    </row>
    <row r="361" spans="1:256" s="326" customFormat="1" ht="8.25" customHeight="1">
      <c r="A361" s="483"/>
      <c r="B361" s="321"/>
      <c r="C361" s="414"/>
      <c r="D361" s="412"/>
      <c r="E361" s="413"/>
      <c r="F361" s="413"/>
      <c r="G361" s="431"/>
      <c r="H361" s="412"/>
      <c r="I361" s="413"/>
      <c r="J361" s="431"/>
      <c r="K361" s="412"/>
      <c r="L361" s="413"/>
      <c r="M361" s="431"/>
      <c r="N361" s="414"/>
      <c r="O361" s="321"/>
      <c r="P361" s="564"/>
      <c r="Q361" s="483"/>
      <c r="R361"/>
      <c r="S361"/>
      <c r="T361"/>
      <c r="U361"/>
      <c r="V361"/>
      <c r="W361"/>
      <c r="X361"/>
      <c r="Y361"/>
      <c r="Z361"/>
      <c r="AA361"/>
      <c r="AB361"/>
      <c r="AC361"/>
      <c r="AD361"/>
      <c r="AE361"/>
      <c r="AF361" s="564"/>
      <c r="AG361" s="483"/>
      <c r="AH361"/>
      <c r="AI361"/>
      <c r="AJ361"/>
      <c r="AK361"/>
      <c r="AL361"/>
      <c r="AM361"/>
      <c r="AN361"/>
      <c r="AO361"/>
      <c r="AP361"/>
      <c r="AQ361"/>
      <c r="AR361"/>
      <c r="AS361"/>
      <c r="AT361"/>
      <c r="AU361"/>
      <c r="AV361" s="564"/>
      <c r="AW361" s="483"/>
      <c r="AX361" s="321"/>
      <c r="AY361" s="321"/>
      <c r="AZ361" s="321"/>
      <c r="BA361" s="321"/>
      <c r="BB361" s="321"/>
      <c r="BC361" s="321"/>
      <c r="BD361" s="321"/>
      <c r="BE361" s="321"/>
      <c r="BF361" s="321"/>
      <c r="BG361" s="321"/>
      <c r="BH361" s="321"/>
      <c r="BI361" s="321"/>
      <c r="BJ361" s="321"/>
      <c r="BK361" s="321"/>
      <c r="BL361" s="564"/>
      <c r="BM361" s="483"/>
      <c r="BN361" s="321"/>
      <c r="BO361" s="321"/>
      <c r="BP361" s="321"/>
      <c r="BQ361" s="321"/>
      <c r="BR361" s="321"/>
      <c r="BS361" s="321"/>
      <c r="BT361" s="321"/>
      <c r="BU361" s="321"/>
      <c r="BV361" s="321"/>
      <c r="BW361" s="321"/>
      <c r="BX361" s="321"/>
      <c r="BY361" s="321"/>
      <c r="BZ361" s="321"/>
      <c r="CA361" s="321"/>
      <c r="CB361" s="564"/>
      <c r="CC361" s="483"/>
      <c r="CD361" s="321"/>
      <c r="CE361" s="321"/>
      <c r="CF361" s="321"/>
      <c r="CG361" s="321"/>
      <c r="CH361" s="321"/>
      <c r="CI361" s="321"/>
      <c r="CJ361" s="321"/>
      <c r="CK361" s="321"/>
      <c r="CL361" s="321"/>
      <c r="CM361" s="321"/>
      <c r="CN361" s="321"/>
      <c r="CO361" s="321"/>
      <c r="CP361" s="321"/>
      <c r="CQ361" s="321"/>
      <c r="CR361" s="564"/>
      <c r="CS361" s="483"/>
      <c r="CT361" s="321"/>
      <c r="CU361" s="321"/>
      <c r="CV361" s="321"/>
      <c r="CW361" s="321"/>
      <c r="CX361" s="321"/>
      <c r="CY361" s="321"/>
      <c r="CZ361" s="321"/>
      <c r="DA361" s="321"/>
      <c r="DB361" s="321"/>
      <c r="DC361" s="321"/>
      <c r="DD361" s="321"/>
      <c r="DE361" s="321"/>
      <c r="DF361" s="321"/>
      <c r="DG361" s="321"/>
      <c r="DH361" s="564"/>
      <c r="DI361" s="1236"/>
      <c r="DJ361" s="328"/>
      <c r="DK361" s="321"/>
      <c r="DL361" s="328"/>
      <c r="DM361" s="328"/>
      <c r="DN361" s="328"/>
      <c r="DO361" s="328"/>
      <c r="DP361" s="328"/>
      <c r="DQ361" s="328"/>
      <c r="DR361" s="328"/>
      <c r="DS361" s="328"/>
      <c r="DT361" s="328"/>
      <c r="DU361" s="328"/>
      <c r="DV361" s="328"/>
      <c r="DW361" s="328"/>
      <c r="DX361" s="1237"/>
      <c r="DY361" s="483"/>
      <c r="DZ361" s="321"/>
      <c r="EA361" s="321"/>
      <c r="EB361" s="321"/>
      <c r="EC361" s="321"/>
      <c r="ED361" s="321"/>
      <c r="EE361" s="321"/>
      <c r="EF361" s="321"/>
      <c r="EG361" s="321"/>
      <c r="EH361" s="321"/>
      <c r="EI361" s="321"/>
      <c r="EJ361" s="321"/>
      <c r="EK361" s="321"/>
      <c r="EL361" s="321"/>
      <c r="EM361" s="321"/>
      <c r="EN361" s="564"/>
      <c r="EO361" s="483"/>
      <c r="EP361" s="321"/>
      <c r="EQ361" s="321"/>
      <c r="ER361" s="321"/>
      <c r="ES361" s="321"/>
      <c r="ET361" s="321"/>
      <c r="EU361" s="321"/>
      <c r="EV361" s="321"/>
      <c r="EW361" s="321"/>
      <c r="EX361" s="321"/>
      <c r="EY361" s="321"/>
      <c r="EZ361" s="321"/>
      <c r="FA361" s="321"/>
      <c r="FB361" s="321"/>
      <c r="FC361" s="321"/>
      <c r="FD361" s="564"/>
      <c r="FE361" s="483"/>
      <c r="FF361" s="321"/>
      <c r="FG361" s="321"/>
      <c r="FH361" s="321"/>
      <c r="FI361" s="321"/>
      <c r="FJ361" s="321"/>
      <c r="FK361" s="321"/>
      <c r="FL361" s="321"/>
      <c r="FM361" s="321"/>
      <c r="FN361" s="321"/>
      <c r="FO361" s="321"/>
      <c r="FP361" s="321"/>
      <c r="FQ361" s="321"/>
      <c r="FR361" s="321"/>
      <c r="FS361" s="321"/>
      <c r="FT361" s="564"/>
      <c r="FU361" s="483"/>
      <c r="FV361" s="321"/>
      <c r="FW361" s="321"/>
      <c r="FX361" s="321"/>
      <c r="FY361" s="321"/>
      <c r="FZ361" s="321"/>
      <c r="GA361" s="321"/>
      <c r="GB361" s="321"/>
      <c r="GC361" s="321"/>
      <c r="GD361" s="321"/>
      <c r="GE361" s="321"/>
      <c r="GF361" s="321"/>
      <c r="GG361" s="321"/>
      <c r="GH361" s="321"/>
      <c r="GI361" s="321"/>
      <c r="GJ361" s="564"/>
      <c r="GK361" s="483"/>
      <c r="GL361" s="321"/>
      <c r="GM361" s="321"/>
      <c r="GN361" s="321"/>
      <c r="GO361" s="321"/>
      <c r="GP361" s="321"/>
      <c r="GQ361" s="321"/>
      <c r="GR361" s="301">
        <v>9</v>
      </c>
      <c r="GS361" s="321"/>
      <c r="GT361" s="321"/>
      <c r="GU361" s="321"/>
      <c r="GV361" s="321"/>
      <c r="GW361" s="321"/>
      <c r="GX361" s="321"/>
      <c r="GY361" s="321"/>
      <c r="GZ361" s="564"/>
      <c r="HA361" s="483"/>
      <c r="HB361" s="321"/>
      <c r="HC361" s="321"/>
      <c r="HD361" s="321"/>
      <c r="HE361" s="321"/>
      <c r="HF361" s="321"/>
      <c r="HG361" s="321"/>
      <c r="HH361" s="321"/>
      <c r="HI361" s="321"/>
      <c r="HJ361" s="321"/>
      <c r="HK361" s="321"/>
      <c r="HL361" s="321"/>
      <c r="HM361" s="321"/>
      <c r="HN361" s="321"/>
      <c r="HO361" s="321"/>
      <c r="HP361" s="564"/>
      <c r="HQ361" s="483"/>
      <c r="HR361" s="321"/>
      <c r="HS361" s="321"/>
      <c r="HT361" s="321"/>
      <c r="HU361" s="321"/>
      <c r="HV361" s="321"/>
      <c r="HW361" s="321"/>
      <c r="HX361" s="321"/>
      <c r="HY361" s="321"/>
      <c r="HZ361" s="321"/>
      <c r="IA361" s="321"/>
      <c r="IB361" s="321"/>
      <c r="IC361" s="321"/>
      <c r="ID361" s="321"/>
      <c r="IE361" s="321"/>
      <c r="IF361" s="564"/>
      <c r="IG361" s="483"/>
      <c r="IH361" s="321"/>
      <c r="II361" s="321"/>
      <c r="IJ361" s="321"/>
      <c r="IK361" s="321"/>
      <c r="IL361" s="321"/>
      <c r="IM361" s="321"/>
      <c r="IN361" s="321"/>
      <c r="IO361" s="321"/>
      <c r="IP361" s="321"/>
      <c r="IQ361" s="321"/>
      <c r="IR361" s="321"/>
      <c r="IS361" s="321"/>
      <c r="IT361" s="321"/>
      <c r="IU361" s="321"/>
      <c r="IV361" s="1351"/>
    </row>
    <row r="362" spans="1:256" s="326" customFormat="1" ht="8.25" customHeight="1">
      <c r="A362" s="483"/>
      <c r="B362" s="321"/>
      <c r="C362" s="414"/>
      <c r="D362" s="412"/>
      <c r="E362" s="413"/>
      <c r="F362" s="431"/>
      <c r="G362" s="412"/>
      <c r="H362" s="412"/>
      <c r="I362" s="413"/>
      <c r="J362" s="431"/>
      <c r="K362" s="413"/>
      <c r="L362" s="431"/>
      <c r="M362" s="431"/>
      <c r="N362" s="414"/>
      <c r="O362" s="321"/>
      <c r="P362" s="564"/>
      <c r="Q362" s="483"/>
      <c r="R362"/>
      <c r="S362"/>
      <c r="T362"/>
      <c r="U362"/>
      <c r="V362"/>
      <c r="W362"/>
      <c r="X362"/>
      <c r="Y362"/>
      <c r="Z362"/>
      <c r="AA362"/>
      <c r="AB362"/>
      <c r="AC362"/>
      <c r="AD362"/>
      <c r="AE362"/>
      <c r="AF362" s="564"/>
      <c r="AG362" s="483">
        <v>-1</v>
      </c>
      <c r="AH362"/>
      <c r="AI362"/>
      <c r="AJ362"/>
      <c r="AK362"/>
      <c r="AL362"/>
      <c r="AM362"/>
      <c r="AN362"/>
      <c r="AO362"/>
      <c r="AP362"/>
      <c r="AQ362"/>
      <c r="AR362"/>
      <c r="AS362"/>
      <c r="AT362"/>
      <c r="AU362"/>
      <c r="AV362" s="564"/>
      <c r="AW362" s="321"/>
      <c r="AX362" s="321"/>
      <c r="AY362" s="321"/>
      <c r="AZ362" s="321"/>
      <c r="BA362" s="321"/>
      <c r="BB362" s="321"/>
      <c r="BC362" s="321"/>
      <c r="BD362" s="321"/>
      <c r="BE362" s="321"/>
      <c r="BF362" s="321"/>
      <c r="BG362" s="321"/>
      <c r="BH362" s="321"/>
      <c r="BI362" s="321"/>
      <c r="BJ362" s="321"/>
      <c r="BK362" s="321"/>
      <c r="BL362" s="564"/>
      <c r="BM362" s="321"/>
      <c r="BN362" s="321"/>
      <c r="BO362" s="321"/>
      <c r="BP362" s="321"/>
      <c r="BQ362" s="321"/>
      <c r="BR362" s="321"/>
      <c r="BS362" s="321"/>
      <c r="BT362" s="321"/>
      <c r="BU362" s="321"/>
      <c r="BV362" s="321"/>
      <c r="BW362" s="321"/>
      <c r="BX362" s="321"/>
      <c r="BY362" s="321"/>
      <c r="BZ362" s="321"/>
      <c r="CA362" s="321"/>
      <c r="CB362" s="564"/>
      <c r="CC362" s="483"/>
      <c r="CD362" s="321"/>
      <c r="CE362" s="321"/>
      <c r="CF362" s="321"/>
      <c r="CG362" s="321"/>
      <c r="CH362" s="321"/>
      <c r="CI362" s="321"/>
      <c r="CJ362" s="321"/>
      <c r="CK362" s="321"/>
      <c r="CL362" s="321"/>
      <c r="CM362" s="321"/>
      <c r="CN362" s="321"/>
      <c r="CO362" s="321"/>
      <c r="CP362" s="321"/>
      <c r="CQ362" s="321"/>
      <c r="CR362" s="564"/>
      <c r="CS362" s="483">
        <v>-95</v>
      </c>
      <c r="CT362" s="321"/>
      <c r="CU362" s="321"/>
      <c r="CV362" s="321"/>
      <c r="CW362" s="321"/>
      <c r="CX362" s="321"/>
      <c r="CY362" s="321"/>
      <c r="CZ362" s="321"/>
      <c r="DA362" s="321"/>
      <c r="DB362" s="321"/>
      <c r="DC362" s="321"/>
      <c r="DD362" s="321"/>
      <c r="DE362" s="321"/>
      <c r="DF362" s="321"/>
      <c r="DG362" s="321"/>
      <c r="DH362" s="564"/>
      <c r="DI362" s="1236"/>
      <c r="DJ362" s="328"/>
      <c r="DK362" s="321"/>
      <c r="DL362" s="328"/>
      <c r="DM362" s="328"/>
      <c r="DN362" s="328"/>
      <c r="DO362" s="328"/>
      <c r="DP362" s="328"/>
      <c r="DQ362" s="328"/>
      <c r="DR362" s="328"/>
      <c r="DS362" s="328"/>
      <c r="DT362" s="328"/>
      <c r="DU362" s="328"/>
      <c r="DV362" s="328"/>
      <c r="DW362" s="328"/>
      <c r="DX362" s="1237"/>
      <c r="DY362" s="483"/>
      <c r="DZ362" s="321"/>
      <c r="EA362" s="321"/>
      <c r="EB362" s="321"/>
      <c r="EC362" s="321"/>
      <c r="ED362" s="321"/>
      <c r="EE362" s="321"/>
      <c r="EF362" s="321"/>
      <c r="EG362" s="321"/>
      <c r="EH362" s="321"/>
      <c r="EI362" s="321"/>
      <c r="EJ362" s="321"/>
      <c r="EK362" s="321"/>
      <c r="EL362" s="321"/>
      <c r="EM362" s="321"/>
      <c r="EN362" s="564"/>
      <c r="EO362" s="483">
        <v>-138</v>
      </c>
      <c r="EP362" s="321"/>
      <c r="EQ362" s="321"/>
      <c r="ER362" s="321"/>
      <c r="ES362" s="321"/>
      <c r="ET362" s="321"/>
      <c r="EU362" s="321"/>
      <c r="EV362" s="321"/>
      <c r="EW362" s="321"/>
      <c r="EX362" s="321"/>
      <c r="EY362" s="321"/>
      <c r="EZ362" s="321"/>
      <c r="FA362" s="321"/>
      <c r="FB362" s="321"/>
      <c r="FC362" s="321"/>
      <c r="FD362" s="564"/>
      <c r="FE362" s="483"/>
      <c r="FF362" s="321"/>
      <c r="FG362" s="321"/>
      <c r="FH362" s="321"/>
      <c r="FI362" s="321"/>
      <c r="FJ362" s="321"/>
      <c r="FK362" s="321"/>
      <c r="FL362" s="321"/>
      <c r="FM362" s="321"/>
      <c r="FN362" s="321"/>
      <c r="FO362" s="321"/>
      <c r="FP362" s="321"/>
      <c r="FQ362" s="321"/>
      <c r="FR362" s="321"/>
      <c r="FS362" s="321"/>
      <c r="FT362" s="564"/>
      <c r="FU362" s="483"/>
      <c r="FV362" s="321"/>
      <c r="FW362" s="321"/>
      <c r="FX362" s="321"/>
      <c r="FY362" s="321"/>
      <c r="FZ362" s="321"/>
      <c r="GA362" s="321"/>
      <c r="GB362" s="321"/>
      <c r="GC362" s="321"/>
      <c r="GD362" s="321"/>
      <c r="GE362" s="321"/>
      <c r="GF362" s="321"/>
      <c r="GG362" s="321"/>
      <c r="GH362" s="321"/>
      <c r="GI362" s="321"/>
      <c r="GJ362" s="564"/>
      <c r="GK362" s="483">
        <v>-4</v>
      </c>
      <c r="GL362" s="321"/>
      <c r="GM362" s="321"/>
      <c r="GN362" s="321"/>
      <c r="GO362" s="321"/>
      <c r="GP362" s="321"/>
      <c r="GQ362" s="321"/>
      <c r="GR362" s="301">
        <v>9</v>
      </c>
      <c r="GS362" s="321"/>
      <c r="GT362" s="321"/>
      <c r="GU362" s="321"/>
      <c r="GV362" s="321"/>
      <c r="GW362" s="321"/>
      <c r="GX362" s="321"/>
      <c r="GY362" s="321"/>
      <c r="GZ362" s="564"/>
      <c r="HA362" s="483"/>
      <c r="HB362" s="321"/>
      <c r="HC362" s="321"/>
      <c r="HD362" s="321"/>
      <c r="HE362" s="321"/>
      <c r="HF362" s="321"/>
      <c r="HG362" s="321"/>
      <c r="HH362" s="321"/>
      <c r="HI362" s="321"/>
      <c r="HJ362" s="321"/>
      <c r="HK362" s="321"/>
      <c r="HL362" s="321"/>
      <c r="HM362" s="321"/>
      <c r="HN362" s="321"/>
      <c r="HO362" s="321"/>
      <c r="HP362" s="564"/>
      <c r="HQ362" s="483">
        <v>-2</v>
      </c>
      <c r="HR362" s="321"/>
      <c r="HS362" s="321"/>
      <c r="HT362" s="321"/>
      <c r="HU362" s="321"/>
      <c r="HV362" s="321"/>
      <c r="HW362" s="321"/>
      <c r="HX362" s="321"/>
      <c r="HY362" s="321"/>
      <c r="HZ362" s="321"/>
      <c r="IA362" s="321"/>
      <c r="IB362" s="321"/>
      <c r="IC362" s="321"/>
      <c r="ID362" s="321"/>
      <c r="IE362" s="321"/>
      <c r="IF362" s="564"/>
      <c r="IG362" s="483">
        <v>-4</v>
      </c>
      <c r="IH362" s="321"/>
      <c r="II362" s="321"/>
      <c r="IJ362" s="321"/>
      <c r="IK362" s="321"/>
      <c r="IL362" s="321"/>
      <c r="IM362" s="321"/>
      <c r="IN362" s="321"/>
      <c r="IO362" s="321"/>
      <c r="IP362" s="321"/>
      <c r="IQ362" s="321"/>
      <c r="IR362" s="321"/>
      <c r="IS362" s="321"/>
      <c r="IT362" s="321"/>
      <c r="IU362" s="321"/>
      <c r="IV362" s="1351"/>
    </row>
    <row r="363" spans="1:256" s="326" customFormat="1" ht="8.25" customHeight="1">
      <c r="A363" s="483"/>
      <c r="B363" s="321"/>
      <c r="C363" s="414"/>
      <c r="D363" s="412"/>
      <c r="E363" s="431"/>
      <c r="F363" s="412"/>
      <c r="G363" s="413"/>
      <c r="H363" s="413"/>
      <c r="I363" s="413"/>
      <c r="J363" s="413"/>
      <c r="K363" s="431"/>
      <c r="L363" s="431"/>
      <c r="M363" s="431"/>
      <c r="N363" s="414"/>
      <c r="O363" s="321"/>
      <c r="P363" s="564"/>
      <c r="Q363" s="483"/>
      <c r="R363"/>
      <c r="S363"/>
      <c r="T363"/>
      <c r="U363"/>
      <c r="V363"/>
      <c r="W363"/>
      <c r="X363"/>
      <c r="Y363"/>
      <c r="Z363"/>
      <c r="AA363"/>
      <c r="AB363"/>
      <c r="AC363"/>
      <c r="AD363"/>
      <c r="AE363"/>
      <c r="AF363" s="564"/>
      <c r="AG363" s="483">
        <v>8</v>
      </c>
      <c r="AH363"/>
      <c r="AI363"/>
      <c r="AJ363"/>
      <c r="AK363"/>
      <c r="AL363"/>
      <c r="AM363"/>
      <c r="AN363"/>
      <c r="AO363"/>
      <c r="AP363"/>
      <c r="AQ363"/>
      <c r="AR363"/>
      <c r="AS363"/>
      <c r="AT363"/>
      <c r="AU363"/>
      <c r="AV363" s="564"/>
      <c r="AW363" s="321"/>
      <c r="AX363" s="321"/>
      <c r="AY363" s="321"/>
      <c r="AZ363" s="321"/>
      <c r="BA363" s="321"/>
      <c r="BB363" s="321"/>
      <c r="BC363" s="321"/>
      <c r="BD363" s="321"/>
      <c r="BE363" s="321"/>
      <c r="BF363" s="321"/>
      <c r="BG363" s="321"/>
      <c r="BH363" s="321"/>
      <c r="BI363" s="321"/>
      <c r="BJ363" s="321"/>
      <c r="BK363" s="321"/>
      <c r="BL363" s="564"/>
      <c r="BM363" s="321"/>
      <c r="BN363" s="321"/>
      <c r="BO363" s="321"/>
      <c r="BP363" s="321"/>
      <c r="BQ363" s="321"/>
      <c r="BR363" s="321"/>
      <c r="BS363" s="321"/>
      <c r="BT363" s="321"/>
      <c r="BU363" s="321"/>
      <c r="BV363" s="321"/>
      <c r="BW363" s="321"/>
      <c r="BX363" s="321"/>
      <c r="BY363" s="321"/>
      <c r="BZ363" s="321"/>
      <c r="CA363" s="321"/>
      <c r="CB363" s="564"/>
      <c r="CC363" s="483"/>
      <c r="CD363" s="321"/>
      <c r="CE363" s="321"/>
      <c r="CF363" s="321"/>
      <c r="CG363" s="321"/>
      <c r="CH363" s="321"/>
      <c r="CI363" s="321"/>
      <c r="CJ363" s="321"/>
      <c r="CK363" s="321"/>
      <c r="CL363" s="321"/>
      <c r="CM363" s="321"/>
      <c r="CN363" s="321"/>
      <c r="CO363" s="321"/>
      <c r="CP363" s="321"/>
      <c r="CQ363" s="321"/>
      <c r="CR363" s="564"/>
      <c r="CS363" s="483">
        <v>-12</v>
      </c>
      <c r="CT363" s="321"/>
      <c r="CU363" s="321"/>
      <c r="CV363" s="321"/>
      <c r="CW363" s="321"/>
      <c r="CX363" s="321"/>
      <c r="CY363" s="321"/>
      <c r="CZ363" s="321"/>
      <c r="DA363" s="321"/>
      <c r="DB363" s="321"/>
      <c r="DC363" s="321"/>
      <c r="DD363" s="321"/>
      <c r="DE363" s="321"/>
      <c r="DF363" s="321"/>
      <c r="DG363" s="321"/>
      <c r="DH363" s="564"/>
      <c r="DI363" s="1236"/>
      <c r="DJ363" s="328"/>
      <c r="DK363" s="321"/>
      <c r="DL363" s="328"/>
      <c r="DM363" s="328"/>
      <c r="DN363" s="328"/>
      <c r="DO363" s="328"/>
      <c r="DP363" s="328"/>
      <c r="DQ363" s="328"/>
      <c r="DR363" s="328"/>
      <c r="DS363" s="328"/>
      <c r="DT363" s="328"/>
      <c r="DU363" s="328"/>
      <c r="DV363" s="328"/>
      <c r="DW363" s="328"/>
      <c r="DX363" s="1237"/>
      <c r="DY363" s="483"/>
      <c r="DZ363" s="321"/>
      <c r="EA363" s="321"/>
      <c r="EB363" s="321"/>
      <c r="EC363" s="321"/>
      <c r="ED363" s="321"/>
      <c r="EE363" s="321"/>
      <c r="EF363" s="321"/>
      <c r="EG363" s="321"/>
      <c r="EH363" s="321"/>
      <c r="EI363" s="321"/>
      <c r="EJ363" s="321"/>
      <c r="EK363" s="321"/>
      <c r="EL363" s="321"/>
      <c r="EM363" s="321"/>
      <c r="EN363" s="564"/>
      <c r="EO363" s="483">
        <v>-64</v>
      </c>
      <c r="EP363" s="321"/>
      <c r="EQ363" s="321"/>
      <c r="ER363" s="321"/>
      <c r="ES363" s="321"/>
      <c r="ET363" s="321"/>
      <c r="EU363" s="321"/>
      <c r="EV363" s="321"/>
      <c r="EW363" s="321"/>
      <c r="EX363" s="321"/>
      <c r="EY363" s="321"/>
      <c r="EZ363" s="321"/>
      <c r="FA363" s="321"/>
      <c r="FB363" s="321"/>
      <c r="FC363" s="321"/>
      <c r="FD363" s="564"/>
      <c r="FE363" s="483"/>
      <c r="FF363" s="321"/>
      <c r="FG363" s="321"/>
      <c r="FH363" s="321"/>
      <c r="FI363" s="321"/>
      <c r="FJ363" s="321"/>
      <c r="FK363" s="321"/>
      <c r="FL363" s="321"/>
      <c r="FM363" s="321"/>
      <c r="FN363" s="321"/>
      <c r="FO363" s="321"/>
      <c r="FP363" s="321"/>
      <c r="FQ363" s="321"/>
      <c r="FR363" s="321"/>
      <c r="FS363" s="321"/>
      <c r="FT363" s="564"/>
      <c r="FU363" s="483"/>
      <c r="FV363" s="321"/>
      <c r="FW363" s="321"/>
      <c r="FX363" s="321"/>
      <c r="FY363" s="321"/>
      <c r="FZ363" s="321"/>
      <c r="GA363" s="321"/>
      <c r="GB363" s="321"/>
      <c r="GC363" s="321"/>
      <c r="GD363" s="321"/>
      <c r="GE363" s="321"/>
      <c r="GF363" s="321"/>
      <c r="GG363" s="321"/>
      <c r="GH363" s="321"/>
      <c r="GI363" s="321"/>
      <c r="GJ363" s="564"/>
      <c r="GK363" s="483">
        <v>10</v>
      </c>
      <c r="GL363" s="321"/>
      <c r="GM363" s="321"/>
      <c r="GN363" s="321"/>
      <c r="GO363" s="321"/>
      <c r="GP363" s="321"/>
      <c r="GQ363" s="321"/>
      <c r="GR363" s="189">
        <v>9</v>
      </c>
      <c r="GS363" s="321"/>
      <c r="GT363" s="321"/>
      <c r="GU363" s="321"/>
      <c r="GV363" s="321"/>
      <c r="GW363" s="321"/>
      <c r="GX363" s="321"/>
      <c r="GY363" s="321"/>
      <c r="GZ363" s="564"/>
      <c r="HA363" s="483"/>
      <c r="HB363" s="321"/>
      <c r="HC363" s="321"/>
      <c r="HD363" s="321"/>
      <c r="HE363" s="321"/>
      <c r="HF363" s="321"/>
      <c r="HG363" s="321"/>
      <c r="HH363" s="321"/>
      <c r="HI363" s="321"/>
      <c r="HJ363" s="321"/>
      <c r="HK363" s="321"/>
      <c r="HL363" s="321"/>
      <c r="HM363" s="321"/>
      <c r="HN363" s="321"/>
      <c r="HO363" s="321"/>
      <c r="HP363" s="564"/>
      <c r="HQ363" s="483">
        <v>12</v>
      </c>
      <c r="HR363" s="321"/>
      <c r="HS363" s="321"/>
      <c r="HT363" s="321"/>
      <c r="HU363" s="321"/>
      <c r="HV363" s="321"/>
      <c r="HW363" s="321"/>
      <c r="HX363" s="321"/>
      <c r="HY363" s="321"/>
      <c r="HZ363" s="321"/>
      <c r="IA363" s="321"/>
      <c r="IB363" s="321"/>
      <c r="IC363" s="321"/>
      <c r="ID363" s="321"/>
      <c r="IE363" s="321"/>
      <c r="IF363" s="564"/>
      <c r="IG363" s="483">
        <v>16</v>
      </c>
      <c r="IH363" s="321"/>
      <c r="II363" s="321"/>
      <c r="IJ363" s="321"/>
      <c r="IK363" s="321"/>
      <c r="IL363" s="321"/>
      <c r="IM363" s="321"/>
      <c r="IN363" s="321"/>
      <c r="IO363" s="321"/>
      <c r="IP363" s="321"/>
      <c r="IQ363" s="321"/>
      <c r="IR363" s="321"/>
      <c r="IS363" s="321"/>
      <c r="IT363" s="321"/>
      <c r="IU363" s="321"/>
      <c r="IV363" s="1351"/>
    </row>
    <row r="364" spans="1:256" s="326" customFormat="1" ht="8.25" customHeight="1">
      <c r="A364" s="483"/>
      <c r="B364" s="321"/>
      <c r="C364" s="414"/>
      <c r="D364" s="431"/>
      <c r="E364" s="412"/>
      <c r="F364" s="412"/>
      <c r="G364" s="413"/>
      <c r="H364" s="413"/>
      <c r="I364" s="413"/>
      <c r="J364" s="412"/>
      <c r="K364" s="431"/>
      <c r="L364" s="431"/>
      <c r="M364" s="431"/>
      <c r="N364" s="414"/>
      <c r="O364" s="321"/>
      <c r="P364" s="564"/>
      <c r="Q364" s="483"/>
      <c r="R364"/>
      <c r="S364"/>
      <c r="T364"/>
      <c r="U364"/>
      <c r="V364"/>
      <c r="W364"/>
      <c r="X364"/>
      <c r="Y364"/>
      <c r="Z364"/>
      <c r="AA364"/>
      <c r="AB364"/>
      <c r="AC364"/>
      <c r="AD364"/>
      <c r="AE364"/>
      <c r="AF364" s="564"/>
      <c r="AG364" s="483"/>
      <c r="AH364"/>
      <c r="AI364"/>
      <c r="AJ364"/>
      <c r="AK364"/>
      <c r="AL364"/>
      <c r="AM364"/>
      <c r="AN364"/>
      <c r="AO364"/>
      <c r="AP364"/>
      <c r="AQ364"/>
      <c r="AR364"/>
      <c r="AS364"/>
      <c r="AT364"/>
      <c r="AU364"/>
      <c r="AV364" s="564"/>
      <c r="AW364" s="321"/>
      <c r="AX364" s="321"/>
      <c r="AY364" s="321"/>
      <c r="AZ364" s="321"/>
      <c r="BA364" s="321"/>
      <c r="BB364" s="321"/>
      <c r="BC364" s="321"/>
      <c r="BD364" s="321"/>
      <c r="BE364" s="321"/>
      <c r="BF364" s="321"/>
      <c r="BG364" s="321"/>
      <c r="BH364" s="321"/>
      <c r="BI364" s="321"/>
      <c r="BJ364" s="321"/>
      <c r="BK364" s="321"/>
      <c r="BL364" s="564"/>
      <c r="BM364" s="321"/>
      <c r="BN364" s="321"/>
      <c r="BO364" s="321"/>
      <c r="BP364" s="321"/>
      <c r="BQ364" s="321"/>
      <c r="BR364" s="321"/>
      <c r="BS364" s="321"/>
      <c r="BT364" s="321"/>
      <c r="BU364" s="321"/>
      <c r="BV364" s="321"/>
      <c r="BW364" s="321"/>
      <c r="BX364" s="321"/>
      <c r="BY364" s="321"/>
      <c r="BZ364" s="321"/>
      <c r="CA364" s="321"/>
      <c r="CB364" s="564"/>
      <c r="CC364" s="483"/>
      <c r="CD364" s="321"/>
      <c r="CE364" s="321"/>
      <c r="CF364" s="321"/>
      <c r="CG364" s="321"/>
      <c r="CH364" s="321"/>
      <c r="CI364" s="321"/>
      <c r="CJ364" s="321"/>
      <c r="CK364" s="321"/>
      <c r="CL364" s="321"/>
      <c r="CM364" s="321"/>
      <c r="CN364" s="321"/>
      <c r="CO364" s="321"/>
      <c r="CP364" s="321"/>
      <c r="CQ364" s="321"/>
      <c r="CR364" s="564"/>
      <c r="CS364" s="483"/>
      <c r="CT364" s="321"/>
      <c r="CU364" s="321"/>
      <c r="CV364" s="321"/>
      <c r="CW364" s="321"/>
      <c r="CX364" s="321"/>
      <c r="CY364" s="321"/>
      <c r="CZ364" s="321"/>
      <c r="DA364" s="321"/>
      <c r="DB364" s="321"/>
      <c r="DC364" s="321"/>
      <c r="DD364" s="321"/>
      <c r="DE364" s="321"/>
      <c r="DF364" s="321"/>
      <c r="DG364" s="321"/>
      <c r="DH364" s="564"/>
      <c r="DI364" s="1236"/>
      <c r="DJ364" s="328"/>
      <c r="DK364" s="321"/>
      <c r="DL364" s="328"/>
      <c r="DM364" s="328"/>
      <c r="DN364" s="328"/>
      <c r="DO364" s="328"/>
      <c r="DP364" s="328"/>
      <c r="DQ364" s="328"/>
      <c r="DR364" s="328"/>
      <c r="DS364" s="328"/>
      <c r="DT364" s="328"/>
      <c r="DU364" s="328"/>
      <c r="DV364" s="328"/>
      <c r="DW364" s="328"/>
      <c r="DX364" s="1237"/>
      <c r="DY364" s="483"/>
      <c r="DZ364" s="321"/>
      <c r="EA364" s="321"/>
      <c r="EB364" s="321"/>
      <c r="EC364" s="321"/>
      <c r="ED364" s="321"/>
      <c r="EE364" s="321"/>
      <c r="EF364" s="321"/>
      <c r="EG364" s="321"/>
      <c r="EH364" s="321"/>
      <c r="EI364" s="321"/>
      <c r="EJ364" s="321"/>
      <c r="EK364" s="321"/>
      <c r="EL364" s="321"/>
      <c r="EM364" s="321"/>
      <c r="EN364" s="564"/>
      <c r="EO364" s="483"/>
      <c r="EP364" s="321"/>
      <c r="EQ364" s="321"/>
      <c r="ER364" s="321"/>
      <c r="ES364" s="321"/>
      <c r="ET364" s="321"/>
      <c r="EU364" s="321"/>
      <c r="EV364" s="321"/>
      <c r="EW364" s="321"/>
      <c r="EX364" s="321"/>
      <c r="EY364" s="321"/>
      <c r="EZ364" s="321"/>
      <c r="FA364" s="321"/>
      <c r="FB364" s="321"/>
      <c r="FC364" s="321"/>
      <c r="FD364" s="564"/>
      <c r="FE364" s="483"/>
      <c r="FF364" s="321"/>
      <c r="FG364" s="321"/>
      <c r="FH364" s="321"/>
      <c r="FI364" s="321"/>
      <c r="FJ364" s="321"/>
      <c r="FK364" s="321"/>
      <c r="FL364" s="321"/>
      <c r="FM364" s="321"/>
      <c r="FN364" s="321"/>
      <c r="FO364" s="321"/>
      <c r="FP364" s="321"/>
      <c r="FQ364" s="321"/>
      <c r="FR364" s="321"/>
      <c r="FS364" s="321"/>
      <c r="FT364" s="564"/>
      <c r="FU364" s="483">
        <v>16</v>
      </c>
      <c r="FV364" s="321"/>
      <c r="FW364" s="321"/>
      <c r="FX364" s="321"/>
      <c r="FY364" s="321"/>
      <c r="FZ364" s="321"/>
      <c r="GA364" s="321"/>
      <c r="GB364" s="321"/>
      <c r="GC364" s="321"/>
      <c r="GD364" s="321"/>
      <c r="GE364" s="321"/>
      <c r="GF364" s="321"/>
      <c r="GG364" s="321"/>
      <c r="GH364" s="321"/>
      <c r="GI364" s="321"/>
      <c r="GJ364" s="564"/>
      <c r="GK364" s="483">
        <v>0</v>
      </c>
      <c r="GL364" s="321"/>
      <c r="GM364" s="321"/>
      <c r="GN364" s="321"/>
      <c r="GO364" s="321"/>
      <c r="GP364" s="321"/>
      <c r="GQ364" s="321"/>
      <c r="GR364" s="189">
        <v>9</v>
      </c>
      <c r="GS364" s="321"/>
      <c r="GT364" s="321"/>
      <c r="GU364" s="321"/>
      <c r="GV364" s="321"/>
      <c r="GW364" s="321"/>
      <c r="GX364" s="321"/>
      <c r="GY364" s="321"/>
      <c r="GZ364" s="564"/>
      <c r="HA364" s="483">
        <v>0</v>
      </c>
      <c r="HB364" s="321"/>
      <c r="HC364" s="321"/>
      <c r="HD364" s="321"/>
      <c r="HE364" s="321"/>
      <c r="HF364" s="321"/>
      <c r="HG364" s="321"/>
      <c r="HH364" s="321"/>
      <c r="HI364" s="321"/>
      <c r="HJ364" s="321"/>
      <c r="HK364" s="321"/>
      <c r="HL364" s="321"/>
      <c r="HM364" s="321"/>
      <c r="HN364" s="321"/>
      <c r="HO364" s="321"/>
      <c r="HP364" s="564"/>
      <c r="HQ364" s="483">
        <v>0</v>
      </c>
      <c r="HR364" s="321"/>
      <c r="HS364" s="321"/>
      <c r="HT364" s="321"/>
      <c r="HU364" s="321"/>
      <c r="HV364" s="321"/>
      <c r="HW364" s="321"/>
      <c r="HX364" s="321"/>
      <c r="HY364" s="321"/>
      <c r="HZ364" s="321"/>
      <c r="IA364" s="321"/>
      <c r="IB364" s="321"/>
      <c r="IC364" s="321"/>
      <c r="ID364" s="321"/>
      <c r="IE364" s="321"/>
      <c r="IF364" s="564"/>
      <c r="IG364" s="483">
        <v>0</v>
      </c>
      <c r="IH364" s="321"/>
      <c r="II364" s="321"/>
      <c r="IJ364" s="321"/>
      <c r="IK364" s="321"/>
      <c r="IL364" s="321"/>
      <c r="IM364" s="321"/>
      <c r="IN364" s="321"/>
      <c r="IO364" s="321"/>
      <c r="IP364" s="321"/>
      <c r="IQ364" s="321"/>
      <c r="IR364" s="321"/>
      <c r="IS364" s="321"/>
      <c r="IT364" s="321"/>
      <c r="IU364" s="321"/>
      <c r="IV364" s="1351"/>
    </row>
    <row r="365" spans="1:256" s="326" customFormat="1" ht="8.25" customHeight="1">
      <c r="A365" s="1308"/>
      <c r="B365" s="321"/>
      <c r="C365" s="414"/>
      <c r="D365" s="412"/>
      <c r="E365" s="413"/>
      <c r="F365" s="412"/>
      <c r="G365" s="413"/>
      <c r="H365" s="413"/>
      <c r="I365" s="413"/>
      <c r="J365" s="413"/>
      <c r="K365" s="412"/>
      <c r="L365" s="431"/>
      <c r="M365" s="431"/>
      <c r="N365" s="414"/>
      <c r="O365" s="321"/>
      <c r="P365" s="564"/>
      <c r="Q365" s="1308">
        <v>10</v>
      </c>
      <c r="R365"/>
      <c r="S365"/>
      <c r="T365"/>
      <c r="U365"/>
      <c r="V365"/>
      <c r="W365"/>
      <c r="X365"/>
      <c r="Y365"/>
      <c r="Z365"/>
      <c r="AA365"/>
      <c r="AB365"/>
      <c r="AC365"/>
      <c r="AD365"/>
      <c r="AE365"/>
      <c r="AF365" s="564"/>
      <c r="AG365" s="321">
        <v>10</v>
      </c>
      <c r="AH365"/>
      <c r="AI365"/>
      <c r="AJ365"/>
      <c r="AK365"/>
      <c r="AL365"/>
      <c r="AM365"/>
      <c r="AN365"/>
      <c r="AO365"/>
      <c r="AP365"/>
      <c r="AQ365"/>
      <c r="AR365"/>
      <c r="AS365"/>
      <c r="AT365"/>
      <c r="AU365"/>
      <c r="AV365" s="564"/>
      <c r="AW365" s="321"/>
      <c r="AX365" s="321"/>
      <c r="AY365" s="321"/>
      <c r="AZ365" s="321"/>
      <c r="BA365" s="321"/>
      <c r="BB365" s="321"/>
      <c r="BC365" s="321"/>
      <c r="BD365" s="321"/>
      <c r="BE365" s="321"/>
      <c r="BF365" s="321"/>
      <c r="BG365" s="321"/>
      <c r="BH365" s="321"/>
      <c r="BI365" s="321"/>
      <c r="BJ365" s="321"/>
      <c r="BK365" s="321"/>
      <c r="BL365" s="564"/>
      <c r="BM365" s="321"/>
      <c r="BN365" s="321"/>
      <c r="BO365" s="321"/>
      <c r="BP365" s="321"/>
      <c r="BQ365" s="321"/>
      <c r="BR365" s="321"/>
      <c r="BS365" s="321"/>
      <c r="BT365" s="321"/>
      <c r="BU365" s="321"/>
      <c r="BV365" s="321"/>
      <c r="BW365" s="321"/>
      <c r="BX365" s="321"/>
      <c r="BY365" s="321"/>
      <c r="BZ365" s="321"/>
      <c r="CA365" s="321"/>
      <c r="CB365" s="564"/>
      <c r="CC365" s="1308"/>
      <c r="CD365" s="321"/>
      <c r="CE365" s="321"/>
      <c r="CF365" s="321"/>
      <c r="CG365" s="321"/>
      <c r="CH365" s="321"/>
      <c r="CI365" s="321"/>
      <c r="CJ365" s="321"/>
      <c r="CK365" s="321"/>
      <c r="CL365" s="321"/>
      <c r="CM365" s="321"/>
      <c r="CN365" s="321"/>
      <c r="CO365" s="321"/>
      <c r="CP365" s="321"/>
      <c r="CQ365" s="321"/>
      <c r="CR365" s="564"/>
      <c r="CS365" s="1308"/>
      <c r="CT365" s="321"/>
      <c r="CU365" s="321"/>
      <c r="CV365" s="321"/>
      <c r="CW365" s="321"/>
      <c r="CX365" s="321"/>
      <c r="CY365" s="321"/>
      <c r="CZ365" s="321"/>
      <c r="DA365" s="321"/>
      <c r="DB365" s="321"/>
      <c r="DC365" s="321"/>
      <c r="DD365" s="321"/>
      <c r="DE365" s="321"/>
      <c r="DF365" s="321"/>
      <c r="DG365" s="321"/>
      <c r="DH365" s="564"/>
      <c r="DI365" s="1236"/>
      <c r="DJ365" s="328"/>
      <c r="DK365" s="321"/>
      <c r="DL365" s="328"/>
      <c r="DM365" s="328"/>
      <c r="DN365" s="328"/>
      <c r="DO365" s="328"/>
      <c r="DP365" s="328"/>
      <c r="DQ365" s="328"/>
      <c r="DR365" s="328"/>
      <c r="DS365" s="328"/>
      <c r="DT365" s="328"/>
      <c r="DU365" s="328"/>
      <c r="DV365" s="328"/>
      <c r="DW365" s="328"/>
      <c r="DX365" s="1237"/>
      <c r="DY365" s="1308"/>
      <c r="DZ365" s="321"/>
      <c r="EA365" s="321"/>
      <c r="EB365" s="321"/>
      <c r="EC365" s="321"/>
      <c r="ED365" s="321"/>
      <c r="EE365" s="321"/>
      <c r="EF365" s="321"/>
      <c r="EG365" s="321"/>
      <c r="EH365" s="321"/>
      <c r="EI365" s="321"/>
      <c r="EJ365" s="321"/>
      <c r="EK365" s="321"/>
      <c r="EL365" s="321"/>
      <c r="EM365" s="321"/>
      <c r="EN365" s="564"/>
      <c r="EO365" s="1308"/>
      <c r="EP365" s="321"/>
      <c r="EQ365" s="321"/>
      <c r="ER365" s="321"/>
      <c r="ES365" s="321"/>
      <c r="ET365" s="321"/>
      <c r="EU365" s="321"/>
      <c r="EV365" s="321"/>
      <c r="EW365" s="321"/>
      <c r="EX365" s="321"/>
      <c r="EY365" s="321"/>
      <c r="EZ365" s="321"/>
      <c r="FA365" s="321"/>
      <c r="FB365" s="321"/>
      <c r="FC365" s="321"/>
      <c r="FD365" s="564"/>
      <c r="FE365" s="1308"/>
      <c r="FF365" s="321"/>
      <c r="FG365" s="321"/>
      <c r="FH365" s="321"/>
      <c r="FI365" s="321"/>
      <c r="FJ365" s="321"/>
      <c r="FK365" s="321"/>
      <c r="FL365" s="321"/>
      <c r="FM365" s="321"/>
      <c r="FN365" s="321"/>
      <c r="FO365" s="321"/>
      <c r="FP365" s="321"/>
      <c r="FQ365" s="321"/>
      <c r="FR365" s="321"/>
      <c r="FS365" s="321"/>
      <c r="FT365" s="564"/>
      <c r="FU365" s="1308">
        <v>16</v>
      </c>
      <c r="FV365" s="321"/>
      <c r="FW365" s="321"/>
      <c r="FX365" s="321"/>
      <c r="FY365" s="321"/>
      <c r="FZ365" s="321"/>
      <c r="GA365" s="321"/>
      <c r="GB365" s="321"/>
      <c r="GC365" s="321"/>
      <c r="GD365" s="321"/>
      <c r="GE365" s="321"/>
      <c r="GF365" s="321"/>
      <c r="GG365" s="321"/>
      <c r="GH365" s="321"/>
      <c r="GI365" s="321"/>
      <c r="GJ365" s="564"/>
      <c r="GK365" s="1308">
        <v>9</v>
      </c>
      <c r="GL365" s="321"/>
      <c r="GM365" s="321"/>
      <c r="GN365" s="321"/>
      <c r="GO365" s="321"/>
      <c r="GP365" s="321"/>
      <c r="GQ365" s="321"/>
      <c r="GR365" s="189">
        <v>9</v>
      </c>
      <c r="GS365" s="321"/>
      <c r="GT365" s="321"/>
      <c r="GU365" s="321"/>
      <c r="GV365" s="321"/>
      <c r="GW365" s="321"/>
      <c r="GX365" s="321"/>
      <c r="GY365" s="321"/>
      <c r="GZ365" s="564"/>
      <c r="HA365" s="1308">
        <v>9</v>
      </c>
      <c r="HB365" s="321"/>
      <c r="HC365" s="321"/>
      <c r="HD365" s="321"/>
      <c r="HE365" s="321"/>
      <c r="HF365" s="321"/>
      <c r="HG365" s="321"/>
      <c r="HH365" s="321"/>
      <c r="HI365" s="321"/>
      <c r="HJ365" s="321"/>
      <c r="HK365" s="321"/>
      <c r="HL365" s="321"/>
      <c r="HM365" s="321"/>
      <c r="HN365" s="321"/>
      <c r="HO365" s="321"/>
      <c r="HP365" s="564"/>
      <c r="HQ365" s="1308">
        <v>9</v>
      </c>
      <c r="HR365" s="321"/>
      <c r="HS365" s="321"/>
      <c r="HT365" s="321"/>
      <c r="HU365" s="321"/>
      <c r="HV365" s="321"/>
      <c r="HW365" s="321"/>
      <c r="HX365" s="321"/>
      <c r="HY365" s="321"/>
      <c r="HZ365" s="321"/>
      <c r="IA365" s="321"/>
      <c r="IB365" s="321"/>
      <c r="IC365" s="321"/>
      <c r="ID365" s="321"/>
      <c r="IE365" s="321"/>
      <c r="IF365" s="564"/>
      <c r="IG365" s="1308">
        <v>9</v>
      </c>
      <c r="IH365" s="321"/>
      <c r="II365" s="321"/>
      <c r="IJ365" s="321"/>
      <c r="IK365" s="321"/>
      <c r="IL365" s="321"/>
      <c r="IM365" s="321"/>
      <c r="IN365" s="321"/>
      <c r="IO365" s="321"/>
      <c r="IP365" s="321"/>
      <c r="IQ365" s="321"/>
      <c r="IR365" s="321"/>
      <c r="IS365" s="321"/>
      <c r="IT365" s="321"/>
      <c r="IU365" s="321"/>
      <c r="IV365" s="1351"/>
    </row>
    <row r="366" spans="1:256" s="326" customFormat="1" ht="8.25" customHeight="1">
      <c r="A366" s="1308"/>
      <c r="B366" s="321"/>
      <c r="C366" s="414"/>
      <c r="D366" s="412"/>
      <c r="E366" s="412"/>
      <c r="F366" s="413"/>
      <c r="G366" s="413"/>
      <c r="H366" s="413"/>
      <c r="I366" s="413"/>
      <c r="J366" s="413"/>
      <c r="K366" s="413"/>
      <c r="L366" s="412"/>
      <c r="M366" s="431"/>
      <c r="N366" s="414"/>
      <c r="O366" s="321"/>
      <c r="P366" s="1310"/>
      <c r="Q366" s="1308"/>
      <c r="R366"/>
      <c r="S366"/>
      <c r="T366"/>
      <c r="U366"/>
      <c r="V366"/>
      <c r="W366"/>
      <c r="X366"/>
      <c r="Y366"/>
      <c r="Z366"/>
      <c r="AA366"/>
      <c r="AB366"/>
      <c r="AC366"/>
      <c r="AD366"/>
      <c r="AE366"/>
      <c r="AF366" s="321"/>
      <c r="AG366" s="483"/>
      <c r="AH366"/>
      <c r="AI366"/>
      <c r="AJ366"/>
      <c r="AK366"/>
      <c r="AL366"/>
      <c r="AM366"/>
      <c r="AN366"/>
      <c r="AO366"/>
      <c r="AP366"/>
      <c r="AQ366"/>
      <c r="AR366"/>
      <c r="AS366"/>
      <c r="AT366"/>
      <c r="AU366"/>
      <c r="AV366" s="564"/>
      <c r="AW366" s="321"/>
      <c r="AX366" s="321"/>
      <c r="AY366" s="321"/>
      <c r="AZ366" s="321"/>
      <c r="BA366" s="321"/>
      <c r="BB366" s="321"/>
      <c r="BC366" s="321"/>
      <c r="BD366" s="321"/>
      <c r="BE366" s="321"/>
      <c r="BF366" s="321"/>
      <c r="BG366" s="321"/>
      <c r="BH366" s="321"/>
      <c r="BI366" s="321"/>
      <c r="BJ366" s="321"/>
      <c r="BK366" s="321"/>
      <c r="BL366" s="564"/>
      <c r="BM366" s="321"/>
      <c r="BN366" s="321"/>
      <c r="BO366" s="321"/>
      <c r="BP366" s="321"/>
      <c r="BQ366" s="321"/>
      <c r="BR366" s="321"/>
      <c r="BS366" s="321"/>
      <c r="BT366" s="321"/>
      <c r="BU366" s="321"/>
      <c r="BV366" s="321"/>
      <c r="BW366" s="321"/>
      <c r="BX366" s="321"/>
      <c r="BY366" s="321"/>
      <c r="BZ366" s="321"/>
      <c r="CA366" s="321"/>
      <c r="CB366" s="564"/>
      <c r="CC366" s="1308"/>
      <c r="CD366" s="321"/>
      <c r="CF366" s="321"/>
      <c r="CG366" s="321"/>
      <c r="CH366" s="321"/>
      <c r="CI366" s="321"/>
      <c r="CJ366" s="321"/>
      <c r="CK366" s="321"/>
      <c r="CL366" s="321"/>
      <c r="CM366" s="321"/>
      <c r="CN366" s="321"/>
      <c r="CQ366" s="321"/>
      <c r="CR366" s="564"/>
      <c r="CS366" s="1308">
        <v>3</v>
      </c>
      <c r="CT366" s="321"/>
      <c r="CV366" s="321"/>
      <c r="CW366" s="321"/>
      <c r="CX366" s="321"/>
      <c r="CY366" s="321"/>
      <c r="CZ366" s="321"/>
      <c r="DA366" s="321"/>
      <c r="DB366" s="321"/>
      <c r="DC366" s="321"/>
      <c r="DD366" s="321"/>
      <c r="DG366" s="321"/>
      <c r="DH366" s="564"/>
      <c r="DI366" s="1236"/>
      <c r="DJ366" s="328"/>
      <c r="DK366" s="321"/>
      <c r="DL366" s="328"/>
      <c r="DM366" s="328"/>
      <c r="DN366" s="328"/>
      <c r="DO366" s="328"/>
      <c r="DP366" s="328"/>
      <c r="DQ366" s="328"/>
      <c r="DR366" s="328"/>
      <c r="DS366" s="328"/>
      <c r="DT366" s="328"/>
      <c r="DU366" s="328"/>
      <c r="DV366" s="328"/>
      <c r="DW366" s="328"/>
      <c r="DX366" s="1237"/>
      <c r="DY366" s="1308">
        <v>26</v>
      </c>
      <c r="DZ366" s="321"/>
      <c r="EB366" s="321"/>
      <c r="EC366" s="321"/>
      <c r="ED366" s="321"/>
      <c r="EE366" s="321"/>
      <c r="EF366" s="321"/>
      <c r="EG366" s="321"/>
      <c r="EH366" s="321"/>
      <c r="EI366" s="321"/>
      <c r="EJ366" s="321"/>
      <c r="EK366" s="321"/>
      <c r="EL366" s="321"/>
      <c r="EM366" s="321"/>
      <c r="EN366" s="564"/>
      <c r="EO366" s="1308">
        <v>35</v>
      </c>
      <c r="EP366" s="321"/>
      <c r="ER366" s="321"/>
      <c r="ES366" s="321"/>
      <c r="ET366" s="321"/>
      <c r="EU366" s="321"/>
      <c r="EV366" s="321"/>
      <c r="EW366" s="321"/>
      <c r="EX366" s="321"/>
      <c r="EY366" s="321"/>
      <c r="EZ366" s="321"/>
      <c r="FC366" s="321"/>
      <c r="FD366" s="564"/>
      <c r="FE366" s="1308">
        <v>15</v>
      </c>
      <c r="FF366" s="321"/>
      <c r="FH366" s="321"/>
      <c r="FI366" s="321"/>
      <c r="FJ366" s="321"/>
      <c r="FK366" s="321"/>
      <c r="FL366" s="321"/>
      <c r="FM366" s="321"/>
      <c r="FN366" s="321"/>
      <c r="FO366" s="321"/>
      <c r="FP366" s="321"/>
      <c r="FS366" s="321"/>
      <c r="FT366" s="564"/>
      <c r="FU366" s="1308"/>
      <c r="FV366" s="321"/>
      <c r="FW366" s="321"/>
      <c r="FX366" s="321"/>
      <c r="FY366" s="321"/>
      <c r="FZ366" s="321"/>
      <c r="GA366" s="321"/>
      <c r="GB366" s="321"/>
      <c r="GC366" s="321"/>
      <c r="GD366" s="321"/>
      <c r="GE366" s="321"/>
      <c r="GF366" s="321"/>
      <c r="GG366" s="321"/>
      <c r="GH366" s="321"/>
      <c r="GI366" s="321"/>
      <c r="GJ366" s="564"/>
      <c r="GK366" s="1308">
        <v>48</v>
      </c>
      <c r="GL366" s="321"/>
      <c r="GM366" s="321"/>
      <c r="GN366" s="321"/>
      <c r="GO366" s="321"/>
      <c r="GP366" s="321"/>
      <c r="GQ366" s="321"/>
      <c r="GR366" s="301">
        <v>9</v>
      </c>
      <c r="GS366" s="321"/>
      <c r="GT366" s="321"/>
      <c r="GU366" s="321"/>
      <c r="GV366" s="321"/>
      <c r="GW366" s="321"/>
      <c r="GX366" s="321"/>
      <c r="GY366" s="321"/>
      <c r="GZ366" s="564"/>
      <c r="HA366" s="1308"/>
      <c r="HB366" s="321"/>
      <c r="HC366" s="321"/>
      <c r="HD366" s="321"/>
      <c r="HE366" s="321"/>
      <c r="HF366" s="321"/>
      <c r="HG366" s="321"/>
      <c r="HH366" s="321"/>
      <c r="HI366" s="321"/>
      <c r="HJ366" s="321"/>
      <c r="HK366" s="321"/>
      <c r="HL366" s="321"/>
      <c r="HM366" s="321"/>
      <c r="HN366" s="321"/>
      <c r="HO366" s="321"/>
      <c r="HP366" s="564"/>
      <c r="HQ366" s="1308">
        <v>30</v>
      </c>
      <c r="HR366" s="321"/>
      <c r="HS366" s="321"/>
      <c r="HT366" s="321"/>
      <c r="HU366" s="321"/>
      <c r="HV366" s="321"/>
      <c r="HW366" s="321"/>
      <c r="HX366" s="321"/>
      <c r="HY366" s="321"/>
      <c r="HZ366" s="321"/>
      <c r="IA366" s="321"/>
      <c r="IB366" s="321"/>
      <c r="IC366" s="321"/>
      <c r="ID366" s="321"/>
      <c r="IE366" s="321"/>
      <c r="IF366" s="564"/>
      <c r="IG366" s="1308">
        <v>20</v>
      </c>
      <c r="IH366" s="321"/>
      <c r="II366" s="321"/>
      <c r="IJ366" s="321"/>
      <c r="IK366" s="321"/>
      <c r="IL366" s="321"/>
      <c r="IM366" s="321"/>
      <c r="IN366" s="321"/>
      <c r="IO366" s="321"/>
      <c r="IP366" s="321"/>
      <c r="IQ366" s="321"/>
      <c r="IR366" s="321"/>
      <c r="IS366" s="321"/>
      <c r="IT366" s="321"/>
      <c r="IU366" s="321"/>
      <c r="IV366" s="1351"/>
    </row>
    <row r="367" spans="1:256" s="326" customFormat="1" ht="8.25" customHeight="1">
      <c r="A367" s="1308"/>
      <c r="B367" s="321"/>
      <c r="C367" s="414"/>
      <c r="D367" s="413"/>
      <c r="E367" s="413"/>
      <c r="F367" s="413"/>
      <c r="G367" s="413"/>
      <c r="H367" s="413"/>
      <c r="I367" s="413"/>
      <c r="J367" s="413"/>
      <c r="K367" s="413"/>
      <c r="L367" s="413"/>
      <c r="M367" s="431"/>
      <c r="N367" s="414"/>
      <c r="O367" s="321"/>
      <c r="P367" s="1310"/>
      <c r="Q367" s="321"/>
      <c r="R367"/>
      <c r="S367"/>
      <c r="T367"/>
      <c r="U367"/>
      <c r="V367"/>
      <c r="W367"/>
      <c r="X367"/>
      <c r="Y367"/>
      <c r="Z367"/>
      <c r="AA367"/>
      <c r="AB367"/>
      <c r="AC367"/>
      <c r="AD367"/>
      <c r="AE367"/>
      <c r="AG367" s="483"/>
      <c r="AH367"/>
      <c r="AI367"/>
      <c r="AJ367"/>
      <c r="AK367"/>
      <c r="AL367"/>
      <c r="AM367"/>
      <c r="AN367"/>
      <c r="AO367"/>
      <c r="AP367"/>
      <c r="AQ367"/>
      <c r="AR367"/>
      <c r="AS367"/>
      <c r="AT367"/>
      <c r="AU367"/>
      <c r="AV367" s="564"/>
      <c r="AW367" s="445"/>
      <c r="AX367" s="162"/>
      <c r="AY367" s="162"/>
      <c r="AZ367" s="162"/>
      <c r="BA367" s="162"/>
      <c r="BB367" s="162"/>
      <c r="BC367" s="162"/>
      <c r="BD367" s="162"/>
      <c r="BE367" s="162"/>
      <c r="BF367" s="162"/>
      <c r="BG367" s="162"/>
      <c r="BH367" s="162"/>
      <c r="BI367" s="162"/>
      <c r="BJ367" s="162"/>
      <c r="BK367" s="162"/>
      <c r="BL367" s="163"/>
      <c r="BM367" s="464"/>
      <c r="BN367" s="167"/>
      <c r="BO367" s="167"/>
      <c r="BP367" s="167"/>
      <c r="BQ367" s="167"/>
      <c r="BR367" s="167"/>
      <c r="BS367" s="167"/>
      <c r="BT367" s="167"/>
      <c r="BU367" s="167"/>
      <c r="BV367" s="167"/>
      <c r="BW367" s="167"/>
      <c r="BX367" s="167"/>
      <c r="BY367" s="167"/>
      <c r="BZ367" s="167"/>
      <c r="CA367" s="167"/>
      <c r="CB367" s="156"/>
      <c r="CC367" s="483"/>
      <c r="CD367" s="321"/>
      <c r="CF367" s="321"/>
      <c r="CG367" s="321"/>
      <c r="CH367" s="321"/>
      <c r="CI367" s="321"/>
      <c r="CJ367" s="321"/>
      <c r="CK367" s="321"/>
      <c r="CL367" s="321"/>
      <c r="CM367" s="321"/>
      <c r="CN367" s="321"/>
      <c r="CO367" s="321"/>
      <c r="CQ367" s="321"/>
      <c r="CR367" s="564"/>
      <c r="CS367" s="483">
        <v>64</v>
      </c>
      <c r="CT367" s="321"/>
      <c r="CV367" s="321"/>
      <c r="CW367" s="321"/>
      <c r="CX367" s="321"/>
      <c r="CY367" s="321"/>
      <c r="CZ367" s="321"/>
      <c r="DA367" s="321"/>
      <c r="DB367" s="321"/>
      <c r="DC367" s="321"/>
      <c r="DD367" s="321"/>
      <c r="DE367" s="321"/>
      <c r="DG367" s="321"/>
      <c r="DH367" s="564"/>
      <c r="DI367" s="1236"/>
      <c r="DJ367" s="328"/>
      <c r="DK367" s="321"/>
      <c r="DL367" s="328"/>
      <c r="DM367" s="328"/>
      <c r="DN367" s="328"/>
      <c r="DO367" s="328"/>
      <c r="DP367" s="328"/>
      <c r="DQ367" s="328"/>
      <c r="DR367" s="328"/>
      <c r="DS367" s="328"/>
      <c r="DT367" s="328"/>
      <c r="DU367" s="328"/>
      <c r="DV367" s="328"/>
      <c r="DW367" s="328"/>
      <c r="DX367" s="1237"/>
      <c r="DY367" s="483">
        <v>32</v>
      </c>
      <c r="DZ367" s="321"/>
      <c r="EB367" s="321"/>
      <c r="EC367" s="321"/>
      <c r="ED367" s="321"/>
      <c r="EE367" s="321"/>
      <c r="EF367" s="321"/>
      <c r="EG367" s="321"/>
      <c r="EH367" s="321"/>
      <c r="EI367" s="321"/>
      <c r="EJ367" s="321"/>
      <c r="EK367" s="321"/>
      <c r="EL367" s="321"/>
      <c r="EM367" s="321"/>
      <c r="EN367" s="321"/>
      <c r="EO367" s="483">
        <v>300</v>
      </c>
      <c r="EP367" s="321"/>
      <c r="ER367" s="321"/>
      <c r="ES367" s="321"/>
      <c r="ET367" s="321"/>
      <c r="EU367" s="321"/>
      <c r="EV367" s="321"/>
      <c r="EW367" s="321"/>
      <c r="EX367" s="321"/>
      <c r="EY367" s="321"/>
      <c r="EZ367" s="321"/>
      <c r="FA367" s="321"/>
      <c r="FC367" s="321"/>
      <c r="FD367" s="564"/>
      <c r="FE367" s="483">
        <v>64</v>
      </c>
      <c r="FF367" s="321"/>
      <c r="FH367" s="321"/>
      <c r="FI367" s="321"/>
      <c r="FJ367" s="321"/>
      <c r="FK367" s="321"/>
      <c r="FL367" s="321"/>
      <c r="FM367" s="321"/>
      <c r="FN367" s="321"/>
      <c r="FO367" s="321"/>
      <c r="FP367" s="321"/>
      <c r="FQ367" s="321"/>
      <c r="FS367" s="321"/>
      <c r="FT367" s="564"/>
      <c r="FU367" s="483"/>
      <c r="FV367" s="321"/>
      <c r="FW367" s="321"/>
      <c r="FX367" s="321"/>
      <c r="FY367" s="321"/>
      <c r="FZ367" s="321"/>
      <c r="GA367" s="321"/>
      <c r="GB367" s="321"/>
      <c r="GC367" s="321"/>
      <c r="GD367" s="321"/>
      <c r="GE367" s="321"/>
      <c r="GF367" s="321"/>
      <c r="GG367" s="321"/>
      <c r="GH367" s="321"/>
      <c r="GI367" s="321"/>
      <c r="GJ367" s="564"/>
      <c r="GK367" s="483">
        <v>16</v>
      </c>
      <c r="GL367" s="321"/>
      <c r="GM367" s="321"/>
      <c r="GN367" s="321"/>
      <c r="GO367" s="321"/>
      <c r="GP367" s="321"/>
      <c r="GQ367" s="321"/>
      <c r="GR367" s="301">
        <v>9</v>
      </c>
      <c r="GS367" s="321"/>
      <c r="GT367" s="321"/>
      <c r="GU367" s="321"/>
      <c r="GV367" s="321"/>
      <c r="GW367" s="321"/>
      <c r="GX367" s="321"/>
      <c r="GY367" s="321"/>
      <c r="GZ367" s="564"/>
      <c r="HA367" s="483"/>
      <c r="HB367" s="321"/>
      <c r="HC367" s="321"/>
      <c r="HD367" s="321"/>
      <c r="HE367" s="321"/>
      <c r="HF367" s="321"/>
      <c r="HG367" s="321"/>
      <c r="HH367" s="321"/>
      <c r="HI367" s="321"/>
      <c r="HJ367" s="321"/>
      <c r="HK367" s="321"/>
      <c r="HL367" s="321"/>
      <c r="HM367" s="321"/>
      <c r="HN367" s="321"/>
      <c r="HO367" s="321"/>
      <c r="HP367" s="564"/>
      <c r="HQ367" s="483">
        <v>64</v>
      </c>
      <c r="HR367" s="321"/>
      <c r="HS367" s="321"/>
      <c r="HT367" s="321"/>
      <c r="HU367" s="321"/>
      <c r="HV367" s="321"/>
      <c r="HW367" s="321"/>
      <c r="HX367" s="321"/>
      <c r="HY367" s="321"/>
      <c r="HZ367" s="321"/>
      <c r="IA367" s="321"/>
      <c r="IB367" s="321"/>
      <c r="IC367" s="321"/>
      <c r="ID367" s="321"/>
      <c r="IE367" s="321"/>
      <c r="IF367" s="564"/>
      <c r="IG367" s="483">
        <v>32</v>
      </c>
      <c r="IH367" s="321"/>
      <c r="II367" s="321"/>
      <c r="IJ367" s="321"/>
      <c r="IK367" s="321"/>
      <c r="IL367" s="321"/>
      <c r="IM367" s="321"/>
      <c r="IN367" s="321"/>
      <c r="IO367" s="321"/>
      <c r="IP367" s="321"/>
      <c r="IQ367" s="321"/>
      <c r="IR367" s="321"/>
      <c r="IS367" s="321"/>
      <c r="IT367" s="321"/>
      <c r="IU367" s="321"/>
      <c r="IV367" s="1351"/>
    </row>
    <row r="368" spans="1:256" s="326" customFormat="1" ht="8.25" customHeight="1">
      <c r="A368" s="1308"/>
      <c r="B368" s="321"/>
      <c r="C368" s="414"/>
      <c r="D368" s="412"/>
      <c r="E368" s="413"/>
      <c r="F368" s="413"/>
      <c r="G368" s="413"/>
      <c r="H368" s="413"/>
      <c r="I368" s="413"/>
      <c r="J368" s="413"/>
      <c r="K368" s="413"/>
      <c r="L368" s="413"/>
      <c r="M368" s="413"/>
      <c r="N368" s="414"/>
      <c r="O368" s="321"/>
      <c r="P368" s="1310"/>
      <c r="R368"/>
      <c r="S368"/>
      <c r="T368"/>
      <c r="U368"/>
      <c r="V368"/>
      <c r="W368"/>
      <c r="X368"/>
      <c r="Y368"/>
      <c r="Z368"/>
      <c r="AA368"/>
      <c r="AB368"/>
      <c r="AC368"/>
      <c r="AD368"/>
      <c r="AE368"/>
      <c r="AG368" s="483"/>
      <c r="AH368"/>
      <c r="AI368"/>
      <c r="AJ368"/>
      <c r="AK368"/>
      <c r="AL368"/>
      <c r="AM368"/>
      <c r="AN368"/>
      <c r="AO368"/>
      <c r="AP368"/>
      <c r="AQ368"/>
      <c r="AR368"/>
      <c r="AS368"/>
      <c r="AT368"/>
      <c r="AU368"/>
      <c r="AV368" s="564"/>
      <c r="AW368" s="438"/>
      <c r="AX368" s="158"/>
      <c r="AY368" s="158"/>
      <c r="AZ368" s="158"/>
      <c r="BA368" s="158"/>
      <c r="BB368" s="158"/>
      <c r="BC368" s="158"/>
      <c r="BD368" s="158"/>
      <c r="BE368" s="158"/>
      <c r="BF368" s="158"/>
      <c r="BG368" s="158"/>
      <c r="BH368" s="158"/>
      <c r="BI368" s="158"/>
      <c r="BJ368" s="158"/>
      <c r="BK368" s="158"/>
      <c r="BL368" s="161"/>
      <c r="BM368" s="458"/>
      <c r="BN368" s="159"/>
      <c r="BO368" s="159"/>
      <c r="BP368" s="159"/>
      <c r="BQ368" s="159"/>
      <c r="BR368" s="159"/>
      <c r="BS368" s="159"/>
      <c r="BT368" s="159"/>
      <c r="BU368" s="159"/>
      <c r="BV368" s="159"/>
      <c r="BW368" s="159"/>
      <c r="BX368" s="159"/>
      <c r="BY368" s="159"/>
      <c r="BZ368" s="159"/>
      <c r="CA368" s="159"/>
      <c r="CB368" s="162"/>
      <c r="CC368" s="483">
        <v>126</v>
      </c>
      <c r="CD368" s="321"/>
      <c r="CF368" s="321"/>
      <c r="CG368" s="321"/>
      <c r="CH368" s="321"/>
      <c r="CI368" s="321"/>
      <c r="CJ368" s="321"/>
      <c r="CK368" s="321"/>
      <c r="CL368" s="321"/>
      <c r="CM368" s="321"/>
      <c r="CN368" s="321"/>
      <c r="CO368" s="321"/>
      <c r="CQ368" s="321"/>
      <c r="CR368" s="564"/>
      <c r="CS368" s="483">
        <v>280</v>
      </c>
      <c r="CT368" s="321"/>
      <c r="CV368" s="321"/>
      <c r="CW368" s="321"/>
      <c r="CX368" s="321"/>
      <c r="CY368" s="321"/>
      <c r="CZ368" s="321"/>
      <c r="DA368" s="321"/>
      <c r="DB368" s="321"/>
      <c r="DC368" s="321"/>
      <c r="DD368" s="321"/>
      <c r="DE368" s="321"/>
      <c r="DG368" s="321"/>
      <c r="DH368" s="564"/>
      <c r="DI368" s="970"/>
      <c r="DJ368" s="205"/>
      <c r="DK368" s="436"/>
      <c r="DL368" s="305"/>
      <c r="DM368" s="160"/>
      <c r="DN368" s="205"/>
      <c r="DO368" s="436"/>
      <c r="DP368" s="305"/>
      <c r="DQ368" s="160"/>
      <c r="DR368" s="205"/>
      <c r="DS368" s="436"/>
      <c r="DT368" s="305"/>
      <c r="DU368" s="160"/>
      <c r="DV368" s="205"/>
      <c r="DW368" s="436"/>
      <c r="DX368" s="478"/>
      <c r="DY368" s="483">
        <v>281</v>
      </c>
      <c r="DZ368" s="321"/>
      <c r="EB368" s="321"/>
      <c r="EC368" s="321"/>
      <c r="ED368" s="321"/>
      <c r="EE368" s="321"/>
      <c r="EF368" s="321"/>
      <c r="EG368" s="321"/>
      <c r="EH368" s="321"/>
      <c r="EI368" s="321"/>
      <c r="EJ368" s="321"/>
      <c r="EK368" s="321"/>
      <c r="EL368" s="321"/>
      <c r="EM368" s="321"/>
      <c r="EN368" s="321"/>
      <c r="EO368" s="483">
        <v>280</v>
      </c>
      <c r="EP368" s="321"/>
      <c r="ER368" s="321"/>
      <c r="ES368" s="321"/>
      <c r="ET368" s="321"/>
      <c r="EU368" s="321"/>
      <c r="EV368" s="321"/>
      <c r="EW368" s="321"/>
      <c r="EX368" s="321"/>
      <c r="EY368" s="321"/>
      <c r="EZ368" s="321"/>
      <c r="FC368" s="321"/>
      <c r="FD368" s="564"/>
      <c r="FE368" s="483">
        <v>280</v>
      </c>
      <c r="FF368" s="321"/>
      <c r="FH368" s="321"/>
      <c r="FI368" s="321"/>
      <c r="FJ368" s="321"/>
      <c r="FK368" s="321"/>
      <c r="FL368" s="321"/>
      <c r="FM368" s="321"/>
      <c r="FN368" s="321"/>
      <c r="FO368" s="321"/>
      <c r="FP368" s="321"/>
      <c r="FS368" s="321"/>
      <c r="FT368" s="564"/>
      <c r="FU368" s="483"/>
      <c r="FV368" s="321"/>
      <c r="FW368" s="321"/>
      <c r="FX368" s="321"/>
      <c r="FY368" s="321"/>
      <c r="FZ368" s="321"/>
      <c r="GA368" s="321"/>
      <c r="GB368" s="189">
        <v>9</v>
      </c>
      <c r="GC368" s="321"/>
      <c r="GD368" s="321"/>
      <c r="GE368" s="321"/>
      <c r="GF368" s="321"/>
      <c r="GG368" s="321"/>
      <c r="GH368" s="321"/>
      <c r="GI368" s="321"/>
      <c r="GJ368" s="564"/>
      <c r="GK368" s="483"/>
      <c r="GL368" s="321"/>
      <c r="GM368" s="321"/>
      <c r="GN368" s="321"/>
      <c r="GO368" s="321"/>
      <c r="GP368" s="321"/>
      <c r="GQ368" s="321"/>
      <c r="GR368" s="297">
        <v>9</v>
      </c>
      <c r="GS368" s="321"/>
      <c r="GT368" s="321"/>
      <c r="GU368" s="321"/>
      <c r="GV368" s="321"/>
      <c r="GW368" s="321"/>
      <c r="GX368" s="321"/>
      <c r="GY368" s="321"/>
      <c r="GZ368" s="564"/>
      <c r="HA368" s="483">
        <v>285</v>
      </c>
      <c r="HB368" s="321"/>
      <c r="HC368" s="321"/>
      <c r="HD368" s="321"/>
      <c r="HE368" s="321"/>
      <c r="HF368" s="321"/>
      <c r="HG368" s="321"/>
      <c r="HH368" s="321"/>
      <c r="HI368" s="321"/>
      <c r="HJ368" s="321"/>
      <c r="HK368" s="321"/>
      <c r="HL368" s="321"/>
      <c r="HM368" s="321"/>
      <c r="HN368" s="321"/>
      <c r="HO368" s="321"/>
      <c r="HP368" s="564"/>
      <c r="HQ368" s="483">
        <v>285</v>
      </c>
      <c r="HR368" s="321"/>
      <c r="HS368" s="321"/>
      <c r="HT368" s="321"/>
      <c r="HU368" s="321"/>
      <c r="HV368" s="321"/>
      <c r="HW368" s="321"/>
      <c r="HX368" s="321"/>
      <c r="HY368" s="321"/>
      <c r="HZ368" s="321"/>
      <c r="IA368" s="321"/>
      <c r="IB368" s="321"/>
      <c r="IC368" s="321"/>
      <c r="ID368" s="321"/>
      <c r="IE368" s="321"/>
      <c r="IF368" s="564"/>
      <c r="IG368" s="483">
        <v>285</v>
      </c>
      <c r="IH368" s="321"/>
      <c r="II368" s="321"/>
      <c r="IJ368" s="321"/>
      <c r="IK368" s="321"/>
      <c r="IL368" s="321"/>
      <c r="IM368" s="321"/>
      <c r="IN368" s="321"/>
      <c r="IO368" s="321"/>
      <c r="IP368" s="321"/>
      <c r="IQ368" s="321"/>
      <c r="IR368" s="321"/>
      <c r="IS368" s="321"/>
      <c r="IT368" s="321"/>
      <c r="IU368" s="321"/>
      <c r="IV368" s="1351"/>
    </row>
    <row r="369" spans="1:256" s="326" customFormat="1" ht="8.25" customHeight="1">
      <c r="A369" s="1308">
        <v>4</v>
      </c>
      <c r="B369" s="321"/>
      <c r="C369" s="414"/>
      <c r="D369" s="412"/>
      <c r="E369" s="431"/>
      <c r="F369" s="413"/>
      <c r="G369" s="413"/>
      <c r="H369" s="413"/>
      <c r="I369" s="412"/>
      <c r="J369" s="413"/>
      <c r="K369" s="413"/>
      <c r="L369" s="413"/>
      <c r="M369" s="431"/>
      <c r="N369" s="414"/>
      <c r="O369" s="321"/>
      <c r="P369" s="1310"/>
      <c r="Q369" s="321"/>
      <c r="R369"/>
      <c r="S369"/>
      <c r="T369"/>
      <c r="U369"/>
      <c r="V369"/>
      <c r="W369"/>
      <c r="X369"/>
      <c r="Y369"/>
      <c r="Z369"/>
      <c r="AA369"/>
      <c r="AB369"/>
      <c r="AC369"/>
      <c r="AD369"/>
      <c r="AE369"/>
      <c r="AF369" s="321"/>
      <c r="AG369" s="483"/>
      <c r="AH369"/>
      <c r="AI369"/>
      <c r="AJ369"/>
      <c r="AK369"/>
      <c r="AL369"/>
      <c r="AM369"/>
      <c r="AN369"/>
      <c r="AO369"/>
      <c r="AP369"/>
      <c r="AQ369"/>
      <c r="AR369"/>
      <c r="AS369"/>
      <c r="AT369"/>
      <c r="AU369"/>
      <c r="AV369" s="564"/>
      <c r="AW369" s="438">
        <v>1</v>
      </c>
      <c r="AX369" s="158"/>
      <c r="AY369" s="290"/>
      <c r="AZ369" s="290"/>
      <c r="BA369" s="290"/>
      <c r="BB369" s="290"/>
      <c r="BC369" s="290"/>
      <c r="BD369" s="290"/>
      <c r="BE369" s="290"/>
      <c r="BF369" s="290"/>
      <c r="BG369" s="290"/>
      <c r="BH369" s="290"/>
      <c r="BI369" s="290"/>
      <c r="BJ369" s="290"/>
      <c r="BK369" s="162"/>
      <c r="BL369" s="161"/>
      <c r="BM369" s="458"/>
      <c r="BN369" s="159"/>
      <c r="BO369" s="295"/>
      <c r="BP369" s="295"/>
      <c r="BQ369" s="295"/>
      <c r="BR369" s="295"/>
      <c r="BS369" s="295"/>
      <c r="BT369" s="295"/>
      <c r="BU369" s="295"/>
      <c r="BV369" s="295"/>
      <c r="BW369" s="295"/>
      <c r="BX369" s="295"/>
      <c r="BY369" s="295"/>
      <c r="BZ369" s="295"/>
      <c r="CA369" s="167"/>
      <c r="CB369" s="162"/>
      <c r="CC369" s="1308">
        <v>4</v>
      </c>
      <c r="CD369" s="321"/>
      <c r="CF369" s="321"/>
      <c r="CG369" s="321"/>
      <c r="CH369" s="321"/>
      <c r="CI369" s="432"/>
      <c r="CJ369" s="432"/>
      <c r="CK369" s="432"/>
      <c r="CL369" s="421"/>
      <c r="CM369" s="321"/>
      <c r="CN369" s="321"/>
      <c r="CO369" s="321"/>
      <c r="CQ369" s="321"/>
      <c r="CR369" s="564"/>
      <c r="CS369" s="1308">
        <v>4</v>
      </c>
      <c r="CT369" s="321"/>
      <c r="CV369" s="321"/>
      <c r="CW369" s="321"/>
      <c r="CX369" s="321"/>
      <c r="CY369" s="432"/>
      <c r="CZ369" s="432"/>
      <c r="DA369" s="432"/>
      <c r="DB369" s="421"/>
      <c r="DC369" s="321"/>
      <c r="DD369" s="321"/>
      <c r="DE369" s="321"/>
      <c r="DG369" s="321"/>
      <c r="DH369" s="564"/>
      <c r="DI369" s="868">
        <v>3</v>
      </c>
      <c r="DJ369" s="436"/>
      <c r="DK369" s="305"/>
      <c r="DL369" s="160"/>
      <c r="DM369" s="205"/>
      <c r="DN369" s="436"/>
      <c r="DO369" s="305"/>
      <c r="DP369" s="160"/>
      <c r="DQ369" s="205"/>
      <c r="DR369" s="436"/>
      <c r="DS369" s="305"/>
      <c r="DT369" s="160"/>
      <c r="DU369" s="205"/>
      <c r="DV369" s="436"/>
      <c r="DW369" s="305"/>
      <c r="DX369" s="873"/>
      <c r="DY369" s="1308">
        <v>4</v>
      </c>
      <c r="DZ369" s="321"/>
      <c r="EB369" s="321"/>
      <c r="EC369" s="321"/>
      <c r="ED369" s="321"/>
      <c r="EE369" s="321"/>
      <c r="EF369" s="321"/>
      <c r="EG369" s="321"/>
      <c r="EH369" s="321"/>
      <c r="EI369" s="321"/>
      <c r="EJ369" s="321"/>
      <c r="EK369" s="321"/>
      <c r="EL369" s="321"/>
      <c r="EM369" s="321"/>
      <c r="EN369" s="321"/>
      <c r="EO369" s="1308">
        <v>4</v>
      </c>
      <c r="EP369" s="321"/>
      <c r="ER369" s="321"/>
      <c r="ES369" s="321"/>
      <c r="ET369" s="321"/>
      <c r="EU369" s="321"/>
      <c r="EV369" s="321"/>
      <c r="EW369" s="321"/>
      <c r="EX369" s="321"/>
      <c r="EY369" s="321"/>
      <c r="EZ369" s="321"/>
      <c r="FC369" s="321"/>
      <c r="FD369" s="564"/>
      <c r="FE369" s="1308">
        <v>4</v>
      </c>
      <c r="FF369" s="321"/>
      <c r="FH369" s="321"/>
      <c r="FI369" s="321"/>
      <c r="FJ369" s="321"/>
      <c r="FK369" s="321"/>
      <c r="FL369" s="321"/>
      <c r="FM369" s="321"/>
      <c r="FN369" s="321"/>
      <c r="FO369" s="321"/>
      <c r="FP369" s="321"/>
      <c r="FS369" s="321"/>
      <c r="FT369" s="564"/>
      <c r="FU369" s="483"/>
      <c r="FV369" s="321"/>
      <c r="FW369" s="321"/>
      <c r="FX369" s="321"/>
      <c r="FY369" s="321"/>
      <c r="FZ369" s="321"/>
      <c r="GA369" s="321"/>
      <c r="GB369" s="301">
        <v>9</v>
      </c>
      <c r="GC369" s="321"/>
      <c r="GD369" s="321"/>
      <c r="GE369" s="321"/>
      <c r="GF369" s="321"/>
      <c r="GG369" s="321"/>
      <c r="GH369" s="321"/>
      <c r="GI369" s="321"/>
      <c r="GJ369" s="564"/>
      <c r="GK369" s="483"/>
      <c r="GL369" s="321"/>
      <c r="GM369" s="321"/>
      <c r="GN369" s="321"/>
      <c r="GO369" s="321"/>
      <c r="GP369" s="293"/>
      <c r="GQ369" s="205"/>
      <c r="GR369" s="205"/>
      <c r="GS369" s="205"/>
      <c r="GT369" s="161"/>
      <c r="GU369" s="321"/>
      <c r="GV369" s="321"/>
      <c r="GW369" s="321"/>
      <c r="GX369" s="321"/>
      <c r="GY369" s="321"/>
      <c r="GZ369" s="564"/>
      <c r="HA369" s="483"/>
      <c r="HB369" s="321"/>
      <c r="HC369" s="321"/>
      <c r="HD369" s="321"/>
      <c r="HE369" s="321"/>
      <c r="HF369" s="321"/>
      <c r="HG369" s="321"/>
      <c r="HH369" s="321"/>
      <c r="HI369" s="321"/>
      <c r="HJ369" s="321"/>
      <c r="HK369" s="321"/>
      <c r="HL369" s="321"/>
      <c r="HM369" s="321"/>
      <c r="HN369" s="321"/>
      <c r="HO369" s="321"/>
      <c r="HP369" s="564"/>
      <c r="HQ369" s="483"/>
      <c r="HR369" s="321"/>
      <c r="HS369" s="321"/>
      <c r="HT369" s="321"/>
      <c r="HU369" s="321"/>
      <c r="HV369" s="321"/>
      <c r="HW369" s="321"/>
      <c r="HX369" s="321"/>
      <c r="HY369" s="321"/>
      <c r="HZ369" s="321"/>
      <c r="IA369" s="321"/>
      <c r="IB369" s="321"/>
      <c r="IC369" s="321"/>
      <c r="ID369" s="321"/>
      <c r="IE369" s="321"/>
      <c r="IF369" s="564"/>
      <c r="IG369" s="483"/>
      <c r="IH369" s="321"/>
      <c r="II369" s="321"/>
      <c r="IJ369" s="321"/>
      <c r="IK369" s="321">
        <v>10</v>
      </c>
      <c r="IL369" s="321">
        <v>9</v>
      </c>
      <c r="IM369" s="446"/>
      <c r="IN369" s="321"/>
      <c r="IO369" s="321"/>
      <c r="IP369" s="321"/>
      <c r="IQ369" s="321">
        <v>11</v>
      </c>
      <c r="IR369" s="321">
        <v>11</v>
      </c>
      <c r="IS369" s="321"/>
      <c r="IT369" s="321"/>
      <c r="IU369" s="321"/>
      <c r="IV369" s="1351"/>
    </row>
    <row r="370" spans="1:256" s="326" customFormat="1" ht="8.25" customHeight="1">
      <c r="A370" s="483">
        <v>1</v>
      </c>
      <c r="B370" s="321"/>
      <c r="C370" s="414"/>
      <c r="D370" s="412"/>
      <c r="E370" s="412"/>
      <c r="F370" s="431"/>
      <c r="G370" s="413"/>
      <c r="H370" s="412"/>
      <c r="I370" s="413"/>
      <c r="J370" s="413"/>
      <c r="K370" s="413"/>
      <c r="L370" s="431"/>
      <c r="M370" s="412"/>
      <c r="N370" s="414"/>
      <c r="O370" s="321"/>
      <c r="P370" s="564"/>
      <c r="Q370" s="321"/>
      <c r="R370"/>
      <c r="S370"/>
      <c r="T370"/>
      <c r="U370"/>
      <c r="V370"/>
      <c r="W370"/>
      <c r="X370"/>
      <c r="Y370"/>
      <c r="Z370"/>
      <c r="AA370"/>
      <c r="AB370"/>
      <c r="AC370"/>
      <c r="AD370"/>
      <c r="AE370"/>
      <c r="AF370" s="564"/>
      <c r="AG370" s="321"/>
      <c r="AH370"/>
      <c r="AI370"/>
      <c r="AJ370"/>
      <c r="AK370"/>
      <c r="AL370"/>
      <c r="AM370"/>
      <c r="AN370"/>
      <c r="AO370"/>
      <c r="AP370"/>
      <c r="AQ370"/>
      <c r="AR370"/>
      <c r="AS370"/>
      <c r="AT370"/>
      <c r="AU370"/>
      <c r="AV370" s="564"/>
      <c r="AW370" s="438"/>
      <c r="AX370" s="158"/>
      <c r="AY370" s="440"/>
      <c r="AZ370" s="298"/>
      <c r="BA370" s="298"/>
      <c r="BB370" s="308"/>
      <c r="BC370" s="312"/>
      <c r="BD370" s="316"/>
      <c r="BE370" s="308"/>
      <c r="BF370" s="312"/>
      <c r="BG370" s="316"/>
      <c r="BH370" s="308"/>
      <c r="BI370" s="298"/>
      <c r="BJ370" s="459"/>
      <c r="BK370" s="162"/>
      <c r="BL370" s="161"/>
      <c r="BM370" s="458"/>
      <c r="BN370" s="159"/>
      <c r="BO370" s="299"/>
      <c r="BP370" s="309"/>
      <c r="BQ370" s="304"/>
      <c r="BR370" s="309"/>
      <c r="BS370" s="313"/>
      <c r="BT370" s="304"/>
      <c r="BU370" s="309"/>
      <c r="BV370" s="313"/>
      <c r="BW370" s="317"/>
      <c r="BX370" s="309"/>
      <c r="BY370" s="313"/>
      <c r="BZ370" s="299"/>
      <c r="CA370" s="167"/>
      <c r="CB370" s="162"/>
      <c r="CC370" s="483">
        <v>2</v>
      </c>
      <c r="CD370" s="321"/>
      <c r="CF370" s="321"/>
      <c r="CG370" s="321"/>
      <c r="CH370" s="432"/>
      <c r="CI370" s="439"/>
      <c r="CJ370" s="452"/>
      <c r="CK370" s="411"/>
      <c r="CL370" s="439"/>
      <c r="CM370" s="421"/>
      <c r="CN370" s="321"/>
      <c r="CO370" s="321"/>
      <c r="CQ370" s="321"/>
      <c r="CR370" s="564"/>
      <c r="CS370" s="483">
        <v>2</v>
      </c>
      <c r="CT370" s="321"/>
      <c r="CV370" s="321"/>
      <c r="CW370" s="321"/>
      <c r="CX370" s="432"/>
      <c r="CY370" s="439"/>
      <c r="CZ370" s="452"/>
      <c r="DA370" s="411"/>
      <c r="DB370" s="439"/>
      <c r="DC370" s="421"/>
      <c r="DD370" s="321"/>
      <c r="DE370" s="321"/>
      <c r="DG370" s="321"/>
      <c r="DH370" s="564"/>
      <c r="DI370" s="1352"/>
      <c r="DJ370" s="305"/>
      <c r="DK370" s="160"/>
      <c r="DL370" s="205"/>
      <c r="DM370" s="436"/>
      <c r="DN370" s="305"/>
      <c r="DO370" s="160"/>
      <c r="DP370" s="205"/>
      <c r="DQ370" s="436"/>
      <c r="DR370" s="305"/>
      <c r="DS370" s="160"/>
      <c r="DT370" s="205"/>
      <c r="DU370" s="436"/>
      <c r="DV370" s="305"/>
      <c r="DW370" s="160"/>
      <c r="DX370" s="1353"/>
      <c r="DY370" s="483">
        <v>7</v>
      </c>
      <c r="DZ370" s="460"/>
      <c r="EB370" s="321"/>
      <c r="EC370" s="321"/>
      <c r="ED370" s="321"/>
      <c r="EE370" s="321"/>
      <c r="EF370" s="321"/>
      <c r="EG370" s="321"/>
      <c r="EH370" s="321"/>
      <c r="EI370" s="321"/>
      <c r="EJ370" s="321"/>
      <c r="EK370" s="321"/>
      <c r="EL370" s="321"/>
      <c r="EM370" s="321"/>
      <c r="EN370" s="321"/>
      <c r="EO370" s="483"/>
      <c r="EP370" s="316"/>
      <c r="ER370" s="321"/>
      <c r="ES370" s="321"/>
      <c r="ET370" s="200"/>
      <c r="EU370" s="201"/>
      <c r="EV370" s="200"/>
      <c r="EW370" s="200"/>
      <c r="EX370" s="200"/>
      <c r="EY370" s="201"/>
      <c r="EZ370" s="200"/>
      <c r="FC370" s="321"/>
      <c r="FD370" s="564"/>
      <c r="FE370" s="483">
        <v>7</v>
      </c>
      <c r="FF370" s="312"/>
      <c r="FH370" s="321"/>
      <c r="FI370" s="321"/>
      <c r="FJ370" s="321"/>
      <c r="FK370" s="321"/>
      <c r="FL370" s="321"/>
      <c r="FM370" s="321"/>
      <c r="FN370" s="321"/>
      <c r="FO370" s="321"/>
      <c r="FP370" s="321"/>
      <c r="FS370" s="321"/>
      <c r="FT370" s="564"/>
      <c r="FU370" s="483"/>
      <c r="FV370" s="321"/>
      <c r="FW370" s="321"/>
      <c r="FX370" s="321"/>
      <c r="FY370" s="321"/>
      <c r="FZ370" s="321"/>
      <c r="GA370" s="321"/>
      <c r="GB370" s="301">
        <v>9</v>
      </c>
      <c r="GC370" s="321"/>
      <c r="GD370" s="321"/>
      <c r="GE370" s="321"/>
      <c r="GF370" s="321"/>
      <c r="GG370" s="321"/>
      <c r="GH370" s="321"/>
      <c r="GI370" s="321"/>
      <c r="GJ370" s="564"/>
      <c r="GK370" s="483"/>
      <c r="GL370" s="321"/>
      <c r="GM370" s="321">
        <v>4</v>
      </c>
      <c r="GN370" s="160"/>
      <c r="GO370" s="292"/>
      <c r="GP370" s="160"/>
      <c r="GQ370" s="160"/>
      <c r="GR370" s="160"/>
      <c r="GS370" s="160"/>
      <c r="GT370" s="160"/>
      <c r="GU370" s="161"/>
      <c r="GV370" s="160"/>
      <c r="GW370" s="321">
        <v>4</v>
      </c>
      <c r="GX370" s="321"/>
      <c r="GY370" s="321"/>
      <c r="GZ370" s="564"/>
      <c r="HA370" s="483"/>
      <c r="HB370" s="321"/>
      <c r="HC370" s="321"/>
      <c r="HD370" s="321"/>
      <c r="HE370" s="321"/>
      <c r="HF370" s="321"/>
      <c r="HG370" s="321"/>
      <c r="HH370" s="321"/>
      <c r="HI370" s="321"/>
      <c r="HJ370" s="321"/>
      <c r="HK370" s="321"/>
      <c r="HL370" s="321"/>
      <c r="HM370" s="321"/>
      <c r="HN370" s="321"/>
      <c r="HO370" s="321"/>
      <c r="HP370" s="564"/>
      <c r="HQ370" s="483"/>
      <c r="HR370" s="321"/>
      <c r="HS370" s="321"/>
      <c r="HT370" s="321"/>
      <c r="HU370" s="321"/>
      <c r="HV370" s="321"/>
      <c r="HW370" s="321"/>
      <c r="HX370" s="321"/>
      <c r="HY370" s="321"/>
      <c r="HZ370" s="321"/>
      <c r="IA370" s="321"/>
      <c r="IB370" s="321"/>
      <c r="IC370" s="321"/>
      <c r="ID370" s="321"/>
      <c r="IE370" s="321"/>
      <c r="IF370" s="564"/>
      <c r="IG370" s="483"/>
      <c r="IH370" s="321"/>
      <c r="II370" s="321"/>
      <c r="IJ370" s="321">
        <v>11</v>
      </c>
      <c r="IK370" s="453"/>
      <c r="IL370" s="459">
        <v>12</v>
      </c>
      <c r="IM370" s="459">
        <v>12</v>
      </c>
      <c r="IN370" s="453">
        <v>10</v>
      </c>
      <c r="IO370" s="321">
        <v>11</v>
      </c>
      <c r="IP370" s="446">
        <v>11</v>
      </c>
      <c r="IQ370" s="459">
        <v>12</v>
      </c>
      <c r="IR370" s="459">
        <v>12</v>
      </c>
      <c r="IS370" s="321">
        <v>11</v>
      </c>
      <c r="IT370" s="321"/>
      <c r="IU370" s="321"/>
      <c r="IV370" s="1351"/>
    </row>
    <row r="371" spans="1:256" s="326" customFormat="1" ht="8.25" customHeight="1">
      <c r="A371" s="483"/>
      <c r="B371" s="321"/>
      <c r="C371" s="414"/>
      <c r="D371" s="412"/>
      <c r="E371" s="412"/>
      <c r="F371" s="413"/>
      <c r="G371" s="412"/>
      <c r="H371" s="412"/>
      <c r="I371" s="413"/>
      <c r="J371" s="413"/>
      <c r="K371" s="431"/>
      <c r="L371" s="431"/>
      <c r="M371" s="412"/>
      <c r="N371" s="414"/>
      <c r="O371" s="321"/>
      <c r="P371" s="564"/>
      <c r="Q371" s="321"/>
      <c r="R371"/>
      <c r="S371"/>
      <c r="T371"/>
      <c r="U371"/>
      <c r="V371"/>
      <c r="W371"/>
      <c r="X371"/>
      <c r="Y371"/>
      <c r="Z371"/>
      <c r="AA371"/>
      <c r="AB371"/>
      <c r="AC371"/>
      <c r="AD371"/>
      <c r="AE371"/>
      <c r="AF371" s="564"/>
      <c r="AG371" s="321"/>
      <c r="AH371"/>
      <c r="AI371"/>
      <c r="AJ371"/>
      <c r="AK371"/>
      <c r="AL371"/>
      <c r="AM371"/>
      <c r="AN371"/>
      <c r="AO371"/>
      <c r="AP371"/>
      <c r="AQ371"/>
      <c r="AR371"/>
      <c r="AS371"/>
      <c r="AT371"/>
      <c r="AU371"/>
      <c r="AV371" s="564"/>
      <c r="AW371" s="438"/>
      <c r="AX371" s="158"/>
      <c r="AY371" s="440"/>
      <c r="AZ371" s="298"/>
      <c r="BA371" s="298"/>
      <c r="BB371" s="312"/>
      <c r="BC371" s="298"/>
      <c r="BD371" s="316"/>
      <c r="BE371" s="312"/>
      <c r="BF371" s="298"/>
      <c r="BG371" s="298"/>
      <c r="BH371" s="308"/>
      <c r="BI371" s="312"/>
      <c r="BJ371" s="298"/>
      <c r="BK371" s="162"/>
      <c r="BL371" s="161"/>
      <c r="BM371" s="458"/>
      <c r="BN371" s="159"/>
      <c r="BO371" s="302"/>
      <c r="BP371" s="295"/>
      <c r="BQ371" s="317"/>
      <c r="BR371" s="309"/>
      <c r="BS371" s="299"/>
      <c r="BT371" s="317"/>
      <c r="BU371" s="309"/>
      <c r="BV371" s="304"/>
      <c r="BW371" s="299"/>
      <c r="BX371" s="309"/>
      <c r="BY371" s="299"/>
      <c r="BZ371" s="317"/>
      <c r="CA371" s="167"/>
      <c r="CB371" s="162"/>
      <c r="CC371" s="483"/>
      <c r="CD371" s="321"/>
      <c r="CF371" s="321"/>
      <c r="CG371" s="432"/>
      <c r="CH371" s="439"/>
      <c r="CI371" s="452"/>
      <c r="CJ371" s="290"/>
      <c r="CK371" s="290"/>
      <c r="CL371" s="411"/>
      <c r="CM371" s="432"/>
      <c r="CN371" s="421"/>
      <c r="CO371" s="321"/>
      <c r="CQ371" s="321"/>
      <c r="CR371" s="564"/>
      <c r="CS371" s="483"/>
      <c r="CT371" s="321"/>
      <c r="CV371" s="321"/>
      <c r="CW371" s="432"/>
      <c r="CX371" s="439"/>
      <c r="CY371" s="452"/>
      <c r="CZ371" s="290"/>
      <c r="DA371" s="290"/>
      <c r="DB371" s="411"/>
      <c r="DC371" s="432"/>
      <c r="DD371" s="421"/>
      <c r="DE371" s="321"/>
      <c r="DG371" s="321"/>
      <c r="DH371" s="564"/>
      <c r="DI371" s="305"/>
      <c r="DJ371" s="449"/>
      <c r="DK371" s="449"/>
      <c r="DL371" s="449"/>
      <c r="DM371" s="449"/>
      <c r="DN371" s="449"/>
      <c r="DO371" s="449"/>
      <c r="DP371" s="449"/>
      <c r="DQ371" s="449"/>
      <c r="DR371" s="449"/>
      <c r="DS371" s="449"/>
      <c r="DT371" s="449"/>
      <c r="DU371" s="449"/>
      <c r="DV371" s="449"/>
      <c r="DW371" s="449"/>
      <c r="DX371" s="305"/>
      <c r="DY371" s="483"/>
      <c r="DZ371" s="321"/>
      <c r="EB371" s="321"/>
      <c r="EC371" s="321"/>
      <c r="ED371" s="321"/>
      <c r="EE371" s="321"/>
      <c r="EF371" s="411"/>
      <c r="EG371" s="411"/>
      <c r="EH371" s="439"/>
      <c r="EI371" s="321"/>
      <c r="EJ371" s="321"/>
      <c r="EL371" s="321"/>
      <c r="EM371" s="321"/>
      <c r="EN371" s="321"/>
      <c r="EO371" s="483"/>
      <c r="EP371" s="321"/>
      <c r="ER371" s="321"/>
      <c r="ES371" s="321"/>
      <c r="ET371" s="201"/>
      <c r="EU371" s="321"/>
      <c r="EV371" s="415"/>
      <c r="EW371" s="161"/>
      <c r="EX371" s="432"/>
      <c r="EY371" s="321"/>
      <c r="EZ371" s="201"/>
      <c r="FC371" s="321"/>
      <c r="FD371" s="564"/>
      <c r="FE371" s="483">
        <v>1</v>
      </c>
      <c r="FF371" s="321"/>
      <c r="FH371" s="321"/>
      <c r="FI371" s="321"/>
      <c r="FJ371" s="321"/>
      <c r="FK371" s="321"/>
      <c r="FL371" s="415"/>
      <c r="FM371" s="415"/>
      <c r="FN371" s="432"/>
      <c r="FO371" s="321"/>
      <c r="FP371" s="321"/>
      <c r="FS371" s="321"/>
      <c r="FT371" s="564"/>
      <c r="FU371" s="483"/>
      <c r="FV371" s="321"/>
      <c r="FW371" s="321"/>
      <c r="FX371" s="321"/>
      <c r="FY371" s="321"/>
      <c r="FZ371" s="321"/>
      <c r="GA371" s="321"/>
      <c r="GB371" s="301">
        <v>9</v>
      </c>
      <c r="GC371" s="321"/>
      <c r="GD371" s="321"/>
      <c r="GE371" s="321"/>
      <c r="GF371" s="321"/>
      <c r="GG371" s="321"/>
      <c r="GH371" s="321"/>
      <c r="GI371" s="321"/>
      <c r="GJ371" s="564"/>
      <c r="GK371" s="483"/>
      <c r="GL371" s="321"/>
      <c r="GM371" s="160"/>
      <c r="GN371" s="321"/>
      <c r="GO371" s="160"/>
      <c r="GP371" s="291"/>
      <c r="GQ371" s="204"/>
      <c r="GR371" s="294"/>
      <c r="GS371" s="204"/>
      <c r="GT371" s="291"/>
      <c r="GU371" s="160"/>
      <c r="GV371" s="321"/>
      <c r="GW371" s="160"/>
      <c r="GX371" s="321"/>
      <c r="GY371" s="321"/>
      <c r="GZ371" s="564"/>
      <c r="HA371" s="483"/>
      <c r="HB371" s="321"/>
      <c r="HC371" s="321"/>
      <c r="HD371" s="321"/>
      <c r="HE371" s="321"/>
      <c r="HF371" s="321"/>
      <c r="HG371" s="321"/>
      <c r="HH371" s="321"/>
      <c r="HI371" s="321"/>
      <c r="HJ371" s="321"/>
      <c r="HK371" s="321"/>
      <c r="HL371" s="321"/>
      <c r="HM371" s="321"/>
      <c r="HN371" s="321"/>
      <c r="HO371" s="321"/>
      <c r="HP371" s="564"/>
      <c r="HQ371" s="483"/>
      <c r="HR371" s="321"/>
      <c r="HS371" s="321"/>
      <c r="HT371" s="321"/>
      <c r="HU371" s="321"/>
      <c r="HV371" s="321"/>
      <c r="HW371" s="321"/>
      <c r="HX371" s="321">
        <v>9</v>
      </c>
      <c r="HY371" s="321">
        <v>9</v>
      </c>
      <c r="HZ371" s="321"/>
      <c r="IA371" s="321"/>
      <c r="IB371" s="321"/>
      <c r="IC371" s="321"/>
      <c r="ID371" s="321"/>
      <c r="IE371" s="321"/>
      <c r="IF371" s="564"/>
      <c r="IG371" s="483"/>
      <c r="IH371" s="321"/>
      <c r="II371" s="1309">
        <v>8</v>
      </c>
      <c r="IJ371" s="459">
        <v>12</v>
      </c>
      <c r="IK371" s="1309"/>
      <c r="IL371" s="459"/>
      <c r="IM371" s="1309">
        <v>11</v>
      </c>
      <c r="IN371" s="459">
        <v>12</v>
      </c>
      <c r="IO371" s="446">
        <v>9</v>
      </c>
      <c r="IP371" s="1309">
        <v>10</v>
      </c>
      <c r="IQ371" s="446">
        <v>10</v>
      </c>
      <c r="IR371" s="1309"/>
      <c r="IS371" s="446">
        <v>9</v>
      </c>
      <c r="IT371" s="1309"/>
      <c r="IU371" s="321"/>
      <c r="IV371" s="1351"/>
    </row>
    <row r="372" spans="1:256" s="326" customFormat="1" ht="8.25" customHeight="1">
      <c r="A372" s="483"/>
      <c r="B372" s="321"/>
      <c r="C372" s="414"/>
      <c r="D372" s="412"/>
      <c r="E372" s="413"/>
      <c r="F372" s="412"/>
      <c r="G372" s="412"/>
      <c r="H372" s="412"/>
      <c r="I372" s="413"/>
      <c r="J372" s="431"/>
      <c r="K372" s="431"/>
      <c r="L372" s="412"/>
      <c r="M372" s="412"/>
      <c r="N372" s="414"/>
      <c r="O372" s="321"/>
      <c r="P372" s="564"/>
      <c r="Q372" s="321"/>
      <c r="R372"/>
      <c r="S372"/>
      <c r="T372"/>
      <c r="U372"/>
      <c r="V372"/>
      <c r="W372"/>
      <c r="X372"/>
      <c r="Y372"/>
      <c r="Z372"/>
      <c r="AA372"/>
      <c r="AB372"/>
      <c r="AC372"/>
      <c r="AD372"/>
      <c r="AE372"/>
      <c r="AF372" s="564"/>
      <c r="AG372" s="321"/>
      <c r="AH372"/>
      <c r="AI372"/>
      <c r="AJ372"/>
      <c r="AK372"/>
      <c r="AL372"/>
      <c r="AM372"/>
      <c r="AN372"/>
      <c r="AO372"/>
      <c r="AP372"/>
      <c r="AQ372"/>
      <c r="AR372"/>
      <c r="AS372"/>
      <c r="AT372"/>
      <c r="AU372"/>
      <c r="AV372" s="564"/>
      <c r="AW372" s="438">
        <v>181</v>
      </c>
      <c r="AX372" s="158"/>
      <c r="AY372" s="440"/>
      <c r="AZ372" s="298"/>
      <c r="BA372" s="298"/>
      <c r="BB372" s="312"/>
      <c r="BC372" s="298"/>
      <c r="BD372" s="316"/>
      <c r="BE372" s="312"/>
      <c r="BF372" s="298"/>
      <c r="BG372" s="298"/>
      <c r="BH372" s="308"/>
      <c r="BI372" s="312"/>
      <c r="BJ372" s="298"/>
      <c r="BK372" s="162"/>
      <c r="BL372" s="161"/>
      <c r="BM372" s="458">
        <v>180</v>
      </c>
      <c r="BN372" s="159"/>
      <c r="BO372" s="302"/>
      <c r="BP372" s="299"/>
      <c r="BQ372" s="317"/>
      <c r="BR372" s="309"/>
      <c r="BS372" s="313"/>
      <c r="BT372" s="304"/>
      <c r="BU372" s="309"/>
      <c r="BV372" s="299"/>
      <c r="BW372" s="299"/>
      <c r="BX372" s="309"/>
      <c r="BY372" s="299"/>
      <c r="BZ372" s="317"/>
      <c r="CA372" s="167"/>
      <c r="CB372" s="162"/>
      <c r="CC372" s="483">
        <v>183</v>
      </c>
      <c r="CD372" s="321"/>
      <c r="CF372" s="321"/>
      <c r="CG372" s="432"/>
      <c r="CH372" s="452"/>
      <c r="CI372" s="290"/>
      <c r="CJ372" s="411"/>
      <c r="CK372" s="411"/>
      <c r="CL372" s="432"/>
      <c r="CM372" s="411"/>
      <c r="CN372" s="415"/>
      <c r="CO372" s="321"/>
      <c r="CQ372" s="321"/>
      <c r="CR372" s="564"/>
      <c r="CS372" s="483">
        <v>182</v>
      </c>
      <c r="CT372" s="321"/>
      <c r="CV372" s="321"/>
      <c r="CW372" s="432"/>
      <c r="CX372" s="452"/>
      <c r="CY372" s="290"/>
      <c r="CZ372" s="290"/>
      <c r="DA372" s="290"/>
      <c r="DB372" s="290"/>
      <c r="DC372" s="411"/>
      <c r="DD372" s="415"/>
      <c r="DE372" s="321"/>
      <c r="DG372" s="321"/>
      <c r="DH372" s="564"/>
      <c r="DI372" s="305"/>
      <c r="DJ372" s="449"/>
      <c r="DK372" s="449"/>
      <c r="DL372" s="449"/>
      <c r="DM372" s="449"/>
      <c r="DN372" s="449"/>
      <c r="DO372" s="449"/>
      <c r="DP372" s="449"/>
      <c r="DQ372" s="449"/>
      <c r="DR372" s="449"/>
      <c r="DS372" s="449"/>
      <c r="DT372" s="449"/>
      <c r="DU372" s="449"/>
      <c r="DV372" s="449"/>
      <c r="DW372" s="449"/>
      <c r="DX372" s="305"/>
      <c r="DY372" s="483">
        <v>186</v>
      </c>
      <c r="DZ372" s="174"/>
      <c r="EB372" s="321"/>
      <c r="EC372" s="321"/>
      <c r="ED372" s="321"/>
      <c r="EE372" s="411"/>
      <c r="EF372" s="432"/>
      <c r="EG372" s="160"/>
      <c r="EH372" s="432"/>
      <c r="EI372" s="161"/>
      <c r="EJ372" s="321"/>
      <c r="EL372" s="321"/>
      <c r="EM372" s="321"/>
      <c r="EN372" s="321"/>
      <c r="EO372" s="483">
        <v>185</v>
      </c>
      <c r="EP372" s="169"/>
      <c r="ER372" s="321"/>
      <c r="ES372" s="321"/>
      <c r="ET372" s="321"/>
      <c r="EU372" s="415"/>
      <c r="EV372" s="199"/>
      <c r="EW372" s="310"/>
      <c r="EX372" s="199"/>
      <c r="EY372" s="432"/>
      <c r="EZ372" s="321"/>
      <c r="FC372" s="321"/>
      <c r="FD372" s="564"/>
      <c r="FE372" s="483">
        <v>185</v>
      </c>
      <c r="FF372" s="174"/>
      <c r="FH372" s="321"/>
      <c r="FI372" s="321"/>
      <c r="FJ372" s="321"/>
      <c r="FK372" s="415"/>
      <c r="FL372" s="205"/>
      <c r="FM372" s="160"/>
      <c r="FN372" s="205"/>
      <c r="FO372" s="432"/>
      <c r="FP372" s="321"/>
      <c r="FS372" s="321"/>
      <c r="FT372" s="564"/>
      <c r="FU372" s="483"/>
      <c r="FV372" s="321"/>
      <c r="FW372" s="321"/>
      <c r="FX372" s="321"/>
      <c r="FY372" s="321"/>
      <c r="FZ372" s="321"/>
      <c r="GA372" s="321"/>
      <c r="GB372" s="189">
        <v>9</v>
      </c>
      <c r="GC372" s="321"/>
      <c r="GD372" s="321"/>
      <c r="GE372" s="321"/>
      <c r="GF372" s="321"/>
      <c r="GG372" s="321"/>
      <c r="GH372" s="321"/>
      <c r="GI372" s="321"/>
      <c r="GJ372" s="564"/>
      <c r="GK372" s="483"/>
      <c r="GL372" s="321"/>
      <c r="GM372" s="160"/>
      <c r="GN372" s="321"/>
      <c r="GO372" s="321"/>
      <c r="GP372" s="292"/>
      <c r="GQ372" s="294"/>
      <c r="GR372" s="290"/>
      <c r="GS372" s="294"/>
      <c r="GT372" s="291"/>
      <c r="GU372" s="321"/>
      <c r="GV372" s="321"/>
      <c r="GW372" s="160"/>
      <c r="GX372" s="321"/>
      <c r="GY372" s="321"/>
      <c r="GZ372" s="564"/>
      <c r="HA372" s="483"/>
      <c r="HB372" s="321"/>
      <c r="HC372" s="321"/>
      <c r="HD372" s="321"/>
      <c r="HE372" s="321"/>
      <c r="HF372" s="321"/>
      <c r="HG372" s="321"/>
      <c r="HH372" s="321"/>
      <c r="HI372" s="321"/>
      <c r="HJ372" s="321"/>
      <c r="HK372" s="321"/>
      <c r="HL372" s="321"/>
      <c r="HM372" s="321"/>
      <c r="HN372" s="321"/>
      <c r="HO372" s="321"/>
      <c r="HP372" s="564"/>
      <c r="HQ372" s="483"/>
      <c r="HR372" s="321"/>
      <c r="HS372" s="321"/>
      <c r="HT372" s="321"/>
      <c r="HU372" s="321"/>
      <c r="HV372" s="321">
        <v>9</v>
      </c>
      <c r="HW372" s="321">
        <v>10</v>
      </c>
      <c r="HX372" s="453">
        <v>10</v>
      </c>
      <c r="HY372" s="321">
        <v>10</v>
      </c>
      <c r="HZ372" s="459">
        <v>11</v>
      </c>
      <c r="IA372" s="321">
        <v>9</v>
      </c>
      <c r="IB372" s="321"/>
      <c r="IC372" s="321"/>
      <c r="ID372" s="321"/>
      <c r="IE372" s="321"/>
      <c r="IF372" s="564"/>
      <c r="IG372" s="483"/>
      <c r="IH372" s="459">
        <v>12</v>
      </c>
      <c r="II372" s="1309"/>
      <c r="IJ372" s="1309"/>
      <c r="IK372" s="1309"/>
      <c r="IL372" s="1309"/>
      <c r="IM372" s="321"/>
      <c r="IN372" s="453"/>
      <c r="IO372" s="1309">
        <v>11</v>
      </c>
      <c r="IP372" s="446">
        <v>9</v>
      </c>
      <c r="IQ372" s="321"/>
      <c r="IR372" s="1309"/>
      <c r="IS372" s="1309"/>
      <c r="IT372" s="1309">
        <v>9</v>
      </c>
      <c r="IU372" s="321"/>
      <c r="IV372" s="1351"/>
    </row>
    <row r="373" spans="1:256" s="326" customFormat="1" ht="8.25" customHeight="1">
      <c r="A373" s="1308"/>
      <c r="B373" s="321"/>
      <c r="C373" s="414"/>
      <c r="D373" s="412"/>
      <c r="E373" s="413"/>
      <c r="F373" s="412"/>
      <c r="G373" s="431"/>
      <c r="H373" s="412"/>
      <c r="I373" s="431"/>
      <c r="J373" s="431"/>
      <c r="K373" s="431"/>
      <c r="L373" s="412"/>
      <c r="M373" s="431"/>
      <c r="N373" s="414"/>
      <c r="O373" s="321"/>
      <c r="P373" s="1310"/>
      <c r="Q373" s="321"/>
      <c r="R373"/>
      <c r="S373"/>
      <c r="T373"/>
      <c r="U373"/>
      <c r="V373"/>
      <c r="W373"/>
      <c r="X373"/>
      <c r="Y373"/>
      <c r="Z373"/>
      <c r="AA373"/>
      <c r="AB373"/>
      <c r="AC373"/>
      <c r="AD373"/>
      <c r="AE373"/>
      <c r="AF373" s="564"/>
      <c r="AG373" s="321"/>
      <c r="AH373"/>
      <c r="AI373"/>
      <c r="AJ373"/>
      <c r="AK373"/>
      <c r="AL373"/>
      <c r="AM373"/>
      <c r="AN373"/>
      <c r="AO373"/>
      <c r="AP373"/>
      <c r="AQ373"/>
      <c r="AR373"/>
      <c r="AS373"/>
      <c r="AT373"/>
      <c r="AU373"/>
      <c r="AV373" s="564"/>
      <c r="AW373" s="438"/>
      <c r="AX373" s="158"/>
      <c r="AY373" s="440"/>
      <c r="AZ373" s="312"/>
      <c r="BA373" s="316"/>
      <c r="BB373" s="308"/>
      <c r="BC373" s="312"/>
      <c r="BD373" s="316"/>
      <c r="BE373" s="308"/>
      <c r="BF373" s="312"/>
      <c r="BG373" s="316"/>
      <c r="BH373" s="308"/>
      <c r="BI373" s="298"/>
      <c r="BJ373" s="316"/>
      <c r="BK373" s="162"/>
      <c r="BL373" s="161"/>
      <c r="BM373" s="458"/>
      <c r="BN373" s="159"/>
      <c r="BO373" s="299"/>
      <c r="BP373" s="313"/>
      <c r="BQ373" s="304"/>
      <c r="BR373" s="309"/>
      <c r="BS373" s="299"/>
      <c r="BT373" s="299"/>
      <c r="BU373" s="309"/>
      <c r="BV373" s="313"/>
      <c r="BW373" s="317"/>
      <c r="BX373" s="309"/>
      <c r="BY373" s="299"/>
      <c r="BZ373" s="317"/>
      <c r="CA373" s="167"/>
      <c r="CB373" s="162"/>
      <c r="CC373" s="483"/>
      <c r="CD373" s="321"/>
      <c r="CF373" s="321"/>
      <c r="CG373" s="432"/>
      <c r="CH373" s="411"/>
      <c r="CI373" s="290"/>
      <c r="CJ373" s="411"/>
      <c r="CK373" s="411"/>
      <c r="CL373" s="432"/>
      <c r="CM373" s="411"/>
      <c r="CN373" s="415"/>
      <c r="CO373" s="321"/>
      <c r="CQ373" s="321"/>
      <c r="CR373" s="564"/>
      <c r="CS373" s="483"/>
      <c r="CT373" s="321"/>
      <c r="CV373" s="321"/>
      <c r="CW373" s="432"/>
      <c r="CX373" s="411"/>
      <c r="CY373" s="290"/>
      <c r="CZ373" s="290"/>
      <c r="DA373" s="290"/>
      <c r="DB373" s="290"/>
      <c r="DC373" s="411"/>
      <c r="DD373" s="415"/>
      <c r="DE373" s="321"/>
      <c r="DG373" s="321"/>
      <c r="DH373" s="564"/>
      <c r="DI373" s="1341"/>
      <c r="DJ373" s="433"/>
      <c r="DK373" s="436"/>
      <c r="DL373" s="449"/>
      <c r="DM373" s="426"/>
      <c r="DN373" s="426"/>
      <c r="DO373" s="305"/>
      <c r="DP373" s="449"/>
      <c r="DQ373" s="433"/>
      <c r="DR373" s="426"/>
      <c r="DS373" s="426"/>
      <c r="DT373" s="433"/>
      <c r="DU373" s="426"/>
      <c r="DV373" s="433"/>
      <c r="DW373" s="433"/>
      <c r="DX373" s="202"/>
      <c r="DY373" s="170"/>
      <c r="DZ373" s="169"/>
      <c r="EA373" s="172"/>
      <c r="EB373" s="310"/>
      <c r="EC373" s="321"/>
      <c r="ED373" s="321"/>
      <c r="EE373" s="411"/>
      <c r="EF373" s="160"/>
      <c r="EG373" s="160"/>
      <c r="EH373" s="160"/>
      <c r="EI373" s="291"/>
      <c r="EJ373" s="321"/>
      <c r="EL373" s="201"/>
      <c r="EM373" s="321"/>
      <c r="EN373" s="321"/>
      <c r="EO373" s="170"/>
      <c r="EP373" s="169"/>
      <c r="EQ373" s="170"/>
      <c r="ER373" s="201"/>
      <c r="ES373" s="321"/>
      <c r="ET373" s="321"/>
      <c r="EU373" s="161"/>
      <c r="EV373" s="310"/>
      <c r="EW373" s="481"/>
      <c r="EX373" s="310"/>
      <c r="EY373" s="161"/>
      <c r="EZ373" s="321"/>
      <c r="FB373" s="310"/>
      <c r="FD373" s="321"/>
      <c r="FE373" s="174"/>
      <c r="FF373" s="169"/>
      <c r="FG373" s="174"/>
      <c r="FH373" s="310"/>
      <c r="FI373" s="321"/>
      <c r="FJ373" s="321"/>
      <c r="FK373" s="415"/>
      <c r="FL373" s="160"/>
      <c r="FM373" s="160"/>
      <c r="FN373" s="160"/>
      <c r="FO373" s="415"/>
      <c r="FP373" s="321"/>
      <c r="FR373" s="201"/>
      <c r="FT373" s="321"/>
      <c r="FU373" s="1308"/>
      <c r="FV373" s="321"/>
      <c r="FW373" s="321"/>
      <c r="FX373" s="321"/>
      <c r="FY373" s="321"/>
      <c r="FZ373" s="321"/>
      <c r="GA373" s="321"/>
      <c r="GB373" s="189">
        <v>9</v>
      </c>
      <c r="GC373" s="321"/>
      <c r="GD373" s="321"/>
      <c r="GE373" s="321"/>
      <c r="GF373" s="321"/>
      <c r="GG373" s="321"/>
      <c r="GH373" s="321"/>
      <c r="GI373" s="321"/>
      <c r="GJ373" s="1310"/>
      <c r="GK373" s="1308"/>
      <c r="GL373" s="1309"/>
      <c r="GM373" s="160"/>
      <c r="GN373" s="321"/>
      <c r="GO373" s="160"/>
      <c r="GP373" s="321">
        <v>8</v>
      </c>
      <c r="GQ373" s="316"/>
      <c r="GR373" s="298"/>
      <c r="GS373" s="316"/>
      <c r="GT373" s="321">
        <v>8</v>
      </c>
      <c r="GU373" s="160"/>
      <c r="GV373" s="321"/>
      <c r="GW373" s="160"/>
      <c r="GX373" s="321"/>
      <c r="GY373" s="321"/>
      <c r="GZ373" s="1310"/>
      <c r="HA373" s="1308"/>
      <c r="HB373" s="321"/>
      <c r="HC373" s="321"/>
      <c r="HD373" s="321"/>
      <c r="HE373" s="321"/>
      <c r="HF373" s="321"/>
      <c r="HG373" s="321"/>
      <c r="HH373" s="321"/>
      <c r="HI373" s="321"/>
      <c r="HJ373" s="321"/>
      <c r="HK373" s="321"/>
      <c r="HL373" s="321"/>
      <c r="HM373" s="321"/>
      <c r="HN373" s="321"/>
      <c r="HO373" s="321"/>
      <c r="HP373" s="1310"/>
      <c r="HQ373" s="1308"/>
      <c r="HR373" s="1309"/>
      <c r="HS373" s="1309"/>
      <c r="HT373" s="321"/>
      <c r="HU373" s="321">
        <v>9</v>
      </c>
      <c r="HV373" s="453">
        <v>10</v>
      </c>
      <c r="HW373" s="459">
        <v>11</v>
      </c>
      <c r="HX373" s="459">
        <v>12</v>
      </c>
      <c r="HY373" s="453">
        <v>10</v>
      </c>
      <c r="HZ373" s="459">
        <v>11</v>
      </c>
      <c r="IA373" s="453">
        <v>10</v>
      </c>
      <c r="IB373" s="321">
        <v>9</v>
      </c>
      <c r="IC373" s="321"/>
      <c r="ID373" s="321"/>
      <c r="IE373" s="1309"/>
      <c r="IF373" s="1310"/>
      <c r="IG373" s="1308"/>
      <c r="IH373" s="459">
        <v>11</v>
      </c>
      <c r="II373" s="321"/>
      <c r="IJ373" s="1309">
        <v>9</v>
      </c>
      <c r="IK373" s="1309"/>
      <c r="IL373" s="1309"/>
      <c r="IM373" s="321"/>
      <c r="IN373" s="459">
        <v>12</v>
      </c>
      <c r="IO373" s="453"/>
      <c r="IP373" s="321"/>
      <c r="IQ373" s="321"/>
      <c r="IR373" s="446">
        <v>9</v>
      </c>
      <c r="IS373" s="1309"/>
      <c r="IT373" s="1309"/>
      <c r="IU373" s="459">
        <v>11</v>
      </c>
      <c r="IV373" s="1354"/>
    </row>
    <row r="374" spans="1:256" s="326" customFormat="1" ht="8.25" customHeight="1">
      <c r="A374" s="1308"/>
      <c r="B374" s="321"/>
      <c r="C374" s="414"/>
      <c r="D374" s="414"/>
      <c r="E374" s="414"/>
      <c r="F374" s="414"/>
      <c r="G374" s="414"/>
      <c r="H374" s="414"/>
      <c r="I374" s="414"/>
      <c r="J374" s="414"/>
      <c r="K374" s="414"/>
      <c r="L374" s="414"/>
      <c r="M374" s="414"/>
      <c r="N374" s="414"/>
      <c r="O374" s="321"/>
      <c r="P374" s="1310"/>
      <c r="Q374" s="321"/>
      <c r="R374"/>
      <c r="S374"/>
      <c r="T374"/>
      <c r="U374"/>
      <c r="V374"/>
      <c r="W374"/>
      <c r="X374"/>
      <c r="Y374"/>
      <c r="Z374"/>
      <c r="AA374"/>
      <c r="AB374"/>
      <c r="AC374"/>
      <c r="AD374"/>
      <c r="AE374"/>
      <c r="AF374" s="564"/>
      <c r="AG374" s="321"/>
      <c r="AH374"/>
      <c r="AI374"/>
      <c r="AJ374"/>
      <c r="AK374"/>
      <c r="AL374"/>
      <c r="AM374"/>
      <c r="AN374"/>
      <c r="AO374"/>
      <c r="AP374"/>
      <c r="AQ374"/>
      <c r="AR374"/>
      <c r="AS374"/>
      <c r="AT374"/>
      <c r="AU374"/>
      <c r="AV374" s="564"/>
      <c r="AW374" s="438"/>
      <c r="AX374" s="158"/>
      <c r="AY374" s="290"/>
      <c r="AZ374" s="298"/>
      <c r="BA374" s="298"/>
      <c r="BB374" s="298"/>
      <c r="BC374" s="298"/>
      <c r="BD374" s="298"/>
      <c r="BE374" s="298"/>
      <c r="BF374" s="298"/>
      <c r="BG374" s="298"/>
      <c r="BH374" s="298"/>
      <c r="BI374" s="298"/>
      <c r="BJ374" s="298"/>
      <c r="BK374" s="162"/>
      <c r="BL374" s="161"/>
      <c r="BM374" s="458"/>
      <c r="BN374" s="159"/>
      <c r="BO374" s="295"/>
      <c r="BP374" s="299"/>
      <c r="BQ374" s="299"/>
      <c r="BR374" s="299"/>
      <c r="BS374" s="299"/>
      <c r="BT374" s="299"/>
      <c r="BU374" s="299"/>
      <c r="BV374" s="299"/>
      <c r="BW374" s="299"/>
      <c r="BX374" s="299"/>
      <c r="BY374" s="299"/>
      <c r="BZ374" s="299"/>
      <c r="CA374" s="167"/>
      <c r="CB374" s="162"/>
      <c r="CC374" s="483"/>
      <c r="CD374" s="321"/>
      <c r="CF374" s="321"/>
      <c r="CG374" s="421"/>
      <c r="CH374" s="439"/>
      <c r="CI374" s="411"/>
      <c r="CJ374" s="432"/>
      <c r="CK374" s="432"/>
      <c r="CL374" s="411"/>
      <c r="CM374" s="432"/>
      <c r="CN374" s="415"/>
      <c r="CO374" s="321"/>
      <c r="CQ374" s="321"/>
      <c r="CR374" s="564"/>
      <c r="CS374" s="483"/>
      <c r="CT374" s="321"/>
      <c r="CV374" s="321"/>
      <c r="CW374" s="421"/>
      <c r="CX374" s="439"/>
      <c r="CY374" s="411"/>
      <c r="CZ374" s="290"/>
      <c r="DA374" s="290"/>
      <c r="DB374" s="411"/>
      <c r="DC374" s="432"/>
      <c r="DD374" s="415"/>
      <c r="DE374" s="321"/>
      <c r="DG374" s="321"/>
      <c r="DH374" s="564"/>
      <c r="DI374" s="1341"/>
      <c r="DJ374" s="305"/>
      <c r="DK374" s="433"/>
      <c r="DL374" s="426"/>
      <c r="DM374" s="436"/>
      <c r="DN374" s="426"/>
      <c r="DO374" s="433"/>
      <c r="DP374" s="305"/>
      <c r="DQ374" s="433"/>
      <c r="DR374" s="436"/>
      <c r="DS374" s="305"/>
      <c r="DT374" s="433"/>
      <c r="DU374" s="436"/>
      <c r="DV374" s="433"/>
      <c r="DW374" s="305"/>
      <c r="DX374" s="1355"/>
      <c r="DY374" s="483"/>
      <c r="DZ374" s="172"/>
      <c r="EA374" s="200"/>
      <c r="EB374" s="201"/>
      <c r="EC374" s="321"/>
      <c r="ED374" s="321"/>
      <c r="EE374" s="439"/>
      <c r="EF374" s="293"/>
      <c r="EG374" s="160"/>
      <c r="EH374" s="161"/>
      <c r="EI374" s="292"/>
      <c r="EJ374" s="321"/>
      <c r="EL374" s="200"/>
      <c r="EM374" s="310"/>
      <c r="EN374" s="321"/>
      <c r="EO374" s="483"/>
      <c r="EP374" s="174"/>
      <c r="EQ374" s="310"/>
      <c r="ER374" s="200"/>
      <c r="ES374" s="321"/>
      <c r="ET374" s="321"/>
      <c r="EU374" s="432"/>
      <c r="EV374" s="199"/>
      <c r="EW374" s="310"/>
      <c r="EX374" s="199"/>
      <c r="EY374" s="415"/>
      <c r="EZ374" s="321"/>
      <c r="FB374" s="201"/>
      <c r="FC374" s="200"/>
      <c r="FD374" s="321"/>
      <c r="FE374" s="483"/>
      <c r="FF374" s="174"/>
      <c r="FG374" s="200"/>
      <c r="FH374" s="201"/>
      <c r="FI374" s="321"/>
      <c r="FJ374" s="321"/>
      <c r="FK374" s="432"/>
      <c r="FL374" s="205"/>
      <c r="FM374" s="160"/>
      <c r="FN374" s="205"/>
      <c r="FO374" s="415"/>
      <c r="FP374" s="321"/>
      <c r="FR374" s="200"/>
      <c r="FS374" s="310"/>
      <c r="FT374" s="321"/>
      <c r="FU374" s="1308"/>
      <c r="FV374" s="321"/>
      <c r="FW374" s="321"/>
      <c r="FX374" s="321"/>
      <c r="FY374" s="321"/>
      <c r="FZ374" s="321"/>
      <c r="GA374" s="321"/>
      <c r="GB374" s="189">
        <v>9</v>
      </c>
      <c r="GC374" s="321"/>
      <c r="GD374" s="321"/>
      <c r="GE374" s="321"/>
      <c r="GF374" s="321"/>
      <c r="GG374" s="321"/>
      <c r="GH374" s="321"/>
      <c r="GI374" s="321"/>
      <c r="GJ374" s="1310"/>
      <c r="GK374" s="1308"/>
      <c r="GL374" s="1309"/>
      <c r="GM374" s="293"/>
      <c r="GN374" s="321"/>
      <c r="GO374" s="160"/>
      <c r="GP374" s="321">
        <v>8</v>
      </c>
      <c r="GQ374" s="160"/>
      <c r="GR374" s="321">
        <v>8</v>
      </c>
      <c r="GS374" s="160"/>
      <c r="GT374" s="321">
        <v>8</v>
      </c>
      <c r="GU374" s="160"/>
      <c r="GV374" s="321"/>
      <c r="GW374" s="293"/>
      <c r="GX374" s="321"/>
      <c r="GY374" s="321"/>
      <c r="GZ374" s="1310"/>
      <c r="HA374" s="1308"/>
      <c r="HB374" s="321"/>
      <c r="HC374" s="321"/>
      <c r="HD374" s="321"/>
      <c r="HE374" s="321"/>
      <c r="HF374" s="321"/>
      <c r="HG374" s="321"/>
      <c r="HH374" s="321"/>
      <c r="HI374" s="321"/>
      <c r="HJ374" s="321"/>
      <c r="HK374" s="321"/>
      <c r="HL374" s="321"/>
      <c r="HM374" s="321"/>
      <c r="HN374" s="321"/>
      <c r="HO374" s="321"/>
      <c r="HP374" s="1310"/>
      <c r="HQ374" s="1308"/>
      <c r="HR374" s="1309"/>
      <c r="HS374" s="1309"/>
      <c r="HT374" s="321">
        <v>9</v>
      </c>
      <c r="HU374" s="459">
        <v>11</v>
      </c>
      <c r="HV374" s="1309">
        <v>9</v>
      </c>
      <c r="HW374" s="459">
        <v>12</v>
      </c>
      <c r="HX374" s="453">
        <v>10</v>
      </c>
      <c r="HY374" s="459">
        <v>12</v>
      </c>
      <c r="HZ374" s="446">
        <v>10</v>
      </c>
      <c r="IA374" s="1309">
        <v>9</v>
      </c>
      <c r="IB374" s="459">
        <v>12</v>
      </c>
      <c r="IC374" s="321">
        <v>9</v>
      </c>
      <c r="ID374" s="1309"/>
      <c r="IE374" s="1309"/>
      <c r="IF374" s="1310"/>
      <c r="IG374" s="1308"/>
      <c r="IH374" s="1309"/>
      <c r="II374" s="1309"/>
      <c r="IJ374" s="459">
        <v>11</v>
      </c>
      <c r="IK374" s="1309"/>
      <c r="IL374" s="1309"/>
      <c r="IM374" s="1309"/>
      <c r="IN374" s="321">
        <v>12</v>
      </c>
      <c r="IO374" s="440"/>
      <c r="IP374" s="1309"/>
      <c r="IQ374" s="321"/>
      <c r="IR374" s="446">
        <v>11</v>
      </c>
      <c r="IS374" s="1309"/>
      <c r="IT374" s="1309"/>
      <c r="IU374" s="446">
        <v>8</v>
      </c>
      <c r="IV374" s="1354"/>
    </row>
    <row r="375" spans="1:256" s="326" customFormat="1" ht="8.25" customHeight="1">
      <c r="A375" s="1308"/>
      <c r="O375" s="321"/>
      <c r="P375" s="1310"/>
      <c r="Q375" s="483"/>
      <c r="R375"/>
      <c r="S375"/>
      <c r="T375"/>
      <c r="U375"/>
      <c r="V375"/>
      <c r="W375"/>
      <c r="X375"/>
      <c r="Y375"/>
      <c r="Z375"/>
      <c r="AA375"/>
      <c r="AB375"/>
      <c r="AC375"/>
      <c r="AD375"/>
      <c r="AE375"/>
      <c r="AF375" s="564"/>
      <c r="AG375" s="483"/>
      <c r="AH375"/>
      <c r="AI375"/>
      <c r="AJ375"/>
      <c r="AK375"/>
      <c r="AL375"/>
      <c r="AM375"/>
      <c r="AN375"/>
      <c r="AO375"/>
      <c r="AP375"/>
      <c r="AQ375"/>
      <c r="AR375"/>
      <c r="AS375"/>
      <c r="AT375"/>
      <c r="AU375"/>
      <c r="AV375" s="564"/>
      <c r="AW375" s="438"/>
      <c r="AX375" s="158"/>
      <c r="AY375" s="162"/>
      <c r="AZ375" s="162"/>
      <c r="BA375" s="162"/>
      <c r="BB375" s="162"/>
      <c r="BC375" s="162"/>
      <c r="BD375" s="162"/>
      <c r="BE375" s="162"/>
      <c r="BF375" s="162"/>
      <c r="BG375" s="162"/>
      <c r="BH375" s="162"/>
      <c r="BI375" s="162"/>
      <c r="BJ375" s="162"/>
      <c r="BK375" s="162"/>
      <c r="BL375" s="161"/>
      <c r="BM375" s="458"/>
      <c r="BN375" s="159"/>
      <c r="BO375" s="167"/>
      <c r="BP375" s="167"/>
      <c r="BQ375" s="167"/>
      <c r="BR375" s="167"/>
      <c r="BS375" s="167"/>
      <c r="BT375" s="167"/>
      <c r="BU375" s="167"/>
      <c r="BV375" s="167"/>
      <c r="BW375" s="167"/>
      <c r="BX375" s="167"/>
      <c r="BY375" s="167"/>
      <c r="BZ375" s="167"/>
      <c r="CA375" s="167"/>
      <c r="CB375" s="162"/>
      <c r="CC375" s="483"/>
      <c r="CD375" s="321"/>
      <c r="CF375" s="321"/>
      <c r="CG375" s="321"/>
      <c r="CH375" s="421"/>
      <c r="CI375" s="432"/>
      <c r="CJ375" s="411"/>
      <c r="CK375" s="411"/>
      <c r="CL375" s="432"/>
      <c r="CM375" s="415"/>
      <c r="CN375" s="321"/>
      <c r="CO375" s="321"/>
      <c r="CQ375" s="321"/>
      <c r="CR375" s="564"/>
      <c r="CS375" s="483"/>
      <c r="CT375" s="321"/>
      <c r="CV375" s="321"/>
      <c r="CW375" s="321"/>
      <c r="CX375" s="421"/>
      <c r="CY375" s="432"/>
      <c r="CZ375" s="411"/>
      <c r="DA375" s="411"/>
      <c r="DB375" s="432"/>
      <c r="DC375" s="415"/>
      <c r="DD375" s="321"/>
      <c r="DE375" s="321"/>
      <c r="DG375" s="321"/>
      <c r="DH375" s="564"/>
      <c r="DI375" s="1341"/>
      <c r="DJ375" s="449"/>
      <c r="DK375" s="433"/>
      <c r="DL375" s="426"/>
      <c r="DM375" s="426"/>
      <c r="DN375" s="426"/>
      <c r="DO375" s="305"/>
      <c r="DP375" s="433"/>
      <c r="DQ375" s="433"/>
      <c r="DR375" s="305"/>
      <c r="DS375" s="426"/>
      <c r="DT375" s="433"/>
      <c r="DU375" s="426"/>
      <c r="DV375" s="433"/>
      <c r="DW375" s="449"/>
      <c r="DX375" s="1355"/>
      <c r="DY375" s="483"/>
      <c r="DZ375" s="310"/>
      <c r="EA375" s="201"/>
      <c r="EB375" s="321"/>
      <c r="EC375" s="321"/>
      <c r="ED375" s="321"/>
      <c r="EE375" s="321"/>
      <c r="EF375" s="161"/>
      <c r="EG375" s="291"/>
      <c r="EH375" s="292"/>
      <c r="EI375" s="321"/>
      <c r="EJ375" s="321"/>
      <c r="EM375" s="200"/>
      <c r="EN375" s="201"/>
      <c r="EO375" s="483"/>
      <c r="EP375" s="201"/>
      <c r="EQ375" s="200"/>
      <c r="ER375" s="321"/>
      <c r="ES375" s="321"/>
      <c r="ET375" s="201"/>
      <c r="EU375" s="321"/>
      <c r="EV375" s="432"/>
      <c r="EW375" s="161"/>
      <c r="EX375" s="415"/>
      <c r="EY375" s="321"/>
      <c r="EZ375" s="201"/>
      <c r="FC375" s="201"/>
      <c r="FD375" s="310"/>
      <c r="FE375" s="483"/>
      <c r="FF375" s="310"/>
      <c r="FG375" s="201"/>
      <c r="FH375" s="321"/>
      <c r="FI375" s="321"/>
      <c r="FJ375" s="321"/>
      <c r="FK375" s="321"/>
      <c r="FL375" s="432"/>
      <c r="FM375" s="415"/>
      <c r="FN375" s="415"/>
      <c r="FO375" s="321"/>
      <c r="FP375" s="321"/>
      <c r="FS375" s="200"/>
      <c r="FT375" s="201"/>
      <c r="FU375" s="1308"/>
      <c r="FV375" s="321"/>
      <c r="FW375" s="321"/>
      <c r="FX375" s="321"/>
      <c r="FY375" s="321"/>
      <c r="FZ375" s="321"/>
      <c r="GA375" s="321"/>
      <c r="GB375" s="301">
        <v>9</v>
      </c>
      <c r="GC375" s="321"/>
      <c r="GD375" s="321"/>
      <c r="GE375" s="321"/>
      <c r="GF375" s="321"/>
      <c r="GG375" s="321"/>
      <c r="GH375" s="321"/>
      <c r="GI375" s="321"/>
      <c r="GJ375" s="1310"/>
      <c r="GK375" s="1308"/>
      <c r="GL375" s="1309"/>
      <c r="GM375" s="321"/>
      <c r="GN375" s="321"/>
      <c r="GO375" s="160"/>
      <c r="GP375" s="321">
        <v>8</v>
      </c>
      <c r="GQ375" s="298"/>
      <c r="GR375" s="321"/>
      <c r="GS375" s="298"/>
      <c r="GT375" s="321">
        <v>8</v>
      </c>
      <c r="GU375" s="160"/>
      <c r="GV375" s="321"/>
      <c r="GW375" s="321"/>
      <c r="GX375" s="321"/>
      <c r="GY375" s="321"/>
      <c r="GZ375" s="1310"/>
      <c r="HA375" s="1308"/>
      <c r="HB375" s="321"/>
      <c r="HC375" s="321"/>
      <c r="HD375" s="321"/>
      <c r="HE375" s="321"/>
      <c r="HF375" s="321"/>
      <c r="HG375" s="321"/>
      <c r="HH375" s="321"/>
      <c r="HI375" s="321"/>
      <c r="HJ375" s="321"/>
      <c r="HK375" s="321"/>
      <c r="HL375" s="321"/>
      <c r="HM375" s="321"/>
      <c r="HN375" s="321"/>
      <c r="HO375" s="321"/>
      <c r="HP375" s="1310"/>
      <c r="HQ375" s="1308"/>
      <c r="HR375" s="321"/>
      <c r="HS375" s="321">
        <v>9</v>
      </c>
      <c r="HT375" s="1309">
        <v>10</v>
      </c>
      <c r="HU375" s="1309"/>
      <c r="HV375" s="1309"/>
      <c r="HW375" s="1309">
        <v>9</v>
      </c>
      <c r="HX375" s="459">
        <v>12</v>
      </c>
      <c r="HY375" s="446">
        <v>10</v>
      </c>
      <c r="HZ375" s="1309">
        <v>9</v>
      </c>
      <c r="IA375" s="1309"/>
      <c r="IB375" s="1309"/>
      <c r="IC375" s="1309">
        <v>9</v>
      </c>
      <c r="ID375" s="1309">
        <v>9</v>
      </c>
      <c r="IE375" s="321"/>
      <c r="IF375" s="1310"/>
      <c r="IG375" s="1308"/>
      <c r="IH375" s="321"/>
      <c r="II375" s="321"/>
      <c r="IJ375" s="459">
        <v>10</v>
      </c>
      <c r="IK375" s="1309"/>
      <c r="IL375" s="1309"/>
      <c r="IM375" s="1309"/>
      <c r="IN375" s="321">
        <v>11</v>
      </c>
      <c r="IO375" s="446">
        <v>9</v>
      </c>
      <c r="IP375" s="1309"/>
      <c r="IQ375" s="1309"/>
      <c r="IR375" s="1309"/>
      <c r="IS375" s="446">
        <v>9</v>
      </c>
      <c r="IT375" s="1309"/>
      <c r="IU375" s="321"/>
      <c r="IV375" s="1354"/>
    </row>
    <row r="376" spans="1:256" s="326" customFormat="1" ht="8.25" customHeight="1">
      <c r="A376" s="1308"/>
      <c r="O376" s="321"/>
      <c r="P376" s="1310"/>
      <c r="Q376" s="483"/>
      <c r="R376"/>
      <c r="S376"/>
      <c r="T376"/>
      <c r="U376"/>
      <c r="V376"/>
      <c r="W376"/>
      <c r="X376"/>
      <c r="Y376"/>
      <c r="Z376"/>
      <c r="AA376"/>
      <c r="AB376"/>
      <c r="AC376"/>
      <c r="AD376"/>
      <c r="AE376"/>
      <c r="AF376" s="564"/>
      <c r="AG376" s="483"/>
      <c r="AH376"/>
      <c r="AI376"/>
      <c r="AJ376"/>
      <c r="AK376"/>
      <c r="AL376"/>
      <c r="AM376"/>
      <c r="AN376"/>
      <c r="AO376"/>
      <c r="AP376"/>
      <c r="AQ376"/>
      <c r="AR376"/>
      <c r="AS376"/>
      <c r="AT376"/>
      <c r="AU376"/>
      <c r="AV376" s="564"/>
      <c r="AW376" s="438"/>
      <c r="AX376" s="158"/>
      <c r="AY376" s="158"/>
      <c r="AZ376" s="158"/>
      <c r="BA376" s="158"/>
      <c r="BB376" s="158"/>
      <c r="BC376" s="158"/>
      <c r="BD376" s="158"/>
      <c r="BE376" s="158"/>
      <c r="BF376" s="158"/>
      <c r="BG376" s="158"/>
      <c r="BH376" s="158"/>
      <c r="BI376" s="158"/>
      <c r="BJ376" s="158"/>
      <c r="BK376" s="158"/>
      <c r="BL376" s="161"/>
      <c r="BM376" s="458"/>
      <c r="BN376" s="159"/>
      <c r="BO376" s="159"/>
      <c r="BP376" s="159"/>
      <c r="BQ376" s="159"/>
      <c r="BR376" s="159"/>
      <c r="BS376" s="159"/>
      <c r="BT376" s="159"/>
      <c r="BU376" s="159"/>
      <c r="BV376" s="159"/>
      <c r="BW376" s="159"/>
      <c r="BX376" s="159"/>
      <c r="BY376" s="159"/>
      <c r="BZ376" s="159"/>
      <c r="CA376" s="159"/>
      <c r="CB376" s="158"/>
      <c r="CC376" s="483"/>
      <c r="CD376" s="321"/>
      <c r="CF376" s="321"/>
      <c r="CG376" s="321"/>
      <c r="CH376" s="321"/>
      <c r="CI376" s="421"/>
      <c r="CJ376" s="415"/>
      <c r="CK376" s="415"/>
      <c r="CL376" s="415"/>
      <c r="CM376" s="321"/>
      <c r="CN376" s="321"/>
      <c r="CO376" s="321"/>
      <c r="CQ376" s="321"/>
      <c r="CR376" s="564"/>
      <c r="CS376" s="483"/>
      <c r="CT376" s="321"/>
      <c r="CV376" s="321"/>
      <c r="CW376" s="321"/>
      <c r="CX376" s="321"/>
      <c r="CY376" s="421"/>
      <c r="CZ376" s="415"/>
      <c r="DA376" s="415"/>
      <c r="DB376" s="415"/>
      <c r="DC376" s="321"/>
      <c r="DD376" s="321"/>
      <c r="DE376" s="321"/>
      <c r="DG376" s="321"/>
      <c r="DH376" s="564"/>
      <c r="DI376" s="1341"/>
      <c r="DJ376" s="305"/>
      <c r="DK376" s="433"/>
      <c r="DL376" s="426"/>
      <c r="DM376" s="305"/>
      <c r="DN376" s="426"/>
      <c r="DO376" s="449"/>
      <c r="DP376" s="305"/>
      <c r="DQ376" s="433"/>
      <c r="DR376" s="436"/>
      <c r="DS376" s="426"/>
      <c r="DT376" s="433"/>
      <c r="DU376" s="436"/>
      <c r="DV376" s="433"/>
      <c r="DW376" s="433"/>
      <c r="DX376" s="1349"/>
      <c r="DY376" s="483"/>
      <c r="DZ376" s="321"/>
      <c r="EB376" s="321"/>
      <c r="EC376" s="321"/>
      <c r="ED376" s="321"/>
      <c r="EE376" s="321"/>
      <c r="EF376" s="321"/>
      <c r="EG376" s="321"/>
      <c r="EH376" s="321"/>
      <c r="EI376" s="321"/>
      <c r="EJ376" s="321"/>
      <c r="EM376" s="321"/>
      <c r="EN376" s="564"/>
      <c r="EO376" s="483"/>
      <c r="EP376" s="321"/>
      <c r="ER376" s="321"/>
      <c r="ES376" s="321"/>
      <c r="ET376" s="200"/>
      <c r="EU376" s="201"/>
      <c r="EV376" s="200"/>
      <c r="EW376" s="200"/>
      <c r="EX376" s="200"/>
      <c r="EY376" s="201"/>
      <c r="EZ376" s="200"/>
      <c r="FC376" s="321"/>
      <c r="FD376" s="564"/>
      <c r="FE376" s="483"/>
      <c r="FF376" s="321"/>
      <c r="FH376" s="321"/>
      <c r="FI376" s="321"/>
      <c r="FJ376" s="321"/>
      <c r="FK376" s="321"/>
      <c r="FL376" s="321"/>
      <c r="FM376" s="321"/>
      <c r="FN376" s="321"/>
      <c r="FO376" s="321"/>
      <c r="FP376" s="321"/>
      <c r="FS376" s="321"/>
      <c r="FT376" s="564"/>
      <c r="FU376" s="1308"/>
      <c r="FV376" s="321"/>
      <c r="FW376" s="321"/>
      <c r="FX376" s="321"/>
      <c r="FY376" s="321"/>
      <c r="FZ376" s="321"/>
      <c r="GA376" s="321"/>
      <c r="GB376" s="301">
        <v>9</v>
      </c>
      <c r="GC376" s="321"/>
      <c r="GD376" s="321"/>
      <c r="GE376" s="321"/>
      <c r="GF376" s="321"/>
      <c r="GG376" s="321"/>
      <c r="GH376" s="321"/>
      <c r="GI376" s="321"/>
      <c r="GJ376" s="1310"/>
      <c r="GK376" s="1308"/>
      <c r="GL376" s="1309"/>
      <c r="GM376" s="321"/>
      <c r="GN376" s="321"/>
      <c r="GO376" s="160"/>
      <c r="GP376" s="321">
        <v>8</v>
      </c>
      <c r="GQ376" s="321"/>
      <c r="GR376" s="321"/>
      <c r="GS376" s="321"/>
      <c r="GT376" s="321">
        <v>8</v>
      </c>
      <c r="GU376" s="160"/>
      <c r="GV376" s="321"/>
      <c r="GW376" s="321"/>
      <c r="GX376" s="321"/>
      <c r="GY376" s="321"/>
      <c r="GZ376" s="1310"/>
      <c r="HA376" s="1308"/>
      <c r="HB376" s="321"/>
      <c r="HC376" s="321"/>
      <c r="HD376" s="321"/>
      <c r="HE376" s="321"/>
      <c r="HF376" s="321"/>
      <c r="HG376" s="321"/>
      <c r="HH376" s="290"/>
      <c r="HI376" s="290"/>
      <c r="HJ376" s="321"/>
      <c r="HK376" s="321"/>
      <c r="HL376" s="321"/>
      <c r="HM376" s="321"/>
      <c r="HN376" s="321"/>
      <c r="HO376" s="321"/>
      <c r="HP376" s="1310"/>
      <c r="HQ376" s="1308"/>
      <c r="HR376" s="321"/>
      <c r="HS376" s="321"/>
      <c r="HT376" s="321"/>
      <c r="HU376" s="321"/>
      <c r="HV376" s="321"/>
      <c r="HW376" s="321">
        <v>9</v>
      </c>
      <c r="HX376" s="459"/>
      <c r="HY376" s="459"/>
      <c r="HZ376" s="321">
        <v>9</v>
      </c>
      <c r="IA376" s="321"/>
      <c r="IB376" s="321"/>
      <c r="IC376" s="459">
        <v>11</v>
      </c>
      <c r="ID376" s="321"/>
      <c r="IE376" s="321"/>
      <c r="IF376" s="1310"/>
      <c r="IG376" s="1308"/>
      <c r="IH376" s="321"/>
      <c r="II376" s="321"/>
      <c r="IJ376" s="321"/>
      <c r="IK376" s="321"/>
      <c r="IL376" s="321"/>
      <c r="IM376" s="321"/>
      <c r="IN376" s="420"/>
      <c r="IO376" s="440"/>
      <c r="IP376" s="321"/>
      <c r="IQ376" s="1309"/>
      <c r="IR376" s="1309"/>
      <c r="IS376" s="446">
        <v>9</v>
      </c>
      <c r="IT376" s="321"/>
      <c r="IU376" s="321"/>
      <c r="IV376" s="1354"/>
    </row>
    <row r="377" spans="1:256" s="326" customFormat="1" ht="8.25" customHeight="1">
      <c r="A377" s="483"/>
      <c r="O377" s="321"/>
      <c r="P377" s="564"/>
      <c r="Q377" s="483"/>
      <c r="R377"/>
      <c r="S377"/>
      <c r="T377"/>
      <c r="U377"/>
      <c r="V377"/>
      <c r="W377"/>
      <c r="X377"/>
      <c r="Y377"/>
      <c r="Z377"/>
      <c r="AA377"/>
      <c r="AB377"/>
      <c r="AC377"/>
      <c r="AD377"/>
      <c r="AE377"/>
      <c r="AF377" s="564"/>
      <c r="AG377" s="483"/>
      <c r="AH377"/>
      <c r="AI377"/>
      <c r="AJ377"/>
      <c r="AK377"/>
      <c r="AL377"/>
      <c r="AM377"/>
      <c r="AN377"/>
      <c r="AO377"/>
      <c r="AP377"/>
      <c r="AQ377"/>
      <c r="AR377"/>
      <c r="AS377"/>
      <c r="AT377"/>
      <c r="AU377"/>
      <c r="AV377" s="564"/>
      <c r="AW377" s="438"/>
      <c r="AX377" s="158"/>
      <c r="AY377" s="163"/>
      <c r="AZ377" s="163"/>
      <c r="BA377" s="158"/>
      <c r="BB377" s="162"/>
      <c r="BC377" s="163"/>
      <c r="BD377" s="162"/>
      <c r="BE377" s="163"/>
      <c r="BF377" s="162"/>
      <c r="BG377" s="163"/>
      <c r="BH377" s="162"/>
      <c r="BI377" s="163"/>
      <c r="BJ377" s="162"/>
      <c r="BK377" s="163"/>
      <c r="BL377" s="161"/>
      <c r="BM377" s="458"/>
      <c r="BN377" s="159"/>
      <c r="BO377" s="156"/>
      <c r="BP377" s="156"/>
      <c r="BQ377" s="159"/>
      <c r="BR377" s="167"/>
      <c r="BS377" s="156"/>
      <c r="BT377" s="167"/>
      <c r="BU377" s="156"/>
      <c r="BV377" s="167"/>
      <c r="BW377" s="156"/>
      <c r="BX377" s="167"/>
      <c r="BY377" s="156"/>
      <c r="BZ377" s="167"/>
      <c r="CA377" s="156"/>
      <c r="CB377" s="158"/>
      <c r="CC377" s="483"/>
      <c r="CD377" s="321"/>
      <c r="CF377" s="321"/>
      <c r="CG377" s="321"/>
      <c r="CH377" s="321"/>
      <c r="CI377" s="321"/>
      <c r="CJ377" s="321"/>
      <c r="CK377" s="321"/>
      <c r="CL377" s="321"/>
      <c r="CM377" s="321"/>
      <c r="CN377" s="321"/>
      <c r="CO377" s="321"/>
      <c r="CQ377" s="321"/>
      <c r="CR377" s="564"/>
      <c r="CS377" s="483"/>
      <c r="CT377" s="321"/>
      <c r="CV377" s="321"/>
      <c r="CW377" s="321"/>
      <c r="CX377" s="321"/>
      <c r="CY377" s="321"/>
      <c r="CZ377" s="321"/>
      <c r="DA377" s="321"/>
      <c r="DB377" s="321"/>
      <c r="DC377" s="321"/>
      <c r="DD377" s="321"/>
      <c r="DE377" s="321"/>
      <c r="DG377" s="321"/>
      <c r="DH377" s="564"/>
      <c r="DI377" s="1341"/>
      <c r="DJ377" s="433"/>
      <c r="DK377" s="199"/>
      <c r="DL377" s="426"/>
      <c r="DM377" s="449"/>
      <c r="DN377" s="426"/>
      <c r="DO377" s="449"/>
      <c r="DP377" s="449"/>
      <c r="DQ377" s="433"/>
      <c r="DR377" s="426"/>
      <c r="DS377" s="426"/>
      <c r="DT377" s="433"/>
      <c r="DU377" s="426"/>
      <c r="DV377" s="433"/>
      <c r="DW377" s="449"/>
      <c r="DX377" s="1355"/>
      <c r="DY377" s="200"/>
      <c r="DZ377" s="201"/>
      <c r="EA377" s="200"/>
      <c r="EB377" s="321"/>
      <c r="EC377" s="321"/>
      <c r="ED377" s="321"/>
      <c r="EE377" s="321"/>
      <c r="EF377" s="321"/>
      <c r="EG377" s="321"/>
      <c r="EH377" s="321"/>
      <c r="EI377" s="321"/>
      <c r="EM377" s="201"/>
      <c r="EN377" s="200"/>
      <c r="EO377" s="200"/>
      <c r="EP377" s="201"/>
      <c r="EQ377" s="200"/>
      <c r="ER377" s="321"/>
      <c r="ES377" s="321"/>
      <c r="ET377" s="321"/>
      <c r="EU377" s="321"/>
      <c r="EV377" s="321"/>
      <c r="EW377" s="321"/>
      <c r="EX377" s="321"/>
      <c r="EY377" s="321"/>
      <c r="FC377" s="201"/>
      <c r="FD377" s="200"/>
      <c r="FE377" s="310"/>
      <c r="FF377" s="201"/>
      <c r="FG377" s="310"/>
      <c r="FH377" s="321"/>
      <c r="FI377" s="321"/>
      <c r="FJ377" s="321"/>
      <c r="FK377" s="321"/>
      <c r="FL377" s="321"/>
      <c r="FM377" s="321"/>
      <c r="FN377" s="321"/>
      <c r="FO377" s="321"/>
      <c r="FS377" s="310"/>
      <c r="FT377" s="200"/>
      <c r="FU377" s="1308"/>
      <c r="FV377" s="321"/>
      <c r="FW377" s="321"/>
      <c r="FX377" s="321"/>
      <c r="FY377" s="321"/>
      <c r="FZ377" s="321"/>
      <c r="GA377" s="321"/>
      <c r="GB377" s="297">
        <v>9</v>
      </c>
      <c r="GC377" s="321"/>
      <c r="GD377" s="321"/>
      <c r="GE377" s="321"/>
      <c r="GF377" s="321"/>
      <c r="GG377" s="321"/>
      <c r="GH377" s="321"/>
      <c r="GI377" s="321"/>
      <c r="GJ377" s="1310"/>
      <c r="GK377" s="1308"/>
      <c r="GL377" s="1309"/>
      <c r="GM377" s="321"/>
      <c r="GN377" s="321"/>
      <c r="GO377" s="321"/>
      <c r="GP377" s="298"/>
      <c r="GQ377" s="321"/>
      <c r="GR377" s="321"/>
      <c r="GS377" s="321"/>
      <c r="GT377" s="298"/>
      <c r="GU377" s="321"/>
      <c r="GV377" s="321"/>
      <c r="GW377" s="321"/>
      <c r="GX377" s="321"/>
      <c r="GY377" s="1309"/>
      <c r="GZ377" s="1310"/>
      <c r="HA377" s="1308"/>
      <c r="HB377" s="321"/>
      <c r="HC377" s="321"/>
      <c r="HD377" s="321"/>
      <c r="HE377" s="321"/>
      <c r="HF377" s="321"/>
      <c r="HG377" s="298"/>
      <c r="HH377" s="204"/>
      <c r="HI377" s="204"/>
      <c r="HJ377" s="294"/>
      <c r="HK377" s="321"/>
      <c r="HL377" s="321"/>
      <c r="HM377" s="321"/>
      <c r="HN377" s="321"/>
      <c r="HO377" s="321"/>
      <c r="HP377" s="1310"/>
      <c r="HQ377" s="1308"/>
      <c r="HR377" s="321"/>
      <c r="HS377" s="321"/>
      <c r="HT377" s="446">
        <v>10</v>
      </c>
      <c r="HU377" s="321"/>
      <c r="HV377" s="321"/>
      <c r="HW377" s="426"/>
      <c r="HX377" s="453"/>
      <c r="HY377" s="440"/>
      <c r="HZ377" s="426"/>
      <c r="IA377" s="321"/>
      <c r="IB377" s="321"/>
      <c r="IC377" s="1309">
        <v>9</v>
      </c>
      <c r="ID377" s="321"/>
      <c r="IE377" s="321"/>
      <c r="IF377" s="1310"/>
      <c r="IG377" s="1308"/>
      <c r="IH377" s="321"/>
      <c r="II377" s="321"/>
      <c r="IJ377" s="321"/>
      <c r="IK377" s="321"/>
      <c r="IL377" s="321"/>
      <c r="IM377" s="433"/>
      <c r="IN377" s="440"/>
      <c r="IO377" s="446"/>
      <c r="IP377" s="426"/>
      <c r="IQ377" s="321"/>
      <c r="IR377" s="321"/>
      <c r="IS377" s="321"/>
      <c r="IT377" s="321"/>
      <c r="IU377" s="321"/>
      <c r="IV377" s="1354"/>
    </row>
    <row r="378" spans="1:256" s="326" customFormat="1" ht="8.25" customHeight="1">
      <c r="A378" s="483"/>
      <c r="O378" s="321"/>
      <c r="P378" s="564"/>
      <c r="Q378" s="483"/>
      <c r="R378"/>
      <c r="S378"/>
      <c r="T378"/>
      <c r="U378"/>
      <c r="V378"/>
      <c r="W378"/>
      <c r="X378"/>
      <c r="Y378"/>
      <c r="Z378"/>
      <c r="AA378"/>
      <c r="AB378"/>
      <c r="AC378"/>
      <c r="AD378"/>
      <c r="AE378"/>
      <c r="AF378" s="564"/>
      <c r="AG378" s="483"/>
      <c r="AH378"/>
      <c r="AI378"/>
      <c r="AJ378"/>
      <c r="AK378"/>
      <c r="AL378"/>
      <c r="AM378"/>
      <c r="AN378"/>
      <c r="AO378"/>
      <c r="AP378"/>
      <c r="AQ378"/>
      <c r="AR378"/>
      <c r="AS378"/>
      <c r="AT378"/>
      <c r="AU378"/>
      <c r="AV378" s="564"/>
      <c r="AW378" s="438"/>
      <c r="AX378" s="158"/>
      <c r="AY378" s="162"/>
      <c r="AZ378" s="162"/>
      <c r="BA378" s="158"/>
      <c r="BB378" s="158"/>
      <c r="BC378" s="158"/>
      <c r="BD378" s="158"/>
      <c r="BE378" s="158"/>
      <c r="BF378" s="158"/>
      <c r="BG378" s="158"/>
      <c r="BH378" s="158"/>
      <c r="BI378" s="158"/>
      <c r="BJ378" s="158"/>
      <c r="BK378" s="158"/>
      <c r="BL378" s="161"/>
      <c r="BM378" s="458"/>
      <c r="BN378" s="159"/>
      <c r="BO378" s="167"/>
      <c r="BP378" s="167"/>
      <c r="BQ378" s="159"/>
      <c r="BR378" s="162"/>
      <c r="BS378" s="162"/>
      <c r="BT378" s="162"/>
      <c r="BU378" s="162"/>
      <c r="BV378" s="162"/>
      <c r="BW378" s="162"/>
      <c r="BX378" s="162"/>
      <c r="BY378" s="162"/>
      <c r="BZ378" s="162"/>
      <c r="CA378" s="162"/>
      <c r="CB378" s="158"/>
      <c r="CC378" s="483"/>
      <c r="CD378" s="321"/>
      <c r="CF378" s="321"/>
      <c r="CG378" s="321"/>
      <c r="CH378" s="321"/>
      <c r="CI378" s="321"/>
      <c r="CJ378" s="321"/>
      <c r="CK378" s="321"/>
      <c r="CL378" s="321"/>
      <c r="CM378" s="321"/>
      <c r="CN378" s="321"/>
      <c r="CQ378" s="321"/>
      <c r="CR378" s="564"/>
      <c r="CS378" s="483"/>
      <c r="CT378" s="321"/>
      <c r="CV378" s="321"/>
      <c r="CW378" s="321"/>
      <c r="CX378" s="321"/>
      <c r="CY378" s="321"/>
      <c r="CZ378" s="321"/>
      <c r="DA378" s="321"/>
      <c r="DB378" s="321"/>
      <c r="DC378" s="321"/>
      <c r="DD378" s="321"/>
      <c r="DG378" s="321"/>
      <c r="DH378" s="564"/>
      <c r="DI378" s="305"/>
      <c r="DJ378" s="449"/>
      <c r="DK378" s="449"/>
      <c r="DL378" s="449"/>
      <c r="DM378" s="449"/>
      <c r="DN378" s="449"/>
      <c r="DO378" s="449"/>
      <c r="DP378" s="449"/>
      <c r="DQ378" s="449"/>
      <c r="DR378" s="449"/>
      <c r="DS378" s="449"/>
      <c r="DT378" s="449"/>
      <c r="DU378" s="449"/>
      <c r="DV378" s="449"/>
      <c r="DW378" s="449"/>
      <c r="DX378" s="305"/>
      <c r="DY378" s="201"/>
      <c r="DZ378" s="200"/>
      <c r="EA378" s="201"/>
      <c r="EB378" s="321"/>
      <c r="EC378" s="321"/>
      <c r="ED378" s="321"/>
      <c r="EE378" s="321"/>
      <c r="EF378" s="321"/>
      <c r="EG378" s="321"/>
      <c r="EH378" s="321"/>
      <c r="EI378" s="321"/>
      <c r="EM378" s="200"/>
      <c r="EN378" s="201"/>
      <c r="EO378" s="310"/>
      <c r="EP378" s="200"/>
      <c r="EQ378" s="310"/>
      <c r="ER378" s="321"/>
      <c r="ES378" s="321"/>
      <c r="ET378" s="321"/>
      <c r="EU378" s="321"/>
      <c r="EV378" s="321"/>
      <c r="EW378" s="321"/>
      <c r="EX378" s="321"/>
      <c r="EY378" s="321"/>
      <c r="FC378" s="200"/>
      <c r="FD378" s="310"/>
      <c r="FE378" s="200"/>
      <c r="FF378" s="310"/>
      <c r="FG378" s="200"/>
      <c r="FH378" s="321"/>
      <c r="FI378" s="321"/>
      <c r="FJ378" s="321"/>
      <c r="FK378" s="321"/>
      <c r="FL378" s="321"/>
      <c r="FM378" s="321"/>
      <c r="FN378" s="321"/>
      <c r="FO378" s="321"/>
      <c r="FS378" s="201"/>
      <c r="FT378" s="310"/>
      <c r="FU378" s="1308"/>
      <c r="FV378" s="321"/>
      <c r="FW378" s="321">
        <v>4</v>
      </c>
      <c r="FX378" s="160"/>
      <c r="FY378" s="321"/>
      <c r="FZ378" s="293"/>
      <c r="GA378" s="205"/>
      <c r="GB378" s="205"/>
      <c r="GC378" s="205"/>
      <c r="GD378" s="161"/>
      <c r="GE378" s="321"/>
      <c r="GF378" s="160"/>
      <c r="GG378" s="321">
        <v>4</v>
      </c>
      <c r="GH378" s="321"/>
      <c r="GI378" s="321"/>
      <c r="GJ378" s="1310"/>
      <c r="GK378" s="1308"/>
      <c r="GL378" s="1309"/>
      <c r="GM378" s="321"/>
      <c r="GN378" s="321"/>
      <c r="GO378" s="321"/>
      <c r="GP378" s="321"/>
      <c r="GQ378" s="321"/>
      <c r="GR378" s="321"/>
      <c r="GS378" s="321"/>
      <c r="GT378" s="321"/>
      <c r="GU378" s="321"/>
      <c r="GV378" s="321"/>
      <c r="GW378" s="321"/>
      <c r="GX378" s="321"/>
      <c r="GY378" s="1309"/>
      <c r="GZ378" s="1310"/>
      <c r="HA378" s="1308"/>
      <c r="HB378" s="321"/>
      <c r="HC378" s="321"/>
      <c r="HD378" s="321"/>
      <c r="HE378" s="321"/>
      <c r="HF378" s="321"/>
      <c r="HG378" s="294"/>
      <c r="HH378" s="294"/>
      <c r="HI378" s="294"/>
      <c r="HJ378" s="294"/>
      <c r="HK378" s="321"/>
      <c r="HL378" s="321"/>
      <c r="HM378" s="321"/>
      <c r="HN378" s="321"/>
      <c r="HO378" s="321"/>
      <c r="HP378" s="1310"/>
      <c r="HQ378" s="1308"/>
      <c r="HR378" s="321"/>
      <c r="HS378" s="321"/>
      <c r="HT378" s="321"/>
      <c r="HU378" s="321"/>
      <c r="HV378" s="321"/>
      <c r="HW378" s="422"/>
      <c r="HX378" s="426"/>
      <c r="HY378" s="426"/>
      <c r="HZ378" s="422"/>
      <c r="IA378" s="321"/>
      <c r="IB378" s="321"/>
      <c r="IC378" s="321"/>
      <c r="ID378" s="321"/>
      <c r="IE378" s="321"/>
      <c r="IF378" s="1310"/>
      <c r="IG378" s="1308"/>
      <c r="IH378" s="321"/>
      <c r="II378" s="321"/>
      <c r="IJ378" s="321"/>
      <c r="IK378" s="321"/>
      <c r="IL378" s="321"/>
      <c r="IM378" s="433"/>
      <c r="IN378" s="426"/>
      <c r="IO378" s="426"/>
      <c r="IP378" s="422"/>
      <c r="IQ378" s="321"/>
      <c r="IR378" s="321"/>
      <c r="IS378" s="321"/>
      <c r="IT378" s="321"/>
      <c r="IU378" s="321"/>
      <c r="IV378" s="1354"/>
    </row>
    <row r="379" spans="1:256" s="326" customFormat="1" ht="8.25" customHeight="1">
      <c r="A379" s="483"/>
      <c r="O379" s="321"/>
      <c r="P379" s="564"/>
      <c r="Q379" s="483"/>
      <c r="R379"/>
      <c r="S379"/>
      <c r="T379"/>
      <c r="U379"/>
      <c r="V379"/>
      <c r="W379"/>
      <c r="X379"/>
      <c r="Y379"/>
      <c r="Z379"/>
      <c r="AA379"/>
      <c r="AB379"/>
      <c r="AC379"/>
      <c r="AD379"/>
      <c r="AE379"/>
      <c r="AF379" s="564"/>
      <c r="AG379" s="483"/>
      <c r="AH379"/>
      <c r="AI379"/>
      <c r="AJ379"/>
      <c r="AK379"/>
      <c r="AL379"/>
      <c r="AM379"/>
      <c r="AN379"/>
      <c r="AO379"/>
      <c r="AP379"/>
      <c r="AQ379"/>
      <c r="AR379"/>
      <c r="AS379"/>
      <c r="AT379"/>
      <c r="AU379"/>
      <c r="AV379" s="564"/>
      <c r="AW379" s="438"/>
      <c r="AX379" s="158"/>
      <c r="AY379" s="163"/>
      <c r="AZ379" s="163"/>
      <c r="BA379" s="158"/>
      <c r="BB379" s="162"/>
      <c r="BC379" s="163"/>
      <c r="BD379" s="162"/>
      <c r="BE379" s="163"/>
      <c r="BF379" s="162"/>
      <c r="BG379" s="163"/>
      <c r="BH379" s="162"/>
      <c r="BI379" s="163"/>
      <c r="BJ379" s="162"/>
      <c r="BK379" s="163"/>
      <c r="BL379" s="161"/>
      <c r="BM379" s="458"/>
      <c r="BN379" s="159"/>
      <c r="BO379" s="162"/>
      <c r="BP379" s="162"/>
      <c r="BQ379" s="159"/>
      <c r="BR379" s="167"/>
      <c r="BS379" s="162"/>
      <c r="BT379" s="167"/>
      <c r="BU379" s="162"/>
      <c r="BV379" s="167"/>
      <c r="BW379" s="162"/>
      <c r="BX379" s="167"/>
      <c r="BY379" s="162"/>
      <c r="BZ379" s="167"/>
      <c r="CA379" s="162"/>
      <c r="CB379" s="158"/>
      <c r="CC379" s="483"/>
      <c r="CD379" s="321"/>
      <c r="CE379" s="321"/>
      <c r="CF379" s="321"/>
      <c r="CG379" s="321"/>
      <c r="CH379" s="321"/>
      <c r="CI379" s="321"/>
      <c r="CJ379" s="321"/>
      <c r="CK379" s="321"/>
      <c r="CL379" s="321"/>
      <c r="CM379" s="321"/>
      <c r="CN379" s="321"/>
      <c r="CQ379" s="321"/>
      <c r="CR379" s="564"/>
      <c r="CS379" s="483"/>
      <c r="CT379" s="321"/>
      <c r="CU379" s="321"/>
      <c r="CV379" s="321"/>
      <c r="CW379" s="321"/>
      <c r="CX379" s="321"/>
      <c r="CY379" s="321"/>
      <c r="CZ379" s="321"/>
      <c r="DA379" s="321"/>
      <c r="DB379" s="321"/>
      <c r="DC379" s="321"/>
      <c r="DD379" s="321"/>
      <c r="DG379" s="321"/>
      <c r="DH379" s="564"/>
      <c r="DI379" s="305"/>
      <c r="DJ379" s="449"/>
      <c r="DK379" s="449"/>
      <c r="DL379" s="449"/>
      <c r="DM379" s="449"/>
      <c r="DN379" s="449"/>
      <c r="DO379" s="449"/>
      <c r="DP379" s="449"/>
      <c r="DQ379" s="449"/>
      <c r="DR379" s="449"/>
      <c r="DS379" s="449"/>
      <c r="DT379" s="449"/>
      <c r="DU379" s="449"/>
      <c r="DV379" s="449"/>
      <c r="DW379" s="449"/>
      <c r="DX379" s="305"/>
      <c r="DY379" s="200"/>
      <c r="DZ379" s="201"/>
      <c r="EA379" s="200"/>
      <c r="EB379" s="321"/>
      <c r="EC379" s="321"/>
      <c r="ED379" s="321"/>
      <c r="EE379" s="321"/>
      <c r="EF379" s="321"/>
      <c r="EG379" s="321"/>
      <c r="EH379" s="321"/>
      <c r="EI379" s="321"/>
      <c r="EM379" s="201"/>
      <c r="EN379" s="200"/>
      <c r="EO379" s="200"/>
      <c r="EP379" s="201"/>
      <c r="EQ379" s="200"/>
      <c r="ER379" s="321"/>
      <c r="ES379" s="321"/>
      <c r="ET379" s="321"/>
      <c r="EU379" s="321"/>
      <c r="EV379" s="321"/>
      <c r="EW379" s="321"/>
      <c r="EX379" s="321"/>
      <c r="EY379" s="321"/>
      <c r="FC379" s="201"/>
      <c r="FD379" s="200"/>
      <c r="FE379" s="310"/>
      <c r="FF379" s="201"/>
      <c r="FG379" s="310"/>
      <c r="FH379" s="321"/>
      <c r="FI379" s="321"/>
      <c r="FJ379" s="321"/>
      <c r="FK379" s="321"/>
      <c r="FL379" s="321"/>
      <c r="FM379" s="321"/>
      <c r="FN379" s="321"/>
      <c r="FO379" s="321"/>
      <c r="FS379" s="200"/>
      <c r="FT379" s="200"/>
      <c r="FU379" s="1308"/>
      <c r="FV379" s="321"/>
      <c r="FW379" s="160"/>
      <c r="FX379" s="321"/>
      <c r="FY379" s="292"/>
      <c r="FZ379" s="160"/>
      <c r="GA379" s="160"/>
      <c r="GB379" s="160"/>
      <c r="GC379" s="160"/>
      <c r="GD379" s="160"/>
      <c r="GE379" s="161"/>
      <c r="GF379" s="321"/>
      <c r="GG379" s="160"/>
      <c r="GH379" s="321"/>
      <c r="GI379" s="321"/>
      <c r="GJ379" s="1310"/>
      <c r="GK379" s="1308"/>
      <c r="GL379" s="1309"/>
      <c r="GM379" s="321"/>
      <c r="GN379" s="321"/>
      <c r="GO379" s="321"/>
      <c r="GP379" s="321"/>
      <c r="GQ379" s="321"/>
      <c r="GR379" s="321"/>
      <c r="GS379" s="321"/>
      <c r="GT379" s="321"/>
      <c r="GU379" s="321"/>
      <c r="GV379" s="321"/>
      <c r="GW379" s="321"/>
      <c r="GX379" s="321"/>
      <c r="GY379" s="1309"/>
      <c r="GZ379" s="1310"/>
      <c r="HA379" s="1308"/>
      <c r="HB379" s="321"/>
      <c r="HC379" s="321"/>
      <c r="HD379" s="321"/>
      <c r="HE379" s="321"/>
      <c r="HF379" s="294"/>
      <c r="HG379" s="298"/>
      <c r="HH379" s="290"/>
      <c r="HI379" s="294"/>
      <c r="HJ379" s="291"/>
      <c r="HK379" s="294"/>
      <c r="HL379" s="321"/>
      <c r="HM379" s="321"/>
      <c r="HN379" s="321"/>
      <c r="HO379" s="321"/>
      <c r="HP379" s="1310"/>
      <c r="HQ379" s="1308"/>
      <c r="HR379" s="321"/>
      <c r="HS379" s="321"/>
      <c r="HT379" s="321"/>
      <c r="HU379" s="321"/>
      <c r="HV379" s="426"/>
      <c r="HW379" s="433"/>
      <c r="HX379" s="422"/>
      <c r="HY379" s="422"/>
      <c r="HZ379" s="420"/>
      <c r="IA379" s="426"/>
      <c r="IB379" s="321"/>
      <c r="IC379" s="321"/>
      <c r="ID379" s="321"/>
      <c r="IE379" s="321"/>
      <c r="IF379" s="1310"/>
      <c r="IG379" s="1308"/>
      <c r="IH379" s="321"/>
      <c r="II379" s="321"/>
      <c r="IJ379" s="321"/>
      <c r="IK379" s="321"/>
      <c r="IL379" s="433"/>
      <c r="IM379" s="426"/>
      <c r="IN379" s="422"/>
      <c r="IO379" s="433"/>
      <c r="IP379" s="420"/>
      <c r="IQ379" s="426"/>
      <c r="IR379" s="321"/>
      <c r="IS379" s="321"/>
      <c r="IT379" s="321"/>
      <c r="IU379" s="321"/>
      <c r="IV379" s="1354"/>
    </row>
    <row r="380" spans="1:256" s="326" customFormat="1" ht="8.25" customHeight="1">
      <c r="A380" s="483"/>
      <c r="O380" s="321"/>
      <c r="P380" s="564"/>
      <c r="Q380" s="483"/>
      <c r="R380"/>
      <c r="S380"/>
      <c r="T380"/>
      <c r="U380"/>
      <c r="V380"/>
      <c r="W380"/>
      <c r="X380"/>
      <c r="Y380"/>
      <c r="Z380"/>
      <c r="AA380"/>
      <c r="AB380"/>
      <c r="AC380"/>
      <c r="AD380"/>
      <c r="AE380"/>
      <c r="AF380" s="564"/>
      <c r="AG380" s="483"/>
      <c r="AH380"/>
      <c r="AI380"/>
      <c r="AJ380"/>
      <c r="AK380"/>
      <c r="AL380"/>
      <c r="AM380"/>
      <c r="AN380"/>
      <c r="AO380"/>
      <c r="AP380"/>
      <c r="AQ380"/>
      <c r="AR380"/>
      <c r="AS380"/>
      <c r="AT380"/>
      <c r="AU380"/>
      <c r="AV380" s="564"/>
      <c r="AW380" s="412"/>
      <c r="AX380" s="161"/>
      <c r="AY380" s="161"/>
      <c r="AZ380" s="161"/>
      <c r="BA380" s="161"/>
      <c r="BB380" s="161"/>
      <c r="BC380" s="161"/>
      <c r="BD380" s="161"/>
      <c r="BE380" s="161"/>
      <c r="BF380" s="161"/>
      <c r="BG380" s="161"/>
      <c r="BH380" s="161"/>
      <c r="BI380" s="161"/>
      <c r="BJ380" s="161"/>
      <c r="BK380" s="161"/>
      <c r="BL380" s="161"/>
      <c r="BM380" s="445"/>
      <c r="BN380" s="162"/>
      <c r="BO380" s="162"/>
      <c r="BP380" s="162"/>
      <c r="BQ380" s="162"/>
      <c r="BR380" s="158"/>
      <c r="BS380" s="158"/>
      <c r="BT380" s="158"/>
      <c r="BU380" s="158"/>
      <c r="BV380" s="158"/>
      <c r="BW380" s="158"/>
      <c r="BX380" s="158"/>
      <c r="BY380" s="158"/>
      <c r="BZ380" s="158"/>
      <c r="CA380" s="158"/>
      <c r="CB380" s="163"/>
      <c r="CC380" s="483"/>
      <c r="CD380" s="321"/>
      <c r="CE380" s="321"/>
      <c r="CF380" s="321"/>
      <c r="CG380" s="321"/>
      <c r="CH380" s="321"/>
      <c r="CI380" s="321"/>
      <c r="CJ380" s="321"/>
      <c r="CK380" s="321"/>
      <c r="CL380" s="321"/>
      <c r="CM380" s="321"/>
      <c r="CN380" s="321"/>
      <c r="CO380" s="321"/>
      <c r="CP380" s="321"/>
      <c r="CQ380" s="321"/>
      <c r="CR380" s="564"/>
      <c r="CS380" s="483"/>
      <c r="CT380" s="321"/>
      <c r="CU380" s="321"/>
      <c r="CV380" s="321"/>
      <c r="CW380" s="321"/>
      <c r="CX380" s="321"/>
      <c r="CY380" s="321"/>
      <c r="CZ380" s="321"/>
      <c r="DA380" s="321"/>
      <c r="DB380" s="321"/>
      <c r="DC380" s="321"/>
      <c r="DD380" s="321"/>
      <c r="DE380" s="321"/>
      <c r="DF380" s="321"/>
      <c r="DG380" s="321"/>
      <c r="DH380" s="564"/>
      <c r="DI380" s="868"/>
      <c r="DJ380" s="436"/>
      <c r="DK380" s="305"/>
      <c r="DL380" s="160"/>
      <c r="DM380" s="205"/>
      <c r="DN380" s="436"/>
      <c r="DO380" s="305"/>
      <c r="DP380" s="160"/>
      <c r="DQ380" s="205"/>
      <c r="DR380" s="436"/>
      <c r="DS380" s="305"/>
      <c r="DT380" s="160"/>
      <c r="DU380" s="205"/>
      <c r="DV380" s="436"/>
      <c r="DW380" s="305"/>
      <c r="DX380" s="873"/>
      <c r="DY380" s="201"/>
      <c r="DZ380" s="200"/>
      <c r="EA380" s="201"/>
      <c r="EB380" s="321"/>
      <c r="EC380" s="321"/>
      <c r="ED380" s="321"/>
      <c r="EE380" s="321"/>
      <c r="EF380" s="321"/>
      <c r="EG380" s="321"/>
      <c r="EH380" s="321"/>
      <c r="EI380" s="321"/>
      <c r="EJ380" s="321"/>
      <c r="EK380" s="321"/>
      <c r="EM380" s="200"/>
      <c r="EN380" s="201"/>
      <c r="EO380" s="310"/>
      <c r="EP380" s="200"/>
      <c r="EQ380" s="310"/>
      <c r="ER380" s="321"/>
      <c r="ES380" s="321"/>
      <c r="ET380" s="321"/>
      <c r="EU380" s="321"/>
      <c r="EV380" s="321"/>
      <c r="EW380" s="321"/>
      <c r="EX380" s="321"/>
      <c r="EY380" s="321"/>
      <c r="EZ380" s="321"/>
      <c r="FA380" s="321"/>
      <c r="FC380" s="200"/>
      <c r="FD380" s="310"/>
      <c r="FE380" s="200"/>
      <c r="FF380" s="310"/>
      <c r="FG380" s="200"/>
      <c r="FH380" s="321"/>
      <c r="FI380" s="321"/>
      <c r="FJ380" s="321"/>
      <c r="FK380" s="321"/>
      <c r="FL380" s="321"/>
      <c r="FM380" s="321"/>
      <c r="FN380" s="321"/>
      <c r="FO380" s="321"/>
      <c r="FP380" s="321"/>
      <c r="FQ380" s="321"/>
      <c r="FS380" s="201"/>
      <c r="FT380" s="310"/>
      <c r="FU380" s="1308"/>
      <c r="FV380" s="321"/>
      <c r="FW380" s="160"/>
      <c r="FX380" s="321"/>
      <c r="FY380" s="160"/>
      <c r="FZ380" s="291"/>
      <c r="GA380" s="290"/>
      <c r="GB380" s="160"/>
      <c r="GC380" s="290"/>
      <c r="GD380" s="291"/>
      <c r="GE380" s="160"/>
      <c r="GF380" s="321"/>
      <c r="GG380" s="160"/>
      <c r="GH380" s="321"/>
      <c r="GI380" s="321"/>
      <c r="GJ380" s="1310"/>
      <c r="GK380" s="1308"/>
      <c r="GL380" s="1309"/>
      <c r="GM380" s="321"/>
      <c r="GN380" s="321"/>
      <c r="GO380" s="321"/>
      <c r="GP380" s="321"/>
      <c r="GQ380" s="321"/>
      <c r="GR380" s="321"/>
      <c r="GS380" s="321"/>
      <c r="GT380" s="321"/>
      <c r="GU380" s="321"/>
      <c r="GV380" s="321"/>
      <c r="GW380" s="321"/>
      <c r="GX380" s="321"/>
      <c r="GY380" s="1309"/>
      <c r="GZ380" s="1310"/>
      <c r="HA380" s="1308"/>
      <c r="HB380" s="321"/>
      <c r="HC380" s="321"/>
      <c r="HD380" s="321"/>
      <c r="HE380" s="321"/>
      <c r="HF380" s="294"/>
      <c r="HG380" s="294"/>
      <c r="HH380" s="290"/>
      <c r="HI380" s="290"/>
      <c r="HJ380" s="291"/>
      <c r="HK380" s="291"/>
      <c r="HL380" s="321"/>
      <c r="HM380" s="321"/>
      <c r="HN380" s="321"/>
      <c r="HO380" s="321"/>
      <c r="HP380" s="1310"/>
      <c r="HQ380" s="1308"/>
      <c r="HR380" s="321"/>
      <c r="HS380" s="321"/>
      <c r="HT380" s="321"/>
      <c r="HU380" s="321"/>
      <c r="HV380" s="422"/>
      <c r="HW380" s="422"/>
      <c r="HX380" s="417"/>
      <c r="HY380" s="422"/>
      <c r="HZ380" s="420"/>
      <c r="IA380" s="420"/>
      <c r="IB380" s="321"/>
      <c r="IC380" s="321"/>
      <c r="ID380" s="321"/>
      <c r="IE380" s="321"/>
      <c r="IF380" s="1310"/>
      <c r="IG380" s="1308"/>
      <c r="IH380" s="321"/>
      <c r="II380" s="321"/>
      <c r="IJ380" s="321"/>
      <c r="IK380" s="321"/>
      <c r="IL380" s="426"/>
      <c r="IM380" s="422"/>
      <c r="IN380" s="422"/>
      <c r="IO380" s="426"/>
      <c r="IP380" s="420"/>
      <c r="IQ380" s="420"/>
      <c r="IR380" s="321"/>
      <c r="IS380" s="321"/>
      <c r="IT380" s="321"/>
      <c r="IU380" s="321"/>
      <c r="IV380" s="1354"/>
    </row>
    <row r="381" spans="1:256" s="326" customFormat="1" ht="8.25" customHeight="1">
      <c r="A381" s="483"/>
      <c r="M381" s="321"/>
      <c r="N381" s="321"/>
      <c r="O381" s="321"/>
      <c r="P381" s="564"/>
      <c r="Q381" s="483"/>
      <c r="R381"/>
      <c r="S381"/>
      <c r="T381"/>
      <c r="U381"/>
      <c r="V381"/>
      <c r="W381"/>
      <c r="X381"/>
      <c r="Y381"/>
      <c r="Z381"/>
      <c r="AA381"/>
      <c r="AB381"/>
      <c r="AC381"/>
      <c r="AD381"/>
      <c r="AE381"/>
      <c r="AF381" s="564"/>
      <c r="AG381" s="483"/>
      <c r="AH381"/>
      <c r="AI381"/>
      <c r="AJ381"/>
      <c r="AK381"/>
      <c r="AL381"/>
      <c r="AM381"/>
      <c r="AN381"/>
      <c r="AO381"/>
      <c r="AP381"/>
      <c r="AQ381"/>
      <c r="AR381"/>
      <c r="AS381"/>
      <c r="AT381"/>
      <c r="AU381"/>
      <c r="AV381" s="564"/>
      <c r="AW381" s="483"/>
      <c r="AX381" s="321"/>
      <c r="AY381" s="321"/>
      <c r="AZ381" s="321"/>
      <c r="BA381" s="321"/>
      <c r="BB381" s="321"/>
      <c r="BC381" s="321"/>
      <c r="BD381" s="321"/>
      <c r="BE381" s="321"/>
      <c r="BF381" s="321"/>
      <c r="BG381" s="321"/>
      <c r="BH381" s="321"/>
      <c r="BI381" s="321"/>
      <c r="BJ381" s="321"/>
      <c r="BK381" s="321"/>
      <c r="BL381" s="564"/>
      <c r="BM381" s="483"/>
      <c r="BN381" s="321"/>
      <c r="BO381" s="321"/>
      <c r="BP381" s="321"/>
      <c r="BQ381" s="321"/>
      <c r="BR381" s="321"/>
      <c r="BS381" s="321"/>
      <c r="BT381" s="321"/>
      <c r="BU381" s="321"/>
      <c r="BV381" s="321"/>
      <c r="BW381" s="321"/>
      <c r="BX381" s="321"/>
      <c r="BY381" s="321"/>
      <c r="BZ381" s="321"/>
      <c r="CA381" s="321"/>
      <c r="CB381" s="564"/>
      <c r="CC381" s="483"/>
      <c r="CD381" s="321"/>
      <c r="CE381" s="321"/>
      <c r="CF381" s="321"/>
      <c r="CG381" s="321"/>
      <c r="CH381" s="321"/>
      <c r="CI381" s="321"/>
      <c r="CJ381" s="321"/>
      <c r="CK381" s="321"/>
      <c r="CL381" s="321"/>
      <c r="CM381" s="321"/>
      <c r="CN381" s="321"/>
      <c r="CO381" s="321"/>
      <c r="CP381" s="321"/>
      <c r="CQ381" s="321"/>
      <c r="CR381" s="564"/>
      <c r="CS381" s="483"/>
      <c r="CT381" s="321"/>
      <c r="CU381" s="321"/>
      <c r="CV381" s="321"/>
      <c r="CW381" s="321"/>
      <c r="CX381" s="321"/>
      <c r="CY381" s="321"/>
      <c r="CZ381" s="321"/>
      <c r="DA381" s="321"/>
      <c r="DB381" s="321"/>
      <c r="DC381" s="321"/>
      <c r="DD381" s="321"/>
      <c r="DE381" s="321"/>
      <c r="DF381" s="321"/>
      <c r="DG381" s="321"/>
      <c r="DH381" s="564"/>
      <c r="DI381" s="1352"/>
      <c r="DJ381" s="305"/>
      <c r="DK381" s="160"/>
      <c r="DL381" s="205"/>
      <c r="DM381" s="436"/>
      <c r="DN381" s="305"/>
      <c r="DO381" s="160"/>
      <c r="DP381" s="205"/>
      <c r="DQ381" s="436"/>
      <c r="DR381" s="305"/>
      <c r="DS381" s="160"/>
      <c r="DT381" s="205"/>
      <c r="DU381" s="436"/>
      <c r="DV381" s="305"/>
      <c r="DW381" s="160"/>
      <c r="DX381" s="1353"/>
      <c r="DY381" s="200"/>
      <c r="DZ381" s="201"/>
      <c r="EA381" s="200"/>
      <c r="EB381" s="321"/>
      <c r="EC381" s="321"/>
      <c r="ED381" s="321"/>
      <c r="EE381" s="321"/>
      <c r="EF381" s="321"/>
      <c r="EG381" s="321"/>
      <c r="EH381" s="321"/>
      <c r="EI381" s="321"/>
      <c r="EJ381" s="321"/>
      <c r="EK381" s="321"/>
      <c r="EM381" s="201"/>
      <c r="EN381" s="200"/>
      <c r="EO381" s="200"/>
      <c r="EP381" s="201"/>
      <c r="EQ381" s="200"/>
      <c r="ER381" s="321"/>
      <c r="ES381" s="321"/>
      <c r="ET381" s="321"/>
      <c r="EU381" s="321"/>
      <c r="EV381" s="321"/>
      <c r="EW381" s="321"/>
      <c r="EX381" s="321"/>
      <c r="EY381" s="321"/>
      <c r="EZ381" s="321"/>
      <c r="FA381" s="321"/>
      <c r="FC381" s="201"/>
      <c r="FD381" s="200"/>
      <c r="FE381" s="310"/>
      <c r="FF381" s="201"/>
      <c r="FG381" s="310"/>
      <c r="FH381" s="321"/>
      <c r="FI381" s="321"/>
      <c r="FJ381" s="321"/>
      <c r="FK381" s="321"/>
      <c r="FL381" s="321"/>
      <c r="FM381" s="321"/>
      <c r="FN381" s="321"/>
      <c r="FO381" s="321"/>
      <c r="FP381" s="321"/>
      <c r="FQ381" s="321"/>
      <c r="FS381" s="310"/>
      <c r="FT381" s="200"/>
      <c r="FU381" s="1308"/>
      <c r="FV381" s="321"/>
      <c r="FW381" s="321"/>
      <c r="FX381" s="321"/>
      <c r="FY381" s="321"/>
      <c r="FZ381" s="292"/>
      <c r="GA381" s="205"/>
      <c r="GB381" s="205"/>
      <c r="GC381" s="205"/>
      <c r="GD381" s="291"/>
      <c r="GE381" s="321"/>
      <c r="GF381" s="321"/>
      <c r="GG381" s="321"/>
      <c r="GH381" s="321"/>
      <c r="GI381" s="321"/>
      <c r="GJ381" s="1310"/>
      <c r="GK381" s="1308"/>
      <c r="GL381" s="1309"/>
      <c r="GM381" s="321"/>
      <c r="GN381" s="321"/>
      <c r="GO381" s="321"/>
      <c r="GP381" s="321"/>
      <c r="GQ381" s="321"/>
      <c r="GR381" s="321"/>
      <c r="GS381" s="321"/>
      <c r="GT381" s="321"/>
      <c r="GU381" s="321"/>
      <c r="GV381" s="321"/>
      <c r="GW381" s="321"/>
      <c r="GX381" s="321"/>
      <c r="GY381" s="1309"/>
      <c r="GZ381" s="1310"/>
      <c r="HA381" s="1308"/>
      <c r="HB381" s="321"/>
      <c r="HC381" s="321"/>
      <c r="HD381" s="321"/>
      <c r="HE381" s="294"/>
      <c r="HF381" s="298"/>
      <c r="HG381" s="290"/>
      <c r="HH381" s="294"/>
      <c r="HI381" s="290"/>
      <c r="HJ381" s="294"/>
      <c r="HK381" s="291"/>
      <c r="HL381" s="294"/>
      <c r="HM381" s="321"/>
      <c r="HN381" s="321"/>
      <c r="HO381" s="321"/>
      <c r="HP381" s="1310"/>
      <c r="HQ381" s="1308"/>
      <c r="HR381" s="321"/>
      <c r="HS381" s="321"/>
      <c r="HT381" s="321"/>
      <c r="HU381" s="426"/>
      <c r="HV381" s="433"/>
      <c r="HW381" s="417"/>
      <c r="HX381" s="426"/>
      <c r="HY381" s="417"/>
      <c r="HZ381" s="426"/>
      <c r="IA381" s="420"/>
      <c r="IB381" s="426"/>
      <c r="IC381" s="321"/>
      <c r="ID381" s="321"/>
      <c r="IE381" s="321"/>
      <c r="IF381" s="1310"/>
      <c r="IG381" s="1308"/>
      <c r="IH381" s="321"/>
      <c r="II381" s="321"/>
      <c r="IJ381" s="321"/>
      <c r="IK381" s="433"/>
      <c r="IL381" s="433"/>
      <c r="IM381" s="422"/>
      <c r="IN381" s="426"/>
      <c r="IO381" s="422"/>
      <c r="IP381" s="426"/>
      <c r="IQ381" s="420"/>
      <c r="IR381" s="426"/>
      <c r="IS381" s="321"/>
      <c r="IT381" s="321"/>
      <c r="IU381" s="321"/>
      <c r="IV381" s="1354"/>
    </row>
    <row r="382" spans="1:256" s="326" customFormat="1" ht="8.25" customHeight="1">
      <c r="A382" s="483"/>
      <c r="B382" s="431"/>
      <c r="C382" s="321"/>
      <c r="D382" s="321"/>
      <c r="E382" s="321"/>
      <c r="F382" s="321"/>
      <c r="G382" s="321"/>
      <c r="H382" s="321"/>
      <c r="I382" s="321"/>
      <c r="J382" s="321"/>
      <c r="K382" s="321"/>
      <c r="L382" s="321"/>
      <c r="M382" s="321"/>
      <c r="N382" s="321"/>
      <c r="O382" s="321"/>
      <c r="P382" s="564"/>
      <c r="Q382" s="483"/>
      <c r="R382"/>
      <c r="S382"/>
      <c r="T382"/>
      <c r="U382"/>
      <c r="V382"/>
      <c r="W382"/>
      <c r="X382"/>
      <c r="Y382"/>
      <c r="Z382"/>
      <c r="AA382"/>
      <c r="AB382"/>
      <c r="AC382"/>
      <c r="AD382"/>
      <c r="AE382"/>
      <c r="AF382" s="564"/>
      <c r="AG382" s="483"/>
      <c r="AH382"/>
      <c r="AI382"/>
      <c r="AJ382"/>
      <c r="AK382"/>
      <c r="AL382"/>
      <c r="AM382"/>
      <c r="AN382"/>
      <c r="AO382"/>
      <c r="AP382"/>
      <c r="AQ382"/>
      <c r="AR382"/>
      <c r="AS382"/>
      <c r="AT382"/>
      <c r="AU382"/>
      <c r="AV382" s="564"/>
      <c r="AW382" s="483"/>
      <c r="AX382" s="321"/>
      <c r="AY382" s="321"/>
      <c r="AZ382" s="321"/>
      <c r="BA382" s="321"/>
      <c r="BB382" s="321"/>
      <c r="BC382" s="321"/>
      <c r="BD382" s="321"/>
      <c r="BE382" s="321"/>
      <c r="BF382" s="321"/>
      <c r="BG382" s="321"/>
      <c r="BH382" s="321"/>
      <c r="BI382" s="321"/>
      <c r="BJ382" s="321"/>
      <c r="BK382" s="321"/>
      <c r="BL382" s="564"/>
      <c r="BM382" s="483"/>
      <c r="BN382" s="321"/>
      <c r="BO382" s="321"/>
      <c r="BP382" s="321"/>
      <c r="BQ382" s="321"/>
      <c r="BR382" s="321"/>
      <c r="BS382" s="321"/>
      <c r="BT382" s="321"/>
      <c r="BU382" s="321"/>
      <c r="BV382" s="321"/>
      <c r="BW382" s="321"/>
      <c r="BX382" s="321"/>
      <c r="BY382" s="321"/>
      <c r="BZ382" s="321"/>
      <c r="CA382" s="321"/>
      <c r="CB382" s="564"/>
      <c r="CC382" s="483"/>
      <c r="CD382" s="321"/>
      <c r="CE382" s="321"/>
      <c r="CF382" s="321"/>
      <c r="CG382" s="321"/>
      <c r="CH382" s="321"/>
      <c r="CI382" s="321"/>
      <c r="CJ382" s="321"/>
      <c r="CK382" s="321"/>
      <c r="CL382" s="321"/>
      <c r="CM382" s="321"/>
      <c r="CN382" s="321"/>
      <c r="CO382" s="321"/>
      <c r="CP382" s="321"/>
      <c r="CQ382" s="321"/>
      <c r="CR382" s="564"/>
      <c r="CS382" s="483"/>
      <c r="CT382" s="321"/>
      <c r="CU382" s="321"/>
      <c r="CV382" s="321"/>
      <c r="CW382" s="321"/>
      <c r="CX382" s="321"/>
      <c r="CY382" s="321"/>
      <c r="CZ382" s="321"/>
      <c r="DA382" s="321"/>
      <c r="DB382" s="321"/>
      <c r="DC382" s="321"/>
      <c r="DD382" s="321"/>
      <c r="DE382" s="321"/>
      <c r="DF382" s="321"/>
      <c r="DG382" s="321"/>
      <c r="DH382" s="564"/>
      <c r="DI382" s="710"/>
      <c r="DJ382" s="160"/>
      <c r="DK382" s="205"/>
      <c r="DL382" s="436"/>
      <c r="DM382" s="305"/>
      <c r="DN382" s="160"/>
      <c r="DO382" s="205"/>
      <c r="DP382" s="436"/>
      <c r="DQ382" s="305"/>
      <c r="DR382" s="160"/>
      <c r="DS382" s="205"/>
      <c r="DT382" s="436"/>
      <c r="DU382" s="305"/>
      <c r="DV382" s="160"/>
      <c r="DW382" s="160"/>
      <c r="DX382" s="1349"/>
      <c r="DY382" s="483"/>
      <c r="DZ382" s="321"/>
      <c r="EA382" s="321"/>
      <c r="EB382" s="321"/>
      <c r="EC382" s="321"/>
      <c r="ED382" s="321"/>
      <c r="EE382" s="321"/>
      <c r="EF382" s="321"/>
      <c r="EG382" s="321"/>
      <c r="EH382" s="321"/>
      <c r="EI382" s="321"/>
      <c r="EJ382" s="321"/>
      <c r="EK382" s="321"/>
      <c r="EL382" s="321"/>
      <c r="EM382" s="321"/>
      <c r="EN382" s="564"/>
      <c r="EO382" s="483"/>
      <c r="EP382" s="321"/>
      <c r="EQ382" s="321"/>
      <c r="ER382" s="321"/>
      <c r="ES382" s="321"/>
      <c r="ET382" s="321"/>
      <c r="EU382" s="321"/>
      <c r="EV382" s="321"/>
      <c r="EW382" s="321"/>
      <c r="EX382" s="321"/>
      <c r="EY382" s="321"/>
      <c r="EZ382" s="321"/>
      <c r="FA382" s="321"/>
      <c r="FB382" s="321"/>
      <c r="FC382" s="321"/>
      <c r="FD382" s="564"/>
      <c r="FE382" s="483"/>
      <c r="FF382" s="321"/>
      <c r="FG382" s="321"/>
      <c r="FH382" s="321"/>
      <c r="FI382" s="321"/>
      <c r="FJ382" s="321"/>
      <c r="FK382" s="321"/>
      <c r="FL382" s="321"/>
      <c r="FM382" s="321"/>
      <c r="FN382" s="321"/>
      <c r="FO382" s="321"/>
      <c r="FP382" s="321"/>
      <c r="FQ382" s="321"/>
      <c r="FR382" s="321"/>
      <c r="FS382" s="321"/>
      <c r="FT382" s="564"/>
      <c r="FU382" s="1308"/>
      <c r="FV382" s="321"/>
      <c r="FW382" s="321"/>
      <c r="FX382" s="321"/>
      <c r="FY382" s="160"/>
      <c r="FZ382" s="321"/>
      <c r="GA382" s="204"/>
      <c r="GB382" s="205"/>
      <c r="GC382" s="204"/>
      <c r="GD382" s="321"/>
      <c r="GE382" s="160"/>
      <c r="GF382" s="321"/>
      <c r="GG382" s="321"/>
      <c r="GH382" s="321"/>
      <c r="GI382" s="321"/>
      <c r="GJ382" s="1310"/>
      <c r="GK382" s="1308"/>
      <c r="GL382" s="1309"/>
      <c r="GM382" s="321"/>
      <c r="GN382" s="321"/>
      <c r="GO382" s="321"/>
      <c r="GP382" s="321"/>
      <c r="GQ382" s="321"/>
      <c r="GR382" s="321"/>
      <c r="GS382" s="321"/>
      <c r="GT382" s="321"/>
      <c r="GU382" s="321"/>
      <c r="GV382" s="321"/>
      <c r="GW382" s="321"/>
      <c r="GX382" s="321"/>
      <c r="GY382" s="1309"/>
      <c r="GZ382" s="1310"/>
      <c r="HA382" s="1308"/>
      <c r="HB382" s="321"/>
      <c r="HC382" s="321"/>
      <c r="HD382" s="290"/>
      <c r="HE382" s="298"/>
      <c r="HF382" s="294"/>
      <c r="HG382" s="290"/>
      <c r="HH382" s="294"/>
      <c r="HI382" s="290"/>
      <c r="HJ382" s="290"/>
      <c r="HK382" s="206"/>
      <c r="HL382" s="206"/>
      <c r="HM382" s="290"/>
      <c r="HN382" s="321"/>
      <c r="HO382" s="321"/>
      <c r="HP382" s="1310"/>
      <c r="HQ382" s="1308"/>
      <c r="HR382" s="321"/>
      <c r="HS382" s="321"/>
      <c r="HT382" s="417"/>
      <c r="HU382" s="433"/>
      <c r="HV382" s="422"/>
      <c r="HW382" s="417"/>
      <c r="HX382" s="426"/>
      <c r="HY382" s="417"/>
      <c r="HZ382" s="417"/>
      <c r="IA382" s="415"/>
      <c r="IB382" s="415"/>
      <c r="IC382" s="426"/>
      <c r="ID382" s="321"/>
      <c r="IE382" s="321"/>
      <c r="IF382" s="1310"/>
      <c r="IG382" s="1308"/>
      <c r="IH382" s="321"/>
      <c r="II382" s="321"/>
      <c r="IJ382" s="422"/>
      <c r="IK382" s="433"/>
      <c r="IL382" s="426"/>
      <c r="IM382" s="417"/>
      <c r="IN382" s="426"/>
      <c r="IO382" s="417"/>
      <c r="IP382" s="426"/>
      <c r="IQ382" s="415"/>
      <c r="IR382" s="415"/>
      <c r="IS382" s="426"/>
      <c r="IT382" s="321"/>
      <c r="IU382" s="321"/>
      <c r="IV382" s="1354"/>
    </row>
    <row r="383" spans="1:256" s="326" customFormat="1" ht="8.25" customHeight="1">
      <c r="A383" s="483"/>
      <c r="B383" s="431"/>
      <c r="C383" s="431"/>
      <c r="D383" s="321"/>
      <c r="E383" s="421"/>
      <c r="F383" s="321"/>
      <c r="G383" s="321"/>
      <c r="H383" s="321"/>
      <c r="I383" s="431"/>
      <c r="J383" s="321"/>
      <c r="K383" s="321"/>
      <c r="L383" s="421"/>
      <c r="M383" s="321"/>
      <c r="N383" s="431"/>
      <c r="O383" s="321"/>
      <c r="P383" s="564"/>
      <c r="Q383" s="483"/>
      <c r="R383" s="321"/>
      <c r="S383" s="321"/>
      <c r="T383" s="328"/>
      <c r="U383" s="321"/>
      <c r="V383" s="435"/>
      <c r="W383" s="424"/>
      <c r="X383" s="321"/>
      <c r="Y383" s="321"/>
      <c r="Z383" s="321"/>
      <c r="AA383" s="321"/>
      <c r="AB383" s="328"/>
      <c r="AC383" s="321"/>
      <c r="AD383" s="321"/>
      <c r="AE383" s="321"/>
      <c r="AF383" s="564"/>
      <c r="AG383" s="483"/>
      <c r="AH383"/>
      <c r="AI383"/>
      <c r="AJ383"/>
      <c r="AK383"/>
      <c r="AL383"/>
      <c r="AM383"/>
      <c r="AN383"/>
      <c r="AO383"/>
      <c r="AP383"/>
      <c r="AQ383"/>
      <c r="AR383"/>
      <c r="AS383"/>
      <c r="AT383"/>
      <c r="AU383"/>
      <c r="AV383" s="564"/>
      <c r="AW383" s="483"/>
      <c r="AX383" s="321"/>
      <c r="AY383" s="321"/>
      <c r="AZ383" s="321"/>
      <c r="BA383" s="321"/>
      <c r="BB383" s="321"/>
      <c r="BC383" s="321"/>
      <c r="BD383" s="321"/>
      <c r="BE383" s="321"/>
      <c r="BF383" s="321"/>
      <c r="BG383" s="321"/>
      <c r="BH383" s="321"/>
      <c r="BI383" s="321"/>
      <c r="BJ383" s="321"/>
      <c r="BK383" s="321"/>
      <c r="BL383" s="564"/>
      <c r="BM383" s="483"/>
      <c r="BN383" s="321"/>
      <c r="BO383" s="321"/>
      <c r="BP383" s="321"/>
      <c r="BQ383" s="321"/>
      <c r="BR383" s="321"/>
      <c r="BS383" s="321"/>
      <c r="BT383" s="321"/>
      <c r="BU383" s="321"/>
      <c r="BV383" s="321"/>
      <c r="BW383" s="321"/>
      <c r="BX383" s="321"/>
      <c r="BY383" s="321"/>
      <c r="BZ383" s="321"/>
      <c r="CA383" s="321"/>
      <c r="CB383" s="564"/>
      <c r="CC383" s="483"/>
      <c r="CD383" s="321"/>
      <c r="CE383" s="321"/>
      <c r="CF383" s="321"/>
      <c r="CG383" s="321"/>
      <c r="CH383" s="321"/>
      <c r="CI383" s="321"/>
      <c r="CJ383" s="321"/>
      <c r="CK383" s="321"/>
      <c r="CL383" s="321"/>
      <c r="CM383" s="321"/>
      <c r="CN383" s="321"/>
      <c r="CO383" s="321"/>
      <c r="CP383" s="321"/>
      <c r="CQ383" s="321"/>
      <c r="CR383" s="564"/>
      <c r="CS383" s="483"/>
      <c r="CT383" s="321"/>
      <c r="CU383" s="321"/>
      <c r="CV383" s="321"/>
      <c r="CW383" s="321"/>
      <c r="CX383" s="321"/>
      <c r="CY383" s="321"/>
      <c r="CZ383" s="321"/>
      <c r="DA383" s="321"/>
      <c r="DB383" s="321"/>
      <c r="DC383" s="321"/>
      <c r="DD383" s="321"/>
      <c r="DE383" s="321"/>
      <c r="DF383" s="321"/>
      <c r="DG383" s="321"/>
      <c r="DH383" s="564"/>
      <c r="DI383" s="1236"/>
      <c r="DJ383" s="328"/>
      <c r="DK383" s="328"/>
      <c r="DL383" s="328"/>
      <c r="DM383" s="328"/>
      <c r="DN383" s="328"/>
      <c r="DO383" s="328"/>
      <c r="DP383" s="328"/>
      <c r="DQ383" s="328"/>
      <c r="DR383" s="328"/>
      <c r="DS383" s="328"/>
      <c r="DT383" s="328"/>
      <c r="DU383" s="328"/>
      <c r="DV383" s="328"/>
      <c r="DW383" s="328"/>
      <c r="DX383" s="1237"/>
      <c r="DY383" s="483"/>
      <c r="DZ383" s="321"/>
      <c r="EA383" s="321"/>
      <c r="EB383" s="321"/>
      <c r="EC383" s="321"/>
      <c r="ED383" s="321"/>
      <c r="EE383" s="321"/>
      <c r="EF383" s="321"/>
      <c r="EG383" s="321"/>
      <c r="EH383" s="321"/>
      <c r="EI383" s="321"/>
      <c r="EJ383" s="321"/>
      <c r="EK383" s="321"/>
      <c r="EL383" s="321"/>
      <c r="EM383" s="321"/>
      <c r="EN383" s="564"/>
      <c r="EO383" s="483"/>
      <c r="EP383" s="321"/>
      <c r="EQ383" s="321"/>
      <c r="ER383" s="321"/>
      <c r="ES383" s="321"/>
      <c r="ET383" s="321"/>
      <c r="EU383" s="321"/>
      <c r="EV383" s="321"/>
      <c r="EW383" s="321"/>
      <c r="EX383" s="321"/>
      <c r="EY383" s="321"/>
      <c r="EZ383" s="321"/>
      <c r="FA383" s="321"/>
      <c r="FB383" s="321"/>
      <c r="FC383" s="321"/>
      <c r="FD383" s="564"/>
      <c r="FE383" s="483"/>
      <c r="FF383" s="321"/>
      <c r="FG383" s="321"/>
      <c r="FH383" s="321"/>
      <c r="FI383" s="321"/>
      <c r="FJ383" s="321"/>
      <c r="FK383" s="321"/>
      <c r="FL383" s="321"/>
      <c r="FM383" s="321"/>
      <c r="FN383" s="321"/>
      <c r="FO383" s="321"/>
      <c r="FP383" s="321"/>
      <c r="FQ383" s="321"/>
      <c r="FR383" s="321"/>
      <c r="FS383" s="321"/>
      <c r="FT383" s="564"/>
      <c r="FU383" s="1308"/>
      <c r="FV383" s="321"/>
      <c r="FW383" s="321"/>
      <c r="FX383" s="160"/>
      <c r="FY383" s="321"/>
      <c r="FZ383" s="321"/>
      <c r="GA383" s="160"/>
      <c r="GB383" s="321"/>
      <c r="GC383" s="160"/>
      <c r="GD383" s="321"/>
      <c r="GE383" s="321"/>
      <c r="GF383" s="160"/>
      <c r="GG383" s="321"/>
      <c r="GH383" s="321"/>
      <c r="GI383" s="321"/>
      <c r="GJ383" s="1310"/>
      <c r="GK383" s="1308"/>
      <c r="GL383" s="1309"/>
      <c r="GM383" s="321"/>
      <c r="GN383" s="321"/>
      <c r="GO383" s="321"/>
      <c r="GP383" s="321"/>
      <c r="GQ383" s="321"/>
      <c r="GR383" s="321"/>
      <c r="GS383" s="321"/>
      <c r="GT383" s="321"/>
      <c r="GU383" s="321"/>
      <c r="GV383" s="321"/>
      <c r="GW383" s="321"/>
      <c r="GX383" s="321"/>
      <c r="GY383" s="1309"/>
      <c r="GZ383" s="1310"/>
      <c r="HA383" s="1308"/>
      <c r="HB383" s="321"/>
      <c r="HC383" s="290"/>
      <c r="HD383" s="298"/>
      <c r="HE383" s="290"/>
      <c r="HF383" s="290"/>
      <c r="HG383" s="206"/>
      <c r="HH383" s="290"/>
      <c r="HI383" s="206"/>
      <c r="HJ383" s="290"/>
      <c r="HK383" s="206"/>
      <c r="HL383" s="206"/>
      <c r="HM383" s="206"/>
      <c r="HN383" s="290"/>
      <c r="HO383" s="321"/>
      <c r="HP383" s="1310"/>
      <c r="HQ383" s="1308"/>
      <c r="HR383" s="321"/>
      <c r="HS383" s="417"/>
      <c r="HT383" s="433"/>
      <c r="HU383" s="417"/>
      <c r="HV383" s="417"/>
      <c r="HW383" s="415"/>
      <c r="HX383" s="417"/>
      <c r="HY383" s="415"/>
      <c r="HZ383" s="417"/>
      <c r="IA383" s="415"/>
      <c r="IB383" s="415"/>
      <c r="IC383" s="415"/>
      <c r="ID383" s="417"/>
      <c r="IE383" s="321"/>
      <c r="IF383" s="1310"/>
      <c r="IG383" s="1308"/>
      <c r="IH383" s="321"/>
      <c r="II383" s="417"/>
      <c r="IJ383" s="433"/>
      <c r="IK383" s="422"/>
      <c r="IL383" s="422"/>
      <c r="IM383" s="415"/>
      <c r="IN383" s="422"/>
      <c r="IO383" s="415"/>
      <c r="IP383" s="417"/>
      <c r="IQ383" s="426"/>
      <c r="IR383" s="415"/>
      <c r="IS383" s="415"/>
      <c r="IT383" s="417"/>
      <c r="IU383" s="321"/>
      <c r="IV383" s="1354"/>
    </row>
    <row r="384" spans="1:256" s="326" customFormat="1" ht="8.25" customHeight="1">
      <c r="A384" s="483"/>
      <c r="B384" s="412"/>
      <c r="C384" s="431"/>
      <c r="D384" s="431"/>
      <c r="E384" s="412"/>
      <c r="F384" s="421"/>
      <c r="G384" s="321"/>
      <c r="H384" s="431"/>
      <c r="I384" s="431"/>
      <c r="J384" s="412"/>
      <c r="K384" s="421"/>
      <c r="L384" s="421"/>
      <c r="M384" s="431"/>
      <c r="N384" s="431"/>
      <c r="O384" s="431"/>
      <c r="P384" s="1310"/>
      <c r="Q384" s="321"/>
      <c r="R384" s="321"/>
      <c r="S384" s="321"/>
      <c r="T384" s="321"/>
      <c r="U384" s="321"/>
      <c r="V384" s="321"/>
      <c r="W384" s="321"/>
      <c r="X384" s="321"/>
      <c r="Y384" s="321"/>
      <c r="Z384" s="435"/>
      <c r="AA384" s="442"/>
      <c r="AB384" s="419"/>
      <c r="AC384" s="321"/>
      <c r="AD384" s="321"/>
      <c r="AE384" s="321"/>
      <c r="AF384" s="564"/>
      <c r="AG384" s="569"/>
      <c r="AH384" s="569"/>
      <c r="AI384" s="569"/>
      <c r="AJ384" s="569"/>
      <c r="AK384" s="569"/>
      <c r="AL384" s="569"/>
      <c r="AM384" s="569"/>
      <c r="AN384" s="569"/>
      <c r="AO384" s="569"/>
      <c r="AP384" s="569"/>
      <c r="AQ384" s="569"/>
      <c r="AR384" s="569"/>
      <c r="AS384" s="569"/>
      <c r="AT384" s="569"/>
      <c r="AU384" s="569"/>
      <c r="AV384" s="570"/>
      <c r="AW384" s="569"/>
      <c r="AX384" s="569"/>
      <c r="AY384" s="569"/>
      <c r="AZ384" s="569"/>
      <c r="BA384" s="569"/>
      <c r="BB384" s="569"/>
      <c r="BC384" s="569"/>
      <c r="BD384" s="569"/>
      <c r="BE384" s="569"/>
      <c r="BF384" s="569"/>
      <c r="BG384" s="569"/>
      <c r="BH384" s="569"/>
      <c r="BI384" s="569"/>
      <c r="BJ384" s="569"/>
      <c r="BK384" s="569"/>
      <c r="BL384" s="570"/>
      <c r="BM384" s="569"/>
      <c r="BN384" s="569"/>
      <c r="BO384" s="569"/>
      <c r="BP384" s="569"/>
      <c r="BQ384" s="569"/>
      <c r="BR384" s="569"/>
      <c r="BS384" s="569"/>
      <c r="BT384" s="569"/>
      <c r="BU384" s="569"/>
      <c r="BV384" s="569"/>
      <c r="BW384" s="569"/>
      <c r="BX384" s="569"/>
      <c r="BY384" s="569"/>
      <c r="BZ384" s="569"/>
      <c r="CA384" s="569"/>
      <c r="CB384" s="570"/>
      <c r="CC384" s="651"/>
      <c r="CD384" s="569"/>
      <c r="CE384" s="569"/>
      <c r="CF384" s="569"/>
      <c r="CG384" s="569"/>
      <c r="CH384" s="569"/>
      <c r="CI384" s="569"/>
      <c r="CJ384" s="569"/>
      <c r="CK384" s="569"/>
      <c r="CL384" s="569"/>
      <c r="CM384" s="569"/>
      <c r="CN384" s="569"/>
      <c r="CO384" s="569"/>
      <c r="CP384" s="569"/>
      <c r="CQ384" s="569"/>
      <c r="CR384" s="570"/>
      <c r="CS384" s="651"/>
      <c r="CT384" s="569"/>
      <c r="CU384" s="569"/>
      <c r="CV384" s="569"/>
      <c r="CW384" s="569"/>
      <c r="CX384" s="569"/>
      <c r="CY384" s="569"/>
      <c r="CZ384" s="569"/>
      <c r="DA384" s="569"/>
      <c r="DB384" s="569"/>
      <c r="DC384" s="569"/>
      <c r="DD384" s="569"/>
      <c r="DE384" s="569"/>
      <c r="DF384" s="569"/>
      <c r="DG384" s="569"/>
      <c r="DH384" s="570"/>
      <c r="DI384" s="1238"/>
      <c r="DJ384" s="479"/>
      <c r="DK384" s="569"/>
      <c r="DL384" s="479"/>
      <c r="DM384" s="479"/>
      <c r="DN384" s="479"/>
      <c r="DO384" s="479"/>
      <c r="DP384" s="479"/>
      <c r="DQ384" s="479"/>
      <c r="DR384" s="479"/>
      <c r="DS384" s="479"/>
      <c r="DT384" s="479"/>
      <c r="DU384" s="479"/>
      <c r="DV384" s="479"/>
      <c r="DW384" s="479"/>
      <c r="DX384" s="1240"/>
      <c r="DY384" s="651"/>
      <c r="DZ384" s="569"/>
      <c r="EA384" s="569"/>
      <c r="EB384" s="569"/>
      <c r="EC384" s="569"/>
      <c r="ED384" s="569"/>
      <c r="EE384" s="569"/>
      <c r="EF384" s="569"/>
      <c r="EG384" s="569"/>
      <c r="EH384" s="569"/>
      <c r="EI384" s="569"/>
      <c r="EJ384" s="569"/>
      <c r="EK384" s="569"/>
      <c r="EL384" s="569"/>
      <c r="EM384" s="569"/>
      <c r="EN384" s="570"/>
      <c r="EO384" s="651"/>
      <c r="EP384" s="569"/>
      <c r="EQ384" s="569"/>
      <c r="ER384" s="569"/>
      <c r="ES384" s="569"/>
      <c r="ET384" s="569"/>
      <c r="EU384" s="569"/>
      <c r="EV384" s="569"/>
      <c r="EW384" s="569"/>
      <c r="EX384" s="569"/>
      <c r="EY384" s="569"/>
      <c r="EZ384" s="569"/>
      <c r="FA384" s="569"/>
      <c r="FB384" s="569"/>
      <c r="FC384" s="569"/>
      <c r="FD384" s="570"/>
      <c r="FE384" s="651"/>
      <c r="FF384" s="569"/>
      <c r="FG384" s="569"/>
      <c r="FH384" s="569"/>
      <c r="FI384" s="569"/>
      <c r="FJ384" s="569"/>
      <c r="FK384" s="569"/>
      <c r="FL384" s="569"/>
      <c r="FM384" s="569"/>
      <c r="FN384" s="569"/>
      <c r="FO384" s="569"/>
      <c r="FP384" s="569"/>
      <c r="FQ384" s="569"/>
      <c r="FR384" s="569"/>
      <c r="FS384" s="569"/>
      <c r="FT384" s="570"/>
      <c r="FU384" s="1312"/>
      <c r="FV384" s="569"/>
      <c r="FW384" s="569"/>
      <c r="FX384" s="569"/>
      <c r="FY384" s="336"/>
      <c r="FZ384" s="569"/>
      <c r="GA384" s="569"/>
      <c r="GB384" s="569"/>
      <c r="GC384" s="569"/>
      <c r="GD384" s="569"/>
      <c r="GE384" s="336"/>
      <c r="GF384" s="569"/>
      <c r="GG384" s="569"/>
      <c r="GH384" s="569"/>
      <c r="GI384" s="569"/>
      <c r="GJ384" s="1314"/>
      <c r="GK384" s="1312"/>
      <c r="GL384" s="1313"/>
      <c r="GM384" s="569"/>
      <c r="GN384" s="569"/>
      <c r="GO384" s="569"/>
      <c r="GP384" s="569"/>
      <c r="GQ384" s="569"/>
      <c r="GR384" s="569"/>
      <c r="GS384" s="569"/>
      <c r="GT384" s="569"/>
      <c r="GU384" s="569"/>
      <c r="GV384" s="569"/>
      <c r="GW384" s="569"/>
      <c r="GX384" s="569"/>
      <c r="GY384" s="1313"/>
      <c r="GZ384" s="1314"/>
      <c r="HA384" s="1312"/>
      <c r="HB384" s="569"/>
      <c r="HC384" s="569"/>
      <c r="HD384" s="290"/>
      <c r="HE384" s="290"/>
      <c r="HF384" s="206"/>
      <c r="HG384" s="290"/>
      <c r="HH384" s="290"/>
      <c r="HI384" s="206"/>
      <c r="HJ384" s="290"/>
      <c r="HK384" s="290"/>
      <c r="HL384" s="290"/>
      <c r="HM384" s="290"/>
      <c r="HN384" s="569"/>
      <c r="HO384" s="569"/>
      <c r="HP384" s="1314"/>
      <c r="HQ384" s="1308"/>
      <c r="HR384" s="321"/>
      <c r="HS384" s="321"/>
      <c r="HT384" s="422"/>
      <c r="HU384" s="422"/>
      <c r="HV384" s="415"/>
      <c r="HW384" s="422"/>
      <c r="HX384" s="417"/>
      <c r="HY384" s="415"/>
      <c r="HZ384" s="417"/>
      <c r="IA384" s="417"/>
      <c r="IB384" s="422"/>
      <c r="IC384" s="422"/>
      <c r="ID384" s="321"/>
      <c r="IE384" s="321"/>
      <c r="IF384" s="1310"/>
      <c r="IG384" s="1308"/>
      <c r="IH384" s="321"/>
      <c r="II384" s="321"/>
      <c r="IJ384" s="422"/>
      <c r="IK384" s="422"/>
      <c r="IL384" s="415"/>
      <c r="IM384" s="422"/>
      <c r="IN384" s="417"/>
      <c r="IO384" s="415"/>
      <c r="IP384" s="417"/>
      <c r="IQ384" s="417"/>
      <c r="IR384" s="422"/>
      <c r="IS384" s="422"/>
      <c r="IT384" s="321"/>
      <c r="IU384" s="321"/>
      <c r="IV384" s="1354"/>
    </row>
    <row r="385" spans="1:256" s="326" customFormat="1" ht="8.25" customHeight="1">
      <c r="A385" s="1233">
        <v>193</v>
      </c>
      <c r="B385" s="1234"/>
      <c r="C385" s="1234"/>
      <c r="D385" s="1356"/>
      <c r="E385" s="1356"/>
      <c r="F385" s="1356"/>
      <c r="G385" s="1356"/>
      <c r="H385" s="1356"/>
      <c r="I385" s="1356"/>
      <c r="J385" s="1356"/>
      <c r="K385" s="1356"/>
      <c r="L385" s="1356"/>
      <c r="M385" s="1234"/>
      <c r="N385" s="1234"/>
      <c r="O385" s="1234"/>
      <c r="P385" s="1235"/>
      <c r="Q385" s="1233">
        <v>194</v>
      </c>
      <c r="R385" s="1234"/>
      <c r="S385" s="1234"/>
      <c r="T385" s="1357"/>
      <c r="U385" s="1357"/>
      <c r="V385" s="1357"/>
      <c r="W385" s="1357"/>
      <c r="X385" s="1357"/>
      <c r="Y385" s="1357"/>
      <c r="Z385" s="1357"/>
      <c r="AA385" s="1357"/>
      <c r="AB385" s="1357"/>
      <c r="AC385" s="1234"/>
      <c r="AD385" s="1234"/>
      <c r="AE385" s="1234"/>
      <c r="AF385" s="1235"/>
      <c r="AG385" s="1233">
        <v>195</v>
      </c>
      <c r="AH385" s="1234"/>
      <c r="AI385" s="1234"/>
      <c r="AJ385" s="860"/>
      <c r="AK385" s="860"/>
      <c r="AL385" s="860"/>
      <c r="AM385" s="860"/>
      <c r="AN385" s="860"/>
      <c r="AO385" s="1358"/>
      <c r="AP385" s="860"/>
      <c r="AQ385" s="860"/>
      <c r="AR385" s="860"/>
      <c r="AS385" s="1359"/>
      <c r="AT385" s="1234"/>
      <c r="AU385" s="1234"/>
      <c r="AV385" s="1235"/>
      <c r="AW385" s="1233">
        <v>196</v>
      </c>
      <c r="AX385" s="1234"/>
      <c r="AY385" s="1234"/>
      <c r="AZ385" s="1234"/>
      <c r="BA385" s="1234"/>
      <c r="BB385" s="1234"/>
      <c r="BC385" s="299"/>
      <c r="BD385" s="299"/>
      <c r="BE385" s="1234"/>
      <c r="BF385" s="1234"/>
      <c r="BG385" s="1234"/>
      <c r="BH385" s="299"/>
      <c r="BI385" s="295"/>
      <c r="BJ385" s="295"/>
      <c r="BK385" s="295"/>
      <c r="BL385" s="193"/>
      <c r="BM385" s="1233">
        <v>197</v>
      </c>
      <c r="BN385" s="1234"/>
      <c r="BO385" s="484"/>
      <c r="BP385" s="1234"/>
      <c r="BQ385" s="1234"/>
      <c r="BR385" s="1234"/>
      <c r="BS385" s="1234"/>
      <c r="BT385" s="1234"/>
      <c r="BU385" s="1234"/>
      <c r="BV385" s="1234"/>
      <c r="BW385" s="1234"/>
      <c r="BX385" s="1234"/>
      <c r="BY385" s="1234"/>
      <c r="BZ385" s="1234"/>
      <c r="CA385" s="1234"/>
      <c r="CB385" s="1235"/>
      <c r="CC385" s="1233">
        <v>198</v>
      </c>
      <c r="CD385" s="1234"/>
      <c r="CE385" s="484"/>
      <c r="CF385" s="1234"/>
      <c r="CG385" s="1234"/>
      <c r="CH385" s="1234"/>
      <c r="CI385" s="1234"/>
      <c r="CJ385" s="1234"/>
      <c r="CK385" s="1234"/>
      <c r="CL385" s="1234"/>
      <c r="CM385" s="1234"/>
      <c r="CN385" s="1234"/>
      <c r="CO385" s="1234"/>
      <c r="CP385" s="1234"/>
      <c r="CQ385" s="1234"/>
      <c r="CR385" s="1235"/>
      <c r="CS385" s="1233">
        <v>199</v>
      </c>
      <c r="CT385" s="1234"/>
      <c r="CU385" s="484"/>
      <c r="CV385" s="1234"/>
      <c r="CW385" s="1234"/>
      <c r="CX385" s="1234"/>
      <c r="CY385" s="1234"/>
      <c r="CZ385" s="1234"/>
      <c r="DA385" s="1234"/>
      <c r="DB385" s="1234"/>
      <c r="DC385" s="1234"/>
      <c r="DD385" s="1234"/>
      <c r="DE385" s="1234"/>
      <c r="DF385" s="1234"/>
      <c r="DG385" s="1234"/>
      <c r="DH385" s="1235"/>
      <c r="DI385" s="1233">
        <v>200</v>
      </c>
      <c r="DJ385" s="1234"/>
      <c r="DK385" s="484"/>
      <c r="DL385" s="1234"/>
      <c r="DM385" s="1234"/>
      <c r="DN385" s="1234"/>
      <c r="DO385" s="1234"/>
      <c r="DP385" s="1234"/>
      <c r="DQ385" s="1234"/>
      <c r="DR385" s="1234"/>
      <c r="DS385" s="1234"/>
      <c r="DT385" s="1234"/>
      <c r="DU385" s="1234"/>
      <c r="DV385" s="1234"/>
      <c r="DW385" s="1234"/>
      <c r="DX385" s="1235"/>
      <c r="DY385" s="483">
        <v>201</v>
      </c>
      <c r="DZ385" s="484"/>
      <c r="EA385" s="484"/>
      <c r="EB385" s="484"/>
      <c r="EC385" s="484"/>
      <c r="ED385" s="484"/>
      <c r="EE385" s="484"/>
      <c r="EF385" s="484"/>
      <c r="EG385" s="484"/>
      <c r="EH385" s="484"/>
      <c r="EI385" s="484"/>
      <c r="EJ385" s="484"/>
      <c r="EK385" s="484"/>
      <c r="EL385" s="484"/>
      <c r="EM385" s="484"/>
      <c r="EN385" s="696"/>
      <c r="EO385" s="483">
        <v>202</v>
      </c>
      <c r="EP385" s="484"/>
      <c r="EQ385" s="484"/>
      <c r="ER385" s="484"/>
      <c r="ES385" s="484"/>
      <c r="ET385" s="484"/>
      <c r="EU385" s="484"/>
      <c r="EV385" s="484"/>
      <c r="EW385" s="484"/>
      <c r="EX385" s="484"/>
      <c r="EY385" s="484"/>
      <c r="EZ385" s="484"/>
      <c r="FA385" s="484"/>
      <c r="FB385" s="484"/>
      <c r="FC385" s="484"/>
      <c r="FD385" s="696"/>
      <c r="FE385" s="483">
        <v>203</v>
      </c>
      <c r="FF385" s="484"/>
      <c r="FG385" s="484"/>
      <c r="FH385" s="484"/>
      <c r="FI385" s="484"/>
      <c r="FJ385" s="484"/>
      <c r="FK385" s="484"/>
      <c r="FL385" s="484"/>
      <c r="FM385" s="484"/>
      <c r="FN385" s="484"/>
      <c r="FO385" s="484"/>
      <c r="FP385" s="484"/>
      <c r="FQ385" s="484"/>
      <c r="FR385" s="484"/>
      <c r="FS385" s="484"/>
      <c r="FT385" s="696"/>
      <c r="FU385" s="483">
        <v>204</v>
      </c>
      <c r="FV385" s="484"/>
      <c r="FW385" s="484"/>
      <c r="FX385" s="484"/>
      <c r="FY385" s="484"/>
      <c r="FZ385" s="484"/>
      <c r="GA385" s="484"/>
      <c r="GB385" s="484"/>
      <c r="GC385" s="484"/>
      <c r="GD385" s="484"/>
      <c r="GE385" s="484"/>
      <c r="GF385" s="484"/>
      <c r="GG385" s="484"/>
      <c r="GH385" s="484"/>
      <c r="GI385" s="484"/>
      <c r="GJ385" s="696"/>
      <c r="GK385" s="1360">
        <v>205</v>
      </c>
      <c r="GL385" s="1361"/>
      <c r="GM385" s="1361"/>
      <c r="GN385" s="1361"/>
      <c r="GO385" s="1361"/>
      <c r="GP385" s="1362"/>
      <c r="GQ385" s="1363"/>
      <c r="GR385" s="1357"/>
      <c r="GS385" s="1363"/>
      <c r="GT385" s="1362"/>
      <c r="GU385" s="1361"/>
      <c r="GV385" s="1361"/>
      <c r="GW385" s="1361"/>
      <c r="GX385" s="1361"/>
      <c r="GY385" s="1361"/>
      <c r="GZ385" s="1364"/>
      <c r="HA385" s="200">
        <v>206</v>
      </c>
      <c r="HB385" s="200"/>
      <c r="HC385" s="199"/>
      <c r="HD385" s="199"/>
      <c r="HE385" s="199"/>
      <c r="HF385" s="199"/>
      <c r="HG385" s="199"/>
      <c r="HH385" s="199"/>
      <c r="HI385" s="199"/>
      <c r="HJ385" s="199"/>
      <c r="HK385" s="199"/>
      <c r="HL385" s="199"/>
      <c r="HM385" s="199"/>
      <c r="HN385" s="199"/>
      <c r="HO385" s="200"/>
      <c r="HP385" s="200"/>
      <c r="HQ385" s="753">
        <v>207</v>
      </c>
      <c r="HR385" s="711"/>
      <c r="HS385" s="711"/>
      <c r="HT385" s="711"/>
      <c r="HU385" s="711"/>
      <c r="HV385" s="711"/>
      <c r="HW385" s="711"/>
      <c r="HX385" s="711"/>
      <c r="HY385" s="711"/>
      <c r="HZ385" s="711"/>
      <c r="IA385" s="711"/>
      <c r="IB385" s="711"/>
      <c r="IC385" s="711"/>
      <c r="ID385" s="711"/>
      <c r="IE385" s="711"/>
      <c r="IF385" s="530"/>
      <c r="IG385" s="1233">
        <v>208</v>
      </c>
      <c r="IH385" s="1234"/>
      <c r="II385" s="161"/>
      <c r="IJ385" s="293"/>
      <c r="IK385" s="293"/>
      <c r="IL385" s="161"/>
      <c r="IM385" s="297"/>
      <c r="IN385" s="293"/>
      <c r="IO385" s="161"/>
      <c r="IP385" s="297"/>
      <c r="IQ385" s="293"/>
      <c r="IR385" s="161"/>
      <c r="IS385" s="293"/>
      <c r="IT385" s="161"/>
      <c r="IU385" s="1234"/>
      <c r="IV385" s="1235"/>
    </row>
    <row r="386" spans="1:256" s="326" customFormat="1" ht="8.25" customHeight="1">
      <c r="A386" s="1236">
        <v>5</v>
      </c>
      <c r="B386" s="290"/>
      <c r="C386" s="290"/>
      <c r="D386" s="290"/>
      <c r="E386" s="290"/>
      <c r="F386" s="290"/>
      <c r="G386" s="290"/>
      <c r="H386" s="298"/>
      <c r="I386" s="207"/>
      <c r="J386" s="298"/>
      <c r="K386" s="294"/>
      <c r="L386" s="294"/>
      <c r="M386" s="290"/>
      <c r="N386" s="290"/>
      <c r="O386" s="328"/>
      <c r="P386" s="1237"/>
      <c r="Q386" s="1236">
        <v>200</v>
      </c>
      <c r="R386" s="409"/>
      <c r="S386" s="417"/>
      <c r="T386" s="417"/>
      <c r="U386" s="417"/>
      <c r="V386" s="417"/>
      <c r="W386" s="409"/>
      <c r="X386" s="426"/>
      <c r="Y386" s="433"/>
      <c r="Z386" s="426"/>
      <c r="AA386" s="422"/>
      <c r="AB386" s="422"/>
      <c r="AC386" s="417"/>
      <c r="AD386" s="417"/>
      <c r="AE386" s="328"/>
      <c r="AF386" s="1237"/>
      <c r="AG386" s="1236"/>
      <c r="AH386" s="295"/>
      <c r="AI386" s="295"/>
      <c r="AJ386" s="295"/>
      <c r="AK386" s="299"/>
      <c r="AL386" s="299"/>
      <c r="AM386" s="299"/>
      <c r="AN386" s="295"/>
      <c r="AO386" s="302"/>
      <c r="AP386" s="295"/>
      <c r="AQ386" s="299"/>
      <c r="AR386" s="295"/>
      <c r="AS386" s="199"/>
      <c r="AT386" s="299"/>
      <c r="AU386" s="295"/>
      <c r="AV386" s="1237"/>
      <c r="AW386" s="1236"/>
      <c r="AX386" s="328"/>
      <c r="AY386" s="328"/>
      <c r="AZ386" s="328"/>
      <c r="BA386" s="328"/>
      <c r="BB386" s="299"/>
      <c r="BC386" s="328"/>
      <c r="BD386" s="299"/>
      <c r="BE386" s="328"/>
      <c r="BF386" s="328"/>
      <c r="BG386" s="299"/>
      <c r="BH386" s="302"/>
      <c r="BI386" s="302"/>
      <c r="BJ386" s="299"/>
      <c r="BK386" s="295"/>
      <c r="BL386" s="295"/>
      <c r="BM386" s="483">
        <v>30</v>
      </c>
      <c r="BN386" s="321"/>
      <c r="BO386" s="321"/>
      <c r="BP386" s="321"/>
      <c r="BQ386" s="321"/>
      <c r="BR386" s="321"/>
      <c r="BS386" s="321"/>
      <c r="BT386" s="321"/>
      <c r="BU386" s="321"/>
      <c r="BV386" s="321"/>
      <c r="BW386" s="321"/>
      <c r="BX386" s="321"/>
      <c r="BY386" s="321"/>
      <c r="BZ386" s="321"/>
      <c r="CA386" s="321"/>
      <c r="CB386" s="564"/>
      <c r="CC386" s="483">
        <v>40</v>
      </c>
      <c r="CD386" s="321"/>
      <c r="CE386" s="321"/>
      <c r="CF386" s="321"/>
      <c r="CG386" s="321"/>
      <c r="CH386" s="321"/>
      <c r="CI386" s="321"/>
      <c r="CJ386" s="321"/>
      <c r="CK386" s="321"/>
      <c r="CL386" s="321"/>
      <c r="CM386" s="321"/>
      <c r="CN386" s="321"/>
      <c r="CO386" s="321"/>
      <c r="CP386" s="321"/>
      <c r="CQ386" s="321"/>
      <c r="CR386" s="1351"/>
      <c r="CS386" s="1236">
        <v>100</v>
      </c>
      <c r="CT386" s="328"/>
      <c r="CU386" s="321"/>
      <c r="CV386" s="328"/>
      <c r="CW386" s="328"/>
      <c r="CX386" s="328"/>
      <c r="CY386" s="328"/>
      <c r="CZ386" s="328"/>
      <c r="DA386" s="328"/>
      <c r="DB386" s="328"/>
      <c r="DC386" s="328"/>
      <c r="DD386" s="328"/>
      <c r="DE386" s="328"/>
      <c r="DF386" s="328"/>
      <c r="DG386" s="328"/>
      <c r="DH386" s="1237"/>
      <c r="DI386" s="483"/>
      <c r="DJ386" s="328"/>
      <c r="DK386" s="321"/>
      <c r="DL386" s="328"/>
      <c r="DM386" s="328"/>
      <c r="DN386" s="328"/>
      <c r="DO386" s="328"/>
      <c r="DP386" s="328"/>
      <c r="DQ386" s="328"/>
      <c r="DR386" s="328"/>
      <c r="DS386" s="328"/>
      <c r="DT386" s="328"/>
      <c r="DU386" s="328"/>
      <c r="DV386" s="328"/>
      <c r="DW386" s="328"/>
      <c r="DX386" s="1237"/>
      <c r="DY386" s="483">
        <v>-30</v>
      </c>
      <c r="DZ386" s="321"/>
      <c r="EA386" s="321"/>
      <c r="EB386" s="321"/>
      <c r="EC386" s="321"/>
      <c r="ED386" s="321"/>
      <c r="EE386" s="321"/>
      <c r="EF386" s="321"/>
      <c r="EG386" s="321"/>
      <c r="EH386" s="321"/>
      <c r="EI386" s="321"/>
      <c r="EJ386" s="321"/>
      <c r="EK386" s="321"/>
      <c r="EL386" s="321"/>
      <c r="EM386" s="321"/>
      <c r="EN386" s="564"/>
      <c r="EO386" s="483">
        <v>-40</v>
      </c>
      <c r="EP386" s="321"/>
      <c r="EQ386" s="321"/>
      <c r="ER386" s="321"/>
      <c r="ES386" s="321"/>
      <c r="ET386" s="321"/>
      <c r="EU386" s="321"/>
      <c r="EV386" s="321"/>
      <c r="EW386" s="321"/>
      <c r="EX386" s="321"/>
      <c r="EY386" s="321"/>
      <c r="EZ386" s="321"/>
      <c r="FA386" s="321"/>
      <c r="FB386" s="321"/>
      <c r="FC386" s="321"/>
      <c r="FD386" s="564"/>
      <c r="FE386" s="483">
        <v>80</v>
      </c>
      <c r="FF386" s="321"/>
      <c r="FG386" s="321"/>
      <c r="FH386" s="321"/>
      <c r="FI386" s="321"/>
      <c r="FJ386" s="321"/>
      <c r="FK386" s="321"/>
      <c r="FL386" s="321"/>
      <c r="FM386" s="321"/>
      <c r="FN386" s="321"/>
      <c r="FO386" s="321"/>
      <c r="FP386" s="321"/>
      <c r="FQ386" s="321"/>
      <c r="FR386" s="321"/>
      <c r="FS386" s="321"/>
      <c r="FT386" s="564"/>
      <c r="FU386" s="483">
        <v>60</v>
      </c>
      <c r="FV386" s="321"/>
      <c r="FW386" s="321"/>
      <c r="FX386" s="321"/>
      <c r="FY386" s="321"/>
      <c r="FZ386" s="321"/>
      <c r="GA386" s="321"/>
      <c r="GB386" s="321"/>
      <c r="GC386" s="321"/>
      <c r="GD386" s="321"/>
      <c r="GE386" s="321"/>
      <c r="GF386" s="321"/>
      <c r="GG386" s="321"/>
      <c r="GH386" s="321"/>
      <c r="GI386" s="321"/>
      <c r="GJ386" s="564"/>
      <c r="GK386" s="1365"/>
      <c r="GL386" s="446"/>
      <c r="GM386" s="446"/>
      <c r="GN386" s="446"/>
      <c r="GO386" s="440"/>
      <c r="GP386" s="433"/>
      <c r="GQ386" s="426"/>
      <c r="GR386" s="422"/>
      <c r="GS386" s="426"/>
      <c r="GT386" s="433"/>
      <c r="GU386" s="440"/>
      <c r="GV386" s="446"/>
      <c r="GW386" s="446"/>
      <c r="GX386" s="446"/>
      <c r="GY386" s="440"/>
      <c r="GZ386" s="1355"/>
      <c r="HA386" s="199"/>
      <c r="HB386" s="201"/>
      <c r="HC386" s="201"/>
      <c r="HD386" s="201"/>
      <c r="HE386" s="201"/>
      <c r="HF386" s="201"/>
      <c r="HG386" s="201"/>
      <c r="HH386" s="201"/>
      <c r="HI386" s="201"/>
      <c r="HJ386" s="201"/>
      <c r="HK386" s="201"/>
      <c r="HL386" s="201"/>
      <c r="HM386" s="201"/>
      <c r="HN386" s="201"/>
      <c r="HO386" s="199"/>
      <c r="HP386" s="200"/>
      <c r="HQ386" s="699"/>
      <c r="HR386" s="93"/>
      <c r="HS386" s="93"/>
      <c r="HT386" s="93"/>
      <c r="HU386" s="93"/>
      <c r="HV386" s="93"/>
      <c r="HW386" s="93"/>
      <c r="HX386" s="93"/>
      <c r="HY386" s="93"/>
      <c r="HZ386" s="93"/>
      <c r="IA386" s="93"/>
      <c r="IB386" s="93"/>
      <c r="IC386" s="93"/>
      <c r="ID386" s="93"/>
      <c r="IE386" s="93"/>
      <c r="IF386" s="79"/>
      <c r="IG386" s="1236"/>
      <c r="IH386" s="328"/>
      <c r="II386" s="161"/>
      <c r="IJ386" s="297"/>
      <c r="IK386" s="293"/>
      <c r="IL386" s="161"/>
      <c r="IM386" s="301"/>
      <c r="IN386" s="293"/>
      <c r="IO386" s="161"/>
      <c r="IP386" s="301"/>
      <c r="IQ386" s="293"/>
      <c r="IR386" s="161"/>
      <c r="IS386" s="297"/>
      <c r="IT386" s="161"/>
      <c r="IU386" s="328"/>
      <c r="IV386" s="1237"/>
    </row>
    <row r="387" spans="1:256" s="326" customFormat="1" ht="8.25" customHeight="1">
      <c r="A387" s="1236">
        <v>194</v>
      </c>
      <c r="B387" s="328"/>
      <c r="C387" s="290"/>
      <c r="D387" s="290"/>
      <c r="E387" s="291"/>
      <c r="F387" s="207"/>
      <c r="G387" s="204"/>
      <c r="H387" s="308"/>
      <c r="I387" s="298"/>
      <c r="J387" s="290"/>
      <c r="K387" s="290"/>
      <c r="L387" s="294"/>
      <c r="M387" s="294"/>
      <c r="N387" s="328"/>
      <c r="O387" s="328"/>
      <c r="P387" s="1237"/>
      <c r="Q387" s="1236">
        <v>193</v>
      </c>
      <c r="R387" s="328"/>
      <c r="S387" s="409"/>
      <c r="T387" s="417"/>
      <c r="U387" s="409"/>
      <c r="V387" s="433"/>
      <c r="W387" s="440"/>
      <c r="X387" s="433"/>
      <c r="Y387" s="426"/>
      <c r="Z387" s="409"/>
      <c r="AA387" s="417"/>
      <c r="AB387" s="422"/>
      <c r="AC387" s="422"/>
      <c r="AD387" s="328"/>
      <c r="AE387" s="328"/>
      <c r="AF387" s="1237"/>
      <c r="AG387" s="1236"/>
      <c r="AH387" s="295"/>
      <c r="AI387" s="299"/>
      <c r="AJ387" s="295"/>
      <c r="AK387" s="299"/>
      <c r="AL387" s="299"/>
      <c r="AM387" s="299"/>
      <c r="AN387" s="295"/>
      <c r="AO387" s="302"/>
      <c r="AP387" s="295"/>
      <c r="AQ387" s="304"/>
      <c r="AR387" s="295"/>
      <c r="AS387" s="200"/>
      <c r="AT387" s="304"/>
      <c r="AU387" s="295"/>
      <c r="AV387" s="1237"/>
      <c r="AW387" s="299">
        <v>196</v>
      </c>
      <c r="AX387" s="328"/>
      <c r="AY387" s="328"/>
      <c r="AZ387" s="328"/>
      <c r="BA387" s="328"/>
      <c r="BB387" s="295"/>
      <c r="BC387" s="328"/>
      <c r="BD387" s="328"/>
      <c r="BE387" s="328"/>
      <c r="BF387" s="299"/>
      <c r="BG387" s="302"/>
      <c r="BH387" s="295"/>
      <c r="BI387" s="295"/>
      <c r="BJ387" s="302"/>
      <c r="BK387" s="299"/>
      <c r="BL387" s="299"/>
      <c r="BM387" s="483">
        <v>198</v>
      </c>
      <c r="BN387" s="321"/>
      <c r="BO387" s="321"/>
      <c r="BP387" s="321"/>
      <c r="BQ387" s="321"/>
      <c r="BR387" s="321"/>
      <c r="BS387" s="321"/>
      <c r="BT387" s="321"/>
      <c r="BU387" s="321"/>
      <c r="BV387" s="321"/>
      <c r="BW387" s="321"/>
      <c r="BX387" s="321"/>
      <c r="BY387" s="321"/>
      <c r="BZ387" s="321"/>
      <c r="CA387" s="321"/>
      <c r="CB387" s="564"/>
      <c r="CC387" s="483">
        <v>197</v>
      </c>
      <c r="CD387" s="321"/>
      <c r="CE387" s="321"/>
      <c r="CF387" s="321"/>
      <c r="CG387" s="321"/>
      <c r="CH387" s="321"/>
      <c r="CI387" s="321"/>
      <c r="CJ387" s="321"/>
      <c r="CK387" s="321"/>
      <c r="CL387" s="321"/>
      <c r="CM387" s="321"/>
      <c r="CN387" s="321"/>
      <c r="CO387" s="321"/>
      <c r="CP387" s="321"/>
      <c r="CQ387" s="321"/>
      <c r="CR387" s="1351"/>
      <c r="CS387" s="1236">
        <v>200</v>
      </c>
      <c r="CT387" s="328"/>
      <c r="CU387" s="321"/>
      <c r="CV387" s="328"/>
      <c r="CW387" s="328"/>
      <c r="CX387" s="328"/>
      <c r="CY387" s="328"/>
      <c r="CZ387" s="328"/>
      <c r="DA387" s="328"/>
      <c r="DB387" s="328"/>
      <c r="DC387" s="328"/>
      <c r="DD387" s="328"/>
      <c r="DE387" s="328"/>
      <c r="DF387" s="328"/>
      <c r="DG387" s="328"/>
      <c r="DH387" s="1237"/>
      <c r="DI387" s="483"/>
      <c r="DJ387" s="328"/>
      <c r="DK387" s="321"/>
      <c r="DL387" s="328"/>
      <c r="DM387" s="328"/>
      <c r="DN387" s="328"/>
      <c r="DO387" s="328"/>
      <c r="DP387" s="328"/>
      <c r="DQ387" s="328"/>
      <c r="DR387" s="328"/>
      <c r="DS387" s="328"/>
      <c r="DT387" s="328"/>
      <c r="DU387" s="328"/>
      <c r="DV387" s="328"/>
      <c r="DW387" s="328"/>
      <c r="DX387" s="1237"/>
      <c r="DY387" s="483">
        <v>202</v>
      </c>
      <c r="DZ387" s="321"/>
      <c r="EA387" s="321"/>
      <c r="EB387" s="321"/>
      <c r="EC387" s="321"/>
      <c r="EK387" s="321"/>
      <c r="EL387" s="321"/>
      <c r="EM387" s="321"/>
      <c r="EN387" s="564"/>
      <c r="EO387" s="483">
        <v>201</v>
      </c>
      <c r="EP387" s="321"/>
      <c r="EQ387" s="321"/>
      <c r="ER387" s="321"/>
      <c r="ES387" s="321"/>
      <c r="ET387" s="321"/>
      <c r="EU387" s="321"/>
      <c r="EV387" s="321"/>
      <c r="EW387" s="321"/>
      <c r="EX387" s="321"/>
      <c r="EY387" s="321"/>
      <c r="EZ387" s="321"/>
      <c r="FA387" s="321"/>
      <c r="FB387" s="321"/>
      <c r="FC387" s="321"/>
      <c r="FD387" s="564"/>
      <c r="FE387" s="483">
        <v>204</v>
      </c>
      <c r="FF387" s="321"/>
      <c r="FG387" s="321"/>
      <c r="FH387" s="321"/>
      <c r="FI387" s="321"/>
      <c r="FJ387" s="321"/>
      <c r="FK387" s="321"/>
      <c r="FL387" s="321"/>
      <c r="FM387" s="321"/>
      <c r="FN387" s="321"/>
      <c r="FO387" s="321"/>
      <c r="FP387" s="321"/>
      <c r="FQ387" s="321"/>
      <c r="FR387" s="321"/>
      <c r="FS387" s="321"/>
      <c r="FT387" s="564"/>
      <c r="FU387" s="483">
        <v>-129</v>
      </c>
      <c r="FV387" s="321"/>
      <c r="FW387" s="321"/>
      <c r="FX387" s="321"/>
      <c r="FY387" s="321"/>
      <c r="FZ387" s="321"/>
      <c r="GA387" s="321"/>
      <c r="GB387" s="321"/>
      <c r="GC387" s="321"/>
      <c r="GD387" s="321"/>
      <c r="GE387" s="321"/>
      <c r="GF387" s="321"/>
      <c r="GG387" s="321"/>
      <c r="GH387" s="321"/>
      <c r="GI387" s="321"/>
      <c r="GJ387" s="564"/>
      <c r="GK387" s="1365"/>
      <c r="GL387" s="446"/>
      <c r="GM387" s="446"/>
      <c r="GN387" s="446"/>
      <c r="GO387" s="440"/>
      <c r="GP387" s="433"/>
      <c r="GQ387" s="426"/>
      <c r="GR387" s="422"/>
      <c r="GS387" s="426"/>
      <c r="GT387" s="433"/>
      <c r="GU387" s="440"/>
      <c r="GV387" s="446"/>
      <c r="GW387" s="446"/>
      <c r="GX387" s="446"/>
      <c r="GY387" s="440"/>
      <c r="GZ387" s="1355"/>
      <c r="HA387" s="201"/>
      <c r="HB387" s="200"/>
      <c r="HC387" s="199"/>
      <c r="HD387" s="199"/>
      <c r="HE387" s="199"/>
      <c r="HF387" s="199"/>
      <c r="HG387" s="199"/>
      <c r="HH387" s="201"/>
      <c r="HI387" s="200"/>
      <c r="HJ387" s="199"/>
      <c r="HK387" s="199"/>
      <c r="HL387" s="199"/>
      <c r="HM387" s="199"/>
      <c r="HN387" s="199"/>
      <c r="HO387" s="201"/>
      <c r="HP387" s="199"/>
      <c r="HQ387" s="699"/>
      <c r="HR387" s="93"/>
      <c r="HS387" s="93"/>
      <c r="HT387" s="93"/>
      <c r="HU387" s="93"/>
      <c r="HV387" s="93"/>
      <c r="HW387" s="93"/>
      <c r="HX387" s="93"/>
      <c r="HY387" s="93"/>
      <c r="HZ387" s="93"/>
      <c r="IA387" s="93"/>
      <c r="IB387" s="93"/>
      <c r="IC387" s="93"/>
      <c r="ID387" s="93"/>
      <c r="IE387" s="93"/>
      <c r="IF387" s="79"/>
      <c r="IG387" s="1236">
        <v>208</v>
      </c>
      <c r="IH387" s="328"/>
      <c r="II387" s="161"/>
      <c r="IJ387" s="297"/>
      <c r="IK387" s="293"/>
      <c r="IL387" s="161"/>
      <c r="IM387" s="297"/>
      <c r="IN387" s="293"/>
      <c r="IO387" s="161"/>
      <c r="IP387" s="297"/>
      <c r="IQ387" s="293"/>
      <c r="IR387" s="161"/>
      <c r="IS387" s="297"/>
      <c r="IT387" s="161"/>
      <c r="IU387" s="328"/>
      <c r="IV387" s="1237"/>
    </row>
    <row r="388" spans="1:256" s="326" customFormat="1" ht="8.25" customHeight="1">
      <c r="A388" s="1236">
        <v>10000</v>
      </c>
      <c r="B388" s="328"/>
      <c r="C388" s="328"/>
      <c r="D388" s="294"/>
      <c r="E388" s="298"/>
      <c r="F388" s="201"/>
      <c r="G388" s="201"/>
      <c r="H388" s="291"/>
      <c r="I388" s="290"/>
      <c r="J388" s="207"/>
      <c r="K388" s="298"/>
      <c r="L388" s="290"/>
      <c r="M388" s="328"/>
      <c r="N388" s="328"/>
      <c r="O388" s="328"/>
      <c r="P388" s="1237"/>
      <c r="Q388" s="1236">
        <v>120</v>
      </c>
      <c r="R388" s="328"/>
      <c r="S388" s="328"/>
      <c r="T388" s="433"/>
      <c r="U388" s="433"/>
      <c r="V388" s="420"/>
      <c r="W388" s="409"/>
      <c r="X388" s="409"/>
      <c r="Y388" s="409"/>
      <c r="Z388" s="207"/>
      <c r="AA388" s="426"/>
      <c r="AB388" s="417"/>
      <c r="AC388" s="328"/>
      <c r="AD388" s="328"/>
      <c r="AE388" s="328"/>
      <c r="AF388" s="1237"/>
      <c r="AG388" s="1236"/>
      <c r="AH388" s="295"/>
      <c r="AI388" s="299"/>
      <c r="AJ388" s="295"/>
      <c r="AK388" s="299"/>
      <c r="AL388" s="295"/>
      <c r="AM388" s="299"/>
      <c r="AN388" s="199">
        <v>7</v>
      </c>
      <c r="AO388" s="302"/>
      <c r="AP388" s="295"/>
      <c r="AQ388" s="313"/>
      <c r="AR388" s="295"/>
      <c r="AS388" s="200">
        <v>8</v>
      </c>
      <c r="AT388" s="302"/>
      <c r="AU388" s="328"/>
      <c r="AV388" s="1237"/>
      <c r="AW388" s="299">
        <v>30000</v>
      </c>
      <c r="AX388" s="328"/>
      <c r="AY388" s="328"/>
      <c r="AZ388" s="299"/>
      <c r="BA388" s="299"/>
      <c r="BB388" s="328"/>
      <c r="BC388" s="328"/>
      <c r="BD388" s="328"/>
      <c r="BE388" s="295"/>
      <c r="BF388" s="299"/>
      <c r="BG388" s="299"/>
      <c r="BH388" s="193"/>
      <c r="BI388" s="193"/>
      <c r="BJ388" s="295"/>
      <c r="BK388" s="295"/>
      <c r="BL388" s="299"/>
      <c r="BM388" s="483">
        <v>100</v>
      </c>
      <c r="BN388" s="321"/>
      <c r="BO388" s="321"/>
      <c r="BP388" s="321"/>
      <c r="BQ388" s="321"/>
      <c r="BR388" s="321"/>
      <c r="BS388" s="321"/>
      <c r="BT388" s="321"/>
      <c r="BU388" s="321"/>
      <c r="BV388" s="321"/>
      <c r="BW388" s="321"/>
      <c r="BX388" s="321"/>
      <c r="BY388" s="321"/>
      <c r="BZ388" s="321"/>
      <c r="CA388" s="321"/>
      <c r="CB388" s="564"/>
      <c r="CC388" s="483">
        <v>100</v>
      </c>
      <c r="CD388" s="321"/>
      <c r="CE388" s="321"/>
      <c r="CF388" s="321"/>
      <c r="CG388" s="321"/>
      <c r="CH388" s="321"/>
      <c r="CI388" s="321"/>
      <c r="CJ388" s="321"/>
      <c r="CK388" s="321"/>
      <c r="CL388" s="321"/>
      <c r="CM388" s="321"/>
      <c r="CN388" s="321"/>
      <c r="CO388" s="321"/>
      <c r="CP388" s="321"/>
      <c r="CQ388" s="321"/>
      <c r="CR388" s="1351"/>
      <c r="CS388" s="1236">
        <v>100</v>
      </c>
      <c r="CT388" s="328"/>
      <c r="CU388" s="321"/>
      <c r="CV388" s="328"/>
      <c r="CW388" s="328"/>
      <c r="CX388" s="328"/>
      <c r="CY388" s="328"/>
      <c r="CZ388" s="328"/>
      <c r="DA388" s="328"/>
      <c r="DB388" s="328"/>
      <c r="DC388" s="328"/>
      <c r="DD388" s="328"/>
      <c r="DE388" s="328"/>
      <c r="DF388" s="328"/>
      <c r="DG388" s="328"/>
      <c r="DH388" s="1237"/>
      <c r="DI388" s="483"/>
      <c r="DJ388" s="328"/>
      <c r="DK388" s="321"/>
      <c r="DL388" s="328"/>
      <c r="DM388" s="328"/>
      <c r="DN388" s="328"/>
      <c r="DO388" s="328"/>
      <c r="DP388" s="328"/>
      <c r="DQ388" s="328"/>
      <c r="DR388" s="328"/>
      <c r="DS388" s="328"/>
      <c r="DT388" s="328"/>
      <c r="DU388" s="328"/>
      <c r="DV388" s="328"/>
      <c r="DW388" s="328"/>
      <c r="DX388" s="1237"/>
      <c r="DY388" s="483">
        <v>250</v>
      </c>
      <c r="DZ388" s="321"/>
      <c r="EA388" s="321"/>
      <c r="EB388" s="321"/>
      <c r="EC388" s="321"/>
      <c r="EK388" s="321"/>
      <c r="EL388" s="321"/>
      <c r="EM388" s="321"/>
      <c r="EN388" s="564"/>
      <c r="EO388" s="483">
        <v>250</v>
      </c>
      <c r="EP388" s="321"/>
      <c r="EQ388" s="321"/>
      <c r="ER388" s="321"/>
      <c r="ES388" s="321"/>
      <c r="ET388" s="321"/>
      <c r="EU388" s="321"/>
      <c r="EV388" s="321"/>
      <c r="EW388" s="321"/>
      <c r="EX388" s="321"/>
      <c r="EY388" s="321"/>
      <c r="EZ388" s="321"/>
      <c r="FA388" s="321"/>
      <c r="FB388" s="321"/>
      <c r="FC388" s="321"/>
      <c r="FD388" s="564"/>
      <c r="FE388" s="483">
        <v>160</v>
      </c>
      <c r="FF388" s="321"/>
      <c r="FG388" s="321"/>
      <c r="FH388" s="321"/>
      <c r="FI388" s="321"/>
      <c r="FJ388" s="321"/>
      <c r="FK388" s="321"/>
      <c r="FL388" s="321"/>
      <c r="FM388" s="321"/>
      <c r="FN388" s="321"/>
      <c r="FO388" s="321"/>
      <c r="FP388" s="321"/>
      <c r="FQ388" s="321"/>
      <c r="FR388" s="321"/>
      <c r="FS388" s="321"/>
      <c r="FT388" s="564"/>
      <c r="FU388" s="483">
        <v>180</v>
      </c>
      <c r="FV388" s="321"/>
      <c r="FW388" s="321"/>
      <c r="FX388" s="321"/>
      <c r="FY388" s="321"/>
      <c r="FZ388" s="321"/>
      <c r="GA388" s="321"/>
      <c r="GB388" s="321"/>
      <c r="GC388" s="321"/>
      <c r="GD388" s="321"/>
      <c r="GE388" s="321"/>
      <c r="GF388" s="321"/>
      <c r="GG388" s="321"/>
      <c r="GH388" s="321"/>
      <c r="GI388" s="321"/>
      <c r="GJ388" s="564"/>
      <c r="GK388" s="1365"/>
      <c r="GL388" s="446"/>
      <c r="GM388" s="446"/>
      <c r="GN388" s="440"/>
      <c r="GO388" s="440"/>
      <c r="GP388" s="433"/>
      <c r="GQ388" s="426"/>
      <c r="GR388" s="422"/>
      <c r="GS388" s="426"/>
      <c r="GT388" s="433"/>
      <c r="GU388" s="440"/>
      <c r="GV388" s="440"/>
      <c r="GW388" s="446"/>
      <c r="GX388" s="446"/>
      <c r="GY388" s="440"/>
      <c r="GZ388" s="1355"/>
      <c r="HA388" s="201"/>
      <c r="HB388" s="199"/>
      <c r="HC388" s="201"/>
      <c r="HD388" s="201"/>
      <c r="HE388" s="201"/>
      <c r="HF388" s="201"/>
      <c r="HG388" s="201"/>
      <c r="HH388" s="291"/>
      <c r="HI388" s="199"/>
      <c r="HJ388" s="201"/>
      <c r="HK388" s="201"/>
      <c r="HL388" s="201"/>
      <c r="HM388" s="201"/>
      <c r="HN388" s="201"/>
      <c r="HO388" s="291"/>
      <c r="HP388" s="199"/>
      <c r="HQ388" s="699"/>
      <c r="HR388" s="93"/>
      <c r="HS388" s="93"/>
      <c r="HT388" s="93"/>
      <c r="HU388" s="93"/>
      <c r="HV388" s="93"/>
      <c r="HW388" s="93"/>
      <c r="HX388" s="93"/>
      <c r="HY388" s="93"/>
      <c r="HZ388" s="93"/>
      <c r="IA388" s="93"/>
      <c r="IB388" s="93"/>
      <c r="IC388" s="93"/>
      <c r="ID388" s="93"/>
      <c r="IE388" s="93"/>
      <c r="IF388" s="79"/>
      <c r="IG388" s="1236">
        <v>30000</v>
      </c>
      <c r="IH388" s="328"/>
      <c r="II388" s="161"/>
      <c r="IJ388" s="297"/>
      <c r="IK388" s="293"/>
      <c r="IL388" s="161"/>
      <c r="IM388" s="301"/>
      <c r="IN388" s="293"/>
      <c r="IO388" s="161"/>
      <c r="IP388" s="301"/>
      <c r="IQ388" s="293"/>
      <c r="IR388" s="161"/>
      <c r="IS388" s="297"/>
      <c r="IT388" s="161"/>
      <c r="IU388" s="328"/>
      <c r="IV388" s="1237"/>
    </row>
    <row r="389" spans="1:256" s="326" customFormat="1" ht="8.25" customHeight="1">
      <c r="A389" s="1236"/>
      <c r="B389" s="328"/>
      <c r="C389" s="328"/>
      <c r="D389" s="328"/>
      <c r="E389" s="291"/>
      <c r="F389" s="199"/>
      <c r="G389" s="204"/>
      <c r="H389" s="308"/>
      <c r="I389" s="204"/>
      <c r="J389" s="290"/>
      <c r="K389" s="290"/>
      <c r="L389" s="328"/>
      <c r="M389" s="328"/>
      <c r="N389" s="328"/>
      <c r="O389" s="328"/>
      <c r="P389" s="1237"/>
      <c r="Q389" s="1236"/>
      <c r="R389" s="328"/>
      <c r="S389" s="328"/>
      <c r="T389" s="328"/>
      <c r="U389" s="420"/>
      <c r="V389" s="409"/>
      <c r="W389" s="207"/>
      <c r="X389" s="207"/>
      <c r="Y389" s="207"/>
      <c r="Z389" s="199"/>
      <c r="AA389" s="409"/>
      <c r="AB389" s="328"/>
      <c r="AC389" s="328"/>
      <c r="AD389" s="328"/>
      <c r="AE389" s="328"/>
      <c r="AF389" s="1237"/>
      <c r="AG389" s="1236"/>
      <c r="AH389" s="295">
        <v>7</v>
      </c>
      <c r="AI389" s="299"/>
      <c r="AJ389" s="299">
        <v>8</v>
      </c>
      <c r="AK389" s="299"/>
      <c r="AL389" s="295"/>
      <c r="AM389" s="299"/>
      <c r="AN389" s="199">
        <v>7</v>
      </c>
      <c r="AO389" s="302"/>
      <c r="AP389" s="304"/>
      <c r="AQ389" s="313"/>
      <c r="AR389" s="295"/>
      <c r="AS389" s="200">
        <v>8</v>
      </c>
      <c r="AT389" s="302"/>
      <c r="AU389" s="328"/>
      <c r="AV389" s="1237"/>
      <c r="AW389" s="1236"/>
      <c r="AX389" s="299"/>
      <c r="AY389" s="295"/>
      <c r="AZ389" s="328"/>
      <c r="BA389" s="299"/>
      <c r="BB389" s="295"/>
      <c r="BC389" s="328"/>
      <c r="BD389" s="328"/>
      <c r="BE389" s="299"/>
      <c r="BF389" s="302"/>
      <c r="BG389" s="295"/>
      <c r="BH389" s="193"/>
      <c r="BI389" s="290"/>
      <c r="BJ389" s="193"/>
      <c r="BK389" s="193"/>
      <c r="BL389" s="295"/>
      <c r="BM389" s="483">
        <v>100</v>
      </c>
      <c r="BN389" s="321"/>
      <c r="BO389" s="321"/>
      <c r="BP389" s="321"/>
      <c r="BQ389" s="321"/>
      <c r="BR389" s="321"/>
      <c r="BS389" s="321"/>
      <c r="BT389" s="321"/>
      <c r="BU389" s="321"/>
      <c r="BV389" s="321"/>
      <c r="BW389" s="321"/>
      <c r="BX389" s="321"/>
      <c r="BY389" s="321"/>
      <c r="BZ389" s="321"/>
      <c r="CA389" s="321"/>
      <c r="CB389" s="564"/>
      <c r="CC389" s="483">
        <v>100</v>
      </c>
      <c r="CD389" s="321"/>
      <c r="CE389" s="321"/>
      <c r="CF389" s="321"/>
      <c r="CG389" s="321"/>
      <c r="CH389" s="321"/>
      <c r="CI389" s="321"/>
      <c r="CJ389" s="321"/>
      <c r="CK389" s="321"/>
      <c r="CL389" s="321"/>
      <c r="CM389" s="321"/>
      <c r="CN389" s="321"/>
      <c r="CO389" s="321"/>
      <c r="CP389" s="321"/>
      <c r="CQ389" s="321"/>
      <c r="CR389" s="1351"/>
      <c r="CS389" s="1236"/>
      <c r="CT389" s="328"/>
      <c r="CU389" s="321"/>
      <c r="CV389" s="328"/>
      <c r="CW389" s="328"/>
      <c r="CX389" s="328"/>
      <c r="CY389" s="328"/>
      <c r="CZ389" s="328"/>
      <c r="DA389" s="328"/>
      <c r="DB389" s="328"/>
      <c r="DC389" s="328"/>
      <c r="DD389" s="328"/>
      <c r="DE389" s="328"/>
      <c r="DF389" s="328"/>
      <c r="DG389" s="328"/>
      <c r="DH389" s="1237"/>
      <c r="DI389" s="483"/>
      <c r="DJ389" s="328"/>
      <c r="DK389" s="321"/>
      <c r="DL389" s="328"/>
      <c r="DM389" s="328"/>
      <c r="DN389" s="328"/>
      <c r="DO389" s="328"/>
      <c r="DP389" s="328"/>
      <c r="DQ389" s="328"/>
      <c r="DR389" s="328"/>
      <c r="DS389" s="328"/>
      <c r="DT389" s="328"/>
      <c r="DU389" s="328"/>
      <c r="DV389" s="328"/>
      <c r="DW389" s="328"/>
      <c r="DX389" s="1237"/>
      <c r="DY389" s="483">
        <v>20</v>
      </c>
      <c r="DZ389" s="321"/>
      <c r="EA389" s="321"/>
      <c r="EB389" s="321"/>
      <c r="EC389" s="321"/>
      <c r="EK389" s="321"/>
      <c r="EL389" s="321"/>
      <c r="EM389" s="321"/>
      <c r="EN389" s="564"/>
      <c r="EO389" s="483">
        <v>20</v>
      </c>
      <c r="EP389" s="321"/>
      <c r="EQ389" s="321"/>
      <c r="ER389" s="321"/>
      <c r="ES389" s="321"/>
      <c r="ET389" s="321"/>
      <c r="EU389" s="321"/>
      <c r="EV389" s="321"/>
      <c r="EW389" s="321"/>
      <c r="EX389" s="321"/>
      <c r="EY389" s="321"/>
      <c r="EZ389" s="321"/>
      <c r="FA389" s="321"/>
      <c r="FB389" s="321"/>
      <c r="FC389" s="321"/>
      <c r="FD389" s="564"/>
      <c r="FE389" s="483"/>
      <c r="FF389" s="321"/>
      <c r="FG389" s="321"/>
      <c r="FH389" s="321"/>
      <c r="FI389" s="321"/>
      <c r="FJ389" s="321"/>
      <c r="FK389" s="321"/>
      <c r="FL389" s="321"/>
      <c r="FM389" s="321"/>
      <c r="FN389" s="321"/>
      <c r="FO389" s="321"/>
      <c r="FP389" s="321"/>
      <c r="FQ389" s="321"/>
      <c r="FR389" s="321"/>
      <c r="FS389" s="321"/>
      <c r="FT389" s="564"/>
      <c r="FU389" s="483"/>
      <c r="FV389" s="321"/>
      <c r="FW389" s="321"/>
      <c r="FX389" s="321"/>
      <c r="FY389" s="321"/>
      <c r="FZ389" s="321"/>
      <c r="GA389" s="321"/>
      <c r="GB389" s="321"/>
      <c r="GC389" s="321"/>
      <c r="GD389" s="321"/>
      <c r="GE389" s="321"/>
      <c r="GF389" s="321"/>
      <c r="GG389" s="321"/>
      <c r="GH389" s="321"/>
      <c r="GI389" s="321"/>
      <c r="GJ389" s="564"/>
      <c r="GK389" s="1365"/>
      <c r="GL389" s="440"/>
      <c r="GM389" s="440"/>
      <c r="GN389" s="440"/>
      <c r="GO389" s="433"/>
      <c r="GP389" s="433"/>
      <c r="GQ389" s="426"/>
      <c r="GR389" s="422"/>
      <c r="GS389" s="426"/>
      <c r="GT389" s="433"/>
      <c r="GU389" s="433"/>
      <c r="GV389" s="440"/>
      <c r="GW389" s="440"/>
      <c r="GX389" s="440"/>
      <c r="GY389" s="440"/>
      <c r="GZ389" s="1355"/>
      <c r="HA389" s="201"/>
      <c r="HB389" s="199"/>
      <c r="HC389" s="199"/>
      <c r="HD389" s="201"/>
      <c r="HE389" s="201"/>
      <c r="HF389" s="201"/>
      <c r="HG389" s="291"/>
      <c r="HH389" s="291"/>
      <c r="HI389" s="199"/>
      <c r="HJ389" s="199"/>
      <c r="HK389" s="201"/>
      <c r="HL389" s="201"/>
      <c r="HM389" s="201"/>
      <c r="HN389" s="291"/>
      <c r="HO389" s="291"/>
      <c r="HP389" s="201"/>
      <c r="HQ389" s="699"/>
      <c r="HR389" s="93"/>
      <c r="HS389" s="93"/>
      <c r="HT389" s="93"/>
      <c r="HU389" s="93"/>
      <c r="HV389" s="93"/>
      <c r="HW389" s="93"/>
      <c r="HX389" s="93"/>
      <c r="HY389" s="93"/>
      <c r="HZ389" s="93"/>
      <c r="IA389" s="93"/>
      <c r="IB389" s="93"/>
      <c r="IC389" s="93"/>
      <c r="ID389" s="93"/>
      <c r="IE389" s="93"/>
      <c r="IF389" s="79"/>
      <c r="IG389" s="1236"/>
      <c r="IH389" s="328"/>
      <c r="II389" s="161"/>
      <c r="IJ389" s="297"/>
      <c r="IK389" s="293"/>
      <c r="IL389" s="161"/>
      <c r="IM389" s="297"/>
      <c r="IN389" s="293"/>
      <c r="IO389" s="161"/>
      <c r="IP389" s="297"/>
      <c r="IQ389" s="293"/>
      <c r="IR389" s="161"/>
      <c r="IS389" s="297"/>
      <c r="IT389" s="161"/>
      <c r="IU389" s="328"/>
      <c r="IV389" s="1237"/>
    </row>
    <row r="390" spans="1:256" s="326" customFormat="1" ht="8.25" customHeight="1">
      <c r="A390" s="1236"/>
      <c r="B390" s="328"/>
      <c r="C390" s="328"/>
      <c r="D390" s="328"/>
      <c r="E390" s="298"/>
      <c r="F390" s="207"/>
      <c r="G390" s="201"/>
      <c r="H390" s="201"/>
      <c r="I390" s="291"/>
      <c r="J390" s="291"/>
      <c r="K390" s="298"/>
      <c r="L390" s="328"/>
      <c r="M390" s="328"/>
      <c r="N390" s="328"/>
      <c r="O390" s="328"/>
      <c r="P390" s="1237"/>
      <c r="Q390" s="1236"/>
      <c r="R390" s="328"/>
      <c r="S390" s="328"/>
      <c r="T390" s="328"/>
      <c r="U390" s="207"/>
      <c r="V390" s="207"/>
      <c r="W390" s="199"/>
      <c r="X390" s="199"/>
      <c r="Y390" s="199"/>
      <c r="Z390" s="409"/>
      <c r="AA390" s="426"/>
      <c r="AB390" s="328"/>
      <c r="AC390" s="328"/>
      <c r="AD390" s="328"/>
      <c r="AE390" s="328"/>
      <c r="AF390" s="1237"/>
      <c r="AG390" s="1236"/>
      <c r="AH390" s="295">
        <v>7</v>
      </c>
      <c r="AI390" s="299"/>
      <c r="AJ390" s="299">
        <v>8</v>
      </c>
      <c r="AK390" s="299">
        <v>8</v>
      </c>
      <c r="AL390" s="295"/>
      <c r="AM390" s="299"/>
      <c r="AN390" s="199">
        <v>7</v>
      </c>
      <c r="AO390" s="302"/>
      <c r="AP390" s="304"/>
      <c r="AQ390" s="313">
        <v>11</v>
      </c>
      <c r="AR390" s="295"/>
      <c r="AS390" s="199">
        <v>7</v>
      </c>
      <c r="AT390" s="302">
        <v>10</v>
      </c>
      <c r="AU390" s="328"/>
      <c r="AV390" s="1237"/>
      <c r="AW390" s="1236"/>
      <c r="AX390" s="328"/>
      <c r="AY390" s="328"/>
      <c r="AZ390" s="328"/>
      <c r="BA390" s="328"/>
      <c r="BB390" s="299"/>
      <c r="BC390" s="295"/>
      <c r="BD390" s="295"/>
      <c r="BE390" s="302"/>
      <c r="BF390" s="299"/>
      <c r="BG390" s="193"/>
      <c r="BH390" s="290"/>
      <c r="BI390" s="290"/>
      <c r="BJ390" s="291"/>
      <c r="BK390" s="193"/>
      <c r="BL390" s="193"/>
      <c r="BM390" s="483">
        <v>199</v>
      </c>
      <c r="BN390" s="321"/>
      <c r="BO390" s="321"/>
      <c r="BP390" s="321"/>
      <c r="BQ390" s="321"/>
      <c r="BR390" s="321"/>
      <c r="BS390" s="321"/>
      <c r="BT390" s="321"/>
      <c r="BU390" s="321"/>
      <c r="BV390" s="321"/>
      <c r="BW390" s="321"/>
      <c r="BX390" s="321"/>
      <c r="BY390" s="321"/>
      <c r="BZ390" s="321"/>
      <c r="CA390" s="321"/>
      <c r="CB390" s="564"/>
      <c r="CC390" s="483">
        <v>199</v>
      </c>
      <c r="CD390" s="321"/>
      <c r="CE390" s="321"/>
      <c r="CF390" s="321"/>
      <c r="CG390" s="321"/>
      <c r="CH390" s="321"/>
      <c r="CI390" s="321"/>
      <c r="CJ390" s="321"/>
      <c r="CK390" s="321"/>
      <c r="CL390" s="321"/>
      <c r="CM390" s="321"/>
      <c r="CN390" s="321"/>
      <c r="CO390" s="321"/>
      <c r="CP390" s="321"/>
      <c r="CQ390" s="321"/>
      <c r="CR390" s="1351"/>
      <c r="CS390" s="1236"/>
      <c r="CT390" s="328"/>
      <c r="CU390" s="321"/>
      <c r="CV390" s="328"/>
      <c r="CW390" s="328"/>
      <c r="CX390" s="328"/>
      <c r="CY390" s="328"/>
      <c r="CZ390" s="328"/>
      <c r="DA390" s="328"/>
      <c r="DB390" s="328"/>
      <c r="DC390" s="328"/>
      <c r="DD390" s="328"/>
      <c r="DE390" s="328"/>
      <c r="DF390" s="328"/>
      <c r="DG390" s="328"/>
      <c r="DH390" s="1237"/>
      <c r="DI390" s="483"/>
      <c r="DJ390" s="328"/>
      <c r="DK390" s="321"/>
      <c r="DL390" s="328"/>
      <c r="DM390" s="328"/>
      <c r="DN390" s="328"/>
      <c r="DO390" s="328"/>
      <c r="DP390" s="328"/>
      <c r="DQ390" s="328"/>
      <c r="DR390" s="328"/>
      <c r="DS390" s="328"/>
      <c r="DT390" s="328"/>
      <c r="DU390" s="328"/>
      <c r="DV390" s="328"/>
      <c r="DW390" s="328"/>
      <c r="DX390" s="1237"/>
      <c r="DY390" s="483">
        <v>203</v>
      </c>
      <c r="DZ390" s="321"/>
      <c r="EA390" s="321"/>
      <c r="EB390" s="321"/>
      <c r="EC390" s="321"/>
      <c r="EK390" s="321"/>
      <c r="EL390" s="321"/>
      <c r="EM390" s="321"/>
      <c r="EN390" s="564"/>
      <c r="EO390" s="483">
        <v>203</v>
      </c>
      <c r="EP390" s="321"/>
      <c r="EQ390" s="321"/>
      <c r="ER390" s="321"/>
      <c r="ES390" s="321"/>
      <c r="ET390" s="321"/>
      <c r="EU390" s="321"/>
      <c r="EV390" s="321"/>
      <c r="EW390" s="321"/>
      <c r="EX390" s="321"/>
      <c r="EY390" s="321"/>
      <c r="EZ390" s="321"/>
      <c r="FA390" s="321"/>
      <c r="FB390" s="321"/>
      <c r="FC390" s="321"/>
      <c r="FD390" s="564"/>
      <c r="FE390" s="483"/>
      <c r="FF390" s="321"/>
      <c r="FG390" s="321"/>
      <c r="FH390" s="321"/>
      <c r="FI390" s="321"/>
      <c r="FJ390" s="321"/>
      <c r="FK390" s="321"/>
      <c r="FL390" s="321"/>
      <c r="FM390" s="321"/>
      <c r="FN390" s="321"/>
      <c r="FO390" s="321"/>
      <c r="FP390" s="321"/>
      <c r="FQ390" s="321"/>
      <c r="FR390" s="321"/>
      <c r="FS390" s="321"/>
      <c r="FT390" s="564"/>
      <c r="FU390" s="483"/>
      <c r="FV390" s="321"/>
      <c r="FW390" s="321">
        <v>5</v>
      </c>
      <c r="FX390" s="321"/>
      <c r="FY390" s="321"/>
      <c r="FZ390" s="321"/>
      <c r="GA390" s="321"/>
      <c r="GB390" s="321"/>
      <c r="GC390" s="321"/>
      <c r="GD390" s="321"/>
      <c r="GE390" s="321"/>
      <c r="GF390" s="321"/>
      <c r="GG390" s="321"/>
      <c r="GH390" s="321"/>
      <c r="GI390" s="321"/>
      <c r="GJ390" s="564"/>
      <c r="GK390" s="1341"/>
      <c r="GL390" s="433"/>
      <c r="GM390" s="433"/>
      <c r="GN390" s="433"/>
      <c r="GO390" s="433"/>
      <c r="GP390" s="426"/>
      <c r="GQ390" s="426"/>
      <c r="GR390" s="422"/>
      <c r="GS390" s="426"/>
      <c r="GT390" s="426"/>
      <c r="GU390" s="433"/>
      <c r="GV390" s="433"/>
      <c r="GW390" s="433"/>
      <c r="GX390" s="433"/>
      <c r="GY390" s="433"/>
      <c r="GZ390" s="1366"/>
      <c r="HA390" s="201"/>
      <c r="HB390" s="199"/>
      <c r="HC390" s="199"/>
      <c r="HD390" s="201"/>
      <c r="HE390" s="201"/>
      <c r="HF390" s="201"/>
      <c r="HG390" s="291"/>
      <c r="HH390" s="291"/>
      <c r="HI390" s="199"/>
      <c r="HJ390" s="199"/>
      <c r="HK390" s="201"/>
      <c r="HL390" s="201"/>
      <c r="HM390" s="201"/>
      <c r="HN390" s="291"/>
      <c r="HO390" s="291"/>
      <c r="HP390" s="201"/>
      <c r="HQ390" s="699"/>
      <c r="HR390" s="93"/>
      <c r="HS390" s="93"/>
      <c r="HT390" s="93"/>
      <c r="HU390" s="93"/>
      <c r="HV390" s="93"/>
      <c r="HW390" s="93"/>
      <c r="HX390" s="93"/>
      <c r="HY390" s="93"/>
      <c r="HZ390" s="93"/>
      <c r="IA390" s="93"/>
      <c r="IB390" s="93"/>
      <c r="IC390" s="93"/>
      <c r="ID390" s="93"/>
      <c r="IE390" s="93"/>
      <c r="IF390" s="79"/>
      <c r="IG390" s="1236"/>
      <c r="IH390" s="328"/>
      <c r="II390" s="161"/>
      <c r="IJ390" s="297"/>
      <c r="IK390" s="293"/>
      <c r="IL390" s="161"/>
      <c r="IM390" s="301"/>
      <c r="IN390" s="293"/>
      <c r="IO390" s="161"/>
      <c r="IP390" s="301"/>
      <c r="IQ390" s="293"/>
      <c r="IR390" s="161"/>
      <c r="IS390" s="297"/>
      <c r="IT390" s="161"/>
      <c r="IU390" s="328"/>
      <c r="IV390" s="1237"/>
    </row>
    <row r="391" spans="1:256" s="326" customFormat="1" ht="8.25" customHeight="1">
      <c r="A391" s="1236"/>
      <c r="B391" s="328"/>
      <c r="C391" s="328"/>
      <c r="D391" s="328"/>
      <c r="E391" s="328"/>
      <c r="F391" s="291"/>
      <c r="G391" s="199"/>
      <c r="H391" s="204"/>
      <c r="I391" s="207"/>
      <c r="J391" s="298"/>
      <c r="K391" s="328"/>
      <c r="L391" s="328"/>
      <c r="M391" s="328"/>
      <c r="N391" s="328"/>
      <c r="O391" s="328"/>
      <c r="P391" s="1237"/>
      <c r="Q391" s="1236"/>
      <c r="R391" s="328"/>
      <c r="S391" s="328"/>
      <c r="T391" s="328"/>
      <c r="U391" s="328"/>
      <c r="V391" s="199"/>
      <c r="W391" s="409"/>
      <c r="X391" s="204"/>
      <c r="Y391" s="204"/>
      <c r="Z391" s="204"/>
      <c r="AA391" s="328"/>
      <c r="AB391" s="328"/>
      <c r="AC391" s="328"/>
      <c r="AD391" s="328"/>
      <c r="AE391" s="328"/>
      <c r="AF391" s="1237"/>
      <c r="AG391" s="1236"/>
      <c r="AH391" s="302">
        <v>9</v>
      </c>
      <c r="AI391" s="299"/>
      <c r="AJ391" s="304"/>
      <c r="AK391" s="299">
        <v>8</v>
      </c>
      <c r="AL391" s="295"/>
      <c r="AM391" s="299">
        <v>8</v>
      </c>
      <c r="AN391" s="200">
        <v>8</v>
      </c>
      <c r="AO391" s="302"/>
      <c r="AP391" s="304">
        <v>11</v>
      </c>
      <c r="AQ391" s="304"/>
      <c r="AR391" s="295"/>
      <c r="AS391" s="199">
        <v>7</v>
      </c>
      <c r="AT391" s="309">
        <v>11</v>
      </c>
      <c r="AU391" s="328"/>
      <c r="AV391" s="1237"/>
      <c r="AW391" s="1236"/>
      <c r="AX391" s="328"/>
      <c r="AY391" s="328"/>
      <c r="AZ391" s="328"/>
      <c r="BA391" s="328"/>
      <c r="BB391" s="295"/>
      <c r="BC391" s="299"/>
      <c r="BD391" s="299"/>
      <c r="BE391" s="302"/>
      <c r="BF391" s="295"/>
      <c r="BG391" s="193"/>
      <c r="BH391" s="290"/>
      <c r="BI391" s="294"/>
      <c r="BJ391" s="290"/>
      <c r="BK391" s="291"/>
      <c r="BL391" s="193"/>
      <c r="BM391" s="483"/>
      <c r="BN391" s="321"/>
      <c r="BO391" s="321"/>
      <c r="BP391" s="321"/>
      <c r="BQ391" s="321"/>
      <c r="BR391" s="321"/>
      <c r="BS391" s="321"/>
      <c r="BT391" s="321"/>
      <c r="BU391" s="321"/>
      <c r="BV391" s="321"/>
      <c r="BW391" s="321"/>
      <c r="BX391" s="321"/>
      <c r="BY391" s="321"/>
      <c r="BZ391" s="321"/>
      <c r="CA391" s="321"/>
      <c r="CB391" s="564"/>
      <c r="CC391" s="483"/>
      <c r="CD391" s="321"/>
      <c r="CE391" s="321"/>
      <c r="CF391" s="321"/>
      <c r="CG391" s="321"/>
      <c r="CH391" s="321"/>
      <c r="CI391" s="321"/>
      <c r="CJ391" s="321"/>
      <c r="CK391" s="321"/>
      <c r="CL391" s="321"/>
      <c r="CM391" s="321"/>
      <c r="CN391" s="321"/>
      <c r="CO391" s="321"/>
      <c r="CP391" s="321"/>
      <c r="CQ391" s="321"/>
      <c r="CR391" s="1351"/>
      <c r="CS391" s="1236"/>
      <c r="CT391" s="328"/>
      <c r="CU391" s="321"/>
      <c r="CV391" s="328"/>
      <c r="CW391" s="328"/>
      <c r="CX391" s="328"/>
      <c r="CY391" s="328"/>
      <c r="CZ391" s="328"/>
      <c r="DA391" s="328"/>
      <c r="DB391" s="328"/>
      <c r="DC391" s="328"/>
      <c r="DD391" s="328"/>
      <c r="DE391" s="328"/>
      <c r="DF391" s="328"/>
      <c r="DG391" s="328"/>
      <c r="DH391" s="1237"/>
      <c r="DI391" s="483"/>
      <c r="DJ391" s="328"/>
      <c r="DK391" s="321"/>
      <c r="DL391" s="328"/>
      <c r="DM391" s="328"/>
      <c r="DN391" s="328"/>
      <c r="DO391" s="328"/>
      <c r="DP391" s="328"/>
      <c r="DQ391" s="328"/>
      <c r="DR391" s="328"/>
      <c r="DS391" s="328"/>
      <c r="DT391" s="328"/>
      <c r="DU391" s="328"/>
      <c r="DV391" s="328"/>
      <c r="DW391" s="328"/>
      <c r="DX391" s="1237"/>
      <c r="DY391" s="483"/>
      <c r="DZ391" s="321"/>
      <c r="EA391" s="321"/>
      <c r="EB391" s="321"/>
      <c r="EC391" s="321"/>
      <c r="EK391" s="321"/>
      <c r="EL391" s="321"/>
      <c r="EM391" s="321"/>
      <c r="EN391" s="564"/>
      <c r="EO391" s="483"/>
      <c r="EP391" s="321"/>
      <c r="EQ391" s="321"/>
      <c r="ER391" s="321"/>
      <c r="ES391" s="321"/>
      <c r="ET391" s="321"/>
      <c r="EU391" s="321"/>
      <c r="EV391" s="321"/>
      <c r="EW391" s="321"/>
      <c r="EX391" s="321"/>
      <c r="EY391" s="321"/>
      <c r="EZ391" s="321"/>
      <c r="FA391" s="321"/>
      <c r="FB391" s="321"/>
      <c r="FC391" s="321"/>
      <c r="FD391" s="564"/>
      <c r="FE391" s="483"/>
      <c r="FF391" s="321"/>
      <c r="FG391" s="321"/>
      <c r="FH391" s="321"/>
      <c r="FI391" s="321"/>
      <c r="FJ391" s="321"/>
      <c r="FK391" s="321"/>
      <c r="FL391" s="321"/>
      <c r="FM391" s="321"/>
      <c r="FN391" s="321"/>
      <c r="FO391" s="321"/>
      <c r="FP391" s="321"/>
      <c r="FQ391" s="321"/>
      <c r="FR391" s="321"/>
      <c r="FS391" s="321"/>
      <c r="FT391" s="564"/>
      <c r="FU391" s="483"/>
      <c r="FV391" s="321"/>
      <c r="FW391" s="321">
        <v>5</v>
      </c>
      <c r="FX391" s="321"/>
      <c r="FY391" s="321"/>
      <c r="FZ391" s="321"/>
      <c r="GA391" s="321"/>
      <c r="GB391" s="321"/>
      <c r="GC391" s="321"/>
      <c r="GD391" s="321"/>
      <c r="GE391" s="321"/>
      <c r="GF391" s="321"/>
      <c r="GG391" s="321">
        <v>5</v>
      </c>
      <c r="GH391" s="321">
        <v>5</v>
      </c>
      <c r="GI391" s="321"/>
      <c r="GJ391" s="564"/>
      <c r="GK391" s="1367"/>
      <c r="GL391" s="426"/>
      <c r="GM391" s="426"/>
      <c r="GN391" s="426"/>
      <c r="GO391" s="426"/>
      <c r="GP391" s="426"/>
      <c r="GQ391" s="422"/>
      <c r="GR391" s="422"/>
      <c r="GS391" s="422"/>
      <c r="GT391" s="426"/>
      <c r="GU391" s="426"/>
      <c r="GV391" s="426"/>
      <c r="GW391" s="426"/>
      <c r="GX391" s="426"/>
      <c r="GY391" s="426"/>
      <c r="GZ391" s="1368"/>
      <c r="HA391" s="201"/>
      <c r="HB391" s="199"/>
      <c r="HC391" s="201"/>
      <c r="HD391" s="291"/>
      <c r="HE391" s="201"/>
      <c r="HF391" s="291"/>
      <c r="HG391" s="201"/>
      <c r="HH391" s="291"/>
      <c r="HI391" s="199"/>
      <c r="HJ391" s="201"/>
      <c r="HK391" s="291"/>
      <c r="HL391" s="201"/>
      <c r="HM391" s="291"/>
      <c r="HN391" s="201"/>
      <c r="HO391" s="291"/>
      <c r="HP391" s="201"/>
      <c r="HQ391" s="699"/>
      <c r="HR391" s="93"/>
      <c r="HS391" s="93"/>
      <c r="HT391" s="93"/>
      <c r="HU391" s="293"/>
      <c r="HV391" s="293"/>
      <c r="HW391" s="297"/>
      <c r="HX391" s="297"/>
      <c r="HY391" s="297"/>
      <c r="HZ391" s="297"/>
      <c r="IA391" s="293"/>
      <c r="IB391" s="293"/>
      <c r="IC391" s="93"/>
      <c r="ID391" s="93"/>
      <c r="IE391" s="93"/>
      <c r="IF391" s="79"/>
      <c r="IG391" s="1236"/>
      <c r="IH391" s="328"/>
      <c r="II391" s="161"/>
      <c r="IJ391" s="297"/>
      <c r="IK391" s="293"/>
      <c r="IL391" s="161"/>
      <c r="IM391" s="297"/>
      <c r="IN391" s="293"/>
      <c r="IO391" s="161"/>
      <c r="IP391" s="297"/>
      <c r="IQ391" s="293"/>
      <c r="IR391" s="161"/>
      <c r="IS391" s="297"/>
      <c r="IT391" s="161"/>
      <c r="IU391" s="328"/>
      <c r="IV391" s="1237"/>
    </row>
    <row r="392" spans="1:256" s="326" customFormat="1" ht="8.25" customHeight="1">
      <c r="A392" s="1236"/>
      <c r="B392" s="328"/>
      <c r="C392" s="328"/>
      <c r="D392" s="328"/>
      <c r="E392" s="328"/>
      <c r="F392" s="298"/>
      <c r="G392" s="207"/>
      <c r="H392" s="201"/>
      <c r="I392" s="291"/>
      <c r="J392" s="290"/>
      <c r="K392" s="328"/>
      <c r="L392" s="328"/>
      <c r="M392" s="328"/>
      <c r="N392" s="328"/>
      <c r="O392" s="328"/>
      <c r="P392" s="1237"/>
      <c r="Q392" s="1236"/>
      <c r="R392" s="328"/>
      <c r="S392" s="328"/>
      <c r="T392" s="328"/>
      <c r="U392" s="328"/>
      <c r="V392" s="308"/>
      <c r="W392" s="308"/>
      <c r="X392" s="305"/>
      <c r="Y392" s="200"/>
      <c r="Z392" s="199"/>
      <c r="AA392" s="328"/>
      <c r="AB392" s="328"/>
      <c r="AC392" s="328"/>
      <c r="AD392" s="328"/>
      <c r="AE392" s="328"/>
      <c r="AF392" s="1237"/>
      <c r="AG392" s="1236"/>
      <c r="AH392" s="304">
        <v>10</v>
      </c>
      <c r="AI392" s="299">
        <v>8</v>
      </c>
      <c r="AJ392" s="304"/>
      <c r="AK392" s="299">
        <v>8</v>
      </c>
      <c r="AL392" s="295">
        <v>7</v>
      </c>
      <c r="AM392" s="299">
        <v>8</v>
      </c>
      <c r="AN392" s="200">
        <v>8</v>
      </c>
      <c r="AO392" s="295">
        <v>7</v>
      </c>
      <c r="AP392" s="302">
        <v>10</v>
      </c>
      <c r="AQ392" s="304">
        <v>10</v>
      </c>
      <c r="AR392" s="295"/>
      <c r="AS392" s="199"/>
      <c r="AT392" s="309">
        <v>10</v>
      </c>
      <c r="AU392" s="328"/>
      <c r="AV392" s="1237"/>
      <c r="AW392" s="1236"/>
      <c r="AX392" s="328"/>
      <c r="AY392" s="328"/>
      <c r="AZ392" s="328"/>
      <c r="BA392" s="328"/>
      <c r="BB392" s="328"/>
      <c r="BC392" s="295"/>
      <c r="BD392" s="299"/>
      <c r="BE392" s="299"/>
      <c r="BF392" s="193"/>
      <c r="BG392" s="193"/>
      <c r="BH392" s="290"/>
      <c r="BI392" s="298"/>
      <c r="BJ392" s="294"/>
      <c r="BK392" s="290"/>
      <c r="BL392" s="201"/>
      <c r="BM392" s="483"/>
      <c r="BN392" s="321"/>
      <c r="BO392" s="321"/>
      <c r="BP392" s="321"/>
      <c r="BQ392" s="321"/>
      <c r="BR392" s="321"/>
      <c r="BS392" s="321"/>
      <c r="BT392" s="321"/>
      <c r="BU392" s="321"/>
      <c r="BV392" s="321"/>
      <c r="BW392" s="321"/>
      <c r="BX392" s="321"/>
      <c r="BY392" s="321"/>
      <c r="BZ392" s="321"/>
      <c r="CA392" s="321"/>
      <c r="CB392" s="564"/>
      <c r="CC392" s="483"/>
      <c r="CD392" s="321"/>
      <c r="CE392" s="321"/>
      <c r="CF392" s="321"/>
      <c r="CG392" s="321"/>
      <c r="CH392" s="321"/>
      <c r="CI392" s="321"/>
      <c r="CJ392" s="321"/>
      <c r="CK392" s="321"/>
      <c r="CL392" s="321"/>
      <c r="CM392" s="321"/>
      <c r="CN392" s="321"/>
      <c r="CO392" s="321"/>
      <c r="CP392" s="321"/>
      <c r="CQ392" s="321"/>
      <c r="CR392" s="1351"/>
      <c r="CS392" s="1236"/>
      <c r="CT392" s="328"/>
      <c r="CU392" s="321"/>
      <c r="CV392" s="328"/>
      <c r="CW392" s="328"/>
      <c r="CX392" s="328"/>
      <c r="CY392" s="328"/>
      <c r="CZ392" s="328"/>
      <c r="DA392" s="328"/>
      <c r="DB392" s="328"/>
      <c r="DC392" s="328"/>
      <c r="DD392" s="328"/>
      <c r="DE392" s="328"/>
      <c r="DF392" s="328"/>
      <c r="DG392" s="328"/>
      <c r="DH392" s="1237"/>
      <c r="DI392" s="483"/>
      <c r="DJ392" s="328"/>
      <c r="DK392" s="321"/>
      <c r="DL392" s="328"/>
      <c r="DM392" s="328"/>
      <c r="DN392" s="328"/>
      <c r="DO392" s="328"/>
      <c r="DP392" s="328"/>
      <c r="DQ392" s="328"/>
      <c r="DR392" s="328"/>
      <c r="DS392" s="328"/>
      <c r="DT392" s="328"/>
      <c r="DU392" s="328"/>
      <c r="DV392" s="328"/>
      <c r="DW392" s="328"/>
      <c r="DX392" s="1237"/>
      <c r="DY392" s="483"/>
      <c r="DZ392" s="321"/>
      <c r="EA392" s="321"/>
      <c r="EB392" s="321"/>
      <c r="EC392" s="321"/>
      <c r="EK392" s="321"/>
      <c r="EL392" s="321"/>
      <c r="EM392" s="321"/>
      <c r="EN392" s="564"/>
      <c r="EO392" s="483"/>
      <c r="EP392" s="321"/>
      <c r="EQ392" s="321"/>
      <c r="ER392" s="321"/>
      <c r="ES392" s="321"/>
      <c r="FA392" s="321"/>
      <c r="FB392" s="321"/>
      <c r="FC392" s="321"/>
      <c r="FD392" s="564"/>
      <c r="FE392" s="483"/>
      <c r="FF392" s="321"/>
      <c r="FG392" s="321"/>
      <c r="FH392" s="321"/>
      <c r="FI392" s="321"/>
      <c r="FQ392" s="321"/>
      <c r="FR392" s="321"/>
      <c r="FS392" s="321"/>
      <c r="FT392" s="564"/>
      <c r="FU392" s="483"/>
      <c r="FV392" s="321"/>
      <c r="FW392" s="321"/>
      <c r="FX392" s="321"/>
      <c r="GG392" s="321"/>
      <c r="GH392" s="321"/>
      <c r="GI392" s="321"/>
      <c r="GJ392" s="564"/>
      <c r="GK392" s="1369"/>
      <c r="GL392" s="422"/>
      <c r="GM392" s="422"/>
      <c r="GN392" s="422"/>
      <c r="GO392" s="422"/>
      <c r="GP392" s="422"/>
      <c r="GQ392" s="422"/>
      <c r="GR392" s="422"/>
      <c r="GS392" s="422"/>
      <c r="GT392" s="422"/>
      <c r="GU392" s="422"/>
      <c r="GV392" s="422"/>
      <c r="GW392" s="422"/>
      <c r="GX392" s="422"/>
      <c r="GY392" s="417"/>
      <c r="GZ392" s="1370"/>
      <c r="HA392" s="201"/>
      <c r="HB392" s="199"/>
      <c r="HC392" s="201"/>
      <c r="HD392" s="291"/>
      <c r="HE392" s="201"/>
      <c r="HF392" s="291"/>
      <c r="HG392" s="201"/>
      <c r="HH392" s="291"/>
      <c r="HI392" s="199"/>
      <c r="HJ392" s="201"/>
      <c r="HK392" s="291"/>
      <c r="HL392" s="201"/>
      <c r="HM392" s="291"/>
      <c r="HN392" s="201"/>
      <c r="HO392" s="291"/>
      <c r="HP392" s="201"/>
      <c r="HQ392" s="699"/>
      <c r="HR392" s="93"/>
      <c r="HS392" s="93"/>
      <c r="HT392" s="293"/>
      <c r="HU392" s="200"/>
      <c r="HV392" s="200"/>
      <c r="HW392" s="200"/>
      <c r="HX392" s="200"/>
      <c r="HY392" s="200"/>
      <c r="HZ392" s="200"/>
      <c r="IA392" s="200"/>
      <c r="IB392" s="200"/>
      <c r="IC392" s="293"/>
      <c r="ID392" s="93"/>
      <c r="IE392" s="93"/>
      <c r="IF392" s="79"/>
      <c r="IG392" s="1236"/>
      <c r="IH392" s="328"/>
      <c r="II392" s="161"/>
      <c r="IJ392" s="297"/>
      <c r="IK392" s="293"/>
      <c r="IL392" s="161"/>
      <c r="IM392" s="301"/>
      <c r="IN392" s="293"/>
      <c r="IO392" s="161"/>
      <c r="IP392" s="301"/>
      <c r="IQ392" s="293"/>
      <c r="IR392" s="161"/>
      <c r="IS392" s="297"/>
      <c r="IT392" s="161"/>
      <c r="IU392" s="328"/>
      <c r="IV392" s="1237"/>
    </row>
    <row r="393" spans="1:256" s="326" customFormat="1" ht="8.25" customHeight="1">
      <c r="A393" s="1236"/>
      <c r="B393" s="328"/>
      <c r="C393" s="328"/>
      <c r="D393" s="328"/>
      <c r="E393" s="328"/>
      <c r="F393" s="328"/>
      <c r="G393" s="201"/>
      <c r="H393" s="290"/>
      <c r="I393" s="298"/>
      <c r="J393" s="328"/>
      <c r="K393" s="328"/>
      <c r="L393" s="328"/>
      <c r="M393" s="328"/>
      <c r="N393" s="328"/>
      <c r="O393" s="328"/>
      <c r="P393" s="1237"/>
      <c r="Q393" s="1236"/>
      <c r="R393" s="328"/>
      <c r="S393" s="328"/>
      <c r="T393" s="328"/>
      <c r="U393" s="328"/>
      <c r="V393" s="328"/>
      <c r="W393" s="199"/>
      <c r="X393" s="200"/>
      <c r="Y393" s="308"/>
      <c r="Z393" s="328"/>
      <c r="AA393" s="328"/>
      <c r="AB393" s="328"/>
      <c r="AC393" s="328"/>
      <c r="AD393" s="328"/>
      <c r="AE393" s="328"/>
      <c r="AF393" s="1237"/>
      <c r="AG393" s="1236"/>
      <c r="AH393" s="309"/>
      <c r="AI393" s="299">
        <v>8</v>
      </c>
      <c r="AJ393" s="304"/>
      <c r="AK393" s="299">
        <v>8</v>
      </c>
      <c r="AL393" s="295">
        <v>7</v>
      </c>
      <c r="AM393" s="299">
        <v>8</v>
      </c>
      <c r="AN393" s="200"/>
      <c r="AO393" s="295">
        <v>7</v>
      </c>
      <c r="AP393" s="302">
        <v>9</v>
      </c>
      <c r="AQ393" s="304">
        <v>10</v>
      </c>
      <c r="AR393" s="295">
        <v>7</v>
      </c>
      <c r="AS393" s="299">
        <v>7</v>
      </c>
      <c r="AT393" s="328"/>
      <c r="AU393" s="328"/>
      <c r="AV393" s="1237"/>
      <c r="AW393" s="1236"/>
      <c r="AX393" s="328"/>
      <c r="AY393" s="328"/>
      <c r="AZ393" s="328"/>
      <c r="BA393" s="328"/>
      <c r="BB393" s="328"/>
      <c r="BC393" s="295"/>
      <c r="BD393" s="302"/>
      <c r="BE393" s="295"/>
      <c r="BF393" s="193"/>
      <c r="BG393" s="290"/>
      <c r="BH393" s="294"/>
      <c r="BI393" s="290"/>
      <c r="BJ393" s="298"/>
      <c r="BK393" s="290"/>
      <c r="BL393" s="290"/>
      <c r="BM393" s="483"/>
      <c r="BN393" s="321"/>
      <c r="BO393" s="321"/>
      <c r="BP393" s="321"/>
      <c r="BQ393" s="321"/>
      <c r="BR393" s="321"/>
      <c r="BS393" s="321"/>
      <c r="BT393" s="321"/>
      <c r="BU393" s="321"/>
      <c r="BV393" s="321"/>
      <c r="BW393" s="321"/>
      <c r="BX393" s="321"/>
      <c r="BY393" s="321"/>
      <c r="BZ393" s="321"/>
      <c r="CA393" s="321"/>
      <c r="CB393" s="564"/>
      <c r="CC393" s="483"/>
      <c r="CD393" s="321"/>
      <c r="CE393" s="321"/>
      <c r="CF393" s="321"/>
      <c r="CG393" s="321"/>
      <c r="CH393" s="321"/>
      <c r="CI393" s="321"/>
      <c r="CJ393" s="321"/>
      <c r="CK393" s="321"/>
      <c r="CL393" s="321"/>
      <c r="CM393" s="321"/>
      <c r="CN393" s="321"/>
      <c r="CO393" s="321"/>
      <c r="CP393" s="321"/>
      <c r="CQ393" s="321"/>
      <c r="CR393" s="1351"/>
      <c r="CS393" s="1236"/>
      <c r="CT393" s="328"/>
      <c r="CU393" s="321"/>
      <c r="CV393" s="328"/>
      <c r="CW393" s="328"/>
      <c r="CX393" s="328"/>
      <c r="CY393" s="328"/>
      <c r="CZ393" s="328"/>
      <c r="DA393" s="328"/>
      <c r="DB393" s="328"/>
      <c r="DC393" s="328"/>
      <c r="DD393" s="328"/>
      <c r="DE393" s="328"/>
      <c r="DF393" s="328"/>
      <c r="DG393" s="328"/>
      <c r="DH393" s="1237"/>
      <c r="DI393" s="483"/>
      <c r="DJ393" s="328"/>
      <c r="DK393" s="321"/>
      <c r="DL393" s="328"/>
      <c r="DM393" s="328"/>
      <c r="DN393" s="328"/>
      <c r="DO393" s="328"/>
      <c r="DP393" s="328"/>
      <c r="DQ393" s="328"/>
      <c r="DR393" s="328"/>
      <c r="DS393" s="328"/>
      <c r="DT393" s="328"/>
      <c r="DU393" s="328"/>
      <c r="DV393" s="328"/>
      <c r="DW393" s="328"/>
      <c r="DX393" s="1237"/>
      <c r="DY393" s="483"/>
      <c r="DZ393" s="321"/>
      <c r="EA393" s="321"/>
      <c r="EB393" s="321"/>
      <c r="EC393" s="321"/>
      <c r="EK393" s="321"/>
      <c r="EL393" s="321"/>
      <c r="EM393" s="321"/>
      <c r="EN393" s="564"/>
      <c r="EO393" s="483"/>
      <c r="EP393" s="321"/>
      <c r="EQ393" s="321"/>
      <c r="ER393" s="321"/>
      <c r="ES393" s="321"/>
      <c r="FA393" s="321"/>
      <c r="FB393" s="321"/>
      <c r="FC393" s="321"/>
      <c r="FD393" s="564"/>
      <c r="FE393" s="483"/>
      <c r="FF393" s="321"/>
      <c r="FG393" s="321"/>
      <c r="FH393" s="321"/>
      <c r="FI393" s="321">
        <v>5</v>
      </c>
      <c r="FN393" s="326">
        <v>5</v>
      </c>
      <c r="FQ393" s="321"/>
      <c r="FR393" s="321"/>
      <c r="FS393" s="321"/>
      <c r="FT393" s="564"/>
      <c r="FU393" s="483"/>
      <c r="FV393" s="321"/>
      <c r="FW393" s="321"/>
      <c r="FX393" s="321">
        <v>5</v>
      </c>
      <c r="GE393" s="326">
        <v>5</v>
      </c>
      <c r="GG393" s="321"/>
      <c r="GH393" s="321"/>
      <c r="GI393" s="321"/>
      <c r="GJ393" s="564"/>
      <c r="GK393" s="1367"/>
      <c r="GL393" s="426"/>
      <c r="GM393" s="426"/>
      <c r="GN393" s="426"/>
      <c r="GO393" s="426"/>
      <c r="GP393" s="426"/>
      <c r="GQ393" s="422"/>
      <c r="GR393" s="422"/>
      <c r="GS393" s="422"/>
      <c r="GT393" s="426"/>
      <c r="GU393" s="426"/>
      <c r="GV393" s="426"/>
      <c r="GW393" s="426"/>
      <c r="GX393" s="426"/>
      <c r="GY393" s="426"/>
      <c r="GZ393" s="1368"/>
      <c r="HA393" s="201"/>
      <c r="HB393" s="199"/>
      <c r="HC393" s="201"/>
      <c r="HD393" s="201"/>
      <c r="HE393" s="205"/>
      <c r="HF393" s="201"/>
      <c r="HG393" s="201"/>
      <c r="HH393" s="291"/>
      <c r="HI393" s="199"/>
      <c r="HJ393" s="201"/>
      <c r="HK393" s="201"/>
      <c r="HL393" s="205"/>
      <c r="HM393" s="201"/>
      <c r="HN393" s="201"/>
      <c r="HO393" s="291"/>
      <c r="HP393" s="201"/>
      <c r="HQ393" s="699"/>
      <c r="HR393" s="93"/>
      <c r="HS393" s="293"/>
      <c r="HT393" s="200"/>
      <c r="HU393" s="201"/>
      <c r="HV393" s="199"/>
      <c r="HW393" s="305"/>
      <c r="HX393" s="305"/>
      <c r="HY393" s="201"/>
      <c r="HZ393" s="199"/>
      <c r="IA393" s="305"/>
      <c r="IB393" s="305"/>
      <c r="IC393" s="199"/>
      <c r="ID393" s="293"/>
      <c r="IE393" s="93"/>
      <c r="IF393" s="79"/>
      <c r="IG393" s="1236"/>
      <c r="IH393" s="328"/>
      <c r="II393" s="161"/>
      <c r="IJ393" s="297"/>
      <c r="IK393" s="293"/>
      <c r="IL393" s="161"/>
      <c r="IM393" s="297"/>
      <c r="IN393" s="293"/>
      <c r="IO393" s="161"/>
      <c r="IP393" s="297"/>
      <c r="IQ393" s="293"/>
      <c r="IR393" s="161"/>
      <c r="IS393" s="297"/>
      <c r="IT393" s="161"/>
      <c r="IU393" s="328"/>
      <c r="IV393" s="1237"/>
    </row>
    <row r="394" spans="1:256" s="326" customFormat="1" ht="8.25" customHeight="1">
      <c r="A394" s="1236"/>
      <c r="B394" s="328"/>
      <c r="C394" s="328"/>
      <c r="D394" s="328"/>
      <c r="E394" s="328"/>
      <c r="F394" s="328"/>
      <c r="G394" s="298"/>
      <c r="H394" s="207"/>
      <c r="I394" s="291"/>
      <c r="J394" s="328"/>
      <c r="K394" s="328"/>
      <c r="L394" s="328"/>
      <c r="M394" s="328"/>
      <c r="N394" s="328"/>
      <c r="O394" s="328"/>
      <c r="P394" s="1237"/>
      <c r="Q394" s="1236">
        <v>-4</v>
      </c>
      <c r="R394" s="328"/>
      <c r="S394" s="328"/>
      <c r="T394" s="328"/>
      <c r="U394" s="328"/>
      <c r="V394" s="328"/>
      <c r="W394" s="312"/>
      <c r="X394" s="312"/>
      <c r="Y394" s="199"/>
      <c r="Z394" s="328"/>
      <c r="AA394" s="328"/>
      <c r="AB394" s="328"/>
      <c r="AC394" s="328"/>
      <c r="AD394" s="328"/>
      <c r="AE394" s="328"/>
      <c r="AF394" s="1237"/>
      <c r="AG394" s="1236"/>
      <c r="AH394" s="309"/>
      <c r="AI394" s="299">
        <v>8</v>
      </c>
      <c r="AJ394" s="304"/>
      <c r="AK394" s="299">
        <v>8</v>
      </c>
      <c r="AL394" s="295">
        <v>7</v>
      </c>
      <c r="AM394" s="299">
        <v>8</v>
      </c>
      <c r="AN394" s="200"/>
      <c r="AO394" s="295">
        <v>7</v>
      </c>
      <c r="AP394" s="302">
        <v>9</v>
      </c>
      <c r="AQ394" s="304">
        <v>10</v>
      </c>
      <c r="AR394" s="295">
        <v>7</v>
      </c>
      <c r="AS394" s="299">
        <v>7</v>
      </c>
      <c r="AT394" s="328"/>
      <c r="AU394" s="328"/>
      <c r="AV394" s="1237"/>
      <c r="AW394" s="1236"/>
      <c r="AX394" s="328"/>
      <c r="AY394" s="328"/>
      <c r="AZ394" s="328"/>
      <c r="BA394" s="328"/>
      <c r="BB394" s="328"/>
      <c r="BC394" s="299"/>
      <c r="BD394" s="302"/>
      <c r="BE394" s="193"/>
      <c r="BF394" s="193"/>
      <c r="BG394" s="290"/>
      <c r="BH394" s="290"/>
      <c r="BI394" s="193"/>
      <c r="BJ394" s="290"/>
      <c r="BK394" s="294"/>
      <c r="BL394" s="294"/>
      <c r="BM394" s="483">
        <v>-2</v>
      </c>
      <c r="BN394" s="321"/>
      <c r="BO394" s="321"/>
      <c r="BP394" s="321"/>
      <c r="BQ394" s="321"/>
      <c r="BR394" s="321"/>
      <c r="BS394" s="321"/>
      <c r="BT394" s="321"/>
      <c r="BU394" s="321"/>
      <c r="BV394" s="321"/>
      <c r="BW394" s="321"/>
      <c r="BX394" s="321"/>
      <c r="BY394" s="321"/>
      <c r="BZ394" s="321"/>
      <c r="CA394" s="321"/>
      <c r="CB394" s="564"/>
      <c r="CC394" s="483">
        <v>-2</v>
      </c>
      <c r="CD394" s="321"/>
      <c r="CE394" s="321"/>
      <c r="CF394" s="321"/>
      <c r="CG394" s="321"/>
      <c r="CH394" s="321"/>
      <c r="CI394" s="321"/>
      <c r="CJ394" s="321"/>
      <c r="CK394" s="321"/>
      <c r="CL394" s="321"/>
      <c r="CM394" s="321"/>
      <c r="CN394" s="321"/>
      <c r="CO394" s="321"/>
      <c r="CP394" s="321"/>
      <c r="CQ394" s="321"/>
      <c r="CR394" s="1351"/>
      <c r="CS394" s="483">
        <v>-4</v>
      </c>
      <c r="CT394" s="328"/>
      <c r="CU394" s="321"/>
      <c r="CV394" s="328"/>
      <c r="CW394" s="328"/>
      <c r="CX394" s="328"/>
      <c r="CY394" s="328"/>
      <c r="CZ394" s="328"/>
      <c r="DA394" s="328"/>
      <c r="DB394" s="328"/>
      <c r="DC394" s="328"/>
      <c r="DD394" s="328"/>
      <c r="DE394" s="328"/>
      <c r="DF394" s="328"/>
      <c r="DG394" s="328"/>
      <c r="DH394" s="1237"/>
      <c r="DI394" s="483">
        <v>-1</v>
      </c>
      <c r="DJ394" s="328"/>
      <c r="DK394" s="321"/>
      <c r="DL394" s="328"/>
      <c r="DM394" s="328"/>
      <c r="DN394" s="328"/>
      <c r="DO394" s="328"/>
      <c r="DP394" s="328"/>
      <c r="DQ394" s="328"/>
      <c r="DR394" s="328"/>
      <c r="DS394" s="328"/>
      <c r="DT394" s="328"/>
      <c r="DU394" s="328"/>
      <c r="DV394" s="328"/>
      <c r="DW394" s="328"/>
      <c r="DX394" s="1237"/>
      <c r="DY394" s="483"/>
      <c r="DZ394" s="321"/>
      <c r="EA394" s="321"/>
      <c r="EB394" s="321"/>
      <c r="EC394" s="321"/>
      <c r="ED394" s="321"/>
      <c r="EF394" s="326">
        <v>4</v>
      </c>
      <c r="EG394" s="326">
        <v>4</v>
      </c>
      <c r="EK394" s="321"/>
      <c r="EL394" s="321"/>
      <c r="EM394" s="321"/>
      <c r="EN394" s="564"/>
      <c r="EO394" s="483"/>
      <c r="EP394" s="321"/>
      <c r="EQ394" s="321"/>
      <c r="ER394" s="321"/>
      <c r="ES394" s="321"/>
      <c r="ET394" s="321"/>
      <c r="EU394" s="326">
        <v>4</v>
      </c>
      <c r="EW394" s="326">
        <v>4</v>
      </c>
      <c r="FA394" s="321"/>
      <c r="FB394" s="321"/>
      <c r="FC394" s="321"/>
      <c r="FD394" s="564"/>
      <c r="FE394" s="483">
        <v>-14</v>
      </c>
      <c r="FF394" s="321"/>
      <c r="FG394" s="321"/>
      <c r="FH394" s="321"/>
      <c r="FI394" s="321"/>
      <c r="FJ394" s="321">
        <v>5</v>
      </c>
      <c r="FK394" s="326">
        <v>4</v>
      </c>
      <c r="FM394" s="326">
        <v>4</v>
      </c>
      <c r="FN394" s="326">
        <v>5</v>
      </c>
      <c r="FQ394" s="321"/>
      <c r="FR394" s="321"/>
      <c r="FS394" s="321"/>
      <c r="FT394" s="564"/>
      <c r="FU394" s="483">
        <v>-12</v>
      </c>
      <c r="FV394" s="321"/>
      <c r="FW394" s="321"/>
      <c r="FX394" s="321"/>
      <c r="FY394" s="321">
        <v>5</v>
      </c>
      <c r="FZ394" s="321">
        <v>5</v>
      </c>
      <c r="GA394" s="321"/>
      <c r="GC394" s="321">
        <v>5</v>
      </c>
      <c r="GD394" s="321">
        <v>5</v>
      </c>
      <c r="GE394" s="326">
        <v>5</v>
      </c>
      <c r="GG394" s="321"/>
      <c r="GH394" s="321"/>
      <c r="GI394" s="321"/>
      <c r="GJ394" s="564"/>
      <c r="GK394" s="1341"/>
      <c r="GL394" s="433"/>
      <c r="GM394" s="433"/>
      <c r="GN394" s="433"/>
      <c r="GO394" s="433"/>
      <c r="GP394" s="426"/>
      <c r="GQ394" s="426"/>
      <c r="GR394" s="422"/>
      <c r="GS394" s="426"/>
      <c r="GT394" s="426"/>
      <c r="GU394" s="433"/>
      <c r="GV394" s="433"/>
      <c r="GW394" s="433"/>
      <c r="GX394" s="433"/>
      <c r="GY394" s="433"/>
      <c r="GZ394" s="1366"/>
      <c r="HA394" s="201"/>
      <c r="HB394" s="199"/>
      <c r="HC394" s="201"/>
      <c r="HD394" s="201"/>
      <c r="HE394" s="291"/>
      <c r="HF394" s="201"/>
      <c r="HG394" s="201"/>
      <c r="HH394" s="291"/>
      <c r="HI394" s="199"/>
      <c r="HJ394" s="201"/>
      <c r="HK394" s="201"/>
      <c r="HL394" s="291"/>
      <c r="HM394" s="201"/>
      <c r="HN394" s="201"/>
      <c r="HO394" s="291"/>
      <c r="HP394" s="201"/>
      <c r="HQ394" s="699"/>
      <c r="HR394" s="293"/>
      <c r="HS394" s="200"/>
      <c r="HT394" s="201"/>
      <c r="HU394" s="199"/>
      <c r="HV394" s="305"/>
      <c r="HW394" s="305"/>
      <c r="HX394" s="201"/>
      <c r="HY394" s="199"/>
      <c r="HZ394" s="305"/>
      <c r="IA394" s="305"/>
      <c r="IB394" s="201"/>
      <c r="IC394" s="199"/>
      <c r="ID394" s="200"/>
      <c r="IE394" s="293"/>
      <c r="IF394" s="79"/>
      <c r="IG394" s="1236"/>
      <c r="IH394" s="328"/>
      <c r="II394" s="161"/>
      <c r="IJ394" s="297"/>
      <c r="IK394" s="293"/>
      <c r="IL394" s="161"/>
      <c r="IM394" s="301"/>
      <c r="IN394" s="293"/>
      <c r="IO394" s="161"/>
      <c r="IP394" s="301"/>
      <c r="IQ394" s="293"/>
      <c r="IR394" s="161"/>
      <c r="IS394" s="297"/>
      <c r="IT394" s="161"/>
      <c r="IU394" s="328"/>
      <c r="IV394" s="1237"/>
    </row>
    <row r="395" spans="1:256" s="326" customFormat="1" ht="8.25" customHeight="1">
      <c r="A395" s="1236"/>
      <c r="B395" s="328"/>
      <c r="C395" s="328"/>
      <c r="D395" s="328"/>
      <c r="E395" s="328"/>
      <c r="F395" s="328"/>
      <c r="G395" s="201"/>
      <c r="H395" s="290"/>
      <c r="I395" s="290"/>
      <c r="J395" s="328"/>
      <c r="K395" s="328"/>
      <c r="L395" s="328"/>
      <c r="M395" s="328"/>
      <c r="N395" s="328"/>
      <c r="O395" s="328"/>
      <c r="P395" s="1237"/>
      <c r="Q395" s="1236">
        <v>12</v>
      </c>
      <c r="R395" s="328"/>
      <c r="S395" s="328"/>
      <c r="T395" s="328"/>
      <c r="U395" s="328"/>
      <c r="V395" s="328"/>
      <c r="W395" s="200"/>
      <c r="X395" s="305"/>
      <c r="Y395" s="200"/>
      <c r="Z395" s="328"/>
      <c r="AA395" s="328"/>
      <c r="AB395" s="328"/>
      <c r="AC395" s="328"/>
      <c r="AD395" s="328"/>
      <c r="AE395" s="328"/>
      <c r="AF395" s="1237"/>
      <c r="AG395" s="1236"/>
      <c r="AH395" s="309">
        <v>11</v>
      </c>
      <c r="AI395" s="299">
        <v>8</v>
      </c>
      <c r="AJ395" s="304"/>
      <c r="AK395" s="299">
        <v>8</v>
      </c>
      <c r="AL395" s="295">
        <v>7</v>
      </c>
      <c r="AM395" s="299">
        <v>8</v>
      </c>
      <c r="AN395" s="305"/>
      <c r="AO395" s="295">
        <v>7</v>
      </c>
      <c r="AP395" s="302"/>
      <c r="AQ395" s="304">
        <v>10</v>
      </c>
      <c r="AR395" s="295">
        <v>7</v>
      </c>
      <c r="AS395" s="299"/>
      <c r="AT395" s="328"/>
      <c r="AU395" s="328"/>
      <c r="AV395" s="1237"/>
      <c r="AW395" s="1236"/>
      <c r="AX395" s="299"/>
      <c r="AY395" s="328"/>
      <c r="AZ395" s="328"/>
      <c r="BA395" s="328"/>
      <c r="BB395" s="328"/>
      <c r="BC395" s="302"/>
      <c r="BD395" s="299"/>
      <c r="BE395" s="193"/>
      <c r="BF395" s="290"/>
      <c r="BG395" s="294"/>
      <c r="BH395" s="193"/>
      <c r="BI395" s="295"/>
      <c r="BJ395" s="295"/>
      <c r="BK395" s="295"/>
      <c r="BL395" s="299"/>
      <c r="BM395" s="483">
        <v>8</v>
      </c>
      <c r="BN395" s="321"/>
      <c r="BO395" s="321"/>
      <c r="BP395" s="321"/>
      <c r="BQ395" s="321"/>
      <c r="BR395" s="321"/>
      <c r="BS395" s="321"/>
      <c r="BT395" s="321"/>
      <c r="BU395" s="321"/>
      <c r="BV395" s="321"/>
      <c r="BW395" s="321"/>
      <c r="BX395" s="321"/>
      <c r="BY395" s="321"/>
      <c r="BZ395" s="321"/>
      <c r="CA395" s="321"/>
      <c r="CB395" s="564"/>
      <c r="CC395" s="483">
        <v>12</v>
      </c>
      <c r="CD395" s="321"/>
      <c r="CE395" s="321"/>
      <c r="CF395" s="321"/>
      <c r="CG395" s="321"/>
      <c r="CH395" s="321"/>
      <c r="CI395" s="321"/>
      <c r="CJ395" s="321"/>
      <c r="CK395" s="321"/>
      <c r="CL395" s="321"/>
      <c r="CM395" s="321"/>
      <c r="CN395" s="321"/>
      <c r="CO395" s="321"/>
      <c r="CP395" s="321"/>
      <c r="CQ395" s="321"/>
      <c r="CR395" s="1351"/>
      <c r="CS395" s="483">
        <v>16</v>
      </c>
      <c r="CT395" s="328"/>
      <c r="CU395" s="321"/>
      <c r="CV395" s="328"/>
      <c r="CW395" s="328"/>
      <c r="CX395" s="328"/>
      <c r="CY395" s="328"/>
      <c r="CZ395" s="328"/>
      <c r="DA395" s="328"/>
      <c r="DB395" s="328"/>
      <c r="DC395" s="328"/>
      <c r="DD395" s="328"/>
      <c r="DE395" s="328"/>
      <c r="DF395" s="328"/>
      <c r="DG395" s="328"/>
      <c r="DH395" s="1237"/>
      <c r="DI395" s="483">
        <v>6</v>
      </c>
      <c r="DJ395" s="328"/>
      <c r="DK395" s="321"/>
      <c r="DL395" s="328"/>
      <c r="DM395" s="328"/>
      <c r="DN395" s="328"/>
      <c r="DO395" s="328"/>
      <c r="DP395" s="328"/>
      <c r="DQ395" s="328"/>
      <c r="DR395" s="328"/>
      <c r="DS395" s="328"/>
      <c r="DT395" s="328"/>
      <c r="DU395" s="328"/>
      <c r="DV395" s="328"/>
      <c r="DW395" s="328"/>
      <c r="DX395" s="1237"/>
      <c r="DY395" s="483"/>
      <c r="DZ395" s="321"/>
      <c r="EA395" s="321"/>
      <c r="EB395" s="321"/>
      <c r="EC395" s="321"/>
      <c r="ED395" s="326">
        <v>4</v>
      </c>
      <c r="EE395" s="326">
        <v>4</v>
      </c>
      <c r="EF395" s="326">
        <v>2</v>
      </c>
      <c r="EG395" s="326">
        <v>3</v>
      </c>
      <c r="EH395" s="326">
        <v>4</v>
      </c>
      <c r="EK395" s="321"/>
      <c r="EL395" s="321"/>
      <c r="EM395" s="321"/>
      <c r="EN395" s="564"/>
      <c r="EO395" s="483"/>
      <c r="EP395" s="321"/>
      <c r="EQ395" s="321"/>
      <c r="ER395" s="321"/>
      <c r="ES395" s="321"/>
      <c r="ET395" s="326">
        <v>4</v>
      </c>
      <c r="EU395" s="326">
        <v>3</v>
      </c>
      <c r="EV395" s="326">
        <v>4</v>
      </c>
      <c r="EW395" s="326">
        <v>3</v>
      </c>
      <c r="EX395" s="326">
        <v>4</v>
      </c>
      <c r="FA395" s="321"/>
      <c r="FB395" s="321"/>
      <c r="FC395" s="321"/>
      <c r="FD395" s="564"/>
      <c r="FE395" s="483">
        <v>16</v>
      </c>
      <c r="FF395" s="321"/>
      <c r="FG395" s="321"/>
      <c r="FH395" s="321"/>
      <c r="FI395" s="321"/>
      <c r="FJ395" s="326">
        <v>4</v>
      </c>
      <c r="FK395" s="326">
        <v>3</v>
      </c>
      <c r="FL395" s="326">
        <v>4</v>
      </c>
      <c r="FM395" s="326">
        <v>3</v>
      </c>
      <c r="FN395" s="326">
        <v>5</v>
      </c>
      <c r="FQ395" s="321"/>
      <c r="FR395" s="321"/>
      <c r="FS395" s="321"/>
      <c r="FT395" s="564"/>
      <c r="FU395" s="483">
        <v>18</v>
      </c>
      <c r="FV395" s="321"/>
      <c r="FW395" s="321"/>
      <c r="FX395" s="321"/>
      <c r="FY395" s="321"/>
      <c r="FZ395" s="321">
        <v>5</v>
      </c>
      <c r="GA395" s="321">
        <v>5</v>
      </c>
      <c r="GB395" s="321"/>
      <c r="GC395" s="321">
        <v>5</v>
      </c>
      <c r="GD395" s="326">
        <v>5</v>
      </c>
      <c r="GG395" s="321"/>
      <c r="GH395" s="321"/>
      <c r="GI395" s="321"/>
      <c r="GJ395" s="564"/>
      <c r="GK395" s="1365"/>
      <c r="GL395" s="440"/>
      <c r="GM395" s="440"/>
      <c r="GN395" s="440"/>
      <c r="GO395" s="433"/>
      <c r="GP395" s="433"/>
      <c r="GQ395" s="426"/>
      <c r="GR395" s="422"/>
      <c r="GS395" s="426"/>
      <c r="GT395" s="433"/>
      <c r="GU395" s="433"/>
      <c r="GV395" s="440"/>
      <c r="GW395" s="440"/>
      <c r="GX395" s="440"/>
      <c r="GY395" s="440"/>
      <c r="GZ395" s="1355"/>
      <c r="HA395" s="201"/>
      <c r="HB395" s="199"/>
      <c r="HC395" s="201"/>
      <c r="HD395" s="201"/>
      <c r="HE395" s="201"/>
      <c r="HF395" s="201"/>
      <c r="HG395" s="201"/>
      <c r="HH395" s="291"/>
      <c r="HI395" s="199"/>
      <c r="HJ395" s="201"/>
      <c r="HK395" s="201"/>
      <c r="HL395" s="201"/>
      <c r="HM395" s="201"/>
      <c r="HN395" s="201"/>
      <c r="HO395" s="291"/>
      <c r="HP395" s="201"/>
      <c r="HQ395" s="493"/>
      <c r="HR395" s="200"/>
      <c r="HS395" s="201"/>
      <c r="HT395" s="199"/>
      <c r="HU395" s="305"/>
      <c r="HV395" s="305"/>
      <c r="HW395" s="201"/>
      <c r="HX395" s="199"/>
      <c r="HY395" s="305"/>
      <c r="HZ395" s="305"/>
      <c r="IA395" s="201"/>
      <c r="IB395" s="199"/>
      <c r="IC395" s="305"/>
      <c r="ID395" s="305"/>
      <c r="IE395" s="200"/>
      <c r="IF395" s="697"/>
      <c r="IG395" s="1236"/>
      <c r="IH395" s="328"/>
      <c r="II395" s="161"/>
      <c r="IJ395" s="297"/>
      <c r="IK395" s="293"/>
      <c r="IL395" s="161"/>
      <c r="IM395" s="297"/>
      <c r="IN395" s="293"/>
      <c r="IO395" s="161"/>
      <c r="IP395" s="297"/>
      <c r="IQ395" s="293"/>
      <c r="IR395" s="161"/>
      <c r="IS395" s="297"/>
      <c r="IT395" s="161"/>
      <c r="IU395" s="328"/>
      <c r="IV395" s="1237"/>
    </row>
    <row r="396" spans="1:256" s="326" customFormat="1" ht="8.25" customHeight="1">
      <c r="A396" s="1236">
        <v>4</v>
      </c>
      <c r="B396" s="328"/>
      <c r="C396" s="328"/>
      <c r="D396" s="328"/>
      <c r="E396" s="328"/>
      <c r="F396" s="328"/>
      <c r="G396" s="328"/>
      <c r="H396" s="207"/>
      <c r="I396" s="290"/>
      <c r="J396" s="328"/>
      <c r="K396" s="328"/>
      <c r="L396" s="328"/>
      <c r="M396" s="328"/>
      <c r="N396" s="328"/>
      <c r="O396" s="328"/>
      <c r="P396" s="1237"/>
      <c r="Q396" s="1236">
        <v>4</v>
      </c>
      <c r="R396" s="328"/>
      <c r="S396" s="328"/>
      <c r="T396" s="328"/>
      <c r="U396" s="328"/>
      <c r="V396" s="328"/>
      <c r="W396" s="328">
        <v>10</v>
      </c>
      <c r="X396" s="312"/>
      <c r="Y396" s="204"/>
      <c r="Z396" s="328">
        <v>10</v>
      </c>
      <c r="AA396" s="328"/>
      <c r="AB396" s="328"/>
      <c r="AC396" s="328"/>
      <c r="AD396" s="328"/>
      <c r="AE396" s="328"/>
      <c r="AF396" s="1237"/>
      <c r="AG396" s="1236">
        <v>4</v>
      </c>
      <c r="AH396" s="304">
        <v>10</v>
      </c>
      <c r="AI396" s="299">
        <v>8</v>
      </c>
      <c r="AJ396" s="309">
        <v>10</v>
      </c>
      <c r="AK396" s="299">
        <v>8</v>
      </c>
      <c r="AL396" s="295">
        <v>7</v>
      </c>
      <c r="AM396" s="299"/>
      <c r="AN396" s="305"/>
      <c r="AO396" s="295">
        <v>7</v>
      </c>
      <c r="AP396" s="302">
        <v>9</v>
      </c>
      <c r="AQ396" s="304">
        <v>10</v>
      </c>
      <c r="AR396" s="295">
        <v>7</v>
      </c>
      <c r="AS396" s="299">
        <v>7</v>
      </c>
      <c r="AT396" s="328"/>
      <c r="AU396" s="328"/>
      <c r="AV396" s="1237"/>
      <c r="AW396" s="299"/>
      <c r="AX396" s="328"/>
      <c r="AY396" s="328"/>
      <c r="AZ396" s="328"/>
      <c r="BA396" s="328"/>
      <c r="BB396" s="328"/>
      <c r="BC396" s="302"/>
      <c r="BD396" s="295"/>
      <c r="BE396" s="193"/>
      <c r="BF396" s="290"/>
      <c r="BG396" s="193"/>
      <c r="BH396" s="295"/>
      <c r="BI396" s="295"/>
      <c r="BJ396" s="299"/>
      <c r="BK396" s="302"/>
      <c r="BL396" s="295"/>
      <c r="BM396" s="483">
        <v>0</v>
      </c>
      <c r="BN396" s="321"/>
      <c r="BO396" s="321"/>
      <c r="BP396" s="321"/>
      <c r="BQ396" s="321"/>
      <c r="BR396" s="321"/>
      <c r="BS396" s="321"/>
      <c r="BT396" s="321"/>
      <c r="BU396" s="321"/>
      <c r="BV396" s="321"/>
      <c r="BW396" s="321"/>
      <c r="BX396" s="321"/>
      <c r="BY396" s="321"/>
      <c r="BZ396" s="321"/>
      <c r="CA396" s="321"/>
      <c r="CB396" s="564"/>
      <c r="CC396" s="483">
        <v>0</v>
      </c>
      <c r="CD396" s="321"/>
      <c r="CE396" s="321"/>
      <c r="CF396" s="321"/>
      <c r="CG396" s="321"/>
      <c r="CH396" s="321"/>
      <c r="CI396" s="321"/>
      <c r="CJ396" s="321"/>
      <c r="CK396" s="321"/>
      <c r="CL396" s="321"/>
      <c r="CM396" s="321"/>
      <c r="CN396" s="321"/>
      <c r="CO396" s="321"/>
      <c r="CP396" s="321"/>
      <c r="CQ396" s="321"/>
      <c r="CR396" s="1351"/>
      <c r="CS396" s="1236">
        <v>0</v>
      </c>
      <c r="CT396" s="328"/>
      <c r="CU396" s="321"/>
      <c r="CV396" s="328"/>
      <c r="CW396" s="328"/>
      <c r="CX396" s="328"/>
      <c r="CY396" s="328"/>
      <c r="CZ396" s="328"/>
      <c r="DA396" s="328"/>
      <c r="DB396" s="328"/>
      <c r="DC396" s="328"/>
      <c r="DD396" s="328"/>
      <c r="DE396" s="328"/>
      <c r="DF396" s="328"/>
      <c r="DG396" s="328"/>
      <c r="DH396" s="1237"/>
      <c r="DI396" s="483">
        <v>0</v>
      </c>
      <c r="DJ396" s="328"/>
      <c r="DK396" s="321"/>
      <c r="DL396" s="328"/>
      <c r="DM396" s="328"/>
      <c r="DN396" s="328"/>
      <c r="DO396" s="328"/>
      <c r="DP396" s="328"/>
      <c r="DQ396" s="328"/>
      <c r="DR396" s="328"/>
      <c r="DS396" s="328"/>
      <c r="DT396" s="328"/>
      <c r="DU396" s="328"/>
      <c r="DV396" s="328"/>
      <c r="DW396" s="328"/>
      <c r="DX396" s="1237"/>
      <c r="DY396" s="483"/>
      <c r="DZ396" s="321"/>
      <c r="EA396" s="321"/>
      <c r="EB396" s="321"/>
      <c r="EC396" s="321"/>
      <c r="ED396" s="326">
        <v>4</v>
      </c>
      <c r="EE396" s="326">
        <v>3</v>
      </c>
      <c r="EF396" s="326">
        <v>1</v>
      </c>
      <c r="EG396" s="326">
        <v>3</v>
      </c>
      <c r="EH396" s="326">
        <v>4</v>
      </c>
      <c r="EJ396" s="321"/>
      <c r="EK396" s="321"/>
      <c r="EL396" s="321"/>
      <c r="EM396" s="321"/>
      <c r="EN396" s="564"/>
      <c r="EO396" s="483"/>
      <c r="EP396" s="321"/>
      <c r="EQ396" s="321"/>
      <c r="ER396" s="321"/>
      <c r="ES396" s="321"/>
      <c r="ET396" s="326">
        <v>4</v>
      </c>
      <c r="EU396" s="326">
        <v>2</v>
      </c>
      <c r="EV396" s="326">
        <v>2</v>
      </c>
      <c r="EW396" s="326">
        <v>2</v>
      </c>
      <c r="EX396" s="326">
        <v>4</v>
      </c>
      <c r="FA396" s="321"/>
      <c r="FB396" s="321"/>
      <c r="FC396" s="321"/>
      <c r="FD396" s="564"/>
      <c r="FE396" s="483"/>
      <c r="FF396" s="321"/>
      <c r="FG396" s="321"/>
      <c r="FH396" s="321"/>
      <c r="FI396" s="321"/>
      <c r="FJ396" s="326">
        <v>4</v>
      </c>
      <c r="FK396" s="481">
        <v>10</v>
      </c>
      <c r="FL396" s="326">
        <v>2</v>
      </c>
      <c r="FM396" s="481">
        <v>10</v>
      </c>
      <c r="FN396" s="326">
        <v>3</v>
      </c>
      <c r="FO396" s="326">
        <v>5</v>
      </c>
      <c r="FQ396" s="321"/>
      <c r="FR396" s="321"/>
      <c r="FS396" s="321"/>
      <c r="FT396" s="564"/>
      <c r="FU396" s="483"/>
      <c r="FV396" s="321"/>
      <c r="FW396" s="321"/>
      <c r="FX396" s="321"/>
      <c r="FY396" s="321"/>
      <c r="FZ396" s="321">
        <v>5</v>
      </c>
      <c r="GA396" s="326">
        <v>4</v>
      </c>
      <c r="GB396" s="326">
        <v>4</v>
      </c>
      <c r="GC396" s="326">
        <v>4</v>
      </c>
      <c r="GD396" s="326">
        <v>3</v>
      </c>
      <c r="GG396" s="321"/>
      <c r="GH396" s="321"/>
      <c r="GI396" s="321"/>
      <c r="GJ396" s="564"/>
      <c r="GK396" s="1365"/>
      <c r="GL396" s="446"/>
      <c r="GM396" s="446"/>
      <c r="GN396" s="440"/>
      <c r="GO396" s="440"/>
      <c r="GP396" s="433"/>
      <c r="GQ396" s="426"/>
      <c r="GR396" s="422"/>
      <c r="GS396" s="426"/>
      <c r="GT396" s="433"/>
      <c r="GU396" s="440"/>
      <c r="GV396" s="440"/>
      <c r="GW396" s="446"/>
      <c r="GX396" s="446"/>
      <c r="GY396" s="440"/>
      <c r="GZ396" s="1355"/>
      <c r="HA396" s="201">
        <v>32</v>
      </c>
      <c r="HB396" s="199"/>
      <c r="HC396" s="201"/>
      <c r="HD396" s="201"/>
      <c r="HE396" s="201"/>
      <c r="HF396" s="201"/>
      <c r="HG396" s="201"/>
      <c r="HH396" s="291"/>
      <c r="HI396" s="199"/>
      <c r="HJ396" s="201"/>
      <c r="HK396" s="201"/>
      <c r="HL396" s="201"/>
      <c r="HM396" s="201"/>
      <c r="HN396" s="201"/>
      <c r="HO396" s="291"/>
      <c r="HP396" s="201"/>
      <c r="HQ396" s="1371">
        <v>32</v>
      </c>
      <c r="HR396" s="200"/>
      <c r="HS396" s="200"/>
      <c r="HT396" s="200"/>
      <c r="HU396" s="200"/>
      <c r="HV396" s="200"/>
      <c r="HW396" s="200"/>
      <c r="HX396" s="200"/>
      <c r="HY396" s="200"/>
      <c r="HZ396" s="200"/>
      <c r="IA396" s="200"/>
      <c r="IB396" s="200"/>
      <c r="IC396" s="200"/>
      <c r="ID396" s="200"/>
      <c r="IE396" s="200"/>
      <c r="IF396" s="477"/>
      <c r="IG396" s="1236"/>
      <c r="IH396" s="328"/>
      <c r="II396" s="161"/>
      <c r="IJ396" s="297"/>
      <c r="IK396" s="293"/>
      <c r="IL396" s="161"/>
      <c r="IM396" s="301"/>
      <c r="IN396" s="293"/>
      <c r="IO396" s="161"/>
      <c r="IP396" s="301"/>
      <c r="IQ396" s="293"/>
      <c r="IR396" s="161"/>
      <c r="IS396" s="297"/>
      <c r="IT396" s="161"/>
      <c r="IU396" s="328"/>
      <c r="IV396" s="1237"/>
    </row>
    <row r="397" spans="1:256" s="326" customFormat="1" ht="8.25" customHeight="1">
      <c r="A397" s="1236">
        <v>32</v>
      </c>
      <c r="B397" s="328"/>
      <c r="C397" s="328"/>
      <c r="D397" s="328"/>
      <c r="E397" s="328"/>
      <c r="F397" s="328"/>
      <c r="G397" s="328"/>
      <c r="H397" s="291"/>
      <c r="I397" s="328"/>
      <c r="J397" s="328"/>
      <c r="K397" s="328"/>
      <c r="L397" s="328"/>
      <c r="M397" s="328"/>
      <c r="N397" s="328"/>
      <c r="O397" s="328"/>
      <c r="P397" s="1237"/>
      <c r="Q397" s="1236">
        <v>33</v>
      </c>
      <c r="R397" s="328"/>
      <c r="S397" s="328"/>
      <c r="T397" s="328"/>
      <c r="U397" s="328"/>
      <c r="V397" s="328">
        <v>10</v>
      </c>
      <c r="W397" s="462">
        <v>10</v>
      </c>
      <c r="X397" s="200"/>
      <c r="Y397" s="462">
        <v>10</v>
      </c>
      <c r="Z397" s="328">
        <v>10</v>
      </c>
      <c r="AA397" s="328"/>
      <c r="AB397" s="328"/>
      <c r="AC397" s="328"/>
      <c r="AD397" s="328"/>
      <c r="AE397" s="328"/>
      <c r="AF397" s="1237"/>
      <c r="AG397" s="1236">
        <v>32</v>
      </c>
      <c r="AH397" s="304">
        <v>10</v>
      </c>
      <c r="AI397" s="299">
        <v>8</v>
      </c>
      <c r="AJ397" s="309">
        <v>10</v>
      </c>
      <c r="AK397" s="299">
        <v>8</v>
      </c>
      <c r="AL397" s="295">
        <v>7</v>
      </c>
      <c r="AM397" s="299"/>
      <c r="AN397" s="305">
        <v>9</v>
      </c>
      <c r="AO397" s="302">
        <v>8</v>
      </c>
      <c r="AP397" s="302"/>
      <c r="AQ397" s="304">
        <v>10</v>
      </c>
      <c r="AR397" s="302"/>
      <c r="AS397" s="299"/>
      <c r="AT397" s="328"/>
      <c r="AU397" s="328"/>
      <c r="AV397" s="1237"/>
      <c r="AW397" s="299"/>
      <c r="AX397" s="93"/>
      <c r="AY397" s="328"/>
      <c r="AZ397" s="328"/>
      <c r="BA397" s="328"/>
      <c r="BB397" s="295"/>
      <c r="BC397" s="302"/>
      <c r="BD397" s="193"/>
      <c r="BE397" s="193"/>
      <c r="BF397" s="294"/>
      <c r="BG397" s="193"/>
      <c r="BH397" s="295"/>
      <c r="BI397" s="299"/>
      <c r="BJ397" s="302"/>
      <c r="BK397" s="299"/>
      <c r="BL397" s="295"/>
      <c r="BM397" s="1308">
        <v>6</v>
      </c>
      <c r="BN397" s="321"/>
      <c r="BO397" s="321"/>
      <c r="BP397" s="321"/>
      <c r="BQ397" s="321"/>
      <c r="BR397" s="321"/>
      <c r="BS397" s="321"/>
      <c r="BT397" s="321"/>
      <c r="BU397" s="321"/>
      <c r="BV397" s="321"/>
      <c r="BW397" s="321"/>
      <c r="BX397" s="321"/>
      <c r="BY397" s="321"/>
      <c r="BZ397" s="321"/>
      <c r="CA397" s="321"/>
      <c r="CB397" s="564"/>
      <c r="CC397" s="1308">
        <v>6</v>
      </c>
      <c r="CD397" s="321"/>
      <c r="CE397" s="321"/>
      <c r="CF397" s="321"/>
      <c r="CG397" s="321"/>
      <c r="CH397" s="321"/>
      <c r="CI397" s="321"/>
      <c r="CJ397" s="321"/>
      <c r="CK397" s="321"/>
      <c r="CL397" s="321"/>
      <c r="CM397" s="321"/>
      <c r="CN397" s="321"/>
      <c r="CO397" s="321"/>
      <c r="CP397" s="321"/>
      <c r="CQ397" s="321"/>
      <c r="CR397" s="1351"/>
      <c r="CS397" s="1236">
        <v>12</v>
      </c>
      <c r="CT397" s="328"/>
      <c r="CU397" s="321"/>
      <c r="CV397" s="328"/>
      <c r="CW397" s="328"/>
      <c r="CX397" s="328"/>
      <c r="CY397" s="328"/>
      <c r="CZ397" s="328"/>
      <c r="DA397" s="328"/>
      <c r="DB397" s="328"/>
      <c r="DC397" s="328"/>
      <c r="DD397" s="328"/>
      <c r="DE397" s="328"/>
      <c r="DF397" s="328"/>
      <c r="DG397" s="328"/>
      <c r="DH397" s="1237"/>
      <c r="DI397" s="1308">
        <v>2</v>
      </c>
      <c r="DJ397" s="328"/>
      <c r="DK397" s="321"/>
      <c r="DL397" s="328"/>
      <c r="DM397" s="328"/>
      <c r="DN397" s="328"/>
      <c r="DO397" s="328"/>
      <c r="DP397" s="328"/>
      <c r="DQ397" s="328"/>
      <c r="DR397" s="328"/>
      <c r="DS397" s="328"/>
      <c r="DT397" s="328"/>
      <c r="DU397" s="328"/>
      <c r="DV397" s="328"/>
      <c r="DW397" s="328"/>
      <c r="DX397" s="1237"/>
      <c r="DY397" s="1308">
        <v>10</v>
      </c>
      <c r="DZ397" s="321"/>
      <c r="EA397" s="321"/>
      <c r="EB397" s="321"/>
      <c r="EC397" s="321">
        <v>4</v>
      </c>
      <c r="ED397" s="326">
        <v>3</v>
      </c>
      <c r="EE397" s="459">
        <v>11</v>
      </c>
      <c r="EF397" s="326">
        <v>1</v>
      </c>
      <c r="EG397" s="459">
        <v>11</v>
      </c>
      <c r="EH397" s="326">
        <v>3</v>
      </c>
      <c r="EI397" s="326">
        <v>4</v>
      </c>
      <c r="EK397" s="321"/>
      <c r="EL397" s="321"/>
      <c r="EM397" s="321"/>
      <c r="EN397" s="564"/>
      <c r="EO397" s="1308">
        <v>10</v>
      </c>
      <c r="EP397" s="321"/>
      <c r="EQ397" s="321"/>
      <c r="ER397" s="321"/>
      <c r="ES397" s="321">
        <v>4</v>
      </c>
      <c r="ET397" s="326">
        <v>3</v>
      </c>
      <c r="EU397" s="460">
        <v>10</v>
      </c>
      <c r="EV397" s="326">
        <v>3</v>
      </c>
      <c r="EW397" s="460">
        <v>10</v>
      </c>
      <c r="EX397" s="326">
        <v>3</v>
      </c>
      <c r="EY397" s="326">
        <v>4</v>
      </c>
      <c r="FA397" s="321"/>
      <c r="FB397" s="321"/>
      <c r="FC397" s="321"/>
      <c r="FD397" s="564"/>
      <c r="FE397" s="1308">
        <v>10</v>
      </c>
      <c r="FF397" s="321"/>
      <c r="FG397" s="321"/>
      <c r="FH397" s="321"/>
      <c r="FI397" s="321">
        <v>5</v>
      </c>
      <c r="FJ397" s="326">
        <v>3</v>
      </c>
      <c r="FK397" s="481">
        <v>12</v>
      </c>
      <c r="FL397" s="321">
        <v>2</v>
      </c>
      <c r="FM397" s="481">
        <v>12</v>
      </c>
      <c r="FN397" s="326">
        <v>3</v>
      </c>
      <c r="FO397" s="326">
        <v>5</v>
      </c>
      <c r="FQ397" s="321"/>
      <c r="FR397" s="321"/>
      <c r="FS397" s="321"/>
      <c r="FT397" s="564"/>
      <c r="FU397" s="1308">
        <v>10</v>
      </c>
      <c r="FV397" s="321"/>
      <c r="FW397" s="321"/>
      <c r="FX397" s="321"/>
      <c r="FY397" s="321">
        <v>5</v>
      </c>
      <c r="FZ397" s="321">
        <v>5</v>
      </c>
      <c r="GA397" s="459">
        <v>6</v>
      </c>
      <c r="GC397" s="459">
        <v>6</v>
      </c>
      <c r="GD397" s="326">
        <v>3</v>
      </c>
      <c r="GF397" s="326">
        <v>5</v>
      </c>
      <c r="GG397" s="321"/>
      <c r="GH397" s="321"/>
      <c r="GI397" s="321"/>
      <c r="GJ397" s="564"/>
      <c r="GK397" s="1365"/>
      <c r="GL397" s="446"/>
      <c r="GM397" s="446"/>
      <c r="GN397" s="446"/>
      <c r="GO397" s="440"/>
      <c r="GP397" s="433"/>
      <c r="GQ397" s="426"/>
      <c r="GR397" s="422"/>
      <c r="GS397" s="426"/>
      <c r="GT397" s="433"/>
      <c r="GU397" s="440"/>
      <c r="GV397" s="446"/>
      <c r="GW397" s="446"/>
      <c r="GX397" s="446"/>
      <c r="GY397" s="440"/>
      <c r="GZ397" s="1355"/>
      <c r="HA397" s="201"/>
      <c r="HB397" s="199"/>
      <c r="HC397" s="201"/>
      <c r="HD397" s="201"/>
      <c r="HE397" s="201"/>
      <c r="HF397" s="201"/>
      <c r="HG397" s="201"/>
      <c r="HH397" s="291"/>
      <c r="HI397" s="199"/>
      <c r="HJ397" s="201"/>
      <c r="HK397" s="201"/>
      <c r="HL397" s="201"/>
      <c r="HM397" s="201"/>
      <c r="HN397" s="201"/>
      <c r="HO397" s="291"/>
      <c r="HP397" s="201"/>
      <c r="HQ397" s="1372"/>
      <c r="HR397" s="201"/>
      <c r="HS397" s="201"/>
      <c r="HT397" s="201"/>
      <c r="HU397" s="201"/>
      <c r="HV397" s="201"/>
      <c r="HW397" s="201"/>
      <c r="HX397" s="201"/>
      <c r="HY397" s="201"/>
      <c r="HZ397" s="201"/>
      <c r="IA397" s="201"/>
      <c r="IB397" s="201"/>
      <c r="IC397" s="201"/>
      <c r="ID397" s="201"/>
      <c r="IE397" s="201"/>
      <c r="IF397" s="477"/>
      <c r="IG397" s="1236"/>
      <c r="IH397" s="328"/>
      <c r="II397" s="161"/>
      <c r="IJ397" s="297"/>
      <c r="IK397" s="293"/>
      <c r="IL397" s="161"/>
      <c r="IM397" s="297"/>
      <c r="IN397" s="293"/>
      <c r="IO397" s="161"/>
      <c r="IP397" s="297"/>
      <c r="IQ397" s="293"/>
      <c r="IR397" s="161"/>
      <c r="IS397" s="297"/>
      <c r="IT397" s="161"/>
      <c r="IU397" s="328"/>
      <c r="IV397" s="1237"/>
    </row>
    <row r="398" spans="1:256" s="326" customFormat="1" ht="8.25" customHeight="1">
      <c r="A398" s="1236"/>
      <c r="B398" s="328"/>
      <c r="C398" s="328"/>
      <c r="D398" s="328"/>
      <c r="E398" s="328"/>
      <c r="F398" s="328"/>
      <c r="G398" s="328"/>
      <c r="H398" s="298"/>
      <c r="I398" s="328"/>
      <c r="J398" s="328"/>
      <c r="K398" s="328"/>
      <c r="L398" s="328"/>
      <c r="M398" s="328"/>
      <c r="N398" s="328"/>
      <c r="O398" s="328"/>
      <c r="P398" s="1237"/>
      <c r="Q398" s="1236">
        <v>44</v>
      </c>
      <c r="R398" s="328"/>
      <c r="S398" s="328"/>
      <c r="T398" s="328"/>
      <c r="U398" s="328"/>
      <c r="V398" s="328">
        <v>10</v>
      </c>
      <c r="W398" s="462">
        <v>12</v>
      </c>
      <c r="X398" s="307"/>
      <c r="Y398" s="462">
        <v>12</v>
      </c>
      <c r="Z398" s="328">
        <v>10</v>
      </c>
      <c r="AA398" s="328"/>
      <c r="AB398" s="328"/>
      <c r="AC398" s="328"/>
      <c r="AD398" s="328"/>
      <c r="AE398" s="328"/>
      <c r="AF398" s="1237"/>
      <c r="AG398" s="1236"/>
      <c r="AH398" s="304">
        <v>10</v>
      </c>
      <c r="AI398" s="299">
        <v>8</v>
      </c>
      <c r="AJ398" s="309">
        <v>10</v>
      </c>
      <c r="AK398" s="299">
        <v>8</v>
      </c>
      <c r="AL398" s="295">
        <v>7</v>
      </c>
      <c r="AM398" s="299"/>
      <c r="AN398" s="305">
        <v>9</v>
      </c>
      <c r="AO398" s="295">
        <v>7</v>
      </c>
      <c r="AP398" s="309">
        <v>11</v>
      </c>
      <c r="AQ398" s="304">
        <v>10</v>
      </c>
      <c r="AR398" s="302"/>
      <c r="AS398" s="299"/>
      <c r="AT398" s="328"/>
      <c r="AU398" s="328"/>
      <c r="AV398" s="1237"/>
      <c r="AW398" s="299"/>
      <c r="AX398" s="93"/>
      <c r="AY398" s="328"/>
      <c r="AZ398" s="328"/>
      <c r="BA398" s="328"/>
      <c r="BB398" s="299"/>
      <c r="BC398" s="299"/>
      <c r="BD398" s="193"/>
      <c r="BE398" s="290"/>
      <c r="BF398" s="290"/>
      <c r="BG398" s="295"/>
      <c r="BH398" s="299"/>
      <c r="BI398" s="302"/>
      <c r="BJ398" s="299"/>
      <c r="BK398" s="295"/>
      <c r="BL398" s="295"/>
      <c r="BM398" s="1308">
        <v>34</v>
      </c>
      <c r="BN398" s="321"/>
      <c r="BO398" s="321"/>
      <c r="BP398" s="321"/>
      <c r="BQ398" s="321"/>
      <c r="BR398" s="321"/>
      <c r="BS398" s="321"/>
      <c r="BT398" s="321"/>
      <c r="BU398" s="321"/>
      <c r="BV398" s="321"/>
      <c r="BW398" s="321"/>
      <c r="BX398" s="321"/>
      <c r="BY398" s="321"/>
      <c r="BZ398" s="321"/>
      <c r="CA398" s="321"/>
      <c r="CB398" s="564"/>
      <c r="CC398" s="1308"/>
      <c r="CD398" s="321"/>
      <c r="CE398" s="321"/>
      <c r="CF398" s="321"/>
      <c r="CG398" s="321"/>
      <c r="CH398" s="321"/>
      <c r="CI398" s="321"/>
      <c r="CJ398" s="321"/>
      <c r="CK398" s="321"/>
      <c r="CL398" s="321"/>
      <c r="CM398" s="321"/>
      <c r="CN398" s="321"/>
      <c r="CO398" s="321"/>
      <c r="CP398" s="321"/>
      <c r="CQ398" s="321"/>
      <c r="CR398" s="1351"/>
      <c r="CS398" s="1236">
        <v>33</v>
      </c>
      <c r="CT398" s="328"/>
      <c r="CU398" s="321"/>
      <c r="CV398" s="328"/>
      <c r="CW398" s="328"/>
      <c r="CX398" s="328"/>
      <c r="CY398" s="328"/>
      <c r="CZ398" s="328"/>
      <c r="DA398" s="328"/>
      <c r="DB398" s="328"/>
      <c r="DC398" s="328"/>
      <c r="DD398" s="328"/>
      <c r="DE398" s="328"/>
      <c r="DF398" s="328"/>
      <c r="DG398" s="328"/>
      <c r="DH398" s="1237"/>
      <c r="DI398" s="1308"/>
      <c r="DJ398" s="328"/>
      <c r="DK398" s="321"/>
      <c r="DL398" s="328"/>
      <c r="DM398" s="328"/>
      <c r="DN398" s="328"/>
      <c r="DO398" s="328"/>
      <c r="DP398" s="328"/>
      <c r="DQ398" s="328"/>
      <c r="DR398" s="328"/>
      <c r="DS398" s="328"/>
      <c r="DT398" s="328"/>
      <c r="DU398" s="328"/>
      <c r="DV398" s="328"/>
      <c r="DW398" s="328"/>
      <c r="DX398" s="1237"/>
      <c r="DY398" s="321">
        <v>48</v>
      </c>
      <c r="DZ398" s="321"/>
      <c r="EA398" s="321"/>
      <c r="EB398" s="321"/>
      <c r="EC398" s="321">
        <v>4</v>
      </c>
      <c r="ED398" s="321">
        <v>2</v>
      </c>
      <c r="EE398" s="321">
        <v>2</v>
      </c>
      <c r="EF398" s="321">
        <v>1</v>
      </c>
      <c r="EG398" s="321">
        <v>2</v>
      </c>
      <c r="EH398" s="321">
        <v>2</v>
      </c>
      <c r="EI398" s="321">
        <v>4</v>
      </c>
      <c r="EJ398" s="321"/>
      <c r="EK398" s="321"/>
      <c r="EL398" s="321"/>
      <c r="EM398" s="321"/>
      <c r="EN398" s="564"/>
      <c r="EO398" s="321"/>
      <c r="EP398" s="321"/>
      <c r="EQ398" s="321"/>
      <c r="ER398" s="321"/>
      <c r="ES398" s="321">
        <v>4</v>
      </c>
      <c r="ET398" s="321">
        <v>3</v>
      </c>
      <c r="EU398" s="321">
        <v>2</v>
      </c>
      <c r="EV398" s="321">
        <v>1</v>
      </c>
      <c r="EW398" s="321">
        <v>2</v>
      </c>
      <c r="EX398" s="321">
        <v>3</v>
      </c>
      <c r="EY398" s="321">
        <v>4</v>
      </c>
      <c r="EZ398" s="321"/>
      <c r="FA398" s="321"/>
      <c r="FB398" s="321"/>
      <c r="FC398" s="321"/>
      <c r="FD398" s="564"/>
      <c r="FE398" s="321">
        <v>30</v>
      </c>
      <c r="FF398" s="321"/>
      <c r="FG398" s="321"/>
      <c r="FH398" s="321"/>
      <c r="FI398" s="321">
        <v>4</v>
      </c>
      <c r="FJ398" s="321">
        <v>3</v>
      </c>
      <c r="FK398" s="321">
        <v>2</v>
      </c>
      <c r="FL398" s="321">
        <v>2</v>
      </c>
      <c r="FM398" s="321">
        <v>2</v>
      </c>
      <c r="FN398" s="321">
        <v>3</v>
      </c>
      <c r="FO398" s="321">
        <v>4</v>
      </c>
      <c r="FP398" s="321"/>
      <c r="FQ398" s="321"/>
      <c r="FR398" s="321"/>
      <c r="FS398" s="321"/>
      <c r="FT398" s="564"/>
      <c r="FU398" s="1308"/>
      <c r="FV398" s="321"/>
      <c r="FW398" s="321"/>
      <c r="FX398" s="321"/>
      <c r="FY398" s="321">
        <v>5</v>
      </c>
      <c r="FZ398" s="321">
        <v>5</v>
      </c>
      <c r="GA398" s="321">
        <v>4</v>
      </c>
      <c r="GB398" s="321"/>
      <c r="GC398" s="321">
        <v>4</v>
      </c>
      <c r="GD398" s="321">
        <v>3</v>
      </c>
      <c r="GE398" s="321"/>
      <c r="GF398" s="321"/>
      <c r="GG398" s="321"/>
      <c r="GH398" s="321"/>
      <c r="GI398" s="321"/>
      <c r="GJ398" s="564"/>
      <c r="GK398" s="1365"/>
      <c r="GL398" s="446"/>
      <c r="GM398" s="446"/>
      <c r="GN398" s="446"/>
      <c r="GO398" s="440"/>
      <c r="GP398" s="433"/>
      <c r="GQ398" s="426"/>
      <c r="GR398" s="417"/>
      <c r="GS398" s="426"/>
      <c r="GT398" s="433"/>
      <c r="GU398" s="440"/>
      <c r="GV398" s="446"/>
      <c r="GW398" s="446"/>
      <c r="GX398" s="446"/>
      <c r="GY398" s="440"/>
      <c r="GZ398" s="1355"/>
      <c r="HA398" s="201"/>
      <c r="HB398" s="201"/>
      <c r="HC398" s="291"/>
      <c r="HD398" s="291"/>
      <c r="HE398" s="291"/>
      <c r="HF398" s="291"/>
      <c r="HG398" s="291"/>
      <c r="HH398" s="201"/>
      <c r="HI398" s="291"/>
      <c r="HJ398" s="291"/>
      <c r="HK398" s="291"/>
      <c r="HL398" s="291"/>
      <c r="HM398" s="291"/>
      <c r="HN398" s="291"/>
      <c r="HO398" s="291"/>
      <c r="HP398" s="201"/>
      <c r="HQ398" s="864"/>
      <c r="HR398" s="201"/>
      <c r="HS398" s="301"/>
      <c r="HT398" s="297"/>
      <c r="HU398" s="297"/>
      <c r="HV398" s="297"/>
      <c r="HW398" s="297"/>
      <c r="HX398" s="297"/>
      <c r="HY398" s="297"/>
      <c r="HZ398" s="297"/>
      <c r="IA398" s="297"/>
      <c r="IB398" s="297"/>
      <c r="IC398" s="297"/>
      <c r="ID398" s="293"/>
      <c r="IE398" s="305"/>
      <c r="IF398" s="477"/>
      <c r="IG398" s="1236"/>
      <c r="IH398" s="328"/>
      <c r="II398" s="161"/>
      <c r="IJ398" s="297"/>
      <c r="IK398" s="293"/>
      <c r="IL398" s="161"/>
      <c r="IM398" s="301"/>
      <c r="IN398" s="293"/>
      <c r="IO398" s="161"/>
      <c r="IP398" s="301"/>
      <c r="IQ398" s="293"/>
      <c r="IR398" s="161"/>
      <c r="IS398" s="297"/>
      <c r="IT398" s="161"/>
      <c r="IU398" s="93"/>
      <c r="IV398" s="1237"/>
    </row>
    <row r="399" spans="1:256" s="326" customFormat="1" ht="8.25" customHeight="1">
      <c r="A399" s="1236"/>
      <c r="B399" s="328"/>
      <c r="C399" s="328"/>
      <c r="D399" s="328"/>
      <c r="E399" s="328"/>
      <c r="F399" s="328"/>
      <c r="G399" s="328"/>
      <c r="H399" s="328"/>
      <c r="I399" s="328"/>
      <c r="J399" s="328"/>
      <c r="K399" s="328"/>
      <c r="L399" s="328"/>
      <c r="M399" s="328"/>
      <c r="N399" s="328"/>
      <c r="O399" s="328"/>
      <c r="P399" s="1237"/>
      <c r="Q399" s="1236">
        <v>96</v>
      </c>
      <c r="R399" s="328"/>
      <c r="S399" s="328"/>
      <c r="T399" s="328"/>
      <c r="U399" s="328"/>
      <c r="V399" s="328"/>
      <c r="W399" s="328">
        <v>10</v>
      </c>
      <c r="X399" s="462">
        <v>12</v>
      </c>
      <c r="Y399" s="328">
        <v>10</v>
      </c>
      <c r="Z399" s="328"/>
      <c r="AA399" s="328"/>
      <c r="AB399" s="328"/>
      <c r="AC399" s="328"/>
      <c r="AD399" s="328"/>
      <c r="AE399" s="328"/>
      <c r="AF399" s="1237"/>
      <c r="AG399" s="1236"/>
      <c r="AH399" s="302">
        <v>9</v>
      </c>
      <c r="AI399" s="299">
        <v>8</v>
      </c>
      <c r="AJ399" s="309">
        <v>10</v>
      </c>
      <c r="AK399" s="299">
        <v>8</v>
      </c>
      <c r="AL399" s="295">
        <v>7</v>
      </c>
      <c r="AM399" s="299">
        <v>8</v>
      </c>
      <c r="AN399" s="200">
        <v>8</v>
      </c>
      <c r="AO399" s="302">
        <v>8</v>
      </c>
      <c r="AP399" s="309"/>
      <c r="AQ399" s="328"/>
      <c r="AR399" s="302">
        <v>8</v>
      </c>
      <c r="AS399" s="299"/>
      <c r="AT399" s="328"/>
      <c r="AU399" s="328"/>
      <c r="AV399" s="1237"/>
      <c r="AW399" s="699"/>
      <c r="AX399" s="299"/>
      <c r="AY399" s="328"/>
      <c r="AZ399" s="328"/>
      <c r="BA399" s="328"/>
      <c r="BB399" s="302"/>
      <c r="BC399" s="295"/>
      <c r="BD399" s="193"/>
      <c r="BE399" s="294"/>
      <c r="BF399" s="193"/>
      <c r="BG399" s="299"/>
      <c r="BH399" s="302"/>
      <c r="BI399" s="299"/>
      <c r="BJ399" s="295"/>
      <c r="BK399" s="193"/>
      <c r="BL399" s="193"/>
      <c r="BM399" s="483">
        <v>16</v>
      </c>
      <c r="BN399" s="321"/>
      <c r="BO399" s="321"/>
      <c r="BP399" s="321"/>
      <c r="BQ399" s="321"/>
      <c r="BR399" s="321"/>
      <c r="BS399" s="321"/>
      <c r="BT399" s="321"/>
      <c r="BU399" s="321"/>
      <c r="BV399" s="321"/>
      <c r="BW399" s="321"/>
      <c r="BX399" s="321"/>
      <c r="BY399" s="321"/>
      <c r="BZ399" s="321"/>
      <c r="CA399" s="321"/>
      <c r="CB399" s="564"/>
      <c r="CC399" s="483"/>
      <c r="CD399" s="321"/>
      <c r="CE399" s="321"/>
      <c r="CF399" s="321"/>
      <c r="CG399" s="321"/>
      <c r="CH399" s="321"/>
      <c r="CI399" s="321"/>
      <c r="CJ399" s="321"/>
      <c r="CK399" s="321"/>
      <c r="CL399" s="321"/>
      <c r="CM399" s="321"/>
      <c r="CN399" s="321"/>
      <c r="CO399" s="321"/>
      <c r="CP399" s="321"/>
      <c r="CQ399" s="321"/>
      <c r="CR399" s="1351"/>
      <c r="CS399" s="1236">
        <v>64</v>
      </c>
      <c r="CT399" s="328"/>
      <c r="CU399" s="321"/>
      <c r="CV399" s="328"/>
      <c r="CW399" s="328"/>
      <c r="CX399" s="328"/>
      <c r="CY399" s="328"/>
      <c r="CZ399" s="328"/>
      <c r="DA399" s="328"/>
      <c r="DB399" s="328"/>
      <c r="DC399" s="328"/>
      <c r="DD399" s="328"/>
      <c r="DE399" s="328"/>
      <c r="DF399" s="328"/>
      <c r="DG399" s="328"/>
      <c r="DH399" s="1237"/>
      <c r="DI399" s="1236"/>
      <c r="DJ399" s="328"/>
      <c r="DK399" s="321"/>
      <c r="DL399" s="328"/>
      <c r="DM399" s="328"/>
      <c r="DN399" s="328"/>
      <c r="DO399" s="328"/>
      <c r="DP399" s="328"/>
      <c r="DQ399" s="328"/>
      <c r="DR399" s="328"/>
      <c r="DS399" s="328"/>
      <c r="DT399" s="328"/>
      <c r="DU399" s="328"/>
      <c r="DV399" s="328"/>
      <c r="DW399" s="328"/>
      <c r="DX399" s="1237"/>
      <c r="DY399" s="321">
        <v>20</v>
      </c>
      <c r="DZ399" s="321"/>
      <c r="EA399" s="321"/>
      <c r="EB399" s="321"/>
      <c r="EC399" s="321">
        <v>4</v>
      </c>
      <c r="ED399" s="321">
        <v>3</v>
      </c>
      <c r="EE399" s="321">
        <v>1</v>
      </c>
      <c r="EF399" s="321">
        <v>1</v>
      </c>
      <c r="EG399" s="321">
        <v>1</v>
      </c>
      <c r="EH399" s="321">
        <v>2</v>
      </c>
      <c r="EI399" s="321">
        <v>4</v>
      </c>
      <c r="EJ399" s="321"/>
      <c r="EK399" s="321"/>
      <c r="EL399" s="321"/>
      <c r="EM399" s="321"/>
      <c r="EN399" s="564"/>
      <c r="EO399" s="321"/>
      <c r="EP399" s="321"/>
      <c r="EQ399" s="321"/>
      <c r="ER399" s="321"/>
      <c r="ES399" s="321">
        <v>4</v>
      </c>
      <c r="ET399" s="321">
        <v>3</v>
      </c>
      <c r="EU399" s="321">
        <v>1</v>
      </c>
      <c r="EV399" s="321">
        <v>1</v>
      </c>
      <c r="EW399" s="321">
        <v>1</v>
      </c>
      <c r="EX399" s="321">
        <v>3</v>
      </c>
      <c r="EY399" s="321">
        <v>3</v>
      </c>
      <c r="EZ399" s="321">
        <v>4</v>
      </c>
      <c r="FA399" s="321"/>
      <c r="FB399" s="321"/>
      <c r="FC399" s="321"/>
      <c r="FD399" s="564"/>
      <c r="FE399" s="321">
        <v>64</v>
      </c>
      <c r="FF399" s="321"/>
      <c r="FG399" s="321"/>
      <c r="FH399" s="321"/>
      <c r="FI399" s="321">
        <v>4</v>
      </c>
      <c r="FJ399" s="321">
        <v>3</v>
      </c>
      <c r="FK399" s="321">
        <v>2</v>
      </c>
      <c r="FL399" s="321">
        <v>2</v>
      </c>
      <c r="FM399" s="321">
        <v>2</v>
      </c>
      <c r="FN399" s="321">
        <v>3</v>
      </c>
      <c r="FO399" s="321">
        <v>4</v>
      </c>
      <c r="FP399" s="321"/>
      <c r="FQ399" s="321"/>
      <c r="FR399" s="321"/>
      <c r="FS399" s="321"/>
      <c r="FT399" s="564"/>
      <c r="FU399" s="483"/>
      <c r="FV399" s="321"/>
      <c r="FW399" s="321">
        <v>5</v>
      </c>
      <c r="FX399" s="321"/>
      <c r="FY399" s="321"/>
      <c r="FZ399" s="321">
        <v>5</v>
      </c>
      <c r="GA399" s="321"/>
      <c r="GB399" s="321">
        <v>3</v>
      </c>
      <c r="GC399" s="321">
        <v>4</v>
      </c>
      <c r="GD399" s="321"/>
      <c r="GE399" s="321"/>
      <c r="GF399" s="321"/>
      <c r="GG399" s="321"/>
      <c r="GH399" s="321"/>
      <c r="GI399" s="321"/>
      <c r="GJ399" s="564"/>
      <c r="GK399" s="1365"/>
      <c r="GL399" s="440"/>
      <c r="GM399" s="440"/>
      <c r="GN399" s="440"/>
      <c r="GO399" s="440"/>
      <c r="GP399" s="433"/>
      <c r="GQ399" s="426"/>
      <c r="GR399" s="417"/>
      <c r="GS399" s="426"/>
      <c r="GT399" s="433"/>
      <c r="GU399" s="440"/>
      <c r="GV399" s="440"/>
      <c r="GW399" s="440"/>
      <c r="GX399" s="440"/>
      <c r="GY399" s="440"/>
      <c r="GZ399" s="1355"/>
      <c r="HA399" s="201"/>
      <c r="HB399" s="201"/>
      <c r="HC399" s="201"/>
      <c r="HD399" s="201"/>
      <c r="HE399" s="201"/>
      <c r="HF399" s="201"/>
      <c r="HG399" s="201"/>
      <c r="HH399" s="201"/>
      <c r="HI399" s="201"/>
      <c r="HJ399" s="201"/>
      <c r="HK399" s="201"/>
      <c r="HL399" s="201"/>
      <c r="HM399" s="201"/>
      <c r="HN399" s="201"/>
      <c r="HO399" s="201"/>
      <c r="HP399" s="201"/>
      <c r="HQ399" s="864"/>
      <c r="HR399" s="201"/>
      <c r="HS399" s="297"/>
      <c r="HT399" s="293"/>
      <c r="HU399" s="293"/>
      <c r="HV399" s="293"/>
      <c r="HW399" s="293"/>
      <c r="HX399" s="293"/>
      <c r="HY399" s="293"/>
      <c r="HZ399" s="293"/>
      <c r="IA399" s="293"/>
      <c r="IB399" s="293"/>
      <c r="IC399" s="293"/>
      <c r="ID399" s="161"/>
      <c r="IE399" s="305"/>
      <c r="IF399" s="477"/>
      <c r="IG399" s="1236"/>
      <c r="IH399" s="328"/>
      <c r="II399" s="161"/>
      <c r="IJ399" s="297"/>
      <c r="IK399" s="293"/>
      <c r="IL399" s="161"/>
      <c r="IM399" s="297"/>
      <c r="IN399" s="293"/>
      <c r="IO399" s="161"/>
      <c r="IP399" s="297"/>
      <c r="IQ399" s="293"/>
      <c r="IR399" s="161"/>
      <c r="IS399" s="297"/>
      <c r="IT399" s="161"/>
      <c r="IU399" s="93"/>
      <c r="IV399" s="1237"/>
    </row>
    <row r="400" spans="1:256" s="326" customFormat="1" ht="8.25" customHeight="1">
      <c r="A400" s="1236"/>
      <c r="B400" s="328"/>
      <c r="C400" s="328"/>
      <c r="D400" s="328"/>
      <c r="E400" s="328"/>
      <c r="F400" s="328"/>
      <c r="G400" s="328"/>
      <c r="H400" s="328"/>
      <c r="I400" s="328"/>
      <c r="J400" s="328"/>
      <c r="K400" s="328"/>
      <c r="L400" s="328"/>
      <c r="M400" s="328"/>
      <c r="N400" s="328"/>
      <c r="O400" s="328"/>
      <c r="P400" s="1237"/>
      <c r="Q400" s="1236"/>
      <c r="R400" s="328"/>
      <c r="S400" s="328"/>
      <c r="T400" s="328"/>
      <c r="U400" s="328"/>
      <c r="V400" s="328"/>
      <c r="W400" s="328">
        <v>10</v>
      </c>
      <c r="X400" s="462">
        <v>12</v>
      </c>
      <c r="Y400" s="328">
        <v>10</v>
      </c>
      <c r="Z400" s="328"/>
      <c r="AA400" s="328"/>
      <c r="AB400" s="328"/>
      <c r="AC400" s="328"/>
      <c r="AD400" s="328"/>
      <c r="AE400" s="328"/>
      <c r="AF400" s="1237"/>
      <c r="AG400" s="1236"/>
      <c r="AH400" s="302"/>
      <c r="AI400" s="299">
        <v>8</v>
      </c>
      <c r="AJ400" s="309">
        <v>10</v>
      </c>
      <c r="AK400" s="299">
        <v>8</v>
      </c>
      <c r="AL400" s="295"/>
      <c r="AM400" s="299">
        <v>8</v>
      </c>
      <c r="AN400" s="199">
        <v>7</v>
      </c>
      <c r="AO400" s="302"/>
      <c r="AP400" s="309"/>
      <c r="AQ400" s="328"/>
      <c r="AR400" s="302"/>
      <c r="AS400" s="299"/>
      <c r="AT400" s="328"/>
      <c r="AU400" s="328"/>
      <c r="AV400" s="1237"/>
      <c r="AW400" s="699"/>
      <c r="AX400" s="299"/>
      <c r="AY400" s="328"/>
      <c r="AZ400" s="328"/>
      <c r="BA400" s="295"/>
      <c r="BB400" s="302"/>
      <c r="BC400" s="193"/>
      <c r="BD400" s="193"/>
      <c r="BE400" s="294"/>
      <c r="BF400" s="295"/>
      <c r="BG400" s="302"/>
      <c r="BH400" s="299"/>
      <c r="BI400" s="295"/>
      <c r="BJ400" s="193"/>
      <c r="BK400" s="193"/>
      <c r="BL400" s="290"/>
      <c r="BM400" s="483"/>
      <c r="BN400" s="321"/>
      <c r="BO400" s="321"/>
      <c r="BP400" s="321"/>
      <c r="BQ400" s="321"/>
      <c r="BR400" s="321"/>
      <c r="BS400" s="321"/>
      <c r="BT400" s="321"/>
      <c r="BU400" s="321"/>
      <c r="BV400" s="321"/>
      <c r="BW400" s="321"/>
      <c r="BX400" s="321"/>
      <c r="BY400" s="321"/>
      <c r="BZ400" s="321"/>
      <c r="CA400" s="321"/>
      <c r="CB400" s="564"/>
      <c r="CC400" s="483"/>
      <c r="CD400" s="321"/>
      <c r="CE400" s="321"/>
      <c r="CF400" s="321"/>
      <c r="CG400" s="321"/>
      <c r="CH400" s="321"/>
      <c r="CI400" s="321"/>
      <c r="CJ400" s="321"/>
      <c r="CK400" s="321"/>
      <c r="CL400" s="321"/>
      <c r="CM400" s="321"/>
      <c r="CN400" s="321"/>
      <c r="CO400" s="321"/>
      <c r="CP400" s="321"/>
      <c r="CQ400" s="321"/>
      <c r="CR400" s="1351"/>
      <c r="CS400" s="1236"/>
      <c r="CT400" s="328"/>
      <c r="CU400" s="321"/>
      <c r="CV400" s="328"/>
      <c r="CW400" s="328"/>
      <c r="CX400" s="328"/>
      <c r="CY400" s="328"/>
      <c r="CZ400" s="328"/>
      <c r="DA400" s="328"/>
      <c r="DB400" s="328"/>
      <c r="DC400" s="328"/>
      <c r="DD400" s="328"/>
      <c r="DE400" s="328"/>
      <c r="DF400" s="328"/>
      <c r="DG400" s="328"/>
      <c r="DH400" s="1237"/>
      <c r="DI400" s="1236"/>
      <c r="DJ400" s="328"/>
      <c r="DK400" s="321"/>
      <c r="DL400" s="328"/>
      <c r="DM400" s="328"/>
      <c r="DN400" s="328"/>
      <c r="DO400" s="328"/>
      <c r="DP400" s="328"/>
      <c r="DQ400" s="328"/>
      <c r="DR400" s="328"/>
      <c r="DS400" s="328"/>
      <c r="DT400" s="328"/>
      <c r="DU400" s="328"/>
      <c r="DV400" s="328"/>
      <c r="DW400" s="328"/>
      <c r="DX400" s="1237"/>
      <c r="DY400" s="321"/>
      <c r="DZ400" s="321"/>
      <c r="EA400" s="321"/>
      <c r="EB400" s="321">
        <v>4</v>
      </c>
      <c r="EC400" s="321">
        <v>3</v>
      </c>
      <c r="ED400" s="321">
        <v>3</v>
      </c>
      <c r="EE400" s="321">
        <v>1</v>
      </c>
      <c r="EF400" s="321">
        <v>1</v>
      </c>
      <c r="EG400" s="321">
        <v>1</v>
      </c>
      <c r="EH400" s="321">
        <v>2</v>
      </c>
      <c r="EI400" s="321">
        <v>3</v>
      </c>
      <c r="EJ400" s="321"/>
      <c r="EK400" s="321"/>
      <c r="EL400" s="321"/>
      <c r="EM400" s="321"/>
      <c r="EN400" s="564"/>
      <c r="EO400" s="321"/>
      <c r="EP400" s="321"/>
      <c r="EQ400" s="321"/>
      <c r="ER400" s="321">
        <v>4</v>
      </c>
      <c r="ES400" s="321">
        <v>3</v>
      </c>
      <c r="ET400" s="321">
        <v>2</v>
      </c>
      <c r="EU400" s="321">
        <v>1</v>
      </c>
      <c r="EV400" s="321">
        <v>1</v>
      </c>
      <c r="EW400" s="321">
        <v>1</v>
      </c>
      <c r="EX400" s="321">
        <v>3</v>
      </c>
      <c r="EY400" s="321">
        <v>4</v>
      </c>
      <c r="EZ400" s="321"/>
      <c r="FA400" s="321"/>
      <c r="FB400" s="321"/>
      <c r="FC400" s="321"/>
      <c r="FD400" s="564"/>
      <c r="FE400" s="1308"/>
      <c r="FF400" s="321"/>
      <c r="FG400" s="321"/>
      <c r="FH400" s="321">
        <v>5</v>
      </c>
      <c r="FI400" s="321">
        <v>3</v>
      </c>
      <c r="FJ400" s="321">
        <v>3</v>
      </c>
      <c r="FK400" s="321">
        <v>2</v>
      </c>
      <c r="FL400" s="321">
        <v>2</v>
      </c>
      <c r="FM400" s="321">
        <v>2</v>
      </c>
      <c r="FN400" s="321">
        <v>3</v>
      </c>
      <c r="FO400" s="321">
        <v>3</v>
      </c>
      <c r="FP400" s="321">
        <v>5</v>
      </c>
      <c r="FQ400" s="321"/>
      <c r="FR400" s="321"/>
      <c r="FS400" s="321"/>
      <c r="FT400" s="564"/>
      <c r="FU400" s="483"/>
      <c r="FV400" s="321"/>
      <c r="FW400" s="321"/>
      <c r="FX400" s="321"/>
      <c r="FY400" s="321">
        <v>5</v>
      </c>
      <c r="FZ400" s="321"/>
      <c r="GA400" s="321">
        <v>5</v>
      </c>
      <c r="GB400" s="321">
        <v>3</v>
      </c>
      <c r="GC400" s="321">
        <v>5</v>
      </c>
      <c r="GD400" s="321"/>
      <c r="GE400" s="321">
        <v>5</v>
      </c>
      <c r="GF400" s="321"/>
      <c r="GG400" s="321"/>
      <c r="GH400" s="321"/>
      <c r="GI400" s="321"/>
      <c r="GJ400" s="564"/>
      <c r="GK400" s="1367"/>
      <c r="GL400" s="433"/>
      <c r="GM400" s="433"/>
      <c r="GN400" s="433"/>
      <c r="GO400" s="433"/>
      <c r="GP400" s="426"/>
      <c r="GQ400" s="422"/>
      <c r="GR400" s="417"/>
      <c r="GS400" s="422"/>
      <c r="GT400" s="426"/>
      <c r="GU400" s="433"/>
      <c r="GV400" s="433"/>
      <c r="GW400" s="433"/>
      <c r="GX400" s="433"/>
      <c r="GY400" s="433"/>
      <c r="GZ400" s="1366"/>
      <c r="HA400" s="201"/>
      <c r="HB400" s="201"/>
      <c r="HC400" s="201"/>
      <c r="HD400" s="201"/>
      <c r="HE400" s="201"/>
      <c r="HF400" s="201"/>
      <c r="HG400" s="201"/>
      <c r="HH400" s="201"/>
      <c r="HI400" s="201"/>
      <c r="HJ400" s="201"/>
      <c r="HK400" s="201"/>
      <c r="HL400" s="201"/>
      <c r="HM400" s="201"/>
      <c r="HN400" s="201"/>
      <c r="HO400" s="201"/>
      <c r="HP400" s="201"/>
      <c r="HQ400" s="864"/>
      <c r="HR400" s="201"/>
      <c r="HS400" s="297"/>
      <c r="HT400" s="293"/>
      <c r="HU400" s="293"/>
      <c r="HV400" s="297"/>
      <c r="HW400" s="297"/>
      <c r="HX400" s="297"/>
      <c r="HY400" s="297"/>
      <c r="HZ400" s="297"/>
      <c r="IA400" s="297"/>
      <c r="IB400" s="293"/>
      <c r="IC400" s="293"/>
      <c r="ID400" s="161"/>
      <c r="IE400" s="305"/>
      <c r="IF400" s="477"/>
      <c r="IG400" s="1236"/>
      <c r="IH400" s="328"/>
      <c r="II400" s="161"/>
      <c r="IJ400" s="297"/>
      <c r="IK400" s="293"/>
      <c r="IL400" s="161"/>
      <c r="IM400" s="301"/>
      <c r="IN400" s="293"/>
      <c r="IO400" s="161"/>
      <c r="IP400" s="301"/>
      <c r="IQ400" s="293"/>
      <c r="IR400" s="161"/>
      <c r="IS400" s="297"/>
      <c r="IT400" s="161"/>
      <c r="IU400" s="93"/>
      <c r="IV400" s="1237"/>
    </row>
    <row r="401" spans="1:256" s="326" customFormat="1" ht="8.25" customHeight="1">
      <c r="A401" s="1236"/>
      <c r="B401" s="328"/>
      <c r="C401" s="328"/>
      <c r="D401" s="328"/>
      <c r="E401" s="328"/>
      <c r="F401" s="328"/>
      <c r="G401" s="328"/>
      <c r="H401" s="328"/>
      <c r="I401" s="328"/>
      <c r="J401" s="328"/>
      <c r="K401" s="328"/>
      <c r="L401" s="328"/>
      <c r="M401" s="328"/>
      <c r="N401" s="328"/>
      <c r="O401" s="328"/>
      <c r="P401" s="1237"/>
      <c r="Q401" s="1236"/>
      <c r="R401" s="328"/>
      <c r="S401" s="328"/>
      <c r="T401" s="328"/>
      <c r="U401" s="328"/>
      <c r="V401" s="328">
        <v>10</v>
      </c>
      <c r="W401" s="462">
        <v>12</v>
      </c>
      <c r="X401" s="328">
        <v>10</v>
      </c>
      <c r="Y401" s="328"/>
      <c r="Z401" s="328"/>
      <c r="AA401" s="328"/>
      <c r="AB401" s="328"/>
      <c r="AC401" s="328"/>
      <c r="AD401" s="328"/>
      <c r="AE401" s="328"/>
      <c r="AF401" s="1237"/>
      <c r="AG401" s="1236"/>
      <c r="AH401" s="302"/>
      <c r="AI401" s="299">
        <v>8</v>
      </c>
      <c r="AJ401" s="309">
        <v>10</v>
      </c>
      <c r="AK401" s="328"/>
      <c r="AL401" s="295"/>
      <c r="AM401" s="299">
        <v>8</v>
      </c>
      <c r="AN401" s="199">
        <v>7</v>
      </c>
      <c r="AO401" s="302"/>
      <c r="AP401" s="309"/>
      <c r="AQ401" s="328"/>
      <c r="AR401" s="302">
        <v>8</v>
      </c>
      <c r="AS401" s="328"/>
      <c r="AT401" s="328"/>
      <c r="AU401" s="328"/>
      <c r="AV401" s="1237"/>
      <c r="AW401" s="699"/>
      <c r="AX401" s="299"/>
      <c r="AY401" s="299"/>
      <c r="AZ401" s="295"/>
      <c r="BA401" s="299"/>
      <c r="BB401" s="302"/>
      <c r="BC401" s="193"/>
      <c r="BD401" s="193"/>
      <c r="BE401" s="290"/>
      <c r="BF401" s="299"/>
      <c r="BG401" s="302"/>
      <c r="BH401" s="295"/>
      <c r="BI401" s="193"/>
      <c r="BJ401" s="291"/>
      <c r="BK401" s="291"/>
      <c r="BL401" s="290"/>
      <c r="BM401" s="1236"/>
      <c r="BN401" s="328"/>
      <c r="BO401" s="321"/>
      <c r="BP401" s="328"/>
      <c r="BQ401" s="328"/>
      <c r="BR401" s="328"/>
      <c r="BS401" s="328"/>
      <c r="BT401" s="328"/>
      <c r="BU401" s="328"/>
      <c r="BV401" s="328"/>
      <c r="BW401" s="328"/>
      <c r="BX401" s="328"/>
      <c r="BY401" s="328"/>
      <c r="BZ401" s="328"/>
      <c r="CA401" s="328"/>
      <c r="CB401" s="1237"/>
      <c r="CC401" s="1236"/>
      <c r="CD401" s="328"/>
      <c r="CE401" s="321"/>
      <c r="CF401" s="328"/>
      <c r="CG401" s="328"/>
      <c r="CH401" s="328"/>
      <c r="CI401" s="328"/>
      <c r="CJ401" s="328"/>
      <c r="CK401" s="328"/>
      <c r="CL401" s="328"/>
      <c r="CM401" s="328"/>
      <c r="CN401" s="328"/>
      <c r="CO401" s="328"/>
      <c r="CP401" s="328"/>
      <c r="CQ401" s="328"/>
      <c r="CR401" s="1237"/>
      <c r="CS401" s="1236"/>
      <c r="CT401" s="328"/>
      <c r="CU401" s="321"/>
      <c r="CV401" s="328"/>
      <c r="CW401" s="328"/>
      <c r="CX401" s="328"/>
      <c r="CY401" s="328"/>
      <c r="CZ401" s="328"/>
      <c r="DA401" s="328"/>
      <c r="DB401" s="328"/>
      <c r="DC401" s="328"/>
      <c r="DD401" s="328"/>
      <c r="DE401" s="328"/>
      <c r="DF401" s="328"/>
      <c r="DG401" s="328"/>
      <c r="DH401" s="1237"/>
      <c r="DI401" s="1236"/>
      <c r="DJ401" s="328"/>
      <c r="DK401" s="321"/>
      <c r="DL401" s="328"/>
      <c r="DM401" s="328"/>
      <c r="DN401" s="328"/>
      <c r="DO401" s="328"/>
      <c r="DP401" s="328"/>
      <c r="DQ401" s="328"/>
      <c r="DR401" s="328"/>
      <c r="DS401" s="328"/>
      <c r="DT401" s="328"/>
      <c r="DU401" s="328"/>
      <c r="DV401" s="328"/>
      <c r="DW401" s="328"/>
      <c r="DX401" s="1237"/>
      <c r="DY401" s="321"/>
      <c r="DZ401" s="321"/>
      <c r="EA401" s="321"/>
      <c r="EB401" s="321">
        <v>4</v>
      </c>
      <c r="EC401" s="321">
        <v>3</v>
      </c>
      <c r="ED401" s="321">
        <v>2</v>
      </c>
      <c r="EE401" s="321">
        <v>1</v>
      </c>
      <c r="EF401" s="321">
        <v>1</v>
      </c>
      <c r="EG401" s="321">
        <v>1</v>
      </c>
      <c r="EH401" s="321">
        <v>1</v>
      </c>
      <c r="EI401" s="321">
        <v>3</v>
      </c>
      <c r="EJ401" s="321">
        <v>4</v>
      </c>
      <c r="EK401" s="321"/>
      <c r="EL401" s="321"/>
      <c r="EM401" s="321"/>
      <c r="EN401" s="564"/>
      <c r="EO401" s="321"/>
      <c r="EP401" s="321"/>
      <c r="EQ401" s="321"/>
      <c r="ER401" s="321">
        <v>4</v>
      </c>
      <c r="ES401" s="321">
        <v>3</v>
      </c>
      <c r="ET401" s="321">
        <v>1</v>
      </c>
      <c r="EU401" s="321">
        <v>1</v>
      </c>
      <c r="EV401" s="321">
        <v>1</v>
      </c>
      <c r="EW401" s="321">
        <v>2</v>
      </c>
      <c r="EX401" s="321">
        <v>4</v>
      </c>
      <c r="EY401" s="321"/>
      <c r="EZ401" s="321"/>
      <c r="FA401" s="321"/>
      <c r="FB401" s="321"/>
      <c r="FC401" s="321"/>
      <c r="FD401" s="564"/>
      <c r="FE401" s="1308"/>
      <c r="FF401" s="321">
        <v>5</v>
      </c>
      <c r="FG401" s="321"/>
      <c r="FH401" s="321">
        <v>4</v>
      </c>
      <c r="FI401" s="321">
        <v>4</v>
      </c>
      <c r="FJ401" s="321">
        <v>3</v>
      </c>
      <c r="FK401" s="321">
        <v>2</v>
      </c>
      <c r="FL401" s="321">
        <v>2</v>
      </c>
      <c r="FM401" s="321">
        <v>2</v>
      </c>
      <c r="FN401" s="321">
        <v>3</v>
      </c>
      <c r="FO401" s="321">
        <v>4</v>
      </c>
      <c r="FP401" s="321"/>
      <c r="FQ401" s="321"/>
      <c r="FR401" s="321"/>
      <c r="FS401" s="321"/>
      <c r="FT401" s="564">
        <v>5</v>
      </c>
      <c r="FU401" s="1308"/>
      <c r="FV401" s="321">
        <v>5</v>
      </c>
      <c r="FW401" s="321"/>
      <c r="FX401" s="321"/>
      <c r="FY401" s="321"/>
      <c r="FZ401" s="321">
        <v>5</v>
      </c>
      <c r="GA401" s="321">
        <v>4</v>
      </c>
      <c r="GB401" s="321"/>
      <c r="GC401" s="321">
        <v>4</v>
      </c>
      <c r="GD401" s="321">
        <v>5</v>
      </c>
      <c r="GE401" s="321">
        <v>5</v>
      </c>
      <c r="GF401" s="321"/>
      <c r="GG401" s="321"/>
      <c r="GH401" s="321"/>
      <c r="GI401" s="321"/>
      <c r="GJ401" s="564"/>
      <c r="GK401" s="1236">
        <v>3</v>
      </c>
      <c r="GL401" s="328"/>
      <c r="GM401" s="328"/>
      <c r="GN401" s="328"/>
      <c r="GO401" s="328"/>
      <c r="GP401" s="328"/>
      <c r="GQ401" s="328"/>
      <c r="GR401" s="328"/>
      <c r="GS401" s="328"/>
      <c r="GT401" s="328"/>
      <c r="GU401" s="328"/>
      <c r="GV401" s="328"/>
      <c r="GW401" s="328"/>
      <c r="GX401" s="328"/>
      <c r="GY401" s="328"/>
      <c r="GZ401" s="1237"/>
      <c r="HA401" s="201"/>
      <c r="HB401" s="200"/>
      <c r="HC401" s="199"/>
      <c r="HD401" s="199"/>
      <c r="HE401" s="199"/>
      <c r="HF401" s="199"/>
      <c r="HG401" s="199"/>
      <c r="HH401" s="199"/>
      <c r="HI401" s="199"/>
      <c r="HJ401" s="199"/>
      <c r="HK401" s="199"/>
      <c r="HL401" s="199"/>
      <c r="HM401" s="199"/>
      <c r="HN401" s="199"/>
      <c r="HO401" s="201"/>
      <c r="HP401" s="201"/>
      <c r="HQ401" s="864">
        <v>2</v>
      </c>
      <c r="HR401" s="201"/>
      <c r="HS401" s="297"/>
      <c r="HT401" s="293"/>
      <c r="HU401" s="297"/>
      <c r="HV401" s="199"/>
      <c r="HW401" s="199"/>
      <c r="HX401" s="199"/>
      <c r="HY401" s="199"/>
      <c r="HZ401" s="199"/>
      <c r="IA401" s="199"/>
      <c r="IB401" s="161"/>
      <c r="IC401" s="293"/>
      <c r="ID401" s="161"/>
      <c r="IE401" s="305"/>
      <c r="IF401" s="477"/>
      <c r="IG401" s="1236">
        <v>2</v>
      </c>
      <c r="IH401" s="328"/>
      <c r="II401" s="161"/>
      <c r="IJ401" s="297"/>
      <c r="IK401" s="293"/>
      <c r="IL401" s="161"/>
      <c r="IM401" s="297"/>
      <c r="IN401" s="293"/>
      <c r="IO401" s="161"/>
      <c r="IP401" s="297"/>
      <c r="IQ401" s="293"/>
      <c r="IR401" s="161"/>
      <c r="IS401" s="297"/>
      <c r="IT401" s="161"/>
      <c r="IU401" s="93"/>
      <c r="IV401" s="1237"/>
    </row>
    <row r="402" spans="1:256" s="326" customFormat="1" ht="8.25" customHeight="1">
      <c r="A402" s="1236"/>
      <c r="B402" s="328"/>
      <c r="C402" s="328"/>
      <c r="D402" s="328"/>
      <c r="E402" s="328"/>
      <c r="F402" s="328"/>
      <c r="G402" s="328"/>
      <c r="H402" s="328"/>
      <c r="I402" s="328"/>
      <c r="J402" s="328"/>
      <c r="K402" s="328"/>
      <c r="L402" s="328"/>
      <c r="M402" s="328"/>
      <c r="N402" s="328"/>
      <c r="O402" s="328"/>
      <c r="P402" s="1237"/>
      <c r="Q402" s="1236"/>
      <c r="R402" s="328"/>
      <c r="S402" s="328"/>
      <c r="T402" s="328"/>
      <c r="U402" s="328"/>
      <c r="V402" s="328">
        <v>10</v>
      </c>
      <c r="W402" s="462">
        <v>11</v>
      </c>
      <c r="X402" s="328">
        <v>10</v>
      </c>
      <c r="Y402" s="328"/>
      <c r="Z402" s="328"/>
      <c r="AA402" s="328"/>
      <c r="AB402" s="328"/>
      <c r="AC402" s="328"/>
      <c r="AD402" s="328"/>
      <c r="AE402" s="328"/>
      <c r="AF402" s="1237"/>
      <c r="AG402" s="1236"/>
      <c r="AH402" s="302">
        <v>9</v>
      </c>
      <c r="AI402" s="299">
        <v>8</v>
      </c>
      <c r="AJ402" s="309">
        <v>10</v>
      </c>
      <c r="AK402" s="328"/>
      <c r="AL402" s="295"/>
      <c r="AM402" s="299"/>
      <c r="AN402" s="199">
        <v>7</v>
      </c>
      <c r="AO402" s="302"/>
      <c r="AP402" s="309">
        <v>11</v>
      </c>
      <c r="AQ402" s="328"/>
      <c r="AR402" s="302">
        <v>8</v>
      </c>
      <c r="AS402" s="328"/>
      <c r="AT402" s="328"/>
      <c r="AU402" s="328"/>
      <c r="AV402" s="1237"/>
      <c r="AW402" s="299"/>
      <c r="AX402" s="295"/>
      <c r="AY402" s="295"/>
      <c r="AZ402" s="295"/>
      <c r="BA402" s="299"/>
      <c r="BB402" s="299"/>
      <c r="BC402" s="193"/>
      <c r="BD402" s="294"/>
      <c r="BE402" s="295"/>
      <c r="BF402" s="302"/>
      <c r="BG402" s="299"/>
      <c r="BH402" s="295"/>
      <c r="BI402" s="201"/>
      <c r="BJ402" s="291"/>
      <c r="BK402" s="290"/>
      <c r="BL402" s="294"/>
      <c r="BM402" s="1236"/>
      <c r="BN402" s="328"/>
      <c r="BO402" s="321"/>
      <c r="BP402" s="328"/>
      <c r="BQ402" s="328"/>
      <c r="BR402" s="328"/>
      <c r="BS402" s="328"/>
      <c r="BT402" s="328"/>
      <c r="BU402" s="328"/>
      <c r="BV402" s="328"/>
      <c r="BW402" s="328"/>
      <c r="BX402" s="328"/>
      <c r="BY402" s="328"/>
      <c r="BZ402" s="328"/>
      <c r="CA402" s="328"/>
      <c r="CB402" s="1237"/>
      <c r="CC402" s="1236"/>
      <c r="CD402" s="328"/>
      <c r="CE402" s="321"/>
      <c r="CF402" s="328"/>
      <c r="CG402" s="328"/>
      <c r="CH402" s="328"/>
      <c r="CI402" s="328"/>
      <c r="CJ402" s="328"/>
      <c r="CK402" s="328"/>
      <c r="CL402" s="328"/>
      <c r="CM402" s="328"/>
      <c r="CN402" s="328"/>
      <c r="CO402" s="328"/>
      <c r="CP402" s="328"/>
      <c r="CQ402" s="328"/>
      <c r="CR402" s="1237"/>
      <c r="CS402" s="1236"/>
      <c r="CT402" s="328"/>
      <c r="CU402" s="321"/>
      <c r="CV402" s="328"/>
      <c r="CW402" s="328"/>
      <c r="CX402" s="328"/>
      <c r="CY402" s="328"/>
      <c r="CZ402" s="328"/>
      <c r="DA402" s="328"/>
      <c r="DB402" s="328"/>
      <c r="DC402" s="328"/>
      <c r="DD402" s="328"/>
      <c r="DE402" s="328"/>
      <c r="DF402" s="328"/>
      <c r="DG402" s="328"/>
      <c r="DH402" s="1237"/>
      <c r="DI402" s="1236"/>
      <c r="DJ402" s="328"/>
      <c r="DK402" s="321"/>
      <c r="DL402" s="328"/>
      <c r="DM402" s="328"/>
      <c r="DN402" s="328"/>
      <c r="DO402" s="328"/>
      <c r="DP402" s="328"/>
      <c r="DQ402" s="328"/>
      <c r="DR402" s="328"/>
      <c r="DS402" s="328"/>
      <c r="DT402" s="328"/>
      <c r="DU402" s="328"/>
      <c r="DV402" s="328"/>
      <c r="DW402" s="328"/>
      <c r="DX402" s="1237"/>
      <c r="DY402" s="321"/>
      <c r="DZ402" s="321"/>
      <c r="EA402" s="321"/>
      <c r="EB402" s="321"/>
      <c r="EC402" s="321">
        <v>4</v>
      </c>
      <c r="ED402" s="321">
        <v>2</v>
      </c>
      <c r="EE402" s="321">
        <v>1</v>
      </c>
      <c r="EF402" s="321">
        <v>1</v>
      </c>
      <c r="EG402" s="321">
        <v>1</v>
      </c>
      <c r="EH402" s="321">
        <v>1</v>
      </c>
      <c r="EI402" s="321">
        <v>2</v>
      </c>
      <c r="EJ402" s="321">
        <v>4</v>
      </c>
      <c r="EK402" s="321"/>
      <c r="EL402" s="321"/>
      <c r="EM402" s="321"/>
      <c r="EN402" s="564"/>
      <c r="EO402" s="321"/>
      <c r="EP402" s="321"/>
      <c r="EQ402" s="321"/>
      <c r="ER402" s="321">
        <v>4</v>
      </c>
      <c r="ES402" s="321">
        <v>3</v>
      </c>
      <c r="ET402" s="321">
        <v>1</v>
      </c>
      <c r="EU402" s="321">
        <v>1</v>
      </c>
      <c r="EV402" s="321">
        <v>1</v>
      </c>
      <c r="EW402" s="321">
        <v>2</v>
      </c>
      <c r="EX402" s="321">
        <v>4</v>
      </c>
      <c r="EY402" s="321"/>
      <c r="EZ402" s="321"/>
      <c r="FA402" s="321"/>
      <c r="FB402" s="321"/>
      <c r="FC402" s="321"/>
      <c r="FD402" s="564"/>
      <c r="FE402" s="321"/>
      <c r="FF402" s="321">
        <v>4</v>
      </c>
      <c r="FG402" s="321"/>
      <c r="FH402" s="321">
        <v>4</v>
      </c>
      <c r="FI402" s="321">
        <v>4</v>
      </c>
      <c r="FJ402" s="321">
        <v>3</v>
      </c>
      <c r="FK402" s="321">
        <v>2</v>
      </c>
      <c r="FL402" s="321">
        <v>2</v>
      </c>
      <c r="FM402" s="321">
        <v>2</v>
      </c>
      <c r="FN402" s="321">
        <v>3</v>
      </c>
      <c r="FO402" s="321">
        <v>4</v>
      </c>
      <c r="FP402" s="321">
        <v>5</v>
      </c>
      <c r="FQ402" s="321"/>
      <c r="FR402" s="321"/>
      <c r="FS402" s="321">
        <v>5</v>
      </c>
      <c r="FT402" s="564"/>
      <c r="FU402" s="1308"/>
      <c r="FV402" s="321">
        <v>5</v>
      </c>
      <c r="FW402" s="321"/>
      <c r="FX402" s="321"/>
      <c r="FY402" s="321">
        <v>5</v>
      </c>
      <c r="FZ402" s="321">
        <v>5</v>
      </c>
      <c r="GA402" s="321">
        <v>4</v>
      </c>
      <c r="GB402" s="321"/>
      <c r="GC402" s="321">
        <v>4</v>
      </c>
      <c r="GD402" s="321"/>
      <c r="GE402" s="321">
        <v>5</v>
      </c>
      <c r="GF402" s="321">
        <v>5</v>
      </c>
      <c r="GG402" s="321"/>
      <c r="GH402" s="321"/>
      <c r="GI402" s="321">
        <v>5</v>
      </c>
      <c r="GJ402" s="564">
        <v>5</v>
      </c>
      <c r="GK402" s="1236"/>
      <c r="GL402" s="328"/>
      <c r="GM402" s="328"/>
      <c r="GN402" s="328"/>
      <c r="GO402" s="328"/>
      <c r="GP402" s="328"/>
      <c r="GQ402" s="328"/>
      <c r="GR402" s="328"/>
      <c r="GS402" s="328"/>
      <c r="GT402" s="328"/>
      <c r="GU402" s="328"/>
      <c r="GV402" s="328"/>
      <c r="GW402" s="328"/>
      <c r="GX402" s="328"/>
      <c r="GY402" s="328"/>
      <c r="GZ402" s="1237"/>
      <c r="HA402" s="201"/>
      <c r="HB402" s="199"/>
      <c r="HC402" s="201"/>
      <c r="HD402" s="201"/>
      <c r="HE402" s="201"/>
      <c r="HF402" s="201"/>
      <c r="HG402" s="201"/>
      <c r="HH402" s="201"/>
      <c r="HI402" s="201"/>
      <c r="HJ402" s="201"/>
      <c r="HK402" s="201"/>
      <c r="HL402" s="201"/>
      <c r="HM402" s="201"/>
      <c r="HN402" s="201"/>
      <c r="HO402" s="291"/>
      <c r="HP402" s="201"/>
      <c r="HQ402" s="864">
        <v>5</v>
      </c>
      <c r="HR402" s="201"/>
      <c r="HS402" s="297"/>
      <c r="HT402" s="293"/>
      <c r="HU402" s="293"/>
      <c r="HV402" s="161"/>
      <c r="HW402" s="161"/>
      <c r="HX402" s="161"/>
      <c r="HY402" s="161"/>
      <c r="HZ402" s="161"/>
      <c r="IA402" s="161"/>
      <c r="IB402" s="293"/>
      <c r="IC402" s="293"/>
      <c r="ID402" s="161"/>
      <c r="IE402" s="305"/>
      <c r="IF402" s="477"/>
      <c r="IG402" s="1236"/>
      <c r="IH402" s="328"/>
      <c r="II402" s="161"/>
      <c r="IJ402" s="297"/>
      <c r="IK402" s="293"/>
      <c r="IL402" s="161"/>
      <c r="IM402" s="301"/>
      <c r="IN402" s="293"/>
      <c r="IO402" s="161"/>
      <c r="IP402" s="301"/>
      <c r="IQ402" s="293"/>
      <c r="IR402" s="161"/>
      <c r="IS402" s="297"/>
      <c r="IT402" s="161"/>
      <c r="IU402" s="93"/>
      <c r="IV402" s="1237"/>
    </row>
    <row r="403" spans="1:256" s="326" customFormat="1" ht="8.25" customHeight="1">
      <c r="A403" s="1236"/>
      <c r="B403" s="328"/>
      <c r="C403" s="328"/>
      <c r="D403" s="328"/>
      <c r="E403" s="328"/>
      <c r="F403" s="328"/>
      <c r="G403" s="328"/>
      <c r="H403" s="328"/>
      <c r="I403" s="328"/>
      <c r="J403" s="328"/>
      <c r="K403" s="328"/>
      <c r="L403" s="328"/>
      <c r="M403" s="328"/>
      <c r="N403" s="328"/>
      <c r="O403" s="328"/>
      <c r="P403" s="1237"/>
      <c r="Q403" s="1236"/>
      <c r="R403" s="328"/>
      <c r="S403" s="328"/>
      <c r="T403" s="328"/>
      <c r="U403" s="328"/>
      <c r="V403" s="328">
        <v>10</v>
      </c>
      <c r="W403" s="462">
        <v>12</v>
      </c>
      <c r="X403" s="328">
        <v>10</v>
      </c>
      <c r="Y403" s="328"/>
      <c r="Z403" s="328"/>
      <c r="AA403" s="328"/>
      <c r="AB403" s="328"/>
      <c r="AC403" s="328"/>
      <c r="AD403" s="328"/>
      <c r="AE403" s="328"/>
      <c r="AF403" s="1237"/>
      <c r="AG403" s="1236"/>
      <c r="AH403" s="302">
        <v>9</v>
      </c>
      <c r="AI403" s="299">
        <v>8</v>
      </c>
      <c r="AJ403" s="328"/>
      <c r="AK403" s="328"/>
      <c r="AL403" s="295"/>
      <c r="AM403" s="299"/>
      <c r="AN403" s="328"/>
      <c r="AO403" s="302"/>
      <c r="AP403" s="309">
        <v>11</v>
      </c>
      <c r="AQ403" s="328"/>
      <c r="AR403" s="302">
        <v>8</v>
      </c>
      <c r="AS403" s="328"/>
      <c r="AT403" s="328"/>
      <c r="AU403" s="328"/>
      <c r="AV403" s="1237"/>
      <c r="AW403" s="299"/>
      <c r="AX403" s="93"/>
      <c r="AY403" s="328"/>
      <c r="AZ403" s="328"/>
      <c r="BA403" s="193"/>
      <c r="BB403" s="193"/>
      <c r="BC403" s="290"/>
      <c r="BD403" s="295"/>
      <c r="BE403" s="295"/>
      <c r="BF403" s="302"/>
      <c r="BG403" s="299"/>
      <c r="BH403" s="295"/>
      <c r="BI403" s="193"/>
      <c r="BJ403" s="199"/>
      <c r="BK403" s="291"/>
      <c r="BL403" s="294"/>
      <c r="BM403" s="1236"/>
      <c r="BN403" s="328"/>
      <c r="BO403" s="321"/>
      <c r="BP403" s="328"/>
      <c r="BQ403" s="328"/>
      <c r="BR403" s="328"/>
      <c r="BS403" s="328"/>
      <c r="BT403" s="328"/>
      <c r="BU403" s="328"/>
      <c r="BV403" s="328"/>
      <c r="BW403" s="328"/>
      <c r="BX403" s="328"/>
      <c r="BY403" s="328"/>
      <c r="BZ403" s="328"/>
      <c r="CA403" s="328"/>
      <c r="CB403" s="1237"/>
      <c r="CC403" s="1236"/>
      <c r="CD403" s="328"/>
      <c r="CE403" s="321"/>
      <c r="CF403" s="328"/>
      <c r="CG403" s="328"/>
      <c r="CH403" s="328"/>
      <c r="CI403" s="328"/>
      <c r="CJ403" s="328"/>
      <c r="CK403" s="328"/>
      <c r="CL403" s="328"/>
      <c r="CM403" s="328"/>
      <c r="CN403" s="328"/>
      <c r="CO403" s="328"/>
      <c r="CP403" s="328"/>
      <c r="CQ403" s="328"/>
      <c r="CR403" s="1237"/>
      <c r="CS403" s="1236"/>
      <c r="CT403" s="328"/>
      <c r="CU403" s="321"/>
      <c r="CV403" s="328"/>
      <c r="CW403" s="328"/>
      <c r="CX403" s="328"/>
      <c r="CY403" s="328"/>
      <c r="CZ403" s="328"/>
      <c r="DA403" s="328"/>
      <c r="DB403" s="328"/>
      <c r="DC403" s="328"/>
      <c r="DD403" s="328"/>
      <c r="DE403" s="328"/>
      <c r="DF403" s="328"/>
      <c r="DG403" s="328"/>
      <c r="DH403" s="1237"/>
      <c r="DI403" s="1236"/>
      <c r="DJ403" s="328"/>
      <c r="DK403" s="321"/>
      <c r="DL403" s="328"/>
      <c r="DM403" s="328"/>
      <c r="DN403" s="328"/>
      <c r="DO403" s="328"/>
      <c r="DP403" s="328"/>
      <c r="DQ403" s="328"/>
      <c r="DR403" s="328"/>
      <c r="DS403" s="328"/>
      <c r="DT403" s="328"/>
      <c r="DU403" s="328"/>
      <c r="DV403" s="328"/>
      <c r="DW403" s="328"/>
      <c r="DX403" s="1237"/>
      <c r="DY403" s="321"/>
      <c r="DZ403" s="321"/>
      <c r="EA403" s="321"/>
      <c r="EB403" s="321"/>
      <c r="EC403" s="321">
        <v>4</v>
      </c>
      <c r="ED403" s="321">
        <v>2</v>
      </c>
      <c r="EE403" s="321">
        <v>1</v>
      </c>
      <c r="EF403" s="321">
        <v>1</v>
      </c>
      <c r="EG403" s="321">
        <v>1</v>
      </c>
      <c r="EH403" s="321">
        <v>1</v>
      </c>
      <c r="EI403" s="321">
        <v>2</v>
      </c>
      <c r="EJ403" s="321">
        <v>4</v>
      </c>
      <c r="EK403" s="321"/>
      <c r="EL403" s="321"/>
      <c r="EM403" s="321"/>
      <c r="EN403" s="564"/>
      <c r="EO403" s="321"/>
      <c r="EP403" s="321"/>
      <c r="EQ403" s="321"/>
      <c r="ER403" s="321">
        <v>4</v>
      </c>
      <c r="ES403" s="321">
        <v>3</v>
      </c>
      <c r="ET403" s="321">
        <v>1</v>
      </c>
      <c r="EU403" s="321">
        <v>1</v>
      </c>
      <c r="EV403" s="321">
        <v>1</v>
      </c>
      <c r="EW403" s="321">
        <v>2</v>
      </c>
      <c r="EX403" s="321">
        <v>4</v>
      </c>
      <c r="EY403" s="321"/>
      <c r="EZ403" s="321"/>
      <c r="FA403" s="321"/>
      <c r="FB403" s="321"/>
      <c r="FC403" s="321"/>
      <c r="FD403" s="564"/>
      <c r="FE403" s="321"/>
      <c r="FF403" s="321">
        <v>4</v>
      </c>
      <c r="FG403" s="321">
        <v>5</v>
      </c>
      <c r="FH403" s="321">
        <v>4</v>
      </c>
      <c r="FI403" s="321">
        <v>3</v>
      </c>
      <c r="FJ403" s="321">
        <v>3</v>
      </c>
      <c r="FK403" s="321">
        <v>2</v>
      </c>
      <c r="FL403" s="321">
        <v>2</v>
      </c>
      <c r="FM403" s="321">
        <v>2</v>
      </c>
      <c r="FN403" s="321">
        <v>3</v>
      </c>
      <c r="FO403" s="321">
        <v>4</v>
      </c>
      <c r="FP403" s="321">
        <v>4</v>
      </c>
      <c r="FQ403" s="321">
        <v>5</v>
      </c>
      <c r="FR403" s="321">
        <v>4</v>
      </c>
      <c r="FS403" s="321">
        <v>5</v>
      </c>
      <c r="FT403" s="564"/>
      <c r="FU403" s="321"/>
      <c r="FV403" s="321">
        <v>4</v>
      </c>
      <c r="FW403" s="321">
        <v>5</v>
      </c>
      <c r="FX403" s="321"/>
      <c r="FY403" s="321">
        <v>3</v>
      </c>
      <c r="FZ403" s="321"/>
      <c r="GA403" s="321">
        <v>4</v>
      </c>
      <c r="GB403" s="321">
        <v>3</v>
      </c>
      <c r="GC403" s="321">
        <v>4</v>
      </c>
      <c r="GD403" s="321">
        <v>5</v>
      </c>
      <c r="GE403" s="321">
        <v>5</v>
      </c>
      <c r="GF403" s="321">
        <v>5</v>
      </c>
      <c r="GG403" s="321">
        <v>5</v>
      </c>
      <c r="GH403" s="321">
        <v>5</v>
      </c>
      <c r="GI403" s="321">
        <v>5</v>
      </c>
      <c r="GJ403" s="564"/>
      <c r="GK403" s="1236"/>
      <c r="GL403" s="328"/>
      <c r="GM403" s="328"/>
      <c r="GN403" s="328"/>
      <c r="GO403" s="328"/>
      <c r="GP403" s="328"/>
      <c r="GQ403" s="328"/>
      <c r="GR403" s="328"/>
      <c r="GS403" s="328"/>
      <c r="GT403" s="328"/>
      <c r="GU403" s="328"/>
      <c r="GV403" s="328"/>
      <c r="GW403" s="328"/>
      <c r="GX403" s="328"/>
      <c r="GY403" s="328"/>
      <c r="GZ403" s="1237"/>
      <c r="HA403" s="201"/>
      <c r="HB403" s="199"/>
      <c r="HC403" s="199"/>
      <c r="HD403" s="201"/>
      <c r="HE403" s="201"/>
      <c r="HF403" s="201"/>
      <c r="HG403" s="201"/>
      <c r="HH403" s="201"/>
      <c r="HI403" s="201"/>
      <c r="HJ403" s="201"/>
      <c r="HK403" s="201"/>
      <c r="HL403" s="201"/>
      <c r="HM403" s="201"/>
      <c r="HN403" s="291"/>
      <c r="HO403" s="291"/>
      <c r="HP403" s="201"/>
      <c r="HQ403" s="864"/>
      <c r="HR403" s="201"/>
      <c r="HS403" s="297"/>
      <c r="HT403" s="293"/>
      <c r="HU403" s="293"/>
      <c r="HV403" s="293"/>
      <c r="HW403" s="293"/>
      <c r="HX403" s="293"/>
      <c r="HY403" s="293"/>
      <c r="HZ403" s="293"/>
      <c r="IA403" s="293"/>
      <c r="IB403" s="293"/>
      <c r="IC403" s="293"/>
      <c r="ID403" s="161"/>
      <c r="IE403" s="305"/>
      <c r="IF403" s="477"/>
      <c r="IG403" s="1236"/>
      <c r="IH403" s="328"/>
      <c r="II403" s="161"/>
      <c r="IJ403" s="297"/>
      <c r="IK403" s="293"/>
      <c r="IL403" s="161"/>
      <c r="IM403" s="297"/>
      <c r="IN403" s="293"/>
      <c r="IO403" s="161"/>
      <c r="IP403" s="297"/>
      <c r="IQ403" s="293"/>
      <c r="IR403" s="161"/>
      <c r="IS403" s="297"/>
      <c r="IT403" s="161"/>
      <c r="IU403" s="93"/>
      <c r="IV403" s="1237"/>
    </row>
    <row r="404" spans="1:256" s="326" customFormat="1" ht="8.25" customHeight="1">
      <c r="A404" s="1236"/>
      <c r="B404" s="328"/>
      <c r="C404" s="328"/>
      <c r="D404" s="328"/>
      <c r="E404" s="328"/>
      <c r="F404" s="328"/>
      <c r="G404" s="328"/>
      <c r="H404" s="328"/>
      <c r="I404" s="328"/>
      <c r="J404" s="328"/>
      <c r="K404" s="328"/>
      <c r="L404" s="328"/>
      <c r="M404" s="328"/>
      <c r="N404" s="328"/>
      <c r="O404" s="328"/>
      <c r="P404" s="1237"/>
      <c r="Q404" s="1236"/>
      <c r="R404" s="328"/>
      <c r="S404" s="328"/>
      <c r="T404" s="328"/>
      <c r="U404" s="328"/>
      <c r="V404" s="328"/>
      <c r="W404" s="328">
        <v>10</v>
      </c>
      <c r="X404" s="462">
        <v>12</v>
      </c>
      <c r="Y404" s="328">
        <v>10</v>
      </c>
      <c r="Z404" s="328"/>
      <c r="AA404" s="328"/>
      <c r="AB404" s="328"/>
      <c r="AC404" s="328"/>
      <c r="AD404" s="328"/>
      <c r="AE404" s="328"/>
      <c r="AF404" s="1237"/>
      <c r="AG404" s="1236"/>
      <c r="AH404" s="302">
        <v>9</v>
      </c>
      <c r="AI404" s="299">
        <v>8</v>
      </c>
      <c r="AJ404" s="328"/>
      <c r="AK404" s="328"/>
      <c r="AL404" s="295">
        <v>7</v>
      </c>
      <c r="AM404" s="299">
        <v>8</v>
      </c>
      <c r="AN404" s="328"/>
      <c r="AO404" s="302"/>
      <c r="AP404" s="309">
        <v>11</v>
      </c>
      <c r="AQ404" s="328"/>
      <c r="AR404" s="328"/>
      <c r="AS404" s="328"/>
      <c r="AT404" s="328"/>
      <c r="AU404" s="328"/>
      <c r="AV404" s="1237"/>
      <c r="AW404" s="699"/>
      <c r="AX404" s="93"/>
      <c r="AY404" s="328"/>
      <c r="AZ404" s="328"/>
      <c r="BA404" s="328"/>
      <c r="BB404" s="328"/>
      <c r="BC404" s="295"/>
      <c r="BD404" s="295"/>
      <c r="BE404" s="299"/>
      <c r="BF404" s="302"/>
      <c r="BG404" s="295"/>
      <c r="BH404" s="193"/>
      <c r="BI404" s="291"/>
      <c r="BJ404" s="201"/>
      <c r="BK404" s="291"/>
      <c r="BL404" s="291"/>
      <c r="BM404" s="1236"/>
      <c r="BN404" s="328"/>
      <c r="BO404" s="321"/>
      <c r="BP404" s="328"/>
      <c r="BQ404" s="328"/>
      <c r="BR404" s="328"/>
      <c r="BS404" s="328"/>
      <c r="BT404" s="328"/>
      <c r="BU404" s="328"/>
      <c r="BV404" s="328"/>
      <c r="BW404" s="328"/>
      <c r="BX404" s="328"/>
      <c r="BY404" s="328"/>
      <c r="BZ404" s="328"/>
      <c r="CA404" s="328"/>
      <c r="CB404" s="1237"/>
      <c r="CC404" s="1236"/>
      <c r="CD404" s="328"/>
      <c r="CE404" s="321"/>
      <c r="CF404" s="328"/>
      <c r="CG404" s="328"/>
      <c r="CH404" s="328"/>
      <c r="CI404" s="328"/>
      <c r="CJ404" s="328"/>
      <c r="CK404" s="328"/>
      <c r="CL404" s="328"/>
      <c r="CM404" s="328"/>
      <c r="CN404" s="328"/>
      <c r="CO404" s="328"/>
      <c r="CP404" s="328"/>
      <c r="CQ404" s="328"/>
      <c r="CR404" s="1237"/>
      <c r="CS404" s="1236"/>
      <c r="CT404" s="328"/>
      <c r="CU404" s="321"/>
      <c r="CV404" s="328"/>
      <c r="CW404" s="328"/>
      <c r="CX404" s="328"/>
      <c r="CY404" s="328"/>
      <c r="CZ404" s="328"/>
      <c r="DA404" s="328"/>
      <c r="DB404" s="328"/>
      <c r="DC404" s="328"/>
      <c r="DD404" s="328"/>
      <c r="DE404" s="328"/>
      <c r="DF404" s="328"/>
      <c r="DG404" s="328"/>
      <c r="DH404" s="1237"/>
      <c r="DI404" s="1236"/>
      <c r="DJ404" s="328"/>
      <c r="DK404" s="321"/>
      <c r="DL404" s="328"/>
      <c r="DM404" s="328"/>
      <c r="DN404" s="328"/>
      <c r="DO404" s="328"/>
      <c r="DP404" s="328"/>
      <c r="DQ404" s="328"/>
      <c r="DR404" s="328"/>
      <c r="DS404" s="328"/>
      <c r="DT404" s="328"/>
      <c r="DU404" s="328"/>
      <c r="DV404" s="328"/>
      <c r="DW404" s="328"/>
      <c r="DX404" s="1237"/>
      <c r="DY404" s="321"/>
      <c r="DZ404" s="321"/>
      <c r="EA404" s="321"/>
      <c r="EB404" s="321"/>
      <c r="EC404" s="321">
        <v>4</v>
      </c>
      <c r="ED404" s="321">
        <v>3</v>
      </c>
      <c r="EE404" s="321">
        <v>2</v>
      </c>
      <c r="EF404" s="321">
        <v>1</v>
      </c>
      <c r="EG404" s="321">
        <v>1</v>
      </c>
      <c r="EH404" s="321">
        <v>1</v>
      </c>
      <c r="EI404" s="321">
        <v>2</v>
      </c>
      <c r="EJ404" s="321">
        <v>4</v>
      </c>
      <c r="EK404" s="321"/>
      <c r="EL404" s="321"/>
      <c r="EM404" s="321"/>
      <c r="EN404" s="564"/>
      <c r="EO404" s="321"/>
      <c r="EP404" s="321"/>
      <c r="EQ404" s="321"/>
      <c r="ER404" s="321">
        <v>4</v>
      </c>
      <c r="ES404" s="321">
        <v>3</v>
      </c>
      <c r="ET404" s="321">
        <v>1</v>
      </c>
      <c r="EU404" s="321">
        <v>1</v>
      </c>
      <c r="EV404" s="321">
        <v>1</v>
      </c>
      <c r="EW404" s="321">
        <v>2</v>
      </c>
      <c r="EX404" s="321">
        <v>4</v>
      </c>
      <c r="EY404" s="321">
        <v>4</v>
      </c>
      <c r="EZ404" s="321"/>
      <c r="FA404" s="321"/>
      <c r="FB404" s="321"/>
      <c r="FC404" s="321"/>
      <c r="FD404" s="564"/>
      <c r="FE404" s="321"/>
      <c r="FF404" s="321">
        <v>5</v>
      </c>
      <c r="FG404" s="321">
        <v>4</v>
      </c>
      <c r="FH404" s="321">
        <v>4</v>
      </c>
      <c r="FI404" s="321">
        <v>3</v>
      </c>
      <c r="FJ404" s="321">
        <v>3</v>
      </c>
      <c r="FK404" s="321">
        <v>2</v>
      </c>
      <c r="FL404" s="321">
        <v>2</v>
      </c>
      <c r="FM404" s="321">
        <v>2</v>
      </c>
      <c r="FN404" s="321">
        <v>3</v>
      </c>
      <c r="FO404" s="321">
        <v>4</v>
      </c>
      <c r="FP404" s="321">
        <v>4</v>
      </c>
      <c r="FQ404" s="321">
        <v>4</v>
      </c>
      <c r="FR404" s="321">
        <v>4</v>
      </c>
      <c r="FS404" s="321">
        <v>5</v>
      </c>
      <c r="FT404" s="564"/>
      <c r="FU404" s="1308"/>
      <c r="FV404" s="321"/>
      <c r="FW404" s="321">
        <v>4</v>
      </c>
      <c r="FX404" s="321">
        <v>4</v>
      </c>
      <c r="FY404" s="321">
        <v>3</v>
      </c>
      <c r="FZ404" s="321">
        <v>5</v>
      </c>
      <c r="GA404" s="321">
        <v>4</v>
      </c>
      <c r="GB404" s="321">
        <v>3</v>
      </c>
      <c r="GC404" s="321"/>
      <c r="GD404" s="321">
        <v>5</v>
      </c>
      <c r="GE404" s="321">
        <v>5</v>
      </c>
      <c r="GF404" s="321"/>
      <c r="GG404" s="321">
        <v>5</v>
      </c>
      <c r="GH404" s="321">
        <v>4</v>
      </c>
      <c r="GI404" s="321">
        <v>5</v>
      </c>
      <c r="GJ404" s="564">
        <v>4</v>
      </c>
      <c r="GK404" s="1236"/>
      <c r="GL404" s="328"/>
      <c r="GM404" s="328"/>
      <c r="GN404" s="328"/>
      <c r="GO404" s="328"/>
      <c r="GP404" s="328"/>
      <c r="GQ404" s="328"/>
      <c r="GR404" s="328"/>
      <c r="GS404" s="328"/>
      <c r="GT404" s="328"/>
      <c r="GU404" s="328"/>
      <c r="GV404" s="328"/>
      <c r="GW404" s="328"/>
      <c r="GX404" s="328"/>
      <c r="GY404" s="328"/>
      <c r="GZ404" s="1237"/>
      <c r="HA404" s="201"/>
      <c r="HB404" s="199"/>
      <c r="HC404" s="199"/>
      <c r="HD404" s="201"/>
      <c r="HE404" s="201"/>
      <c r="HF404" s="201"/>
      <c r="HG404" s="201"/>
      <c r="HH404" s="201"/>
      <c r="HI404" s="201"/>
      <c r="HJ404" s="201"/>
      <c r="HK404" s="201"/>
      <c r="HL404" s="201"/>
      <c r="HM404" s="201"/>
      <c r="HN404" s="291"/>
      <c r="HO404" s="291"/>
      <c r="HP404" s="201"/>
      <c r="HQ404" s="864"/>
      <c r="HR404" s="201"/>
      <c r="HS404" s="293"/>
      <c r="HT404" s="161"/>
      <c r="HU404" s="161"/>
      <c r="HV404" s="161"/>
      <c r="HW404" s="161"/>
      <c r="HX404" s="161"/>
      <c r="HY404" s="161"/>
      <c r="HZ404" s="161"/>
      <c r="IA404" s="161"/>
      <c r="IB404" s="161"/>
      <c r="IC404" s="161"/>
      <c r="ID404" s="161"/>
      <c r="IE404" s="305"/>
      <c r="IF404" s="477"/>
      <c r="IG404" s="1236"/>
      <c r="IH404" s="328"/>
      <c r="II404" s="161"/>
      <c r="IJ404" s="297"/>
      <c r="IK404" s="293"/>
      <c r="IL404" s="161"/>
      <c r="IM404" s="301"/>
      <c r="IN404" s="293"/>
      <c r="IO404" s="161"/>
      <c r="IP404" s="301"/>
      <c r="IQ404" s="293"/>
      <c r="IR404" s="161"/>
      <c r="IS404" s="297"/>
      <c r="IT404" s="161"/>
      <c r="IU404" s="93"/>
      <c r="IV404" s="1237"/>
    </row>
    <row r="405" spans="1:256" s="326" customFormat="1" ht="8.25" customHeight="1">
      <c r="A405" s="1236"/>
      <c r="B405" s="328"/>
      <c r="C405" s="328"/>
      <c r="D405" s="328"/>
      <c r="E405" s="328"/>
      <c r="F405" s="328"/>
      <c r="G405" s="328"/>
      <c r="H405" s="328"/>
      <c r="I405" s="328"/>
      <c r="J405" s="328"/>
      <c r="K405" s="328"/>
      <c r="L405" s="328"/>
      <c r="M405" s="328"/>
      <c r="N405" s="328"/>
      <c r="O405" s="328"/>
      <c r="P405" s="1237"/>
      <c r="Q405" s="1236"/>
      <c r="R405" s="328"/>
      <c r="S405" s="328"/>
      <c r="T405" s="328"/>
      <c r="U405" s="328"/>
      <c r="V405" s="328"/>
      <c r="W405" s="328">
        <v>10</v>
      </c>
      <c r="X405" s="462">
        <v>12</v>
      </c>
      <c r="Y405" s="328">
        <v>10</v>
      </c>
      <c r="Z405" s="328"/>
      <c r="AA405" s="328"/>
      <c r="AB405" s="328"/>
      <c r="AC405" s="328"/>
      <c r="AD405" s="328"/>
      <c r="AE405" s="328"/>
      <c r="AF405" s="1237"/>
      <c r="AG405" s="1236"/>
      <c r="AH405" s="302">
        <v>9</v>
      </c>
      <c r="AI405" s="299">
        <v>8</v>
      </c>
      <c r="AJ405" s="328"/>
      <c r="AK405" s="328"/>
      <c r="AL405" s="295">
        <v>7</v>
      </c>
      <c r="AM405" s="299">
        <v>8</v>
      </c>
      <c r="AN405" s="328"/>
      <c r="AO405" s="302"/>
      <c r="AP405" s="309">
        <v>11</v>
      </c>
      <c r="AQ405" s="328"/>
      <c r="AR405" s="328"/>
      <c r="AS405" s="328"/>
      <c r="AT405" s="328"/>
      <c r="AU405" s="328"/>
      <c r="AV405" s="1237"/>
      <c r="AW405" s="699"/>
      <c r="AX405" s="93"/>
      <c r="AY405" s="328"/>
      <c r="AZ405" s="328"/>
      <c r="BA405" s="299"/>
      <c r="BB405" s="299"/>
      <c r="BC405" s="295"/>
      <c r="BD405" s="299"/>
      <c r="BE405" s="302"/>
      <c r="BF405" s="299"/>
      <c r="BG405" s="295"/>
      <c r="BH405" s="193"/>
      <c r="BI405" s="290"/>
      <c r="BJ405" s="291"/>
      <c r="BK405" s="201"/>
      <c r="BL405" s="291"/>
      <c r="BM405" s="1236"/>
      <c r="BN405" s="328"/>
      <c r="BO405" s="321"/>
      <c r="BP405" s="328"/>
      <c r="BQ405" s="328"/>
      <c r="BR405" s="328"/>
      <c r="BS405" s="328"/>
      <c r="BT405" s="328"/>
      <c r="BU405" s="328"/>
      <c r="BV405" s="328"/>
      <c r="BW405" s="328"/>
      <c r="BX405" s="328"/>
      <c r="BY405" s="328"/>
      <c r="BZ405" s="328"/>
      <c r="CA405" s="328"/>
      <c r="CB405" s="1237"/>
      <c r="CC405" s="1236"/>
      <c r="CD405" s="328"/>
      <c r="CE405" s="321"/>
      <c r="CF405" s="328"/>
      <c r="CG405" s="328"/>
      <c r="CH405" s="328"/>
      <c r="CI405" s="328"/>
      <c r="CJ405" s="328"/>
      <c r="CK405" s="328"/>
      <c r="CL405" s="328"/>
      <c r="CM405" s="328"/>
      <c r="CN405" s="328"/>
      <c r="CO405" s="328"/>
      <c r="CP405" s="328"/>
      <c r="CQ405" s="328"/>
      <c r="CR405" s="1237"/>
      <c r="CS405" s="1236"/>
      <c r="CT405" s="328"/>
      <c r="CU405" s="321"/>
      <c r="CV405" s="328"/>
      <c r="CW405" s="328"/>
      <c r="CX405" s="328"/>
      <c r="CY405" s="328"/>
      <c r="CZ405" s="328"/>
      <c r="DA405" s="304">
        <v>10</v>
      </c>
      <c r="DB405" s="328"/>
      <c r="DC405" s="328"/>
      <c r="DD405" s="299"/>
      <c r="DE405" s="328"/>
      <c r="DF405" s="328"/>
      <c r="DG405" s="328"/>
      <c r="DH405" s="1237"/>
      <c r="DI405" s="1236"/>
      <c r="DJ405" s="328"/>
      <c r="DK405" s="321"/>
      <c r="DL405" s="328"/>
      <c r="DM405" s="328"/>
      <c r="DN405" s="328"/>
      <c r="DO405" s="328"/>
      <c r="DP405" s="328"/>
      <c r="DQ405" s="328"/>
      <c r="DR405" s="328"/>
      <c r="DS405" s="328"/>
      <c r="DT405" s="328"/>
      <c r="DU405" s="328"/>
      <c r="DV405" s="328"/>
      <c r="DW405" s="328"/>
      <c r="DX405" s="1237"/>
      <c r="DY405" s="321"/>
      <c r="DZ405" s="321"/>
      <c r="EA405" s="321"/>
      <c r="EB405" s="321">
        <v>4</v>
      </c>
      <c r="EC405" s="321">
        <v>3</v>
      </c>
      <c r="ED405" s="321">
        <v>3</v>
      </c>
      <c r="EE405" s="321">
        <v>1</v>
      </c>
      <c r="EF405" s="321">
        <v>1</v>
      </c>
      <c r="EG405" s="321">
        <v>1</v>
      </c>
      <c r="EH405" s="321">
        <v>1</v>
      </c>
      <c r="EI405" s="321">
        <v>2</v>
      </c>
      <c r="EJ405" s="321">
        <v>4</v>
      </c>
      <c r="EK405" s="321"/>
      <c r="EL405" s="321"/>
      <c r="EM405" s="321"/>
      <c r="EN405" s="564"/>
      <c r="EO405" s="321"/>
      <c r="EP405" s="321"/>
      <c r="EQ405" s="321">
        <v>5</v>
      </c>
      <c r="ER405" s="321">
        <v>4</v>
      </c>
      <c r="ES405" s="321">
        <v>3</v>
      </c>
      <c r="ET405" s="321">
        <v>1</v>
      </c>
      <c r="EU405" s="321">
        <v>1</v>
      </c>
      <c r="EV405" s="321">
        <v>1</v>
      </c>
      <c r="EW405" s="321">
        <v>1</v>
      </c>
      <c r="EX405" s="321">
        <v>2</v>
      </c>
      <c r="EY405" s="321">
        <v>3</v>
      </c>
      <c r="EZ405" s="321">
        <v>4</v>
      </c>
      <c r="FA405" s="321">
        <v>5</v>
      </c>
      <c r="FB405" s="321"/>
      <c r="FC405" s="321"/>
      <c r="FD405" s="564"/>
      <c r="FE405" s="321"/>
      <c r="FF405" s="321"/>
      <c r="FG405" s="321">
        <v>4</v>
      </c>
      <c r="FH405" s="321">
        <v>5</v>
      </c>
      <c r="FI405" s="321">
        <v>4</v>
      </c>
      <c r="FJ405" s="321">
        <v>3</v>
      </c>
      <c r="FK405" s="321">
        <v>2</v>
      </c>
      <c r="FL405" s="321">
        <v>2</v>
      </c>
      <c r="FM405" s="321">
        <v>2</v>
      </c>
      <c r="FN405" s="321">
        <v>2</v>
      </c>
      <c r="FO405" s="321">
        <v>3</v>
      </c>
      <c r="FP405" s="321">
        <v>5</v>
      </c>
      <c r="FQ405" s="321">
        <v>4</v>
      </c>
      <c r="FR405" s="321">
        <v>5</v>
      </c>
      <c r="FS405" s="321">
        <v>4</v>
      </c>
      <c r="FT405" s="564">
        <v>4</v>
      </c>
      <c r="FU405" s="483"/>
      <c r="FV405" s="321">
        <v>5</v>
      </c>
      <c r="FW405" s="321">
        <v>5</v>
      </c>
      <c r="FX405" s="321">
        <v>5</v>
      </c>
      <c r="FY405" s="321">
        <v>4</v>
      </c>
      <c r="FZ405" s="321">
        <v>5</v>
      </c>
      <c r="GA405" s="321"/>
      <c r="GB405" s="321">
        <v>3</v>
      </c>
      <c r="GC405" s="321">
        <v>4</v>
      </c>
      <c r="GD405" s="321">
        <v>5</v>
      </c>
      <c r="GE405" s="321"/>
      <c r="GF405" s="321"/>
      <c r="GG405" s="321">
        <v>5</v>
      </c>
      <c r="GH405" s="321"/>
      <c r="GI405" s="321"/>
      <c r="GJ405" s="564">
        <v>5</v>
      </c>
      <c r="GK405" s="1236"/>
      <c r="GL405" s="328"/>
      <c r="GM405" s="328"/>
      <c r="GN405" s="328"/>
      <c r="GO405" s="328"/>
      <c r="GP405" s="328"/>
      <c r="GQ405" s="328"/>
      <c r="GR405" s="328"/>
      <c r="GS405" s="328"/>
      <c r="GT405" s="328"/>
      <c r="GU405" s="328"/>
      <c r="GV405" s="328"/>
      <c r="GW405" s="328"/>
      <c r="GX405" s="328"/>
      <c r="GY405" s="328"/>
      <c r="GZ405" s="1237"/>
      <c r="HA405" s="201"/>
      <c r="HB405" s="199"/>
      <c r="HC405" s="201"/>
      <c r="HD405" s="199"/>
      <c r="HE405" s="201"/>
      <c r="HF405" s="201"/>
      <c r="HG405" s="201"/>
      <c r="HH405" s="201"/>
      <c r="HI405" s="201"/>
      <c r="HJ405" s="201"/>
      <c r="HK405" s="201"/>
      <c r="HL405" s="201"/>
      <c r="HM405" s="291"/>
      <c r="HN405" s="201"/>
      <c r="HO405" s="291"/>
      <c r="HP405" s="201"/>
      <c r="HQ405" s="1372"/>
      <c r="HR405" s="305"/>
      <c r="HS405" s="305"/>
      <c r="HT405" s="305"/>
      <c r="HU405" s="305"/>
      <c r="HV405" s="305"/>
      <c r="HW405" s="305"/>
      <c r="HX405" s="305"/>
      <c r="HY405" s="305"/>
      <c r="HZ405" s="305"/>
      <c r="IA405" s="305"/>
      <c r="IB405" s="305"/>
      <c r="IC405" s="305"/>
      <c r="ID405" s="305"/>
      <c r="IE405" s="305"/>
      <c r="IF405" s="477"/>
      <c r="IG405" s="1236"/>
      <c r="IH405" s="328"/>
      <c r="II405" s="161"/>
      <c r="IJ405" s="297"/>
      <c r="IK405" s="293"/>
      <c r="IL405" s="161"/>
      <c r="IM405" s="297"/>
      <c r="IN405" s="293"/>
      <c r="IO405" s="161"/>
      <c r="IP405" s="297"/>
      <c r="IQ405" s="293"/>
      <c r="IR405" s="161"/>
      <c r="IS405" s="297"/>
      <c r="IT405" s="161"/>
      <c r="IU405" s="93"/>
      <c r="IV405" s="1237"/>
    </row>
    <row r="406" spans="1:256" s="326" customFormat="1" ht="8.25" customHeight="1">
      <c r="A406" s="1236"/>
      <c r="B406" s="328"/>
      <c r="C406" s="328"/>
      <c r="D406" s="328"/>
      <c r="E406" s="328"/>
      <c r="F406" s="328"/>
      <c r="G406" s="328"/>
      <c r="H406" s="328"/>
      <c r="I406" s="328"/>
      <c r="J406" s="328"/>
      <c r="K406" s="328"/>
      <c r="L406" s="328"/>
      <c r="M406" s="328"/>
      <c r="N406" s="328"/>
      <c r="O406" s="328"/>
      <c r="P406" s="1237"/>
      <c r="Q406" s="1236"/>
      <c r="R406" s="328"/>
      <c r="S406" s="328"/>
      <c r="T406" s="328"/>
      <c r="U406" s="328"/>
      <c r="V406" s="328"/>
      <c r="W406" s="328"/>
      <c r="X406" s="328">
        <v>10</v>
      </c>
      <c r="Y406" s="462">
        <v>12</v>
      </c>
      <c r="Z406" s="328">
        <v>10</v>
      </c>
      <c r="AA406" s="328"/>
      <c r="AB406" s="328"/>
      <c r="AC406" s="328"/>
      <c r="AD406" s="328"/>
      <c r="AE406" s="328"/>
      <c r="AF406" s="1237"/>
      <c r="AG406" s="1236"/>
      <c r="AH406" s="328"/>
      <c r="AI406" s="299">
        <v>8</v>
      </c>
      <c r="AJ406" s="328"/>
      <c r="AK406" s="328"/>
      <c r="AL406" s="295">
        <v>7</v>
      </c>
      <c r="AM406" s="299">
        <v>8</v>
      </c>
      <c r="AN406" s="328"/>
      <c r="AO406" s="302">
        <v>8</v>
      </c>
      <c r="AP406" s="309">
        <v>11</v>
      </c>
      <c r="AQ406" s="328"/>
      <c r="AR406" s="328"/>
      <c r="AS406" s="328"/>
      <c r="AT406" s="328"/>
      <c r="AU406" s="328"/>
      <c r="AV406" s="1237"/>
      <c r="AW406" s="699"/>
      <c r="AX406" s="93"/>
      <c r="AY406" s="302"/>
      <c r="AZ406" s="302"/>
      <c r="BA406" s="299"/>
      <c r="BB406" s="302"/>
      <c r="BC406" s="302"/>
      <c r="BD406" s="302"/>
      <c r="BE406" s="299"/>
      <c r="BF406" s="295"/>
      <c r="BG406" s="193"/>
      <c r="BH406" s="290"/>
      <c r="BI406" s="294"/>
      <c r="BJ406" s="298"/>
      <c r="BK406" s="291"/>
      <c r="BL406" s="201"/>
      <c r="BM406" s="1236"/>
      <c r="BN406" s="328"/>
      <c r="BO406" s="321"/>
      <c r="BP406" s="328"/>
      <c r="BQ406" s="328"/>
      <c r="BR406" s="328"/>
      <c r="BS406" s="328"/>
      <c r="BT406" s="328"/>
      <c r="BU406" s="328"/>
      <c r="BV406" s="328"/>
      <c r="BW406" s="328"/>
      <c r="BX406" s="328"/>
      <c r="BY406" s="328"/>
      <c r="BZ406" s="328"/>
      <c r="CA406" s="328"/>
      <c r="CB406" s="1237"/>
      <c r="CC406" s="1236"/>
      <c r="CD406" s="328"/>
      <c r="CE406" s="321"/>
      <c r="CF406" s="328"/>
      <c r="CG406" s="328"/>
      <c r="CH406" s="328"/>
      <c r="CI406" s="328"/>
      <c r="CJ406" s="328"/>
      <c r="CK406" s="328"/>
      <c r="CL406" s="328"/>
      <c r="CM406" s="328"/>
      <c r="CN406" s="328"/>
      <c r="CO406" s="328"/>
      <c r="CP406" s="328"/>
      <c r="CQ406" s="328"/>
      <c r="CR406" s="1237"/>
      <c r="CS406" s="1236"/>
      <c r="CT406" s="299"/>
      <c r="CU406" s="304">
        <v>10</v>
      </c>
      <c r="CV406" s="328"/>
      <c r="CW406" s="328"/>
      <c r="CX406" s="328"/>
      <c r="CY406" s="328"/>
      <c r="CZ406" s="299"/>
      <c r="DA406" s="304">
        <v>10</v>
      </c>
      <c r="DB406" s="328"/>
      <c r="DC406" s="304">
        <v>10</v>
      </c>
      <c r="DD406" s="295"/>
      <c r="DE406" s="328"/>
      <c r="DF406" s="328"/>
      <c r="DG406" s="328"/>
      <c r="DH406" s="1237"/>
      <c r="DI406" s="1236"/>
      <c r="DJ406" s="328"/>
      <c r="DK406" s="321"/>
      <c r="DL406" s="328"/>
      <c r="DM406" s="328"/>
      <c r="DN406" s="328"/>
      <c r="DO406" s="328"/>
      <c r="DP406" s="328"/>
      <c r="DQ406" s="328"/>
      <c r="DR406" s="328"/>
      <c r="DS406" s="328"/>
      <c r="DT406" s="328"/>
      <c r="DU406" s="328"/>
      <c r="DV406" s="328"/>
      <c r="DW406" s="328"/>
      <c r="DX406" s="1237"/>
      <c r="DY406" s="321"/>
      <c r="DZ406" s="321"/>
      <c r="EA406" s="321"/>
      <c r="EB406" s="321">
        <v>4</v>
      </c>
      <c r="EC406" s="321">
        <v>3</v>
      </c>
      <c r="ED406" s="321">
        <v>3</v>
      </c>
      <c r="EE406" s="321">
        <v>2</v>
      </c>
      <c r="EF406" s="321">
        <v>1</v>
      </c>
      <c r="EG406" s="321">
        <v>1</v>
      </c>
      <c r="EH406" s="321">
        <v>1</v>
      </c>
      <c r="EI406" s="321">
        <v>2</v>
      </c>
      <c r="EJ406" s="321">
        <v>4</v>
      </c>
      <c r="EK406" s="321"/>
      <c r="EL406" s="321"/>
      <c r="EM406" s="321"/>
      <c r="EN406" s="564"/>
      <c r="EO406" s="483"/>
      <c r="EP406" s="321"/>
      <c r="EQ406" s="321">
        <v>4</v>
      </c>
      <c r="ER406" s="321">
        <v>4</v>
      </c>
      <c r="ES406" s="321">
        <v>3</v>
      </c>
      <c r="ET406" s="321">
        <v>2</v>
      </c>
      <c r="EU406" s="321">
        <v>1</v>
      </c>
      <c r="EV406" s="321">
        <v>1</v>
      </c>
      <c r="EW406" s="321">
        <v>1</v>
      </c>
      <c r="EX406" s="321">
        <v>1</v>
      </c>
      <c r="EY406" s="321">
        <v>3</v>
      </c>
      <c r="EZ406" s="321">
        <v>4</v>
      </c>
      <c r="FA406" s="321">
        <v>4</v>
      </c>
      <c r="FB406" s="321"/>
      <c r="FC406" s="321"/>
      <c r="FD406" s="564"/>
      <c r="FE406" s="483"/>
      <c r="FF406" s="321"/>
      <c r="FG406" s="321">
        <v>5</v>
      </c>
      <c r="FH406" s="321"/>
      <c r="FI406" s="321">
        <v>4</v>
      </c>
      <c r="FJ406" s="321">
        <v>4</v>
      </c>
      <c r="FK406" s="321">
        <v>3</v>
      </c>
      <c r="FL406" s="321">
        <v>2</v>
      </c>
      <c r="FM406" s="321">
        <v>3</v>
      </c>
      <c r="FN406" s="321">
        <v>4</v>
      </c>
      <c r="FO406" s="321">
        <v>5</v>
      </c>
      <c r="FP406" s="321"/>
      <c r="FQ406" s="321">
        <v>5</v>
      </c>
      <c r="FR406" s="321"/>
      <c r="FS406" s="321"/>
      <c r="FT406" s="564">
        <v>5</v>
      </c>
      <c r="FU406" s="483"/>
      <c r="FV406" s="321"/>
      <c r="FW406" s="321"/>
      <c r="FX406" s="321"/>
      <c r="FY406" s="321">
        <v>5</v>
      </c>
      <c r="FZ406" s="321">
        <v>5</v>
      </c>
      <c r="GA406" s="321"/>
      <c r="GB406" s="321">
        <v>3</v>
      </c>
      <c r="GC406" s="321">
        <v>4</v>
      </c>
      <c r="GD406" s="321"/>
      <c r="GE406" s="321"/>
      <c r="GF406" s="321"/>
      <c r="GG406" s="321"/>
      <c r="GH406" s="321"/>
      <c r="GI406" s="321"/>
      <c r="GJ406" s="564"/>
      <c r="GK406" s="1236"/>
      <c r="GL406" s="328"/>
      <c r="GM406" s="328"/>
      <c r="GN406" s="328"/>
      <c r="GO406" s="328"/>
      <c r="GP406" s="328"/>
      <c r="GQ406" s="328"/>
      <c r="GR406" s="328"/>
      <c r="GS406" s="328"/>
      <c r="GT406" s="328"/>
      <c r="GU406" s="328"/>
      <c r="GV406" s="328"/>
      <c r="GW406" s="328"/>
      <c r="GX406" s="328"/>
      <c r="GY406" s="328"/>
      <c r="GZ406" s="1237"/>
      <c r="HA406" s="201"/>
      <c r="HB406" s="199"/>
      <c r="HC406" s="201"/>
      <c r="HD406" s="199"/>
      <c r="HE406" s="201"/>
      <c r="HF406" s="201"/>
      <c r="HG406" s="201"/>
      <c r="HH406" s="201"/>
      <c r="HI406" s="201"/>
      <c r="HJ406" s="201"/>
      <c r="HK406" s="201"/>
      <c r="HL406" s="201"/>
      <c r="HM406" s="291"/>
      <c r="HN406" s="201"/>
      <c r="HO406" s="291"/>
      <c r="HP406" s="201"/>
      <c r="HQ406" s="1372"/>
      <c r="HR406" s="200"/>
      <c r="HS406" s="200"/>
      <c r="HT406" s="200"/>
      <c r="HU406" s="200"/>
      <c r="HV406" s="200"/>
      <c r="HW406" s="200"/>
      <c r="HX406" s="200"/>
      <c r="HY406" s="200"/>
      <c r="HZ406" s="200"/>
      <c r="IA406" s="200"/>
      <c r="IB406" s="200"/>
      <c r="IC406" s="200"/>
      <c r="ID406" s="200"/>
      <c r="IE406" s="200"/>
      <c r="IF406" s="477"/>
      <c r="IG406" s="1236"/>
      <c r="IH406" s="328"/>
      <c r="II406" s="161"/>
      <c r="IJ406" s="297"/>
      <c r="IK406" s="293"/>
      <c r="IL406" s="161"/>
      <c r="IM406" s="301"/>
      <c r="IN406" s="293"/>
      <c r="IO406" s="161"/>
      <c r="IP406" s="301"/>
      <c r="IQ406" s="293"/>
      <c r="IR406" s="161"/>
      <c r="IS406" s="297"/>
      <c r="IT406" s="161"/>
      <c r="IU406" s="93"/>
      <c r="IV406" s="1237"/>
    </row>
    <row r="407" spans="1:256" s="326" customFormat="1" ht="8.25" customHeight="1">
      <c r="A407" s="1236"/>
      <c r="B407" s="328"/>
      <c r="C407" s="328"/>
      <c r="D407" s="328"/>
      <c r="E407" s="328"/>
      <c r="F407" s="328"/>
      <c r="G407" s="328"/>
      <c r="H407" s="328"/>
      <c r="I407" s="328"/>
      <c r="J407" s="328"/>
      <c r="K407" s="328"/>
      <c r="L407" s="328"/>
      <c r="M407" s="328"/>
      <c r="N407" s="328"/>
      <c r="O407" s="328"/>
      <c r="P407" s="1237"/>
      <c r="Q407" s="1236"/>
      <c r="R407" s="328"/>
      <c r="S407" s="328"/>
      <c r="T407" s="328"/>
      <c r="U407" s="328"/>
      <c r="V407" s="328"/>
      <c r="W407" s="328"/>
      <c r="X407" s="328">
        <v>10</v>
      </c>
      <c r="Y407" s="462">
        <v>11</v>
      </c>
      <c r="Z407" s="328">
        <v>10</v>
      </c>
      <c r="AA407" s="328"/>
      <c r="AB407" s="328"/>
      <c r="AC407" s="328"/>
      <c r="AD407" s="328"/>
      <c r="AE407" s="328"/>
      <c r="AF407" s="1237"/>
      <c r="AG407" s="1236"/>
      <c r="AH407" s="328"/>
      <c r="AI407" s="299">
        <v>8</v>
      </c>
      <c r="AJ407" s="328"/>
      <c r="AK407" s="328"/>
      <c r="AL407" s="295">
        <v>7</v>
      </c>
      <c r="AM407" s="299">
        <v>8</v>
      </c>
      <c r="AN407" s="328"/>
      <c r="AO407" s="302">
        <v>8</v>
      </c>
      <c r="AP407" s="328"/>
      <c r="AQ407" s="328"/>
      <c r="AR407" s="328"/>
      <c r="AS407" s="328"/>
      <c r="AT407" s="328"/>
      <c r="AU407" s="328"/>
      <c r="AV407" s="1237"/>
      <c r="AW407" s="699"/>
      <c r="AX407" s="299"/>
      <c r="AY407" s="328"/>
      <c r="AZ407" s="328"/>
      <c r="BA407" s="299"/>
      <c r="BB407" s="299"/>
      <c r="BC407" s="299"/>
      <c r="BD407" s="302"/>
      <c r="BE407" s="295"/>
      <c r="BF407" s="193"/>
      <c r="BG407" s="193"/>
      <c r="BH407" s="290"/>
      <c r="BI407" s="298"/>
      <c r="BJ407" s="294"/>
      <c r="BK407" s="290"/>
      <c r="BL407" s="291"/>
      <c r="BM407" s="1236"/>
      <c r="BN407" s="328"/>
      <c r="BO407" s="321"/>
      <c r="BP407" s="328"/>
      <c r="BQ407" s="328"/>
      <c r="BR407" s="328"/>
      <c r="BS407" s="328"/>
      <c r="BT407" s="328"/>
      <c r="BU407" s="328"/>
      <c r="BV407" s="328"/>
      <c r="BW407" s="328"/>
      <c r="BX407" s="328"/>
      <c r="BY407" s="328"/>
      <c r="BZ407" s="328"/>
      <c r="CA407" s="328"/>
      <c r="CB407" s="1237"/>
      <c r="CC407" s="1236"/>
      <c r="CD407" s="328"/>
      <c r="CE407" s="321"/>
      <c r="CF407" s="328"/>
      <c r="CG407" s="328"/>
      <c r="CH407" s="328"/>
      <c r="CI407" s="328"/>
      <c r="CJ407" s="328"/>
      <c r="CK407" s="328"/>
      <c r="CL407" s="328"/>
      <c r="CM407" s="328"/>
      <c r="CN407" s="328"/>
      <c r="CO407" s="328"/>
      <c r="CP407" s="328"/>
      <c r="CQ407" s="328"/>
      <c r="CR407" s="1237"/>
      <c r="CS407" s="1236"/>
      <c r="CT407" s="328"/>
      <c r="CU407" s="299"/>
      <c r="CV407" s="304">
        <v>10</v>
      </c>
      <c r="CW407" s="328"/>
      <c r="CX407" s="328"/>
      <c r="CY407" s="328"/>
      <c r="CZ407" s="299"/>
      <c r="DA407" s="328"/>
      <c r="DB407" s="328"/>
      <c r="DC407" s="328"/>
      <c r="DD407" s="328"/>
      <c r="DE407" s="328"/>
      <c r="DF407" s="328"/>
      <c r="DG407" s="304">
        <v>10</v>
      </c>
      <c r="DH407" s="299"/>
      <c r="DI407" s="1236"/>
      <c r="DJ407" s="328"/>
      <c r="DK407" s="321"/>
      <c r="DL407" s="328"/>
      <c r="DM407" s="328"/>
      <c r="DN407" s="328"/>
      <c r="DO407" s="328"/>
      <c r="DP407" s="328"/>
      <c r="DQ407" s="328"/>
      <c r="DR407" s="328"/>
      <c r="DS407" s="328"/>
      <c r="DT407" s="328"/>
      <c r="DU407" s="328"/>
      <c r="DV407" s="328"/>
      <c r="DW407" s="328"/>
      <c r="DX407" s="1237"/>
      <c r="DY407" s="483"/>
      <c r="DZ407" s="321"/>
      <c r="EA407" s="321">
        <v>5</v>
      </c>
      <c r="EB407" s="321">
        <v>4</v>
      </c>
      <c r="EC407" s="321">
        <v>4</v>
      </c>
      <c r="ED407" s="321">
        <v>3</v>
      </c>
      <c r="EE407" s="321">
        <v>1</v>
      </c>
      <c r="EF407" s="321">
        <v>1</v>
      </c>
      <c r="EG407" s="321">
        <v>1</v>
      </c>
      <c r="EH407" s="321">
        <v>2</v>
      </c>
      <c r="EI407" s="321">
        <v>3</v>
      </c>
      <c r="EJ407" s="321">
        <v>4</v>
      </c>
      <c r="EK407" s="321">
        <v>5</v>
      </c>
      <c r="EL407" s="321"/>
      <c r="EM407" s="321"/>
      <c r="EN407" s="564"/>
      <c r="EO407" s="483"/>
      <c r="EP407" s="321">
        <v>5</v>
      </c>
      <c r="EQ407" s="321">
        <v>4</v>
      </c>
      <c r="ER407" s="321">
        <v>4</v>
      </c>
      <c r="ES407" s="321">
        <v>4</v>
      </c>
      <c r="ET407" s="321">
        <v>3</v>
      </c>
      <c r="EU407" s="321">
        <v>1</v>
      </c>
      <c r="EV407" s="321">
        <v>1</v>
      </c>
      <c r="EW407" s="321">
        <v>1</v>
      </c>
      <c r="EX407" s="321">
        <v>3</v>
      </c>
      <c r="EY407" s="321">
        <v>4</v>
      </c>
      <c r="EZ407" s="321">
        <v>4</v>
      </c>
      <c r="FA407" s="321">
        <v>4</v>
      </c>
      <c r="FB407" s="321">
        <v>5</v>
      </c>
      <c r="FC407" s="321"/>
      <c r="FD407" s="564"/>
      <c r="FE407" s="483"/>
      <c r="FF407" s="321"/>
      <c r="FG407" s="321">
        <v>5</v>
      </c>
      <c r="FH407" s="321"/>
      <c r="FI407" s="321">
        <v>5</v>
      </c>
      <c r="FJ407" s="321">
        <v>4</v>
      </c>
      <c r="FK407" s="321">
        <v>3</v>
      </c>
      <c r="FL407" s="321">
        <v>2</v>
      </c>
      <c r="FM407" s="321">
        <v>3</v>
      </c>
      <c r="FN407" s="321">
        <v>4</v>
      </c>
      <c r="FO407" s="321">
        <v>5</v>
      </c>
      <c r="FP407" s="321"/>
      <c r="FQ407" s="321"/>
      <c r="FR407" s="321"/>
      <c r="FS407" s="321"/>
      <c r="FT407" s="564"/>
      <c r="FU407" s="483"/>
      <c r="FV407" s="321"/>
      <c r="FW407" s="321"/>
      <c r="FX407" s="321">
        <v>5</v>
      </c>
      <c r="FY407" s="321">
        <v>5</v>
      </c>
      <c r="FZ407" s="321">
        <v>5</v>
      </c>
      <c r="GA407" s="321">
        <v>4</v>
      </c>
      <c r="GB407" s="321">
        <v>3</v>
      </c>
      <c r="GC407" s="321">
        <v>4</v>
      </c>
      <c r="GD407" s="321"/>
      <c r="GE407" s="321"/>
      <c r="GF407" s="321"/>
      <c r="GG407" s="321"/>
      <c r="GH407" s="321"/>
      <c r="GI407" s="321"/>
      <c r="GJ407" s="564"/>
      <c r="GK407" s="1236"/>
      <c r="GL407" s="328"/>
      <c r="GM407" s="328"/>
      <c r="GN407" s="328"/>
      <c r="GO407" s="328"/>
      <c r="GP407" s="328"/>
      <c r="GQ407" s="328"/>
      <c r="GR407" s="328"/>
      <c r="GS407" s="328"/>
      <c r="GT407" s="328"/>
      <c r="GU407" s="328"/>
      <c r="GV407" s="328"/>
      <c r="GW407" s="328"/>
      <c r="GX407" s="328"/>
      <c r="GY407" s="328"/>
      <c r="GZ407" s="1237"/>
      <c r="HA407" s="201"/>
      <c r="HB407" s="199"/>
      <c r="HC407" s="201"/>
      <c r="HD407" s="201"/>
      <c r="HE407" s="199"/>
      <c r="HF407" s="201"/>
      <c r="HG407" s="201"/>
      <c r="HH407" s="201"/>
      <c r="HI407" s="201"/>
      <c r="HJ407" s="201"/>
      <c r="HK407" s="201"/>
      <c r="HL407" s="291"/>
      <c r="HM407" s="201"/>
      <c r="HN407" s="201"/>
      <c r="HO407" s="291"/>
      <c r="HP407" s="201"/>
      <c r="HQ407" s="877"/>
      <c r="HR407" s="200"/>
      <c r="HS407" s="305"/>
      <c r="HT407" s="305"/>
      <c r="HU407" s="201"/>
      <c r="HV407" s="199"/>
      <c r="HW407" s="305"/>
      <c r="HX407" s="305"/>
      <c r="HY407" s="201"/>
      <c r="HZ407" s="199"/>
      <c r="IA407" s="305"/>
      <c r="IB407" s="305"/>
      <c r="IC407" s="201"/>
      <c r="ID407" s="199"/>
      <c r="IE407" s="200"/>
      <c r="IF407" s="874"/>
      <c r="IG407" s="1236"/>
      <c r="IH407" s="328"/>
      <c r="II407" s="161"/>
      <c r="IJ407" s="297"/>
      <c r="IK407" s="293"/>
      <c r="IL407" s="161"/>
      <c r="IM407" s="297"/>
      <c r="IN407" s="293"/>
      <c r="IO407" s="161"/>
      <c r="IP407" s="297"/>
      <c r="IQ407" s="293"/>
      <c r="IR407" s="161"/>
      <c r="IS407" s="297"/>
      <c r="IT407" s="161"/>
      <c r="IU407" s="93"/>
      <c r="IV407" s="1237"/>
    </row>
    <row r="408" spans="1:256" s="326" customFormat="1" ht="8.25" customHeight="1">
      <c r="A408" s="1236"/>
      <c r="B408" s="328"/>
      <c r="C408" s="328"/>
      <c r="D408" s="328"/>
      <c r="E408" s="328"/>
      <c r="F408" s="328"/>
      <c r="G408" s="328"/>
      <c r="H408" s="328"/>
      <c r="I408" s="328"/>
      <c r="J408" s="328"/>
      <c r="K408" s="328"/>
      <c r="L408" s="328"/>
      <c r="M408" s="328"/>
      <c r="N408" s="328"/>
      <c r="O408" s="328"/>
      <c r="P408" s="1237"/>
      <c r="Q408" s="1236"/>
      <c r="R408" s="328"/>
      <c r="S408" s="328"/>
      <c r="T408" s="328"/>
      <c r="U408" s="328"/>
      <c r="V408" s="328"/>
      <c r="W408" s="328"/>
      <c r="X408" s="328">
        <v>10</v>
      </c>
      <c r="Y408" s="462">
        <v>11</v>
      </c>
      <c r="Z408" s="328">
        <v>10</v>
      </c>
      <c r="AA408" s="328"/>
      <c r="AB408" s="328"/>
      <c r="AC408" s="328"/>
      <c r="AD408" s="328"/>
      <c r="AE408" s="328"/>
      <c r="AF408" s="1237"/>
      <c r="AG408" s="1236"/>
      <c r="AH408" s="328"/>
      <c r="AI408" s="299">
        <v>8</v>
      </c>
      <c r="AJ408" s="328"/>
      <c r="AK408" s="328"/>
      <c r="AL408" s="295">
        <v>7</v>
      </c>
      <c r="AM408" s="299"/>
      <c r="AN408" s="328"/>
      <c r="AO408" s="328"/>
      <c r="AP408" s="328"/>
      <c r="AQ408" s="328"/>
      <c r="AR408" s="328"/>
      <c r="AS408" s="328"/>
      <c r="AT408" s="328"/>
      <c r="AU408" s="328"/>
      <c r="AV408" s="1237"/>
      <c r="AW408" s="699"/>
      <c r="AX408" s="93"/>
      <c r="AY408" s="328"/>
      <c r="AZ408" s="328"/>
      <c r="BA408" s="328"/>
      <c r="BB408" s="302"/>
      <c r="BC408" s="299"/>
      <c r="BD408" s="295"/>
      <c r="BE408" s="193"/>
      <c r="BF408" s="302"/>
      <c r="BG408" s="193"/>
      <c r="BH408" s="294"/>
      <c r="BI408" s="294"/>
      <c r="BJ408" s="290"/>
      <c r="BK408" s="295"/>
      <c r="BL408" s="291"/>
      <c r="BM408" s="1236"/>
      <c r="BN408" s="328"/>
      <c r="BO408" s="321"/>
      <c r="BP408" s="328"/>
      <c r="BQ408" s="328"/>
      <c r="BR408" s="328"/>
      <c r="BS408" s="299"/>
      <c r="BT408" s="328"/>
      <c r="BU408" s="328"/>
      <c r="BV408" s="328"/>
      <c r="BW408" s="328"/>
      <c r="BX408" s="328"/>
      <c r="BY408" s="328"/>
      <c r="BZ408" s="328"/>
      <c r="CA408" s="328"/>
      <c r="CB408" s="1237"/>
      <c r="CC408" s="1236"/>
      <c r="CD408" s="328"/>
      <c r="CE408" s="321"/>
      <c r="CF408" s="328"/>
      <c r="CG408" s="328"/>
      <c r="CH408" s="328"/>
      <c r="CI408" s="328"/>
      <c r="CJ408" s="328"/>
      <c r="CK408" s="328"/>
      <c r="CL408" s="328"/>
      <c r="CM408" s="328"/>
      <c r="CN408" s="295"/>
      <c r="CO408" s="328"/>
      <c r="CP408" s="328"/>
      <c r="CQ408" s="328"/>
      <c r="CR408" s="1237"/>
      <c r="CS408" s="304">
        <v>10</v>
      </c>
      <c r="CT408" s="328"/>
      <c r="CU408" s="321"/>
      <c r="CV408" s="328"/>
      <c r="CW408" s="328"/>
      <c r="CX408" s="328"/>
      <c r="CY408" s="328"/>
      <c r="CZ408" s="328"/>
      <c r="DA408" s="328"/>
      <c r="DB408" s="328"/>
      <c r="DC408" s="328"/>
      <c r="DD408" s="328"/>
      <c r="DE408" s="299"/>
      <c r="DF408" s="328"/>
      <c r="DG408" s="328"/>
      <c r="DH408" s="295"/>
      <c r="DI408" s="1236"/>
      <c r="DJ408" s="328"/>
      <c r="DK408" s="321"/>
      <c r="DL408" s="328"/>
      <c r="DM408" s="328"/>
      <c r="DN408" s="328"/>
      <c r="DO408" s="328"/>
      <c r="DP408" s="328"/>
      <c r="DQ408" s="328"/>
      <c r="DR408" s="328"/>
      <c r="DS408" s="328"/>
      <c r="DT408" s="328"/>
      <c r="DU408" s="328"/>
      <c r="DV408" s="328"/>
      <c r="DW408" s="328"/>
      <c r="DX408" s="1237"/>
      <c r="DY408" s="483"/>
      <c r="DZ408" s="321"/>
      <c r="EA408" s="321"/>
      <c r="EB408" s="321">
        <v>5</v>
      </c>
      <c r="EC408" s="321">
        <v>4</v>
      </c>
      <c r="ED408" s="321">
        <v>3</v>
      </c>
      <c r="EE408" s="321">
        <v>2</v>
      </c>
      <c r="EF408" s="321">
        <v>1</v>
      </c>
      <c r="EG408" s="321">
        <v>1</v>
      </c>
      <c r="EH408" s="321">
        <v>2</v>
      </c>
      <c r="EI408" s="321">
        <v>4</v>
      </c>
      <c r="EJ408" s="321">
        <v>5</v>
      </c>
      <c r="EK408" s="321"/>
      <c r="EL408" s="321"/>
      <c r="EM408" s="321"/>
      <c r="EN408" s="564"/>
      <c r="EO408" s="483"/>
      <c r="EP408" s="321"/>
      <c r="EQ408" s="321">
        <v>5</v>
      </c>
      <c r="ER408" s="321"/>
      <c r="ES408" s="321">
        <v>4</v>
      </c>
      <c r="ET408" s="321">
        <v>3</v>
      </c>
      <c r="EU408" s="321">
        <v>1</v>
      </c>
      <c r="EV408" s="321">
        <v>1</v>
      </c>
      <c r="EW408" s="321">
        <v>1</v>
      </c>
      <c r="EX408" s="321">
        <v>3</v>
      </c>
      <c r="EY408" s="321">
        <v>4</v>
      </c>
      <c r="EZ408" s="321"/>
      <c r="FA408" s="321">
        <v>5</v>
      </c>
      <c r="FB408" s="321"/>
      <c r="FC408" s="321"/>
      <c r="FD408" s="564"/>
      <c r="FE408" s="483"/>
      <c r="FF408" s="321">
        <v>5</v>
      </c>
      <c r="FG408" s="321"/>
      <c r="FH408" s="321"/>
      <c r="FI408" s="321"/>
      <c r="FJ408" s="321">
        <v>4</v>
      </c>
      <c r="FK408" s="321">
        <v>3</v>
      </c>
      <c r="FL408" s="321">
        <v>2</v>
      </c>
      <c r="FM408" s="321">
        <v>3</v>
      </c>
      <c r="FN408" s="321">
        <v>4</v>
      </c>
      <c r="FO408" s="321"/>
      <c r="FP408" s="321"/>
      <c r="FQ408" s="321"/>
      <c r="FR408" s="321"/>
      <c r="FS408" s="321"/>
      <c r="FT408" s="564"/>
      <c r="FU408" s="483"/>
      <c r="FV408" s="321"/>
      <c r="FW408" s="321">
        <v>5</v>
      </c>
      <c r="FX408" s="321"/>
      <c r="FY408" s="321"/>
      <c r="FZ408" s="321">
        <v>5</v>
      </c>
      <c r="GA408" s="321">
        <v>4</v>
      </c>
      <c r="GB408" s="321">
        <v>3</v>
      </c>
      <c r="GC408" s="321">
        <v>4</v>
      </c>
      <c r="GD408" s="321">
        <v>5</v>
      </c>
      <c r="GE408" s="321">
        <v>5</v>
      </c>
      <c r="GF408" s="321"/>
      <c r="GG408" s="321"/>
      <c r="GH408" s="321"/>
      <c r="GI408" s="321"/>
      <c r="GJ408" s="564"/>
      <c r="GK408" s="1236"/>
      <c r="GL408" s="328"/>
      <c r="GM408" s="328"/>
      <c r="GN408" s="328"/>
      <c r="GO408" s="328"/>
      <c r="GP408" s="328"/>
      <c r="GQ408" s="328"/>
      <c r="GR408" s="328"/>
      <c r="GS408" s="328"/>
      <c r="GT408" s="328"/>
      <c r="GU408" s="328"/>
      <c r="GV408" s="328"/>
      <c r="GW408" s="328"/>
      <c r="GX408" s="328"/>
      <c r="GY408" s="328"/>
      <c r="GZ408" s="1237"/>
      <c r="HA408" s="201"/>
      <c r="HB408" s="199"/>
      <c r="HC408" s="201"/>
      <c r="HD408" s="201"/>
      <c r="HE408" s="199"/>
      <c r="HF408" s="201"/>
      <c r="HG408" s="201"/>
      <c r="HH408" s="297"/>
      <c r="HI408" s="161"/>
      <c r="HJ408" s="201"/>
      <c r="HK408" s="201"/>
      <c r="HL408" s="291"/>
      <c r="HM408" s="201"/>
      <c r="HN408" s="201"/>
      <c r="HO408" s="291"/>
      <c r="HP408" s="201"/>
      <c r="HQ408" s="483"/>
      <c r="HR408" s="161"/>
      <c r="HS408" s="200"/>
      <c r="HT408" s="201"/>
      <c r="HU408" s="199"/>
      <c r="HV408" s="305"/>
      <c r="HW408" s="305"/>
      <c r="HX408" s="201"/>
      <c r="HY408" s="199"/>
      <c r="HZ408" s="305"/>
      <c r="IA408" s="305"/>
      <c r="IB408" s="201"/>
      <c r="IC408" s="199"/>
      <c r="ID408" s="200"/>
      <c r="IE408" s="161"/>
      <c r="IF408" s="564"/>
      <c r="IG408" s="1236"/>
      <c r="IH408" s="328"/>
      <c r="II408" s="161"/>
      <c r="IJ408" s="297"/>
      <c r="IK408" s="293"/>
      <c r="IL408" s="161"/>
      <c r="IM408" s="301"/>
      <c r="IN408" s="293"/>
      <c r="IO408" s="161"/>
      <c r="IP408" s="301"/>
      <c r="IQ408" s="293"/>
      <c r="IR408" s="161"/>
      <c r="IS408" s="297"/>
      <c r="IT408" s="161"/>
      <c r="IU408" s="93"/>
      <c r="IV408" s="1237"/>
    </row>
    <row r="409" spans="1:256" s="326" customFormat="1" ht="8.25" customHeight="1">
      <c r="A409" s="1236"/>
      <c r="B409" s="328"/>
      <c r="C409" s="328"/>
      <c r="D409" s="328"/>
      <c r="E409" s="328"/>
      <c r="F409" s="328"/>
      <c r="G409" s="328"/>
      <c r="H409" s="328"/>
      <c r="I409" s="328"/>
      <c r="J409" s="328"/>
      <c r="K409" s="328"/>
      <c r="L409" s="328"/>
      <c r="M409" s="328"/>
      <c r="N409" s="328"/>
      <c r="O409" s="328"/>
      <c r="P409" s="1237"/>
      <c r="Q409" s="1236"/>
      <c r="R409" s="328"/>
      <c r="S409" s="328"/>
      <c r="T409" s="328"/>
      <c r="U409" s="328"/>
      <c r="V409" s="328"/>
      <c r="W409" s="328"/>
      <c r="X409" s="328">
        <v>10</v>
      </c>
      <c r="Y409" s="462">
        <v>11</v>
      </c>
      <c r="Z409" s="328">
        <v>10</v>
      </c>
      <c r="AA409" s="328"/>
      <c r="AB409" s="328"/>
      <c r="AC409" s="328"/>
      <c r="AD409" s="328"/>
      <c r="AE409" s="328"/>
      <c r="AF409" s="1237"/>
      <c r="AG409" s="1236"/>
      <c r="AH409" s="328"/>
      <c r="AI409" s="328"/>
      <c r="AJ409" s="328"/>
      <c r="AK409" s="328"/>
      <c r="AL409" s="328"/>
      <c r="AM409" s="299"/>
      <c r="AN409" s="328"/>
      <c r="AO409" s="328"/>
      <c r="AP409" s="328"/>
      <c r="AQ409" s="328"/>
      <c r="AR409" s="328"/>
      <c r="AS409" s="328"/>
      <c r="AT409" s="328"/>
      <c r="AU409" s="328"/>
      <c r="AV409" s="1237"/>
      <c r="AW409" s="699"/>
      <c r="AX409" s="93"/>
      <c r="AY409" s="328"/>
      <c r="AZ409" s="328"/>
      <c r="BA409" s="302"/>
      <c r="BB409" s="299"/>
      <c r="BC409" s="295"/>
      <c r="BD409" s="193"/>
      <c r="BE409" s="299"/>
      <c r="BF409" s="302"/>
      <c r="BG409" s="193"/>
      <c r="BH409" s="298"/>
      <c r="BI409" s="294"/>
      <c r="BJ409" s="295"/>
      <c r="BK409" s="299"/>
      <c r="BL409" s="291"/>
      <c r="BM409" s="1236"/>
      <c r="BN409" s="328"/>
      <c r="BO409" s="299"/>
      <c r="BP409" s="295"/>
      <c r="BQ409" s="328"/>
      <c r="BR409" s="299"/>
      <c r="BS409" s="295"/>
      <c r="BT409" s="328"/>
      <c r="BU409" s="328"/>
      <c r="BV409" s="328"/>
      <c r="BW409" s="328"/>
      <c r="BX409" s="328"/>
      <c r="BY409" s="328"/>
      <c r="BZ409" s="328"/>
      <c r="CA409" s="328"/>
      <c r="CB409" s="1237"/>
      <c r="CC409" s="299"/>
      <c r="CD409" s="295"/>
      <c r="CE409" s="328"/>
      <c r="CF409" s="328"/>
      <c r="CG409" s="328"/>
      <c r="CH409" s="328"/>
      <c r="CI409" s="328"/>
      <c r="CJ409" s="328"/>
      <c r="CK409" s="328"/>
      <c r="CL409" s="295"/>
      <c r="CM409" s="295"/>
      <c r="CN409" s="328"/>
      <c r="CO409" s="328"/>
      <c r="CP409" s="295"/>
      <c r="CQ409" s="328"/>
      <c r="CR409" s="1237"/>
      <c r="CS409" s="304">
        <v>10</v>
      </c>
      <c r="CT409" s="299"/>
      <c r="CU409" s="321"/>
      <c r="CV409" s="328"/>
      <c r="CW409" s="328"/>
      <c r="CX409" s="193"/>
      <c r="CY409" s="328"/>
      <c r="CZ409" s="295"/>
      <c r="DA409" s="299"/>
      <c r="DB409" s="328"/>
      <c r="DC409" s="328"/>
      <c r="DD409" s="328"/>
      <c r="DE409" s="328"/>
      <c r="DF409" s="328"/>
      <c r="DG409" s="328"/>
      <c r="DH409" s="1237"/>
      <c r="DI409" s="1236"/>
      <c r="DJ409" s="328"/>
      <c r="DK409" s="321"/>
      <c r="DL409" s="328"/>
      <c r="DM409" s="328"/>
      <c r="DN409" s="328"/>
      <c r="DO409" s="328"/>
      <c r="DP409" s="328"/>
      <c r="DQ409" s="328"/>
      <c r="DR409" s="328"/>
      <c r="DS409" s="328"/>
      <c r="DT409" s="328"/>
      <c r="DU409" s="328"/>
      <c r="DV409" s="328"/>
      <c r="DW409" s="328"/>
      <c r="DX409" s="1237"/>
      <c r="DY409" s="483"/>
      <c r="DZ409" s="321"/>
      <c r="EA409" s="321"/>
      <c r="EB409" s="321"/>
      <c r="EC409" s="321">
        <v>4</v>
      </c>
      <c r="ED409" s="321">
        <v>3</v>
      </c>
      <c r="EE409" s="321">
        <v>1</v>
      </c>
      <c r="EF409" s="321">
        <v>1</v>
      </c>
      <c r="EG409" s="321">
        <v>1</v>
      </c>
      <c r="EH409" s="321">
        <v>2</v>
      </c>
      <c r="EI409" s="321">
        <v>4</v>
      </c>
      <c r="EJ409" s="321"/>
      <c r="EK409" s="321"/>
      <c r="EL409" s="321"/>
      <c r="EM409" s="321"/>
      <c r="EN409" s="564"/>
      <c r="EO409" s="483"/>
      <c r="EP409" s="321"/>
      <c r="EQ409" s="321"/>
      <c r="ER409" s="321"/>
      <c r="ES409" s="321"/>
      <c r="ET409" s="321">
        <v>4</v>
      </c>
      <c r="EU409" s="321">
        <v>1</v>
      </c>
      <c r="EV409" s="321">
        <v>1</v>
      </c>
      <c r="EW409" s="321">
        <v>1</v>
      </c>
      <c r="EX409" s="321">
        <v>3</v>
      </c>
      <c r="EY409" s="321">
        <v>4</v>
      </c>
      <c r="EZ409" s="321"/>
      <c r="FA409" s="321"/>
      <c r="FB409" s="321"/>
      <c r="FC409" s="321"/>
      <c r="FD409" s="564"/>
      <c r="FE409" s="483"/>
      <c r="FF409" s="321">
        <v>5</v>
      </c>
      <c r="FG409" s="321"/>
      <c r="FH409" s="321"/>
      <c r="FI409" s="321">
        <v>5</v>
      </c>
      <c r="FJ409" s="321">
        <v>4</v>
      </c>
      <c r="FK409" s="321">
        <v>3</v>
      </c>
      <c r="FL409" s="321">
        <v>2</v>
      </c>
      <c r="FM409" s="321">
        <v>3</v>
      </c>
      <c r="FN409" s="321">
        <v>4</v>
      </c>
      <c r="FO409" s="321"/>
      <c r="FP409" s="321"/>
      <c r="FQ409" s="321"/>
      <c r="FR409" s="321"/>
      <c r="FS409" s="321"/>
      <c r="FT409" s="564"/>
      <c r="FU409" s="483"/>
      <c r="FV409" s="321">
        <v>5</v>
      </c>
      <c r="FW409" s="321">
        <v>5</v>
      </c>
      <c r="FX409" s="321"/>
      <c r="FY409" s="321">
        <v>5</v>
      </c>
      <c r="FZ409" s="321">
        <v>5</v>
      </c>
      <c r="GA409" s="321">
        <v>4</v>
      </c>
      <c r="GB409" s="321">
        <v>3</v>
      </c>
      <c r="GC409" s="321"/>
      <c r="GD409" s="321">
        <v>5</v>
      </c>
      <c r="GE409" s="321">
        <v>5</v>
      </c>
      <c r="GF409" s="321"/>
      <c r="GG409" s="321"/>
      <c r="GH409" s="321"/>
      <c r="GI409" s="321"/>
      <c r="GJ409" s="564"/>
      <c r="GK409" s="1236"/>
      <c r="GL409" s="328"/>
      <c r="GM409" s="328"/>
      <c r="GN409" s="328"/>
      <c r="GO409" s="328"/>
      <c r="GP409" s="328"/>
      <c r="GQ409" s="328"/>
      <c r="GR409" s="328"/>
      <c r="GS409" s="328"/>
      <c r="GT409" s="328"/>
      <c r="GU409" s="328"/>
      <c r="GV409" s="328"/>
      <c r="GW409" s="328"/>
      <c r="GX409" s="328"/>
      <c r="GY409" s="328"/>
      <c r="GZ409" s="1237"/>
      <c r="HA409" s="201"/>
      <c r="HB409" s="199"/>
      <c r="HC409" s="201"/>
      <c r="HD409" s="201"/>
      <c r="HE409" s="201"/>
      <c r="HF409" s="199"/>
      <c r="HG409" s="201"/>
      <c r="HH409" s="161"/>
      <c r="HI409" s="206"/>
      <c r="HJ409" s="201"/>
      <c r="HK409" s="291"/>
      <c r="HL409" s="201"/>
      <c r="HM409" s="201"/>
      <c r="HN409" s="201"/>
      <c r="HO409" s="291"/>
      <c r="HP409" s="201"/>
      <c r="HQ409" s="483"/>
      <c r="HR409" s="321"/>
      <c r="HS409" s="161"/>
      <c r="HT409" s="199"/>
      <c r="HU409" s="305"/>
      <c r="HV409" s="305"/>
      <c r="HW409" s="201"/>
      <c r="HX409" s="199"/>
      <c r="HY409" s="305"/>
      <c r="HZ409" s="305"/>
      <c r="IA409" s="201"/>
      <c r="IB409" s="199"/>
      <c r="IC409" s="200"/>
      <c r="ID409" s="161"/>
      <c r="IE409" s="321"/>
      <c r="IF409" s="564"/>
      <c r="IG409" s="1236"/>
      <c r="IH409" s="328"/>
      <c r="II409" s="161"/>
      <c r="IJ409" s="297"/>
      <c r="IK409" s="293"/>
      <c r="IL409" s="161"/>
      <c r="IM409" s="297"/>
      <c r="IN409" s="293"/>
      <c r="IO409" s="161"/>
      <c r="IP409" s="297"/>
      <c r="IQ409" s="293"/>
      <c r="IR409" s="161"/>
      <c r="IS409" s="297"/>
      <c r="IT409" s="161"/>
      <c r="IU409" s="93"/>
      <c r="IV409" s="1237"/>
    </row>
    <row r="410" spans="1:256" s="326" customFormat="1" ht="8.25" customHeight="1">
      <c r="A410" s="1236"/>
      <c r="B410" s="328"/>
      <c r="C410" s="328"/>
      <c r="D410" s="328"/>
      <c r="E410" s="328"/>
      <c r="F410" s="328"/>
      <c r="G410" s="328"/>
      <c r="H410" s="328"/>
      <c r="I410" s="328"/>
      <c r="J410" s="328"/>
      <c r="K410" s="328"/>
      <c r="L410" s="328"/>
      <c r="M410" s="328"/>
      <c r="N410" s="328"/>
      <c r="O410" s="328"/>
      <c r="P410" s="1237"/>
      <c r="Q410" s="1236"/>
      <c r="R410" s="328"/>
      <c r="S410" s="328"/>
      <c r="T410" s="328"/>
      <c r="U410" s="328"/>
      <c r="V410" s="328"/>
      <c r="W410" s="328"/>
      <c r="X410" s="328">
        <v>10</v>
      </c>
      <c r="Y410" s="462">
        <v>12</v>
      </c>
      <c r="Z410" s="328">
        <v>10</v>
      </c>
      <c r="AA410" s="328"/>
      <c r="AB410" s="328"/>
      <c r="AC410" s="328"/>
      <c r="AD410" s="328"/>
      <c r="AE410" s="328"/>
      <c r="AF410" s="1237"/>
      <c r="AG410" s="1236"/>
      <c r="AH410" s="328"/>
      <c r="AI410" s="328"/>
      <c r="AJ410" s="328"/>
      <c r="AK410" s="328"/>
      <c r="AL410" s="328"/>
      <c r="AM410" s="299">
        <v>8</v>
      </c>
      <c r="AN410" s="328"/>
      <c r="AO410" s="328"/>
      <c r="AP410" s="328"/>
      <c r="AQ410" s="328"/>
      <c r="AR410" s="328"/>
      <c r="AS410" s="328"/>
      <c r="AT410" s="328"/>
      <c r="AU410" s="328"/>
      <c r="AV410" s="1237"/>
      <c r="AW410" s="699"/>
      <c r="AX410" s="93"/>
      <c r="AY410" s="302"/>
      <c r="AZ410" s="299"/>
      <c r="BA410" s="299"/>
      <c r="BB410" s="295"/>
      <c r="BC410" s="193"/>
      <c r="BD410" s="193"/>
      <c r="BE410" s="299"/>
      <c r="BF410" s="299"/>
      <c r="BG410" s="193"/>
      <c r="BH410" s="294"/>
      <c r="BI410" s="290"/>
      <c r="BJ410" s="295"/>
      <c r="BK410" s="291"/>
      <c r="BL410" s="291"/>
      <c r="BM410" s="1236"/>
      <c r="BN410" s="299"/>
      <c r="BO410" s="295"/>
      <c r="BP410" s="328"/>
      <c r="BQ410" s="328"/>
      <c r="BR410" s="299"/>
      <c r="BS410" s="304">
        <v>10</v>
      </c>
      <c r="BT410" s="295"/>
      <c r="BU410" s="328"/>
      <c r="BV410" s="328"/>
      <c r="BW410" s="328"/>
      <c r="BX410" s="328"/>
      <c r="BY410" s="328"/>
      <c r="BZ410" s="328"/>
      <c r="CA410" s="328"/>
      <c r="CB410" s="1237"/>
      <c r="CC410" s="1236"/>
      <c r="CD410" s="299"/>
      <c r="CE410" s="295"/>
      <c r="CF410" s="328"/>
      <c r="CG410" s="328"/>
      <c r="CH410" s="328"/>
      <c r="CI410" s="328"/>
      <c r="CJ410" s="328"/>
      <c r="CK410" s="299"/>
      <c r="CL410" s="304">
        <v>10</v>
      </c>
      <c r="CM410" s="295"/>
      <c r="CN410" s="328"/>
      <c r="CO410" s="328"/>
      <c r="CP410" s="328"/>
      <c r="CQ410" s="295"/>
      <c r="CR410" s="1237"/>
      <c r="CS410" s="1236"/>
      <c r="CT410" s="299"/>
      <c r="CU410" s="321"/>
      <c r="CV410" s="328"/>
      <c r="CW410" s="328"/>
      <c r="CX410" s="328"/>
      <c r="CY410" s="328"/>
      <c r="CZ410" s="328"/>
      <c r="DA410" s="295"/>
      <c r="DB410" s="299"/>
      <c r="DC410" s="299"/>
      <c r="DE410" s="328"/>
      <c r="DF410" s="328"/>
      <c r="DG410" s="299"/>
      <c r="DH410" s="328"/>
      <c r="DI410" s="1236"/>
      <c r="DJ410" s="328"/>
      <c r="DK410" s="321"/>
      <c r="DL410" s="328"/>
      <c r="DM410" s="328"/>
      <c r="DN410" s="328"/>
      <c r="DO410" s="328"/>
      <c r="DP410" s="328"/>
      <c r="DQ410" s="328"/>
      <c r="DR410" s="328"/>
      <c r="DS410" s="328"/>
      <c r="DT410" s="328"/>
      <c r="DU410" s="328"/>
      <c r="DV410" s="328"/>
      <c r="DW410" s="328"/>
      <c r="DX410" s="1237"/>
      <c r="DY410" s="483"/>
      <c r="DZ410" s="321"/>
      <c r="EA410" s="321"/>
      <c r="EB410" s="321"/>
      <c r="EC410" s="321">
        <v>4</v>
      </c>
      <c r="ED410" s="321">
        <v>3</v>
      </c>
      <c r="EE410" s="321">
        <v>2</v>
      </c>
      <c r="EF410" s="321">
        <v>1</v>
      </c>
      <c r="EG410" s="321">
        <v>1</v>
      </c>
      <c r="EH410" s="321">
        <v>2</v>
      </c>
      <c r="EI410" s="321">
        <v>4</v>
      </c>
      <c r="EJ410" s="321"/>
      <c r="EK410" s="321"/>
      <c r="EL410" s="321"/>
      <c r="EM410" s="321"/>
      <c r="EN410" s="564"/>
      <c r="EO410" s="483"/>
      <c r="EP410" s="321"/>
      <c r="EQ410" s="321"/>
      <c r="ER410" s="321"/>
      <c r="ES410" s="321"/>
      <c r="ET410" s="321">
        <v>4</v>
      </c>
      <c r="EU410" s="321">
        <v>1</v>
      </c>
      <c r="EV410" s="321">
        <v>1</v>
      </c>
      <c r="EW410" s="321">
        <v>1</v>
      </c>
      <c r="EX410" s="321">
        <v>3</v>
      </c>
      <c r="EY410" s="321">
        <v>4</v>
      </c>
      <c r="EZ410" s="321"/>
      <c r="FA410" s="321"/>
      <c r="FB410" s="321"/>
      <c r="FC410" s="321"/>
      <c r="FD410" s="564"/>
      <c r="FE410" s="483"/>
      <c r="FF410" s="321"/>
      <c r="FG410" s="321"/>
      <c r="FH410" s="321"/>
      <c r="FI410" s="321"/>
      <c r="FJ410" s="321">
        <v>4</v>
      </c>
      <c r="FK410" s="321">
        <v>2</v>
      </c>
      <c r="FL410" s="321">
        <v>3</v>
      </c>
      <c r="FM410" s="321">
        <v>2</v>
      </c>
      <c r="FN410" s="321">
        <v>5</v>
      </c>
      <c r="FO410" s="321"/>
      <c r="FP410" s="321"/>
      <c r="FQ410" s="321"/>
      <c r="FR410" s="321"/>
      <c r="FS410" s="321"/>
      <c r="FT410" s="564"/>
      <c r="FU410" s="483"/>
      <c r="FV410" s="321">
        <v>5</v>
      </c>
      <c r="FW410" s="321"/>
      <c r="FX410" s="321"/>
      <c r="FY410" s="321"/>
      <c r="FZ410" s="321">
        <v>5</v>
      </c>
      <c r="GA410" s="321">
        <v>4</v>
      </c>
      <c r="GB410" s="321">
        <v>3</v>
      </c>
      <c r="GC410" s="321">
        <v>5</v>
      </c>
      <c r="GD410" s="321"/>
      <c r="GE410" s="321"/>
      <c r="GF410" s="321">
        <v>5</v>
      </c>
      <c r="GG410" s="321">
        <v>5</v>
      </c>
      <c r="GH410" s="321"/>
      <c r="GI410" s="321"/>
      <c r="GJ410" s="564"/>
      <c r="GK410" s="1236"/>
      <c r="GL410" s="328"/>
      <c r="GM410" s="328"/>
      <c r="GN410" s="328"/>
      <c r="GO410" s="328"/>
      <c r="GP410" s="328"/>
      <c r="GQ410" s="328"/>
      <c r="GR410" s="328"/>
      <c r="GS410" s="328"/>
      <c r="GT410" s="328"/>
      <c r="GU410" s="328"/>
      <c r="GV410" s="328"/>
      <c r="GW410" s="328"/>
      <c r="GX410" s="328"/>
      <c r="GY410" s="328"/>
      <c r="GZ410" s="1237"/>
      <c r="HA410" s="201"/>
      <c r="HB410" s="199"/>
      <c r="HC410" s="201"/>
      <c r="HD410" s="201"/>
      <c r="HE410" s="201"/>
      <c r="HF410" s="199"/>
      <c r="HG410" s="201"/>
      <c r="HH410" s="201"/>
      <c r="HI410" s="201"/>
      <c r="HJ410" s="201"/>
      <c r="HK410" s="291"/>
      <c r="HL410" s="201"/>
      <c r="HM410" s="201"/>
      <c r="HN410" s="201"/>
      <c r="HO410" s="291"/>
      <c r="HP410" s="201"/>
      <c r="HQ410" s="483"/>
      <c r="HR410" s="321"/>
      <c r="HS410" s="321"/>
      <c r="HT410" s="161"/>
      <c r="HU410" s="200"/>
      <c r="HV410" s="200"/>
      <c r="HW410" s="200"/>
      <c r="HX410" s="200"/>
      <c r="HY410" s="200"/>
      <c r="HZ410" s="200"/>
      <c r="IA410" s="200"/>
      <c r="IB410" s="200"/>
      <c r="IC410" s="161"/>
      <c r="ID410" s="321"/>
      <c r="IE410" s="321"/>
      <c r="IF410" s="564"/>
      <c r="IG410" s="1236"/>
      <c r="IH410" s="328"/>
      <c r="II410" s="161"/>
      <c r="IJ410" s="297"/>
      <c r="IK410" s="293"/>
      <c r="IL410" s="161"/>
      <c r="IM410" s="301"/>
      <c r="IN410" s="293"/>
      <c r="IO410" s="161"/>
      <c r="IP410" s="301"/>
      <c r="IQ410" s="293"/>
      <c r="IR410" s="161"/>
      <c r="IS410" s="297"/>
      <c r="IT410" s="161"/>
      <c r="IU410" s="93"/>
      <c r="IV410" s="1237"/>
    </row>
    <row r="411" spans="1:256" s="326" customFormat="1" ht="8.25" customHeight="1">
      <c r="A411" s="1236"/>
      <c r="B411" s="328"/>
      <c r="C411" s="328"/>
      <c r="D411" s="328"/>
      <c r="E411" s="328"/>
      <c r="F411" s="328"/>
      <c r="G411" s="328"/>
      <c r="H411" s="328"/>
      <c r="I411" s="328"/>
      <c r="J411" s="328"/>
      <c r="K411" s="328"/>
      <c r="L411" s="328"/>
      <c r="M411" s="328"/>
      <c r="N411" s="328"/>
      <c r="O411" s="328"/>
      <c r="P411" s="1237"/>
      <c r="Q411" s="1236"/>
      <c r="R411" s="328"/>
      <c r="S411" s="328"/>
      <c r="T411" s="328"/>
      <c r="U411" s="328"/>
      <c r="V411" s="328"/>
      <c r="W411" s="328">
        <v>10</v>
      </c>
      <c r="X411" s="462">
        <v>12</v>
      </c>
      <c r="Y411" s="328">
        <v>10</v>
      </c>
      <c r="Z411" s="328"/>
      <c r="AA411" s="328"/>
      <c r="AB411" s="328"/>
      <c r="AC411" s="328"/>
      <c r="AD411" s="328"/>
      <c r="AE411" s="328"/>
      <c r="AF411" s="1237"/>
      <c r="AG411" s="1236"/>
      <c r="AH411" s="328"/>
      <c r="AI411" s="328"/>
      <c r="AJ411" s="328"/>
      <c r="AK411" s="328"/>
      <c r="AL411" s="328"/>
      <c r="AM411" s="299">
        <v>8</v>
      </c>
      <c r="AN411" s="328"/>
      <c r="AO411" s="328"/>
      <c r="AP411" s="328"/>
      <c r="AQ411" s="328"/>
      <c r="AR411" s="328"/>
      <c r="AS411" s="328"/>
      <c r="AT411" s="328"/>
      <c r="AU411" s="328"/>
      <c r="AV411" s="1237"/>
      <c r="AW411" s="699"/>
      <c r="AX411" s="302"/>
      <c r="AY411" s="299"/>
      <c r="AZ411" s="299"/>
      <c r="BA411" s="295"/>
      <c r="BB411" s="193"/>
      <c r="BC411" s="295"/>
      <c r="BD411" s="193"/>
      <c r="BE411" s="193"/>
      <c r="BF411" s="302"/>
      <c r="BG411" s="193"/>
      <c r="BH411" s="193"/>
      <c r="BI411" s="295"/>
      <c r="BJ411" s="299"/>
      <c r="BK411" s="291"/>
      <c r="BL411" s="291"/>
      <c r="BM411" s="304"/>
      <c r="BN411" s="299"/>
      <c r="BO411" s="321"/>
      <c r="BP411" s="328"/>
      <c r="BQ411" s="328"/>
      <c r="BR411" s="328"/>
      <c r="BS411" s="299"/>
      <c r="BT411" s="304">
        <v>10</v>
      </c>
      <c r="BU411" s="295"/>
      <c r="BV411" s="328"/>
      <c r="BW411" s="328"/>
      <c r="BX411" s="328"/>
      <c r="BY411" s="328"/>
      <c r="BZ411" s="328"/>
      <c r="CA411" s="299"/>
      <c r="CB411" s="295"/>
      <c r="CC411" s="1236"/>
      <c r="CD411" s="299"/>
      <c r="CE411" s="304">
        <v>10</v>
      </c>
      <c r="CF411" s="295"/>
      <c r="CG411" s="328"/>
      <c r="CH411" s="328"/>
      <c r="CI411" s="328"/>
      <c r="CJ411" s="328"/>
      <c r="CK411" s="299"/>
      <c r="CL411" s="304">
        <v>10</v>
      </c>
      <c r="CM411" s="299"/>
      <c r="CN411" s="328"/>
      <c r="CO411" s="328"/>
      <c r="CP411" s="328"/>
      <c r="CQ411" s="299"/>
      <c r="CR411" s="295"/>
      <c r="CS411" s="1236"/>
      <c r="CT411" s="328"/>
      <c r="CU411" s="321"/>
      <c r="CV411" s="304">
        <v>10</v>
      </c>
      <c r="CW411" s="328"/>
      <c r="CX411" s="328"/>
      <c r="CY411" s="295"/>
      <c r="CZ411" s="328"/>
      <c r="DA411" s="328"/>
      <c r="DB411" s="304">
        <v>10</v>
      </c>
      <c r="DC411" s="299"/>
      <c r="DD411" s="304">
        <v>10</v>
      </c>
      <c r="DE411" s="328"/>
      <c r="DF411" s="299"/>
      <c r="DG411" s="304"/>
      <c r="DH411" s="328"/>
      <c r="DI411" s="1236"/>
      <c r="DJ411" s="328"/>
      <c r="DK411" s="321"/>
      <c r="DL411" s="328"/>
      <c r="DM411" s="328"/>
      <c r="DN411" s="328"/>
      <c r="DO411" s="328"/>
      <c r="DP411" s="328"/>
      <c r="DQ411" s="328"/>
      <c r="DR411" s="328"/>
      <c r="DS411" s="328"/>
      <c r="DT411" s="328"/>
      <c r="DU411" s="328"/>
      <c r="DV411" s="328"/>
      <c r="DW411" s="328"/>
      <c r="DX411" s="1237"/>
      <c r="DY411" s="483"/>
      <c r="DZ411" s="321"/>
      <c r="EA411" s="321"/>
      <c r="EB411" s="321"/>
      <c r="EC411" s="321">
        <v>4</v>
      </c>
      <c r="ED411" s="321">
        <v>3</v>
      </c>
      <c r="EE411" s="321">
        <v>1</v>
      </c>
      <c r="EF411" s="321">
        <v>2</v>
      </c>
      <c r="EG411" s="321">
        <v>1</v>
      </c>
      <c r="EH411" s="321">
        <v>3</v>
      </c>
      <c r="EI411" s="321">
        <v>4</v>
      </c>
      <c r="EJ411" s="321"/>
      <c r="EK411" s="321"/>
      <c r="EL411" s="321"/>
      <c r="EM411" s="321"/>
      <c r="EN411" s="564"/>
      <c r="EO411" s="483"/>
      <c r="EP411" s="321"/>
      <c r="EQ411" s="321"/>
      <c r="ER411" s="321"/>
      <c r="ES411" s="321"/>
      <c r="ET411" s="321">
        <v>4</v>
      </c>
      <c r="EU411" s="321">
        <v>1</v>
      </c>
      <c r="EV411" s="321">
        <v>1</v>
      </c>
      <c r="EW411" s="321">
        <v>1</v>
      </c>
      <c r="EX411" s="321">
        <v>4</v>
      </c>
      <c r="EY411" s="321"/>
      <c r="EZ411" s="321"/>
      <c r="FA411" s="321"/>
      <c r="FB411" s="321"/>
      <c r="FC411" s="321"/>
      <c r="FD411" s="564"/>
      <c r="FE411" s="483"/>
      <c r="FF411" s="321"/>
      <c r="FG411" s="321"/>
      <c r="FH411" s="321"/>
      <c r="FI411" s="321">
        <v>4</v>
      </c>
      <c r="FJ411" s="321">
        <v>4</v>
      </c>
      <c r="FK411" s="321">
        <v>2</v>
      </c>
      <c r="FL411" s="321">
        <v>3</v>
      </c>
      <c r="FM411" s="321">
        <v>3</v>
      </c>
      <c r="FN411" s="321">
        <v>5</v>
      </c>
      <c r="FO411" s="321"/>
      <c r="FP411" s="321"/>
      <c r="FQ411" s="321"/>
      <c r="FR411" s="321"/>
      <c r="FS411" s="321"/>
      <c r="FT411" s="564"/>
      <c r="FU411" s="483"/>
      <c r="FV411" s="321">
        <v>4</v>
      </c>
      <c r="FW411" s="321"/>
      <c r="FX411" s="321"/>
      <c r="FY411" s="321"/>
      <c r="FZ411" s="321">
        <v>5</v>
      </c>
      <c r="GA411" s="321"/>
      <c r="GB411" s="321">
        <v>3</v>
      </c>
      <c r="GC411" s="321">
        <v>5</v>
      </c>
      <c r="GD411" s="321"/>
      <c r="GE411" s="321"/>
      <c r="GF411" s="321"/>
      <c r="GG411" s="321"/>
      <c r="GH411" s="321"/>
      <c r="GI411" s="321"/>
      <c r="GJ411" s="564"/>
      <c r="GK411" s="1236"/>
      <c r="GL411" s="328"/>
      <c r="GM411" s="328"/>
      <c r="GN411" s="328"/>
      <c r="GO411" s="328"/>
      <c r="GP411" s="328"/>
      <c r="GQ411" s="328"/>
      <c r="GR411" s="328"/>
      <c r="GS411" s="328"/>
      <c r="GT411" s="328"/>
      <c r="GU411" s="328"/>
      <c r="GV411" s="328"/>
      <c r="GW411" s="328"/>
      <c r="GX411" s="328"/>
      <c r="GY411" s="328"/>
      <c r="GZ411" s="1237"/>
      <c r="HA411" s="201"/>
      <c r="HB411" s="199"/>
      <c r="HC411" s="201"/>
      <c r="HD411" s="201"/>
      <c r="HE411" s="201"/>
      <c r="HF411" s="201"/>
      <c r="HG411" s="291"/>
      <c r="HH411" s="201"/>
      <c r="HI411" s="201"/>
      <c r="HJ411" s="291"/>
      <c r="HK411" s="201"/>
      <c r="HL411" s="201"/>
      <c r="HM411" s="201"/>
      <c r="HN411" s="201"/>
      <c r="HO411" s="291"/>
      <c r="HP411" s="201"/>
      <c r="HQ411" s="483"/>
      <c r="HR411" s="321"/>
      <c r="HS411" s="321"/>
      <c r="HT411" s="321"/>
      <c r="HU411" s="292"/>
      <c r="HV411" s="292"/>
      <c r="HW411" s="161"/>
      <c r="HX411" s="292"/>
      <c r="HY411" s="292"/>
      <c r="HZ411" s="161"/>
      <c r="IA411" s="161"/>
      <c r="IB411" s="292"/>
      <c r="IC411" s="321"/>
      <c r="ID411" s="321"/>
      <c r="IE411" s="321"/>
      <c r="IF411" s="564"/>
      <c r="IG411" s="1236"/>
      <c r="IH411" s="328"/>
      <c r="II411" s="161"/>
      <c r="IJ411" s="297"/>
      <c r="IK411" s="293"/>
      <c r="IL411" s="161"/>
      <c r="IM411" s="297"/>
      <c r="IN411" s="293"/>
      <c r="IO411" s="161"/>
      <c r="IP411" s="297"/>
      <c r="IQ411" s="293"/>
      <c r="IR411" s="161"/>
      <c r="IS411" s="297"/>
      <c r="IT411" s="161"/>
      <c r="IU411" s="93"/>
      <c r="IV411" s="1237"/>
    </row>
    <row r="412" spans="1:256" s="326" customFormat="1" ht="8.25" customHeight="1">
      <c r="A412" s="1236"/>
      <c r="B412" s="328"/>
      <c r="C412" s="328"/>
      <c r="D412" s="328"/>
      <c r="E412" s="328"/>
      <c r="F412" s="328"/>
      <c r="G412" s="328"/>
      <c r="H412" s="328"/>
      <c r="I412" s="328"/>
      <c r="J412" s="328"/>
      <c r="K412" s="328"/>
      <c r="L412" s="328"/>
      <c r="M412" s="328"/>
      <c r="N412" s="328"/>
      <c r="O412" s="328"/>
      <c r="P412" s="1237"/>
      <c r="Q412" s="1236"/>
      <c r="R412" s="328"/>
      <c r="S412" s="328"/>
      <c r="T412" s="328"/>
      <c r="U412" s="328"/>
      <c r="V412" s="328"/>
      <c r="W412" s="328">
        <v>10</v>
      </c>
      <c r="X412" s="462">
        <v>12</v>
      </c>
      <c r="Y412" s="328">
        <v>9</v>
      </c>
      <c r="Z412" s="328"/>
      <c r="AA412" s="328"/>
      <c r="AB412" s="328"/>
      <c r="AC412" s="328"/>
      <c r="AD412" s="328"/>
      <c r="AE412" s="328"/>
      <c r="AF412" s="1237"/>
      <c r="AG412" s="1236"/>
      <c r="AH412" s="328"/>
      <c r="AI412" s="328"/>
      <c r="AJ412" s="328"/>
      <c r="AK412" s="328"/>
      <c r="AL412" s="328"/>
      <c r="AM412" s="328"/>
      <c r="AN412" s="328"/>
      <c r="AO412" s="328"/>
      <c r="AP412" s="328"/>
      <c r="AQ412" s="328"/>
      <c r="AR412" s="328"/>
      <c r="AS412" s="328"/>
      <c r="AT412" s="328"/>
      <c r="AU412" s="328"/>
      <c r="AV412" s="1237"/>
      <c r="AW412" s="299"/>
      <c r="AX412" s="93"/>
      <c r="AY412" s="93"/>
      <c r="AZ412" s="295"/>
      <c r="BA412" s="193"/>
      <c r="BB412" s="193"/>
      <c r="BC412" s="193"/>
      <c r="BD412" s="299"/>
      <c r="BE412" s="193"/>
      <c r="BF412" s="299"/>
      <c r="BG412" s="302"/>
      <c r="BH412" s="193"/>
      <c r="BI412" s="295"/>
      <c r="BJ412" s="291"/>
      <c r="BK412" s="291"/>
      <c r="BL412" s="290"/>
      <c r="BM412" s="299"/>
      <c r="BN412" s="304">
        <v>10</v>
      </c>
      <c r="BO412" s="295"/>
      <c r="BP412" s="328"/>
      <c r="BQ412" s="328"/>
      <c r="BR412" s="328"/>
      <c r="BS412" s="299"/>
      <c r="BT412" s="304">
        <v>10</v>
      </c>
      <c r="BU412" s="295"/>
      <c r="BV412" s="328"/>
      <c r="BW412" s="328"/>
      <c r="BX412" s="328"/>
      <c r="BY412" s="299"/>
      <c r="BZ412" s="304">
        <v>10</v>
      </c>
      <c r="CA412" s="295"/>
      <c r="CB412" s="1237"/>
      <c r="CC412" s="1236"/>
      <c r="CD412" s="328"/>
      <c r="CE412" s="299"/>
      <c r="CF412" s="299"/>
      <c r="CG412" s="328"/>
      <c r="CH412" s="328"/>
      <c r="CI412" s="328"/>
      <c r="CJ412" s="299"/>
      <c r="CK412" s="304">
        <v>10</v>
      </c>
      <c r="CL412" s="299"/>
      <c r="CM412" s="328"/>
      <c r="CN412" s="328"/>
      <c r="CO412" s="328"/>
      <c r="CP412" s="299"/>
      <c r="CQ412" s="304">
        <v>10</v>
      </c>
      <c r="CR412" s="295"/>
      <c r="CS412" s="1236"/>
      <c r="CT412" s="328"/>
      <c r="CU412" s="321"/>
      <c r="CV412" s="304">
        <v>10</v>
      </c>
      <c r="CW412" s="328"/>
      <c r="CX412" s="299"/>
      <c r="CY412" s="304">
        <v>10</v>
      </c>
      <c r="CZ412" s="328"/>
      <c r="DA412" s="328"/>
      <c r="DB412" s="328"/>
      <c r="DC412" s="304">
        <v>10</v>
      </c>
      <c r="DE412" s="328"/>
      <c r="DF412" s="304">
        <v>10</v>
      </c>
      <c r="DG412" s="328"/>
      <c r="DH412" s="328"/>
      <c r="DI412" s="1236"/>
      <c r="DJ412" s="328"/>
      <c r="DK412" s="321"/>
      <c r="DL412" s="328"/>
      <c r="DM412" s="328"/>
      <c r="DN412" s="328"/>
      <c r="DO412" s="328"/>
      <c r="DP412" s="328"/>
      <c r="DQ412" s="328"/>
      <c r="DR412" s="328"/>
      <c r="DS412" s="328"/>
      <c r="DT412" s="328"/>
      <c r="DU412" s="328"/>
      <c r="DV412" s="328"/>
      <c r="DW412" s="328"/>
      <c r="DX412" s="1237"/>
      <c r="DY412" s="483"/>
      <c r="DZ412" s="321"/>
      <c r="EA412" s="321"/>
      <c r="EB412" s="321"/>
      <c r="EC412" s="321">
        <v>4</v>
      </c>
      <c r="ED412" s="321">
        <v>3</v>
      </c>
      <c r="EE412" s="321">
        <v>1</v>
      </c>
      <c r="EF412" s="321">
        <v>2</v>
      </c>
      <c r="EG412" s="321">
        <v>1</v>
      </c>
      <c r="EH412" s="321">
        <v>3</v>
      </c>
      <c r="EI412" s="321">
        <v>4</v>
      </c>
      <c r="EJ412" s="321"/>
      <c r="EK412" s="321"/>
      <c r="EL412" s="321"/>
      <c r="EM412" s="321"/>
      <c r="EN412" s="564"/>
      <c r="EO412" s="483"/>
      <c r="EP412" s="321"/>
      <c r="EQ412" s="321"/>
      <c r="ER412" s="321"/>
      <c r="ES412" s="321"/>
      <c r="ET412" s="321">
        <v>4</v>
      </c>
      <c r="EU412" s="321">
        <v>2</v>
      </c>
      <c r="EV412" s="321">
        <v>1</v>
      </c>
      <c r="EW412" s="321">
        <v>2</v>
      </c>
      <c r="EX412" s="321">
        <v>4</v>
      </c>
      <c r="EY412" s="321"/>
      <c r="EZ412" s="321"/>
      <c r="FA412" s="321"/>
      <c r="FB412" s="321"/>
      <c r="FC412" s="321"/>
      <c r="FD412" s="564"/>
      <c r="FE412" s="483"/>
      <c r="FF412" s="321"/>
      <c r="FG412" s="321"/>
      <c r="FH412" s="321"/>
      <c r="FI412" s="321">
        <v>4</v>
      </c>
      <c r="FJ412" s="321">
        <v>4</v>
      </c>
      <c r="FK412" s="321">
        <v>3</v>
      </c>
      <c r="FL412" s="321">
        <v>3</v>
      </c>
      <c r="FM412" s="321">
        <v>3</v>
      </c>
      <c r="FN412" s="321">
        <v>4</v>
      </c>
      <c r="FO412" s="321"/>
      <c r="FP412" s="321"/>
      <c r="FQ412" s="321"/>
      <c r="FR412" s="321"/>
      <c r="FS412" s="321"/>
      <c r="FT412" s="564"/>
      <c r="FU412" s="483"/>
      <c r="FV412" s="321"/>
      <c r="FW412" s="321"/>
      <c r="FX412" s="321"/>
      <c r="FY412" s="321"/>
      <c r="FZ412" s="321">
        <v>5</v>
      </c>
      <c r="GA412" s="321"/>
      <c r="GB412" s="326">
        <v>4</v>
      </c>
      <c r="GC412" s="321"/>
      <c r="GD412" s="321"/>
      <c r="GE412" s="321"/>
      <c r="GF412" s="321"/>
      <c r="GG412" s="321"/>
      <c r="GH412" s="321"/>
      <c r="GI412" s="321"/>
      <c r="GJ412" s="564"/>
      <c r="GK412" s="1236"/>
      <c r="GL412" s="328"/>
      <c r="GM412" s="328"/>
      <c r="GN412" s="328"/>
      <c r="GO412" s="328"/>
      <c r="GP412" s="328"/>
      <c r="GQ412" s="328"/>
      <c r="GR412" s="328"/>
      <c r="GS412" s="328"/>
      <c r="GT412" s="328"/>
      <c r="GU412" s="328"/>
      <c r="GV412" s="328"/>
      <c r="GW412" s="328"/>
      <c r="GX412" s="328"/>
      <c r="GY412" s="328"/>
      <c r="GZ412" s="1237"/>
      <c r="HA412" s="201"/>
      <c r="HB412" s="199"/>
      <c r="HC412" s="201"/>
      <c r="HD412" s="201"/>
      <c r="HE412" s="201"/>
      <c r="HF412" s="201"/>
      <c r="HG412" s="201"/>
      <c r="HH412" s="291"/>
      <c r="HI412" s="291"/>
      <c r="HJ412" s="201"/>
      <c r="HK412" s="201"/>
      <c r="HL412" s="201"/>
      <c r="HM412" s="201"/>
      <c r="HN412" s="201"/>
      <c r="HO412" s="291"/>
      <c r="HP412" s="201"/>
      <c r="HQ412" s="483"/>
      <c r="HR412" s="321"/>
      <c r="HS412" s="321"/>
      <c r="HT412" s="321"/>
      <c r="HU412" s="321"/>
      <c r="HV412" s="321"/>
      <c r="HW412" s="321"/>
      <c r="HX412" s="321"/>
      <c r="HY412" s="321"/>
      <c r="HZ412" s="321"/>
      <c r="IA412" s="321"/>
      <c r="IB412" s="321"/>
      <c r="IC412" s="321"/>
      <c r="ID412" s="321"/>
      <c r="IE412" s="321"/>
      <c r="IF412" s="564"/>
      <c r="IG412" s="1236"/>
      <c r="IH412" s="328"/>
      <c r="II412" s="161"/>
      <c r="IJ412" s="297"/>
      <c r="IK412" s="293"/>
      <c r="IL412" s="161"/>
      <c r="IM412" s="301"/>
      <c r="IN412" s="293"/>
      <c r="IO412" s="161"/>
      <c r="IP412" s="301"/>
      <c r="IQ412" s="293"/>
      <c r="IR412" s="161"/>
      <c r="IS412" s="297"/>
      <c r="IT412" s="161"/>
      <c r="IU412" s="93"/>
      <c r="IV412" s="1237"/>
    </row>
    <row r="413" spans="1:256" s="326" customFormat="1" ht="8.25" customHeight="1">
      <c r="A413" s="1236"/>
      <c r="B413" s="328"/>
      <c r="C413" s="328"/>
      <c r="D413" s="328"/>
      <c r="E413" s="328"/>
      <c r="F413" s="328"/>
      <c r="G413" s="328"/>
      <c r="H413" s="328"/>
      <c r="I413" s="328"/>
      <c r="J413" s="328"/>
      <c r="K413" s="328"/>
      <c r="L413" s="328"/>
      <c r="M413" s="328"/>
      <c r="N413" s="328"/>
      <c r="O413" s="328"/>
      <c r="P413" s="1237"/>
      <c r="Q413" s="1236"/>
      <c r="R413" s="328"/>
      <c r="S413" s="328"/>
      <c r="T413" s="328"/>
      <c r="U413" s="328"/>
      <c r="V413" s="328">
        <v>9</v>
      </c>
      <c r="W413" s="462">
        <v>12</v>
      </c>
      <c r="X413" s="328">
        <v>9</v>
      </c>
      <c r="Y413" s="328"/>
      <c r="Z413" s="328"/>
      <c r="AA413" s="328"/>
      <c r="AB413" s="328"/>
      <c r="AC413" s="328"/>
      <c r="AD413" s="328"/>
      <c r="AE413" s="328"/>
      <c r="AF413" s="1237"/>
      <c r="AG413" s="1236"/>
      <c r="AH413" s="328"/>
      <c r="AI413" s="328"/>
      <c r="AJ413" s="328"/>
      <c r="AK413" s="328"/>
      <c r="AL413" s="328"/>
      <c r="AM413" s="328"/>
      <c r="AN413" s="328"/>
      <c r="AO413" s="328"/>
      <c r="AP413" s="328"/>
      <c r="AQ413" s="328"/>
      <c r="AR413" s="328"/>
      <c r="AS413" s="328"/>
      <c r="AT413" s="328"/>
      <c r="AU413" s="328"/>
      <c r="AV413" s="1237"/>
      <c r="AW413" s="699"/>
      <c r="AX413" s="93"/>
      <c r="AY413" s="302"/>
      <c r="AZ413" s="299"/>
      <c r="BA413" s="193"/>
      <c r="BB413" s="295"/>
      <c r="BC413" s="299"/>
      <c r="BD413" s="295"/>
      <c r="BE413" s="193"/>
      <c r="BF413" s="299"/>
      <c r="BG413" s="302"/>
      <c r="BH413" s="299"/>
      <c r="BI413" s="193"/>
      <c r="BJ413" s="291"/>
      <c r="BK413" s="294"/>
      <c r="BL413" s="290"/>
      <c r="BM413" s="299"/>
      <c r="BN413" s="304">
        <v>10</v>
      </c>
      <c r="BO413" s="299"/>
      <c r="BP413" s="295"/>
      <c r="BQ413" s="328"/>
      <c r="BR413" s="299"/>
      <c r="BS413" s="304">
        <v>10</v>
      </c>
      <c r="BT413" s="295"/>
      <c r="BU413" s="328"/>
      <c r="BV413" s="328"/>
      <c r="BW413" s="328"/>
      <c r="BX413" s="299"/>
      <c r="BY413" s="304">
        <v>10</v>
      </c>
      <c r="BZ413" s="295"/>
      <c r="CA413" s="328"/>
      <c r="CB413" s="1237"/>
      <c r="CC413" s="1236"/>
      <c r="CD413" s="328"/>
      <c r="CE413" s="299"/>
      <c r="CF413" s="304">
        <v>10</v>
      </c>
      <c r="CG413" s="295"/>
      <c r="CH413" s="328"/>
      <c r="CI413" s="328"/>
      <c r="CJ413" s="299"/>
      <c r="CK413" s="304">
        <v>10</v>
      </c>
      <c r="CL413" s="295"/>
      <c r="CM413" s="328"/>
      <c r="CN413" s="328"/>
      <c r="CO413" s="299"/>
      <c r="CP413" s="304">
        <v>10</v>
      </c>
      <c r="CQ413" s="295"/>
      <c r="CR413" s="1237"/>
      <c r="CS413" s="483"/>
      <c r="CT413" s="321"/>
      <c r="CU413" s="321"/>
      <c r="CV413" s="321"/>
      <c r="CW413" s="321"/>
      <c r="CX413" s="299"/>
      <c r="CY413" s="321"/>
      <c r="CZ413" s="321"/>
      <c r="DA413" s="321"/>
      <c r="DB413" s="321"/>
      <c r="DC413" s="321"/>
      <c r="DE413" s="321"/>
      <c r="DF413" s="321"/>
      <c r="DG413" s="321"/>
      <c r="DH413" s="328"/>
      <c r="DI413" s="1236"/>
      <c r="DJ413" s="328"/>
      <c r="DK413" s="321"/>
      <c r="DL413" s="328"/>
      <c r="DM413" s="328"/>
      <c r="DN413" s="328"/>
      <c r="DO413" s="328"/>
      <c r="DP413" s="328"/>
      <c r="DQ413" s="328"/>
      <c r="DR413" s="328"/>
      <c r="DS413" s="328"/>
      <c r="DT413" s="328"/>
      <c r="DU413" s="328"/>
      <c r="DV413" s="328"/>
      <c r="DW413" s="328"/>
      <c r="DX413" s="1237"/>
      <c r="DY413" s="483"/>
      <c r="DZ413" s="321"/>
      <c r="EA413" s="321"/>
      <c r="EB413" s="321"/>
      <c r="EC413" s="321">
        <v>4</v>
      </c>
      <c r="ED413" s="321">
        <v>3</v>
      </c>
      <c r="EE413" s="321">
        <v>1</v>
      </c>
      <c r="EF413" s="321">
        <v>2</v>
      </c>
      <c r="EG413" s="321">
        <v>1</v>
      </c>
      <c r="EH413" s="321">
        <v>3</v>
      </c>
      <c r="EI413" s="321">
        <v>4</v>
      </c>
      <c r="EJ413" s="321"/>
      <c r="EK413" s="321"/>
      <c r="EL413" s="321"/>
      <c r="EM413" s="321"/>
      <c r="EN413" s="564"/>
      <c r="EO413" s="483"/>
      <c r="EP413" s="321"/>
      <c r="EQ413" s="321"/>
      <c r="ER413" s="321"/>
      <c r="ES413" s="321">
        <v>4</v>
      </c>
      <c r="ET413" s="321">
        <v>3</v>
      </c>
      <c r="EU413" s="321">
        <v>1</v>
      </c>
      <c r="EV413" s="321">
        <v>2</v>
      </c>
      <c r="EW413" s="321">
        <v>1</v>
      </c>
      <c r="EX413" s="321">
        <v>4</v>
      </c>
      <c r="EY413" s="321"/>
      <c r="EZ413" s="321"/>
      <c r="FA413" s="321"/>
      <c r="FB413" s="321"/>
      <c r="FC413" s="321"/>
      <c r="FD413" s="564"/>
      <c r="FE413" s="483"/>
      <c r="FF413" s="321"/>
      <c r="FG413" s="321"/>
      <c r="FH413" s="321"/>
      <c r="FI413" s="321">
        <v>4</v>
      </c>
      <c r="FJ413" s="321">
        <v>3</v>
      </c>
      <c r="FK413" s="321">
        <v>4</v>
      </c>
      <c r="FL413" s="321">
        <v>4</v>
      </c>
      <c r="FM413" s="321">
        <v>4</v>
      </c>
      <c r="FN413" s="321">
        <v>3</v>
      </c>
      <c r="FO413" s="321">
        <v>4</v>
      </c>
      <c r="FP413" s="321"/>
      <c r="FQ413" s="321"/>
      <c r="FR413" s="321"/>
      <c r="FS413" s="321"/>
      <c r="FT413" s="564"/>
      <c r="FU413" s="483"/>
      <c r="FV413" s="321"/>
      <c r="FW413" s="321"/>
      <c r="FX413" s="321"/>
      <c r="FY413" s="321"/>
      <c r="FZ413" s="321">
        <v>5</v>
      </c>
      <c r="GA413" s="321">
        <v>5</v>
      </c>
      <c r="GB413" s="321">
        <v>4</v>
      </c>
      <c r="GC413" s="321">
        <v>5</v>
      </c>
      <c r="GD413" s="321"/>
      <c r="GE413" s="321"/>
      <c r="GF413" s="321"/>
      <c r="GG413" s="321"/>
      <c r="GH413" s="321"/>
      <c r="GI413" s="321"/>
      <c r="GJ413" s="564"/>
      <c r="GK413" s="1236"/>
      <c r="GL413" s="328"/>
      <c r="GM413" s="328"/>
      <c r="GN413" s="328"/>
      <c r="GO413" s="328"/>
      <c r="GP413" s="328"/>
      <c r="GQ413" s="328"/>
      <c r="GR413" s="328"/>
      <c r="GS413" s="328"/>
      <c r="GT413" s="328"/>
      <c r="GU413" s="328"/>
      <c r="GV413" s="328"/>
      <c r="GW413" s="328"/>
      <c r="GX413" s="328"/>
      <c r="GY413" s="328"/>
      <c r="GZ413" s="1237"/>
      <c r="HA413" s="291"/>
      <c r="HB413" s="199"/>
      <c r="HC413" s="201"/>
      <c r="HD413" s="201"/>
      <c r="HE413" s="201"/>
      <c r="HF413" s="201"/>
      <c r="HG413" s="201"/>
      <c r="HH413" s="201"/>
      <c r="HI413" s="201"/>
      <c r="HJ413" s="201"/>
      <c r="HK413" s="201"/>
      <c r="HL413" s="201"/>
      <c r="HM413" s="201"/>
      <c r="HN413" s="201"/>
      <c r="HO413" s="291"/>
      <c r="HP413" s="201"/>
      <c r="HQ413" s="483"/>
      <c r="HR413" s="321"/>
      <c r="HS413" s="321"/>
      <c r="HT413" s="321"/>
      <c r="HU413" s="321"/>
      <c r="HV413" s="321"/>
      <c r="HW413" s="321"/>
      <c r="HX413" s="321"/>
      <c r="HY413" s="321"/>
      <c r="HZ413" s="321"/>
      <c r="IA413" s="321"/>
      <c r="IB413" s="321"/>
      <c r="IC413" s="321"/>
      <c r="ID413" s="321"/>
      <c r="IE413" s="321"/>
      <c r="IF413" s="564"/>
      <c r="IG413" s="1236"/>
      <c r="IH413" s="328"/>
      <c r="II413" s="161"/>
      <c r="IJ413" s="297"/>
      <c r="IK413" s="293"/>
      <c r="IL413" s="161"/>
      <c r="IM413" s="297"/>
      <c r="IN413" s="293"/>
      <c r="IO413" s="161"/>
      <c r="IP413" s="297"/>
      <c r="IQ413" s="293"/>
      <c r="IR413" s="161"/>
      <c r="IS413" s="297"/>
      <c r="IT413" s="161"/>
      <c r="IU413" s="93"/>
      <c r="IV413" s="1237"/>
    </row>
    <row r="414" spans="1:256" s="326" customFormat="1" ht="8.25" customHeight="1">
      <c r="A414" s="1236"/>
      <c r="B414" s="328"/>
      <c r="C414" s="328"/>
      <c r="D414" s="328"/>
      <c r="E414" s="328"/>
      <c r="F414" s="328"/>
      <c r="G414" s="328"/>
      <c r="H414" s="328"/>
      <c r="I414" s="328"/>
      <c r="J414" s="328"/>
      <c r="K414" s="328"/>
      <c r="L414" s="328"/>
      <c r="M414" s="328"/>
      <c r="N414" s="328"/>
      <c r="O414" s="328"/>
      <c r="P414" s="1237"/>
      <c r="Q414" s="1236"/>
      <c r="R414" s="328"/>
      <c r="S414" s="328"/>
      <c r="T414" s="328"/>
      <c r="U414" s="328"/>
      <c r="V414" s="328">
        <v>9</v>
      </c>
      <c r="W414" s="462">
        <v>11</v>
      </c>
      <c r="X414" s="328">
        <v>8</v>
      </c>
      <c r="Y414" s="328"/>
      <c r="Z414" s="328"/>
      <c r="AA414" s="328"/>
      <c r="AB414" s="328"/>
      <c r="AC414" s="328"/>
      <c r="AD414" s="328"/>
      <c r="AE414" s="328"/>
      <c r="AF414" s="1237"/>
      <c r="AG414" s="1236"/>
      <c r="AH414" s="328"/>
      <c r="AI414" s="328"/>
      <c r="AJ414" s="328"/>
      <c r="AK414" s="328"/>
      <c r="AL414" s="328"/>
      <c r="AM414" s="328"/>
      <c r="AN414" s="328"/>
      <c r="AO414" s="328"/>
      <c r="AP414" s="328"/>
      <c r="AQ414" s="328"/>
      <c r="AR414" s="328"/>
      <c r="AS414" s="328"/>
      <c r="AT414" s="328"/>
      <c r="AU414" s="328"/>
      <c r="AV414" s="1237"/>
      <c r="AW414" s="699"/>
      <c r="AX414" s="93"/>
      <c r="AY414" s="299"/>
      <c r="AZ414" s="295"/>
      <c r="BA414" s="193"/>
      <c r="BB414" s="299"/>
      <c r="BC414" s="295"/>
      <c r="BD414" s="193"/>
      <c r="BE414" s="193"/>
      <c r="BF414" s="299"/>
      <c r="BG414" s="299"/>
      <c r="BH414" s="302"/>
      <c r="BI414" s="299"/>
      <c r="BJ414" s="193"/>
      <c r="BK414" s="290"/>
      <c r="BL414" s="294"/>
      <c r="BM414" s="1236"/>
      <c r="BN414" s="299"/>
      <c r="BO414" s="304">
        <v>10</v>
      </c>
      <c r="BP414" s="295"/>
      <c r="BQ414" s="205"/>
      <c r="BR414" s="299"/>
      <c r="BS414" s="304"/>
      <c r="BT414" s="295"/>
      <c r="BU414" s="205"/>
      <c r="BV414" s="205"/>
      <c r="BW414" s="205"/>
      <c r="BX414" s="299"/>
      <c r="BY414" s="304"/>
      <c r="BZ414" s="295"/>
      <c r="CA414" s="328"/>
      <c r="CB414" s="328"/>
      <c r="CC414" s="1236"/>
      <c r="CD414" s="328"/>
      <c r="CE414" s="299"/>
      <c r="CF414" s="304">
        <v>10</v>
      </c>
      <c r="CG414" s="295"/>
      <c r="CH414" s="205"/>
      <c r="CI414" s="205"/>
      <c r="CJ414" s="299"/>
      <c r="CK414" s="304"/>
      <c r="CL414" s="295"/>
      <c r="CM414" s="205"/>
      <c r="CN414" s="299"/>
      <c r="CO414" s="304"/>
      <c r="CP414" s="299"/>
      <c r="CQ414" s="295"/>
      <c r="CR414" s="328"/>
      <c r="CS414" s="483"/>
      <c r="CT414" s="328"/>
      <c r="CU414" s="328"/>
      <c r="CV414" s="295"/>
      <c r="CW414" s="205"/>
      <c r="CX414" s="205"/>
      <c r="CY414" s="205"/>
      <c r="CZ414" s="205"/>
      <c r="DA414" s="193"/>
      <c r="DB414" s="295"/>
      <c r="DC414" s="205"/>
      <c r="DD414" s="295"/>
      <c r="DE414" s="205"/>
      <c r="DF414" s="328"/>
      <c r="DG414" s="328"/>
      <c r="DH414" s="1237"/>
      <c r="DI414" s="483"/>
      <c r="DJ414" s="328"/>
      <c r="DK414" s="328"/>
      <c r="DL414" s="205"/>
      <c r="DM414" s="205"/>
      <c r="DN414" s="193"/>
      <c r="DO414" s="193"/>
      <c r="DP414" s="193"/>
      <c r="DQ414" s="193"/>
      <c r="DR414" s="193"/>
      <c r="DS414" s="205"/>
      <c r="DT414" s="205"/>
      <c r="DU414" s="205"/>
      <c r="DV414" s="328"/>
      <c r="DW414" s="328"/>
      <c r="DX414" s="328"/>
      <c r="DY414" s="483"/>
      <c r="DZ414" s="321"/>
      <c r="EA414" s="321"/>
      <c r="EB414" s="321"/>
      <c r="EC414" s="321"/>
      <c r="ED414" s="321">
        <v>4</v>
      </c>
      <c r="EE414" s="321">
        <v>2</v>
      </c>
      <c r="EF414" s="321">
        <v>2</v>
      </c>
      <c r="EG414" s="321">
        <v>2</v>
      </c>
      <c r="EH414" s="321">
        <v>4</v>
      </c>
      <c r="EI414" s="321"/>
      <c r="EJ414" s="321"/>
      <c r="EK414" s="321"/>
      <c r="EL414" s="321"/>
      <c r="EM414" s="321"/>
      <c r="EN414" s="564"/>
      <c r="EO414" s="483"/>
      <c r="EP414" s="321"/>
      <c r="EQ414" s="321"/>
      <c r="ER414" s="321"/>
      <c r="ES414" s="321"/>
      <c r="ET414" s="321">
        <v>4</v>
      </c>
      <c r="EU414" s="321">
        <v>1</v>
      </c>
      <c r="EV414" s="321">
        <v>2</v>
      </c>
      <c r="EW414" s="321">
        <v>1</v>
      </c>
      <c r="EX414" s="321">
        <v>4</v>
      </c>
      <c r="EY414" s="321"/>
      <c r="EZ414" s="321"/>
      <c r="FA414" s="321"/>
      <c r="FB414" s="321"/>
      <c r="FC414" s="321"/>
      <c r="FD414" s="564"/>
      <c r="FE414" s="483"/>
      <c r="FF414" s="321"/>
      <c r="FG414" s="321"/>
      <c r="FH414" s="321"/>
      <c r="FI414" s="321">
        <v>4</v>
      </c>
      <c r="FJ414" s="321">
        <v>3</v>
      </c>
      <c r="FK414" s="321">
        <v>4</v>
      </c>
      <c r="FL414" s="321"/>
      <c r="FM414" s="321">
        <v>4</v>
      </c>
      <c r="FN414" s="321">
        <v>3</v>
      </c>
      <c r="FO414" s="321">
        <v>4</v>
      </c>
      <c r="FP414" s="321"/>
      <c r="FQ414" s="321"/>
      <c r="FR414" s="321"/>
      <c r="FS414" s="321"/>
      <c r="FT414" s="564"/>
      <c r="FU414" s="483"/>
      <c r="FV414" s="321"/>
      <c r="FW414" s="321"/>
      <c r="FX414" s="321"/>
      <c r="FY414" s="321"/>
      <c r="FZ414" s="321">
        <v>5</v>
      </c>
      <c r="GA414" s="321">
        <v>5</v>
      </c>
      <c r="GB414" s="321"/>
      <c r="GC414" s="321">
        <v>4</v>
      </c>
      <c r="GD414" s="321">
        <v>5</v>
      </c>
      <c r="GE414" s="321"/>
      <c r="GF414" s="321"/>
      <c r="GG414" s="321"/>
      <c r="GH414" s="321"/>
      <c r="GI414" s="321"/>
      <c r="GJ414" s="564"/>
      <c r="GK414" s="1236"/>
      <c r="GL414" s="328"/>
      <c r="GM414" s="328"/>
      <c r="GN414" s="328"/>
      <c r="GO414" s="328"/>
      <c r="GP414" s="328"/>
      <c r="GQ414" s="328"/>
      <c r="GR414" s="328"/>
      <c r="GS414" s="328"/>
      <c r="GT414" s="328"/>
      <c r="GU414" s="328"/>
      <c r="GV414" s="328"/>
      <c r="GW414" s="328"/>
      <c r="GX414" s="328"/>
      <c r="GY414" s="328"/>
      <c r="GZ414" s="1237"/>
      <c r="HA414" s="291"/>
      <c r="HB414" s="201"/>
      <c r="HC414" s="291"/>
      <c r="HD414" s="291"/>
      <c r="HE414" s="291"/>
      <c r="HF414" s="291"/>
      <c r="HG414" s="291"/>
      <c r="HH414" s="291"/>
      <c r="HI414" s="291"/>
      <c r="HJ414" s="291"/>
      <c r="HK414" s="291"/>
      <c r="HL414" s="291"/>
      <c r="HM414" s="291"/>
      <c r="HN414" s="291"/>
      <c r="HO414" s="291"/>
      <c r="HP414" s="201"/>
      <c r="HQ414" s="483"/>
      <c r="HR414" s="321"/>
      <c r="HS414" s="321"/>
      <c r="HT414" s="321"/>
      <c r="HU414" s="321"/>
      <c r="HV414" s="321"/>
      <c r="HW414" s="321"/>
      <c r="HX414" s="321"/>
      <c r="HY414" s="321"/>
      <c r="HZ414" s="321"/>
      <c r="IA414" s="321"/>
      <c r="IB414" s="321"/>
      <c r="IC414" s="321"/>
      <c r="ID414" s="321"/>
      <c r="IE414" s="321"/>
      <c r="IF414" s="564"/>
      <c r="IG414" s="1236"/>
      <c r="IH414" s="328"/>
      <c r="II414" s="161"/>
      <c r="IJ414" s="297"/>
      <c r="IK414" s="293"/>
      <c r="IL414" s="161"/>
      <c r="IM414" s="301"/>
      <c r="IN414" s="293"/>
      <c r="IO414" s="161"/>
      <c r="IP414" s="301"/>
      <c r="IQ414" s="293"/>
      <c r="IR414" s="161"/>
      <c r="IS414" s="297"/>
      <c r="IT414" s="161"/>
      <c r="IU414" s="93"/>
      <c r="IV414" s="1237"/>
    </row>
    <row r="415" spans="1:256" s="326" customFormat="1" ht="8.25" customHeight="1">
      <c r="A415" s="1236"/>
      <c r="B415" s="328"/>
      <c r="C415" s="328"/>
      <c r="D415" s="328"/>
      <c r="E415" s="328"/>
      <c r="F415" s="328"/>
      <c r="G415" s="328"/>
      <c r="H415" s="328"/>
      <c r="I415" s="328"/>
      <c r="J415" s="328"/>
      <c r="K415" s="328"/>
      <c r="L415" s="328"/>
      <c r="M415" s="328"/>
      <c r="N415" s="328"/>
      <c r="O415" s="328"/>
      <c r="P415" s="1237"/>
      <c r="Q415" s="1236"/>
      <c r="R415" s="328"/>
      <c r="S415" s="328"/>
      <c r="T415" s="328"/>
      <c r="U415" s="328"/>
      <c r="V415" s="328">
        <v>8</v>
      </c>
      <c r="W415" s="462">
        <v>10</v>
      </c>
      <c r="X415" s="328">
        <v>8</v>
      </c>
      <c r="Y415" s="328"/>
      <c r="Z415" s="328"/>
      <c r="AA415" s="328"/>
      <c r="AB415" s="328"/>
      <c r="AC415" s="328"/>
      <c r="AD415" s="328"/>
      <c r="AE415" s="328"/>
      <c r="AF415" s="1237"/>
      <c r="AG415" s="1236"/>
      <c r="AH415" s="328"/>
      <c r="AI415" s="328"/>
      <c r="AJ415" s="328"/>
      <c r="AK415" s="328"/>
      <c r="AL415" s="328"/>
      <c r="AM415" s="328"/>
      <c r="AN415" s="328"/>
      <c r="AO415" s="328"/>
      <c r="AP415" s="328"/>
      <c r="AQ415" s="328"/>
      <c r="AR415" s="328"/>
      <c r="AS415" s="328"/>
      <c r="AT415" s="328"/>
      <c r="AU415" s="328"/>
      <c r="AV415" s="1237"/>
      <c r="AW415" s="699"/>
      <c r="AX415" s="302"/>
      <c r="AY415" s="295"/>
      <c r="AZ415" s="193"/>
      <c r="BA415" s="193"/>
      <c r="BB415" s="193"/>
      <c r="BC415" s="193"/>
      <c r="BD415" s="699"/>
      <c r="BE415" s="193"/>
      <c r="BF415" s="302"/>
      <c r="BG415" s="193"/>
      <c r="BH415" s="295"/>
      <c r="BI415" s="302"/>
      <c r="BJ415" s="299"/>
      <c r="BK415" s="193"/>
      <c r="BL415" s="290"/>
      <c r="BM415" s="1236"/>
      <c r="BN415" s="205"/>
      <c r="BO415" s="295"/>
      <c r="BP415" s="304"/>
      <c r="BQ415" s="299"/>
      <c r="BR415" s="295"/>
      <c r="BS415" s="304"/>
      <c r="BT415" s="299"/>
      <c r="BU415" s="295"/>
      <c r="BV415" s="160"/>
      <c r="BW415" s="299"/>
      <c r="BX415" s="304"/>
      <c r="BY415" s="304"/>
      <c r="BZ415" s="295"/>
      <c r="CA415" s="205"/>
      <c r="CB415" s="328"/>
      <c r="CC415" s="1236"/>
      <c r="CD415" s="205"/>
      <c r="CE415" s="299"/>
      <c r="CF415" s="304"/>
      <c r="CG415" s="299"/>
      <c r="CH415" s="205"/>
      <c r="CI415" s="299"/>
      <c r="CJ415" s="304"/>
      <c r="CK415" s="299"/>
      <c r="CL415" s="295"/>
      <c r="CM415" s="160"/>
      <c r="CN415" s="299"/>
      <c r="CO415" s="304"/>
      <c r="CP415" s="295"/>
      <c r="CQ415" s="205"/>
      <c r="CR415" s="328"/>
      <c r="CS415" s="483"/>
      <c r="CT415" s="205"/>
      <c r="CU415" s="205"/>
      <c r="CV415" s="160"/>
      <c r="CW415" s="304"/>
      <c r="CX415" s="295"/>
      <c r="CY415" s="193"/>
      <c r="CZ415" s="299"/>
      <c r="DA415" s="295"/>
      <c r="DB415" s="193"/>
      <c r="DC415" s="193"/>
      <c r="DD415" s="304"/>
      <c r="DE415" s="295"/>
      <c r="DF415" s="205"/>
      <c r="DG415" s="205"/>
      <c r="DH415" s="564"/>
      <c r="DI415" s="483"/>
      <c r="DJ415" s="205"/>
      <c r="DK415" s="160"/>
      <c r="DL415" s="295"/>
      <c r="DM415" s="299"/>
      <c r="DN415" s="299"/>
      <c r="DO415" s="299"/>
      <c r="DP415" s="299"/>
      <c r="DQ415" s="295"/>
      <c r="DR415" s="295"/>
      <c r="DS415" s="295"/>
      <c r="DT415" s="295"/>
      <c r="DU415" s="295"/>
      <c r="DV415" s="160"/>
      <c r="DW415" s="205"/>
      <c r="DX415" s="564"/>
      <c r="DY415" s="483"/>
      <c r="DZ415" s="321"/>
      <c r="EA415" s="321"/>
      <c r="EB415" s="321"/>
      <c r="EC415" s="321"/>
      <c r="ED415" s="321">
        <v>4</v>
      </c>
      <c r="EE415" s="321">
        <v>2</v>
      </c>
      <c r="EF415" s="321">
        <v>2</v>
      </c>
      <c r="EG415" s="321">
        <v>2</v>
      </c>
      <c r="EH415" s="321">
        <v>4</v>
      </c>
      <c r="EI415" s="321"/>
      <c r="EJ415" s="321"/>
      <c r="EK415" s="321"/>
      <c r="EL415" s="321"/>
      <c r="EM415" s="321"/>
      <c r="EN415" s="564"/>
      <c r="EO415" s="483"/>
      <c r="EP415" s="321"/>
      <c r="EQ415" s="321"/>
      <c r="ER415" s="321"/>
      <c r="ES415" s="321"/>
      <c r="ET415" s="321">
        <v>4</v>
      </c>
      <c r="EU415" s="321">
        <v>1</v>
      </c>
      <c r="EV415" s="321">
        <v>3</v>
      </c>
      <c r="EW415" s="321">
        <v>1</v>
      </c>
      <c r="EX415" s="321">
        <v>4</v>
      </c>
      <c r="EY415" s="321"/>
      <c r="EZ415" s="321"/>
      <c r="FA415" s="321"/>
      <c r="FB415" s="321"/>
      <c r="FC415" s="321"/>
      <c r="FD415" s="564"/>
      <c r="FE415" s="483"/>
      <c r="FF415" s="321"/>
      <c r="FG415" s="321"/>
      <c r="FH415" s="321"/>
      <c r="FI415" s="321">
        <v>4</v>
      </c>
      <c r="FJ415" s="321">
        <v>3</v>
      </c>
      <c r="FK415" s="321">
        <v>4</v>
      </c>
      <c r="FL415" s="321"/>
      <c r="FM415" s="321">
        <v>4</v>
      </c>
      <c r="FN415" s="321">
        <v>3</v>
      </c>
      <c r="FO415" s="321">
        <v>4</v>
      </c>
      <c r="FP415" s="321"/>
      <c r="FQ415" s="321"/>
      <c r="FR415" s="321"/>
      <c r="FS415" s="321"/>
      <c r="FT415" s="564"/>
      <c r="FU415" s="483"/>
      <c r="FV415" s="321"/>
      <c r="FW415" s="321"/>
      <c r="FX415" s="321"/>
      <c r="FY415" s="321"/>
      <c r="FZ415" s="321">
        <v>5</v>
      </c>
      <c r="GA415" s="321"/>
      <c r="GB415" s="321"/>
      <c r="GC415" s="321">
        <v>4</v>
      </c>
      <c r="GD415" s="321">
        <v>5</v>
      </c>
      <c r="GE415" s="321"/>
      <c r="GF415" s="321"/>
      <c r="GG415" s="321"/>
      <c r="GH415" s="321"/>
      <c r="GI415" s="321"/>
      <c r="GJ415" s="564"/>
      <c r="GK415" s="1236"/>
      <c r="GL415" s="328"/>
      <c r="GM415" s="328"/>
      <c r="GN415" s="328"/>
      <c r="GO415" s="328"/>
      <c r="GP415" s="328"/>
      <c r="GQ415" s="328"/>
      <c r="GR415" s="328"/>
      <c r="GS415" s="328"/>
      <c r="GT415" s="328"/>
      <c r="GU415" s="328"/>
      <c r="GV415" s="328"/>
      <c r="GW415" s="328"/>
      <c r="GX415" s="328"/>
      <c r="GY415" s="328"/>
      <c r="GZ415" s="1237"/>
      <c r="HA415" s="291"/>
      <c r="HB415" s="201"/>
      <c r="HC415" s="201"/>
      <c r="HD415" s="201"/>
      <c r="HE415" s="201"/>
      <c r="HF415" s="201"/>
      <c r="HG415" s="201"/>
      <c r="HH415" s="201"/>
      <c r="HI415" s="201"/>
      <c r="HJ415" s="201"/>
      <c r="HK415" s="201"/>
      <c r="HL415" s="201"/>
      <c r="HM415" s="201"/>
      <c r="HN415" s="201"/>
      <c r="HO415" s="201"/>
      <c r="HP415" s="291"/>
      <c r="HQ415" s="483"/>
      <c r="HR415" s="321"/>
      <c r="HS415" s="321"/>
      <c r="HT415" s="321"/>
      <c r="HU415" s="321"/>
      <c r="HV415" s="321"/>
      <c r="HW415" s="321"/>
      <c r="HX415" s="321"/>
      <c r="HY415" s="321"/>
      <c r="HZ415" s="321"/>
      <c r="IA415" s="321"/>
      <c r="IB415" s="321"/>
      <c r="IC415" s="321"/>
      <c r="ID415" s="321"/>
      <c r="IE415" s="321"/>
      <c r="IF415" s="564"/>
      <c r="IG415" s="1236"/>
      <c r="IH415" s="328"/>
      <c r="II415" s="161"/>
      <c r="IJ415" s="297"/>
      <c r="IK415" s="293"/>
      <c r="IL415" s="161"/>
      <c r="IM415" s="297"/>
      <c r="IN415" s="293"/>
      <c r="IO415" s="161"/>
      <c r="IP415" s="297"/>
      <c r="IQ415" s="293"/>
      <c r="IR415" s="161"/>
      <c r="IS415" s="297"/>
      <c r="IT415" s="161"/>
      <c r="IU415" s="93"/>
      <c r="IV415" s="1237"/>
    </row>
    <row r="416" spans="1:256" s="326" customFormat="1" ht="8.25" customHeight="1">
      <c r="A416" s="1238"/>
      <c r="B416" s="479"/>
      <c r="C416" s="479"/>
      <c r="D416" s="479"/>
      <c r="E416" s="479"/>
      <c r="F416" s="479"/>
      <c r="G416" s="479"/>
      <c r="H416" s="479"/>
      <c r="I416" s="479"/>
      <c r="J416" s="479"/>
      <c r="K416" s="479"/>
      <c r="L416" s="479"/>
      <c r="M416" s="479"/>
      <c r="N416" s="479"/>
      <c r="O416" s="479"/>
      <c r="P416" s="1240"/>
      <c r="Q416" s="1238"/>
      <c r="R416" s="479"/>
      <c r="S416" s="479"/>
      <c r="T416" s="479"/>
      <c r="U416" s="479"/>
      <c r="V416" s="479"/>
      <c r="W416" s="479">
        <v>7</v>
      </c>
      <c r="X416" s="462">
        <v>9</v>
      </c>
      <c r="Y416" s="479"/>
      <c r="Z416" s="479"/>
      <c r="AA416" s="479"/>
      <c r="AB416" s="479"/>
      <c r="AC416" s="479"/>
      <c r="AD416" s="479"/>
      <c r="AE416" s="479"/>
      <c r="AF416" s="1240"/>
      <c r="AG416" s="1236"/>
      <c r="AH416" s="328"/>
      <c r="AI416" s="328"/>
      <c r="AJ416" s="328"/>
      <c r="AK416" s="328"/>
      <c r="AL416" s="328"/>
      <c r="AM416" s="328"/>
      <c r="AN416" s="328"/>
      <c r="AO416" s="328"/>
      <c r="AP416" s="328"/>
      <c r="AQ416" s="328"/>
      <c r="AR416" s="328"/>
      <c r="AS416" s="328"/>
      <c r="AT416" s="328"/>
      <c r="AU416" s="328"/>
      <c r="AV416" s="1237"/>
      <c r="AW416" s="299"/>
      <c r="AX416" s="295"/>
      <c r="AY416" s="193"/>
      <c r="AZ416" s="193"/>
      <c r="BA416" s="699"/>
      <c r="BB416" s="193"/>
      <c r="BC416" s="699"/>
      <c r="BD416" s="193"/>
      <c r="BE416" s="302"/>
      <c r="BF416" s="299"/>
      <c r="BG416" s="193"/>
      <c r="BH416" s="193"/>
      <c r="BI416" s="299"/>
      <c r="BJ416" s="302"/>
      <c r="BK416" s="299"/>
      <c r="BL416" s="193"/>
      <c r="BM416" s="1238"/>
      <c r="BN416" s="479"/>
      <c r="BO416" s="205"/>
      <c r="BP416" s="205"/>
      <c r="BQ416" s="205"/>
      <c r="BR416" s="205"/>
      <c r="BS416" s="205"/>
      <c r="BT416" s="205"/>
      <c r="BU416" s="205"/>
      <c r="BV416" s="205"/>
      <c r="BW416" s="205"/>
      <c r="BX416" s="205"/>
      <c r="BY416" s="205"/>
      <c r="BZ416" s="205"/>
      <c r="CA416" s="479"/>
      <c r="CB416" s="1240"/>
      <c r="CC416" s="1238"/>
      <c r="CD416" s="479"/>
      <c r="CE416" s="205"/>
      <c r="CF416" s="205"/>
      <c r="CG416" s="205"/>
      <c r="CH416" s="205"/>
      <c r="CI416" s="205"/>
      <c r="CJ416" s="205"/>
      <c r="CK416" s="205"/>
      <c r="CL416" s="205"/>
      <c r="CM416" s="205"/>
      <c r="CN416" s="205"/>
      <c r="CO416" s="205"/>
      <c r="CP416" s="205"/>
      <c r="CQ416" s="479"/>
      <c r="CR416" s="1240"/>
      <c r="CS416" s="1308"/>
      <c r="CT416" s="328"/>
      <c r="CU416" s="205"/>
      <c r="CV416" s="205"/>
      <c r="CW416" s="205"/>
      <c r="CX416" s="205"/>
      <c r="CY416" s="205"/>
      <c r="CZ416" s="205"/>
      <c r="DA416" s="205"/>
      <c r="DB416" s="205"/>
      <c r="DC416" s="205"/>
      <c r="DD416" s="205"/>
      <c r="DE416" s="205"/>
      <c r="DF416" s="205"/>
      <c r="DG416" s="328"/>
      <c r="DH416" s="1310"/>
      <c r="DI416" s="1312"/>
      <c r="DJ416" s="479"/>
      <c r="DK416" s="205"/>
      <c r="DL416" s="205"/>
      <c r="DM416" s="205"/>
      <c r="DN416" s="205"/>
      <c r="DO416" s="205"/>
      <c r="DP416" s="205"/>
      <c r="DQ416" s="205"/>
      <c r="DR416" s="205"/>
      <c r="DS416" s="205"/>
      <c r="DT416" s="205"/>
      <c r="DU416" s="205"/>
      <c r="DV416" s="205"/>
      <c r="DW416" s="479"/>
      <c r="DX416" s="1314"/>
      <c r="DY416" s="569"/>
      <c r="DZ416" s="569"/>
      <c r="EA416" s="569"/>
      <c r="EB416" s="569"/>
      <c r="EC416" s="569">
        <v>4</v>
      </c>
      <c r="ED416" s="569">
        <v>1</v>
      </c>
      <c r="EE416" s="569">
        <v>1</v>
      </c>
      <c r="EF416" s="569">
        <v>3</v>
      </c>
      <c r="EG416" s="569">
        <v>1</v>
      </c>
      <c r="EH416" s="569">
        <v>1</v>
      </c>
      <c r="EI416" s="569">
        <v>3</v>
      </c>
      <c r="EJ416" s="569"/>
      <c r="EK416" s="569"/>
      <c r="EL416" s="569"/>
      <c r="EM416" s="569"/>
      <c r="EN416" s="570"/>
      <c r="EO416" s="569"/>
      <c r="EP416" s="569"/>
      <c r="EQ416" s="569"/>
      <c r="ER416" s="569"/>
      <c r="ES416" s="569">
        <v>4</v>
      </c>
      <c r="ET416" s="569">
        <v>1</v>
      </c>
      <c r="EU416" s="569">
        <v>2</v>
      </c>
      <c r="EV416" s="321"/>
      <c r="EW416" s="569">
        <v>2</v>
      </c>
      <c r="EX416" s="569">
        <v>1</v>
      </c>
      <c r="EY416" s="569">
        <v>3</v>
      </c>
      <c r="EZ416" s="569"/>
      <c r="FA416" s="569"/>
      <c r="FB416" s="569"/>
      <c r="FC416" s="569"/>
      <c r="FD416" s="570"/>
      <c r="FE416" s="569"/>
      <c r="FF416" s="569"/>
      <c r="FG416" s="569"/>
      <c r="FH416" s="569">
        <v>4</v>
      </c>
      <c r="FI416" s="569">
        <v>3</v>
      </c>
      <c r="FJ416" s="569">
        <v>3</v>
      </c>
      <c r="FK416" s="569">
        <v>4</v>
      </c>
      <c r="FL416" s="321"/>
      <c r="FM416" s="569">
        <v>4</v>
      </c>
      <c r="FN416" s="569">
        <v>3</v>
      </c>
      <c r="FO416" s="569">
        <v>3</v>
      </c>
      <c r="FP416" s="569">
        <v>3</v>
      </c>
      <c r="FQ416" s="569"/>
      <c r="FR416" s="569"/>
      <c r="FS416" s="569"/>
      <c r="FT416" s="570"/>
      <c r="FU416" s="321"/>
      <c r="FV416" s="321"/>
      <c r="FW416" s="321"/>
      <c r="FX416" s="321"/>
      <c r="FY416" s="321">
        <v>5</v>
      </c>
      <c r="FZ416" s="321">
        <v>3</v>
      </c>
      <c r="GA416" s="321">
        <v>3</v>
      </c>
      <c r="GB416" s="321"/>
      <c r="GC416" s="321">
        <v>5</v>
      </c>
      <c r="GD416" s="321"/>
      <c r="GE416" s="321">
        <v>5</v>
      </c>
      <c r="GF416" s="321"/>
      <c r="GG416" s="321"/>
      <c r="GH416" s="321"/>
      <c r="GI416" s="321"/>
      <c r="GJ416" s="564"/>
      <c r="GK416" s="1238"/>
      <c r="GL416" s="479"/>
      <c r="GM416" s="479"/>
      <c r="GN416" s="479"/>
      <c r="GO416" s="479"/>
      <c r="GP416" s="479"/>
      <c r="GQ416" s="479"/>
      <c r="GR416" s="479"/>
      <c r="GS416" s="479"/>
      <c r="GT416" s="479"/>
      <c r="GU416" s="479"/>
      <c r="GV416" s="479"/>
      <c r="GW416" s="479"/>
      <c r="GX416" s="479"/>
      <c r="GY416" s="479"/>
      <c r="GZ416" s="1240"/>
      <c r="HA416" s="291"/>
      <c r="HB416" s="291"/>
      <c r="HC416" s="291"/>
      <c r="HD416" s="291"/>
      <c r="HE416" s="291"/>
      <c r="HF416" s="291"/>
      <c r="HG416" s="291"/>
      <c r="HH416" s="291"/>
      <c r="HI416" s="291"/>
      <c r="HJ416" s="291"/>
      <c r="HK416" s="291"/>
      <c r="HL416" s="291"/>
      <c r="HM416" s="291"/>
      <c r="HN416" s="291"/>
      <c r="HO416" s="291"/>
      <c r="HP416" s="291"/>
      <c r="HQ416" s="651"/>
      <c r="HR416" s="569"/>
      <c r="HS416" s="569"/>
      <c r="HT416" s="569"/>
      <c r="HU416" s="569"/>
      <c r="HV416" s="569"/>
      <c r="HW416" s="569"/>
      <c r="HX416" s="569"/>
      <c r="HY416" s="569"/>
      <c r="HZ416" s="569"/>
      <c r="IA416" s="569"/>
      <c r="IB416" s="569"/>
      <c r="IC416" s="569"/>
      <c r="ID416" s="569"/>
      <c r="IE416" s="569"/>
      <c r="IF416" s="570"/>
      <c r="IG416" s="1238"/>
      <c r="IH416" s="479"/>
      <c r="II416" s="161"/>
      <c r="IJ416" s="161"/>
      <c r="IK416" s="293"/>
      <c r="IL416" s="161"/>
      <c r="IM416" s="293"/>
      <c r="IN416" s="293"/>
      <c r="IO416" s="161"/>
      <c r="IP416" s="293"/>
      <c r="IQ416" s="293"/>
      <c r="IR416" s="161"/>
      <c r="IS416" s="161"/>
      <c r="IT416" s="161"/>
      <c r="IU416" s="73"/>
      <c r="IV416" s="1240"/>
    </row>
    <row r="417" spans="1:243" s="326" customFormat="1" ht="8.25" customHeight="1">
      <c r="A417" s="679">
        <v>209</v>
      </c>
      <c r="B417" s="484"/>
      <c r="C417" s="484"/>
      <c r="D417" s="484"/>
      <c r="E417" s="484"/>
      <c r="F417" s="484"/>
      <c r="G417" s="484"/>
      <c r="H417" s="484"/>
      <c r="I417" s="484"/>
      <c r="J417" s="484"/>
      <c r="K417" s="484"/>
      <c r="L417" s="484"/>
      <c r="M417" s="484"/>
      <c r="N417" s="484"/>
      <c r="O417" s="484"/>
      <c r="P417" s="696"/>
      <c r="Q417" s="679">
        <v>210</v>
      </c>
      <c r="R417" s="484"/>
      <c r="S417" s="484"/>
      <c r="T417" s="484"/>
      <c r="U417" s="484"/>
      <c r="V417" s="484"/>
      <c r="W417" s="484"/>
      <c r="X417" s="484"/>
      <c r="Y417" s="484"/>
      <c r="Z417" s="484"/>
      <c r="AA417" s="484"/>
      <c r="AB417" s="484"/>
      <c r="AC417" s="484"/>
      <c r="AD417" s="484"/>
      <c r="AE417" s="484"/>
      <c r="AF417" s="484"/>
      <c r="AG417" s="1233">
        <v>211</v>
      </c>
      <c r="AH417" s="1234"/>
      <c r="AI417" s="1234"/>
      <c r="AJ417" s="1234"/>
      <c r="AK417" s="1234"/>
      <c r="AL417" s="1234"/>
      <c r="AM417" s="1234"/>
      <c r="AN417" s="1234"/>
      <c r="AO417" s="1234"/>
      <c r="AP417" s="1234"/>
      <c r="AQ417" s="1234"/>
      <c r="AR417" s="1234"/>
      <c r="AS417" s="1234"/>
      <c r="AT417" s="1234"/>
      <c r="AU417" s="1234"/>
      <c r="AV417" s="1235"/>
      <c r="AW417" s="679">
        <v>212</v>
      </c>
      <c r="AX417" s="484"/>
      <c r="AY417" s="484"/>
      <c r="AZ417" s="484"/>
      <c r="BA417" s="484"/>
      <c r="BB417" s="484"/>
      <c r="BC417" s="484"/>
      <c r="BD417" s="484"/>
      <c r="BE417" s="484"/>
      <c r="BF417" s="484"/>
      <c r="BG417" s="484"/>
      <c r="BH417" s="484"/>
      <c r="BI417" s="484"/>
      <c r="BJ417" s="484"/>
      <c r="BK417" s="484"/>
      <c r="BL417" s="696"/>
      <c r="BM417" s="193">
        <v>213</v>
      </c>
      <c r="BN417" s="201"/>
      <c r="BO417" s="193"/>
      <c r="BP417" s="201"/>
      <c r="BQ417" s="295"/>
      <c r="BR417" s="193"/>
      <c r="BS417" s="295"/>
      <c r="BT417" s="201"/>
      <c r="BU417" s="297"/>
      <c r="BV417" s="207"/>
      <c r="BW417" s="298"/>
      <c r="BX417" s="297"/>
      <c r="BY417" s="295"/>
      <c r="BZ417" s="297"/>
      <c r="CA417" s="199"/>
      <c r="CB417" s="201"/>
      <c r="CC417" s="1233">
        <v>214</v>
      </c>
      <c r="CD417" s="1234"/>
      <c r="CE417" s="1234"/>
      <c r="CF417" s="1234"/>
      <c r="CG417" s="1234"/>
      <c r="CH417" s="1234"/>
      <c r="CI417" s="1234"/>
      <c r="CJ417" s="1234"/>
      <c r="CK417" s="1234"/>
      <c r="CL417" s="1234"/>
      <c r="CM417" s="1234"/>
      <c r="CN417" s="1234"/>
      <c r="CO417" s="1234"/>
      <c r="CP417" s="1234"/>
      <c r="CQ417" s="1234"/>
      <c r="CR417" s="1234"/>
      <c r="CS417" s="679">
        <v>215</v>
      </c>
      <c r="CT417" s="1244"/>
      <c r="CU417" s="1234"/>
      <c r="CV417" s="1234"/>
      <c r="CW417" s="1234"/>
      <c r="CX417" s="1234"/>
      <c r="CY417" s="1234"/>
      <c r="CZ417" s="1234"/>
      <c r="DA417" s="1234"/>
      <c r="DB417" s="1234"/>
      <c r="DC417" s="1234"/>
      <c r="DD417" s="1234"/>
      <c r="DE417" s="1234"/>
      <c r="DF417" s="1234"/>
      <c r="DG417" s="1234"/>
      <c r="DH417" s="1235"/>
      <c r="DI417" s="316">
        <v>216</v>
      </c>
      <c r="DJ417" s="161"/>
      <c r="DK417" s="161"/>
      <c r="DL417" s="316"/>
      <c r="DM417" s="161"/>
      <c r="DN417" s="161"/>
      <c r="DO417" s="161"/>
      <c r="DP417" s="316"/>
      <c r="DQ417" s="161"/>
      <c r="DR417" s="161"/>
      <c r="DS417" s="161"/>
      <c r="DT417" s="316"/>
      <c r="DU417" s="292"/>
      <c r="DV417" s="292"/>
      <c r="DW417" s="292"/>
      <c r="DX417" s="316"/>
      <c r="DY417" s="1233">
        <v>217</v>
      </c>
      <c r="DZ417" s="1234"/>
      <c r="EA417" s="1234"/>
      <c r="EB417" s="1234"/>
      <c r="EC417" s="1234"/>
      <c r="ED417" s="1234"/>
      <c r="EE417" s="1234"/>
      <c r="EF417" s="1234"/>
      <c r="EG417" s="1234"/>
      <c r="EH417" s="1234"/>
      <c r="EI417" s="1234"/>
      <c r="EJ417" s="1234"/>
      <c r="EK417" s="1234"/>
      <c r="EL417" s="1234"/>
      <c r="EM417" s="1234"/>
      <c r="EN417" s="1235"/>
      <c r="EO417" s="1233">
        <v>218</v>
      </c>
      <c r="EP417" s="1234"/>
      <c r="EQ417" s="1234"/>
      <c r="ER417" s="1234"/>
      <c r="ES417" s="1234"/>
      <c r="ET417" s="1234"/>
      <c r="EU417" s="1234"/>
      <c r="EV417" s="1234"/>
      <c r="EW417" s="1234"/>
      <c r="EX417" s="1234"/>
      <c r="EY417" s="1234"/>
      <c r="EZ417" s="1234"/>
      <c r="FA417" s="1234"/>
      <c r="FB417" s="1234"/>
      <c r="FC417" s="1234"/>
      <c r="FD417" s="1235"/>
      <c r="FE417" s="1236">
        <v>219</v>
      </c>
      <c r="FF417" s="158"/>
      <c r="FG417" s="412"/>
      <c r="FH417" s="162"/>
      <c r="FI417" s="158"/>
      <c r="FJ417" s="189"/>
      <c r="FK417" s="328"/>
      <c r="FL417" s="158"/>
      <c r="FM417" s="412"/>
      <c r="FN417" s="189"/>
      <c r="FO417" s="158"/>
      <c r="FP417" s="412"/>
      <c r="FQ417" s="162"/>
      <c r="FR417" s="158"/>
      <c r="FS417" s="412"/>
      <c r="FT417" s="1237"/>
      <c r="FU417" s="753">
        <v>220</v>
      </c>
      <c r="FV417" s="201"/>
      <c r="FW417" s="291"/>
      <c r="FX417" s="711"/>
      <c r="FY417" s="711"/>
      <c r="FZ417" s="711"/>
      <c r="GA417" s="711"/>
      <c r="GB417" s="711"/>
      <c r="GC417" s="711"/>
      <c r="GD417" s="711"/>
      <c r="GE417" s="711"/>
      <c r="GF417" s="711"/>
      <c r="GG417" s="711"/>
      <c r="GH417" s="201"/>
      <c r="GI417" s="291"/>
      <c r="GJ417" s="530"/>
      <c r="GK417" s="298">
        <v>221</v>
      </c>
      <c r="GL417" s="207"/>
      <c r="GM417" s="207"/>
      <c r="GN417" s="204"/>
      <c r="GO417" s="207"/>
      <c r="GP417" s="207"/>
      <c r="GQ417" s="298"/>
      <c r="GR417" s="207"/>
      <c r="GS417" s="207"/>
      <c r="GT417" s="204"/>
      <c r="GU417" s="207"/>
      <c r="GV417" s="207"/>
      <c r="GW417" s="207"/>
      <c r="GX417" s="204"/>
      <c r="GY417" s="207"/>
      <c r="GZ417" s="298"/>
      <c r="HA417" s="1233">
        <v>222</v>
      </c>
      <c r="HB417" s="1234"/>
      <c r="HC417" s="1234"/>
      <c r="HD417" s="1234"/>
      <c r="HE417" s="1234"/>
      <c r="HF417" s="293"/>
      <c r="HG417" s="301"/>
      <c r="HH417" s="293"/>
      <c r="HI417" s="290"/>
      <c r="HJ417" s="293"/>
      <c r="HK417" s="1234"/>
      <c r="HL417" s="1234"/>
      <c r="HM417" s="1234"/>
      <c r="HN417" s="1234"/>
      <c r="HO417" s="1234"/>
      <c r="HP417" s="1235"/>
      <c r="HQ417" s="483">
        <v>223</v>
      </c>
      <c r="HR417" s="484"/>
      <c r="HS417" s="484"/>
      <c r="HT417" s="484"/>
      <c r="HU417" s="484"/>
      <c r="HV417" s="484"/>
      <c r="HW417" s="484"/>
      <c r="HX417" s="484"/>
      <c r="HY417" s="484"/>
      <c r="HZ417" s="484"/>
      <c r="IA417" s="484"/>
      <c r="IB417" s="484"/>
      <c r="IC417" s="484"/>
      <c r="ID417" s="484"/>
      <c r="IE417" s="484"/>
      <c r="IF417" s="696"/>
      <c r="IH417" s="326">
        <v>1</v>
      </c>
      <c r="II417" s="695" t="s">
        <v>745</v>
      </c>
    </row>
    <row r="418" spans="1:243" s="326" customFormat="1" ht="8.25" customHeight="1">
      <c r="A418" s="483"/>
      <c r="B418" s="321"/>
      <c r="C418" s="321"/>
      <c r="D418" s="321"/>
      <c r="E418" s="321"/>
      <c r="F418" s="321"/>
      <c r="G418" s="321"/>
      <c r="H418" s="321"/>
      <c r="I418" s="321"/>
      <c r="J418" s="321"/>
      <c r="K418" s="321"/>
      <c r="L418" s="321"/>
      <c r="M418" s="321"/>
      <c r="N418" s="321"/>
      <c r="O418" s="321"/>
      <c r="P418" s="564"/>
      <c r="Q418" s="483">
        <v>60</v>
      </c>
      <c r="R418" s="321"/>
      <c r="S418" s="321"/>
      <c r="T418" s="321"/>
      <c r="U418" s="321"/>
      <c r="V418" s="321"/>
      <c r="W418" s="321"/>
      <c r="X418" s="321"/>
      <c r="Y418" s="321"/>
      <c r="Z418" s="321"/>
      <c r="AA418" s="321"/>
      <c r="AB418" s="321"/>
      <c r="AC418" s="321"/>
      <c r="AD418" s="321"/>
      <c r="AE418" s="321"/>
      <c r="AF418" s="321"/>
      <c r="AG418" s="483">
        <v>80</v>
      </c>
      <c r="AH418" s="328"/>
      <c r="AI418" s="328"/>
      <c r="AJ418" s="328"/>
      <c r="AK418" s="328"/>
      <c r="AL418" s="328"/>
      <c r="AM418" s="328"/>
      <c r="AN418" s="328"/>
      <c r="AO418" s="328"/>
      <c r="AP418" s="328"/>
      <c r="AQ418" s="328"/>
      <c r="AR418" s="328"/>
      <c r="AS418" s="328"/>
      <c r="AT418" s="328"/>
      <c r="AU418" s="328"/>
      <c r="AV418" s="1237"/>
      <c r="AW418" s="483">
        <v>50</v>
      </c>
      <c r="AX418" s="321"/>
      <c r="AY418" s="321"/>
      <c r="AZ418" s="321"/>
      <c r="BA418" s="321"/>
      <c r="BB418" s="321"/>
      <c r="BC418" s="321"/>
      <c r="BD418" s="321"/>
      <c r="BE418" s="321"/>
      <c r="BF418" s="321"/>
      <c r="BG418" s="321"/>
      <c r="BH418" s="321"/>
      <c r="BI418" s="321"/>
      <c r="BJ418" s="321"/>
      <c r="BK418" s="321"/>
      <c r="BL418" s="564"/>
      <c r="BM418" s="193">
        <v>80</v>
      </c>
      <c r="BN418" s="201"/>
      <c r="BO418" s="295"/>
      <c r="BP418" s="297"/>
      <c r="BQ418" s="306"/>
      <c r="BR418" s="300"/>
      <c r="BS418" s="306"/>
      <c r="BT418" s="297"/>
      <c r="BU418" s="193"/>
      <c r="BV418" s="295"/>
      <c r="BW418" s="201"/>
      <c r="BX418" s="201"/>
      <c r="BY418" s="193"/>
      <c r="BZ418" s="205"/>
      <c r="CA418" s="193"/>
      <c r="CB418" s="193"/>
      <c r="CC418" s="1236">
        <v>60</v>
      </c>
      <c r="CD418" s="328"/>
      <c r="CE418" s="328"/>
      <c r="CF418" s="328"/>
      <c r="CG418" s="328"/>
      <c r="CH418" s="328"/>
      <c r="CI418" s="328"/>
      <c r="CJ418" s="328"/>
      <c r="CK418" s="328"/>
      <c r="CL418" s="328"/>
      <c r="CM418" s="328"/>
      <c r="CN418" s="328"/>
      <c r="CO418" s="328"/>
      <c r="CP418" s="328"/>
      <c r="CQ418" s="328"/>
      <c r="CR418" s="328"/>
      <c r="CS418" s="483"/>
      <c r="CT418" s="1373"/>
      <c r="CU418" s="328"/>
      <c r="CV418" s="328"/>
      <c r="CW418" s="328"/>
      <c r="CX418" s="328"/>
      <c r="CY418" s="328"/>
      <c r="CZ418" s="328"/>
      <c r="DA418" s="328"/>
      <c r="DB418" s="328"/>
      <c r="DC418" s="328"/>
      <c r="DD418" s="328"/>
      <c r="DE418" s="328"/>
      <c r="DF418" s="328"/>
      <c r="DG418" s="328"/>
      <c r="DH418" s="1237"/>
      <c r="DI418" s="293"/>
      <c r="DJ418" s="161"/>
      <c r="DK418" s="293"/>
      <c r="DL418" s="161"/>
      <c r="DM418" s="293"/>
      <c r="DN418" s="161"/>
      <c r="DO418" s="293"/>
      <c r="DP418" s="161"/>
      <c r="DQ418" s="293"/>
      <c r="DR418" s="161"/>
      <c r="DS418" s="293"/>
      <c r="DT418" s="161"/>
      <c r="DU418" s="293"/>
      <c r="DV418" s="161"/>
      <c r="DW418" s="293"/>
      <c r="DX418" s="292"/>
      <c r="DY418" s="483">
        <v>100</v>
      </c>
      <c r="DZ418" s="328"/>
      <c r="EA418" s="328"/>
      <c r="EB418" s="328"/>
      <c r="EC418" s="328"/>
      <c r="ED418" s="328"/>
      <c r="EE418" s="328"/>
      <c r="EF418" s="328"/>
      <c r="EG418" s="328"/>
      <c r="EH418" s="328"/>
      <c r="EI418" s="328"/>
      <c r="EJ418" s="328"/>
      <c r="EK418" s="328"/>
      <c r="EL418" s="328"/>
      <c r="EM418" s="328"/>
      <c r="EN418" s="1237"/>
      <c r="EO418" s="483">
        <v>150</v>
      </c>
      <c r="EP418" s="328"/>
      <c r="EQ418" s="328"/>
      <c r="ER418" s="328"/>
      <c r="ES418" s="328"/>
      <c r="ET418" s="328"/>
      <c r="EU418" s="328"/>
      <c r="EV418" s="328"/>
      <c r="EW418" s="328"/>
      <c r="EX418" s="328"/>
      <c r="EY418" s="328"/>
      <c r="EZ418" s="328"/>
      <c r="FA418" s="328"/>
      <c r="FB418" s="328"/>
      <c r="FC418" s="328"/>
      <c r="FD418" s="1237"/>
      <c r="FE418" s="162">
        <v>80</v>
      </c>
      <c r="FF418" s="328"/>
      <c r="FG418" s="328"/>
      <c r="FH418" s="162"/>
      <c r="FI418" s="328"/>
      <c r="FJ418" s="412"/>
      <c r="FK418" s="162"/>
      <c r="FL418" s="189"/>
      <c r="FM418" s="412"/>
      <c r="FN418" s="162"/>
      <c r="FO418" s="328"/>
      <c r="FP418" s="328"/>
      <c r="FQ418" s="162"/>
      <c r="FR418" s="328"/>
      <c r="FS418" s="328"/>
      <c r="FT418" s="1237"/>
      <c r="FU418" s="699"/>
      <c r="FV418" s="201"/>
      <c r="FW418" s="291"/>
      <c r="FX418" s="93"/>
      <c r="FY418" s="93"/>
      <c r="FZ418" s="93"/>
      <c r="GA418" s="93"/>
      <c r="GB418" s="93"/>
      <c r="GC418" s="93"/>
      <c r="GD418" s="93"/>
      <c r="GE418" s="93"/>
      <c r="GF418" s="93"/>
      <c r="GG418" s="93"/>
      <c r="GH418" s="201"/>
      <c r="GI418" s="291"/>
      <c r="GJ418" s="79"/>
      <c r="GK418" s="207"/>
      <c r="GL418" s="204"/>
      <c r="GM418" s="204"/>
      <c r="GN418" s="207"/>
      <c r="GO418" s="204"/>
      <c r="GP418" s="207"/>
      <c r="GQ418" s="207"/>
      <c r="GR418" s="207"/>
      <c r="GS418" s="204"/>
      <c r="GT418" s="204"/>
      <c r="GU418" s="204"/>
      <c r="GV418" s="207"/>
      <c r="GW418" s="204"/>
      <c r="GX418" s="204"/>
      <c r="GY418" s="204"/>
      <c r="GZ418" s="298"/>
      <c r="HA418" s="483"/>
      <c r="HB418" s="328"/>
      <c r="HC418" s="328"/>
      <c r="HD418" s="328"/>
      <c r="HE418" s="328"/>
      <c r="HF418" s="328"/>
      <c r="HG418" s="328"/>
      <c r="HH418" s="293"/>
      <c r="HI418" s="328"/>
      <c r="HJ418" s="328"/>
      <c r="HK418" s="328"/>
      <c r="HL418" s="328"/>
      <c r="HM418" s="328"/>
      <c r="HN418" s="328"/>
      <c r="HO418" s="328"/>
      <c r="HP418" s="564"/>
      <c r="HQ418" s="483">
        <v>140</v>
      </c>
      <c r="HR418"/>
      <c r="HS418"/>
      <c r="HT418"/>
      <c r="HU418"/>
      <c r="HV418"/>
      <c r="HW418"/>
      <c r="HX418"/>
      <c r="HY418"/>
      <c r="HZ418"/>
      <c r="IA418"/>
      <c r="IB418"/>
      <c r="IC418"/>
      <c r="ID418"/>
      <c r="IE418"/>
      <c r="IF418" s="564"/>
      <c r="IH418" s="326">
        <v>2</v>
      </c>
      <c r="II418" s="695" t="s">
        <v>746</v>
      </c>
    </row>
    <row r="419" spans="1:243" s="326" customFormat="1" ht="8.25" customHeight="1">
      <c r="A419" s="483"/>
      <c r="B419" s="321"/>
      <c r="C419" s="321"/>
      <c r="D419" s="321"/>
      <c r="E419" s="321"/>
      <c r="F419" s="321"/>
      <c r="G419" s="321"/>
      <c r="H419" s="321"/>
      <c r="I419" s="321"/>
      <c r="J419" s="321"/>
      <c r="K419" s="321"/>
      <c r="L419" s="321"/>
      <c r="M419" s="321"/>
      <c r="N419" s="321"/>
      <c r="O419" s="321"/>
      <c r="P419" s="564"/>
      <c r="Q419" s="483"/>
      <c r="R419" s="321"/>
      <c r="S419" s="321"/>
      <c r="T419" s="321"/>
      <c r="U419" s="321"/>
      <c r="V419" s="321"/>
      <c r="W419" s="321"/>
      <c r="X419" s="321"/>
      <c r="Y419" s="321"/>
      <c r="Z419" s="321"/>
      <c r="AA419" s="321"/>
      <c r="AB419" s="321"/>
      <c r="AC419" s="321"/>
      <c r="AD419" s="321"/>
      <c r="AE419" s="321"/>
      <c r="AF419" s="321"/>
      <c r="AG419" s="483"/>
      <c r="AH419" s="328"/>
      <c r="AI419" s="328"/>
      <c r="AJ419" s="328"/>
      <c r="AK419" s="328"/>
      <c r="AL419" s="328"/>
      <c r="AM419" s="328"/>
      <c r="AN419" s="328"/>
      <c r="AO419" s="328"/>
      <c r="AP419" s="328"/>
      <c r="AQ419" s="328"/>
      <c r="AR419" s="328"/>
      <c r="AS419" s="328"/>
      <c r="AT419" s="328"/>
      <c r="AU419" s="328"/>
      <c r="AV419" s="1237"/>
      <c r="AW419" s="483">
        <v>212</v>
      </c>
      <c r="AX419" s="321"/>
      <c r="AY419" s="321"/>
      <c r="AZ419" s="321"/>
      <c r="BA419" s="321"/>
      <c r="BB419" s="321"/>
      <c r="BC419" s="321"/>
      <c r="BD419" s="321"/>
      <c r="BE419" s="321"/>
      <c r="BF419" s="321"/>
      <c r="BG419" s="321"/>
      <c r="BH419" s="321"/>
      <c r="BI419" s="321"/>
      <c r="BJ419" s="321"/>
      <c r="BK419" s="321"/>
      <c r="BL419" s="564"/>
      <c r="BM419" s="193">
        <v>213</v>
      </c>
      <c r="BN419" s="199"/>
      <c r="BO419" s="193"/>
      <c r="BP419" s="201"/>
      <c r="BQ419" s="295"/>
      <c r="BR419" s="193"/>
      <c r="BS419" s="295"/>
      <c r="BT419" s="201"/>
      <c r="BU419" s="193"/>
      <c r="BV419" s="193"/>
      <c r="BW419" s="201"/>
      <c r="BX419" s="193"/>
      <c r="BY419" s="205"/>
      <c r="BZ419" s="205"/>
      <c r="CA419" s="205"/>
      <c r="CB419" s="193"/>
      <c r="CC419" s="1236"/>
      <c r="CD419" s="449"/>
      <c r="CE419" s="449"/>
      <c r="CF419" s="449"/>
      <c r="CG419" s="449"/>
      <c r="CH419" s="449"/>
      <c r="CI419" s="449"/>
      <c r="CJ419" s="449"/>
      <c r="CK419" s="449"/>
      <c r="CL419" s="449"/>
      <c r="CM419" s="449"/>
      <c r="CN419" s="449"/>
      <c r="CO419" s="449"/>
      <c r="CP419" s="449"/>
      <c r="CQ419" s="449"/>
      <c r="CR419" s="328"/>
      <c r="CS419" s="483"/>
      <c r="CT419" s="1373"/>
      <c r="CU419" s="328"/>
      <c r="CV419" s="328"/>
      <c r="CW419" s="328"/>
      <c r="CX419" s="328"/>
      <c r="CY419" s="328"/>
      <c r="CZ419" s="328"/>
      <c r="DA419" s="328"/>
      <c r="DB419" s="328"/>
      <c r="DC419" s="328"/>
      <c r="DD419" s="328"/>
      <c r="DE419" s="292"/>
      <c r="DF419" s="328"/>
      <c r="DG419" s="328"/>
      <c r="DH419" s="1237"/>
      <c r="DI419" s="293"/>
      <c r="DJ419" s="158"/>
      <c r="DK419" s="297"/>
      <c r="DL419" s="158"/>
      <c r="DM419" s="297"/>
      <c r="DN419" s="158"/>
      <c r="DO419" s="293"/>
      <c r="DP419" s="158"/>
      <c r="DQ419" s="293"/>
      <c r="DR419" s="158"/>
      <c r="DS419" s="293"/>
      <c r="DT419" s="163"/>
      <c r="DU419" s="293"/>
      <c r="DV419" s="163"/>
      <c r="DW419" s="293"/>
      <c r="DX419" s="292"/>
      <c r="DY419" s="483">
        <v>218</v>
      </c>
      <c r="DZ419" s="328"/>
      <c r="EA419" s="328"/>
      <c r="EB419" s="328"/>
      <c r="EC419" s="328"/>
      <c r="ED419" s="328"/>
      <c r="EE419" s="328"/>
      <c r="EF419" s="328"/>
      <c r="EG419" s="328"/>
      <c r="EH419" s="328"/>
      <c r="EI419" s="328"/>
      <c r="EJ419" s="328"/>
      <c r="EK419" s="328"/>
      <c r="EL419" s="328"/>
      <c r="EM419" s="328"/>
      <c r="EN419" s="1237"/>
      <c r="EO419" s="483">
        <v>217</v>
      </c>
      <c r="EP419" s="328"/>
      <c r="EQ419" s="328"/>
      <c r="ER419" s="328"/>
      <c r="ES419" s="328"/>
      <c r="ET419" s="328"/>
      <c r="EU419" s="328"/>
      <c r="EV419" s="328"/>
      <c r="EW419" s="328"/>
      <c r="EX419" s="328"/>
      <c r="EY419" s="328"/>
      <c r="EZ419" s="328"/>
      <c r="FA419" s="328"/>
      <c r="FB419" s="328"/>
      <c r="FC419" s="328"/>
      <c r="FD419" s="1237"/>
      <c r="FE419" s="189"/>
      <c r="FF419" s="158"/>
      <c r="FG419" s="328"/>
      <c r="FH419" s="162"/>
      <c r="FI419" s="158"/>
      <c r="FJ419" s="412"/>
      <c r="FK419" s="162"/>
      <c r="FL419" s="158"/>
      <c r="FM419" s="412"/>
      <c r="FN419" s="162"/>
      <c r="FO419" s="328"/>
      <c r="FP419" s="328"/>
      <c r="FQ419" s="162"/>
      <c r="FR419" s="162"/>
      <c r="FS419" s="1237"/>
      <c r="FT419" s="1237"/>
      <c r="FU419" s="699"/>
      <c r="FV419" s="201"/>
      <c r="FW419" s="291"/>
      <c r="FX419" s="93"/>
      <c r="FY419" s="93"/>
      <c r="FZ419" s="93"/>
      <c r="GA419" s="93"/>
      <c r="GB419" s="93"/>
      <c r="GC419" s="93"/>
      <c r="GD419" s="93"/>
      <c r="GE419" s="93"/>
      <c r="GF419" s="93"/>
      <c r="GG419" s="93"/>
      <c r="GH419" s="201"/>
      <c r="GI419" s="291"/>
      <c r="GJ419" s="79"/>
      <c r="GK419" s="1236">
        <v>221</v>
      </c>
      <c r="GL419" s="204"/>
      <c r="GM419" s="204"/>
      <c r="GN419" s="207"/>
      <c r="GO419" s="204"/>
      <c r="GP419" s="207"/>
      <c r="GQ419" s="207"/>
      <c r="GR419" s="207"/>
      <c r="GS419" s="204"/>
      <c r="GT419" s="204"/>
      <c r="GU419" s="204"/>
      <c r="GV419" s="207"/>
      <c r="GW419" s="204"/>
      <c r="GX419" s="207"/>
      <c r="GY419" s="204"/>
      <c r="GZ419" s="298"/>
      <c r="HA419" s="483"/>
      <c r="HB419" s="328"/>
      <c r="HC419" s="328"/>
      <c r="HD419" s="328"/>
      <c r="HE419" s="328"/>
      <c r="HF419" s="328"/>
      <c r="HG419" s="301"/>
      <c r="HH419" s="290"/>
      <c r="HI419" s="297"/>
      <c r="HJ419" s="328"/>
      <c r="HK419" s="328"/>
      <c r="HL419" s="328"/>
      <c r="HM419" s="328"/>
      <c r="HN419" s="328"/>
      <c r="HO419" s="328"/>
      <c r="HP419" s="564"/>
      <c r="HQ419" s="483">
        <v>223</v>
      </c>
      <c r="HR419"/>
      <c r="HS419"/>
      <c r="HT419"/>
      <c r="HU419"/>
      <c r="HV419"/>
      <c r="HW419"/>
      <c r="HX419"/>
      <c r="HY419"/>
      <c r="HZ419"/>
      <c r="IA419"/>
      <c r="IB419"/>
      <c r="IC419"/>
      <c r="ID419"/>
      <c r="IE419"/>
      <c r="IF419" s="564"/>
      <c r="IH419" s="326">
        <v>3</v>
      </c>
      <c r="II419" s="695" t="s">
        <v>747</v>
      </c>
    </row>
    <row r="420" spans="1:243" s="326" customFormat="1" ht="8.25" customHeight="1">
      <c r="A420" s="483"/>
      <c r="B420" s="321"/>
      <c r="C420" s="321"/>
      <c r="D420" s="321"/>
      <c r="E420" s="321"/>
      <c r="F420" s="321"/>
      <c r="G420" s="321"/>
      <c r="H420" s="321"/>
      <c r="I420" s="321"/>
      <c r="J420" s="321"/>
      <c r="K420" s="321"/>
      <c r="L420" s="321"/>
      <c r="M420" s="321"/>
      <c r="N420" s="321"/>
      <c r="O420" s="321"/>
      <c r="P420" s="564"/>
      <c r="Q420" s="483"/>
      <c r="R420" s="321"/>
      <c r="S420" s="321"/>
      <c r="T420" s="321"/>
      <c r="U420" s="321"/>
      <c r="V420" s="321"/>
      <c r="W420" s="321"/>
      <c r="X420" s="321"/>
      <c r="Y420" s="321"/>
      <c r="Z420" s="321"/>
      <c r="AA420" s="321"/>
      <c r="AB420" s="321"/>
      <c r="AC420" s="321"/>
      <c r="AD420" s="321"/>
      <c r="AE420" s="321"/>
      <c r="AF420" s="321"/>
      <c r="AG420" s="483"/>
      <c r="AH420" s="328"/>
      <c r="AI420" s="328"/>
      <c r="AJ420" s="328"/>
      <c r="AK420" s="328"/>
      <c r="AL420" s="328"/>
      <c r="AM420" s="328"/>
      <c r="AN420" s="328"/>
      <c r="AO420" s="328"/>
      <c r="AP420" s="328"/>
      <c r="AQ420" s="328"/>
      <c r="AR420" s="328"/>
      <c r="AS420" s="328"/>
      <c r="AT420" s="328"/>
      <c r="AU420" s="328"/>
      <c r="AV420" s="1237"/>
      <c r="AW420" s="1374">
        <v>2000</v>
      </c>
      <c r="AX420" s="307"/>
      <c r="AY420" s="307"/>
      <c r="AZ420" s="307"/>
      <c r="BA420" s="307"/>
      <c r="BB420" s="307"/>
      <c r="BC420" s="307"/>
      <c r="BD420" s="307"/>
      <c r="BE420" s="307"/>
      <c r="BF420" s="307"/>
      <c r="BG420" s="307"/>
      <c r="BH420" s="481"/>
      <c r="BI420" s="310"/>
      <c r="BJ420" s="317"/>
      <c r="BK420" s="307"/>
      <c r="BL420" s="1375"/>
      <c r="BM420" s="201">
        <v>3000</v>
      </c>
      <c r="BN420" s="297"/>
      <c r="BO420" s="201"/>
      <c r="BP420" s="201"/>
      <c r="BQ420" s="201"/>
      <c r="BR420" s="201"/>
      <c r="BS420" s="193"/>
      <c r="BT420" s="201"/>
      <c r="BU420" s="193"/>
      <c r="BV420" s="201"/>
      <c r="BW420" s="201"/>
      <c r="BX420" s="201"/>
      <c r="BY420" s="297"/>
      <c r="BZ420" s="193"/>
      <c r="CA420" s="297"/>
      <c r="CB420" s="201"/>
      <c r="CC420" s="449"/>
      <c r="CD420" s="440"/>
      <c r="CE420" s="440"/>
      <c r="CF420" s="440"/>
      <c r="CG420" s="440"/>
      <c r="CH420" s="440"/>
      <c r="CI420" s="440"/>
      <c r="CJ420" s="440"/>
      <c r="CK420" s="440"/>
      <c r="CL420" s="440"/>
      <c r="CM420" s="440"/>
      <c r="CN420" s="440"/>
      <c r="CO420" s="440"/>
      <c r="CP420" s="440"/>
      <c r="CQ420" s="440"/>
      <c r="CR420" s="449"/>
      <c r="CS420" s="483"/>
      <c r="CT420" s="1373"/>
      <c r="CU420" s="328"/>
      <c r="CV420" s="328"/>
      <c r="CW420" s="328"/>
      <c r="CX420" s="328"/>
      <c r="CY420" s="328"/>
      <c r="CZ420" s="328"/>
      <c r="DA420" s="328"/>
      <c r="DB420" s="328"/>
      <c r="DC420" s="292"/>
      <c r="DD420" s="328"/>
      <c r="DE420" s="292"/>
      <c r="DF420" s="328"/>
      <c r="DG420" s="328"/>
      <c r="DH420" s="1237"/>
      <c r="DI420" s="293"/>
      <c r="DJ420" s="162"/>
      <c r="DK420" s="301"/>
      <c r="DL420" s="162"/>
      <c r="DM420" s="297"/>
      <c r="DN420" s="162"/>
      <c r="DO420" s="297"/>
      <c r="DP420" s="162"/>
      <c r="DQ420" s="293"/>
      <c r="DR420" s="162"/>
      <c r="DS420" s="293"/>
      <c r="DT420" s="158"/>
      <c r="DU420" s="293"/>
      <c r="DV420" s="158"/>
      <c r="DW420" s="293"/>
      <c r="DX420" s="292"/>
      <c r="DY420" s="483">
        <v>200</v>
      </c>
      <c r="DZ420" s="328"/>
      <c r="EA420" s="328"/>
      <c r="EB420" s="328"/>
      <c r="EC420" s="328"/>
      <c r="ED420" s="328"/>
      <c r="EE420" s="328"/>
      <c r="EF420" s="328"/>
      <c r="EG420" s="328"/>
      <c r="EH420" s="328"/>
      <c r="EI420" s="328"/>
      <c r="EJ420" s="328"/>
      <c r="EK420" s="328"/>
      <c r="EL420" s="328"/>
      <c r="EM420" s="328"/>
      <c r="EN420" s="1237"/>
      <c r="EO420" s="483">
        <v>200</v>
      </c>
      <c r="EP420" s="328"/>
      <c r="EQ420" s="328"/>
      <c r="ER420" s="328"/>
      <c r="ES420" s="328"/>
      <c r="ET420" s="328"/>
      <c r="EU420" s="328"/>
      <c r="EV420" s="328"/>
      <c r="EW420" s="328"/>
      <c r="EX420" s="328"/>
      <c r="EY420" s="328"/>
      <c r="EZ420" s="328"/>
      <c r="FA420" s="328"/>
      <c r="FB420" s="328"/>
      <c r="FC420" s="328"/>
      <c r="FD420" s="1237"/>
      <c r="FE420" s="328"/>
      <c r="FF420" s="328"/>
      <c r="FG420" s="412"/>
      <c r="FH420" s="162"/>
      <c r="FI420" s="328"/>
      <c r="FJ420" s="328"/>
      <c r="FK420" s="162"/>
      <c r="FL420" s="328"/>
      <c r="FM420" s="412"/>
      <c r="FN420" s="162"/>
      <c r="FO420" s="328"/>
      <c r="FP420" s="328"/>
      <c r="FQ420" s="162"/>
      <c r="FR420" s="328"/>
      <c r="FS420" s="1237"/>
      <c r="FT420" s="1237"/>
      <c r="FU420" s="699"/>
      <c r="FV420" s="199"/>
      <c r="FW420" s="199"/>
      <c r="FX420" s="199"/>
      <c r="FY420" s="199"/>
      <c r="FZ420" s="199"/>
      <c r="GA420" s="201"/>
      <c r="GB420" s="199"/>
      <c r="GC420" s="199"/>
      <c r="GD420" s="201"/>
      <c r="GE420" s="199"/>
      <c r="GF420" s="201"/>
      <c r="GG420" s="201"/>
      <c r="GH420" s="201"/>
      <c r="GI420" s="201"/>
      <c r="GJ420" s="79"/>
      <c r="GK420" s="1236">
        <v>5000</v>
      </c>
      <c r="GL420" s="207"/>
      <c r="GM420" s="204"/>
      <c r="GN420" s="207"/>
      <c r="GO420" s="204"/>
      <c r="GP420" s="204"/>
      <c r="GQ420" s="207"/>
      <c r="GR420" s="204"/>
      <c r="GS420" s="204"/>
      <c r="GT420" s="207"/>
      <c r="GU420" s="204"/>
      <c r="GV420" s="207"/>
      <c r="GW420" s="308"/>
      <c r="GX420" s="207"/>
      <c r="GY420" s="204"/>
      <c r="GZ420" s="298"/>
      <c r="HA420" s="483"/>
      <c r="HB420" s="328"/>
      <c r="HC420" s="328"/>
      <c r="HD420" s="328"/>
      <c r="HE420" s="328"/>
      <c r="HF420" s="328"/>
      <c r="HG420" s="297"/>
      <c r="HH420" s="328"/>
      <c r="HI420" s="293"/>
      <c r="HJ420" s="328"/>
      <c r="HK420" s="328"/>
      <c r="HL420" s="328"/>
      <c r="HM420" s="328"/>
      <c r="HN420" s="328"/>
      <c r="HO420" s="328"/>
      <c r="HP420" s="564"/>
      <c r="HQ420" s="483">
        <v>8000</v>
      </c>
      <c r="HR420"/>
      <c r="HS420"/>
      <c r="HT420"/>
      <c r="HU420"/>
      <c r="HV420"/>
      <c r="HW420"/>
      <c r="HX420"/>
      <c r="HY420"/>
      <c r="HZ420"/>
      <c r="IA420"/>
      <c r="IB420"/>
      <c r="IC420"/>
      <c r="ID420"/>
      <c r="IE420"/>
      <c r="IF420" s="564"/>
      <c r="IH420" s="326">
        <v>4</v>
      </c>
      <c r="II420" s="695" t="s">
        <v>748</v>
      </c>
    </row>
    <row r="421" spans="1:243" s="326" customFormat="1" ht="8.25" customHeight="1">
      <c r="A421" s="483"/>
      <c r="B421" s="321"/>
      <c r="C421" s="321"/>
      <c r="D421" s="321"/>
      <c r="E421" s="321"/>
      <c r="F421" s="321"/>
      <c r="G421" s="321"/>
      <c r="H421" s="321"/>
      <c r="I421" s="321"/>
      <c r="J421" s="321"/>
      <c r="K421" s="321"/>
      <c r="L421" s="321"/>
      <c r="M421" s="321"/>
      <c r="N421" s="321"/>
      <c r="O421" s="321"/>
      <c r="P421" s="564"/>
      <c r="Q421" s="483"/>
      <c r="R421" s="321"/>
      <c r="S421" s="321"/>
      <c r="T421" s="321"/>
      <c r="U421" s="321"/>
      <c r="V421" s="321"/>
      <c r="W421" s="321"/>
      <c r="X421" s="321"/>
      <c r="Y421" s="321"/>
      <c r="Z421" s="321"/>
      <c r="AA421" s="321"/>
      <c r="AB421" s="321"/>
      <c r="AC421" s="321"/>
      <c r="AD421" s="321"/>
      <c r="AE421" s="321"/>
      <c r="AF421" s="321"/>
      <c r="AG421" s="483">
        <v>100</v>
      </c>
      <c r="AH421" s="328"/>
      <c r="AI421" s="328"/>
      <c r="AJ421" s="328"/>
      <c r="AK421" s="328"/>
      <c r="AL421" s="328"/>
      <c r="AM421" s="328"/>
      <c r="AN421" s="328"/>
      <c r="AO421" s="328"/>
      <c r="AP421" s="328"/>
      <c r="AQ421" s="328"/>
      <c r="AR421" s="328"/>
      <c r="AS421" s="328"/>
      <c r="AT421" s="328"/>
      <c r="AU421" s="328"/>
      <c r="AV421" s="1237"/>
      <c r="AW421" s="1374">
        <v>80</v>
      </c>
      <c r="AX421" s="307"/>
      <c r="AY421" s="307"/>
      <c r="AZ421" s="307"/>
      <c r="BA421" s="307"/>
      <c r="BB421" s="307"/>
      <c r="BC421" s="307"/>
      <c r="BD421" s="307"/>
      <c r="BE421" s="307"/>
      <c r="BF421" s="307"/>
      <c r="BG421" s="307"/>
      <c r="BH421" s="307"/>
      <c r="BI421" s="307"/>
      <c r="BJ421" s="307"/>
      <c r="BK421" s="307"/>
      <c r="BL421" s="1375"/>
      <c r="BM421" s="295">
        <v>120</v>
      </c>
      <c r="BN421" s="162"/>
      <c r="BO421" s="193"/>
      <c r="BP421" s="297"/>
      <c r="BQ421" s="295"/>
      <c r="BR421" s="297"/>
      <c r="BS421" s="295"/>
      <c r="BT421" s="297"/>
      <c r="BU421" s="295"/>
      <c r="BV421" s="297"/>
      <c r="BW421" s="193"/>
      <c r="BX421" s="201"/>
      <c r="BY421" s="295"/>
      <c r="BZ421" s="193"/>
      <c r="CA421" s="295"/>
      <c r="CB421" s="193"/>
      <c r="CC421" s="449"/>
      <c r="CD421" s="440"/>
      <c r="CE421" s="456"/>
      <c r="CF421" s="456"/>
      <c r="CG421" s="440"/>
      <c r="CH421" s="456"/>
      <c r="CI421" s="440"/>
      <c r="CJ421" s="456"/>
      <c r="CK421" s="440"/>
      <c r="CL421" s="456"/>
      <c r="CM421" s="440"/>
      <c r="CN421" s="456"/>
      <c r="CO421" s="456"/>
      <c r="CP421" s="456"/>
      <c r="CQ421" s="440"/>
      <c r="CR421" s="449"/>
      <c r="CS421" s="483"/>
      <c r="CT421" s="1373"/>
      <c r="CU421" s="328"/>
      <c r="CV421" s="328"/>
      <c r="CW421" s="328"/>
      <c r="CX421" s="328"/>
      <c r="CY421" s="292"/>
      <c r="CZ421" s="328"/>
      <c r="DA421" s="328"/>
      <c r="DB421" s="292"/>
      <c r="DC421" s="292"/>
      <c r="DD421" s="328"/>
      <c r="DE421" s="328"/>
      <c r="DF421" s="328"/>
      <c r="DG421" s="328"/>
      <c r="DH421" s="1237"/>
      <c r="DI421" s="293"/>
      <c r="DJ421" s="158"/>
      <c r="DK421" s="297"/>
      <c r="DL421" s="158"/>
      <c r="DM421" s="297"/>
      <c r="DN421" s="158"/>
      <c r="DO421" s="293"/>
      <c r="DP421" s="158"/>
      <c r="DQ421" s="293"/>
      <c r="DR421" s="158"/>
      <c r="DS421" s="293"/>
      <c r="DT421" s="158"/>
      <c r="DU421" s="293"/>
      <c r="DV421" s="163"/>
      <c r="DW421" s="293"/>
      <c r="DX421" s="292"/>
      <c r="DY421" s="483">
        <v>99</v>
      </c>
      <c r="DZ421" s="328"/>
      <c r="EA421" s="328"/>
      <c r="EB421" s="328"/>
      <c r="EC421" s="328"/>
      <c r="ED421" s="328"/>
      <c r="EE421" s="328"/>
      <c r="EF421" s="328"/>
      <c r="EG421" s="328"/>
      <c r="EH421" s="328"/>
      <c r="EI421" s="328"/>
      <c r="EJ421" s="328"/>
      <c r="EK421" s="328"/>
      <c r="EL421" s="328"/>
      <c r="EM421" s="328"/>
      <c r="EN421" s="1237"/>
      <c r="EO421" s="483">
        <v>99</v>
      </c>
      <c r="EP421" s="328"/>
      <c r="EQ421" s="328"/>
      <c r="ER421" s="328"/>
      <c r="ES421" s="328"/>
      <c r="ET421" s="328"/>
      <c r="EU421" s="328"/>
      <c r="EV421" s="328"/>
      <c r="EW421" s="328"/>
      <c r="EX421" s="328"/>
      <c r="EY421" s="328"/>
      <c r="EZ421" s="328"/>
      <c r="FA421" s="328"/>
      <c r="FB421" s="328"/>
      <c r="FC421" s="328"/>
      <c r="FD421" s="1237"/>
      <c r="FE421" s="162"/>
      <c r="FF421" s="158"/>
      <c r="FG421" s="412"/>
      <c r="FH421" s="162"/>
      <c r="FI421" s="328"/>
      <c r="FJ421" s="328"/>
      <c r="FK421" s="162"/>
      <c r="FL421" s="328"/>
      <c r="FM421" s="412"/>
      <c r="FN421" s="301"/>
      <c r="FO421" s="158"/>
      <c r="FP421" s="412"/>
      <c r="FQ421" s="162"/>
      <c r="FR421" s="158"/>
      <c r="FS421" s="412"/>
      <c r="FT421" s="1237"/>
      <c r="FU421" s="699"/>
      <c r="FV421" s="291"/>
      <c r="FW421" s="291"/>
      <c r="FX421" s="291"/>
      <c r="FY421" s="291"/>
      <c r="FZ421" s="291"/>
      <c r="GA421" s="291"/>
      <c r="GB421" s="291"/>
      <c r="GC421" s="291"/>
      <c r="GD421" s="291"/>
      <c r="GE421" s="291"/>
      <c r="GF421" s="291"/>
      <c r="GG421" s="291"/>
      <c r="GH421" s="291"/>
      <c r="GI421" s="291"/>
      <c r="GJ421" s="79"/>
      <c r="GK421" s="699">
        <v>50</v>
      </c>
      <c r="GL421" s="207"/>
      <c r="GM421" s="308"/>
      <c r="GN421" s="204"/>
      <c r="GO421" s="204"/>
      <c r="GP421" s="207"/>
      <c r="GQ421" s="298"/>
      <c r="GR421" s="204"/>
      <c r="GS421" s="308"/>
      <c r="GT421" s="207"/>
      <c r="GU421" s="204"/>
      <c r="GV421" s="204"/>
      <c r="GW421" s="308"/>
      <c r="GX421" s="207"/>
      <c r="GY421" s="204"/>
      <c r="GZ421" s="298"/>
      <c r="HA421" s="483">
        <v>100</v>
      </c>
      <c r="HB421" s="328"/>
      <c r="HC421" s="328"/>
      <c r="HD421" s="328"/>
      <c r="HE421" s="328"/>
      <c r="HF421" s="328"/>
      <c r="HG421" s="293"/>
      <c r="HH421" s="293"/>
      <c r="HI421" s="290"/>
      <c r="HJ421" s="328"/>
      <c r="HK421" s="328"/>
      <c r="HL421" s="328"/>
      <c r="HM421" s="328"/>
      <c r="HN421" s="328"/>
      <c r="HO421" s="328"/>
      <c r="HP421" s="564"/>
      <c r="HQ421" s="483">
        <v>24</v>
      </c>
      <c r="HR421"/>
      <c r="HS421"/>
      <c r="HT421"/>
      <c r="HU421"/>
      <c r="HV421"/>
      <c r="HW421"/>
      <c r="HX421"/>
      <c r="HY421"/>
      <c r="HZ421"/>
      <c r="IA421"/>
      <c r="IB421"/>
      <c r="IC421"/>
      <c r="ID421"/>
      <c r="IE421"/>
      <c r="IF421" s="564"/>
      <c r="IH421" s="326">
        <v>5</v>
      </c>
      <c r="II421" s="695" t="s">
        <v>1113</v>
      </c>
    </row>
    <row r="422" spans="1:243" s="326" customFormat="1" ht="8.25" customHeight="1">
      <c r="A422" s="483"/>
      <c r="B422" s="321"/>
      <c r="C422" s="321"/>
      <c r="D422" s="321"/>
      <c r="E422" s="321"/>
      <c r="F422" s="321"/>
      <c r="G422" s="321"/>
      <c r="H422" s="321"/>
      <c r="I422" s="321"/>
      <c r="J422" s="321"/>
      <c r="K422" s="321"/>
      <c r="L422" s="321"/>
      <c r="M422" s="321"/>
      <c r="N422" s="321"/>
      <c r="O422" s="321"/>
      <c r="P422" s="564"/>
      <c r="Q422" s="483"/>
      <c r="R422" s="321"/>
      <c r="S422" s="321"/>
      <c r="T422" s="321"/>
      <c r="U422" s="321"/>
      <c r="V422" s="321"/>
      <c r="W422" s="321"/>
      <c r="X422" s="321"/>
      <c r="Y422" s="321"/>
      <c r="Z422" s="321"/>
      <c r="AA422" s="321"/>
      <c r="AB422" s="321"/>
      <c r="AC422" s="321"/>
      <c r="AD422" s="321"/>
      <c r="AE422" s="321"/>
      <c r="AF422" s="321"/>
      <c r="AG422" s="483">
        <v>72</v>
      </c>
      <c r="AH422" s="328"/>
      <c r="AI422" s="328"/>
      <c r="AJ422" s="328"/>
      <c r="AK422" s="328"/>
      <c r="AL422" s="328"/>
      <c r="AM422" s="328"/>
      <c r="AN422" s="328"/>
      <c r="AO422" s="328"/>
      <c r="AP422" s="328"/>
      <c r="AQ422" s="328"/>
      <c r="AR422" s="328"/>
      <c r="AS422" s="328"/>
      <c r="AT422" s="328"/>
      <c r="AU422" s="328"/>
      <c r="AV422" s="1237"/>
      <c r="AW422" s="1374">
        <v>111</v>
      </c>
      <c r="AX422" s="292"/>
      <c r="AY422" s="292"/>
      <c r="AZ422" s="292"/>
      <c r="BA422" s="292"/>
      <c r="BB422" s="161"/>
      <c r="BC422" s="161"/>
      <c r="BD422" s="161"/>
      <c r="BE422" s="161"/>
      <c r="BF422" s="161"/>
      <c r="BG422" s="161"/>
      <c r="BH422" s="161"/>
      <c r="BI422" s="293"/>
      <c r="BJ422" s="293"/>
      <c r="BK422" s="293"/>
      <c r="BL422" s="1375"/>
      <c r="BM422" s="193">
        <v>110</v>
      </c>
      <c r="BN422" s="158"/>
      <c r="BO422" s="193"/>
      <c r="BP422" s="205"/>
      <c r="BQ422" s="205"/>
      <c r="BR422" s="205"/>
      <c r="BS422" s="205"/>
      <c r="BT422" s="205"/>
      <c r="BU422" s="205"/>
      <c r="BV422" s="205"/>
      <c r="BW422" s="193"/>
      <c r="BX422" s="201"/>
      <c r="BY422" s="193"/>
      <c r="BZ422" s="295"/>
      <c r="CA422" s="193"/>
      <c r="CB422" s="193"/>
      <c r="CC422" s="449"/>
      <c r="CD422" s="440"/>
      <c r="CE422" s="456"/>
      <c r="CF422" s="440"/>
      <c r="CG422" s="440"/>
      <c r="CH422" s="440"/>
      <c r="CI422" s="456"/>
      <c r="CJ422" s="440"/>
      <c r="CK422" s="440"/>
      <c r="CL422" s="456"/>
      <c r="CM422" s="440"/>
      <c r="CN422" s="440"/>
      <c r="CO422" s="456"/>
      <c r="CP422" s="440"/>
      <c r="CQ422" s="440"/>
      <c r="CR422" s="449"/>
      <c r="CS422" s="483"/>
      <c r="CT422" s="1373"/>
      <c r="CU422" s="328"/>
      <c r="CV422" s="328"/>
      <c r="CW422" s="328"/>
      <c r="CX422" s="292"/>
      <c r="CY422" s="292"/>
      <c r="CZ422" s="328"/>
      <c r="DA422" s="328"/>
      <c r="DB422" s="292"/>
      <c r="DC422" s="292"/>
      <c r="DD422" s="328"/>
      <c r="DE422" s="328"/>
      <c r="DF422" s="328"/>
      <c r="DG422" s="328"/>
      <c r="DH422" s="1237"/>
      <c r="DI422" s="293"/>
      <c r="DJ422" s="163"/>
      <c r="DK422" s="161"/>
      <c r="DL422" s="163"/>
      <c r="DM422" s="161"/>
      <c r="DN422" s="163"/>
      <c r="DO422" s="161"/>
      <c r="DP422" s="163"/>
      <c r="DQ422" s="161"/>
      <c r="DR422" s="163"/>
      <c r="DS422" s="161"/>
      <c r="DT422" s="161"/>
      <c r="DU422" s="292"/>
      <c r="DV422" s="161"/>
      <c r="DW422" s="292"/>
      <c r="DX422" s="292"/>
      <c r="DY422" s="483">
        <v>72</v>
      </c>
      <c r="DZ422" s="328"/>
      <c r="EA422" s="328"/>
      <c r="EB422" s="328"/>
      <c r="EC422" s="328"/>
      <c r="ED422" s="328"/>
      <c r="EE422" s="328"/>
      <c r="EF422" s="328"/>
      <c r="EG422" s="328"/>
      <c r="EH422" s="328"/>
      <c r="EI422" s="328"/>
      <c r="EJ422" s="328"/>
      <c r="EK422" s="328"/>
      <c r="EL422" s="328"/>
      <c r="EM422" s="328"/>
      <c r="EN422" s="1237"/>
      <c r="EO422" s="483">
        <v>72</v>
      </c>
      <c r="EP422" s="328"/>
      <c r="EQ422" s="328"/>
      <c r="ER422" s="328"/>
      <c r="ES422" s="328"/>
      <c r="ET422" s="328"/>
      <c r="EU422" s="328"/>
      <c r="EV422" s="328"/>
      <c r="EW422" s="328"/>
      <c r="EX422" s="328"/>
      <c r="EY422" s="328"/>
      <c r="EZ422" s="328"/>
      <c r="FA422" s="328"/>
      <c r="FB422" s="328"/>
      <c r="FC422" s="328"/>
      <c r="FD422" s="1237"/>
      <c r="FE422" s="1236"/>
      <c r="FF422" s="328"/>
      <c r="FG422" s="328"/>
      <c r="FH422" s="328"/>
      <c r="FI422" s="328"/>
      <c r="FJ422" s="328"/>
      <c r="FK422" s="328"/>
      <c r="FL422" s="328"/>
      <c r="FM422" s="328"/>
      <c r="FN422" s="328"/>
      <c r="FO422" s="328"/>
      <c r="FP422" s="328"/>
      <c r="FQ422" s="328"/>
      <c r="FR422" s="328"/>
      <c r="FS422" s="328"/>
      <c r="FT422" s="1237"/>
      <c r="FU422" s="699"/>
      <c r="FV422" s="201"/>
      <c r="FW422" s="291"/>
      <c r="FX422" s="93"/>
      <c r="FY422" s="93"/>
      <c r="FZ422" s="93"/>
      <c r="GA422" s="93"/>
      <c r="GB422" s="93"/>
      <c r="GC422" s="93"/>
      <c r="GD422" s="93"/>
      <c r="GE422" s="93"/>
      <c r="GF422" s="93"/>
      <c r="GG422" s="93"/>
      <c r="GH422" s="201"/>
      <c r="GI422" s="291"/>
      <c r="GJ422" s="79"/>
      <c r="GK422" s="699">
        <v>164</v>
      </c>
      <c r="GL422" s="207"/>
      <c r="GM422" s="308"/>
      <c r="GN422" s="204"/>
      <c r="GO422" s="204"/>
      <c r="GP422" s="207"/>
      <c r="GQ422" s="298"/>
      <c r="GR422" s="204"/>
      <c r="GS422" s="308"/>
      <c r="GT422" s="207"/>
      <c r="GU422" s="204"/>
      <c r="GV422" s="204"/>
      <c r="GW422" s="308"/>
      <c r="GX422" s="207"/>
      <c r="GY422" s="207"/>
      <c r="GZ422" s="298"/>
      <c r="HA422" s="483">
        <v>85</v>
      </c>
      <c r="HB422" s="328"/>
      <c r="HC422" s="328"/>
      <c r="HD422" s="328"/>
      <c r="HE422" s="328"/>
      <c r="HF422" s="328"/>
      <c r="HG422" s="328"/>
      <c r="HH422" s="293"/>
      <c r="HI422" s="328"/>
      <c r="HJ422" s="328"/>
      <c r="HK422" s="328"/>
      <c r="HL422" s="328"/>
      <c r="HM422" s="328"/>
      <c r="HN422" s="328"/>
      <c r="HO422" s="328"/>
      <c r="HP422" s="564"/>
      <c r="HQ422" s="483">
        <v>24</v>
      </c>
      <c r="HR422"/>
      <c r="HS422"/>
      <c r="HT422"/>
      <c r="HU422"/>
      <c r="HV422"/>
      <c r="HW422"/>
      <c r="HX422"/>
      <c r="HY422"/>
      <c r="HZ422"/>
      <c r="IA422"/>
      <c r="IB422"/>
      <c r="IC422"/>
      <c r="ID422"/>
      <c r="IE422"/>
      <c r="IF422" s="564"/>
      <c r="IH422" s="326">
        <v>6</v>
      </c>
      <c r="II422" s="695" t="s">
        <v>749</v>
      </c>
    </row>
    <row r="423" spans="1:243" s="326" customFormat="1" ht="8.25" customHeight="1">
      <c r="A423" s="483"/>
      <c r="B423" s="321"/>
      <c r="C423" s="321"/>
      <c r="D423" s="321"/>
      <c r="E423" s="321"/>
      <c r="F423" s="321"/>
      <c r="G423" s="321"/>
      <c r="H423" s="321"/>
      <c r="I423" s="321"/>
      <c r="J423" s="321"/>
      <c r="K423" s="321"/>
      <c r="L423" s="321"/>
      <c r="M423" s="321"/>
      <c r="N423" s="321"/>
      <c r="O423" s="321"/>
      <c r="P423" s="564"/>
      <c r="Q423" s="483"/>
      <c r="R423" s="321"/>
      <c r="S423" s="321"/>
      <c r="T423" s="321"/>
      <c r="U423" s="321"/>
      <c r="V423" s="321"/>
      <c r="W423" s="321"/>
      <c r="X423" s="321"/>
      <c r="Y423" s="321"/>
      <c r="Z423" s="321"/>
      <c r="AA423" s="321"/>
      <c r="AB423" s="321"/>
      <c r="AC423" s="321"/>
      <c r="AD423" s="321"/>
      <c r="AE423" s="321"/>
      <c r="AF423" s="321"/>
      <c r="AG423" s="483"/>
      <c r="AH423" s="328"/>
      <c r="AI423" s="328"/>
      <c r="AJ423" s="328"/>
      <c r="AK423" s="328"/>
      <c r="AL423" s="328"/>
      <c r="AM423" s="328"/>
      <c r="AN423" s="328"/>
      <c r="AO423" s="328"/>
      <c r="AP423" s="328"/>
      <c r="AQ423" s="328"/>
      <c r="AR423" s="328"/>
      <c r="AS423" s="328"/>
      <c r="AT423" s="328"/>
      <c r="AU423" s="328"/>
      <c r="AV423" s="1237"/>
      <c r="AW423" s="1374"/>
      <c r="AX423" s="292"/>
      <c r="AY423" s="297"/>
      <c r="AZ423" s="297"/>
      <c r="BA423" s="297"/>
      <c r="BB423" s="297"/>
      <c r="BC423" s="297"/>
      <c r="BD423" s="301"/>
      <c r="BE423" s="301"/>
      <c r="BF423" s="301"/>
      <c r="BG423" s="297"/>
      <c r="BH423" s="297"/>
      <c r="BI423" s="297"/>
      <c r="BJ423" s="301"/>
      <c r="BK423" s="189"/>
      <c r="BL423" s="1375"/>
      <c r="BM423" s="295"/>
      <c r="BN423" s="162"/>
      <c r="BO423" s="193"/>
      <c r="BP423" s="205"/>
      <c r="BQ423" s="291"/>
      <c r="BR423" s="291"/>
      <c r="BS423" s="205"/>
      <c r="BT423" s="291"/>
      <c r="BU423" s="205"/>
      <c r="BV423" s="205"/>
      <c r="BW423" s="193"/>
      <c r="BX423" s="201"/>
      <c r="BY423" s="297"/>
      <c r="BZ423" s="201"/>
      <c r="CA423" s="201"/>
      <c r="CB423" s="201"/>
      <c r="CC423" s="449"/>
      <c r="CD423" s="440"/>
      <c r="CE423" s="456"/>
      <c r="CF423" s="456"/>
      <c r="CG423" s="440"/>
      <c r="CH423" s="440"/>
      <c r="CI423" s="456"/>
      <c r="CJ423" s="440"/>
      <c r="CK423" s="440"/>
      <c r="CL423" s="456"/>
      <c r="CM423" s="440"/>
      <c r="CN423" s="440"/>
      <c r="CO423" s="456"/>
      <c r="CP423" s="440"/>
      <c r="CQ423" s="440"/>
      <c r="CR423" s="449"/>
      <c r="CS423" s="483"/>
      <c r="CT423" s="1373"/>
      <c r="CU423" s="328"/>
      <c r="CV423" s="328"/>
      <c r="CW423" s="328"/>
      <c r="CX423" s="292"/>
      <c r="CY423" s="328"/>
      <c r="CZ423" s="328"/>
      <c r="DA423" s="328"/>
      <c r="DB423" s="292"/>
      <c r="DC423" s="328"/>
      <c r="DD423" s="328"/>
      <c r="DE423" s="328"/>
      <c r="DF423" s="328"/>
      <c r="DG423" s="292"/>
      <c r="DH423" s="1237"/>
      <c r="DI423" s="293"/>
      <c r="DJ423" s="158"/>
      <c r="DK423" s="297"/>
      <c r="DL423" s="158"/>
      <c r="DM423" s="297"/>
      <c r="DN423" s="158"/>
      <c r="DO423" s="293"/>
      <c r="DP423" s="158"/>
      <c r="DQ423" s="293"/>
      <c r="DR423" s="158"/>
      <c r="DS423" s="293"/>
      <c r="DT423" s="163"/>
      <c r="DU423" s="293"/>
      <c r="DV423" s="163"/>
      <c r="DW423" s="293"/>
      <c r="DX423" s="292"/>
      <c r="DY423" s="483"/>
      <c r="DZ423" s="328"/>
      <c r="EA423" s="328"/>
      <c r="EB423" s="328"/>
      <c r="EC423" s="328"/>
      <c r="ED423" s="328"/>
      <c r="EE423" s="328"/>
      <c r="EF423" s="328"/>
      <c r="EG423" s="328"/>
      <c r="EH423" s="328"/>
      <c r="EI423" s="328"/>
      <c r="EJ423" s="328"/>
      <c r="EK423" s="328"/>
      <c r="EL423" s="328"/>
      <c r="EM423" s="328"/>
      <c r="EN423" s="1237"/>
      <c r="EO423" s="483"/>
      <c r="EP423" s="328"/>
      <c r="EQ423" s="328"/>
      <c r="ER423" s="328"/>
      <c r="ES423" s="328"/>
      <c r="ET423" s="328"/>
      <c r="EU423" s="328"/>
      <c r="EV423" s="328"/>
      <c r="EW423" s="328"/>
      <c r="EX423" s="328"/>
      <c r="EY423" s="328"/>
      <c r="EZ423" s="328"/>
      <c r="FA423" s="328"/>
      <c r="FB423" s="328"/>
      <c r="FC423" s="328"/>
      <c r="FD423" s="1237"/>
      <c r="FE423" s="1236"/>
      <c r="FF423" s="328"/>
      <c r="FG423" s="328"/>
      <c r="FH423" s="328"/>
      <c r="FI423" s="328"/>
      <c r="FJ423" s="318"/>
      <c r="FK423" s="318"/>
      <c r="FL423" s="318"/>
      <c r="FM423" s="318"/>
      <c r="FN423" s="311"/>
      <c r="FO423" s="328"/>
      <c r="FP423" s="328"/>
      <c r="FQ423" s="328"/>
      <c r="FR423" s="328"/>
      <c r="FS423" s="328"/>
      <c r="FT423" s="1237"/>
      <c r="FU423" s="699"/>
      <c r="FV423" s="201"/>
      <c r="FW423" s="291"/>
      <c r="FX423" s="93"/>
      <c r="FY423" s="93"/>
      <c r="FZ423" s="93"/>
      <c r="GA423" s="93"/>
      <c r="GB423" s="93"/>
      <c r="GC423" s="93"/>
      <c r="GD423" s="93"/>
      <c r="GE423" s="93"/>
      <c r="GF423" s="93"/>
      <c r="GG423" s="93"/>
      <c r="GH423" s="201"/>
      <c r="GI423" s="291"/>
      <c r="GJ423" s="79"/>
      <c r="GK423" s="699"/>
      <c r="GL423" s="207"/>
      <c r="GM423" s="308"/>
      <c r="GN423" s="204"/>
      <c r="GO423" s="207"/>
      <c r="GP423" s="207"/>
      <c r="GQ423" s="298"/>
      <c r="GR423" s="204"/>
      <c r="GS423" s="308"/>
      <c r="GT423" s="207"/>
      <c r="GU423" s="204"/>
      <c r="GV423" s="204"/>
      <c r="GW423" s="308"/>
      <c r="GX423" s="207"/>
      <c r="GY423" s="207"/>
      <c r="GZ423" s="328"/>
      <c r="HA423" s="483"/>
      <c r="HB423" s="328"/>
      <c r="HC423" s="328"/>
      <c r="HD423" s="328"/>
      <c r="HE423" s="328"/>
      <c r="HF423" s="328"/>
      <c r="HG423" s="301"/>
      <c r="HH423" s="290"/>
      <c r="HI423" s="293"/>
      <c r="HJ423" s="328"/>
      <c r="HK423" s="328"/>
      <c r="HL423" s="328"/>
      <c r="HM423" s="299"/>
      <c r="HN423" s="299"/>
      <c r="HO423" s="328"/>
      <c r="HP423" s="564"/>
      <c r="HQ423" s="483"/>
      <c r="HR423"/>
      <c r="HS423"/>
      <c r="HT423"/>
      <c r="HU423"/>
      <c r="HV423"/>
      <c r="HW423"/>
      <c r="HX423"/>
      <c r="HY423"/>
      <c r="HZ423"/>
      <c r="IA423"/>
      <c r="IB423"/>
      <c r="IC423"/>
      <c r="ID423"/>
      <c r="IE423"/>
      <c r="IF423" s="564"/>
      <c r="IH423" s="326">
        <v>7</v>
      </c>
      <c r="II423" s="695" t="s">
        <v>750</v>
      </c>
    </row>
    <row r="424" spans="1:243" s="326" customFormat="1" ht="8.25" customHeight="1">
      <c r="A424" s="483"/>
      <c r="B424" s="321"/>
      <c r="C424" s="321"/>
      <c r="D424" s="321"/>
      <c r="E424" s="321"/>
      <c r="F424" s="321"/>
      <c r="G424" s="321"/>
      <c r="H424" s="321"/>
      <c r="I424" s="321"/>
      <c r="J424" s="321"/>
      <c r="K424" s="321"/>
      <c r="L424" s="321"/>
      <c r="M424" s="321"/>
      <c r="N424" s="321"/>
      <c r="O424" s="321"/>
      <c r="P424" s="564"/>
      <c r="Q424" s="483"/>
      <c r="R424" s="321"/>
      <c r="S424" s="321"/>
      <c r="T424" s="321"/>
      <c r="U424" s="321"/>
      <c r="V424" s="321"/>
      <c r="W424" s="321"/>
      <c r="X424" s="321"/>
      <c r="Y424" s="321"/>
      <c r="Z424" s="321"/>
      <c r="AA424" s="321"/>
      <c r="AB424" s="321"/>
      <c r="AC424" s="321"/>
      <c r="AD424" s="321"/>
      <c r="AE424" s="321"/>
      <c r="AF424" s="321"/>
      <c r="AG424" s="483"/>
      <c r="AH424" s="328"/>
      <c r="AI424" s="328"/>
      <c r="AJ424" s="328"/>
      <c r="AK424" s="328"/>
      <c r="AL424" s="328"/>
      <c r="AM424" s="328"/>
      <c r="AN424" s="328"/>
      <c r="AO424" s="328"/>
      <c r="AP424" s="328"/>
      <c r="AQ424" s="328"/>
      <c r="AR424" s="328"/>
      <c r="AS424" s="328"/>
      <c r="AT424" s="328"/>
      <c r="AU424" s="328"/>
      <c r="AV424" s="1237"/>
      <c r="AW424" s="1374"/>
      <c r="AX424" s="292"/>
      <c r="AY424" s="297"/>
      <c r="AZ424" s="301"/>
      <c r="BA424" s="312"/>
      <c r="BB424" s="312"/>
      <c r="BC424" s="204"/>
      <c r="BD424" s="297"/>
      <c r="BE424" s="301"/>
      <c r="BF424" s="297"/>
      <c r="BG424" s="170"/>
      <c r="BH424" s="170"/>
      <c r="BI424" s="171"/>
      <c r="BJ424" s="297"/>
      <c r="BK424" s="189"/>
      <c r="BL424" s="1375"/>
      <c r="BM424" s="201"/>
      <c r="BN424" s="297"/>
      <c r="BO424" s="193"/>
      <c r="BP424" s="205"/>
      <c r="BQ424" s="205"/>
      <c r="BR424" s="205"/>
      <c r="BS424" s="205"/>
      <c r="BT424" s="205"/>
      <c r="BU424" s="205"/>
      <c r="BV424" s="205"/>
      <c r="BW424" s="193"/>
      <c r="BX424" s="193"/>
      <c r="BY424" s="170"/>
      <c r="BZ424" s="295"/>
      <c r="CA424" s="193"/>
      <c r="CB424" s="201"/>
      <c r="CC424" s="443"/>
      <c r="CD424" s="440"/>
      <c r="CE424" s="443"/>
      <c r="CF424" s="440"/>
      <c r="CG424" s="440"/>
      <c r="CH424" s="443"/>
      <c r="CI424" s="440"/>
      <c r="CJ424" s="443"/>
      <c r="CK424" s="440"/>
      <c r="CL424" s="443"/>
      <c r="CM424" s="440"/>
      <c r="CN424" s="440"/>
      <c r="CO424" s="443"/>
      <c r="CP424" s="440"/>
      <c r="CQ424" s="440"/>
      <c r="CR424" s="443"/>
      <c r="CS424" s="483"/>
      <c r="CT424" s="292"/>
      <c r="CU424" s="328"/>
      <c r="CV424" s="328"/>
      <c r="CW424" s="328"/>
      <c r="CX424" s="292"/>
      <c r="CY424" s="328"/>
      <c r="CZ424" s="328"/>
      <c r="DA424" s="328"/>
      <c r="DB424" s="292"/>
      <c r="DC424" s="328"/>
      <c r="DD424" s="328"/>
      <c r="DE424" s="328"/>
      <c r="DF424" s="328"/>
      <c r="DG424" s="292"/>
      <c r="DH424" s="1237"/>
      <c r="DI424" s="293"/>
      <c r="DJ424" s="162"/>
      <c r="DK424" s="301"/>
      <c r="DL424" s="162"/>
      <c r="DM424" s="297"/>
      <c r="DN424" s="162"/>
      <c r="DO424" s="297"/>
      <c r="DP424" s="162"/>
      <c r="DQ424" s="293"/>
      <c r="DR424" s="162"/>
      <c r="DS424" s="293"/>
      <c r="DT424" s="158"/>
      <c r="DU424" s="293"/>
      <c r="DV424" s="158"/>
      <c r="DW424" s="293"/>
      <c r="DX424" s="292"/>
      <c r="DY424" s="483"/>
      <c r="DZ424" s="328"/>
      <c r="EA424" s="328"/>
      <c r="EB424" s="328"/>
      <c r="EC424" s="328"/>
      <c r="ED424" s="328"/>
      <c r="EE424" s="328"/>
      <c r="EF424" s="328"/>
      <c r="EG424" s="328"/>
      <c r="EH424" s="328"/>
      <c r="EI424" s="328"/>
      <c r="EJ424" s="328"/>
      <c r="EK424" s="328"/>
      <c r="EL424" s="328"/>
      <c r="EM424" s="328"/>
      <c r="EN424" s="1237"/>
      <c r="EO424" s="483"/>
      <c r="EP424" s="328"/>
      <c r="EQ424" s="328"/>
      <c r="ER424" s="328"/>
      <c r="ES424" s="328"/>
      <c r="ET424" s="328"/>
      <c r="EU424" s="328"/>
      <c r="EV424" s="328"/>
      <c r="EW424" s="328"/>
      <c r="EX424" s="328"/>
      <c r="EY424" s="328"/>
      <c r="EZ424" s="328"/>
      <c r="FA424" s="328"/>
      <c r="FB424" s="328"/>
      <c r="FC424" s="328"/>
      <c r="FD424" s="1237"/>
      <c r="FE424" s="1236"/>
      <c r="FF424" s="328"/>
      <c r="FG424" s="328"/>
      <c r="FH424" s="328"/>
      <c r="FI424" s="318"/>
      <c r="FJ424" s="311"/>
      <c r="FK424" s="311"/>
      <c r="FL424" s="311"/>
      <c r="FM424" s="318"/>
      <c r="FN424" s="437"/>
      <c r="FO424" s="328"/>
      <c r="FP424" s="328"/>
      <c r="FQ424" s="328"/>
      <c r="FR424" s="328"/>
      <c r="FS424" s="328"/>
      <c r="FT424" s="1237"/>
      <c r="FU424" s="699"/>
      <c r="FV424" s="201"/>
      <c r="FW424" s="291"/>
      <c r="FX424" s="93"/>
      <c r="FY424" s="93"/>
      <c r="FZ424" s="93"/>
      <c r="GA424" s="93"/>
      <c r="GB424" s="93"/>
      <c r="GC424" s="93"/>
      <c r="GD424" s="93"/>
      <c r="GE424" s="93"/>
      <c r="GF424" s="93"/>
      <c r="GG424" s="93"/>
      <c r="GH424" s="201"/>
      <c r="GI424" s="291"/>
      <c r="GJ424" s="79"/>
      <c r="GK424" s="699"/>
      <c r="GL424" s="207"/>
      <c r="GM424" s="207"/>
      <c r="GN424" s="204"/>
      <c r="GO424" s="207"/>
      <c r="GP424" s="298"/>
      <c r="GQ424" s="298"/>
      <c r="GR424" s="207"/>
      <c r="GS424" s="308"/>
      <c r="GT424" s="204"/>
      <c r="GU424" s="204"/>
      <c r="GV424" s="207"/>
      <c r="GW424" s="204"/>
      <c r="GX424" s="207"/>
      <c r="GY424" s="207"/>
      <c r="GZ424" s="328"/>
      <c r="HA424" s="483"/>
      <c r="HB424" s="328"/>
      <c r="HC424" s="328"/>
      <c r="HD424" s="328"/>
      <c r="HE424" s="328"/>
      <c r="HF424" s="328"/>
      <c r="HG424" s="297"/>
      <c r="HH424" s="328"/>
      <c r="HI424" s="293"/>
      <c r="HJ424" s="328"/>
      <c r="HK424" s="299"/>
      <c r="HL424" s="193"/>
      <c r="HM424" s="193"/>
      <c r="HN424" s="206"/>
      <c r="HO424" s="295"/>
      <c r="HP424" s="1237"/>
      <c r="HQ424" s="483"/>
      <c r="HR424"/>
      <c r="HS424"/>
      <c r="HT424"/>
      <c r="HU424"/>
      <c r="HV424"/>
      <c r="HW424"/>
      <c r="HX424"/>
      <c r="HY424"/>
      <c r="HZ424"/>
      <c r="IA424"/>
      <c r="IB424"/>
      <c r="IC424"/>
      <c r="ID424"/>
      <c r="IE424"/>
      <c r="IF424" s="564"/>
      <c r="IH424" s="326">
        <v>8</v>
      </c>
      <c r="II424" s="695" t="s">
        <v>751</v>
      </c>
    </row>
    <row r="425" spans="1:243" s="326" customFormat="1" ht="8.25" customHeight="1">
      <c r="A425" s="483"/>
      <c r="B425" s="321"/>
      <c r="C425" s="321"/>
      <c r="D425" s="321"/>
      <c r="E425" s="321"/>
      <c r="F425" s="321"/>
      <c r="G425" s="321"/>
      <c r="H425" s="321"/>
      <c r="I425" s="321"/>
      <c r="J425" s="321"/>
      <c r="K425" s="321"/>
      <c r="L425" s="321"/>
      <c r="M425" s="321"/>
      <c r="N425" s="321"/>
      <c r="O425" s="321"/>
      <c r="P425" s="564"/>
      <c r="Q425" s="483"/>
      <c r="R425" s="321"/>
      <c r="S425" s="321"/>
      <c r="T425" s="321"/>
      <c r="U425" s="321"/>
      <c r="V425" s="321"/>
      <c r="W425" s="321"/>
      <c r="X425" s="321"/>
      <c r="Y425" s="321"/>
      <c r="Z425" s="321"/>
      <c r="AA425" s="321"/>
      <c r="AB425" s="321"/>
      <c r="AC425" s="321"/>
      <c r="AD425" s="321"/>
      <c r="AE425" s="321"/>
      <c r="AF425" s="321"/>
      <c r="AG425" s="483"/>
      <c r="AH425" s="328"/>
      <c r="AI425" s="328"/>
      <c r="AJ425" s="328"/>
      <c r="AK425" s="328"/>
      <c r="AL425" s="328"/>
      <c r="AM425" s="328"/>
      <c r="AN425" s="328"/>
      <c r="AO425" s="328"/>
      <c r="AP425" s="328"/>
      <c r="AQ425" s="328"/>
      <c r="AR425" s="328"/>
      <c r="AS425" s="328"/>
      <c r="AT425" s="328"/>
      <c r="AU425" s="328"/>
      <c r="AV425" s="1237"/>
      <c r="AW425" s="1374"/>
      <c r="AX425" s="161"/>
      <c r="AY425" s="297"/>
      <c r="AZ425" s="312"/>
      <c r="BA425" s="316"/>
      <c r="BB425" s="316"/>
      <c r="BC425" s="312"/>
      <c r="BD425" s="298"/>
      <c r="BE425" s="297"/>
      <c r="BF425" s="170"/>
      <c r="BG425" s="169"/>
      <c r="BH425" s="169"/>
      <c r="BI425" s="170"/>
      <c r="BJ425" s="171"/>
      <c r="BK425" s="189"/>
      <c r="BL425" s="1375"/>
      <c r="BM425" s="193"/>
      <c r="BN425" s="199"/>
      <c r="BO425" s="201"/>
      <c r="BP425" s="297"/>
      <c r="BQ425" s="295"/>
      <c r="BR425" s="297"/>
      <c r="BS425" s="295"/>
      <c r="BT425" s="297"/>
      <c r="BU425" s="295"/>
      <c r="BV425" s="297"/>
      <c r="BW425" s="201"/>
      <c r="BX425" s="201"/>
      <c r="BY425" s="297"/>
      <c r="BZ425" s="201"/>
      <c r="CA425" s="193"/>
      <c r="CB425" s="193"/>
      <c r="CC425" s="443"/>
      <c r="CD425" s="440"/>
      <c r="CE425" s="443"/>
      <c r="CF425" s="443"/>
      <c r="CG425" s="440"/>
      <c r="CH425" s="443"/>
      <c r="CI425" s="440"/>
      <c r="CJ425" s="443"/>
      <c r="CK425" s="440"/>
      <c r="CL425" s="443"/>
      <c r="CM425" s="440"/>
      <c r="CN425" s="440"/>
      <c r="CO425" s="443"/>
      <c r="CP425" s="440"/>
      <c r="CQ425" s="440"/>
      <c r="CR425" s="443"/>
      <c r="CS425" s="483"/>
      <c r="CT425" s="292"/>
      <c r="CU425" s="328"/>
      <c r="CV425" s="328"/>
      <c r="CW425" s="328"/>
      <c r="CX425" s="292"/>
      <c r="CY425" s="328"/>
      <c r="CZ425" s="328"/>
      <c r="DA425" s="328"/>
      <c r="DB425" s="292"/>
      <c r="DC425" s="93"/>
      <c r="DD425" s="328"/>
      <c r="DE425" s="328"/>
      <c r="DF425" s="328"/>
      <c r="DG425" s="292"/>
      <c r="DH425" s="1237"/>
      <c r="DI425" s="293"/>
      <c r="DJ425" s="158"/>
      <c r="DK425" s="297"/>
      <c r="DL425" s="158"/>
      <c r="DM425" s="297"/>
      <c r="DN425" s="158"/>
      <c r="DO425" s="293"/>
      <c r="DP425" s="158"/>
      <c r="DQ425" s="293"/>
      <c r="DR425" s="158"/>
      <c r="DS425" s="293"/>
      <c r="DT425" s="158"/>
      <c r="DU425" s="293"/>
      <c r="DV425" s="163"/>
      <c r="DW425" s="293"/>
      <c r="DX425" s="292"/>
      <c r="DY425" s="483"/>
      <c r="DZ425" s="328"/>
      <c r="EA425" s="328"/>
      <c r="EB425" s="328"/>
      <c r="EC425" s="328"/>
      <c r="ED425" s="328"/>
      <c r="EE425" s="328"/>
      <c r="EF425" s="328"/>
      <c r="EG425" s="328"/>
      <c r="EH425" s="328"/>
      <c r="EI425" s="328"/>
      <c r="EJ425" s="328"/>
      <c r="EK425" s="328"/>
      <c r="EL425" s="328"/>
      <c r="EM425" s="328"/>
      <c r="EN425" s="1237"/>
      <c r="EO425" s="483"/>
      <c r="EP425" s="328"/>
      <c r="EQ425" s="328"/>
      <c r="ER425" s="328"/>
      <c r="ES425" s="328"/>
      <c r="ET425" s="328"/>
      <c r="EU425" s="328"/>
      <c r="EV425" s="328"/>
      <c r="EW425" s="328"/>
      <c r="EX425" s="328"/>
      <c r="EY425" s="328"/>
      <c r="EZ425" s="328"/>
      <c r="FA425" s="328"/>
      <c r="FB425" s="328"/>
      <c r="FC425" s="328"/>
      <c r="FD425" s="1237"/>
      <c r="FE425" s="1236"/>
      <c r="FF425" s="328"/>
      <c r="FG425" s="328"/>
      <c r="FH425" s="328"/>
      <c r="FI425" s="311"/>
      <c r="FJ425" s="328"/>
      <c r="FK425" s="328"/>
      <c r="FL425" s="318"/>
      <c r="FM425" s="437"/>
      <c r="FN425" s="328"/>
      <c r="FO425" s="328"/>
      <c r="FP425" s="328"/>
      <c r="FQ425" s="328"/>
      <c r="FR425" s="328"/>
      <c r="FS425" s="328"/>
      <c r="FT425" s="1237"/>
      <c r="FU425" s="699"/>
      <c r="FV425" s="199"/>
      <c r="FW425" s="199"/>
      <c r="FX425" s="199"/>
      <c r="FY425" s="199"/>
      <c r="FZ425" s="201"/>
      <c r="GA425" s="201"/>
      <c r="GB425" s="199"/>
      <c r="GC425" s="199"/>
      <c r="GD425" s="201"/>
      <c r="GE425" s="201"/>
      <c r="GF425" s="201"/>
      <c r="GG425" s="201"/>
      <c r="GH425" s="201"/>
      <c r="GI425" s="201"/>
      <c r="GJ425" s="79"/>
      <c r="GK425" s="699"/>
      <c r="GL425" s="207"/>
      <c r="GM425" s="207"/>
      <c r="GN425" s="204"/>
      <c r="GO425" s="204"/>
      <c r="GP425" s="298"/>
      <c r="GQ425" s="298"/>
      <c r="GR425" s="207"/>
      <c r="GS425" s="308"/>
      <c r="GT425" s="204"/>
      <c r="GU425" s="204"/>
      <c r="GV425" s="207"/>
      <c r="GW425" s="204"/>
      <c r="GX425" s="207"/>
      <c r="GY425" s="207"/>
      <c r="GZ425" s="328"/>
      <c r="HA425" s="483"/>
      <c r="HB425" s="328"/>
      <c r="HC425" s="328"/>
      <c r="HD425" s="328"/>
      <c r="HE425" s="328"/>
      <c r="HF425" s="328"/>
      <c r="HG425" s="293"/>
      <c r="HH425" s="205"/>
      <c r="HI425" s="290"/>
      <c r="HJ425" s="328"/>
      <c r="HK425" s="295"/>
      <c r="HL425" s="295"/>
      <c r="HM425" s="299"/>
      <c r="HN425" s="205"/>
      <c r="HO425" s="295"/>
      <c r="HP425" s="1237"/>
      <c r="HQ425" s="483"/>
      <c r="HR425"/>
      <c r="HS425"/>
      <c r="HT425"/>
      <c r="HU425"/>
      <c r="HV425"/>
      <c r="HW425"/>
      <c r="HX425"/>
      <c r="HY425"/>
      <c r="HZ425"/>
      <c r="IA425"/>
      <c r="IB425"/>
      <c r="IC425"/>
      <c r="ID425"/>
      <c r="IE425"/>
      <c r="IF425" s="564"/>
      <c r="IH425" s="326">
        <v>9</v>
      </c>
      <c r="II425" s="695" t="s">
        <v>752</v>
      </c>
    </row>
    <row r="426" spans="1:243" s="326" customFormat="1" ht="8.25" customHeight="1">
      <c r="A426" s="321"/>
      <c r="B426" s="321"/>
      <c r="C426" s="321"/>
      <c r="D426" s="321"/>
      <c r="E426" s="321"/>
      <c r="F426" s="321"/>
      <c r="G426" s="321"/>
      <c r="H426" s="321"/>
      <c r="I426" s="321"/>
      <c r="J426" s="321"/>
      <c r="K426" s="321"/>
      <c r="L426" s="321"/>
      <c r="M426" s="321"/>
      <c r="N426" s="321"/>
      <c r="O426" s="321"/>
      <c r="P426" s="564"/>
      <c r="Q426" s="321"/>
      <c r="R426" s="321"/>
      <c r="S426" s="321"/>
      <c r="T426" s="321"/>
      <c r="U426" s="321"/>
      <c r="V426" s="321"/>
      <c r="W426" s="321"/>
      <c r="X426" s="321"/>
      <c r="Y426" s="321"/>
      <c r="Z426" s="321"/>
      <c r="AA426" s="321"/>
      <c r="AB426" s="321"/>
      <c r="AC426" s="321"/>
      <c r="AD426" s="321"/>
      <c r="AE426" s="321"/>
      <c r="AF426" s="321"/>
      <c r="AG426" s="483"/>
      <c r="AH426" s="328"/>
      <c r="AI426" s="328"/>
      <c r="AJ426" s="328"/>
      <c r="AK426" s="328"/>
      <c r="AL426" s="328"/>
      <c r="AM426" s="328"/>
      <c r="AN426" s="328"/>
      <c r="AO426" s="328"/>
      <c r="AP426" s="328"/>
      <c r="AQ426" s="328"/>
      <c r="AR426" s="328"/>
      <c r="AS426" s="328"/>
      <c r="AT426" s="328"/>
      <c r="AU426" s="328"/>
      <c r="AV426" s="1237"/>
      <c r="AW426" s="1374"/>
      <c r="AX426" s="161"/>
      <c r="AY426" s="312"/>
      <c r="AZ426" s="316"/>
      <c r="BA426" s="204"/>
      <c r="BB426" s="301"/>
      <c r="BC426" s="316"/>
      <c r="BD426" s="312"/>
      <c r="BE426" s="170"/>
      <c r="BF426" s="169"/>
      <c r="BG426" s="301"/>
      <c r="BH426" s="171"/>
      <c r="BI426" s="169"/>
      <c r="BJ426" s="170"/>
      <c r="BK426" s="297"/>
      <c r="BL426" s="1375"/>
      <c r="BM426" s="193"/>
      <c r="BN426" s="201"/>
      <c r="BO426" s="193"/>
      <c r="BP426" s="295"/>
      <c r="BQ426" s="193"/>
      <c r="BR426" s="201"/>
      <c r="BS426" s="193"/>
      <c r="BT426" s="201"/>
      <c r="BU426" s="193"/>
      <c r="BV426" s="295"/>
      <c r="BW426" s="201"/>
      <c r="BX426" s="193"/>
      <c r="BY426" s="295"/>
      <c r="BZ426" s="201"/>
      <c r="CA426" s="201"/>
      <c r="CB426" s="201"/>
      <c r="CC426" s="443"/>
      <c r="CD426" s="440"/>
      <c r="CE426" s="440"/>
      <c r="CF426" s="440"/>
      <c r="CG426" s="440"/>
      <c r="CH426" s="440"/>
      <c r="CI426" s="440"/>
      <c r="CJ426" s="440"/>
      <c r="CK426" s="440"/>
      <c r="CL426" s="440"/>
      <c r="CM426" s="440"/>
      <c r="CN426" s="440"/>
      <c r="CO426" s="440"/>
      <c r="CP426" s="440"/>
      <c r="CQ426" s="440"/>
      <c r="CR426" s="443"/>
      <c r="CS426" s="483"/>
      <c r="CT426" s="292"/>
      <c r="CU426" s="328"/>
      <c r="CV426" s="328"/>
      <c r="CW426" s="328"/>
      <c r="CX426" s="293"/>
      <c r="CY426" s="328"/>
      <c r="CZ426" s="328"/>
      <c r="DA426" s="328"/>
      <c r="DB426" s="292"/>
      <c r="DC426" s="292"/>
      <c r="DD426" s="328"/>
      <c r="DE426" s="328"/>
      <c r="DF426" s="292"/>
      <c r="DG426" s="328"/>
      <c r="DH426" s="1237"/>
      <c r="DI426" s="293"/>
      <c r="DJ426" s="163"/>
      <c r="DK426" s="161"/>
      <c r="DL426" s="163"/>
      <c r="DM426" s="161"/>
      <c r="DN426" s="163"/>
      <c r="DO426" s="161"/>
      <c r="DP426" s="163"/>
      <c r="DQ426" s="161"/>
      <c r="DR426" s="163"/>
      <c r="DS426" s="161"/>
      <c r="DT426" s="161"/>
      <c r="DU426" s="292"/>
      <c r="DV426" s="161"/>
      <c r="DW426" s="292"/>
      <c r="DX426" s="292"/>
      <c r="DY426" s="483"/>
      <c r="DZ426" s="328"/>
      <c r="EA426" s="328"/>
      <c r="EB426" s="328"/>
      <c r="EC426" s="328"/>
      <c r="ED426" s="328"/>
      <c r="EE426" s="328"/>
      <c r="EF426" s="328"/>
      <c r="EG426" s="328"/>
      <c r="EH426" s="328"/>
      <c r="EI426" s="328"/>
      <c r="EJ426" s="328"/>
      <c r="EK426" s="328"/>
      <c r="EL426" s="328"/>
      <c r="EM426" s="328"/>
      <c r="EN426" s="1237"/>
      <c r="EO426" s="483"/>
      <c r="EP426" s="328"/>
      <c r="EQ426" s="328"/>
      <c r="ER426" s="328"/>
      <c r="ES426" s="328"/>
      <c r="ET426" s="328"/>
      <c r="EU426" s="328"/>
      <c r="EV426" s="328"/>
      <c r="EW426" s="328"/>
      <c r="EX426" s="328"/>
      <c r="EY426" s="328"/>
      <c r="EZ426" s="328"/>
      <c r="FA426" s="328"/>
      <c r="FB426" s="328"/>
      <c r="FC426" s="328"/>
      <c r="FD426" s="1237"/>
      <c r="FE426" s="1236"/>
      <c r="FF426" s="328"/>
      <c r="FG426" s="328"/>
      <c r="FH426" s="328"/>
      <c r="FI426" s="328"/>
      <c r="FJ426" s="328"/>
      <c r="FK426" s="318"/>
      <c r="FL426" s="437"/>
      <c r="FM426" s="328"/>
      <c r="FN426" s="328"/>
      <c r="FO426" s="328"/>
      <c r="FP426" s="328"/>
      <c r="FQ426" s="328"/>
      <c r="FR426" s="328"/>
      <c r="FS426" s="328"/>
      <c r="FT426" s="1237"/>
      <c r="FU426" s="699"/>
      <c r="FV426" s="291"/>
      <c r="FW426" s="291"/>
      <c r="FX426" s="291"/>
      <c r="FY426" s="291"/>
      <c r="FZ426" s="291"/>
      <c r="GA426" s="291"/>
      <c r="GB426" s="291"/>
      <c r="GC426" s="291"/>
      <c r="GD426" s="291"/>
      <c r="GE426" s="291"/>
      <c r="GF426" s="291"/>
      <c r="GG426" s="291"/>
      <c r="GH426" s="291"/>
      <c r="GI426" s="291"/>
      <c r="GJ426" s="79"/>
      <c r="GK426" s="699">
        <v>-84</v>
      </c>
      <c r="GL426" s="93"/>
      <c r="GM426" s="207"/>
      <c r="GN426" s="308"/>
      <c r="GO426" s="204"/>
      <c r="GP426" s="298"/>
      <c r="GQ426" s="328"/>
      <c r="GR426" s="207"/>
      <c r="GS426" s="204"/>
      <c r="GT426" s="204"/>
      <c r="GU426" s="207"/>
      <c r="GV426" s="207"/>
      <c r="GW426" s="204"/>
      <c r="GX426" s="204"/>
      <c r="GY426" s="298"/>
      <c r="GZ426" s="328"/>
      <c r="HA426" s="483"/>
      <c r="HB426" s="328"/>
      <c r="HC426" s="328"/>
      <c r="HD426" s="328"/>
      <c r="HE426" s="328"/>
      <c r="HF426" s="328"/>
      <c r="HG426" s="328"/>
      <c r="HH426" s="205"/>
      <c r="HI426" s="295"/>
      <c r="HJ426" s="299"/>
      <c r="HK426" s="328"/>
      <c r="HL426" s="199"/>
      <c r="HM426" s="295"/>
      <c r="HN426" s="295"/>
      <c r="HO426" s="193"/>
      <c r="HP426" s="1237"/>
      <c r="HQ426" s="483"/>
      <c r="HR426"/>
      <c r="HS426"/>
      <c r="HT426"/>
      <c r="HU426"/>
      <c r="HV426"/>
      <c r="HW426"/>
      <c r="HX426"/>
      <c r="HY426"/>
      <c r="HZ426"/>
      <c r="IA426"/>
      <c r="IB426"/>
      <c r="IC426"/>
      <c r="ID426"/>
      <c r="IE426"/>
      <c r="IF426" s="564"/>
      <c r="IH426" s="326">
        <v>10</v>
      </c>
      <c r="II426" s="695" t="s">
        <v>303</v>
      </c>
    </row>
    <row r="427" spans="1:243" s="326" customFormat="1" ht="8.25" customHeight="1">
      <c r="A427" s="321"/>
      <c r="B427" s="321"/>
      <c r="C427" s="321"/>
      <c r="D427" s="321"/>
      <c r="E427" s="321"/>
      <c r="F427" s="199"/>
      <c r="G427" s="199"/>
      <c r="H427" s="321"/>
      <c r="I427" s="199"/>
      <c r="J427" s="321"/>
      <c r="K427" s="321"/>
      <c r="L427" s="199"/>
      <c r="M427" s="321"/>
      <c r="N427" s="321"/>
      <c r="O427" s="321"/>
      <c r="P427" s="564"/>
      <c r="Q427" s="321"/>
      <c r="R427" s="321"/>
      <c r="S427" s="321"/>
      <c r="T427" s="321"/>
      <c r="U427" s="321"/>
      <c r="V427" s="305"/>
      <c r="W427" s="305"/>
      <c r="X427" s="321"/>
      <c r="Y427" s="305"/>
      <c r="Z427" s="321"/>
      <c r="AA427" s="321"/>
      <c r="AB427" s="305"/>
      <c r="AC427" s="321"/>
      <c r="AD427" s="321"/>
      <c r="AE427" s="321"/>
      <c r="AF427" s="321"/>
      <c r="AG427" s="483"/>
      <c r="AH427" s="328"/>
      <c r="AI427" s="328"/>
      <c r="AJ427" s="328"/>
      <c r="AK427" s="328"/>
      <c r="AL427" s="328"/>
      <c r="AM427" s="328"/>
      <c r="AN427" s="328"/>
      <c r="AO427" s="328"/>
      <c r="AP427" s="328"/>
      <c r="AQ427" s="328"/>
      <c r="AR427" s="328"/>
      <c r="AS427" s="328"/>
      <c r="AT427" s="328"/>
      <c r="AU427" s="328"/>
      <c r="AV427" s="1237"/>
      <c r="AW427" s="1374"/>
      <c r="AX427" s="161"/>
      <c r="AY427" s="312"/>
      <c r="AZ427" s="316"/>
      <c r="BA427" s="301"/>
      <c r="BB427" s="204"/>
      <c r="BC427" s="316"/>
      <c r="BD427" s="312"/>
      <c r="BE427" s="170"/>
      <c r="BF427" s="169"/>
      <c r="BG427" s="171"/>
      <c r="BH427" s="301"/>
      <c r="BI427" s="169"/>
      <c r="BJ427" s="170"/>
      <c r="BK427" s="297"/>
      <c r="BL427" s="1375"/>
      <c r="BM427" s="201"/>
      <c r="BN427" s="201"/>
      <c r="BO427" s="295"/>
      <c r="BP427" s="193"/>
      <c r="BQ427" s="201"/>
      <c r="BR427" s="201"/>
      <c r="BS427" s="193"/>
      <c r="BT427" s="201"/>
      <c r="BU427" s="193"/>
      <c r="BV427" s="193"/>
      <c r="BW427" s="297"/>
      <c r="BX427" s="302"/>
      <c r="BY427" s="299"/>
      <c r="BZ427" s="302"/>
      <c r="CA427" s="297"/>
      <c r="CB427" s="201"/>
      <c r="CC427" s="1236"/>
      <c r="CD427" s="443"/>
      <c r="CE427" s="443"/>
      <c r="CF427" s="443"/>
      <c r="CG427" s="443"/>
      <c r="CH427" s="443"/>
      <c r="CI427" s="443"/>
      <c r="CJ427" s="443"/>
      <c r="CK427" s="443"/>
      <c r="CL427" s="443"/>
      <c r="CM427" s="443"/>
      <c r="CN427" s="443"/>
      <c r="CO427" s="443"/>
      <c r="CP427" s="443"/>
      <c r="CQ427" s="443"/>
      <c r="CR427" s="328"/>
      <c r="CS427" s="483"/>
      <c r="CT427" s="292"/>
      <c r="CU427" s="328"/>
      <c r="CV427" s="328"/>
      <c r="CW427" s="328"/>
      <c r="CX427" s="292"/>
      <c r="CY427" s="328"/>
      <c r="CZ427" s="328"/>
      <c r="DA427" s="328"/>
      <c r="DB427" s="292"/>
      <c r="DC427" s="293"/>
      <c r="DD427" s="328"/>
      <c r="DE427" s="328"/>
      <c r="DF427" s="292"/>
      <c r="DG427" s="328"/>
      <c r="DH427" s="1237"/>
      <c r="DI427" s="293"/>
      <c r="DJ427" s="158"/>
      <c r="DK427" s="297"/>
      <c r="DL427" s="158"/>
      <c r="DM427" s="297"/>
      <c r="DN427" s="158"/>
      <c r="DO427" s="293"/>
      <c r="DP427" s="158"/>
      <c r="DQ427" s="293"/>
      <c r="DR427" s="158"/>
      <c r="DS427" s="293"/>
      <c r="DT427" s="163"/>
      <c r="DU427" s="293"/>
      <c r="DV427" s="163"/>
      <c r="DW427" s="293"/>
      <c r="DX427" s="292"/>
      <c r="DY427" s="483"/>
      <c r="DZ427" s="328"/>
      <c r="EA427" s="328"/>
      <c r="EB427" s="328"/>
      <c r="EC427" s="328"/>
      <c r="ED427" s="328"/>
      <c r="EE427" s="328"/>
      <c r="EF427" s="328"/>
      <c r="EG427" s="328">
        <v>10</v>
      </c>
      <c r="EH427" s="328"/>
      <c r="EI427" s="328"/>
      <c r="EJ427" s="328"/>
      <c r="EK427" s="328"/>
      <c r="EL427" s="328"/>
      <c r="EM427" s="328"/>
      <c r="EN427" s="1237"/>
      <c r="EO427" s="483"/>
      <c r="EP427" s="328"/>
      <c r="EQ427" s="328"/>
      <c r="ER427" s="328"/>
      <c r="ES427" s="328"/>
      <c r="ET427" s="328"/>
      <c r="EU427" s="328"/>
      <c r="EV427" s="328">
        <v>10</v>
      </c>
      <c r="EW427" s="328"/>
      <c r="EX427" s="328"/>
      <c r="EY427" s="328"/>
      <c r="EZ427" s="328"/>
      <c r="FA427" s="328"/>
      <c r="FB427" s="328"/>
      <c r="FC427" s="328"/>
      <c r="FD427" s="1237"/>
      <c r="FE427" s="1236"/>
      <c r="FF427" s="328"/>
      <c r="FG427" s="328"/>
      <c r="FH427" s="328"/>
      <c r="FI427" s="328"/>
      <c r="FJ427" s="318"/>
      <c r="FK427" s="437"/>
      <c r="FL427" s="328"/>
      <c r="FM427" s="328"/>
      <c r="FN427" s="311"/>
      <c r="FO427" s="328"/>
      <c r="FP427" s="328"/>
      <c r="FQ427" s="328"/>
      <c r="FR427" s="328"/>
      <c r="FS427" s="328"/>
      <c r="FT427" s="1237"/>
      <c r="FU427" s="699"/>
      <c r="FV427" s="201"/>
      <c r="FW427" s="291"/>
      <c r="FX427" s="93"/>
      <c r="FY427" s="93"/>
      <c r="FZ427" s="93"/>
      <c r="GA427" s="93"/>
      <c r="GB427" s="93"/>
      <c r="GC427" s="93"/>
      <c r="GD427" s="93"/>
      <c r="GE427" s="93"/>
      <c r="GF427" s="93"/>
      <c r="GG427" s="93"/>
      <c r="GH427" s="201"/>
      <c r="GI427" s="291"/>
      <c r="GJ427" s="79"/>
      <c r="GK427" s="699">
        <v>-2</v>
      </c>
      <c r="GL427" s="93"/>
      <c r="GM427" s="207"/>
      <c r="GN427" s="308"/>
      <c r="GO427" s="207"/>
      <c r="GP427" s="298"/>
      <c r="GQ427" s="328"/>
      <c r="GR427" s="207"/>
      <c r="GS427" s="207"/>
      <c r="GT427" s="204"/>
      <c r="GU427" s="207"/>
      <c r="GV427" s="298"/>
      <c r="GW427" s="207"/>
      <c r="GX427" s="308"/>
      <c r="GY427" s="298"/>
      <c r="GZ427" s="328"/>
      <c r="HA427" s="483"/>
      <c r="HB427" s="328"/>
      <c r="HC427" s="328"/>
      <c r="HD427" s="328"/>
      <c r="HE427" s="328"/>
      <c r="HF427" s="328"/>
      <c r="HG427" s="294"/>
      <c r="HH427" s="328"/>
      <c r="HI427" s="295"/>
      <c r="HJ427" s="294"/>
      <c r="HK427" s="295"/>
      <c r="HL427" s="199"/>
      <c r="HM427" s="298"/>
      <c r="HN427" s="193"/>
      <c r="HO427" s="206"/>
      <c r="HP427" s="1237"/>
      <c r="HQ427" s="483"/>
      <c r="HR427"/>
      <c r="HS427"/>
      <c r="HT427"/>
      <c r="HU427"/>
      <c r="HV427"/>
      <c r="HW427"/>
      <c r="HX427"/>
      <c r="HY427"/>
      <c r="HZ427"/>
      <c r="IA427"/>
      <c r="IB427"/>
      <c r="IC427"/>
      <c r="ID427"/>
      <c r="IE427"/>
      <c r="IF427" s="564"/>
      <c r="IH427" s="326">
        <v>11</v>
      </c>
      <c r="II427" s="695" t="s">
        <v>304</v>
      </c>
    </row>
    <row r="428" spans="1:243" s="326" customFormat="1" ht="8.25" customHeight="1">
      <c r="A428" s="321"/>
      <c r="B428" s="321"/>
      <c r="C428" s="321"/>
      <c r="D428" s="321"/>
      <c r="E428" s="199"/>
      <c r="F428" s="321"/>
      <c r="G428" s="201"/>
      <c r="H428" s="321"/>
      <c r="I428" s="201"/>
      <c r="J428" s="291"/>
      <c r="K428" s="321"/>
      <c r="L428" s="201"/>
      <c r="M428" s="321"/>
      <c r="N428" s="321"/>
      <c r="O428" s="321"/>
      <c r="P428" s="564"/>
      <c r="Q428" s="321"/>
      <c r="R428" s="321"/>
      <c r="S428" s="321"/>
      <c r="T428" s="321"/>
      <c r="U428" s="200"/>
      <c r="V428" s="321"/>
      <c r="W428" s="200"/>
      <c r="X428" s="321"/>
      <c r="Y428" s="200"/>
      <c r="Z428" s="199"/>
      <c r="AA428" s="321"/>
      <c r="AB428" s="200"/>
      <c r="AC428" s="321"/>
      <c r="AD428" s="321"/>
      <c r="AE428" s="321"/>
      <c r="AF428" s="321"/>
      <c r="AG428" s="483"/>
      <c r="AH428" s="328"/>
      <c r="AI428" s="328"/>
      <c r="AJ428" s="328"/>
      <c r="AK428" s="328"/>
      <c r="AL428" s="328"/>
      <c r="AM428" s="328"/>
      <c r="AN428" s="328"/>
      <c r="AO428" s="328"/>
      <c r="AP428" s="328"/>
      <c r="AQ428" s="328"/>
      <c r="AR428" s="328"/>
      <c r="AS428" s="328"/>
      <c r="AT428" s="328"/>
      <c r="AU428" s="328"/>
      <c r="AV428" s="1237"/>
      <c r="AW428" s="1374"/>
      <c r="AX428" s="161"/>
      <c r="AY428" s="297"/>
      <c r="AZ428" s="312"/>
      <c r="BA428" s="316"/>
      <c r="BB428" s="316"/>
      <c r="BC428" s="312"/>
      <c r="BD428" s="294"/>
      <c r="BE428" s="297"/>
      <c r="BF428" s="170"/>
      <c r="BG428" s="169"/>
      <c r="BH428" s="169"/>
      <c r="BI428" s="170"/>
      <c r="BJ428" s="171"/>
      <c r="BK428" s="189"/>
      <c r="BL428" s="1375"/>
      <c r="BM428" s="189"/>
      <c r="BN428" s="189"/>
      <c r="BO428" s="189"/>
      <c r="BP428" s="189"/>
      <c r="BQ428" s="189"/>
      <c r="BR428" s="189"/>
      <c r="BS428" s="189"/>
      <c r="BT428" s="189"/>
      <c r="BU428" s="189"/>
      <c r="BV428" s="189"/>
      <c r="BW428" s="189"/>
      <c r="BX428" s="189"/>
      <c r="BY428" s="189"/>
      <c r="BZ428" s="189"/>
      <c r="CA428" s="189"/>
      <c r="CB428" s="189"/>
      <c r="CC428" s="1236"/>
      <c r="CD428" s="328"/>
      <c r="CE428" s="328"/>
      <c r="CF428" s="328"/>
      <c r="CG428" s="328"/>
      <c r="CH428" s="328"/>
      <c r="CI428" s="328"/>
      <c r="CJ428" s="328"/>
      <c r="CK428" s="328"/>
      <c r="CL428" s="328"/>
      <c r="CM428" s="328"/>
      <c r="CN428" s="328"/>
      <c r="CO428" s="328"/>
      <c r="CP428" s="328"/>
      <c r="CQ428" s="328"/>
      <c r="CR428" s="328"/>
      <c r="CS428" s="483">
        <v>32</v>
      </c>
      <c r="CT428" s="292"/>
      <c r="CU428" s="328"/>
      <c r="CV428" s="328"/>
      <c r="CW428" s="328"/>
      <c r="CX428" s="292"/>
      <c r="CY428" s="328"/>
      <c r="CZ428" s="328"/>
      <c r="DA428" s="328"/>
      <c r="DB428" s="292"/>
      <c r="DC428" s="293"/>
      <c r="DD428" s="328"/>
      <c r="DE428" s="328"/>
      <c r="DF428" s="292"/>
      <c r="DG428" s="328"/>
      <c r="DH428" s="1237"/>
      <c r="DI428" s="293"/>
      <c r="DJ428" s="162"/>
      <c r="DK428" s="301"/>
      <c r="DL428" s="162"/>
      <c r="DM428" s="297"/>
      <c r="DN428" s="162"/>
      <c r="DO428" s="297"/>
      <c r="DP428" s="162"/>
      <c r="DQ428" s="293"/>
      <c r="DR428" s="162"/>
      <c r="DS428" s="293"/>
      <c r="DT428" s="158"/>
      <c r="DU428" s="293"/>
      <c r="DV428" s="158"/>
      <c r="DW428" s="293"/>
      <c r="DX428" s="292"/>
      <c r="DY428" s="483"/>
      <c r="DZ428" s="328"/>
      <c r="EA428" s="328"/>
      <c r="EB428" s="328"/>
      <c r="EC428" s="328"/>
      <c r="ED428" s="328"/>
      <c r="EE428" s="328"/>
      <c r="EF428" s="328"/>
      <c r="EG428" s="462">
        <v>11</v>
      </c>
      <c r="EH428" s="328"/>
      <c r="EI428" s="328"/>
      <c r="EJ428" s="328"/>
      <c r="EK428" s="328"/>
      <c r="EL428" s="328"/>
      <c r="EM428" s="328"/>
      <c r="EN428" s="1237"/>
      <c r="EO428" s="483"/>
      <c r="EP428" s="328"/>
      <c r="EQ428" s="328"/>
      <c r="ER428" s="328"/>
      <c r="ES428" s="328"/>
      <c r="ET428" s="328"/>
      <c r="EU428" s="328">
        <v>10</v>
      </c>
      <c r="EV428" s="462">
        <v>11</v>
      </c>
      <c r="EW428" s="328"/>
      <c r="EX428" s="328"/>
      <c r="EY428" s="328"/>
      <c r="EZ428" s="328"/>
      <c r="FA428" s="328"/>
      <c r="FB428" s="328"/>
      <c r="FC428" s="328"/>
      <c r="FD428" s="1237"/>
      <c r="FE428" s="1236"/>
      <c r="FF428" s="328"/>
      <c r="FG428" s="328"/>
      <c r="FH428" s="328"/>
      <c r="FI428" s="315"/>
      <c r="FJ428" s="318"/>
      <c r="FK428" s="318"/>
      <c r="FL428" s="311"/>
      <c r="FM428" s="311"/>
      <c r="FN428" s="437"/>
      <c r="FO428" s="328"/>
      <c r="FP428" s="328"/>
      <c r="FQ428" s="328"/>
      <c r="FR428" s="328"/>
      <c r="FS428" s="328"/>
      <c r="FT428" s="1237"/>
      <c r="FU428" s="699"/>
      <c r="FV428" s="201"/>
      <c r="FW428" s="291"/>
      <c r="FX428" s="93"/>
      <c r="FY428" s="93"/>
      <c r="FZ428" s="93"/>
      <c r="GA428" s="93"/>
      <c r="GB428" s="93"/>
      <c r="GC428" s="93"/>
      <c r="GD428" s="93"/>
      <c r="GE428" s="93"/>
      <c r="GF428" s="93"/>
      <c r="GG428" s="93"/>
      <c r="GH428" s="201"/>
      <c r="GI428" s="291"/>
      <c r="GJ428" s="79"/>
      <c r="GK428" s="699"/>
      <c r="GL428" s="93"/>
      <c r="GM428" s="207"/>
      <c r="GN428" s="207"/>
      <c r="GO428" s="298"/>
      <c r="GP428" s="328"/>
      <c r="GQ428" s="328"/>
      <c r="GR428" s="207"/>
      <c r="GS428" s="207"/>
      <c r="GT428" s="204"/>
      <c r="GU428" s="298"/>
      <c r="GV428" s="328"/>
      <c r="GW428" s="207"/>
      <c r="GX428" s="308"/>
      <c r="GY428" s="298"/>
      <c r="GZ428" s="328"/>
      <c r="HA428" s="483"/>
      <c r="HB428" s="328"/>
      <c r="HC428" s="328"/>
      <c r="HD428" s="328"/>
      <c r="HE428" s="328"/>
      <c r="HF428" s="328"/>
      <c r="HG428" s="205"/>
      <c r="HH428" s="299"/>
      <c r="HI428" s="298"/>
      <c r="HJ428" s="207"/>
      <c r="HK428" s="299"/>
      <c r="HL428" s="298"/>
      <c r="HM428" s="298"/>
      <c r="HN428" s="328"/>
      <c r="HO428" s="328"/>
      <c r="HP428" s="1237"/>
      <c r="HQ428" s="483"/>
      <c r="HR428"/>
      <c r="HS428"/>
      <c r="HT428"/>
      <c r="HU428"/>
      <c r="HV428"/>
      <c r="HW428"/>
      <c r="HX428"/>
      <c r="HY428"/>
      <c r="HZ428"/>
      <c r="IA428"/>
      <c r="IB428"/>
      <c r="IC428"/>
      <c r="ID428"/>
      <c r="IE428"/>
      <c r="IF428" s="564"/>
      <c r="IH428" s="326">
        <v>12</v>
      </c>
      <c r="II428" s="695" t="s">
        <v>998</v>
      </c>
    </row>
    <row r="429" spans="1:243" s="326" customFormat="1" ht="8.25" customHeight="1">
      <c r="A429" s="321"/>
      <c r="B429" s="321"/>
      <c r="C429" s="321"/>
      <c r="D429" s="321"/>
      <c r="E429" s="201"/>
      <c r="F429" s="321"/>
      <c r="G429" s="291"/>
      <c r="H429" s="321"/>
      <c r="I429" s="201"/>
      <c r="J429" s="321"/>
      <c r="K429" s="291"/>
      <c r="L429" s="201"/>
      <c r="M429" s="321"/>
      <c r="N429" s="321"/>
      <c r="O429" s="321"/>
      <c r="P429" s="564"/>
      <c r="Q429" s="321"/>
      <c r="R429" s="321"/>
      <c r="S429" s="321"/>
      <c r="T429" s="321"/>
      <c r="U429" s="199"/>
      <c r="V429" s="321"/>
      <c r="W429" s="199"/>
      <c r="X429" s="321"/>
      <c r="Y429" s="199"/>
      <c r="Z429" s="321"/>
      <c r="AA429" s="201"/>
      <c r="AB429" s="199"/>
      <c r="AC429" s="321"/>
      <c r="AD429" s="321"/>
      <c r="AE429" s="321"/>
      <c r="AF429" s="321"/>
      <c r="AG429" s="1308">
        <v>10</v>
      </c>
      <c r="AH429" s="328"/>
      <c r="AI429" s="328"/>
      <c r="AJ429" s="328"/>
      <c r="AK429" s="328"/>
      <c r="AL429" s="328"/>
      <c r="AM429" s="328"/>
      <c r="AN429" s="328"/>
      <c r="AO429" s="328"/>
      <c r="AP429" s="328"/>
      <c r="AQ429" s="328"/>
      <c r="AR429" s="328"/>
      <c r="AS429" s="328"/>
      <c r="AT429" s="328"/>
      <c r="AU429" s="328"/>
      <c r="AV429" s="1237"/>
      <c r="AW429" s="1374"/>
      <c r="AX429" s="293"/>
      <c r="AY429" s="297"/>
      <c r="AZ429" s="297"/>
      <c r="BA429" s="312"/>
      <c r="BB429" s="312"/>
      <c r="BC429" s="298"/>
      <c r="BD429" s="297"/>
      <c r="BE429" s="301"/>
      <c r="BF429" s="297"/>
      <c r="BG429" s="170"/>
      <c r="BH429" s="170"/>
      <c r="BI429" s="171"/>
      <c r="BJ429" s="297"/>
      <c r="BK429" s="189"/>
      <c r="BL429" s="1375"/>
      <c r="BM429" s="301"/>
      <c r="BN429" s="301"/>
      <c r="BO429" s="301"/>
      <c r="BP429" s="301"/>
      <c r="BQ429" s="189"/>
      <c r="BR429" s="301"/>
      <c r="BS429" s="301"/>
      <c r="BT429" s="301"/>
      <c r="BU429" s="189"/>
      <c r="BV429" s="301"/>
      <c r="BW429" s="311"/>
      <c r="BX429" s="301"/>
      <c r="BY429" s="189"/>
      <c r="BZ429" s="297"/>
      <c r="CA429" s="162"/>
      <c r="CB429" s="297"/>
      <c r="CC429" s="1236"/>
      <c r="CD429" s="328"/>
      <c r="CE429" s="328"/>
      <c r="CF429" s="328"/>
      <c r="CG429" s="328"/>
      <c r="CH429" s="328"/>
      <c r="CI429" s="328"/>
      <c r="CJ429" s="328"/>
      <c r="CK429" s="328"/>
      <c r="CL429" s="328"/>
      <c r="CM429" s="328"/>
      <c r="CN429" s="328"/>
      <c r="CO429" s="328"/>
      <c r="CP429" s="328"/>
      <c r="CQ429" s="328"/>
      <c r="CR429" s="328"/>
      <c r="CS429" s="1308"/>
      <c r="CT429" s="292"/>
      <c r="CU429" s="328"/>
      <c r="CV429" s="328"/>
      <c r="CW429" s="328"/>
      <c r="CX429" s="93"/>
      <c r="CY429" s="328"/>
      <c r="CZ429" s="328"/>
      <c r="DA429" s="328"/>
      <c r="DB429" s="292"/>
      <c r="DC429" s="292"/>
      <c r="DD429" s="328"/>
      <c r="DE429" s="328"/>
      <c r="DF429" s="292"/>
      <c r="DG429" s="328"/>
      <c r="DH429" s="1237"/>
      <c r="DI429" s="293"/>
      <c r="DJ429" s="158"/>
      <c r="DK429" s="297"/>
      <c r="DL429" s="158"/>
      <c r="DM429" s="297"/>
      <c r="DN429" s="158"/>
      <c r="DO429" s="293"/>
      <c r="DP429" s="158"/>
      <c r="DQ429" s="293"/>
      <c r="DR429" s="158"/>
      <c r="DS429" s="293"/>
      <c r="DT429" s="158"/>
      <c r="DU429" s="293"/>
      <c r="DV429" s="163"/>
      <c r="DW429" s="293"/>
      <c r="DX429" s="292"/>
      <c r="DY429" s="1308">
        <v>10</v>
      </c>
      <c r="DZ429" s="328"/>
      <c r="EA429" s="328"/>
      <c r="EB429" s="328"/>
      <c r="EC429" s="328"/>
      <c r="ED429" s="328"/>
      <c r="EE429" s="328"/>
      <c r="EF429" s="328">
        <v>10</v>
      </c>
      <c r="EG429" s="462">
        <v>11</v>
      </c>
      <c r="EH429" s="328">
        <v>10</v>
      </c>
      <c r="EI429" s="328"/>
      <c r="EJ429" s="328"/>
      <c r="EK429" s="328"/>
      <c r="EL429" s="328"/>
      <c r="EM429" s="328"/>
      <c r="EN429" s="1237"/>
      <c r="EO429" s="1308">
        <v>10</v>
      </c>
      <c r="EP429" s="328"/>
      <c r="EQ429" s="328"/>
      <c r="ER429" s="328"/>
      <c r="ES429" s="328"/>
      <c r="ET429" s="328"/>
      <c r="EU429" s="328">
        <v>10</v>
      </c>
      <c r="EV429" s="307"/>
      <c r="EW429" s="328">
        <v>10</v>
      </c>
      <c r="EX429" s="328"/>
      <c r="EY429" s="328"/>
      <c r="EZ429" s="328">
        <v>10</v>
      </c>
      <c r="FA429" s="328"/>
      <c r="FB429" s="328"/>
      <c r="FC429" s="328"/>
      <c r="FD429" s="1237"/>
      <c r="FE429" s="1236"/>
      <c r="FF429" s="328"/>
      <c r="FG429" s="328"/>
      <c r="FH429" s="328"/>
      <c r="FI429" s="315"/>
      <c r="FJ429" s="311"/>
      <c r="FK429" s="437"/>
      <c r="FL429" s="437"/>
      <c r="FM429" s="437"/>
      <c r="FN429" s="328"/>
      <c r="FO429" s="328"/>
      <c r="FP429" s="328"/>
      <c r="FQ429" s="328"/>
      <c r="FR429" s="328"/>
      <c r="FS429" s="328"/>
      <c r="FT429" s="1237"/>
      <c r="FU429" s="699"/>
      <c r="FV429" s="201"/>
      <c r="FW429" s="291"/>
      <c r="FX429" s="93"/>
      <c r="FY429" s="93"/>
      <c r="FZ429" s="93"/>
      <c r="GA429" s="93"/>
      <c r="GB429" s="93"/>
      <c r="GC429" s="93"/>
      <c r="GD429" s="93"/>
      <c r="GE429" s="93"/>
      <c r="GF429" s="93"/>
      <c r="GG429" s="93"/>
      <c r="GH429" s="201"/>
      <c r="GI429" s="291"/>
      <c r="GJ429" s="79"/>
      <c r="GK429" s="699"/>
      <c r="GL429" s="93"/>
      <c r="GM429" s="207"/>
      <c r="GN429" s="207"/>
      <c r="GO429" s="328"/>
      <c r="GP429" s="328"/>
      <c r="GQ429" s="328"/>
      <c r="GR429" s="207"/>
      <c r="GS429" s="204"/>
      <c r="GT429" s="308"/>
      <c r="GU429" s="298"/>
      <c r="GV429" s="328"/>
      <c r="GW429" s="207"/>
      <c r="GX429" s="204"/>
      <c r="GY429" s="207"/>
      <c r="GZ429" s="328"/>
      <c r="HA429" s="1308">
        <v>10</v>
      </c>
      <c r="HB429" s="328"/>
      <c r="HC429" s="328"/>
      <c r="HD429" s="328"/>
      <c r="HE429" s="328"/>
      <c r="HF429" s="328"/>
      <c r="HG429" s="294"/>
      <c r="HH429" s="205"/>
      <c r="HI429" s="290"/>
      <c r="HJ429" s="298"/>
      <c r="HK429" s="294"/>
      <c r="HL429" s="298"/>
      <c r="HM429" s="295"/>
      <c r="HN429" s="328"/>
      <c r="HO429" s="328"/>
      <c r="HP429" s="1237"/>
      <c r="HQ429" s="321">
        <v>10</v>
      </c>
      <c r="HR429"/>
      <c r="HS429"/>
      <c r="HT429"/>
      <c r="HU429"/>
      <c r="HV429"/>
      <c r="HW429"/>
      <c r="HX429"/>
      <c r="HY429"/>
      <c r="HZ429"/>
      <c r="IA429"/>
      <c r="IB429"/>
      <c r="IC429"/>
      <c r="ID429"/>
      <c r="IE429"/>
      <c r="IF429" s="564"/>
      <c r="IH429" s="326">
        <v>13</v>
      </c>
      <c r="II429" s="695" t="s">
        <v>853</v>
      </c>
    </row>
    <row r="430" spans="1:243" s="326" customFormat="1" ht="8.25" customHeight="1">
      <c r="A430" s="321"/>
      <c r="B430" s="321"/>
      <c r="C430" s="321"/>
      <c r="D430" s="321"/>
      <c r="E430" s="201"/>
      <c r="F430" s="291"/>
      <c r="G430" s="321"/>
      <c r="H430" s="321"/>
      <c r="I430" s="291"/>
      <c r="J430" s="321"/>
      <c r="K430" s="321"/>
      <c r="L430" s="291"/>
      <c r="M430" s="321"/>
      <c r="N430" s="321"/>
      <c r="O430" s="321"/>
      <c r="P430" s="564"/>
      <c r="Q430" s="321"/>
      <c r="R430" s="321"/>
      <c r="S430" s="321"/>
      <c r="T430" s="321"/>
      <c r="U430" s="199"/>
      <c r="V430" s="201"/>
      <c r="W430" s="321"/>
      <c r="X430" s="321"/>
      <c r="Y430" s="201"/>
      <c r="Z430" s="321"/>
      <c r="AA430" s="321"/>
      <c r="AB430" s="201"/>
      <c r="AC430" s="321"/>
      <c r="AD430" s="321"/>
      <c r="AE430" s="321"/>
      <c r="AF430" s="321"/>
      <c r="AG430" s="1236"/>
      <c r="AH430" s="328"/>
      <c r="AI430" s="328"/>
      <c r="AJ430" s="328"/>
      <c r="AK430" s="328"/>
      <c r="AL430" s="328"/>
      <c r="AM430" s="328"/>
      <c r="AN430" s="328"/>
      <c r="AO430" s="328"/>
      <c r="AP430" s="328"/>
      <c r="AQ430" s="328"/>
      <c r="AR430" s="328"/>
      <c r="AS430" s="328"/>
      <c r="AT430" s="328"/>
      <c r="AU430" s="328"/>
      <c r="AV430" s="1237"/>
      <c r="AW430" s="1374">
        <v>3</v>
      </c>
      <c r="AX430" s="293"/>
      <c r="AY430" s="297"/>
      <c r="AZ430" s="301"/>
      <c r="BA430" s="297"/>
      <c r="BB430" s="293"/>
      <c r="BC430" s="293"/>
      <c r="BD430" s="293"/>
      <c r="BE430" s="293"/>
      <c r="BF430" s="293"/>
      <c r="BG430" s="293"/>
      <c r="BH430" s="297"/>
      <c r="BI430" s="297"/>
      <c r="BJ430" s="301"/>
      <c r="BK430" s="189"/>
      <c r="BL430" s="1375"/>
      <c r="BM430" s="301">
        <v>26</v>
      </c>
      <c r="BN430" s="301"/>
      <c r="BO430" s="301"/>
      <c r="BP430" s="301"/>
      <c r="BQ430" s="189"/>
      <c r="BR430" s="305"/>
      <c r="BS430" s="305"/>
      <c r="BT430" s="305"/>
      <c r="BU430" s="189"/>
      <c r="BV430" s="311"/>
      <c r="BW430" s="301"/>
      <c r="BX430" s="311"/>
      <c r="BY430" s="189"/>
      <c r="BZ430" s="301"/>
      <c r="CA430" s="301"/>
      <c r="CB430" s="301"/>
      <c r="CC430" s="1236"/>
      <c r="CD430" s="328"/>
      <c r="CE430" s="328"/>
      <c r="CF430" s="328"/>
      <c r="CG430" s="328"/>
      <c r="CH430" s="328"/>
      <c r="CI430" s="328"/>
      <c r="CJ430" s="328"/>
      <c r="CK430" s="328"/>
      <c r="CL430" s="328"/>
      <c r="CM430" s="328"/>
      <c r="CN430" s="328"/>
      <c r="CO430" s="328"/>
      <c r="CP430" s="328"/>
      <c r="CQ430" s="328"/>
      <c r="CR430" s="328"/>
      <c r="CS430" s="1308"/>
      <c r="CT430" s="292"/>
      <c r="CU430" s="328"/>
      <c r="CV430" s="328"/>
      <c r="CW430" s="328"/>
      <c r="CX430" s="292"/>
      <c r="CY430" s="328"/>
      <c r="CZ430" s="328"/>
      <c r="DA430" s="93"/>
      <c r="DB430" s="292"/>
      <c r="DC430" s="292"/>
      <c r="DD430" s="93"/>
      <c r="DE430" s="93"/>
      <c r="DF430" s="1237"/>
      <c r="DG430" s="328"/>
      <c r="DH430" s="1237"/>
      <c r="DI430" s="293"/>
      <c r="DJ430" s="163"/>
      <c r="DK430" s="161"/>
      <c r="DL430" s="163"/>
      <c r="DM430" s="161"/>
      <c r="DN430" s="163"/>
      <c r="DO430" s="161"/>
      <c r="DP430" s="163"/>
      <c r="DQ430" s="161"/>
      <c r="DR430" s="163"/>
      <c r="DS430" s="161"/>
      <c r="DT430" s="161"/>
      <c r="DU430" s="292"/>
      <c r="DV430" s="161"/>
      <c r="DW430" s="292"/>
      <c r="DX430" s="292"/>
      <c r="DY430" s="1236"/>
      <c r="DZ430" s="328"/>
      <c r="EA430" s="328"/>
      <c r="EB430" s="328"/>
      <c r="EC430" s="328"/>
      <c r="ED430" s="328"/>
      <c r="EE430" s="328">
        <v>10</v>
      </c>
      <c r="EF430" s="462">
        <v>11</v>
      </c>
      <c r="EG430" s="307"/>
      <c r="EH430" s="328">
        <v>10</v>
      </c>
      <c r="EI430" s="328"/>
      <c r="EJ430" s="328">
        <v>10</v>
      </c>
      <c r="EK430" s="328"/>
      <c r="EL430" s="328"/>
      <c r="EM430" s="328"/>
      <c r="EN430" s="1237"/>
      <c r="EO430" s="1236"/>
      <c r="EP430" s="328"/>
      <c r="EQ430" s="328"/>
      <c r="ER430" s="328"/>
      <c r="ES430" s="328"/>
      <c r="ET430" s="328"/>
      <c r="EU430" s="462">
        <v>11</v>
      </c>
      <c r="EV430" s="307"/>
      <c r="EW430" s="462">
        <v>11</v>
      </c>
      <c r="EX430" s="328">
        <v>10</v>
      </c>
      <c r="EY430" s="328"/>
      <c r="EZ430" s="328">
        <v>10</v>
      </c>
      <c r="FA430" s="328"/>
      <c r="FB430" s="328"/>
      <c r="FC430" s="328"/>
      <c r="FD430" s="1237"/>
      <c r="FE430" s="1236"/>
      <c r="FF430" s="93"/>
      <c r="FG430" s="93"/>
      <c r="FH430" s="93"/>
      <c r="FI430" s="93"/>
      <c r="FJ430" s="93"/>
      <c r="FK430" s="93"/>
      <c r="FL430" s="93"/>
      <c r="FM430" s="93"/>
      <c r="FN430" s="93"/>
      <c r="FO430" s="93"/>
      <c r="FP430" s="328"/>
      <c r="FQ430" s="328"/>
      <c r="FR430" s="328"/>
      <c r="FS430" s="328"/>
      <c r="FT430" s="1237"/>
      <c r="FU430" s="699"/>
      <c r="FV430" s="199"/>
      <c r="FW430" s="199"/>
      <c r="FX430" s="199"/>
      <c r="FY430" s="201"/>
      <c r="FZ430" s="199"/>
      <c r="GA430" s="199"/>
      <c r="GB430" s="199"/>
      <c r="GC430" s="201"/>
      <c r="GD430" s="201"/>
      <c r="GE430" s="201"/>
      <c r="GF430" s="201"/>
      <c r="GG430" s="201"/>
      <c r="GH430" s="201"/>
      <c r="GI430" s="201"/>
      <c r="GJ430" s="79"/>
      <c r="GK430" s="699"/>
      <c r="GL430" s="93"/>
      <c r="GM430" s="207"/>
      <c r="GN430" s="298"/>
      <c r="GO430" s="328"/>
      <c r="GP430" s="328"/>
      <c r="GQ430" s="328"/>
      <c r="GR430" s="207"/>
      <c r="GS430" s="207"/>
      <c r="GT430" s="308"/>
      <c r="GU430" s="298"/>
      <c r="GV430" s="328"/>
      <c r="GW430" s="207"/>
      <c r="GX430" s="204"/>
      <c r="GY430" s="297"/>
      <c r="GZ430" s="298"/>
      <c r="HA430" s="1236"/>
      <c r="HB430" s="328"/>
      <c r="HC430" s="328"/>
      <c r="HD430" s="328"/>
      <c r="HE430" s="328"/>
      <c r="HF430" s="328"/>
      <c r="HG430" s="328"/>
      <c r="HH430" s="295"/>
      <c r="HI430" s="298"/>
      <c r="HJ430" s="298"/>
      <c r="HK430" s="294"/>
      <c r="HL430" s="299"/>
      <c r="HM430" s="295"/>
      <c r="HN430" s="295"/>
      <c r="HO430" s="328"/>
      <c r="HP430" s="564"/>
      <c r="HQ430" s="321">
        <v>20</v>
      </c>
      <c r="HR430"/>
      <c r="HS430"/>
      <c r="HT430"/>
      <c r="HU430"/>
      <c r="HV430"/>
      <c r="HW430"/>
      <c r="HX430"/>
      <c r="HY430"/>
      <c r="HZ430"/>
      <c r="IA430"/>
      <c r="IB430"/>
      <c r="IC430"/>
      <c r="ID430"/>
      <c r="IE430"/>
      <c r="IF430" s="564"/>
      <c r="IH430" s="326">
        <v>14</v>
      </c>
      <c r="II430" s="695" t="s">
        <v>755</v>
      </c>
    </row>
    <row r="431" spans="1:243" s="326" customFormat="1" ht="8.25" customHeight="1">
      <c r="A431" s="321"/>
      <c r="B431" s="321"/>
      <c r="C431" s="321"/>
      <c r="D431" s="321"/>
      <c r="E431" s="321"/>
      <c r="F431" s="321"/>
      <c r="G431" s="321"/>
      <c r="H431" s="321"/>
      <c r="I431" s="321"/>
      <c r="J431" s="321"/>
      <c r="K431" s="321"/>
      <c r="L431" s="321"/>
      <c r="M431" s="321"/>
      <c r="N431" s="321"/>
      <c r="O431" s="321"/>
      <c r="P431" s="564"/>
      <c r="Q431" s="321"/>
      <c r="R431" s="321"/>
      <c r="S431" s="321"/>
      <c r="T431" s="321"/>
      <c r="U431" s="321"/>
      <c r="V431" s="321"/>
      <c r="W431" s="321"/>
      <c r="X431" s="321"/>
      <c r="Y431" s="321"/>
      <c r="Z431" s="321"/>
      <c r="AA431" s="321"/>
      <c r="AB431" s="321"/>
      <c r="AC431" s="321"/>
      <c r="AD431" s="321"/>
      <c r="AE431" s="321"/>
      <c r="AF431" s="321"/>
      <c r="AG431" s="1236"/>
      <c r="AH431" s="328"/>
      <c r="AI431" s="328"/>
      <c r="AJ431" s="328"/>
      <c r="AK431" s="328"/>
      <c r="AL431" s="328"/>
      <c r="AM431" s="293"/>
      <c r="AN431" s="293"/>
      <c r="AO431" s="291"/>
      <c r="AP431" s="291"/>
      <c r="AQ431" s="328"/>
      <c r="AR431" s="328"/>
      <c r="AS431" s="328"/>
      <c r="AT431" s="328"/>
      <c r="AU431" s="328"/>
      <c r="AV431" s="1237"/>
      <c r="AW431" s="993">
        <v>16</v>
      </c>
      <c r="AX431" s="308"/>
      <c r="AY431" s="308"/>
      <c r="AZ431" s="308"/>
      <c r="BA431" s="308"/>
      <c r="BB431" s="308"/>
      <c r="BC431" s="308"/>
      <c r="BD431" s="308"/>
      <c r="BE431" s="308"/>
      <c r="BF431" s="308"/>
      <c r="BG431" s="308"/>
      <c r="BH431" s="308"/>
      <c r="BI431" s="308"/>
      <c r="BJ431" s="308"/>
      <c r="BK431" s="308"/>
      <c r="BL431" s="988"/>
      <c r="BM431" s="189">
        <v>16</v>
      </c>
      <c r="BN431" s="189"/>
      <c r="BO431" s="189"/>
      <c r="BP431" s="189"/>
      <c r="BQ431" s="189"/>
      <c r="BR431" s="301"/>
      <c r="BS431" s="301"/>
      <c r="BT431" s="301"/>
      <c r="BU431" s="189"/>
      <c r="BV431" s="189"/>
      <c r="BW431" s="189"/>
      <c r="BX431" s="189"/>
      <c r="BY431" s="189"/>
      <c r="BZ431" s="297"/>
      <c r="CA431" s="162"/>
      <c r="CB431" s="297"/>
      <c r="CC431" s="1236"/>
      <c r="CD431" s="328"/>
      <c r="CE431" s="328"/>
      <c r="CF431" s="328"/>
      <c r="CG431" s="328"/>
      <c r="CH431" s="328"/>
      <c r="CI431" s="328"/>
      <c r="CJ431" s="328"/>
      <c r="CK431" s="328"/>
      <c r="CL431" s="328"/>
      <c r="CM431" s="328"/>
      <c r="CN431" s="328"/>
      <c r="CO431" s="328"/>
      <c r="CP431" s="328"/>
      <c r="CQ431" s="328"/>
      <c r="CR431" s="328"/>
      <c r="CS431" s="483"/>
      <c r="CT431" s="292"/>
      <c r="CU431" s="328"/>
      <c r="CV431" s="328"/>
      <c r="CW431" s="328"/>
      <c r="CX431" s="292"/>
      <c r="CY431" s="93"/>
      <c r="CZ431" s="328"/>
      <c r="DA431" s="93"/>
      <c r="DB431" s="292"/>
      <c r="DC431" s="292"/>
      <c r="DD431" s="93"/>
      <c r="DE431" s="93"/>
      <c r="DF431" s="292"/>
      <c r="DG431" s="328"/>
      <c r="DH431" s="1237"/>
      <c r="DI431" s="293"/>
      <c r="DJ431" s="158"/>
      <c r="DK431" s="297"/>
      <c r="DL431" s="158"/>
      <c r="DM431" s="297"/>
      <c r="DN431" s="158"/>
      <c r="DO431" s="293"/>
      <c r="DP431" s="158"/>
      <c r="DQ431" s="293"/>
      <c r="DR431" s="158"/>
      <c r="DS431" s="293"/>
      <c r="DT431" s="163"/>
      <c r="DU431" s="293"/>
      <c r="DV431" s="163"/>
      <c r="DW431" s="293"/>
      <c r="DX431" s="292"/>
      <c r="DY431" s="1236"/>
      <c r="DZ431" s="328"/>
      <c r="EA431" s="328"/>
      <c r="EB431" s="328"/>
      <c r="EC431" s="328"/>
      <c r="ED431" s="328"/>
      <c r="EE431" s="328">
        <v>9</v>
      </c>
      <c r="EF431" s="307"/>
      <c r="EG431" s="462">
        <v>11</v>
      </c>
      <c r="EH431" s="328">
        <v>9</v>
      </c>
      <c r="EI431" s="328"/>
      <c r="EJ431" s="328">
        <v>10</v>
      </c>
      <c r="EK431" s="328"/>
      <c r="EL431" s="328"/>
      <c r="EM431" s="328"/>
      <c r="EN431" s="1237"/>
      <c r="EO431" s="1236"/>
      <c r="EP431" s="328"/>
      <c r="EQ431" s="328"/>
      <c r="ER431" s="328"/>
      <c r="ES431" s="328">
        <v>10</v>
      </c>
      <c r="ET431" s="328"/>
      <c r="EU431" s="328">
        <v>10</v>
      </c>
      <c r="EV431" s="462">
        <v>11</v>
      </c>
      <c r="EW431" s="307"/>
      <c r="EX431" s="462">
        <v>11</v>
      </c>
      <c r="EY431" s="328">
        <v>10</v>
      </c>
      <c r="EZ431" s="462">
        <v>11</v>
      </c>
      <c r="FA431" s="328">
        <v>10</v>
      </c>
      <c r="FB431" s="328"/>
      <c r="FC431" s="328"/>
      <c r="FD431" s="1237"/>
      <c r="FE431" s="1236"/>
      <c r="FF431" s="93"/>
      <c r="FG431" s="93"/>
      <c r="FH431" s="189"/>
      <c r="FI431" s="293"/>
      <c r="FJ431" s="293"/>
      <c r="FK431" s="293"/>
      <c r="FL431" s="293"/>
      <c r="FM431" s="293"/>
      <c r="FN431" s="189"/>
      <c r="FO431" s="93"/>
      <c r="FP431" s="328"/>
      <c r="FQ431" s="328"/>
      <c r="FR431" s="328"/>
      <c r="FS431" s="328"/>
      <c r="FT431" s="1237"/>
      <c r="FU431" s="699"/>
      <c r="FV431" s="291"/>
      <c r="FW431" s="291"/>
      <c r="FX431" s="291"/>
      <c r="FY431" s="291"/>
      <c r="FZ431" s="291"/>
      <c r="GA431" s="291"/>
      <c r="GB431" s="291"/>
      <c r="GC431" s="291"/>
      <c r="GD431" s="291"/>
      <c r="GE431" s="291"/>
      <c r="GF431" s="291"/>
      <c r="GG431" s="291"/>
      <c r="GH431" s="291"/>
      <c r="GI431" s="291"/>
      <c r="GJ431" s="79"/>
      <c r="GK431" s="699"/>
      <c r="GL431" s="93"/>
      <c r="GM431" s="204"/>
      <c r="GN431" s="207"/>
      <c r="GO431" s="328"/>
      <c r="GP431" s="328"/>
      <c r="GQ431" s="328"/>
      <c r="GR431" s="328"/>
      <c r="GS431" s="207"/>
      <c r="GT431" s="204"/>
      <c r="GU431" s="298"/>
      <c r="GV431" s="328"/>
      <c r="GW431" s="207"/>
      <c r="GX431" s="297"/>
      <c r="GY431" s="291"/>
      <c r="GZ431" s="298"/>
      <c r="HA431" s="1236"/>
      <c r="HB431" s="328"/>
      <c r="HC431" s="328"/>
      <c r="HD431" s="328"/>
      <c r="HE431" s="328"/>
      <c r="HF431" s="328"/>
      <c r="HG431" s="299"/>
      <c r="HH431" s="295"/>
      <c r="HI431" s="295"/>
      <c r="HJ431" s="294"/>
      <c r="HK431" s="295"/>
      <c r="HL431" s="201"/>
      <c r="HM431" s="295"/>
      <c r="HN431" s="193"/>
      <c r="HO431" s="328"/>
      <c r="HP431" s="564"/>
      <c r="HQ431" s="483">
        <v>256</v>
      </c>
      <c r="HR431"/>
      <c r="HS431"/>
      <c r="HT431"/>
      <c r="HU431"/>
      <c r="HV431"/>
      <c r="HW431"/>
      <c r="HX431"/>
      <c r="HY431"/>
      <c r="HZ431"/>
      <c r="IA431"/>
      <c r="IB431"/>
      <c r="IC431"/>
      <c r="ID431"/>
      <c r="IE431"/>
      <c r="IF431" s="564"/>
      <c r="IH431" s="326">
        <v>15</v>
      </c>
      <c r="II431" s="695" t="s">
        <v>971</v>
      </c>
    </row>
    <row r="432" spans="1:243" s="326" customFormat="1" ht="8.25" customHeight="1">
      <c r="A432" s="321"/>
      <c r="B432" s="321"/>
      <c r="C432" s="321"/>
      <c r="D432" s="321"/>
      <c r="E432" s="321"/>
      <c r="F432" s="189"/>
      <c r="G432" s="301"/>
      <c r="H432" s="301"/>
      <c r="I432" s="301"/>
      <c r="J432" s="301"/>
      <c r="K432" s="297"/>
      <c r="L432" s="321"/>
      <c r="M432" s="321"/>
      <c r="N432" s="321"/>
      <c r="O432" s="321"/>
      <c r="P432" s="564"/>
      <c r="Q432" s="321"/>
      <c r="R432" s="321"/>
      <c r="S432" s="321"/>
      <c r="T432" s="321"/>
      <c r="U432" s="321"/>
      <c r="V432" s="189"/>
      <c r="W432" s="301"/>
      <c r="X432" s="301"/>
      <c r="Y432" s="301"/>
      <c r="Z432" s="301"/>
      <c r="AA432" s="297"/>
      <c r="AB432" s="321"/>
      <c r="AC432" s="321"/>
      <c r="AD432" s="321"/>
      <c r="AE432" s="321"/>
      <c r="AF432" s="321"/>
      <c r="AG432" s="1236"/>
      <c r="AH432" s="328"/>
      <c r="AI432" s="328"/>
      <c r="AJ432" s="328"/>
      <c r="AK432" s="328"/>
      <c r="AL432" s="293"/>
      <c r="AM432" s="297"/>
      <c r="AN432" s="293"/>
      <c r="AO432" s="291"/>
      <c r="AP432" s="291"/>
      <c r="AQ432" s="293"/>
      <c r="AR432" s="328"/>
      <c r="AS432" s="328"/>
      <c r="AT432" s="328"/>
      <c r="AU432" s="328"/>
      <c r="AV432" s="1237"/>
      <c r="AW432" s="993">
        <v>283</v>
      </c>
      <c r="AX432" s="204"/>
      <c r="AY432" s="204"/>
      <c r="AZ432" s="204"/>
      <c r="BA432" s="204"/>
      <c r="BB432" s="204"/>
      <c r="BC432" s="204"/>
      <c r="BD432" s="204"/>
      <c r="BE432" s="204"/>
      <c r="BF432" s="204"/>
      <c r="BG432" s="204"/>
      <c r="BH432" s="204"/>
      <c r="BI432" s="207"/>
      <c r="BJ432" s="298"/>
      <c r="BK432" s="298"/>
      <c r="BL432" s="990"/>
      <c r="BM432" s="301">
        <v>281</v>
      </c>
      <c r="BN432" s="305"/>
      <c r="BO432" s="301"/>
      <c r="BP432" s="305"/>
      <c r="BQ432" s="189"/>
      <c r="BR432" s="305"/>
      <c r="BS432" s="305"/>
      <c r="BT432" s="305"/>
      <c r="BU432" s="189"/>
      <c r="BV432" s="301"/>
      <c r="BW432" s="189"/>
      <c r="BX432" s="301"/>
      <c r="BY432" s="189"/>
      <c r="BZ432" s="301"/>
      <c r="CA432" s="301"/>
      <c r="CB432" s="301"/>
      <c r="CC432" s="1236"/>
      <c r="CD432" s="328"/>
      <c r="CE432" s="290"/>
      <c r="CF432" s="293"/>
      <c r="CG432" s="293"/>
      <c r="CH432" s="293"/>
      <c r="CI432" s="293"/>
      <c r="CJ432" s="293"/>
      <c r="CK432" s="293"/>
      <c r="CL432" s="293"/>
      <c r="CM432" s="293"/>
      <c r="CN432" s="293"/>
      <c r="CO432" s="293"/>
      <c r="CP432" s="290"/>
      <c r="CQ432" s="328"/>
      <c r="CR432" s="328"/>
      <c r="CS432" s="483"/>
      <c r="CT432" s="293"/>
      <c r="CU432" s="328"/>
      <c r="CV432" s="328"/>
      <c r="CW432" s="328"/>
      <c r="CX432" s="292"/>
      <c r="CY432" s="292"/>
      <c r="CZ432" s="328"/>
      <c r="DA432" s="93"/>
      <c r="DB432" s="292"/>
      <c r="DC432" s="93"/>
      <c r="DD432" s="93"/>
      <c r="DE432" s="93"/>
      <c r="DF432" s="292"/>
      <c r="DG432" s="93"/>
      <c r="DH432" s="292"/>
      <c r="DI432" s="293">
        <v>126</v>
      </c>
      <c r="DJ432" s="162"/>
      <c r="DK432" s="301"/>
      <c r="DL432" s="162"/>
      <c r="DM432" s="297"/>
      <c r="DN432" s="162"/>
      <c r="DO432" s="297"/>
      <c r="DP432" s="162"/>
      <c r="DQ432" s="293"/>
      <c r="DR432" s="162"/>
      <c r="DS432" s="293"/>
      <c r="DT432" s="158"/>
      <c r="DU432" s="293"/>
      <c r="DV432" s="158"/>
      <c r="DW432" s="293"/>
      <c r="DX432" s="292"/>
      <c r="DY432" s="1236"/>
      <c r="DZ432" s="328"/>
      <c r="EA432" s="328"/>
      <c r="EB432" s="328"/>
      <c r="EC432" s="328">
        <v>10</v>
      </c>
      <c r="ED432" s="328"/>
      <c r="EE432" s="200"/>
      <c r="EF432" s="199"/>
      <c r="EG432" s="201"/>
      <c r="EH432" s="200"/>
      <c r="EI432" s="328">
        <v>9</v>
      </c>
      <c r="EJ432" s="462">
        <v>11</v>
      </c>
      <c r="EK432" s="328">
        <v>9</v>
      </c>
      <c r="EL432" s="328"/>
      <c r="EM432" s="328"/>
      <c r="EN432" s="1237"/>
      <c r="EO432" s="1236"/>
      <c r="EP432" s="328"/>
      <c r="EQ432" s="328"/>
      <c r="ER432" s="328">
        <v>10</v>
      </c>
      <c r="ES432" s="462">
        <v>11</v>
      </c>
      <c r="ET432" s="328"/>
      <c r="EU432" s="200"/>
      <c r="EV432" s="310"/>
      <c r="EW432" s="199"/>
      <c r="EX432" s="200"/>
      <c r="EY432" s="328">
        <v>10</v>
      </c>
      <c r="EZ432" s="462">
        <v>11</v>
      </c>
      <c r="FA432" s="328">
        <v>10</v>
      </c>
      <c r="FB432" s="328"/>
      <c r="FC432" s="328"/>
      <c r="FD432" s="1237"/>
      <c r="FE432" s="1236">
        <v>70</v>
      </c>
      <c r="FF432" s="93"/>
      <c r="FG432" s="189"/>
      <c r="FH432" s="293"/>
      <c r="FI432" s="301"/>
      <c r="FJ432" s="301"/>
      <c r="FK432" s="301"/>
      <c r="FL432" s="301"/>
      <c r="FM432" s="301"/>
      <c r="FN432" s="293"/>
      <c r="FO432" s="189"/>
      <c r="FP432" s="328"/>
      <c r="FQ432" s="328"/>
      <c r="FR432" s="328"/>
      <c r="FS432" s="328"/>
      <c r="FT432" s="1237"/>
      <c r="FU432" s="699"/>
      <c r="FV432" s="201"/>
      <c r="FW432" s="291"/>
      <c r="FX432" s="93"/>
      <c r="FY432" s="93"/>
      <c r="FZ432" s="93"/>
      <c r="GA432" s="93"/>
      <c r="GB432" s="93"/>
      <c r="GC432" s="93"/>
      <c r="GD432" s="93"/>
      <c r="GE432" s="93"/>
      <c r="GF432" s="93"/>
      <c r="GG432" s="93"/>
      <c r="GH432" s="201"/>
      <c r="GI432" s="291"/>
      <c r="GJ432" s="79"/>
      <c r="GK432" s="699">
        <v>-85</v>
      </c>
      <c r="GL432" s="308"/>
      <c r="GM432" s="291"/>
      <c r="GN432" s="301"/>
      <c r="GO432" s="207"/>
      <c r="GP432" s="328"/>
      <c r="GQ432" s="328"/>
      <c r="GR432" s="328"/>
      <c r="GS432" s="207"/>
      <c r="GT432" s="204"/>
      <c r="GU432" s="298"/>
      <c r="GV432" s="328"/>
      <c r="GW432" s="207"/>
      <c r="GX432" s="207"/>
      <c r="GY432" s="207"/>
      <c r="GZ432" s="294"/>
      <c r="HA432" s="1236">
        <f>256+161</f>
        <v>417</v>
      </c>
      <c r="HB432" s="328"/>
      <c r="HC432" s="328"/>
      <c r="HD432" s="328"/>
      <c r="HE432" s="328"/>
      <c r="HF432" s="328"/>
      <c r="HG432" s="201"/>
      <c r="HH432" s="299"/>
      <c r="HI432" s="294"/>
      <c r="HJ432" s="295"/>
      <c r="HK432" s="193"/>
      <c r="HL432" s="199"/>
      <c r="HM432" s="201"/>
      <c r="HN432" s="328"/>
      <c r="HO432" s="328"/>
      <c r="HP432" s="564"/>
      <c r="HQ432" s="483"/>
      <c r="HR432"/>
      <c r="HS432"/>
      <c r="HT432"/>
      <c r="HU432"/>
      <c r="HV432"/>
      <c r="HW432"/>
      <c r="HX432"/>
      <c r="HY432"/>
      <c r="HZ432"/>
      <c r="IA432"/>
      <c r="IB432"/>
      <c r="IC432"/>
      <c r="ID432"/>
      <c r="IE432"/>
      <c r="IF432" s="564"/>
      <c r="IH432" s="326">
        <v>16</v>
      </c>
      <c r="II432" s="695" t="s">
        <v>1114</v>
      </c>
    </row>
    <row r="433" spans="1:243" s="326" customFormat="1" ht="8.25" customHeight="1">
      <c r="A433" s="321">
        <v>2</v>
      </c>
      <c r="B433" s="321"/>
      <c r="C433" s="321"/>
      <c r="D433" s="321"/>
      <c r="E433" s="321"/>
      <c r="F433" s="301"/>
      <c r="G433" s="297"/>
      <c r="H433" s="297"/>
      <c r="I433" s="297"/>
      <c r="J433" s="297"/>
      <c r="K433" s="293"/>
      <c r="L433" s="321"/>
      <c r="M433" s="321"/>
      <c r="N433" s="321"/>
      <c r="O433" s="321"/>
      <c r="P433" s="564"/>
      <c r="Q433" s="321">
        <v>2</v>
      </c>
      <c r="R433" s="321"/>
      <c r="S433" s="321"/>
      <c r="T433" s="321"/>
      <c r="U433" s="321"/>
      <c r="V433" s="301"/>
      <c r="W433" s="297"/>
      <c r="X433" s="297"/>
      <c r="Y433" s="297"/>
      <c r="Z433" s="297"/>
      <c r="AA433" s="293"/>
      <c r="AB433" s="321"/>
      <c r="AC433" s="321"/>
      <c r="AD433" s="321"/>
      <c r="AE433" s="321"/>
      <c r="AF433" s="321"/>
      <c r="AG433" s="1236"/>
      <c r="AH433" s="328"/>
      <c r="AI433" s="328"/>
      <c r="AJ433" s="328"/>
      <c r="AK433" s="328"/>
      <c r="AL433" s="328">
        <v>10</v>
      </c>
      <c r="AM433" s="462">
        <v>11</v>
      </c>
      <c r="AN433" s="307"/>
      <c r="AO433" s="307"/>
      <c r="AP433" s="462">
        <v>11</v>
      </c>
      <c r="AQ433" s="328">
        <v>10</v>
      </c>
      <c r="AR433" s="328"/>
      <c r="AS433" s="328"/>
      <c r="AT433" s="328"/>
      <c r="AU433" s="328"/>
      <c r="AV433" s="1237"/>
      <c r="AW433" s="993">
        <v>3</v>
      </c>
      <c r="AX433" s="204"/>
      <c r="AY433" s="189"/>
      <c r="AZ433" s="204"/>
      <c r="BA433" s="204"/>
      <c r="BB433" s="204"/>
      <c r="BC433" s="204"/>
      <c r="BD433" s="204"/>
      <c r="BE433" s="204"/>
      <c r="BF433" s="204"/>
      <c r="BG433" s="204"/>
      <c r="BH433" s="204"/>
      <c r="BI433" s="204"/>
      <c r="BJ433" s="204"/>
      <c r="BK433" s="204"/>
      <c r="BL433" s="990"/>
      <c r="BM433" s="305">
        <v>2</v>
      </c>
      <c r="BN433" s="301"/>
      <c r="BO433" s="305"/>
      <c r="BP433" s="301"/>
      <c r="BQ433" s="189"/>
      <c r="BR433" s="301"/>
      <c r="BS433" s="301"/>
      <c r="BT433" s="301"/>
      <c r="BU433" s="189"/>
      <c r="BV433" s="297"/>
      <c r="BW433" s="189"/>
      <c r="BX433" s="297"/>
      <c r="BY433" s="189"/>
      <c r="BZ433" s="297"/>
      <c r="CA433" s="162"/>
      <c r="CB433" s="297"/>
      <c r="CC433" s="1236">
        <v>2</v>
      </c>
      <c r="CD433" s="290"/>
      <c r="CE433" s="293"/>
      <c r="CF433" s="292"/>
      <c r="CG433" s="206"/>
      <c r="CH433" s="205"/>
      <c r="CI433" s="205"/>
      <c r="CJ433" s="205"/>
      <c r="CK433" s="205"/>
      <c r="CL433" s="205"/>
      <c r="CM433" s="205"/>
      <c r="CN433" s="206"/>
      <c r="CO433" s="292"/>
      <c r="CP433" s="293"/>
      <c r="CQ433" s="290"/>
      <c r="CR433" s="328"/>
      <c r="CS433" s="206">
        <v>2</v>
      </c>
      <c r="CT433" s="293"/>
      <c r="CU433" s="328"/>
      <c r="CV433" s="328"/>
      <c r="CW433" s="328"/>
      <c r="CX433" s="292"/>
      <c r="CY433" s="293"/>
      <c r="CZ433" s="93"/>
      <c r="DA433" s="93"/>
      <c r="DB433" s="292"/>
      <c r="DC433" s="93"/>
      <c r="DD433" s="93"/>
      <c r="DE433" s="93"/>
      <c r="DF433" s="293"/>
      <c r="DG433" s="93"/>
      <c r="DH433" s="292"/>
      <c r="DI433" s="293"/>
      <c r="DJ433" s="158"/>
      <c r="DK433" s="297"/>
      <c r="DL433" s="158"/>
      <c r="DM433" s="297"/>
      <c r="DN433" s="158"/>
      <c r="DO433" s="293"/>
      <c r="DP433" s="158"/>
      <c r="DQ433" s="293"/>
      <c r="DR433" s="158"/>
      <c r="DS433" s="293"/>
      <c r="DT433" s="158"/>
      <c r="DU433" s="293"/>
      <c r="DV433" s="163"/>
      <c r="DW433" s="293"/>
      <c r="DX433" s="292"/>
      <c r="DY433" s="1236"/>
      <c r="DZ433" s="328"/>
      <c r="EA433" s="328"/>
      <c r="EB433" s="328">
        <v>10</v>
      </c>
      <c r="EC433" s="462">
        <v>11</v>
      </c>
      <c r="ED433" s="328"/>
      <c r="EE433" s="328"/>
      <c r="EF433" s="199"/>
      <c r="EG433" s="291"/>
      <c r="EH433" s="328"/>
      <c r="EI433" s="328">
        <v>9</v>
      </c>
      <c r="EJ433" s="307"/>
      <c r="EK433" s="328">
        <v>9</v>
      </c>
      <c r="EL433" s="328"/>
      <c r="EM433" s="328"/>
      <c r="EN433" s="1237"/>
      <c r="EO433" s="1236"/>
      <c r="EP433" s="328"/>
      <c r="EQ433" s="328"/>
      <c r="ER433" s="328">
        <v>10</v>
      </c>
      <c r="ES433" s="462">
        <v>11</v>
      </c>
      <c r="ET433" s="328"/>
      <c r="EU433" s="328"/>
      <c r="EV433" s="200"/>
      <c r="EW433" s="291"/>
      <c r="EX433" s="328"/>
      <c r="EY433" s="328"/>
      <c r="EZ433" s="307"/>
      <c r="FA433" s="328">
        <v>10</v>
      </c>
      <c r="FB433" s="328"/>
      <c r="FC433" s="328"/>
      <c r="FD433" s="1237"/>
      <c r="FE433" s="1236">
        <v>3</v>
      </c>
      <c r="FF433" s="189"/>
      <c r="FG433" s="293"/>
      <c r="FH433" s="301"/>
      <c r="FI433" s="189"/>
      <c r="FJ433" s="93"/>
      <c r="FK433" s="93"/>
      <c r="FL433" s="93"/>
      <c r="FM433" s="189"/>
      <c r="FN433" s="301"/>
      <c r="FO433" s="293"/>
      <c r="FP433" s="189"/>
      <c r="FQ433" s="328"/>
      <c r="FR433" s="328"/>
      <c r="FS433" s="328"/>
      <c r="FT433" s="1237"/>
      <c r="FU433" s="699"/>
      <c r="FV433" s="201"/>
      <c r="FW433" s="291"/>
      <c r="FX433" s="93"/>
      <c r="FY433" s="93"/>
      <c r="FZ433" s="93"/>
      <c r="GA433" s="93"/>
      <c r="GB433" s="93"/>
      <c r="GC433" s="93"/>
      <c r="GD433" s="93"/>
      <c r="GE433" s="93"/>
      <c r="GF433" s="93"/>
      <c r="GG433" s="93"/>
      <c r="GH433" s="201"/>
      <c r="GI433" s="291"/>
      <c r="GJ433" s="79"/>
      <c r="GK433" s="699">
        <v>1</v>
      </c>
      <c r="GL433" s="204"/>
      <c r="GM433" s="301"/>
      <c r="GN433" s="189"/>
      <c r="GO433" s="298"/>
      <c r="GP433" s="328"/>
      <c r="GQ433" s="328"/>
      <c r="GR433" s="328"/>
      <c r="GS433" s="207"/>
      <c r="GT433" s="204"/>
      <c r="GU433" s="207"/>
      <c r="GV433" s="328"/>
      <c r="GW433" s="328"/>
      <c r="GX433" s="298"/>
      <c r="GY433" s="294"/>
      <c r="GZ433" s="328"/>
      <c r="HA433" s="1236"/>
      <c r="HB433" s="328"/>
      <c r="HC433" s="328"/>
      <c r="HD433" s="328"/>
      <c r="HE433" s="328"/>
      <c r="HF433" s="295"/>
      <c r="HG433" s="199"/>
      <c r="HH433" s="201"/>
      <c r="HI433" s="294"/>
      <c r="HJ433" s="201"/>
      <c r="HK433" s="328"/>
      <c r="HL433" s="200"/>
      <c r="HM433" s="201"/>
      <c r="HN433" s="328"/>
      <c r="HO433" s="328"/>
      <c r="HP433" s="564"/>
      <c r="HQ433" s="483"/>
      <c r="HR433"/>
      <c r="HS433"/>
      <c r="HT433"/>
      <c r="HU433"/>
      <c r="HV433"/>
      <c r="HW433"/>
      <c r="HX433"/>
      <c r="HY433"/>
      <c r="HZ433"/>
      <c r="IA433"/>
      <c r="IB433"/>
      <c r="IC433"/>
      <c r="ID433"/>
      <c r="IE433"/>
      <c r="IF433" s="564"/>
      <c r="IH433" s="326">
        <v>17</v>
      </c>
      <c r="II433" s="695" t="s">
        <v>1115</v>
      </c>
    </row>
    <row r="434" spans="1:243" s="326" customFormat="1" ht="8.25" customHeight="1">
      <c r="A434" s="321">
        <v>1</v>
      </c>
      <c r="B434" s="321"/>
      <c r="C434" s="321"/>
      <c r="D434" s="321"/>
      <c r="E434" s="321"/>
      <c r="F434" s="301"/>
      <c r="G434" s="297"/>
      <c r="H434" s="297"/>
      <c r="I434" s="297"/>
      <c r="J434" s="297"/>
      <c r="K434" s="293"/>
      <c r="L434" s="321"/>
      <c r="M434" s="321"/>
      <c r="N434" s="321"/>
      <c r="O434" s="321"/>
      <c r="P434" s="564"/>
      <c r="Q434" s="321"/>
      <c r="R434" s="321"/>
      <c r="S434" s="321"/>
      <c r="T434" s="321"/>
      <c r="U434" s="321"/>
      <c r="V434" s="301"/>
      <c r="W434" s="297"/>
      <c r="X434" s="189"/>
      <c r="Y434" s="189"/>
      <c r="Z434" s="297"/>
      <c r="AA434" s="293"/>
      <c r="AB434" s="321"/>
      <c r="AC434" s="321"/>
      <c r="AD434" s="321"/>
      <c r="AE434" s="321"/>
      <c r="AF434" s="321"/>
      <c r="AG434" s="1236"/>
      <c r="AH434" s="328"/>
      <c r="AI434" s="328"/>
      <c r="AJ434" s="328"/>
      <c r="AK434" s="328"/>
      <c r="AL434" s="328">
        <v>10</v>
      </c>
      <c r="AM434" s="462">
        <v>12</v>
      </c>
      <c r="AN434" s="307"/>
      <c r="AO434" s="307"/>
      <c r="AP434" s="462">
        <v>12</v>
      </c>
      <c r="AQ434" s="328">
        <v>10</v>
      </c>
      <c r="AR434" s="328"/>
      <c r="AS434" s="328"/>
      <c r="AT434" s="328"/>
      <c r="AU434" s="328"/>
      <c r="AV434" s="1237"/>
      <c r="AW434" s="993"/>
      <c r="AX434" s="204"/>
      <c r="AY434" s="301"/>
      <c r="AZ434" s="204"/>
      <c r="BA434" s="204"/>
      <c r="BB434" s="204"/>
      <c r="BC434" s="204"/>
      <c r="BD434" s="204"/>
      <c r="BE434" s="204"/>
      <c r="BF434" s="204"/>
      <c r="BG434" s="204"/>
      <c r="BH434" s="204"/>
      <c r="BI434" s="204"/>
      <c r="BJ434" s="204"/>
      <c r="BK434" s="204"/>
      <c r="BL434" s="990"/>
      <c r="BM434" s="189">
        <v>3</v>
      </c>
      <c r="BN434" s="189"/>
      <c r="BO434" s="189"/>
      <c r="BP434" s="189"/>
      <c r="BQ434" s="189"/>
      <c r="BR434" s="189"/>
      <c r="BS434" s="189"/>
      <c r="BT434" s="189"/>
      <c r="BU434" s="189"/>
      <c r="BV434" s="189"/>
      <c r="BW434" s="189"/>
      <c r="BX434" s="189"/>
      <c r="BY434" s="189"/>
      <c r="BZ434" s="189"/>
      <c r="CA434" s="189"/>
      <c r="CB434" s="189"/>
      <c r="CC434" s="1236">
        <v>2</v>
      </c>
      <c r="CD434" s="290"/>
      <c r="CE434" s="293"/>
      <c r="CF434" s="206"/>
      <c r="CG434" s="205"/>
      <c r="CH434" s="205"/>
      <c r="CI434" s="160"/>
      <c r="CJ434" s="160"/>
      <c r="CK434" s="160"/>
      <c r="CL434" s="160"/>
      <c r="CM434" s="205"/>
      <c r="CN434" s="205"/>
      <c r="CO434" s="206"/>
      <c r="CP434" s="293"/>
      <c r="CQ434" s="290"/>
      <c r="CR434" s="328"/>
      <c r="CS434" s="292"/>
      <c r="CT434" s="292"/>
      <c r="CU434" s="328"/>
      <c r="CV434" s="328"/>
      <c r="CW434" s="328"/>
      <c r="CX434" s="292"/>
      <c r="CY434" s="293"/>
      <c r="CZ434" s="93"/>
      <c r="DA434" s="93"/>
      <c r="DB434" s="93"/>
      <c r="DC434" s="93"/>
      <c r="DD434" s="93"/>
      <c r="DE434" s="93"/>
      <c r="DF434" s="292"/>
      <c r="DG434" s="93"/>
      <c r="DH434" s="292"/>
      <c r="DI434" s="293"/>
      <c r="DJ434" s="161"/>
      <c r="DK434" s="293"/>
      <c r="DL434" s="161"/>
      <c r="DM434" s="293"/>
      <c r="DN434" s="161"/>
      <c r="DO434" s="293"/>
      <c r="DP434" s="161"/>
      <c r="DQ434" s="293"/>
      <c r="DR434" s="161"/>
      <c r="DS434" s="293"/>
      <c r="DT434" s="161"/>
      <c r="DU434" s="293"/>
      <c r="DV434" s="161"/>
      <c r="DW434" s="293"/>
      <c r="DX434" s="292"/>
      <c r="DY434" s="1236"/>
      <c r="DZ434" s="328"/>
      <c r="EA434" s="328"/>
      <c r="EB434" s="328">
        <v>9</v>
      </c>
      <c r="EC434" s="307"/>
      <c r="ED434" s="328">
        <v>9</v>
      </c>
      <c r="EE434" s="328"/>
      <c r="EF434" s="200"/>
      <c r="EG434" s="291"/>
      <c r="EH434" s="328"/>
      <c r="EI434" s="200"/>
      <c r="EJ434" s="199"/>
      <c r="EK434" s="201"/>
      <c r="EL434" s="328"/>
      <c r="EM434" s="328"/>
      <c r="EN434" s="1237"/>
      <c r="EO434" s="1236"/>
      <c r="EP434" s="328"/>
      <c r="EQ434" s="328"/>
      <c r="ER434" s="328">
        <v>10</v>
      </c>
      <c r="ES434" s="307"/>
      <c r="ET434" s="328"/>
      <c r="EU434" s="328"/>
      <c r="EV434" s="305"/>
      <c r="EW434" s="201"/>
      <c r="EX434" s="328"/>
      <c r="EY434" s="305"/>
      <c r="EZ434" s="310"/>
      <c r="FA434" s="199"/>
      <c r="FB434" s="328"/>
      <c r="FC434" s="328"/>
      <c r="FD434" s="1237"/>
      <c r="FE434" s="1236">
        <v>1</v>
      </c>
      <c r="FF434" s="189"/>
      <c r="FG434" s="293"/>
      <c r="FH434" s="189"/>
      <c r="FI434" s="93"/>
      <c r="FJ434" s="93"/>
      <c r="FK434" s="93"/>
      <c r="FL434" s="93"/>
      <c r="FM434" s="93"/>
      <c r="FN434" s="189"/>
      <c r="FO434" s="293"/>
      <c r="FP434" s="189"/>
      <c r="FQ434" s="328"/>
      <c r="FR434" s="328"/>
      <c r="FS434" s="328"/>
      <c r="FT434" s="1237"/>
      <c r="FU434" s="699"/>
      <c r="FV434" s="201"/>
      <c r="FW434" s="291"/>
      <c r="FX434" s="93"/>
      <c r="FY434" s="93"/>
      <c r="FZ434" s="93"/>
      <c r="GA434" s="93"/>
      <c r="GB434" s="93"/>
      <c r="GC434" s="93"/>
      <c r="GD434" s="93"/>
      <c r="GE434" s="93"/>
      <c r="GF434" s="93"/>
      <c r="GG434" s="93"/>
      <c r="GH434" s="201"/>
      <c r="GI434" s="291"/>
      <c r="GJ434" s="79"/>
      <c r="GK434" s="699"/>
      <c r="GL434" s="93"/>
      <c r="GM434" s="207"/>
      <c r="GN434" s="298"/>
      <c r="GO434" s="328"/>
      <c r="GP434" s="328"/>
      <c r="GQ434" s="328"/>
      <c r="GR434" s="328"/>
      <c r="GS434" s="207"/>
      <c r="GT434" s="204"/>
      <c r="GU434" s="207"/>
      <c r="GV434" s="328"/>
      <c r="GW434" s="328"/>
      <c r="GX434" s="328"/>
      <c r="GY434" s="328"/>
      <c r="GZ434" s="328"/>
      <c r="HA434" s="1236"/>
      <c r="HB434" s="328"/>
      <c r="HC434" s="328"/>
      <c r="HD434" s="328"/>
      <c r="HE434" s="328"/>
      <c r="HF434" s="294"/>
      <c r="HG434" s="299"/>
      <c r="HH434" s="199"/>
      <c r="HI434" s="201"/>
      <c r="HJ434" s="328"/>
      <c r="HK434" s="328"/>
      <c r="HL434" s="200"/>
      <c r="HM434" s="199"/>
      <c r="HN434" s="328"/>
      <c r="HO434" s="328"/>
      <c r="HP434" s="564"/>
      <c r="HQ434" s="483"/>
      <c r="HR434"/>
      <c r="HS434"/>
      <c r="HT434"/>
      <c r="HU434"/>
      <c r="HV434"/>
      <c r="HW434"/>
      <c r="HX434"/>
      <c r="HY434"/>
      <c r="HZ434"/>
      <c r="IA434"/>
      <c r="IB434"/>
      <c r="IC434"/>
      <c r="ID434"/>
      <c r="IE434"/>
      <c r="IF434" s="564"/>
      <c r="IH434" s="326">
        <v>18</v>
      </c>
      <c r="II434" s="695" t="s">
        <v>997</v>
      </c>
    </row>
    <row r="435" spans="1:243" s="326" customFormat="1" ht="8.25" customHeight="1">
      <c r="A435" s="321"/>
      <c r="B435" s="321"/>
      <c r="C435" s="321"/>
      <c r="D435" s="321"/>
      <c r="E435" s="321"/>
      <c r="F435" s="301"/>
      <c r="G435" s="297"/>
      <c r="H435" s="205"/>
      <c r="I435" s="205"/>
      <c r="J435" s="297"/>
      <c r="K435" s="293"/>
      <c r="L435" s="321"/>
      <c r="M435" s="321"/>
      <c r="N435" s="321"/>
      <c r="O435" s="321"/>
      <c r="P435" s="564"/>
      <c r="Q435" s="321"/>
      <c r="R435" s="321"/>
      <c r="S435" s="321"/>
      <c r="T435" s="321"/>
      <c r="U435" s="321"/>
      <c r="V435" s="301"/>
      <c r="W435" s="297"/>
      <c r="X435" s="293"/>
      <c r="Y435" s="293"/>
      <c r="Z435" s="297"/>
      <c r="AA435" s="293"/>
      <c r="AB435" s="321"/>
      <c r="AC435" s="321"/>
      <c r="AD435" s="321"/>
      <c r="AE435" s="321"/>
      <c r="AF435" s="321"/>
      <c r="AG435" s="1236"/>
      <c r="AH435" s="328"/>
      <c r="AI435" s="328"/>
      <c r="AJ435" s="328"/>
      <c r="AK435" s="328"/>
      <c r="AL435" s="328">
        <v>10</v>
      </c>
      <c r="AM435" s="462">
        <v>11</v>
      </c>
      <c r="AN435" s="307"/>
      <c r="AO435" s="307"/>
      <c r="AP435" s="462">
        <v>11</v>
      </c>
      <c r="AQ435" s="328">
        <v>10</v>
      </c>
      <c r="AR435" s="328"/>
      <c r="AS435" s="328"/>
      <c r="AT435" s="328"/>
      <c r="AU435" s="328"/>
      <c r="AV435" s="1237"/>
      <c r="AW435" s="993"/>
      <c r="AX435" s="204"/>
      <c r="AY435" s="297"/>
      <c r="AZ435" s="204"/>
      <c r="BA435" s="204"/>
      <c r="BB435" s="204"/>
      <c r="BC435" s="204"/>
      <c r="BD435" s="204"/>
      <c r="BE435" s="204"/>
      <c r="BF435" s="204"/>
      <c r="BG435" s="204"/>
      <c r="BH435" s="204"/>
      <c r="BI435" s="204"/>
      <c r="BJ435" s="204"/>
      <c r="BK435" s="204"/>
      <c r="BL435" s="990"/>
      <c r="BM435" s="301"/>
      <c r="BN435" s="297"/>
      <c r="BO435" s="293"/>
      <c r="BP435" s="301"/>
      <c r="BQ435" s="293"/>
      <c r="BR435" s="297"/>
      <c r="BS435" s="200"/>
      <c r="BT435" s="305"/>
      <c r="BU435" s="310"/>
      <c r="BV435" s="314"/>
      <c r="BW435" s="301"/>
      <c r="BX435" s="162"/>
      <c r="BY435" s="301"/>
      <c r="BZ435" s="297"/>
      <c r="CA435" s="293"/>
      <c r="CB435" s="293"/>
      <c r="CC435" s="1236"/>
      <c r="CD435" s="290"/>
      <c r="CE435" s="293"/>
      <c r="CF435" s="205"/>
      <c r="CG435" s="160"/>
      <c r="CH435" s="160"/>
      <c r="CI435" s="160"/>
      <c r="CJ435" s="160"/>
      <c r="CK435" s="160"/>
      <c r="CL435" s="160"/>
      <c r="CM435" s="160"/>
      <c r="CN435" s="160"/>
      <c r="CO435" s="205"/>
      <c r="CP435" s="293"/>
      <c r="CQ435" s="290"/>
      <c r="CR435" s="328"/>
      <c r="CS435" s="292"/>
      <c r="CT435" s="292"/>
      <c r="CU435" s="328"/>
      <c r="CV435" s="328"/>
      <c r="CW435" s="328"/>
      <c r="CX435" s="292"/>
      <c r="CY435" s="292"/>
      <c r="CZ435" s="93"/>
      <c r="DA435" s="93"/>
      <c r="DB435" s="93"/>
      <c r="DC435" s="93"/>
      <c r="DD435" s="93"/>
      <c r="DE435" s="93"/>
      <c r="DF435" s="292"/>
      <c r="DG435" s="93"/>
      <c r="DH435" s="93"/>
      <c r="DI435" s="316"/>
      <c r="DJ435" s="161"/>
      <c r="DK435" s="161"/>
      <c r="DL435" s="316"/>
      <c r="DM435" s="161"/>
      <c r="DN435" s="161"/>
      <c r="DO435" s="161"/>
      <c r="DP435" s="316"/>
      <c r="DQ435" s="161"/>
      <c r="DR435" s="161"/>
      <c r="DS435" s="161"/>
      <c r="DT435" s="316"/>
      <c r="DU435" s="292"/>
      <c r="DV435" s="292"/>
      <c r="DW435" s="292"/>
      <c r="DX435" s="316"/>
      <c r="DY435" s="1236"/>
      <c r="DZ435" s="328"/>
      <c r="EA435" s="328"/>
      <c r="EB435" s="200"/>
      <c r="EC435" s="200"/>
      <c r="ED435" s="199"/>
      <c r="EE435" s="328"/>
      <c r="EF435" s="305"/>
      <c r="EG435" s="199"/>
      <c r="EH435" s="328"/>
      <c r="EI435" s="199"/>
      <c r="EJ435" s="201"/>
      <c r="EK435" s="328"/>
      <c r="EL435" s="328"/>
      <c r="EM435" s="328"/>
      <c r="EN435" s="1237"/>
      <c r="EO435" s="1236"/>
      <c r="EP435" s="328"/>
      <c r="EQ435" s="328"/>
      <c r="ER435" s="305"/>
      <c r="ES435" s="310"/>
      <c r="ET435" s="199"/>
      <c r="EU435" s="328"/>
      <c r="EV435" s="310"/>
      <c r="EW435" s="199"/>
      <c r="EX435" s="328"/>
      <c r="EY435" s="199"/>
      <c r="EZ435" s="201"/>
      <c r="FA435" s="328"/>
      <c r="FB435" s="328"/>
      <c r="FC435" s="328"/>
      <c r="FD435" s="1237"/>
      <c r="FE435" s="189"/>
      <c r="FF435" s="293"/>
      <c r="FG435" s="301"/>
      <c r="FH435" s="189"/>
      <c r="FI435" s="93"/>
      <c r="FJ435" s="297"/>
      <c r="FK435" s="297"/>
      <c r="FL435" s="297"/>
      <c r="FM435" s="93"/>
      <c r="FN435" s="189"/>
      <c r="FO435" s="301"/>
      <c r="FP435" s="293"/>
      <c r="FQ435" s="189"/>
      <c r="FR435" s="328"/>
      <c r="FS435" s="328"/>
      <c r="FT435" s="1237"/>
      <c r="FU435" s="699"/>
      <c r="FV435" s="199"/>
      <c r="FW435" s="199"/>
      <c r="FX435" s="201"/>
      <c r="FY435" s="201"/>
      <c r="FZ435" s="199"/>
      <c r="GA435" s="201"/>
      <c r="GB435" s="201"/>
      <c r="GC435" s="201"/>
      <c r="GD435" s="201"/>
      <c r="GE435" s="201"/>
      <c r="GF435" s="201"/>
      <c r="GG435" s="201"/>
      <c r="GH435" s="201"/>
      <c r="GI435" s="201"/>
      <c r="GJ435" s="79"/>
      <c r="GK435" s="699"/>
      <c r="GL435" s="93"/>
      <c r="GM435" s="93"/>
      <c r="GN435" s="328"/>
      <c r="GO435" s="328"/>
      <c r="GP435" s="328"/>
      <c r="GQ435" s="328"/>
      <c r="GR435" s="298"/>
      <c r="GS435" s="204"/>
      <c r="GT435" s="308"/>
      <c r="GU435" s="204"/>
      <c r="GV435" s="207"/>
      <c r="GW435" s="328"/>
      <c r="GX435" s="328"/>
      <c r="GY435" s="328"/>
      <c r="GZ435" s="328"/>
      <c r="HA435" s="1236"/>
      <c r="HB435" s="328"/>
      <c r="HC435" s="328"/>
      <c r="HD435" s="328"/>
      <c r="HE435" s="328"/>
      <c r="HF435" s="294"/>
      <c r="HG435" s="299"/>
      <c r="HH435" s="299"/>
      <c r="HI435" s="295"/>
      <c r="HJ435" s="295"/>
      <c r="HK435" s="328"/>
      <c r="HL435" s="294"/>
      <c r="HM435" s="199"/>
      <c r="HN435" s="328"/>
      <c r="HO435" s="328"/>
      <c r="HP435" s="564"/>
      <c r="HQ435" s="483"/>
      <c r="HR435"/>
      <c r="HS435"/>
      <c r="HT435"/>
      <c r="HU435"/>
      <c r="HV435" s="462">
        <v>11</v>
      </c>
      <c r="HW435" s="200"/>
      <c r="HX435" s="199"/>
      <c r="HY435" s="200"/>
      <c r="HZ435" s="462">
        <v>11</v>
      </c>
      <c r="IA435"/>
      <c r="IB435"/>
      <c r="IC435"/>
      <c r="ID435"/>
      <c r="IE435"/>
      <c r="IF435" s="564"/>
      <c r="IH435" s="326">
        <v>19</v>
      </c>
      <c r="II435" s="695" t="s">
        <v>1116</v>
      </c>
    </row>
    <row r="436" spans="1:243" s="326" customFormat="1" ht="8.25" customHeight="1">
      <c r="A436" s="321">
        <v>210</v>
      </c>
      <c r="B436" s="321"/>
      <c r="C436" s="321"/>
      <c r="D436" s="321"/>
      <c r="E436" s="321"/>
      <c r="F436" s="301"/>
      <c r="G436" s="297"/>
      <c r="H436" s="291"/>
      <c r="I436" s="291"/>
      <c r="J436" s="297"/>
      <c r="K436" s="293"/>
      <c r="L436" s="321"/>
      <c r="M436" s="321"/>
      <c r="N436" s="321"/>
      <c r="O436" s="321"/>
      <c r="P436" s="564"/>
      <c r="Q436" s="321">
        <v>209</v>
      </c>
      <c r="R436" s="321"/>
      <c r="S436" s="321"/>
      <c r="T436" s="321"/>
      <c r="U436" s="321"/>
      <c r="V436" s="301"/>
      <c r="W436" s="297"/>
      <c r="X436" s="292"/>
      <c r="Y436" s="292"/>
      <c r="Z436" s="297"/>
      <c r="AA436" s="293"/>
      <c r="AB436" s="321"/>
      <c r="AC436" s="321"/>
      <c r="AD436" s="321"/>
      <c r="AE436" s="321"/>
      <c r="AF436" s="321"/>
      <c r="AG436" s="1236"/>
      <c r="AH436" s="328"/>
      <c r="AI436" s="328"/>
      <c r="AJ436" s="328"/>
      <c r="AK436" s="328"/>
      <c r="AL436" s="293"/>
      <c r="AM436" s="297"/>
      <c r="AN436" s="293"/>
      <c r="AO436" s="291"/>
      <c r="AP436" s="291"/>
      <c r="AQ436" s="293"/>
      <c r="AR436" s="328"/>
      <c r="AS436" s="328"/>
      <c r="AT436" s="328"/>
      <c r="AU436" s="328"/>
      <c r="AV436" s="1237"/>
      <c r="AW436" s="993"/>
      <c r="AX436" s="204"/>
      <c r="AY436" s="204"/>
      <c r="AZ436" s="204"/>
      <c r="BA436" s="204"/>
      <c r="BB436" s="204"/>
      <c r="BC436" s="204"/>
      <c r="BD436" s="204"/>
      <c r="BE436" s="204"/>
      <c r="BF436" s="204"/>
      <c r="BG436" s="204"/>
      <c r="BH436" s="204"/>
      <c r="BI436" s="204"/>
      <c r="BJ436" s="204"/>
      <c r="BK436" s="204"/>
      <c r="BL436" s="990"/>
      <c r="BM436" s="311"/>
      <c r="BN436" s="296"/>
      <c r="BO436" s="301"/>
      <c r="BP436" s="301"/>
      <c r="BQ436" s="301"/>
      <c r="BR436" s="301"/>
      <c r="BS436" s="301"/>
      <c r="BT436" s="301"/>
      <c r="BU436" s="301"/>
      <c r="BV436" s="301"/>
      <c r="BW436" s="301"/>
      <c r="BX436" s="293"/>
      <c r="BY436" s="297"/>
      <c r="BZ436" s="301"/>
      <c r="CA436" s="297"/>
      <c r="CB436" s="297"/>
      <c r="CC436" s="1236"/>
      <c r="CD436" s="290"/>
      <c r="CE436" s="293"/>
      <c r="CF436" s="205"/>
      <c r="CG436" s="160"/>
      <c r="CH436" s="160"/>
      <c r="CI436" s="297"/>
      <c r="CJ436" s="160"/>
      <c r="CK436" s="160"/>
      <c r="CL436" s="293"/>
      <c r="CM436" s="160"/>
      <c r="CN436" s="160"/>
      <c r="CO436" s="205"/>
      <c r="CP436" s="293"/>
      <c r="CQ436" s="290"/>
      <c r="CR436" s="328"/>
      <c r="CS436" s="483"/>
      <c r="CT436" s="292"/>
      <c r="CU436" s="328"/>
      <c r="CV436" s="328"/>
      <c r="CW436" s="328"/>
      <c r="CX436" s="292"/>
      <c r="CY436" s="93"/>
      <c r="CZ436" s="93"/>
      <c r="DA436" s="93"/>
      <c r="DB436" s="292"/>
      <c r="DC436" s="93"/>
      <c r="DD436" s="93"/>
      <c r="DE436" s="93"/>
      <c r="DF436" s="292"/>
      <c r="DG436" s="93"/>
      <c r="DH436" s="93"/>
      <c r="DI436" s="293"/>
      <c r="DJ436" s="161"/>
      <c r="DK436" s="293"/>
      <c r="DL436" s="161"/>
      <c r="DM436" s="293"/>
      <c r="DN436" s="161"/>
      <c r="DO436" s="293"/>
      <c r="DP436" s="161"/>
      <c r="DQ436" s="293"/>
      <c r="DR436" s="161"/>
      <c r="DS436" s="293"/>
      <c r="DT436" s="161"/>
      <c r="DU436" s="293"/>
      <c r="DV436" s="161"/>
      <c r="DW436" s="293"/>
      <c r="DX436" s="161"/>
      <c r="DY436" s="1236"/>
      <c r="DZ436" s="328"/>
      <c r="EA436" s="328"/>
      <c r="EB436" s="328"/>
      <c r="EC436" s="199"/>
      <c r="ED436" s="201"/>
      <c r="EE436" s="328"/>
      <c r="EF436" s="305"/>
      <c r="EG436" s="199"/>
      <c r="EH436" s="328"/>
      <c r="EI436" s="200"/>
      <c r="EJ436" s="328"/>
      <c r="EK436" s="328"/>
      <c r="EL436" s="328"/>
      <c r="EM436" s="328"/>
      <c r="EN436" s="1237"/>
      <c r="EO436" s="1236"/>
      <c r="EP436" s="328"/>
      <c r="EQ436" s="328"/>
      <c r="ER436" s="328"/>
      <c r="ES436" s="199"/>
      <c r="ET436" s="201"/>
      <c r="EU436" s="328"/>
      <c r="EV436" s="305"/>
      <c r="EW436" s="199"/>
      <c r="EX436" s="328"/>
      <c r="EY436" s="200"/>
      <c r="EZ436" s="328"/>
      <c r="FA436" s="328"/>
      <c r="FB436" s="328"/>
      <c r="FC436" s="328"/>
      <c r="FD436" s="1237"/>
      <c r="FE436" s="189"/>
      <c r="FF436" s="293"/>
      <c r="FG436" s="301"/>
      <c r="FH436" s="189"/>
      <c r="FI436" s="297"/>
      <c r="FJ436" s="172"/>
      <c r="FK436" s="174"/>
      <c r="FL436" s="170"/>
      <c r="FM436" s="297"/>
      <c r="FN436" s="189"/>
      <c r="FO436" s="301"/>
      <c r="FP436" s="293"/>
      <c r="FQ436" s="189"/>
      <c r="FR436" s="328"/>
      <c r="FS436" s="328"/>
      <c r="FT436" s="1237"/>
      <c r="FU436" s="699"/>
      <c r="FV436" s="291"/>
      <c r="FW436" s="291"/>
      <c r="FX436" s="291"/>
      <c r="FY436" s="291"/>
      <c r="FZ436" s="291"/>
      <c r="GA436" s="291"/>
      <c r="GB436" s="291"/>
      <c r="GC436" s="291"/>
      <c r="GD436" s="291"/>
      <c r="GE436" s="291"/>
      <c r="GF436" s="291"/>
      <c r="GG436" s="291"/>
      <c r="GH436" s="291"/>
      <c r="GI436" s="291"/>
      <c r="GJ436" s="79"/>
      <c r="GK436" s="699"/>
      <c r="GL436" s="93"/>
      <c r="GM436" s="93"/>
      <c r="GN436" s="93"/>
      <c r="GO436" s="328"/>
      <c r="GP436" s="328"/>
      <c r="GQ436" s="328"/>
      <c r="GR436" s="207"/>
      <c r="GS436" s="297"/>
      <c r="GT436" s="189"/>
      <c r="GU436" s="301"/>
      <c r="GV436" s="207"/>
      <c r="GW436" s="328"/>
      <c r="GX436" s="328"/>
      <c r="GY436" s="328"/>
      <c r="GZ436" s="328"/>
      <c r="HA436" s="1236"/>
      <c r="HB436" s="328"/>
      <c r="HC436" s="328"/>
      <c r="HD436" s="328"/>
      <c r="HE436" s="328"/>
      <c r="HF436" s="299"/>
      <c r="HG436" s="295"/>
      <c r="HH436" s="299"/>
      <c r="HI436" s="295"/>
      <c r="HJ436" s="193"/>
      <c r="HK436" s="328"/>
      <c r="HL436" s="297"/>
      <c r="HM436" s="294"/>
      <c r="HN436" s="328"/>
      <c r="HO436" s="328"/>
      <c r="HP436" s="564"/>
      <c r="HQ436" s="483"/>
      <c r="HR436"/>
      <c r="HS436"/>
      <c r="HT436"/>
      <c r="HU436"/>
      <c r="HV436" s="200"/>
      <c r="HW436" s="301"/>
      <c r="HX436" s="293"/>
      <c r="HY436" s="412"/>
      <c r="HZ436" s="200"/>
      <c r="IA436"/>
      <c r="IB436"/>
      <c r="IC436"/>
      <c r="ID436"/>
      <c r="IE436"/>
      <c r="IF436" s="564"/>
      <c r="IH436" s="326">
        <v>20</v>
      </c>
      <c r="II436" s="695" t="s">
        <v>1117</v>
      </c>
    </row>
    <row r="437" spans="1:243" s="326" customFormat="1" ht="8.25" customHeight="1">
      <c r="A437" s="321"/>
      <c r="B437" s="321"/>
      <c r="C437" s="321"/>
      <c r="D437" s="321"/>
      <c r="E437" s="321"/>
      <c r="F437" s="301"/>
      <c r="G437" s="297"/>
      <c r="H437" s="301"/>
      <c r="I437" s="301"/>
      <c r="J437" s="297"/>
      <c r="K437" s="293"/>
      <c r="L437" s="321"/>
      <c r="M437" s="321"/>
      <c r="N437" s="321"/>
      <c r="O437" s="321"/>
      <c r="P437" s="564"/>
      <c r="Q437" s="321"/>
      <c r="R437" s="321"/>
      <c r="S437" s="321"/>
      <c r="T437" s="321"/>
      <c r="U437" s="321"/>
      <c r="V437" s="301"/>
      <c r="W437" s="297"/>
      <c r="X437" s="160"/>
      <c r="Y437" s="160"/>
      <c r="Z437" s="297"/>
      <c r="AA437" s="293"/>
      <c r="AB437" s="321"/>
      <c r="AC437" s="321"/>
      <c r="AD437" s="321"/>
      <c r="AE437" s="321"/>
      <c r="AF437" s="321"/>
      <c r="AG437" s="1236"/>
      <c r="AH437" s="328"/>
      <c r="AI437" s="328"/>
      <c r="AJ437" s="328"/>
      <c r="AK437" s="328"/>
      <c r="AL437" s="328"/>
      <c r="AM437" s="293"/>
      <c r="AN437" s="293"/>
      <c r="AO437" s="291"/>
      <c r="AP437" s="291"/>
      <c r="AQ437" s="328"/>
      <c r="AR437" s="328"/>
      <c r="AS437" s="328"/>
      <c r="AT437" s="328"/>
      <c r="AU437" s="328"/>
      <c r="AV437" s="1237"/>
      <c r="AW437" s="987"/>
      <c r="AX437" s="207"/>
      <c r="AY437" s="207"/>
      <c r="AZ437" s="207"/>
      <c r="BA437" s="207"/>
      <c r="BB437" s="207"/>
      <c r="BC437" s="207"/>
      <c r="BD437" s="207"/>
      <c r="BE437" s="207"/>
      <c r="BF437" s="207"/>
      <c r="BG437" s="207"/>
      <c r="BH437" s="207"/>
      <c r="BI437" s="207"/>
      <c r="BJ437" s="207"/>
      <c r="BK437" s="207"/>
      <c r="BL437" s="990"/>
      <c r="BM437" s="301"/>
      <c r="BN437" s="207"/>
      <c r="BO437" s="308"/>
      <c r="BP437" s="316"/>
      <c r="BQ437" s="481"/>
      <c r="BR437" s="313"/>
      <c r="BS437" s="297"/>
      <c r="BT437" s="189"/>
      <c r="BU437" s="307"/>
      <c r="BV437" s="307"/>
      <c r="BW437" s="301"/>
      <c r="BX437" s="167"/>
      <c r="BY437" s="162"/>
      <c r="BZ437" s="158"/>
      <c r="CA437" s="189"/>
      <c r="CB437" s="189"/>
      <c r="CC437" s="1236"/>
      <c r="CD437" s="290"/>
      <c r="CE437" s="293"/>
      <c r="CF437" s="160"/>
      <c r="CG437" s="160"/>
      <c r="CH437" s="160"/>
      <c r="CI437" s="301"/>
      <c r="CJ437" s="297"/>
      <c r="CK437" s="293"/>
      <c r="CL437" s="297"/>
      <c r="CM437" s="160"/>
      <c r="CN437" s="160"/>
      <c r="CO437" s="160"/>
      <c r="CP437" s="293"/>
      <c r="CQ437" s="290"/>
      <c r="CR437" s="328"/>
      <c r="CS437" s="1236"/>
      <c r="CT437" s="292"/>
      <c r="CU437" s="328"/>
      <c r="CV437" s="328"/>
      <c r="CW437" s="328"/>
      <c r="CX437" s="292"/>
      <c r="CY437" s="93"/>
      <c r="CZ437" s="93"/>
      <c r="DA437" s="93"/>
      <c r="DB437" s="293"/>
      <c r="DC437" s="93"/>
      <c r="DD437" s="93"/>
      <c r="DE437" s="93"/>
      <c r="DF437" s="292"/>
      <c r="DG437" s="93"/>
      <c r="DH437" s="93"/>
      <c r="DI437" s="293"/>
      <c r="DJ437" s="158"/>
      <c r="DK437" s="297"/>
      <c r="DL437" s="158"/>
      <c r="DM437" s="297"/>
      <c r="DN437" s="158"/>
      <c r="DO437" s="297"/>
      <c r="DP437" s="158"/>
      <c r="DQ437" s="297"/>
      <c r="DR437" s="158"/>
      <c r="DS437" s="297"/>
      <c r="DT437" s="158"/>
      <c r="DU437" s="293"/>
      <c r="DV437" s="158"/>
      <c r="DW437" s="293"/>
      <c r="DX437" s="161"/>
      <c r="DY437" s="1236"/>
      <c r="DZ437" s="328"/>
      <c r="EA437" s="328"/>
      <c r="EB437" s="328"/>
      <c r="EC437" s="328"/>
      <c r="ED437" s="200"/>
      <c r="EE437" s="328"/>
      <c r="EF437" s="305"/>
      <c r="EG437" s="199"/>
      <c r="EH437" s="200"/>
      <c r="EI437" s="201"/>
      <c r="EJ437" s="328"/>
      <c r="EK437" s="328"/>
      <c r="EL437" s="328"/>
      <c r="EM437" s="328"/>
      <c r="EN437" s="1237"/>
      <c r="EO437" s="1236"/>
      <c r="EP437" s="328"/>
      <c r="EQ437" s="328"/>
      <c r="ER437" s="328"/>
      <c r="ES437" s="328"/>
      <c r="ET437" s="200"/>
      <c r="EU437" s="328"/>
      <c r="EV437" s="305"/>
      <c r="EW437" s="199"/>
      <c r="EX437" s="200"/>
      <c r="EY437" s="201"/>
      <c r="EZ437" s="328"/>
      <c r="FA437" s="328"/>
      <c r="FB437" s="328"/>
      <c r="FC437" s="328"/>
      <c r="FD437" s="1237"/>
      <c r="FE437" s="189"/>
      <c r="FF437" s="293"/>
      <c r="FG437" s="301"/>
      <c r="FH437" s="189"/>
      <c r="FI437" s="297"/>
      <c r="FJ437" s="174"/>
      <c r="FK437" s="169"/>
      <c r="FL437" s="169"/>
      <c r="FM437" s="297"/>
      <c r="FN437" s="189"/>
      <c r="FO437" s="301"/>
      <c r="FP437" s="293"/>
      <c r="FQ437" s="301"/>
      <c r="FR437" s="328"/>
      <c r="FS437" s="328"/>
      <c r="FT437" s="1237"/>
      <c r="FU437" s="699"/>
      <c r="FV437" s="201"/>
      <c r="FW437" s="291"/>
      <c r="FX437" s="93"/>
      <c r="FY437" s="93"/>
      <c r="FZ437" s="93"/>
      <c r="GA437" s="93"/>
      <c r="GB437" s="93"/>
      <c r="GC437" s="93"/>
      <c r="GD437" s="93"/>
      <c r="GE437" s="93"/>
      <c r="GF437" s="93"/>
      <c r="GG437" s="93"/>
      <c r="GH437" s="201"/>
      <c r="GI437" s="291"/>
      <c r="GJ437" s="79"/>
      <c r="GK437" s="699"/>
      <c r="GL437" s="93"/>
      <c r="GM437" s="93"/>
      <c r="GN437" s="328"/>
      <c r="GO437" s="328"/>
      <c r="GP437" s="328"/>
      <c r="GQ437" s="328"/>
      <c r="GR437" s="308"/>
      <c r="GS437" s="189"/>
      <c r="GT437" s="291"/>
      <c r="GU437" s="301"/>
      <c r="GV437" s="298"/>
      <c r="GW437" s="328"/>
      <c r="GX437" s="328"/>
      <c r="GY437" s="328"/>
      <c r="GZ437" s="328"/>
      <c r="HA437" s="1236"/>
      <c r="HB437" s="328"/>
      <c r="HC437" s="328"/>
      <c r="HD437" s="328"/>
      <c r="HE437" s="328"/>
      <c r="HF437" s="299"/>
      <c r="HG437" s="295"/>
      <c r="HH437" s="294"/>
      <c r="HI437" s="299"/>
      <c r="HJ437" s="328"/>
      <c r="HK437" s="328"/>
      <c r="HL437" s="328"/>
      <c r="HM437" s="207"/>
      <c r="HN437" s="328"/>
      <c r="HO437" s="328"/>
      <c r="HP437" s="564"/>
      <c r="HQ437" s="483"/>
      <c r="HR437"/>
      <c r="HS437"/>
      <c r="HT437"/>
      <c r="HU437"/>
      <c r="HV437" s="199"/>
      <c r="HW437" s="293"/>
      <c r="HX437" s="297"/>
      <c r="HY437" s="290"/>
      <c r="HZ437" s="199"/>
      <c r="IA437"/>
      <c r="IB437"/>
      <c r="IC437"/>
      <c r="ID437"/>
      <c r="IE437"/>
      <c r="IF437" s="564"/>
    </row>
    <row r="438" spans="1:243" s="326" customFormat="1" ht="8.25" customHeight="1">
      <c r="A438" s="321"/>
      <c r="B438" s="321"/>
      <c r="C438" s="321"/>
      <c r="D438" s="321"/>
      <c r="E438" s="321"/>
      <c r="F438" s="301"/>
      <c r="G438" s="297"/>
      <c r="H438" s="293"/>
      <c r="I438" s="293"/>
      <c r="J438" s="297"/>
      <c r="K438" s="293"/>
      <c r="L438" s="321"/>
      <c r="M438" s="321"/>
      <c r="N438" s="321"/>
      <c r="O438" s="321"/>
      <c r="P438" s="564"/>
      <c r="Q438" s="321"/>
      <c r="R438" s="321"/>
      <c r="S438" s="321"/>
      <c r="T438" s="321"/>
      <c r="U438" s="321"/>
      <c r="V438" s="301"/>
      <c r="W438" s="297"/>
      <c r="X438" s="297"/>
      <c r="Y438" s="297"/>
      <c r="Z438" s="297"/>
      <c r="AA438" s="293"/>
      <c r="AB438" s="321"/>
      <c r="AC438" s="321"/>
      <c r="AD438" s="321"/>
      <c r="AE438" s="321"/>
      <c r="AF438" s="321"/>
      <c r="AG438" s="1236"/>
      <c r="AH438" s="328"/>
      <c r="AI438" s="328"/>
      <c r="AJ438" s="328"/>
      <c r="AK438" s="328"/>
      <c r="AL438" s="293"/>
      <c r="AM438" s="297"/>
      <c r="AN438" s="293"/>
      <c r="AO438" s="291"/>
      <c r="AP438" s="291"/>
      <c r="AQ438" s="293"/>
      <c r="AR438" s="328"/>
      <c r="AS438" s="328"/>
      <c r="AT438" s="328"/>
      <c r="AU438" s="328"/>
      <c r="AV438" s="1237"/>
      <c r="AW438" s="1374"/>
      <c r="AX438" s="161"/>
      <c r="AY438" s="297"/>
      <c r="AZ438" s="297"/>
      <c r="BA438" s="297"/>
      <c r="BB438" s="301"/>
      <c r="BC438" s="161"/>
      <c r="BD438" s="297"/>
      <c r="BE438" s="297"/>
      <c r="BF438" s="297"/>
      <c r="BG438" s="301"/>
      <c r="BH438" s="161"/>
      <c r="BI438" s="297"/>
      <c r="BJ438" s="297"/>
      <c r="BK438" s="301"/>
      <c r="BL438" s="1375"/>
      <c r="BM438" s="297"/>
      <c r="BN438" s="297"/>
      <c r="BO438" s="297"/>
      <c r="BP438" s="297"/>
      <c r="BQ438" s="297"/>
      <c r="BR438" s="297"/>
      <c r="BS438" s="297"/>
      <c r="BT438" s="297"/>
      <c r="BU438" s="297"/>
      <c r="BV438" s="297"/>
      <c r="BW438" s="297"/>
      <c r="BX438" s="297"/>
      <c r="BY438" s="297"/>
      <c r="BZ438" s="297"/>
      <c r="CA438" s="297"/>
      <c r="CB438" s="297"/>
      <c r="CC438" s="1236"/>
      <c r="CD438" s="290"/>
      <c r="CE438" s="293"/>
      <c r="CF438" s="160"/>
      <c r="CG438" s="297"/>
      <c r="CH438" s="301"/>
      <c r="CI438" s="293"/>
      <c r="CJ438" s="160"/>
      <c r="CK438" s="160"/>
      <c r="CL438" s="293"/>
      <c r="CM438" s="293"/>
      <c r="CN438" s="292"/>
      <c r="CO438" s="160"/>
      <c r="CP438" s="293"/>
      <c r="CQ438" s="290"/>
      <c r="CR438" s="328"/>
      <c r="CS438" s="1236"/>
      <c r="CT438" s="292"/>
      <c r="CU438" s="328"/>
      <c r="CV438" s="328"/>
      <c r="CW438" s="328"/>
      <c r="CX438" s="292"/>
      <c r="CY438" s="93"/>
      <c r="CZ438" s="93"/>
      <c r="DA438" s="93"/>
      <c r="DB438" s="292"/>
      <c r="DC438" s="93"/>
      <c r="DD438" s="93"/>
      <c r="DE438" s="93"/>
      <c r="DF438" s="292"/>
      <c r="DG438" s="292"/>
      <c r="DH438" s="93"/>
      <c r="DI438" s="293"/>
      <c r="DJ438" s="162"/>
      <c r="DK438" s="301"/>
      <c r="DL438" s="162"/>
      <c r="DM438" s="301"/>
      <c r="DN438" s="162"/>
      <c r="DO438" s="301"/>
      <c r="DP438" s="162"/>
      <c r="DQ438" s="301"/>
      <c r="DR438" s="162"/>
      <c r="DS438" s="297"/>
      <c r="DT438" s="162"/>
      <c r="DU438" s="297"/>
      <c r="DV438" s="162"/>
      <c r="DW438" s="293"/>
      <c r="DX438" s="161"/>
      <c r="DY438" s="1236"/>
      <c r="DZ438" s="328"/>
      <c r="EA438" s="328"/>
      <c r="EB438" s="328"/>
      <c r="EC438" s="328"/>
      <c r="ED438" s="200"/>
      <c r="EE438" s="201"/>
      <c r="EF438" s="200"/>
      <c r="EG438" s="201"/>
      <c r="EH438" s="199"/>
      <c r="EI438" s="328"/>
      <c r="EJ438" s="328"/>
      <c r="EK438" s="328"/>
      <c r="EL438" s="328"/>
      <c r="EM438" s="328"/>
      <c r="EN438" s="1237"/>
      <c r="EO438" s="1236"/>
      <c r="EP438" s="328"/>
      <c r="EQ438" s="328"/>
      <c r="ER438" s="328"/>
      <c r="ES438" s="328"/>
      <c r="ET438" s="200"/>
      <c r="EU438" s="201"/>
      <c r="EV438" s="200"/>
      <c r="EW438" s="201"/>
      <c r="EX438" s="199"/>
      <c r="EY438" s="328"/>
      <c r="EZ438" s="328"/>
      <c r="FA438" s="328"/>
      <c r="FB438" s="328"/>
      <c r="FC438" s="328"/>
      <c r="FD438" s="1237"/>
      <c r="FE438" s="189"/>
      <c r="FF438" s="293"/>
      <c r="FG438" s="301"/>
      <c r="FH438" s="189"/>
      <c r="FI438" s="297"/>
      <c r="FJ438" s="170"/>
      <c r="FK438" s="169"/>
      <c r="FL438" s="170"/>
      <c r="FM438" s="297"/>
      <c r="FN438" s="189"/>
      <c r="FO438" s="301"/>
      <c r="FP438" s="293"/>
      <c r="FQ438" s="301"/>
      <c r="FR438" s="328"/>
      <c r="FS438" s="328"/>
      <c r="FT438" s="1237"/>
      <c r="FU438" s="699"/>
      <c r="FV438" s="201"/>
      <c r="FW438" s="291"/>
      <c r="FX438" s="93"/>
      <c r="FY438" s="93"/>
      <c r="FZ438" s="93"/>
      <c r="GA438" s="93"/>
      <c r="GB438" s="93"/>
      <c r="GC438" s="93"/>
      <c r="GD438" s="93"/>
      <c r="GE438" s="93"/>
      <c r="GF438" s="93"/>
      <c r="GG438" s="93"/>
      <c r="GH438" s="201"/>
      <c r="GI438" s="291"/>
      <c r="GJ438" s="79"/>
      <c r="GK438" s="699"/>
      <c r="GL438" s="93"/>
      <c r="GM438" s="93"/>
      <c r="GN438" s="328"/>
      <c r="GO438" s="328"/>
      <c r="GP438" s="328"/>
      <c r="GQ438" s="328"/>
      <c r="GR438" s="207"/>
      <c r="GS438" s="301"/>
      <c r="GT438" s="301"/>
      <c r="GU438" s="297"/>
      <c r="GV438" s="298"/>
      <c r="GW438" s="328"/>
      <c r="GX438" s="328"/>
      <c r="GY438" s="328"/>
      <c r="GZ438" s="328"/>
      <c r="HA438" s="1236"/>
      <c r="HB438" s="328"/>
      <c r="HC438" s="328"/>
      <c r="HD438" s="328"/>
      <c r="HE438" s="328"/>
      <c r="HF438" s="295"/>
      <c r="HG438" s="193"/>
      <c r="HH438" s="294"/>
      <c r="HI438" s="295"/>
      <c r="HJ438" s="328"/>
      <c r="HK438" s="328"/>
      <c r="HL438" s="328"/>
      <c r="HM438" s="328"/>
      <c r="HN438" s="328"/>
      <c r="HO438" s="328"/>
      <c r="HP438" s="564"/>
      <c r="HQ438" s="483"/>
      <c r="HR438"/>
      <c r="HS438"/>
      <c r="HT438"/>
      <c r="HU438"/>
      <c r="HV438" s="200"/>
      <c r="HW438" s="158"/>
      <c r="HX438" s="290"/>
      <c r="HY438" s="160"/>
      <c r="HZ438" s="200"/>
      <c r="IA438"/>
      <c r="IB438"/>
      <c r="IC438"/>
      <c r="ID438"/>
      <c r="IE438"/>
      <c r="IF438" s="564"/>
    </row>
    <row r="439" spans="1:243" s="326" customFormat="1" ht="8.25" customHeight="1">
      <c r="A439" s="483"/>
      <c r="B439" s="321"/>
      <c r="C439" s="321"/>
      <c r="D439" s="321"/>
      <c r="E439" s="321"/>
      <c r="F439" s="301"/>
      <c r="G439" s="297"/>
      <c r="H439" s="297"/>
      <c r="I439" s="297"/>
      <c r="J439" s="297"/>
      <c r="K439" s="293"/>
      <c r="L439" s="321"/>
      <c r="M439" s="321"/>
      <c r="N439" s="321"/>
      <c r="O439" s="321"/>
      <c r="P439" s="564"/>
      <c r="Q439" s="483"/>
      <c r="R439" s="321"/>
      <c r="S439" s="321"/>
      <c r="T439" s="321"/>
      <c r="U439" s="321"/>
      <c r="V439" s="301"/>
      <c r="W439" s="297"/>
      <c r="X439" s="297"/>
      <c r="Y439" s="297"/>
      <c r="Z439" s="297"/>
      <c r="AA439" s="293"/>
      <c r="AB439" s="321"/>
      <c r="AC439" s="321"/>
      <c r="AD439" s="321"/>
      <c r="AE439" s="321"/>
      <c r="AF439" s="321"/>
      <c r="AG439" s="1236"/>
      <c r="AH439" s="328"/>
      <c r="AI439" s="328"/>
      <c r="AJ439" s="328"/>
      <c r="AK439" s="328"/>
      <c r="AL439" s="328"/>
      <c r="AM439" s="328"/>
      <c r="AN439" s="297"/>
      <c r="AO439" s="293"/>
      <c r="AP439" s="328"/>
      <c r="AQ439" s="328"/>
      <c r="AR439" s="328"/>
      <c r="AS439" s="328"/>
      <c r="AT439" s="328"/>
      <c r="AU439" s="328"/>
      <c r="AV439" s="1237"/>
      <c r="AW439" s="1374"/>
      <c r="AX439" s="161"/>
      <c r="AY439" s="301"/>
      <c r="AZ439" s="301"/>
      <c r="BA439" s="297"/>
      <c r="BB439" s="189"/>
      <c r="BC439" s="293"/>
      <c r="BD439" s="301"/>
      <c r="BE439" s="301"/>
      <c r="BF439" s="297"/>
      <c r="BG439" s="189"/>
      <c r="BH439" s="293"/>
      <c r="BI439" s="301"/>
      <c r="BJ439" s="301"/>
      <c r="BK439" s="189"/>
      <c r="BL439" s="1375"/>
      <c r="BM439" s="199"/>
      <c r="BN439" s="291"/>
      <c r="BO439" s="293"/>
      <c r="BP439" s="293"/>
      <c r="BQ439" s="293"/>
      <c r="BR439" s="161"/>
      <c r="BS439" s="293"/>
      <c r="BT439" s="293"/>
      <c r="BU439" s="293"/>
      <c r="BV439" s="293"/>
      <c r="BW439" s="161"/>
      <c r="BX439" s="293"/>
      <c r="BY439" s="293"/>
      <c r="BZ439" s="293"/>
      <c r="CA439" s="291"/>
      <c r="CB439" s="199"/>
      <c r="CC439" s="1236"/>
      <c r="CD439" s="290"/>
      <c r="CE439" s="293"/>
      <c r="CF439" s="160"/>
      <c r="CG439" s="160"/>
      <c r="CH439" s="297"/>
      <c r="CI439" s="160"/>
      <c r="CJ439" s="293"/>
      <c r="CK439" s="297"/>
      <c r="CL439" s="160"/>
      <c r="CM439" s="297"/>
      <c r="CN439" s="160"/>
      <c r="CO439" s="160"/>
      <c r="CP439" s="293"/>
      <c r="CQ439" s="290"/>
      <c r="CR439" s="328"/>
      <c r="CS439" s="1236"/>
      <c r="CT439" s="293"/>
      <c r="CU439" s="328"/>
      <c r="CV439" s="328"/>
      <c r="CW439" s="328"/>
      <c r="CX439" s="93"/>
      <c r="CY439" s="93"/>
      <c r="CZ439" s="93"/>
      <c r="DA439" s="93"/>
      <c r="DB439" s="292"/>
      <c r="DC439" s="93"/>
      <c r="DD439" s="93"/>
      <c r="DE439" s="93"/>
      <c r="DF439" s="292"/>
      <c r="DG439" s="292"/>
      <c r="DH439" s="93"/>
      <c r="DI439" s="293"/>
      <c r="DJ439" s="158"/>
      <c r="DK439" s="297"/>
      <c r="DL439" s="158"/>
      <c r="DM439" s="297"/>
      <c r="DN439" s="158"/>
      <c r="DO439" s="297"/>
      <c r="DP439" s="158"/>
      <c r="DQ439" s="297"/>
      <c r="DR439" s="158"/>
      <c r="DS439" s="297"/>
      <c r="DT439" s="158"/>
      <c r="DU439" s="293"/>
      <c r="DV439" s="158"/>
      <c r="DW439" s="293"/>
      <c r="DX439" s="161"/>
      <c r="DY439" s="1236"/>
      <c r="DZ439" s="328"/>
      <c r="EA439" s="328"/>
      <c r="EB439" s="328"/>
      <c r="EC439" s="328"/>
      <c r="ED439" s="328"/>
      <c r="EE439" s="200"/>
      <c r="EF439" s="201"/>
      <c r="EG439" s="201"/>
      <c r="EH439" s="201"/>
      <c r="EI439" s="328"/>
      <c r="EJ439" s="328"/>
      <c r="EK439" s="328"/>
      <c r="EL439" s="328"/>
      <c r="EM439" s="328"/>
      <c r="EN439" s="1237"/>
      <c r="EO439" s="1236"/>
      <c r="EP439" s="328"/>
      <c r="EQ439" s="328"/>
      <c r="ER439" s="328"/>
      <c r="ES439" s="328"/>
      <c r="ET439" s="328"/>
      <c r="EU439" s="200"/>
      <c r="EV439" s="201"/>
      <c r="EW439" s="201"/>
      <c r="EX439" s="201"/>
      <c r="EY439" s="328"/>
      <c r="EZ439" s="328"/>
      <c r="FA439" s="328"/>
      <c r="FB439" s="328"/>
      <c r="FC439" s="328"/>
      <c r="FD439" s="1237"/>
      <c r="FE439" s="189"/>
      <c r="FF439" s="293"/>
      <c r="FG439" s="301"/>
      <c r="FH439" s="189"/>
      <c r="FI439" s="93"/>
      <c r="FJ439" s="297"/>
      <c r="FK439" s="297"/>
      <c r="FL439" s="297"/>
      <c r="FM439" s="93"/>
      <c r="FN439" s="189"/>
      <c r="FO439" s="301"/>
      <c r="FP439" s="293"/>
      <c r="FQ439" s="301"/>
      <c r="FR439" s="328"/>
      <c r="FS439" s="328"/>
      <c r="FT439" s="1237"/>
      <c r="FU439" s="699"/>
      <c r="FV439" s="201"/>
      <c r="FW439" s="291"/>
      <c r="FX439" s="93"/>
      <c r="FY439" s="93"/>
      <c r="FZ439" s="93"/>
      <c r="GA439" s="93"/>
      <c r="GB439" s="93"/>
      <c r="GC439" s="93"/>
      <c r="GD439" s="93"/>
      <c r="GE439" s="93"/>
      <c r="GF439" s="93"/>
      <c r="GG439" s="93"/>
      <c r="GH439" s="201"/>
      <c r="GI439" s="291"/>
      <c r="GJ439" s="79"/>
      <c r="GK439" s="699"/>
      <c r="GL439" s="93"/>
      <c r="GM439" s="93"/>
      <c r="GN439" s="328"/>
      <c r="GO439" s="328"/>
      <c r="GP439" s="328"/>
      <c r="GQ439" s="328"/>
      <c r="GR439" s="328"/>
      <c r="GS439" s="207"/>
      <c r="GT439" s="298"/>
      <c r="GU439" s="298"/>
      <c r="GV439" s="328"/>
      <c r="GW439" s="328"/>
      <c r="GX439" s="328"/>
      <c r="GY439" s="328"/>
      <c r="GZ439" s="328"/>
      <c r="HA439" s="1236"/>
      <c r="HB439" s="328"/>
      <c r="HC439" s="328"/>
      <c r="HD439" s="328"/>
      <c r="HE439" s="328"/>
      <c r="HF439" s="199"/>
      <c r="HG439" s="201"/>
      <c r="HH439" s="295"/>
      <c r="HI439" s="193"/>
      <c r="HJ439" s="328"/>
      <c r="HK439" s="328"/>
      <c r="HL439" s="328"/>
      <c r="HM439" s="328"/>
      <c r="HN439" s="328"/>
      <c r="HO439" s="328"/>
      <c r="HP439" s="564"/>
      <c r="HQ439" s="483"/>
      <c r="HR439"/>
      <c r="HS439"/>
      <c r="HT439"/>
      <c r="HU439"/>
      <c r="HV439" s="462">
        <v>11</v>
      </c>
      <c r="HW439" s="200"/>
      <c r="HX439" s="199"/>
      <c r="HY439" s="200"/>
      <c r="HZ439" s="462">
        <v>11</v>
      </c>
      <c r="IA439"/>
      <c r="IB439"/>
      <c r="IC439"/>
      <c r="ID439"/>
      <c r="IE439"/>
      <c r="IF439" s="564"/>
    </row>
    <row r="440" spans="1:243" s="326" customFormat="1" ht="8.25" customHeight="1">
      <c r="A440" s="483"/>
      <c r="B440" s="321"/>
      <c r="C440" s="321"/>
      <c r="D440" s="321"/>
      <c r="E440" s="321"/>
      <c r="F440" s="297"/>
      <c r="G440" s="293"/>
      <c r="H440" s="293"/>
      <c r="I440" s="293"/>
      <c r="J440" s="293"/>
      <c r="K440" s="161"/>
      <c r="L440" s="321"/>
      <c r="M440" s="321"/>
      <c r="N440" s="321"/>
      <c r="O440" s="321"/>
      <c r="P440" s="564"/>
      <c r="Q440" s="483"/>
      <c r="R440" s="321"/>
      <c r="S440" s="321"/>
      <c r="T440" s="321"/>
      <c r="U440" s="321"/>
      <c r="V440" s="297"/>
      <c r="W440" s="293"/>
      <c r="X440" s="293"/>
      <c r="Y440" s="293"/>
      <c r="Z440" s="293"/>
      <c r="AA440" s="161"/>
      <c r="AB440" s="321"/>
      <c r="AC440" s="321"/>
      <c r="AD440" s="321"/>
      <c r="AE440" s="321"/>
      <c r="AF440" s="321"/>
      <c r="AG440" s="1236"/>
      <c r="AH440" s="328"/>
      <c r="AI440" s="328"/>
      <c r="AJ440" s="328"/>
      <c r="AK440" s="328"/>
      <c r="AL440" s="328"/>
      <c r="AM440" s="328"/>
      <c r="AN440" s="297"/>
      <c r="AO440" s="293"/>
      <c r="AP440" s="328"/>
      <c r="AQ440" s="328"/>
      <c r="AR440" s="328"/>
      <c r="AS440" s="328"/>
      <c r="AT440" s="328"/>
      <c r="AU440" s="328"/>
      <c r="AV440" s="1237"/>
      <c r="AW440" s="1374"/>
      <c r="AX440" s="161"/>
      <c r="AY440" s="301"/>
      <c r="AZ440" s="301"/>
      <c r="BA440" s="297"/>
      <c r="BB440" s="189"/>
      <c r="BC440" s="293"/>
      <c r="BD440" s="301"/>
      <c r="BE440" s="301"/>
      <c r="BF440" s="297"/>
      <c r="BG440" s="189"/>
      <c r="BH440" s="293"/>
      <c r="BI440" s="301"/>
      <c r="BJ440" s="301"/>
      <c r="BK440" s="189"/>
      <c r="BL440" s="1375"/>
      <c r="BM440" s="201"/>
      <c r="BN440" s="199"/>
      <c r="BO440" s="293"/>
      <c r="BP440" s="301"/>
      <c r="BQ440" s="293"/>
      <c r="BR440" s="161"/>
      <c r="BS440" s="293"/>
      <c r="BT440" s="301"/>
      <c r="BU440" s="297"/>
      <c r="BV440" s="293"/>
      <c r="BW440" s="161"/>
      <c r="BX440" s="293"/>
      <c r="BY440" s="301"/>
      <c r="BZ440" s="293"/>
      <c r="CA440" s="199"/>
      <c r="CB440" s="201"/>
      <c r="CC440" s="1236"/>
      <c r="CD440" s="290"/>
      <c r="CE440" s="293"/>
      <c r="CF440" s="160"/>
      <c r="CG440" s="160"/>
      <c r="CH440" s="293"/>
      <c r="CI440" s="160"/>
      <c r="CJ440" s="297"/>
      <c r="CK440" s="293"/>
      <c r="CL440" s="160"/>
      <c r="CM440" s="297"/>
      <c r="CN440" s="160"/>
      <c r="CO440" s="160"/>
      <c r="CP440" s="293"/>
      <c r="CQ440" s="290"/>
      <c r="CR440" s="328"/>
      <c r="CS440" s="1236"/>
      <c r="CT440" s="292"/>
      <c r="CU440" s="292"/>
      <c r="CV440" s="328"/>
      <c r="CW440" s="328"/>
      <c r="CX440" s="292"/>
      <c r="CY440" s="93"/>
      <c r="CZ440" s="93"/>
      <c r="DA440" s="93"/>
      <c r="DB440" s="292"/>
      <c r="DC440" s="93"/>
      <c r="DD440" s="93"/>
      <c r="DE440" s="93"/>
      <c r="DF440" s="292"/>
      <c r="DG440" s="293"/>
      <c r="DH440" s="93"/>
      <c r="DI440" s="293"/>
      <c r="DJ440" s="163"/>
      <c r="DK440" s="161"/>
      <c r="DL440" s="163"/>
      <c r="DM440" s="161"/>
      <c r="DN440" s="163"/>
      <c r="DO440" s="161"/>
      <c r="DP440" s="163"/>
      <c r="DQ440" s="161"/>
      <c r="DR440" s="163"/>
      <c r="DS440" s="161"/>
      <c r="DT440" s="163"/>
      <c r="DU440" s="161"/>
      <c r="DV440" s="163"/>
      <c r="DW440" s="161"/>
      <c r="DX440" s="161"/>
      <c r="DY440" s="1236"/>
      <c r="DZ440" s="328"/>
      <c r="EA440" s="328"/>
      <c r="EB440" s="328"/>
      <c r="EC440" s="328"/>
      <c r="ED440" s="328"/>
      <c r="EE440" s="200"/>
      <c r="EF440" s="201"/>
      <c r="EG440" s="201"/>
      <c r="EH440" s="328"/>
      <c r="EI440" s="328"/>
      <c r="EJ440" s="328"/>
      <c r="EK440" s="328"/>
      <c r="EL440" s="328"/>
      <c r="EM440" s="328"/>
      <c r="EN440" s="1237"/>
      <c r="EO440" s="1236"/>
      <c r="EP440" s="328"/>
      <c r="EQ440" s="328"/>
      <c r="ER440" s="328"/>
      <c r="ES440" s="328"/>
      <c r="ET440" s="328"/>
      <c r="EU440" s="200"/>
      <c r="EV440" s="201"/>
      <c r="EW440" s="201"/>
      <c r="EX440" s="328"/>
      <c r="EY440" s="328"/>
      <c r="EZ440" s="328"/>
      <c r="FA440" s="328"/>
      <c r="FB440" s="328"/>
      <c r="FC440" s="328"/>
      <c r="FD440" s="1237"/>
      <c r="FE440" s="189"/>
      <c r="FF440" s="293"/>
      <c r="FG440" s="301"/>
      <c r="FH440" s="189"/>
      <c r="FI440" s="93"/>
      <c r="FJ440" s="93"/>
      <c r="FK440" s="93"/>
      <c r="FL440" s="93"/>
      <c r="FM440" s="93"/>
      <c r="FN440" s="189"/>
      <c r="FO440" s="301"/>
      <c r="FP440" s="293"/>
      <c r="FQ440" s="301"/>
      <c r="FR440" s="328"/>
      <c r="FS440" s="328"/>
      <c r="FT440" s="1237"/>
      <c r="FU440" s="699"/>
      <c r="FV440" s="199"/>
      <c r="FW440" s="201"/>
      <c r="FX440" s="199"/>
      <c r="FY440" s="201"/>
      <c r="FZ440" s="201"/>
      <c r="GA440" s="201"/>
      <c r="GB440" s="201"/>
      <c r="GC440" s="201"/>
      <c r="GD440" s="201"/>
      <c r="GE440" s="201"/>
      <c r="GF440" s="201"/>
      <c r="GG440" s="201"/>
      <c r="GH440" s="201"/>
      <c r="GI440" s="201"/>
      <c r="GJ440" s="79"/>
      <c r="GK440" s="699"/>
      <c r="GL440" s="93"/>
      <c r="GM440" s="93"/>
      <c r="GN440" s="328"/>
      <c r="GO440" s="328"/>
      <c r="GP440" s="328"/>
      <c r="GQ440" s="328"/>
      <c r="GR440" s="328"/>
      <c r="GS440" s="328"/>
      <c r="GT440" s="328"/>
      <c r="GU440" s="328"/>
      <c r="GV440" s="328"/>
      <c r="GW440" s="328"/>
      <c r="GX440" s="328"/>
      <c r="GY440" s="328"/>
      <c r="GZ440" s="328"/>
      <c r="HA440" s="1236"/>
      <c r="HB440" s="328"/>
      <c r="HC440" s="328"/>
      <c r="HD440" s="328"/>
      <c r="HE440" s="328"/>
      <c r="HF440" s="291"/>
      <c r="HG440" s="206"/>
      <c r="HH440" s="199"/>
      <c r="HI440" s="201"/>
      <c r="HJ440" s="328"/>
      <c r="HK440" s="328"/>
      <c r="HL440" s="328"/>
      <c r="HM440" s="328"/>
      <c r="HN440" s="328"/>
      <c r="HO440" s="328"/>
      <c r="HP440" s="564"/>
      <c r="HQ440" s="483"/>
      <c r="HR440"/>
      <c r="HS440"/>
      <c r="HT440"/>
      <c r="HU440"/>
      <c r="HV440"/>
      <c r="HW440"/>
      <c r="HX440"/>
      <c r="HY440"/>
      <c r="HZ440"/>
      <c r="IA440"/>
      <c r="IB440"/>
      <c r="IC440"/>
      <c r="ID440"/>
      <c r="IE440"/>
      <c r="IF440" s="564"/>
    </row>
    <row r="441" spans="1:243" s="326" customFormat="1" ht="8.25" customHeight="1">
      <c r="A441" s="483"/>
      <c r="B441" s="321"/>
      <c r="C441" s="321"/>
      <c r="D441" s="321"/>
      <c r="E441" s="321"/>
      <c r="F441" s="321"/>
      <c r="G441" s="321"/>
      <c r="H441" s="321"/>
      <c r="I441" s="321"/>
      <c r="J441" s="321"/>
      <c r="K441" s="321"/>
      <c r="L441" s="321"/>
      <c r="M441" s="321"/>
      <c r="N441" s="321"/>
      <c r="O441" s="321"/>
      <c r="P441" s="564"/>
      <c r="Q441" s="483"/>
      <c r="R441" s="321"/>
      <c r="S441" s="321"/>
      <c r="T441" s="321"/>
      <c r="U441" s="321"/>
      <c r="V441" s="321"/>
      <c r="W441" s="321"/>
      <c r="X441" s="321"/>
      <c r="Y441" s="321"/>
      <c r="Z441" s="321"/>
      <c r="AA441" s="321"/>
      <c r="AB441" s="321"/>
      <c r="AC441" s="321"/>
      <c r="AD441" s="321"/>
      <c r="AE441" s="321"/>
      <c r="AF441" s="321"/>
      <c r="AG441" s="1236"/>
      <c r="AH441" s="328"/>
      <c r="AI441" s="328"/>
      <c r="AJ441" s="328"/>
      <c r="AK441" s="328"/>
      <c r="AL441" s="328"/>
      <c r="AM441" s="328"/>
      <c r="AN441" s="301"/>
      <c r="AO441" s="293"/>
      <c r="AP441" s="328"/>
      <c r="AQ441" s="328"/>
      <c r="AR441" s="328"/>
      <c r="AS441" s="328"/>
      <c r="AT441" s="328"/>
      <c r="AU441" s="328"/>
      <c r="AV441" s="1237"/>
      <c r="AW441" s="1374"/>
      <c r="AX441" s="293"/>
      <c r="AY441" s="301"/>
      <c r="AZ441" s="301"/>
      <c r="BA441" s="297"/>
      <c r="BB441" s="189"/>
      <c r="BC441" s="293"/>
      <c r="BD441" s="301"/>
      <c r="BE441" s="301"/>
      <c r="BF441" s="297"/>
      <c r="BG441" s="189"/>
      <c r="BH441" s="293"/>
      <c r="BI441" s="301"/>
      <c r="BJ441" s="301"/>
      <c r="BK441" s="189"/>
      <c r="BL441" s="1375"/>
      <c r="BM441" s="201"/>
      <c r="BN441" s="199"/>
      <c r="BO441" s="293"/>
      <c r="BP441" s="297"/>
      <c r="BQ441" s="293"/>
      <c r="BR441" s="161"/>
      <c r="BS441" s="293"/>
      <c r="BT441" s="297"/>
      <c r="BU441" s="293"/>
      <c r="BV441" s="293"/>
      <c r="BW441" s="161"/>
      <c r="BX441" s="293"/>
      <c r="BY441" s="297"/>
      <c r="BZ441" s="293"/>
      <c r="CA441" s="199"/>
      <c r="CB441" s="201"/>
      <c r="CC441" s="1236"/>
      <c r="CD441" s="290"/>
      <c r="CE441" s="293"/>
      <c r="CF441" s="160"/>
      <c r="CG441" s="293"/>
      <c r="CH441" s="297"/>
      <c r="CI441" s="293"/>
      <c r="CJ441" s="160"/>
      <c r="CK441" s="160"/>
      <c r="CL441" s="301"/>
      <c r="CM441" s="293"/>
      <c r="CN441" s="292"/>
      <c r="CO441" s="160"/>
      <c r="CP441" s="293"/>
      <c r="CQ441" s="290"/>
      <c r="CR441" s="328"/>
      <c r="CS441" s="1236"/>
      <c r="CT441" s="328"/>
      <c r="CU441" s="292"/>
      <c r="CV441" s="328"/>
      <c r="CW441" s="328"/>
      <c r="CX441" s="292"/>
      <c r="CY441" s="292"/>
      <c r="CZ441" s="93"/>
      <c r="DA441" s="93"/>
      <c r="DB441" s="292"/>
      <c r="DC441" s="292"/>
      <c r="DD441" s="93"/>
      <c r="DE441" s="93"/>
      <c r="DF441" s="292"/>
      <c r="DG441" s="293"/>
      <c r="DH441" s="1237"/>
      <c r="DI441" s="293"/>
      <c r="DJ441" s="158"/>
      <c r="DK441" s="297"/>
      <c r="DL441" s="158"/>
      <c r="DM441" s="297"/>
      <c r="DN441" s="158"/>
      <c r="DO441" s="297"/>
      <c r="DP441" s="158"/>
      <c r="DQ441" s="297"/>
      <c r="DR441" s="158"/>
      <c r="DS441" s="297"/>
      <c r="DT441" s="158"/>
      <c r="DU441" s="293"/>
      <c r="DV441" s="158"/>
      <c r="DW441" s="293"/>
      <c r="DX441" s="161"/>
      <c r="DY441" s="1236"/>
      <c r="DZ441" s="328"/>
      <c r="EA441" s="328"/>
      <c r="EB441" s="328"/>
      <c r="EC441" s="328"/>
      <c r="ED441" s="328"/>
      <c r="EE441" s="328"/>
      <c r="EF441" s="200"/>
      <c r="EG441" s="201"/>
      <c r="EH441" s="328"/>
      <c r="EI441" s="328"/>
      <c r="EJ441" s="328"/>
      <c r="EK441" s="328"/>
      <c r="EL441" s="328"/>
      <c r="EM441" s="328"/>
      <c r="EN441" s="1237"/>
      <c r="EO441" s="1236"/>
      <c r="EP441" s="328"/>
      <c r="EQ441" s="328"/>
      <c r="ER441" s="328"/>
      <c r="ES441" s="328"/>
      <c r="ET441" s="328"/>
      <c r="EU441" s="328"/>
      <c r="EV441" s="200"/>
      <c r="EW441" s="201"/>
      <c r="EX441" s="328"/>
      <c r="EY441" s="328"/>
      <c r="EZ441" s="328"/>
      <c r="FA441" s="328"/>
      <c r="FB441" s="328"/>
      <c r="FC441" s="328"/>
      <c r="FD441" s="1237"/>
      <c r="FE441" s="189"/>
      <c r="FF441" s="293"/>
      <c r="FG441" s="301"/>
      <c r="FH441" s="189"/>
      <c r="FI441"/>
      <c r="FJ441"/>
      <c r="FK441"/>
      <c r="FL441"/>
      <c r="FM441"/>
      <c r="FN441" s="189"/>
      <c r="FO441" s="301"/>
      <c r="FP441" s="293"/>
      <c r="FQ441" s="301"/>
      <c r="FR441" s="328"/>
      <c r="FS441" s="328"/>
      <c r="FT441" s="1237"/>
      <c r="FU441" s="699"/>
      <c r="FV441" s="291"/>
      <c r="FW441" s="291"/>
      <c r="FX441" s="291"/>
      <c r="FY441" s="291"/>
      <c r="FZ441" s="291"/>
      <c r="GA441" s="291"/>
      <c r="GB441" s="291"/>
      <c r="GC441" s="291"/>
      <c r="GD441" s="291"/>
      <c r="GE441" s="291"/>
      <c r="GF441" s="291"/>
      <c r="GG441" s="291"/>
      <c r="GH441" s="291"/>
      <c r="GI441" s="291"/>
      <c r="GJ441" s="79"/>
      <c r="GK441" s="699"/>
      <c r="GL441" s="93"/>
      <c r="GM441" s="93"/>
      <c r="GN441" s="328"/>
      <c r="GO441" s="328"/>
      <c r="GP441" s="328"/>
      <c r="GQ441" s="328"/>
      <c r="GR441" s="328"/>
      <c r="GS441" s="328"/>
      <c r="GT441" s="328"/>
      <c r="GU441" s="328"/>
      <c r="GV441" s="328"/>
      <c r="GW441" s="328"/>
      <c r="GX441" s="328"/>
      <c r="GY441" s="328"/>
      <c r="GZ441" s="328"/>
      <c r="HA441" s="1236"/>
      <c r="HB441" s="328"/>
      <c r="HC441" s="328"/>
      <c r="HD441" s="328"/>
      <c r="HE441" s="328"/>
      <c r="HF441" s="291"/>
      <c r="HG441" s="206"/>
      <c r="HH441" s="291"/>
      <c r="HI441" s="206"/>
      <c r="HJ441" s="328"/>
      <c r="HK441" s="328"/>
      <c r="HL441" s="328"/>
      <c r="HM441" s="328"/>
      <c r="HN441" s="328"/>
      <c r="HO441" s="328"/>
      <c r="HP441" s="564"/>
      <c r="HQ441" s="483"/>
      <c r="HR441"/>
      <c r="HS441"/>
      <c r="HT441"/>
      <c r="HU441"/>
      <c r="HV441"/>
      <c r="HW441"/>
      <c r="HX441"/>
      <c r="HY441"/>
      <c r="HZ441"/>
      <c r="IA441"/>
      <c r="IB441"/>
      <c r="IC441"/>
      <c r="ID441"/>
      <c r="IE441"/>
      <c r="IF441" s="564"/>
    </row>
    <row r="442" spans="1:243" s="326" customFormat="1" ht="8.25" customHeight="1">
      <c r="A442" s="483"/>
      <c r="B442" s="321"/>
      <c r="C442" s="321"/>
      <c r="D442" s="321"/>
      <c r="E442" s="321"/>
      <c r="F442" s="204"/>
      <c r="G442" s="204"/>
      <c r="H442" s="321"/>
      <c r="I442" s="204"/>
      <c r="J442" s="204"/>
      <c r="K442" s="321"/>
      <c r="L442" s="204"/>
      <c r="M442" s="204"/>
      <c r="N442" s="321"/>
      <c r="O442" s="321"/>
      <c r="P442" s="564"/>
      <c r="Q442" s="483"/>
      <c r="R442" s="321"/>
      <c r="S442" s="321"/>
      <c r="T442" s="321"/>
      <c r="U442" s="321"/>
      <c r="V442" s="294"/>
      <c r="W442" s="294"/>
      <c r="X442" s="321"/>
      <c r="Y442" s="294"/>
      <c r="Z442" s="294"/>
      <c r="AA442" s="321"/>
      <c r="AB442" s="294"/>
      <c r="AC442" s="294"/>
      <c r="AD442" s="321"/>
      <c r="AE442" s="321"/>
      <c r="AF442" s="321"/>
      <c r="AG442" s="1236"/>
      <c r="AH442" s="328"/>
      <c r="AI442" s="328"/>
      <c r="AJ442" s="328"/>
      <c r="AK442" s="328"/>
      <c r="AL442" s="328"/>
      <c r="AM442" s="328"/>
      <c r="AN442" s="301"/>
      <c r="AO442" s="297"/>
      <c r="AP442" s="328"/>
      <c r="AQ442" s="328"/>
      <c r="AR442" s="328"/>
      <c r="AS442" s="328"/>
      <c r="AT442" s="328"/>
      <c r="AU442" s="328"/>
      <c r="AV442" s="1237"/>
      <c r="AW442" s="1374"/>
      <c r="AX442" s="293"/>
      <c r="AY442" s="301"/>
      <c r="AZ442" s="301"/>
      <c r="BA442" s="297"/>
      <c r="BB442" s="189"/>
      <c r="BC442" s="293"/>
      <c r="BD442" s="301"/>
      <c r="BE442" s="301"/>
      <c r="BF442" s="297"/>
      <c r="BG442" s="189"/>
      <c r="BH442" s="293"/>
      <c r="BI442" s="301"/>
      <c r="BJ442" s="301"/>
      <c r="BK442" s="189"/>
      <c r="BL442" s="1375"/>
      <c r="BM442" s="201"/>
      <c r="BN442" s="199"/>
      <c r="BO442" s="293"/>
      <c r="BP442" s="301"/>
      <c r="BQ442" s="293"/>
      <c r="BR442" s="161"/>
      <c r="BS442" s="293"/>
      <c r="BT442" s="301"/>
      <c r="BU442" s="297"/>
      <c r="BV442" s="293"/>
      <c r="BW442" s="161"/>
      <c r="BX442" s="293"/>
      <c r="BY442" s="301"/>
      <c r="BZ442" s="293"/>
      <c r="CA442" s="199"/>
      <c r="CB442" s="201"/>
      <c r="CC442" s="1236"/>
      <c r="CD442" s="290"/>
      <c r="CE442" s="293"/>
      <c r="CF442" s="160"/>
      <c r="CG442" s="160"/>
      <c r="CH442" s="160"/>
      <c r="CI442" s="293"/>
      <c r="CJ442" s="297"/>
      <c r="CK442" s="297"/>
      <c r="CL442" s="293"/>
      <c r="CM442" s="160"/>
      <c r="CN442" s="160"/>
      <c r="CO442" s="160"/>
      <c r="CP442" s="293"/>
      <c r="CQ442" s="290"/>
      <c r="CR442" s="328"/>
      <c r="CS442" s="1236"/>
      <c r="CT442" s="328"/>
      <c r="CU442" s="292"/>
      <c r="CV442" s="328"/>
      <c r="CW442" s="328"/>
      <c r="CX442" s="292"/>
      <c r="CY442" s="293"/>
      <c r="CZ442" s="93"/>
      <c r="DA442" s="93"/>
      <c r="DB442" s="292"/>
      <c r="DC442" s="292"/>
      <c r="DD442" s="93"/>
      <c r="DE442" s="93"/>
      <c r="DF442" s="93"/>
      <c r="DG442" s="292"/>
      <c r="DH442" s="1237"/>
      <c r="DI442" s="293"/>
      <c r="DJ442" s="162"/>
      <c r="DK442" s="301"/>
      <c r="DL442" s="162"/>
      <c r="DM442" s="301"/>
      <c r="DN442" s="162"/>
      <c r="DO442" s="301"/>
      <c r="DP442" s="162"/>
      <c r="DQ442" s="301"/>
      <c r="DR442" s="162"/>
      <c r="DS442" s="297"/>
      <c r="DT442" s="162"/>
      <c r="DU442" s="297"/>
      <c r="DV442" s="162"/>
      <c r="DW442" s="293"/>
      <c r="DX442" s="161"/>
      <c r="DY442" s="1236"/>
      <c r="DZ442" s="328"/>
      <c r="EA442" s="328"/>
      <c r="EB442" s="328"/>
      <c r="EC442" s="328"/>
      <c r="ED442" s="328"/>
      <c r="EE442" s="328"/>
      <c r="EF442" s="305"/>
      <c r="EG442" s="201"/>
      <c r="EH442" s="328"/>
      <c r="EI442" s="328"/>
      <c r="EJ442" s="328"/>
      <c r="EK442" s="328"/>
      <c r="EL442" s="328"/>
      <c r="EM442" s="328"/>
      <c r="EN442" s="1237"/>
      <c r="EO442" s="1236"/>
      <c r="EP442" s="328"/>
      <c r="EQ442" s="328"/>
      <c r="ER442" s="328"/>
      <c r="ES442" s="328"/>
      <c r="ET442" s="328"/>
      <c r="EU442" s="328"/>
      <c r="EV442" s="305"/>
      <c r="EW442" s="201"/>
      <c r="EX442" s="328"/>
      <c r="EY442" s="328"/>
      <c r="EZ442" s="328"/>
      <c r="FA442" s="328"/>
      <c r="FB442" s="328"/>
      <c r="FC442" s="328"/>
      <c r="FD442" s="1237"/>
      <c r="FE442" s="189"/>
      <c r="FF442" s="293"/>
      <c r="FG442" s="301"/>
      <c r="FH442" s="189"/>
      <c r="FI442"/>
      <c r="FJ442"/>
      <c r="FK442"/>
      <c r="FL442"/>
      <c r="FM442"/>
      <c r="FN442" s="189"/>
      <c r="FO442" s="301"/>
      <c r="FP442" s="293"/>
      <c r="FQ442" s="301"/>
      <c r="FR442" s="328"/>
      <c r="FS442" s="328"/>
      <c r="FT442" s="1237"/>
      <c r="FU442" s="699"/>
      <c r="FV442" s="201"/>
      <c r="FW442" s="291"/>
      <c r="FX442" s="93"/>
      <c r="FY442" s="93"/>
      <c r="FZ442" s="93"/>
      <c r="GA442" s="93"/>
      <c r="GB442" s="93"/>
      <c r="GC442" s="93"/>
      <c r="GD442" s="93"/>
      <c r="GE442" s="93"/>
      <c r="GF442" s="93"/>
      <c r="GG442" s="93"/>
      <c r="GH442" s="201"/>
      <c r="GI442" s="291"/>
      <c r="GJ442" s="79"/>
      <c r="GK442" s="699"/>
      <c r="GL442" s="93"/>
      <c r="GM442" s="93"/>
      <c r="GN442" s="328"/>
      <c r="GO442" s="328"/>
      <c r="GP442" s="328"/>
      <c r="GQ442" s="328"/>
      <c r="GR442" s="328"/>
      <c r="GS442" s="328"/>
      <c r="GT442" s="328"/>
      <c r="GU442" s="328"/>
      <c r="GV442" s="328"/>
      <c r="GW442" s="328"/>
      <c r="GX442" s="328"/>
      <c r="GY442" s="328"/>
      <c r="GZ442" s="328"/>
      <c r="HA442" s="1236"/>
      <c r="HB442" s="328"/>
      <c r="HC442" s="328"/>
      <c r="HD442" s="328"/>
      <c r="HE442" s="291"/>
      <c r="HF442" s="291"/>
      <c r="HG442" s="160"/>
      <c r="HH442" s="291"/>
      <c r="HI442" s="206"/>
      <c r="HJ442" s="206"/>
      <c r="HK442" s="328"/>
      <c r="HL442" s="328"/>
      <c r="HM442" s="328"/>
      <c r="HN442" s="328"/>
      <c r="HO442" s="328"/>
      <c r="HP442" s="564"/>
      <c r="HQ442" s="483"/>
      <c r="HR442"/>
      <c r="HS442"/>
      <c r="HT442"/>
      <c r="HU442"/>
      <c r="HV442"/>
      <c r="HW442"/>
      <c r="HX442"/>
      <c r="HY442"/>
      <c r="HZ442"/>
      <c r="IA442"/>
      <c r="IB442"/>
      <c r="IC442"/>
      <c r="ID442"/>
      <c r="IE442"/>
      <c r="IF442" s="564"/>
    </row>
    <row r="443" spans="1:243" s="326" customFormat="1" ht="8.25" customHeight="1">
      <c r="A443" s="483"/>
      <c r="B443" s="321"/>
      <c r="C443" s="321"/>
      <c r="D443" s="321"/>
      <c r="E443" s="204"/>
      <c r="F443" s="321"/>
      <c r="G443" s="207"/>
      <c r="H443" s="321"/>
      <c r="I443" s="207"/>
      <c r="J443" s="321"/>
      <c r="K443" s="321"/>
      <c r="L443" s="207"/>
      <c r="M443" s="321"/>
      <c r="N443" s="321"/>
      <c r="O443" s="321"/>
      <c r="P443" s="564"/>
      <c r="Q443" s="483"/>
      <c r="R443" s="321"/>
      <c r="S443" s="321"/>
      <c r="T443" s="321"/>
      <c r="U443" s="294"/>
      <c r="V443" s="321"/>
      <c r="W443" s="290"/>
      <c r="X443" s="321"/>
      <c r="Y443" s="290"/>
      <c r="Z443" s="321"/>
      <c r="AA443" s="321"/>
      <c r="AB443" s="290"/>
      <c r="AC443" s="321"/>
      <c r="AD443" s="321"/>
      <c r="AE443" s="321"/>
      <c r="AF443" s="321"/>
      <c r="AG443" s="1236"/>
      <c r="AH443" s="328"/>
      <c r="AI443" s="328"/>
      <c r="AJ443" s="328"/>
      <c r="AK443" s="328"/>
      <c r="AL443" s="328"/>
      <c r="AM443" s="328"/>
      <c r="AN443" s="301"/>
      <c r="AO443" s="297"/>
      <c r="AP443" s="328"/>
      <c r="AQ443" s="328"/>
      <c r="AR443" s="328"/>
      <c r="AS443" s="328"/>
      <c r="AT443" s="328"/>
      <c r="AU443" s="328"/>
      <c r="AV443" s="1237"/>
      <c r="AW443" s="1374"/>
      <c r="AX443" s="293"/>
      <c r="AY443" s="301"/>
      <c r="AZ443" s="301"/>
      <c r="BA443" s="297"/>
      <c r="BB443" s="301"/>
      <c r="BC443" s="297"/>
      <c r="BD443" s="301"/>
      <c r="BE443" s="301"/>
      <c r="BF443" s="297"/>
      <c r="BG443" s="301"/>
      <c r="BH443" s="297"/>
      <c r="BI443" s="301"/>
      <c r="BJ443" s="301"/>
      <c r="BK443" s="189"/>
      <c r="BL443" s="1375"/>
      <c r="BM443" s="201"/>
      <c r="BN443" s="199"/>
      <c r="BO443" s="292"/>
      <c r="BP443" s="161"/>
      <c r="BQ443" s="292"/>
      <c r="BR443" s="292"/>
      <c r="BS443" s="292"/>
      <c r="BT443" s="161"/>
      <c r="BU443" s="161"/>
      <c r="BV443" s="292"/>
      <c r="BW443" s="292"/>
      <c r="BX443" s="292"/>
      <c r="BY443" s="161"/>
      <c r="BZ443" s="292"/>
      <c r="CA443" s="199"/>
      <c r="CB443" s="201"/>
      <c r="CC443" s="1236"/>
      <c r="CD443" s="290"/>
      <c r="CE443" s="293"/>
      <c r="CF443" s="160"/>
      <c r="CG443" s="160"/>
      <c r="CH443" s="160"/>
      <c r="CI443" s="292"/>
      <c r="CJ443" s="160"/>
      <c r="CK443" s="160"/>
      <c r="CL443" s="292"/>
      <c r="CM443" s="160"/>
      <c r="CN443" s="160"/>
      <c r="CO443" s="160"/>
      <c r="CP443" s="293"/>
      <c r="CQ443" s="290"/>
      <c r="CR443" s="328"/>
      <c r="CS443" s="1236"/>
      <c r="CT443" s="292"/>
      <c r="CU443" s="292"/>
      <c r="CV443" s="328"/>
      <c r="CW443" s="328"/>
      <c r="CX443" s="292"/>
      <c r="CY443" s="292"/>
      <c r="CZ443" s="93"/>
      <c r="DA443" s="93"/>
      <c r="DB443" s="292"/>
      <c r="DC443" s="292"/>
      <c r="DD443" s="93"/>
      <c r="DE443" s="93"/>
      <c r="DF443" s="93"/>
      <c r="DG443" s="292"/>
      <c r="DH443" s="1237"/>
      <c r="DI443" s="293"/>
      <c r="DJ443" s="158"/>
      <c r="DK443" s="297"/>
      <c r="DL443" s="158"/>
      <c r="DM443" s="297"/>
      <c r="DN443" s="158"/>
      <c r="DO443" s="297"/>
      <c r="DP443" s="158"/>
      <c r="DQ443" s="297"/>
      <c r="DR443" s="158"/>
      <c r="DS443" s="297"/>
      <c r="DT443" s="158"/>
      <c r="DU443" s="293"/>
      <c r="DV443" s="158"/>
      <c r="DW443" s="293"/>
      <c r="DX443" s="161"/>
      <c r="DY443" s="1236"/>
      <c r="DZ443" s="328"/>
      <c r="EA443" s="328"/>
      <c r="EB443" s="328"/>
      <c r="EC443" s="328"/>
      <c r="ED443" s="328"/>
      <c r="EE443" s="328"/>
      <c r="EF443" s="310"/>
      <c r="EG443" s="201"/>
      <c r="EH443" s="328"/>
      <c r="EI443" s="328"/>
      <c r="EJ443" s="328"/>
      <c r="EK443" s="328"/>
      <c r="EL443" s="328"/>
      <c r="EM443" s="328"/>
      <c r="EN443" s="1237"/>
      <c r="EO443" s="1236"/>
      <c r="EP443" s="328"/>
      <c r="EQ443" s="328"/>
      <c r="ER443" s="328"/>
      <c r="ES443" s="328"/>
      <c r="ET443" s="328"/>
      <c r="EU443" s="328"/>
      <c r="EV443" s="310"/>
      <c r="EW443" s="201"/>
      <c r="EX443" s="328"/>
      <c r="EY443" s="328"/>
      <c r="EZ443" s="328"/>
      <c r="FA443" s="328"/>
      <c r="FB443" s="328"/>
      <c r="FC443" s="328"/>
      <c r="FD443" s="1237"/>
      <c r="FE443" s="189"/>
      <c r="FF443" s="293"/>
      <c r="FG443" s="301"/>
      <c r="FH443" s="189"/>
      <c r="FI443"/>
      <c r="FJ443" s="293"/>
      <c r="FK443" s="293"/>
      <c r="FL443" s="293"/>
      <c r="FM443"/>
      <c r="FN443" s="189"/>
      <c r="FO443" s="301"/>
      <c r="FP443" s="293"/>
      <c r="FQ443" s="301"/>
      <c r="FR443" s="328"/>
      <c r="FS443" s="328"/>
      <c r="FT443" s="1237"/>
      <c r="FU443" s="699"/>
      <c r="FV443" s="201"/>
      <c r="FW443" s="291"/>
      <c r="FX443" s="93"/>
      <c r="FY443" s="93"/>
      <c r="FZ443" s="93"/>
      <c r="GA443" s="93"/>
      <c r="GB443" s="93"/>
      <c r="GC443" s="93"/>
      <c r="GD443" s="93"/>
      <c r="GE443" s="93"/>
      <c r="GF443" s="93"/>
      <c r="GG443" s="93"/>
      <c r="GH443" s="201"/>
      <c r="GI443" s="291"/>
      <c r="GJ443" s="79"/>
      <c r="GK443" s="699"/>
      <c r="GL443" s="93"/>
      <c r="GM443" s="93"/>
      <c r="GN443" s="328"/>
      <c r="GO443" s="328"/>
      <c r="GP443" s="328"/>
      <c r="GQ443" s="328"/>
      <c r="GR443" s="328"/>
      <c r="GS443" s="328"/>
      <c r="GT443" s="328"/>
      <c r="GU443" s="328"/>
      <c r="GV443" s="328"/>
      <c r="GW443" s="328"/>
      <c r="GX443" s="328"/>
      <c r="GY443" s="328"/>
      <c r="GZ443" s="328"/>
      <c r="HA443" s="1236"/>
      <c r="HB443" s="328"/>
      <c r="HC443" s="328"/>
      <c r="HD443" s="328"/>
      <c r="HE443" s="205"/>
      <c r="HF443" s="160"/>
      <c r="HG443" s="328"/>
      <c r="HH443" s="291"/>
      <c r="HI443" s="206"/>
      <c r="HJ443" s="160"/>
      <c r="HK443" s="328"/>
      <c r="HL443" s="328"/>
      <c r="HM443" s="328"/>
      <c r="HN443" s="328"/>
      <c r="HO443" s="328"/>
      <c r="HP443" s="564"/>
      <c r="HQ443" s="483"/>
      <c r="HR443"/>
      <c r="HS443"/>
      <c r="HT443"/>
      <c r="HU443"/>
      <c r="HV443"/>
      <c r="HW443"/>
      <c r="HX443"/>
      <c r="HY443"/>
      <c r="HZ443"/>
      <c r="IA443"/>
      <c r="IB443"/>
      <c r="IC443"/>
      <c r="ID443"/>
      <c r="IE443"/>
      <c r="IF443" s="564"/>
    </row>
    <row r="444" spans="1:243" s="326" customFormat="1" ht="8.25" customHeight="1">
      <c r="A444" s="483"/>
      <c r="B444" s="321"/>
      <c r="C444" s="321"/>
      <c r="D444" s="321"/>
      <c r="E444" s="207"/>
      <c r="F444" s="321"/>
      <c r="G444" s="298"/>
      <c r="H444" s="321"/>
      <c r="I444" s="207"/>
      <c r="J444" s="298"/>
      <c r="K444" s="321"/>
      <c r="L444" s="207"/>
      <c r="M444" s="298"/>
      <c r="N444" s="321"/>
      <c r="O444" s="321"/>
      <c r="P444" s="564"/>
      <c r="Q444" s="483"/>
      <c r="R444" s="321"/>
      <c r="S444" s="321"/>
      <c r="T444" s="321"/>
      <c r="U444" s="290"/>
      <c r="V444" s="321"/>
      <c r="W444" s="290"/>
      <c r="X444" s="321"/>
      <c r="Y444" s="290"/>
      <c r="Z444" s="290"/>
      <c r="AA444" s="321"/>
      <c r="AB444" s="290"/>
      <c r="AC444" s="290"/>
      <c r="AD444" s="321"/>
      <c r="AE444" s="321"/>
      <c r="AF444" s="321"/>
      <c r="AG444" s="1236"/>
      <c r="AH444" s="328"/>
      <c r="AI444" s="328"/>
      <c r="AJ444" s="328"/>
      <c r="AK444" s="328"/>
      <c r="AL444" s="328"/>
      <c r="AM444" s="328"/>
      <c r="AN444" s="301"/>
      <c r="AO444" s="297"/>
      <c r="AP444" s="328"/>
      <c r="AQ444" s="328"/>
      <c r="AR444" s="328"/>
      <c r="AS444" s="328"/>
      <c r="AT444" s="328"/>
      <c r="AU444" s="328"/>
      <c r="AV444" s="1237"/>
      <c r="AW444" s="1374"/>
      <c r="AX444" s="293"/>
      <c r="AY444" s="189"/>
      <c r="AZ444" s="189"/>
      <c r="BA444" s="189"/>
      <c r="BB444" s="189"/>
      <c r="BC444" s="189"/>
      <c r="BD444" s="189"/>
      <c r="BE444" s="189"/>
      <c r="BF444" s="189"/>
      <c r="BG444" s="189"/>
      <c r="BH444" s="189"/>
      <c r="BI444" s="189"/>
      <c r="BJ444" s="189"/>
      <c r="BK444" s="189"/>
      <c r="BL444" s="1375"/>
      <c r="BM444" s="199"/>
      <c r="BN444" s="201"/>
      <c r="BO444" s="297"/>
      <c r="BP444" s="297"/>
      <c r="BQ444" s="297"/>
      <c r="BR444" s="297"/>
      <c r="BS444" s="161"/>
      <c r="BT444" s="293"/>
      <c r="BU444" s="293"/>
      <c r="BV444" s="161"/>
      <c r="BW444" s="297"/>
      <c r="BX444" s="297"/>
      <c r="BY444" s="297"/>
      <c r="BZ444" s="297"/>
      <c r="CA444" s="201"/>
      <c r="CB444" s="199"/>
      <c r="CC444" s="1236"/>
      <c r="CD444" s="290"/>
      <c r="CE444" s="293"/>
      <c r="CF444" s="160"/>
      <c r="CG444" s="160"/>
      <c r="CH444" s="160"/>
      <c r="CI444" s="160"/>
      <c r="CJ444" s="160"/>
      <c r="CK444" s="160"/>
      <c r="CL444" s="160"/>
      <c r="CM444" s="160"/>
      <c r="CN444" s="160"/>
      <c r="CO444" s="160"/>
      <c r="CP444" s="293"/>
      <c r="CQ444" s="290"/>
      <c r="CR444" s="328"/>
      <c r="CS444" s="1236"/>
      <c r="CT444" s="292"/>
      <c r="CU444" s="328"/>
      <c r="CV444" s="328"/>
      <c r="CW444" s="328"/>
      <c r="CX444" s="292"/>
      <c r="CY444" s="93"/>
      <c r="CZ444" s="93"/>
      <c r="DA444" s="93"/>
      <c r="DB444" s="292"/>
      <c r="DC444" s="93"/>
      <c r="DD444" s="93"/>
      <c r="DE444" s="93"/>
      <c r="DF444" s="93"/>
      <c r="DG444" s="93"/>
      <c r="DH444" s="1237"/>
      <c r="DI444" s="293"/>
      <c r="DJ444" s="163"/>
      <c r="DK444" s="161"/>
      <c r="DL444" s="163"/>
      <c r="DM444" s="161"/>
      <c r="DN444" s="163"/>
      <c r="DO444" s="161"/>
      <c r="DP444" s="163"/>
      <c r="DQ444" s="161"/>
      <c r="DR444" s="163"/>
      <c r="DS444" s="161"/>
      <c r="DT444" s="163"/>
      <c r="DU444" s="161"/>
      <c r="DV444" s="163"/>
      <c r="DW444" s="161"/>
      <c r="DX444" s="161"/>
      <c r="DY444" s="1236"/>
      <c r="DZ444" s="328"/>
      <c r="EA444" s="328"/>
      <c r="EB444" s="328"/>
      <c r="EC444" s="328"/>
      <c r="ED444" s="328"/>
      <c r="EE444" s="328"/>
      <c r="EF444" s="305"/>
      <c r="EG444" s="201"/>
      <c r="EH444" s="328"/>
      <c r="EI444" s="328"/>
      <c r="EJ444" s="328"/>
      <c r="EK444" s="328"/>
      <c r="EL444" s="328"/>
      <c r="EM444" s="328"/>
      <c r="EN444" s="1237"/>
      <c r="EO444" s="1236"/>
      <c r="EP444" s="328"/>
      <c r="EQ444" s="328"/>
      <c r="ER444" s="328"/>
      <c r="ES444" s="328"/>
      <c r="ET444" s="328"/>
      <c r="EU444" s="328"/>
      <c r="EV444" s="305"/>
      <c r="EW444" s="201"/>
      <c r="EX444" s="328"/>
      <c r="EY444" s="328"/>
      <c r="EZ444" s="328"/>
      <c r="FA444" s="328"/>
      <c r="FB444" s="328"/>
      <c r="FC444" s="328"/>
      <c r="FD444" s="1237"/>
      <c r="FE444" s="189"/>
      <c r="FF444" s="293"/>
      <c r="FG444" s="301"/>
      <c r="FH444" s="189"/>
      <c r="FI444"/>
      <c r="FJ444" s="301"/>
      <c r="FK444" s="301"/>
      <c r="FL444" s="301"/>
      <c r="FM444"/>
      <c r="FN444" s="189"/>
      <c r="FO444" s="301"/>
      <c r="FP444" s="293"/>
      <c r="FQ444" s="301"/>
      <c r="FR444" s="328"/>
      <c r="FS444" s="328"/>
      <c r="FT444" s="1237"/>
      <c r="FU444" s="699"/>
      <c r="FV444" s="201"/>
      <c r="FW444" s="291"/>
      <c r="FX444" s="93"/>
      <c r="FY444" s="93"/>
      <c r="FZ444" s="93"/>
      <c r="GA444" s="93"/>
      <c r="GB444" s="93"/>
      <c r="GC444" s="93"/>
      <c r="GD444" s="93"/>
      <c r="GE444" s="93"/>
      <c r="GF444" s="93"/>
      <c r="GG444" s="93"/>
      <c r="GH444" s="201"/>
      <c r="GI444" s="291"/>
      <c r="GJ444" s="79"/>
      <c r="GK444" s="1236"/>
      <c r="GL444" s="328"/>
      <c r="GM444" s="328"/>
      <c r="GN444" s="328"/>
      <c r="GO444" s="328"/>
      <c r="GP444" s="328"/>
      <c r="GQ444" s="328"/>
      <c r="GR444" s="328"/>
      <c r="GS444" s="328"/>
      <c r="GT444" s="328"/>
      <c r="GU444" s="328"/>
      <c r="GV444" s="328"/>
      <c r="GW444" s="328"/>
      <c r="GX444" s="328"/>
      <c r="GY444" s="328"/>
      <c r="GZ444" s="328"/>
      <c r="HA444" s="1236"/>
      <c r="HB444" s="328"/>
      <c r="HC444" s="328"/>
      <c r="HD444" s="328"/>
      <c r="HE444" s="328"/>
      <c r="HF444" s="328"/>
      <c r="HG444" s="291"/>
      <c r="HH444" s="205"/>
      <c r="HI444" s="160"/>
      <c r="HJ444" s="328"/>
      <c r="HK444" s="328"/>
      <c r="HL444" s="328"/>
      <c r="HM444" s="328"/>
      <c r="HN444" s="328"/>
      <c r="HO444" s="328"/>
      <c r="HP444" s="564"/>
      <c r="HQ444" s="483"/>
      <c r="HR444"/>
      <c r="HS444"/>
      <c r="HT444"/>
      <c r="HU444"/>
      <c r="HV444"/>
      <c r="HW444"/>
      <c r="HX444"/>
      <c r="HY444"/>
      <c r="HZ444"/>
      <c r="IA444"/>
      <c r="IB444"/>
      <c r="IC444"/>
      <c r="ID444"/>
      <c r="IE444"/>
      <c r="IF444" s="564"/>
    </row>
    <row r="445" spans="1:243" s="326" customFormat="1" ht="8.25" customHeight="1">
      <c r="A445" s="483"/>
      <c r="B445" s="321"/>
      <c r="C445" s="321"/>
      <c r="D445" s="321"/>
      <c r="E445" s="207"/>
      <c r="F445" s="298"/>
      <c r="G445" s="321"/>
      <c r="H445" s="321"/>
      <c r="I445" s="298"/>
      <c r="J445" s="321"/>
      <c r="K445" s="321"/>
      <c r="L445" s="298"/>
      <c r="M445" s="321"/>
      <c r="N445" s="321"/>
      <c r="O445" s="321"/>
      <c r="P445" s="564"/>
      <c r="Q445" s="483"/>
      <c r="R445" s="321"/>
      <c r="S445" s="321"/>
      <c r="T445" s="321"/>
      <c r="U445" s="290"/>
      <c r="V445" s="290"/>
      <c r="W445" s="321"/>
      <c r="X445" s="321"/>
      <c r="Y445" s="290"/>
      <c r="Z445" s="321"/>
      <c r="AA445" s="321"/>
      <c r="AB445" s="290"/>
      <c r="AC445" s="321"/>
      <c r="AD445" s="321"/>
      <c r="AE445" s="321"/>
      <c r="AF445" s="321"/>
      <c r="AG445" s="1236"/>
      <c r="AH445" s="328"/>
      <c r="AI445" s="328"/>
      <c r="AJ445" s="328"/>
      <c r="AK445" s="328"/>
      <c r="AL445" s="328"/>
      <c r="AM445" s="328"/>
      <c r="AN445" s="301"/>
      <c r="AO445" s="293"/>
      <c r="AP445" s="328"/>
      <c r="AQ445" s="328"/>
      <c r="AR445" s="328"/>
      <c r="AS445" s="328"/>
      <c r="AT445" s="328"/>
      <c r="AU445" s="328"/>
      <c r="AV445" s="1237"/>
      <c r="AW445" s="531"/>
      <c r="AX445" s="307"/>
      <c r="AY445" s="307"/>
      <c r="AZ445" s="307"/>
      <c r="BA445" s="307"/>
      <c r="BB445" s="307"/>
      <c r="BC445" s="307"/>
      <c r="BD445" s="307"/>
      <c r="BE445" s="307"/>
      <c r="BF445" s="307"/>
      <c r="BG445" s="307"/>
      <c r="BH445" s="307"/>
      <c r="BI445" s="307"/>
      <c r="BJ445" s="307"/>
      <c r="BK445" s="307"/>
      <c r="BL445" s="472"/>
      <c r="BM445" s="291"/>
      <c r="BN445" s="193"/>
      <c r="BO445" s="297"/>
      <c r="BP445" s="297"/>
      <c r="BQ445" s="297"/>
      <c r="BR445" s="297"/>
      <c r="BS445" s="293"/>
      <c r="BT445" s="161"/>
      <c r="BU445" s="161"/>
      <c r="BV445" s="293"/>
      <c r="BW445" s="297"/>
      <c r="BX445" s="297"/>
      <c r="BY445" s="297"/>
      <c r="BZ445" s="297"/>
      <c r="CA445" s="193"/>
      <c r="CB445" s="291"/>
      <c r="CC445" s="1236"/>
      <c r="CD445" s="290"/>
      <c r="CE445" s="293"/>
      <c r="CF445" s="205"/>
      <c r="CG445" s="160"/>
      <c r="CH445" s="160"/>
      <c r="CI445" s="205"/>
      <c r="CJ445" s="160"/>
      <c r="CK445" s="160"/>
      <c r="CL445" s="205"/>
      <c r="CM445" s="160"/>
      <c r="CN445" s="160"/>
      <c r="CO445" s="205"/>
      <c r="CP445" s="293"/>
      <c r="CQ445" s="290"/>
      <c r="CR445" s="328"/>
      <c r="CS445" s="1236"/>
      <c r="CT445" s="292"/>
      <c r="CU445" s="328"/>
      <c r="CV445" s="328"/>
      <c r="CW445" s="328"/>
      <c r="CX445" s="292"/>
      <c r="CY445" s="93"/>
      <c r="CZ445" s="93"/>
      <c r="DA445" s="93"/>
      <c r="DB445" s="292"/>
      <c r="DC445" s="93"/>
      <c r="DD445" s="93"/>
      <c r="DE445" s="93"/>
      <c r="DF445" s="93"/>
      <c r="DG445" s="93"/>
      <c r="DH445" s="1237"/>
      <c r="DI445" s="293"/>
      <c r="DJ445" s="158"/>
      <c r="DK445" s="297"/>
      <c r="DL445" s="158"/>
      <c r="DM445" s="297"/>
      <c r="DN445" s="158"/>
      <c r="DO445" s="297"/>
      <c r="DP445" s="158"/>
      <c r="DQ445" s="297"/>
      <c r="DR445" s="158"/>
      <c r="DS445" s="297"/>
      <c r="DT445" s="158"/>
      <c r="DU445" s="293"/>
      <c r="DV445" s="158"/>
      <c r="DW445" s="293"/>
      <c r="DX445" s="161"/>
      <c r="DY445" s="1236"/>
      <c r="DZ445" s="328"/>
      <c r="EA445" s="328"/>
      <c r="EB445" s="328"/>
      <c r="EC445" s="328"/>
      <c r="ED445" s="328"/>
      <c r="EE445" s="328"/>
      <c r="EF445" s="200"/>
      <c r="EG445" s="201"/>
      <c r="EH445" s="328"/>
      <c r="EI445" s="328"/>
      <c r="EJ445" s="328"/>
      <c r="EK445" s="328"/>
      <c r="EL445" s="328"/>
      <c r="EM445" s="328"/>
      <c r="EN445" s="1237"/>
      <c r="EO445" s="1236"/>
      <c r="EP445" s="328"/>
      <c r="EQ445" s="328"/>
      <c r="ER445" s="328"/>
      <c r="ES445" s="328"/>
      <c r="ET445" s="328"/>
      <c r="EU445" s="328"/>
      <c r="EV445" s="200"/>
      <c r="EW445" s="201"/>
      <c r="EX445" s="328"/>
      <c r="EY445" s="328"/>
      <c r="EZ445" s="328"/>
      <c r="FA445" s="328"/>
      <c r="FB445" s="328"/>
      <c r="FC445" s="328"/>
      <c r="FD445" s="1237"/>
      <c r="FE445" s="189"/>
      <c r="FF445" s="293"/>
      <c r="FG445" s="301"/>
      <c r="FH445" s="189"/>
      <c r="FI445"/>
      <c r="FJ445"/>
      <c r="FK445"/>
      <c r="FL445"/>
      <c r="FM445"/>
      <c r="FN445" s="189"/>
      <c r="FO445" s="301"/>
      <c r="FP445" s="293"/>
      <c r="FQ445" s="301"/>
      <c r="FR445" s="328"/>
      <c r="FS445" s="328"/>
      <c r="FT445" s="1237"/>
      <c r="FU445" s="699"/>
      <c r="FV445" s="199"/>
      <c r="FW445" s="201"/>
      <c r="FX445" s="201"/>
      <c r="FY445" s="201"/>
      <c r="FZ445" s="201"/>
      <c r="GA445" s="201"/>
      <c r="GB445" s="201"/>
      <c r="GC445" s="201"/>
      <c r="GD445" s="201"/>
      <c r="GE445" s="201"/>
      <c r="GF445" s="201"/>
      <c r="GG445" s="201"/>
      <c r="GH445" s="201"/>
      <c r="GI445" s="201"/>
      <c r="GJ445" s="79"/>
      <c r="GK445" s="1236"/>
      <c r="GL445" s="328"/>
      <c r="GM445" s="328"/>
      <c r="GN445" s="328"/>
      <c r="GO445" s="204"/>
      <c r="GP445" s="328"/>
      <c r="GQ445" s="328"/>
      <c r="GR445" s="328"/>
      <c r="GS445" s="328"/>
      <c r="GT445" s="328"/>
      <c r="GU445" s="328"/>
      <c r="GV445" s="328"/>
      <c r="GW445" s="328"/>
      <c r="GX445" s="328"/>
      <c r="GY445" s="328"/>
      <c r="GZ445" s="328"/>
      <c r="HA445" s="1236"/>
      <c r="HB445" s="328"/>
      <c r="HC445" s="328"/>
      <c r="HD445" s="328"/>
      <c r="HE445" s="328"/>
      <c r="HF445" s="328"/>
      <c r="HG445" s="328"/>
      <c r="HH445" s="294"/>
      <c r="HI445" s="328"/>
      <c r="HJ445" s="328"/>
      <c r="HK445" s="328"/>
      <c r="HL445" s="328"/>
      <c r="HM445" s="328"/>
      <c r="HN445" s="328"/>
      <c r="HO445" s="328"/>
      <c r="HP445" s="564"/>
      <c r="HQ445" s="483"/>
      <c r="HR445"/>
      <c r="HS445"/>
      <c r="HT445"/>
      <c r="HU445"/>
      <c r="HV445"/>
      <c r="HW445"/>
      <c r="HX445"/>
      <c r="HY445"/>
      <c r="HZ445"/>
      <c r="IA445"/>
      <c r="IB445"/>
      <c r="IC445"/>
      <c r="ID445"/>
      <c r="IE445"/>
      <c r="IF445" s="564"/>
    </row>
    <row r="446" spans="1:243" s="326" customFormat="1" ht="8.25" customHeight="1">
      <c r="A446" s="483"/>
      <c r="B446" s="321"/>
      <c r="C446" s="321"/>
      <c r="D446" s="321"/>
      <c r="E446" s="321"/>
      <c r="F446" s="321"/>
      <c r="G446" s="321"/>
      <c r="H446" s="321"/>
      <c r="I446" s="321"/>
      <c r="J446" s="321"/>
      <c r="K446" s="321"/>
      <c r="L446" s="321"/>
      <c r="M446" s="321"/>
      <c r="N446" s="321"/>
      <c r="O446" s="321"/>
      <c r="P446" s="564"/>
      <c r="Q446" s="483"/>
      <c r="R446" s="321"/>
      <c r="S446" s="321"/>
      <c r="T446" s="321"/>
      <c r="U446" s="321"/>
      <c r="V446" s="321"/>
      <c r="W446" s="321"/>
      <c r="X446" s="321"/>
      <c r="Y446" s="321"/>
      <c r="Z446" s="321"/>
      <c r="AA446" s="321"/>
      <c r="AB446" s="321"/>
      <c r="AC446" s="321"/>
      <c r="AD446" s="321"/>
      <c r="AE446" s="321"/>
      <c r="AF446" s="321"/>
      <c r="AG446" s="1236"/>
      <c r="AH446" s="328"/>
      <c r="AI446" s="328"/>
      <c r="AJ446" s="328"/>
      <c r="AK446" s="328"/>
      <c r="AL446" s="328"/>
      <c r="AM446" s="328"/>
      <c r="AN446" s="297"/>
      <c r="AO446" s="293"/>
      <c r="AP446" s="328"/>
      <c r="AQ446" s="328"/>
      <c r="AR446" s="328"/>
      <c r="AS446" s="328"/>
      <c r="AT446" s="328"/>
      <c r="AU446" s="328"/>
      <c r="AV446" s="1237"/>
      <c r="AW446" s="876"/>
      <c r="AX446" s="291"/>
      <c r="AY446" s="291"/>
      <c r="AZ446" s="291"/>
      <c r="BA446" s="291"/>
      <c r="BB446" s="291"/>
      <c r="BC446" s="292"/>
      <c r="BD446" s="292"/>
      <c r="BE446" s="292"/>
      <c r="BF446" s="292"/>
      <c r="BG446" s="292"/>
      <c r="BH446" s="292"/>
      <c r="BI446" s="292"/>
      <c r="BJ446" s="206"/>
      <c r="BK446" s="206"/>
      <c r="BL446" s="746"/>
      <c r="BM446" s="293"/>
      <c r="BN446" s="293"/>
      <c r="BO446" s="293"/>
      <c r="BP446" s="293"/>
      <c r="BQ446" s="293"/>
      <c r="BR446" s="293"/>
      <c r="BS446" s="293"/>
      <c r="BT446" s="161"/>
      <c r="BU446" s="161"/>
      <c r="BV446" s="293"/>
      <c r="BW446" s="293"/>
      <c r="BX446" s="293"/>
      <c r="BY446" s="293"/>
      <c r="BZ446" s="293"/>
      <c r="CA446" s="293"/>
      <c r="CB446" s="293"/>
      <c r="CC446" s="1236"/>
      <c r="CD446" s="290"/>
      <c r="CE446" s="293"/>
      <c r="CF446" s="205"/>
      <c r="CG446" s="160"/>
      <c r="CH446" s="160"/>
      <c r="CI446" s="205"/>
      <c r="CJ446" s="205"/>
      <c r="CK446" s="205"/>
      <c r="CL446" s="205"/>
      <c r="CM446" s="160"/>
      <c r="CN446" s="160"/>
      <c r="CO446" s="205"/>
      <c r="CP446" s="293"/>
      <c r="CQ446" s="290"/>
      <c r="CR446" s="328"/>
      <c r="CS446" s="1236"/>
      <c r="CT446" s="292"/>
      <c r="CU446" s="328"/>
      <c r="CV446" s="328"/>
      <c r="CW446" s="328"/>
      <c r="CX446" s="292"/>
      <c r="CY446" s="328"/>
      <c r="CZ446" s="93"/>
      <c r="DA446" s="328"/>
      <c r="DB446" s="292"/>
      <c r="DC446" s="292"/>
      <c r="DD446" s="328"/>
      <c r="DE446" s="328"/>
      <c r="DF446" s="292"/>
      <c r="DG446" s="328"/>
      <c r="DH446" s="1237"/>
      <c r="DI446" s="293"/>
      <c r="DJ446" s="162"/>
      <c r="DK446" s="301"/>
      <c r="DL446" s="162"/>
      <c r="DM446" s="301"/>
      <c r="DN446" s="162"/>
      <c r="DO446" s="301"/>
      <c r="DP446" s="162"/>
      <c r="DQ446" s="301"/>
      <c r="DR446" s="162"/>
      <c r="DS446" s="297"/>
      <c r="DT446" s="162"/>
      <c r="DU446" s="297"/>
      <c r="DV446" s="162"/>
      <c r="DW446" s="293"/>
      <c r="DX446" s="161"/>
      <c r="DY446" s="1236"/>
      <c r="DZ446" s="328"/>
      <c r="EA446" s="328"/>
      <c r="EB446" s="328"/>
      <c r="EC446" s="328"/>
      <c r="ED446" s="328"/>
      <c r="EE446" s="328"/>
      <c r="EF446" s="200"/>
      <c r="EG446" s="291"/>
      <c r="EH446" s="328"/>
      <c r="EI446" s="328"/>
      <c r="EJ446" s="328"/>
      <c r="EK446" s="328"/>
      <c r="EL446" s="328"/>
      <c r="EM446" s="328"/>
      <c r="EN446" s="1237"/>
      <c r="EO446" s="1236"/>
      <c r="EP446" s="328"/>
      <c r="EQ446" s="328"/>
      <c r="ER446" s="328"/>
      <c r="ES446" s="328"/>
      <c r="ET446" s="328"/>
      <c r="EU446" s="328"/>
      <c r="EV446" s="200"/>
      <c r="EW446" s="201"/>
      <c r="EX446" s="328"/>
      <c r="EY446" s="328"/>
      <c r="EZ446" s="328"/>
      <c r="FA446" s="328"/>
      <c r="FB446" s="328"/>
      <c r="FC446" s="328"/>
      <c r="FD446" s="1237"/>
      <c r="FE446" s="189"/>
      <c r="FF446" s="293"/>
      <c r="FG446" s="301"/>
      <c r="FH446" s="189"/>
      <c r="FI446"/>
      <c r="FJ446"/>
      <c r="FK446"/>
      <c r="FL446"/>
      <c r="FM446"/>
      <c r="FN446" s="189"/>
      <c r="FO446" s="301"/>
      <c r="FP446" s="293"/>
      <c r="FQ446" s="301"/>
      <c r="FR446" s="328"/>
      <c r="FS446" s="328"/>
      <c r="FT446" s="1237"/>
      <c r="FU446" s="699"/>
      <c r="FV446" s="291"/>
      <c r="FW446" s="291"/>
      <c r="FX446" s="291"/>
      <c r="FY446" s="291"/>
      <c r="FZ446" s="291"/>
      <c r="GA446" s="291"/>
      <c r="GB446" s="291"/>
      <c r="GC446" s="291"/>
      <c r="GD446" s="291"/>
      <c r="GE446" s="291"/>
      <c r="GF446" s="291"/>
      <c r="GG446" s="291"/>
      <c r="GH446" s="291"/>
      <c r="GI446" s="291"/>
      <c r="GJ446" s="79"/>
      <c r="GK446" s="1236"/>
      <c r="GL446" s="328"/>
      <c r="GM446" s="328"/>
      <c r="GN446" s="308"/>
      <c r="GO446" s="204"/>
      <c r="GP446" s="328"/>
      <c r="GQ446" s="328"/>
      <c r="GR446" s="328"/>
      <c r="GS446" s="328"/>
      <c r="GT446" s="328"/>
      <c r="GU446" s="328"/>
      <c r="GV446" s="328"/>
      <c r="GW446" s="328"/>
      <c r="GX446" s="328"/>
      <c r="GY446" s="328"/>
      <c r="GZ446" s="328"/>
      <c r="HA446" s="1236"/>
      <c r="HB446" s="328"/>
      <c r="HC446" s="328"/>
      <c r="HD446" s="328"/>
      <c r="HE446" s="328"/>
      <c r="HF446" s="328"/>
      <c r="HG446" s="328"/>
      <c r="HH446" s="328"/>
      <c r="HI446" s="328"/>
      <c r="HJ446" s="328"/>
      <c r="HK446" s="328"/>
      <c r="HL446" s="328"/>
      <c r="HM446" s="328"/>
      <c r="HN446" s="328"/>
      <c r="HO446" s="328"/>
      <c r="HP446" s="564"/>
      <c r="HQ446" s="483"/>
      <c r="HR446"/>
      <c r="HS446"/>
      <c r="HT446"/>
      <c r="HU446"/>
      <c r="HV446"/>
      <c r="HW446"/>
      <c r="HX446"/>
      <c r="HY446"/>
      <c r="HZ446"/>
      <c r="IA446"/>
      <c r="IB446"/>
      <c r="IC446"/>
      <c r="ID446"/>
      <c r="IE446"/>
      <c r="IF446" s="564"/>
    </row>
    <row r="447" spans="1:243" s="326" customFormat="1" ht="8.25" customHeight="1">
      <c r="A447" s="483"/>
      <c r="B447" s="321"/>
      <c r="C447" s="321"/>
      <c r="D447" s="321"/>
      <c r="E447" s="321"/>
      <c r="F447" s="321"/>
      <c r="G447" s="321"/>
      <c r="H447" s="321"/>
      <c r="I447" s="321"/>
      <c r="J447" s="321"/>
      <c r="K447" s="321"/>
      <c r="L447" s="321"/>
      <c r="M447" s="321"/>
      <c r="N447" s="321"/>
      <c r="O447" s="321"/>
      <c r="P447" s="564"/>
      <c r="Q447" s="483"/>
      <c r="R447" s="321"/>
      <c r="S447" s="321"/>
      <c r="T447" s="321"/>
      <c r="U447" s="321"/>
      <c r="V447" s="321"/>
      <c r="W447" s="321"/>
      <c r="X447" s="321"/>
      <c r="Y447" s="321"/>
      <c r="Z447" s="321"/>
      <c r="AA447" s="321"/>
      <c r="AB447" s="321"/>
      <c r="AC447" s="321"/>
      <c r="AD447" s="321"/>
      <c r="AE447" s="321"/>
      <c r="AF447" s="321"/>
      <c r="AG447" s="1236"/>
      <c r="AH447" s="328"/>
      <c r="AI447" s="328"/>
      <c r="AJ447" s="328"/>
      <c r="AK447" s="328"/>
      <c r="AL447" s="328"/>
      <c r="AM447" s="328"/>
      <c r="AN447" s="297"/>
      <c r="AO447" s="293"/>
      <c r="AP447" s="328"/>
      <c r="AQ447" s="328"/>
      <c r="AR447" s="328"/>
      <c r="AS447" s="328"/>
      <c r="AT447" s="328"/>
      <c r="AU447" s="328"/>
      <c r="AV447" s="1237"/>
      <c r="AW447" s="877"/>
      <c r="AX447" s="316"/>
      <c r="AY447" s="298"/>
      <c r="AZ447" s="291"/>
      <c r="BA447" s="291"/>
      <c r="BB447" s="313"/>
      <c r="BC447" s="309"/>
      <c r="BD447" s="304"/>
      <c r="BE447" s="302"/>
      <c r="BF447" s="299"/>
      <c r="BG447" s="199"/>
      <c r="BH447" s="200"/>
      <c r="BI447" s="305"/>
      <c r="BJ447" s="310"/>
      <c r="BK447" s="314"/>
      <c r="BL447" s="1353"/>
      <c r="BM447" s="297"/>
      <c r="BN447" s="297"/>
      <c r="BO447" s="297"/>
      <c r="BP447" s="297"/>
      <c r="BQ447" s="297"/>
      <c r="BR447" s="297"/>
      <c r="BS447" s="297"/>
      <c r="BT447" s="293"/>
      <c r="BU447" s="293"/>
      <c r="BV447" s="297"/>
      <c r="BW447" s="297"/>
      <c r="BX447" s="297"/>
      <c r="BY447" s="297"/>
      <c r="BZ447" s="297"/>
      <c r="CA447" s="297"/>
      <c r="CB447" s="297"/>
      <c r="CC447" s="1236"/>
      <c r="CD447" s="290"/>
      <c r="CE447" s="293"/>
      <c r="CF447" s="205"/>
      <c r="CG447" s="160"/>
      <c r="CH447" s="160"/>
      <c r="CI447" s="205"/>
      <c r="CJ447" s="160"/>
      <c r="CK447" s="160"/>
      <c r="CL447" s="205"/>
      <c r="CM447" s="160"/>
      <c r="CN447" s="160"/>
      <c r="CO447" s="205"/>
      <c r="CP447" s="293"/>
      <c r="CQ447" s="290"/>
      <c r="CR447" s="328"/>
      <c r="CS447" s="1236"/>
      <c r="CT447" s="292"/>
      <c r="CU447" s="328"/>
      <c r="CV447" s="328"/>
      <c r="CW447" s="328"/>
      <c r="CX447" s="328"/>
      <c r="CY447" s="328"/>
      <c r="CZ447" s="328"/>
      <c r="DA447" s="328"/>
      <c r="DB447" s="328"/>
      <c r="DC447" s="292"/>
      <c r="DD447" s="328"/>
      <c r="DE447" s="328"/>
      <c r="DF447" s="292"/>
      <c r="DG447" s="328"/>
      <c r="DH447" s="1237"/>
      <c r="DI447" s="293"/>
      <c r="DJ447" s="158"/>
      <c r="DK447" s="297"/>
      <c r="DL447" s="158"/>
      <c r="DM447" s="297"/>
      <c r="DN447" s="158"/>
      <c r="DO447" s="297"/>
      <c r="DP447" s="158"/>
      <c r="DQ447" s="297"/>
      <c r="DR447" s="158"/>
      <c r="DS447" s="297"/>
      <c r="DT447" s="158"/>
      <c r="DU447" s="293"/>
      <c r="DV447" s="158"/>
      <c r="DW447" s="293"/>
      <c r="DX447" s="161"/>
      <c r="DY447" s="1236"/>
      <c r="DZ447" s="328"/>
      <c r="EA447" s="328"/>
      <c r="EB447" s="328"/>
      <c r="EC447" s="328"/>
      <c r="ED447" s="328"/>
      <c r="EE447" s="328"/>
      <c r="EF447" s="199"/>
      <c r="EG447" s="291"/>
      <c r="EH447" s="328"/>
      <c r="EI447" s="328"/>
      <c r="EJ447" s="328"/>
      <c r="EK447" s="328"/>
      <c r="EL447" s="328"/>
      <c r="EM447" s="328"/>
      <c r="EN447" s="1237"/>
      <c r="EO447" s="1236"/>
      <c r="EP447" s="328"/>
      <c r="EQ447" s="328"/>
      <c r="ER447" s="328"/>
      <c r="ES447" s="328"/>
      <c r="ET447" s="328"/>
      <c r="EU447" s="328"/>
      <c r="EV447" s="199"/>
      <c r="EW447" s="291"/>
      <c r="EX447" s="328"/>
      <c r="EY447" s="328"/>
      <c r="EZ447" s="328"/>
      <c r="FA447" s="328"/>
      <c r="FB447" s="328"/>
      <c r="FC447" s="328"/>
      <c r="FD447" s="1237"/>
      <c r="FE447" s="189"/>
      <c r="FF447" s="293"/>
      <c r="FG447" s="301"/>
      <c r="FH447" s="189"/>
      <c r="FI447" s="328"/>
      <c r="FJ447" s="328"/>
      <c r="FK447" s="328"/>
      <c r="FL447" s="328"/>
      <c r="FM447" s="328"/>
      <c r="FN447" s="189"/>
      <c r="FO447" s="301"/>
      <c r="FP447" s="293"/>
      <c r="FQ447" s="301"/>
      <c r="FR447" s="328"/>
      <c r="FS447" s="328"/>
      <c r="FT447" s="1237"/>
      <c r="FU447" s="699"/>
      <c r="FV447" s="201"/>
      <c r="FW447" s="291"/>
      <c r="FX447" s="93"/>
      <c r="FY447" s="93"/>
      <c r="FZ447" s="93"/>
      <c r="GA447" s="93"/>
      <c r="GB447" s="93"/>
      <c r="GC447" s="93"/>
      <c r="GD447" s="93"/>
      <c r="GE447" s="93"/>
      <c r="GF447" s="93"/>
      <c r="GG447" s="93"/>
      <c r="GH447" s="201"/>
      <c r="GI447" s="291"/>
      <c r="GJ447" s="79"/>
      <c r="GK447" s="1236"/>
      <c r="GL447" s="328"/>
      <c r="GM447" s="204"/>
      <c r="GN447" s="308"/>
      <c r="GO447" s="207"/>
      <c r="GP447" s="207"/>
      <c r="GQ447" s="328"/>
      <c r="GR447" s="328"/>
      <c r="GS447" s="328"/>
      <c r="GT447" s="328"/>
      <c r="GU447" s="328"/>
      <c r="GV447" s="308"/>
      <c r="GW447" s="207"/>
      <c r="GX447" s="328"/>
      <c r="GY447" s="328"/>
      <c r="GZ447" s="328"/>
      <c r="HA447" s="1236"/>
      <c r="HB447" s="328"/>
      <c r="HC447" s="328"/>
      <c r="HD447" s="328"/>
      <c r="HE447" s="207"/>
      <c r="HF447" s="328"/>
      <c r="HG447" s="207"/>
      <c r="HH447" s="294"/>
      <c r="HI447" s="328"/>
      <c r="HJ447" s="207"/>
      <c r="HK447" s="328"/>
      <c r="HL447" s="328"/>
      <c r="HM447" s="328"/>
      <c r="HN447" s="328"/>
      <c r="HO447" s="328"/>
      <c r="HP447" s="564"/>
      <c r="HQ447" s="483"/>
      <c r="HR447"/>
      <c r="HS447"/>
      <c r="HT447"/>
      <c r="HU447"/>
      <c r="HV447"/>
      <c r="HW447"/>
      <c r="HX447"/>
      <c r="HY447"/>
      <c r="HZ447"/>
      <c r="IA447"/>
      <c r="IB447"/>
      <c r="IC447"/>
      <c r="ID447"/>
      <c r="IE447"/>
      <c r="IF447" s="564"/>
    </row>
    <row r="448" spans="1:243" s="326" customFormat="1" ht="8.25" customHeight="1">
      <c r="A448" s="569"/>
      <c r="B448" s="569"/>
      <c r="C448" s="569"/>
      <c r="D448" s="569"/>
      <c r="E448" s="569"/>
      <c r="F448" s="569"/>
      <c r="G448" s="569"/>
      <c r="H448" s="569"/>
      <c r="I448" s="569"/>
      <c r="J448" s="569"/>
      <c r="K448" s="569"/>
      <c r="L448" s="569"/>
      <c r="M448" s="569"/>
      <c r="N448" s="569"/>
      <c r="O448" s="569"/>
      <c r="P448" s="570"/>
      <c r="Q448" s="569"/>
      <c r="R448" s="569"/>
      <c r="S448" s="569"/>
      <c r="T448" s="569"/>
      <c r="U448" s="569"/>
      <c r="V448" s="569"/>
      <c r="W448" s="569"/>
      <c r="X448" s="569"/>
      <c r="Y448" s="569"/>
      <c r="Z448" s="569"/>
      <c r="AA448" s="569"/>
      <c r="AB448" s="569"/>
      <c r="AC448" s="569"/>
      <c r="AD448" s="569"/>
      <c r="AE448" s="569"/>
      <c r="AF448" s="569"/>
      <c r="AG448" s="1238"/>
      <c r="AH448" s="479"/>
      <c r="AI448" s="479"/>
      <c r="AJ448" s="479"/>
      <c r="AK448" s="479"/>
      <c r="AL448" s="334"/>
      <c r="AM448" s="297"/>
      <c r="AN448" s="334"/>
      <c r="AO448" s="81"/>
      <c r="AP448" s="81"/>
      <c r="AQ448" s="81"/>
      <c r="AR448" s="479"/>
      <c r="AS448" s="479"/>
      <c r="AT448" s="479"/>
      <c r="AU448" s="479"/>
      <c r="AV448" s="1240"/>
      <c r="AW448" s="1245"/>
      <c r="AX448" s="851"/>
      <c r="AY448" s="851"/>
      <c r="AZ448" s="851"/>
      <c r="BA448" s="851"/>
      <c r="BB448" s="851"/>
      <c r="BC448" s="851"/>
      <c r="BD448" s="851"/>
      <c r="BE448" s="851"/>
      <c r="BF448" s="851"/>
      <c r="BG448" s="851"/>
      <c r="BH448" s="851"/>
      <c r="BI448" s="851"/>
      <c r="BJ448" s="851"/>
      <c r="BK448" s="851"/>
      <c r="BL448" s="1376"/>
      <c r="BM448" s="297"/>
      <c r="BN448" s="297"/>
      <c r="BO448" s="297"/>
      <c r="BP448" s="297"/>
      <c r="BQ448" s="297"/>
      <c r="BR448" s="297"/>
      <c r="BS448" s="297"/>
      <c r="BT448" s="161"/>
      <c r="BU448" s="161"/>
      <c r="BV448" s="297"/>
      <c r="BW448" s="297"/>
      <c r="BX448" s="297"/>
      <c r="BY448" s="297"/>
      <c r="BZ448" s="297"/>
      <c r="CA448" s="297"/>
      <c r="CB448" s="297"/>
      <c r="CC448" s="290"/>
      <c r="CD448" s="290"/>
      <c r="CE448" s="293"/>
      <c r="CF448" s="206"/>
      <c r="CG448" s="205"/>
      <c r="CH448" s="160"/>
      <c r="CI448" s="160"/>
      <c r="CJ448" s="160"/>
      <c r="CK448" s="160"/>
      <c r="CL448" s="160"/>
      <c r="CM448" s="160"/>
      <c r="CN448" s="205"/>
      <c r="CO448" s="206"/>
      <c r="CP448" s="293"/>
      <c r="CQ448" s="290"/>
      <c r="CR448" s="290"/>
      <c r="CS448" s="1238"/>
      <c r="CT448" s="479"/>
      <c r="CU448" s="328"/>
      <c r="CV448" s="479"/>
      <c r="CW448" s="479"/>
      <c r="CX448" s="479"/>
      <c r="CY448" s="479"/>
      <c r="CZ448" s="479"/>
      <c r="DA448" s="479"/>
      <c r="DB448" s="479"/>
      <c r="DC448" s="479"/>
      <c r="DD448" s="479"/>
      <c r="DE448" s="479"/>
      <c r="DF448" s="479"/>
      <c r="DG448" s="479"/>
      <c r="DH448" s="1240"/>
      <c r="DI448" s="293"/>
      <c r="DJ448" s="163"/>
      <c r="DK448" s="293"/>
      <c r="DL448" s="163"/>
      <c r="DM448" s="293"/>
      <c r="DN448" s="163"/>
      <c r="DO448" s="293"/>
      <c r="DP448" s="163"/>
      <c r="DQ448" s="293"/>
      <c r="DR448" s="163"/>
      <c r="DS448" s="293"/>
      <c r="DT448" s="163"/>
      <c r="DU448" s="293"/>
      <c r="DV448" s="163"/>
      <c r="DW448" s="293"/>
      <c r="DX448" s="293"/>
      <c r="DY448" s="1238"/>
      <c r="DZ448" s="479"/>
      <c r="EA448" s="479"/>
      <c r="EB448" s="479"/>
      <c r="EC448" s="479"/>
      <c r="ED448" s="199"/>
      <c r="EE448" s="310"/>
      <c r="EF448" s="199"/>
      <c r="EG448" s="201"/>
      <c r="EH448" s="291"/>
      <c r="EI448" s="201"/>
      <c r="EJ448" s="479"/>
      <c r="EK448" s="479"/>
      <c r="EL448" s="479"/>
      <c r="EM448" s="479"/>
      <c r="EN448" s="1240"/>
      <c r="EO448" s="1238"/>
      <c r="EP448" s="479"/>
      <c r="EQ448" s="479"/>
      <c r="ER448" s="479"/>
      <c r="ES448" s="479"/>
      <c r="ET448" s="199"/>
      <c r="EU448" s="310"/>
      <c r="EV448" s="200"/>
      <c r="EW448" s="201"/>
      <c r="EX448" s="291"/>
      <c r="EY448" s="201"/>
      <c r="EZ448" s="479"/>
      <c r="FA448" s="479"/>
      <c r="FB448" s="479"/>
      <c r="FC448" s="479"/>
      <c r="FD448" s="1240"/>
      <c r="FE448" s="189"/>
      <c r="FF448" s="293"/>
      <c r="FG448" s="301"/>
      <c r="FH448" s="189"/>
      <c r="FI448" s="479"/>
      <c r="FJ448" s="479"/>
      <c r="FK448" s="479"/>
      <c r="FL448" s="479"/>
      <c r="FM448" s="479"/>
      <c r="FN448" s="189"/>
      <c r="FO448" s="301"/>
      <c r="FP448" s="293"/>
      <c r="FQ448" s="301"/>
      <c r="FR448" s="479"/>
      <c r="FS448" s="479"/>
      <c r="FT448" s="1240"/>
      <c r="FU448" s="700"/>
      <c r="FV448" s="201"/>
      <c r="FW448" s="291"/>
      <c r="FX448" s="73"/>
      <c r="FY448" s="73"/>
      <c r="FZ448" s="73"/>
      <c r="GA448" s="73"/>
      <c r="GB448" s="73"/>
      <c r="GC448" s="73"/>
      <c r="GD448" s="73"/>
      <c r="GE448" s="73"/>
      <c r="GF448" s="73"/>
      <c r="GG448" s="73"/>
      <c r="GH448" s="201"/>
      <c r="GI448" s="291"/>
      <c r="GJ448" s="701"/>
      <c r="GK448" s="1238"/>
      <c r="GL448" s="204"/>
      <c r="GM448" s="308"/>
      <c r="GN448" s="204"/>
      <c r="GO448" s="207"/>
      <c r="GP448" s="298"/>
      <c r="GQ448" s="298"/>
      <c r="GR448" s="207"/>
      <c r="GS448" s="479"/>
      <c r="GT448" s="479"/>
      <c r="GU448" s="207"/>
      <c r="GV448" s="298"/>
      <c r="GW448" s="298"/>
      <c r="GX448" s="207"/>
      <c r="GY448" s="479"/>
      <c r="GZ448" s="479"/>
      <c r="HA448" s="1238"/>
      <c r="HB448" s="479"/>
      <c r="HC448" s="479"/>
      <c r="HD448" s="207"/>
      <c r="HE448" s="496"/>
      <c r="HF448" s="337"/>
      <c r="HG448" s="308"/>
      <c r="HH448" s="207"/>
      <c r="HI448" s="496"/>
      <c r="HJ448" s="496"/>
      <c r="HK448" s="207"/>
      <c r="HL448" s="337"/>
      <c r="HM448" s="479"/>
      <c r="HN448" s="479"/>
      <c r="HO448" s="479"/>
      <c r="HP448" s="1240"/>
      <c r="HQ448" s="569"/>
      <c r="HR448" s="569"/>
      <c r="HS448" s="569"/>
      <c r="HT448" s="569"/>
      <c r="HU448" s="569"/>
      <c r="HV448" s="569"/>
      <c r="HW448" s="569"/>
      <c r="HX448" s="569"/>
      <c r="HY448" s="569"/>
      <c r="HZ448" s="569"/>
      <c r="IA448" s="569"/>
      <c r="IB448" s="569"/>
      <c r="IC448" s="569"/>
      <c r="ID448" s="569"/>
      <c r="IE448" s="569"/>
      <c r="IF448" s="570"/>
    </row>
  </sheetData>
  <sheetProtection password="DF7C" sheet="1"/>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Z956"/>
  <sheetViews>
    <sheetView topLeftCell="A721" zoomScale="62" zoomScaleNormal="62" workbookViewId="0">
      <selection activeCell="CT283" sqref="CT283"/>
    </sheetView>
  </sheetViews>
  <sheetFormatPr defaultRowHeight="12.75"/>
  <cols>
    <col min="1" max="130" width="2.85546875" customWidth="1"/>
  </cols>
  <sheetData>
    <row r="1" spans="1:130">
      <c r="A1" s="794">
        <v>1</v>
      </c>
      <c r="B1" s="795"/>
      <c r="C1" s="51"/>
      <c r="D1" s="51"/>
      <c r="E1" s="51"/>
      <c r="F1" s="92"/>
      <c r="G1" s="92"/>
      <c r="H1" s="51"/>
      <c r="I1" s="51"/>
      <c r="J1" s="51"/>
      <c r="K1" s="51"/>
      <c r="L1" s="92"/>
      <c r="M1" s="51"/>
      <c r="N1" s="51"/>
      <c r="O1" s="51"/>
      <c r="P1" s="82"/>
      <c r="Q1" s="51"/>
      <c r="R1" s="51"/>
      <c r="S1" s="51"/>
      <c r="T1" s="51"/>
      <c r="U1" s="51"/>
      <c r="V1" s="92"/>
      <c r="W1" s="92"/>
      <c r="X1" s="51"/>
      <c r="Y1" s="51"/>
      <c r="Z1" s="51"/>
      <c r="AA1" s="51"/>
      <c r="AB1" s="92"/>
      <c r="AC1" s="51"/>
      <c r="AD1" s="51"/>
      <c r="AE1" s="51"/>
      <c r="AF1" s="82"/>
      <c r="AG1" s="51"/>
      <c r="AH1" s="51"/>
      <c r="AI1" s="51"/>
      <c r="AJ1" s="51"/>
      <c r="AK1" s="51"/>
      <c r="AL1" s="92"/>
      <c r="AM1" s="92"/>
      <c r="AN1" s="51"/>
      <c r="AO1" s="51"/>
      <c r="AP1" s="51"/>
      <c r="AQ1" s="51"/>
      <c r="AR1" s="92"/>
      <c r="AS1" s="51"/>
      <c r="AT1" s="51"/>
      <c r="AU1" s="51"/>
      <c r="AV1" s="82"/>
      <c r="AW1" s="51"/>
      <c r="AX1" s="51"/>
      <c r="AY1" s="51"/>
      <c r="AZ1" s="51"/>
      <c r="BA1" s="51"/>
      <c r="BB1" s="92"/>
      <c r="BC1" s="92"/>
      <c r="BD1" s="51"/>
      <c r="BE1" s="51"/>
      <c r="BF1" s="51"/>
      <c r="BG1" s="51"/>
      <c r="BH1" s="92"/>
      <c r="BI1" s="51"/>
      <c r="BJ1" s="51"/>
      <c r="BK1" s="51"/>
      <c r="BL1" s="82"/>
      <c r="BM1" s="51"/>
      <c r="BN1" s="51"/>
      <c r="BO1" s="51"/>
      <c r="BP1" s="51"/>
      <c r="BQ1" s="51"/>
      <c r="BR1" s="92"/>
      <c r="BS1" s="92"/>
      <c r="BT1" s="51"/>
      <c r="BU1" s="51"/>
      <c r="BV1" s="51"/>
      <c r="BW1" s="51"/>
      <c r="BX1" s="92"/>
      <c r="BY1" s="51"/>
      <c r="BZ1" s="51"/>
      <c r="CA1" s="51"/>
      <c r="CB1" s="51"/>
      <c r="CC1" s="108"/>
      <c r="CD1" s="109"/>
      <c r="CE1" s="109"/>
      <c r="CF1" s="109"/>
      <c r="CG1" s="109"/>
      <c r="CH1" s="110"/>
      <c r="CI1" s="110"/>
      <c r="CJ1" s="109"/>
      <c r="CK1" s="109"/>
      <c r="CL1" s="109"/>
      <c r="CM1" s="109"/>
      <c r="CN1" s="110"/>
      <c r="CO1" s="109"/>
      <c r="CP1" s="109"/>
      <c r="CQ1" s="109"/>
      <c r="CR1" s="111"/>
      <c r="CS1" s="396"/>
      <c r="CT1" s="109"/>
      <c r="CU1" s="109"/>
      <c r="CV1" s="109"/>
      <c r="CW1" s="109"/>
      <c r="CX1" s="110"/>
      <c r="CY1" s="110"/>
      <c r="CZ1" s="109"/>
      <c r="DA1" s="109"/>
      <c r="DB1" s="109"/>
      <c r="DC1" s="109"/>
      <c r="DD1" s="110"/>
      <c r="DE1" s="109"/>
      <c r="DF1" s="109"/>
      <c r="DG1" s="109"/>
      <c r="DH1" s="111"/>
      <c r="DI1" s="109"/>
      <c r="DJ1" s="109"/>
      <c r="DK1" s="109"/>
      <c r="DL1" s="109"/>
      <c r="DM1" s="109"/>
      <c r="DN1" s="110"/>
      <c r="DO1" s="110"/>
      <c r="DP1" s="109"/>
      <c r="DQ1" s="109"/>
      <c r="DR1" s="109"/>
      <c r="DS1" s="109"/>
      <c r="DT1" s="110"/>
      <c r="DU1" s="109"/>
      <c r="DV1" s="109"/>
      <c r="DW1" s="109"/>
      <c r="DX1" s="397"/>
      <c r="DY1" s="794"/>
      <c r="DZ1" s="795" t="s">
        <v>765</v>
      </c>
    </row>
    <row r="2" spans="1:130">
      <c r="A2" s="796">
        <v>8</v>
      </c>
      <c r="B2" s="52"/>
      <c r="C2" s="92"/>
      <c r="D2" s="92"/>
      <c r="E2" s="92"/>
      <c r="F2" s="92"/>
      <c r="G2" s="92"/>
      <c r="H2" s="92"/>
      <c r="I2" s="92"/>
      <c r="J2" s="92"/>
      <c r="K2" s="92"/>
      <c r="L2" s="92"/>
      <c r="M2" s="92"/>
      <c r="N2" s="92"/>
      <c r="O2" s="92"/>
      <c r="P2" s="113"/>
      <c r="Q2" s="92"/>
      <c r="R2" s="92"/>
      <c r="S2" s="92"/>
      <c r="T2" s="92"/>
      <c r="U2" s="92"/>
      <c r="V2" s="92"/>
      <c r="W2" s="92"/>
      <c r="X2" s="92"/>
      <c r="Y2" s="92"/>
      <c r="Z2" s="92"/>
      <c r="AA2" s="92"/>
      <c r="AB2" s="92"/>
      <c r="AC2" s="92"/>
      <c r="AD2" s="92"/>
      <c r="AE2" s="92"/>
      <c r="AF2" s="113"/>
      <c r="AG2" s="92"/>
      <c r="AH2" s="92"/>
      <c r="AI2" s="92"/>
      <c r="AJ2" s="92"/>
      <c r="AK2" s="92"/>
      <c r="AL2" s="92"/>
      <c r="AM2" s="92"/>
      <c r="AN2" s="92"/>
      <c r="AO2" s="92"/>
      <c r="AP2" s="92"/>
      <c r="AQ2" s="92"/>
      <c r="AR2" s="92"/>
      <c r="AS2" s="92"/>
      <c r="AT2" s="92"/>
      <c r="AU2" s="92"/>
      <c r="AV2" s="113"/>
      <c r="AW2" s="92"/>
      <c r="AX2" s="92"/>
      <c r="AY2" s="92"/>
      <c r="AZ2" s="92"/>
      <c r="BA2" s="92"/>
      <c r="BB2" s="92"/>
      <c r="BC2" s="92"/>
      <c r="BD2" s="92"/>
      <c r="BE2" s="92"/>
      <c r="BF2" s="92"/>
      <c r="BG2" s="92"/>
      <c r="BH2" s="92"/>
      <c r="BI2" s="92"/>
      <c r="BJ2" s="92"/>
      <c r="BK2" s="92"/>
      <c r="BL2" s="113"/>
      <c r="BM2" s="92"/>
      <c r="BN2" s="92"/>
      <c r="BO2" s="92"/>
      <c r="BP2" s="92"/>
      <c r="BQ2" s="92"/>
      <c r="BR2" s="92"/>
      <c r="BS2" s="92"/>
      <c r="BT2" s="92"/>
      <c r="BU2" s="92"/>
      <c r="BV2" s="92"/>
      <c r="BW2" s="92"/>
      <c r="BX2" s="92"/>
      <c r="BY2" s="92"/>
      <c r="BZ2" s="92"/>
      <c r="CA2" s="92"/>
      <c r="CB2" s="92"/>
      <c r="CC2" s="363"/>
      <c r="CD2" s="117"/>
      <c r="CE2" s="117"/>
      <c r="CF2" s="117"/>
      <c r="CG2" s="117"/>
      <c r="CH2" s="117"/>
      <c r="CI2" s="117"/>
      <c r="CJ2" s="117"/>
      <c r="CK2" s="117"/>
      <c r="CL2" s="117"/>
      <c r="CM2" s="117"/>
      <c r="CN2" s="117"/>
      <c r="CO2" s="117"/>
      <c r="CP2" s="117"/>
      <c r="CQ2" s="117"/>
      <c r="CR2" s="364"/>
      <c r="CS2" s="93"/>
      <c r="CT2" s="117"/>
      <c r="CU2" s="117"/>
      <c r="CV2" s="117"/>
      <c r="CW2" s="117"/>
      <c r="CX2" s="117"/>
      <c r="CY2" s="117"/>
      <c r="CZ2" s="117"/>
      <c r="DA2" s="117"/>
      <c r="DB2" s="117"/>
      <c r="DC2" s="117"/>
      <c r="DD2" s="117"/>
      <c r="DE2" s="117"/>
      <c r="DF2" s="117"/>
      <c r="DG2" s="117"/>
      <c r="DH2" s="364"/>
      <c r="DI2" s="117"/>
      <c r="DJ2" s="117"/>
      <c r="DK2" s="117"/>
      <c r="DL2" s="117"/>
      <c r="DM2" s="117"/>
      <c r="DN2" s="117"/>
      <c r="DO2" s="117"/>
      <c r="DP2" s="117"/>
      <c r="DQ2" s="117"/>
      <c r="DR2" s="117"/>
      <c r="DS2" s="117"/>
      <c r="DT2" s="117"/>
      <c r="DU2" s="117"/>
      <c r="DV2" s="117"/>
      <c r="DW2" s="117"/>
      <c r="DX2" s="364"/>
      <c r="DY2" s="796"/>
      <c r="DZ2" s="52" t="s">
        <v>1034</v>
      </c>
    </row>
    <row r="3" spans="1:130">
      <c r="A3" s="795">
        <v>12</v>
      </c>
      <c r="B3" s="795"/>
      <c r="C3" s="92"/>
      <c r="D3" s="92"/>
      <c r="E3" s="51"/>
      <c r="F3" s="92"/>
      <c r="G3" s="92"/>
      <c r="H3" s="92"/>
      <c r="I3" s="92"/>
      <c r="J3" s="92"/>
      <c r="K3" s="92"/>
      <c r="L3" s="92"/>
      <c r="M3" s="92"/>
      <c r="N3" s="92"/>
      <c r="O3" s="92"/>
      <c r="P3" s="113"/>
      <c r="Q3" s="51"/>
      <c r="R3" s="92"/>
      <c r="S3" s="92"/>
      <c r="T3" s="92"/>
      <c r="U3" s="51"/>
      <c r="V3" s="92"/>
      <c r="W3" s="92"/>
      <c r="X3" s="92"/>
      <c r="Y3" s="92"/>
      <c r="Z3" s="92"/>
      <c r="AA3" s="92"/>
      <c r="AB3" s="92"/>
      <c r="AC3" s="92"/>
      <c r="AD3" s="92"/>
      <c r="AE3" s="92"/>
      <c r="AF3" s="113"/>
      <c r="AG3" s="51"/>
      <c r="AH3" s="92"/>
      <c r="AI3" s="92"/>
      <c r="AJ3" s="92"/>
      <c r="AK3" s="51"/>
      <c r="AL3" s="92"/>
      <c r="AM3" s="92"/>
      <c r="AN3" s="92"/>
      <c r="AO3" s="92"/>
      <c r="AP3" s="92"/>
      <c r="AQ3" s="92"/>
      <c r="AR3" s="92"/>
      <c r="AS3" s="92"/>
      <c r="AT3" s="92"/>
      <c r="AU3" s="92"/>
      <c r="AV3" s="113"/>
      <c r="AW3" s="51"/>
      <c r="AX3" s="92"/>
      <c r="AY3" s="92"/>
      <c r="AZ3" s="92"/>
      <c r="BA3" s="51"/>
      <c r="BB3" s="92"/>
      <c r="BC3" s="92"/>
      <c r="BD3" s="92"/>
      <c r="BE3" s="92"/>
      <c r="BF3" s="92"/>
      <c r="BG3" s="92"/>
      <c r="BH3" s="92"/>
      <c r="BI3" s="92"/>
      <c r="BJ3" s="92"/>
      <c r="BK3" s="92"/>
      <c r="BL3" s="113"/>
      <c r="BM3" s="51"/>
      <c r="BN3" s="92"/>
      <c r="BO3" s="92"/>
      <c r="BP3" s="92"/>
      <c r="BQ3" s="51"/>
      <c r="BR3" s="92"/>
      <c r="BS3" s="92"/>
      <c r="BT3" s="92"/>
      <c r="BU3" s="92"/>
      <c r="BV3" s="92"/>
      <c r="BW3" s="92"/>
      <c r="BX3" s="92"/>
      <c r="BY3" s="92"/>
      <c r="BZ3" s="92"/>
      <c r="CA3" s="92"/>
      <c r="CB3" s="92"/>
      <c r="CC3" s="363"/>
      <c r="CD3" s="117"/>
      <c r="CE3" s="117"/>
      <c r="CF3" s="117"/>
      <c r="CG3" s="117"/>
      <c r="CH3" s="117"/>
      <c r="CI3" s="117"/>
      <c r="CJ3" s="117"/>
      <c r="CK3" s="117"/>
      <c r="CL3" s="117"/>
      <c r="CM3" s="117"/>
      <c r="CN3" s="70"/>
      <c r="CO3" s="117"/>
      <c r="CP3" s="117"/>
      <c r="CQ3" s="117"/>
      <c r="CR3" s="362"/>
      <c r="CS3" s="117"/>
      <c r="CT3" s="117"/>
      <c r="CU3" s="117"/>
      <c r="CV3" s="117"/>
      <c r="CW3" s="117"/>
      <c r="CX3" s="117"/>
      <c r="CY3" s="117"/>
      <c r="CZ3" s="117"/>
      <c r="DA3" s="117"/>
      <c r="DB3" s="117"/>
      <c r="DC3" s="117"/>
      <c r="DD3" s="70"/>
      <c r="DE3" s="117"/>
      <c r="DF3" s="117"/>
      <c r="DG3" s="117"/>
      <c r="DH3" s="362"/>
      <c r="DI3" s="117"/>
      <c r="DJ3" s="117"/>
      <c r="DK3" s="117"/>
      <c r="DL3" s="117"/>
      <c r="DM3" s="117"/>
      <c r="DN3" s="117"/>
      <c r="DO3" s="117"/>
      <c r="DP3" s="117"/>
      <c r="DQ3" s="117"/>
      <c r="DR3" s="117"/>
      <c r="DS3" s="117"/>
      <c r="DT3" s="70"/>
      <c r="DU3" s="117"/>
      <c r="DV3" s="117"/>
      <c r="DW3" s="117"/>
      <c r="DX3" s="362"/>
      <c r="DY3" s="795"/>
      <c r="DZ3" s="52" t="s">
        <v>1035</v>
      </c>
    </row>
    <row r="4" spans="1:130">
      <c r="A4" s="797">
        <v>8</v>
      </c>
      <c r="B4" s="798"/>
      <c r="C4" s="92"/>
      <c r="D4" s="92"/>
      <c r="E4" s="51"/>
      <c r="F4" s="92"/>
      <c r="G4" s="92"/>
      <c r="H4" s="92"/>
      <c r="I4" s="92"/>
      <c r="J4" s="92"/>
      <c r="K4" s="92"/>
      <c r="L4" s="92"/>
      <c r="M4" s="92"/>
      <c r="N4" s="92"/>
      <c r="O4" s="92"/>
      <c r="P4" s="113"/>
      <c r="Q4" s="92"/>
      <c r="R4" s="92"/>
      <c r="S4" s="92"/>
      <c r="T4" s="92"/>
      <c r="U4" s="51"/>
      <c r="V4" s="92"/>
      <c r="W4" s="92"/>
      <c r="X4" s="92"/>
      <c r="Y4" s="92"/>
      <c r="Z4" s="92"/>
      <c r="AA4" s="92"/>
      <c r="AB4" s="92"/>
      <c r="AC4" s="92"/>
      <c r="AD4" s="92"/>
      <c r="AE4" s="92"/>
      <c r="AF4" s="113"/>
      <c r="AG4" s="92"/>
      <c r="AH4" s="92"/>
      <c r="AI4" s="92"/>
      <c r="AJ4" s="92"/>
      <c r="AK4" s="51"/>
      <c r="AL4" s="92"/>
      <c r="AM4" s="92"/>
      <c r="AN4" s="92"/>
      <c r="AO4" s="92"/>
      <c r="AP4" s="92"/>
      <c r="AQ4" s="92"/>
      <c r="AR4" s="92"/>
      <c r="AS4" s="92"/>
      <c r="AT4" s="92"/>
      <c r="AU4" s="92"/>
      <c r="AV4" s="113"/>
      <c r="AW4" s="92"/>
      <c r="AX4" s="92"/>
      <c r="AY4" s="92"/>
      <c r="AZ4" s="92"/>
      <c r="BA4" s="51"/>
      <c r="BB4" s="92"/>
      <c r="BC4" s="92"/>
      <c r="BD4" s="92"/>
      <c r="BE4" s="92"/>
      <c r="BF4" s="92"/>
      <c r="BG4" s="92"/>
      <c r="BH4" s="92"/>
      <c r="BI4" s="92"/>
      <c r="BJ4" s="92"/>
      <c r="BK4" s="92"/>
      <c r="BL4" s="113"/>
      <c r="BM4" s="92"/>
      <c r="BN4" s="92"/>
      <c r="BO4" s="92"/>
      <c r="BP4" s="92"/>
      <c r="BQ4" s="51"/>
      <c r="BR4" s="92"/>
      <c r="BS4" s="92"/>
      <c r="BT4" s="92"/>
      <c r="BU4" s="92"/>
      <c r="BV4" s="92"/>
      <c r="BW4" s="92"/>
      <c r="BX4" s="92"/>
      <c r="BY4" s="92"/>
      <c r="BZ4" s="92"/>
      <c r="CA4" s="92"/>
      <c r="CB4" s="92"/>
      <c r="CC4" s="363"/>
      <c r="CD4" s="117"/>
      <c r="CE4" s="117"/>
      <c r="CF4" s="117"/>
      <c r="CG4" s="117"/>
      <c r="CH4" s="117"/>
      <c r="CI4" s="117"/>
      <c r="CJ4" s="117"/>
      <c r="CK4" s="117"/>
      <c r="CL4" s="117"/>
      <c r="CM4" s="117"/>
      <c r="CN4" s="70"/>
      <c r="CO4" s="117"/>
      <c r="CP4" s="117"/>
      <c r="CQ4" s="117"/>
      <c r="CR4" s="364"/>
      <c r="CS4" s="117"/>
      <c r="CT4" s="117"/>
      <c r="CU4" s="117"/>
      <c r="CV4" s="117"/>
      <c r="CW4" s="117"/>
      <c r="CX4" s="117"/>
      <c r="CY4" s="117"/>
      <c r="CZ4" s="117"/>
      <c r="DA4" s="117"/>
      <c r="DB4" s="117"/>
      <c r="DC4" s="117"/>
      <c r="DD4" s="70"/>
      <c r="DE4" s="117"/>
      <c r="DF4" s="117"/>
      <c r="DG4" s="117"/>
      <c r="DH4" s="364"/>
      <c r="DI4" s="117"/>
      <c r="DJ4" s="117"/>
      <c r="DK4" s="117"/>
      <c r="DL4" s="117"/>
      <c r="DM4" s="117"/>
      <c r="DN4" s="117"/>
      <c r="DO4" s="117"/>
      <c r="DP4" s="117"/>
      <c r="DQ4" s="117"/>
      <c r="DR4" s="117"/>
      <c r="DS4" s="117"/>
      <c r="DT4" s="70"/>
      <c r="DU4" s="117"/>
      <c r="DV4" s="117"/>
      <c r="DW4" s="117"/>
      <c r="DX4" s="364"/>
      <c r="DY4" s="797"/>
      <c r="DZ4" s="795" t="s">
        <v>955</v>
      </c>
    </row>
    <row r="5" spans="1:130">
      <c r="A5" s="797">
        <v>0</v>
      </c>
      <c r="B5" s="798"/>
      <c r="C5" s="92"/>
      <c r="D5" s="92"/>
      <c r="E5" s="51"/>
      <c r="F5" s="92"/>
      <c r="G5" s="92"/>
      <c r="H5" s="92"/>
      <c r="I5" s="92"/>
      <c r="J5" s="92"/>
      <c r="K5" s="92"/>
      <c r="L5" s="92"/>
      <c r="M5" s="92"/>
      <c r="N5" s="92"/>
      <c r="O5" s="92"/>
      <c r="P5" s="113"/>
      <c r="Q5" s="51"/>
      <c r="R5" s="92"/>
      <c r="S5" s="92"/>
      <c r="T5" s="92"/>
      <c r="U5" s="51"/>
      <c r="V5" s="92"/>
      <c r="W5" s="92"/>
      <c r="X5" s="92"/>
      <c r="Y5" s="92"/>
      <c r="Z5" s="92"/>
      <c r="AA5" s="92"/>
      <c r="AB5" s="92"/>
      <c r="AC5" s="92"/>
      <c r="AD5" s="92"/>
      <c r="AE5" s="92"/>
      <c r="AF5" s="113"/>
      <c r="AG5" s="51"/>
      <c r="AH5" s="92"/>
      <c r="AI5" s="92"/>
      <c r="AJ5" s="92"/>
      <c r="AK5" s="51"/>
      <c r="AL5" s="92"/>
      <c r="AM5" s="92"/>
      <c r="AN5" s="92"/>
      <c r="AO5" s="92"/>
      <c r="AP5" s="92"/>
      <c r="AQ5" s="92"/>
      <c r="AR5" s="92"/>
      <c r="AS5" s="92"/>
      <c r="AT5" s="92"/>
      <c r="AU5" s="92"/>
      <c r="AV5" s="113"/>
      <c r="AW5" s="51"/>
      <c r="AX5" s="92"/>
      <c r="AY5" s="92"/>
      <c r="AZ5" s="92"/>
      <c r="BA5" s="51"/>
      <c r="BB5" s="92"/>
      <c r="BC5" s="92"/>
      <c r="BD5" s="92"/>
      <c r="BE5" s="92"/>
      <c r="BF5" s="92"/>
      <c r="BG5" s="92"/>
      <c r="BH5" s="92"/>
      <c r="BI5" s="92"/>
      <c r="BJ5" s="92"/>
      <c r="BK5" s="92"/>
      <c r="BL5" s="113"/>
      <c r="BM5" s="51"/>
      <c r="BN5" s="92"/>
      <c r="BO5" s="92"/>
      <c r="BP5" s="92"/>
      <c r="BQ5" s="51"/>
      <c r="BR5" s="92"/>
      <c r="BS5" s="92"/>
      <c r="BT5" s="92"/>
      <c r="BU5" s="92"/>
      <c r="BV5" s="92"/>
      <c r="BW5" s="92"/>
      <c r="BX5" s="92"/>
      <c r="BY5" s="92"/>
      <c r="BZ5" s="92"/>
      <c r="CA5" s="92"/>
      <c r="CB5" s="92"/>
      <c r="CC5" s="363"/>
      <c r="CD5" s="117"/>
      <c r="CE5" s="117"/>
      <c r="CF5" s="117"/>
      <c r="CG5" s="117"/>
      <c r="CH5" s="117"/>
      <c r="CI5" s="117"/>
      <c r="CJ5" s="117"/>
      <c r="CK5" s="117"/>
      <c r="CL5" s="117"/>
      <c r="CM5" s="117"/>
      <c r="CN5" s="70"/>
      <c r="CO5" s="117"/>
      <c r="CP5" s="117"/>
      <c r="CQ5" s="117"/>
      <c r="CR5" s="362"/>
      <c r="CS5" s="117"/>
      <c r="CT5" s="117"/>
      <c r="CU5" s="117"/>
      <c r="CV5" s="117"/>
      <c r="CW5" s="117"/>
      <c r="CX5" s="117"/>
      <c r="CY5" s="117"/>
      <c r="CZ5" s="117"/>
      <c r="DA5" s="117"/>
      <c r="DB5" s="117"/>
      <c r="DC5" s="117"/>
      <c r="DD5" s="70"/>
      <c r="DE5" s="117"/>
      <c r="DF5" s="117"/>
      <c r="DG5" s="117"/>
      <c r="DH5" s="362"/>
      <c r="DI5" s="117"/>
      <c r="DJ5" s="117"/>
      <c r="DK5" s="117"/>
      <c r="DL5" s="117"/>
      <c r="DM5" s="117"/>
      <c r="DN5" s="117"/>
      <c r="DO5" s="117"/>
      <c r="DP5" s="117"/>
      <c r="DQ5" s="117"/>
      <c r="DR5" s="117"/>
      <c r="DS5" s="117"/>
      <c r="DT5" s="70"/>
      <c r="DU5" s="117"/>
      <c r="DV5" s="117"/>
      <c r="DW5" s="117"/>
      <c r="DX5" s="362"/>
      <c r="DY5" s="797"/>
      <c r="DZ5" s="798" t="s">
        <v>958</v>
      </c>
    </row>
    <row r="6" spans="1:130">
      <c r="A6" s="797">
        <v>256</v>
      </c>
      <c r="B6" s="795"/>
      <c r="C6" s="51"/>
      <c r="D6" s="51"/>
      <c r="E6" s="51"/>
      <c r="F6" s="51"/>
      <c r="G6" s="51"/>
      <c r="H6" s="51"/>
      <c r="I6" s="51"/>
      <c r="J6" s="51"/>
      <c r="K6" s="51"/>
      <c r="L6" s="51"/>
      <c r="M6" s="51"/>
      <c r="N6" s="51"/>
      <c r="O6" s="51"/>
      <c r="P6" s="82"/>
      <c r="Q6" s="51"/>
      <c r="R6" s="51"/>
      <c r="S6" s="51"/>
      <c r="T6" s="51"/>
      <c r="U6" s="51"/>
      <c r="V6" s="51"/>
      <c r="W6" s="51"/>
      <c r="X6" s="51"/>
      <c r="Y6" s="51"/>
      <c r="Z6" s="51"/>
      <c r="AA6" s="51"/>
      <c r="AB6" s="51"/>
      <c r="AC6" s="51"/>
      <c r="AD6" s="51"/>
      <c r="AE6" s="51"/>
      <c r="AF6" s="82"/>
      <c r="AG6" s="51"/>
      <c r="AH6" s="51"/>
      <c r="AI6" s="51"/>
      <c r="AJ6" s="51"/>
      <c r="AK6" s="51"/>
      <c r="AL6" s="51"/>
      <c r="AM6" s="51"/>
      <c r="AN6" s="51"/>
      <c r="AO6" s="51"/>
      <c r="AP6" s="51"/>
      <c r="AQ6" s="51"/>
      <c r="AR6" s="51"/>
      <c r="AS6" s="51"/>
      <c r="AT6" s="51"/>
      <c r="AU6" s="51"/>
      <c r="AV6" s="82"/>
      <c r="AW6" s="51"/>
      <c r="AX6" s="51"/>
      <c r="AY6" s="51"/>
      <c r="AZ6" s="51"/>
      <c r="BA6" s="51"/>
      <c r="BB6" s="51"/>
      <c r="BC6" s="51"/>
      <c r="BD6" s="51"/>
      <c r="BE6" s="51"/>
      <c r="BF6" s="51"/>
      <c r="BG6" s="51"/>
      <c r="BH6" s="51"/>
      <c r="BI6" s="51"/>
      <c r="BJ6" s="51"/>
      <c r="BK6" s="51"/>
      <c r="BL6" s="82"/>
      <c r="BM6" s="51"/>
      <c r="BN6" s="51"/>
      <c r="BO6" s="51"/>
      <c r="BP6" s="51"/>
      <c r="BQ6" s="51"/>
      <c r="BR6" s="51"/>
      <c r="BS6" s="51"/>
      <c r="BT6" s="51"/>
      <c r="BU6" s="51"/>
      <c r="BV6" s="51"/>
      <c r="BW6" s="51"/>
      <c r="BX6" s="51"/>
      <c r="BY6" s="51"/>
      <c r="BZ6" s="51"/>
      <c r="CA6" s="51"/>
      <c r="CB6" s="51"/>
      <c r="CC6" s="361"/>
      <c r="CD6" s="70"/>
      <c r="CE6" s="70"/>
      <c r="CF6" s="70"/>
      <c r="CG6" s="70"/>
      <c r="CH6" s="70"/>
      <c r="CI6" s="70"/>
      <c r="CJ6" s="70"/>
      <c r="CK6" s="70"/>
      <c r="CL6" s="70"/>
      <c r="CM6" s="70"/>
      <c r="CN6" s="70"/>
      <c r="CO6" s="70"/>
      <c r="CP6" s="70"/>
      <c r="CQ6" s="70"/>
      <c r="CR6" s="362"/>
      <c r="CS6" s="70"/>
      <c r="CT6" s="70"/>
      <c r="CU6" s="70"/>
      <c r="CV6" s="70"/>
      <c r="CW6" s="70"/>
      <c r="CX6" s="70"/>
      <c r="CY6" s="70"/>
      <c r="CZ6" s="70"/>
      <c r="DA6" s="70"/>
      <c r="DB6" s="70"/>
      <c r="DC6" s="70"/>
      <c r="DD6" s="70"/>
      <c r="DE6" s="70"/>
      <c r="DF6" s="70"/>
      <c r="DG6" s="70"/>
      <c r="DH6" s="362"/>
      <c r="DI6" s="70"/>
      <c r="DJ6" s="70"/>
      <c r="DK6" s="70"/>
      <c r="DL6" s="70"/>
      <c r="DM6" s="70"/>
      <c r="DN6" s="70"/>
      <c r="DO6" s="70"/>
      <c r="DP6" s="70"/>
      <c r="DQ6" s="70"/>
      <c r="DR6" s="70"/>
      <c r="DS6" s="70"/>
      <c r="DT6" s="70"/>
      <c r="DU6" s="70"/>
      <c r="DV6" s="70"/>
      <c r="DW6" s="70"/>
      <c r="DX6" s="362"/>
      <c r="DY6" s="797"/>
      <c r="DZ6" s="798" t="s">
        <v>1036</v>
      </c>
    </row>
    <row r="7" spans="1:130">
      <c r="A7" s="797">
        <v>500</v>
      </c>
      <c r="B7" s="795"/>
      <c r="C7" s="92"/>
      <c r="D7" s="92"/>
      <c r="E7" s="92"/>
      <c r="F7" s="92"/>
      <c r="G7" s="92"/>
      <c r="H7" s="92"/>
      <c r="I7" s="92"/>
      <c r="J7" s="92"/>
      <c r="K7" s="51"/>
      <c r="L7" s="92"/>
      <c r="M7" s="92"/>
      <c r="N7" s="92"/>
      <c r="O7" s="92"/>
      <c r="P7" s="113"/>
      <c r="Q7" s="51"/>
      <c r="R7" s="92"/>
      <c r="S7" s="92"/>
      <c r="T7" s="92"/>
      <c r="U7" s="92"/>
      <c r="V7" s="92"/>
      <c r="W7" s="92"/>
      <c r="X7" s="92"/>
      <c r="Y7" s="92"/>
      <c r="Z7" s="92"/>
      <c r="AA7" s="51"/>
      <c r="AB7" s="92"/>
      <c r="AC7" s="92"/>
      <c r="AD7" s="92"/>
      <c r="AE7" s="92"/>
      <c r="AF7" s="113"/>
      <c r="AG7" s="51"/>
      <c r="AH7" s="92"/>
      <c r="AI7" s="92"/>
      <c r="AJ7" s="92"/>
      <c r="AK7" s="92"/>
      <c r="AL7" s="92"/>
      <c r="AM7" s="92"/>
      <c r="AN7" s="92"/>
      <c r="AO7" s="92"/>
      <c r="AP7" s="92"/>
      <c r="AQ7" s="92"/>
      <c r="AR7" s="51"/>
      <c r="AS7" s="92"/>
      <c r="AT7" s="92"/>
      <c r="AU7" s="92"/>
      <c r="AV7" s="82"/>
      <c r="AW7" s="51"/>
      <c r="AX7" s="92"/>
      <c r="AY7" s="92"/>
      <c r="AZ7" s="92"/>
      <c r="BA7" s="92"/>
      <c r="BB7" s="92"/>
      <c r="BC7" s="92"/>
      <c r="BD7" s="92"/>
      <c r="BE7" s="92"/>
      <c r="BF7" s="92"/>
      <c r="BG7" s="51"/>
      <c r="BH7" s="92"/>
      <c r="BI7" s="92"/>
      <c r="BJ7" s="92"/>
      <c r="BK7" s="92"/>
      <c r="BL7" s="113"/>
      <c r="BM7" s="51"/>
      <c r="BN7" s="92"/>
      <c r="BO7" s="92"/>
      <c r="BP7" s="92"/>
      <c r="BQ7" s="92"/>
      <c r="BR7" s="92"/>
      <c r="BS7" s="92"/>
      <c r="BT7" s="92"/>
      <c r="BU7" s="92"/>
      <c r="BV7" s="92"/>
      <c r="BW7" s="51"/>
      <c r="BX7" s="92"/>
      <c r="BY7" s="92"/>
      <c r="BZ7" s="92"/>
      <c r="CA7" s="92"/>
      <c r="CB7" s="92"/>
      <c r="CC7" s="363"/>
      <c r="CD7" s="117"/>
      <c r="CE7" s="117"/>
      <c r="CF7" s="117"/>
      <c r="CG7" s="117"/>
      <c r="CH7" s="70"/>
      <c r="CI7" s="117"/>
      <c r="CJ7" s="117"/>
      <c r="CK7" s="117"/>
      <c r="CL7" s="117"/>
      <c r="CM7" s="117"/>
      <c r="CN7" s="117"/>
      <c r="CO7" s="117"/>
      <c r="CP7" s="117"/>
      <c r="CQ7" s="117"/>
      <c r="CR7" s="362"/>
      <c r="CS7" s="117"/>
      <c r="CT7" s="117"/>
      <c r="CU7" s="117"/>
      <c r="CV7" s="117"/>
      <c r="CW7" s="117"/>
      <c r="CX7" s="70"/>
      <c r="CY7" s="117"/>
      <c r="CZ7" s="117"/>
      <c r="DA7" s="117"/>
      <c r="DB7" s="117"/>
      <c r="DC7" s="117"/>
      <c r="DD7" s="117"/>
      <c r="DE7" s="117"/>
      <c r="DF7" s="117"/>
      <c r="DG7" s="117"/>
      <c r="DH7" s="362"/>
      <c r="DI7" s="117"/>
      <c r="DJ7" s="117"/>
      <c r="DK7" s="117"/>
      <c r="DL7" s="117"/>
      <c r="DM7" s="117"/>
      <c r="DN7" s="70"/>
      <c r="DO7" s="117"/>
      <c r="DP7" s="117"/>
      <c r="DQ7" s="117"/>
      <c r="DR7" s="117"/>
      <c r="DS7" s="117"/>
      <c r="DT7" s="117"/>
      <c r="DU7" s="117"/>
      <c r="DV7" s="117"/>
      <c r="DW7" s="117"/>
      <c r="DX7" s="362"/>
      <c r="DY7" s="795"/>
      <c r="DZ7" s="795" t="s">
        <v>1037</v>
      </c>
    </row>
    <row r="8" spans="1:130">
      <c r="A8" s="795">
        <v>1000</v>
      </c>
      <c r="B8" s="795"/>
      <c r="C8" s="92"/>
      <c r="D8" s="92"/>
      <c r="E8" s="92"/>
      <c r="F8" s="92"/>
      <c r="G8" s="92"/>
      <c r="H8" s="92"/>
      <c r="I8" s="92"/>
      <c r="J8" s="92"/>
      <c r="K8" s="51"/>
      <c r="L8" s="92"/>
      <c r="M8" s="92"/>
      <c r="N8" s="92"/>
      <c r="O8" s="92"/>
      <c r="P8" s="113"/>
      <c r="Q8" s="51"/>
      <c r="R8" s="92"/>
      <c r="S8" s="92"/>
      <c r="T8" s="92"/>
      <c r="U8" s="92"/>
      <c r="V8" s="92"/>
      <c r="W8" s="92"/>
      <c r="X8" s="92"/>
      <c r="Y8" s="92"/>
      <c r="Z8" s="92"/>
      <c r="AA8" s="51"/>
      <c r="AB8" s="92"/>
      <c r="AC8" s="92"/>
      <c r="AD8" s="92"/>
      <c r="AE8" s="92"/>
      <c r="AF8" s="113"/>
      <c r="AG8" s="51"/>
      <c r="AH8" s="92"/>
      <c r="AI8" s="92"/>
      <c r="AJ8" s="92"/>
      <c r="AK8" s="92"/>
      <c r="AL8" s="92"/>
      <c r="AM8" s="92"/>
      <c r="AN8" s="92"/>
      <c r="AO8" s="92"/>
      <c r="AP8" s="92"/>
      <c r="AQ8" s="92"/>
      <c r="AR8" s="51"/>
      <c r="AS8" s="92"/>
      <c r="AT8" s="92"/>
      <c r="AU8" s="92"/>
      <c r="AV8" s="82"/>
      <c r="AW8" s="51"/>
      <c r="AX8" s="92"/>
      <c r="AY8" s="92"/>
      <c r="AZ8" s="92"/>
      <c r="BA8" s="92"/>
      <c r="BB8" s="92"/>
      <c r="BC8" s="92"/>
      <c r="BD8" s="92"/>
      <c r="BE8" s="92"/>
      <c r="BF8" s="92"/>
      <c r="BG8" s="51"/>
      <c r="BH8" s="92"/>
      <c r="BI8" s="92"/>
      <c r="BJ8" s="92"/>
      <c r="BK8" s="92"/>
      <c r="BL8" s="113"/>
      <c r="BM8" s="51"/>
      <c r="BN8" s="92"/>
      <c r="BO8" s="92"/>
      <c r="BP8" s="92"/>
      <c r="BQ8" s="92"/>
      <c r="BR8" s="92"/>
      <c r="BS8" s="92"/>
      <c r="BT8" s="92"/>
      <c r="BU8" s="92"/>
      <c r="BV8" s="92"/>
      <c r="BW8" s="51"/>
      <c r="BX8" s="92"/>
      <c r="BY8" s="92"/>
      <c r="BZ8" s="92"/>
      <c r="CA8" s="92"/>
      <c r="CB8" s="92"/>
      <c r="CC8" s="363"/>
      <c r="CD8" s="117"/>
      <c r="CE8" s="117"/>
      <c r="CF8" s="117"/>
      <c r="CG8" s="117"/>
      <c r="CH8" s="70"/>
      <c r="CI8" s="117"/>
      <c r="CJ8" s="117"/>
      <c r="CK8" s="117"/>
      <c r="CL8" s="117"/>
      <c r="CM8" s="117"/>
      <c r="CN8" s="117"/>
      <c r="CO8" s="117"/>
      <c r="CP8" s="117"/>
      <c r="CQ8" s="117"/>
      <c r="CR8" s="362"/>
      <c r="CS8" s="117"/>
      <c r="CT8" s="117"/>
      <c r="CU8" s="117"/>
      <c r="CV8" s="117"/>
      <c r="CW8" s="117"/>
      <c r="CX8" s="70"/>
      <c r="CY8" s="117"/>
      <c r="CZ8" s="117"/>
      <c r="DA8" s="117"/>
      <c r="DB8" s="117"/>
      <c r="DC8" s="117"/>
      <c r="DD8" s="117"/>
      <c r="DE8" s="117"/>
      <c r="DF8" s="117"/>
      <c r="DG8" s="117"/>
      <c r="DH8" s="362"/>
      <c r="DI8" s="117"/>
      <c r="DJ8" s="117"/>
      <c r="DK8" s="117"/>
      <c r="DL8" s="117"/>
      <c r="DM8" s="117"/>
      <c r="DN8" s="70"/>
      <c r="DO8" s="117"/>
      <c r="DP8" s="117"/>
      <c r="DQ8" s="117"/>
      <c r="DR8" s="117"/>
      <c r="DS8" s="117"/>
      <c r="DT8" s="117"/>
      <c r="DU8" s="117"/>
      <c r="DV8" s="117"/>
      <c r="DW8" s="117"/>
      <c r="DX8" s="362"/>
      <c r="DY8" s="795"/>
      <c r="DZ8" s="798" t="s">
        <v>1038</v>
      </c>
    </row>
    <row r="9" spans="1:130">
      <c r="A9" s="795"/>
      <c r="B9" s="798"/>
      <c r="C9" s="92"/>
      <c r="D9" s="92"/>
      <c r="E9" s="92"/>
      <c r="F9" s="92"/>
      <c r="G9" s="92"/>
      <c r="H9" s="92"/>
      <c r="I9" s="92"/>
      <c r="J9" s="92"/>
      <c r="K9" s="51"/>
      <c r="L9" s="92"/>
      <c r="M9" s="92"/>
      <c r="N9" s="92"/>
      <c r="O9" s="92"/>
      <c r="P9" s="113"/>
      <c r="Q9" s="51"/>
      <c r="R9" s="92"/>
      <c r="S9" s="92"/>
      <c r="T9" s="92"/>
      <c r="U9" s="92"/>
      <c r="V9" s="92"/>
      <c r="W9" s="92"/>
      <c r="X9" s="92"/>
      <c r="Y9" s="92"/>
      <c r="Z9" s="92"/>
      <c r="AA9" s="51"/>
      <c r="AB9" s="92"/>
      <c r="AC9" s="92"/>
      <c r="AD9" s="92"/>
      <c r="AE9" s="92"/>
      <c r="AF9" s="113"/>
      <c r="AG9" s="92"/>
      <c r="AH9" s="92"/>
      <c r="AI9" s="92"/>
      <c r="AJ9" s="92"/>
      <c r="AK9" s="92"/>
      <c r="AL9" s="92"/>
      <c r="AM9" s="92"/>
      <c r="AN9" s="92"/>
      <c r="AO9" s="92"/>
      <c r="AP9" s="92"/>
      <c r="AQ9" s="51"/>
      <c r="AR9" s="92"/>
      <c r="AS9" s="92"/>
      <c r="AT9" s="92"/>
      <c r="AU9" s="92"/>
      <c r="AV9" s="82"/>
      <c r="AW9" s="51"/>
      <c r="AX9" s="92"/>
      <c r="AY9" s="92"/>
      <c r="AZ9" s="92"/>
      <c r="BA9" s="92"/>
      <c r="BB9" s="92"/>
      <c r="BC9" s="92"/>
      <c r="BD9" s="92"/>
      <c r="BE9" s="92"/>
      <c r="BF9" s="92"/>
      <c r="BG9" s="51"/>
      <c r="BH9" s="92"/>
      <c r="BI9" s="92"/>
      <c r="BJ9" s="92"/>
      <c r="BK9" s="92"/>
      <c r="BL9" s="113"/>
      <c r="BM9" s="51"/>
      <c r="BN9" s="92"/>
      <c r="BO9" s="92"/>
      <c r="BP9" s="92"/>
      <c r="BQ9" s="92"/>
      <c r="BR9" s="92"/>
      <c r="BS9" s="92"/>
      <c r="BT9" s="92"/>
      <c r="BU9" s="92"/>
      <c r="BV9" s="92"/>
      <c r="BW9" s="51"/>
      <c r="BX9" s="92"/>
      <c r="BY9" s="92"/>
      <c r="BZ9" s="92"/>
      <c r="CA9" s="92"/>
      <c r="CB9" s="92"/>
      <c r="CC9" s="363"/>
      <c r="CD9" s="117"/>
      <c r="CE9" s="117"/>
      <c r="CF9" s="117"/>
      <c r="CG9" s="117"/>
      <c r="CH9" s="70"/>
      <c r="CI9" s="117"/>
      <c r="CJ9" s="117"/>
      <c r="CK9" s="117"/>
      <c r="CL9" s="117"/>
      <c r="CM9" s="117"/>
      <c r="CN9" s="117"/>
      <c r="CO9" s="117"/>
      <c r="CP9" s="117"/>
      <c r="CQ9" s="117"/>
      <c r="CR9" s="362"/>
      <c r="CS9" s="117"/>
      <c r="CT9" s="117"/>
      <c r="CU9" s="117"/>
      <c r="CV9" s="117"/>
      <c r="CW9" s="117"/>
      <c r="CX9" s="70"/>
      <c r="CY9" s="117"/>
      <c r="CZ9" s="117"/>
      <c r="DA9" s="117"/>
      <c r="DB9" s="117"/>
      <c r="DC9" s="117"/>
      <c r="DD9" s="117"/>
      <c r="DE9" s="117"/>
      <c r="DF9" s="117"/>
      <c r="DG9" s="117"/>
      <c r="DH9" s="362"/>
      <c r="DI9" s="117"/>
      <c r="DJ9" s="117"/>
      <c r="DK9" s="117"/>
      <c r="DL9" s="117"/>
      <c r="DM9" s="117"/>
      <c r="DN9" s="70"/>
      <c r="DO9" s="117"/>
      <c r="DP9" s="117"/>
      <c r="DQ9" s="117"/>
      <c r="DR9" s="117"/>
      <c r="DS9" s="117"/>
      <c r="DT9" s="117"/>
      <c r="DU9" s="117"/>
      <c r="DV9" s="117"/>
      <c r="DW9" s="117"/>
      <c r="DX9" s="362"/>
      <c r="DY9" s="795"/>
      <c r="DZ9" s="795" t="s">
        <v>1039</v>
      </c>
    </row>
    <row r="10" spans="1:130">
      <c r="A10" s="795">
        <v>16</v>
      </c>
      <c r="B10" s="798"/>
      <c r="C10" s="51"/>
      <c r="D10" s="51"/>
      <c r="E10" s="51"/>
      <c r="F10" s="51"/>
      <c r="G10" s="11"/>
      <c r="H10" s="11"/>
      <c r="I10" s="11"/>
      <c r="J10" s="51"/>
      <c r="K10" s="51"/>
      <c r="L10" s="51"/>
      <c r="M10" s="51"/>
      <c r="N10" s="51"/>
      <c r="O10" s="51"/>
      <c r="P10" s="82"/>
      <c r="Q10" s="51"/>
      <c r="R10" s="51"/>
      <c r="S10" s="51"/>
      <c r="T10" s="51"/>
      <c r="U10" s="51"/>
      <c r="V10" s="51"/>
      <c r="W10" s="10"/>
      <c r="X10" s="11"/>
      <c r="Y10" s="11"/>
      <c r="Z10" s="51"/>
      <c r="AA10" s="51"/>
      <c r="AB10" s="51"/>
      <c r="AC10" s="51"/>
      <c r="AD10" s="51"/>
      <c r="AE10" s="51"/>
      <c r="AF10" s="82"/>
      <c r="AG10" s="51"/>
      <c r="AH10" s="51"/>
      <c r="AI10" s="51"/>
      <c r="AJ10" s="51"/>
      <c r="AK10" s="51"/>
      <c r="AL10" s="51"/>
      <c r="AM10" s="51"/>
      <c r="AN10" s="51"/>
      <c r="AO10" s="11"/>
      <c r="AP10" s="11"/>
      <c r="AQ10" s="11"/>
      <c r="AR10" s="51"/>
      <c r="AS10" s="51"/>
      <c r="AT10" s="51"/>
      <c r="AU10" s="51"/>
      <c r="AV10" s="82"/>
      <c r="AW10" s="51"/>
      <c r="AX10" s="51"/>
      <c r="AY10" s="51"/>
      <c r="AZ10" s="51"/>
      <c r="BA10" s="51"/>
      <c r="BB10" s="51"/>
      <c r="BC10" s="10"/>
      <c r="BD10" s="11"/>
      <c r="BE10" s="11"/>
      <c r="BF10" s="51"/>
      <c r="BG10" s="51"/>
      <c r="BH10" s="51"/>
      <c r="BI10" s="51"/>
      <c r="BJ10" s="51"/>
      <c r="BK10" s="51"/>
      <c r="BL10" s="82"/>
      <c r="BM10" s="51"/>
      <c r="BN10" s="51"/>
      <c r="BO10" s="51"/>
      <c r="BP10" s="51"/>
      <c r="BQ10" s="51"/>
      <c r="BR10" s="51"/>
      <c r="BS10" s="11"/>
      <c r="BT10" s="11"/>
      <c r="BU10" s="11"/>
      <c r="BV10" s="51"/>
      <c r="BW10" s="51"/>
      <c r="BX10" s="51"/>
      <c r="BY10" s="51"/>
      <c r="BZ10" s="51"/>
      <c r="CA10" s="51"/>
      <c r="CB10" s="51"/>
      <c r="CC10" s="361"/>
      <c r="CD10" s="70"/>
      <c r="CE10" s="70"/>
      <c r="CF10" s="70"/>
      <c r="CG10" s="70"/>
      <c r="CH10" s="70"/>
      <c r="CI10" s="70"/>
      <c r="CJ10" s="124"/>
      <c r="CK10" s="124"/>
      <c r="CL10" s="166"/>
      <c r="CM10" s="70"/>
      <c r="CN10" s="70"/>
      <c r="CO10" s="70"/>
      <c r="CP10" s="70"/>
      <c r="CQ10" s="70"/>
      <c r="CR10" s="362"/>
      <c r="CS10" s="70"/>
      <c r="CT10" s="70"/>
      <c r="CU10" s="70"/>
      <c r="CV10" s="70"/>
      <c r="CW10" s="70"/>
      <c r="CX10" s="124"/>
      <c r="CY10" s="124"/>
      <c r="CZ10" s="124"/>
      <c r="DA10" s="70"/>
      <c r="DB10" s="70"/>
      <c r="DC10" s="70"/>
      <c r="DD10" s="70"/>
      <c r="DE10" s="70"/>
      <c r="DF10" s="70"/>
      <c r="DG10" s="70"/>
      <c r="DH10" s="362"/>
      <c r="DI10" s="70"/>
      <c r="DJ10" s="70"/>
      <c r="DK10" s="70"/>
      <c r="DL10" s="70"/>
      <c r="DM10" s="70"/>
      <c r="DN10" s="70"/>
      <c r="DO10" s="70"/>
      <c r="DP10" s="124"/>
      <c r="DQ10" s="124"/>
      <c r="DR10" s="166"/>
      <c r="DS10" s="70"/>
      <c r="DT10" s="70"/>
      <c r="DU10" s="70"/>
      <c r="DV10" s="70"/>
      <c r="DW10" s="70"/>
      <c r="DX10" s="362"/>
      <c r="DY10" s="795"/>
      <c r="DZ10" s="795" t="s">
        <v>956</v>
      </c>
    </row>
    <row r="11" spans="1:130">
      <c r="A11" s="795">
        <v>12</v>
      </c>
      <c r="B11" s="795"/>
      <c r="C11" s="92"/>
      <c r="D11" s="92"/>
      <c r="E11" s="92"/>
      <c r="F11" s="64"/>
      <c r="G11" s="35"/>
      <c r="H11" s="64"/>
      <c r="I11" s="64"/>
      <c r="J11" s="55"/>
      <c r="K11" s="92"/>
      <c r="L11" s="92"/>
      <c r="M11" s="92"/>
      <c r="N11" s="92"/>
      <c r="O11" s="51"/>
      <c r="P11" s="113"/>
      <c r="Q11" s="51"/>
      <c r="R11" s="92"/>
      <c r="S11" s="92"/>
      <c r="T11" s="92"/>
      <c r="U11" s="92"/>
      <c r="V11" s="53"/>
      <c r="W11" s="35"/>
      <c r="X11" s="64"/>
      <c r="Y11" s="54"/>
      <c r="Z11" s="55"/>
      <c r="AA11" s="92"/>
      <c r="AB11" s="92"/>
      <c r="AC11" s="92"/>
      <c r="AD11" s="92"/>
      <c r="AE11" s="51"/>
      <c r="AF11" s="113"/>
      <c r="AG11" s="51"/>
      <c r="AH11" s="51"/>
      <c r="AI11" s="51"/>
      <c r="AJ11" s="92"/>
      <c r="AK11" s="92"/>
      <c r="AL11" s="92"/>
      <c r="AM11" s="92"/>
      <c r="AN11" s="53"/>
      <c r="AO11" s="35"/>
      <c r="AP11" s="64"/>
      <c r="AQ11" s="54"/>
      <c r="AR11" s="11"/>
      <c r="AS11" s="11"/>
      <c r="AT11" s="92"/>
      <c r="AU11" s="92"/>
      <c r="AV11" s="82"/>
      <c r="AW11" s="51"/>
      <c r="AX11" s="92"/>
      <c r="AY11" s="92"/>
      <c r="AZ11" s="92"/>
      <c r="BA11" s="92"/>
      <c r="BB11" s="53"/>
      <c r="BC11" s="35"/>
      <c r="BD11" s="64"/>
      <c r="BE11" s="11"/>
      <c r="BF11" s="11"/>
      <c r="BG11" s="92"/>
      <c r="BH11" s="92"/>
      <c r="BI11" s="92"/>
      <c r="BJ11" s="92"/>
      <c r="BK11" s="51"/>
      <c r="BL11" s="113"/>
      <c r="BM11" s="51"/>
      <c r="BN11" s="92"/>
      <c r="BO11" s="92"/>
      <c r="BP11" s="92"/>
      <c r="BQ11" s="92"/>
      <c r="BR11" s="53"/>
      <c r="BS11" s="35"/>
      <c r="BT11" s="16"/>
      <c r="BU11" s="54"/>
      <c r="BV11" s="55"/>
      <c r="BW11" s="92"/>
      <c r="BX11" s="92"/>
      <c r="BY11" s="92"/>
      <c r="BZ11" s="92"/>
      <c r="CA11" s="51"/>
      <c r="CB11" s="92"/>
      <c r="CC11" s="363"/>
      <c r="CD11" s="70"/>
      <c r="CE11" s="117"/>
      <c r="CF11" s="117"/>
      <c r="CG11" s="117"/>
      <c r="CH11" s="117"/>
      <c r="CI11" s="124"/>
      <c r="CJ11" s="124"/>
      <c r="CK11" s="122"/>
      <c r="CL11" s="138"/>
      <c r="CM11" s="140"/>
      <c r="CN11" s="117"/>
      <c r="CO11" s="117"/>
      <c r="CP11" s="117"/>
      <c r="CQ11" s="117"/>
      <c r="CR11" s="362"/>
      <c r="CS11" s="117"/>
      <c r="CT11" s="117"/>
      <c r="CU11" s="117"/>
      <c r="CV11" s="124"/>
      <c r="CW11" s="124"/>
      <c r="CX11" s="120"/>
      <c r="CY11" s="122"/>
      <c r="CZ11" s="138"/>
      <c r="DA11" s="140"/>
      <c r="DB11" s="117"/>
      <c r="DC11" s="117"/>
      <c r="DD11" s="117"/>
      <c r="DE11" s="117"/>
      <c r="DF11" s="70"/>
      <c r="DG11" s="70"/>
      <c r="DH11" s="362"/>
      <c r="DI11" s="117"/>
      <c r="DJ11" s="70"/>
      <c r="DK11" s="117"/>
      <c r="DL11" s="117"/>
      <c r="DM11" s="117"/>
      <c r="DN11" s="117"/>
      <c r="DO11" s="119"/>
      <c r="DP11" s="120"/>
      <c r="DQ11" s="122"/>
      <c r="DR11" s="138"/>
      <c r="DS11" s="140"/>
      <c r="DT11" s="117"/>
      <c r="DU11" s="117"/>
      <c r="DV11" s="117"/>
      <c r="DW11" s="117"/>
      <c r="DX11" s="362"/>
      <c r="DY11" s="795"/>
      <c r="DZ11" s="795" t="s">
        <v>959</v>
      </c>
    </row>
    <row r="12" spans="1:130">
      <c r="A12" s="795">
        <v>200</v>
      </c>
      <c r="B12" s="795"/>
      <c r="C12" s="92"/>
      <c r="D12" s="92"/>
      <c r="E12" s="55"/>
      <c r="F12" s="10"/>
      <c r="G12" s="312"/>
      <c r="H12" s="64"/>
      <c r="I12" s="312"/>
      <c r="J12" s="11"/>
      <c r="K12" s="55"/>
      <c r="L12" s="92"/>
      <c r="M12" s="92"/>
      <c r="N12" s="92"/>
      <c r="O12" s="51"/>
      <c r="P12" s="113"/>
      <c r="Q12" s="51"/>
      <c r="R12" s="92"/>
      <c r="S12" s="92"/>
      <c r="T12" s="92"/>
      <c r="U12" s="312"/>
      <c r="V12" s="64"/>
      <c r="W12" s="312"/>
      <c r="X12" s="39"/>
      <c r="Y12" s="54"/>
      <c r="Z12" s="36"/>
      <c r="AA12" s="58"/>
      <c r="AB12" s="92"/>
      <c r="AC12" s="92"/>
      <c r="AD12" s="92"/>
      <c r="AE12" s="51"/>
      <c r="AF12" s="113"/>
      <c r="AG12" s="51"/>
      <c r="AH12" s="51"/>
      <c r="AI12" s="51"/>
      <c r="AJ12" s="92"/>
      <c r="AK12" s="92"/>
      <c r="AL12" s="92"/>
      <c r="AM12" s="14"/>
      <c r="AN12" s="35"/>
      <c r="AO12" s="45"/>
      <c r="AP12" s="46"/>
      <c r="AQ12" s="44"/>
      <c r="AR12" s="49"/>
      <c r="AS12" s="54"/>
      <c r="AT12" s="55"/>
      <c r="AU12" s="92"/>
      <c r="AV12" s="82"/>
      <c r="AW12" s="51"/>
      <c r="AX12" s="92"/>
      <c r="AY12" s="92"/>
      <c r="AZ12" s="92"/>
      <c r="BA12" s="14"/>
      <c r="BB12" s="64"/>
      <c r="BC12" s="39"/>
      <c r="BD12" s="42"/>
      <c r="BE12" s="54"/>
      <c r="BF12" s="58"/>
      <c r="BG12" s="11"/>
      <c r="BH12" s="92"/>
      <c r="BI12" s="92"/>
      <c r="BJ12" s="92"/>
      <c r="BK12" s="51"/>
      <c r="BL12" s="113"/>
      <c r="BM12" s="51"/>
      <c r="BN12" s="92"/>
      <c r="BO12" s="92"/>
      <c r="BP12" s="92"/>
      <c r="BQ12" s="40"/>
      <c r="BR12" s="39"/>
      <c r="BS12" s="35"/>
      <c r="BT12" s="64"/>
      <c r="BU12" s="35"/>
      <c r="BV12" s="43"/>
      <c r="BW12" s="55"/>
      <c r="BX12" s="92"/>
      <c r="BY12" s="92"/>
      <c r="BZ12" s="92"/>
      <c r="CA12" s="51"/>
      <c r="CB12" s="92"/>
      <c r="CC12" s="363"/>
      <c r="CD12" s="70"/>
      <c r="CE12" s="117"/>
      <c r="CF12" s="117"/>
      <c r="CG12" s="117"/>
      <c r="CH12" s="124"/>
      <c r="CI12" s="164"/>
      <c r="CJ12" s="120"/>
      <c r="CK12" s="130"/>
      <c r="CL12" s="137"/>
      <c r="CM12" s="122"/>
      <c r="CN12" s="165"/>
      <c r="CO12" s="117"/>
      <c r="CP12" s="117"/>
      <c r="CQ12" s="117"/>
      <c r="CR12" s="362"/>
      <c r="CS12" s="117"/>
      <c r="CT12" s="117"/>
      <c r="CU12" s="119"/>
      <c r="CV12" s="120"/>
      <c r="CW12" s="126"/>
      <c r="CX12" s="129"/>
      <c r="CY12" s="133"/>
      <c r="CZ12" s="139"/>
      <c r="DA12" s="138"/>
      <c r="DB12" s="14"/>
      <c r="DC12" s="117"/>
      <c r="DD12" s="117"/>
      <c r="DE12" s="117"/>
      <c r="DF12" s="70"/>
      <c r="DG12" s="70"/>
      <c r="DH12" s="362"/>
      <c r="DI12" s="117"/>
      <c r="DJ12" s="70"/>
      <c r="DK12" s="117"/>
      <c r="DL12" s="117"/>
      <c r="DM12" s="117"/>
      <c r="DN12" s="164"/>
      <c r="DO12" s="134"/>
      <c r="DP12" s="120"/>
      <c r="DQ12" s="137"/>
      <c r="DR12" s="312"/>
      <c r="DS12" s="122"/>
      <c r="DT12" s="312"/>
      <c r="DU12" s="117"/>
      <c r="DV12" s="117"/>
      <c r="DW12" s="117"/>
      <c r="DX12" s="362"/>
      <c r="DY12" s="795"/>
      <c r="DZ12" s="795" t="s">
        <v>960</v>
      </c>
    </row>
    <row r="13" spans="1:130">
      <c r="A13" s="795">
        <v>5000</v>
      </c>
      <c r="B13" s="795"/>
      <c r="C13" s="92"/>
      <c r="D13" s="92"/>
      <c r="E13" s="92"/>
      <c r="F13" s="64"/>
      <c r="G13" s="204"/>
      <c r="H13" s="36"/>
      <c r="I13" s="204"/>
      <c r="J13" s="54"/>
      <c r="K13" s="92"/>
      <c r="L13" s="92"/>
      <c r="M13" s="92"/>
      <c r="N13" s="92"/>
      <c r="O13" s="51"/>
      <c r="P13" s="113"/>
      <c r="Q13" s="51"/>
      <c r="R13" s="92"/>
      <c r="S13" s="92"/>
      <c r="T13" s="92"/>
      <c r="U13" s="204"/>
      <c r="V13" s="36"/>
      <c r="W13" s="17"/>
      <c r="X13" s="36"/>
      <c r="Y13" s="36"/>
      <c r="Z13" s="42"/>
      <c r="AA13" s="43"/>
      <c r="AB13" s="58"/>
      <c r="AC13" s="92"/>
      <c r="AD13" s="92"/>
      <c r="AE13" s="51"/>
      <c r="AF13" s="113"/>
      <c r="AG13" s="51"/>
      <c r="AH13" s="51"/>
      <c r="AI13" s="51"/>
      <c r="AJ13" s="92"/>
      <c r="AK13" s="92"/>
      <c r="AL13" s="92"/>
      <c r="AM13" s="17"/>
      <c r="AN13" s="64"/>
      <c r="AO13" s="36"/>
      <c r="AP13" s="36"/>
      <c r="AQ13" s="64"/>
      <c r="AR13" s="54"/>
      <c r="AS13" s="64"/>
      <c r="AT13" s="54"/>
      <c r="AU13" s="55"/>
      <c r="AV13" s="82"/>
      <c r="AW13" s="51"/>
      <c r="AX13" s="92"/>
      <c r="AY13" s="92"/>
      <c r="AZ13" s="92"/>
      <c r="BA13" s="64"/>
      <c r="BB13" s="36"/>
      <c r="BC13" s="64"/>
      <c r="BD13" s="36"/>
      <c r="BE13" s="39"/>
      <c r="BF13" s="42"/>
      <c r="BG13" s="58"/>
      <c r="BH13" s="92"/>
      <c r="BI13" s="92"/>
      <c r="BJ13" s="51"/>
      <c r="BK13" s="51"/>
      <c r="BL13" s="113"/>
      <c r="BM13" s="51"/>
      <c r="BN13" s="92"/>
      <c r="BO13" s="92"/>
      <c r="BP13" s="92"/>
      <c r="BQ13" s="92"/>
      <c r="BR13" s="64"/>
      <c r="BS13" s="36"/>
      <c r="BT13" s="16"/>
      <c r="BU13" s="64"/>
      <c r="BV13" s="54"/>
      <c r="BW13" s="92"/>
      <c r="BX13" s="92"/>
      <c r="BY13" s="92"/>
      <c r="BZ13" s="92"/>
      <c r="CA13" s="51"/>
      <c r="CB13" s="92"/>
      <c r="CC13" s="363"/>
      <c r="CD13" s="70"/>
      <c r="CE13" s="70"/>
      <c r="CF13" s="117"/>
      <c r="CG13" s="117"/>
      <c r="CH13" s="164"/>
      <c r="CI13" s="130"/>
      <c r="CJ13" s="137"/>
      <c r="CK13" s="134"/>
      <c r="CL13" s="122"/>
      <c r="CM13" s="134"/>
      <c r="CN13" s="122"/>
      <c r="CO13" s="117"/>
      <c r="CP13" s="117"/>
      <c r="CQ13" s="117"/>
      <c r="CR13" s="362"/>
      <c r="CS13" s="117"/>
      <c r="CT13" s="119"/>
      <c r="CU13" s="120"/>
      <c r="CV13" s="122"/>
      <c r="CW13" s="120"/>
      <c r="CX13" s="122"/>
      <c r="CY13" s="134"/>
      <c r="CZ13" s="134"/>
      <c r="DA13" s="122"/>
      <c r="DB13" s="17"/>
      <c r="DC13" s="117"/>
      <c r="DD13" s="117"/>
      <c r="DE13" s="117"/>
      <c r="DF13" s="70"/>
      <c r="DG13" s="70"/>
      <c r="DH13" s="362"/>
      <c r="DI13" s="117"/>
      <c r="DJ13" s="70"/>
      <c r="DK13" s="117"/>
      <c r="DL13" s="117"/>
      <c r="DM13" s="164"/>
      <c r="DN13" s="136"/>
      <c r="DO13" s="130"/>
      <c r="DP13" s="134"/>
      <c r="DQ13" s="134"/>
      <c r="DR13" s="204"/>
      <c r="DS13" s="134"/>
      <c r="DT13" s="204"/>
      <c r="DU13" s="117"/>
      <c r="DV13" s="117"/>
      <c r="DW13" s="117"/>
      <c r="DX13" s="362"/>
      <c r="DY13" s="795"/>
      <c r="DZ13" s="798" t="s">
        <v>961</v>
      </c>
    </row>
    <row r="14" spans="1:130">
      <c r="A14" s="795">
        <v>88</v>
      </c>
      <c r="B14" s="795"/>
      <c r="C14" s="92"/>
      <c r="D14" s="92"/>
      <c r="E14" s="92"/>
      <c r="F14" s="54"/>
      <c r="G14" s="64"/>
      <c r="H14" s="54"/>
      <c r="I14" s="55"/>
      <c r="J14" s="54"/>
      <c r="K14" s="92"/>
      <c r="L14" s="92"/>
      <c r="M14" s="92"/>
      <c r="N14" s="92"/>
      <c r="O14" s="51"/>
      <c r="P14" s="113"/>
      <c r="Q14" s="51"/>
      <c r="R14" s="92"/>
      <c r="S14" s="92"/>
      <c r="T14" s="92"/>
      <c r="U14" s="92"/>
      <c r="V14" s="51"/>
      <c r="W14" s="54"/>
      <c r="X14" s="55"/>
      <c r="Y14" s="54"/>
      <c r="Z14" s="36"/>
      <c r="AA14" s="56"/>
      <c r="AB14" s="54"/>
      <c r="AC14" s="51"/>
      <c r="AD14" s="92"/>
      <c r="AE14" s="51"/>
      <c r="AF14" s="113"/>
      <c r="AG14" s="51"/>
      <c r="AH14" s="51"/>
      <c r="AI14" s="51"/>
      <c r="AJ14" s="92"/>
      <c r="AK14" s="92"/>
      <c r="AL14" s="92"/>
      <c r="AM14" s="92"/>
      <c r="AN14" s="54"/>
      <c r="AO14" s="64"/>
      <c r="AP14" s="54"/>
      <c r="AQ14" s="55"/>
      <c r="AR14" s="54"/>
      <c r="AS14" s="92"/>
      <c r="AT14" s="64"/>
      <c r="AU14" s="54"/>
      <c r="AV14" s="82"/>
      <c r="AW14" s="51"/>
      <c r="AX14" s="92"/>
      <c r="AY14" s="92"/>
      <c r="AZ14" s="92"/>
      <c r="BA14" s="51"/>
      <c r="BB14" s="54"/>
      <c r="BC14" s="54"/>
      <c r="BD14" s="55"/>
      <c r="BE14" s="54"/>
      <c r="BF14" s="36"/>
      <c r="BG14" s="54"/>
      <c r="BH14" s="51"/>
      <c r="BI14" s="92"/>
      <c r="BJ14" s="51"/>
      <c r="BK14" s="51"/>
      <c r="BL14" s="113"/>
      <c r="BM14" s="51"/>
      <c r="BN14" s="92"/>
      <c r="BO14" s="92"/>
      <c r="BP14" s="92"/>
      <c r="BQ14" s="92"/>
      <c r="BR14" s="54"/>
      <c r="BS14" s="64"/>
      <c r="BT14" s="54"/>
      <c r="BU14" s="120"/>
      <c r="BV14" s="55"/>
      <c r="BW14" s="92"/>
      <c r="BX14" s="92"/>
      <c r="BY14" s="92"/>
      <c r="BZ14" s="92"/>
      <c r="CA14" s="51"/>
      <c r="CB14" s="92"/>
      <c r="CC14" s="363"/>
      <c r="CD14" s="70"/>
      <c r="CE14" s="70"/>
      <c r="CF14" s="117"/>
      <c r="CG14" s="70"/>
      <c r="CH14" s="120"/>
      <c r="CI14" s="134"/>
      <c r="CJ14" s="120"/>
      <c r="CK14" s="119"/>
      <c r="CL14" s="120"/>
      <c r="CM14" s="120"/>
      <c r="CN14" s="70"/>
      <c r="CO14" s="117"/>
      <c r="CP14" s="117"/>
      <c r="CQ14" s="117"/>
      <c r="CR14" s="362"/>
      <c r="CS14" s="117"/>
      <c r="CT14" s="120"/>
      <c r="CU14" s="122"/>
      <c r="CV14" s="117"/>
      <c r="CW14" s="120"/>
      <c r="CX14" s="119"/>
      <c r="CY14" s="120"/>
      <c r="CZ14" s="122"/>
      <c r="DA14" s="120"/>
      <c r="DB14" s="117"/>
      <c r="DC14" s="117"/>
      <c r="DD14" s="117"/>
      <c r="DE14" s="117"/>
      <c r="DF14" s="70"/>
      <c r="DG14" s="70"/>
      <c r="DH14" s="362"/>
      <c r="DI14" s="117"/>
      <c r="DJ14" s="70"/>
      <c r="DK14" s="117"/>
      <c r="DL14" s="70"/>
      <c r="DM14" s="120"/>
      <c r="DN14" s="152"/>
      <c r="DO14" s="134"/>
      <c r="DP14" s="120"/>
      <c r="DQ14" s="119"/>
      <c r="DR14" s="120"/>
      <c r="DS14" s="70"/>
      <c r="DT14" s="117"/>
      <c r="DU14" s="117"/>
      <c r="DV14" s="117"/>
      <c r="DW14" s="117"/>
      <c r="DX14" s="362"/>
      <c r="DY14" s="795"/>
      <c r="DZ14" s="798" t="s">
        <v>1000</v>
      </c>
    </row>
    <row r="15" spans="1:130">
      <c r="A15" s="795">
        <v>95</v>
      </c>
      <c r="B15" s="795"/>
      <c r="C15" s="42"/>
      <c r="D15" s="51"/>
      <c r="E15" s="51"/>
      <c r="F15" s="51"/>
      <c r="G15" s="36"/>
      <c r="H15" s="55"/>
      <c r="I15" s="64"/>
      <c r="J15" s="51"/>
      <c r="K15" s="51"/>
      <c r="L15" s="51"/>
      <c r="M15" s="42"/>
      <c r="N15" s="51"/>
      <c r="O15" s="51"/>
      <c r="P15" s="82"/>
      <c r="Q15" s="51"/>
      <c r="R15" s="51"/>
      <c r="S15" s="51"/>
      <c r="T15" s="51"/>
      <c r="U15" s="51"/>
      <c r="V15" s="54"/>
      <c r="W15" s="64"/>
      <c r="X15" s="42"/>
      <c r="Y15" s="55"/>
      <c r="Z15" s="51"/>
      <c r="AA15" s="52"/>
      <c r="AB15" s="54"/>
      <c r="AC15" s="58"/>
      <c r="AD15" s="51"/>
      <c r="AE15" s="51"/>
      <c r="AF15" s="82"/>
      <c r="AG15" s="51"/>
      <c r="AH15" s="51"/>
      <c r="AI15" s="51"/>
      <c r="AJ15" s="51"/>
      <c r="AK15" s="51"/>
      <c r="AL15" s="51"/>
      <c r="AM15" s="64"/>
      <c r="AN15" s="42"/>
      <c r="AO15" s="51"/>
      <c r="AP15" s="40"/>
      <c r="AQ15" s="42"/>
      <c r="AR15" s="51"/>
      <c r="AS15" s="51"/>
      <c r="AT15" s="51"/>
      <c r="AU15" s="54"/>
      <c r="AV15" s="370"/>
      <c r="AW15" s="51"/>
      <c r="AX15" s="51"/>
      <c r="AY15" s="51"/>
      <c r="AZ15" s="51"/>
      <c r="BA15" s="54"/>
      <c r="BB15" s="64"/>
      <c r="BC15" s="64"/>
      <c r="BD15" s="42"/>
      <c r="BE15" s="55"/>
      <c r="BF15" s="54"/>
      <c r="BG15" s="54"/>
      <c r="BH15" s="58"/>
      <c r="BI15" s="51"/>
      <c r="BJ15" s="51"/>
      <c r="BK15" s="51"/>
      <c r="BL15" s="82"/>
      <c r="BM15" s="51"/>
      <c r="BN15" s="51"/>
      <c r="BO15" s="51"/>
      <c r="BP15" s="51"/>
      <c r="BQ15" s="51"/>
      <c r="BR15" s="51"/>
      <c r="BS15" s="42"/>
      <c r="BT15" s="16"/>
      <c r="BU15" s="55"/>
      <c r="BV15" s="51"/>
      <c r="BW15" s="51"/>
      <c r="BX15" s="51"/>
      <c r="BY15" s="51"/>
      <c r="BZ15" s="51"/>
      <c r="CA15" s="51"/>
      <c r="CB15" s="51"/>
      <c r="CC15" s="361"/>
      <c r="CD15" s="70"/>
      <c r="CE15" s="70"/>
      <c r="CF15" s="70"/>
      <c r="CG15" s="164"/>
      <c r="CH15" s="120"/>
      <c r="CI15" s="120"/>
      <c r="CJ15" s="119"/>
      <c r="CK15" s="130"/>
      <c r="CL15" s="122"/>
      <c r="CM15" s="122"/>
      <c r="CN15" s="120"/>
      <c r="CO15" s="70"/>
      <c r="CP15" s="70"/>
      <c r="CQ15" s="70"/>
      <c r="CR15" s="362"/>
      <c r="CS15" s="119"/>
      <c r="CT15" s="120"/>
      <c r="CU15" s="70"/>
      <c r="CV15" s="70"/>
      <c r="CW15" s="70"/>
      <c r="CX15" s="130"/>
      <c r="CY15" s="135"/>
      <c r="CZ15" s="70"/>
      <c r="DA15" s="130"/>
      <c r="DB15" s="122"/>
      <c r="DC15" s="70"/>
      <c r="DD15" s="70"/>
      <c r="DE15" s="70"/>
      <c r="DF15" s="70"/>
      <c r="DG15" s="70"/>
      <c r="DH15" s="362"/>
      <c r="DI15" s="70"/>
      <c r="DJ15" s="70"/>
      <c r="DK15" s="70"/>
      <c r="DL15" s="164"/>
      <c r="DM15" s="120"/>
      <c r="DN15" s="71"/>
      <c r="DO15" s="70"/>
      <c r="DP15" s="119"/>
      <c r="DQ15" s="130"/>
      <c r="DR15" s="122"/>
      <c r="DS15" s="120"/>
      <c r="DT15" s="70"/>
      <c r="DU15" s="70"/>
      <c r="DV15" s="70"/>
      <c r="DW15" s="70"/>
      <c r="DX15" s="362"/>
      <c r="DY15" s="795"/>
      <c r="DZ15" s="795" t="s">
        <v>612</v>
      </c>
    </row>
    <row r="16" spans="1:130">
      <c r="A16" s="795">
        <v>2</v>
      </c>
      <c r="B16" s="795"/>
      <c r="C16" s="92"/>
      <c r="D16" s="40"/>
      <c r="E16" s="92"/>
      <c r="F16" s="92"/>
      <c r="G16" s="42"/>
      <c r="H16" s="43"/>
      <c r="I16" s="49"/>
      <c r="J16" s="92"/>
      <c r="K16" s="92"/>
      <c r="L16" s="40"/>
      <c r="M16" s="92"/>
      <c r="N16" s="92"/>
      <c r="O16" s="92"/>
      <c r="P16" s="113"/>
      <c r="Q16" s="51"/>
      <c r="R16" s="92"/>
      <c r="S16" s="92"/>
      <c r="T16" s="92"/>
      <c r="U16" s="51"/>
      <c r="V16" s="51"/>
      <c r="W16" s="42"/>
      <c r="X16" s="43"/>
      <c r="Y16" s="49"/>
      <c r="Z16" s="92"/>
      <c r="AA16" s="40"/>
      <c r="AB16" s="92"/>
      <c r="AC16" s="92"/>
      <c r="AD16" s="92"/>
      <c r="AE16" s="92"/>
      <c r="AF16" s="113"/>
      <c r="AG16" s="51"/>
      <c r="AH16" s="51"/>
      <c r="AI16" s="51"/>
      <c r="AJ16" s="92"/>
      <c r="AK16" s="92"/>
      <c r="AL16" s="92"/>
      <c r="AM16" s="92"/>
      <c r="AN16" s="92"/>
      <c r="AO16" s="51"/>
      <c r="AP16" s="43"/>
      <c r="AQ16" s="49"/>
      <c r="AR16" s="42"/>
      <c r="AS16" s="92"/>
      <c r="AT16" s="92"/>
      <c r="AU16" s="92"/>
      <c r="AV16" s="82"/>
      <c r="AW16" s="51"/>
      <c r="AX16" s="92"/>
      <c r="AY16" s="92"/>
      <c r="AZ16" s="39"/>
      <c r="BA16" s="51"/>
      <c r="BB16" s="51"/>
      <c r="BC16" s="42"/>
      <c r="BD16" s="43"/>
      <c r="BE16" s="51"/>
      <c r="BF16" s="92"/>
      <c r="BG16" s="42"/>
      <c r="BH16" s="51"/>
      <c r="BI16" s="92"/>
      <c r="BJ16" s="92"/>
      <c r="BK16" s="92"/>
      <c r="BL16" s="113"/>
      <c r="BM16" s="51"/>
      <c r="BN16" s="92"/>
      <c r="BO16" s="42"/>
      <c r="BP16" s="92"/>
      <c r="BQ16" s="92"/>
      <c r="BR16" s="92"/>
      <c r="BS16" s="42"/>
      <c r="BT16" s="43"/>
      <c r="BU16" s="49"/>
      <c r="BV16" s="92"/>
      <c r="BW16" s="92"/>
      <c r="BX16" s="92"/>
      <c r="BY16" s="42"/>
      <c r="BZ16" s="92"/>
      <c r="CA16" s="92"/>
      <c r="CB16" s="92"/>
      <c r="CC16" s="363"/>
      <c r="CD16" s="117"/>
      <c r="CE16" s="117"/>
      <c r="CF16" s="117"/>
      <c r="CG16" s="70"/>
      <c r="CH16" s="130"/>
      <c r="CI16" s="117"/>
      <c r="CJ16" s="70"/>
      <c r="CK16" s="136"/>
      <c r="CL16" s="130"/>
      <c r="CM16" s="70"/>
      <c r="CN16" s="70"/>
      <c r="CO16" s="137"/>
      <c r="CP16" s="117"/>
      <c r="CQ16" s="117"/>
      <c r="CR16" s="362"/>
      <c r="CS16" s="117"/>
      <c r="CT16" s="117"/>
      <c r="CU16" s="117"/>
      <c r="CV16" s="117"/>
      <c r="CW16" s="130"/>
      <c r="CX16" s="126"/>
      <c r="CY16" s="136"/>
      <c r="CZ16" s="70"/>
      <c r="DA16" s="117"/>
      <c r="DB16" s="117"/>
      <c r="DC16" s="117"/>
      <c r="DD16" s="117"/>
      <c r="DE16" s="117"/>
      <c r="DF16" s="70"/>
      <c r="DG16" s="70"/>
      <c r="DH16" s="362"/>
      <c r="DI16" s="117"/>
      <c r="DJ16" s="117"/>
      <c r="DK16" s="117"/>
      <c r="DL16" s="117"/>
      <c r="DM16" s="117"/>
      <c r="DN16" s="135"/>
      <c r="DO16" s="117"/>
      <c r="DP16" s="126"/>
      <c r="DQ16" s="136"/>
      <c r="DR16" s="130"/>
      <c r="DS16" s="70"/>
      <c r="DT16" s="70"/>
      <c r="DU16" s="117"/>
      <c r="DV16" s="117"/>
      <c r="DW16" s="117"/>
      <c r="DX16" s="362"/>
      <c r="DY16" s="795"/>
      <c r="DZ16" s="795" t="s">
        <v>613</v>
      </c>
    </row>
    <row r="17" spans="1:130">
      <c r="A17" s="795">
        <v>14</v>
      </c>
      <c r="B17" s="795"/>
      <c r="C17" s="92"/>
      <c r="D17" s="42"/>
      <c r="E17" s="65"/>
      <c r="F17" s="31"/>
      <c r="G17" s="30"/>
      <c r="H17" s="30"/>
      <c r="I17" s="32"/>
      <c r="J17" s="66"/>
      <c r="K17" s="65"/>
      <c r="L17" s="42"/>
      <c r="M17" s="92"/>
      <c r="N17" s="92"/>
      <c r="O17" s="92"/>
      <c r="P17" s="113"/>
      <c r="Q17" s="51"/>
      <c r="R17" s="92"/>
      <c r="S17" s="92"/>
      <c r="T17" s="92"/>
      <c r="U17" s="51"/>
      <c r="V17" s="30"/>
      <c r="W17" s="32"/>
      <c r="X17" s="30"/>
      <c r="Y17" s="31"/>
      <c r="Z17" s="42"/>
      <c r="AA17" s="42"/>
      <c r="AB17" s="92"/>
      <c r="AC17" s="92"/>
      <c r="AD17" s="92"/>
      <c r="AE17" s="92"/>
      <c r="AF17" s="113"/>
      <c r="AG17" s="51"/>
      <c r="AH17" s="51"/>
      <c r="AI17" s="51"/>
      <c r="AJ17" s="92"/>
      <c r="AK17" s="92"/>
      <c r="AL17" s="51"/>
      <c r="AM17" s="51"/>
      <c r="AN17" s="92"/>
      <c r="AO17" s="92"/>
      <c r="AP17" s="65"/>
      <c r="AQ17" s="40"/>
      <c r="AR17" s="66"/>
      <c r="AS17" s="65"/>
      <c r="AT17" s="51"/>
      <c r="AU17" s="92"/>
      <c r="AV17" s="82"/>
      <c r="AW17" s="51"/>
      <c r="AX17" s="92"/>
      <c r="AY17" s="92"/>
      <c r="AZ17" s="92"/>
      <c r="BA17" s="43"/>
      <c r="BB17" s="32"/>
      <c r="BC17" s="32"/>
      <c r="BD17" s="30"/>
      <c r="BE17" s="32"/>
      <c r="BF17" s="30"/>
      <c r="BG17" s="49"/>
      <c r="BH17" s="92"/>
      <c r="BI17" s="92"/>
      <c r="BJ17" s="92"/>
      <c r="BK17" s="92"/>
      <c r="BL17" s="113"/>
      <c r="BM17" s="51"/>
      <c r="BN17" s="92"/>
      <c r="BO17" s="92"/>
      <c r="BP17" s="49"/>
      <c r="BQ17" s="65"/>
      <c r="BR17" s="32"/>
      <c r="BS17" s="32"/>
      <c r="BT17" s="30"/>
      <c r="BU17" s="32"/>
      <c r="BV17" s="66"/>
      <c r="BW17" s="65"/>
      <c r="BX17" s="49"/>
      <c r="BY17" s="92"/>
      <c r="BZ17" s="92"/>
      <c r="CA17" s="92"/>
      <c r="CB17" s="92"/>
      <c r="CC17" s="363"/>
      <c r="CD17" s="117"/>
      <c r="CE17" s="117"/>
      <c r="CF17" s="117"/>
      <c r="CG17" s="117"/>
      <c r="CH17" s="126"/>
      <c r="CI17" s="123"/>
      <c r="CJ17" s="125"/>
      <c r="CK17" s="123"/>
      <c r="CL17" s="125"/>
      <c r="CM17" s="125"/>
      <c r="CN17" s="136"/>
      <c r="CO17" s="117"/>
      <c r="CP17" s="117"/>
      <c r="CQ17" s="117"/>
      <c r="CR17" s="362"/>
      <c r="CS17" s="117"/>
      <c r="CT17" s="117"/>
      <c r="CU17" s="70"/>
      <c r="CV17" s="118"/>
      <c r="CW17" s="127"/>
      <c r="CX17" s="135"/>
      <c r="CY17" s="118"/>
      <c r="CZ17" s="117"/>
      <c r="DA17" s="117"/>
      <c r="DB17" s="70"/>
      <c r="DC17" s="70"/>
      <c r="DD17" s="117"/>
      <c r="DE17" s="117"/>
      <c r="DF17" s="70"/>
      <c r="DG17" s="70"/>
      <c r="DH17" s="362"/>
      <c r="DI17" s="117"/>
      <c r="DJ17" s="117"/>
      <c r="DK17" s="117"/>
      <c r="DL17" s="117"/>
      <c r="DM17" s="117"/>
      <c r="DN17" s="130"/>
      <c r="DO17" s="130"/>
      <c r="DP17" s="131"/>
      <c r="DQ17" s="123"/>
      <c r="DR17" s="125"/>
      <c r="DS17" s="123"/>
      <c r="DT17" s="70"/>
      <c r="DU17" s="117"/>
      <c r="DV17" s="117"/>
      <c r="DW17" s="117"/>
      <c r="DX17" s="362"/>
      <c r="DY17" s="795"/>
      <c r="DZ17" s="795" t="s">
        <v>614</v>
      </c>
    </row>
    <row r="18" spans="1:130">
      <c r="A18" s="795">
        <v>22</v>
      </c>
      <c r="B18" s="795"/>
      <c r="C18" s="92"/>
      <c r="D18" s="51"/>
      <c r="E18" s="30"/>
      <c r="F18" s="31"/>
      <c r="G18" s="30"/>
      <c r="H18" s="31"/>
      <c r="I18" s="31"/>
      <c r="J18" s="65"/>
      <c r="K18" s="30"/>
      <c r="L18" s="51"/>
      <c r="M18" s="92"/>
      <c r="N18" s="92"/>
      <c r="O18" s="92"/>
      <c r="P18" s="82"/>
      <c r="Q18" s="51"/>
      <c r="R18" s="92"/>
      <c r="S18" s="92"/>
      <c r="T18" s="92"/>
      <c r="U18" s="51"/>
      <c r="V18" s="33"/>
      <c r="W18" s="32"/>
      <c r="X18" s="31"/>
      <c r="Y18" s="65"/>
      <c r="Z18" s="65"/>
      <c r="AA18" s="51"/>
      <c r="AB18" s="92"/>
      <c r="AC18" s="92"/>
      <c r="AD18" s="92"/>
      <c r="AE18" s="92"/>
      <c r="AF18" s="82"/>
      <c r="AG18" s="51"/>
      <c r="AH18" s="51"/>
      <c r="AI18" s="51"/>
      <c r="AJ18" s="92"/>
      <c r="AK18" s="92"/>
      <c r="AL18" s="51"/>
      <c r="AM18" s="51"/>
      <c r="AN18" s="92"/>
      <c r="AO18" s="32"/>
      <c r="AP18" s="65"/>
      <c r="AQ18" s="42"/>
      <c r="AR18" s="65"/>
      <c r="AS18" s="51"/>
      <c r="AT18" s="51"/>
      <c r="AU18" s="92"/>
      <c r="AV18" s="82"/>
      <c r="AW18" s="51"/>
      <c r="AX18" s="92"/>
      <c r="AY18" s="92"/>
      <c r="AZ18" s="92"/>
      <c r="BA18" s="51"/>
      <c r="BB18" s="33"/>
      <c r="BC18" s="32"/>
      <c r="BD18" s="31"/>
      <c r="BE18" s="30"/>
      <c r="BF18" s="65"/>
      <c r="BG18" s="51"/>
      <c r="BH18" s="92"/>
      <c r="BI18" s="92"/>
      <c r="BJ18" s="92"/>
      <c r="BK18" s="92"/>
      <c r="BL18" s="82"/>
      <c r="BM18" s="51"/>
      <c r="BN18" s="92"/>
      <c r="BO18" s="92"/>
      <c r="BP18" s="51"/>
      <c r="BQ18" s="30"/>
      <c r="BR18" s="31"/>
      <c r="BS18" s="30"/>
      <c r="BT18" s="31"/>
      <c r="BU18" s="31"/>
      <c r="BV18" s="65"/>
      <c r="BW18" s="30"/>
      <c r="BX18" s="51"/>
      <c r="BY18" s="92"/>
      <c r="BZ18" s="92"/>
      <c r="CA18" s="92"/>
      <c r="CB18" s="51"/>
      <c r="CC18" s="361"/>
      <c r="CD18" s="117"/>
      <c r="CE18" s="117"/>
      <c r="CF18" s="117"/>
      <c r="CG18" s="117"/>
      <c r="CH18" s="70"/>
      <c r="CI18" s="118"/>
      <c r="CJ18" s="123"/>
      <c r="CK18" s="131"/>
      <c r="CL18" s="125"/>
      <c r="CM18" s="121"/>
      <c r="CN18" s="70"/>
      <c r="CO18" s="117"/>
      <c r="CP18" s="117"/>
      <c r="CQ18" s="117"/>
      <c r="CR18" s="362"/>
      <c r="CS18" s="70"/>
      <c r="CT18" s="117"/>
      <c r="CU18" s="70"/>
      <c r="CV18" s="70"/>
      <c r="CW18" s="118"/>
      <c r="CX18" s="130"/>
      <c r="CY18" s="118"/>
      <c r="CZ18" s="125"/>
      <c r="DA18" s="117"/>
      <c r="DB18" s="70"/>
      <c r="DC18" s="70"/>
      <c r="DD18" s="117"/>
      <c r="DE18" s="117"/>
      <c r="DF18" s="70"/>
      <c r="DG18" s="70"/>
      <c r="DH18" s="362"/>
      <c r="DI18" s="70"/>
      <c r="DJ18" s="117"/>
      <c r="DK18" s="117"/>
      <c r="DL18" s="117"/>
      <c r="DM18" s="117"/>
      <c r="DN18" s="70"/>
      <c r="DO18" s="118"/>
      <c r="DP18" s="118"/>
      <c r="DQ18" s="131"/>
      <c r="DR18" s="125"/>
      <c r="DS18" s="121"/>
      <c r="DT18" s="70"/>
      <c r="DU18" s="117"/>
      <c r="DV18" s="117"/>
      <c r="DW18" s="117"/>
      <c r="DX18" s="362"/>
      <c r="DY18" s="795"/>
      <c r="DZ18" s="795" t="s">
        <v>967</v>
      </c>
    </row>
    <row r="19" spans="1:130">
      <c r="A19" s="795">
        <v>40</v>
      </c>
      <c r="B19" s="795"/>
      <c r="C19" s="92"/>
      <c r="D19" s="92"/>
      <c r="E19" s="31"/>
      <c r="F19" s="92"/>
      <c r="G19" s="65"/>
      <c r="H19" s="31"/>
      <c r="I19" s="65"/>
      <c r="J19" s="92"/>
      <c r="K19" s="31"/>
      <c r="L19" s="92"/>
      <c r="M19" s="92"/>
      <c r="N19" s="92"/>
      <c r="O19" s="92"/>
      <c r="P19" s="113"/>
      <c r="Q19" s="51"/>
      <c r="R19" s="92"/>
      <c r="S19" s="92"/>
      <c r="T19" s="92"/>
      <c r="U19" s="92"/>
      <c r="V19" s="33"/>
      <c r="W19" s="30"/>
      <c r="X19" s="31"/>
      <c r="Y19" s="31"/>
      <c r="Z19" s="65"/>
      <c r="AA19" s="92"/>
      <c r="AB19" s="92"/>
      <c r="AC19" s="92"/>
      <c r="AD19" s="92"/>
      <c r="AE19" s="92"/>
      <c r="AF19" s="113"/>
      <c r="AG19" s="51"/>
      <c r="AH19" s="51"/>
      <c r="AI19" s="51"/>
      <c r="AJ19" s="92"/>
      <c r="AK19" s="92"/>
      <c r="AL19" s="92"/>
      <c r="AM19" s="51"/>
      <c r="AN19" s="92"/>
      <c r="AO19" s="33"/>
      <c r="AP19" s="65"/>
      <c r="AQ19" s="31"/>
      <c r="AR19" s="92"/>
      <c r="AS19" s="51"/>
      <c r="AT19" s="92"/>
      <c r="AU19" s="92"/>
      <c r="AV19" s="82"/>
      <c r="AW19" s="51"/>
      <c r="AX19" s="92"/>
      <c r="AY19" s="92"/>
      <c r="AZ19" s="92"/>
      <c r="BA19" s="33"/>
      <c r="BB19" s="30"/>
      <c r="BC19" s="30"/>
      <c r="BD19" s="31"/>
      <c r="BE19" s="31"/>
      <c r="BF19" s="65"/>
      <c r="BG19" s="92"/>
      <c r="BH19" s="92"/>
      <c r="BI19" s="92"/>
      <c r="BJ19" s="92"/>
      <c r="BK19" s="92"/>
      <c r="BL19" s="113"/>
      <c r="BM19" s="51"/>
      <c r="BN19" s="92"/>
      <c r="BO19" s="92"/>
      <c r="BP19" s="92"/>
      <c r="BQ19" s="31"/>
      <c r="BR19" s="92"/>
      <c r="BS19" s="31"/>
      <c r="BT19" s="31"/>
      <c r="BU19" s="31"/>
      <c r="BV19" s="92"/>
      <c r="BW19" s="31"/>
      <c r="BX19" s="92"/>
      <c r="BY19" s="92"/>
      <c r="BZ19" s="92"/>
      <c r="CA19" s="92"/>
      <c r="CB19" s="92"/>
      <c r="CC19" s="363"/>
      <c r="CD19" s="117"/>
      <c r="CE19" s="117"/>
      <c r="CF19" s="117"/>
      <c r="CG19" s="117"/>
      <c r="CH19" s="117"/>
      <c r="CI19" s="118"/>
      <c r="CJ19" s="131"/>
      <c r="CK19" s="131"/>
      <c r="CL19" s="123"/>
      <c r="CM19" s="123"/>
      <c r="CN19" s="121"/>
      <c r="CO19" s="117"/>
      <c r="CP19" s="117"/>
      <c r="CQ19" s="117"/>
      <c r="CR19" s="362"/>
      <c r="CS19" s="117"/>
      <c r="CT19" s="117"/>
      <c r="CU19" s="117"/>
      <c r="CV19" s="70"/>
      <c r="CW19" s="117"/>
      <c r="CX19" s="131"/>
      <c r="CY19" s="118"/>
      <c r="CZ19" s="121"/>
      <c r="DA19" s="117"/>
      <c r="DB19" s="70"/>
      <c r="DC19" s="117"/>
      <c r="DD19" s="117"/>
      <c r="DE19" s="117"/>
      <c r="DF19" s="70"/>
      <c r="DG19" s="70"/>
      <c r="DH19" s="362"/>
      <c r="DI19" s="117"/>
      <c r="DJ19" s="117"/>
      <c r="DK19" s="117"/>
      <c r="DL19" s="117"/>
      <c r="DM19" s="117"/>
      <c r="DN19" s="117"/>
      <c r="DO19" s="118"/>
      <c r="DP19" s="131"/>
      <c r="DQ19" s="131"/>
      <c r="DR19" s="123"/>
      <c r="DS19" s="121"/>
      <c r="DT19" s="117"/>
      <c r="DU19" s="117"/>
      <c r="DV19" s="117"/>
      <c r="DW19" s="117"/>
      <c r="DX19" s="362"/>
      <c r="DY19" s="795"/>
      <c r="DZ19" s="795" t="s">
        <v>623</v>
      </c>
    </row>
    <row r="20" spans="1:130">
      <c r="A20" s="51">
        <v>37</v>
      </c>
      <c r="B20" s="51"/>
      <c r="C20" s="51"/>
      <c r="D20" s="33"/>
      <c r="E20" s="65"/>
      <c r="F20" s="51"/>
      <c r="G20" s="65"/>
      <c r="H20" s="31"/>
      <c r="I20" s="65"/>
      <c r="J20" s="51"/>
      <c r="K20" s="65"/>
      <c r="L20" s="33"/>
      <c r="M20" s="51"/>
      <c r="N20" s="51"/>
      <c r="O20" s="51"/>
      <c r="P20" s="82"/>
      <c r="Q20" s="51"/>
      <c r="R20" s="51"/>
      <c r="S20" s="51"/>
      <c r="T20" s="51"/>
      <c r="U20" s="33"/>
      <c r="V20" s="33"/>
      <c r="W20" s="31"/>
      <c r="X20" s="65"/>
      <c r="Y20" s="31"/>
      <c r="Z20" s="65"/>
      <c r="AA20" s="33"/>
      <c r="AB20" s="51"/>
      <c r="AC20" s="51"/>
      <c r="AD20" s="51"/>
      <c r="AE20" s="51"/>
      <c r="AF20" s="82"/>
      <c r="AG20" s="51"/>
      <c r="AH20" s="51"/>
      <c r="AI20" s="51"/>
      <c r="AJ20" s="51"/>
      <c r="AK20" s="51"/>
      <c r="AL20" s="51"/>
      <c r="AM20" s="51"/>
      <c r="AN20" s="51"/>
      <c r="AO20" s="65"/>
      <c r="AP20" s="65"/>
      <c r="AQ20" s="33"/>
      <c r="AR20" s="51"/>
      <c r="AS20" s="51"/>
      <c r="AT20" s="51"/>
      <c r="AU20" s="51"/>
      <c r="AV20" s="82"/>
      <c r="AW20" s="51"/>
      <c r="AX20" s="51"/>
      <c r="AY20" s="51"/>
      <c r="AZ20" s="51"/>
      <c r="BA20" s="33"/>
      <c r="BB20" s="30"/>
      <c r="BC20" s="31"/>
      <c r="BD20" s="65"/>
      <c r="BE20" s="31"/>
      <c r="BF20" s="65"/>
      <c r="BG20" s="33"/>
      <c r="BH20" s="51"/>
      <c r="BI20" s="51"/>
      <c r="BJ20" s="51"/>
      <c r="BK20" s="51"/>
      <c r="BL20" s="82"/>
      <c r="BM20" s="51"/>
      <c r="BN20" s="51"/>
      <c r="BO20" s="51"/>
      <c r="BP20" s="33"/>
      <c r="BQ20" s="65"/>
      <c r="BR20" s="51"/>
      <c r="BS20" s="65"/>
      <c r="BT20" s="31"/>
      <c r="BU20" s="65"/>
      <c r="BV20" s="51"/>
      <c r="BW20" s="65"/>
      <c r="BX20" s="33"/>
      <c r="BY20" s="51"/>
      <c r="BZ20" s="51"/>
      <c r="CA20" s="51"/>
      <c r="CB20" s="51"/>
      <c r="CC20" s="361"/>
      <c r="CD20" s="70"/>
      <c r="CE20" s="70"/>
      <c r="CF20" s="70"/>
      <c r="CG20" s="70"/>
      <c r="CH20" s="121"/>
      <c r="CI20" s="118"/>
      <c r="CJ20" s="131"/>
      <c r="CK20" s="118"/>
      <c r="CL20" s="131"/>
      <c r="CM20" s="123"/>
      <c r="CN20" s="121"/>
      <c r="CO20" s="70"/>
      <c r="CP20" s="70"/>
      <c r="CQ20" s="70"/>
      <c r="CR20" s="362"/>
      <c r="CS20" s="70"/>
      <c r="CT20" s="70"/>
      <c r="CU20" s="70"/>
      <c r="CV20" s="70"/>
      <c r="CW20" s="70"/>
      <c r="CX20" s="121"/>
      <c r="CY20" s="118"/>
      <c r="CZ20" s="118"/>
      <c r="DA20" s="70"/>
      <c r="DB20" s="70"/>
      <c r="DC20" s="70"/>
      <c r="DD20" s="70"/>
      <c r="DE20" s="70"/>
      <c r="DF20" s="70"/>
      <c r="DG20" s="70"/>
      <c r="DH20" s="362"/>
      <c r="DI20" s="70"/>
      <c r="DJ20" s="70"/>
      <c r="DK20" s="70"/>
      <c r="DL20" s="70"/>
      <c r="DM20" s="70"/>
      <c r="DN20" s="121"/>
      <c r="DO20" s="118"/>
      <c r="DP20" s="131"/>
      <c r="DQ20" s="118"/>
      <c r="DR20" s="131"/>
      <c r="DS20" s="121"/>
      <c r="DT20" s="121"/>
      <c r="DU20" s="70"/>
      <c r="DV20" s="70"/>
      <c r="DW20" s="70"/>
      <c r="DX20" s="362"/>
      <c r="DY20" s="795"/>
      <c r="DZ20" s="795" t="s">
        <v>622</v>
      </c>
    </row>
    <row r="21" spans="1:130">
      <c r="A21" s="51">
        <v>300</v>
      </c>
      <c r="B21" s="51"/>
      <c r="C21" s="33"/>
      <c r="D21" s="65"/>
      <c r="E21" s="31"/>
      <c r="F21" s="92"/>
      <c r="G21" s="65"/>
      <c r="H21" s="31"/>
      <c r="I21" s="65"/>
      <c r="J21" s="92"/>
      <c r="K21" s="31"/>
      <c r="L21" s="65"/>
      <c r="M21" s="33"/>
      <c r="N21" s="92"/>
      <c r="O21" s="51"/>
      <c r="P21" s="113"/>
      <c r="Q21" s="51"/>
      <c r="R21" s="51"/>
      <c r="S21" s="51"/>
      <c r="T21" s="33"/>
      <c r="U21" s="65"/>
      <c r="V21" s="65"/>
      <c r="W21" s="31"/>
      <c r="X21" s="65"/>
      <c r="Y21" s="31"/>
      <c r="Z21" s="30"/>
      <c r="AA21" s="34"/>
      <c r="AB21" s="51"/>
      <c r="AC21" s="92"/>
      <c r="AD21" s="92"/>
      <c r="AE21" s="51"/>
      <c r="AF21" s="113"/>
      <c r="AG21" s="51"/>
      <c r="AH21" s="51"/>
      <c r="AI21" s="51"/>
      <c r="AJ21" s="92"/>
      <c r="AK21" s="51"/>
      <c r="AL21" s="51"/>
      <c r="AM21" s="51"/>
      <c r="AN21" s="33"/>
      <c r="AO21" s="33"/>
      <c r="AP21" s="33"/>
      <c r="AQ21" s="65"/>
      <c r="AR21" s="92"/>
      <c r="AS21" s="32"/>
      <c r="AT21" s="30"/>
      <c r="AU21" s="51"/>
      <c r="AV21" s="82"/>
      <c r="AW21" s="51"/>
      <c r="AX21" s="51"/>
      <c r="AY21" s="51"/>
      <c r="AZ21" s="33"/>
      <c r="BA21" s="30"/>
      <c r="BB21" s="65"/>
      <c r="BC21" s="31"/>
      <c r="BD21" s="65"/>
      <c r="BE21" s="31"/>
      <c r="BF21" s="31"/>
      <c r="BG21" s="65"/>
      <c r="BH21" s="51"/>
      <c r="BI21" s="92"/>
      <c r="BJ21" s="92"/>
      <c r="BK21" s="51"/>
      <c r="BL21" s="113"/>
      <c r="BM21" s="51"/>
      <c r="BN21" s="92"/>
      <c r="BO21" s="33"/>
      <c r="BP21" s="65"/>
      <c r="BQ21" s="31"/>
      <c r="BR21" s="92"/>
      <c r="BS21" s="65"/>
      <c r="BT21" s="31"/>
      <c r="BU21" s="65"/>
      <c r="BV21" s="92"/>
      <c r="BW21" s="31"/>
      <c r="BX21" s="65"/>
      <c r="BY21" s="33"/>
      <c r="BZ21" s="92"/>
      <c r="CA21" s="51"/>
      <c r="CB21" s="92"/>
      <c r="CC21" s="363"/>
      <c r="CD21" s="70"/>
      <c r="CE21" s="117"/>
      <c r="CF21" s="117"/>
      <c r="CG21" s="70"/>
      <c r="CH21" s="118"/>
      <c r="CI21" s="131"/>
      <c r="CJ21" s="131"/>
      <c r="CK21" s="118"/>
      <c r="CL21" s="131"/>
      <c r="CM21" s="118"/>
      <c r="CN21" s="123"/>
      <c r="CO21" s="121"/>
      <c r="CP21" s="70"/>
      <c r="CQ21" s="70"/>
      <c r="CR21" s="362"/>
      <c r="CS21" s="117"/>
      <c r="CT21" s="70"/>
      <c r="CU21" s="123"/>
      <c r="CV21" s="125"/>
      <c r="CW21" s="117"/>
      <c r="CX21" s="118"/>
      <c r="CY21" s="121"/>
      <c r="CZ21" s="121"/>
      <c r="DA21" s="121"/>
      <c r="DB21" s="70"/>
      <c r="DC21" s="70"/>
      <c r="DD21" s="70"/>
      <c r="DE21" s="117"/>
      <c r="DF21" s="70"/>
      <c r="DG21" s="70"/>
      <c r="DH21" s="362"/>
      <c r="DI21" s="117"/>
      <c r="DJ21" s="70"/>
      <c r="DK21" s="117"/>
      <c r="DL21" s="117"/>
      <c r="DM21" s="70"/>
      <c r="DN21" s="128"/>
      <c r="DO21" s="123"/>
      <c r="DP21" s="131"/>
      <c r="DQ21" s="118"/>
      <c r="DR21" s="131"/>
      <c r="DS21" s="118"/>
      <c r="DT21" s="118"/>
      <c r="DU21" s="121"/>
      <c r="DV21" s="70"/>
      <c r="DW21" s="70"/>
      <c r="DX21" s="362"/>
      <c r="DY21" s="51"/>
      <c r="DZ21" s="795" t="s">
        <v>975</v>
      </c>
    </row>
    <row r="22" spans="1:130">
      <c r="A22" s="92">
        <v>300</v>
      </c>
      <c r="B22" s="156"/>
      <c r="C22" s="157"/>
      <c r="D22" s="158"/>
      <c r="E22" s="92"/>
      <c r="F22" s="65"/>
      <c r="G22" s="31"/>
      <c r="H22" s="31"/>
      <c r="I22" s="30"/>
      <c r="J22" s="65"/>
      <c r="K22" s="92"/>
      <c r="L22" s="156"/>
      <c r="M22" s="157"/>
      <c r="N22" s="158"/>
      <c r="O22" s="92"/>
      <c r="P22" s="113"/>
      <c r="Q22" s="92"/>
      <c r="R22" s="158"/>
      <c r="S22" s="163"/>
      <c r="T22" s="65"/>
      <c r="U22" s="42"/>
      <c r="V22" s="49"/>
      <c r="W22" s="163"/>
      <c r="X22" s="158"/>
      <c r="Y22" s="163"/>
      <c r="Z22" s="65"/>
      <c r="AA22" s="34"/>
      <c r="AB22" s="34"/>
      <c r="AC22" s="30"/>
      <c r="AD22" s="92"/>
      <c r="AE22" s="92"/>
      <c r="AF22" s="113"/>
      <c r="AG22" s="92"/>
      <c r="AH22" s="51"/>
      <c r="AI22" s="92"/>
      <c r="AJ22" s="159"/>
      <c r="AK22" s="92"/>
      <c r="AL22" s="51"/>
      <c r="AM22" s="33"/>
      <c r="AN22" s="65"/>
      <c r="AO22" s="31"/>
      <c r="AP22" s="65"/>
      <c r="AQ22" s="49"/>
      <c r="AR22" s="65"/>
      <c r="AS22" s="30"/>
      <c r="AT22" s="33"/>
      <c r="AU22" s="33"/>
      <c r="AV22" s="82"/>
      <c r="AW22" s="92"/>
      <c r="AX22" s="92"/>
      <c r="AY22" s="163"/>
      <c r="AZ22" s="30"/>
      <c r="BA22" s="65"/>
      <c r="BB22" s="49"/>
      <c r="BC22" s="30"/>
      <c r="BD22" s="30"/>
      <c r="BE22" s="31"/>
      <c r="BF22" s="30"/>
      <c r="BG22" s="32"/>
      <c r="BH22" s="32"/>
      <c r="BI22" s="30"/>
      <c r="BJ22" s="92"/>
      <c r="BK22" s="92"/>
      <c r="BL22" s="113"/>
      <c r="BM22" s="92"/>
      <c r="BN22" s="33"/>
      <c r="BO22" s="33"/>
      <c r="BP22" s="65"/>
      <c r="BQ22" s="92"/>
      <c r="BR22" s="65"/>
      <c r="BS22" s="31"/>
      <c r="BT22" s="31"/>
      <c r="BU22" s="30"/>
      <c r="BV22" s="65"/>
      <c r="BW22" s="92"/>
      <c r="BX22" s="65"/>
      <c r="BY22" s="65"/>
      <c r="BZ22" s="31"/>
      <c r="CA22" s="92"/>
      <c r="CB22" s="92"/>
      <c r="CC22" s="363"/>
      <c r="CD22" s="117"/>
      <c r="CE22" s="117"/>
      <c r="CF22" s="123"/>
      <c r="CG22" s="125"/>
      <c r="CH22" s="125"/>
      <c r="CI22" s="123"/>
      <c r="CJ22" s="131"/>
      <c r="CK22" s="123"/>
      <c r="CL22" s="123"/>
      <c r="CM22" s="126"/>
      <c r="CN22" s="118"/>
      <c r="CO22" s="123"/>
      <c r="CP22" s="144"/>
      <c r="CQ22" s="117"/>
      <c r="CR22" s="364"/>
      <c r="CS22" s="117"/>
      <c r="CT22" s="121"/>
      <c r="CU22" s="121"/>
      <c r="CV22" s="123"/>
      <c r="CW22" s="118"/>
      <c r="CX22" s="132"/>
      <c r="CY22" s="118"/>
      <c r="CZ22" s="131"/>
      <c r="DA22" s="118"/>
      <c r="DB22" s="121"/>
      <c r="DC22" s="70"/>
      <c r="DD22" s="117"/>
      <c r="DE22" s="145"/>
      <c r="DF22" s="117"/>
      <c r="DG22" s="117"/>
      <c r="DH22" s="364"/>
      <c r="DI22" s="117"/>
      <c r="DJ22" s="117"/>
      <c r="DK22" s="117"/>
      <c r="DL22" s="123"/>
      <c r="DM22" s="128"/>
      <c r="DN22" s="128"/>
      <c r="DO22" s="118"/>
      <c r="DP22" s="144"/>
      <c r="DQ22" s="143"/>
      <c r="DR22" s="144"/>
      <c r="DS22" s="126"/>
      <c r="DT22" s="130"/>
      <c r="DU22" s="118"/>
      <c r="DV22" s="144"/>
      <c r="DW22" s="143"/>
      <c r="DX22" s="364"/>
      <c r="DY22" s="51"/>
      <c r="DZ22" s="795" t="s">
        <v>976</v>
      </c>
    </row>
    <row r="23" spans="1:130">
      <c r="A23" s="159">
        <v>263</v>
      </c>
      <c r="B23" s="160"/>
      <c r="C23" s="17"/>
      <c r="D23" s="161"/>
      <c r="E23" s="158"/>
      <c r="F23" s="65"/>
      <c r="G23" s="33"/>
      <c r="H23" s="33"/>
      <c r="I23" s="65"/>
      <c r="J23" s="65"/>
      <c r="K23" s="159"/>
      <c r="L23" s="160"/>
      <c r="M23" s="17"/>
      <c r="N23" s="161"/>
      <c r="O23" s="158"/>
      <c r="P23" s="113"/>
      <c r="Q23" s="158"/>
      <c r="R23" s="161"/>
      <c r="S23" s="158"/>
      <c r="T23" s="163"/>
      <c r="U23" s="49"/>
      <c r="V23" s="65"/>
      <c r="W23" s="158"/>
      <c r="X23" s="161"/>
      <c r="Y23" s="158"/>
      <c r="Z23" s="163"/>
      <c r="AA23" s="34"/>
      <c r="AB23" s="30"/>
      <c r="AC23" s="65"/>
      <c r="AD23" s="51"/>
      <c r="AE23" s="92"/>
      <c r="AF23" s="113"/>
      <c r="AG23" s="92"/>
      <c r="AH23" s="51"/>
      <c r="AI23" s="161"/>
      <c r="AJ23" s="162"/>
      <c r="AK23" s="156"/>
      <c r="AL23" s="33"/>
      <c r="AM23" s="65"/>
      <c r="AN23" s="31"/>
      <c r="AO23" s="33"/>
      <c r="AP23" s="65"/>
      <c r="AQ23" s="49"/>
      <c r="AR23" s="34"/>
      <c r="AS23" s="33"/>
      <c r="AT23" s="92"/>
      <c r="AU23" s="65"/>
      <c r="AV23" s="82"/>
      <c r="AW23" s="92"/>
      <c r="AX23" s="158"/>
      <c r="AY23" s="65"/>
      <c r="AZ23" s="65"/>
      <c r="BA23" s="49"/>
      <c r="BB23" s="65"/>
      <c r="BC23" s="32"/>
      <c r="BD23" s="31"/>
      <c r="BE23" s="65"/>
      <c r="BF23" s="32"/>
      <c r="BG23" s="65"/>
      <c r="BH23" s="33"/>
      <c r="BI23" s="65"/>
      <c r="BJ23" s="51"/>
      <c r="BK23" s="92"/>
      <c r="BL23" s="113"/>
      <c r="BM23" s="159"/>
      <c r="BN23" s="33"/>
      <c r="BO23" s="65"/>
      <c r="BP23" s="31"/>
      <c r="BQ23" s="158"/>
      <c r="BR23" s="65"/>
      <c r="BS23" s="65"/>
      <c r="BT23" s="32"/>
      <c r="BU23" s="65"/>
      <c r="BV23" s="65"/>
      <c r="BW23" s="158"/>
      <c r="BX23" s="33"/>
      <c r="BY23" s="65"/>
      <c r="BZ23" s="31"/>
      <c r="CA23" s="158"/>
      <c r="CB23" s="92"/>
      <c r="CC23" s="363"/>
      <c r="CD23" s="117"/>
      <c r="CE23" s="70"/>
      <c r="CF23" s="118"/>
      <c r="CG23" s="121"/>
      <c r="CH23" s="118"/>
      <c r="CI23" s="125"/>
      <c r="CJ23" s="118"/>
      <c r="CK23" s="131"/>
      <c r="CL23" s="125"/>
      <c r="CM23" s="118"/>
      <c r="CN23" s="126"/>
      <c r="CO23" s="118"/>
      <c r="CP23" s="118"/>
      <c r="CQ23" s="143"/>
      <c r="CR23" s="364"/>
      <c r="CS23" s="117"/>
      <c r="CT23" s="118"/>
      <c r="CU23" s="117"/>
      <c r="CV23" s="121"/>
      <c r="CW23" s="128"/>
      <c r="CX23" s="132"/>
      <c r="CY23" s="118"/>
      <c r="CZ23" s="121"/>
      <c r="DA23" s="131"/>
      <c r="DB23" s="118"/>
      <c r="DC23" s="121"/>
      <c r="DD23" s="142"/>
      <c r="DE23" s="146"/>
      <c r="DF23" s="147"/>
      <c r="DG23" s="117"/>
      <c r="DH23" s="364"/>
      <c r="DI23" s="117"/>
      <c r="DJ23" s="117"/>
      <c r="DK23" s="70"/>
      <c r="DL23" s="118"/>
      <c r="DM23" s="123"/>
      <c r="DN23" s="128"/>
      <c r="DO23" s="144"/>
      <c r="DP23" s="143"/>
      <c r="DQ23" s="147"/>
      <c r="DR23" s="143"/>
      <c r="DS23" s="118"/>
      <c r="DT23" s="126"/>
      <c r="DU23" s="144"/>
      <c r="DV23" s="143"/>
      <c r="DW23" s="147"/>
      <c r="DX23" s="372"/>
      <c r="DY23" s="93"/>
      <c r="DZ23" s="795" t="s">
        <v>624</v>
      </c>
    </row>
    <row r="24" spans="1:130">
      <c r="A24" s="159">
        <v>164</v>
      </c>
      <c r="B24" s="17"/>
      <c r="C24" s="19"/>
      <c r="D24" s="17"/>
      <c r="E24" s="157"/>
      <c r="F24" s="31"/>
      <c r="G24" s="30"/>
      <c r="H24" s="30"/>
      <c r="I24" s="32"/>
      <c r="J24" s="66"/>
      <c r="K24" s="157"/>
      <c r="L24" s="17"/>
      <c r="M24" s="19"/>
      <c r="N24" s="17"/>
      <c r="O24" s="162"/>
      <c r="P24" s="113"/>
      <c r="Q24" s="157"/>
      <c r="R24" s="14"/>
      <c r="S24" s="157"/>
      <c r="T24" s="163"/>
      <c r="U24" s="65"/>
      <c r="V24" s="31"/>
      <c r="W24" s="157"/>
      <c r="X24" s="14"/>
      <c r="Y24" s="157"/>
      <c r="Z24" s="163"/>
      <c r="AA24" s="65"/>
      <c r="AB24" s="65"/>
      <c r="AC24" s="51"/>
      <c r="AD24" s="65"/>
      <c r="AE24" s="92"/>
      <c r="AF24" s="113"/>
      <c r="AG24" s="51"/>
      <c r="AH24" s="51"/>
      <c r="AI24" s="17"/>
      <c r="AJ24" s="158"/>
      <c r="AK24" s="158"/>
      <c r="AL24" s="42"/>
      <c r="AM24" s="31"/>
      <c r="AN24" s="33"/>
      <c r="AO24" s="65"/>
      <c r="AP24" s="30"/>
      <c r="AQ24" s="33"/>
      <c r="AR24" s="33"/>
      <c r="AS24" s="65"/>
      <c r="AT24" s="51"/>
      <c r="AU24" s="65"/>
      <c r="AV24" s="371"/>
      <c r="AW24" s="92"/>
      <c r="AX24" s="158"/>
      <c r="AY24" s="65"/>
      <c r="AZ24" s="65"/>
      <c r="BA24" s="65"/>
      <c r="BB24" s="31"/>
      <c r="BC24" s="30"/>
      <c r="BD24" s="31"/>
      <c r="BE24" s="30"/>
      <c r="BF24" s="31"/>
      <c r="BG24" s="65"/>
      <c r="BH24" s="51"/>
      <c r="BI24" s="51"/>
      <c r="BJ24" s="65"/>
      <c r="BK24" s="92"/>
      <c r="BL24" s="113"/>
      <c r="BM24" s="159"/>
      <c r="BN24" s="33"/>
      <c r="BO24" s="65"/>
      <c r="BP24" s="31"/>
      <c r="BQ24" s="162"/>
      <c r="BR24" s="31"/>
      <c r="BS24" s="65"/>
      <c r="BT24" s="30"/>
      <c r="BU24" s="65"/>
      <c r="BV24" s="31"/>
      <c r="BW24" s="162"/>
      <c r="BX24" s="33"/>
      <c r="BY24" s="65"/>
      <c r="BZ24" s="31"/>
      <c r="CA24" s="162"/>
      <c r="CB24" s="92"/>
      <c r="CC24" s="363"/>
      <c r="CD24" s="117"/>
      <c r="CE24" s="118"/>
      <c r="CF24" s="70"/>
      <c r="CG24" s="70"/>
      <c r="CH24" s="118"/>
      <c r="CI24" s="131"/>
      <c r="CJ24" s="123"/>
      <c r="CK24" s="131"/>
      <c r="CL24" s="123"/>
      <c r="CM24" s="131"/>
      <c r="CN24" s="118"/>
      <c r="CO24" s="118"/>
      <c r="CP24" s="118"/>
      <c r="CQ24" s="143"/>
      <c r="CR24" s="364"/>
      <c r="CS24" s="118"/>
      <c r="CT24" s="118"/>
      <c r="CU24" s="70"/>
      <c r="CV24" s="65"/>
      <c r="CW24" s="121"/>
      <c r="CX24" s="31"/>
      <c r="CY24" s="123"/>
      <c r="CZ24" s="118"/>
      <c r="DA24" s="121"/>
      <c r="DB24" s="131"/>
      <c r="DC24" s="130"/>
      <c r="DD24" s="143"/>
      <c r="DE24" s="143"/>
      <c r="DF24" s="148"/>
      <c r="DG24" s="70"/>
      <c r="DH24" s="362"/>
      <c r="DI24" s="117"/>
      <c r="DJ24" s="117"/>
      <c r="DK24" s="118"/>
      <c r="DL24" s="70"/>
      <c r="DM24" s="118"/>
      <c r="DN24" s="118"/>
      <c r="DO24" s="144"/>
      <c r="DP24" s="149"/>
      <c r="DQ24" s="165"/>
      <c r="DR24" s="149"/>
      <c r="DS24" s="131"/>
      <c r="DT24" s="118"/>
      <c r="DU24" s="144"/>
      <c r="DV24" s="149"/>
      <c r="DW24" s="165"/>
      <c r="DX24" s="373"/>
      <c r="DY24" s="93"/>
      <c r="DZ24" s="52" t="s">
        <v>999</v>
      </c>
    </row>
    <row r="25" spans="1:130">
      <c r="A25" s="159">
        <v>168</v>
      </c>
      <c r="B25" s="161"/>
      <c r="C25" s="17"/>
      <c r="D25" s="160"/>
      <c r="E25" s="163"/>
      <c r="F25" s="42"/>
      <c r="G25" s="49"/>
      <c r="H25" s="51"/>
      <c r="I25" s="41"/>
      <c r="J25" s="43"/>
      <c r="K25" s="159"/>
      <c r="L25" s="161"/>
      <c r="M25" s="17"/>
      <c r="N25" s="160"/>
      <c r="O25" s="163"/>
      <c r="P25" s="82"/>
      <c r="Q25" s="163"/>
      <c r="R25" s="160"/>
      <c r="S25" s="163"/>
      <c r="T25" s="163"/>
      <c r="U25" s="92"/>
      <c r="V25" s="49"/>
      <c r="W25" s="163"/>
      <c r="X25" s="161"/>
      <c r="Y25" s="163"/>
      <c r="Z25" s="163"/>
      <c r="AA25" s="92"/>
      <c r="AB25" s="51"/>
      <c r="AC25" s="92"/>
      <c r="AD25" s="92"/>
      <c r="AE25" s="92"/>
      <c r="AF25" s="82"/>
      <c r="AG25" s="92"/>
      <c r="AH25" s="51"/>
      <c r="AI25" s="161"/>
      <c r="AJ25" s="163"/>
      <c r="AK25" s="163"/>
      <c r="AL25" s="40"/>
      <c r="AM25" s="49"/>
      <c r="AN25" s="51"/>
      <c r="AO25" s="43"/>
      <c r="AP25" s="42"/>
      <c r="AQ25" s="49"/>
      <c r="AR25" s="65"/>
      <c r="AS25" s="92"/>
      <c r="AT25" s="92"/>
      <c r="AU25" s="51"/>
      <c r="AV25" s="82"/>
      <c r="AW25" s="92"/>
      <c r="AX25" s="163"/>
      <c r="AY25" s="43"/>
      <c r="AZ25" s="42"/>
      <c r="BA25" s="92"/>
      <c r="BB25" s="49"/>
      <c r="BC25" s="49"/>
      <c r="BD25" s="65"/>
      <c r="BE25" s="31"/>
      <c r="BF25" s="65"/>
      <c r="BG25" s="31"/>
      <c r="BH25" s="51"/>
      <c r="BI25" s="92"/>
      <c r="BJ25" s="92"/>
      <c r="BK25" s="92"/>
      <c r="BL25" s="82"/>
      <c r="BM25" s="159"/>
      <c r="BN25" s="49"/>
      <c r="BO25" s="43"/>
      <c r="BP25" s="40"/>
      <c r="BQ25" s="163"/>
      <c r="BR25" s="65"/>
      <c r="BS25" s="30"/>
      <c r="BT25" s="30"/>
      <c r="BU25" s="30"/>
      <c r="BV25" s="65"/>
      <c r="BW25" s="163"/>
      <c r="BX25" s="40"/>
      <c r="BY25" s="43"/>
      <c r="BZ25" s="49"/>
      <c r="CA25" s="163"/>
      <c r="CB25" s="51"/>
      <c r="CC25" s="361"/>
      <c r="CD25" s="117"/>
      <c r="CE25" s="117"/>
      <c r="CF25" s="117"/>
      <c r="CG25" s="70"/>
      <c r="CH25" s="131"/>
      <c r="CI25" s="118"/>
      <c r="CJ25" s="131"/>
      <c r="CK25" s="118"/>
      <c r="CL25" s="126"/>
      <c r="CM25" s="126"/>
      <c r="CN25" s="117"/>
      <c r="CO25" s="130"/>
      <c r="CP25" s="136"/>
      <c r="CQ25" s="144"/>
      <c r="CR25" s="364"/>
      <c r="CS25" s="70"/>
      <c r="CT25" s="70"/>
      <c r="CU25" s="117"/>
      <c r="CV25" s="117"/>
      <c r="CW25" s="65"/>
      <c r="CX25" s="126"/>
      <c r="CY25" s="130"/>
      <c r="CZ25" s="43"/>
      <c r="DA25" s="70"/>
      <c r="DB25" s="126"/>
      <c r="DC25" s="135"/>
      <c r="DD25" s="144"/>
      <c r="DE25" s="144"/>
      <c r="DF25" s="147"/>
      <c r="DG25" s="117"/>
      <c r="DH25" s="364"/>
      <c r="DI25" s="70"/>
      <c r="DJ25" s="117"/>
      <c r="DK25" s="117"/>
      <c r="DL25" s="117"/>
      <c r="DM25" s="70"/>
      <c r="DN25" s="117"/>
      <c r="DO25" s="144"/>
      <c r="DP25" s="144"/>
      <c r="DQ25" s="147"/>
      <c r="DR25" s="144"/>
      <c r="DS25" s="126"/>
      <c r="DT25" s="117"/>
      <c r="DU25" s="144"/>
      <c r="DV25" s="144"/>
      <c r="DW25" s="150"/>
      <c r="DX25" s="374"/>
      <c r="DY25" s="93"/>
      <c r="DZ25" s="52" t="s">
        <v>1001</v>
      </c>
    </row>
    <row r="26" spans="1:130">
      <c r="A26" s="159">
        <v>1</v>
      </c>
      <c r="B26" s="158"/>
      <c r="C26" s="162"/>
      <c r="D26" s="156"/>
      <c r="E26" s="92"/>
      <c r="F26" s="42"/>
      <c r="G26" s="42"/>
      <c r="H26" s="51"/>
      <c r="I26" s="43"/>
      <c r="J26" s="43"/>
      <c r="K26" s="92"/>
      <c r="L26" s="156"/>
      <c r="M26" s="162"/>
      <c r="N26" s="158"/>
      <c r="O26" s="92"/>
      <c r="P26" s="82"/>
      <c r="Q26" s="92"/>
      <c r="R26" s="156"/>
      <c r="S26" s="163"/>
      <c r="T26" s="92"/>
      <c r="U26" s="92"/>
      <c r="V26" s="92"/>
      <c r="W26" s="92"/>
      <c r="X26" s="156"/>
      <c r="Y26" s="163"/>
      <c r="Z26" s="92"/>
      <c r="AA26" s="92"/>
      <c r="AB26" s="92"/>
      <c r="AC26" s="92"/>
      <c r="AD26" s="92"/>
      <c r="AE26" s="92"/>
      <c r="AF26" s="82"/>
      <c r="AG26" s="92"/>
      <c r="AH26" s="51"/>
      <c r="AI26" s="92"/>
      <c r="AJ26" s="161"/>
      <c r="AK26" s="92"/>
      <c r="AL26" s="92"/>
      <c r="AM26" s="92"/>
      <c r="AN26" s="52"/>
      <c r="AO26" s="49"/>
      <c r="AP26" s="49"/>
      <c r="AQ26" s="42"/>
      <c r="AR26" s="51"/>
      <c r="AS26" s="92"/>
      <c r="AT26" s="92"/>
      <c r="AU26" s="92"/>
      <c r="AV26" s="82"/>
      <c r="AW26" s="92"/>
      <c r="AX26" s="92"/>
      <c r="AY26" s="163"/>
      <c r="AZ26" s="92"/>
      <c r="BA26" s="92"/>
      <c r="BB26" s="92"/>
      <c r="BC26" s="49"/>
      <c r="BD26" s="65"/>
      <c r="BE26" s="31"/>
      <c r="BF26" s="30"/>
      <c r="BG26" s="92"/>
      <c r="BH26" s="92"/>
      <c r="BI26" s="51"/>
      <c r="BJ26" s="92"/>
      <c r="BK26" s="92"/>
      <c r="BL26" s="82"/>
      <c r="BM26" s="92"/>
      <c r="BN26" s="158"/>
      <c r="BO26" s="162"/>
      <c r="BP26" s="163"/>
      <c r="BQ26" s="92"/>
      <c r="BR26" s="42"/>
      <c r="BS26" s="65"/>
      <c r="BT26" s="30"/>
      <c r="BU26" s="65"/>
      <c r="BV26" s="43"/>
      <c r="BW26" s="92"/>
      <c r="BX26" s="163"/>
      <c r="BY26" s="162"/>
      <c r="BZ26" s="163"/>
      <c r="CA26" s="92"/>
      <c r="CB26" s="51"/>
      <c r="CC26" s="361"/>
      <c r="CD26" s="117"/>
      <c r="CE26" s="117"/>
      <c r="CF26" s="70"/>
      <c r="CG26" s="117"/>
      <c r="CH26" s="117"/>
      <c r="CI26" s="123"/>
      <c r="CJ26" s="131"/>
      <c r="CK26" s="118"/>
      <c r="CL26" s="126"/>
      <c r="CM26" s="117"/>
      <c r="CN26" s="117"/>
      <c r="CO26" s="117"/>
      <c r="CP26" s="144"/>
      <c r="CQ26" s="117"/>
      <c r="CR26" s="364"/>
      <c r="CS26" s="70"/>
      <c r="CT26" s="117"/>
      <c r="CU26" s="117"/>
      <c r="CV26" s="117"/>
      <c r="CW26" s="70"/>
      <c r="CX26" s="130"/>
      <c r="CY26" s="126"/>
      <c r="CZ26" s="126"/>
      <c r="DA26" s="71"/>
      <c r="DB26" s="117"/>
      <c r="DC26" s="117"/>
      <c r="DD26" s="117"/>
      <c r="DE26" s="147"/>
      <c r="DF26" s="117"/>
      <c r="DG26" s="117"/>
      <c r="DH26" s="364"/>
      <c r="DI26" s="70"/>
      <c r="DJ26" s="117"/>
      <c r="DK26" s="117"/>
      <c r="DL26" s="117"/>
      <c r="DM26" s="117"/>
      <c r="DN26" s="117"/>
      <c r="DO26" s="117"/>
      <c r="DP26" s="144"/>
      <c r="DQ26" s="142"/>
      <c r="DR26" s="117"/>
      <c r="DS26" s="117"/>
      <c r="DT26" s="117"/>
      <c r="DU26" s="117"/>
      <c r="DV26" s="144"/>
      <c r="DW26" s="142"/>
      <c r="DX26" s="364"/>
      <c r="DY26" s="93"/>
      <c r="DZ26" s="795" t="s">
        <v>305</v>
      </c>
    </row>
    <row r="27" spans="1:130">
      <c r="A27" s="51">
        <v>7</v>
      </c>
      <c r="B27" s="51"/>
      <c r="C27" s="92"/>
      <c r="D27" s="51"/>
      <c r="E27" s="52"/>
      <c r="F27" s="40"/>
      <c r="G27" s="43"/>
      <c r="H27" s="51"/>
      <c r="I27" s="50"/>
      <c r="J27" s="46"/>
      <c r="K27" s="51"/>
      <c r="L27" s="92"/>
      <c r="M27" s="92"/>
      <c r="N27" s="51"/>
      <c r="O27" s="51"/>
      <c r="P27" s="82"/>
      <c r="Q27" s="51"/>
      <c r="R27" s="92"/>
      <c r="S27" s="51"/>
      <c r="T27" s="51"/>
      <c r="U27" s="52"/>
      <c r="V27" s="52"/>
      <c r="W27" s="49"/>
      <c r="X27" s="50"/>
      <c r="Y27" s="46"/>
      <c r="Z27" s="51"/>
      <c r="AA27" s="92"/>
      <c r="AB27" s="92"/>
      <c r="AC27" s="51"/>
      <c r="AD27" s="51"/>
      <c r="AE27" s="51"/>
      <c r="AF27" s="82"/>
      <c r="AG27" s="51"/>
      <c r="AH27" s="51"/>
      <c r="AI27" s="51"/>
      <c r="AJ27" s="92"/>
      <c r="AK27" s="92"/>
      <c r="AL27" s="92"/>
      <c r="AM27" s="51"/>
      <c r="AN27" s="92"/>
      <c r="AO27" s="42"/>
      <c r="AP27" s="49"/>
      <c r="AQ27" s="51"/>
      <c r="AR27" s="52"/>
      <c r="AS27" s="51"/>
      <c r="AT27" s="92"/>
      <c r="AU27" s="92"/>
      <c r="AV27" s="82"/>
      <c r="AW27" s="51"/>
      <c r="AX27" s="51"/>
      <c r="AY27" s="51"/>
      <c r="AZ27" s="51"/>
      <c r="BA27" s="52"/>
      <c r="BB27" s="52"/>
      <c r="BC27" s="50"/>
      <c r="BD27" s="42"/>
      <c r="BE27" s="49"/>
      <c r="BF27" s="51"/>
      <c r="BG27" s="92"/>
      <c r="BH27" s="92"/>
      <c r="BI27" s="51"/>
      <c r="BJ27" s="51"/>
      <c r="BK27" s="51"/>
      <c r="BL27" s="82"/>
      <c r="BM27" s="51"/>
      <c r="BN27" s="51"/>
      <c r="BO27" s="92"/>
      <c r="BP27" s="51"/>
      <c r="BQ27" s="52"/>
      <c r="BR27" s="40"/>
      <c r="BS27" s="43"/>
      <c r="BT27" s="65"/>
      <c r="BU27" s="50"/>
      <c r="BV27" s="46"/>
      <c r="BW27" s="51"/>
      <c r="BX27" s="92"/>
      <c r="BY27" s="92"/>
      <c r="BZ27" s="51"/>
      <c r="CA27" s="51"/>
      <c r="CB27" s="51"/>
      <c r="CC27" s="361"/>
      <c r="CD27" s="70"/>
      <c r="CE27" s="70"/>
      <c r="CF27" s="70"/>
      <c r="CG27" s="117"/>
      <c r="CH27" s="117"/>
      <c r="CI27" s="70"/>
      <c r="CJ27" s="126"/>
      <c r="CK27" s="130"/>
      <c r="CL27" s="155"/>
      <c r="CM27" s="71"/>
      <c r="CN27" s="71"/>
      <c r="CO27" s="70"/>
      <c r="CP27" s="70"/>
      <c r="CQ27" s="70"/>
      <c r="CR27" s="362"/>
      <c r="CS27" s="70"/>
      <c r="CT27" s="117"/>
      <c r="CU27" s="117"/>
      <c r="CV27" s="70"/>
      <c r="CW27" s="71"/>
      <c r="CX27" s="70"/>
      <c r="CY27" s="126"/>
      <c r="CZ27" s="130"/>
      <c r="DA27" s="117"/>
      <c r="DB27" s="70"/>
      <c r="DC27" s="117"/>
      <c r="DD27" s="117"/>
      <c r="DE27" s="117"/>
      <c r="DF27" s="70"/>
      <c r="DG27" s="70"/>
      <c r="DH27" s="362"/>
      <c r="DI27" s="70"/>
      <c r="DJ27" s="70"/>
      <c r="DK27" s="70"/>
      <c r="DL27" s="70"/>
      <c r="DM27" s="117"/>
      <c r="DN27" s="117"/>
      <c r="DO27" s="70"/>
      <c r="DP27" s="133"/>
      <c r="DQ27" s="155"/>
      <c r="DR27" s="126"/>
      <c r="DS27" s="71"/>
      <c r="DT27" s="71"/>
      <c r="DU27" s="70"/>
      <c r="DV27" s="70"/>
      <c r="DW27" s="117"/>
      <c r="DX27" s="362"/>
      <c r="DY27" s="93"/>
      <c r="DZ27" s="795" t="s">
        <v>23</v>
      </c>
    </row>
    <row r="28" spans="1:130">
      <c r="A28" s="51">
        <v>6</v>
      </c>
      <c r="B28" s="51"/>
      <c r="C28" s="92"/>
      <c r="D28" s="51"/>
      <c r="E28" s="52"/>
      <c r="F28" s="40"/>
      <c r="G28" s="43"/>
      <c r="H28" s="51"/>
      <c r="I28" s="50"/>
      <c r="J28" s="46"/>
      <c r="K28" s="51"/>
      <c r="L28" s="92"/>
      <c r="M28" s="92"/>
      <c r="N28" s="51"/>
      <c r="O28" s="51"/>
      <c r="P28" s="82"/>
      <c r="Q28" s="51"/>
      <c r="R28" s="92"/>
      <c r="S28" s="51"/>
      <c r="T28" s="51"/>
      <c r="U28" s="52"/>
      <c r="V28" s="52"/>
      <c r="W28" s="49"/>
      <c r="X28" s="50"/>
      <c r="Y28" s="46"/>
      <c r="Z28" s="51"/>
      <c r="AA28" s="92"/>
      <c r="AB28" s="92"/>
      <c r="AC28" s="51"/>
      <c r="AD28" s="51"/>
      <c r="AE28" s="51"/>
      <c r="AF28" s="82"/>
      <c r="AG28" s="51"/>
      <c r="AH28" s="51"/>
      <c r="AI28" s="51"/>
      <c r="AJ28" s="92"/>
      <c r="AK28" s="92"/>
      <c r="AL28" s="92"/>
      <c r="AM28" s="51"/>
      <c r="AN28" s="92"/>
      <c r="AO28" s="42"/>
      <c r="AP28" s="49"/>
      <c r="AQ28" s="51"/>
      <c r="AR28" s="52"/>
      <c r="AS28" s="51"/>
      <c r="AT28" s="92"/>
      <c r="AU28" s="92"/>
      <c r="AV28" s="82"/>
      <c r="AW28" s="51"/>
      <c r="AX28" s="51"/>
      <c r="AY28" s="51"/>
      <c r="AZ28" s="51"/>
      <c r="BA28" s="52"/>
      <c r="BB28" s="52"/>
      <c r="BC28" s="50"/>
      <c r="BD28" s="42"/>
      <c r="BE28" s="49"/>
      <c r="BF28" s="51"/>
      <c r="BG28" s="92"/>
      <c r="BH28" s="92"/>
      <c r="BI28" s="51"/>
      <c r="BJ28" s="51"/>
      <c r="BK28" s="51"/>
      <c r="BL28" s="82"/>
      <c r="BM28" s="51"/>
      <c r="BN28" s="51"/>
      <c r="BO28" s="92"/>
      <c r="BP28" s="51"/>
      <c r="BQ28" s="52"/>
      <c r="BR28" s="40"/>
      <c r="BS28" s="43"/>
      <c r="BT28" s="65"/>
      <c r="BU28" s="50"/>
      <c r="BV28" s="46"/>
      <c r="BW28" s="51"/>
      <c r="BX28" s="92"/>
      <c r="BY28" s="92"/>
      <c r="BZ28" s="51"/>
      <c r="CA28" s="51"/>
      <c r="CB28" s="51"/>
      <c r="CC28" s="361"/>
      <c r="CD28" s="70"/>
      <c r="CE28" s="70"/>
      <c r="CF28" s="70"/>
      <c r="CG28" s="117"/>
      <c r="CH28" s="117"/>
      <c r="CI28" s="70"/>
      <c r="CJ28" s="126"/>
      <c r="CK28" s="130"/>
      <c r="CL28" s="155"/>
      <c r="CM28" s="71"/>
      <c r="CN28" s="71"/>
      <c r="CO28" s="70"/>
      <c r="CP28" s="70"/>
      <c r="CQ28" s="70"/>
      <c r="CR28" s="362"/>
      <c r="CS28" s="70"/>
      <c r="CT28" s="117"/>
      <c r="CU28" s="117"/>
      <c r="CV28" s="70"/>
      <c r="CW28" s="71"/>
      <c r="CX28" s="70"/>
      <c r="CY28" s="126"/>
      <c r="CZ28" s="130"/>
      <c r="DA28" s="117"/>
      <c r="DB28" s="70"/>
      <c r="DC28" s="117"/>
      <c r="DD28" s="117"/>
      <c r="DE28" s="117"/>
      <c r="DF28" s="70"/>
      <c r="DG28" s="70"/>
      <c r="DH28" s="362"/>
      <c r="DI28" s="70"/>
      <c r="DJ28" s="70"/>
      <c r="DK28" s="70"/>
      <c r="DL28" s="70"/>
      <c r="DM28" s="117"/>
      <c r="DN28" s="117"/>
      <c r="DO28" s="70"/>
      <c r="DP28" s="133"/>
      <c r="DQ28" s="155"/>
      <c r="DR28" s="126"/>
      <c r="DS28" s="71"/>
      <c r="DT28" s="71"/>
      <c r="DU28" s="70"/>
      <c r="DV28" s="70"/>
      <c r="DW28" s="117"/>
      <c r="DX28" s="362"/>
      <c r="DY28" s="93"/>
      <c r="DZ28" s="795" t="s">
        <v>257</v>
      </c>
    </row>
    <row r="29" spans="1:130">
      <c r="A29" s="51"/>
      <c r="B29" s="51"/>
      <c r="C29" s="51"/>
      <c r="D29" s="52"/>
      <c r="E29" s="52"/>
      <c r="F29" s="39"/>
      <c r="G29" s="43"/>
      <c r="H29" s="51"/>
      <c r="I29" s="50"/>
      <c r="J29" s="47"/>
      <c r="K29" s="51"/>
      <c r="L29" s="92"/>
      <c r="M29" s="51"/>
      <c r="N29" s="51"/>
      <c r="O29" s="51"/>
      <c r="P29" s="82"/>
      <c r="Q29" s="51"/>
      <c r="R29" s="51"/>
      <c r="S29" s="51"/>
      <c r="T29" s="52"/>
      <c r="U29" s="52"/>
      <c r="V29" s="52"/>
      <c r="W29" s="46"/>
      <c r="X29" s="47"/>
      <c r="Y29" s="46"/>
      <c r="Z29" s="51"/>
      <c r="AA29" s="92"/>
      <c r="AB29" s="51"/>
      <c r="AC29" s="51"/>
      <c r="AD29" s="51"/>
      <c r="AE29" s="51"/>
      <c r="AF29" s="82"/>
      <c r="AG29" s="51"/>
      <c r="AH29" s="51"/>
      <c r="AI29" s="51"/>
      <c r="AJ29" s="51"/>
      <c r="AK29" s="51"/>
      <c r="AL29" s="51"/>
      <c r="AM29" s="52"/>
      <c r="AN29" s="51"/>
      <c r="AO29" s="40"/>
      <c r="AP29" s="39"/>
      <c r="AQ29" s="51"/>
      <c r="AR29" s="52"/>
      <c r="AS29" s="51"/>
      <c r="AT29" s="92"/>
      <c r="AU29" s="51"/>
      <c r="AV29" s="82"/>
      <c r="AW29" s="51"/>
      <c r="AX29" s="51"/>
      <c r="AY29" s="51"/>
      <c r="AZ29" s="52"/>
      <c r="BA29" s="52"/>
      <c r="BB29" s="52"/>
      <c r="BC29" s="39"/>
      <c r="BD29" s="46"/>
      <c r="BE29" s="46"/>
      <c r="BF29" s="51"/>
      <c r="BG29" s="92"/>
      <c r="BH29" s="51"/>
      <c r="BI29" s="51"/>
      <c r="BJ29" s="51"/>
      <c r="BK29" s="51"/>
      <c r="BL29" s="82"/>
      <c r="BM29" s="51"/>
      <c r="BN29" s="51"/>
      <c r="BO29" s="51"/>
      <c r="BP29" s="52"/>
      <c r="BQ29" s="52"/>
      <c r="BR29" s="39"/>
      <c r="BS29" s="43"/>
      <c r="BT29" s="51"/>
      <c r="BU29" s="46"/>
      <c r="BV29" s="49"/>
      <c r="BW29" s="51"/>
      <c r="BX29" s="92"/>
      <c r="BY29" s="51"/>
      <c r="BZ29" s="51"/>
      <c r="CA29" s="51"/>
      <c r="CB29" s="51"/>
      <c r="CC29" s="361"/>
      <c r="CD29" s="70"/>
      <c r="CE29" s="70"/>
      <c r="CF29" s="70"/>
      <c r="CG29" s="70"/>
      <c r="CH29" s="117"/>
      <c r="CI29" s="70"/>
      <c r="CJ29" s="133"/>
      <c r="CK29" s="133"/>
      <c r="CL29" s="137"/>
      <c r="CM29" s="71"/>
      <c r="CN29" s="71"/>
      <c r="CO29" s="71"/>
      <c r="CP29" s="70"/>
      <c r="CQ29" s="70"/>
      <c r="CR29" s="362"/>
      <c r="CS29" s="70"/>
      <c r="CT29" s="70"/>
      <c r="CU29" s="117"/>
      <c r="CV29" s="70"/>
      <c r="CW29" s="71"/>
      <c r="CX29" s="70"/>
      <c r="CY29" s="137"/>
      <c r="CZ29" s="135"/>
      <c r="DA29" s="70"/>
      <c r="DB29" s="71"/>
      <c r="DC29" s="70"/>
      <c r="DD29" s="70"/>
      <c r="DE29" s="70"/>
      <c r="DF29" s="70"/>
      <c r="DG29" s="70"/>
      <c r="DH29" s="362"/>
      <c r="DI29" s="70"/>
      <c r="DJ29" s="70"/>
      <c r="DK29" s="70"/>
      <c r="DL29" s="70"/>
      <c r="DM29" s="70"/>
      <c r="DN29" s="117"/>
      <c r="DO29" s="70"/>
      <c r="DP29" s="133"/>
      <c r="DQ29" s="153"/>
      <c r="DR29" s="133"/>
      <c r="DS29" s="71"/>
      <c r="DT29" s="71"/>
      <c r="DU29" s="71"/>
      <c r="DV29" s="70"/>
      <c r="DW29" s="70"/>
      <c r="DX29" s="362"/>
      <c r="DY29" s="93"/>
      <c r="DZ29" s="93"/>
    </row>
    <row r="30" spans="1:130">
      <c r="A30" s="51"/>
      <c r="B30" s="51"/>
      <c r="C30" s="51"/>
      <c r="D30" s="52"/>
      <c r="E30" s="51"/>
      <c r="F30" s="43"/>
      <c r="G30" s="49"/>
      <c r="H30" s="52"/>
      <c r="I30" s="46"/>
      <c r="J30" s="48"/>
      <c r="K30" s="51"/>
      <c r="L30" s="51"/>
      <c r="M30" s="51"/>
      <c r="N30" s="51"/>
      <c r="O30" s="51"/>
      <c r="P30" s="82"/>
      <c r="Q30" s="51"/>
      <c r="R30" s="51"/>
      <c r="S30" s="51"/>
      <c r="T30" s="52"/>
      <c r="U30" s="51"/>
      <c r="V30" s="51"/>
      <c r="W30" s="49"/>
      <c r="X30" s="46"/>
      <c r="Y30" s="48"/>
      <c r="Z30" s="51"/>
      <c r="AA30" s="51"/>
      <c r="AB30" s="51"/>
      <c r="AC30" s="51"/>
      <c r="AD30" s="51"/>
      <c r="AE30" s="51"/>
      <c r="AF30" s="82"/>
      <c r="AG30" s="51"/>
      <c r="AH30" s="51"/>
      <c r="AI30" s="51"/>
      <c r="AJ30" s="51"/>
      <c r="AK30" s="51"/>
      <c r="AL30" s="51"/>
      <c r="AM30" s="52"/>
      <c r="AN30" s="51"/>
      <c r="AO30" s="51"/>
      <c r="AP30" s="49"/>
      <c r="AQ30" s="51"/>
      <c r="AR30" s="52"/>
      <c r="AS30" s="51"/>
      <c r="AT30" s="51"/>
      <c r="AU30" s="51"/>
      <c r="AV30" s="82"/>
      <c r="AW30" s="51"/>
      <c r="AX30" s="51"/>
      <c r="AY30" s="51"/>
      <c r="AZ30" s="52"/>
      <c r="BA30" s="51"/>
      <c r="BB30" s="51"/>
      <c r="BC30" s="50"/>
      <c r="BD30" s="46"/>
      <c r="BE30" s="48"/>
      <c r="BF30" s="51"/>
      <c r="BG30" s="51"/>
      <c r="BH30" s="51"/>
      <c r="BI30" s="51"/>
      <c r="BJ30" s="51"/>
      <c r="BK30" s="51"/>
      <c r="BL30" s="82"/>
      <c r="BM30" s="51"/>
      <c r="BN30" s="51"/>
      <c r="BO30" s="51"/>
      <c r="BP30" s="52"/>
      <c r="BQ30" s="51"/>
      <c r="BR30" s="43"/>
      <c r="BS30" s="49"/>
      <c r="BT30" s="52"/>
      <c r="BU30" s="43"/>
      <c r="BV30" s="48"/>
      <c r="BW30" s="51"/>
      <c r="BX30" s="51"/>
      <c r="BY30" s="51"/>
      <c r="BZ30" s="51"/>
      <c r="CA30" s="51"/>
      <c r="CB30" s="51"/>
      <c r="CC30" s="361"/>
      <c r="CD30" s="70"/>
      <c r="CE30" s="70"/>
      <c r="CF30" s="70"/>
      <c r="CG30" s="70"/>
      <c r="CH30" s="70"/>
      <c r="CI30" s="70"/>
      <c r="CJ30" s="154"/>
      <c r="CK30" s="133"/>
      <c r="CL30" s="155"/>
      <c r="CM30" s="70"/>
      <c r="CN30" s="70"/>
      <c r="CO30" s="71"/>
      <c r="CP30" s="70"/>
      <c r="CQ30" s="70"/>
      <c r="CR30" s="362"/>
      <c r="CS30" s="70"/>
      <c r="CT30" s="70"/>
      <c r="CU30" s="70"/>
      <c r="CV30" s="70"/>
      <c r="CW30" s="71"/>
      <c r="CX30" s="70"/>
      <c r="CY30" s="126"/>
      <c r="CZ30" s="70"/>
      <c r="DA30" s="70"/>
      <c r="DB30" s="71"/>
      <c r="DC30" s="70"/>
      <c r="DD30" s="70"/>
      <c r="DE30" s="70"/>
      <c r="DF30" s="70"/>
      <c r="DG30" s="70"/>
      <c r="DH30" s="362"/>
      <c r="DI30" s="70"/>
      <c r="DJ30" s="70"/>
      <c r="DK30" s="70"/>
      <c r="DL30" s="70"/>
      <c r="DM30" s="70"/>
      <c r="DN30" s="70"/>
      <c r="DO30" s="70"/>
      <c r="DP30" s="154"/>
      <c r="DQ30" s="133"/>
      <c r="DR30" s="126"/>
      <c r="DS30" s="70"/>
      <c r="DT30" s="70"/>
      <c r="DU30" s="71"/>
      <c r="DV30" s="70"/>
      <c r="DW30" s="70"/>
      <c r="DX30" s="362"/>
      <c r="DY30" s="93"/>
      <c r="DZ30" s="93"/>
    </row>
    <row r="31" spans="1:130">
      <c r="A31" s="51"/>
      <c r="B31" s="51"/>
      <c r="C31" s="51"/>
      <c r="D31" s="43"/>
      <c r="E31" s="43"/>
      <c r="F31" s="49"/>
      <c r="G31" s="49"/>
      <c r="H31" s="51"/>
      <c r="I31" s="49"/>
      <c r="J31" s="49"/>
      <c r="K31" s="42"/>
      <c r="L31" s="42"/>
      <c r="M31" s="51"/>
      <c r="N31" s="51"/>
      <c r="O31" s="51"/>
      <c r="P31" s="82"/>
      <c r="Q31" s="51"/>
      <c r="R31" s="51"/>
      <c r="S31" s="51"/>
      <c r="T31" s="51"/>
      <c r="U31" s="49"/>
      <c r="V31" s="49"/>
      <c r="W31" s="43"/>
      <c r="X31" s="46"/>
      <c r="Y31" s="49"/>
      <c r="Z31" s="46"/>
      <c r="AA31" s="51"/>
      <c r="AB31" s="51"/>
      <c r="AC31" s="51"/>
      <c r="AD31" s="51"/>
      <c r="AE31" s="51"/>
      <c r="AF31" s="82"/>
      <c r="AG31" s="51"/>
      <c r="AH31" s="51"/>
      <c r="AI31" s="51"/>
      <c r="AJ31" s="51"/>
      <c r="AK31" s="51"/>
      <c r="AL31" s="51"/>
      <c r="AM31" s="51"/>
      <c r="AN31" s="43"/>
      <c r="AO31" s="49"/>
      <c r="AP31" s="42"/>
      <c r="AQ31" s="42"/>
      <c r="AR31" s="51"/>
      <c r="AS31" s="51"/>
      <c r="AT31" s="51"/>
      <c r="AU31" s="51"/>
      <c r="AV31" s="82"/>
      <c r="AW31" s="51"/>
      <c r="AX31" s="51"/>
      <c r="AY31" s="51"/>
      <c r="AZ31" s="51"/>
      <c r="BA31" s="49"/>
      <c r="BB31" s="49"/>
      <c r="BC31" s="40"/>
      <c r="BD31" s="46"/>
      <c r="BE31" s="49"/>
      <c r="BF31" s="46"/>
      <c r="BG31" s="51"/>
      <c r="BH31" s="51"/>
      <c r="BI31" s="51"/>
      <c r="BJ31" s="51"/>
      <c r="BK31" s="51"/>
      <c r="BL31" s="82"/>
      <c r="BM31" s="51"/>
      <c r="BN31" s="51"/>
      <c r="BO31" s="51"/>
      <c r="BP31" s="49"/>
      <c r="BQ31" s="49"/>
      <c r="BR31" s="46"/>
      <c r="BS31" s="43"/>
      <c r="BT31" s="51"/>
      <c r="BU31" s="46"/>
      <c r="BV31" s="46"/>
      <c r="BW31" s="49"/>
      <c r="BX31" s="49"/>
      <c r="BY31" s="51"/>
      <c r="BZ31" s="51"/>
      <c r="CA31" s="51"/>
      <c r="CB31" s="51"/>
      <c r="CC31" s="361"/>
      <c r="CD31" s="70"/>
      <c r="CE31" s="70"/>
      <c r="CF31" s="70"/>
      <c r="CG31" s="70"/>
      <c r="CH31" s="70"/>
      <c r="CI31" s="133"/>
      <c r="CJ31" s="126"/>
      <c r="CK31" s="133"/>
      <c r="CL31" s="135"/>
      <c r="CM31" s="126"/>
      <c r="CN31" s="126"/>
      <c r="CO31" s="70"/>
      <c r="CP31" s="70"/>
      <c r="CQ31" s="70"/>
      <c r="CR31" s="362"/>
      <c r="CS31" s="70"/>
      <c r="CT31" s="70"/>
      <c r="CU31" s="70"/>
      <c r="CV31" s="70"/>
      <c r="CW31" s="70"/>
      <c r="CX31" s="130"/>
      <c r="CY31" s="130"/>
      <c r="CZ31" s="126"/>
      <c r="DA31" s="136"/>
      <c r="DB31" s="70"/>
      <c r="DC31" s="70"/>
      <c r="DD31" s="70"/>
      <c r="DE31" s="70"/>
      <c r="DF31" s="70"/>
      <c r="DG31" s="70"/>
      <c r="DH31" s="362"/>
      <c r="DI31" s="70"/>
      <c r="DJ31" s="70"/>
      <c r="DK31" s="70"/>
      <c r="DL31" s="70"/>
      <c r="DM31" s="70"/>
      <c r="DN31" s="70"/>
      <c r="DO31" s="133"/>
      <c r="DP31" s="126"/>
      <c r="DQ31" s="133"/>
      <c r="DR31" s="136"/>
      <c r="DS31" s="126"/>
      <c r="DT31" s="126"/>
      <c r="DU31" s="70"/>
      <c r="DV31" s="70"/>
      <c r="DW31" s="70"/>
      <c r="DX31" s="362"/>
      <c r="DY31" s="93"/>
      <c r="DZ31" s="93"/>
    </row>
    <row r="32" spans="1:130">
      <c r="A32" s="106"/>
      <c r="B32" s="103"/>
      <c r="C32" s="375"/>
      <c r="D32" s="103"/>
      <c r="E32" s="104"/>
      <c r="F32" s="107"/>
      <c r="G32" s="104"/>
      <c r="H32" s="103"/>
      <c r="I32" s="104"/>
      <c r="J32" s="107"/>
      <c r="K32" s="104"/>
      <c r="L32" s="103"/>
      <c r="M32" s="105"/>
      <c r="N32" s="103"/>
      <c r="O32" s="103"/>
      <c r="P32" s="116"/>
      <c r="Q32" s="106"/>
      <c r="R32" s="103"/>
      <c r="S32" s="106"/>
      <c r="T32" s="107"/>
      <c r="U32" s="103"/>
      <c r="V32" s="107"/>
      <c r="W32" s="376"/>
      <c r="X32" s="104"/>
      <c r="Y32" s="107"/>
      <c r="Z32" s="104"/>
      <c r="AA32" s="103"/>
      <c r="AB32" s="106"/>
      <c r="AC32" s="103"/>
      <c r="AD32" s="103"/>
      <c r="AE32" s="103"/>
      <c r="AF32" s="116"/>
      <c r="AG32" s="106"/>
      <c r="AH32" s="106"/>
      <c r="AI32" s="106"/>
      <c r="AJ32" s="103"/>
      <c r="AK32" s="103"/>
      <c r="AL32" s="103"/>
      <c r="AM32" s="375"/>
      <c r="AN32" s="104"/>
      <c r="AO32" s="107"/>
      <c r="AP32" s="375"/>
      <c r="AQ32" s="104"/>
      <c r="AR32" s="105"/>
      <c r="AS32" s="106"/>
      <c r="AT32" s="103"/>
      <c r="AU32" s="106"/>
      <c r="AV32" s="394"/>
      <c r="AW32" s="106"/>
      <c r="AX32" s="103"/>
      <c r="AY32" s="106"/>
      <c r="AZ32" s="107"/>
      <c r="BA32" s="103"/>
      <c r="BB32" s="377"/>
      <c r="BC32" s="378"/>
      <c r="BD32" s="104"/>
      <c r="BE32" s="107"/>
      <c r="BF32" s="104"/>
      <c r="BG32" s="107"/>
      <c r="BH32" s="106"/>
      <c r="BI32" s="103"/>
      <c r="BJ32" s="103"/>
      <c r="BK32" s="103"/>
      <c r="BL32" s="116"/>
      <c r="BM32" s="106"/>
      <c r="BN32" s="103"/>
      <c r="BO32" s="104"/>
      <c r="BP32" s="103"/>
      <c r="BQ32" s="104"/>
      <c r="BR32" s="107"/>
      <c r="BS32" s="104"/>
      <c r="BT32" s="103"/>
      <c r="BU32" s="104"/>
      <c r="BV32" s="376"/>
      <c r="BW32" s="104"/>
      <c r="BX32" s="103"/>
      <c r="BY32" s="104"/>
      <c r="BZ32" s="103"/>
      <c r="CA32" s="103"/>
      <c r="CB32" s="103"/>
      <c r="CC32" s="365"/>
      <c r="CD32" s="367"/>
      <c r="CE32" s="367"/>
      <c r="CF32" s="367"/>
      <c r="CG32" s="366"/>
      <c r="CH32" s="367"/>
      <c r="CI32" s="379"/>
      <c r="CJ32" s="380"/>
      <c r="CK32" s="379"/>
      <c r="CL32" s="381"/>
      <c r="CM32" s="382"/>
      <c r="CN32" s="367"/>
      <c r="CO32" s="380"/>
      <c r="CP32" s="366"/>
      <c r="CQ32" s="367"/>
      <c r="CR32" s="383"/>
      <c r="CS32" s="367"/>
      <c r="CT32" s="366"/>
      <c r="CU32" s="367"/>
      <c r="CV32" s="366"/>
      <c r="CW32" s="366"/>
      <c r="CX32" s="379"/>
      <c r="CY32" s="384"/>
      <c r="CZ32" s="380"/>
      <c r="DA32" s="379"/>
      <c r="DB32" s="384"/>
      <c r="DC32" s="367"/>
      <c r="DD32" s="367"/>
      <c r="DE32" s="367"/>
      <c r="DF32" s="366"/>
      <c r="DG32" s="366"/>
      <c r="DH32" s="383"/>
      <c r="DI32" s="367"/>
      <c r="DJ32" s="367"/>
      <c r="DK32" s="367"/>
      <c r="DL32" s="367"/>
      <c r="DM32" s="366"/>
      <c r="DN32" s="367"/>
      <c r="DO32" s="379"/>
      <c r="DP32" s="380"/>
      <c r="DQ32" s="379"/>
      <c r="DR32" s="385"/>
      <c r="DS32" s="380"/>
      <c r="DT32" s="367"/>
      <c r="DU32" s="380"/>
      <c r="DV32" s="366"/>
      <c r="DW32" s="367"/>
      <c r="DX32" s="383"/>
      <c r="DY32" s="73"/>
      <c r="DZ32" s="73"/>
    </row>
    <row r="33" spans="1:130">
      <c r="A33" s="114"/>
      <c r="B33" s="51" t="s">
        <v>762</v>
      </c>
      <c r="C33" s="51"/>
      <c r="D33" s="51"/>
      <c r="E33" s="51"/>
      <c r="F33" s="92"/>
      <c r="G33" s="92"/>
      <c r="H33" s="51"/>
      <c r="I33" s="51"/>
      <c r="J33" s="51"/>
      <c r="K33" s="51"/>
      <c r="L33" s="92"/>
      <c r="M33" s="51"/>
      <c r="N33" s="51"/>
      <c r="O33" s="51"/>
      <c r="P33" s="82"/>
      <c r="Q33" s="51"/>
      <c r="R33" s="51"/>
      <c r="S33" s="51"/>
      <c r="T33" s="51"/>
      <c r="U33" s="51"/>
      <c r="V33" s="92"/>
      <c r="W33" s="92"/>
      <c r="X33" s="51"/>
      <c r="Y33" s="51"/>
      <c r="Z33" s="51"/>
      <c r="AA33" s="51"/>
      <c r="AB33" s="92"/>
      <c r="AC33" s="51"/>
      <c r="AD33" s="51"/>
      <c r="AE33" s="51"/>
      <c r="AF33" s="82"/>
      <c r="AG33" s="51"/>
      <c r="AH33" s="51"/>
      <c r="AI33" s="51"/>
      <c r="AJ33" s="51"/>
      <c r="AK33" s="51"/>
      <c r="AL33" s="92"/>
      <c r="AM33" s="92"/>
      <c r="AN33" s="51"/>
      <c r="AO33" s="51"/>
      <c r="AP33" s="51"/>
      <c r="AQ33" s="51"/>
      <c r="AR33" s="92"/>
      <c r="AS33" s="51"/>
      <c r="AT33" s="51"/>
      <c r="AU33" s="51"/>
      <c r="AV33" s="82"/>
      <c r="AW33" s="51"/>
      <c r="AX33" s="51"/>
      <c r="AY33" s="51"/>
      <c r="AZ33" s="51"/>
      <c r="BA33" s="51"/>
      <c r="BB33" s="92"/>
      <c r="BC33" s="92"/>
      <c r="BD33" s="51"/>
      <c r="BE33" s="51"/>
      <c r="BF33" s="51"/>
      <c r="BG33" s="51"/>
      <c r="BH33" s="92"/>
      <c r="BI33" s="51"/>
      <c r="BJ33" s="51"/>
      <c r="BK33" s="51"/>
      <c r="BL33" s="82"/>
      <c r="BM33" s="51"/>
      <c r="BN33" s="51"/>
      <c r="BO33" s="51"/>
      <c r="BP33" s="51"/>
      <c r="BQ33" s="51"/>
      <c r="BR33" s="92"/>
      <c r="BS33" s="92"/>
      <c r="BT33" s="51"/>
      <c r="BU33" s="51"/>
      <c r="BV33" s="51"/>
      <c r="BW33" s="51"/>
      <c r="BX33" s="92"/>
      <c r="BY33" s="51"/>
      <c r="BZ33" s="51"/>
      <c r="CA33" s="51"/>
      <c r="CB33" s="70"/>
      <c r="CC33" s="361"/>
      <c r="CD33" s="70"/>
      <c r="CE33" s="70"/>
      <c r="CF33" s="70"/>
      <c r="CG33" s="117"/>
      <c r="CH33" s="70"/>
      <c r="CI33" s="70"/>
      <c r="CJ33" s="70"/>
      <c r="CK33" s="70"/>
      <c r="CL33" s="117"/>
      <c r="CM33" s="117"/>
      <c r="CN33" s="70"/>
      <c r="CO33" s="70"/>
      <c r="CP33" s="70"/>
      <c r="CQ33" s="70"/>
      <c r="CR33" s="362"/>
      <c r="CS33" s="70"/>
      <c r="CT33" s="70"/>
      <c r="CU33" s="70"/>
      <c r="CV33" s="70"/>
      <c r="CW33" s="117"/>
      <c r="CX33" s="70"/>
      <c r="CY33" s="70"/>
      <c r="CZ33" s="70"/>
      <c r="DA33" s="70"/>
      <c r="DB33" s="117"/>
      <c r="DC33" s="117"/>
      <c r="DD33" s="70"/>
      <c r="DE33" s="70"/>
      <c r="DF33" s="70"/>
      <c r="DG33" s="70"/>
      <c r="DH33" s="362"/>
      <c r="DI33" s="70"/>
      <c r="DJ33" s="70"/>
      <c r="DK33" s="70"/>
      <c r="DL33" s="70"/>
      <c r="DM33" s="117"/>
      <c r="DN33" s="70"/>
      <c r="DO33" s="70"/>
      <c r="DP33" s="70"/>
      <c r="DQ33" s="70"/>
      <c r="DR33" s="117"/>
      <c r="DS33" s="117"/>
      <c r="DT33" s="70"/>
      <c r="DU33" s="70"/>
      <c r="DV33" s="70"/>
      <c r="DW33" s="70"/>
      <c r="DX33" s="362"/>
      <c r="DY33" s="93"/>
      <c r="DZ33" s="93"/>
    </row>
    <row r="34" spans="1:130">
      <c r="A34" s="92"/>
      <c r="B34" s="92"/>
      <c r="C34" s="92"/>
      <c r="D34" s="92"/>
      <c r="E34" s="92"/>
      <c r="F34" s="92"/>
      <c r="G34" s="92"/>
      <c r="H34" s="92"/>
      <c r="I34" s="92"/>
      <c r="J34" s="92"/>
      <c r="K34" s="92"/>
      <c r="L34" s="92"/>
      <c r="M34" s="92"/>
      <c r="N34" s="92"/>
      <c r="O34" s="92"/>
      <c r="P34" s="113"/>
      <c r="Q34" s="92"/>
      <c r="R34" s="92"/>
      <c r="S34" s="92"/>
      <c r="T34" s="92"/>
      <c r="U34" s="92"/>
      <c r="V34" s="92"/>
      <c r="W34" s="92"/>
      <c r="X34" s="92"/>
      <c r="Y34" s="92"/>
      <c r="Z34" s="92"/>
      <c r="AA34" s="92"/>
      <c r="AB34" s="92"/>
      <c r="AC34" s="92"/>
      <c r="AD34" s="92"/>
      <c r="AE34" s="92"/>
      <c r="AF34" s="113"/>
      <c r="AG34" s="92"/>
      <c r="AH34" s="92"/>
      <c r="AI34" s="92"/>
      <c r="AJ34" s="92"/>
      <c r="AK34" s="92"/>
      <c r="AL34" s="92"/>
      <c r="AM34" s="92"/>
      <c r="AN34" s="92"/>
      <c r="AO34" s="92"/>
      <c r="AP34" s="92"/>
      <c r="AQ34" s="92"/>
      <c r="AR34" s="92"/>
      <c r="AS34" s="92"/>
      <c r="AT34" s="92"/>
      <c r="AU34" s="92"/>
      <c r="AV34" s="113"/>
      <c r="AW34" s="92"/>
      <c r="AX34" s="92"/>
      <c r="AY34" s="92"/>
      <c r="AZ34" s="92"/>
      <c r="BA34" s="92"/>
      <c r="BB34" s="92"/>
      <c r="BC34" s="92"/>
      <c r="BD34" s="92"/>
      <c r="BE34" s="92"/>
      <c r="BF34" s="92"/>
      <c r="BG34" s="92"/>
      <c r="BH34" s="92"/>
      <c r="BI34" s="92"/>
      <c r="BJ34" s="92"/>
      <c r="BK34" s="92"/>
      <c r="BL34" s="113"/>
      <c r="BM34" s="92"/>
      <c r="BN34" s="92"/>
      <c r="BO34" s="92"/>
      <c r="BP34" s="92"/>
      <c r="BQ34" s="92"/>
      <c r="BR34" s="92"/>
      <c r="BS34" s="92"/>
      <c r="BT34" s="92"/>
      <c r="BU34" s="92"/>
      <c r="BV34" s="92"/>
      <c r="BW34" s="92"/>
      <c r="BX34" s="92"/>
      <c r="BY34" s="92"/>
      <c r="BZ34" s="92"/>
      <c r="CA34" s="92"/>
      <c r="CB34" s="117"/>
      <c r="CC34" s="363"/>
      <c r="CD34" s="117"/>
      <c r="CE34" s="117"/>
      <c r="CF34" s="117"/>
      <c r="CG34" s="117"/>
      <c r="CH34" s="117"/>
      <c r="CI34" s="117"/>
      <c r="CJ34" s="117"/>
      <c r="CK34" s="117"/>
      <c r="CL34" s="117"/>
      <c r="CM34" s="117"/>
      <c r="CN34" s="117"/>
      <c r="CO34" s="117"/>
      <c r="CP34" s="117"/>
      <c r="CQ34" s="117"/>
      <c r="CR34" s="364"/>
      <c r="CS34" s="117"/>
      <c r="CT34" s="117"/>
      <c r="CU34" s="117"/>
      <c r="CV34" s="117"/>
      <c r="CW34" s="117"/>
      <c r="CX34" s="117"/>
      <c r="CY34" s="117"/>
      <c r="CZ34" s="117"/>
      <c r="DA34" s="117"/>
      <c r="DB34" s="117"/>
      <c r="DC34" s="117"/>
      <c r="DD34" s="117"/>
      <c r="DE34" s="117"/>
      <c r="DF34" s="117"/>
      <c r="DG34" s="117"/>
      <c r="DH34" s="364"/>
      <c r="DI34" s="117"/>
      <c r="DJ34" s="117"/>
      <c r="DK34" s="117"/>
      <c r="DL34" s="117"/>
      <c r="DM34" s="117"/>
      <c r="DN34" s="117"/>
      <c r="DO34" s="117"/>
      <c r="DP34" s="117"/>
      <c r="DQ34" s="117"/>
      <c r="DR34" s="117"/>
      <c r="DS34" s="117"/>
      <c r="DT34" s="117"/>
      <c r="DU34" s="117"/>
      <c r="DV34" s="117"/>
      <c r="DW34" s="117"/>
      <c r="DX34" s="364"/>
      <c r="DY34" s="93"/>
      <c r="DZ34" s="93"/>
    </row>
    <row r="35" spans="1:130">
      <c r="A35" s="51"/>
      <c r="B35" s="92"/>
      <c r="C35" s="92"/>
      <c r="D35" s="92"/>
      <c r="E35" s="51"/>
      <c r="F35" s="92"/>
      <c r="G35" s="92"/>
      <c r="H35" s="92"/>
      <c r="I35" s="92"/>
      <c r="J35" s="92"/>
      <c r="K35" s="92"/>
      <c r="L35" s="92"/>
      <c r="M35" s="92"/>
      <c r="N35" s="92"/>
      <c r="O35" s="92"/>
      <c r="P35" s="113"/>
      <c r="Q35" s="51"/>
      <c r="R35" s="92"/>
      <c r="S35" s="92"/>
      <c r="T35" s="92"/>
      <c r="U35" s="51"/>
      <c r="V35" s="92"/>
      <c r="W35" s="92"/>
      <c r="X35" s="92"/>
      <c r="Y35" s="92"/>
      <c r="Z35" s="92"/>
      <c r="AA35" s="92"/>
      <c r="AB35" s="92"/>
      <c r="AC35" s="92"/>
      <c r="AD35" s="92"/>
      <c r="AE35" s="92"/>
      <c r="AF35" s="113"/>
      <c r="AG35" s="51"/>
      <c r="AH35" s="92"/>
      <c r="AI35" s="92"/>
      <c r="AJ35" s="92"/>
      <c r="AK35" s="51"/>
      <c r="AL35" s="92"/>
      <c r="AM35" s="92"/>
      <c r="AN35" s="92"/>
      <c r="AO35" s="92"/>
      <c r="AP35" s="92"/>
      <c r="AQ35" s="92"/>
      <c r="AR35" s="92"/>
      <c r="AS35" s="92"/>
      <c r="AT35" s="92"/>
      <c r="AU35" s="92"/>
      <c r="AV35" s="113"/>
      <c r="AW35" s="51"/>
      <c r="AX35" s="92"/>
      <c r="AY35" s="92"/>
      <c r="AZ35" s="92"/>
      <c r="BA35" s="51"/>
      <c r="BB35" s="92"/>
      <c r="BC35" s="92"/>
      <c r="BD35" s="92"/>
      <c r="BE35" s="92"/>
      <c r="BF35" s="92"/>
      <c r="BG35" s="92"/>
      <c r="BH35" s="92"/>
      <c r="BI35" s="92"/>
      <c r="BJ35" s="92"/>
      <c r="BK35" s="92"/>
      <c r="BL35" s="113"/>
      <c r="BM35" s="51"/>
      <c r="BN35" s="92"/>
      <c r="BO35" s="92"/>
      <c r="BP35" s="92"/>
      <c r="BQ35" s="51"/>
      <c r="BR35" s="92"/>
      <c r="BS35" s="92"/>
      <c r="BT35" s="92"/>
      <c r="BU35" s="92"/>
      <c r="BV35" s="92"/>
      <c r="BW35" s="92"/>
      <c r="BX35" s="92"/>
      <c r="BY35" s="92"/>
      <c r="BZ35" s="92"/>
      <c r="CA35" s="92"/>
      <c r="CB35" s="117"/>
      <c r="CC35" s="363"/>
      <c r="CD35" s="117"/>
      <c r="CE35" s="117"/>
      <c r="CF35" s="117"/>
      <c r="CG35" s="117"/>
      <c r="CH35" s="117"/>
      <c r="CI35" s="117"/>
      <c r="CJ35" s="117"/>
      <c r="CK35" s="117"/>
      <c r="CL35" s="117"/>
      <c r="CM35" s="117"/>
      <c r="CN35" s="70"/>
      <c r="CO35" s="117"/>
      <c r="CP35" s="117"/>
      <c r="CQ35" s="117"/>
      <c r="CR35" s="362"/>
      <c r="CS35" s="117"/>
      <c r="CT35" s="117"/>
      <c r="CU35" s="117"/>
      <c r="CV35" s="117"/>
      <c r="CW35" s="117"/>
      <c r="CX35" s="117"/>
      <c r="CY35" s="117"/>
      <c r="CZ35" s="117"/>
      <c r="DA35" s="117"/>
      <c r="DB35" s="117"/>
      <c r="DC35" s="117"/>
      <c r="DD35" s="70"/>
      <c r="DE35" s="117"/>
      <c r="DF35" s="117"/>
      <c r="DG35" s="117"/>
      <c r="DH35" s="362"/>
      <c r="DI35" s="117"/>
      <c r="DJ35" s="117"/>
      <c r="DK35" s="117"/>
      <c r="DL35" s="117"/>
      <c r="DM35" s="117"/>
      <c r="DN35" s="117"/>
      <c r="DO35" s="117"/>
      <c r="DP35" s="117"/>
      <c r="DQ35" s="117"/>
      <c r="DR35" s="117"/>
      <c r="DS35" s="117"/>
      <c r="DT35" s="70"/>
      <c r="DU35" s="117"/>
      <c r="DV35" s="117"/>
      <c r="DW35" s="117"/>
      <c r="DX35" s="362"/>
      <c r="DY35" s="93"/>
      <c r="DZ35" s="93"/>
    </row>
    <row r="36" spans="1:130">
      <c r="A36" s="92"/>
      <c r="B36" s="92"/>
      <c r="C36" s="92"/>
      <c r="D36" s="92"/>
      <c r="E36" s="51"/>
      <c r="F36" s="92"/>
      <c r="G36" s="92"/>
      <c r="H36" s="92"/>
      <c r="I36" s="92"/>
      <c r="J36" s="92"/>
      <c r="K36" s="92"/>
      <c r="L36" s="92"/>
      <c r="M36" s="92"/>
      <c r="N36" s="92"/>
      <c r="O36" s="92"/>
      <c r="P36" s="113"/>
      <c r="Q36" s="92"/>
      <c r="R36" s="92"/>
      <c r="S36" s="92"/>
      <c r="T36" s="92"/>
      <c r="U36" s="51"/>
      <c r="V36" s="92"/>
      <c r="W36" s="92"/>
      <c r="X36" s="92"/>
      <c r="Y36" s="92"/>
      <c r="Z36" s="92"/>
      <c r="AA36" s="92"/>
      <c r="AB36" s="92"/>
      <c r="AC36" s="92"/>
      <c r="AD36" s="92"/>
      <c r="AE36" s="92"/>
      <c r="AF36" s="113"/>
      <c r="AG36" s="92"/>
      <c r="AH36" s="92"/>
      <c r="AI36" s="92"/>
      <c r="AJ36" s="92"/>
      <c r="AK36" s="51"/>
      <c r="AL36" s="92"/>
      <c r="AM36" s="92"/>
      <c r="AN36" s="92"/>
      <c r="AO36" s="92"/>
      <c r="AP36" s="92"/>
      <c r="AQ36" s="92"/>
      <c r="AR36" s="92"/>
      <c r="AS36" s="92"/>
      <c r="AT36" s="92"/>
      <c r="AU36" s="92"/>
      <c r="AV36" s="113"/>
      <c r="AW36" s="92"/>
      <c r="AX36" s="92"/>
      <c r="AY36" s="92"/>
      <c r="AZ36" s="92"/>
      <c r="BA36" s="51"/>
      <c r="BB36" s="92"/>
      <c r="BC36" s="92"/>
      <c r="BD36" s="92"/>
      <c r="BE36" s="92"/>
      <c r="BF36" s="92"/>
      <c r="BG36" s="92"/>
      <c r="BH36" s="92"/>
      <c r="BI36" s="92"/>
      <c r="BJ36" s="92"/>
      <c r="BK36" s="92"/>
      <c r="BL36" s="113"/>
      <c r="BM36" s="92"/>
      <c r="BN36" s="92"/>
      <c r="BO36" s="92"/>
      <c r="BP36" s="92"/>
      <c r="BQ36" s="51"/>
      <c r="BR36" s="92"/>
      <c r="BS36" s="92"/>
      <c r="BT36" s="92"/>
      <c r="BU36" s="92"/>
      <c r="BV36" s="92"/>
      <c r="BW36" s="92"/>
      <c r="BX36" s="92"/>
      <c r="BY36" s="92"/>
      <c r="BZ36" s="92"/>
      <c r="CA36" s="92"/>
      <c r="CB36" s="117"/>
      <c r="CC36" s="363"/>
      <c r="CD36" s="117"/>
      <c r="CE36" s="117"/>
      <c r="CF36" s="117"/>
      <c r="CG36" s="117"/>
      <c r="CH36" s="117"/>
      <c r="CI36" s="117"/>
      <c r="CJ36" s="117"/>
      <c r="CK36" s="117"/>
      <c r="CL36" s="117"/>
      <c r="CM36" s="117"/>
      <c r="CN36" s="70"/>
      <c r="CO36" s="117"/>
      <c r="CP36" s="117"/>
      <c r="CQ36" s="117"/>
      <c r="CR36" s="364"/>
      <c r="CS36" s="117"/>
      <c r="CT36" s="117"/>
      <c r="CU36" s="117"/>
      <c r="CV36" s="117"/>
      <c r="CW36" s="117"/>
      <c r="CX36" s="117"/>
      <c r="CY36" s="117"/>
      <c r="CZ36" s="117"/>
      <c r="DA36" s="117"/>
      <c r="DB36" s="117"/>
      <c r="DC36" s="117"/>
      <c r="DD36" s="70"/>
      <c r="DE36" s="117"/>
      <c r="DF36" s="117"/>
      <c r="DG36" s="117"/>
      <c r="DH36" s="364"/>
      <c r="DI36" s="117"/>
      <c r="DJ36" s="117"/>
      <c r="DK36" s="117"/>
      <c r="DL36" s="117"/>
      <c r="DM36" s="117"/>
      <c r="DN36" s="117"/>
      <c r="DO36" s="117"/>
      <c r="DP36" s="117"/>
      <c r="DQ36" s="117"/>
      <c r="DR36" s="117"/>
      <c r="DS36" s="117"/>
      <c r="DT36" s="70"/>
      <c r="DU36" s="117"/>
      <c r="DV36" s="117"/>
      <c r="DW36" s="117"/>
      <c r="DX36" s="364"/>
      <c r="DY36" s="93"/>
      <c r="DZ36" s="93"/>
    </row>
    <row r="37" spans="1:130">
      <c r="A37" s="51"/>
      <c r="B37" s="92"/>
      <c r="C37" s="92"/>
      <c r="D37" s="92"/>
      <c r="E37" s="51"/>
      <c r="F37" s="92"/>
      <c r="G37" s="92"/>
      <c r="H37" s="92"/>
      <c r="I37" s="92"/>
      <c r="J37" s="92"/>
      <c r="K37" s="92"/>
      <c r="L37" s="92"/>
      <c r="M37" s="92"/>
      <c r="N37" s="92"/>
      <c r="O37" s="92"/>
      <c r="P37" s="113"/>
      <c r="Q37" s="51"/>
      <c r="R37" s="92"/>
      <c r="S37" s="92"/>
      <c r="T37" s="92"/>
      <c r="U37" s="51"/>
      <c r="V37" s="92"/>
      <c r="W37" s="92"/>
      <c r="X37" s="92"/>
      <c r="Y37" s="92"/>
      <c r="Z37" s="92"/>
      <c r="AA37" s="92"/>
      <c r="AB37" s="92"/>
      <c r="AC37" s="92"/>
      <c r="AD37" s="92"/>
      <c r="AE37" s="92"/>
      <c r="AF37" s="113"/>
      <c r="AG37" s="51"/>
      <c r="AH37" s="92"/>
      <c r="AI37" s="92"/>
      <c r="AJ37" s="92"/>
      <c r="AK37" s="51"/>
      <c r="AL37" s="92"/>
      <c r="AM37" s="92"/>
      <c r="AN37" s="92"/>
      <c r="AO37" s="92"/>
      <c r="AP37" s="92"/>
      <c r="AQ37" s="92"/>
      <c r="AR37" s="92"/>
      <c r="AS37" s="92"/>
      <c r="AT37" s="92"/>
      <c r="AU37" s="92"/>
      <c r="AV37" s="113"/>
      <c r="AW37" s="51"/>
      <c r="AX37" s="92"/>
      <c r="AY37" s="92"/>
      <c r="AZ37" s="92"/>
      <c r="BA37" s="51"/>
      <c r="BB37" s="92"/>
      <c r="BC37" s="92"/>
      <c r="BD37" s="92"/>
      <c r="BE37" s="92"/>
      <c r="BF37" s="92"/>
      <c r="BG37" s="92"/>
      <c r="BH37" s="92"/>
      <c r="BI37" s="92"/>
      <c r="BJ37" s="92"/>
      <c r="BK37" s="92"/>
      <c r="BL37" s="113"/>
      <c r="BM37" s="51"/>
      <c r="BN37" s="92"/>
      <c r="BO37" s="92"/>
      <c r="BP37" s="92"/>
      <c r="BQ37" s="51"/>
      <c r="BR37" s="92"/>
      <c r="BS37" s="92"/>
      <c r="BT37" s="92"/>
      <c r="BU37" s="92"/>
      <c r="BV37" s="92"/>
      <c r="BW37" s="92"/>
      <c r="BX37" s="92"/>
      <c r="BY37" s="92"/>
      <c r="BZ37" s="92"/>
      <c r="CA37" s="92"/>
      <c r="CB37" s="117"/>
      <c r="CC37" s="363"/>
      <c r="CD37" s="117"/>
      <c r="CE37" s="117"/>
      <c r="CF37" s="117"/>
      <c r="CG37" s="117"/>
      <c r="CH37" s="117"/>
      <c r="CI37" s="117"/>
      <c r="CJ37" s="117"/>
      <c r="CK37" s="117"/>
      <c r="CL37" s="117"/>
      <c r="CM37" s="117"/>
      <c r="CN37" s="70"/>
      <c r="CO37" s="117"/>
      <c r="CP37" s="117"/>
      <c r="CQ37" s="117"/>
      <c r="CR37" s="362"/>
      <c r="CS37" s="117"/>
      <c r="CT37" s="117"/>
      <c r="CU37" s="117"/>
      <c r="CV37" s="117"/>
      <c r="CW37" s="117"/>
      <c r="CX37" s="117"/>
      <c r="CY37" s="117"/>
      <c r="CZ37" s="117"/>
      <c r="DA37" s="117"/>
      <c r="DB37" s="117"/>
      <c r="DC37" s="117"/>
      <c r="DD37" s="70"/>
      <c r="DE37" s="117"/>
      <c r="DF37" s="117"/>
      <c r="DG37" s="117"/>
      <c r="DH37" s="362"/>
      <c r="DI37" s="117"/>
      <c r="DJ37" s="117"/>
      <c r="DK37" s="117"/>
      <c r="DL37" s="117"/>
      <c r="DM37" s="117"/>
      <c r="DN37" s="117"/>
      <c r="DO37" s="117"/>
      <c r="DP37" s="117"/>
      <c r="DQ37" s="117"/>
      <c r="DR37" s="117"/>
      <c r="DS37" s="117"/>
      <c r="DT37" s="70"/>
      <c r="DU37" s="117"/>
      <c r="DV37" s="117"/>
      <c r="DW37" s="117"/>
      <c r="DX37" s="362"/>
      <c r="DY37" s="93"/>
      <c r="DZ37" s="93"/>
    </row>
    <row r="38" spans="1:130">
      <c r="A38" s="51"/>
      <c r="B38" s="51"/>
      <c r="C38" s="51"/>
      <c r="D38" s="51"/>
      <c r="E38" s="51"/>
      <c r="F38" s="51"/>
      <c r="G38" s="51"/>
      <c r="H38" s="51"/>
      <c r="I38" s="51"/>
      <c r="J38" s="51"/>
      <c r="K38" s="51"/>
      <c r="L38" s="51"/>
      <c r="M38" s="51"/>
      <c r="N38" s="51"/>
      <c r="O38" s="51"/>
      <c r="P38" s="82"/>
      <c r="Q38" s="51"/>
      <c r="R38" s="51"/>
      <c r="S38" s="51"/>
      <c r="T38" s="51"/>
      <c r="U38" s="51"/>
      <c r="V38" s="51"/>
      <c r="W38" s="51"/>
      <c r="X38" s="51"/>
      <c r="Y38" s="51"/>
      <c r="Z38" s="51"/>
      <c r="AA38" s="51"/>
      <c r="AB38" s="51"/>
      <c r="AC38" s="51"/>
      <c r="AD38" s="51"/>
      <c r="AE38" s="51"/>
      <c r="AF38" s="82"/>
      <c r="AG38" s="51"/>
      <c r="AH38" s="51"/>
      <c r="AI38" s="51"/>
      <c r="AJ38" s="51"/>
      <c r="AK38" s="51"/>
      <c r="AL38" s="51"/>
      <c r="AM38" s="51"/>
      <c r="AN38" s="51"/>
      <c r="AO38" s="51"/>
      <c r="AP38" s="51"/>
      <c r="AQ38" s="51"/>
      <c r="AR38" s="51"/>
      <c r="AS38" s="51"/>
      <c r="AT38" s="51"/>
      <c r="AU38" s="51"/>
      <c r="AV38" s="82"/>
      <c r="AW38" s="51"/>
      <c r="AX38" s="51"/>
      <c r="AY38" s="51"/>
      <c r="AZ38" s="51"/>
      <c r="BA38" s="51"/>
      <c r="BB38" s="51"/>
      <c r="BC38" s="51"/>
      <c r="BD38" s="51"/>
      <c r="BE38" s="51"/>
      <c r="BF38" s="51"/>
      <c r="BG38" s="51"/>
      <c r="BH38" s="51"/>
      <c r="BI38" s="51"/>
      <c r="BJ38" s="51"/>
      <c r="BK38" s="51"/>
      <c r="BL38" s="82"/>
      <c r="BM38" s="51"/>
      <c r="BN38" s="51"/>
      <c r="BO38" s="51"/>
      <c r="BP38" s="51"/>
      <c r="BQ38" s="51"/>
      <c r="BR38" s="51"/>
      <c r="BS38" s="51"/>
      <c r="BT38" s="51"/>
      <c r="BU38" s="51"/>
      <c r="BV38" s="51"/>
      <c r="BW38" s="51"/>
      <c r="BX38" s="51"/>
      <c r="BY38" s="51"/>
      <c r="BZ38" s="51"/>
      <c r="CA38" s="51"/>
      <c r="CB38" s="70"/>
      <c r="CC38" s="361"/>
      <c r="CD38" s="70"/>
      <c r="CE38" s="70"/>
      <c r="CF38" s="70"/>
      <c r="CG38" s="70"/>
      <c r="CH38" s="70"/>
      <c r="CI38" s="70"/>
      <c r="CJ38" s="70"/>
      <c r="CK38" s="70"/>
      <c r="CL38" s="70"/>
      <c r="CM38" s="70"/>
      <c r="CN38" s="70"/>
      <c r="CO38" s="70"/>
      <c r="CP38" s="70"/>
      <c r="CQ38" s="70"/>
      <c r="CR38" s="362"/>
      <c r="CS38" s="70"/>
      <c r="CT38" s="70"/>
      <c r="CU38" s="70"/>
      <c r="CV38" s="70"/>
      <c r="CW38" s="70"/>
      <c r="CX38" s="70"/>
      <c r="CY38" s="70"/>
      <c r="CZ38" s="70"/>
      <c r="DA38" s="70"/>
      <c r="DB38" s="70"/>
      <c r="DC38" s="70"/>
      <c r="DD38" s="70"/>
      <c r="DE38" s="70"/>
      <c r="DF38" s="70"/>
      <c r="DG38" s="70"/>
      <c r="DH38" s="362"/>
      <c r="DI38" s="70"/>
      <c r="DJ38" s="70"/>
      <c r="DK38" s="70"/>
      <c r="DL38" s="70"/>
      <c r="DM38" s="70"/>
      <c r="DN38" s="70"/>
      <c r="DO38" s="70"/>
      <c r="DP38" s="70"/>
      <c r="DQ38" s="70"/>
      <c r="DR38" s="70"/>
      <c r="DS38" s="70"/>
      <c r="DT38" s="70"/>
      <c r="DU38" s="70"/>
      <c r="DV38" s="70"/>
      <c r="DW38" s="70"/>
      <c r="DX38" s="362"/>
      <c r="DY38" s="93"/>
      <c r="DZ38" s="93"/>
    </row>
    <row r="39" spans="1:130">
      <c r="A39" s="51"/>
      <c r="B39" s="92"/>
      <c r="C39" s="92"/>
      <c r="D39" s="92"/>
      <c r="E39" s="92"/>
      <c r="F39" s="92"/>
      <c r="G39" s="92"/>
      <c r="H39" s="92"/>
      <c r="I39" s="92"/>
      <c r="J39" s="92"/>
      <c r="K39" s="51"/>
      <c r="L39" s="92"/>
      <c r="M39" s="92"/>
      <c r="N39" s="92"/>
      <c r="O39" s="92"/>
      <c r="P39" s="113"/>
      <c r="Q39" s="51"/>
      <c r="R39" s="92"/>
      <c r="S39" s="92"/>
      <c r="T39" s="92"/>
      <c r="U39" s="92"/>
      <c r="V39" s="92"/>
      <c r="W39" s="92"/>
      <c r="X39" s="92"/>
      <c r="Y39" s="92"/>
      <c r="Z39" s="92"/>
      <c r="AA39" s="51"/>
      <c r="AB39" s="92"/>
      <c r="AC39" s="92"/>
      <c r="AD39" s="92"/>
      <c r="AE39" s="92"/>
      <c r="AF39" s="113"/>
      <c r="AG39" s="51"/>
      <c r="AH39" s="92"/>
      <c r="AI39" s="92"/>
      <c r="AJ39" s="92"/>
      <c r="AK39" s="92"/>
      <c r="AL39" s="92"/>
      <c r="AM39" s="92"/>
      <c r="AN39" s="92"/>
      <c r="AO39" s="92"/>
      <c r="AP39" s="92"/>
      <c r="AQ39" s="51"/>
      <c r="AR39" s="92"/>
      <c r="AS39" s="92"/>
      <c r="AT39" s="92"/>
      <c r="AU39" s="92"/>
      <c r="AV39" s="113"/>
      <c r="AW39" s="51"/>
      <c r="AX39" s="92"/>
      <c r="AY39" s="92"/>
      <c r="AZ39" s="92"/>
      <c r="BA39" s="92"/>
      <c r="BB39" s="92"/>
      <c r="BC39" s="92"/>
      <c r="BD39" s="92"/>
      <c r="BE39" s="92"/>
      <c r="BF39" s="92"/>
      <c r="BG39" s="51"/>
      <c r="BH39" s="92"/>
      <c r="BI39" s="92"/>
      <c r="BJ39" s="92"/>
      <c r="BK39" s="92"/>
      <c r="BL39" s="113"/>
      <c r="BM39" s="51"/>
      <c r="BN39" s="92"/>
      <c r="BO39" s="92"/>
      <c r="BP39" s="92"/>
      <c r="BQ39" s="92"/>
      <c r="BR39" s="92"/>
      <c r="BS39" s="92"/>
      <c r="BT39" s="92"/>
      <c r="BU39" s="92"/>
      <c r="BV39" s="92"/>
      <c r="BW39" s="51"/>
      <c r="BX39" s="92"/>
      <c r="BY39" s="92"/>
      <c r="BZ39" s="92"/>
      <c r="CA39" s="92"/>
      <c r="CB39" s="117"/>
      <c r="CC39" s="363"/>
      <c r="CD39" s="117"/>
      <c r="CE39" s="117"/>
      <c r="CF39" s="117"/>
      <c r="CG39" s="117"/>
      <c r="CH39" s="70"/>
      <c r="CI39" s="117"/>
      <c r="CJ39" s="117"/>
      <c r="CK39" s="117"/>
      <c r="CL39" s="117"/>
      <c r="CM39" s="117"/>
      <c r="CN39" s="117"/>
      <c r="CO39" s="117"/>
      <c r="CP39" s="117"/>
      <c r="CQ39" s="117"/>
      <c r="CR39" s="362"/>
      <c r="CS39" s="117"/>
      <c r="CT39" s="117"/>
      <c r="CU39" s="117"/>
      <c r="CV39" s="117"/>
      <c r="CW39" s="117"/>
      <c r="CX39" s="70"/>
      <c r="CY39" s="117"/>
      <c r="CZ39" s="117"/>
      <c r="DA39" s="117"/>
      <c r="DB39" s="117"/>
      <c r="DC39" s="117"/>
      <c r="DD39" s="117"/>
      <c r="DE39" s="117"/>
      <c r="DF39" s="117"/>
      <c r="DG39" s="117"/>
      <c r="DH39" s="362"/>
      <c r="DI39" s="117"/>
      <c r="DJ39" s="117"/>
      <c r="DK39" s="117"/>
      <c r="DL39" s="117"/>
      <c r="DM39" s="117"/>
      <c r="DN39" s="70"/>
      <c r="DO39" s="117"/>
      <c r="DP39" s="117"/>
      <c r="DQ39" s="117"/>
      <c r="DR39" s="117"/>
      <c r="DS39" s="117"/>
      <c r="DT39" s="117"/>
      <c r="DU39" s="117"/>
      <c r="DV39" s="117"/>
      <c r="DW39" s="117"/>
      <c r="DX39" s="362"/>
      <c r="DY39" s="93"/>
      <c r="DZ39" s="93"/>
    </row>
    <row r="40" spans="1:130">
      <c r="A40" s="51"/>
      <c r="B40" s="92"/>
      <c r="C40" s="92"/>
      <c r="D40" s="92"/>
      <c r="E40" s="92"/>
      <c r="F40" s="92"/>
      <c r="G40" s="92"/>
      <c r="H40" s="92"/>
      <c r="I40" s="92"/>
      <c r="J40" s="92"/>
      <c r="K40" s="51"/>
      <c r="L40" s="92"/>
      <c r="M40" s="92"/>
      <c r="N40" s="92"/>
      <c r="O40" s="92"/>
      <c r="P40" s="113"/>
      <c r="Q40" s="51"/>
      <c r="R40" s="92"/>
      <c r="S40" s="92"/>
      <c r="T40" s="92"/>
      <c r="U40" s="92"/>
      <c r="V40" s="92"/>
      <c r="W40" s="92"/>
      <c r="X40" s="92"/>
      <c r="Y40" s="92"/>
      <c r="Z40" s="92"/>
      <c r="AA40" s="51"/>
      <c r="AB40" s="92"/>
      <c r="AC40" s="92"/>
      <c r="AD40" s="92"/>
      <c r="AE40" s="92"/>
      <c r="AF40" s="113"/>
      <c r="AG40" s="51"/>
      <c r="AH40" s="92"/>
      <c r="AI40" s="92"/>
      <c r="AJ40" s="92"/>
      <c r="AK40" s="92"/>
      <c r="AL40" s="92"/>
      <c r="AM40" s="92"/>
      <c r="AN40" s="92"/>
      <c r="AO40" s="92"/>
      <c r="AP40" s="92"/>
      <c r="AQ40" s="51"/>
      <c r="AR40" s="92"/>
      <c r="AS40" s="92"/>
      <c r="AT40" s="92"/>
      <c r="AU40" s="92"/>
      <c r="AV40" s="113"/>
      <c r="AW40" s="51"/>
      <c r="AX40" s="92"/>
      <c r="AY40" s="92"/>
      <c r="AZ40" s="92"/>
      <c r="BA40" s="92"/>
      <c r="BB40" s="92"/>
      <c r="BC40" s="92"/>
      <c r="BD40" s="92"/>
      <c r="BE40" s="92"/>
      <c r="BF40" s="92"/>
      <c r="BG40" s="51"/>
      <c r="BH40" s="92"/>
      <c r="BI40" s="92"/>
      <c r="BJ40" s="92"/>
      <c r="BK40" s="92"/>
      <c r="BL40" s="113"/>
      <c r="BM40" s="51"/>
      <c r="BN40" s="92"/>
      <c r="BO40" s="92"/>
      <c r="BP40" s="92"/>
      <c r="BQ40" s="92"/>
      <c r="BR40" s="92"/>
      <c r="BS40" s="92"/>
      <c r="BT40" s="92"/>
      <c r="BU40" s="92"/>
      <c r="BV40" s="92"/>
      <c r="BW40" s="51"/>
      <c r="BX40" s="92"/>
      <c r="BY40" s="92"/>
      <c r="BZ40" s="92"/>
      <c r="CA40" s="92"/>
      <c r="CB40" s="117"/>
      <c r="CC40" s="363"/>
      <c r="CD40" s="117"/>
      <c r="CE40" s="117"/>
      <c r="CF40" s="117"/>
      <c r="CG40" s="117"/>
      <c r="CH40" s="70"/>
      <c r="CI40" s="117"/>
      <c r="CJ40" s="117"/>
      <c r="CK40" s="117"/>
      <c r="CL40" s="117"/>
      <c r="CM40" s="117"/>
      <c r="CN40" s="117"/>
      <c r="CO40" s="117"/>
      <c r="CP40" s="117"/>
      <c r="CQ40" s="117"/>
      <c r="CR40" s="362"/>
      <c r="CS40" s="117"/>
      <c r="CT40" s="117"/>
      <c r="CU40" s="117"/>
      <c r="CV40" s="117"/>
      <c r="CW40" s="117"/>
      <c r="CX40" s="70"/>
      <c r="CY40" s="117"/>
      <c r="CZ40" s="117"/>
      <c r="DA40" s="117"/>
      <c r="DB40" s="117"/>
      <c r="DC40" s="117"/>
      <c r="DD40" s="117"/>
      <c r="DE40" s="117"/>
      <c r="DF40" s="117"/>
      <c r="DG40" s="117"/>
      <c r="DH40" s="362"/>
      <c r="DI40" s="117"/>
      <c r="DJ40" s="117"/>
      <c r="DK40" s="117"/>
      <c r="DL40" s="117"/>
      <c r="DM40" s="117"/>
      <c r="DN40" s="70"/>
      <c r="DO40" s="117"/>
      <c r="DP40" s="117"/>
      <c r="DQ40" s="117"/>
      <c r="DR40" s="117"/>
      <c r="DS40" s="117"/>
      <c r="DT40" s="117"/>
      <c r="DU40" s="117"/>
      <c r="DV40" s="117"/>
      <c r="DW40" s="117"/>
      <c r="DX40" s="362"/>
      <c r="DY40" s="93"/>
      <c r="DZ40" s="93"/>
    </row>
    <row r="41" spans="1:130">
      <c r="A41" s="51"/>
      <c r="B41" s="92"/>
      <c r="C41" s="92"/>
      <c r="D41" s="92"/>
      <c r="E41" s="92"/>
      <c r="F41" s="92"/>
      <c r="G41" s="92"/>
      <c r="H41" s="92"/>
      <c r="I41" s="92"/>
      <c r="J41" s="92"/>
      <c r="K41" s="51"/>
      <c r="L41" s="92"/>
      <c r="M41" s="92"/>
      <c r="N41" s="92"/>
      <c r="O41" s="92"/>
      <c r="P41" s="113"/>
      <c r="Q41" s="51"/>
      <c r="R41" s="92"/>
      <c r="S41" s="92"/>
      <c r="T41" s="92"/>
      <c r="U41" s="92"/>
      <c r="V41" s="92"/>
      <c r="W41" s="92"/>
      <c r="X41" s="92"/>
      <c r="Y41" s="92"/>
      <c r="Z41" s="92"/>
      <c r="AA41" s="51"/>
      <c r="AB41" s="92"/>
      <c r="AC41" s="92"/>
      <c r="AD41" s="92"/>
      <c r="AE41" s="92"/>
      <c r="AF41" s="113"/>
      <c r="AG41" s="51"/>
      <c r="AH41" s="92"/>
      <c r="AI41" s="92"/>
      <c r="AJ41" s="92"/>
      <c r="AK41" s="92"/>
      <c r="AL41" s="92"/>
      <c r="AM41" s="92"/>
      <c r="AN41" s="92"/>
      <c r="AO41" s="92"/>
      <c r="AP41" s="92"/>
      <c r="AQ41" s="51"/>
      <c r="AR41" s="92"/>
      <c r="AS41" s="92"/>
      <c r="AT41" s="92"/>
      <c r="AU41" s="92"/>
      <c r="AV41" s="113"/>
      <c r="AW41" s="51"/>
      <c r="AX41" s="92"/>
      <c r="AY41" s="92"/>
      <c r="AZ41" s="92"/>
      <c r="BA41" s="92"/>
      <c r="BB41" s="92"/>
      <c r="BC41" s="92"/>
      <c r="BD41" s="92"/>
      <c r="BE41" s="92"/>
      <c r="BF41" s="92"/>
      <c r="BG41" s="51"/>
      <c r="BH41" s="92"/>
      <c r="BI41" s="92"/>
      <c r="BJ41" s="92"/>
      <c r="BK41" s="92"/>
      <c r="BL41" s="113"/>
      <c r="BM41" s="51"/>
      <c r="BN41" s="92"/>
      <c r="BO41" s="92"/>
      <c r="BP41" s="92"/>
      <c r="BQ41" s="92"/>
      <c r="BR41" s="92"/>
      <c r="BS41" s="92"/>
      <c r="BT41" s="92"/>
      <c r="BU41" s="92"/>
      <c r="BV41" s="92"/>
      <c r="BW41" s="51"/>
      <c r="BX41" s="92"/>
      <c r="BY41" s="92"/>
      <c r="BZ41" s="92"/>
      <c r="CA41" s="92"/>
      <c r="CB41" s="117"/>
      <c r="CC41" s="363"/>
      <c r="CD41" s="117"/>
      <c r="CE41" s="117"/>
      <c r="CF41" s="117"/>
      <c r="CG41" s="117"/>
      <c r="CH41" s="70"/>
      <c r="CI41" s="117"/>
      <c r="CJ41" s="117"/>
      <c r="CK41" s="117"/>
      <c r="CL41" s="117"/>
      <c r="CM41" s="117"/>
      <c r="CN41" s="117"/>
      <c r="CO41" s="117"/>
      <c r="CP41" s="117"/>
      <c r="CQ41" s="117"/>
      <c r="CR41" s="362"/>
      <c r="CS41" s="117"/>
      <c r="CT41" s="117"/>
      <c r="CU41" s="117"/>
      <c r="CV41" s="117"/>
      <c r="CW41" s="117"/>
      <c r="CX41" s="70"/>
      <c r="CY41" s="117"/>
      <c r="CZ41" s="117"/>
      <c r="DA41" s="117"/>
      <c r="DB41" s="117"/>
      <c r="DC41" s="117"/>
      <c r="DD41" s="117"/>
      <c r="DE41" s="117"/>
      <c r="DF41" s="117"/>
      <c r="DG41" s="117"/>
      <c r="DH41" s="362"/>
      <c r="DI41" s="117"/>
      <c r="DJ41" s="117"/>
      <c r="DK41" s="117"/>
      <c r="DL41" s="117"/>
      <c r="DM41" s="117"/>
      <c r="DN41" s="70"/>
      <c r="DO41" s="117"/>
      <c r="DP41" s="117"/>
      <c r="DQ41" s="117"/>
      <c r="DR41" s="117"/>
      <c r="DS41" s="117"/>
      <c r="DT41" s="117"/>
      <c r="DU41" s="117"/>
      <c r="DV41" s="117"/>
      <c r="DW41" s="117"/>
      <c r="DX41" s="362"/>
      <c r="DY41" s="93"/>
      <c r="DZ41" s="93"/>
    </row>
    <row r="42" spans="1:130">
      <c r="A42" s="51"/>
      <c r="B42" s="51"/>
      <c r="C42" s="51"/>
      <c r="D42" s="92"/>
      <c r="E42" s="92"/>
      <c r="F42" s="92"/>
      <c r="G42" s="92"/>
      <c r="H42" s="92"/>
      <c r="I42" s="92"/>
      <c r="J42" s="92"/>
      <c r="K42" s="51"/>
      <c r="L42" s="92"/>
      <c r="M42" s="51"/>
      <c r="N42" s="51"/>
      <c r="O42" s="51"/>
      <c r="P42" s="82"/>
      <c r="Q42" s="51"/>
      <c r="R42" s="92"/>
      <c r="S42" s="92"/>
      <c r="T42" s="92"/>
      <c r="U42" s="92"/>
      <c r="V42" s="92"/>
      <c r="W42" s="92"/>
      <c r="X42" s="92"/>
      <c r="Y42" s="92"/>
      <c r="Z42" s="92"/>
      <c r="AA42" s="51"/>
      <c r="AB42" s="92"/>
      <c r="AC42" s="92"/>
      <c r="AD42" s="92"/>
      <c r="AE42" s="51"/>
      <c r="AF42" s="82"/>
      <c r="AG42" s="51"/>
      <c r="AH42" s="92"/>
      <c r="AI42" s="92"/>
      <c r="AJ42" s="92"/>
      <c r="AK42" s="92"/>
      <c r="AL42" s="92"/>
      <c r="AM42" s="92"/>
      <c r="AN42" s="92"/>
      <c r="AO42" s="92"/>
      <c r="AP42" s="92"/>
      <c r="AQ42" s="51"/>
      <c r="AR42" s="92"/>
      <c r="AS42" s="92"/>
      <c r="AT42" s="92"/>
      <c r="AU42" s="92"/>
      <c r="AV42" s="113"/>
      <c r="AW42" s="51"/>
      <c r="AX42" s="51"/>
      <c r="AY42" s="51"/>
      <c r="AZ42" s="51"/>
      <c r="BA42" s="51"/>
      <c r="BB42" s="92"/>
      <c r="BC42" s="92"/>
      <c r="BD42" s="92"/>
      <c r="BE42" s="92"/>
      <c r="BF42" s="51"/>
      <c r="BG42" s="51"/>
      <c r="BH42" s="51"/>
      <c r="BI42" s="51"/>
      <c r="BJ42" s="51"/>
      <c r="BK42" s="51"/>
      <c r="BL42" s="82"/>
      <c r="BM42" s="51"/>
      <c r="BN42" s="51"/>
      <c r="BO42" s="51"/>
      <c r="BP42" s="51"/>
      <c r="BQ42" s="51"/>
      <c r="BR42" s="92"/>
      <c r="BS42" s="92"/>
      <c r="BT42" s="92"/>
      <c r="BU42" s="92"/>
      <c r="BV42" s="92"/>
      <c r="BW42" s="51"/>
      <c r="BX42" s="92"/>
      <c r="BY42" s="51"/>
      <c r="BZ42" s="51"/>
      <c r="CA42" s="51"/>
      <c r="CB42" s="70"/>
      <c r="CC42" s="361"/>
      <c r="CD42" s="70"/>
      <c r="CE42" s="117"/>
      <c r="CF42" s="117"/>
      <c r="CG42" s="117"/>
      <c r="CH42" s="70"/>
      <c r="CI42" s="117"/>
      <c r="CJ42" s="117"/>
      <c r="CK42" s="117"/>
      <c r="CL42" s="117"/>
      <c r="CM42" s="117"/>
      <c r="CN42" s="117"/>
      <c r="CO42" s="117"/>
      <c r="CP42" s="117"/>
      <c r="CQ42" s="117"/>
      <c r="CR42" s="362"/>
      <c r="CS42" s="117"/>
      <c r="CT42" s="117"/>
      <c r="CU42" s="117"/>
      <c r="CV42" s="117"/>
      <c r="CW42" s="117"/>
      <c r="CX42" s="70"/>
      <c r="CY42" s="117"/>
      <c r="CZ42" s="117"/>
      <c r="DA42" s="117"/>
      <c r="DB42" s="117"/>
      <c r="DC42" s="117"/>
      <c r="DD42" s="117"/>
      <c r="DE42" s="117"/>
      <c r="DF42" s="117"/>
      <c r="DG42" s="70"/>
      <c r="DH42" s="362"/>
      <c r="DI42" s="70"/>
      <c r="DJ42" s="117"/>
      <c r="DK42" s="117"/>
      <c r="DL42" s="117"/>
      <c r="DM42" s="117"/>
      <c r="DN42" s="70"/>
      <c r="DO42" s="117"/>
      <c r="DP42" s="117"/>
      <c r="DQ42" s="117"/>
      <c r="DR42" s="117"/>
      <c r="DS42" s="117"/>
      <c r="DT42" s="117"/>
      <c r="DU42" s="117"/>
      <c r="DV42" s="70"/>
      <c r="DW42" s="70"/>
      <c r="DX42" s="362"/>
      <c r="DY42" s="93"/>
      <c r="DZ42" s="93"/>
    </row>
    <row r="43" spans="1:130">
      <c r="DY43" s="93">
        <v>10</v>
      </c>
      <c r="DZ43" s="93"/>
    </row>
    <row r="44" spans="1:130">
      <c r="DY44" s="93">
        <v>11</v>
      </c>
      <c r="DZ44" s="93"/>
    </row>
    <row r="45" spans="1:130">
      <c r="DY45" s="93">
        <v>12</v>
      </c>
      <c r="DZ45" s="93"/>
    </row>
    <row r="46" spans="1:130">
      <c r="DY46" s="92">
        <v>13</v>
      </c>
      <c r="DZ46" s="93"/>
    </row>
    <row r="47" spans="1:130">
      <c r="A47" s="51"/>
      <c r="B47" s="51"/>
      <c r="C47" s="92"/>
      <c r="D47" s="92"/>
      <c r="E47" s="92"/>
      <c r="F47" s="54"/>
      <c r="G47" s="64"/>
      <c r="H47" s="54"/>
      <c r="I47" s="55"/>
      <c r="J47" s="54"/>
      <c r="K47" s="92"/>
      <c r="L47" s="92"/>
      <c r="M47" s="42"/>
      <c r="N47" s="51"/>
      <c r="O47" s="51"/>
      <c r="P47" s="82"/>
      <c r="Q47" s="51"/>
      <c r="R47" s="92"/>
      <c r="S47" s="92"/>
      <c r="T47" s="92"/>
      <c r="U47" s="92"/>
      <c r="V47" s="51"/>
      <c r="W47" s="54"/>
      <c r="X47" s="55"/>
      <c r="Y47" s="54"/>
      <c r="Z47" s="36"/>
      <c r="AA47" s="56"/>
      <c r="AB47" s="54"/>
      <c r="AC47" s="51"/>
      <c r="AD47" s="92"/>
      <c r="AE47" s="51"/>
      <c r="AF47" s="82"/>
      <c r="AG47" s="51"/>
      <c r="AH47" s="51"/>
      <c r="AI47" s="51"/>
      <c r="AJ47" s="92"/>
      <c r="AK47" s="92"/>
      <c r="AL47" s="92"/>
      <c r="AM47" s="92"/>
      <c r="AN47" s="54"/>
      <c r="AO47" s="64"/>
      <c r="AP47" s="54"/>
      <c r="AQ47" s="55"/>
      <c r="AR47" s="54"/>
      <c r="AS47" s="92"/>
      <c r="AT47" s="64"/>
      <c r="AU47" s="54"/>
      <c r="AV47" s="113"/>
      <c r="AW47" s="51"/>
      <c r="AX47" s="51"/>
      <c r="AY47" s="92"/>
      <c r="AZ47" s="92"/>
      <c r="BA47" s="51"/>
      <c r="BB47" s="54"/>
      <c r="BC47" s="54"/>
      <c r="BD47" s="55"/>
      <c r="BE47" s="54"/>
      <c r="BF47" s="36"/>
      <c r="BG47" s="54"/>
      <c r="BH47" s="51"/>
      <c r="BI47" s="92"/>
      <c r="BJ47" s="51"/>
      <c r="BK47" s="51"/>
      <c r="BL47" s="82"/>
      <c r="BM47" s="51"/>
      <c r="BN47" s="92"/>
      <c r="BO47" s="42"/>
      <c r="BP47" s="51"/>
      <c r="BQ47" s="92"/>
      <c r="BR47" s="54"/>
      <c r="BS47" s="64"/>
      <c r="BT47" s="54"/>
      <c r="BU47" s="120"/>
      <c r="BV47" s="55"/>
      <c r="BW47" s="92"/>
      <c r="BX47" s="92"/>
      <c r="BY47" s="51"/>
      <c r="BZ47" s="51"/>
      <c r="CA47" s="51"/>
      <c r="CB47" s="70"/>
      <c r="CC47" s="361"/>
      <c r="CD47" s="70"/>
      <c r="CE47" s="70"/>
      <c r="CF47" s="117"/>
      <c r="CG47" s="70"/>
      <c r="CH47" s="120"/>
      <c r="CI47" s="134"/>
      <c r="CJ47" s="120"/>
      <c r="CK47" s="119"/>
      <c r="CL47" s="120"/>
      <c r="CM47" s="120"/>
      <c r="CN47" s="70"/>
      <c r="CO47" s="117"/>
      <c r="CP47" s="117"/>
      <c r="CQ47" s="117"/>
      <c r="CR47" s="362"/>
      <c r="CS47" s="117"/>
      <c r="CT47" s="120"/>
      <c r="CU47" s="122"/>
      <c r="CV47" s="117"/>
      <c r="CW47" s="120"/>
      <c r="CX47" s="119"/>
      <c r="CY47" s="120"/>
      <c r="CZ47" s="122"/>
      <c r="DA47" s="120"/>
      <c r="DB47" s="117"/>
      <c r="DC47" s="117"/>
      <c r="DD47" s="117"/>
      <c r="DE47" s="117"/>
      <c r="DF47" s="70"/>
      <c r="DG47" s="70"/>
      <c r="DH47" s="362"/>
      <c r="DI47" s="70"/>
      <c r="DJ47" s="70"/>
      <c r="DK47" s="117"/>
      <c r="DL47" s="70"/>
      <c r="DM47" s="120"/>
      <c r="DN47" s="152"/>
      <c r="DO47" s="134"/>
      <c r="DP47" s="120"/>
      <c r="DQ47" s="119"/>
      <c r="DR47" s="120"/>
      <c r="DS47" s="70"/>
      <c r="DT47" s="117"/>
      <c r="DU47" s="117"/>
      <c r="DV47" s="70"/>
      <c r="DW47" s="70"/>
      <c r="DX47" s="362"/>
      <c r="DY47" s="93"/>
      <c r="DZ47" s="93"/>
    </row>
    <row r="48" spans="1:130">
      <c r="A48" s="51"/>
      <c r="B48" s="92"/>
      <c r="C48" s="41"/>
      <c r="D48" s="51"/>
      <c r="E48" s="92"/>
      <c r="F48" s="92"/>
      <c r="G48" s="36"/>
      <c r="H48" s="49"/>
      <c r="I48" s="64"/>
      <c r="J48" s="92"/>
      <c r="K48" s="92"/>
      <c r="L48" s="40"/>
      <c r="M48" s="92"/>
      <c r="N48" s="92"/>
      <c r="O48" s="92"/>
      <c r="P48" s="113"/>
      <c r="Q48" s="51"/>
      <c r="R48" s="51"/>
      <c r="S48" s="51"/>
      <c r="T48" s="51"/>
      <c r="U48" s="51"/>
      <c r="V48" s="54"/>
      <c r="W48" s="64"/>
      <c r="X48" s="42"/>
      <c r="Y48" s="55"/>
      <c r="Z48" s="51"/>
      <c r="AA48" s="52"/>
      <c r="AB48" s="54"/>
      <c r="AC48" s="58"/>
      <c r="AD48" s="51"/>
      <c r="AE48" s="92"/>
      <c r="AF48" s="113"/>
      <c r="AG48" s="51"/>
      <c r="AH48" s="51"/>
      <c r="AI48" s="51"/>
      <c r="AJ48" s="51"/>
      <c r="AK48" s="51"/>
      <c r="AL48" s="51"/>
      <c r="AM48" s="64"/>
      <c r="AN48" s="42"/>
      <c r="AO48" s="51"/>
      <c r="AP48" s="40"/>
      <c r="AQ48" s="42"/>
      <c r="AR48" s="51"/>
      <c r="AS48" s="51"/>
      <c r="AT48" s="51"/>
      <c r="AU48" s="54"/>
      <c r="AV48" s="370"/>
      <c r="AW48" s="51"/>
      <c r="AX48" s="92"/>
      <c r="AY48" s="51"/>
      <c r="AZ48" s="51"/>
      <c r="BA48" s="54"/>
      <c r="BB48" s="64"/>
      <c r="BC48" s="64"/>
      <c r="BD48" s="42"/>
      <c r="BE48" s="30"/>
      <c r="BF48" s="33"/>
      <c r="BG48" s="54"/>
      <c r="BH48" s="58"/>
      <c r="BI48" s="51"/>
      <c r="BJ48" s="92"/>
      <c r="BK48" s="92"/>
      <c r="BL48" s="113"/>
      <c r="BM48" s="51"/>
      <c r="BN48" s="92"/>
      <c r="BO48" s="92"/>
      <c r="BP48" s="42"/>
      <c r="BQ48" s="92"/>
      <c r="BR48" s="92"/>
      <c r="BS48" s="42"/>
      <c r="BT48" s="43"/>
      <c r="BU48" s="42"/>
      <c r="BV48" s="92"/>
      <c r="BW48" s="92"/>
      <c r="BX48" s="92"/>
      <c r="BY48" s="42"/>
      <c r="BZ48" s="92"/>
      <c r="CA48" s="92"/>
      <c r="CB48" s="117"/>
      <c r="CC48" s="363"/>
      <c r="CD48" s="117"/>
      <c r="CE48" s="70"/>
      <c r="CF48" s="70"/>
      <c r="CG48" s="164"/>
      <c r="CH48" s="120"/>
      <c r="CI48" s="120"/>
      <c r="CJ48" s="119"/>
      <c r="CK48" s="130"/>
      <c r="CL48" s="122"/>
      <c r="CM48" s="122"/>
      <c r="CN48" s="120"/>
      <c r="CO48" s="70"/>
      <c r="CP48" s="70"/>
      <c r="CQ48" s="70"/>
      <c r="CR48" s="362"/>
      <c r="CS48" s="119"/>
      <c r="CT48" s="120"/>
      <c r="CU48" s="70"/>
      <c r="CV48" s="70"/>
      <c r="CW48" s="70"/>
      <c r="CX48" s="130"/>
      <c r="CY48" s="135"/>
      <c r="CZ48" s="70"/>
      <c r="DA48" s="130"/>
      <c r="DB48" s="122"/>
      <c r="DC48" s="70"/>
      <c r="DD48" s="70"/>
      <c r="DE48" s="70"/>
      <c r="DF48" s="70"/>
      <c r="DG48" s="70"/>
      <c r="DH48" s="362"/>
      <c r="DI48" s="117"/>
      <c r="DJ48" s="70"/>
      <c r="DK48" s="70"/>
      <c r="DL48" s="164"/>
      <c r="DM48" s="120"/>
      <c r="DN48" s="71"/>
      <c r="DO48" s="70"/>
      <c r="DP48" s="119"/>
      <c r="DQ48" s="130"/>
      <c r="DR48" s="122"/>
      <c r="DS48" s="120"/>
      <c r="DT48" s="70"/>
      <c r="DU48" s="70"/>
      <c r="DV48" s="117"/>
      <c r="DW48" s="117"/>
      <c r="DX48" s="362"/>
      <c r="DY48" s="93"/>
      <c r="DZ48" s="93"/>
    </row>
    <row r="49" spans="1:130">
      <c r="A49" s="51"/>
      <c r="B49" s="92"/>
      <c r="C49" s="92"/>
      <c r="D49" s="40"/>
      <c r="E49" s="66"/>
      <c r="F49" s="66"/>
      <c r="G49" s="30"/>
      <c r="H49" s="30"/>
      <c r="I49" s="32"/>
      <c r="J49" s="66"/>
      <c r="K49" s="65"/>
      <c r="L49" s="42"/>
      <c r="M49" s="92"/>
      <c r="N49" s="92"/>
      <c r="O49" s="92"/>
      <c r="P49" s="113"/>
      <c r="Q49" s="51"/>
      <c r="R49" s="92"/>
      <c r="S49" s="92"/>
      <c r="T49" s="92"/>
      <c r="U49" s="51"/>
      <c r="V49" s="51"/>
      <c r="W49" s="51"/>
      <c r="X49" s="30"/>
      <c r="Y49" s="31"/>
      <c r="Z49" s="42"/>
      <c r="AA49" s="42"/>
      <c r="AB49" s="92"/>
      <c r="AC49" s="92"/>
      <c r="AD49" s="92"/>
      <c r="AE49" s="92"/>
      <c r="AF49" s="113"/>
      <c r="AG49" s="51"/>
      <c r="AH49" s="51"/>
      <c r="AI49" s="51"/>
      <c r="AJ49" s="92"/>
      <c r="AK49" s="92"/>
      <c r="AL49" s="51"/>
      <c r="AM49" s="51"/>
      <c r="AN49" s="92"/>
      <c r="AO49" s="92"/>
      <c r="AP49" s="65"/>
      <c r="AQ49" s="40"/>
      <c r="AR49" s="66"/>
      <c r="AS49" s="65"/>
      <c r="AT49" s="51"/>
      <c r="AU49" s="92"/>
      <c r="AV49" s="113"/>
      <c r="AW49" s="51"/>
      <c r="AX49" s="92"/>
      <c r="AY49" s="92"/>
      <c r="AZ49" s="39"/>
      <c r="BA49" s="43"/>
      <c r="BB49" s="32"/>
      <c r="BC49" s="32"/>
      <c r="BD49" s="30"/>
      <c r="BE49" s="32"/>
      <c r="BF49" s="30"/>
      <c r="BG49" s="49"/>
      <c r="BH49" s="54"/>
      <c r="BI49" s="92"/>
      <c r="BJ49" s="92"/>
      <c r="BK49" s="92"/>
      <c r="BL49" s="113"/>
      <c r="BM49" s="51"/>
      <c r="BN49" s="92"/>
      <c r="BO49" s="92"/>
      <c r="BP49" s="49"/>
      <c r="BQ49" s="65"/>
      <c r="BR49" s="32"/>
      <c r="BS49" s="42"/>
      <c r="BT49" s="54"/>
      <c r="BU49" s="42"/>
      <c r="BV49" s="66"/>
      <c r="BW49" s="65"/>
      <c r="BX49" s="49"/>
      <c r="BY49" s="92"/>
      <c r="BZ49" s="92"/>
      <c r="CA49" s="92"/>
      <c r="CB49" s="117"/>
      <c r="CC49" s="363"/>
      <c r="CD49" s="117"/>
      <c r="CE49" s="117"/>
      <c r="CF49" s="117"/>
      <c r="CG49" s="126"/>
      <c r="CH49" s="117"/>
      <c r="CI49" s="131"/>
      <c r="CJ49" s="118"/>
      <c r="CK49" s="118"/>
      <c r="CL49" s="125"/>
      <c r="CM49" s="135"/>
      <c r="CN49" s="136"/>
      <c r="CO49" s="117"/>
      <c r="CP49" s="117"/>
      <c r="CQ49" s="117"/>
      <c r="CR49" s="362"/>
      <c r="CS49" s="117"/>
      <c r="CT49" s="117"/>
      <c r="CU49" s="70"/>
      <c r="CV49" s="118"/>
      <c r="CW49" s="127"/>
      <c r="CX49" s="135"/>
      <c r="CY49" s="118"/>
      <c r="CZ49" s="117"/>
      <c r="DA49" s="117"/>
      <c r="DB49" s="70"/>
      <c r="DC49" s="70"/>
      <c r="DD49" s="117"/>
      <c r="DE49" s="117"/>
      <c r="DF49" s="70"/>
      <c r="DG49" s="70"/>
      <c r="DH49" s="362"/>
      <c r="DI49" s="117"/>
      <c r="DJ49" s="117"/>
      <c r="DK49" s="117"/>
      <c r="DL49" s="117"/>
      <c r="DM49" s="117"/>
      <c r="DN49" s="130"/>
      <c r="DO49" s="130"/>
      <c r="DP49" s="131"/>
      <c r="DQ49" s="136"/>
      <c r="DR49" s="136"/>
      <c r="DS49" s="117"/>
      <c r="DT49" s="70"/>
      <c r="DU49" s="117"/>
      <c r="DV49" s="117"/>
      <c r="DW49" s="117"/>
      <c r="DX49" s="362"/>
      <c r="DY49" s="93"/>
      <c r="DZ49" s="93"/>
    </row>
    <row r="50" spans="1:130">
      <c r="A50" s="51"/>
      <c r="B50" s="92"/>
      <c r="C50" s="92"/>
      <c r="D50" s="40"/>
      <c r="E50" s="66"/>
      <c r="F50" s="31"/>
      <c r="G50" s="65"/>
      <c r="H50" s="31"/>
      <c r="I50" s="31"/>
      <c r="J50" s="31"/>
      <c r="K50" s="30"/>
      <c r="L50" s="51"/>
      <c r="M50" s="92"/>
      <c r="N50" s="92"/>
      <c r="O50" s="92"/>
      <c r="P50" s="82"/>
      <c r="Q50" s="51"/>
      <c r="R50" s="92"/>
      <c r="S50" s="92"/>
      <c r="T50" s="92"/>
      <c r="U50" s="51"/>
      <c r="V50" s="92"/>
      <c r="W50" s="32"/>
      <c r="X50" s="31"/>
      <c r="Y50" s="65"/>
      <c r="Z50" s="65"/>
      <c r="AA50" s="51"/>
      <c r="AB50" s="92"/>
      <c r="AC50" s="92"/>
      <c r="AD50" s="92"/>
      <c r="AE50" s="92"/>
      <c r="AF50" s="82"/>
      <c r="AG50" s="51"/>
      <c r="AH50" s="51"/>
      <c r="AI50" s="51"/>
      <c r="AJ50" s="92"/>
      <c r="AK50" s="92"/>
      <c r="AL50" s="51"/>
      <c r="AM50" s="51"/>
      <c r="AN50" s="92"/>
      <c r="AO50" s="32"/>
      <c r="AP50" s="65"/>
      <c r="AQ50" s="42"/>
      <c r="AR50" s="65"/>
      <c r="AS50" s="51"/>
      <c r="AT50" s="51"/>
      <c r="AU50" s="92"/>
      <c r="AV50" s="82"/>
      <c r="AW50" s="51"/>
      <c r="AX50" s="92"/>
      <c r="AY50" s="92"/>
      <c r="AZ50" s="92"/>
      <c r="BA50" s="51"/>
      <c r="BB50" s="33"/>
      <c r="BC50" s="32"/>
      <c r="BD50" s="31"/>
      <c r="BE50" s="30"/>
      <c r="BF50" s="65"/>
      <c r="BG50" s="51"/>
      <c r="BH50" s="92"/>
      <c r="BI50" s="92"/>
      <c r="BJ50" s="92"/>
      <c r="BK50" s="92"/>
      <c r="BL50" s="82"/>
      <c r="BM50" s="51"/>
      <c r="BN50" s="92"/>
      <c r="BO50" s="92"/>
      <c r="BP50" s="51"/>
      <c r="BQ50" s="30"/>
      <c r="BR50" s="31"/>
      <c r="BS50" s="30"/>
      <c r="BT50" s="42"/>
      <c r="BU50" s="31"/>
      <c r="BV50" s="65"/>
      <c r="BW50" s="30"/>
      <c r="BX50" s="51"/>
      <c r="BY50" s="92"/>
      <c r="BZ50" s="92"/>
      <c r="CA50" s="92"/>
      <c r="CB50" s="70"/>
      <c r="CC50" s="361"/>
      <c r="CD50" s="117"/>
      <c r="CE50" s="117"/>
      <c r="CF50" s="117"/>
      <c r="CG50" s="117"/>
      <c r="CH50" s="70"/>
      <c r="CI50" s="118"/>
      <c r="CJ50" s="123"/>
      <c r="CK50" s="131"/>
      <c r="CL50" s="125"/>
      <c r="CM50" s="121"/>
      <c r="CN50" s="70"/>
      <c r="CO50" s="117"/>
      <c r="CP50" s="117"/>
      <c r="CQ50" s="117"/>
      <c r="CR50" s="362"/>
      <c r="CS50" s="70"/>
      <c r="CT50" s="117"/>
      <c r="CU50" s="70"/>
      <c r="CV50" s="70"/>
      <c r="CW50" s="118"/>
      <c r="CX50" s="130"/>
      <c r="CY50" s="118"/>
      <c r="CZ50" s="125"/>
      <c r="DA50" s="117"/>
      <c r="DB50" s="70"/>
      <c r="DC50" s="70"/>
      <c r="DD50" s="117"/>
      <c r="DE50" s="117"/>
      <c r="DF50" s="70"/>
      <c r="DG50" s="70"/>
      <c r="DH50" s="362"/>
      <c r="DI50" s="70"/>
      <c r="DJ50" s="117"/>
      <c r="DK50" s="117"/>
      <c r="DL50" s="117"/>
      <c r="DM50" s="117"/>
      <c r="DN50" s="70"/>
      <c r="DO50" s="118"/>
      <c r="DP50" s="118"/>
      <c r="DQ50" s="131"/>
      <c r="DR50" s="125"/>
      <c r="DS50" s="121"/>
      <c r="DT50" s="70"/>
      <c r="DU50" s="117"/>
      <c r="DV50" s="117"/>
      <c r="DW50" s="117"/>
      <c r="DX50" s="362"/>
      <c r="DY50" s="93"/>
      <c r="DZ50" s="93"/>
    </row>
    <row r="51" spans="1:130">
      <c r="A51" s="51"/>
      <c r="B51" s="92"/>
      <c r="C51" s="92"/>
      <c r="D51" s="92"/>
      <c r="E51" s="31"/>
      <c r="F51" s="92"/>
      <c r="G51" s="65"/>
      <c r="H51" s="31"/>
      <c r="I51" s="65"/>
      <c r="J51" s="92"/>
      <c r="K51" s="31"/>
      <c r="L51" s="92"/>
      <c r="M51" s="92"/>
      <c r="N51" s="92"/>
      <c r="O51" s="92"/>
      <c r="P51" s="113"/>
      <c r="Q51" s="51"/>
      <c r="R51" s="92"/>
      <c r="S51" s="92"/>
      <c r="T51" s="92"/>
      <c r="U51" s="92"/>
      <c r="V51" s="92"/>
      <c r="W51" s="30"/>
      <c r="X51" s="31"/>
      <c r="Y51" s="31"/>
      <c r="Z51" s="65"/>
      <c r="AA51" s="92"/>
      <c r="AB51" s="92"/>
      <c r="AC51" s="51"/>
      <c r="AD51" s="51"/>
      <c r="AE51" s="92"/>
      <c r="AF51" s="113"/>
      <c r="AG51" s="51"/>
      <c r="AH51" s="51"/>
      <c r="AI51" s="51"/>
      <c r="AJ51" s="92"/>
      <c r="AK51" s="92"/>
      <c r="AL51" s="92"/>
      <c r="AM51" s="51"/>
      <c r="AN51" s="92"/>
      <c r="AO51" s="33"/>
      <c r="AP51" s="65"/>
      <c r="AQ51" s="31"/>
      <c r="AR51" s="92"/>
      <c r="AS51" s="51"/>
      <c r="AT51" s="92"/>
      <c r="AU51" s="51"/>
      <c r="AV51" s="82"/>
      <c r="AW51" s="51"/>
      <c r="AX51" s="92"/>
      <c r="AY51" s="92"/>
      <c r="AZ51" s="92"/>
      <c r="BA51" s="33"/>
      <c r="BB51" s="30"/>
      <c r="BC51" s="30"/>
      <c r="BD51" s="31"/>
      <c r="BE51" s="31"/>
      <c r="BF51" s="65"/>
      <c r="BG51" s="65"/>
      <c r="BH51" s="92"/>
      <c r="BI51" s="92"/>
      <c r="BJ51" s="92"/>
      <c r="BK51" s="92"/>
      <c r="BL51" s="113"/>
      <c r="BM51" s="51"/>
      <c r="BN51" s="92"/>
      <c r="BO51" s="92"/>
      <c r="BP51" s="92"/>
      <c r="BQ51" s="31"/>
      <c r="BR51" s="92"/>
      <c r="BS51" s="31"/>
      <c r="BT51" s="31"/>
      <c r="BU51" s="31"/>
      <c r="BV51" s="92"/>
      <c r="BW51" s="31"/>
      <c r="BX51" s="92"/>
      <c r="BY51" s="92"/>
      <c r="BZ51" s="92"/>
      <c r="CA51" s="92"/>
      <c r="CB51" s="117"/>
      <c r="CC51" s="363"/>
      <c r="CD51" s="117"/>
      <c r="CE51" s="117"/>
      <c r="CF51" s="117"/>
      <c r="CG51" s="117"/>
      <c r="CH51" s="117"/>
      <c r="CI51" s="118"/>
      <c r="CJ51" s="131"/>
      <c r="CK51" s="131"/>
      <c r="CL51" s="123"/>
      <c r="CM51" s="123"/>
      <c r="CN51" s="121"/>
      <c r="CO51" s="117"/>
      <c r="CP51" s="117"/>
      <c r="CQ51" s="117"/>
      <c r="CR51" s="362"/>
      <c r="CS51" s="117"/>
      <c r="CT51" s="117"/>
      <c r="CU51" s="117"/>
      <c r="CV51" s="70"/>
      <c r="CW51" s="117"/>
      <c r="CX51" s="131"/>
      <c r="CY51" s="118"/>
      <c r="CZ51" s="121"/>
      <c r="DA51" s="117"/>
      <c r="DB51" s="70"/>
      <c r="DC51" s="117"/>
      <c r="DD51" s="117"/>
      <c r="DE51" s="117"/>
      <c r="DF51" s="70"/>
      <c r="DG51" s="70"/>
      <c r="DH51" s="362"/>
      <c r="DI51" s="117"/>
      <c r="DJ51" s="117"/>
      <c r="DK51" s="117"/>
      <c r="DL51" s="117"/>
      <c r="DM51" s="117"/>
      <c r="DN51" s="117"/>
      <c r="DO51" s="118"/>
      <c r="DP51" s="131"/>
      <c r="DQ51" s="131"/>
      <c r="DR51" s="123"/>
      <c r="DS51" s="121"/>
      <c r="DT51" s="117"/>
      <c r="DU51" s="117"/>
      <c r="DV51" s="117"/>
      <c r="DW51" s="117"/>
      <c r="DX51" s="362"/>
      <c r="DY51" s="93"/>
      <c r="DZ51" s="93"/>
    </row>
    <row r="52" spans="1:130">
      <c r="A52" s="51"/>
      <c r="B52" s="92"/>
      <c r="C52" s="92"/>
      <c r="D52" s="92"/>
      <c r="E52" s="65"/>
      <c r="F52" s="51"/>
      <c r="G52" s="65"/>
      <c r="H52" s="31"/>
      <c r="I52" s="65"/>
      <c r="J52" s="51"/>
      <c r="K52" s="65"/>
      <c r="L52" s="33"/>
      <c r="M52" s="51"/>
      <c r="N52" s="51"/>
      <c r="O52" s="51"/>
      <c r="P52" s="82"/>
      <c r="Q52" s="51"/>
      <c r="R52" s="51"/>
      <c r="S52" s="51"/>
      <c r="T52" s="51"/>
      <c r="U52" s="51"/>
      <c r="V52" s="92"/>
      <c r="W52" s="31"/>
      <c r="X52" s="65"/>
      <c r="Y52" s="31"/>
      <c r="Z52" s="65"/>
      <c r="AA52" s="33"/>
      <c r="AB52" s="51"/>
      <c r="AC52" s="92"/>
      <c r="AD52" s="92"/>
      <c r="AE52" s="51"/>
      <c r="AF52" s="82"/>
      <c r="AG52" s="51"/>
      <c r="AH52" s="51"/>
      <c r="AI52" s="51"/>
      <c r="AJ52" s="51"/>
      <c r="AK52" s="51"/>
      <c r="AL52" s="51"/>
      <c r="AM52" s="51"/>
      <c r="AN52" s="51"/>
      <c r="AO52" s="65"/>
      <c r="AP52" s="65"/>
      <c r="AQ52" s="33"/>
      <c r="AR52" s="34"/>
      <c r="AS52" s="51"/>
      <c r="AT52" s="51"/>
      <c r="AU52" s="51"/>
      <c r="AV52" s="113"/>
      <c r="AW52" s="51"/>
      <c r="AX52" s="51"/>
      <c r="AY52" s="51"/>
      <c r="AZ52" s="51"/>
      <c r="BA52" s="33"/>
      <c r="BB52" s="30"/>
      <c r="BC52" s="31"/>
      <c r="BD52" s="65"/>
      <c r="BE52" s="31"/>
      <c r="BF52" s="65"/>
      <c r="BG52" s="33"/>
      <c r="BH52" s="296"/>
      <c r="BI52" s="92"/>
      <c r="BJ52" s="92"/>
      <c r="BK52" s="51"/>
      <c r="BL52" s="82"/>
      <c r="BM52" s="51"/>
      <c r="BN52" s="51"/>
      <c r="BO52" s="51"/>
      <c r="BP52" s="33"/>
      <c r="BQ52" s="65"/>
      <c r="BR52" s="51"/>
      <c r="BS52" s="65"/>
      <c r="BT52" s="31"/>
      <c r="BU52" s="65"/>
      <c r="BV52" s="51"/>
      <c r="BW52" s="65"/>
      <c r="BX52" s="33"/>
      <c r="BY52" s="51"/>
      <c r="BZ52" s="51"/>
      <c r="CA52" s="51"/>
      <c r="CB52" s="70"/>
      <c r="CC52" s="361"/>
      <c r="CD52" s="70"/>
      <c r="CE52" s="70"/>
      <c r="CF52" s="70"/>
      <c r="CG52" s="70"/>
      <c r="CH52" s="121"/>
      <c r="CI52" s="118"/>
      <c r="CJ52" s="131"/>
      <c r="CK52" s="118"/>
      <c r="CL52" s="131"/>
      <c r="CM52" s="123"/>
      <c r="CN52" s="121"/>
      <c r="CO52" s="70"/>
      <c r="CP52" s="70"/>
      <c r="CQ52" s="70"/>
      <c r="CR52" s="362"/>
      <c r="CS52" s="70"/>
      <c r="CT52" s="70"/>
      <c r="CU52" s="70"/>
      <c r="CV52" s="70"/>
      <c r="CW52" s="70"/>
      <c r="CX52" s="121"/>
      <c r="CY52" s="118"/>
      <c r="CZ52" s="118"/>
      <c r="DA52" s="123"/>
      <c r="DB52" s="70"/>
      <c r="DC52" s="70"/>
      <c r="DD52" s="70"/>
      <c r="DE52" s="70"/>
      <c r="DF52" s="70"/>
      <c r="DG52" s="70"/>
      <c r="DH52" s="362"/>
      <c r="DI52" s="70"/>
      <c r="DJ52" s="70"/>
      <c r="DK52" s="70"/>
      <c r="DL52" s="70"/>
      <c r="DM52" s="70"/>
      <c r="DN52" s="118"/>
      <c r="DO52" s="131"/>
      <c r="DP52" s="131"/>
      <c r="DQ52" s="118"/>
      <c r="DR52" s="131"/>
      <c r="DS52" s="121"/>
      <c r="DT52" s="121"/>
      <c r="DU52" s="70"/>
      <c r="DV52" s="70"/>
      <c r="DW52" s="70"/>
      <c r="DX52" s="362"/>
      <c r="DY52" s="93"/>
      <c r="DZ52" s="93"/>
    </row>
    <row r="53" spans="1:130">
      <c r="A53" s="51"/>
      <c r="B53" s="51"/>
      <c r="C53" s="51"/>
      <c r="D53" s="33"/>
      <c r="E53" s="31"/>
      <c r="F53" s="92"/>
      <c r="G53" s="30"/>
      <c r="H53" s="31"/>
      <c r="I53" s="65"/>
      <c r="J53" s="92"/>
      <c r="K53" s="31"/>
      <c r="L53" s="65"/>
      <c r="M53" s="33"/>
      <c r="N53" s="92"/>
      <c r="O53" s="51"/>
      <c r="P53" s="113"/>
      <c r="Q53" s="51"/>
      <c r="R53" s="51"/>
      <c r="S53" s="51"/>
      <c r="T53" s="51"/>
      <c r="U53" s="51"/>
      <c r="V53" s="31"/>
      <c r="W53" s="65"/>
      <c r="X53" s="31"/>
      <c r="Y53" s="30"/>
      <c r="Z53" s="30"/>
      <c r="AA53" s="34"/>
      <c r="AB53" s="34"/>
      <c r="AC53" s="30"/>
      <c r="AD53" s="92"/>
      <c r="AE53" s="51"/>
      <c r="AF53" s="113"/>
      <c r="AG53" s="51"/>
      <c r="AH53" s="51"/>
      <c r="AI53" s="92"/>
      <c r="AJ53" s="51"/>
      <c r="AK53" s="51"/>
      <c r="AL53" s="51"/>
      <c r="AM53" s="51"/>
      <c r="AN53" s="33"/>
      <c r="AO53" s="33"/>
      <c r="AP53" s="33"/>
      <c r="AQ53" s="65"/>
      <c r="AR53" s="34"/>
      <c r="AS53" s="32"/>
      <c r="AT53" s="30"/>
      <c r="AU53" s="33"/>
      <c r="AV53" s="113"/>
      <c r="AW53" s="51"/>
      <c r="AX53" s="51"/>
      <c r="AY53" s="92"/>
      <c r="AZ53" s="33"/>
      <c r="BA53" s="30"/>
      <c r="BB53" s="65"/>
      <c r="BC53" s="31"/>
      <c r="BD53" s="65"/>
      <c r="BE53" s="31"/>
      <c r="BF53" s="31"/>
      <c r="BG53" s="296"/>
      <c r="BH53" s="32"/>
      <c r="BI53" s="30"/>
      <c r="BJ53" s="92"/>
      <c r="BK53" s="92"/>
      <c r="BL53" s="113"/>
      <c r="BM53" s="51"/>
      <c r="BN53" s="92"/>
      <c r="BO53" s="33"/>
      <c r="BP53" s="65"/>
      <c r="BQ53" s="31"/>
      <c r="BR53" s="92"/>
      <c r="BS53" s="65"/>
      <c r="BT53" s="32"/>
      <c r="BU53" s="65"/>
      <c r="BV53" s="92"/>
      <c r="BW53" s="31"/>
      <c r="BX53" s="65"/>
      <c r="BY53" s="33"/>
      <c r="BZ53" s="92"/>
      <c r="CA53" s="51"/>
      <c r="CB53" s="117"/>
      <c r="CC53" s="363"/>
      <c r="CD53" s="70"/>
      <c r="CE53" s="117"/>
      <c r="CF53" s="117"/>
      <c r="CG53" s="70"/>
      <c r="CH53" s="70"/>
      <c r="CI53" s="131"/>
      <c r="CJ53" s="131"/>
      <c r="CK53" s="118"/>
      <c r="CL53" s="131"/>
      <c r="CM53" s="118"/>
      <c r="CN53" s="123"/>
      <c r="CO53" s="70"/>
      <c r="CP53" s="70"/>
      <c r="CQ53" s="70"/>
      <c r="CR53" s="362"/>
      <c r="CS53" s="70"/>
      <c r="CT53" s="70"/>
      <c r="CU53" s="70"/>
      <c r="CV53" s="70"/>
      <c r="CW53" s="117"/>
      <c r="CX53" s="118"/>
      <c r="CY53" s="123"/>
      <c r="CZ53" s="121"/>
      <c r="DA53" s="123"/>
      <c r="DB53" s="70"/>
      <c r="DC53" s="70"/>
      <c r="DD53" s="70"/>
      <c r="DE53" s="117"/>
      <c r="DF53" s="145"/>
      <c r="DG53" s="117"/>
      <c r="DH53" s="362"/>
      <c r="DI53" s="117"/>
      <c r="DJ53" s="70"/>
      <c r="DK53" s="117"/>
      <c r="DL53" s="117"/>
      <c r="DM53" s="118"/>
      <c r="DN53" s="123"/>
      <c r="DO53" s="131"/>
      <c r="DP53" s="131"/>
      <c r="DQ53" s="118"/>
      <c r="DR53" s="131"/>
      <c r="DS53" s="118"/>
      <c r="DT53" s="118"/>
      <c r="DU53" s="118"/>
      <c r="DV53" s="144"/>
      <c r="DW53" s="143"/>
      <c r="DX53" s="364"/>
      <c r="DY53" s="93"/>
      <c r="DZ53" s="93"/>
    </row>
    <row r="54" spans="1:130">
      <c r="A54" s="51"/>
      <c r="B54" s="92"/>
      <c r="C54" s="33"/>
      <c r="D54" s="65"/>
      <c r="E54" s="92"/>
      <c r="F54" s="65"/>
      <c r="G54" s="33"/>
      <c r="H54" s="31"/>
      <c r="I54" s="30"/>
      <c r="J54" s="65"/>
      <c r="K54" s="92"/>
      <c r="L54" s="156"/>
      <c r="M54" s="157"/>
      <c r="N54" s="158"/>
      <c r="O54" s="92"/>
      <c r="P54" s="113"/>
      <c r="Q54" s="51"/>
      <c r="R54" s="51"/>
      <c r="S54" s="51"/>
      <c r="T54" s="51"/>
      <c r="U54" s="51"/>
      <c r="V54" s="163"/>
      <c r="W54" s="158"/>
      <c r="X54" s="163"/>
      <c r="Y54" s="65"/>
      <c r="Z54" s="42"/>
      <c r="AA54" s="34"/>
      <c r="AB54" s="30"/>
      <c r="AC54" s="65"/>
      <c r="AD54" s="51"/>
      <c r="AE54" s="92"/>
      <c r="AF54" s="113"/>
      <c r="AG54" s="92"/>
      <c r="AH54" s="92"/>
      <c r="AI54" s="159"/>
      <c r="AJ54" s="92"/>
      <c r="AK54" s="51"/>
      <c r="AL54" s="51"/>
      <c r="AM54" s="33"/>
      <c r="AN54" s="65"/>
      <c r="AO54" s="31"/>
      <c r="AP54" s="65"/>
      <c r="AQ54" s="42"/>
      <c r="AR54" s="65"/>
      <c r="AS54" s="30"/>
      <c r="AT54" s="33"/>
      <c r="AU54" s="65"/>
      <c r="AV54" s="113"/>
      <c r="AW54" s="92"/>
      <c r="AX54" s="163"/>
      <c r="AY54" s="30"/>
      <c r="AZ54" s="30"/>
      <c r="BA54" s="65"/>
      <c r="BB54" s="49"/>
      <c r="BC54" s="30"/>
      <c r="BD54" s="30"/>
      <c r="BE54" s="31"/>
      <c r="BF54" s="30"/>
      <c r="BG54" s="32"/>
      <c r="BH54" s="33"/>
      <c r="BI54" s="65"/>
      <c r="BJ54" s="51"/>
      <c r="BK54" s="92"/>
      <c r="BL54" s="113"/>
      <c r="BM54" s="92"/>
      <c r="BN54" s="158"/>
      <c r="BO54" s="33"/>
      <c r="BP54" s="65"/>
      <c r="BQ54" s="92"/>
      <c r="BR54" s="65"/>
      <c r="BS54" s="65"/>
      <c r="BT54" s="30"/>
      <c r="BU54" s="65"/>
      <c r="BV54" s="65"/>
      <c r="BW54" s="51"/>
      <c r="BX54" s="65"/>
      <c r="BY54" s="33"/>
      <c r="BZ54" s="92"/>
      <c r="CA54" s="51"/>
      <c r="CB54" s="117"/>
      <c r="CC54" s="363"/>
      <c r="CD54" s="70"/>
      <c r="CE54" s="117"/>
      <c r="CF54" s="117"/>
      <c r="CG54" s="125"/>
      <c r="CH54" s="125"/>
      <c r="CI54" s="123"/>
      <c r="CJ54" s="131"/>
      <c r="CK54" s="123"/>
      <c r="CL54" s="131"/>
      <c r="CM54" s="118"/>
      <c r="CN54" s="123"/>
      <c r="CO54" s="121"/>
      <c r="CP54" s="144"/>
      <c r="CQ54" s="117"/>
      <c r="CR54" s="364"/>
      <c r="CS54" s="117"/>
      <c r="CT54" s="70"/>
      <c r="CU54" s="123"/>
      <c r="CV54" s="125"/>
      <c r="CW54" s="118"/>
      <c r="CX54" s="118"/>
      <c r="CY54" s="121"/>
      <c r="CZ54" s="128"/>
      <c r="DA54" s="118"/>
      <c r="DB54" s="123"/>
      <c r="DC54" s="70"/>
      <c r="DD54" s="136"/>
      <c r="DE54" s="146"/>
      <c r="DF54" s="146"/>
      <c r="DG54" s="147"/>
      <c r="DH54" s="362"/>
      <c r="DI54" s="117"/>
      <c r="DJ54" s="117"/>
      <c r="DK54" s="117"/>
      <c r="DL54" s="117"/>
      <c r="DM54" s="118"/>
      <c r="DN54" s="131"/>
      <c r="DO54" s="118"/>
      <c r="DP54" s="118"/>
      <c r="DQ54" s="131"/>
      <c r="DR54" s="118"/>
      <c r="DS54" s="126"/>
      <c r="DT54" s="130"/>
      <c r="DU54" s="144"/>
      <c r="DV54" s="143"/>
      <c r="DW54" s="147"/>
      <c r="DX54" s="372"/>
      <c r="DY54" s="93"/>
      <c r="DZ54" s="93"/>
    </row>
    <row r="55" spans="1:130">
      <c r="A55" s="92"/>
      <c r="B55" s="156"/>
      <c r="C55" s="157"/>
      <c r="D55" s="158"/>
      <c r="E55" s="92"/>
      <c r="F55" s="33"/>
      <c r="G55" s="30"/>
      <c r="H55" s="33"/>
      <c r="I55" s="65"/>
      <c r="J55" s="65"/>
      <c r="K55" s="159"/>
      <c r="L55" s="160"/>
      <c r="M55" s="17"/>
      <c r="N55" s="161"/>
      <c r="O55" s="158"/>
      <c r="P55" s="113"/>
      <c r="Q55" s="51"/>
      <c r="R55" s="51"/>
      <c r="S55" s="92"/>
      <c r="T55" s="158"/>
      <c r="U55" s="163"/>
      <c r="V55" s="158"/>
      <c r="W55" s="161"/>
      <c r="X55" s="158"/>
      <c r="Y55" s="163"/>
      <c r="Z55" s="34"/>
      <c r="AA55" s="34"/>
      <c r="AB55" s="65"/>
      <c r="AC55" s="51"/>
      <c r="AD55" s="65"/>
      <c r="AE55" s="92"/>
      <c r="AF55" s="113"/>
      <c r="AG55" s="92"/>
      <c r="AH55" s="161"/>
      <c r="AI55" s="162"/>
      <c r="AJ55" s="156"/>
      <c r="AK55" s="33"/>
      <c r="AL55" s="65"/>
      <c r="AM55" s="65"/>
      <c r="AN55" s="31"/>
      <c r="AO55" s="65"/>
      <c r="AP55" s="65"/>
      <c r="AQ55" s="42"/>
      <c r="AR55" s="34"/>
      <c r="AS55" s="33"/>
      <c r="AT55" s="92"/>
      <c r="AU55" s="65"/>
      <c r="AV55" s="371"/>
      <c r="AW55" s="158"/>
      <c r="AX55" s="65"/>
      <c r="AY55" s="65"/>
      <c r="AZ55" s="65"/>
      <c r="BA55" s="49"/>
      <c r="BB55" s="65"/>
      <c r="BC55" s="32"/>
      <c r="BD55" s="31"/>
      <c r="BE55" s="65"/>
      <c r="BF55" s="32"/>
      <c r="BG55" s="65"/>
      <c r="BH55" s="65"/>
      <c r="BI55" s="51"/>
      <c r="BJ55" s="65"/>
      <c r="BK55" s="92"/>
      <c r="BL55" s="113"/>
      <c r="BM55" s="159"/>
      <c r="BN55" s="33"/>
      <c r="BO55" s="65"/>
      <c r="BP55" s="31"/>
      <c r="BQ55" s="158"/>
      <c r="BR55" s="65"/>
      <c r="BS55" s="65"/>
      <c r="BT55" s="30"/>
      <c r="BU55" s="65"/>
      <c r="BV55" s="65"/>
      <c r="BW55" s="92"/>
      <c r="BX55" s="65"/>
      <c r="BY55" s="65"/>
      <c r="BZ55" s="31"/>
      <c r="CA55" s="92"/>
      <c r="CB55" s="117"/>
      <c r="CC55" s="363"/>
      <c r="CD55" s="117"/>
      <c r="CE55" s="117"/>
      <c r="CF55" s="123"/>
      <c r="CG55" s="121"/>
      <c r="CH55" s="118"/>
      <c r="CI55" s="125"/>
      <c r="CJ55" s="118"/>
      <c r="CK55" s="131"/>
      <c r="CL55" s="123"/>
      <c r="CM55" s="126"/>
      <c r="CN55" s="118"/>
      <c r="CO55" s="123"/>
      <c r="CP55" s="118"/>
      <c r="CQ55" s="143"/>
      <c r="CR55" s="364"/>
      <c r="CS55" s="117"/>
      <c r="CT55" s="121"/>
      <c r="CU55" s="121"/>
      <c r="CV55" s="123"/>
      <c r="CW55" s="126"/>
      <c r="CX55" s="118"/>
      <c r="CY55" s="123"/>
      <c r="CZ55" s="128"/>
      <c r="DA55" s="128"/>
      <c r="DB55" s="118"/>
      <c r="DC55" s="118"/>
      <c r="DD55" s="145"/>
      <c r="DE55" s="143"/>
      <c r="DF55" s="143"/>
      <c r="DG55" s="148"/>
      <c r="DH55" s="364"/>
      <c r="DI55" s="117"/>
      <c r="DJ55" s="117"/>
      <c r="DK55" s="117"/>
      <c r="DL55" s="123"/>
      <c r="DM55" s="118"/>
      <c r="DN55" s="118"/>
      <c r="DO55" s="144"/>
      <c r="DP55" s="143"/>
      <c r="DQ55" s="144"/>
      <c r="DR55" s="126"/>
      <c r="DS55" s="118"/>
      <c r="DT55" s="126"/>
      <c r="DU55" s="144"/>
      <c r="DV55" s="149"/>
      <c r="DW55" s="165"/>
      <c r="DX55" s="373"/>
      <c r="DY55" s="93"/>
      <c r="DZ55" s="93"/>
    </row>
    <row r="56" spans="1:130">
      <c r="A56" s="159"/>
      <c r="B56" s="160"/>
      <c r="C56" s="17"/>
      <c r="D56" s="161"/>
      <c r="E56" s="158"/>
      <c r="F56" s="43"/>
      <c r="G56" s="32"/>
      <c r="H56" s="30"/>
      <c r="I56" s="32"/>
      <c r="J56" s="66"/>
      <c r="K56" s="157"/>
      <c r="L56" s="17"/>
      <c r="M56" s="19"/>
      <c r="N56" s="17"/>
      <c r="O56" s="162"/>
      <c r="P56" s="113"/>
      <c r="Q56" s="51"/>
      <c r="R56" s="92"/>
      <c r="S56" s="158"/>
      <c r="T56" s="161"/>
      <c r="U56" s="158"/>
      <c r="V56" s="157"/>
      <c r="W56" s="14"/>
      <c r="X56" s="157"/>
      <c r="Y56" s="163"/>
      <c r="Z56" s="65"/>
      <c r="AA56" s="65"/>
      <c r="AB56" s="51"/>
      <c r="AC56" s="92"/>
      <c r="AD56" s="92"/>
      <c r="AE56" s="92"/>
      <c r="AF56" s="113"/>
      <c r="AG56" s="51"/>
      <c r="AH56" s="17"/>
      <c r="AI56" s="158"/>
      <c r="AJ56" s="158"/>
      <c r="AK56" s="42"/>
      <c r="AL56" s="31"/>
      <c r="AM56" s="31"/>
      <c r="AN56" s="65"/>
      <c r="AO56" s="65"/>
      <c r="AP56" s="30"/>
      <c r="AQ56" s="33"/>
      <c r="AR56" s="33"/>
      <c r="AS56" s="65"/>
      <c r="AT56" s="51"/>
      <c r="AU56" s="51"/>
      <c r="AV56" s="82"/>
      <c r="AW56" s="158"/>
      <c r="AX56" s="65"/>
      <c r="AY56" s="65"/>
      <c r="AZ56" s="49"/>
      <c r="BA56" s="65"/>
      <c r="BB56" s="31"/>
      <c r="BC56" s="30"/>
      <c r="BD56" s="31"/>
      <c r="BE56" s="30"/>
      <c r="BF56" s="31"/>
      <c r="BG56" s="65"/>
      <c r="BH56" s="51"/>
      <c r="BI56" s="92"/>
      <c r="BJ56" s="92"/>
      <c r="BK56" s="92"/>
      <c r="BL56" s="113"/>
      <c r="BM56" s="159"/>
      <c r="BN56" s="33"/>
      <c r="BO56" s="65"/>
      <c r="BP56" s="31"/>
      <c r="BQ56" s="162"/>
      <c r="BR56" s="31"/>
      <c r="BS56" s="30"/>
      <c r="BT56" s="30"/>
      <c r="BU56" s="65"/>
      <c r="BV56" s="65"/>
      <c r="BW56" s="158"/>
      <c r="BX56" s="33"/>
      <c r="BY56" s="65"/>
      <c r="BZ56" s="31"/>
      <c r="CA56" s="158"/>
      <c r="CB56" s="117"/>
      <c r="CC56" s="363"/>
      <c r="CD56" s="117"/>
      <c r="CE56" s="117"/>
      <c r="CF56" s="123"/>
      <c r="CG56" s="121"/>
      <c r="CH56" s="118"/>
      <c r="CI56" s="131"/>
      <c r="CJ56" s="123"/>
      <c r="CK56" s="131"/>
      <c r="CL56" s="118"/>
      <c r="CM56" s="126"/>
      <c r="CN56" s="118"/>
      <c r="CO56" s="118"/>
      <c r="CP56" s="118"/>
      <c r="CQ56" s="143"/>
      <c r="CR56" s="364"/>
      <c r="CS56" s="117"/>
      <c r="CT56" s="118"/>
      <c r="CU56" s="117"/>
      <c r="CV56" s="121"/>
      <c r="CW56" s="126"/>
      <c r="CX56" s="118"/>
      <c r="CY56" s="121"/>
      <c r="CZ56" s="123"/>
      <c r="DA56" s="123"/>
      <c r="DB56" s="121"/>
      <c r="DC56" s="142"/>
      <c r="DD56" s="146"/>
      <c r="DE56" s="147"/>
      <c r="DF56" s="144"/>
      <c r="DG56" s="147"/>
      <c r="DH56" s="364"/>
      <c r="DI56" s="117"/>
      <c r="DJ56" s="117"/>
      <c r="DK56" s="70"/>
      <c r="DL56" s="118"/>
      <c r="DM56" s="118"/>
      <c r="DN56" s="144"/>
      <c r="DO56" s="143"/>
      <c r="DP56" s="147"/>
      <c r="DQ56" s="143"/>
      <c r="DR56" s="118"/>
      <c r="DS56" s="131"/>
      <c r="DT56" s="118"/>
      <c r="DU56" s="144"/>
      <c r="DV56" s="144"/>
      <c r="DW56" s="150"/>
      <c r="DX56" s="374"/>
      <c r="DY56" s="93"/>
      <c r="DZ56" s="93"/>
    </row>
    <row r="57" spans="1:130">
      <c r="A57" s="159"/>
      <c r="B57" s="17"/>
      <c r="C57" s="19"/>
      <c r="D57" s="17"/>
      <c r="E57" s="157"/>
      <c r="F57" s="43"/>
      <c r="G57" s="41"/>
      <c r="H57" s="51"/>
      <c r="I57" s="41"/>
      <c r="J57" s="43"/>
      <c r="K57" s="159"/>
      <c r="L57" s="161"/>
      <c r="M57" s="17"/>
      <c r="N57" s="160"/>
      <c r="O57" s="163"/>
      <c r="P57" s="82"/>
      <c r="Q57" s="51"/>
      <c r="R57" s="92"/>
      <c r="S57" s="157"/>
      <c r="T57" s="14"/>
      <c r="U57" s="157"/>
      <c r="V57" s="163"/>
      <c r="W57" s="161"/>
      <c r="X57" s="163"/>
      <c r="Y57" s="163"/>
      <c r="Z57" s="65"/>
      <c r="AA57" s="92"/>
      <c r="AB57" s="51"/>
      <c r="AC57" s="92"/>
      <c r="AD57" s="92"/>
      <c r="AE57" s="92"/>
      <c r="AF57" s="82"/>
      <c r="AG57" s="92"/>
      <c r="AH57" s="161"/>
      <c r="AI57" s="163"/>
      <c r="AJ57" s="163"/>
      <c r="AK57" s="40"/>
      <c r="AL57" s="49"/>
      <c r="AM57" s="65"/>
      <c r="AN57" s="34"/>
      <c r="AO57" s="33"/>
      <c r="AP57" s="42"/>
      <c r="AQ57" s="65"/>
      <c r="AR57" s="65"/>
      <c r="AS57" s="92"/>
      <c r="AT57" s="92"/>
      <c r="AU57" s="92"/>
      <c r="AV57" s="82"/>
      <c r="AW57" s="163"/>
      <c r="AX57" s="43"/>
      <c r="AY57" s="42"/>
      <c r="AZ57" s="42"/>
      <c r="BA57" s="92"/>
      <c r="BB57" s="49"/>
      <c r="BC57" s="49"/>
      <c r="BD57" s="65"/>
      <c r="BE57" s="31"/>
      <c r="BF57" s="65"/>
      <c r="BG57" s="31"/>
      <c r="BH57" s="92"/>
      <c r="BI57" s="51"/>
      <c r="BJ57" s="92"/>
      <c r="BK57" s="92"/>
      <c r="BL57" s="82"/>
      <c r="BM57" s="159"/>
      <c r="BN57" s="49"/>
      <c r="BO57" s="43"/>
      <c r="BP57" s="40"/>
      <c r="BQ57" s="163"/>
      <c r="BR57" s="65"/>
      <c r="BS57" s="65"/>
      <c r="BT57" s="65"/>
      <c r="BU57" s="65"/>
      <c r="BV57" s="50"/>
      <c r="BW57" s="163"/>
      <c r="BX57" s="33"/>
      <c r="BY57" s="65"/>
      <c r="BZ57" s="31"/>
      <c r="CA57" s="163"/>
      <c r="CB57" s="70"/>
      <c r="CC57" s="361"/>
      <c r="CD57" s="117"/>
      <c r="CE57" s="70"/>
      <c r="CF57" s="118"/>
      <c r="CG57" s="70"/>
      <c r="CH57" s="131"/>
      <c r="CI57" s="118"/>
      <c r="CJ57" s="131"/>
      <c r="CK57" s="118"/>
      <c r="CL57" s="126"/>
      <c r="CM57" s="126"/>
      <c r="CN57" s="126"/>
      <c r="CO57" s="130"/>
      <c r="CP57" s="136"/>
      <c r="CQ57" s="144"/>
      <c r="CR57" s="364"/>
      <c r="CS57" s="117"/>
      <c r="CT57" s="118"/>
      <c r="CU57" s="70"/>
      <c r="CV57" s="70"/>
      <c r="CW57" s="126"/>
      <c r="CX57" s="118"/>
      <c r="CY57" s="118"/>
      <c r="CZ57" s="121"/>
      <c r="DA57" s="121"/>
      <c r="DB57" s="130"/>
      <c r="DC57" s="143"/>
      <c r="DD57" s="143"/>
      <c r="DE57" s="148"/>
      <c r="DF57" s="147"/>
      <c r="DG57" s="117"/>
      <c r="DH57" s="362"/>
      <c r="DI57" s="70"/>
      <c r="DJ57" s="117"/>
      <c r="DK57" s="118"/>
      <c r="DL57" s="70"/>
      <c r="DM57" s="118"/>
      <c r="DN57" s="144"/>
      <c r="DO57" s="149"/>
      <c r="DP57" s="165"/>
      <c r="DQ57" s="149"/>
      <c r="DR57" s="131"/>
      <c r="DS57" s="126"/>
      <c r="DT57" s="117"/>
      <c r="DU57" s="117"/>
      <c r="DV57" s="144"/>
      <c r="DW57" s="142"/>
      <c r="DX57" s="364"/>
      <c r="DY57" s="93"/>
      <c r="DZ57" s="93"/>
    </row>
    <row r="58" spans="1:130">
      <c r="A58" s="159"/>
      <c r="B58" s="161"/>
      <c r="C58" s="17"/>
      <c r="D58" s="160"/>
      <c r="E58" s="163"/>
      <c r="F58" s="42"/>
      <c r="G58" s="42"/>
      <c r="H58" s="51"/>
      <c r="I58" s="43"/>
      <c r="J58" s="43"/>
      <c r="K58" s="92"/>
      <c r="L58" s="156"/>
      <c r="M58" s="162"/>
      <c r="N58" s="158"/>
      <c r="O58" s="92"/>
      <c r="P58" s="82"/>
      <c r="Q58" s="51"/>
      <c r="R58" s="92"/>
      <c r="S58" s="163"/>
      <c r="T58" s="160"/>
      <c r="U58" s="163"/>
      <c r="V58" s="50"/>
      <c r="W58" s="156"/>
      <c r="X58" s="163"/>
      <c r="Y58" s="46"/>
      <c r="Z58" s="92"/>
      <c r="AA58" s="92"/>
      <c r="AB58" s="92"/>
      <c r="AC58" s="92"/>
      <c r="AD58" s="92"/>
      <c r="AE58" s="92"/>
      <c r="AF58" s="82"/>
      <c r="AG58" s="92"/>
      <c r="AH58" s="92"/>
      <c r="AI58" s="161"/>
      <c r="AJ58" s="17"/>
      <c r="AK58" s="163"/>
      <c r="AL58" s="163"/>
      <c r="AM58" s="92"/>
      <c r="AN58" s="50"/>
      <c r="AO58" s="65"/>
      <c r="AP58" s="65"/>
      <c r="AQ58" s="42"/>
      <c r="AR58" s="92"/>
      <c r="AS58" s="92"/>
      <c r="AT58" s="92"/>
      <c r="AU58" s="92"/>
      <c r="AV58" s="82"/>
      <c r="AW58" s="92"/>
      <c r="AX58" s="163"/>
      <c r="AY58" s="92"/>
      <c r="AZ58" s="92"/>
      <c r="BA58" s="92"/>
      <c r="BB58" s="49"/>
      <c r="BC58" s="65"/>
      <c r="BD58" s="31"/>
      <c r="BE58" s="31"/>
      <c r="BF58" s="30"/>
      <c r="BG58" s="92"/>
      <c r="BH58" s="92"/>
      <c r="BI58" s="51"/>
      <c r="BJ58" s="92"/>
      <c r="BK58" s="92"/>
      <c r="BL58" s="82"/>
      <c r="BM58" s="92"/>
      <c r="BN58" s="158"/>
      <c r="BO58" s="162"/>
      <c r="BP58" s="163"/>
      <c r="BQ58" s="92"/>
      <c r="BR58" s="42"/>
      <c r="BS58" s="46"/>
      <c r="BT58" s="65"/>
      <c r="BU58" s="46"/>
      <c r="BV58" s="46"/>
      <c r="BW58" s="163"/>
      <c r="BX58" s="40"/>
      <c r="BY58" s="43"/>
      <c r="BZ58" s="49"/>
      <c r="CA58" s="163"/>
      <c r="CB58" s="70"/>
      <c r="CC58" s="361"/>
      <c r="CD58" s="117"/>
      <c r="CE58" s="118"/>
      <c r="CF58" s="70"/>
      <c r="CG58" s="117"/>
      <c r="CH58" s="117"/>
      <c r="CI58" s="123"/>
      <c r="CJ58" s="131"/>
      <c r="CK58" s="118"/>
      <c r="CL58" s="126"/>
      <c r="CM58" s="135"/>
      <c r="CN58" s="117"/>
      <c r="CO58" s="117"/>
      <c r="CP58" s="144"/>
      <c r="CQ58" s="117"/>
      <c r="CR58" s="364"/>
      <c r="CS58" s="118"/>
      <c r="CT58" s="70"/>
      <c r="CU58" s="117"/>
      <c r="CV58" s="117"/>
      <c r="CW58" s="70"/>
      <c r="CX58" s="130"/>
      <c r="CY58" s="126"/>
      <c r="CZ58" s="126"/>
      <c r="DA58" s="135"/>
      <c r="DB58" s="130"/>
      <c r="DC58" s="144"/>
      <c r="DD58" s="144"/>
      <c r="DE58" s="147"/>
      <c r="DF58" s="117"/>
      <c r="DG58" s="117"/>
      <c r="DH58" s="364"/>
      <c r="DI58" s="70"/>
      <c r="DJ58" s="117"/>
      <c r="DK58" s="117"/>
      <c r="DL58" s="117"/>
      <c r="DM58" s="117"/>
      <c r="DN58" s="118"/>
      <c r="DO58" s="144"/>
      <c r="DP58" s="147"/>
      <c r="DQ58" s="144"/>
      <c r="DR58" s="136"/>
      <c r="DS58" s="126"/>
      <c r="DT58" s="117"/>
      <c r="DU58" s="70"/>
      <c r="DV58" s="70"/>
      <c r="DW58" s="117"/>
      <c r="DX58" s="362"/>
      <c r="DY58" s="93"/>
      <c r="DZ58" s="93"/>
    </row>
    <row r="59" spans="1:130">
      <c r="A59" s="92"/>
      <c r="B59" s="158"/>
      <c r="C59" s="162"/>
      <c r="D59" s="156"/>
      <c r="E59" s="92"/>
      <c r="F59" s="43"/>
      <c r="G59" s="41"/>
      <c r="H59" s="51"/>
      <c r="I59" s="50"/>
      <c r="J59" s="46"/>
      <c r="K59" s="51"/>
      <c r="L59" s="92"/>
      <c r="M59" s="92"/>
      <c r="N59" s="51"/>
      <c r="O59" s="51"/>
      <c r="P59" s="82"/>
      <c r="Q59" s="51"/>
      <c r="R59" s="92"/>
      <c r="S59" s="92"/>
      <c r="T59" s="156"/>
      <c r="U59" s="41"/>
      <c r="V59" s="46"/>
      <c r="W59" s="43"/>
      <c r="X59" s="46"/>
      <c r="Y59" s="46"/>
      <c r="Z59" s="92"/>
      <c r="AA59" s="92"/>
      <c r="AB59" s="51"/>
      <c r="AC59" s="51"/>
      <c r="AD59" s="51"/>
      <c r="AE59" s="51"/>
      <c r="AF59" s="82"/>
      <c r="AG59" s="51"/>
      <c r="AH59" s="51"/>
      <c r="AI59" s="51"/>
      <c r="AJ59" s="92"/>
      <c r="AK59" s="161"/>
      <c r="AL59" s="92"/>
      <c r="AM59" s="50"/>
      <c r="AN59" s="46"/>
      <c r="AO59" s="46"/>
      <c r="AP59" s="50"/>
      <c r="AQ59" s="46"/>
      <c r="AR59" s="92"/>
      <c r="AS59" s="92"/>
      <c r="AT59" s="92"/>
      <c r="AU59" s="92"/>
      <c r="AV59" s="82"/>
      <c r="AW59" s="51"/>
      <c r="AX59" s="51"/>
      <c r="AY59" s="51"/>
      <c r="AZ59" s="51"/>
      <c r="BA59" s="52"/>
      <c r="BB59" s="41"/>
      <c r="BC59" s="46"/>
      <c r="BD59" s="42"/>
      <c r="BE59" s="49"/>
      <c r="BF59" s="49"/>
      <c r="BG59" s="92"/>
      <c r="BH59" s="92"/>
      <c r="BI59" s="51"/>
      <c r="BJ59" s="51"/>
      <c r="BK59" s="51"/>
      <c r="BL59" s="82"/>
      <c r="BM59" s="51"/>
      <c r="BN59" s="51"/>
      <c r="BO59" s="92"/>
      <c r="BP59" s="51"/>
      <c r="BQ59" s="52"/>
      <c r="BR59" s="40"/>
      <c r="BS59" s="43"/>
      <c r="BT59" s="65"/>
      <c r="BU59" s="46"/>
      <c r="BV59" s="46"/>
      <c r="BW59" s="92"/>
      <c r="BX59" s="144"/>
      <c r="BY59" s="163"/>
      <c r="BZ59" s="144"/>
      <c r="CA59" s="92"/>
      <c r="CB59" s="70"/>
      <c r="CC59" s="361"/>
      <c r="CD59" s="70"/>
      <c r="CE59" s="70"/>
      <c r="CF59" s="70"/>
      <c r="CG59" s="117"/>
      <c r="CH59" s="117"/>
      <c r="CI59" s="133"/>
      <c r="CJ59" s="133"/>
      <c r="CK59" s="133"/>
      <c r="CL59" s="133"/>
      <c r="CM59" s="136"/>
      <c r="CN59" s="137"/>
      <c r="CO59" s="70"/>
      <c r="CP59" s="70"/>
      <c r="CQ59" s="70"/>
      <c r="CR59" s="362"/>
      <c r="CS59" s="70"/>
      <c r="CT59" s="117"/>
      <c r="CU59" s="117"/>
      <c r="CV59" s="70"/>
      <c r="CW59" s="71"/>
      <c r="CX59" s="126"/>
      <c r="CY59" s="126"/>
      <c r="CZ59" s="130"/>
      <c r="DA59" s="126"/>
      <c r="DB59" s="136"/>
      <c r="DC59" s="117"/>
      <c r="DD59" s="147"/>
      <c r="DE59" s="117"/>
      <c r="DF59" s="117"/>
      <c r="DG59" s="117"/>
      <c r="DH59" s="364"/>
      <c r="DI59" s="70"/>
      <c r="DJ59" s="70"/>
      <c r="DK59" s="70"/>
      <c r="DL59" s="70"/>
      <c r="DM59" s="117"/>
      <c r="DN59" s="117"/>
      <c r="DO59" s="144"/>
      <c r="DP59" s="142"/>
      <c r="DQ59" s="133"/>
      <c r="DR59" s="133"/>
      <c r="DS59" s="135"/>
      <c r="DT59" s="70"/>
      <c r="DU59" s="70"/>
      <c r="DV59" s="70"/>
      <c r="DW59" s="117"/>
      <c r="DX59" s="362"/>
      <c r="DY59" s="93"/>
      <c r="DZ59" s="93"/>
    </row>
    <row r="60" spans="1:130">
      <c r="A60" s="51"/>
      <c r="B60" s="51"/>
      <c r="C60" s="51"/>
      <c r="D60" s="52"/>
      <c r="E60" s="51"/>
      <c r="F60" s="49"/>
      <c r="G60" s="43"/>
      <c r="H60" s="51"/>
      <c r="I60" s="49"/>
      <c r="J60" s="49"/>
      <c r="K60" s="51"/>
      <c r="L60" s="92"/>
      <c r="M60" s="51"/>
      <c r="N60" s="51"/>
      <c r="O60" s="51"/>
      <c r="P60" s="82"/>
      <c r="Q60" s="51"/>
      <c r="R60" s="51"/>
      <c r="S60" s="51"/>
      <c r="T60" s="52"/>
      <c r="U60" s="46"/>
      <c r="V60" s="49"/>
      <c r="W60" s="52"/>
      <c r="X60" s="43"/>
      <c r="Y60" s="46"/>
      <c r="Z60" s="43"/>
      <c r="AA60" s="51"/>
      <c r="AB60" s="51"/>
      <c r="AC60" s="51"/>
      <c r="AD60" s="51"/>
      <c r="AE60" s="51"/>
      <c r="AF60" s="82"/>
      <c r="AG60" s="51"/>
      <c r="AH60" s="51"/>
      <c r="AI60" s="51"/>
      <c r="AJ60" s="51"/>
      <c r="AK60" s="51"/>
      <c r="AL60" s="52"/>
      <c r="AM60" s="46"/>
      <c r="AN60" s="49"/>
      <c r="AO60" s="52"/>
      <c r="AP60" s="50"/>
      <c r="AQ60" s="42"/>
      <c r="AR60" s="43"/>
      <c r="AS60" s="51"/>
      <c r="AT60" s="92"/>
      <c r="AU60" s="51"/>
      <c r="AV60" s="82"/>
      <c r="AW60" s="51"/>
      <c r="AX60" s="51"/>
      <c r="AY60" s="51"/>
      <c r="AZ60" s="51"/>
      <c r="BA60" s="70"/>
      <c r="BB60" s="46"/>
      <c r="BC60" s="50"/>
      <c r="BD60" s="46"/>
      <c r="BE60" s="46"/>
      <c r="BF60" s="51"/>
      <c r="BG60" s="92"/>
      <c r="BH60" s="51"/>
      <c r="BI60" s="51"/>
      <c r="BJ60" s="51"/>
      <c r="BK60" s="51"/>
      <c r="BL60" s="82"/>
      <c r="BM60" s="51"/>
      <c r="BN60" s="51"/>
      <c r="BO60" s="51"/>
      <c r="BP60" s="52"/>
      <c r="BQ60" s="52"/>
      <c r="BR60" s="40"/>
      <c r="BS60" s="49"/>
      <c r="BT60" s="51"/>
      <c r="BU60" s="301"/>
      <c r="BV60" s="48"/>
      <c r="BW60" s="70"/>
      <c r="BX60" s="51"/>
      <c r="BY60" s="51"/>
      <c r="BZ60" s="51"/>
      <c r="CA60" s="51"/>
      <c r="CB60" s="70"/>
      <c r="CC60" s="361"/>
      <c r="CD60" s="70"/>
      <c r="CE60" s="70"/>
      <c r="CF60" s="70"/>
      <c r="CG60" s="70"/>
      <c r="CH60" s="136"/>
      <c r="CI60" s="133"/>
      <c r="CJ60" s="136"/>
      <c r="CK60" s="71"/>
      <c r="CL60" s="133"/>
      <c r="CM60" s="133"/>
      <c r="CN60" s="70"/>
      <c r="CO60" s="70"/>
      <c r="CP60" s="70"/>
      <c r="CQ60" s="70"/>
      <c r="CR60" s="362"/>
      <c r="CS60" s="70"/>
      <c r="CT60" s="70"/>
      <c r="CU60" s="70"/>
      <c r="CV60" s="117"/>
      <c r="CW60" s="133"/>
      <c r="CX60" s="133"/>
      <c r="CY60" s="136"/>
      <c r="CZ60" s="70"/>
      <c r="DA60" s="133"/>
      <c r="DB60" s="135"/>
      <c r="DC60" s="71"/>
      <c r="DD60" s="70"/>
      <c r="DE60" s="70"/>
      <c r="DF60" s="70"/>
      <c r="DG60" s="70"/>
      <c r="DH60" s="362"/>
      <c r="DI60" s="70"/>
      <c r="DJ60" s="70"/>
      <c r="DK60" s="70"/>
      <c r="DL60" s="70"/>
      <c r="DM60" s="70"/>
      <c r="DN60" s="70"/>
      <c r="DO60" s="70"/>
      <c r="DP60" s="117"/>
      <c r="DQ60" s="136"/>
      <c r="DR60" s="133"/>
      <c r="DS60" s="126"/>
      <c r="DT60" s="135"/>
      <c r="DU60" s="70"/>
      <c r="DV60" s="70"/>
      <c r="DW60" s="70"/>
      <c r="DX60" s="362"/>
      <c r="DY60" s="93"/>
      <c r="DZ60" s="93"/>
    </row>
    <row r="61" spans="1:130">
      <c r="A61" s="51"/>
      <c r="B61" s="51"/>
      <c r="C61" s="51"/>
      <c r="D61" s="52"/>
      <c r="E61" s="51"/>
      <c r="F61" s="49"/>
      <c r="G61" s="43"/>
      <c r="H61" s="51"/>
      <c r="I61" s="49"/>
      <c r="J61" s="49"/>
      <c r="K61" s="51"/>
      <c r="L61" s="92"/>
      <c r="M61" s="51"/>
      <c r="N61" s="51"/>
      <c r="O61" s="51"/>
      <c r="P61" s="82"/>
      <c r="Q61" s="51"/>
      <c r="R61" s="51"/>
      <c r="S61" s="51"/>
      <c r="T61" s="52"/>
      <c r="U61" s="46"/>
      <c r="V61" s="49"/>
      <c r="W61" s="52"/>
      <c r="X61" s="43"/>
      <c r="Y61" s="46"/>
      <c r="Z61" s="43"/>
      <c r="AA61" s="51"/>
      <c r="AB61" s="51"/>
      <c r="AC61" s="51"/>
      <c r="AD61" s="51"/>
      <c r="AE61" s="51"/>
      <c r="AF61" s="82"/>
      <c r="AG61" s="51"/>
      <c r="AH61" s="51"/>
      <c r="AI61" s="51"/>
      <c r="AJ61" s="51"/>
      <c r="AK61" s="51"/>
      <c r="AL61" s="52"/>
      <c r="AM61" s="46"/>
      <c r="AN61" s="49"/>
      <c r="AO61" s="52"/>
      <c r="AP61" s="50"/>
      <c r="AQ61" s="42"/>
      <c r="AR61" s="43"/>
      <c r="AS61" s="51"/>
      <c r="AT61" s="92"/>
      <c r="AU61" s="51"/>
      <c r="AV61" s="82"/>
      <c r="AW61" s="51"/>
      <c r="AX61" s="51"/>
      <c r="AY61" s="51"/>
      <c r="AZ61" s="51"/>
      <c r="BA61" s="50"/>
      <c r="BB61" s="46"/>
      <c r="BC61" s="50"/>
      <c r="BD61" s="46"/>
      <c r="BE61" s="46"/>
      <c r="BF61" s="51"/>
      <c r="BG61" s="92"/>
      <c r="BH61" s="51"/>
      <c r="BI61" s="51"/>
      <c r="BJ61" s="51"/>
      <c r="BK61" s="51"/>
      <c r="BL61" s="82"/>
      <c r="BM61" s="51"/>
      <c r="BN61" s="51"/>
      <c r="BO61" s="51"/>
      <c r="BP61" s="52"/>
      <c r="BQ61" s="52"/>
      <c r="BR61" s="40"/>
      <c r="BS61" s="49"/>
      <c r="BT61" s="51"/>
      <c r="BU61" s="301"/>
      <c r="BV61" s="48"/>
      <c r="BW61" s="297"/>
      <c r="BX61" s="51"/>
      <c r="BY61" s="51"/>
      <c r="BZ61" s="51"/>
      <c r="CA61" s="51"/>
      <c r="CB61" s="70"/>
      <c r="CC61" s="361"/>
      <c r="CD61" s="70"/>
      <c r="CE61" s="70"/>
      <c r="CF61" s="70"/>
      <c r="CG61" s="70"/>
      <c r="CH61" s="136"/>
      <c r="CI61" s="133"/>
      <c r="CJ61" s="136"/>
      <c r="CK61" s="71"/>
      <c r="CL61" s="133"/>
      <c r="CM61" s="133"/>
      <c r="CN61" s="136"/>
      <c r="CO61" s="133"/>
      <c r="CP61" s="135"/>
      <c r="CQ61" s="70"/>
      <c r="CR61" s="362"/>
      <c r="CS61" s="70"/>
      <c r="CT61" s="70"/>
      <c r="CU61" s="70"/>
      <c r="CV61" s="117"/>
      <c r="CW61" s="133"/>
      <c r="CX61" s="133"/>
      <c r="CY61" s="136"/>
      <c r="CZ61" s="70"/>
      <c r="DA61" s="133"/>
      <c r="DB61" s="135"/>
      <c r="DC61" s="71"/>
      <c r="DD61" s="70"/>
      <c r="DE61" s="70"/>
      <c r="DF61" s="70"/>
      <c r="DG61" s="70"/>
      <c r="DH61" s="362"/>
      <c r="DI61" s="70"/>
      <c r="DJ61" s="70"/>
      <c r="DK61" s="70"/>
      <c r="DL61" s="70"/>
      <c r="DM61" s="70"/>
      <c r="DN61" s="70"/>
      <c r="DO61" s="70"/>
      <c r="DP61" s="117"/>
      <c r="DQ61" s="136"/>
      <c r="DR61" s="133"/>
      <c r="DS61" s="126"/>
      <c r="DT61" s="135"/>
      <c r="DU61" s="70"/>
      <c r="DV61" s="70"/>
      <c r="DW61" s="70"/>
      <c r="DX61" s="362"/>
      <c r="DY61" s="93"/>
      <c r="DZ61" s="93"/>
    </row>
    <row r="62" spans="1:130">
      <c r="A62" s="51"/>
      <c r="B62" s="51"/>
      <c r="C62" s="51"/>
      <c r="D62" s="51"/>
      <c r="E62" s="43"/>
      <c r="F62" s="49"/>
      <c r="G62" s="104"/>
      <c r="H62" s="52"/>
      <c r="I62" s="46"/>
      <c r="J62" s="48"/>
      <c r="K62" s="51"/>
      <c r="L62" s="51"/>
      <c r="M62" s="51"/>
      <c r="N62" s="51"/>
      <c r="O62" s="51"/>
      <c r="P62" s="82"/>
      <c r="Q62" s="51"/>
      <c r="R62" s="51"/>
      <c r="S62" s="46"/>
      <c r="T62" s="50"/>
      <c r="U62" s="46"/>
      <c r="V62" s="51"/>
      <c r="W62" s="51"/>
      <c r="X62" s="51"/>
      <c r="Y62" s="40"/>
      <c r="Z62" s="46"/>
      <c r="AA62" s="43"/>
      <c r="AB62" s="51"/>
      <c r="AC62" s="51"/>
      <c r="AD62" s="51"/>
      <c r="AE62" s="51"/>
      <c r="AF62" s="82"/>
      <c r="AG62" s="51"/>
      <c r="AH62" s="51"/>
      <c r="AI62" s="51"/>
      <c r="AJ62" s="51"/>
      <c r="AK62" s="46"/>
      <c r="AL62" s="50"/>
      <c r="AM62" s="46"/>
      <c r="AN62" s="51"/>
      <c r="AO62" s="51"/>
      <c r="AP62" s="51"/>
      <c r="AQ62" s="42"/>
      <c r="AR62" s="46"/>
      <c r="AS62" s="48"/>
      <c r="AT62" s="51"/>
      <c r="AU62" s="51"/>
      <c r="AV62" s="82"/>
      <c r="AW62" s="51"/>
      <c r="AX62" s="51"/>
      <c r="AY62" s="50"/>
      <c r="AZ62" s="41"/>
      <c r="BA62" s="46"/>
      <c r="BB62" s="50"/>
      <c r="BC62" s="51"/>
      <c r="BD62" s="50"/>
      <c r="BE62" s="46"/>
      <c r="BF62" s="48"/>
      <c r="BG62" s="51"/>
      <c r="BH62" s="51"/>
      <c r="BI62" s="51"/>
      <c r="BJ62" s="51"/>
      <c r="BK62" s="51"/>
      <c r="BL62" s="82"/>
      <c r="BM62" s="51"/>
      <c r="BN62" s="51"/>
      <c r="BO62" s="51"/>
      <c r="BP62" s="52"/>
      <c r="BQ62" s="51"/>
      <c r="BR62" s="46"/>
      <c r="BS62" s="49"/>
      <c r="BT62" s="52"/>
      <c r="BU62" s="297"/>
      <c r="BV62" s="46"/>
      <c r="BW62" s="49"/>
      <c r="BX62" s="49"/>
      <c r="BY62" s="51"/>
      <c r="BZ62" s="51"/>
      <c r="CA62" s="51"/>
      <c r="CB62" s="70"/>
      <c r="CC62" s="361"/>
      <c r="CD62" s="70"/>
      <c r="CE62" s="70"/>
      <c r="CF62" s="70"/>
      <c r="CG62" s="136"/>
      <c r="CH62" s="133"/>
      <c r="CI62" s="135"/>
      <c r="CJ62" s="70"/>
      <c r="CK62" s="71"/>
      <c r="CL62" s="71"/>
      <c r="CM62" s="133"/>
      <c r="CN62" s="133"/>
      <c r="CO62" s="133"/>
      <c r="CP62" s="136"/>
      <c r="CQ62" s="70"/>
      <c r="CR62" s="362"/>
      <c r="CS62" s="70"/>
      <c r="CT62" s="70"/>
      <c r="CU62" s="70"/>
      <c r="CV62" s="133"/>
      <c r="CW62" s="133"/>
      <c r="CX62" s="136"/>
      <c r="CY62" s="70"/>
      <c r="CZ62" s="70"/>
      <c r="DA62" s="70"/>
      <c r="DB62" s="136"/>
      <c r="DC62" s="126"/>
      <c r="DD62" s="136"/>
      <c r="DE62" s="70"/>
      <c r="DF62" s="70"/>
      <c r="DG62" s="70"/>
      <c r="DH62" s="362"/>
      <c r="DI62" s="70"/>
      <c r="DJ62" s="70"/>
      <c r="DK62" s="70"/>
      <c r="DL62" s="70"/>
      <c r="DM62" s="70"/>
      <c r="DN62" s="70"/>
      <c r="DO62" s="70"/>
      <c r="DP62" s="133"/>
      <c r="DQ62" s="133"/>
      <c r="DR62" s="136"/>
      <c r="DS62" s="126"/>
      <c r="DT62" s="126"/>
      <c r="DU62" s="126"/>
      <c r="DV62" s="136"/>
      <c r="DW62" s="70"/>
      <c r="DX62" s="362"/>
      <c r="DY62" s="93"/>
      <c r="DZ62" s="93"/>
    </row>
    <row r="63" spans="1:130">
      <c r="A63" s="51"/>
      <c r="B63" s="92"/>
      <c r="C63" s="92"/>
      <c r="D63" s="41"/>
      <c r="E63" s="92"/>
      <c r="F63" s="49"/>
      <c r="G63" s="51"/>
      <c r="H63" s="51"/>
      <c r="I63" s="49"/>
      <c r="J63" s="49"/>
      <c r="K63" s="42"/>
      <c r="L63" s="51"/>
      <c r="M63" s="51"/>
      <c r="N63" s="51"/>
      <c r="O63" s="51"/>
      <c r="P63" s="82"/>
      <c r="Q63" s="51"/>
      <c r="R63" s="41"/>
      <c r="S63" s="51"/>
      <c r="T63" s="46"/>
      <c r="U63" s="46"/>
      <c r="V63" s="46"/>
      <c r="W63" s="51"/>
      <c r="X63" s="51"/>
      <c r="Y63" s="376"/>
      <c r="Z63" s="46"/>
      <c r="AA63" s="46"/>
      <c r="AB63" s="51"/>
      <c r="AC63" s="51"/>
      <c r="AD63" s="51"/>
      <c r="AE63" s="51"/>
      <c r="AF63" s="82"/>
      <c r="AG63" s="51"/>
      <c r="AH63" s="51"/>
      <c r="AI63" s="51"/>
      <c r="AJ63" s="41"/>
      <c r="AK63" s="51"/>
      <c r="AL63" s="46"/>
      <c r="AM63" s="46"/>
      <c r="AN63" s="46"/>
      <c r="AO63" s="51"/>
      <c r="AP63" s="51"/>
      <c r="AQ63" s="51"/>
      <c r="AR63" s="43"/>
      <c r="AS63" s="49"/>
      <c r="AT63" s="46"/>
      <c r="AU63" s="51"/>
      <c r="AV63" s="82"/>
      <c r="AW63" s="51"/>
      <c r="AX63" s="51"/>
      <c r="AY63" s="51"/>
      <c r="AZ63" s="50"/>
      <c r="BA63" s="46"/>
      <c r="BB63" s="46"/>
      <c r="BC63" s="51"/>
      <c r="BD63" s="51"/>
      <c r="BE63" s="46"/>
      <c r="BF63" s="49"/>
      <c r="BG63" s="46"/>
      <c r="BH63" s="51"/>
      <c r="BI63" s="51"/>
      <c r="BJ63" s="51"/>
      <c r="BK63" s="51"/>
      <c r="BL63" s="82"/>
      <c r="BM63" s="51"/>
      <c r="BN63" s="51"/>
      <c r="BO63" s="51"/>
      <c r="BP63" s="51"/>
      <c r="BQ63" s="49"/>
      <c r="BR63" s="46"/>
      <c r="BS63" s="49"/>
      <c r="BT63" s="51"/>
      <c r="BU63" s="50"/>
      <c r="BV63" s="376"/>
      <c r="BW63" s="51"/>
      <c r="BX63" s="51"/>
      <c r="BY63" s="51"/>
      <c r="BZ63" s="51"/>
      <c r="CA63" s="51"/>
      <c r="CB63" s="70"/>
      <c r="CC63" s="361"/>
      <c r="CD63" s="70"/>
      <c r="CE63" s="70"/>
      <c r="CF63" s="136"/>
      <c r="CG63" s="133"/>
      <c r="CH63" s="133"/>
      <c r="CI63" s="133"/>
      <c r="CJ63" s="70"/>
      <c r="CK63" s="117"/>
      <c r="CL63" s="70"/>
      <c r="CM63" s="136"/>
      <c r="CN63" s="133"/>
      <c r="CO63" s="70"/>
      <c r="CP63" s="70"/>
      <c r="CQ63" s="70"/>
      <c r="CR63" s="362"/>
      <c r="CS63" s="70"/>
      <c r="CT63" s="70"/>
      <c r="CU63" s="135"/>
      <c r="CV63" s="133"/>
      <c r="CW63" s="133"/>
      <c r="CX63" s="70"/>
      <c r="CY63" s="70"/>
      <c r="CZ63" s="70"/>
      <c r="DA63" s="136"/>
      <c r="DB63" s="126"/>
      <c r="DC63" s="70"/>
      <c r="DD63" s="70"/>
      <c r="DE63" s="135"/>
      <c r="DF63" s="70"/>
      <c r="DG63" s="70"/>
      <c r="DH63" s="362"/>
      <c r="DI63" s="70"/>
      <c r="DJ63" s="70"/>
      <c r="DK63" s="70"/>
      <c r="DL63" s="70"/>
      <c r="DM63" s="70"/>
      <c r="DN63" s="70"/>
      <c r="DO63" s="135"/>
      <c r="DP63" s="133"/>
      <c r="DQ63" s="133"/>
      <c r="DR63" s="70"/>
      <c r="DS63" s="126"/>
      <c r="DT63" s="136"/>
      <c r="DU63" s="70"/>
      <c r="DV63" s="70"/>
      <c r="DW63" s="70"/>
      <c r="DX63" s="362"/>
      <c r="DY63" s="93"/>
      <c r="DZ63" s="93"/>
    </row>
    <row r="64" spans="1:130">
      <c r="A64" s="106"/>
      <c r="B64" s="106"/>
      <c r="C64" s="106"/>
      <c r="D64" s="106"/>
      <c r="E64" s="106"/>
      <c r="F64" s="106"/>
      <c r="G64" s="106"/>
      <c r="H64" s="103"/>
      <c r="I64" s="104"/>
      <c r="J64" s="107"/>
      <c r="K64" s="103"/>
      <c r="L64" s="105"/>
      <c r="M64" s="103"/>
      <c r="N64" s="103"/>
      <c r="O64" s="103"/>
      <c r="P64" s="116"/>
      <c r="Q64" s="106"/>
      <c r="R64" s="106"/>
      <c r="S64" s="106"/>
      <c r="T64" s="106"/>
      <c r="U64" s="106"/>
      <c r="V64" s="106"/>
      <c r="W64" s="103"/>
      <c r="X64" s="107"/>
      <c r="Y64" s="376"/>
      <c r="Z64" s="107"/>
      <c r="AA64" s="103"/>
      <c r="AB64" s="106"/>
      <c r="AC64" s="103"/>
      <c r="AD64" s="103"/>
      <c r="AE64" s="103"/>
      <c r="AF64" s="116"/>
      <c r="AG64" s="106"/>
      <c r="AH64" s="106"/>
      <c r="AI64" s="106"/>
      <c r="AJ64" s="106"/>
      <c r="AK64" s="106"/>
      <c r="AL64" s="106"/>
      <c r="AM64" s="106"/>
      <c r="AN64" s="106"/>
      <c r="AO64" s="106"/>
      <c r="AP64" s="376"/>
      <c r="AQ64" s="107"/>
      <c r="AR64" s="376"/>
      <c r="AS64" s="107"/>
      <c r="AT64" s="104"/>
      <c r="AU64" s="106"/>
      <c r="AV64" s="116"/>
      <c r="AW64" s="106"/>
      <c r="AX64" s="103"/>
      <c r="AY64" s="103"/>
      <c r="AZ64" s="103"/>
      <c r="BA64" s="103"/>
      <c r="BB64" s="103"/>
      <c r="BC64" s="377"/>
      <c r="BD64" s="378"/>
      <c r="BE64" s="104"/>
      <c r="BF64" s="107"/>
      <c r="BG64" s="104"/>
      <c r="BH64" s="386"/>
      <c r="BI64" s="103"/>
      <c r="BJ64" s="103"/>
      <c r="BK64" s="103"/>
      <c r="BL64" s="116"/>
      <c r="BM64" s="106"/>
      <c r="BN64" s="103"/>
      <c r="BO64" s="103"/>
      <c r="BP64" s="104"/>
      <c r="BQ64" s="103"/>
      <c r="BR64" s="104"/>
      <c r="BS64" s="104"/>
      <c r="BT64" s="103"/>
      <c r="BU64" s="103"/>
      <c r="BV64" s="103"/>
      <c r="BW64" s="103"/>
      <c r="BX64" s="103"/>
      <c r="BY64" s="103"/>
      <c r="BZ64" s="103"/>
      <c r="CA64" s="103"/>
      <c r="CB64" s="367"/>
      <c r="CC64" s="365"/>
      <c r="CD64" s="367"/>
      <c r="CE64" s="399"/>
      <c r="CF64" s="399"/>
      <c r="CG64" s="399"/>
      <c r="CH64" s="385"/>
      <c r="CI64" s="385"/>
      <c r="CJ64" s="382"/>
      <c r="CK64" s="399"/>
      <c r="CL64" s="399"/>
      <c r="CM64" s="366"/>
      <c r="CN64" s="367"/>
      <c r="CO64" s="366"/>
      <c r="CP64" s="366"/>
      <c r="CQ64" s="367"/>
      <c r="CR64" s="383"/>
      <c r="CS64" s="367"/>
      <c r="CT64" s="367"/>
      <c r="CU64" s="366"/>
      <c r="CV64" s="367"/>
      <c r="CW64" s="385"/>
      <c r="CX64" s="385"/>
      <c r="CY64" s="382"/>
      <c r="CZ64" s="367"/>
      <c r="DA64" s="367"/>
      <c r="DB64" s="367"/>
      <c r="DC64" s="367"/>
      <c r="DD64" s="367"/>
      <c r="DE64" s="367"/>
      <c r="DF64" s="366"/>
      <c r="DG64" s="366"/>
      <c r="DH64" s="383"/>
      <c r="DI64" s="367"/>
      <c r="DJ64" s="367"/>
      <c r="DK64" s="367"/>
      <c r="DL64" s="367"/>
      <c r="DM64" s="366"/>
      <c r="DN64" s="367"/>
      <c r="DO64" s="366"/>
      <c r="DP64" s="367"/>
      <c r="DQ64" s="385"/>
      <c r="DR64" s="385"/>
      <c r="DS64" s="382"/>
      <c r="DT64" s="367"/>
      <c r="DU64" s="367"/>
      <c r="DV64" s="367"/>
      <c r="DW64" s="367"/>
      <c r="DX64" s="383"/>
      <c r="DY64" s="73"/>
      <c r="DZ64" s="73"/>
    </row>
    <row r="65" spans="1:130">
      <c r="A65" s="114"/>
      <c r="B65" s="51" t="s">
        <v>763</v>
      </c>
      <c r="C65" s="51"/>
      <c r="D65" s="51"/>
      <c r="E65" s="51"/>
      <c r="F65" s="92"/>
      <c r="G65" s="92"/>
      <c r="H65" s="51"/>
      <c r="I65" s="51"/>
      <c r="J65" s="51"/>
      <c r="K65" s="51"/>
      <c r="L65" s="92"/>
      <c r="M65" s="51"/>
      <c r="N65" s="51"/>
      <c r="O65" s="51"/>
      <c r="P65" s="82"/>
      <c r="Q65" s="51"/>
      <c r="R65" s="51"/>
      <c r="S65" s="51"/>
      <c r="T65" s="51"/>
      <c r="U65" s="51"/>
      <c r="V65" s="92"/>
      <c r="W65" s="92"/>
      <c r="X65" s="51"/>
      <c r="Y65" s="51"/>
      <c r="Z65" s="51"/>
      <c r="AA65" s="51"/>
      <c r="AB65" s="92"/>
      <c r="AC65" s="51"/>
      <c r="AD65" s="51"/>
      <c r="AE65" s="51"/>
      <c r="AF65" s="82"/>
      <c r="AG65" s="51"/>
      <c r="AH65" s="51"/>
      <c r="AI65" s="51"/>
      <c r="AJ65" s="51"/>
      <c r="AK65" s="51"/>
      <c r="AL65" s="92"/>
      <c r="AM65" s="92"/>
      <c r="AN65" s="51"/>
      <c r="AO65" s="51"/>
      <c r="AP65" s="51"/>
      <c r="AQ65" s="51"/>
      <c r="AR65" s="92"/>
      <c r="AS65" s="51"/>
      <c r="AT65" s="51"/>
      <c r="AU65" s="51"/>
      <c r="AV65" s="82"/>
      <c r="AW65" s="51"/>
      <c r="AX65" s="51"/>
      <c r="AY65" s="51"/>
      <c r="AZ65" s="51"/>
      <c r="BA65" s="51"/>
      <c r="BB65" s="92"/>
      <c r="BC65" s="92"/>
      <c r="BD65" s="51"/>
      <c r="BE65" s="51"/>
      <c r="BF65" s="51"/>
      <c r="BG65" s="51"/>
      <c r="BH65" s="92"/>
      <c r="BI65" s="51"/>
      <c r="BJ65" s="51"/>
      <c r="BK65" s="51"/>
      <c r="BL65" s="362"/>
      <c r="BM65" s="70"/>
      <c r="BN65" s="70"/>
      <c r="BO65" s="70"/>
      <c r="BP65" s="117"/>
      <c r="BQ65" s="70"/>
      <c r="BR65" s="70"/>
      <c r="BS65" s="70"/>
      <c r="BT65" s="70"/>
      <c r="BU65" s="117"/>
      <c r="BV65" s="117"/>
      <c r="BW65" s="70"/>
      <c r="BX65" s="70"/>
      <c r="BY65" s="70"/>
      <c r="BZ65" s="70"/>
      <c r="CA65" s="70"/>
      <c r="CB65" s="70"/>
      <c r="CC65" s="361"/>
      <c r="CD65" s="70"/>
      <c r="CE65" s="70"/>
      <c r="CF65" s="70"/>
      <c r="CG65" s="117"/>
      <c r="CH65" s="70"/>
      <c r="CI65" s="70"/>
      <c r="CJ65" s="70"/>
      <c r="CK65" s="70"/>
      <c r="CL65" s="117"/>
      <c r="CM65" s="117"/>
      <c r="CN65" s="70"/>
      <c r="CO65" s="70"/>
      <c r="CP65" s="70"/>
      <c r="CQ65" s="70"/>
      <c r="CR65" s="362"/>
      <c r="CS65" s="70"/>
      <c r="CT65" s="70"/>
      <c r="CU65" s="70"/>
      <c r="CV65" s="70"/>
      <c r="CW65" s="117"/>
      <c r="CX65" s="70"/>
      <c r="CY65" s="70"/>
      <c r="CZ65" s="70"/>
      <c r="DA65" s="70"/>
      <c r="DB65" s="117"/>
      <c r="DC65" s="117"/>
      <c r="DD65" s="70"/>
      <c r="DE65" s="70"/>
      <c r="DF65" s="70"/>
      <c r="DG65" s="70"/>
      <c r="DH65" s="362"/>
      <c r="DI65" s="70"/>
      <c r="DJ65" s="70"/>
      <c r="DK65" s="70"/>
      <c r="DL65" s="70"/>
      <c r="DM65" s="117"/>
      <c r="DN65" s="70"/>
      <c r="DO65" s="70"/>
      <c r="DP65" s="70"/>
      <c r="DQ65" s="70"/>
      <c r="DR65" s="117"/>
      <c r="DS65" s="117"/>
      <c r="DT65" s="70"/>
      <c r="DU65" s="70"/>
      <c r="DV65" s="70"/>
      <c r="DW65" s="70"/>
      <c r="DX65" s="362"/>
      <c r="DY65" s="93"/>
      <c r="DZ65" s="93"/>
    </row>
    <row r="66" spans="1:130">
      <c r="A66" s="92"/>
      <c r="B66" s="92"/>
      <c r="C66" s="92"/>
      <c r="D66" s="92"/>
      <c r="E66" s="92"/>
      <c r="F66" s="92"/>
      <c r="G66" s="92"/>
      <c r="H66" s="92"/>
      <c r="I66" s="92"/>
      <c r="J66" s="92"/>
      <c r="K66" s="92"/>
      <c r="L66" s="92"/>
      <c r="M66" s="92"/>
      <c r="N66" s="92"/>
      <c r="O66" s="92"/>
      <c r="P66" s="113"/>
      <c r="Q66" s="92"/>
      <c r="R66" s="92"/>
      <c r="S66" s="92"/>
      <c r="T66" s="92"/>
      <c r="U66" s="92"/>
      <c r="V66" s="92"/>
      <c r="W66" s="92"/>
      <c r="X66" s="92"/>
      <c r="Y66" s="92"/>
      <c r="Z66" s="92"/>
      <c r="AA66" s="92"/>
      <c r="AB66" s="92"/>
      <c r="AC66" s="92"/>
      <c r="AD66" s="92"/>
      <c r="AE66" s="92"/>
      <c r="AF66" s="113"/>
      <c r="AG66" s="92"/>
      <c r="AH66" s="92"/>
      <c r="AI66" s="92"/>
      <c r="AJ66" s="92"/>
      <c r="AK66" s="92"/>
      <c r="AL66" s="92"/>
      <c r="AM66" s="92"/>
      <c r="AN66" s="92"/>
      <c r="AO66" s="92"/>
      <c r="AP66" s="92"/>
      <c r="AQ66" s="92"/>
      <c r="AR66" s="92"/>
      <c r="AS66" s="92"/>
      <c r="AT66" s="92"/>
      <c r="AU66" s="92"/>
      <c r="AV66" s="113"/>
      <c r="AW66" s="92"/>
      <c r="AX66" s="92"/>
      <c r="AY66" s="92"/>
      <c r="AZ66" s="92"/>
      <c r="BA66" s="92"/>
      <c r="BB66" s="92"/>
      <c r="BC66" s="92"/>
      <c r="BD66" s="92"/>
      <c r="BE66" s="92"/>
      <c r="BF66" s="92"/>
      <c r="BG66" s="92"/>
      <c r="BH66" s="92"/>
      <c r="BI66" s="92"/>
      <c r="BJ66" s="92"/>
      <c r="BK66" s="92"/>
      <c r="BL66" s="364"/>
      <c r="BM66" s="117"/>
      <c r="BN66" s="117"/>
      <c r="BO66" s="117"/>
      <c r="BP66" s="117"/>
      <c r="BQ66" s="117"/>
      <c r="BR66" s="117"/>
      <c r="BS66" s="117"/>
      <c r="BT66" s="117"/>
      <c r="BU66" s="117"/>
      <c r="BV66" s="117"/>
      <c r="BW66" s="117"/>
      <c r="BX66" s="117"/>
      <c r="BY66" s="117"/>
      <c r="BZ66" s="117"/>
      <c r="CA66" s="117"/>
      <c r="CB66" s="117"/>
      <c r="CC66" s="363"/>
      <c r="CD66" s="117"/>
      <c r="CE66" s="117"/>
      <c r="CF66" s="117"/>
      <c r="CG66" s="117"/>
      <c r="CH66" s="117"/>
      <c r="CI66" s="117"/>
      <c r="CJ66" s="117"/>
      <c r="CK66" s="117"/>
      <c r="CL66" s="117"/>
      <c r="CM66" s="117"/>
      <c r="CN66" s="117"/>
      <c r="CO66" s="117"/>
      <c r="CP66" s="117"/>
      <c r="CQ66" s="117"/>
      <c r="CR66" s="364"/>
      <c r="CS66" s="117"/>
      <c r="CT66" s="117"/>
      <c r="CU66" s="117"/>
      <c r="CV66" s="117"/>
      <c r="CW66" s="117"/>
      <c r="CX66" s="117"/>
      <c r="CY66" s="117"/>
      <c r="CZ66" s="117"/>
      <c r="DA66" s="117"/>
      <c r="DB66" s="117"/>
      <c r="DC66" s="117"/>
      <c r="DD66" s="117"/>
      <c r="DE66" s="117"/>
      <c r="DF66" s="117"/>
      <c r="DG66" s="117"/>
      <c r="DH66" s="364"/>
      <c r="DI66" s="117"/>
      <c r="DJ66" s="117"/>
      <c r="DK66" s="117"/>
      <c r="DL66" s="117"/>
      <c r="DM66" s="117"/>
      <c r="DN66" s="117"/>
      <c r="DO66" s="117"/>
      <c r="DP66" s="117"/>
      <c r="DQ66" s="117"/>
      <c r="DR66" s="117"/>
      <c r="DS66" s="117"/>
      <c r="DT66" s="117"/>
      <c r="DU66" s="117"/>
      <c r="DV66" s="117"/>
      <c r="DW66" s="117"/>
      <c r="DX66" s="364"/>
      <c r="DY66" s="93"/>
      <c r="DZ66" s="93"/>
    </row>
    <row r="67" spans="1:130">
      <c r="A67" s="51"/>
      <c r="B67" s="92"/>
      <c r="C67" s="92"/>
      <c r="D67" s="92"/>
      <c r="E67" s="51"/>
      <c r="F67" s="92"/>
      <c r="G67" s="92"/>
      <c r="H67" s="92"/>
      <c r="I67" s="92"/>
      <c r="J67" s="92"/>
      <c r="K67" s="92"/>
      <c r="L67" s="92"/>
      <c r="M67" s="92"/>
      <c r="N67" s="92"/>
      <c r="O67" s="92"/>
      <c r="P67" s="113"/>
      <c r="Q67" s="51"/>
      <c r="R67" s="92"/>
      <c r="S67" s="92"/>
      <c r="T67" s="92"/>
      <c r="U67" s="51"/>
      <c r="V67" s="92"/>
      <c r="W67" s="92"/>
      <c r="X67" s="92"/>
      <c r="Y67" s="92"/>
      <c r="Z67" s="92"/>
      <c r="AA67" s="92"/>
      <c r="AB67" s="92"/>
      <c r="AC67" s="92"/>
      <c r="AD67" s="92"/>
      <c r="AE67" s="92"/>
      <c r="AF67" s="113"/>
      <c r="AG67" s="51"/>
      <c r="AH67" s="92"/>
      <c r="AI67" s="92"/>
      <c r="AJ67" s="92"/>
      <c r="AK67" s="51"/>
      <c r="AL67" s="92"/>
      <c r="AM67" s="92"/>
      <c r="AN67" s="92"/>
      <c r="AO67" s="92"/>
      <c r="AP67" s="92"/>
      <c r="AQ67" s="92"/>
      <c r="AR67" s="92"/>
      <c r="AS67" s="92"/>
      <c r="AT67" s="92"/>
      <c r="AU67" s="92"/>
      <c r="AV67" s="113"/>
      <c r="AW67" s="51"/>
      <c r="AX67" s="92"/>
      <c r="AY67" s="92"/>
      <c r="AZ67" s="92"/>
      <c r="BA67" s="51"/>
      <c r="BB67" s="92"/>
      <c r="BC67" s="92"/>
      <c r="BD67" s="92"/>
      <c r="BE67" s="92"/>
      <c r="BF67" s="92"/>
      <c r="BG67" s="92"/>
      <c r="BH67" s="92"/>
      <c r="BI67" s="92"/>
      <c r="BJ67" s="92"/>
      <c r="BK67" s="92"/>
      <c r="BL67" s="364"/>
      <c r="BM67" s="117"/>
      <c r="BN67" s="117"/>
      <c r="BO67" s="117"/>
      <c r="BP67" s="117"/>
      <c r="BQ67" s="117"/>
      <c r="BR67" s="117"/>
      <c r="BS67" s="117"/>
      <c r="BT67" s="117"/>
      <c r="BU67" s="117"/>
      <c r="BV67" s="117"/>
      <c r="BW67" s="70"/>
      <c r="BX67" s="117"/>
      <c r="BY67" s="117"/>
      <c r="BZ67" s="117"/>
      <c r="CA67" s="70"/>
      <c r="CB67" s="117"/>
      <c r="CC67" s="363"/>
      <c r="CD67" s="117"/>
      <c r="CE67" s="117"/>
      <c r="CF67" s="117"/>
      <c r="CG67" s="117"/>
      <c r="CH67" s="117"/>
      <c r="CI67" s="117"/>
      <c r="CJ67" s="117"/>
      <c r="CK67" s="117"/>
      <c r="CL67" s="117"/>
      <c r="CM67" s="117"/>
      <c r="CN67" s="70"/>
      <c r="CO67" s="117"/>
      <c r="CP67" s="117"/>
      <c r="CQ67" s="117"/>
      <c r="CR67" s="362"/>
      <c r="CS67" s="117"/>
      <c r="CT67" s="117"/>
      <c r="CU67" s="117"/>
      <c r="CV67" s="117"/>
      <c r="CW67" s="117"/>
      <c r="CX67" s="117"/>
      <c r="CY67" s="117"/>
      <c r="CZ67" s="117"/>
      <c r="DA67" s="117"/>
      <c r="DB67" s="117"/>
      <c r="DC67" s="117"/>
      <c r="DD67" s="70"/>
      <c r="DE67" s="117"/>
      <c r="DF67" s="117"/>
      <c r="DG67" s="117"/>
      <c r="DH67" s="362"/>
      <c r="DI67" s="117"/>
      <c r="DJ67" s="117"/>
      <c r="DK67" s="117"/>
      <c r="DL67" s="117"/>
      <c r="DM67" s="117"/>
      <c r="DN67" s="117"/>
      <c r="DO67" s="117"/>
      <c r="DP67" s="117"/>
      <c r="DQ67" s="117"/>
      <c r="DR67" s="117"/>
      <c r="DS67" s="117"/>
      <c r="DT67" s="70"/>
      <c r="DU67" s="117"/>
      <c r="DV67" s="117"/>
      <c r="DW67" s="117"/>
      <c r="DX67" s="362"/>
      <c r="DY67" s="93"/>
      <c r="DZ67" s="93"/>
    </row>
    <row r="68" spans="1:130">
      <c r="A68" s="92"/>
      <c r="B68" s="92"/>
      <c r="C68" s="92"/>
      <c r="D68" s="92"/>
      <c r="E68" s="51"/>
      <c r="F68" s="92"/>
      <c r="G68" s="92"/>
      <c r="H68" s="92"/>
      <c r="I68" s="92"/>
      <c r="J68" s="92"/>
      <c r="K68" s="92"/>
      <c r="L68" s="92"/>
      <c r="M68" s="92"/>
      <c r="N68" s="92"/>
      <c r="O68" s="92"/>
      <c r="P68" s="113"/>
      <c r="Q68" s="92"/>
      <c r="R68" s="92"/>
      <c r="S68" s="92"/>
      <c r="T68" s="92"/>
      <c r="U68" s="51"/>
      <c r="V68" s="92"/>
      <c r="W68" s="92"/>
      <c r="X68" s="92"/>
      <c r="Y68" s="92"/>
      <c r="Z68" s="92"/>
      <c r="AA68" s="92"/>
      <c r="AB68" s="92"/>
      <c r="AC68" s="92"/>
      <c r="AD68" s="92"/>
      <c r="AE68" s="92"/>
      <c r="AF68" s="113"/>
      <c r="AG68" s="92"/>
      <c r="AH68" s="92"/>
      <c r="AI68" s="92"/>
      <c r="AJ68" s="92"/>
      <c r="AK68" s="51"/>
      <c r="AL68" s="92"/>
      <c r="AM68" s="92"/>
      <c r="AN68" s="92"/>
      <c r="AO68" s="92"/>
      <c r="AP68" s="92"/>
      <c r="AQ68" s="92"/>
      <c r="AR68" s="92"/>
      <c r="AS68" s="92"/>
      <c r="AT68" s="92"/>
      <c r="AU68" s="92"/>
      <c r="AV68" s="113"/>
      <c r="AW68" s="92"/>
      <c r="AX68" s="92"/>
      <c r="AY68" s="92"/>
      <c r="AZ68" s="92"/>
      <c r="BA68" s="51"/>
      <c r="BB68" s="92"/>
      <c r="BC68" s="92"/>
      <c r="BD68" s="92"/>
      <c r="BE68" s="92"/>
      <c r="BF68" s="92"/>
      <c r="BG68" s="92"/>
      <c r="BH68" s="92"/>
      <c r="BI68" s="92"/>
      <c r="BJ68" s="92"/>
      <c r="BK68" s="92"/>
      <c r="BL68" s="364"/>
      <c r="BM68" s="117"/>
      <c r="BN68" s="117"/>
      <c r="BO68" s="117"/>
      <c r="BP68" s="117"/>
      <c r="BQ68" s="117"/>
      <c r="BR68" s="117"/>
      <c r="BS68" s="117"/>
      <c r="BT68" s="117"/>
      <c r="BU68" s="117"/>
      <c r="BV68" s="117"/>
      <c r="BW68" s="70"/>
      <c r="BX68" s="117"/>
      <c r="BY68" s="117"/>
      <c r="BZ68" s="117"/>
      <c r="CA68" s="117"/>
      <c r="CB68" s="117"/>
      <c r="CC68" s="363"/>
      <c r="CD68" s="117"/>
      <c r="CE68" s="117"/>
      <c r="CF68" s="117"/>
      <c r="CG68" s="117"/>
      <c r="CH68" s="117"/>
      <c r="CI68" s="117"/>
      <c r="CJ68" s="117"/>
      <c r="CK68" s="117"/>
      <c r="CL68" s="117"/>
      <c r="CM68" s="117"/>
      <c r="CN68" s="70"/>
      <c r="CO68" s="117"/>
      <c r="CP68" s="117"/>
      <c r="CQ68" s="117"/>
      <c r="CR68" s="364"/>
      <c r="CS68" s="117"/>
      <c r="CT68" s="117"/>
      <c r="CU68" s="117"/>
      <c r="CV68" s="117"/>
      <c r="CW68" s="117"/>
      <c r="CX68" s="117"/>
      <c r="CY68" s="117"/>
      <c r="CZ68" s="117"/>
      <c r="DA68" s="117"/>
      <c r="DB68" s="117"/>
      <c r="DC68" s="117"/>
      <c r="DD68" s="70"/>
      <c r="DE68" s="117"/>
      <c r="DF68" s="117"/>
      <c r="DG68" s="117"/>
      <c r="DH68" s="364"/>
      <c r="DI68" s="117"/>
      <c r="DJ68" s="117"/>
      <c r="DK68" s="117"/>
      <c r="DL68" s="117"/>
      <c r="DM68" s="117"/>
      <c r="DN68" s="117"/>
      <c r="DO68" s="117"/>
      <c r="DP68" s="117"/>
      <c r="DQ68" s="117"/>
      <c r="DR68" s="117"/>
      <c r="DS68" s="117"/>
      <c r="DT68" s="70"/>
      <c r="DU68" s="117"/>
      <c r="DV68" s="117"/>
      <c r="DW68" s="117"/>
      <c r="DX68" s="364"/>
      <c r="DY68" s="93"/>
      <c r="DZ68" s="93"/>
    </row>
    <row r="69" spans="1:130">
      <c r="A69" s="51"/>
      <c r="B69" s="92"/>
      <c r="C69" s="92"/>
      <c r="D69" s="92"/>
      <c r="E69" s="51"/>
      <c r="F69" s="92"/>
      <c r="G69" s="92"/>
      <c r="H69" s="92"/>
      <c r="I69" s="92"/>
      <c r="J69" s="92"/>
      <c r="K69" s="92"/>
      <c r="L69" s="92"/>
      <c r="M69" s="92"/>
      <c r="N69" s="92"/>
      <c r="O69" s="92"/>
      <c r="P69" s="113"/>
      <c r="Q69" s="51"/>
      <c r="R69" s="92"/>
      <c r="S69" s="92"/>
      <c r="T69" s="92"/>
      <c r="U69" s="51"/>
      <c r="V69" s="92"/>
      <c r="W69" s="92"/>
      <c r="X69" s="92"/>
      <c r="Y69" s="92"/>
      <c r="Z69" s="92"/>
      <c r="AA69" s="92"/>
      <c r="AB69" s="92"/>
      <c r="AC69" s="92"/>
      <c r="AD69" s="92"/>
      <c r="AE69" s="92"/>
      <c r="AF69" s="113"/>
      <c r="AG69" s="51"/>
      <c r="AH69" s="92"/>
      <c r="AI69" s="92"/>
      <c r="AJ69" s="92"/>
      <c r="AK69" s="51"/>
      <c r="AL69" s="92"/>
      <c r="AM69" s="92"/>
      <c r="AN69" s="92"/>
      <c r="AO69" s="92"/>
      <c r="AP69" s="92"/>
      <c r="AQ69" s="92"/>
      <c r="AR69" s="92"/>
      <c r="AS69" s="92"/>
      <c r="AT69" s="92"/>
      <c r="AU69" s="92"/>
      <c r="AV69" s="113"/>
      <c r="AW69" s="51"/>
      <c r="AX69" s="92"/>
      <c r="AY69" s="92"/>
      <c r="AZ69" s="92"/>
      <c r="BA69" s="51"/>
      <c r="BB69" s="92"/>
      <c r="BC69" s="92"/>
      <c r="BD69" s="92"/>
      <c r="BE69" s="92"/>
      <c r="BF69" s="92"/>
      <c r="BG69" s="92"/>
      <c r="BH69" s="92"/>
      <c r="BI69" s="92"/>
      <c r="BJ69" s="92"/>
      <c r="BK69" s="92"/>
      <c r="BL69" s="364"/>
      <c r="BM69" s="117"/>
      <c r="BN69" s="117"/>
      <c r="BO69" s="117"/>
      <c r="BP69" s="117"/>
      <c r="BQ69" s="117"/>
      <c r="BR69" s="117"/>
      <c r="BS69" s="117"/>
      <c r="BT69" s="117"/>
      <c r="BU69" s="117"/>
      <c r="BV69" s="117"/>
      <c r="BW69" s="70"/>
      <c r="BX69" s="117"/>
      <c r="BY69" s="117"/>
      <c r="BZ69" s="117"/>
      <c r="CA69" s="70"/>
      <c r="CB69" s="117"/>
      <c r="CC69" s="363"/>
      <c r="CD69" s="117"/>
      <c r="CE69" s="117"/>
      <c r="CF69" s="117"/>
      <c r="CG69" s="117"/>
      <c r="CH69" s="117"/>
      <c r="CI69" s="117"/>
      <c r="CJ69" s="117"/>
      <c r="CK69" s="117"/>
      <c r="CL69" s="117"/>
      <c r="CM69" s="117"/>
      <c r="CN69" s="70"/>
      <c r="CO69" s="117"/>
      <c r="CP69" s="117"/>
      <c r="CQ69" s="117"/>
      <c r="CR69" s="362"/>
      <c r="CS69" s="117"/>
      <c r="CT69" s="117"/>
      <c r="CU69" s="117"/>
      <c r="CV69" s="117"/>
      <c r="CW69" s="117"/>
      <c r="CX69" s="117"/>
      <c r="CY69" s="117"/>
      <c r="CZ69" s="117"/>
      <c r="DA69" s="117"/>
      <c r="DB69" s="117"/>
      <c r="DC69" s="117"/>
      <c r="DD69" s="70"/>
      <c r="DE69" s="117"/>
      <c r="DF69" s="117"/>
      <c r="DG69" s="117"/>
      <c r="DH69" s="362"/>
      <c r="DI69" s="117"/>
      <c r="DJ69" s="117"/>
      <c r="DK69" s="117"/>
      <c r="DL69" s="117"/>
      <c r="DM69" s="117"/>
      <c r="DN69" s="117"/>
      <c r="DO69" s="117"/>
      <c r="DP69" s="117"/>
      <c r="DQ69" s="117"/>
      <c r="DR69" s="117"/>
      <c r="DS69" s="117"/>
      <c r="DT69" s="70"/>
      <c r="DU69" s="117"/>
      <c r="DV69" s="117"/>
      <c r="DW69" s="117"/>
      <c r="DX69" s="362"/>
      <c r="DY69" s="93"/>
      <c r="DZ69" s="93"/>
    </row>
    <row r="70" spans="1:130">
      <c r="A70" s="51"/>
      <c r="B70" s="51"/>
      <c r="C70" s="51"/>
      <c r="D70" s="51"/>
      <c r="E70" s="51"/>
      <c r="F70" s="51"/>
      <c r="G70" s="51"/>
      <c r="H70" s="51"/>
      <c r="I70" s="51"/>
      <c r="J70" s="51"/>
      <c r="K70" s="51"/>
      <c r="L70" s="51"/>
      <c r="M70" s="51"/>
      <c r="N70" s="51"/>
      <c r="O70" s="51"/>
      <c r="P70" s="82"/>
      <c r="Q70" s="51"/>
      <c r="R70" s="51"/>
      <c r="S70" s="51"/>
      <c r="T70" s="51"/>
      <c r="U70" s="51"/>
      <c r="V70" s="51"/>
      <c r="W70" s="51"/>
      <c r="X70" s="51"/>
      <c r="Y70" s="51"/>
      <c r="Z70" s="51"/>
      <c r="AA70" s="51"/>
      <c r="AB70" s="51"/>
      <c r="AC70" s="51"/>
      <c r="AD70" s="51"/>
      <c r="AE70" s="51"/>
      <c r="AF70" s="82"/>
      <c r="AG70" s="51"/>
      <c r="AH70" s="51"/>
      <c r="AI70" s="51"/>
      <c r="AJ70" s="51"/>
      <c r="AK70" s="51"/>
      <c r="AL70" s="51"/>
      <c r="AM70" s="51"/>
      <c r="AN70" s="51"/>
      <c r="AO70" s="51"/>
      <c r="AP70" s="51"/>
      <c r="AQ70" s="51"/>
      <c r="AR70" s="51"/>
      <c r="AS70" s="51"/>
      <c r="AT70" s="51"/>
      <c r="AU70" s="51"/>
      <c r="AV70" s="82"/>
      <c r="AW70" s="51"/>
      <c r="AX70" s="51"/>
      <c r="AY70" s="51"/>
      <c r="AZ70" s="51"/>
      <c r="BA70" s="51"/>
      <c r="BB70" s="51"/>
      <c r="BC70" s="51"/>
      <c r="BD70" s="51"/>
      <c r="BE70" s="51"/>
      <c r="BF70" s="51"/>
      <c r="BG70" s="51"/>
      <c r="BH70" s="51"/>
      <c r="BI70" s="51"/>
      <c r="BJ70" s="51"/>
      <c r="BK70" s="51"/>
      <c r="BL70" s="362"/>
      <c r="BM70" s="70"/>
      <c r="BN70" s="70"/>
      <c r="BO70" s="70"/>
      <c r="BP70" s="70"/>
      <c r="BQ70" s="70"/>
      <c r="BR70" s="70"/>
      <c r="BS70" s="70"/>
      <c r="BT70" s="70"/>
      <c r="BU70" s="70"/>
      <c r="BV70" s="70"/>
      <c r="BW70" s="70"/>
      <c r="BX70" s="70"/>
      <c r="BY70" s="70"/>
      <c r="BZ70" s="70"/>
      <c r="CA70" s="70"/>
      <c r="CB70" s="70"/>
      <c r="CC70" s="361"/>
      <c r="CD70" s="70"/>
      <c r="CE70" s="70"/>
      <c r="CF70" s="70"/>
      <c r="CG70" s="70"/>
      <c r="CH70" s="70"/>
      <c r="CI70" s="70"/>
      <c r="CJ70" s="70"/>
      <c r="CK70" s="70"/>
      <c r="CL70" s="70"/>
      <c r="CM70" s="70"/>
      <c r="CN70" s="70"/>
      <c r="CO70" s="70"/>
      <c r="CP70" s="70"/>
      <c r="CQ70" s="70"/>
      <c r="CR70" s="362"/>
      <c r="CS70" s="70"/>
      <c r="CT70" s="70"/>
      <c r="CU70" s="70"/>
      <c r="CV70" s="70"/>
      <c r="CW70" s="70"/>
      <c r="CX70" s="70"/>
      <c r="CY70" s="70"/>
      <c r="CZ70" s="70"/>
      <c r="DA70" s="70"/>
      <c r="DB70" s="70"/>
      <c r="DC70" s="70"/>
      <c r="DD70" s="70"/>
      <c r="DE70" s="70"/>
      <c r="DF70" s="70"/>
      <c r="DG70" s="70"/>
      <c r="DH70" s="362"/>
      <c r="DI70" s="70"/>
      <c r="DJ70" s="70"/>
      <c r="DK70" s="70"/>
      <c r="DL70" s="70"/>
      <c r="DM70" s="70"/>
      <c r="DN70" s="70"/>
      <c r="DO70" s="70"/>
      <c r="DP70" s="70"/>
      <c r="DQ70" s="70"/>
      <c r="DR70" s="70"/>
      <c r="DS70" s="70"/>
      <c r="DT70" s="70"/>
      <c r="DU70" s="70"/>
      <c r="DV70" s="70"/>
      <c r="DW70" s="70"/>
      <c r="DX70" s="362"/>
      <c r="DY70" s="93"/>
      <c r="DZ70" s="93"/>
    </row>
    <row r="71" spans="1:130">
      <c r="A71" s="51"/>
      <c r="B71" s="92"/>
      <c r="C71" s="92"/>
      <c r="D71" s="92"/>
      <c r="E71" s="92"/>
      <c r="F71" s="92"/>
      <c r="G71" s="92"/>
      <c r="H71" s="92"/>
      <c r="I71" s="92"/>
      <c r="J71" s="92"/>
      <c r="K71" s="51"/>
      <c r="L71" s="92"/>
      <c r="M71" s="92"/>
      <c r="N71" s="92"/>
      <c r="O71" s="92"/>
      <c r="P71" s="113"/>
      <c r="Q71" s="51"/>
      <c r="R71" s="92"/>
      <c r="S71" s="92"/>
      <c r="T71" s="92"/>
      <c r="U71" s="92"/>
      <c r="V71" s="92"/>
      <c r="W71" s="92"/>
      <c r="X71" s="92"/>
      <c r="Y71" s="92"/>
      <c r="Z71" s="92"/>
      <c r="AA71" s="51"/>
      <c r="AB71" s="92"/>
      <c r="AC71" s="92"/>
      <c r="AD71" s="92"/>
      <c r="AE71" s="92"/>
      <c r="AF71" s="113"/>
      <c r="AG71" s="51"/>
      <c r="AH71" s="92"/>
      <c r="AI71" s="92"/>
      <c r="AJ71" s="92"/>
      <c r="AK71" s="92"/>
      <c r="AL71" s="92"/>
      <c r="AM71" s="92"/>
      <c r="AN71" s="92"/>
      <c r="AO71" s="92"/>
      <c r="AP71" s="92"/>
      <c r="AQ71" s="51"/>
      <c r="AR71" s="92"/>
      <c r="AS71" s="92"/>
      <c r="AT71" s="92"/>
      <c r="AU71" s="92"/>
      <c r="AV71" s="113"/>
      <c r="AW71" s="51"/>
      <c r="AX71" s="92"/>
      <c r="AY71" s="92"/>
      <c r="AZ71" s="92"/>
      <c r="BA71" s="92"/>
      <c r="BB71" s="92"/>
      <c r="BC71" s="92"/>
      <c r="BD71" s="92"/>
      <c r="BE71" s="92"/>
      <c r="BF71" s="92"/>
      <c r="BG71" s="51"/>
      <c r="BH71" s="92"/>
      <c r="BI71" s="92"/>
      <c r="BJ71" s="92"/>
      <c r="BK71" s="92"/>
      <c r="BL71" s="364"/>
      <c r="BM71" s="117"/>
      <c r="BN71" s="117"/>
      <c r="BO71" s="117"/>
      <c r="BP71" s="117"/>
      <c r="BQ71" s="70"/>
      <c r="BR71" s="117"/>
      <c r="BS71" s="117"/>
      <c r="BT71" s="117"/>
      <c r="BU71" s="117"/>
      <c r="BV71" s="117"/>
      <c r="BW71" s="117"/>
      <c r="BX71" s="117"/>
      <c r="BY71" s="117"/>
      <c r="BZ71" s="117"/>
      <c r="CA71" s="70"/>
      <c r="CB71" s="117"/>
      <c r="CC71" s="363"/>
      <c r="CD71" s="117"/>
      <c r="CE71" s="117"/>
      <c r="CF71" s="117"/>
      <c r="CG71" s="117"/>
      <c r="CH71" s="70"/>
      <c r="CI71" s="117"/>
      <c r="CJ71" s="117"/>
      <c r="CK71" s="117"/>
      <c r="CL71" s="117"/>
      <c r="CM71" s="117"/>
      <c r="CN71" s="117"/>
      <c r="CO71" s="117"/>
      <c r="CP71" s="117"/>
      <c r="CQ71" s="117"/>
      <c r="CR71" s="362"/>
      <c r="CS71" s="117"/>
      <c r="CT71" s="117"/>
      <c r="CU71" s="117"/>
      <c r="CV71" s="117"/>
      <c r="CW71" s="117"/>
      <c r="CX71" s="70"/>
      <c r="CY71" s="117"/>
      <c r="CZ71" s="117"/>
      <c r="DA71" s="117"/>
      <c r="DB71" s="117"/>
      <c r="DC71" s="117"/>
      <c r="DD71" s="117"/>
      <c r="DE71" s="117"/>
      <c r="DF71" s="117"/>
      <c r="DG71" s="117"/>
      <c r="DH71" s="362"/>
      <c r="DI71" s="117"/>
      <c r="DJ71" s="117"/>
      <c r="DK71" s="117"/>
      <c r="DL71" s="117"/>
      <c r="DM71" s="117"/>
      <c r="DN71" s="70"/>
      <c r="DO71" s="117"/>
      <c r="DP71" s="117"/>
      <c r="DQ71" s="117"/>
      <c r="DR71" s="117"/>
      <c r="DS71" s="117"/>
      <c r="DT71" s="117"/>
      <c r="DU71" s="117"/>
      <c r="DV71" s="117"/>
      <c r="DW71" s="117"/>
      <c r="DX71" s="362"/>
      <c r="DY71" s="93"/>
      <c r="DZ71" s="93"/>
    </row>
    <row r="72" spans="1:130">
      <c r="A72" s="51"/>
      <c r="B72" s="92"/>
      <c r="C72" s="92"/>
      <c r="D72" s="92"/>
      <c r="E72" s="92"/>
      <c r="F72" s="92"/>
      <c r="G72" s="92"/>
      <c r="H72" s="92"/>
      <c r="I72" s="92"/>
      <c r="J72" s="92"/>
      <c r="K72" s="51"/>
      <c r="L72" s="92"/>
      <c r="M72" s="92"/>
      <c r="N72" s="92"/>
      <c r="O72" s="92"/>
      <c r="P72" s="113"/>
      <c r="Q72" s="51"/>
      <c r="R72" s="92"/>
      <c r="S72" s="92"/>
      <c r="T72" s="92"/>
      <c r="U72" s="92"/>
      <c r="V72" s="92"/>
      <c r="W72" s="92"/>
      <c r="X72" s="92"/>
      <c r="Y72" s="92"/>
      <c r="Z72" s="92"/>
      <c r="AA72" s="51"/>
      <c r="AB72" s="92"/>
      <c r="AC72" s="92"/>
      <c r="AD72" s="92"/>
      <c r="AE72" s="92"/>
      <c r="AF72" s="113"/>
      <c r="AG72" s="51"/>
      <c r="AH72" s="92"/>
      <c r="AI72" s="92"/>
      <c r="AJ72" s="92"/>
      <c r="AK72" s="92"/>
      <c r="AL72" s="92"/>
      <c r="AM72" s="92"/>
      <c r="AN72" s="92"/>
      <c r="AO72" s="92"/>
      <c r="AP72" s="92"/>
      <c r="AQ72" s="51"/>
      <c r="AR72" s="92"/>
      <c r="AS72" s="92"/>
      <c r="AT72" s="92"/>
      <c r="AU72" s="92"/>
      <c r="AV72" s="113"/>
      <c r="AW72" s="51"/>
      <c r="AX72" s="92"/>
      <c r="AY72" s="92"/>
      <c r="AZ72" s="92"/>
      <c r="BA72" s="92"/>
      <c r="BB72" s="92"/>
      <c r="BC72" s="92"/>
      <c r="BD72" s="92"/>
      <c r="BE72" s="92"/>
      <c r="BF72" s="92"/>
      <c r="BG72" s="51"/>
      <c r="BH72" s="92"/>
      <c r="BI72" s="92"/>
      <c r="BJ72" s="92"/>
      <c r="BK72" s="92"/>
      <c r="BL72" s="364"/>
      <c r="BM72" s="117"/>
      <c r="BN72" s="117"/>
      <c r="BO72" s="117"/>
      <c r="BP72" s="117"/>
      <c r="BQ72" s="70"/>
      <c r="BR72" s="117"/>
      <c r="BS72" s="117"/>
      <c r="BT72" s="117"/>
      <c r="BU72" s="117"/>
      <c r="BV72" s="117"/>
      <c r="BW72" s="117"/>
      <c r="BX72" s="117"/>
      <c r="BY72" s="117"/>
      <c r="BZ72" s="117"/>
      <c r="CA72" s="70"/>
      <c r="CB72" s="117"/>
      <c r="CC72" s="363"/>
      <c r="CD72" s="117"/>
      <c r="CE72" s="117"/>
      <c r="CF72" s="117"/>
      <c r="CG72" s="117"/>
      <c r="CH72" s="70"/>
      <c r="CI72" s="117"/>
      <c r="CJ72" s="117"/>
      <c r="CK72" s="117"/>
      <c r="CL72" s="117"/>
      <c r="CM72" s="117"/>
      <c r="CN72" s="117"/>
      <c r="CO72" s="117"/>
      <c r="CP72" s="117"/>
      <c r="CQ72" s="117"/>
      <c r="CR72" s="362"/>
      <c r="CS72" s="117"/>
      <c r="CT72" s="117"/>
      <c r="CU72" s="117"/>
      <c r="CV72" s="117"/>
      <c r="CW72" s="117"/>
      <c r="CX72" s="70"/>
      <c r="CY72" s="117"/>
      <c r="CZ72" s="117"/>
      <c r="DA72" s="117"/>
      <c r="DB72" s="117"/>
      <c r="DC72" s="117"/>
      <c r="DD72" s="117"/>
      <c r="DE72" s="117"/>
      <c r="DF72" s="117"/>
      <c r="DG72" s="117"/>
      <c r="DH72" s="362"/>
      <c r="DI72" s="117"/>
      <c r="DJ72" s="117"/>
      <c r="DK72" s="117"/>
      <c r="DL72" s="117"/>
      <c r="DM72" s="117"/>
      <c r="DN72" s="70"/>
      <c r="DO72" s="117"/>
      <c r="DP72" s="117"/>
      <c r="DQ72" s="117"/>
      <c r="DR72" s="117"/>
      <c r="DS72" s="117"/>
      <c r="DT72" s="117"/>
      <c r="DU72" s="117"/>
      <c r="DV72" s="117"/>
      <c r="DW72" s="117"/>
      <c r="DX72" s="362"/>
      <c r="DY72" s="93"/>
      <c r="DZ72" s="93"/>
    </row>
    <row r="73" spans="1:130">
      <c r="A73" s="51"/>
      <c r="B73" s="92"/>
      <c r="C73" s="92"/>
      <c r="D73" s="92"/>
      <c r="E73" s="92"/>
      <c r="F73" s="92"/>
      <c r="G73" s="92"/>
      <c r="H73" s="92"/>
      <c r="I73" s="92"/>
      <c r="J73" s="92"/>
      <c r="K73" s="51"/>
      <c r="L73" s="92"/>
      <c r="M73" s="92"/>
      <c r="N73" s="92"/>
      <c r="O73" s="92"/>
      <c r="P73" s="113"/>
      <c r="Q73" s="51"/>
      <c r="R73" s="92"/>
      <c r="S73" s="92"/>
      <c r="T73" s="92"/>
      <c r="U73" s="92"/>
      <c r="V73" s="92"/>
      <c r="W73" s="92"/>
      <c r="X73" s="92"/>
      <c r="Y73" s="92"/>
      <c r="Z73" s="92"/>
      <c r="AA73" s="51"/>
      <c r="AB73" s="92"/>
      <c r="AC73" s="92"/>
      <c r="AD73" s="92"/>
      <c r="AE73" s="92"/>
      <c r="AF73" s="113"/>
      <c r="AG73" s="51"/>
      <c r="AH73" s="92"/>
      <c r="AI73" s="92"/>
      <c r="AJ73" s="92"/>
      <c r="AK73" s="92"/>
      <c r="AL73" s="92"/>
      <c r="AM73" s="92"/>
      <c r="AN73" s="92"/>
      <c r="AO73" s="92"/>
      <c r="AP73" s="92"/>
      <c r="AQ73" s="51"/>
      <c r="AR73" s="92"/>
      <c r="AS73" s="92"/>
      <c r="AT73" s="92"/>
      <c r="AU73" s="92"/>
      <c r="AV73" s="113"/>
      <c r="AW73" s="51"/>
      <c r="AX73" s="92"/>
      <c r="AY73" s="92"/>
      <c r="AZ73" s="92"/>
      <c r="BA73" s="92"/>
      <c r="BB73" s="92"/>
      <c r="BC73" s="92"/>
      <c r="BD73" s="92"/>
      <c r="BE73" s="92"/>
      <c r="BF73" s="92"/>
      <c r="BG73" s="51"/>
      <c r="BH73" s="92"/>
      <c r="BI73" s="92"/>
      <c r="BJ73" s="92"/>
      <c r="BK73" s="92"/>
      <c r="BL73" s="364"/>
      <c r="BM73" s="117"/>
      <c r="BN73" s="117"/>
      <c r="BO73" s="117"/>
      <c r="BP73" s="117"/>
      <c r="BQ73" s="70"/>
      <c r="BR73" s="117"/>
      <c r="BS73" s="117"/>
      <c r="BT73" s="117"/>
      <c r="BU73" s="117"/>
      <c r="BV73" s="117"/>
      <c r="BW73" s="117"/>
      <c r="BX73" s="117"/>
      <c r="BY73" s="117"/>
      <c r="BZ73" s="117"/>
      <c r="CA73" s="70"/>
      <c r="CB73" s="117"/>
      <c r="CC73" s="363"/>
      <c r="CD73" s="117"/>
      <c r="CE73" s="117"/>
      <c r="CF73" s="117"/>
      <c r="CG73" s="117"/>
      <c r="CH73" s="70"/>
      <c r="CI73" s="117"/>
      <c r="CJ73" s="117"/>
      <c r="CK73" s="117"/>
      <c r="CL73" s="117"/>
      <c r="CM73" s="117"/>
      <c r="CN73" s="117"/>
      <c r="CO73" s="117"/>
      <c r="CP73" s="117"/>
      <c r="CQ73" s="117"/>
      <c r="CR73" s="362"/>
      <c r="CS73" s="117"/>
      <c r="CT73" s="117"/>
      <c r="CU73" s="117"/>
      <c r="CV73" s="117"/>
      <c r="CW73" s="117"/>
      <c r="CX73" s="70"/>
      <c r="CY73" s="117"/>
      <c r="CZ73" s="117"/>
      <c r="DA73" s="117"/>
      <c r="DB73" s="117"/>
      <c r="DC73" s="117"/>
      <c r="DD73" s="117"/>
      <c r="DE73" s="117"/>
      <c r="DF73" s="117"/>
      <c r="DG73" s="117"/>
      <c r="DH73" s="362"/>
      <c r="DI73" s="117"/>
      <c r="DJ73" s="117"/>
      <c r="DK73" s="117"/>
      <c r="DL73" s="117"/>
      <c r="DM73" s="117"/>
      <c r="DN73" s="70"/>
      <c r="DO73" s="117"/>
      <c r="DP73" s="117"/>
      <c r="DQ73" s="117"/>
      <c r="DR73" s="117"/>
      <c r="DS73" s="117"/>
      <c r="DT73" s="117"/>
      <c r="DU73" s="117"/>
      <c r="DV73" s="117"/>
      <c r="DW73" s="117"/>
      <c r="DX73" s="362"/>
      <c r="DY73" s="93"/>
      <c r="DZ73" s="93"/>
    </row>
    <row r="74" spans="1:130">
      <c r="A74" s="51"/>
      <c r="B74" s="51"/>
      <c r="C74" s="51"/>
      <c r="D74" s="92"/>
      <c r="E74" s="92"/>
      <c r="F74" s="92"/>
      <c r="G74" s="92"/>
      <c r="H74" s="92"/>
      <c r="I74" s="92"/>
      <c r="J74" s="92"/>
      <c r="K74" s="51"/>
      <c r="L74" s="92"/>
      <c r="M74" s="51"/>
      <c r="N74" s="51"/>
      <c r="O74" s="51"/>
      <c r="P74" s="82"/>
      <c r="Q74" s="51"/>
      <c r="R74" s="51"/>
      <c r="S74" s="51"/>
      <c r="T74" s="92"/>
      <c r="U74" s="92"/>
      <c r="V74" s="92"/>
      <c r="W74" s="92"/>
      <c r="X74" s="92"/>
      <c r="Y74" s="92"/>
      <c r="Z74" s="92"/>
      <c r="AA74" s="51"/>
      <c r="AB74" s="92"/>
      <c r="AC74" s="92"/>
      <c r="AD74" s="92"/>
      <c r="AE74" s="92"/>
      <c r="AF74" s="82"/>
      <c r="AG74" s="51"/>
      <c r="AH74" s="51"/>
      <c r="AI74" s="92"/>
      <c r="AJ74" s="92"/>
      <c r="AK74" s="92"/>
      <c r="AL74" s="92"/>
      <c r="AM74" s="92"/>
      <c r="AN74" s="92"/>
      <c r="AO74" s="92"/>
      <c r="AP74" s="92"/>
      <c r="AQ74" s="51"/>
      <c r="AR74" s="92"/>
      <c r="AS74" s="92"/>
      <c r="AT74" s="92"/>
      <c r="AU74" s="92"/>
      <c r="AV74" s="113"/>
      <c r="AW74" s="51"/>
      <c r="AX74" s="92"/>
      <c r="AY74" s="92"/>
      <c r="AZ74" s="92"/>
      <c r="BA74" s="92"/>
      <c r="BB74" s="92"/>
      <c r="BC74" s="92"/>
      <c r="BD74" s="92"/>
      <c r="BE74" s="92"/>
      <c r="BF74" s="92"/>
      <c r="BG74" s="51"/>
      <c r="BH74" s="92"/>
      <c r="BI74" s="92"/>
      <c r="BJ74" s="92"/>
      <c r="BK74" s="51"/>
      <c r="BL74" s="362"/>
      <c r="BM74" s="70"/>
      <c r="BN74" s="70"/>
      <c r="BO74" s="70"/>
      <c r="BP74" s="117"/>
      <c r="BQ74" s="70"/>
      <c r="BR74" s="117"/>
      <c r="BS74" s="117"/>
      <c r="BT74" s="117"/>
      <c r="BU74" s="117"/>
      <c r="BV74" s="117"/>
      <c r="BW74" s="70"/>
      <c r="BX74" s="70"/>
      <c r="BY74" s="70"/>
      <c r="BZ74" s="70"/>
      <c r="CA74" s="70"/>
      <c r="CB74" s="70"/>
      <c r="CC74" s="361"/>
      <c r="CD74" s="70"/>
      <c r="CE74" s="70"/>
      <c r="CF74" s="70"/>
      <c r="CG74" s="70"/>
      <c r="CH74" s="70"/>
      <c r="CI74" s="70"/>
      <c r="CJ74" s="117"/>
      <c r="CK74" s="117"/>
      <c r="CL74" s="117"/>
      <c r="CM74" s="117"/>
      <c r="CN74" s="70"/>
      <c r="CO74" s="70"/>
      <c r="CP74" s="70"/>
      <c r="CQ74" s="70"/>
      <c r="CR74" s="362"/>
      <c r="CS74" s="117"/>
      <c r="CT74" s="117"/>
      <c r="CU74" s="117"/>
      <c r="CV74" s="117"/>
      <c r="CW74" s="117"/>
      <c r="CX74" s="70"/>
      <c r="CY74" s="117"/>
      <c r="CZ74" s="117"/>
      <c r="DA74" s="117"/>
      <c r="DB74" s="117"/>
      <c r="DC74" s="117"/>
      <c r="DD74" s="117"/>
      <c r="DE74" s="117"/>
      <c r="DF74" s="117"/>
      <c r="DG74" s="117"/>
      <c r="DH74" s="362"/>
      <c r="DI74" s="70"/>
      <c r="DJ74" s="70"/>
      <c r="DK74" s="117"/>
      <c r="DL74" s="117"/>
      <c r="DM74" s="117"/>
      <c r="DN74" s="70"/>
      <c r="DO74" s="117"/>
      <c r="DP74" s="117"/>
      <c r="DQ74" s="117"/>
      <c r="DR74" s="117"/>
      <c r="DS74" s="117"/>
      <c r="DT74" s="117"/>
      <c r="DU74" s="117"/>
      <c r="DV74" s="117"/>
      <c r="DW74" s="117"/>
      <c r="DX74" s="362"/>
      <c r="DY74" s="93"/>
      <c r="DZ74" s="93"/>
    </row>
    <row r="75" spans="1:130">
      <c r="DY75" s="93">
        <v>10</v>
      </c>
      <c r="DZ75" s="93"/>
    </row>
    <row r="76" spans="1:130">
      <c r="DY76" s="93">
        <v>11</v>
      </c>
      <c r="DZ76" s="93"/>
    </row>
    <row r="77" spans="1:130">
      <c r="DY77" s="93">
        <v>12</v>
      </c>
      <c r="DZ77" s="93"/>
    </row>
    <row r="78" spans="1:130">
      <c r="DY78" s="92">
        <v>13</v>
      </c>
      <c r="DZ78" s="93"/>
    </row>
    <row r="79" spans="1:130">
      <c r="A79" s="51"/>
      <c r="B79" s="51"/>
      <c r="C79" s="42"/>
      <c r="D79" s="92"/>
      <c r="E79" s="92"/>
      <c r="F79" s="54"/>
      <c r="G79" s="54"/>
      <c r="H79" s="64"/>
      <c r="I79" s="55"/>
      <c r="J79" s="54"/>
      <c r="K79" s="92"/>
      <c r="L79" s="92"/>
      <c r="M79" s="92"/>
      <c r="N79" s="51"/>
      <c r="O79" s="51"/>
      <c r="P79" s="82"/>
      <c r="Q79" s="51"/>
      <c r="R79" s="51"/>
      <c r="S79" s="51"/>
      <c r="T79" s="92"/>
      <c r="U79" s="92"/>
      <c r="V79" s="51"/>
      <c r="W79" s="54"/>
      <c r="X79" s="55"/>
      <c r="Y79" s="54"/>
      <c r="Z79" s="36"/>
      <c r="AA79" s="56"/>
      <c r="AB79" s="54"/>
      <c r="AC79" s="51"/>
      <c r="AD79" s="92"/>
      <c r="AE79" s="51"/>
      <c r="AF79" s="82"/>
      <c r="AG79" s="51"/>
      <c r="AH79" s="51"/>
      <c r="AI79" s="51"/>
      <c r="AJ79" s="92"/>
      <c r="AK79" s="92"/>
      <c r="AL79" s="92"/>
      <c r="AM79" s="92"/>
      <c r="AN79" s="54"/>
      <c r="AO79" s="64"/>
      <c r="AP79" s="54"/>
      <c r="AQ79" s="55"/>
      <c r="AR79" s="54"/>
      <c r="AS79" s="92"/>
      <c r="AT79" s="64"/>
      <c r="AU79" s="54"/>
      <c r="AV79" s="113"/>
      <c r="AW79" s="51"/>
      <c r="AX79" s="92"/>
      <c r="AY79" s="92"/>
      <c r="AZ79" s="92"/>
      <c r="BA79" s="51"/>
      <c r="BB79" s="54"/>
      <c r="BC79" s="54"/>
      <c r="BD79" s="55"/>
      <c r="BE79" s="54"/>
      <c r="BF79" s="36"/>
      <c r="BG79" s="54"/>
      <c r="BH79" s="51"/>
      <c r="BI79" s="92"/>
      <c r="BJ79" s="51"/>
      <c r="BK79" s="51"/>
      <c r="BL79" s="362"/>
      <c r="BM79" s="70"/>
      <c r="BN79" s="70"/>
      <c r="BO79" s="70"/>
      <c r="BP79" s="117"/>
      <c r="BQ79" s="92"/>
      <c r="BR79" s="54"/>
      <c r="BS79" s="64"/>
      <c r="BT79" s="54"/>
      <c r="BU79" s="120"/>
      <c r="BV79" s="55"/>
      <c r="BW79" s="92"/>
      <c r="BX79" s="70"/>
      <c r="BY79" s="130"/>
      <c r="BZ79" s="117"/>
      <c r="CA79" s="70"/>
      <c r="CB79" s="70"/>
      <c r="CC79" s="361"/>
      <c r="CD79" s="70"/>
      <c r="CE79" s="70"/>
      <c r="CF79" s="117"/>
      <c r="CG79" s="70"/>
      <c r="CH79" s="120"/>
      <c r="CI79" s="134"/>
      <c r="CJ79" s="120"/>
      <c r="CK79" s="119"/>
      <c r="CL79" s="120"/>
      <c r="CM79" s="120"/>
      <c r="CN79" s="70"/>
      <c r="CO79" s="117"/>
      <c r="CP79" s="117"/>
      <c r="CQ79" s="70"/>
      <c r="CR79" s="362"/>
      <c r="CS79" s="117"/>
      <c r="CT79" s="120"/>
      <c r="CU79" s="122"/>
      <c r="CV79" s="117"/>
      <c r="CW79" s="120"/>
      <c r="CX79" s="119"/>
      <c r="CY79" s="120"/>
      <c r="CZ79" s="122"/>
      <c r="DA79" s="120"/>
      <c r="DB79" s="117"/>
      <c r="DC79" s="117"/>
      <c r="DD79" s="117"/>
      <c r="DE79" s="117"/>
      <c r="DF79" s="70"/>
      <c r="DG79" s="70"/>
      <c r="DH79" s="362"/>
      <c r="DI79" s="70"/>
      <c r="DJ79" s="70"/>
      <c r="DK79" s="117"/>
      <c r="DL79" s="70"/>
      <c r="DM79" s="120"/>
      <c r="DN79" s="152"/>
      <c r="DO79" s="134"/>
      <c r="DP79" s="120"/>
      <c r="DQ79" s="119"/>
      <c r="DR79" s="120"/>
      <c r="DS79" s="70"/>
      <c r="DT79" s="117"/>
      <c r="DU79" s="117"/>
      <c r="DV79" s="117"/>
      <c r="DW79" s="117"/>
      <c r="DX79" s="362"/>
      <c r="DY79" s="93"/>
      <c r="DZ79" s="93"/>
    </row>
    <row r="80" spans="1:130">
      <c r="A80" s="51"/>
      <c r="B80" s="92"/>
      <c r="C80" s="92"/>
      <c r="D80" s="40"/>
      <c r="E80" s="92"/>
      <c r="F80" s="64"/>
      <c r="G80" s="49"/>
      <c r="H80" s="43"/>
      <c r="I80" s="49"/>
      <c r="J80" s="64"/>
      <c r="K80" s="92"/>
      <c r="L80" s="51"/>
      <c r="M80" s="42"/>
      <c r="N80" s="92"/>
      <c r="O80" s="92"/>
      <c r="P80" s="113"/>
      <c r="Q80" s="51"/>
      <c r="R80" s="92"/>
      <c r="S80" s="92"/>
      <c r="T80" s="51"/>
      <c r="U80" s="51"/>
      <c r="V80" s="54"/>
      <c r="W80" s="64"/>
      <c r="X80" s="42"/>
      <c r="Y80" s="55"/>
      <c r="Z80" s="51"/>
      <c r="AA80" s="52"/>
      <c r="AB80" s="54"/>
      <c r="AC80" s="58"/>
      <c r="AD80" s="51"/>
      <c r="AE80" s="51"/>
      <c r="AF80" s="113"/>
      <c r="AG80" s="51"/>
      <c r="AH80" s="51"/>
      <c r="AI80" s="51"/>
      <c r="AJ80" s="51"/>
      <c r="AK80" s="51"/>
      <c r="AL80" s="51"/>
      <c r="AM80" s="64"/>
      <c r="AN80" s="42"/>
      <c r="AO80" s="51"/>
      <c r="AP80" s="40"/>
      <c r="AQ80" s="42"/>
      <c r="AR80" s="51"/>
      <c r="AS80" s="51"/>
      <c r="AT80" s="51"/>
      <c r="AU80" s="54"/>
      <c r="AV80" s="370"/>
      <c r="AW80" s="51"/>
      <c r="AX80" s="51"/>
      <c r="AY80" s="51"/>
      <c r="AZ80" s="51"/>
      <c r="BA80" s="54"/>
      <c r="BB80" s="64"/>
      <c r="BC80" s="64"/>
      <c r="BD80" s="42"/>
      <c r="BE80" s="55"/>
      <c r="BF80" s="54"/>
      <c r="BG80" s="54"/>
      <c r="BH80" s="58"/>
      <c r="BI80" s="51"/>
      <c r="BJ80" s="51"/>
      <c r="BK80" s="92"/>
      <c r="BL80" s="364"/>
      <c r="BM80" s="117"/>
      <c r="BN80" s="117"/>
      <c r="BO80" s="130"/>
      <c r="BP80" s="117"/>
      <c r="BQ80" s="117"/>
      <c r="BR80" s="117"/>
      <c r="BS80" s="130"/>
      <c r="BT80" s="136"/>
      <c r="BU80" s="130"/>
      <c r="BV80" s="117"/>
      <c r="BW80" s="117"/>
      <c r="BX80" s="130"/>
      <c r="BY80" s="117"/>
      <c r="BZ80" s="117"/>
      <c r="CA80" s="70"/>
      <c r="CB80" s="117"/>
      <c r="CC80" s="363"/>
      <c r="CD80" s="117"/>
      <c r="CE80" s="117"/>
      <c r="CF80" s="70"/>
      <c r="CG80" s="164"/>
      <c r="CH80" s="120"/>
      <c r="CI80" s="121"/>
      <c r="CJ80" s="123"/>
      <c r="CK80" s="130"/>
      <c r="CL80" s="122"/>
      <c r="CM80" s="122"/>
      <c r="CN80" s="120"/>
      <c r="CO80" s="70"/>
      <c r="CP80" s="70"/>
      <c r="CQ80" s="117"/>
      <c r="CR80" s="362"/>
      <c r="CS80" s="119"/>
      <c r="CT80" s="120"/>
      <c r="CU80" s="70"/>
      <c r="CV80" s="70"/>
      <c r="CW80" s="70"/>
      <c r="CX80" s="130"/>
      <c r="CY80" s="135"/>
      <c r="CZ80" s="70"/>
      <c r="DA80" s="130"/>
      <c r="DB80" s="122"/>
      <c r="DC80" s="70"/>
      <c r="DD80" s="70"/>
      <c r="DE80" s="70"/>
      <c r="DF80" s="70"/>
      <c r="DG80" s="70"/>
      <c r="DH80" s="362"/>
      <c r="DI80" s="117"/>
      <c r="DJ80" s="117"/>
      <c r="DK80" s="70"/>
      <c r="DL80" s="164"/>
      <c r="DM80" s="120"/>
      <c r="DN80" s="71"/>
      <c r="DO80" s="70"/>
      <c r="DP80" s="119"/>
      <c r="DQ80" s="130"/>
      <c r="DR80" s="122"/>
      <c r="DS80" s="120"/>
      <c r="DT80" s="70"/>
      <c r="DU80" s="70"/>
      <c r="DV80" s="70"/>
      <c r="DW80" s="70"/>
      <c r="DX80" s="362"/>
      <c r="DY80" s="93"/>
      <c r="DZ80" s="93"/>
    </row>
    <row r="81" spans="1:130">
      <c r="A81" s="51"/>
      <c r="B81" s="92"/>
      <c r="C81" s="92"/>
      <c r="D81" s="42"/>
      <c r="E81" s="65"/>
      <c r="F81" s="31"/>
      <c r="G81" s="30"/>
      <c r="H81" s="30"/>
      <c r="I81" s="30"/>
      <c r="J81" s="30"/>
      <c r="K81" s="65"/>
      <c r="L81" s="43"/>
      <c r="M81" s="92"/>
      <c r="N81" s="92"/>
      <c r="O81" s="92"/>
      <c r="P81" s="113"/>
      <c r="Q81" s="51"/>
      <c r="R81" s="92"/>
      <c r="S81" s="92"/>
      <c r="T81" s="92"/>
      <c r="U81" s="51"/>
      <c r="V81" s="92"/>
      <c r="W81" s="43"/>
      <c r="X81" s="43"/>
      <c r="Y81" s="31"/>
      <c r="Z81" s="42"/>
      <c r="AA81" s="42"/>
      <c r="AB81" s="92"/>
      <c r="AC81" s="92"/>
      <c r="AD81" s="92"/>
      <c r="AE81" s="92"/>
      <c r="AF81" s="113"/>
      <c r="AG81" s="51"/>
      <c r="AH81" s="51"/>
      <c r="AI81" s="51"/>
      <c r="AJ81" s="92"/>
      <c r="AK81" s="92"/>
      <c r="AL81" s="51"/>
      <c r="AM81" s="51"/>
      <c r="AN81" s="92"/>
      <c r="AO81" s="92"/>
      <c r="AP81" s="65"/>
      <c r="AQ81" s="40"/>
      <c r="AR81" s="66"/>
      <c r="AS81" s="65"/>
      <c r="AT81" s="51"/>
      <c r="AU81" s="92"/>
      <c r="AV81" s="113"/>
      <c r="AW81" s="51"/>
      <c r="AX81" s="92"/>
      <c r="AY81" s="92"/>
      <c r="AZ81" s="92"/>
      <c r="BA81" s="43"/>
      <c r="BB81" s="40"/>
      <c r="BC81" s="32"/>
      <c r="BD81" s="65"/>
      <c r="BE81" s="65"/>
      <c r="BF81" s="31"/>
      <c r="BG81" s="92"/>
      <c r="BH81" s="49"/>
      <c r="BI81" s="92"/>
      <c r="BJ81" s="92"/>
      <c r="BK81" s="92"/>
      <c r="BL81" s="364"/>
      <c r="BM81" s="117"/>
      <c r="BN81" s="117"/>
      <c r="BO81" s="117"/>
      <c r="BP81" s="126"/>
      <c r="BQ81" s="118"/>
      <c r="BR81" s="127"/>
      <c r="BS81" s="130"/>
      <c r="BT81" s="120"/>
      <c r="BU81" s="130"/>
      <c r="BV81" s="125"/>
      <c r="BW81" s="118"/>
      <c r="BX81" s="126"/>
      <c r="BY81" s="117"/>
      <c r="BZ81" s="117"/>
      <c r="CA81" s="70"/>
      <c r="CB81" s="117"/>
      <c r="CC81" s="363"/>
      <c r="CD81" s="117"/>
      <c r="CE81" s="117"/>
      <c r="CF81" s="117"/>
      <c r="CG81" s="120"/>
      <c r="CH81" s="126"/>
      <c r="CI81" s="123"/>
      <c r="CJ81" s="125"/>
      <c r="CK81" s="123"/>
      <c r="CL81" s="125"/>
      <c r="CM81" s="125"/>
      <c r="CN81" s="136"/>
      <c r="CO81" s="137"/>
      <c r="CP81" s="117"/>
      <c r="CQ81" s="117"/>
      <c r="CR81" s="362"/>
      <c r="CS81" s="117"/>
      <c r="CT81" s="117"/>
      <c r="CU81" s="70"/>
      <c r="CV81" s="118"/>
      <c r="CW81" s="127"/>
      <c r="CX81" s="135"/>
      <c r="CY81" s="118"/>
      <c r="CZ81" s="117"/>
      <c r="DA81" s="117"/>
      <c r="DB81" s="70"/>
      <c r="DC81" s="70"/>
      <c r="DD81" s="117"/>
      <c r="DE81" s="117"/>
      <c r="DF81" s="70"/>
      <c r="DG81" s="70"/>
      <c r="DH81" s="362"/>
      <c r="DI81" s="117"/>
      <c r="DJ81" s="117"/>
      <c r="DK81" s="117"/>
      <c r="DL81" s="117"/>
      <c r="DM81" s="117"/>
      <c r="DN81" s="130"/>
      <c r="DO81" s="130"/>
      <c r="DP81" s="131"/>
      <c r="DQ81" s="123"/>
      <c r="DR81" s="70"/>
      <c r="DS81" s="70"/>
      <c r="DT81" s="70"/>
      <c r="DU81" s="117"/>
      <c r="DV81" s="117"/>
      <c r="DW81" s="117"/>
      <c r="DX81" s="362"/>
      <c r="DY81" s="93"/>
      <c r="DZ81" s="93"/>
    </row>
    <row r="82" spans="1:130">
      <c r="A82" s="51"/>
      <c r="B82" s="92"/>
      <c r="C82" s="92"/>
      <c r="D82" s="51"/>
      <c r="E82" s="66"/>
      <c r="F82" s="31"/>
      <c r="G82" s="30"/>
      <c r="H82" s="31"/>
      <c r="I82" s="65"/>
      <c r="J82" s="65"/>
      <c r="K82" s="65"/>
      <c r="L82" s="42"/>
      <c r="M82" s="92"/>
      <c r="N82" s="92"/>
      <c r="O82" s="92"/>
      <c r="P82" s="82"/>
      <c r="Q82" s="51"/>
      <c r="R82" s="92"/>
      <c r="S82" s="92"/>
      <c r="T82" s="92"/>
      <c r="U82" s="51"/>
      <c r="V82" s="33"/>
      <c r="W82" s="32"/>
      <c r="X82" s="31"/>
      <c r="Y82" s="65"/>
      <c r="Z82" s="65"/>
      <c r="AA82" s="51"/>
      <c r="AB82" s="92"/>
      <c r="AC82" s="92"/>
      <c r="AD82" s="92"/>
      <c r="AE82" s="92"/>
      <c r="AF82" s="82"/>
      <c r="AG82" s="51"/>
      <c r="AH82" s="51"/>
      <c r="AI82" s="51"/>
      <c r="AJ82" s="92"/>
      <c r="AK82" s="92"/>
      <c r="AL82" s="51"/>
      <c r="AM82" s="51"/>
      <c r="AN82" s="92"/>
      <c r="AO82" s="32"/>
      <c r="AP82" s="65"/>
      <c r="AQ82" s="42"/>
      <c r="AR82" s="65"/>
      <c r="AS82" s="51"/>
      <c r="AT82" s="51"/>
      <c r="AU82" s="92"/>
      <c r="AV82" s="82"/>
      <c r="AW82" s="51"/>
      <c r="AX82" s="92"/>
      <c r="AY82" s="92"/>
      <c r="AZ82" s="92"/>
      <c r="BA82" s="51"/>
      <c r="BB82" s="33"/>
      <c r="BC82" s="32"/>
      <c r="BD82" s="31"/>
      <c r="BE82" s="30"/>
      <c r="BF82" s="65"/>
      <c r="BG82" s="51"/>
      <c r="BH82" s="92"/>
      <c r="BI82" s="92"/>
      <c r="BJ82" s="92"/>
      <c r="BK82" s="92"/>
      <c r="BL82" s="362"/>
      <c r="BM82" s="117"/>
      <c r="BN82" s="117"/>
      <c r="BO82" s="117"/>
      <c r="BP82" s="70"/>
      <c r="BQ82" s="123"/>
      <c r="BR82" s="118"/>
      <c r="BS82" s="131"/>
      <c r="BT82" s="130"/>
      <c r="BU82" s="123"/>
      <c r="BV82" s="131"/>
      <c r="BW82" s="123"/>
      <c r="BX82" s="70"/>
      <c r="BY82" s="117"/>
      <c r="BZ82" s="117"/>
      <c r="CA82" s="70"/>
      <c r="CB82" s="70"/>
      <c r="CC82" s="361"/>
      <c r="CD82" s="117"/>
      <c r="CE82" s="117"/>
      <c r="CF82" s="117"/>
      <c r="CG82" s="117"/>
      <c r="CH82" s="70"/>
      <c r="CI82" s="118"/>
      <c r="CJ82" s="123"/>
      <c r="CK82" s="131"/>
      <c r="CL82" s="125"/>
      <c r="CM82" s="121"/>
      <c r="CN82" s="70"/>
      <c r="CO82" s="117"/>
      <c r="CP82" s="117"/>
      <c r="CQ82" s="117"/>
      <c r="CR82" s="362"/>
      <c r="CS82" s="70"/>
      <c r="CT82" s="117"/>
      <c r="CU82" s="70"/>
      <c r="CV82" s="70"/>
      <c r="CW82" s="118"/>
      <c r="CX82" s="130"/>
      <c r="CY82" s="118"/>
      <c r="CZ82" s="125"/>
      <c r="DA82" s="117"/>
      <c r="DB82" s="70"/>
      <c r="DC82" s="70"/>
      <c r="DD82" s="117"/>
      <c r="DE82" s="117"/>
      <c r="DF82" s="70"/>
      <c r="DG82" s="70"/>
      <c r="DH82" s="362"/>
      <c r="DI82" s="70"/>
      <c r="DJ82" s="117"/>
      <c r="DK82" s="117"/>
      <c r="DL82" s="117"/>
      <c r="DM82" s="117"/>
      <c r="DN82" s="70"/>
      <c r="DO82" s="118"/>
      <c r="DP82" s="118"/>
      <c r="DQ82" s="131"/>
      <c r="DR82" s="125"/>
      <c r="DS82" s="117"/>
      <c r="DT82" s="70"/>
      <c r="DU82" s="117"/>
      <c r="DV82" s="117"/>
      <c r="DW82" s="117"/>
      <c r="DX82" s="362"/>
      <c r="DY82" s="93"/>
      <c r="DZ82" s="93"/>
    </row>
    <row r="83" spans="1:130">
      <c r="A83" s="51"/>
      <c r="B83" s="92"/>
      <c r="C83" s="92"/>
      <c r="D83" s="92"/>
      <c r="E83" s="31"/>
      <c r="F83" s="92"/>
      <c r="G83" s="65"/>
      <c r="H83" s="31"/>
      <c r="I83" s="65"/>
      <c r="J83" s="92"/>
      <c r="K83" s="31"/>
      <c r="L83" s="92"/>
      <c r="M83" s="92"/>
      <c r="N83" s="92"/>
      <c r="O83" s="92"/>
      <c r="P83" s="113"/>
      <c r="Q83" s="51"/>
      <c r="R83" s="92"/>
      <c r="S83" s="92"/>
      <c r="T83" s="92"/>
      <c r="U83" s="92"/>
      <c r="V83" s="33"/>
      <c r="W83" s="30"/>
      <c r="X83" s="31"/>
      <c r="Y83" s="31"/>
      <c r="Z83" s="65"/>
      <c r="AA83" s="92"/>
      <c r="AB83" s="92"/>
      <c r="AC83" s="92"/>
      <c r="AD83" s="92"/>
      <c r="AE83" s="92"/>
      <c r="AF83" s="113"/>
      <c r="AG83" s="51"/>
      <c r="AH83" s="51"/>
      <c r="AI83" s="51"/>
      <c r="AJ83" s="92"/>
      <c r="AK83" s="92"/>
      <c r="AL83" s="92"/>
      <c r="AM83" s="51"/>
      <c r="AN83" s="92"/>
      <c r="AO83" s="33"/>
      <c r="AP83" s="65"/>
      <c r="AQ83" s="31"/>
      <c r="AR83" s="92"/>
      <c r="AS83" s="51"/>
      <c r="AT83" s="92"/>
      <c r="AU83" s="92"/>
      <c r="AV83" s="113"/>
      <c r="AW83" s="51"/>
      <c r="AX83" s="92"/>
      <c r="AY83" s="92"/>
      <c r="AZ83" s="92"/>
      <c r="BA83" s="33"/>
      <c r="BB83" s="30"/>
      <c r="BC83" s="30"/>
      <c r="BD83" s="31"/>
      <c r="BE83" s="31"/>
      <c r="BF83" s="65"/>
      <c r="BG83" s="92"/>
      <c r="BH83" s="92"/>
      <c r="BI83" s="92"/>
      <c r="BJ83" s="92"/>
      <c r="BK83" s="92"/>
      <c r="BL83" s="364"/>
      <c r="BM83" s="117"/>
      <c r="BN83" s="117"/>
      <c r="BO83" s="117"/>
      <c r="BP83" s="117"/>
      <c r="BQ83" s="131"/>
      <c r="BR83" s="117"/>
      <c r="BS83" s="131"/>
      <c r="BT83" s="131"/>
      <c r="BU83" s="131"/>
      <c r="BV83" s="117"/>
      <c r="BW83" s="131"/>
      <c r="BX83" s="117"/>
      <c r="BY83" s="117"/>
      <c r="BZ83" s="117"/>
      <c r="CA83" s="70"/>
      <c r="CB83" s="117"/>
      <c r="CC83" s="363"/>
      <c r="CD83" s="117"/>
      <c r="CE83" s="117"/>
      <c r="CF83" s="117"/>
      <c r="CG83" s="117"/>
      <c r="CH83" s="118"/>
      <c r="CI83" s="118"/>
      <c r="CJ83" s="131"/>
      <c r="CK83" s="131"/>
      <c r="CL83" s="123"/>
      <c r="CM83" s="123"/>
      <c r="CN83" s="121"/>
      <c r="CO83" s="117"/>
      <c r="CP83" s="117"/>
      <c r="CQ83" s="117"/>
      <c r="CR83" s="362"/>
      <c r="CS83" s="70"/>
      <c r="CT83" s="70"/>
      <c r="CU83" s="117"/>
      <c r="CV83" s="70"/>
      <c r="CW83" s="117"/>
      <c r="CX83" s="131"/>
      <c r="CY83" s="118"/>
      <c r="CZ83" s="121"/>
      <c r="DA83" s="117"/>
      <c r="DB83" s="70"/>
      <c r="DC83" s="117"/>
      <c r="DD83" s="117"/>
      <c r="DE83" s="117"/>
      <c r="DF83" s="70"/>
      <c r="DG83" s="70"/>
      <c r="DH83" s="362"/>
      <c r="DI83" s="117"/>
      <c r="DJ83" s="117"/>
      <c r="DK83" s="70"/>
      <c r="DL83" s="70"/>
      <c r="DM83" s="117"/>
      <c r="DN83" s="117"/>
      <c r="DO83" s="118"/>
      <c r="DP83" s="131"/>
      <c r="DQ83" s="131"/>
      <c r="DR83" s="123"/>
      <c r="DS83" s="117"/>
      <c r="DT83" s="117"/>
      <c r="DU83" s="117"/>
      <c r="DV83" s="117"/>
      <c r="DW83" s="117"/>
      <c r="DX83" s="362"/>
      <c r="DY83" s="93"/>
      <c r="DZ83" s="93"/>
    </row>
    <row r="84" spans="1:130">
      <c r="A84" s="51"/>
      <c r="B84" s="51"/>
      <c r="C84" s="51"/>
      <c r="D84" s="66"/>
      <c r="E84" s="65"/>
      <c r="F84" s="51"/>
      <c r="G84" s="65"/>
      <c r="H84" s="31"/>
      <c r="I84" s="65"/>
      <c r="J84" s="51"/>
      <c r="K84" s="65"/>
      <c r="L84" s="33"/>
      <c r="M84" s="51"/>
      <c r="N84" s="51"/>
      <c r="O84" s="51"/>
      <c r="P84" s="82"/>
      <c r="Q84" s="51"/>
      <c r="R84" s="51"/>
      <c r="S84" s="51"/>
      <c r="T84" s="51"/>
      <c r="U84" s="33"/>
      <c r="V84" s="33"/>
      <c r="W84" s="31"/>
      <c r="X84" s="65"/>
      <c r="Y84" s="31"/>
      <c r="Z84" s="31"/>
      <c r="AA84" s="65"/>
      <c r="AB84" s="51"/>
      <c r="AC84" s="51"/>
      <c r="AD84" s="51"/>
      <c r="AE84" s="51"/>
      <c r="AF84" s="82"/>
      <c r="AG84" s="51"/>
      <c r="AH84" s="51"/>
      <c r="AI84" s="51"/>
      <c r="AJ84" s="51"/>
      <c r="AK84" s="51"/>
      <c r="AL84" s="51"/>
      <c r="AM84" s="51"/>
      <c r="AN84" s="30"/>
      <c r="AO84" s="65"/>
      <c r="AP84" s="65"/>
      <c r="AQ84" s="33"/>
      <c r="AR84" s="51"/>
      <c r="AS84" s="51"/>
      <c r="AT84" s="51"/>
      <c r="AU84" s="51"/>
      <c r="AV84" s="82"/>
      <c r="AW84" s="51"/>
      <c r="AX84" s="51"/>
      <c r="AY84" s="51"/>
      <c r="AZ84" s="51"/>
      <c r="BA84" s="33"/>
      <c r="BB84" s="30"/>
      <c r="BC84" s="31"/>
      <c r="BD84" s="65"/>
      <c r="BE84" s="31"/>
      <c r="BF84" s="65"/>
      <c r="BG84" s="33"/>
      <c r="BH84" s="51"/>
      <c r="BI84" s="51"/>
      <c r="BJ84" s="51"/>
      <c r="BK84" s="51"/>
      <c r="BL84" s="362"/>
      <c r="BM84" s="70"/>
      <c r="BN84" s="70"/>
      <c r="BO84" s="70"/>
      <c r="BP84" s="121"/>
      <c r="BQ84" s="118"/>
      <c r="BR84" s="70"/>
      <c r="BS84" s="118"/>
      <c r="BT84" s="131"/>
      <c r="BU84" s="118"/>
      <c r="BV84" s="70"/>
      <c r="BW84" s="118"/>
      <c r="BX84" s="121"/>
      <c r="BY84" s="70"/>
      <c r="BZ84" s="70"/>
      <c r="CA84" s="70"/>
      <c r="CB84" s="70"/>
      <c r="CC84" s="361"/>
      <c r="CD84" s="70"/>
      <c r="CE84" s="117"/>
      <c r="CF84" s="117"/>
      <c r="CG84" s="389"/>
      <c r="CH84" s="121"/>
      <c r="CI84" s="118"/>
      <c r="CJ84" s="131"/>
      <c r="CK84" s="118"/>
      <c r="CL84" s="131"/>
      <c r="CM84" s="123"/>
      <c r="CN84" s="121"/>
      <c r="CO84" s="70"/>
      <c r="CP84" s="70"/>
      <c r="CQ84" s="70"/>
      <c r="CR84" s="362"/>
      <c r="CS84" s="117"/>
      <c r="CT84" s="70"/>
      <c r="CU84" s="70"/>
      <c r="CV84" s="70"/>
      <c r="CW84" s="128"/>
      <c r="CX84" s="121"/>
      <c r="CY84" s="118"/>
      <c r="CZ84" s="118"/>
      <c r="DA84" s="70"/>
      <c r="DB84" s="70"/>
      <c r="DC84" s="70"/>
      <c r="DD84" s="70"/>
      <c r="DE84" s="70"/>
      <c r="DF84" s="70"/>
      <c r="DG84" s="70"/>
      <c r="DH84" s="362"/>
      <c r="DI84" s="70"/>
      <c r="DJ84" s="70"/>
      <c r="DK84" s="117"/>
      <c r="DL84" s="117"/>
      <c r="DM84" s="70"/>
      <c r="DN84" s="121"/>
      <c r="DO84" s="118"/>
      <c r="DP84" s="131"/>
      <c r="DQ84" s="118"/>
      <c r="DR84" s="131"/>
      <c r="DS84" s="117"/>
      <c r="DT84" s="70"/>
      <c r="DU84" s="70"/>
      <c r="DV84" s="70"/>
      <c r="DW84" s="70"/>
      <c r="DX84" s="362"/>
      <c r="DY84" s="93"/>
      <c r="DZ84" s="93"/>
    </row>
    <row r="85" spans="1:130">
      <c r="A85" s="51"/>
      <c r="B85" s="92"/>
      <c r="C85" s="66"/>
      <c r="D85" s="65"/>
      <c r="E85" s="31"/>
      <c r="F85" s="92"/>
      <c r="G85" s="65"/>
      <c r="H85" s="31"/>
      <c r="I85" s="30"/>
      <c r="J85" s="92"/>
      <c r="K85" s="65"/>
      <c r="L85" s="65"/>
      <c r="M85" s="51"/>
      <c r="N85" s="92"/>
      <c r="O85" s="51"/>
      <c r="P85" s="113"/>
      <c r="Q85" s="92"/>
      <c r="R85" s="158"/>
      <c r="S85" s="163"/>
      <c r="T85" s="65"/>
      <c r="U85" s="65"/>
      <c r="V85" s="65"/>
      <c r="W85" s="31"/>
      <c r="X85" s="65"/>
      <c r="Y85" s="31"/>
      <c r="Z85" s="31"/>
      <c r="AA85" s="30"/>
      <c r="AB85" s="65"/>
      <c r="AC85" s="92"/>
      <c r="AD85" s="92"/>
      <c r="AE85" s="51"/>
      <c r="AF85" s="113"/>
      <c r="AG85" s="51"/>
      <c r="AH85" s="92"/>
      <c r="AI85" s="159"/>
      <c r="AJ85" s="92"/>
      <c r="AK85" s="51"/>
      <c r="AL85" s="51"/>
      <c r="AM85" s="51"/>
      <c r="AN85" s="30"/>
      <c r="AO85" s="33"/>
      <c r="AP85" s="30"/>
      <c r="AQ85" s="65"/>
      <c r="AR85" s="92"/>
      <c r="AS85" s="51"/>
      <c r="AT85" s="51"/>
      <c r="AU85" s="51"/>
      <c r="AV85" s="82"/>
      <c r="AW85" s="51"/>
      <c r="AX85" s="51"/>
      <c r="AY85" s="51"/>
      <c r="AZ85" s="51"/>
      <c r="BA85" s="30"/>
      <c r="BB85" s="65"/>
      <c r="BC85" s="31"/>
      <c r="BD85" s="65"/>
      <c r="BE85" s="31"/>
      <c r="BF85" s="31"/>
      <c r="BG85" s="51"/>
      <c r="BH85" s="51"/>
      <c r="BI85" s="92"/>
      <c r="BJ85" s="92"/>
      <c r="BK85" s="51"/>
      <c r="BL85" s="364"/>
      <c r="BM85" s="70"/>
      <c r="BN85" s="117"/>
      <c r="BO85" s="121"/>
      <c r="BP85" s="118"/>
      <c r="BQ85" s="131"/>
      <c r="BR85" s="117"/>
      <c r="BS85" s="118"/>
      <c r="BT85" s="125"/>
      <c r="BU85" s="118"/>
      <c r="BV85" s="117"/>
      <c r="BW85" s="131"/>
      <c r="BX85" s="118"/>
      <c r="BY85" s="121"/>
      <c r="BZ85" s="117"/>
      <c r="CA85" s="70"/>
      <c r="CB85" s="117"/>
      <c r="CC85" s="363"/>
      <c r="CD85" s="117"/>
      <c r="CE85" s="117"/>
      <c r="CF85" s="123"/>
      <c r="CG85" s="125"/>
      <c r="CH85" s="389"/>
      <c r="CI85" s="131"/>
      <c r="CJ85" s="131"/>
      <c r="CK85" s="118"/>
      <c r="CL85" s="131"/>
      <c r="CM85" s="118"/>
      <c r="CN85" s="123"/>
      <c r="CO85" s="121"/>
      <c r="CP85" s="117"/>
      <c r="CQ85" s="70"/>
      <c r="CR85" s="362"/>
      <c r="CS85" s="117"/>
      <c r="CT85" s="121"/>
      <c r="CU85" s="123"/>
      <c r="CV85" s="125"/>
      <c r="CW85" s="128"/>
      <c r="CX85" s="118"/>
      <c r="CY85" s="121"/>
      <c r="CZ85" s="121"/>
      <c r="DA85" s="121"/>
      <c r="DB85" s="70"/>
      <c r="DC85" s="70"/>
      <c r="DD85" s="70"/>
      <c r="DE85" s="70"/>
      <c r="DF85" s="117"/>
      <c r="DG85" s="70"/>
      <c r="DH85" s="362"/>
      <c r="DI85" s="117"/>
      <c r="DJ85" s="70"/>
      <c r="DK85" s="117"/>
      <c r="DL85" s="123"/>
      <c r="DM85" s="128"/>
      <c r="DN85" s="128"/>
      <c r="DO85" s="123"/>
      <c r="DP85" s="123"/>
      <c r="DQ85" s="131"/>
      <c r="DR85" s="118"/>
      <c r="DS85" s="131"/>
      <c r="DT85" s="70"/>
      <c r="DU85" s="70"/>
      <c r="DV85" s="70"/>
      <c r="DW85" s="70"/>
      <c r="DX85" s="362"/>
      <c r="DY85" s="93"/>
      <c r="DZ85" s="93"/>
    </row>
    <row r="86" spans="1:130">
      <c r="A86" s="92"/>
      <c r="B86" s="156"/>
      <c r="C86" s="157"/>
      <c r="D86" s="158"/>
      <c r="E86" s="92"/>
      <c r="F86" s="65"/>
      <c r="G86" s="31"/>
      <c r="H86" s="31"/>
      <c r="I86" s="33"/>
      <c r="J86" s="65"/>
      <c r="K86" s="51"/>
      <c r="L86" s="65"/>
      <c r="M86" s="33"/>
      <c r="N86" s="92"/>
      <c r="O86" s="51"/>
      <c r="P86" s="113"/>
      <c r="Q86" s="158"/>
      <c r="R86" s="161"/>
      <c r="S86" s="158"/>
      <c r="T86" s="163"/>
      <c r="U86" s="42"/>
      <c r="V86" s="49"/>
      <c r="W86" s="65"/>
      <c r="X86" s="31"/>
      <c r="Y86" s="65"/>
      <c r="Z86" s="65"/>
      <c r="AA86" s="31"/>
      <c r="AB86" s="65"/>
      <c r="AC86" s="92"/>
      <c r="AD86" s="92"/>
      <c r="AE86" s="92"/>
      <c r="AF86" s="113"/>
      <c r="AG86" s="51"/>
      <c r="AH86" s="161"/>
      <c r="AI86" s="162"/>
      <c r="AJ86" s="162"/>
      <c r="AK86" s="43"/>
      <c r="AL86" s="51"/>
      <c r="AM86" s="30"/>
      <c r="AN86" s="65"/>
      <c r="AO86" s="34"/>
      <c r="AP86" s="33"/>
      <c r="AQ86" s="65"/>
      <c r="AR86" s="65"/>
      <c r="AS86" s="32"/>
      <c r="AT86" s="30"/>
      <c r="AU86" s="51"/>
      <c r="AV86" s="113"/>
      <c r="AW86" s="92"/>
      <c r="AX86" s="92"/>
      <c r="AY86" s="163"/>
      <c r="AZ86" s="33"/>
      <c r="BA86" s="30"/>
      <c r="BB86" s="65"/>
      <c r="BC86" s="31"/>
      <c r="BD86" s="30"/>
      <c r="BE86" s="31"/>
      <c r="BF86" s="30"/>
      <c r="BG86" s="32"/>
      <c r="BH86" s="32"/>
      <c r="BI86" s="92"/>
      <c r="BJ86" s="92"/>
      <c r="BK86" s="51"/>
      <c r="BL86" s="364"/>
      <c r="BM86" s="70"/>
      <c r="BN86" s="117"/>
      <c r="BO86" s="121"/>
      <c r="BP86" s="118"/>
      <c r="BQ86" s="70"/>
      <c r="BR86" s="118"/>
      <c r="BS86" s="118"/>
      <c r="BT86" s="123"/>
      <c r="BU86" s="118"/>
      <c r="BV86" s="118"/>
      <c r="BW86" s="117"/>
      <c r="BX86" s="118"/>
      <c r="BY86" s="121"/>
      <c r="BZ86" s="143"/>
      <c r="CA86" s="117"/>
      <c r="CB86" s="117"/>
      <c r="CC86" s="363"/>
      <c r="CD86" s="117"/>
      <c r="CE86" s="70"/>
      <c r="CF86" s="118"/>
      <c r="CG86" s="121"/>
      <c r="CH86" s="125"/>
      <c r="CI86" s="123"/>
      <c r="CJ86" s="131"/>
      <c r="CK86" s="123"/>
      <c r="CL86" s="123"/>
      <c r="CM86" s="126"/>
      <c r="CN86" s="118"/>
      <c r="CO86" s="123"/>
      <c r="CP86" s="123"/>
      <c r="CQ86" s="144"/>
      <c r="CR86" s="364"/>
      <c r="CS86" s="117"/>
      <c r="CT86" s="118"/>
      <c r="CU86" s="121"/>
      <c r="CV86" s="123"/>
      <c r="CW86" s="118"/>
      <c r="CX86" s="130"/>
      <c r="CY86" s="118"/>
      <c r="CZ86" s="131"/>
      <c r="DA86" s="118"/>
      <c r="DB86" s="121"/>
      <c r="DC86" s="70"/>
      <c r="DD86" s="70"/>
      <c r="DE86" s="117"/>
      <c r="DF86" s="145"/>
      <c r="DG86" s="117"/>
      <c r="DH86" s="364"/>
      <c r="DI86" s="117"/>
      <c r="DJ86" s="117"/>
      <c r="DK86" s="70"/>
      <c r="DL86" s="118"/>
      <c r="DM86" s="123"/>
      <c r="DN86" s="128"/>
      <c r="DO86" s="130"/>
      <c r="DP86" s="118"/>
      <c r="DQ86" s="144"/>
      <c r="DR86" s="143"/>
      <c r="DS86" s="144"/>
      <c r="DT86" s="70"/>
      <c r="DU86" s="70"/>
      <c r="DV86" s="70"/>
      <c r="DW86" s="70"/>
      <c r="DX86" s="362"/>
      <c r="DY86" s="93"/>
      <c r="DZ86" s="93"/>
    </row>
    <row r="87" spans="1:130">
      <c r="A87" s="159"/>
      <c r="B87" s="160"/>
      <c r="C87" s="17"/>
      <c r="D87" s="161"/>
      <c r="E87" s="158"/>
      <c r="F87" s="65"/>
      <c r="G87" s="33"/>
      <c r="H87" s="33"/>
      <c r="I87" s="30"/>
      <c r="J87" s="33"/>
      <c r="K87" s="92"/>
      <c r="L87" s="156"/>
      <c r="M87" s="157"/>
      <c r="N87" s="158"/>
      <c r="O87" s="92"/>
      <c r="P87" s="113"/>
      <c r="Q87" s="157"/>
      <c r="R87" s="14"/>
      <c r="S87" s="157"/>
      <c r="T87" s="163"/>
      <c r="U87" s="49"/>
      <c r="V87" s="65"/>
      <c r="W87" s="49"/>
      <c r="X87" s="163"/>
      <c r="Y87" s="158"/>
      <c r="Z87" s="163"/>
      <c r="AA87" s="65"/>
      <c r="AB87" s="65"/>
      <c r="AC87" s="30"/>
      <c r="AD87" s="92"/>
      <c r="AE87" s="92"/>
      <c r="AF87" s="113"/>
      <c r="AG87" s="92"/>
      <c r="AH87" s="17"/>
      <c r="AI87" s="158"/>
      <c r="AJ87" s="158"/>
      <c r="AK87" s="159"/>
      <c r="AL87" s="65"/>
      <c r="AM87" s="65"/>
      <c r="AN87" s="34"/>
      <c r="AO87" s="34"/>
      <c r="AP87" s="30"/>
      <c r="AQ87" s="65"/>
      <c r="AR87" s="49"/>
      <c r="AS87" s="30"/>
      <c r="AT87" s="33"/>
      <c r="AU87" s="33"/>
      <c r="AV87" s="113"/>
      <c r="AW87" s="92"/>
      <c r="AX87" s="158"/>
      <c r="AY87" s="65"/>
      <c r="AZ87" s="30"/>
      <c r="BA87" s="65"/>
      <c r="BB87" s="49"/>
      <c r="BC87" s="30"/>
      <c r="BD87" s="31"/>
      <c r="BE87" s="65"/>
      <c r="BF87" s="32"/>
      <c r="BG87" s="65"/>
      <c r="BH87" s="33"/>
      <c r="BI87" s="30"/>
      <c r="BJ87" s="92"/>
      <c r="BK87" s="92"/>
      <c r="BL87" s="364"/>
      <c r="BM87" s="117"/>
      <c r="BN87" s="131"/>
      <c r="BO87" s="118"/>
      <c r="BP87" s="118"/>
      <c r="BQ87" s="117"/>
      <c r="BR87" s="118"/>
      <c r="BS87" s="118"/>
      <c r="BT87" s="123"/>
      <c r="BU87" s="118"/>
      <c r="BV87" s="118"/>
      <c r="BW87" s="143"/>
      <c r="BX87" s="131"/>
      <c r="BY87" s="118"/>
      <c r="BZ87" s="121"/>
      <c r="CA87" s="145"/>
      <c r="CB87" s="117"/>
      <c r="CC87" s="363"/>
      <c r="CD87" s="117"/>
      <c r="CE87" s="118"/>
      <c r="CF87" s="70"/>
      <c r="CG87" s="118"/>
      <c r="CH87" s="118"/>
      <c r="CI87" s="125"/>
      <c r="CJ87" s="118"/>
      <c r="CK87" s="131"/>
      <c r="CL87" s="125"/>
      <c r="CM87" s="118"/>
      <c r="CN87" s="126"/>
      <c r="CO87" s="118"/>
      <c r="CP87" s="118"/>
      <c r="CQ87" s="118"/>
      <c r="CR87" s="372"/>
      <c r="CS87" s="118"/>
      <c r="CT87" s="118"/>
      <c r="CU87" s="117"/>
      <c r="CV87" s="121"/>
      <c r="CW87" s="128"/>
      <c r="CX87" s="130"/>
      <c r="CY87" s="118"/>
      <c r="CZ87" s="118"/>
      <c r="DA87" s="131"/>
      <c r="DB87" s="118"/>
      <c r="DC87" s="118"/>
      <c r="DD87" s="121"/>
      <c r="DE87" s="142"/>
      <c r="DF87" s="146"/>
      <c r="DG87" s="147"/>
      <c r="DH87" s="364"/>
      <c r="DI87" s="117"/>
      <c r="DJ87" s="117"/>
      <c r="DK87" s="118"/>
      <c r="DL87" s="70"/>
      <c r="DM87" s="118"/>
      <c r="DN87" s="128"/>
      <c r="DO87" s="128"/>
      <c r="DP87" s="144"/>
      <c r="DQ87" s="143"/>
      <c r="DR87" s="147"/>
      <c r="DS87" s="143"/>
      <c r="DT87" s="144"/>
      <c r="DU87" s="143"/>
      <c r="DV87" s="117"/>
      <c r="DW87" s="70"/>
      <c r="DX87" s="362"/>
      <c r="DY87" s="93"/>
      <c r="DZ87" s="93"/>
    </row>
    <row r="88" spans="1:130">
      <c r="A88" s="159"/>
      <c r="B88" s="17"/>
      <c r="C88" s="19"/>
      <c r="D88" s="17"/>
      <c r="E88" s="157"/>
      <c r="F88" s="31"/>
      <c r="G88" s="30"/>
      <c r="H88" s="30"/>
      <c r="I88" s="32"/>
      <c r="J88" s="48"/>
      <c r="K88" s="159"/>
      <c r="L88" s="160"/>
      <c r="M88" s="17"/>
      <c r="N88" s="161"/>
      <c r="O88" s="158"/>
      <c r="P88" s="113"/>
      <c r="Q88" s="163"/>
      <c r="R88" s="160"/>
      <c r="S88" s="163"/>
      <c r="T88" s="163"/>
      <c r="U88" s="65"/>
      <c r="V88" s="31"/>
      <c r="W88" s="65"/>
      <c r="X88" s="158"/>
      <c r="Y88" s="161"/>
      <c r="Z88" s="158"/>
      <c r="AA88" s="163"/>
      <c r="AB88" s="65"/>
      <c r="AC88" s="65"/>
      <c r="AD88" s="51"/>
      <c r="AE88" s="92"/>
      <c r="AF88" s="113"/>
      <c r="AG88" s="92"/>
      <c r="AH88" s="161"/>
      <c r="AI88" s="163"/>
      <c r="AJ88" s="161"/>
      <c r="AK88" s="162"/>
      <c r="AL88" s="156"/>
      <c r="AM88" s="33"/>
      <c r="AN88" s="30"/>
      <c r="AO88" s="30"/>
      <c r="AP88" s="33"/>
      <c r="AQ88" s="65"/>
      <c r="AR88" s="49"/>
      <c r="AS88" s="33"/>
      <c r="AT88" s="92"/>
      <c r="AU88" s="65"/>
      <c r="AV88" s="113"/>
      <c r="AW88" s="92"/>
      <c r="AX88" s="158"/>
      <c r="AY88" s="65"/>
      <c r="AZ88" s="65"/>
      <c r="BA88" s="65"/>
      <c r="BB88" s="49"/>
      <c r="BC88" s="65"/>
      <c r="BD88" s="31"/>
      <c r="BE88" s="30"/>
      <c r="BF88" s="31"/>
      <c r="BG88" s="65"/>
      <c r="BH88" s="33"/>
      <c r="BI88" s="30"/>
      <c r="BJ88" s="92"/>
      <c r="BK88" s="92"/>
      <c r="BL88" s="364"/>
      <c r="BM88" s="143"/>
      <c r="BN88" s="131"/>
      <c r="BO88" s="118"/>
      <c r="BP88" s="121"/>
      <c r="BQ88" s="143"/>
      <c r="BR88" s="118"/>
      <c r="BS88" s="118"/>
      <c r="BT88" s="123"/>
      <c r="BU88" s="123"/>
      <c r="BV88" s="131"/>
      <c r="BW88" s="146"/>
      <c r="BX88" s="131"/>
      <c r="BY88" s="118"/>
      <c r="BZ88" s="121"/>
      <c r="CA88" s="145"/>
      <c r="CB88" s="117"/>
      <c r="CC88" s="363"/>
      <c r="CD88" s="117"/>
      <c r="CE88" s="117"/>
      <c r="CF88" s="117"/>
      <c r="CG88" s="70"/>
      <c r="CH88" s="118"/>
      <c r="CI88" s="131"/>
      <c r="CJ88" s="123"/>
      <c r="CK88" s="131"/>
      <c r="CL88" s="123"/>
      <c r="CM88" s="131"/>
      <c r="CN88" s="118"/>
      <c r="CO88" s="126"/>
      <c r="CP88" s="118"/>
      <c r="CQ88" s="118"/>
      <c r="CR88" s="372"/>
      <c r="CS88" s="70"/>
      <c r="CT88" s="70"/>
      <c r="CU88" s="70"/>
      <c r="CV88" s="118"/>
      <c r="CW88" s="121"/>
      <c r="CX88" s="121"/>
      <c r="CY88" s="123"/>
      <c r="CZ88" s="118"/>
      <c r="DA88" s="118"/>
      <c r="DB88" s="131"/>
      <c r="DC88" s="131"/>
      <c r="DD88" s="130"/>
      <c r="DE88" s="143"/>
      <c r="DF88" s="143"/>
      <c r="DG88" s="148"/>
      <c r="DH88" s="362"/>
      <c r="DI88" s="117"/>
      <c r="DJ88" s="117"/>
      <c r="DK88" s="117"/>
      <c r="DL88" s="117"/>
      <c r="DM88" s="70"/>
      <c r="DN88" s="118"/>
      <c r="DO88" s="118"/>
      <c r="DP88" s="144"/>
      <c r="DQ88" s="149"/>
      <c r="DR88" s="165"/>
      <c r="DS88" s="149"/>
      <c r="DT88" s="143"/>
      <c r="DU88" s="147"/>
      <c r="DV88" s="143"/>
      <c r="DW88" s="117"/>
      <c r="DX88" s="362"/>
      <c r="DY88" s="93"/>
      <c r="DZ88" s="93"/>
    </row>
    <row r="89" spans="1:130">
      <c r="A89" s="159"/>
      <c r="B89" s="161"/>
      <c r="C89" s="17"/>
      <c r="D89" s="160"/>
      <c r="E89" s="163"/>
      <c r="F89" s="42"/>
      <c r="G89" s="49"/>
      <c r="H89" s="51"/>
      <c r="I89" s="41"/>
      <c r="J89" s="43"/>
      <c r="K89" s="157"/>
      <c r="L89" s="17"/>
      <c r="M89" s="19"/>
      <c r="N89" s="17"/>
      <c r="O89" s="162"/>
      <c r="P89" s="82"/>
      <c r="Q89" s="92"/>
      <c r="R89" s="156"/>
      <c r="S89" s="163"/>
      <c r="T89" s="92"/>
      <c r="U89" s="92"/>
      <c r="V89" s="49"/>
      <c r="W89" s="31"/>
      <c r="X89" s="157"/>
      <c r="Y89" s="14"/>
      <c r="Z89" s="157"/>
      <c r="AA89" s="163"/>
      <c r="AB89" s="65"/>
      <c r="AC89" s="51"/>
      <c r="AD89" s="65"/>
      <c r="AE89" s="92"/>
      <c r="AF89" s="82"/>
      <c r="AG89" s="51"/>
      <c r="AH89" s="92"/>
      <c r="AI89" s="161"/>
      <c r="AJ89" s="17"/>
      <c r="AK89" s="158"/>
      <c r="AL89" s="158"/>
      <c r="AM89" s="42"/>
      <c r="AN89" s="33"/>
      <c r="AO89" s="33"/>
      <c r="AP89" s="65"/>
      <c r="AQ89" s="65"/>
      <c r="AR89" s="49"/>
      <c r="AS89" s="51"/>
      <c r="AT89" s="51"/>
      <c r="AU89" s="65"/>
      <c r="AV89" s="113"/>
      <c r="AW89" s="92"/>
      <c r="AX89" s="163"/>
      <c r="AY89" s="43"/>
      <c r="AZ89" s="42"/>
      <c r="BA89" s="49"/>
      <c r="BB89" s="49"/>
      <c r="BC89" s="49"/>
      <c r="BD89" s="65"/>
      <c r="BE89" s="31"/>
      <c r="BF89" s="65"/>
      <c r="BG89" s="31"/>
      <c r="BH89" s="51"/>
      <c r="BI89" s="65"/>
      <c r="BJ89" s="51"/>
      <c r="BK89" s="92"/>
      <c r="BL89" s="362"/>
      <c r="BM89" s="146"/>
      <c r="BN89" s="131"/>
      <c r="BO89" s="118"/>
      <c r="BP89" s="121"/>
      <c r="BQ89" s="146"/>
      <c r="BR89" s="155"/>
      <c r="BS89" s="118"/>
      <c r="BT89" s="118"/>
      <c r="BU89" s="118"/>
      <c r="BV89" s="118"/>
      <c r="BW89" s="144"/>
      <c r="BX89" s="135"/>
      <c r="BY89" s="136"/>
      <c r="BZ89" s="126"/>
      <c r="CA89" s="145"/>
      <c r="CB89" s="70"/>
      <c r="CC89" s="361"/>
      <c r="CD89" s="117"/>
      <c r="CE89" s="117"/>
      <c r="CF89" s="70"/>
      <c r="CG89" s="117"/>
      <c r="CH89" s="131"/>
      <c r="CI89" s="118"/>
      <c r="CJ89" s="131"/>
      <c r="CK89" s="118"/>
      <c r="CL89" s="126"/>
      <c r="CM89" s="126"/>
      <c r="CN89" s="117"/>
      <c r="CO89" s="130"/>
      <c r="CP89" s="130"/>
      <c r="CQ89" s="136"/>
      <c r="CR89" s="374"/>
      <c r="CS89" s="70"/>
      <c r="CT89" s="117"/>
      <c r="CU89" s="117"/>
      <c r="CV89" s="117"/>
      <c r="CW89" s="118"/>
      <c r="CX89" s="118"/>
      <c r="CY89" s="130"/>
      <c r="CZ89" s="121"/>
      <c r="DA89" s="128"/>
      <c r="DB89" s="118"/>
      <c r="DC89" s="126"/>
      <c r="DD89" s="135"/>
      <c r="DE89" s="144"/>
      <c r="DF89" s="144"/>
      <c r="DG89" s="147"/>
      <c r="DH89" s="364"/>
      <c r="DI89" s="70"/>
      <c r="DJ89" s="117"/>
      <c r="DK89" s="117"/>
      <c r="DL89" s="117"/>
      <c r="DM89" s="70"/>
      <c r="DN89" s="117"/>
      <c r="DO89" s="118"/>
      <c r="DP89" s="144"/>
      <c r="DQ89" s="144"/>
      <c r="DR89" s="147"/>
      <c r="DS89" s="144"/>
      <c r="DT89" s="149"/>
      <c r="DU89" s="165"/>
      <c r="DV89" s="149"/>
      <c r="DW89" s="117"/>
      <c r="DX89" s="362"/>
      <c r="DY89" s="93"/>
      <c r="DZ89" s="93"/>
    </row>
    <row r="90" spans="1:130">
      <c r="A90" s="92"/>
      <c r="B90" s="158"/>
      <c r="C90" s="162"/>
      <c r="D90" s="156"/>
      <c r="E90" s="92"/>
      <c r="F90" s="42"/>
      <c r="G90" s="42"/>
      <c r="H90" s="51"/>
      <c r="I90" s="42"/>
      <c r="J90" s="42"/>
      <c r="K90" s="159"/>
      <c r="L90" s="161"/>
      <c r="M90" s="17"/>
      <c r="N90" s="160"/>
      <c r="O90" s="163"/>
      <c r="P90" s="82"/>
      <c r="Q90" s="51"/>
      <c r="R90" s="92"/>
      <c r="S90" s="51"/>
      <c r="T90" s="51"/>
      <c r="U90" s="92"/>
      <c r="V90" s="49"/>
      <c r="W90" s="43"/>
      <c r="X90" s="163"/>
      <c r="Y90" s="161"/>
      <c r="Z90" s="163"/>
      <c r="AA90" s="65"/>
      <c r="AB90" s="92"/>
      <c r="AC90" s="92"/>
      <c r="AD90" s="92"/>
      <c r="AE90" s="92"/>
      <c r="AF90" s="82"/>
      <c r="AG90" s="92"/>
      <c r="AH90" s="92"/>
      <c r="AI90" s="92"/>
      <c r="AJ90" s="161"/>
      <c r="AK90" s="163"/>
      <c r="AL90" s="163"/>
      <c r="AM90" s="42"/>
      <c r="AN90" s="40"/>
      <c r="AO90" s="49"/>
      <c r="AP90" s="49"/>
      <c r="AQ90" s="42"/>
      <c r="AR90" s="51"/>
      <c r="AS90" s="92"/>
      <c r="AT90" s="92"/>
      <c r="AU90" s="51"/>
      <c r="AV90" s="371"/>
      <c r="AW90" s="92"/>
      <c r="AX90" s="92"/>
      <c r="AY90" s="163"/>
      <c r="AZ90" s="92"/>
      <c r="BA90" s="92"/>
      <c r="BB90" s="40"/>
      <c r="BC90" s="49"/>
      <c r="BD90" s="65"/>
      <c r="BE90" s="31"/>
      <c r="BF90" s="30"/>
      <c r="BG90" s="92"/>
      <c r="BH90" s="92"/>
      <c r="BI90" s="51"/>
      <c r="BJ90" s="65"/>
      <c r="BK90" s="92"/>
      <c r="BL90" s="362"/>
      <c r="BM90" s="144"/>
      <c r="BN90" s="126"/>
      <c r="BO90" s="136"/>
      <c r="BP90" s="135"/>
      <c r="BQ90" s="144"/>
      <c r="BR90" s="133"/>
      <c r="BS90" s="133"/>
      <c r="BT90" s="118"/>
      <c r="BU90" s="133"/>
      <c r="BV90" s="130"/>
      <c r="BW90" s="117"/>
      <c r="BX90" s="144"/>
      <c r="BY90" s="146"/>
      <c r="BZ90" s="143"/>
      <c r="CA90" s="117"/>
      <c r="CB90" s="70"/>
      <c r="CC90" s="361"/>
      <c r="CD90" s="117"/>
      <c r="CE90" s="117"/>
      <c r="CF90" s="70"/>
      <c r="CG90" s="117"/>
      <c r="CH90" s="117"/>
      <c r="CI90" s="123"/>
      <c r="CJ90" s="131"/>
      <c r="CK90" s="131"/>
      <c r="CL90" s="118"/>
      <c r="CM90" s="126"/>
      <c r="CN90" s="117"/>
      <c r="CO90" s="117"/>
      <c r="CP90" s="117"/>
      <c r="CQ90" s="144"/>
      <c r="CR90" s="364"/>
      <c r="CS90" s="70"/>
      <c r="CT90" s="117"/>
      <c r="CU90" s="117"/>
      <c r="CV90" s="117"/>
      <c r="CW90" s="117"/>
      <c r="CX90" s="130"/>
      <c r="CY90" s="118"/>
      <c r="CZ90" s="118"/>
      <c r="DA90" s="155"/>
      <c r="DB90" s="117"/>
      <c r="DC90" s="144"/>
      <c r="DD90" s="144"/>
      <c r="DE90" s="148"/>
      <c r="DF90" s="147"/>
      <c r="DG90" s="117"/>
      <c r="DH90" s="364"/>
      <c r="DI90" s="70"/>
      <c r="DJ90" s="117"/>
      <c r="DK90" s="117"/>
      <c r="DL90" s="117"/>
      <c r="DM90" s="117"/>
      <c r="DN90" s="117"/>
      <c r="DO90" s="117"/>
      <c r="DP90" s="133"/>
      <c r="DQ90" s="144"/>
      <c r="DR90" s="142"/>
      <c r="DS90" s="155"/>
      <c r="DT90" s="144"/>
      <c r="DU90" s="150"/>
      <c r="DV90" s="144"/>
      <c r="DW90" s="117"/>
      <c r="DX90" s="362"/>
      <c r="DY90" s="93"/>
      <c r="DZ90" s="93"/>
    </row>
    <row r="91" spans="1:130">
      <c r="A91" s="51"/>
      <c r="B91" s="51"/>
      <c r="C91" s="92"/>
      <c r="D91" s="51"/>
      <c r="E91" s="52"/>
      <c r="F91" s="40"/>
      <c r="G91" s="49"/>
      <c r="H91" s="51"/>
      <c r="I91" s="52"/>
      <c r="J91" s="43"/>
      <c r="K91" s="92"/>
      <c r="L91" s="156"/>
      <c r="M91" s="162"/>
      <c r="N91" s="158"/>
      <c r="O91" s="92"/>
      <c r="P91" s="82"/>
      <c r="Q91" s="51"/>
      <c r="R91" s="92"/>
      <c r="S91" s="51"/>
      <c r="T91" s="51"/>
      <c r="U91" s="51"/>
      <c r="V91" s="40"/>
      <c r="W91" s="46"/>
      <c r="X91" s="46"/>
      <c r="Y91" s="156"/>
      <c r="Z91" s="163"/>
      <c r="AA91" s="92"/>
      <c r="AB91" s="92"/>
      <c r="AC91" s="51"/>
      <c r="AD91" s="51"/>
      <c r="AE91" s="51"/>
      <c r="AF91" s="82"/>
      <c r="AG91" s="92"/>
      <c r="AH91" s="92"/>
      <c r="AI91" s="92"/>
      <c r="AJ91" s="92"/>
      <c r="AK91" s="161"/>
      <c r="AL91" s="92"/>
      <c r="AM91" s="43"/>
      <c r="AN91" s="49"/>
      <c r="AO91" s="42"/>
      <c r="AP91" s="49"/>
      <c r="AQ91" s="49"/>
      <c r="AR91" s="52"/>
      <c r="AS91" s="51"/>
      <c r="AT91" s="92"/>
      <c r="AU91" s="92"/>
      <c r="AV91" s="82"/>
      <c r="AW91" s="51"/>
      <c r="AX91" s="51"/>
      <c r="AY91" s="51"/>
      <c r="AZ91" s="51"/>
      <c r="BA91" s="39"/>
      <c r="BB91" s="43"/>
      <c r="BC91" s="46"/>
      <c r="BD91" s="46"/>
      <c r="BE91" s="46"/>
      <c r="BF91" s="46"/>
      <c r="BG91" s="92"/>
      <c r="BH91" s="92"/>
      <c r="BI91" s="51"/>
      <c r="BJ91" s="51"/>
      <c r="BK91" s="51"/>
      <c r="BL91" s="362"/>
      <c r="BM91" s="117"/>
      <c r="BN91" s="144"/>
      <c r="BO91" s="146"/>
      <c r="BP91" s="144"/>
      <c r="BQ91" s="117"/>
      <c r="BR91" s="133"/>
      <c r="BS91" s="133"/>
      <c r="BT91" s="118"/>
      <c r="BU91" s="136"/>
      <c r="BV91" s="135"/>
      <c r="BW91" s="71"/>
      <c r="BX91" s="70"/>
      <c r="BY91" s="117"/>
      <c r="BZ91" s="70"/>
      <c r="CA91" s="70"/>
      <c r="CB91" s="70"/>
      <c r="CC91" s="361"/>
      <c r="CD91" s="70"/>
      <c r="CE91" s="70"/>
      <c r="CF91" s="70"/>
      <c r="CG91" s="117"/>
      <c r="CH91" s="117"/>
      <c r="CI91" s="126"/>
      <c r="CJ91" s="126"/>
      <c r="CK91" s="130"/>
      <c r="CL91" s="133"/>
      <c r="CM91" s="388"/>
      <c r="CN91" s="71"/>
      <c r="CO91" s="70"/>
      <c r="CP91" s="70"/>
      <c r="CQ91" s="70"/>
      <c r="CR91" s="362"/>
      <c r="CS91" s="70"/>
      <c r="CT91" s="117"/>
      <c r="CU91" s="117"/>
      <c r="CV91" s="117"/>
      <c r="CW91" s="117"/>
      <c r="CX91" s="133"/>
      <c r="CY91" s="155"/>
      <c r="CZ91" s="133"/>
      <c r="DA91" s="133"/>
      <c r="DB91" s="155"/>
      <c r="DC91" s="117"/>
      <c r="DD91" s="147"/>
      <c r="DE91" s="117"/>
      <c r="DF91" s="70"/>
      <c r="DG91" s="70"/>
      <c r="DH91" s="362"/>
      <c r="DI91" s="70"/>
      <c r="DJ91" s="70"/>
      <c r="DK91" s="70"/>
      <c r="DL91" s="70"/>
      <c r="DM91" s="70"/>
      <c r="DN91" s="117"/>
      <c r="DO91" s="117"/>
      <c r="DP91" s="133"/>
      <c r="DQ91" s="133"/>
      <c r="DR91" s="136"/>
      <c r="DS91" s="133"/>
      <c r="DT91" s="388"/>
      <c r="DU91" s="142"/>
      <c r="DV91" s="117"/>
      <c r="DW91" s="117"/>
      <c r="DX91" s="362"/>
      <c r="DY91" s="93"/>
      <c r="DZ91" s="93"/>
    </row>
    <row r="92" spans="1:130">
      <c r="A92" s="51"/>
      <c r="B92" s="51"/>
      <c r="C92" s="51"/>
      <c r="D92" s="52"/>
      <c r="E92" s="52"/>
      <c r="F92" s="43"/>
      <c r="G92" s="49"/>
      <c r="H92" s="51"/>
      <c r="I92" s="50"/>
      <c r="J92" s="46"/>
      <c r="K92" s="51"/>
      <c r="L92" s="92"/>
      <c r="M92" s="51"/>
      <c r="N92" s="51"/>
      <c r="O92" s="51"/>
      <c r="P92" s="82"/>
      <c r="Q92" s="51"/>
      <c r="R92" s="51"/>
      <c r="S92" s="51"/>
      <c r="T92" s="51"/>
      <c r="U92" s="40"/>
      <c r="V92" s="49"/>
      <c r="W92" s="46"/>
      <c r="X92" s="43"/>
      <c r="Y92" s="92"/>
      <c r="Z92" s="51"/>
      <c r="AA92" s="51"/>
      <c r="AB92" s="51"/>
      <c r="AC92" s="51"/>
      <c r="AD92" s="51"/>
      <c r="AE92" s="51"/>
      <c r="AF92" s="82"/>
      <c r="AG92" s="51"/>
      <c r="AH92" s="51"/>
      <c r="AI92" s="51"/>
      <c r="AJ92" s="51"/>
      <c r="AK92" s="51"/>
      <c r="AL92" s="52"/>
      <c r="AM92" s="40"/>
      <c r="AN92" s="46"/>
      <c r="AO92" s="51"/>
      <c r="AP92" s="43"/>
      <c r="AQ92" s="46"/>
      <c r="AR92" s="52"/>
      <c r="AS92" s="92"/>
      <c r="AT92" s="51"/>
      <c r="AU92" s="51"/>
      <c r="AV92" s="82"/>
      <c r="AW92" s="51"/>
      <c r="AX92" s="70"/>
      <c r="AY92" s="70"/>
      <c r="AZ92" s="70"/>
      <c r="BA92" s="43"/>
      <c r="BB92" s="46"/>
      <c r="BC92" s="46"/>
      <c r="BD92" s="52"/>
      <c r="BE92" s="43"/>
      <c r="BF92" s="46"/>
      <c r="BG92" s="43"/>
      <c r="BH92" s="51"/>
      <c r="BI92" s="51"/>
      <c r="BJ92" s="51"/>
      <c r="BK92" s="51"/>
      <c r="BL92" s="362"/>
      <c r="BM92" s="70"/>
      <c r="BN92" s="70"/>
      <c r="BO92" s="70"/>
      <c r="BP92" s="70"/>
      <c r="BQ92" s="70"/>
      <c r="BR92" s="154"/>
      <c r="BS92" s="391"/>
      <c r="BT92" s="70"/>
      <c r="BU92" s="126"/>
      <c r="BV92" s="135"/>
      <c r="BW92" s="71"/>
      <c r="BX92" s="71"/>
      <c r="BY92" s="70"/>
      <c r="BZ92" s="70"/>
      <c r="CA92" s="70"/>
      <c r="CB92" s="70"/>
      <c r="CC92" s="361"/>
      <c r="CD92" s="70"/>
      <c r="CE92" s="70"/>
      <c r="CF92" s="70"/>
      <c r="CG92" s="70"/>
      <c r="CH92" s="117"/>
      <c r="CI92" s="70"/>
      <c r="CJ92" s="133"/>
      <c r="CK92" s="133"/>
      <c r="CL92" s="155"/>
      <c r="CM92" s="133"/>
      <c r="CN92" s="155"/>
      <c r="CO92" s="70"/>
      <c r="CP92" s="70"/>
      <c r="CQ92" s="70"/>
      <c r="CR92" s="362"/>
      <c r="CS92" s="70"/>
      <c r="CT92" s="70"/>
      <c r="CU92" s="117"/>
      <c r="CV92" s="70"/>
      <c r="CW92" s="136"/>
      <c r="CX92" s="130"/>
      <c r="CY92" s="155"/>
      <c r="CZ92" s="71"/>
      <c r="DA92" s="126"/>
      <c r="DB92" s="133"/>
      <c r="DC92" s="71"/>
      <c r="DD92" s="70"/>
      <c r="DE92" s="70"/>
      <c r="DF92" s="70"/>
      <c r="DG92" s="70"/>
      <c r="DH92" s="362"/>
      <c r="DI92" s="70"/>
      <c r="DJ92" s="70"/>
      <c r="DK92" s="70"/>
      <c r="DL92" s="70"/>
      <c r="DM92" s="70"/>
      <c r="DN92" s="70"/>
      <c r="DO92" s="136"/>
      <c r="DP92" s="133"/>
      <c r="DQ92" s="136"/>
      <c r="DR92" s="71"/>
      <c r="DS92" s="126"/>
      <c r="DT92" s="133"/>
      <c r="DU92" s="71"/>
      <c r="DV92" s="70"/>
      <c r="DW92" s="70"/>
      <c r="DX92" s="362"/>
      <c r="DY92" s="93"/>
      <c r="DZ92" s="93"/>
    </row>
    <row r="93" spans="1:130">
      <c r="A93" s="51"/>
      <c r="B93" s="51"/>
      <c r="C93" s="51"/>
      <c r="D93" s="52"/>
      <c r="E93" s="52"/>
      <c r="F93" s="43"/>
      <c r="G93" s="49"/>
      <c r="H93" s="51"/>
      <c r="I93" s="50"/>
      <c r="J93" s="46"/>
      <c r="K93" s="51"/>
      <c r="L93" s="92"/>
      <c r="M93" s="51"/>
      <c r="N93" s="51"/>
      <c r="O93" s="51"/>
      <c r="P93" s="82"/>
      <c r="Q93" s="51"/>
      <c r="R93" s="51"/>
      <c r="S93" s="51"/>
      <c r="T93" s="51"/>
      <c r="U93" s="40"/>
      <c r="V93" s="49"/>
      <c r="W93" s="46"/>
      <c r="X93" s="43"/>
      <c r="Y93" s="92"/>
      <c r="Z93" s="51"/>
      <c r="AA93" s="51"/>
      <c r="AB93" s="51"/>
      <c r="AC93" s="51"/>
      <c r="AD93" s="51"/>
      <c r="AE93" s="51"/>
      <c r="AF93" s="82"/>
      <c r="AG93" s="51"/>
      <c r="AH93" s="51"/>
      <c r="AI93" s="51"/>
      <c r="AJ93" s="51"/>
      <c r="AK93" s="51"/>
      <c r="AL93" s="52"/>
      <c r="AM93" s="40"/>
      <c r="AN93" s="46"/>
      <c r="AO93" s="51"/>
      <c r="AP93" s="43"/>
      <c r="AQ93" s="46"/>
      <c r="AR93" s="46"/>
      <c r="AS93" s="92"/>
      <c r="AT93" s="51"/>
      <c r="AU93" s="51"/>
      <c r="AV93" s="82"/>
      <c r="AW93" s="51"/>
      <c r="AX93" s="51"/>
      <c r="AY93" s="40"/>
      <c r="AZ93" s="46"/>
      <c r="BA93" s="43"/>
      <c r="BB93" s="46"/>
      <c r="BC93" s="46"/>
      <c r="BD93" s="52"/>
      <c r="BE93" s="43"/>
      <c r="BF93" s="46"/>
      <c r="BG93" s="43"/>
      <c r="BH93" s="51"/>
      <c r="BI93" s="51"/>
      <c r="BJ93" s="51"/>
      <c r="BK93" s="51"/>
      <c r="BL93" s="362"/>
      <c r="BM93" s="70"/>
      <c r="BN93" s="70"/>
      <c r="BO93" s="70"/>
      <c r="BP93" s="70"/>
      <c r="BQ93" s="390"/>
      <c r="BR93" s="154"/>
      <c r="BS93" s="391"/>
      <c r="BT93" s="70"/>
      <c r="BU93" s="126"/>
      <c r="BV93" s="135"/>
      <c r="BW93" s="71"/>
      <c r="BX93" s="71"/>
      <c r="BY93" s="70"/>
      <c r="BZ93" s="70"/>
      <c r="CA93" s="70"/>
      <c r="CB93" s="70"/>
      <c r="CC93" s="361"/>
      <c r="CD93" s="70"/>
      <c r="CE93" s="70"/>
      <c r="CF93" s="70"/>
      <c r="CG93" s="70"/>
      <c r="CH93" s="117"/>
      <c r="CI93" s="70"/>
      <c r="CJ93" s="133"/>
      <c r="CK93" s="133"/>
      <c r="CL93" s="155"/>
      <c r="CM93" s="133"/>
      <c r="CN93" s="155"/>
      <c r="CO93" s="70"/>
      <c r="CP93" s="70"/>
      <c r="CQ93" s="70"/>
      <c r="CR93" s="362"/>
      <c r="CS93" s="70"/>
      <c r="CT93" s="70"/>
      <c r="CU93" s="117"/>
      <c r="CV93" s="70"/>
      <c r="CW93" s="136"/>
      <c r="CX93" s="130"/>
      <c r="CY93" s="155"/>
      <c r="CZ93" s="71"/>
      <c r="DA93" s="126"/>
      <c r="DB93" s="133"/>
      <c r="DC93" s="71"/>
      <c r="DD93" s="70"/>
      <c r="DE93" s="70"/>
      <c r="DF93" s="70"/>
      <c r="DG93" s="70"/>
      <c r="DH93" s="362"/>
      <c r="DI93" s="70"/>
      <c r="DJ93" s="70"/>
      <c r="DK93" s="70"/>
      <c r="DL93" s="70"/>
      <c r="DM93" s="70"/>
      <c r="DN93" s="70"/>
      <c r="DO93" s="136"/>
      <c r="DP93" s="133"/>
      <c r="DQ93" s="136"/>
      <c r="DR93" s="71"/>
      <c r="DS93" s="126"/>
      <c r="DT93" s="133"/>
      <c r="DU93" s="71"/>
      <c r="DV93" s="70"/>
      <c r="DW93" s="70"/>
      <c r="DX93" s="362"/>
      <c r="DY93" s="93"/>
      <c r="DZ93" s="93"/>
    </row>
    <row r="94" spans="1:130">
      <c r="A94" s="51"/>
      <c r="B94" s="51"/>
      <c r="C94" s="51"/>
      <c r="D94" s="51"/>
      <c r="E94" s="52"/>
      <c r="F94" s="43"/>
      <c r="G94" s="49"/>
      <c r="H94" s="52"/>
      <c r="I94" s="46"/>
      <c r="J94" s="48"/>
      <c r="K94" s="48"/>
      <c r="L94" s="51"/>
      <c r="M94" s="51"/>
      <c r="N94" s="51"/>
      <c r="O94" s="51"/>
      <c r="P94" s="82"/>
      <c r="Q94" s="51"/>
      <c r="R94" s="51"/>
      <c r="S94" s="43"/>
      <c r="T94" s="49"/>
      <c r="U94" s="49"/>
      <c r="V94" s="49"/>
      <c r="W94" s="43"/>
      <c r="X94" s="46"/>
      <c r="Y94" s="46"/>
      <c r="Z94" s="51"/>
      <c r="AA94" s="51"/>
      <c r="AB94" s="51"/>
      <c r="AC94" s="51"/>
      <c r="AD94" s="51"/>
      <c r="AE94" s="51"/>
      <c r="AF94" s="82"/>
      <c r="AG94" s="51"/>
      <c r="AH94" s="51"/>
      <c r="AI94" s="51"/>
      <c r="AJ94" s="51"/>
      <c r="AK94" s="43"/>
      <c r="AL94" s="49"/>
      <c r="AM94" s="43"/>
      <c r="AN94" s="51"/>
      <c r="AO94" s="51"/>
      <c r="AP94" s="51"/>
      <c r="AQ94" s="43"/>
      <c r="AR94" s="46"/>
      <c r="AS94" s="46"/>
      <c r="AT94" s="51"/>
      <c r="AU94" s="51"/>
      <c r="AV94" s="82"/>
      <c r="AW94" s="51"/>
      <c r="AX94" s="51"/>
      <c r="AY94" s="43"/>
      <c r="AZ94" s="46"/>
      <c r="BA94" s="46"/>
      <c r="BB94" s="46"/>
      <c r="BC94" s="52"/>
      <c r="BD94" s="52"/>
      <c r="BE94" s="51"/>
      <c r="BF94" s="40"/>
      <c r="BG94" s="46"/>
      <c r="BH94" s="43"/>
      <c r="BI94" s="51"/>
      <c r="BJ94" s="51"/>
      <c r="BK94" s="51"/>
      <c r="BL94" s="362"/>
      <c r="BM94" s="70"/>
      <c r="BN94" s="70"/>
      <c r="BO94" s="70"/>
      <c r="BP94" s="126"/>
      <c r="BQ94" s="126"/>
      <c r="BR94" s="133"/>
      <c r="BS94" s="390"/>
      <c r="BT94" s="71"/>
      <c r="BU94" s="126"/>
      <c r="BV94" s="133"/>
      <c r="BW94" s="70"/>
      <c r="BX94" s="71"/>
      <c r="BY94" s="70"/>
      <c r="BZ94" s="70"/>
      <c r="CA94" s="70"/>
      <c r="CB94" s="70"/>
      <c r="CC94" s="361"/>
      <c r="CD94" s="70"/>
      <c r="CE94" s="70"/>
      <c r="CF94" s="70"/>
      <c r="CG94" s="70"/>
      <c r="CH94" s="70"/>
      <c r="CI94" s="154"/>
      <c r="CJ94" s="133"/>
      <c r="CK94" s="155"/>
      <c r="CL94" s="70"/>
      <c r="CM94" s="155"/>
      <c r="CN94" s="133"/>
      <c r="CO94" s="388"/>
      <c r="CP94" s="155"/>
      <c r="CQ94" s="70"/>
      <c r="CR94" s="362"/>
      <c r="CS94" s="70"/>
      <c r="CT94" s="70"/>
      <c r="CU94" s="70"/>
      <c r="CV94" s="154"/>
      <c r="CW94" s="133"/>
      <c r="CX94" s="130"/>
      <c r="CY94" s="70"/>
      <c r="CZ94" s="70"/>
      <c r="DA94" s="70"/>
      <c r="DB94" s="133"/>
      <c r="DC94" s="155"/>
      <c r="DD94" s="133"/>
      <c r="DE94" s="70"/>
      <c r="DF94" s="70"/>
      <c r="DG94" s="70"/>
      <c r="DH94" s="362"/>
      <c r="DI94" s="70"/>
      <c r="DJ94" s="70"/>
      <c r="DK94" s="70"/>
      <c r="DL94" s="70"/>
      <c r="DM94" s="70"/>
      <c r="DN94" s="136"/>
      <c r="DO94" s="133"/>
      <c r="DP94" s="135"/>
      <c r="DQ94" s="70"/>
      <c r="DR94" s="70"/>
      <c r="DS94" s="70"/>
      <c r="DT94" s="133"/>
      <c r="DU94" s="155"/>
      <c r="DV94" s="133"/>
      <c r="DW94" s="70"/>
      <c r="DX94" s="362"/>
      <c r="DY94" s="93"/>
      <c r="DZ94" s="93"/>
    </row>
    <row r="95" spans="1:130">
      <c r="A95" s="51"/>
      <c r="B95" s="51"/>
      <c r="C95" s="51"/>
      <c r="D95" s="51"/>
      <c r="E95" s="43"/>
      <c r="F95" s="49"/>
      <c r="G95" s="49"/>
      <c r="H95" s="51"/>
      <c r="I95" s="51"/>
      <c r="J95" s="49"/>
      <c r="K95" s="51"/>
      <c r="L95" s="50"/>
      <c r="M95" s="51"/>
      <c r="N95" s="51"/>
      <c r="O95" s="51"/>
      <c r="P95" s="82"/>
      <c r="Q95" s="51"/>
      <c r="R95" s="51"/>
      <c r="S95" s="51"/>
      <c r="T95" s="51"/>
      <c r="U95" s="43"/>
      <c r="V95" s="49"/>
      <c r="W95" s="51"/>
      <c r="X95" s="46"/>
      <c r="Y95" s="46"/>
      <c r="Z95" s="40"/>
      <c r="AA95" s="51"/>
      <c r="AB95" s="51"/>
      <c r="AC95" s="51"/>
      <c r="AD95" s="51"/>
      <c r="AE95" s="51"/>
      <c r="AF95" s="82"/>
      <c r="AG95" s="51"/>
      <c r="AH95" s="51"/>
      <c r="AI95" s="51"/>
      <c r="AJ95" s="40"/>
      <c r="AK95" s="51"/>
      <c r="AL95" s="51"/>
      <c r="AM95" s="49"/>
      <c r="AN95" s="43"/>
      <c r="AO95" s="51"/>
      <c r="AP95" s="51"/>
      <c r="AQ95" s="51"/>
      <c r="AR95" s="46"/>
      <c r="AS95" s="46"/>
      <c r="AT95" s="40"/>
      <c r="AU95" s="51"/>
      <c r="AV95" s="82"/>
      <c r="AW95" s="51"/>
      <c r="AX95" s="51"/>
      <c r="AY95" s="51"/>
      <c r="AZ95" s="51"/>
      <c r="BA95" s="46"/>
      <c r="BB95" s="43"/>
      <c r="BC95" s="51"/>
      <c r="BD95" s="92"/>
      <c r="BE95" s="51"/>
      <c r="BF95" s="46"/>
      <c r="BG95" s="46"/>
      <c r="BH95" s="46"/>
      <c r="BI95" s="43"/>
      <c r="BJ95" s="51"/>
      <c r="BK95" s="51"/>
      <c r="BL95" s="362"/>
      <c r="BM95" s="70"/>
      <c r="BN95" s="70"/>
      <c r="BO95" s="70"/>
      <c r="BP95" s="70"/>
      <c r="BQ95" s="70"/>
      <c r="BR95" s="387"/>
      <c r="BS95" s="155"/>
      <c r="BT95" s="70"/>
      <c r="BU95" s="126"/>
      <c r="BV95" s="133"/>
      <c r="BW95" s="126"/>
      <c r="BX95" s="70"/>
      <c r="BY95" s="70"/>
      <c r="BZ95" s="70"/>
      <c r="CA95" s="70"/>
      <c r="CB95" s="70"/>
      <c r="CC95" s="361"/>
      <c r="CD95" s="70"/>
      <c r="CE95" s="70"/>
      <c r="CF95" s="70"/>
      <c r="CG95" s="70"/>
      <c r="CH95" s="133"/>
      <c r="CI95" s="126"/>
      <c r="CJ95" s="133"/>
      <c r="CK95" s="70"/>
      <c r="CL95" s="70"/>
      <c r="CM95" s="133"/>
      <c r="CN95" s="133"/>
      <c r="CO95" s="155"/>
      <c r="CP95" s="70"/>
      <c r="CQ95" s="70"/>
      <c r="CR95" s="362"/>
      <c r="CS95" s="70"/>
      <c r="CT95" s="70"/>
      <c r="CU95" s="133"/>
      <c r="CV95" s="126"/>
      <c r="CW95" s="136"/>
      <c r="CX95" s="70"/>
      <c r="CY95" s="70"/>
      <c r="CZ95" s="70"/>
      <c r="DA95" s="133"/>
      <c r="DB95" s="133"/>
      <c r="DC95" s="133"/>
      <c r="DD95" s="70"/>
      <c r="DE95" s="388"/>
      <c r="DF95" s="70"/>
      <c r="DG95" s="70"/>
      <c r="DH95" s="362"/>
      <c r="DI95" s="70"/>
      <c r="DJ95" s="70"/>
      <c r="DK95" s="70"/>
      <c r="DL95" s="70"/>
      <c r="DM95" s="70"/>
      <c r="DN95" s="133"/>
      <c r="DO95" s="133"/>
      <c r="DP95" s="133"/>
      <c r="DQ95" s="70"/>
      <c r="DR95" s="70"/>
      <c r="DS95" s="133"/>
      <c r="DT95" s="133"/>
      <c r="DU95" s="133"/>
      <c r="DV95" s="70"/>
      <c r="DW95" s="388"/>
      <c r="DX95" s="362"/>
      <c r="DY95" s="93"/>
      <c r="DZ95" s="93"/>
    </row>
    <row r="96" spans="1:130">
      <c r="A96" s="106"/>
      <c r="B96" s="103"/>
      <c r="C96" s="103"/>
      <c r="D96" s="377"/>
      <c r="E96" s="103"/>
      <c r="F96" s="107"/>
      <c r="G96" s="104"/>
      <c r="H96" s="103"/>
      <c r="I96" s="103"/>
      <c r="J96" s="103"/>
      <c r="K96" s="103"/>
      <c r="L96" s="103"/>
      <c r="M96" s="103"/>
      <c r="N96" s="103"/>
      <c r="O96" s="103"/>
      <c r="P96" s="116"/>
      <c r="Q96" s="106"/>
      <c r="R96" s="103"/>
      <c r="S96" s="103"/>
      <c r="T96" s="103"/>
      <c r="U96" s="103"/>
      <c r="V96" s="377"/>
      <c r="W96" s="376"/>
      <c r="X96" s="376"/>
      <c r="Y96" s="103"/>
      <c r="Z96" s="106"/>
      <c r="AA96" s="103"/>
      <c r="AB96" s="106"/>
      <c r="AC96" s="103"/>
      <c r="AD96" s="103"/>
      <c r="AE96" s="103"/>
      <c r="AF96" s="116"/>
      <c r="AG96" s="106"/>
      <c r="AH96" s="106"/>
      <c r="AI96" s="106"/>
      <c r="AJ96" s="103"/>
      <c r="AK96" s="103"/>
      <c r="AL96" s="103"/>
      <c r="AM96" s="103"/>
      <c r="AN96" s="103"/>
      <c r="AO96" s="103"/>
      <c r="AP96" s="377"/>
      <c r="AQ96" s="376"/>
      <c r="AR96" s="376"/>
      <c r="AS96" s="103"/>
      <c r="AT96" s="106"/>
      <c r="AU96" s="103"/>
      <c r="AV96" s="116"/>
      <c r="AW96" s="106"/>
      <c r="AX96" s="103"/>
      <c r="AY96" s="106"/>
      <c r="AZ96" s="106"/>
      <c r="BA96" s="103"/>
      <c r="BB96" s="106"/>
      <c r="BC96" s="74"/>
      <c r="BD96" s="74"/>
      <c r="BE96" s="377"/>
      <c r="BF96" s="376"/>
      <c r="BG96" s="376"/>
      <c r="BH96" s="74"/>
      <c r="BI96" s="74"/>
      <c r="BJ96" s="74"/>
      <c r="BK96" s="103"/>
      <c r="BL96" s="368"/>
      <c r="BM96" s="367"/>
      <c r="BN96" s="367"/>
      <c r="BO96" s="367"/>
      <c r="BP96" s="367"/>
      <c r="BQ96" s="367"/>
      <c r="BR96" s="367"/>
      <c r="BS96" s="367"/>
      <c r="BT96" s="367"/>
      <c r="BU96" s="379"/>
      <c r="BV96" s="379"/>
      <c r="BW96" s="367"/>
      <c r="BX96" s="379"/>
      <c r="BY96" s="367"/>
      <c r="BZ96" s="367"/>
      <c r="CA96" s="366"/>
      <c r="CB96" s="367"/>
      <c r="CC96" s="365"/>
      <c r="CD96" s="367"/>
      <c r="CE96" s="367"/>
      <c r="CF96" s="367"/>
      <c r="CG96" s="395"/>
      <c r="CH96" s="379"/>
      <c r="CI96" s="380"/>
      <c r="CJ96" s="379"/>
      <c r="CK96" s="381"/>
      <c r="CL96" s="382"/>
      <c r="CM96" s="367"/>
      <c r="CN96" s="367"/>
      <c r="CO96" s="367"/>
      <c r="CP96" s="367"/>
      <c r="CQ96" s="367"/>
      <c r="CR96" s="383"/>
      <c r="CS96" s="367"/>
      <c r="CT96" s="366"/>
      <c r="CU96" s="379"/>
      <c r="CV96" s="380"/>
      <c r="CW96" s="385"/>
      <c r="CX96" s="380"/>
      <c r="CY96" s="385"/>
      <c r="CZ96" s="366"/>
      <c r="DA96" s="366"/>
      <c r="DB96" s="366"/>
      <c r="DC96" s="366"/>
      <c r="DD96" s="366"/>
      <c r="DE96" s="366"/>
      <c r="DF96" s="366"/>
      <c r="DG96" s="366"/>
      <c r="DH96" s="383"/>
      <c r="DI96" s="367"/>
      <c r="DJ96" s="367"/>
      <c r="DK96" s="367"/>
      <c r="DL96" s="367"/>
      <c r="DM96" s="366"/>
      <c r="DN96" s="367"/>
      <c r="DO96" s="380"/>
      <c r="DP96" s="385"/>
      <c r="DQ96" s="380"/>
      <c r="DR96" s="367"/>
      <c r="DS96" s="366"/>
      <c r="DT96" s="366"/>
      <c r="DU96" s="366"/>
      <c r="DV96" s="366"/>
      <c r="DW96" s="366"/>
      <c r="DX96" s="383"/>
      <c r="DY96" s="73"/>
      <c r="DZ96" s="73"/>
    </row>
    <row r="97" spans="1:130">
      <c r="A97" s="114"/>
      <c r="B97" s="51" t="s">
        <v>764</v>
      </c>
      <c r="C97" s="51"/>
      <c r="D97" s="51"/>
      <c r="E97" s="51"/>
      <c r="F97" s="92"/>
      <c r="G97" s="92"/>
      <c r="H97" s="51"/>
      <c r="I97" s="51"/>
      <c r="J97" s="51"/>
      <c r="K97" s="51"/>
      <c r="L97" s="92"/>
      <c r="M97" s="51"/>
      <c r="N97" s="51"/>
      <c r="O97" s="51"/>
      <c r="P97" s="82"/>
      <c r="Q97" s="51"/>
      <c r="R97" s="51"/>
      <c r="S97" s="51"/>
      <c r="T97" s="51"/>
      <c r="U97" s="51"/>
      <c r="V97" s="92"/>
      <c r="W97" s="92"/>
      <c r="X97" s="51"/>
      <c r="Y97" s="51"/>
      <c r="Z97" s="51"/>
      <c r="AA97" s="51"/>
      <c r="AB97" s="92"/>
      <c r="AC97" s="51"/>
      <c r="AD97" s="51"/>
      <c r="AE97" s="51"/>
      <c r="AF97" s="82"/>
      <c r="AG97" s="51"/>
      <c r="AH97" s="51"/>
      <c r="AI97" s="51"/>
      <c r="AJ97" s="51"/>
      <c r="AK97" s="51"/>
      <c r="AL97" s="92"/>
      <c r="AM97" s="92"/>
      <c r="AN97" s="51"/>
      <c r="AO97" s="51"/>
      <c r="AP97" s="51"/>
      <c r="AQ97" s="51"/>
      <c r="AR97" s="92"/>
      <c r="AS97" s="51"/>
      <c r="AT97" s="51"/>
      <c r="AU97" s="51"/>
      <c r="AV97" s="82"/>
      <c r="AW97" s="51"/>
      <c r="AX97" s="51"/>
      <c r="AY97" s="51"/>
      <c r="AZ97" s="51"/>
      <c r="BA97" s="51"/>
      <c r="BB97" s="92"/>
      <c r="BC97" s="92"/>
      <c r="BD97" s="51"/>
      <c r="BE97" s="51"/>
      <c r="BF97" s="51"/>
      <c r="BG97" s="51"/>
      <c r="BH97" s="92"/>
      <c r="BI97" s="51"/>
      <c r="BJ97" s="51"/>
      <c r="BK97" s="51"/>
      <c r="BL97" s="82"/>
      <c r="BM97" s="51"/>
      <c r="BN97" s="51"/>
      <c r="BO97" s="51"/>
      <c r="BP97" s="51"/>
      <c r="BQ97" s="51"/>
      <c r="BR97" s="92"/>
      <c r="BS97" s="92"/>
      <c r="BT97" s="51"/>
      <c r="BU97" s="51"/>
      <c r="BV97" s="51"/>
      <c r="BW97" s="51"/>
      <c r="BX97" s="92"/>
      <c r="BY97" s="51"/>
      <c r="BZ97" s="51"/>
      <c r="CA97" s="51"/>
      <c r="CB97" s="51"/>
      <c r="CC97" s="114"/>
      <c r="CD97" s="51"/>
      <c r="CE97" s="51"/>
      <c r="CF97" s="51"/>
      <c r="CG97" s="51"/>
      <c r="CH97" s="92"/>
      <c r="CI97" s="92"/>
      <c r="CJ97" s="51"/>
      <c r="CK97" s="51"/>
      <c r="CL97" s="51"/>
      <c r="CM97" s="51"/>
      <c r="CN97" s="92"/>
      <c r="CO97" s="51"/>
      <c r="CP97" s="51"/>
      <c r="CQ97" s="51"/>
      <c r="CR97" s="82"/>
      <c r="CS97" s="51"/>
      <c r="CT97" s="51"/>
      <c r="CU97" s="51"/>
      <c r="CV97" s="51"/>
      <c r="CW97" s="51"/>
      <c r="CX97" s="92"/>
      <c r="CY97" s="92"/>
      <c r="CZ97" s="51"/>
      <c r="DA97" s="51"/>
      <c r="DB97" s="51"/>
      <c r="DC97" s="51"/>
      <c r="DD97" s="92"/>
      <c r="DE97" s="51"/>
      <c r="DF97" s="51"/>
      <c r="DG97" s="51"/>
      <c r="DH97" s="82"/>
      <c r="DI97" s="51"/>
      <c r="DJ97" s="51"/>
      <c r="DK97" s="51"/>
      <c r="DL97" s="51"/>
      <c r="DM97" s="51"/>
      <c r="DN97" s="92"/>
      <c r="DO97" s="92"/>
      <c r="DP97" s="51"/>
      <c r="DQ97" s="51"/>
      <c r="DR97" s="51"/>
      <c r="DS97" s="51"/>
      <c r="DT97" s="92"/>
      <c r="DU97" s="51"/>
      <c r="DV97" s="51"/>
      <c r="DW97" s="51"/>
      <c r="DX97" s="362"/>
      <c r="DY97" s="93"/>
      <c r="DZ97" s="93"/>
    </row>
    <row r="98" spans="1:130">
      <c r="A98" s="112"/>
      <c r="B98" s="92"/>
      <c r="C98" s="92"/>
      <c r="D98" s="92"/>
      <c r="E98" s="92"/>
      <c r="F98" s="92"/>
      <c r="G98" s="92"/>
      <c r="H98" s="92"/>
      <c r="I98" s="92"/>
      <c r="J98" s="92"/>
      <c r="K98" s="92"/>
      <c r="L98" s="92"/>
      <c r="M98" s="92"/>
      <c r="N98" s="92"/>
      <c r="O98" s="92"/>
      <c r="P98" s="113"/>
      <c r="Q98" s="92"/>
      <c r="R98" s="92"/>
      <c r="S98" s="92"/>
      <c r="T98" s="92"/>
      <c r="U98" s="92"/>
      <c r="V98" s="92"/>
      <c r="W98" s="92"/>
      <c r="X98" s="92"/>
      <c r="Y98" s="92"/>
      <c r="Z98" s="92"/>
      <c r="AA98" s="92"/>
      <c r="AB98" s="92"/>
      <c r="AC98" s="92"/>
      <c r="AD98" s="92"/>
      <c r="AE98" s="92"/>
      <c r="AF98" s="113"/>
      <c r="AG98" s="92"/>
      <c r="AH98" s="92"/>
      <c r="AI98" s="92"/>
      <c r="AJ98" s="92"/>
      <c r="AK98" s="92"/>
      <c r="AL98" s="92"/>
      <c r="AM98" s="92"/>
      <c r="AN98" s="92"/>
      <c r="AO98" s="92"/>
      <c r="AP98" s="92"/>
      <c r="AQ98" s="92"/>
      <c r="AR98" s="92"/>
      <c r="AS98" s="92"/>
      <c r="AT98" s="92"/>
      <c r="AU98" s="92"/>
      <c r="AV98" s="113"/>
      <c r="AW98" s="92"/>
      <c r="AX98" s="92"/>
      <c r="AY98" s="92"/>
      <c r="AZ98" s="92"/>
      <c r="BA98" s="92"/>
      <c r="BB98" s="92"/>
      <c r="BC98" s="92"/>
      <c r="BD98" s="92"/>
      <c r="BE98" s="92"/>
      <c r="BF98" s="92"/>
      <c r="BG98" s="92"/>
      <c r="BH98" s="92"/>
      <c r="BI98" s="92"/>
      <c r="BJ98" s="92"/>
      <c r="BK98" s="92"/>
      <c r="BL98" s="113"/>
      <c r="BM98" s="92"/>
      <c r="BN98" s="92"/>
      <c r="BO98" s="92"/>
      <c r="BP98" s="92"/>
      <c r="BQ98" s="92"/>
      <c r="BR98" s="92"/>
      <c r="BS98" s="92"/>
      <c r="BT98" s="92"/>
      <c r="BU98" s="92"/>
      <c r="BV98" s="92"/>
      <c r="BW98" s="92"/>
      <c r="BX98" s="92"/>
      <c r="BY98" s="92"/>
      <c r="BZ98" s="92"/>
      <c r="CA98" s="92"/>
      <c r="CB98" s="92"/>
      <c r="CC98" s="363"/>
      <c r="CD98" s="117"/>
      <c r="CE98" s="117"/>
      <c r="CF98" s="117"/>
      <c r="CG98" s="117"/>
      <c r="CH98" s="117"/>
      <c r="CI98" s="117"/>
      <c r="CJ98" s="117"/>
      <c r="CK98" s="117"/>
      <c r="CL98" s="117"/>
      <c r="CM98" s="117"/>
      <c r="CN98" s="117"/>
      <c r="CO98" s="117"/>
      <c r="CP98" s="117"/>
      <c r="CQ98" s="117"/>
      <c r="CR98" s="364"/>
      <c r="CS98" s="117"/>
      <c r="CT98" s="117"/>
      <c r="CU98" s="117"/>
      <c r="CV98" s="117"/>
      <c r="CW98" s="117"/>
      <c r="CX98" s="117"/>
      <c r="CY98" s="117"/>
      <c r="CZ98" s="117"/>
      <c r="DA98" s="117"/>
      <c r="DB98" s="117"/>
      <c r="DC98" s="117"/>
      <c r="DD98" s="117"/>
      <c r="DE98" s="117"/>
      <c r="DF98" s="117"/>
      <c r="DG98" s="117"/>
      <c r="DH98" s="364"/>
      <c r="DI98" s="117"/>
      <c r="DJ98" s="117"/>
      <c r="DK98" s="117"/>
      <c r="DL98" s="117"/>
      <c r="DM98" s="117"/>
      <c r="DN98" s="117"/>
      <c r="DO98" s="117"/>
      <c r="DP98" s="117"/>
      <c r="DQ98" s="117"/>
      <c r="DR98" s="117"/>
      <c r="DS98" s="117"/>
      <c r="DT98" s="117"/>
      <c r="DU98" s="117"/>
      <c r="DV98" s="117"/>
      <c r="DW98" s="117"/>
      <c r="DX98" s="364"/>
      <c r="DY98" s="93"/>
      <c r="DZ98" s="93"/>
    </row>
    <row r="99" spans="1:130">
      <c r="A99" s="114"/>
      <c r="B99" s="92"/>
      <c r="C99" s="92"/>
      <c r="D99" s="92"/>
      <c r="E99" s="51"/>
      <c r="F99" s="92"/>
      <c r="G99" s="92"/>
      <c r="H99" s="92"/>
      <c r="I99" s="92"/>
      <c r="J99" s="92"/>
      <c r="K99" s="92"/>
      <c r="L99" s="92"/>
      <c r="M99" s="92"/>
      <c r="N99" s="92"/>
      <c r="O99" s="92"/>
      <c r="P99" s="113"/>
      <c r="Q99" s="51"/>
      <c r="R99" s="92"/>
      <c r="S99" s="92"/>
      <c r="T99" s="92"/>
      <c r="U99" s="51"/>
      <c r="V99" s="92"/>
      <c r="W99" s="92"/>
      <c r="X99" s="92"/>
      <c r="Y99" s="92"/>
      <c r="Z99" s="92"/>
      <c r="AA99" s="92"/>
      <c r="AB99" s="92"/>
      <c r="AC99" s="92"/>
      <c r="AD99" s="92"/>
      <c r="AE99" s="92"/>
      <c r="AF99" s="113"/>
      <c r="AG99" s="51"/>
      <c r="AH99" s="92"/>
      <c r="AI99" s="92"/>
      <c r="AJ99" s="92"/>
      <c r="AK99" s="51"/>
      <c r="AL99" s="92"/>
      <c r="AM99" s="92"/>
      <c r="AN99" s="92"/>
      <c r="AO99" s="92"/>
      <c r="AP99" s="92"/>
      <c r="AQ99" s="92"/>
      <c r="AR99" s="92"/>
      <c r="AS99" s="92"/>
      <c r="AT99" s="92"/>
      <c r="AU99" s="92"/>
      <c r="AV99" s="113"/>
      <c r="AW99" s="51"/>
      <c r="AX99" s="92"/>
      <c r="AY99" s="92"/>
      <c r="AZ99" s="92"/>
      <c r="BA99" s="51"/>
      <c r="BB99" s="92"/>
      <c r="BC99" s="92"/>
      <c r="BD99" s="92"/>
      <c r="BE99" s="92"/>
      <c r="BF99" s="92"/>
      <c r="BG99" s="92"/>
      <c r="BH99" s="92"/>
      <c r="BI99" s="92"/>
      <c r="BJ99" s="92"/>
      <c r="BK99" s="92"/>
      <c r="BL99" s="113"/>
      <c r="BM99" s="51"/>
      <c r="BN99" s="92"/>
      <c r="BO99" s="92"/>
      <c r="BP99" s="92"/>
      <c r="BQ99" s="51"/>
      <c r="BR99" s="92"/>
      <c r="BS99" s="92"/>
      <c r="BT99" s="92"/>
      <c r="BU99" s="92"/>
      <c r="BV99" s="92"/>
      <c r="BW99" s="92"/>
      <c r="BX99" s="92"/>
      <c r="BY99" s="92"/>
      <c r="BZ99" s="92"/>
      <c r="CA99" s="92"/>
      <c r="CB99" s="92"/>
      <c r="CC99" s="363"/>
      <c r="CD99" s="117"/>
      <c r="CE99" s="117"/>
      <c r="CF99" s="117"/>
      <c r="CG99" s="117"/>
      <c r="CH99" s="117"/>
      <c r="CI99" s="117"/>
      <c r="CJ99" s="117"/>
      <c r="CK99" s="117"/>
      <c r="CL99" s="117"/>
      <c r="CM99" s="117"/>
      <c r="CN99" s="70"/>
      <c r="CO99" s="117"/>
      <c r="CP99" s="117"/>
      <c r="CQ99" s="117"/>
      <c r="CR99" s="362"/>
      <c r="CS99" s="117"/>
      <c r="CT99" s="117"/>
      <c r="CU99" s="117"/>
      <c r="CV99" s="117"/>
      <c r="CW99" s="117"/>
      <c r="CX99" s="117"/>
      <c r="CY99" s="117"/>
      <c r="CZ99" s="117"/>
      <c r="DA99" s="117"/>
      <c r="DB99" s="117"/>
      <c r="DC99" s="117"/>
      <c r="DD99" s="70"/>
      <c r="DE99" s="117"/>
      <c r="DF99" s="117"/>
      <c r="DG99" s="117"/>
      <c r="DH99" s="362"/>
      <c r="DI99" s="117"/>
      <c r="DJ99" s="117"/>
      <c r="DK99" s="117"/>
      <c r="DL99" s="117"/>
      <c r="DM99" s="117"/>
      <c r="DN99" s="117"/>
      <c r="DO99" s="117"/>
      <c r="DP99" s="117"/>
      <c r="DQ99" s="117"/>
      <c r="DR99" s="117"/>
      <c r="DS99" s="117"/>
      <c r="DT99" s="70"/>
      <c r="DU99" s="117"/>
      <c r="DV99" s="117"/>
      <c r="DW99" s="117"/>
      <c r="DX99" s="362"/>
      <c r="DY99" s="93"/>
      <c r="DZ99" s="93"/>
    </row>
    <row r="100" spans="1:130">
      <c r="A100" s="112"/>
      <c r="B100" s="92"/>
      <c r="C100" s="92"/>
      <c r="D100" s="92"/>
      <c r="E100" s="51"/>
      <c r="F100" s="92"/>
      <c r="G100" s="92"/>
      <c r="H100" s="92"/>
      <c r="I100" s="92"/>
      <c r="J100" s="92"/>
      <c r="K100" s="92"/>
      <c r="L100" s="92"/>
      <c r="M100" s="92"/>
      <c r="N100" s="92"/>
      <c r="O100" s="92"/>
      <c r="P100" s="113"/>
      <c r="Q100" s="92"/>
      <c r="R100" s="92"/>
      <c r="S100" s="92"/>
      <c r="T100" s="92"/>
      <c r="U100" s="51"/>
      <c r="V100" s="92"/>
      <c r="W100" s="92"/>
      <c r="X100" s="92"/>
      <c r="Y100" s="92"/>
      <c r="Z100" s="92"/>
      <c r="AA100" s="92"/>
      <c r="AB100" s="92"/>
      <c r="AC100" s="92"/>
      <c r="AD100" s="92"/>
      <c r="AE100" s="92"/>
      <c r="AF100" s="113"/>
      <c r="AG100" s="92"/>
      <c r="AH100" s="92"/>
      <c r="AI100" s="92"/>
      <c r="AJ100" s="92"/>
      <c r="AK100" s="51"/>
      <c r="AL100" s="92"/>
      <c r="AM100" s="92"/>
      <c r="AN100" s="92"/>
      <c r="AO100" s="92"/>
      <c r="AP100" s="92"/>
      <c r="AQ100" s="92"/>
      <c r="AR100" s="92"/>
      <c r="AS100" s="92"/>
      <c r="AT100" s="92"/>
      <c r="AU100" s="92"/>
      <c r="AV100" s="113"/>
      <c r="AW100" s="92"/>
      <c r="AX100" s="92"/>
      <c r="AY100" s="92"/>
      <c r="AZ100" s="92"/>
      <c r="BA100" s="51"/>
      <c r="BB100" s="92"/>
      <c r="BC100" s="92"/>
      <c r="BD100" s="92"/>
      <c r="BE100" s="92"/>
      <c r="BF100" s="92"/>
      <c r="BG100" s="92"/>
      <c r="BH100" s="92"/>
      <c r="BI100" s="92"/>
      <c r="BJ100" s="92"/>
      <c r="BK100" s="92"/>
      <c r="BL100" s="113"/>
      <c r="BM100" s="92"/>
      <c r="BN100" s="92"/>
      <c r="BO100" s="92"/>
      <c r="BP100" s="92"/>
      <c r="BQ100" s="51"/>
      <c r="BR100" s="92"/>
      <c r="BS100" s="92"/>
      <c r="BT100" s="92"/>
      <c r="BU100" s="92"/>
      <c r="BV100" s="92"/>
      <c r="BW100" s="92"/>
      <c r="BX100" s="92"/>
      <c r="BY100" s="92"/>
      <c r="BZ100" s="92"/>
      <c r="CA100" s="92"/>
      <c r="CB100" s="92"/>
      <c r="CC100" s="363"/>
      <c r="CD100" s="117"/>
      <c r="CE100" s="117"/>
      <c r="CF100" s="117"/>
      <c r="CG100" s="117"/>
      <c r="CH100" s="117"/>
      <c r="CI100" s="117"/>
      <c r="CJ100" s="117"/>
      <c r="CK100" s="117"/>
      <c r="CL100" s="117"/>
      <c r="CM100" s="117"/>
      <c r="CN100" s="70"/>
      <c r="CO100" s="117"/>
      <c r="CP100" s="117"/>
      <c r="CQ100" s="117"/>
      <c r="CR100" s="364"/>
      <c r="CS100" s="117"/>
      <c r="CT100" s="117"/>
      <c r="CU100" s="117"/>
      <c r="CV100" s="117"/>
      <c r="CW100" s="117"/>
      <c r="CX100" s="117"/>
      <c r="CY100" s="117"/>
      <c r="CZ100" s="117"/>
      <c r="DA100" s="117"/>
      <c r="DB100" s="117"/>
      <c r="DC100" s="117"/>
      <c r="DD100" s="70"/>
      <c r="DE100" s="117"/>
      <c r="DF100" s="117"/>
      <c r="DG100" s="117"/>
      <c r="DH100" s="364"/>
      <c r="DI100" s="117"/>
      <c r="DJ100" s="117"/>
      <c r="DK100" s="117"/>
      <c r="DL100" s="117"/>
      <c r="DM100" s="117"/>
      <c r="DN100" s="117"/>
      <c r="DO100" s="117"/>
      <c r="DP100" s="117"/>
      <c r="DQ100" s="117"/>
      <c r="DR100" s="117"/>
      <c r="DS100" s="117"/>
      <c r="DT100" s="70"/>
      <c r="DU100" s="117"/>
      <c r="DV100" s="117"/>
      <c r="DW100" s="117"/>
      <c r="DX100" s="364"/>
      <c r="DY100" s="93"/>
      <c r="DZ100" s="93"/>
    </row>
    <row r="101" spans="1:130">
      <c r="A101" s="114"/>
      <c r="B101" s="92"/>
      <c r="C101" s="92"/>
      <c r="D101" s="92"/>
      <c r="E101" s="51"/>
      <c r="F101" s="92"/>
      <c r="G101" s="92"/>
      <c r="H101" s="92"/>
      <c r="I101" s="92"/>
      <c r="J101" s="92"/>
      <c r="K101" s="92"/>
      <c r="L101" s="92"/>
      <c r="M101" s="92"/>
      <c r="N101" s="92"/>
      <c r="O101" s="92"/>
      <c r="P101" s="113"/>
      <c r="Q101" s="51"/>
      <c r="R101" s="92"/>
      <c r="S101" s="92"/>
      <c r="T101" s="92"/>
      <c r="U101" s="51"/>
      <c r="V101" s="92"/>
      <c r="W101" s="92"/>
      <c r="X101" s="92"/>
      <c r="Y101" s="92"/>
      <c r="Z101" s="92"/>
      <c r="AA101" s="92"/>
      <c r="AB101" s="92"/>
      <c r="AC101" s="92"/>
      <c r="AD101" s="92"/>
      <c r="AE101" s="92"/>
      <c r="AF101" s="113"/>
      <c r="AG101" s="51"/>
      <c r="AH101" s="92"/>
      <c r="AI101" s="92"/>
      <c r="AJ101" s="92"/>
      <c r="AK101" s="51"/>
      <c r="AL101" s="92"/>
      <c r="AM101" s="92"/>
      <c r="AN101" s="92"/>
      <c r="AO101" s="92"/>
      <c r="AP101" s="92"/>
      <c r="AQ101" s="92"/>
      <c r="AR101" s="92"/>
      <c r="AS101" s="92"/>
      <c r="AT101" s="92"/>
      <c r="AU101" s="92"/>
      <c r="AV101" s="113"/>
      <c r="AW101" s="51"/>
      <c r="AX101" s="92"/>
      <c r="AY101" s="92"/>
      <c r="AZ101" s="92"/>
      <c r="BA101" s="51"/>
      <c r="BB101" s="92"/>
      <c r="BC101" s="92"/>
      <c r="BD101" s="92"/>
      <c r="BE101" s="92"/>
      <c r="BF101" s="92"/>
      <c r="BG101" s="92"/>
      <c r="BH101" s="92"/>
      <c r="BI101" s="92"/>
      <c r="BJ101" s="92"/>
      <c r="BK101" s="92"/>
      <c r="BL101" s="113"/>
      <c r="BM101" s="51"/>
      <c r="BN101" s="92"/>
      <c r="BO101" s="92"/>
      <c r="BP101" s="92"/>
      <c r="BQ101" s="51"/>
      <c r="BR101" s="92"/>
      <c r="BS101" s="92"/>
      <c r="BT101" s="92"/>
      <c r="BU101" s="92"/>
      <c r="BV101" s="92"/>
      <c r="BW101" s="92"/>
      <c r="BX101" s="92"/>
      <c r="BY101" s="92"/>
      <c r="BZ101" s="92"/>
      <c r="CA101" s="92"/>
      <c r="CB101" s="92"/>
      <c r="CC101" s="363"/>
      <c r="CD101" s="117"/>
      <c r="CE101" s="117"/>
      <c r="CF101" s="117"/>
      <c r="CG101" s="117"/>
      <c r="CH101" s="117"/>
      <c r="CI101" s="117"/>
      <c r="CJ101" s="117"/>
      <c r="CK101" s="117"/>
      <c r="CL101" s="117"/>
      <c r="CM101" s="117"/>
      <c r="CN101" s="70"/>
      <c r="CO101" s="117"/>
      <c r="CP101" s="117"/>
      <c r="CQ101" s="117"/>
      <c r="CR101" s="362"/>
      <c r="CS101" s="117"/>
      <c r="CT101" s="117"/>
      <c r="CU101" s="117"/>
      <c r="CV101" s="117"/>
      <c r="CW101" s="117"/>
      <c r="CX101" s="117"/>
      <c r="CY101" s="117"/>
      <c r="CZ101" s="117"/>
      <c r="DA101" s="117"/>
      <c r="DB101" s="117"/>
      <c r="DC101" s="117"/>
      <c r="DD101" s="70"/>
      <c r="DE101" s="117"/>
      <c r="DF101" s="117"/>
      <c r="DG101" s="117"/>
      <c r="DH101" s="362"/>
      <c r="DI101" s="117"/>
      <c r="DJ101" s="117"/>
      <c r="DK101" s="117"/>
      <c r="DL101" s="117"/>
      <c r="DM101" s="117"/>
      <c r="DN101" s="117"/>
      <c r="DO101" s="117"/>
      <c r="DP101" s="117"/>
      <c r="DQ101" s="117"/>
      <c r="DR101" s="117"/>
      <c r="DS101" s="117"/>
      <c r="DT101" s="70"/>
      <c r="DU101" s="117"/>
      <c r="DV101" s="117"/>
      <c r="DW101" s="117"/>
      <c r="DX101" s="362"/>
      <c r="DY101" s="93"/>
      <c r="DZ101" s="93"/>
    </row>
    <row r="102" spans="1:130">
      <c r="A102" s="114"/>
      <c r="B102" s="51"/>
      <c r="C102" s="51"/>
      <c r="D102" s="51"/>
      <c r="E102" s="51"/>
      <c r="F102" s="51"/>
      <c r="G102" s="51"/>
      <c r="H102" s="51"/>
      <c r="I102" s="51"/>
      <c r="J102" s="51"/>
      <c r="K102" s="51"/>
      <c r="L102" s="51"/>
      <c r="M102" s="51"/>
      <c r="N102" s="51"/>
      <c r="O102" s="51"/>
      <c r="P102" s="82"/>
      <c r="Q102" s="51"/>
      <c r="R102" s="51"/>
      <c r="S102" s="51"/>
      <c r="T102" s="51"/>
      <c r="U102" s="51"/>
      <c r="V102" s="51"/>
      <c r="W102" s="51"/>
      <c r="X102" s="51"/>
      <c r="Y102" s="51"/>
      <c r="Z102" s="51"/>
      <c r="AA102" s="51"/>
      <c r="AB102" s="51"/>
      <c r="AC102" s="51"/>
      <c r="AD102" s="51"/>
      <c r="AE102" s="51"/>
      <c r="AF102" s="82"/>
      <c r="AG102" s="51"/>
      <c r="AH102" s="51"/>
      <c r="AI102" s="51"/>
      <c r="AJ102" s="51"/>
      <c r="AK102" s="51"/>
      <c r="AL102" s="51"/>
      <c r="AM102" s="51"/>
      <c r="AN102" s="51"/>
      <c r="AO102" s="51"/>
      <c r="AP102" s="51"/>
      <c r="AQ102" s="51"/>
      <c r="AR102" s="51"/>
      <c r="AS102" s="51"/>
      <c r="AT102" s="51"/>
      <c r="AU102" s="51"/>
      <c r="AV102" s="82"/>
      <c r="AW102" s="51"/>
      <c r="AX102" s="51"/>
      <c r="AY102" s="51"/>
      <c r="AZ102" s="51"/>
      <c r="BA102" s="51"/>
      <c r="BB102" s="51"/>
      <c r="BC102" s="51"/>
      <c r="BD102" s="51"/>
      <c r="BE102" s="51"/>
      <c r="BF102" s="51"/>
      <c r="BG102" s="51"/>
      <c r="BH102" s="51"/>
      <c r="BI102" s="51"/>
      <c r="BJ102" s="51"/>
      <c r="BK102" s="51"/>
      <c r="BL102" s="82"/>
      <c r="BM102" s="51"/>
      <c r="BN102" s="51"/>
      <c r="BO102" s="51"/>
      <c r="BP102" s="51"/>
      <c r="BQ102" s="51"/>
      <c r="BR102" s="51"/>
      <c r="BS102" s="51"/>
      <c r="BT102" s="51"/>
      <c r="BU102" s="51"/>
      <c r="BV102" s="51"/>
      <c r="BW102" s="51"/>
      <c r="BX102" s="51"/>
      <c r="BY102" s="51"/>
      <c r="BZ102" s="51"/>
      <c r="CA102" s="51"/>
      <c r="CB102" s="51"/>
      <c r="CC102" s="361"/>
      <c r="CD102" s="70"/>
      <c r="CE102" s="70"/>
      <c r="CF102" s="70"/>
      <c r="CG102" s="70"/>
      <c r="CH102" s="70"/>
      <c r="CI102" s="70"/>
      <c r="CJ102" s="70"/>
      <c r="CK102" s="70"/>
      <c r="CL102" s="70"/>
      <c r="CM102" s="70"/>
      <c r="CN102" s="70"/>
      <c r="CO102" s="70"/>
      <c r="CP102" s="70"/>
      <c r="CQ102" s="70"/>
      <c r="CR102" s="362"/>
      <c r="CS102" s="70"/>
      <c r="CT102" s="70"/>
      <c r="CU102" s="70"/>
      <c r="CV102" s="70"/>
      <c r="CW102" s="70"/>
      <c r="CX102" s="70"/>
      <c r="CY102" s="70"/>
      <c r="CZ102" s="70"/>
      <c r="DA102" s="70"/>
      <c r="DB102" s="70"/>
      <c r="DC102" s="70"/>
      <c r="DD102" s="70"/>
      <c r="DE102" s="70"/>
      <c r="DF102" s="70"/>
      <c r="DG102" s="70"/>
      <c r="DH102" s="362"/>
      <c r="DI102" s="70"/>
      <c r="DJ102" s="70"/>
      <c r="DK102" s="70"/>
      <c r="DL102" s="70"/>
      <c r="DM102" s="70"/>
      <c r="DN102" s="70"/>
      <c r="DO102" s="70"/>
      <c r="DP102" s="70"/>
      <c r="DQ102" s="70"/>
      <c r="DR102" s="70"/>
      <c r="DS102" s="70"/>
      <c r="DT102" s="70"/>
      <c r="DU102" s="70"/>
      <c r="DV102" s="70"/>
      <c r="DW102" s="70"/>
      <c r="DX102" s="362"/>
      <c r="DY102" s="93"/>
      <c r="DZ102" s="93"/>
    </row>
    <row r="103" spans="1:130">
      <c r="A103" s="114"/>
      <c r="B103" s="92"/>
      <c r="C103" s="92"/>
      <c r="D103" s="92"/>
      <c r="E103" s="92"/>
      <c r="F103" s="92"/>
      <c r="G103" s="92"/>
      <c r="H103" s="92"/>
      <c r="I103" s="92"/>
      <c r="J103" s="92"/>
      <c r="K103" s="51"/>
      <c r="L103" s="92"/>
      <c r="M103" s="92"/>
      <c r="N103" s="92"/>
      <c r="O103" s="92"/>
      <c r="P103" s="113"/>
      <c r="Q103" s="51"/>
      <c r="R103" s="92"/>
      <c r="S103" s="92"/>
      <c r="T103" s="92"/>
      <c r="U103" s="92"/>
      <c r="V103" s="92"/>
      <c r="W103" s="92"/>
      <c r="X103" s="92"/>
      <c r="Y103" s="92"/>
      <c r="Z103" s="92"/>
      <c r="AA103" s="51"/>
      <c r="AB103" s="92"/>
      <c r="AC103" s="92"/>
      <c r="AD103" s="92"/>
      <c r="AE103" s="92"/>
      <c r="AF103" s="113"/>
      <c r="AG103" s="51"/>
      <c r="AH103" s="92"/>
      <c r="AI103" s="92"/>
      <c r="AJ103" s="92"/>
      <c r="AK103" s="92"/>
      <c r="AL103" s="92"/>
      <c r="AM103" s="92"/>
      <c r="AN103" s="92"/>
      <c r="AO103" s="92"/>
      <c r="AP103" s="92"/>
      <c r="AQ103" s="51"/>
      <c r="AR103" s="92"/>
      <c r="AS103" s="92"/>
      <c r="AT103" s="92"/>
      <c r="AU103" s="92"/>
      <c r="AV103" s="113"/>
      <c r="AW103" s="51"/>
      <c r="AX103" s="92"/>
      <c r="AY103" s="92"/>
      <c r="AZ103" s="92"/>
      <c r="BA103" s="92"/>
      <c r="BB103" s="92"/>
      <c r="BC103" s="92"/>
      <c r="BD103" s="92"/>
      <c r="BE103" s="92"/>
      <c r="BF103" s="92"/>
      <c r="BG103" s="51"/>
      <c r="BH103" s="92"/>
      <c r="BI103" s="92"/>
      <c r="BJ103" s="92"/>
      <c r="BK103" s="92"/>
      <c r="BL103" s="113"/>
      <c r="BM103" s="51"/>
      <c r="BN103" s="92"/>
      <c r="BO103" s="92"/>
      <c r="BP103" s="92"/>
      <c r="BQ103" s="92"/>
      <c r="BR103" s="92"/>
      <c r="BS103" s="92"/>
      <c r="BT103" s="92"/>
      <c r="BU103" s="92"/>
      <c r="BV103" s="92"/>
      <c r="BW103" s="51"/>
      <c r="BX103" s="92"/>
      <c r="BY103" s="92"/>
      <c r="BZ103" s="92"/>
      <c r="CA103" s="92"/>
      <c r="CB103" s="92"/>
      <c r="CC103" s="363"/>
      <c r="CD103" s="117"/>
      <c r="CE103" s="117"/>
      <c r="CF103" s="117"/>
      <c r="CG103" s="117"/>
      <c r="CH103" s="70"/>
      <c r="CI103" s="117"/>
      <c r="CJ103" s="117"/>
      <c r="CK103" s="117"/>
      <c r="CL103" s="117"/>
      <c r="CM103" s="117"/>
      <c r="CN103" s="117"/>
      <c r="CO103" s="117"/>
      <c r="CP103" s="117"/>
      <c r="CQ103" s="117"/>
      <c r="CR103" s="362"/>
      <c r="CS103" s="117"/>
      <c r="CT103" s="117"/>
      <c r="CU103" s="117"/>
      <c r="CV103" s="117"/>
      <c r="CW103" s="117"/>
      <c r="CX103" s="70"/>
      <c r="CY103" s="117"/>
      <c r="CZ103" s="117"/>
      <c r="DA103" s="117"/>
      <c r="DB103" s="117"/>
      <c r="DC103" s="117"/>
      <c r="DD103" s="117"/>
      <c r="DE103" s="117"/>
      <c r="DF103" s="117"/>
      <c r="DG103" s="117"/>
      <c r="DH103" s="362"/>
      <c r="DI103" s="117"/>
      <c r="DJ103" s="117"/>
      <c r="DK103" s="117"/>
      <c r="DL103" s="117"/>
      <c r="DM103" s="117"/>
      <c r="DN103" s="70"/>
      <c r="DO103" s="117"/>
      <c r="DP103" s="117"/>
      <c r="DQ103" s="117"/>
      <c r="DR103" s="117"/>
      <c r="DS103" s="117"/>
      <c r="DT103" s="117"/>
      <c r="DU103" s="117"/>
      <c r="DV103" s="117"/>
      <c r="DW103" s="117"/>
      <c r="DX103" s="362"/>
      <c r="DY103" s="93"/>
      <c r="DZ103" s="93"/>
    </row>
    <row r="104" spans="1:130">
      <c r="A104" s="114"/>
      <c r="B104" s="92"/>
      <c r="C104" s="92"/>
      <c r="D104" s="92"/>
      <c r="E104" s="92"/>
      <c r="F104" s="51"/>
      <c r="G104" s="92"/>
      <c r="H104" s="92"/>
      <c r="I104" s="92"/>
      <c r="J104" s="92"/>
      <c r="K104" s="51"/>
      <c r="L104" s="92"/>
      <c r="M104" s="92"/>
      <c r="N104" s="92"/>
      <c r="O104" s="92"/>
      <c r="P104" s="113"/>
      <c r="Q104" s="51"/>
      <c r="R104" s="92"/>
      <c r="S104" s="92"/>
      <c r="T104" s="92"/>
      <c r="U104" s="92"/>
      <c r="V104" s="51"/>
      <c r="W104" s="92"/>
      <c r="X104" s="92"/>
      <c r="Y104" s="92"/>
      <c r="Z104" s="92"/>
      <c r="AA104" s="51"/>
      <c r="AB104" s="92"/>
      <c r="AC104" s="92"/>
      <c r="AD104" s="92"/>
      <c r="AE104" s="92"/>
      <c r="AF104" s="113"/>
      <c r="AG104" s="51"/>
      <c r="AH104" s="92"/>
      <c r="AI104" s="92"/>
      <c r="AJ104" s="92"/>
      <c r="AK104" s="92"/>
      <c r="AL104" s="51"/>
      <c r="AM104" s="92"/>
      <c r="AN104" s="92"/>
      <c r="AO104" s="92"/>
      <c r="AP104" s="92"/>
      <c r="AQ104" s="51"/>
      <c r="AR104" s="92"/>
      <c r="AS104" s="92"/>
      <c r="AT104" s="92"/>
      <c r="AU104" s="92"/>
      <c r="AV104" s="113"/>
      <c r="AW104" s="51"/>
      <c r="AX104" s="92"/>
      <c r="AY104" s="92"/>
      <c r="AZ104" s="92"/>
      <c r="BA104" s="92"/>
      <c r="BB104" s="51"/>
      <c r="BC104" s="92"/>
      <c r="BD104" s="92"/>
      <c r="BE104" s="92"/>
      <c r="BF104" s="92"/>
      <c r="BG104" s="51"/>
      <c r="BH104" s="92"/>
      <c r="BI104" s="92"/>
      <c r="BJ104" s="92"/>
      <c r="BK104" s="92"/>
      <c r="BL104" s="113"/>
      <c r="BM104" s="51"/>
      <c r="BN104" s="92"/>
      <c r="BO104" s="92"/>
      <c r="BP104" s="92"/>
      <c r="BQ104" s="92"/>
      <c r="BR104" s="51"/>
      <c r="BS104" s="92"/>
      <c r="BT104" s="92"/>
      <c r="BU104" s="92"/>
      <c r="BV104" s="92"/>
      <c r="BW104" s="51"/>
      <c r="BX104" s="92"/>
      <c r="BY104" s="92"/>
      <c r="BZ104" s="92"/>
      <c r="CA104" s="92"/>
      <c r="CB104" s="92"/>
      <c r="CC104" s="363"/>
      <c r="CD104" s="117"/>
      <c r="CE104" s="117"/>
      <c r="CF104" s="117"/>
      <c r="CG104" s="117"/>
      <c r="CH104" s="70"/>
      <c r="CI104" s="117"/>
      <c r="CJ104" s="117"/>
      <c r="CK104" s="117"/>
      <c r="CL104" s="117"/>
      <c r="CM104" s="70"/>
      <c r="CN104" s="117"/>
      <c r="CO104" s="117"/>
      <c r="CP104" s="117"/>
      <c r="CQ104" s="117"/>
      <c r="CR104" s="362"/>
      <c r="CS104" s="117"/>
      <c r="CT104" s="117"/>
      <c r="CU104" s="117"/>
      <c r="CV104" s="117"/>
      <c r="CW104" s="117"/>
      <c r="CX104" s="70"/>
      <c r="CY104" s="117"/>
      <c r="CZ104" s="117"/>
      <c r="DA104" s="117"/>
      <c r="DB104" s="117"/>
      <c r="DC104" s="70"/>
      <c r="DD104" s="117"/>
      <c r="DE104" s="117"/>
      <c r="DF104" s="117"/>
      <c r="DG104" s="117"/>
      <c r="DH104" s="362"/>
      <c r="DI104" s="117"/>
      <c r="DJ104" s="117"/>
      <c r="DK104" s="117"/>
      <c r="DL104" s="117"/>
      <c r="DM104" s="117"/>
      <c r="DN104" s="70"/>
      <c r="DO104" s="117"/>
      <c r="DP104" s="117"/>
      <c r="DQ104" s="117"/>
      <c r="DR104" s="117"/>
      <c r="DS104" s="70"/>
      <c r="DT104" s="117"/>
      <c r="DU104" s="117"/>
      <c r="DV104" s="117"/>
      <c r="DW104" s="117"/>
      <c r="DX104" s="362"/>
      <c r="DY104" s="93"/>
      <c r="DZ104" s="93"/>
    </row>
    <row r="105" spans="1:130">
      <c r="A105" s="114"/>
      <c r="B105" s="92"/>
      <c r="C105" s="92"/>
      <c r="D105" s="92"/>
      <c r="E105" s="92"/>
      <c r="F105" s="92"/>
      <c r="G105" s="92"/>
      <c r="H105" s="92"/>
      <c r="I105" s="92"/>
      <c r="J105" s="92"/>
      <c r="K105" s="51"/>
      <c r="L105" s="92"/>
      <c r="M105" s="92"/>
      <c r="N105" s="92"/>
      <c r="O105" s="92"/>
      <c r="P105" s="113"/>
      <c r="Q105" s="51"/>
      <c r="R105" s="92"/>
      <c r="S105" s="92"/>
      <c r="T105" s="92"/>
      <c r="U105" s="92"/>
      <c r="V105" s="92"/>
      <c r="W105" s="92"/>
      <c r="X105" s="92"/>
      <c r="Y105" s="92"/>
      <c r="Z105" s="92"/>
      <c r="AA105" s="51"/>
      <c r="AB105" s="92"/>
      <c r="AC105" s="92"/>
      <c r="AD105" s="92"/>
      <c r="AE105" s="92"/>
      <c r="AF105" s="113"/>
      <c r="AG105" s="51"/>
      <c r="AH105" s="92"/>
      <c r="AI105" s="92"/>
      <c r="AJ105" s="92"/>
      <c r="AK105" s="92"/>
      <c r="AL105" s="92"/>
      <c r="AM105" s="92"/>
      <c r="AN105" s="92"/>
      <c r="AO105" s="92"/>
      <c r="AP105" s="92"/>
      <c r="AQ105" s="51"/>
      <c r="AR105" s="92"/>
      <c r="AS105" s="92"/>
      <c r="AT105" s="92"/>
      <c r="AU105" s="92"/>
      <c r="AV105" s="113"/>
      <c r="AW105" s="51"/>
      <c r="AX105" s="92"/>
      <c r="AY105" s="92"/>
      <c r="AZ105" s="92"/>
      <c r="BA105" s="92"/>
      <c r="BB105" s="92"/>
      <c r="BC105" s="92"/>
      <c r="BD105" s="92"/>
      <c r="BE105" s="92"/>
      <c r="BF105" s="92"/>
      <c r="BG105" s="51"/>
      <c r="BH105" s="92"/>
      <c r="BI105" s="92"/>
      <c r="BJ105" s="92"/>
      <c r="BK105" s="92"/>
      <c r="BL105" s="113"/>
      <c r="BM105" s="51"/>
      <c r="BN105" s="92"/>
      <c r="BO105" s="92"/>
      <c r="BP105" s="92"/>
      <c r="BQ105" s="92"/>
      <c r="BR105" s="92"/>
      <c r="BS105" s="92"/>
      <c r="BT105" s="92"/>
      <c r="BU105" s="92"/>
      <c r="BV105" s="92"/>
      <c r="BW105" s="51"/>
      <c r="BX105" s="92"/>
      <c r="BY105" s="92"/>
      <c r="BZ105" s="92"/>
      <c r="CA105" s="92"/>
      <c r="CB105" s="92"/>
      <c r="CC105" s="363"/>
      <c r="CD105" s="117"/>
      <c r="CE105" s="117"/>
      <c r="CF105" s="117"/>
      <c r="CG105" s="117"/>
      <c r="CH105" s="70"/>
      <c r="CI105" s="117"/>
      <c r="CJ105" s="117"/>
      <c r="CK105" s="117"/>
      <c r="CL105" s="117"/>
      <c r="CM105" s="117"/>
      <c r="CN105" s="117"/>
      <c r="CO105" s="117"/>
      <c r="CP105" s="117"/>
      <c r="CQ105" s="117"/>
      <c r="CR105" s="362"/>
      <c r="CS105" s="117"/>
      <c r="CT105" s="117"/>
      <c r="CU105" s="117"/>
      <c r="CV105" s="117"/>
      <c r="CW105" s="117"/>
      <c r="CX105" s="70"/>
      <c r="CY105" s="117"/>
      <c r="CZ105" s="117"/>
      <c r="DA105" s="117"/>
      <c r="DB105" s="117"/>
      <c r="DC105" s="117"/>
      <c r="DD105" s="117"/>
      <c r="DE105" s="117"/>
      <c r="DF105" s="117"/>
      <c r="DG105" s="117"/>
      <c r="DH105" s="362"/>
      <c r="DI105" s="117"/>
      <c r="DJ105" s="117"/>
      <c r="DK105" s="117"/>
      <c r="DL105" s="117"/>
      <c r="DM105" s="117"/>
      <c r="DN105" s="70"/>
      <c r="DO105" s="117"/>
      <c r="DP105" s="117"/>
      <c r="DQ105" s="117"/>
      <c r="DR105" s="117"/>
      <c r="DS105" s="117"/>
      <c r="DT105" s="117"/>
      <c r="DU105" s="117"/>
      <c r="DV105" s="117"/>
      <c r="DW105" s="117"/>
      <c r="DX105" s="362"/>
      <c r="DY105" s="93"/>
      <c r="DZ105" s="93"/>
    </row>
    <row r="106" spans="1:130">
      <c r="A106" s="114"/>
      <c r="B106" s="51"/>
      <c r="C106" s="51"/>
      <c r="D106" s="51"/>
      <c r="E106" s="51"/>
      <c r="F106" s="51"/>
      <c r="G106" s="11"/>
      <c r="H106" s="11"/>
      <c r="I106" s="11"/>
      <c r="J106" s="51"/>
      <c r="K106" s="51"/>
      <c r="L106" s="51"/>
      <c r="M106" s="51"/>
      <c r="N106" s="51"/>
      <c r="O106" s="51"/>
      <c r="P106" s="82"/>
      <c r="Q106" s="51"/>
      <c r="R106" s="51"/>
      <c r="S106" s="51"/>
      <c r="T106" s="51"/>
      <c r="U106" s="51"/>
      <c r="V106" s="51"/>
      <c r="W106" s="10"/>
      <c r="X106" s="11"/>
      <c r="Y106" s="11"/>
      <c r="Z106" s="51"/>
      <c r="AA106" s="51"/>
      <c r="AB106" s="51"/>
      <c r="AC106" s="51"/>
      <c r="AD106" s="51"/>
      <c r="AE106" s="51"/>
      <c r="AF106" s="82"/>
      <c r="AG106" s="51"/>
      <c r="AH106" s="51"/>
      <c r="AI106" s="51"/>
      <c r="AJ106" s="51"/>
      <c r="AK106" s="51"/>
      <c r="AL106" s="51"/>
      <c r="AM106" s="51"/>
      <c r="AN106" s="51"/>
      <c r="AO106" s="11"/>
      <c r="AP106" s="11"/>
      <c r="AQ106" s="11"/>
      <c r="AR106" s="51"/>
      <c r="AS106" s="51"/>
      <c r="AT106" s="51"/>
      <c r="AU106" s="51"/>
      <c r="AV106" s="82"/>
      <c r="AW106" s="51"/>
      <c r="AX106" s="51"/>
      <c r="AY106" s="51"/>
      <c r="AZ106" s="51"/>
      <c r="BA106" s="51"/>
      <c r="BB106" s="51"/>
      <c r="BC106" s="10"/>
      <c r="BD106" s="11"/>
      <c r="BE106" s="11"/>
      <c r="BF106" s="51"/>
      <c r="BG106" s="51"/>
      <c r="BH106" s="51"/>
      <c r="BI106" s="51"/>
      <c r="BJ106" s="51"/>
      <c r="BK106" s="51"/>
      <c r="BL106" s="82"/>
      <c r="BM106" s="51"/>
      <c r="BN106" s="51"/>
      <c r="BO106" s="51"/>
      <c r="BP106" s="51"/>
      <c r="BQ106" s="51"/>
      <c r="BR106" s="51"/>
      <c r="BS106" s="11"/>
      <c r="BT106" s="11"/>
      <c r="BU106" s="11"/>
      <c r="BV106" s="51"/>
      <c r="BW106" s="51"/>
      <c r="BX106" s="51"/>
      <c r="BY106" s="51"/>
      <c r="BZ106" s="51"/>
      <c r="CA106" s="51"/>
      <c r="CB106" s="51"/>
      <c r="CC106" s="361"/>
      <c r="CD106" s="70"/>
      <c r="CE106" s="70"/>
      <c r="CF106" s="70"/>
      <c r="CG106" s="70"/>
      <c r="CH106" s="70"/>
      <c r="CI106" s="70"/>
      <c r="CJ106" s="124"/>
      <c r="CK106" s="124"/>
      <c r="CL106" s="166"/>
      <c r="CM106" s="70"/>
      <c r="CN106" s="70"/>
      <c r="CO106" s="70"/>
      <c r="CP106" s="70"/>
      <c r="CQ106" s="70"/>
      <c r="CR106" s="362"/>
      <c r="CS106" s="70"/>
      <c r="CT106" s="70"/>
      <c r="CU106" s="70"/>
      <c r="CV106" s="70"/>
      <c r="CW106" s="70"/>
      <c r="CX106" s="124"/>
      <c r="CY106" s="124"/>
      <c r="CZ106" s="124"/>
      <c r="DA106" s="70"/>
      <c r="DB106" s="70"/>
      <c r="DC106" s="70"/>
      <c r="DD106" s="70"/>
      <c r="DE106" s="70"/>
      <c r="DF106" s="70"/>
      <c r="DG106" s="70"/>
      <c r="DH106" s="362"/>
      <c r="DI106" s="70"/>
      <c r="DJ106" s="70"/>
      <c r="DK106" s="70"/>
      <c r="DL106" s="70"/>
      <c r="DM106" s="70"/>
      <c r="DN106" s="70"/>
      <c r="DO106" s="70"/>
      <c r="DP106" s="124"/>
      <c r="DQ106" s="124"/>
      <c r="DR106" s="166"/>
      <c r="DS106" s="70"/>
      <c r="DT106" s="70"/>
      <c r="DU106" s="70"/>
      <c r="DV106" s="70"/>
      <c r="DW106" s="70"/>
      <c r="DX106" s="362"/>
      <c r="DY106" s="93"/>
      <c r="DZ106" s="93"/>
    </row>
    <row r="107" spans="1:130">
      <c r="A107" s="114"/>
      <c r="B107" s="92"/>
      <c r="C107" s="92"/>
      <c r="D107" s="92"/>
      <c r="E107" s="92"/>
      <c r="F107" s="53"/>
      <c r="G107" s="35"/>
      <c r="H107" s="64"/>
      <c r="I107" s="54"/>
      <c r="J107" s="55"/>
      <c r="K107" s="92"/>
      <c r="L107" s="92"/>
      <c r="M107" s="92"/>
      <c r="N107" s="92"/>
      <c r="O107" s="51"/>
      <c r="P107" s="113"/>
      <c r="Q107" s="51"/>
      <c r="R107" s="92"/>
      <c r="S107" s="92"/>
      <c r="T107" s="92"/>
      <c r="U107" s="92"/>
      <c r="V107" s="53"/>
      <c r="W107" s="35"/>
      <c r="X107" s="64"/>
      <c r="Y107" s="54"/>
      <c r="Z107" s="55"/>
      <c r="AA107" s="92"/>
      <c r="AB107" s="92"/>
      <c r="AC107" s="92"/>
      <c r="AD107" s="92"/>
      <c r="AE107" s="51"/>
      <c r="AF107" s="113"/>
      <c r="AG107" s="51"/>
      <c r="AH107" s="51"/>
      <c r="AI107" s="51"/>
      <c r="AJ107" s="92"/>
      <c r="AK107" s="92"/>
      <c r="AL107" s="92"/>
      <c r="AM107" s="92"/>
      <c r="AN107" s="53"/>
      <c r="AO107" s="35"/>
      <c r="AP107" s="64"/>
      <c r="AQ107" s="54"/>
      <c r="AR107" s="11"/>
      <c r="AS107" s="11"/>
      <c r="AT107" s="92"/>
      <c r="AU107" s="92"/>
      <c r="AV107" s="113"/>
      <c r="AW107" s="51"/>
      <c r="AX107" s="92"/>
      <c r="AY107" s="92"/>
      <c r="AZ107" s="92"/>
      <c r="BA107" s="92"/>
      <c r="BB107" s="53"/>
      <c r="BC107" s="35"/>
      <c r="BD107" s="64"/>
      <c r="BE107" s="11"/>
      <c r="BF107" s="11"/>
      <c r="BG107" s="92"/>
      <c r="BH107" s="92"/>
      <c r="BI107" s="92"/>
      <c r="BJ107" s="92"/>
      <c r="BK107" s="51"/>
      <c r="BL107" s="113"/>
      <c r="BM107" s="51"/>
      <c r="BN107" s="92"/>
      <c r="BO107" s="92"/>
      <c r="BP107" s="92"/>
      <c r="BQ107" s="92"/>
      <c r="BR107" s="53"/>
      <c r="BS107" s="35"/>
      <c r="BT107" s="16"/>
      <c r="BU107" s="54"/>
      <c r="BV107" s="55"/>
      <c r="BW107" s="92"/>
      <c r="BX107" s="92"/>
      <c r="BY107" s="92"/>
      <c r="BZ107" s="92"/>
      <c r="CA107" s="51"/>
      <c r="CB107" s="92"/>
      <c r="CC107" s="363"/>
      <c r="CD107" s="70"/>
      <c r="CE107" s="117"/>
      <c r="CF107" s="117"/>
      <c r="CG107" s="117"/>
      <c r="CH107" s="117"/>
      <c r="CI107" s="124"/>
      <c r="CJ107" s="124"/>
      <c r="CK107" s="122"/>
      <c r="CL107" s="138"/>
      <c r="CM107" s="140"/>
      <c r="CN107" s="117"/>
      <c r="CO107" s="117"/>
      <c r="CP107" s="117"/>
      <c r="CQ107" s="117"/>
      <c r="CR107" s="362"/>
      <c r="CS107" s="117"/>
      <c r="CT107" s="117"/>
      <c r="CU107" s="117"/>
      <c r="CV107" s="124"/>
      <c r="CW107" s="124"/>
      <c r="CX107" s="120"/>
      <c r="CY107" s="122"/>
      <c r="CZ107" s="138"/>
      <c r="DA107" s="140"/>
      <c r="DB107" s="117"/>
      <c r="DC107" s="117"/>
      <c r="DD107" s="117"/>
      <c r="DE107" s="117"/>
      <c r="DF107" s="70"/>
      <c r="DG107" s="70"/>
      <c r="DH107" s="362"/>
      <c r="DI107" s="117"/>
      <c r="DJ107" s="70"/>
      <c r="DK107" s="117"/>
      <c r="DL107" s="117"/>
      <c r="DM107" s="117"/>
      <c r="DN107" s="117"/>
      <c r="DO107" s="119"/>
      <c r="DP107" s="120"/>
      <c r="DQ107" s="122"/>
      <c r="DR107" s="138"/>
      <c r="DS107" s="140"/>
      <c r="DT107" s="117"/>
      <c r="DU107" s="117"/>
      <c r="DV107" s="117"/>
      <c r="DW107" s="117"/>
      <c r="DX107" s="362"/>
      <c r="DY107" s="93"/>
      <c r="DZ107" s="93"/>
    </row>
    <row r="108" spans="1:130">
      <c r="A108" s="114"/>
      <c r="B108" s="92"/>
      <c r="C108" s="92"/>
      <c r="D108" s="92"/>
      <c r="E108" s="55"/>
      <c r="F108" s="10" t="s">
        <v>874</v>
      </c>
      <c r="G108" s="316"/>
      <c r="H108" s="64"/>
      <c r="I108" s="19"/>
      <c r="J108" s="10"/>
      <c r="K108" s="55"/>
      <c r="L108" s="92"/>
      <c r="M108" s="92"/>
      <c r="N108" s="92"/>
      <c r="O108" s="51"/>
      <c r="P108" s="113"/>
      <c r="Q108" s="51"/>
      <c r="R108" s="92"/>
      <c r="S108" s="92"/>
      <c r="T108" s="92"/>
      <c r="U108" s="19"/>
      <c r="V108" s="64"/>
      <c r="W108" s="19"/>
      <c r="X108" s="39"/>
      <c r="Y108" s="54"/>
      <c r="Z108" s="36"/>
      <c r="AA108" s="58"/>
      <c r="AB108" s="92"/>
      <c r="AC108" s="92"/>
      <c r="AD108" s="92"/>
      <c r="AE108" s="51"/>
      <c r="AF108" s="113"/>
      <c r="AG108" s="51"/>
      <c r="AH108" s="51"/>
      <c r="AI108" s="51"/>
      <c r="AJ108" s="92"/>
      <c r="AK108" s="92"/>
      <c r="AL108" s="92"/>
      <c r="AM108" s="312"/>
      <c r="AN108" s="35"/>
      <c r="AO108" s="45"/>
      <c r="AP108" s="46"/>
      <c r="AQ108" s="44"/>
      <c r="AR108" s="49"/>
      <c r="AS108" s="54"/>
      <c r="AT108" s="55"/>
      <c r="AU108" s="92"/>
      <c r="AV108" s="113"/>
      <c r="AW108" s="51"/>
      <c r="AX108" s="92"/>
      <c r="AY108" s="92"/>
      <c r="AZ108" s="92"/>
      <c r="BA108" s="14"/>
      <c r="BB108" s="64"/>
      <c r="BC108" s="39"/>
      <c r="BD108" s="42"/>
      <c r="BE108" s="54"/>
      <c r="BF108" s="58"/>
      <c r="BG108" s="11"/>
      <c r="BH108" s="92"/>
      <c r="BI108" s="92"/>
      <c r="BJ108" s="92"/>
      <c r="BK108" s="51"/>
      <c r="BL108" s="113"/>
      <c r="BM108" s="51"/>
      <c r="BN108" s="92"/>
      <c r="BO108" s="92"/>
      <c r="BP108" s="92"/>
      <c r="BQ108" s="135"/>
      <c r="BR108" s="39"/>
      <c r="BS108" s="35"/>
      <c r="BT108" s="64"/>
      <c r="BU108" s="35"/>
      <c r="BV108" s="43"/>
      <c r="BW108" s="136"/>
      <c r="BX108" s="92"/>
      <c r="BY108" s="92"/>
      <c r="BZ108" s="92"/>
      <c r="CA108" s="51"/>
      <c r="CB108" s="92"/>
      <c r="CC108" s="363"/>
      <c r="CD108" s="70"/>
      <c r="CE108" s="117"/>
      <c r="CF108" s="117"/>
      <c r="CG108" s="117"/>
      <c r="CH108" s="124"/>
      <c r="CI108" s="164"/>
      <c r="CJ108" s="120"/>
      <c r="CK108" s="130"/>
      <c r="CL108" s="137"/>
      <c r="CM108" s="122"/>
      <c r="CN108" s="165"/>
      <c r="CO108" s="117"/>
      <c r="CP108" s="117"/>
      <c r="CQ108" s="117"/>
      <c r="CR108" s="362"/>
      <c r="CS108" s="117"/>
      <c r="CT108" s="117"/>
      <c r="CU108" s="119"/>
      <c r="CV108" s="120"/>
      <c r="CW108" s="126"/>
      <c r="CX108" s="129"/>
      <c r="CY108" s="133"/>
      <c r="CZ108" s="139"/>
      <c r="DA108" s="138"/>
      <c r="DB108" s="312"/>
      <c r="DC108" s="117"/>
      <c r="DD108" s="117"/>
      <c r="DE108" s="117"/>
      <c r="DF108" s="70"/>
      <c r="DG108" s="70"/>
      <c r="DH108" s="362"/>
      <c r="DI108" s="117"/>
      <c r="DJ108" s="70"/>
      <c r="DK108" s="117"/>
      <c r="DL108" s="117"/>
      <c r="DM108" s="117"/>
      <c r="DN108" s="164"/>
      <c r="DO108" s="134"/>
      <c r="DP108" s="120"/>
      <c r="DQ108" s="137"/>
      <c r="DR108" s="151"/>
      <c r="DS108" s="122"/>
      <c r="DT108" s="151"/>
      <c r="DU108" s="117"/>
      <c r="DV108" s="117"/>
      <c r="DW108" s="117"/>
      <c r="DX108" s="362"/>
      <c r="DY108" s="93"/>
      <c r="DZ108" s="93"/>
    </row>
    <row r="109" spans="1:130">
      <c r="A109" s="114"/>
      <c r="B109" s="92"/>
      <c r="C109" s="92"/>
      <c r="D109" s="92"/>
      <c r="E109" s="92"/>
      <c r="F109" s="64"/>
      <c r="G109" s="15"/>
      <c r="H109" s="36"/>
      <c r="I109" s="15"/>
      <c r="J109" s="54"/>
      <c r="K109" s="92"/>
      <c r="L109" s="92"/>
      <c r="M109" s="92"/>
      <c r="N109" s="92"/>
      <c r="O109" s="51"/>
      <c r="P109" s="113"/>
      <c r="Q109" s="51"/>
      <c r="R109" s="92"/>
      <c r="S109" s="92"/>
      <c r="T109" s="92"/>
      <c r="U109" s="15"/>
      <c r="V109" s="36"/>
      <c r="W109" s="204"/>
      <c r="X109" s="36"/>
      <c r="Y109" s="36"/>
      <c r="Z109" s="42"/>
      <c r="AA109" s="43"/>
      <c r="AB109" s="58"/>
      <c r="AC109" s="92"/>
      <c r="AD109" s="92"/>
      <c r="AE109" s="51"/>
      <c r="AF109" s="113"/>
      <c r="AG109" s="51"/>
      <c r="AH109" s="51"/>
      <c r="AI109" s="51"/>
      <c r="AJ109" s="92"/>
      <c r="AK109" s="92"/>
      <c r="AL109" s="92"/>
      <c r="AM109" s="204"/>
      <c r="AN109" s="64"/>
      <c r="AO109" s="36"/>
      <c r="AP109" s="36"/>
      <c r="AQ109" s="64"/>
      <c r="AR109" s="54"/>
      <c r="AS109" s="64"/>
      <c r="AT109" s="54"/>
      <c r="AU109" s="55"/>
      <c r="AV109" s="113"/>
      <c r="AW109" s="51"/>
      <c r="AX109" s="92"/>
      <c r="AY109" s="92"/>
      <c r="AZ109" s="92"/>
      <c r="BA109" s="64"/>
      <c r="BB109" s="36"/>
      <c r="BC109" s="64"/>
      <c r="BD109" s="36"/>
      <c r="BE109" s="39"/>
      <c r="BF109" s="42"/>
      <c r="BG109" s="58"/>
      <c r="BH109" s="92"/>
      <c r="BI109" s="92"/>
      <c r="BJ109" s="51"/>
      <c r="BK109" s="51"/>
      <c r="BL109" s="113"/>
      <c r="BM109" s="51"/>
      <c r="BN109" s="92"/>
      <c r="BO109" s="92"/>
      <c r="BP109" s="92"/>
      <c r="BQ109" s="92"/>
      <c r="BR109" s="64"/>
      <c r="BS109" s="36"/>
      <c r="BT109" s="16"/>
      <c r="BU109" s="64"/>
      <c r="BV109" s="54"/>
      <c r="BW109" s="92"/>
      <c r="BX109" s="92"/>
      <c r="BY109" s="92"/>
      <c r="BZ109" s="92"/>
      <c r="CA109" s="51"/>
      <c r="CB109" s="92"/>
      <c r="CC109" s="363"/>
      <c r="CD109" s="70"/>
      <c r="CE109" s="70"/>
      <c r="CF109" s="117"/>
      <c r="CG109" s="117"/>
      <c r="CH109" s="164"/>
      <c r="CI109" s="130"/>
      <c r="CJ109" s="137"/>
      <c r="CK109" s="134"/>
      <c r="CL109" s="122"/>
      <c r="CM109" s="134"/>
      <c r="CN109" s="122"/>
      <c r="CO109" s="117"/>
      <c r="CP109" s="117"/>
      <c r="CQ109" s="117"/>
      <c r="CR109" s="362"/>
      <c r="CS109" s="117"/>
      <c r="CT109" s="119"/>
      <c r="CU109" s="120"/>
      <c r="CV109" s="122"/>
      <c r="CW109" s="120"/>
      <c r="CX109" s="122"/>
      <c r="CY109" s="134"/>
      <c r="CZ109" s="134"/>
      <c r="DA109" s="122"/>
      <c r="DB109" s="204"/>
      <c r="DC109" s="117"/>
      <c r="DD109" s="117"/>
      <c r="DE109" s="117"/>
      <c r="DF109" s="70"/>
      <c r="DG109" s="70"/>
      <c r="DH109" s="362"/>
      <c r="DI109" s="117"/>
      <c r="DJ109" s="70"/>
      <c r="DK109" s="117"/>
      <c r="DL109" s="117"/>
      <c r="DM109" s="164"/>
      <c r="DN109" s="136"/>
      <c r="DO109" s="130"/>
      <c r="DP109" s="134"/>
      <c r="DQ109" s="134"/>
      <c r="DR109" s="204"/>
      <c r="DS109" s="134"/>
      <c r="DT109" s="141"/>
      <c r="DU109" s="117"/>
      <c r="DV109" s="117"/>
      <c r="DW109" s="117"/>
      <c r="DX109" s="362"/>
      <c r="DY109" s="93"/>
      <c r="DZ109" s="93"/>
    </row>
    <row r="110" spans="1:130">
      <c r="A110" s="114"/>
      <c r="B110" s="92"/>
      <c r="C110" s="92"/>
      <c r="D110" s="92"/>
      <c r="E110" s="92"/>
      <c r="F110" s="36"/>
      <c r="G110" s="54"/>
      <c r="H110" s="64"/>
      <c r="I110" s="54"/>
      <c r="J110" s="64"/>
      <c r="K110" s="92"/>
      <c r="L110" s="92"/>
      <c r="M110" s="92"/>
      <c r="N110" s="92"/>
      <c r="O110" s="51"/>
      <c r="P110" s="113"/>
      <c r="Q110" s="51"/>
      <c r="R110" s="92"/>
      <c r="S110" s="92"/>
      <c r="T110" s="92"/>
      <c r="U110" s="92"/>
      <c r="V110" s="51"/>
      <c r="W110" s="54"/>
      <c r="X110" s="55"/>
      <c r="Y110" s="54"/>
      <c r="Z110" s="36"/>
      <c r="AA110" s="56"/>
      <c r="AB110" s="54"/>
      <c r="AC110" s="51"/>
      <c r="AD110" s="92"/>
      <c r="AE110" s="51"/>
      <c r="AF110" s="113"/>
      <c r="AG110" s="51"/>
      <c r="AH110" s="51"/>
      <c r="AI110" s="51"/>
      <c r="AJ110" s="92"/>
      <c r="AK110" s="92"/>
      <c r="AL110" s="92"/>
      <c r="AM110" s="92"/>
      <c r="AN110" s="54"/>
      <c r="AO110" s="64"/>
      <c r="AP110" s="54"/>
      <c r="AQ110" s="55"/>
      <c r="AR110" s="54"/>
      <c r="AS110" s="92"/>
      <c r="AT110" s="64"/>
      <c r="AU110" s="54"/>
      <c r="AV110" s="113"/>
      <c r="AW110" s="51"/>
      <c r="AX110" s="92"/>
      <c r="AY110" s="92"/>
      <c r="AZ110" s="92"/>
      <c r="BA110" s="51"/>
      <c r="BB110" s="54"/>
      <c r="BC110" s="54"/>
      <c r="BD110" s="55"/>
      <c r="BE110" s="54"/>
      <c r="BF110" s="36"/>
      <c r="BG110" s="54"/>
      <c r="BH110" s="51"/>
      <c r="BI110" s="92"/>
      <c r="BJ110" s="51"/>
      <c r="BK110" s="51"/>
      <c r="BL110" s="113"/>
      <c r="BM110" s="51"/>
      <c r="BN110" s="92"/>
      <c r="BO110" s="92"/>
      <c r="BP110" s="92"/>
      <c r="BQ110" s="92"/>
      <c r="BR110" s="54"/>
      <c r="BS110" s="64"/>
      <c r="BT110" s="54"/>
      <c r="BU110" s="120"/>
      <c r="BV110" s="55"/>
      <c r="BW110" s="92"/>
      <c r="BX110" s="92"/>
      <c r="BY110" s="92"/>
      <c r="BZ110" s="92"/>
      <c r="CA110" s="51"/>
      <c r="CB110" s="92"/>
      <c r="CC110" s="363"/>
      <c r="CD110" s="70"/>
      <c r="CE110" s="70"/>
      <c r="CF110" s="117"/>
      <c r="CG110" s="70"/>
      <c r="CH110" s="120"/>
      <c r="CI110" s="134"/>
      <c r="CJ110" s="120"/>
      <c r="CK110" s="119"/>
      <c r="CL110" s="120"/>
      <c r="CM110" s="120"/>
      <c r="CN110" s="70"/>
      <c r="CO110" s="117"/>
      <c r="CP110" s="117"/>
      <c r="CQ110" s="117"/>
      <c r="CR110" s="362"/>
      <c r="CS110" s="117"/>
      <c r="CT110" s="120"/>
      <c r="CU110" s="122"/>
      <c r="CV110" s="117"/>
      <c r="CW110" s="120"/>
      <c r="CX110" s="119"/>
      <c r="CY110" s="120"/>
      <c r="CZ110" s="122"/>
      <c r="DA110" s="120"/>
      <c r="DB110" s="117"/>
      <c r="DC110" s="117"/>
      <c r="DD110" s="117"/>
      <c r="DE110" s="117"/>
      <c r="DF110" s="70"/>
      <c r="DG110" s="70"/>
      <c r="DH110" s="362"/>
      <c r="DI110" s="117"/>
      <c r="DJ110" s="70"/>
      <c r="DK110" s="117"/>
      <c r="DL110" s="70"/>
      <c r="DM110" s="120"/>
      <c r="DN110" s="152"/>
      <c r="DO110" s="134"/>
      <c r="DP110" s="120"/>
      <c r="DQ110" s="119"/>
      <c r="DR110" s="120"/>
      <c r="DS110" s="70"/>
      <c r="DT110" s="117"/>
      <c r="DU110" s="117"/>
      <c r="DV110" s="117"/>
      <c r="DW110" s="117"/>
      <c r="DX110" s="362"/>
      <c r="DY110" s="93"/>
      <c r="DZ110" s="93"/>
    </row>
    <row r="111" spans="1:130">
      <c r="A111" s="114"/>
      <c r="B111" s="51"/>
      <c r="C111" s="51"/>
      <c r="D111" s="51"/>
      <c r="E111" s="64"/>
      <c r="F111" s="92"/>
      <c r="G111" s="54"/>
      <c r="H111" s="55"/>
      <c r="I111" s="54"/>
      <c r="J111" s="92"/>
      <c r="K111" s="64"/>
      <c r="L111" s="51"/>
      <c r="M111" s="51"/>
      <c r="N111" s="51"/>
      <c r="O111" s="51"/>
      <c r="P111" s="82"/>
      <c r="Q111" s="51"/>
      <c r="R111" s="51"/>
      <c r="S111" s="51"/>
      <c r="T111" s="51"/>
      <c r="U111" s="51"/>
      <c r="V111" s="54"/>
      <c r="W111" s="64"/>
      <c r="X111" s="42"/>
      <c r="Y111" s="55"/>
      <c r="Z111" s="51"/>
      <c r="AA111" s="52"/>
      <c r="AB111" s="54"/>
      <c r="AC111" s="58"/>
      <c r="AD111" s="51"/>
      <c r="AE111" s="51"/>
      <c r="AF111" s="82"/>
      <c r="AG111" s="51"/>
      <c r="AH111" s="51"/>
      <c r="AI111" s="51"/>
      <c r="AJ111" s="51"/>
      <c r="AK111" s="51"/>
      <c r="AL111" s="51"/>
      <c r="AM111" s="64"/>
      <c r="AN111" s="42"/>
      <c r="AO111" s="51"/>
      <c r="AP111" s="40"/>
      <c r="AQ111" s="42"/>
      <c r="AR111" s="51"/>
      <c r="AS111" s="51"/>
      <c r="AT111" s="51"/>
      <c r="AU111" s="54"/>
      <c r="AV111" s="370"/>
      <c r="AW111" s="51"/>
      <c r="AX111" s="51"/>
      <c r="AY111" s="51"/>
      <c r="AZ111" s="51"/>
      <c r="BA111" s="54"/>
      <c r="BB111" s="64"/>
      <c r="BC111" s="64"/>
      <c r="BD111" s="42"/>
      <c r="BE111" s="55"/>
      <c r="BF111" s="54"/>
      <c r="BG111" s="54"/>
      <c r="BH111" s="58"/>
      <c r="BI111" s="51"/>
      <c r="BJ111" s="51"/>
      <c r="BK111" s="51"/>
      <c r="BL111" s="82"/>
      <c r="BM111" s="51"/>
      <c r="BN111" s="51"/>
      <c r="BO111" s="51"/>
      <c r="BP111" s="51"/>
      <c r="BQ111" s="51"/>
      <c r="BR111" s="51"/>
      <c r="BS111" s="42"/>
      <c r="BT111" s="16"/>
      <c r="BU111" s="55"/>
      <c r="BV111" s="51"/>
      <c r="BW111" s="51"/>
      <c r="BX111" s="51"/>
      <c r="BY111" s="51"/>
      <c r="BZ111" s="51"/>
      <c r="CA111" s="51"/>
      <c r="CB111" s="51"/>
      <c r="CC111" s="361"/>
      <c r="CD111" s="70"/>
      <c r="CE111" s="70"/>
      <c r="CF111" s="70"/>
      <c r="CG111" s="164"/>
      <c r="CH111" s="120"/>
      <c r="CI111" s="120"/>
      <c r="CJ111" s="119"/>
      <c r="CK111" s="130"/>
      <c r="CL111" s="122"/>
      <c r="CM111" s="122"/>
      <c r="CN111" s="120"/>
      <c r="CO111" s="70"/>
      <c r="CP111" s="70"/>
      <c r="CQ111" s="70"/>
      <c r="CR111" s="362"/>
      <c r="CS111" s="119"/>
      <c r="CT111" s="120"/>
      <c r="CU111" s="70"/>
      <c r="CV111" s="70"/>
      <c r="CW111" s="70"/>
      <c r="CX111" s="130"/>
      <c r="CY111" s="135"/>
      <c r="CZ111" s="70"/>
      <c r="DA111" s="130"/>
      <c r="DB111" s="122"/>
      <c r="DC111" s="70"/>
      <c r="DD111" s="70"/>
      <c r="DE111" s="70"/>
      <c r="DF111" s="70"/>
      <c r="DG111" s="70"/>
      <c r="DH111" s="362"/>
      <c r="DI111" s="70"/>
      <c r="DJ111" s="70"/>
      <c r="DK111" s="70"/>
      <c r="DL111" s="164"/>
      <c r="DM111" s="120"/>
      <c r="DN111" s="71"/>
      <c r="DO111" s="70"/>
      <c r="DP111" s="119"/>
      <c r="DQ111" s="130"/>
      <c r="DR111" s="122"/>
      <c r="DS111" s="120"/>
      <c r="DT111" s="70"/>
      <c r="DU111" s="70"/>
      <c r="DV111" s="70"/>
      <c r="DW111" s="70"/>
      <c r="DX111" s="362"/>
      <c r="DY111" s="93"/>
      <c r="DZ111" s="93"/>
    </row>
    <row r="112" spans="1:130">
      <c r="A112" s="114"/>
      <c r="B112" s="92"/>
      <c r="C112" s="92"/>
      <c r="D112" s="92"/>
      <c r="E112" s="92"/>
      <c r="F112" s="92"/>
      <c r="G112" s="55"/>
      <c r="H112" s="43"/>
      <c r="I112" s="55"/>
      <c r="J112" s="92"/>
      <c r="K112" s="92"/>
      <c r="L112" s="92"/>
      <c r="M112" s="92"/>
      <c r="N112" s="92"/>
      <c r="O112" s="92"/>
      <c r="P112" s="113"/>
      <c r="Q112" s="51"/>
      <c r="R112" s="92"/>
      <c r="S112" s="92"/>
      <c r="T112" s="92"/>
      <c r="U112" s="51"/>
      <c r="V112" s="51"/>
      <c r="W112" s="42"/>
      <c r="X112" s="43"/>
      <c r="Y112" s="49"/>
      <c r="Z112" s="92"/>
      <c r="AA112" s="40"/>
      <c r="AB112" s="92"/>
      <c r="AC112" s="92"/>
      <c r="AD112" s="92"/>
      <c r="AE112" s="92"/>
      <c r="AF112" s="113"/>
      <c r="AG112" s="51"/>
      <c r="AH112" s="51"/>
      <c r="AI112" s="51"/>
      <c r="AJ112" s="92"/>
      <c r="AK112" s="92"/>
      <c r="AL112" s="92"/>
      <c r="AM112" s="92"/>
      <c r="AN112" s="92"/>
      <c r="AO112" s="51"/>
      <c r="AP112" s="43"/>
      <c r="AQ112" s="49"/>
      <c r="AR112" s="42"/>
      <c r="AS112" s="92"/>
      <c r="AT112" s="92"/>
      <c r="AU112" s="92"/>
      <c r="AV112" s="113"/>
      <c r="AW112" s="51"/>
      <c r="AX112" s="92"/>
      <c r="AY112" s="92"/>
      <c r="AZ112" s="39"/>
      <c r="BA112" s="51"/>
      <c r="BB112" s="51"/>
      <c r="BC112" s="42"/>
      <c r="BD112" s="43"/>
      <c r="BE112" s="51"/>
      <c r="BF112" s="92"/>
      <c r="BG112" s="42"/>
      <c r="BH112" s="51"/>
      <c r="BI112" s="92"/>
      <c r="BJ112" s="92"/>
      <c r="BK112" s="92"/>
      <c r="BL112" s="113"/>
      <c r="BM112" s="51"/>
      <c r="BN112" s="92"/>
      <c r="BO112" s="42"/>
      <c r="BP112" s="92"/>
      <c r="BQ112" s="92"/>
      <c r="BR112" s="92"/>
      <c r="BS112" s="42"/>
      <c r="BT112" s="43"/>
      <c r="BU112" s="49"/>
      <c r="BV112" s="92"/>
      <c r="BW112" s="92"/>
      <c r="BX112" s="92"/>
      <c r="BY112" s="42"/>
      <c r="BZ112" s="92"/>
      <c r="CA112" s="92"/>
      <c r="CB112" s="92"/>
      <c r="CC112" s="363"/>
      <c r="CD112" s="117"/>
      <c r="CE112" s="117"/>
      <c r="CF112" s="117"/>
      <c r="CG112" s="70"/>
      <c r="CH112" s="130"/>
      <c r="CI112" s="117"/>
      <c r="CJ112" s="70"/>
      <c r="CK112" s="136"/>
      <c r="CL112" s="130"/>
      <c r="CM112" s="70"/>
      <c r="CN112" s="70"/>
      <c r="CO112" s="137"/>
      <c r="CP112" s="117"/>
      <c r="CQ112" s="117"/>
      <c r="CR112" s="362"/>
      <c r="CS112" s="117"/>
      <c r="CT112" s="117"/>
      <c r="CU112" s="117"/>
      <c r="CV112" s="117"/>
      <c r="CW112" s="130"/>
      <c r="CX112" s="126"/>
      <c r="CY112" s="136"/>
      <c r="CZ112" s="70"/>
      <c r="DA112" s="117"/>
      <c r="DB112" s="117"/>
      <c r="DC112" s="117"/>
      <c r="DD112" s="117"/>
      <c r="DE112" s="117"/>
      <c r="DF112" s="70"/>
      <c r="DG112" s="70"/>
      <c r="DH112" s="362"/>
      <c r="DI112" s="117"/>
      <c r="DJ112" s="117"/>
      <c r="DK112" s="117"/>
      <c r="DL112" s="117"/>
      <c r="DM112" s="117"/>
      <c r="DN112" s="135"/>
      <c r="DO112" s="117"/>
      <c r="DP112" s="126"/>
      <c r="DQ112" s="136"/>
      <c r="DR112" s="130"/>
      <c r="DS112" s="70"/>
      <c r="DT112" s="70"/>
      <c r="DU112" s="117"/>
      <c r="DV112" s="117"/>
      <c r="DW112" s="117"/>
      <c r="DX112" s="362"/>
      <c r="DY112" s="93"/>
      <c r="DZ112" s="93"/>
    </row>
    <row r="113" spans="1:130">
      <c r="A113" s="114"/>
      <c r="B113" s="92"/>
      <c r="C113" s="92"/>
      <c r="D113" s="51"/>
      <c r="E113" s="305"/>
      <c r="F113" s="32"/>
      <c r="G113" s="32"/>
      <c r="H113" s="30"/>
      <c r="I113" s="32"/>
      <c r="J113" s="32"/>
      <c r="K113" s="305"/>
      <c r="L113" s="51"/>
      <c r="M113" s="92"/>
      <c r="N113" s="92"/>
      <c r="O113" s="92"/>
      <c r="P113" s="113"/>
      <c r="Q113" s="51"/>
      <c r="R113" s="92"/>
      <c r="S113" s="92"/>
      <c r="T113" s="92"/>
      <c r="U113" s="51"/>
      <c r="V113" s="305"/>
      <c r="W113" s="32"/>
      <c r="X113" s="30"/>
      <c r="Y113" s="305"/>
      <c r="Z113" s="42"/>
      <c r="AA113" s="42"/>
      <c r="AB113" s="92"/>
      <c r="AC113" s="92"/>
      <c r="AD113" s="92"/>
      <c r="AE113" s="92"/>
      <c r="AF113" s="113"/>
      <c r="AG113" s="51"/>
      <c r="AH113" s="51"/>
      <c r="AI113" s="51"/>
      <c r="AJ113" s="92"/>
      <c r="AK113" s="92"/>
      <c r="AL113" s="51"/>
      <c r="AM113" s="51"/>
      <c r="AN113" s="92"/>
      <c r="AO113" s="92"/>
      <c r="AP113" s="65"/>
      <c r="AQ113" s="40"/>
      <c r="AR113" s="66"/>
      <c r="AS113" s="65"/>
      <c r="AT113" s="51"/>
      <c r="AU113" s="92"/>
      <c r="AV113" s="113"/>
      <c r="AW113" s="51"/>
      <c r="AX113" s="92"/>
      <c r="AY113" s="92"/>
      <c r="AZ113" s="92"/>
      <c r="BA113" s="43"/>
      <c r="BB113" s="32"/>
      <c r="BC113" s="32"/>
      <c r="BD113" s="30"/>
      <c r="BE113" s="32"/>
      <c r="BF113" s="30"/>
      <c r="BG113" s="49"/>
      <c r="BH113" s="92"/>
      <c r="BI113" s="92"/>
      <c r="BJ113" s="92"/>
      <c r="BK113" s="92"/>
      <c r="BL113" s="113"/>
      <c r="BM113" s="51"/>
      <c r="BN113" s="92"/>
      <c r="BO113" s="92"/>
      <c r="BP113" s="49"/>
      <c r="BQ113" s="65"/>
      <c r="BR113" s="32"/>
      <c r="BS113" s="32"/>
      <c r="BT113" s="30"/>
      <c r="BU113" s="32"/>
      <c r="BV113" s="66"/>
      <c r="BW113" s="65"/>
      <c r="BX113" s="49"/>
      <c r="BY113" s="92"/>
      <c r="BZ113" s="92"/>
      <c r="CA113" s="92"/>
      <c r="CB113" s="92"/>
      <c r="CC113" s="363"/>
      <c r="CD113" s="117"/>
      <c r="CE113" s="117"/>
      <c r="CF113" s="117"/>
      <c r="CG113" s="117"/>
      <c r="CH113" s="126"/>
      <c r="CI113" s="123"/>
      <c r="CJ113" s="125"/>
      <c r="CK113" s="123"/>
      <c r="CL113" s="125"/>
      <c r="CM113" s="125"/>
      <c r="CN113" s="136"/>
      <c r="CO113" s="117"/>
      <c r="CP113" s="117"/>
      <c r="CQ113" s="117"/>
      <c r="CR113" s="362"/>
      <c r="CS113" s="117"/>
      <c r="CT113" s="117"/>
      <c r="CU113" s="70"/>
      <c r="CV113" s="118"/>
      <c r="CW113" s="127"/>
      <c r="CX113" s="135"/>
      <c r="CY113" s="118"/>
      <c r="CZ113" s="117"/>
      <c r="DA113" s="117"/>
      <c r="DB113" s="70"/>
      <c r="DC113" s="70"/>
      <c r="DD113" s="117"/>
      <c r="DE113" s="117"/>
      <c r="DF113" s="70"/>
      <c r="DG113" s="70"/>
      <c r="DH113" s="362"/>
      <c r="DI113" s="117"/>
      <c r="DJ113" s="117"/>
      <c r="DK113" s="117"/>
      <c r="DL113" s="117"/>
      <c r="DM113" s="117"/>
      <c r="DN113" s="130"/>
      <c r="DO113" s="130"/>
      <c r="DP113" s="131"/>
      <c r="DQ113" s="123"/>
      <c r="DR113" s="125"/>
      <c r="DS113" s="123"/>
      <c r="DT113" s="70"/>
      <c r="DU113" s="117"/>
      <c r="DV113" s="117"/>
      <c r="DW113" s="117"/>
      <c r="DX113" s="362"/>
      <c r="DY113" s="93"/>
      <c r="DZ113" s="93"/>
    </row>
    <row r="114" spans="1:130">
      <c r="A114" s="114"/>
      <c r="B114" s="92"/>
      <c r="C114" s="92"/>
      <c r="D114" s="51"/>
      <c r="E114" s="310"/>
      <c r="F114" s="31"/>
      <c r="G114" s="30"/>
      <c r="H114" s="31"/>
      <c r="I114" s="31"/>
      <c r="J114" s="65"/>
      <c r="K114" s="310"/>
      <c r="L114" s="51"/>
      <c r="M114" s="92"/>
      <c r="N114" s="92"/>
      <c r="O114" s="92"/>
      <c r="P114" s="82"/>
      <c r="Q114" s="51"/>
      <c r="R114" s="92"/>
      <c r="S114" s="92"/>
      <c r="T114" s="92"/>
      <c r="U114" s="51"/>
      <c r="V114" s="310"/>
      <c r="W114" s="32"/>
      <c r="X114" s="31"/>
      <c r="Y114" s="310"/>
      <c r="Z114" s="65"/>
      <c r="AA114" s="51"/>
      <c r="AB114" s="92"/>
      <c r="AC114" s="92"/>
      <c r="AD114" s="92"/>
      <c r="AE114" s="92"/>
      <c r="AF114" s="82"/>
      <c r="AG114" s="51"/>
      <c r="AH114" s="51"/>
      <c r="AI114" s="51"/>
      <c r="AJ114" s="92"/>
      <c r="AK114" s="92"/>
      <c r="AL114" s="51"/>
      <c r="AM114" s="51"/>
      <c r="AN114" s="92"/>
      <c r="AO114" s="305"/>
      <c r="AP114" s="65"/>
      <c r="AQ114" s="42"/>
      <c r="AR114" s="65"/>
      <c r="AS114" s="51"/>
      <c r="AT114" s="51"/>
      <c r="AU114" s="92"/>
      <c r="AV114" s="82"/>
      <c r="AW114" s="51"/>
      <c r="AX114" s="92"/>
      <c r="AY114" s="92"/>
      <c r="AZ114" s="92"/>
      <c r="BA114" s="51"/>
      <c r="BB114" s="305"/>
      <c r="BC114" s="32"/>
      <c r="BD114" s="31"/>
      <c r="BE114" s="30"/>
      <c r="BF114" s="65"/>
      <c r="BG114" s="51"/>
      <c r="BH114" s="92"/>
      <c r="BI114" s="92"/>
      <c r="BJ114" s="92"/>
      <c r="BK114" s="92"/>
      <c r="BL114" s="82"/>
      <c r="BM114" s="51"/>
      <c r="BN114" s="92"/>
      <c r="BO114" s="92"/>
      <c r="BP114" s="51"/>
      <c r="BQ114" s="30"/>
      <c r="BR114" s="31"/>
      <c r="BS114" s="30"/>
      <c r="BT114" s="31"/>
      <c r="BU114" s="31"/>
      <c r="BV114" s="65"/>
      <c r="BW114" s="30"/>
      <c r="BX114" s="51"/>
      <c r="BY114" s="92"/>
      <c r="BZ114" s="92"/>
      <c r="CA114" s="92"/>
      <c r="CB114" s="51"/>
      <c r="CC114" s="361"/>
      <c r="CD114" s="117"/>
      <c r="CE114" s="117"/>
      <c r="CF114" s="117"/>
      <c r="CG114" s="117"/>
      <c r="CH114" s="70"/>
      <c r="CI114" s="118"/>
      <c r="CJ114" s="123"/>
      <c r="CK114" s="131"/>
      <c r="CL114" s="125"/>
      <c r="CM114" s="305"/>
      <c r="CN114" s="70"/>
      <c r="CO114" s="117"/>
      <c r="CP114" s="117"/>
      <c r="CQ114" s="117"/>
      <c r="CR114" s="362"/>
      <c r="CS114" s="70"/>
      <c r="CT114" s="117"/>
      <c r="CU114" s="70"/>
      <c r="CV114" s="70"/>
      <c r="CW114" s="118"/>
      <c r="CX114" s="130"/>
      <c r="CY114" s="118"/>
      <c r="CZ114" s="310"/>
      <c r="DA114" s="117"/>
      <c r="DB114" s="70"/>
      <c r="DC114" s="70"/>
      <c r="DD114" s="117"/>
      <c r="DE114" s="117"/>
      <c r="DF114" s="70"/>
      <c r="DG114" s="70"/>
      <c r="DH114" s="362"/>
      <c r="DI114" s="70"/>
      <c r="DJ114" s="117"/>
      <c r="DK114" s="117"/>
      <c r="DL114" s="117"/>
      <c r="DM114" s="117"/>
      <c r="DN114" s="70"/>
      <c r="DO114" s="118"/>
      <c r="DP114" s="118"/>
      <c r="DQ114" s="131"/>
      <c r="DR114" s="125"/>
      <c r="DS114" s="121"/>
      <c r="DT114" s="70"/>
      <c r="DU114" s="117"/>
      <c r="DV114" s="117"/>
      <c r="DW114" s="117"/>
      <c r="DX114" s="362"/>
      <c r="DY114" s="93"/>
      <c r="DZ114" s="93"/>
    </row>
    <row r="115" spans="1:130">
      <c r="A115" s="114"/>
      <c r="B115" s="92"/>
      <c r="C115" s="92"/>
      <c r="D115" s="65"/>
      <c r="E115" s="305"/>
      <c r="F115" s="92"/>
      <c r="G115" s="65"/>
      <c r="H115" s="31"/>
      <c r="I115" s="65"/>
      <c r="J115" s="92"/>
      <c r="K115" s="305"/>
      <c r="L115" s="65"/>
      <c r="M115" s="92"/>
      <c r="N115" s="92"/>
      <c r="O115" s="92"/>
      <c r="P115" s="113"/>
      <c r="Q115" s="51"/>
      <c r="R115" s="92"/>
      <c r="S115" s="92"/>
      <c r="T115" s="92"/>
      <c r="U115" s="92"/>
      <c r="V115" s="305"/>
      <c r="W115" s="30"/>
      <c r="X115" s="31"/>
      <c r="Y115" s="305"/>
      <c r="Z115" s="65"/>
      <c r="AA115" s="92"/>
      <c r="AB115" s="92"/>
      <c r="AC115" s="92"/>
      <c r="AD115" s="92"/>
      <c r="AE115" s="92"/>
      <c r="AF115" s="113"/>
      <c r="AG115" s="51"/>
      <c r="AH115" s="51"/>
      <c r="AI115" s="51"/>
      <c r="AJ115" s="92"/>
      <c r="AK115" s="92"/>
      <c r="AL115" s="92"/>
      <c r="AM115" s="51"/>
      <c r="AN115" s="92"/>
      <c r="AO115" s="305"/>
      <c r="AP115" s="65"/>
      <c r="AQ115" s="31"/>
      <c r="AR115" s="92"/>
      <c r="AS115" s="51"/>
      <c r="AT115" s="92"/>
      <c r="AU115" s="92"/>
      <c r="AV115" s="113"/>
      <c r="AW115" s="51"/>
      <c r="AX115" s="92"/>
      <c r="AY115" s="92"/>
      <c r="AZ115" s="92"/>
      <c r="BA115" s="305"/>
      <c r="BB115" s="30"/>
      <c r="BC115" s="30"/>
      <c r="BD115" s="31"/>
      <c r="BE115" s="31"/>
      <c r="BF115" s="65"/>
      <c r="BG115" s="92"/>
      <c r="BH115" s="92"/>
      <c r="BI115" s="92"/>
      <c r="BJ115" s="92"/>
      <c r="BK115" s="92"/>
      <c r="BL115" s="113"/>
      <c r="BM115" s="51"/>
      <c r="BN115" s="92"/>
      <c r="BO115" s="92"/>
      <c r="BP115" s="305"/>
      <c r="BQ115" s="31"/>
      <c r="BR115" s="92"/>
      <c r="BS115" s="31"/>
      <c r="BT115" s="31"/>
      <c r="BU115" s="31"/>
      <c r="BV115" s="92"/>
      <c r="BW115" s="31"/>
      <c r="BX115" s="305"/>
      <c r="BY115" s="92"/>
      <c r="BZ115" s="92"/>
      <c r="CA115" s="92"/>
      <c r="CB115" s="92"/>
      <c r="CC115" s="363"/>
      <c r="CD115" s="117"/>
      <c r="CE115" s="117"/>
      <c r="CF115" s="117"/>
      <c r="CG115" s="117"/>
      <c r="CH115" s="117"/>
      <c r="CI115" s="118"/>
      <c r="CJ115" s="131"/>
      <c r="CK115" s="131"/>
      <c r="CL115" s="123"/>
      <c r="CM115" s="123"/>
      <c r="CN115" s="305"/>
      <c r="CO115" s="117"/>
      <c r="CP115" s="117"/>
      <c r="CQ115" s="117"/>
      <c r="CR115" s="362"/>
      <c r="CS115" s="117"/>
      <c r="CT115" s="117"/>
      <c r="CU115" s="117"/>
      <c r="CV115" s="70"/>
      <c r="CW115" s="117"/>
      <c r="CX115" s="131"/>
      <c r="CY115" s="118"/>
      <c r="CZ115" s="305"/>
      <c r="DA115" s="117"/>
      <c r="DB115" s="70"/>
      <c r="DC115" s="117"/>
      <c r="DD115" s="117"/>
      <c r="DE115" s="117"/>
      <c r="DF115" s="70"/>
      <c r="DG115" s="70"/>
      <c r="DH115" s="362"/>
      <c r="DI115" s="117"/>
      <c r="DJ115" s="117"/>
      <c r="DK115" s="117"/>
      <c r="DL115" s="117"/>
      <c r="DM115" s="117"/>
      <c r="DN115" s="117"/>
      <c r="DO115" s="118"/>
      <c r="DP115" s="131"/>
      <c r="DQ115" s="131"/>
      <c r="DR115" s="123"/>
      <c r="DS115" s="121"/>
      <c r="DT115" s="117"/>
      <c r="DU115" s="117"/>
      <c r="DV115" s="117"/>
      <c r="DW115" s="117"/>
      <c r="DX115" s="362"/>
      <c r="DY115" s="93"/>
      <c r="DZ115" s="93"/>
    </row>
    <row r="116" spans="1:130">
      <c r="A116" s="114"/>
      <c r="B116" s="51"/>
      <c r="C116" s="51"/>
      <c r="D116" s="33"/>
      <c r="E116" s="65"/>
      <c r="F116" s="51"/>
      <c r="G116" s="65"/>
      <c r="H116" s="31"/>
      <c r="I116" s="65"/>
      <c r="J116" s="51"/>
      <c r="K116" s="65"/>
      <c r="L116" s="33"/>
      <c r="M116" s="51"/>
      <c r="N116" s="51"/>
      <c r="O116" s="51"/>
      <c r="P116" s="82"/>
      <c r="Q116" s="51"/>
      <c r="R116" s="51"/>
      <c r="S116" s="51"/>
      <c r="T116" s="51"/>
      <c r="U116" s="33"/>
      <c r="V116" s="33"/>
      <c r="W116" s="31"/>
      <c r="X116" s="65"/>
      <c r="Y116" s="31"/>
      <c r="Z116" s="305"/>
      <c r="AA116" s="33"/>
      <c r="AB116" s="51"/>
      <c r="AC116" s="51"/>
      <c r="AD116" s="51"/>
      <c r="AE116" s="51"/>
      <c r="AF116" s="82"/>
      <c r="AG116" s="51"/>
      <c r="AH116" s="51"/>
      <c r="AI116" s="51"/>
      <c r="AJ116" s="51"/>
      <c r="AK116" s="51"/>
      <c r="AL116" s="51"/>
      <c r="AM116" s="51"/>
      <c r="AN116" s="51"/>
      <c r="AO116" s="305"/>
      <c r="AP116" s="65"/>
      <c r="AQ116" s="33"/>
      <c r="AR116" s="51"/>
      <c r="AS116" s="51"/>
      <c r="AT116" s="51"/>
      <c r="AU116" s="51"/>
      <c r="AV116" s="82"/>
      <c r="AW116" s="51"/>
      <c r="AX116" s="51"/>
      <c r="AY116" s="51"/>
      <c r="AZ116" s="51"/>
      <c r="BA116" s="305"/>
      <c r="BB116" s="30"/>
      <c r="BC116" s="31"/>
      <c r="BD116" s="65"/>
      <c r="BE116" s="31"/>
      <c r="BF116" s="65"/>
      <c r="BG116" s="33"/>
      <c r="BH116" s="51"/>
      <c r="BI116" s="51"/>
      <c r="BJ116" s="51"/>
      <c r="BK116" s="51"/>
      <c r="BL116" s="82"/>
      <c r="BM116" s="51"/>
      <c r="BN116" s="51"/>
      <c r="BO116" s="51"/>
      <c r="BP116" s="33"/>
      <c r="BQ116" s="65"/>
      <c r="BR116" s="51"/>
      <c r="BS116" s="65"/>
      <c r="BT116" s="31"/>
      <c r="BU116" s="65"/>
      <c r="BV116" s="51"/>
      <c r="BW116" s="65"/>
      <c r="BX116" s="33"/>
      <c r="BY116" s="51"/>
      <c r="BZ116" s="51"/>
      <c r="CA116" s="51"/>
      <c r="CB116" s="51"/>
      <c r="CC116" s="361"/>
      <c r="CD116" s="70"/>
      <c r="CE116" s="70"/>
      <c r="CF116" s="70"/>
      <c r="CG116" s="70"/>
      <c r="CH116" s="121"/>
      <c r="CI116" s="118"/>
      <c r="CJ116" s="131"/>
      <c r="CK116" s="118"/>
      <c r="CL116" s="131"/>
      <c r="CM116" s="123"/>
      <c r="CN116" s="305"/>
      <c r="CO116" s="70"/>
      <c r="CP116" s="70"/>
      <c r="CQ116" s="70"/>
      <c r="CR116" s="362"/>
      <c r="CS116" s="70"/>
      <c r="CT116" s="70"/>
      <c r="CU116" s="70"/>
      <c r="CV116" s="70"/>
      <c r="CW116" s="70"/>
      <c r="CX116" s="121"/>
      <c r="CY116" s="118"/>
      <c r="CZ116" s="305"/>
      <c r="DA116" s="70"/>
      <c r="DB116" s="70"/>
      <c r="DC116" s="70"/>
      <c r="DD116" s="70"/>
      <c r="DE116" s="70"/>
      <c r="DF116" s="70"/>
      <c r="DG116" s="70"/>
      <c r="DH116" s="362"/>
      <c r="DI116" s="70"/>
      <c r="DJ116" s="70"/>
      <c r="DK116" s="70"/>
      <c r="DL116" s="70"/>
      <c r="DM116" s="70"/>
      <c r="DN116" s="121"/>
      <c r="DO116" s="118"/>
      <c r="DP116" s="131"/>
      <c r="DQ116" s="118"/>
      <c r="DR116" s="131"/>
      <c r="DS116" s="121"/>
      <c r="DT116" s="121"/>
      <c r="DU116" s="70"/>
      <c r="DV116" s="70"/>
      <c r="DW116" s="70"/>
      <c r="DX116" s="362"/>
      <c r="DY116" s="93"/>
      <c r="DZ116" s="93"/>
    </row>
    <row r="117" spans="1:130">
      <c r="A117" s="114"/>
      <c r="B117" s="92"/>
      <c r="C117" s="33"/>
      <c r="D117" s="65"/>
      <c r="E117" s="31"/>
      <c r="F117" s="92"/>
      <c r="G117" s="65"/>
      <c r="H117" s="31"/>
      <c r="I117" s="65"/>
      <c r="J117" s="92"/>
      <c r="K117" s="31"/>
      <c r="L117" s="65"/>
      <c r="M117" s="33"/>
      <c r="N117" s="92"/>
      <c r="O117" s="51"/>
      <c r="P117" s="113"/>
      <c r="Q117" s="51"/>
      <c r="R117" s="51"/>
      <c r="S117" s="51"/>
      <c r="T117" s="33"/>
      <c r="U117" s="65"/>
      <c r="V117" s="65"/>
      <c r="W117" s="31"/>
      <c r="X117" s="65"/>
      <c r="Y117" s="31"/>
      <c r="Z117" s="30"/>
      <c r="AA117" s="34"/>
      <c r="AB117" s="51"/>
      <c r="AC117" s="92"/>
      <c r="AD117" s="92"/>
      <c r="AE117" s="51"/>
      <c r="AF117" s="113"/>
      <c r="AG117" s="51"/>
      <c r="AH117" s="51"/>
      <c r="AI117" s="51"/>
      <c r="AJ117" s="92"/>
      <c r="AK117" s="51"/>
      <c r="AL117" s="51"/>
      <c r="AM117" s="51"/>
      <c r="AN117" s="305"/>
      <c r="AO117" s="33"/>
      <c r="AP117" s="33"/>
      <c r="AQ117" s="65"/>
      <c r="AR117" s="92"/>
      <c r="AS117" s="32"/>
      <c r="AT117" s="30"/>
      <c r="AU117" s="51"/>
      <c r="AV117" s="113"/>
      <c r="AW117" s="51"/>
      <c r="AX117" s="51"/>
      <c r="AY117" s="51"/>
      <c r="AZ117" s="305"/>
      <c r="BA117" s="30"/>
      <c r="BB117" s="65"/>
      <c r="BC117" s="31"/>
      <c r="BD117" s="65"/>
      <c r="BE117" s="31"/>
      <c r="BF117" s="31"/>
      <c r="BG117" s="65"/>
      <c r="BH117" s="51"/>
      <c r="BI117" s="92"/>
      <c r="BJ117" s="92"/>
      <c r="BK117" s="51"/>
      <c r="BL117" s="113"/>
      <c r="BM117" s="51"/>
      <c r="BN117" s="92"/>
      <c r="BO117" s="33"/>
      <c r="BP117" s="65"/>
      <c r="BQ117" s="305"/>
      <c r="BR117" s="92"/>
      <c r="BS117" s="65"/>
      <c r="BT117" s="31"/>
      <c r="BU117" s="65"/>
      <c r="BV117" s="92"/>
      <c r="BW117" s="305"/>
      <c r="BX117" s="65"/>
      <c r="BY117" s="33"/>
      <c r="BZ117" s="92"/>
      <c r="CA117" s="51"/>
      <c r="CB117" s="92"/>
      <c r="CC117" s="363"/>
      <c r="CD117" s="70"/>
      <c r="CE117" s="117"/>
      <c r="CF117" s="117"/>
      <c r="CG117" s="70"/>
      <c r="CH117" s="118"/>
      <c r="CI117" s="131"/>
      <c r="CJ117" s="131"/>
      <c r="CK117" s="118"/>
      <c r="CL117" s="131"/>
      <c r="CM117" s="118"/>
      <c r="CN117" s="123"/>
      <c r="CO117" s="305"/>
      <c r="CP117" s="70"/>
      <c r="CQ117" s="70"/>
      <c r="CR117" s="362"/>
      <c r="CS117" s="117"/>
      <c r="CT117" s="70"/>
      <c r="CU117" s="123"/>
      <c r="CV117" s="125"/>
      <c r="CW117" s="117"/>
      <c r="CX117" s="118"/>
      <c r="CY117" s="121"/>
      <c r="CZ117" s="121"/>
      <c r="DA117" s="305"/>
      <c r="DB117" s="70"/>
      <c r="DC117" s="70"/>
      <c r="DD117" s="70"/>
      <c r="DE117" s="117"/>
      <c r="DF117" s="70"/>
      <c r="DG117" s="70"/>
      <c r="DH117" s="362"/>
      <c r="DI117" s="117"/>
      <c r="DJ117" s="70"/>
      <c r="DK117" s="117"/>
      <c r="DL117" s="117"/>
      <c r="DM117" s="70"/>
      <c r="DN117" s="128"/>
      <c r="DO117" s="123"/>
      <c r="DP117" s="131"/>
      <c r="DQ117" s="118"/>
      <c r="DR117" s="131"/>
      <c r="DS117" s="118"/>
      <c r="DT117" s="118"/>
      <c r="DU117" s="121"/>
      <c r="DV117" s="70"/>
      <c r="DW117" s="70"/>
      <c r="DX117" s="362"/>
      <c r="DY117" s="93"/>
      <c r="DZ117" s="93"/>
    </row>
    <row r="118" spans="1:130">
      <c r="A118" s="2"/>
      <c r="B118" s="305"/>
      <c r="C118" s="314"/>
      <c r="D118" s="305"/>
      <c r="E118" s="2"/>
      <c r="F118" s="65"/>
      <c r="G118" s="31"/>
      <c r="H118" s="31"/>
      <c r="I118" s="30"/>
      <c r="J118" s="65"/>
      <c r="K118" s="2"/>
      <c r="L118" s="305"/>
      <c r="M118" s="314"/>
      <c r="N118" s="305"/>
      <c r="O118" s="2"/>
      <c r="P118" s="113"/>
      <c r="Q118" s="92"/>
      <c r="R118" s="305"/>
      <c r="S118" s="163"/>
      <c r="T118" s="65"/>
      <c r="U118" s="42"/>
      <c r="V118" s="49"/>
      <c r="W118" s="163"/>
      <c r="X118" s="305"/>
      <c r="Y118" s="163"/>
      <c r="Z118" s="65"/>
      <c r="AA118" s="34"/>
      <c r="AB118" s="34"/>
      <c r="AC118" s="30"/>
      <c r="AD118" s="92"/>
      <c r="AE118" s="92"/>
      <c r="AF118" s="113"/>
      <c r="AG118" s="92"/>
      <c r="AH118" s="92"/>
      <c r="AI118" s="305"/>
      <c r="AJ118" s="159"/>
      <c r="AK118" s="92"/>
      <c r="AL118" s="51"/>
      <c r="AM118" s="33"/>
      <c r="AN118" s="65"/>
      <c r="AO118" s="31"/>
      <c r="AP118" s="65"/>
      <c r="AQ118" s="42"/>
      <c r="AR118" s="65"/>
      <c r="AS118" s="30"/>
      <c r="AT118" s="33"/>
      <c r="AU118" s="33"/>
      <c r="AV118" s="113"/>
      <c r="AW118" s="92"/>
      <c r="AX118" s="314"/>
      <c r="AY118" s="163"/>
      <c r="AZ118" s="30"/>
      <c r="BA118" s="65"/>
      <c r="BB118" s="49"/>
      <c r="BC118" s="30"/>
      <c r="BD118" s="30"/>
      <c r="BE118" s="31"/>
      <c r="BF118" s="30"/>
      <c r="BG118" s="32"/>
      <c r="BH118" s="32"/>
      <c r="BI118" s="30"/>
      <c r="BJ118" s="92"/>
      <c r="BK118" s="92"/>
      <c r="BL118" s="113"/>
      <c r="BM118" s="198"/>
      <c r="BN118" s="33"/>
      <c r="BO118" s="33"/>
      <c r="BP118" s="65"/>
      <c r="BQ118" s="198"/>
      <c r="BR118" s="65"/>
      <c r="BS118" s="31"/>
      <c r="BT118" s="31"/>
      <c r="BU118" s="30"/>
      <c r="BV118" s="65"/>
      <c r="BW118" s="198"/>
      <c r="BX118" s="65"/>
      <c r="BY118" s="65"/>
      <c r="BZ118" s="31"/>
      <c r="CA118" s="198"/>
      <c r="CB118" s="92"/>
      <c r="CC118" s="363"/>
      <c r="CD118" s="117"/>
      <c r="CE118" s="117"/>
      <c r="CF118" s="123"/>
      <c r="CG118" s="125"/>
      <c r="CH118" s="125"/>
      <c r="CI118" s="123"/>
      <c r="CJ118" s="131"/>
      <c r="CK118" s="123"/>
      <c r="CL118" s="123"/>
      <c r="CM118" s="126"/>
      <c r="CN118" s="118"/>
      <c r="CO118" s="123"/>
      <c r="CP118" s="144"/>
      <c r="CQ118" s="314"/>
      <c r="CR118" s="364"/>
      <c r="CS118" s="117"/>
      <c r="CT118" s="121"/>
      <c r="CU118" s="121"/>
      <c r="CV118" s="123"/>
      <c r="CW118" s="118"/>
      <c r="CX118" s="42"/>
      <c r="CY118" s="118"/>
      <c r="CZ118" s="131"/>
      <c r="DA118" s="118"/>
      <c r="DB118" s="121"/>
      <c r="DC118" s="70"/>
      <c r="DD118" s="117"/>
      <c r="DE118" s="145"/>
      <c r="DF118" s="305"/>
      <c r="DG118" s="117"/>
      <c r="DH118" s="364"/>
      <c r="DI118" s="117"/>
      <c r="DJ118" s="117"/>
      <c r="DK118" s="117"/>
      <c r="DL118" s="123"/>
      <c r="DM118" s="128"/>
      <c r="DN118" s="128"/>
      <c r="DO118" s="118"/>
      <c r="DP118" s="144"/>
      <c r="DQ118" s="305"/>
      <c r="DR118" s="144"/>
      <c r="DS118" s="126"/>
      <c r="DT118" s="130"/>
      <c r="DU118" s="118"/>
      <c r="DV118" s="144"/>
      <c r="DW118" s="305"/>
      <c r="DX118" s="364"/>
      <c r="DY118" s="93"/>
      <c r="DZ118" s="93"/>
    </row>
    <row r="119" spans="1:130">
      <c r="A119" s="305"/>
      <c r="B119" s="314"/>
      <c r="C119" s="198"/>
      <c r="D119" s="314"/>
      <c r="E119" s="305"/>
      <c r="F119" s="65"/>
      <c r="G119" s="33"/>
      <c r="H119" s="33"/>
      <c r="I119" s="65"/>
      <c r="J119" s="65"/>
      <c r="K119" s="305"/>
      <c r="L119" s="314"/>
      <c r="M119" s="198"/>
      <c r="N119" s="314"/>
      <c r="O119" s="305"/>
      <c r="P119" s="113"/>
      <c r="Q119" s="314"/>
      <c r="R119" s="314"/>
      <c r="S119" s="305"/>
      <c r="T119" s="163"/>
      <c r="U119" s="49"/>
      <c r="V119" s="65"/>
      <c r="W119" s="314"/>
      <c r="X119" s="198"/>
      <c r="Y119" s="305"/>
      <c r="Z119" s="163"/>
      <c r="AA119" s="34"/>
      <c r="AB119" s="30"/>
      <c r="AC119" s="65"/>
      <c r="AD119" s="51"/>
      <c r="AE119" s="92"/>
      <c r="AF119" s="113"/>
      <c r="AG119" s="92"/>
      <c r="AH119" s="314"/>
      <c r="AI119" s="314"/>
      <c r="AJ119" s="162"/>
      <c r="AK119" s="156"/>
      <c r="AL119" s="33"/>
      <c r="AM119" s="65"/>
      <c r="AN119" s="31"/>
      <c r="AO119" s="33"/>
      <c r="AP119" s="65"/>
      <c r="AQ119" s="42"/>
      <c r="AR119" s="34"/>
      <c r="AS119" s="33"/>
      <c r="AT119" s="92"/>
      <c r="AU119" s="65"/>
      <c r="AV119" s="113"/>
      <c r="AW119" s="198"/>
      <c r="AX119" s="158"/>
      <c r="AY119" s="65"/>
      <c r="AZ119" s="65"/>
      <c r="BA119" s="49"/>
      <c r="BB119" s="65"/>
      <c r="BC119" s="32"/>
      <c r="BD119" s="31"/>
      <c r="BE119" s="65"/>
      <c r="BF119" s="32"/>
      <c r="BG119" s="65"/>
      <c r="BH119" s="33"/>
      <c r="BI119" s="65"/>
      <c r="BJ119" s="51"/>
      <c r="BK119" s="92"/>
      <c r="BL119" s="113"/>
      <c r="BM119" s="159"/>
      <c r="BN119" s="33"/>
      <c r="BO119" s="65"/>
      <c r="BP119" s="31"/>
      <c r="BQ119" s="158"/>
      <c r="BR119" s="65"/>
      <c r="BS119" s="65"/>
      <c r="BT119" s="32"/>
      <c r="BU119" s="65"/>
      <c r="BV119" s="65"/>
      <c r="BW119" s="158"/>
      <c r="BX119" s="33"/>
      <c r="BY119" s="65"/>
      <c r="BZ119" s="31"/>
      <c r="CA119" s="158"/>
      <c r="CB119" s="92"/>
      <c r="CC119" s="363"/>
      <c r="CD119" s="117"/>
      <c r="CE119" s="70"/>
      <c r="CF119" s="118"/>
      <c r="CG119" s="121"/>
      <c r="CH119" s="118"/>
      <c r="CI119" s="125"/>
      <c r="CJ119" s="118"/>
      <c r="CK119" s="131"/>
      <c r="CL119" s="125"/>
      <c r="CM119" s="118"/>
      <c r="CN119" s="126"/>
      <c r="CO119" s="118"/>
      <c r="CP119" s="118"/>
      <c r="CQ119" s="143"/>
      <c r="CR119" s="392"/>
      <c r="CS119" s="117"/>
      <c r="CT119" s="118"/>
      <c r="CU119" s="117"/>
      <c r="CV119" s="121"/>
      <c r="CW119" s="128"/>
      <c r="CX119" s="42"/>
      <c r="CY119" s="118"/>
      <c r="CZ119" s="121"/>
      <c r="DA119" s="131"/>
      <c r="DB119" s="118"/>
      <c r="DC119" s="121"/>
      <c r="DD119" s="142"/>
      <c r="DE119" s="146"/>
      <c r="DF119" s="310"/>
      <c r="DG119" s="314"/>
      <c r="DH119" s="364"/>
      <c r="DI119" s="117"/>
      <c r="DJ119" s="117"/>
      <c r="DK119" s="70"/>
      <c r="DL119" s="118"/>
      <c r="DM119" s="123"/>
      <c r="DN119" s="128"/>
      <c r="DO119" s="144"/>
      <c r="DP119" s="305"/>
      <c r="DQ119" s="198"/>
      <c r="DR119" s="314"/>
      <c r="DS119" s="118"/>
      <c r="DT119" s="126"/>
      <c r="DU119" s="144"/>
      <c r="DV119" s="305"/>
      <c r="DW119" s="314"/>
      <c r="DX119" s="393"/>
      <c r="DY119" s="93"/>
      <c r="DZ119" s="93"/>
    </row>
    <row r="120" spans="1:130">
      <c r="A120" s="314"/>
      <c r="B120" s="198"/>
      <c r="C120" s="307"/>
      <c r="D120" s="198"/>
      <c r="E120" s="314"/>
      <c r="F120" s="31"/>
      <c r="G120" s="30"/>
      <c r="H120" s="30"/>
      <c r="I120" s="32"/>
      <c r="J120" s="66"/>
      <c r="K120" s="314"/>
      <c r="L120" s="198"/>
      <c r="M120" s="307"/>
      <c r="N120" s="198"/>
      <c r="O120" s="314"/>
      <c r="P120" s="113"/>
      <c r="Q120" s="198"/>
      <c r="R120" s="198"/>
      <c r="S120" s="314"/>
      <c r="T120" s="163"/>
      <c r="U120" s="65"/>
      <c r="V120" s="305"/>
      <c r="W120" s="198"/>
      <c r="X120" s="198"/>
      <c r="Y120" s="314"/>
      <c r="Z120" s="163"/>
      <c r="AA120" s="65"/>
      <c r="AB120" s="65"/>
      <c r="AC120" s="51"/>
      <c r="AD120" s="65"/>
      <c r="AE120" s="92"/>
      <c r="AF120" s="113"/>
      <c r="AG120" s="198"/>
      <c r="AH120" s="198"/>
      <c r="AI120" s="314"/>
      <c r="AJ120" s="158"/>
      <c r="AK120" s="158"/>
      <c r="AL120" s="42"/>
      <c r="AM120" s="31"/>
      <c r="AN120" s="33"/>
      <c r="AO120" s="65"/>
      <c r="AP120" s="30"/>
      <c r="AQ120" s="33"/>
      <c r="AR120" s="33"/>
      <c r="AS120" s="65"/>
      <c r="AT120" s="51"/>
      <c r="AU120" s="65"/>
      <c r="AV120" s="371"/>
      <c r="AW120" s="198"/>
      <c r="AX120" s="158"/>
      <c r="AY120" s="65"/>
      <c r="AZ120" s="65"/>
      <c r="BA120" s="65"/>
      <c r="BB120" s="31"/>
      <c r="BC120" s="30"/>
      <c r="BD120" s="31"/>
      <c r="BE120" s="30"/>
      <c r="BF120" s="31"/>
      <c r="BG120" s="65"/>
      <c r="BH120" s="51"/>
      <c r="BI120" s="51"/>
      <c r="BJ120" s="65"/>
      <c r="BK120" s="92"/>
      <c r="BL120" s="113"/>
      <c r="BM120" s="159"/>
      <c r="BN120" s="33"/>
      <c r="BO120" s="65"/>
      <c r="BP120" s="31"/>
      <c r="BQ120" s="162"/>
      <c r="BR120" s="31"/>
      <c r="BS120" s="65"/>
      <c r="BT120" s="30"/>
      <c r="BU120" s="65"/>
      <c r="BV120" s="31"/>
      <c r="BW120" s="162"/>
      <c r="BX120" s="33"/>
      <c r="BY120" s="65"/>
      <c r="BZ120" s="31"/>
      <c r="CA120" s="162"/>
      <c r="CB120" s="92"/>
      <c r="CC120" s="363"/>
      <c r="CD120" s="117"/>
      <c r="CE120" s="118"/>
      <c r="CF120" s="70"/>
      <c r="CG120" s="70"/>
      <c r="CH120" s="118"/>
      <c r="CI120" s="131"/>
      <c r="CJ120" s="123"/>
      <c r="CK120" s="131"/>
      <c r="CL120" s="123"/>
      <c r="CM120" s="131"/>
      <c r="CN120" s="118"/>
      <c r="CO120" s="118"/>
      <c r="CP120" s="118"/>
      <c r="CQ120" s="143"/>
      <c r="CR120" s="392"/>
      <c r="CS120" s="118"/>
      <c r="CT120" s="118"/>
      <c r="CU120" s="70"/>
      <c r="CV120" s="65"/>
      <c r="CW120" s="121"/>
      <c r="CX120" s="31"/>
      <c r="CY120" s="123"/>
      <c r="CZ120" s="118"/>
      <c r="DA120" s="121"/>
      <c r="DB120" s="131"/>
      <c r="DC120" s="130"/>
      <c r="DD120" s="143"/>
      <c r="DE120" s="143"/>
      <c r="DF120" s="310"/>
      <c r="DG120" s="198"/>
      <c r="DH120" s="392"/>
      <c r="DI120" s="117"/>
      <c r="DJ120" s="117"/>
      <c r="DK120" s="118"/>
      <c r="DL120" s="70"/>
      <c r="DM120" s="118"/>
      <c r="DN120" s="118"/>
      <c r="DO120" s="144"/>
      <c r="DP120" s="314"/>
      <c r="DQ120" s="198"/>
      <c r="DR120" s="198"/>
      <c r="DS120" s="305"/>
      <c r="DT120" s="118"/>
      <c r="DU120" s="144"/>
      <c r="DV120" s="314"/>
      <c r="DW120" s="198"/>
      <c r="DX120" s="392"/>
      <c r="DY120" s="93"/>
      <c r="DZ120" s="93"/>
    </row>
    <row r="121" spans="1:130">
      <c r="A121" s="305"/>
      <c r="B121" s="314"/>
      <c r="C121" s="198"/>
      <c r="D121" s="314"/>
      <c r="E121" s="305"/>
      <c r="F121" s="42"/>
      <c r="G121" s="49"/>
      <c r="H121" s="51"/>
      <c r="I121" s="41"/>
      <c r="J121" s="43"/>
      <c r="K121" s="305"/>
      <c r="L121" s="314"/>
      <c r="M121" s="198"/>
      <c r="N121" s="314"/>
      <c r="O121" s="305"/>
      <c r="P121" s="82"/>
      <c r="Q121" s="314"/>
      <c r="R121" s="314"/>
      <c r="S121" s="305"/>
      <c r="T121" s="163"/>
      <c r="U121" s="92"/>
      <c r="V121" s="49"/>
      <c r="W121" s="314"/>
      <c r="X121" s="198"/>
      <c r="Y121" s="305"/>
      <c r="Z121" s="163"/>
      <c r="AA121" s="92"/>
      <c r="AB121" s="51"/>
      <c r="AC121" s="92"/>
      <c r="AD121" s="92"/>
      <c r="AE121" s="92"/>
      <c r="AF121" s="82"/>
      <c r="AG121" s="92"/>
      <c r="AH121" s="314"/>
      <c r="AI121" s="314"/>
      <c r="AJ121" s="163"/>
      <c r="AK121" s="163"/>
      <c r="AL121" s="40"/>
      <c r="AM121" s="49"/>
      <c r="AN121" s="51"/>
      <c r="AO121" s="43"/>
      <c r="AP121" s="42"/>
      <c r="AQ121" s="49"/>
      <c r="AR121" s="65"/>
      <c r="AS121" s="92"/>
      <c r="AT121" s="92"/>
      <c r="AU121" s="51"/>
      <c r="AV121" s="82"/>
      <c r="AW121" s="198"/>
      <c r="AX121" s="163"/>
      <c r="AY121" s="43"/>
      <c r="AZ121" s="42"/>
      <c r="BA121" s="198"/>
      <c r="BB121" s="49"/>
      <c r="BC121" s="49"/>
      <c r="BD121" s="65"/>
      <c r="BE121" s="31"/>
      <c r="BF121" s="65"/>
      <c r="BG121" s="31"/>
      <c r="BH121" s="51"/>
      <c r="BI121" s="92"/>
      <c r="BJ121" s="92"/>
      <c r="BK121" s="92"/>
      <c r="BL121" s="82"/>
      <c r="BM121" s="159"/>
      <c r="BN121" s="49"/>
      <c r="BO121" s="43"/>
      <c r="BP121" s="40"/>
      <c r="BQ121" s="163"/>
      <c r="BR121" s="65"/>
      <c r="BS121" s="30"/>
      <c r="BT121" s="30"/>
      <c r="BU121" s="30"/>
      <c r="BV121" s="65"/>
      <c r="BW121" s="163"/>
      <c r="BX121" s="40"/>
      <c r="BY121" s="43"/>
      <c r="BZ121" s="49"/>
      <c r="CA121" s="163"/>
      <c r="CB121" s="51"/>
      <c r="CC121" s="361"/>
      <c r="CD121" s="117"/>
      <c r="CE121" s="117"/>
      <c r="CF121" s="117"/>
      <c r="CG121" s="70"/>
      <c r="CH121" s="131"/>
      <c r="CI121" s="118"/>
      <c r="CJ121" s="131"/>
      <c r="CK121" s="118"/>
      <c r="CL121" s="126"/>
      <c r="CM121" s="126"/>
      <c r="CN121" s="117"/>
      <c r="CO121" s="130"/>
      <c r="CP121" s="136"/>
      <c r="CQ121" s="144"/>
      <c r="CR121" s="392"/>
      <c r="CS121" s="70"/>
      <c r="CT121" s="70"/>
      <c r="CU121" s="117"/>
      <c r="CV121" s="117"/>
      <c r="CW121" s="65"/>
      <c r="CX121" s="126"/>
      <c r="CY121" s="130"/>
      <c r="CZ121" s="43"/>
      <c r="DA121" s="70"/>
      <c r="DB121" s="126"/>
      <c r="DC121" s="135"/>
      <c r="DD121" s="144"/>
      <c r="DE121" s="144"/>
      <c r="DF121" s="310"/>
      <c r="DG121" s="314"/>
      <c r="DH121" s="364"/>
      <c r="DI121" s="70"/>
      <c r="DJ121" s="117"/>
      <c r="DK121" s="117"/>
      <c r="DL121" s="117"/>
      <c r="DM121" s="70"/>
      <c r="DN121" s="117"/>
      <c r="DO121" s="144"/>
      <c r="DP121" s="305"/>
      <c r="DQ121" s="198"/>
      <c r="DR121" s="314"/>
      <c r="DS121" s="126"/>
      <c r="DT121" s="117"/>
      <c r="DU121" s="144"/>
      <c r="DV121" s="305"/>
      <c r="DW121" s="314"/>
      <c r="DX121" s="393"/>
      <c r="DY121" s="93"/>
      <c r="DZ121" s="93"/>
    </row>
    <row r="122" spans="1:130">
      <c r="A122" s="2"/>
      <c r="B122" s="305"/>
      <c r="C122" s="314"/>
      <c r="D122" s="305"/>
      <c r="E122" s="2"/>
      <c r="F122" s="42"/>
      <c r="G122" s="42"/>
      <c r="H122" s="51"/>
      <c r="I122" s="43"/>
      <c r="J122" s="43"/>
      <c r="K122" s="2"/>
      <c r="L122" s="305"/>
      <c r="M122" s="314"/>
      <c r="N122" s="305"/>
      <c r="O122" s="2"/>
      <c r="P122" s="82"/>
      <c r="Q122" s="92"/>
      <c r="R122" s="305"/>
      <c r="S122" s="163"/>
      <c r="T122" s="92"/>
      <c r="U122" s="92"/>
      <c r="V122" s="50"/>
      <c r="W122" s="49"/>
      <c r="X122" s="305"/>
      <c r="Y122" s="163"/>
      <c r="Z122" s="92"/>
      <c r="AA122" s="92"/>
      <c r="AB122" s="92"/>
      <c r="AC122" s="92"/>
      <c r="AD122" s="92"/>
      <c r="AE122" s="92"/>
      <c r="AF122" s="82"/>
      <c r="AG122" s="92"/>
      <c r="AH122" s="92"/>
      <c r="AI122" s="305"/>
      <c r="AJ122" s="161"/>
      <c r="AK122" s="92"/>
      <c r="AL122" s="92"/>
      <c r="AM122" s="92"/>
      <c r="AN122" s="52"/>
      <c r="AO122" s="49"/>
      <c r="AP122" s="49"/>
      <c r="AQ122" s="42"/>
      <c r="AR122" s="51"/>
      <c r="AS122" s="92"/>
      <c r="AT122" s="92"/>
      <c r="AU122" s="92"/>
      <c r="AV122" s="82"/>
      <c r="AW122" s="92"/>
      <c r="AX122" s="314"/>
      <c r="AY122" s="163"/>
      <c r="AZ122" s="92"/>
      <c r="BA122" s="92"/>
      <c r="BB122" s="198"/>
      <c r="BC122" s="49"/>
      <c r="BD122" s="65"/>
      <c r="BE122" s="31"/>
      <c r="BF122" s="30"/>
      <c r="BG122" s="92"/>
      <c r="BH122" s="92"/>
      <c r="BI122" s="51"/>
      <c r="BJ122" s="92"/>
      <c r="BK122" s="92"/>
      <c r="BL122" s="82"/>
      <c r="BM122" s="198"/>
      <c r="BN122" s="158"/>
      <c r="BO122" s="162"/>
      <c r="BP122" s="163"/>
      <c r="BQ122" s="198"/>
      <c r="BR122" s="42"/>
      <c r="BS122" s="65"/>
      <c r="BT122" s="30"/>
      <c r="BU122" s="65"/>
      <c r="BV122" s="43"/>
      <c r="BW122" s="198"/>
      <c r="BX122" s="163"/>
      <c r="BY122" s="162"/>
      <c r="BZ122" s="163"/>
      <c r="CA122" s="198"/>
      <c r="CB122" s="51"/>
      <c r="CC122" s="361"/>
      <c r="CD122" s="117"/>
      <c r="CE122" s="117"/>
      <c r="CF122" s="70"/>
      <c r="CG122" s="117"/>
      <c r="CH122" s="117"/>
      <c r="CI122" s="123"/>
      <c r="CJ122" s="131"/>
      <c r="CK122" s="118"/>
      <c r="CL122" s="126"/>
      <c r="CM122" s="314"/>
      <c r="CN122" s="117"/>
      <c r="CO122" s="117"/>
      <c r="CP122" s="144"/>
      <c r="CQ122" s="314"/>
      <c r="CR122" s="364"/>
      <c r="CS122" s="70"/>
      <c r="CT122" s="117"/>
      <c r="CU122" s="117"/>
      <c r="CV122" s="117"/>
      <c r="CW122" s="70"/>
      <c r="CX122" s="130"/>
      <c r="CY122" s="126"/>
      <c r="CZ122" s="126"/>
      <c r="DA122" s="71"/>
      <c r="DB122" s="117"/>
      <c r="DC122" s="117"/>
      <c r="DD122" s="117"/>
      <c r="DE122" s="147"/>
      <c r="DF122" s="305"/>
      <c r="DG122" s="117"/>
      <c r="DH122" s="364"/>
      <c r="DI122" s="70"/>
      <c r="DJ122" s="117"/>
      <c r="DK122" s="117"/>
      <c r="DL122" s="117"/>
      <c r="DM122" s="117"/>
      <c r="DN122" s="117"/>
      <c r="DO122" s="117"/>
      <c r="DP122" s="144"/>
      <c r="DQ122" s="305"/>
      <c r="DR122" s="117"/>
      <c r="DS122" s="117"/>
      <c r="DT122" s="117"/>
      <c r="DU122" s="117"/>
      <c r="DV122" s="144"/>
      <c r="DW122" s="305"/>
      <c r="DX122" s="364"/>
      <c r="DY122" s="93"/>
      <c r="DZ122" s="93"/>
    </row>
    <row r="123" spans="1:130">
      <c r="A123" s="114"/>
      <c r="B123" s="51"/>
      <c r="C123" s="2"/>
      <c r="D123" s="51"/>
      <c r="E123" s="52"/>
      <c r="F123" s="40"/>
      <c r="G123" s="43"/>
      <c r="H123" s="51"/>
      <c r="I123" s="50"/>
      <c r="J123" s="46"/>
      <c r="K123" s="51"/>
      <c r="L123" s="92"/>
      <c r="M123" s="2"/>
      <c r="N123" s="51"/>
      <c r="O123" s="51"/>
      <c r="P123" s="82"/>
      <c r="Q123" s="51"/>
      <c r="R123" s="92"/>
      <c r="S123" s="51"/>
      <c r="T123" s="51"/>
      <c r="U123" s="52"/>
      <c r="V123" s="50"/>
      <c r="W123" s="49"/>
      <c r="X123" s="50"/>
      <c r="Y123" s="46"/>
      <c r="Z123" s="51"/>
      <c r="AA123" s="92"/>
      <c r="AB123" s="92"/>
      <c r="AC123" s="51"/>
      <c r="AD123" s="51"/>
      <c r="AE123" s="51"/>
      <c r="AF123" s="82"/>
      <c r="AG123" s="51"/>
      <c r="AH123" s="51"/>
      <c r="AI123" s="51"/>
      <c r="AJ123" s="92"/>
      <c r="AK123" s="92"/>
      <c r="AL123" s="92"/>
      <c r="AM123" s="51"/>
      <c r="AN123" s="92"/>
      <c r="AO123" s="42"/>
      <c r="AP123" s="49"/>
      <c r="AQ123" s="51"/>
      <c r="AR123" s="52"/>
      <c r="AS123" s="51"/>
      <c r="AT123" s="92"/>
      <c r="AU123" s="92"/>
      <c r="AV123" s="82"/>
      <c r="AW123" s="51"/>
      <c r="AX123" s="51"/>
      <c r="AY123" s="51"/>
      <c r="AZ123" s="51"/>
      <c r="BA123" s="52"/>
      <c r="BB123" s="52"/>
      <c r="BC123" s="50"/>
      <c r="BD123" s="42"/>
      <c r="BE123" s="49"/>
      <c r="BF123" s="51"/>
      <c r="BG123" s="92"/>
      <c r="BH123" s="92"/>
      <c r="BI123" s="51"/>
      <c r="BJ123" s="51"/>
      <c r="BK123" s="51"/>
      <c r="BL123" s="82"/>
      <c r="BM123" s="51"/>
      <c r="BN123" s="51"/>
      <c r="BO123" s="92"/>
      <c r="BP123" s="51"/>
      <c r="BQ123" s="52"/>
      <c r="BR123" s="40"/>
      <c r="BS123" s="43"/>
      <c r="BT123" s="65"/>
      <c r="BU123" s="50"/>
      <c r="BV123" s="46"/>
      <c r="BW123" s="51"/>
      <c r="BX123" s="92"/>
      <c r="BY123" s="92"/>
      <c r="BZ123" s="51"/>
      <c r="CA123" s="51"/>
      <c r="CB123" s="51"/>
      <c r="CC123" s="361"/>
      <c r="CD123" s="70"/>
      <c r="CE123" s="70"/>
      <c r="CF123" s="70"/>
      <c r="CG123" s="117"/>
      <c r="CH123" s="117"/>
      <c r="CI123" s="70"/>
      <c r="CJ123" s="126"/>
      <c r="CK123" s="130"/>
      <c r="CL123" s="155"/>
      <c r="CM123" s="71"/>
      <c r="CN123" s="71"/>
      <c r="CO123" s="70"/>
      <c r="CP123" s="70"/>
      <c r="CQ123" s="70"/>
      <c r="CR123" s="362"/>
      <c r="CS123" s="70"/>
      <c r="CT123" s="117"/>
      <c r="CU123" s="117"/>
      <c r="CV123" s="70"/>
      <c r="CW123" s="71"/>
      <c r="CX123" s="70"/>
      <c r="CY123" s="126"/>
      <c r="CZ123" s="130"/>
      <c r="DA123" s="117"/>
      <c r="DB123" s="70"/>
      <c r="DC123" s="117"/>
      <c r="DD123" s="117"/>
      <c r="DE123" s="117"/>
      <c r="DF123" s="70"/>
      <c r="DG123" s="70"/>
      <c r="DH123" s="362"/>
      <c r="DI123" s="70"/>
      <c r="DJ123" s="70"/>
      <c r="DK123" s="70"/>
      <c r="DL123" s="70"/>
      <c r="DM123" s="117"/>
      <c r="DN123" s="117"/>
      <c r="DO123" s="70"/>
      <c r="DP123" s="133"/>
      <c r="DQ123" s="155"/>
      <c r="DR123" s="126"/>
      <c r="DS123" s="71"/>
      <c r="DT123" s="71"/>
      <c r="DU123" s="70"/>
      <c r="DV123" s="70"/>
      <c r="DW123" s="117"/>
      <c r="DX123" s="362"/>
      <c r="DY123" s="93"/>
      <c r="DZ123" s="93"/>
    </row>
    <row r="124" spans="1:130">
      <c r="A124" s="114"/>
      <c r="B124" s="51"/>
      <c r="C124" s="51"/>
      <c r="D124" s="52"/>
      <c r="E124" s="52"/>
      <c r="F124" s="39"/>
      <c r="G124" s="43"/>
      <c r="H124" s="51"/>
      <c r="I124" s="50"/>
      <c r="J124" s="47"/>
      <c r="K124" s="51"/>
      <c r="L124" s="92"/>
      <c r="M124" s="51"/>
      <c r="N124" s="51"/>
      <c r="O124" s="51"/>
      <c r="P124" s="82"/>
      <c r="Q124" s="51"/>
      <c r="R124" s="51"/>
      <c r="S124" s="51"/>
      <c r="T124" s="52"/>
      <c r="U124" s="52"/>
      <c r="V124" s="52"/>
      <c r="W124" s="46"/>
      <c r="X124" s="47"/>
      <c r="Y124" s="46"/>
      <c r="Z124" s="51"/>
      <c r="AA124" s="92"/>
      <c r="AB124" s="51"/>
      <c r="AC124" s="51"/>
      <c r="AD124" s="51"/>
      <c r="AE124" s="51"/>
      <c r="AF124" s="82"/>
      <c r="AG124" s="51"/>
      <c r="AH124" s="51"/>
      <c r="AI124" s="51"/>
      <c r="AJ124" s="51"/>
      <c r="AK124" s="51"/>
      <c r="AL124" s="51"/>
      <c r="AM124" s="52"/>
      <c r="AN124" s="51"/>
      <c r="AO124" s="39"/>
      <c r="AP124" s="43"/>
      <c r="AQ124" s="51"/>
      <c r="AR124" s="52"/>
      <c r="AS124" s="51"/>
      <c r="AT124" s="92"/>
      <c r="AU124" s="51"/>
      <c r="AV124" s="82"/>
      <c r="AW124" s="51"/>
      <c r="AX124" s="51"/>
      <c r="AY124" s="51"/>
      <c r="AZ124" s="52"/>
      <c r="BA124" s="52"/>
      <c r="BB124" s="52"/>
      <c r="BC124" s="39"/>
      <c r="BD124" s="46"/>
      <c r="BE124" s="46"/>
      <c r="BF124" s="51"/>
      <c r="BG124" s="92"/>
      <c r="BH124" s="51"/>
      <c r="BI124" s="51"/>
      <c r="BJ124" s="51"/>
      <c r="BK124" s="51"/>
      <c r="BL124" s="82"/>
      <c r="BM124" s="51"/>
      <c r="BN124" s="51"/>
      <c r="BO124" s="51"/>
      <c r="BP124" s="52"/>
      <c r="BQ124" s="52"/>
      <c r="BR124" s="39"/>
      <c r="BS124" s="43"/>
      <c r="BT124" s="51"/>
      <c r="BU124" s="46"/>
      <c r="BV124" s="49"/>
      <c r="BW124" s="51"/>
      <c r="BX124" s="92"/>
      <c r="BY124" s="51"/>
      <c r="BZ124" s="51"/>
      <c r="CA124" s="51"/>
      <c r="CB124" s="51"/>
      <c r="CC124" s="361"/>
      <c r="CD124" s="70"/>
      <c r="CE124" s="70"/>
      <c r="CF124" s="70"/>
      <c r="CG124" s="70"/>
      <c r="CH124" s="117"/>
      <c r="CI124" s="70"/>
      <c r="CJ124" s="133"/>
      <c r="CK124" s="133"/>
      <c r="CL124" s="137"/>
      <c r="CM124" s="71"/>
      <c r="CN124" s="71"/>
      <c r="CO124" s="71"/>
      <c r="CP124" s="70"/>
      <c r="CQ124" s="70"/>
      <c r="CR124" s="362"/>
      <c r="CS124" s="70"/>
      <c r="CT124" s="70"/>
      <c r="CU124" s="117"/>
      <c r="CV124" s="70"/>
      <c r="CW124" s="71"/>
      <c r="CX124" s="70"/>
      <c r="CY124" s="135"/>
      <c r="CZ124" s="137"/>
      <c r="DA124" s="70"/>
      <c r="DB124" s="71"/>
      <c r="DC124" s="70"/>
      <c r="DD124" s="70"/>
      <c r="DE124" s="70"/>
      <c r="DF124" s="70"/>
      <c r="DG124" s="70"/>
      <c r="DH124" s="362"/>
      <c r="DI124" s="70"/>
      <c r="DJ124" s="70"/>
      <c r="DK124" s="70"/>
      <c r="DL124" s="70"/>
      <c r="DM124" s="70"/>
      <c r="DN124" s="117"/>
      <c r="DO124" s="70"/>
      <c r="DP124" s="133"/>
      <c r="DQ124" s="153"/>
      <c r="DR124" s="133"/>
      <c r="DS124" s="71"/>
      <c r="DT124" s="71"/>
      <c r="DU124" s="71"/>
      <c r="DV124" s="70"/>
      <c r="DW124" s="70"/>
      <c r="DX124" s="362"/>
      <c r="DY124" s="93"/>
      <c r="DZ124" s="93"/>
    </row>
    <row r="125" spans="1:130">
      <c r="A125" s="93"/>
      <c r="B125" s="93"/>
      <c r="C125" s="93"/>
      <c r="D125" s="93"/>
      <c r="E125" s="93"/>
      <c r="F125" s="93"/>
      <c r="G125" s="93"/>
      <c r="H125" s="93"/>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c r="AF125" s="93"/>
      <c r="AG125" s="93"/>
      <c r="AH125" s="93"/>
      <c r="AI125" s="93"/>
      <c r="AJ125" s="93"/>
      <c r="AK125" s="93"/>
      <c r="AL125" s="93"/>
      <c r="AM125" s="93"/>
      <c r="AN125" s="93"/>
      <c r="AO125" s="93"/>
      <c r="AP125" s="93"/>
      <c r="AQ125" s="93"/>
      <c r="AR125" s="93"/>
      <c r="AS125" s="93"/>
      <c r="AT125" s="93"/>
      <c r="AU125" s="93"/>
      <c r="AV125" s="93"/>
      <c r="AW125" s="93"/>
      <c r="AX125" s="93"/>
      <c r="AY125" s="93"/>
      <c r="AZ125" s="93"/>
      <c r="BA125" s="93"/>
      <c r="BB125" s="93"/>
      <c r="BC125" s="93"/>
      <c r="BD125" s="93"/>
      <c r="BE125" s="93"/>
      <c r="BF125" s="93"/>
      <c r="BG125" s="93"/>
      <c r="BH125" s="93"/>
      <c r="BI125" s="93"/>
      <c r="BJ125" s="93"/>
      <c r="BK125" s="93"/>
      <c r="BL125" s="93"/>
      <c r="BM125" s="93"/>
      <c r="BN125" s="93"/>
      <c r="BO125" s="93"/>
      <c r="BP125" s="93"/>
      <c r="BQ125" s="93"/>
      <c r="BR125" s="93"/>
      <c r="BS125" s="93"/>
      <c r="BT125" s="93"/>
      <c r="BU125" s="93"/>
      <c r="BV125" s="93"/>
      <c r="BW125" s="93"/>
      <c r="BX125" s="93"/>
      <c r="BY125" s="93"/>
      <c r="BZ125" s="93"/>
      <c r="CA125" s="93"/>
      <c r="CB125" s="93"/>
      <c r="CC125" s="93"/>
      <c r="CD125" s="93"/>
      <c r="CE125" s="93"/>
      <c r="CF125" s="93"/>
      <c r="CG125" s="93"/>
      <c r="CH125" s="93"/>
      <c r="CI125" s="93"/>
      <c r="CJ125" s="93"/>
      <c r="CK125" s="93"/>
      <c r="CL125" s="93"/>
      <c r="CM125" s="93"/>
      <c r="CN125" s="93"/>
      <c r="CO125" s="93"/>
      <c r="CP125" s="93"/>
      <c r="CQ125" s="93"/>
      <c r="CR125" s="93"/>
      <c r="CS125" s="93"/>
      <c r="CT125" s="93"/>
      <c r="CU125" s="93"/>
      <c r="CV125" s="93"/>
      <c r="CW125" s="93"/>
      <c r="CX125" s="93"/>
      <c r="CY125" s="93"/>
      <c r="CZ125" s="93"/>
      <c r="DA125" s="93"/>
      <c r="DB125" s="93"/>
      <c r="DC125" s="93"/>
      <c r="DD125" s="93"/>
      <c r="DE125" s="93"/>
      <c r="DF125" s="93"/>
      <c r="DG125" s="93"/>
      <c r="DH125" s="93"/>
      <c r="DI125" s="93"/>
      <c r="DJ125" s="93"/>
      <c r="DK125" s="93"/>
      <c r="DL125" s="93"/>
      <c r="DM125" s="93"/>
      <c r="DN125" s="93"/>
      <c r="DO125" s="93"/>
      <c r="DP125" s="93"/>
      <c r="DQ125" s="93"/>
      <c r="DR125" s="93"/>
      <c r="DS125" s="93"/>
      <c r="DT125" s="93"/>
      <c r="DU125" s="93"/>
      <c r="DV125" s="93"/>
      <c r="DW125" s="93"/>
      <c r="DX125" s="79"/>
      <c r="DY125" s="93">
        <v>29</v>
      </c>
      <c r="DZ125" s="93"/>
    </row>
    <row r="126" spans="1:130">
      <c r="A126" s="93"/>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c r="AF126" s="93"/>
      <c r="AG126" s="93"/>
      <c r="AH126" s="93"/>
      <c r="AI126" s="93"/>
      <c r="AJ126" s="93"/>
      <c r="AK126" s="93"/>
      <c r="AL126" s="93"/>
      <c r="AM126" s="93"/>
      <c r="AN126" s="93"/>
      <c r="AO126" s="93"/>
      <c r="AP126" s="93"/>
      <c r="AQ126" s="93"/>
      <c r="AR126" s="93"/>
      <c r="AS126" s="93"/>
      <c r="AT126" s="93"/>
      <c r="AU126" s="93"/>
      <c r="AV126" s="93"/>
      <c r="AW126" s="93"/>
      <c r="AX126" s="93"/>
      <c r="AY126" s="93"/>
      <c r="AZ126" s="93"/>
      <c r="BA126" s="93"/>
      <c r="BB126" s="93"/>
      <c r="BC126" s="93"/>
      <c r="BD126" s="93"/>
      <c r="BE126" s="93"/>
      <c r="BF126" s="93"/>
      <c r="BG126" s="93"/>
      <c r="BH126" s="93"/>
      <c r="BI126" s="93"/>
      <c r="BJ126" s="93"/>
      <c r="BK126" s="93"/>
      <c r="BL126" s="93"/>
      <c r="BM126" s="93"/>
      <c r="BN126" s="93"/>
      <c r="BO126" s="93"/>
      <c r="BP126" s="93"/>
      <c r="BQ126" s="93"/>
      <c r="BR126" s="93"/>
      <c r="BS126" s="93"/>
      <c r="BT126" s="93"/>
      <c r="BU126" s="93"/>
      <c r="BV126" s="93"/>
      <c r="BW126" s="93"/>
      <c r="BX126" s="93"/>
      <c r="BY126" s="93"/>
      <c r="BZ126" s="93"/>
      <c r="CA126" s="93"/>
      <c r="CB126" s="93"/>
      <c r="CC126" s="93"/>
      <c r="CD126" s="93"/>
      <c r="CE126" s="93"/>
      <c r="CF126" s="93"/>
      <c r="CG126" s="93"/>
      <c r="CH126" s="93"/>
      <c r="CI126" s="93"/>
      <c r="CJ126" s="93"/>
      <c r="CK126" s="93"/>
      <c r="CL126" s="93"/>
      <c r="CM126" s="93"/>
      <c r="CN126" s="93"/>
      <c r="CO126" s="93"/>
      <c r="CP126" s="93"/>
      <c r="CQ126" s="93"/>
      <c r="CR126" s="93"/>
      <c r="CS126" s="93"/>
      <c r="CT126" s="93"/>
      <c r="CU126" s="93"/>
      <c r="CV126" s="93"/>
      <c r="CW126" s="93"/>
      <c r="CX126" s="93"/>
      <c r="CY126" s="93"/>
      <c r="CZ126" s="93"/>
      <c r="DA126" s="93"/>
      <c r="DB126" s="93"/>
      <c r="DC126" s="93"/>
      <c r="DD126" s="93"/>
      <c r="DE126" s="93"/>
      <c r="DF126" s="93"/>
      <c r="DG126" s="93"/>
      <c r="DH126" s="93"/>
      <c r="DI126" s="93"/>
      <c r="DJ126" s="93"/>
      <c r="DK126" s="93"/>
      <c r="DL126" s="93"/>
      <c r="DM126" s="93"/>
      <c r="DN126" s="93"/>
      <c r="DO126" s="93"/>
      <c r="DP126" s="93"/>
      <c r="DQ126" s="93"/>
      <c r="DR126" s="93"/>
      <c r="DS126" s="93"/>
      <c r="DT126" s="93"/>
      <c r="DU126" s="93"/>
      <c r="DV126" s="93"/>
      <c r="DW126" s="93"/>
      <c r="DX126" s="79"/>
      <c r="DY126" s="93">
        <v>30</v>
      </c>
      <c r="DZ126" s="93"/>
    </row>
    <row r="127" spans="1:130">
      <c r="A127" s="93"/>
      <c r="B127" s="93"/>
      <c r="C127" s="93"/>
      <c r="D127" s="93"/>
      <c r="E127" s="93"/>
      <c r="F127" s="93"/>
      <c r="G127" s="93"/>
      <c r="H127" s="93"/>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c r="AF127" s="93"/>
      <c r="AG127" s="93"/>
      <c r="AH127" s="93"/>
      <c r="AI127" s="93"/>
      <c r="AJ127" s="93"/>
      <c r="AK127" s="93"/>
      <c r="AL127" s="93"/>
      <c r="AM127" s="93"/>
      <c r="AN127" s="93"/>
      <c r="AO127" s="93"/>
      <c r="AP127" s="93"/>
      <c r="AQ127" s="93"/>
      <c r="AR127" s="93"/>
      <c r="AS127" s="93"/>
      <c r="AT127" s="93"/>
      <c r="AU127" s="93"/>
      <c r="AV127" s="93"/>
      <c r="AW127" s="93"/>
      <c r="AX127" s="93"/>
      <c r="AY127" s="93"/>
      <c r="AZ127" s="93"/>
      <c r="BA127" s="93"/>
      <c r="BB127" s="93"/>
      <c r="BC127" s="93"/>
      <c r="BD127" s="93"/>
      <c r="BE127" s="93"/>
      <c r="BF127" s="93"/>
      <c r="BG127" s="93"/>
      <c r="BH127" s="93"/>
      <c r="BI127" s="93"/>
      <c r="BJ127" s="93"/>
      <c r="BK127" s="93"/>
      <c r="BL127" s="93"/>
      <c r="BM127" s="93"/>
      <c r="BN127" s="93"/>
      <c r="BO127" s="93"/>
      <c r="BP127" s="93"/>
      <c r="BQ127" s="93"/>
      <c r="BR127" s="93"/>
      <c r="BS127" s="93"/>
      <c r="BT127" s="93"/>
      <c r="BU127" s="93"/>
      <c r="BV127" s="93"/>
      <c r="BW127" s="93"/>
      <c r="BX127" s="93"/>
      <c r="BY127" s="93"/>
      <c r="BZ127" s="93"/>
      <c r="CA127" s="93"/>
      <c r="CB127" s="93"/>
      <c r="CC127" s="93"/>
      <c r="CD127" s="93"/>
      <c r="CE127" s="93"/>
      <c r="CF127" s="93"/>
      <c r="CG127" s="93"/>
      <c r="CH127" s="93"/>
      <c r="CI127" s="93"/>
      <c r="CJ127" s="93"/>
      <c r="CK127" s="93"/>
      <c r="CL127" s="93"/>
      <c r="CM127" s="93"/>
      <c r="CN127" s="93"/>
      <c r="CO127" s="93"/>
      <c r="CP127" s="93"/>
      <c r="CQ127" s="93"/>
      <c r="CR127" s="93"/>
      <c r="CS127" s="93"/>
      <c r="CT127" s="93"/>
      <c r="CU127" s="93"/>
      <c r="CV127" s="93"/>
      <c r="CW127" s="93"/>
      <c r="CX127" s="93"/>
      <c r="CY127" s="93"/>
      <c r="CZ127" s="93"/>
      <c r="DA127" s="93"/>
      <c r="DB127" s="93"/>
      <c r="DC127" s="93"/>
      <c r="DD127" s="93"/>
      <c r="DE127" s="93"/>
      <c r="DF127" s="93"/>
      <c r="DG127" s="93"/>
      <c r="DH127" s="93"/>
      <c r="DI127" s="93"/>
      <c r="DJ127" s="93"/>
      <c r="DK127" s="93"/>
      <c r="DL127" s="93"/>
      <c r="DM127" s="93"/>
      <c r="DN127" s="93"/>
      <c r="DO127" s="93"/>
      <c r="DP127" s="93"/>
      <c r="DQ127" s="93"/>
      <c r="DR127" s="93"/>
      <c r="DS127" s="93"/>
      <c r="DT127" s="93"/>
      <c r="DU127" s="93"/>
      <c r="DV127" s="93"/>
      <c r="DW127" s="93"/>
      <c r="DX127" s="79"/>
      <c r="DY127" s="93">
        <v>31</v>
      </c>
      <c r="DZ127" s="93"/>
    </row>
    <row r="128" spans="1:130">
      <c r="A128" s="73"/>
      <c r="B128" s="73"/>
      <c r="C128" s="73"/>
      <c r="D128" s="73"/>
      <c r="E128" s="73"/>
      <c r="F128" s="73"/>
      <c r="G128" s="73"/>
      <c r="H128" s="73"/>
      <c r="I128" s="73"/>
      <c r="J128" s="73"/>
      <c r="K128" s="73"/>
      <c r="L128" s="73"/>
      <c r="M128" s="73"/>
      <c r="N128" s="73"/>
      <c r="O128" s="73"/>
      <c r="P128" s="73"/>
      <c r="Q128" s="73"/>
      <c r="R128" s="73"/>
      <c r="S128" s="73"/>
      <c r="T128" s="73"/>
      <c r="U128" s="73"/>
      <c r="V128" s="73"/>
      <c r="W128" s="73"/>
      <c r="X128" s="73"/>
      <c r="Y128" s="73"/>
      <c r="Z128" s="73"/>
      <c r="AA128" s="73"/>
      <c r="AB128" s="73"/>
      <c r="AC128" s="73"/>
      <c r="AD128" s="73"/>
      <c r="AE128" s="73"/>
      <c r="AF128" s="73"/>
      <c r="AG128" s="73"/>
      <c r="AH128" s="73"/>
      <c r="AI128" s="73"/>
      <c r="AJ128" s="73"/>
      <c r="AK128" s="73"/>
      <c r="AL128" s="73"/>
      <c r="AM128" s="73"/>
      <c r="AN128" s="73"/>
      <c r="AO128" s="73"/>
      <c r="AP128" s="73"/>
      <c r="AQ128" s="73"/>
      <c r="AR128" s="73"/>
      <c r="AS128" s="73"/>
      <c r="AT128" s="73"/>
      <c r="AU128" s="73"/>
      <c r="AV128" s="73"/>
      <c r="AW128" s="73"/>
      <c r="AX128" s="73"/>
      <c r="AY128" s="73"/>
      <c r="AZ128" s="73"/>
      <c r="BA128" s="73"/>
      <c r="BB128" s="73"/>
      <c r="BC128" s="73"/>
      <c r="BD128" s="73"/>
      <c r="BE128" s="73"/>
      <c r="BF128" s="73"/>
      <c r="BG128" s="73"/>
      <c r="BH128" s="73"/>
      <c r="BI128" s="73"/>
      <c r="BJ128" s="73"/>
      <c r="BK128" s="73"/>
      <c r="BL128" s="73"/>
      <c r="BM128" s="73"/>
      <c r="BN128" s="73"/>
      <c r="BO128" s="73"/>
      <c r="BP128" s="73"/>
      <c r="BQ128" s="73"/>
      <c r="BR128" s="73"/>
      <c r="BS128" s="73"/>
      <c r="BT128" s="73"/>
      <c r="BU128" s="73"/>
      <c r="BV128" s="73"/>
      <c r="BW128" s="73"/>
      <c r="BX128" s="73"/>
      <c r="BY128" s="73"/>
      <c r="BZ128" s="73"/>
      <c r="CA128" s="73"/>
      <c r="CB128" s="73"/>
      <c r="CC128" s="93"/>
      <c r="CD128" s="93"/>
      <c r="CE128" s="93"/>
      <c r="CF128" s="93"/>
      <c r="CG128" s="93"/>
      <c r="CH128" s="93"/>
      <c r="CI128" s="93"/>
      <c r="CJ128" s="93"/>
      <c r="CK128" s="93"/>
      <c r="CL128" s="93"/>
      <c r="CM128" s="93"/>
      <c r="CN128" s="93"/>
      <c r="CO128" s="93"/>
      <c r="CP128" s="93"/>
      <c r="CQ128" s="93"/>
      <c r="CR128" s="93"/>
      <c r="CS128" s="93"/>
      <c r="CT128" s="93"/>
      <c r="CU128" s="93"/>
      <c r="CV128" s="93"/>
      <c r="CW128" s="93"/>
      <c r="CX128" s="93"/>
      <c r="CY128" s="93"/>
      <c r="CZ128" s="93"/>
      <c r="DA128" s="93"/>
      <c r="DB128" s="93"/>
      <c r="DC128" s="93"/>
      <c r="DD128" s="93"/>
      <c r="DE128" s="93"/>
      <c r="DF128" s="93"/>
      <c r="DG128" s="93"/>
      <c r="DH128" s="93"/>
      <c r="DI128" s="93"/>
      <c r="DJ128" s="93"/>
      <c r="DK128" s="93"/>
      <c r="DL128" s="93"/>
      <c r="DM128" s="93"/>
      <c r="DN128" s="93"/>
      <c r="DO128" s="93"/>
      <c r="DP128" s="93"/>
      <c r="DQ128" s="93"/>
      <c r="DR128" s="93"/>
      <c r="DS128" s="93"/>
      <c r="DT128" s="93"/>
      <c r="DU128" s="93"/>
      <c r="DV128" s="93"/>
      <c r="DW128" s="93"/>
      <c r="DX128" s="79"/>
      <c r="DY128" s="73">
        <v>32</v>
      </c>
      <c r="DZ128" s="73"/>
    </row>
    <row r="129" spans="1:130">
      <c r="A129" s="114">
        <v>2</v>
      </c>
      <c r="B129" s="51"/>
      <c r="C129" s="51"/>
      <c r="D129" s="51"/>
      <c r="E129" s="51"/>
      <c r="F129" s="92"/>
      <c r="G129" s="92"/>
      <c r="H129" s="51"/>
      <c r="I129" s="51"/>
      <c r="J129" s="51"/>
      <c r="K129" s="51"/>
      <c r="L129" s="92"/>
      <c r="M129" s="51"/>
      <c r="N129" s="51"/>
      <c r="O129" s="51"/>
      <c r="P129" s="82"/>
      <c r="Q129" s="51"/>
      <c r="R129" s="51"/>
      <c r="S129" s="51"/>
      <c r="T129" s="51"/>
      <c r="U129" s="51"/>
      <c r="V129" s="92"/>
      <c r="W129" s="92"/>
      <c r="X129" s="51"/>
      <c r="Y129" s="51"/>
      <c r="Z129" s="51"/>
      <c r="AA129" s="51"/>
      <c r="AB129" s="92"/>
      <c r="AC129" s="51"/>
      <c r="AD129" s="51"/>
      <c r="AE129" s="51"/>
      <c r="AF129" s="82"/>
      <c r="AG129" s="51"/>
      <c r="AH129" s="51"/>
      <c r="AI129" s="51"/>
      <c r="AJ129" s="51"/>
      <c r="AK129" s="51"/>
      <c r="AL129" s="92"/>
      <c r="AM129" s="92"/>
      <c r="AN129" s="51"/>
      <c r="AO129" s="51"/>
      <c r="AP129" s="51"/>
      <c r="AQ129" s="51"/>
      <c r="AR129" s="92"/>
      <c r="AS129" s="51"/>
      <c r="AT129" s="51"/>
      <c r="AU129" s="51"/>
      <c r="AV129" s="82"/>
      <c r="AW129" s="51"/>
      <c r="AX129" s="51"/>
      <c r="AY129" s="51"/>
      <c r="AZ129" s="51"/>
      <c r="BA129" s="51"/>
      <c r="BB129" s="92"/>
      <c r="BC129" s="92"/>
      <c r="BD129" s="51"/>
      <c r="BE129" s="51"/>
      <c r="BF129" s="51"/>
      <c r="BG129" s="51"/>
      <c r="BH129" s="92"/>
      <c r="BI129" s="51"/>
      <c r="BJ129" s="51"/>
      <c r="BK129" s="51"/>
      <c r="BL129" s="82"/>
      <c r="BM129" s="51"/>
      <c r="BN129" s="51"/>
      <c r="BO129" s="51"/>
      <c r="BP129" s="51"/>
      <c r="BQ129" s="51"/>
      <c r="BR129" s="92"/>
      <c r="BS129" s="92"/>
      <c r="BT129" s="51"/>
      <c r="BU129" s="51"/>
      <c r="BV129" s="51"/>
      <c r="BW129" s="51"/>
      <c r="BX129" s="92"/>
      <c r="BY129" s="51"/>
      <c r="BZ129" s="51"/>
      <c r="CA129" s="51"/>
      <c r="CB129" s="51"/>
      <c r="CC129" s="108"/>
      <c r="CD129" s="109"/>
      <c r="CE129" s="109"/>
      <c r="CF129" s="109"/>
      <c r="CG129" s="109"/>
      <c r="CH129" s="110"/>
      <c r="CI129" s="110"/>
      <c r="CJ129" s="109"/>
      <c r="CK129" s="109"/>
      <c r="CL129" s="109"/>
      <c r="CM129" s="109"/>
      <c r="CN129" s="110"/>
      <c r="CO129" s="109"/>
      <c r="CP129" s="109"/>
      <c r="CQ129" s="109"/>
      <c r="CR129" s="111"/>
      <c r="CS129" s="396"/>
      <c r="CT129" s="109"/>
      <c r="CU129" s="109"/>
      <c r="CV129" s="109"/>
      <c r="CW129" s="109"/>
      <c r="CX129" s="110"/>
      <c r="CY129" s="110"/>
      <c r="CZ129" s="109"/>
      <c r="DA129" s="109"/>
      <c r="DB129" s="109"/>
      <c r="DC129" s="109"/>
      <c r="DD129" s="110"/>
      <c r="DE129" s="109"/>
      <c r="DF129" s="109"/>
      <c r="DG129" s="109"/>
      <c r="DH129" s="111"/>
      <c r="DI129" s="109"/>
      <c r="DJ129" s="109"/>
      <c r="DK129" s="109"/>
      <c r="DL129" s="109"/>
      <c r="DM129" s="109"/>
      <c r="DN129" s="110"/>
      <c r="DO129" s="110"/>
      <c r="DP129" s="109"/>
      <c r="DQ129" s="109"/>
      <c r="DR129" s="109"/>
      <c r="DS129" s="109"/>
      <c r="DT129" s="110"/>
      <c r="DU129" s="109"/>
      <c r="DV129" s="109"/>
      <c r="DW129" s="109"/>
      <c r="DX129" s="397"/>
      <c r="DY129" s="92"/>
      <c r="DZ129" s="92"/>
    </row>
    <row r="130" spans="1:130">
      <c r="A130" s="92">
        <v>8</v>
      </c>
      <c r="B130" s="52"/>
      <c r="C130" s="51"/>
      <c r="D130" s="51"/>
      <c r="E130" s="51"/>
      <c r="F130" s="52"/>
      <c r="G130" s="52"/>
      <c r="H130" s="52"/>
      <c r="I130" s="52"/>
      <c r="J130" s="52"/>
      <c r="K130" s="52"/>
      <c r="L130" s="51"/>
      <c r="M130" s="51"/>
      <c r="N130" s="51"/>
      <c r="O130" s="51"/>
      <c r="P130" s="82"/>
      <c r="Q130" s="51"/>
      <c r="R130" s="51"/>
      <c r="S130" s="51"/>
      <c r="T130" s="51"/>
      <c r="U130" s="51"/>
      <c r="V130" s="51"/>
      <c r="W130" s="51"/>
      <c r="X130" s="51"/>
      <c r="Y130" s="51"/>
      <c r="Z130" s="51"/>
      <c r="AA130" s="51"/>
      <c r="AB130" s="51"/>
      <c r="AC130" s="51"/>
      <c r="AD130" s="51"/>
      <c r="AE130" s="51"/>
      <c r="AF130" s="82"/>
      <c r="AG130" s="51"/>
      <c r="AH130" s="51"/>
      <c r="AI130" s="51"/>
      <c r="AJ130" s="51"/>
      <c r="AK130" s="51"/>
      <c r="AL130" s="51"/>
      <c r="AM130" s="51"/>
      <c r="AN130" s="51"/>
      <c r="AO130" s="51"/>
      <c r="AP130" s="51"/>
      <c r="AQ130" s="51"/>
      <c r="AR130" s="51"/>
      <c r="AS130" s="51"/>
      <c r="AT130" s="51"/>
      <c r="AU130" s="51"/>
      <c r="AV130" s="82"/>
      <c r="AW130" s="51"/>
      <c r="AX130" s="51"/>
      <c r="AY130" s="51"/>
      <c r="AZ130" s="51"/>
      <c r="BA130" s="51"/>
      <c r="BB130" s="51"/>
      <c r="BC130" s="51"/>
      <c r="BD130" s="51"/>
      <c r="BE130" s="51"/>
      <c r="BF130" s="51"/>
      <c r="BG130" s="51"/>
      <c r="BH130" s="51"/>
      <c r="BI130" s="51"/>
      <c r="BJ130" s="51"/>
      <c r="BK130" s="51"/>
      <c r="BL130" s="82"/>
      <c r="BM130" s="51"/>
      <c r="BN130" s="51"/>
      <c r="BO130" s="51"/>
      <c r="BP130" s="51"/>
      <c r="BQ130" s="51"/>
      <c r="BR130" s="51"/>
      <c r="BS130" s="51"/>
      <c r="BT130" s="51"/>
      <c r="BU130" s="51"/>
      <c r="BV130" s="51"/>
      <c r="BW130" s="51"/>
      <c r="BX130" s="51"/>
      <c r="BY130" s="51"/>
      <c r="BZ130" s="51"/>
      <c r="CA130" s="51"/>
      <c r="CB130" s="51"/>
      <c r="CC130" s="114"/>
      <c r="CD130" s="51"/>
      <c r="CE130" s="51"/>
      <c r="CF130" s="51"/>
      <c r="CG130" s="51"/>
      <c r="CH130" s="51"/>
      <c r="CI130" s="51"/>
      <c r="CJ130" s="51"/>
      <c r="CK130" s="51"/>
      <c r="CL130" s="51"/>
      <c r="CM130" s="51"/>
      <c r="CN130" s="51"/>
      <c r="CO130" s="51"/>
      <c r="CP130" s="51"/>
      <c r="CQ130" s="51"/>
      <c r="CR130" s="82"/>
      <c r="CS130" s="92"/>
      <c r="CT130" s="92"/>
      <c r="CU130" s="92"/>
      <c r="CV130" s="92"/>
      <c r="CW130" s="92"/>
      <c r="CX130" s="92"/>
      <c r="CY130" s="92"/>
      <c r="CZ130" s="92"/>
      <c r="DA130" s="92"/>
      <c r="DB130" s="92"/>
      <c r="DC130" s="92"/>
      <c r="DD130" s="92"/>
      <c r="DE130" s="92"/>
      <c r="DF130" s="92"/>
      <c r="DG130" s="92"/>
      <c r="DH130" s="113"/>
      <c r="DI130" s="92"/>
      <c r="DJ130" s="92"/>
      <c r="DK130" s="92"/>
      <c r="DL130" s="92"/>
      <c r="DM130" s="92"/>
      <c r="DN130" s="92"/>
      <c r="DO130" s="92"/>
      <c r="DP130" s="92"/>
      <c r="DQ130" s="92"/>
      <c r="DR130" s="92"/>
      <c r="DS130" s="92"/>
      <c r="DT130" s="92"/>
      <c r="DU130" s="92"/>
      <c r="DV130" s="92"/>
      <c r="DW130" s="92"/>
      <c r="DX130" s="113"/>
      <c r="DY130" s="92"/>
      <c r="DZ130" s="92"/>
    </row>
    <row r="131" spans="1:130">
      <c r="A131" s="92">
        <v>10</v>
      </c>
      <c r="B131" s="52"/>
      <c r="C131" s="52"/>
      <c r="D131" s="52"/>
      <c r="E131" s="51"/>
      <c r="F131" s="51"/>
      <c r="G131" s="40"/>
      <c r="H131" s="42"/>
      <c r="I131" s="465"/>
      <c r="J131" s="40"/>
      <c r="K131" s="52"/>
      <c r="L131" s="52"/>
      <c r="M131" s="51"/>
      <c r="N131" s="51"/>
      <c r="O131" s="51"/>
      <c r="P131" s="82"/>
      <c r="Q131" s="51"/>
      <c r="R131" s="51"/>
      <c r="S131" s="51"/>
      <c r="T131" s="41"/>
      <c r="U131" s="40"/>
      <c r="V131" s="465"/>
      <c r="W131" s="43"/>
      <c r="X131" s="40"/>
      <c r="Y131" s="51"/>
      <c r="Z131" s="51"/>
      <c r="AA131" s="51"/>
      <c r="AB131" s="51"/>
      <c r="AC131" s="51"/>
      <c r="AD131" s="51"/>
      <c r="AE131" s="51"/>
      <c r="AF131" s="82"/>
      <c r="AG131" s="51"/>
      <c r="AH131" s="51"/>
      <c r="AI131" s="51"/>
      <c r="AJ131" s="40"/>
      <c r="AK131" s="43"/>
      <c r="AL131" s="49"/>
      <c r="AM131" s="43"/>
      <c r="AN131" s="43"/>
      <c r="AO131" s="51"/>
      <c r="AP131" s="51"/>
      <c r="AQ131" s="51"/>
      <c r="AR131" s="51"/>
      <c r="AS131" s="51"/>
      <c r="AT131" s="51"/>
      <c r="AU131" s="51"/>
      <c r="AV131" s="82"/>
      <c r="AW131" s="51"/>
      <c r="AX131" s="51"/>
      <c r="AY131" s="51"/>
      <c r="AZ131" s="51"/>
      <c r="BA131" s="51"/>
      <c r="BB131" s="52"/>
      <c r="BC131" s="40"/>
      <c r="BD131" s="3"/>
      <c r="BE131" s="3"/>
      <c r="BF131" s="43"/>
      <c r="BG131" s="51"/>
      <c r="BH131" s="51"/>
      <c r="BI131" s="51"/>
      <c r="BJ131" s="51"/>
      <c r="BK131" s="51"/>
      <c r="BL131" s="82"/>
      <c r="BM131" s="51"/>
      <c r="BN131" s="51"/>
      <c r="BO131" s="51"/>
      <c r="BP131" s="51"/>
      <c r="BQ131" s="51"/>
      <c r="BR131" s="51"/>
      <c r="BS131" s="43"/>
      <c r="BT131" s="3"/>
      <c r="BU131" s="49"/>
      <c r="BV131" s="43"/>
      <c r="BW131" s="51"/>
      <c r="BX131" s="51"/>
      <c r="BY131" s="51"/>
      <c r="BZ131" s="51"/>
      <c r="CA131" s="51"/>
      <c r="CB131" s="51"/>
      <c r="CC131" s="114"/>
      <c r="CD131" s="51"/>
      <c r="CE131" s="51"/>
      <c r="CF131" s="51"/>
      <c r="CG131" s="51"/>
      <c r="CH131" s="51"/>
      <c r="CI131" s="51"/>
      <c r="CJ131" s="43"/>
      <c r="CK131" s="465"/>
      <c r="CL131" s="465"/>
      <c r="CM131" s="43"/>
      <c r="CN131" s="40"/>
      <c r="CO131" s="51"/>
      <c r="CP131" s="51"/>
      <c r="CQ131" s="51"/>
      <c r="CR131" s="82"/>
      <c r="CS131" s="92"/>
      <c r="CT131" s="92"/>
      <c r="CU131" s="92"/>
      <c r="CV131" s="92"/>
      <c r="CW131" s="92"/>
      <c r="CX131" s="92"/>
      <c r="CY131" s="92"/>
      <c r="CZ131" s="297"/>
      <c r="DA131" s="293"/>
      <c r="DB131" s="205"/>
      <c r="DC131" s="205"/>
      <c r="DD131" s="297"/>
      <c r="DE131" s="92"/>
      <c r="DF131" s="92"/>
      <c r="DG131" s="92"/>
      <c r="DH131" s="113"/>
      <c r="DI131" s="92"/>
      <c r="DJ131" s="92"/>
      <c r="DK131" s="92"/>
      <c r="DL131" s="92"/>
      <c r="DM131" s="92"/>
      <c r="DN131" s="92"/>
      <c r="DO131" s="92"/>
      <c r="DP131" s="92"/>
      <c r="DQ131" s="297"/>
      <c r="DR131" s="161"/>
      <c r="DS131" s="293"/>
      <c r="DT131" s="297"/>
      <c r="DU131" s="92"/>
      <c r="DV131" s="92"/>
      <c r="DW131" s="92"/>
      <c r="DX131" s="113"/>
      <c r="DY131" s="92"/>
      <c r="DZ131" s="92"/>
    </row>
    <row r="132" spans="1:130">
      <c r="A132" s="51">
        <v>6</v>
      </c>
      <c r="B132" s="52"/>
      <c r="C132" s="52"/>
      <c r="D132" s="52"/>
      <c r="E132" s="52"/>
      <c r="F132" s="43"/>
      <c r="G132" s="49"/>
      <c r="H132" s="49"/>
      <c r="I132" s="3"/>
      <c r="J132" s="3"/>
      <c r="K132" s="40"/>
      <c r="L132" s="52"/>
      <c r="M132" s="51"/>
      <c r="N132" s="51"/>
      <c r="O132" s="51"/>
      <c r="P132" s="82"/>
      <c r="Q132" s="51"/>
      <c r="R132" s="51"/>
      <c r="S132" s="40"/>
      <c r="T132" s="49"/>
      <c r="U132" s="49"/>
      <c r="V132" s="465"/>
      <c r="W132" s="42"/>
      <c r="X132" s="42"/>
      <c r="Y132" s="40"/>
      <c r="Z132" s="51"/>
      <c r="AA132" s="51"/>
      <c r="AB132" s="51"/>
      <c r="AC132" s="51"/>
      <c r="AD132" s="51"/>
      <c r="AE132" s="51"/>
      <c r="AF132" s="82"/>
      <c r="AG132" s="51"/>
      <c r="AH132" s="51"/>
      <c r="AI132" s="40"/>
      <c r="AJ132" s="3"/>
      <c r="AK132" s="49"/>
      <c r="AL132" s="49"/>
      <c r="AM132" s="3"/>
      <c r="AN132" s="49"/>
      <c r="AO132" s="40"/>
      <c r="AP132" s="51"/>
      <c r="AQ132" s="51"/>
      <c r="AR132" s="51"/>
      <c r="AS132" s="51"/>
      <c r="AT132" s="51"/>
      <c r="AU132" s="51"/>
      <c r="AV132" s="82"/>
      <c r="AW132" s="51"/>
      <c r="AX132" s="51"/>
      <c r="AY132" s="51"/>
      <c r="AZ132" s="51"/>
      <c r="BA132" s="41"/>
      <c r="BB132" s="40"/>
      <c r="BC132" s="55"/>
      <c r="BD132" s="3"/>
      <c r="BE132" s="3"/>
      <c r="BF132" s="3"/>
      <c r="BG132" s="43"/>
      <c r="BH132" s="51"/>
      <c r="BI132" s="51"/>
      <c r="BJ132" s="51"/>
      <c r="BK132" s="51"/>
      <c r="BL132" s="82"/>
      <c r="BM132" s="51"/>
      <c r="BN132" s="51"/>
      <c r="BO132" s="51"/>
      <c r="BP132" s="51"/>
      <c r="BQ132" s="51"/>
      <c r="BR132" s="51"/>
      <c r="BS132" s="40"/>
      <c r="BT132" s="56"/>
      <c r="BU132" s="465"/>
      <c r="BV132" s="3"/>
      <c r="BW132" s="43"/>
      <c r="BX132" s="51"/>
      <c r="BY132" s="51"/>
      <c r="BZ132" s="51"/>
      <c r="CA132" s="51"/>
      <c r="CB132" s="51"/>
      <c r="CC132" s="114"/>
      <c r="CD132" s="51"/>
      <c r="CE132" s="51"/>
      <c r="CF132" s="51"/>
      <c r="CG132" s="51"/>
      <c r="CH132" s="51"/>
      <c r="CI132" s="43"/>
      <c r="CJ132" s="34"/>
      <c r="CK132" s="49"/>
      <c r="CL132" s="42"/>
      <c r="CM132" s="42"/>
      <c r="CN132" s="3"/>
      <c r="CO132" s="40"/>
      <c r="CP132" s="51"/>
      <c r="CQ132" s="51"/>
      <c r="CR132" s="82"/>
      <c r="CS132" s="92"/>
      <c r="CT132" s="92"/>
      <c r="CU132" s="92"/>
      <c r="CV132" s="92"/>
      <c r="CW132" s="92"/>
      <c r="CX132" s="92"/>
      <c r="CY132" s="297"/>
      <c r="CZ132" s="206"/>
      <c r="DA132" s="206"/>
      <c r="DB132" s="205"/>
      <c r="DC132" s="205"/>
      <c r="DD132" s="160"/>
      <c r="DE132" s="297"/>
      <c r="DF132" s="92"/>
      <c r="DG132" s="92"/>
      <c r="DH132" s="113"/>
      <c r="DI132" s="92"/>
      <c r="DJ132" s="92"/>
      <c r="DK132" s="92"/>
      <c r="DL132" s="92"/>
      <c r="DM132" s="92"/>
      <c r="DN132" s="92"/>
      <c r="DO132" s="92"/>
      <c r="DP132" s="297"/>
      <c r="DQ132" s="205"/>
      <c r="DR132" s="205"/>
      <c r="DS132" s="205"/>
      <c r="DT132" s="205"/>
      <c r="DU132" s="297"/>
      <c r="DV132" s="92"/>
      <c r="DW132" s="92"/>
      <c r="DX132" s="113"/>
      <c r="DY132" s="92"/>
      <c r="DZ132" s="92"/>
    </row>
    <row r="133" spans="1:130">
      <c r="A133" s="112">
        <v>0</v>
      </c>
      <c r="B133" s="1"/>
      <c r="C133" s="52"/>
      <c r="D133" s="52"/>
      <c r="E133" s="52"/>
      <c r="F133" s="43"/>
      <c r="G133" s="49"/>
      <c r="H133" s="42"/>
      <c r="I133" s="49"/>
      <c r="J133" s="3"/>
      <c r="K133" s="43"/>
      <c r="L133" s="52"/>
      <c r="M133" s="52"/>
      <c r="N133" s="51"/>
      <c r="O133" s="51"/>
      <c r="P133" s="82"/>
      <c r="Q133" s="51"/>
      <c r="R133" s="51"/>
      <c r="S133" s="40"/>
      <c r="T133" s="3"/>
      <c r="U133" s="49"/>
      <c r="V133" s="49"/>
      <c r="W133" s="42"/>
      <c r="X133" s="49"/>
      <c r="Y133" s="34"/>
      <c r="Z133" s="40"/>
      <c r="AA133" s="51"/>
      <c r="AB133" s="51"/>
      <c r="AC133" s="51"/>
      <c r="AD133" s="51"/>
      <c r="AE133" s="51"/>
      <c r="AF133" s="82"/>
      <c r="AG133" s="51"/>
      <c r="AH133" s="40"/>
      <c r="AI133" s="49"/>
      <c r="AJ133" s="42"/>
      <c r="AK133" s="49"/>
      <c r="AL133" s="3"/>
      <c r="AM133" s="43"/>
      <c r="AN133" s="40"/>
      <c r="AO133" s="40"/>
      <c r="AP133" s="40"/>
      <c r="AQ133" s="51"/>
      <c r="AR133" s="51"/>
      <c r="AS133" s="51"/>
      <c r="AT133" s="51"/>
      <c r="AU133" s="51"/>
      <c r="AV133" s="82"/>
      <c r="AW133" s="51"/>
      <c r="AX133" s="51"/>
      <c r="AY133" s="51"/>
      <c r="AZ133" s="51"/>
      <c r="BA133" s="43"/>
      <c r="BB133" s="465"/>
      <c r="BC133" s="41"/>
      <c r="BD133" s="41"/>
      <c r="BE133" s="40"/>
      <c r="BF133" s="3"/>
      <c r="BG133" s="43"/>
      <c r="BH133" s="52"/>
      <c r="BI133" s="51"/>
      <c r="BJ133" s="51"/>
      <c r="BK133" s="51"/>
      <c r="BL133" s="82"/>
      <c r="BM133" s="51"/>
      <c r="BN133" s="51"/>
      <c r="BO133" s="51"/>
      <c r="BP133" s="51"/>
      <c r="BQ133" s="51"/>
      <c r="BR133" s="41"/>
      <c r="BS133" s="40"/>
      <c r="BT133" s="40"/>
      <c r="BU133" s="54"/>
      <c r="BV133" s="3"/>
      <c r="BW133" s="3"/>
      <c r="BX133" s="43"/>
      <c r="BY133" s="51"/>
      <c r="BZ133" s="92"/>
      <c r="CA133" s="51"/>
      <c r="CB133" s="51"/>
      <c r="CC133" s="114"/>
      <c r="CD133" s="51"/>
      <c r="CE133" s="51"/>
      <c r="CF133" s="51"/>
      <c r="CG133" s="51"/>
      <c r="CH133" s="43"/>
      <c r="CI133" s="34"/>
      <c r="CJ133" s="3"/>
      <c r="CK133" s="3"/>
      <c r="CL133" s="34"/>
      <c r="CM133" s="465"/>
      <c r="CN133" s="42"/>
      <c r="CO133" s="43"/>
      <c r="CP133" s="51"/>
      <c r="CQ133" s="51"/>
      <c r="CR133" s="82"/>
      <c r="CS133" s="92"/>
      <c r="CT133" s="92"/>
      <c r="CU133" s="92"/>
      <c r="CV133" s="92"/>
      <c r="CW133" s="92"/>
      <c r="CX133" s="297"/>
      <c r="CY133" s="293"/>
      <c r="CZ133" s="161"/>
      <c r="DA133" s="161"/>
      <c r="DB133" s="292"/>
      <c r="DC133" s="205"/>
      <c r="DD133" s="205"/>
      <c r="DE133" s="160"/>
      <c r="DF133" s="297"/>
      <c r="DG133" s="92"/>
      <c r="DH133" s="113"/>
      <c r="DI133" s="92"/>
      <c r="DJ133" s="92"/>
      <c r="DK133" s="92"/>
      <c r="DL133" s="92"/>
      <c r="DM133" s="92"/>
      <c r="DN133" s="92"/>
      <c r="DO133" s="297"/>
      <c r="DP133" s="205"/>
      <c r="DQ133" s="206"/>
      <c r="DR133" s="206"/>
      <c r="DS133" s="205"/>
      <c r="DT133" s="205"/>
      <c r="DU133" s="160"/>
      <c r="DV133" s="297"/>
      <c r="DW133" s="92"/>
      <c r="DX133" s="113"/>
      <c r="DY133" s="92"/>
      <c r="DZ133" s="92"/>
    </row>
    <row r="134" spans="1:130">
      <c r="A134" s="112">
        <v>96</v>
      </c>
      <c r="B134" s="1"/>
      <c r="C134" s="52"/>
      <c r="D134" s="52"/>
      <c r="E134" s="40"/>
      <c r="F134" s="465"/>
      <c r="G134" s="42"/>
      <c r="H134" s="42"/>
      <c r="I134" s="3"/>
      <c r="J134" s="3"/>
      <c r="K134" s="42"/>
      <c r="L134" s="52"/>
      <c r="M134" s="52"/>
      <c r="N134" s="51"/>
      <c r="O134" s="51"/>
      <c r="P134" s="82"/>
      <c r="Q134" s="51"/>
      <c r="R134" s="51"/>
      <c r="S134" s="43"/>
      <c r="T134" s="3"/>
      <c r="U134" s="292"/>
      <c r="V134" s="3"/>
      <c r="W134" s="3"/>
      <c r="X134" s="16"/>
      <c r="Y134" s="40"/>
      <c r="Z134" s="41"/>
      <c r="AA134" s="40"/>
      <c r="AB134" s="51"/>
      <c r="AC134" s="51"/>
      <c r="AD134" s="51"/>
      <c r="AE134" s="51"/>
      <c r="AF134" s="82"/>
      <c r="AG134" s="51"/>
      <c r="AH134" s="43"/>
      <c r="AI134" s="49"/>
      <c r="AJ134" s="49"/>
      <c r="AK134" s="49"/>
      <c r="AL134" s="40"/>
      <c r="AM134" s="41"/>
      <c r="AN134" s="39"/>
      <c r="AO134" s="41"/>
      <c r="AP134" s="41"/>
      <c r="AQ134" s="40"/>
      <c r="AR134" s="51"/>
      <c r="AS134" s="51"/>
      <c r="AT134" s="51"/>
      <c r="AU134" s="51"/>
      <c r="AV134" s="82"/>
      <c r="AW134" s="51"/>
      <c r="AX134" s="51"/>
      <c r="AY134" s="51"/>
      <c r="AZ134" s="40"/>
      <c r="BA134" s="34"/>
      <c r="BB134" s="41"/>
      <c r="BC134" s="39"/>
      <c r="BD134" s="41"/>
      <c r="BE134" s="41"/>
      <c r="BF134" s="40"/>
      <c r="BG134" s="3"/>
      <c r="BH134" s="41"/>
      <c r="BI134" s="51"/>
      <c r="BJ134" s="51"/>
      <c r="BK134" s="51"/>
      <c r="BL134" s="82"/>
      <c r="BM134" s="51"/>
      <c r="BN134" s="51"/>
      <c r="BO134" s="51"/>
      <c r="BP134" s="51"/>
      <c r="BQ134" s="51"/>
      <c r="BR134" s="41"/>
      <c r="BS134" s="41"/>
      <c r="BT134" s="41"/>
      <c r="BU134" s="40"/>
      <c r="BV134" s="55"/>
      <c r="BW134" s="3"/>
      <c r="BX134" s="55"/>
      <c r="BY134" s="51"/>
      <c r="BZ134" s="92"/>
      <c r="CA134" s="51"/>
      <c r="CB134" s="51"/>
      <c r="CC134" s="114"/>
      <c r="CD134" s="51"/>
      <c r="CE134" s="51"/>
      <c r="CF134" s="51"/>
      <c r="CG134" s="51"/>
      <c r="CH134" s="43"/>
      <c r="CI134" s="56"/>
      <c r="CJ134" s="55"/>
      <c r="CK134" s="465"/>
      <c r="CL134" s="34"/>
      <c r="CM134" s="34"/>
      <c r="CN134" s="34"/>
      <c r="CO134" s="34"/>
      <c r="CP134" s="40"/>
      <c r="CQ134" s="51"/>
      <c r="CR134" s="82"/>
      <c r="CS134" s="92"/>
      <c r="CT134" s="92"/>
      <c r="CU134" s="92"/>
      <c r="CV134" s="92"/>
      <c r="CW134" s="92"/>
      <c r="CX134" s="293"/>
      <c r="CY134" s="206"/>
      <c r="CZ134" s="161"/>
      <c r="DA134" s="292"/>
      <c r="DB134" s="206"/>
      <c r="DC134" s="206"/>
      <c r="DD134" s="205"/>
      <c r="DE134" s="160"/>
      <c r="DF134" s="297"/>
      <c r="DG134" s="92"/>
      <c r="DH134" s="113"/>
      <c r="DI134" s="92"/>
      <c r="DJ134" s="92"/>
      <c r="DK134" s="92"/>
      <c r="DL134" s="92"/>
      <c r="DM134" s="92"/>
      <c r="DN134" s="92"/>
      <c r="DO134" s="293"/>
      <c r="DP134" s="206"/>
      <c r="DQ134" s="292"/>
      <c r="DR134" s="206"/>
      <c r="DS134" s="206"/>
      <c r="DT134" s="206"/>
      <c r="DU134" s="160"/>
      <c r="DV134" s="292"/>
      <c r="DW134" s="92"/>
      <c r="DX134" s="113"/>
      <c r="DY134" s="92"/>
      <c r="DZ134" s="92"/>
    </row>
    <row r="135" spans="1:130">
      <c r="A135" s="112">
        <v>120</v>
      </c>
      <c r="B135" s="52"/>
      <c r="C135" s="52"/>
      <c r="D135" s="52"/>
      <c r="E135" s="43"/>
      <c r="F135" s="465"/>
      <c r="G135" s="42"/>
      <c r="H135" s="49"/>
      <c r="I135" s="3"/>
      <c r="J135" s="3"/>
      <c r="K135" s="465"/>
      <c r="L135" s="40"/>
      <c r="M135" s="52"/>
      <c r="N135" s="51"/>
      <c r="O135" s="51"/>
      <c r="P135" s="82"/>
      <c r="Q135" s="51"/>
      <c r="R135" s="51"/>
      <c r="S135" s="40"/>
      <c r="T135" s="3"/>
      <c r="U135" s="292"/>
      <c r="V135" s="292"/>
      <c r="W135" s="49"/>
      <c r="X135" s="43"/>
      <c r="Y135" s="41"/>
      <c r="Z135" s="41"/>
      <c r="AA135" s="39"/>
      <c r="AB135" s="40"/>
      <c r="AC135" s="51"/>
      <c r="AD135" s="51"/>
      <c r="AE135" s="51"/>
      <c r="AF135" s="82"/>
      <c r="AG135" s="51"/>
      <c r="AH135" s="41"/>
      <c r="AI135" s="49"/>
      <c r="AJ135" s="3"/>
      <c r="AK135" s="49"/>
      <c r="AL135" s="40"/>
      <c r="AM135" s="41"/>
      <c r="AN135" s="41"/>
      <c r="AO135" s="41"/>
      <c r="AP135" s="41"/>
      <c r="AQ135" s="40"/>
      <c r="AR135" s="51"/>
      <c r="AS135" s="51"/>
      <c r="AT135" s="51"/>
      <c r="AU135" s="51"/>
      <c r="AV135" s="82"/>
      <c r="AW135" s="51"/>
      <c r="AX135" s="51"/>
      <c r="AY135" s="52"/>
      <c r="AZ135" s="465"/>
      <c r="BA135" s="40"/>
      <c r="BB135" s="39"/>
      <c r="BC135" s="41"/>
      <c r="BD135" s="41"/>
      <c r="BE135" s="41"/>
      <c r="BF135" s="41"/>
      <c r="BG135" s="55"/>
      <c r="BH135" s="40"/>
      <c r="BI135" s="51"/>
      <c r="BJ135" s="51"/>
      <c r="BK135" s="51"/>
      <c r="BL135" s="82"/>
      <c r="BM135" s="51"/>
      <c r="BN135" s="51"/>
      <c r="BO135" s="51"/>
      <c r="BP135" s="51"/>
      <c r="BQ135" s="51"/>
      <c r="BR135" s="41"/>
      <c r="BS135" s="41"/>
      <c r="BT135" s="41"/>
      <c r="BU135" s="41"/>
      <c r="BV135" s="41"/>
      <c r="BW135" s="40"/>
      <c r="BX135" s="55"/>
      <c r="BY135" s="40"/>
      <c r="BZ135" s="92"/>
      <c r="CA135" s="51"/>
      <c r="CB135" s="51"/>
      <c r="CC135" s="114"/>
      <c r="CD135" s="51"/>
      <c r="CE135" s="51"/>
      <c r="CF135" s="51"/>
      <c r="CG135" s="41"/>
      <c r="CH135" s="39"/>
      <c r="CI135" s="41"/>
      <c r="CJ135" s="41"/>
      <c r="CK135" s="40"/>
      <c r="CL135" s="43"/>
      <c r="CM135" s="465"/>
      <c r="CN135" s="465"/>
      <c r="CO135" s="465"/>
      <c r="CP135" s="51"/>
      <c r="CQ135" s="51"/>
      <c r="CR135" s="82"/>
      <c r="CS135" s="92"/>
      <c r="CT135" s="92"/>
      <c r="CU135" s="92"/>
      <c r="CV135" s="92"/>
      <c r="CW135" s="301"/>
      <c r="CX135" s="161"/>
      <c r="CY135" s="297"/>
      <c r="CZ135" s="293"/>
      <c r="DA135" s="160"/>
      <c r="DB135" s="205"/>
      <c r="DC135" s="205"/>
      <c r="DD135" s="205"/>
      <c r="DE135" s="205"/>
      <c r="DF135" s="92"/>
      <c r="DG135" s="92"/>
      <c r="DH135" s="113"/>
      <c r="DI135" s="92"/>
      <c r="DJ135" s="92"/>
      <c r="DK135" s="92"/>
      <c r="DL135" s="92"/>
      <c r="DM135" s="92"/>
      <c r="DN135" s="297"/>
      <c r="DO135" s="161"/>
      <c r="DP135" s="206"/>
      <c r="DQ135" s="206"/>
      <c r="DR135" s="205"/>
      <c r="DS135" s="206"/>
      <c r="DT135" s="206"/>
      <c r="DU135" s="160"/>
      <c r="DV135" s="161"/>
      <c r="DW135" s="92"/>
      <c r="DX135" s="113"/>
      <c r="DY135" s="92"/>
      <c r="DZ135" s="92"/>
    </row>
    <row r="136" spans="1:130">
      <c r="A136" s="51">
        <v>1000</v>
      </c>
      <c r="B136" s="52"/>
      <c r="C136" s="52"/>
      <c r="D136" s="52"/>
      <c r="E136" s="43"/>
      <c r="F136" s="49"/>
      <c r="G136" s="42"/>
      <c r="H136" s="34"/>
      <c r="I136" s="201"/>
      <c r="J136" s="55"/>
      <c r="K136" s="43"/>
      <c r="L136" s="40"/>
      <c r="M136" s="52"/>
      <c r="N136" s="51"/>
      <c r="O136" s="51"/>
      <c r="P136" s="82"/>
      <c r="Q136" s="51"/>
      <c r="R136" s="51"/>
      <c r="S136" s="51"/>
      <c r="T136" s="43"/>
      <c r="U136" s="3"/>
      <c r="V136" s="292"/>
      <c r="W136" s="49"/>
      <c r="X136" s="43"/>
      <c r="Y136" s="40"/>
      <c r="Z136" s="41"/>
      <c r="AA136" s="41"/>
      <c r="AB136" s="40"/>
      <c r="AC136" s="51"/>
      <c r="AD136" s="51"/>
      <c r="AE136" s="51"/>
      <c r="AF136" s="82"/>
      <c r="AG136" s="51"/>
      <c r="AH136" s="51"/>
      <c r="AI136" s="40"/>
      <c r="AJ136" s="3"/>
      <c r="AK136" s="55"/>
      <c r="AL136" s="43"/>
      <c r="AM136" s="41"/>
      <c r="AN136" s="41"/>
      <c r="AO136" s="41"/>
      <c r="AP136" s="41"/>
      <c r="AQ136" s="41"/>
      <c r="AR136" s="51"/>
      <c r="AS136" s="51"/>
      <c r="AT136" s="51"/>
      <c r="AU136" s="51"/>
      <c r="AV136" s="82"/>
      <c r="AW136" s="51"/>
      <c r="AX136" s="51"/>
      <c r="AY136" s="51"/>
      <c r="AZ136" s="43"/>
      <c r="BA136" s="40"/>
      <c r="BB136" s="39"/>
      <c r="BC136" s="41"/>
      <c r="BD136" s="41"/>
      <c r="BE136" s="41"/>
      <c r="BF136" s="41"/>
      <c r="BG136" s="40"/>
      <c r="BH136" s="43"/>
      <c r="BI136" s="52"/>
      <c r="BJ136" s="51"/>
      <c r="BK136" s="51"/>
      <c r="BL136" s="82"/>
      <c r="BM136" s="51"/>
      <c r="BN136" s="51"/>
      <c r="BO136" s="51"/>
      <c r="BP136" s="51"/>
      <c r="BQ136" s="41"/>
      <c r="BR136" s="41"/>
      <c r="BS136" s="41"/>
      <c r="BT136" s="41"/>
      <c r="BU136" s="41"/>
      <c r="BV136" s="41"/>
      <c r="BW136" s="41"/>
      <c r="BX136" s="40"/>
      <c r="BY136" s="43"/>
      <c r="BZ136" s="92"/>
      <c r="CA136" s="51"/>
      <c r="CB136" s="51"/>
      <c r="CC136" s="114"/>
      <c r="CD136" s="51"/>
      <c r="CE136" s="51"/>
      <c r="CF136" s="41"/>
      <c r="CG136" s="39"/>
      <c r="CH136" s="39"/>
      <c r="CI136" s="41"/>
      <c r="CJ136" s="41"/>
      <c r="CK136" s="41"/>
      <c r="CL136" s="40"/>
      <c r="CM136" s="40"/>
      <c r="CN136" s="465"/>
      <c r="CO136" s="43"/>
      <c r="CP136" s="51"/>
      <c r="CQ136" s="51"/>
      <c r="CR136" s="82"/>
      <c r="CS136" s="92"/>
      <c r="CT136" s="92"/>
      <c r="CU136" s="92"/>
      <c r="CV136" s="92"/>
      <c r="CW136" s="301"/>
      <c r="CX136" s="189"/>
      <c r="CY136" s="301"/>
      <c r="CZ136" s="297"/>
      <c r="DA136" s="160"/>
      <c r="DB136" s="205"/>
      <c r="DC136" s="205"/>
      <c r="DD136" s="160"/>
      <c r="DE136" s="297"/>
      <c r="DF136" s="92"/>
      <c r="DG136" s="92"/>
      <c r="DH136" s="113"/>
      <c r="DI136" s="92"/>
      <c r="DJ136" s="92"/>
      <c r="DK136" s="92"/>
      <c r="DL136" s="92"/>
      <c r="DM136" s="92"/>
      <c r="DN136" s="293"/>
      <c r="DO136" s="205"/>
      <c r="DP136" s="205"/>
      <c r="DQ136" s="205"/>
      <c r="DR136" s="205"/>
      <c r="DS136" s="205"/>
      <c r="DT136" s="205"/>
      <c r="DU136" s="160"/>
      <c r="DV136" s="161"/>
      <c r="DW136" s="92"/>
      <c r="DX136" s="113"/>
      <c r="DY136" s="92"/>
      <c r="DZ136" s="92"/>
    </row>
    <row r="137" spans="1:130">
      <c r="A137" s="51">
        <v>500</v>
      </c>
      <c r="B137" s="52"/>
      <c r="C137" s="52"/>
      <c r="D137" s="52"/>
      <c r="E137" s="465"/>
      <c r="F137" s="49"/>
      <c r="G137" s="42"/>
      <c r="H137" s="201"/>
      <c r="I137" s="3"/>
      <c r="J137" s="49"/>
      <c r="K137" s="465"/>
      <c r="L137" s="40"/>
      <c r="M137" s="52"/>
      <c r="N137" s="51"/>
      <c r="O137" s="51"/>
      <c r="P137" s="82"/>
      <c r="Q137" s="51"/>
      <c r="R137" s="51"/>
      <c r="S137" s="51"/>
      <c r="T137" s="41"/>
      <c r="U137" s="49"/>
      <c r="V137" s="3"/>
      <c r="W137" s="3"/>
      <c r="X137" s="43"/>
      <c r="Y137" s="40"/>
      <c r="Z137" s="297"/>
      <c r="AA137" s="41"/>
      <c r="AB137" s="41"/>
      <c r="AC137" s="40"/>
      <c r="AD137" s="51"/>
      <c r="AE137" s="51"/>
      <c r="AF137" s="82"/>
      <c r="AG137" s="51"/>
      <c r="AH137" s="51"/>
      <c r="AI137" s="39"/>
      <c r="AJ137" s="49"/>
      <c r="AK137" s="3"/>
      <c r="AL137" s="43"/>
      <c r="AM137" s="41"/>
      <c r="AN137" s="40"/>
      <c r="AO137" s="41"/>
      <c r="AP137" s="41"/>
      <c r="AQ137" s="41"/>
      <c r="AR137" s="40"/>
      <c r="AS137" s="51"/>
      <c r="AT137" s="51"/>
      <c r="AU137" s="51"/>
      <c r="AV137" s="82"/>
      <c r="AW137" s="51"/>
      <c r="AX137" s="51"/>
      <c r="AY137" s="51"/>
      <c r="AZ137" s="41"/>
      <c r="BA137" s="40"/>
      <c r="BB137" s="39"/>
      <c r="BC137" s="41"/>
      <c r="BD137" s="41"/>
      <c r="BE137" s="41"/>
      <c r="BF137" s="41"/>
      <c r="BG137" s="41"/>
      <c r="BH137" s="43"/>
      <c r="BI137" s="40"/>
      <c r="BJ137" s="51"/>
      <c r="BK137" s="51"/>
      <c r="BL137" s="82"/>
      <c r="BM137" s="51"/>
      <c r="BN137" s="51"/>
      <c r="BO137" s="51"/>
      <c r="BP137" s="41"/>
      <c r="BQ137" s="41"/>
      <c r="BR137" s="41"/>
      <c r="BS137" s="41"/>
      <c r="BT137" s="41"/>
      <c r="BU137" s="41"/>
      <c r="BV137" s="41"/>
      <c r="BW137" s="40"/>
      <c r="BX137" s="41"/>
      <c r="BY137" s="41"/>
      <c r="BZ137" s="92"/>
      <c r="CA137" s="51"/>
      <c r="CB137" s="51"/>
      <c r="CC137" s="114"/>
      <c r="CD137" s="51"/>
      <c r="CE137" s="41"/>
      <c r="CF137" s="39"/>
      <c r="CG137" s="41"/>
      <c r="CH137" s="41"/>
      <c r="CI137" s="41"/>
      <c r="CJ137" s="41"/>
      <c r="CK137" s="41"/>
      <c r="CL137" s="41"/>
      <c r="CM137" s="41"/>
      <c r="CN137" s="40"/>
      <c r="CO137" s="51"/>
      <c r="CP137" s="51"/>
      <c r="CQ137" s="51"/>
      <c r="CR137" s="82"/>
      <c r="CS137" s="92"/>
      <c r="CT137" s="92"/>
      <c r="CU137" s="92"/>
      <c r="CV137" s="92"/>
      <c r="CW137" s="301"/>
      <c r="CX137" s="189"/>
      <c r="CY137" s="301"/>
      <c r="CZ137" s="293"/>
      <c r="DA137" s="160"/>
      <c r="DB137" s="205"/>
      <c r="DC137" s="160"/>
      <c r="DD137" s="160"/>
      <c r="DE137" s="92"/>
      <c r="DF137" s="92"/>
      <c r="DG137" s="92"/>
      <c r="DH137" s="113"/>
      <c r="DI137" s="92"/>
      <c r="DJ137" s="92"/>
      <c r="DK137" s="92"/>
      <c r="DL137" s="92"/>
      <c r="DM137" s="297"/>
      <c r="DN137" s="293"/>
      <c r="DO137" s="205"/>
      <c r="DP137" s="205"/>
      <c r="DQ137" s="205"/>
      <c r="DR137" s="205"/>
      <c r="DS137" s="34"/>
      <c r="DT137" s="201"/>
      <c r="DU137" s="205"/>
      <c r="DV137" s="297"/>
      <c r="DW137" s="92"/>
      <c r="DX137" s="113"/>
      <c r="DY137" s="92"/>
      <c r="DZ137" s="92"/>
    </row>
    <row r="138" spans="1:130">
      <c r="A138" s="51">
        <v>12</v>
      </c>
      <c r="B138" s="52"/>
      <c r="C138" s="52"/>
      <c r="D138" s="41"/>
      <c r="E138" s="49"/>
      <c r="F138" s="42"/>
      <c r="G138" s="49"/>
      <c r="H138" s="49"/>
      <c r="I138" s="49"/>
      <c r="J138" s="42"/>
      <c r="K138" s="465"/>
      <c r="L138" s="41"/>
      <c r="M138" s="41"/>
      <c r="N138" s="51"/>
      <c r="O138" s="51"/>
      <c r="P138" s="82"/>
      <c r="Q138" s="51"/>
      <c r="R138" s="51"/>
      <c r="S138" s="51"/>
      <c r="T138" s="51"/>
      <c r="U138" s="43"/>
      <c r="V138" s="49"/>
      <c r="W138" s="3"/>
      <c r="X138" s="54"/>
      <c r="Y138" s="43"/>
      <c r="Z138" s="40"/>
      <c r="AA138" s="40"/>
      <c r="AB138" s="41"/>
      <c r="AC138" s="40"/>
      <c r="AD138" s="51"/>
      <c r="AE138" s="51"/>
      <c r="AF138" s="82"/>
      <c r="AG138" s="51"/>
      <c r="AH138" s="51"/>
      <c r="AI138" s="51"/>
      <c r="AJ138" s="41"/>
      <c r="AK138" s="3"/>
      <c r="AL138" s="16"/>
      <c r="AM138" s="40"/>
      <c r="AN138" s="40"/>
      <c r="AO138" s="40"/>
      <c r="AP138" s="41"/>
      <c r="AQ138" s="39"/>
      <c r="AR138" s="41"/>
      <c r="AS138" s="51"/>
      <c r="AT138" s="51"/>
      <c r="AU138" s="51"/>
      <c r="AV138" s="82"/>
      <c r="AW138" s="51"/>
      <c r="AX138" s="51"/>
      <c r="AY138" s="51"/>
      <c r="AZ138" s="51"/>
      <c r="BA138" s="41"/>
      <c r="BB138" s="41"/>
      <c r="BC138" s="41"/>
      <c r="BD138" s="41"/>
      <c r="BE138" s="40"/>
      <c r="BF138" s="41"/>
      <c r="BG138" s="41"/>
      <c r="BH138" s="40"/>
      <c r="BI138" s="40"/>
      <c r="BJ138" s="51"/>
      <c r="BK138" s="51"/>
      <c r="BL138" s="82"/>
      <c r="BM138" s="51"/>
      <c r="BN138" s="51"/>
      <c r="BO138" s="51"/>
      <c r="BP138" s="41"/>
      <c r="BQ138" s="41"/>
      <c r="BR138" s="40"/>
      <c r="BS138" s="41"/>
      <c r="BT138" s="41"/>
      <c r="BU138" s="41"/>
      <c r="BV138" s="41"/>
      <c r="BW138" s="41"/>
      <c r="BX138" s="41"/>
      <c r="BY138" s="41"/>
      <c r="BZ138" s="41"/>
      <c r="CA138" s="51"/>
      <c r="CB138" s="51"/>
      <c r="CC138" s="114"/>
      <c r="CD138" s="51"/>
      <c r="CE138" s="41"/>
      <c r="CF138" s="39"/>
      <c r="CG138" s="41"/>
      <c r="CH138" s="41"/>
      <c r="CI138" s="41"/>
      <c r="CJ138" s="41"/>
      <c r="CK138" s="41"/>
      <c r="CL138" s="41"/>
      <c r="CM138" s="41"/>
      <c r="CN138" s="40"/>
      <c r="CO138" s="51"/>
      <c r="CP138" s="51"/>
      <c r="CQ138" s="51"/>
      <c r="CR138" s="82"/>
      <c r="CS138" s="92"/>
      <c r="CT138" s="92"/>
      <c r="CU138" s="92"/>
      <c r="CV138" s="92"/>
      <c r="CW138" s="301"/>
      <c r="CX138" s="189"/>
      <c r="CY138" s="301"/>
      <c r="CZ138" s="293"/>
      <c r="DA138" s="205"/>
      <c r="DB138" s="160"/>
      <c r="DC138" s="160"/>
      <c r="DD138" s="293"/>
      <c r="DE138" s="92"/>
      <c r="DF138" s="92"/>
      <c r="DG138" s="92"/>
      <c r="DH138" s="113"/>
      <c r="DI138" s="92"/>
      <c r="DJ138" s="92"/>
      <c r="DK138" s="92"/>
      <c r="DL138" s="92"/>
      <c r="DM138" s="301"/>
      <c r="DN138" s="297"/>
      <c r="DO138" s="206"/>
      <c r="DP138" s="205"/>
      <c r="DQ138" s="205"/>
      <c r="DR138" s="205"/>
      <c r="DS138" s="201"/>
      <c r="DT138" s="291"/>
      <c r="DU138" s="293"/>
      <c r="DV138" s="92"/>
      <c r="DW138" s="92"/>
      <c r="DX138" s="113"/>
      <c r="DY138" s="92"/>
      <c r="DZ138" s="92"/>
    </row>
    <row r="139" spans="1:130">
      <c r="A139" s="51">
        <v>9</v>
      </c>
      <c r="B139" s="1"/>
      <c r="C139" s="52"/>
      <c r="D139" s="41"/>
      <c r="E139" s="465"/>
      <c r="F139" s="49"/>
      <c r="G139" s="49"/>
      <c r="H139" s="42"/>
      <c r="I139" s="465"/>
      <c r="J139" s="42"/>
      <c r="K139" s="43"/>
      <c r="L139" s="40"/>
      <c r="M139" s="39"/>
      <c r="N139" s="51"/>
      <c r="O139" s="51"/>
      <c r="P139" s="82"/>
      <c r="Q139" s="51"/>
      <c r="R139" s="51"/>
      <c r="S139" s="51"/>
      <c r="T139" s="51"/>
      <c r="U139" s="41"/>
      <c r="V139" s="54"/>
      <c r="W139" s="54"/>
      <c r="X139" s="43"/>
      <c r="Y139" s="43"/>
      <c r="Z139" s="43"/>
      <c r="AA139" s="40"/>
      <c r="AB139" s="40"/>
      <c r="AC139" s="41"/>
      <c r="AD139" s="40"/>
      <c r="AE139" s="51"/>
      <c r="AF139" s="82"/>
      <c r="AG139" s="51"/>
      <c r="AH139" s="51"/>
      <c r="AI139" s="51"/>
      <c r="AJ139" s="51"/>
      <c r="AK139" s="40"/>
      <c r="AL139" s="11"/>
      <c r="AM139" s="40"/>
      <c r="AN139" s="40"/>
      <c r="AO139" s="40"/>
      <c r="AP139" s="41"/>
      <c r="AQ139" s="39"/>
      <c r="AR139" s="41"/>
      <c r="AS139" s="51"/>
      <c r="AT139" s="51"/>
      <c r="AU139" s="51"/>
      <c r="AV139" s="82"/>
      <c r="AW139" s="51"/>
      <c r="AX139" s="51"/>
      <c r="AY139" s="51"/>
      <c r="AZ139" s="51"/>
      <c r="BA139" s="41"/>
      <c r="BB139" s="39"/>
      <c r="BC139" s="41"/>
      <c r="BD139" s="40"/>
      <c r="BE139" s="40"/>
      <c r="BF139" s="41"/>
      <c r="BG139" s="41"/>
      <c r="BH139" s="41"/>
      <c r="BI139" s="41"/>
      <c r="BJ139" s="52"/>
      <c r="BK139" s="51"/>
      <c r="BL139" s="82"/>
      <c r="BM139" s="51"/>
      <c r="BN139" s="51"/>
      <c r="BO139" s="51"/>
      <c r="BP139" s="41"/>
      <c r="BQ139" s="41"/>
      <c r="BR139" s="40"/>
      <c r="BS139" s="41"/>
      <c r="BT139" s="41"/>
      <c r="BU139" s="41"/>
      <c r="BV139" s="41"/>
      <c r="BW139" s="41"/>
      <c r="BX139" s="40"/>
      <c r="BY139" s="41"/>
      <c r="BZ139" s="41"/>
      <c r="CA139" s="51"/>
      <c r="CB139" s="51"/>
      <c r="CC139" s="114"/>
      <c r="CD139" s="41"/>
      <c r="CE139" s="41"/>
      <c r="CF139" s="39"/>
      <c r="CG139" s="41"/>
      <c r="CH139" s="41"/>
      <c r="CI139" s="41"/>
      <c r="CJ139" s="41"/>
      <c r="CK139" s="40"/>
      <c r="CL139" s="41"/>
      <c r="CM139" s="41"/>
      <c r="CN139" s="40"/>
      <c r="CO139" s="51"/>
      <c r="CP139" s="51"/>
      <c r="CQ139" s="51"/>
      <c r="CR139" s="82"/>
      <c r="CS139" s="92"/>
      <c r="CT139" s="92"/>
      <c r="CU139" s="92"/>
      <c r="CV139" s="92"/>
      <c r="CW139" s="301"/>
      <c r="CX139" s="189"/>
      <c r="CY139" s="301"/>
      <c r="CZ139" s="293"/>
      <c r="DA139" s="161"/>
      <c r="DB139" s="160"/>
      <c r="DC139" s="205"/>
      <c r="DD139" s="92"/>
      <c r="DE139" s="92"/>
      <c r="DF139" s="92"/>
      <c r="DG139" s="92"/>
      <c r="DH139" s="113"/>
      <c r="DI139" s="92"/>
      <c r="DJ139" s="92"/>
      <c r="DK139" s="92"/>
      <c r="DL139" s="92"/>
      <c r="DM139" s="301"/>
      <c r="DN139" s="297"/>
      <c r="DO139" s="205"/>
      <c r="DP139" s="205"/>
      <c r="DQ139" s="205"/>
      <c r="DR139" s="205"/>
      <c r="DS139" s="161"/>
      <c r="DT139" s="161"/>
      <c r="DU139" s="297"/>
      <c r="DV139" s="92"/>
      <c r="DW139" s="92"/>
      <c r="DX139" s="113"/>
      <c r="DY139" s="92"/>
      <c r="DZ139" s="92"/>
    </row>
    <row r="140" spans="1:130">
      <c r="A140" s="51">
        <v>200</v>
      </c>
      <c r="B140" s="1"/>
      <c r="C140" s="52"/>
      <c r="D140" s="39"/>
      <c r="E140" s="465"/>
      <c r="F140" s="42"/>
      <c r="G140" s="49"/>
      <c r="H140" s="55"/>
      <c r="I140" s="43"/>
      <c r="J140" s="43"/>
      <c r="K140" s="40"/>
      <c r="L140" s="40"/>
      <c r="M140" s="41"/>
      <c r="N140" s="52"/>
      <c r="O140" s="52"/>
      <c r="P140" s="82"/>
      <c r="Q140" s="51"/>
      <c r="R140" s="51"/>
      <c r="S140" s="51"/>
      <c r="T140" s="51"/>
      <c r="U140" s="51"/>
      <c r="V140" s="43"/>
      <c r="W140" s="40"/>
      <c r="X140" s="40"/>
      <c r="Y140" s="40"/>
      <c r="Z140" s="40"/>
      <c r="AA140" s="43"/>
      <c r="AB140" s="41"/>
      <c r="AC140" s="41"/>
      <c r="AD140" s="40"/>
      <c r="AE140" s="51"/>
      <c r="AF140" s="82"/>
      <c r="AG140" s="51"/>
      <c r="AH140" s="51"/>
      <c r="AI140" s="51"/>
      <c r="AJ140" s="51"/>
      <c r="AK140" s="51"/>
      <c r="AL140" s="51"/>
      <c r="AM140" s="40"/>
      <c r="AN140" s="40"/>
      <c r="AO140" s="40"/>
      <c r="AP140" s="41"/>
      <c r="AQ140" s="39"/>
      <c r="AR140" s="41"/>
      <c r="AS140" s="51"/>
      <c r="AT140" s="51"/>
      <c r="AU140" s="51"/>
      <c r="AV140" s="82"/>
      <c r="AW140" s="51"/>
      <c r="AX140" s="51"/>
      <c r="AY140" s="51"/>
      <c r="AZ140" s="51"/>
      <c r="BA140" s="41"/>
      <c r="BB140" s="39"/>
      <c r="BC140" s="41"/>
      <c r="BD140" s="40"/>
      <c r="BE140" s="40"/>
      <c r="BF140" s="41"/>
      <c r="BG140" s="41"/>
      <c r="BH140" s="41"/>
      <c r="BI140" s="41"/>
      <c r="BJ140" s="41"/>
      <c r="BK140" s="51"/>
      <c r="BL140" s="82"/>
      <c r="BM140" s="51"/>
      <c r="BN140" s="51"/>
      <c r="BO140" s="51"/>
      <c r="BP140" s="41"/>
      <c r="BQ140" s="40"/>
      <c r="BR140" s="40"/>
      <c r="BS140" s="41"/>
      <c r="BT140" s="41"/>
      <c r="BU140" s="41"/>
      <c r="BV140" s="40"/>
      <c r="BW140" s="40"/>
      <c r="BX140" s="43"/>
      <c r="BY140" s="41"/>
      <c r="BZ140" s="41"/>
      <c r="CA140" s="51"/>
      <c r="CB140" s="92"/>
      <c r="CC140" s="114"/>
      <c r="CD140" s="41"/>
      <c r="CE140" s="41"/>
      <c r="CF140" s="41"/>
      <c r="CG140" s="41"/>
      <c r="CH140" s="39"/>
      <c r="CI140" s="41"/>
      <c r="CJ140" s="41"/>
      <c r="CK140" s="40"/>
      <c r="CL140" s="40"/>
      <c r="CM140" s="41"/>
      <c r="CN140" s="41"/>
      <c r="CO140" s="40"/>
      <c r="CP140" s="51"/>
      <c r="CQ140" s="51"/>
      <c r="CR140" s="82"/>
      <c r="CS140" s="92"/>
      <c r="CT140" s="92"/>
      <c r="CU140" s="92"/>
      <c r="CV140" s="92"/>
      <c r="CW140" s="301"/>
      <c r="CX140" s="189"/>
      <c r="CY140" s="301"/>
      <c r="CZ140" s="297"/>
      <c r="DA140" s="291"/>
      <c r="DB140" s="205"/>
      <c r="DC140" s="92"/>
      <c r="DD140" s="92"/>
      <c r="DE140" s="92"/>
      <c r="DF140" s="92"/>
      <c r="DG140" s="92"/>
      <c r="DH140" s="113"/>
      <c r="DI140" s="92"/>
      <c r="DJ140" s="92"/>
      <c r="DK140" s="92"/>
      <c r="DL140" s="301"/>
      <c r="DM140" s="189"/>
      <c r="DN140" s="293"/>
      <c r="DO140" s="290"/>
      <c r="DP140" s="293"/>
      <c r="DQ140" s="160"/>
      <c r="DR140" s="290"/>
      <c r="DS140" s="293"/>
      <c r="DT140" s="297"/>
      <c r="DU140" s="92"/>
      <c r="DV140" s="92"/>
      <c r="DW140" s="92"/>
      <c r="DX140" s="113"/>
      <c r="DY140" s="92"/>
      <c r="DZ140" s="92"/>
    </row>
    <row r="141" spans="1:130">
      <c r="A141" s="51">
        <v>250</v>
      </c>
      <c r="B141" s="52"/>
      <c r="C141" s="52"/>
      <c r="D141" s="41"/>
      <c r="E141" s="465"/>
      <c r="F141" s="293"/>
      <c r="G141" s="16"/>
      <c r="H141" s="43"/>
      <c r="I141" s="40"/>
      <c r="J141" s="297"/>
      <c r="K141" s="40"/>
      <c r="L141" s="40"/>
      <c r="M141" s="40"/>
      <c r="N141" s="41"/>
      <c r="O141" s="51"/>
      <c r="P141" s="113"/>
      <c r="Q141" s="51"/>
      <c r="R141" s="92"/>
      <c r="S141" s="51"/>
      <c r="T141" s="51"/>
      <c r="U141" s="51"/>
      <c r="V141" s="297"/>
      <c r="W141" s="40"/>
      <c r="X141" s="40"/>
      <c r="Y141" s="40"/>
      <c r="Z141" s="40"/>
      <c r="AA141" s="40"/>
      <c r="AB141" s="297"/>
      <c r="AC141" s="41"/>
      <c r="AD141" s="40"/>
      <c r="AE141" s="51"/>
      <c r="AF141" s="113"/>
      <c r="AG141" s="51"/>
      <c r="AH141" s="92"/>
      <c r="AI141" s="51"/>
      <c r="AJ141" s="51"/>
      <c r="AK141" s="51"/>
      <c r="AL141" s="92"/>
      <c r="AM141" s="40"/>
      <c r="AN141" s="40"/>
      <c r="AO141" s="41"/>
      <c r="AP141" s="301"/>
      <c r="AQ141" s="39"/>
      <c r="AR141" s="41"/>
      <c r="AS141" s="51"/>
      <c r="AT141" s="92"/>
      <c r="AU141" s="51"/>
      <c r="AV141" s="113"/>
      <c r="AW141" s="51"/>
      <c r="AX141" s="92"/>
      <c r="AY141" s="51"/>
      <c r="AZ141" s="51"/>
      <c r="BA141" s="39"/>
      <c r="BB141" s="301"/>
      <c r="BC141" s="40"/>
      <c r="BD141" s="40"/>
      <c r="BE141" s="40"/>
      <c r="BF141" s="297"/>
      <c r="BG141" s="40"/>
      <c r="BH141" s="40"/>
      <c r="BI141" s="40"/>
      <c r="BJ141" s="41"/>
      <c r="BK141" s="51"/>
      <c r="BL141" s="113"/>
      <c r="BM141" s="51"/>
      <c r="BN141" s="92"/>
      <c r="BO141" s="51"/>
      <c r="BP141" s="41"/>
      <c r="BQ141" s="40"/>
      <c r="BR141" s="297"/>
      <c r="BS141" s="41"/>
      <c r="BT141" s="40"/>
      <c r="BU141" s="40"/>
      <c r="BV141" s="297"/>
      <c r="BW141" s="40"/>
      <c r="BX141" s="40"/>
      <c r="BY141" s="41"/>
      <c r="BZ141" s="301"/>
      <c r="CA141" s="92"/>
      <c r="CB141" s="92"/>
      <c r="CC141" s="114"/>
      <c r="CD141" s="41"/>
      <c r="CE141" s="39"/>
      <c r="CF141" s="41"/>
      <c r="CG141" s="41"/>
      <c r="CH141" s="301"/>
      <c r="CI141" s="40"/>
      <c r="CJ141" s="40"/>
      <c r="CK141" s="40"/>
      <c r="CL141" s="301"/>
      <c r="CM141" s="41"/>
      <c r="CN141" s="41"/>
      <c r="CO141" s="40"/>
      <c r="CP141" s="92"/>
      <c r="CQ141" s="51"/>
      <c r="CR141" s="113"/>
      <c r="CS141" s="51"/>
      <c r="CT141" s="92"/>
      <c r="CU141" s="51"/>
      <c r="CV141" s="51"/>
      <c r="CW141" s="301"/>
      <c r="CX141" s="301"/>
      <c r="CY141" s="41"/>
      <c r="CZ141" s="40"/>
      <c r="DA141" s="42"/>
      <c r="DB141" s="293"/>
      <c r="DC141" s="51"/>
      <c r="DD141" s="51"/>
      <c r="DE141" s="51"/>
      <c r="DF141" s="92"/>
      <c r="DG141" s="51"/>
      <c r="DH141" s="113"/>
      <c r="DI141" s="51"/>
      <c r="DJ141" s="92"/>
      <c r="DK141" s="51"/>
      <c r="DL141" s="301"/>
      <c r="DM141" s="189"/>
      <c r="DN141" s="293"/>
      <c r="DO141" s="43"/>
      <c r="DP141" s="43"/>
      <c r="DQ141" s="3"/>
      <c r="DR141" s="293"/>
      <c r="DS141" s="43"/>
      <c r="DT141" s="297"/>
      <c r="DU141" s="51"/>
      <c r="DV141" s="92"/>
      <c r="DW141" s="51"/>
      <c r="DX141" s="113"/>
      <c r="DY141" s="92"/>
      <c r="DZ141" s="92"/>
    </row>
    <row r="142" spans="1:130">
      <c r="A142" s="51">
        <v>88</v>
      </c>
      <c r="B142" s="52"/>
      <c r="C142" s="189"/>
      <c r="D142" s="301"/>
      <c r="E142" s="297"/>
      <c r="F142" s="40"/>
      <c r="G142" s="55"/>
      <c r="H142" s="40"/>
      <c r="I142" s="40"/>
      <c r="J142" s="40"/>
      <c r="K142" s="297"/>
      <c r="L142" s="297"/>
      <c r="M142" s="297"/>
      <c r="N142" s="41"/>
      <c r="O142" s="92"/>
      <c r="P142" s="113"/>
      <c r="Q142" s="92"/>
      <c r="R142" s="92"/>
      <c r="S142" s="92"/>
      <c r="T142" s="92"/>
      <c r="U142" s="51"/>
      <c r="V142" s="41"/>
      <c r="W142" s="40"/>
      <c r="X142" s="41"/>
      <c r="Y142" s="40"/>
      <c r="Z142" s="40"/>
      <c r="AA142" s="43"/>
      <c r="AB142" s="297"/>
      <c r="AC142" s="301"/>
      <c r="AD142" s="301"/>
      <c r="AE142" s="92"/>
      <c r="AF142" s="113"/>
      <c r="AG142" s="92"/>
      <c r="AH142" s="92"/>
      <c r="AI142" s="92"/>
      <c r="AJ142" s="92"/>
      <c r="AK142" s="92"/>
      <c r="AL142" s="51"/>
      <c r="AM142" s="40"/>
      <c r="AN142" s="40"/>
      <c r="AO142" s="41"/>
      <c r="AP142" s="41"/>
      <c r="AQ142" s="297"/>
      <c r="AR142" s="301"/>
      <c r="AS142" s="92"/>
      <c r="AT142" s="92"/>
      <c r="AU142" s="92"/>
      <c r="AV142" s="113"/>
      <c r="AW142" s="92"/>
      <c r="AX142" s="92"/>
      <c r="AY142" s="92"/>
      <c r="AZ142" s="92"/>
      <c r="BA142" s="301"/>
      <c r="BB142" s="41"/>
      <c r="BC142" s="40"/>
      <c r="BD142" s="40"/>
      <c r="BE142" s="41"/>
      <c r="BF142" s="41"/>
      <c r="BG142" s="301"/>
      <c r="BH142" s="301"/>
      <c r="BI142" s="297"/>
      <c r="BJ142" s="41"/>
      <c r="BK142" s="92"/>
      <c r="BL142" s="113"/>
      <c r="BM142" s="92"/>
      <c r="BN142" s="92"/>
      <c r="BO142" s="92"/>
      <c r="BP142" s="297"/>
      <c r="BQ142" s="297"/>
      <c r="BR142" s="41"/>
      <c r="BS142" s="41"/>
      <c r="BT142" s="41"/>
      <c r="BU142" s="41"/>
      <c r="BV142" s="41"/>
      <c r="BW142" s="301"/>
      <c r="BX142" s="297"/>
      <c r="BY142" s="297"/>
      <c r="BZ142" s="297"/>
      <c r="CA142" s="92"/>
      <c r="CB142" s="92"/>
      <c r="CC142" s="112"/>
      <c r="CD142" s="41"/>
      <c r="CE142" s="189"/>
      <c r="CF142" s="297"/>
      <c r="CG142" s="301"/>
      <c r="CH142" s="41"/>
      <c r="CI142" s="41"/>
      <c r="CJ142" s="41"/>
      <c r="CK142" s="40"/>
      <c r="CL142" s="41"/>
      <c r="CM142" s="297"/>
      <c r="CN142" s="41"/>
      <c r="CO142" s="40"/>
      <c r="CP142" s="92"/>
      <c r="CQ142" s="92"/>
      <c r="CR142" s="113"/>
      <c r="CS142" s="92"/>
      <c r="CT142" s="92"/>
      <c r="CU142" s="92"/>
      <c r="CV142" s="92"/>
      <c r="CW142" s="301"/>
      <c r="CX142" s="41"/>
      <c r="CY142" s="41"/>
      <c r="CZ142" s="40"/>
      <c r="DA142" s="43"/>
      <c r="DB142" s="40"/>
      <c r="DC142" s="92"/>
      <c r="DD142" s="92"/>
      <c r="DE142" s="92"/>
      <c r="DF142" s="92"/>
      <c r="DG142" s="92"/>
      <c r="DH142" s="113"/>
      <c r="DI142" s="92"/>
      <c r="DJ142" s="92"/>
      <c r="DK142" s="301"/>
      <c r="DL142" s="189"/>
      <c r="DM142" s="301"/>
      <c r="DN142" s="40"/>
      <c r="DO142" s="40"/>
      <c r="DP142" s="43"/>
      <c r="DQ142" s="49"/>
      <c r="DR142" s="40"/>
      <c r="DS142" s="43"/>
      <c r="DT142" s="297"/>
      <c r="DU142" s="92"/>
      <c r="DV142" s="92"/>
      <c r="DW142" s="92"/>
      <c r="DX142" s="113"/>
      <c r="DY142" s="92"/>
      <c r="DZ142" s="92"/>
    </row>
    <row r="143" spans="1:130">
      <c r="A143" s="51">
        <v>127</v>
      </c>
      <c r="B143" s="52"/>
      <c r="C143" s="39"/>
      <c r="D143" s="301"/>
      <c r="E143" s="297"/>
      <c r="F143" s="40"/>
      <c r="G143" s="55"/>
      <c r="H143" s="40"/>
      <c r="I143" s="40"/>
      <c r="J143" s="40"/>
      <c r="K143" s="43"/>
      <c r="L143" s="297"/>
      <c r="M143" s="40"/>
      <c r="N143" s="41"/>
      <c r="O143" s="92"/>
      <c r="P143" s="113"/>
      <c r="Q143" s="92"/>
      <c r="R143" s="92"/>
      <c r="S143" s="51"/>
      <c r="T143" s="92"/>
      <c r="U143" s="51"/>
      <c r="V143" s="41"/>
      <c r="W143" s="40"/>
      <c r="X143" s="41"/>
      <c r="Y143" s="40"/>
      <c r="Z143" s="40"/>
      <c r="AA143" s="40"/>
      <c r="AB143" s="43"/>
      <c r="AC143" s="41"/>
      <c r="AD143" s="301"/>
      <c r="AE143" s="40"/>
      <c r="AF143" s="113"/>
      <c r="AG143" s="92"/>
      <c r="AH143" s="92"/>
      <c r="AI143" s="51"/>
      <c r="AJ143" s="92"/>
      <c r="AK143" s="92"/>
      <c r="AL143" s="51"/>
      <c r="AM143" s="40"/>
      <c r="AN143" s="40"/>
      <c r="AO143" s="41"/>
      <c r="AP143" s="41"/>
      <c r="AQ143" s="297"/>
      <c r="AR143" s="301"/>
      <c r="AS143" s="51"/>
      <c r="AT143" s="92"/>
      <c r="AU143" s="92"/>
      <c r="AV143" s="113"/>
      <c r="AW143" s="92"/>
      <c r="AX143" s="92"/>
      <c r="AY143" s="92"/>
      <c r="AZ143" s="92"/>
      <c r="BA143" s="301"/>
      <c r="BB143" s="41"/>
      <c r="BC143" s="40"/>
      <c r="BD143" s="40"/>
      <c r="BE143" s="40"/>
      <c r="BF143" s="41"/>
      <c r="BG143" s="301"/>
      <c r="BH143" s="301"/>
      <c r="BI143" s="40"/>
      <c r="BJ143" s="301"/>
      <c r="BK143" s="92"/>
      <c r="BL143" s="113"/>
      <c r="BM143" s="92"/>
      <c r="BN143" s="92"/>
      <c r="BO143" s="41"/>
      <c r="BP143" s="297"/>
      <c r="BQ143" s="297"/>
      <c r="BR143" s="41"/>
      <c r="BS143" s="41"/>
      <c r="BT143" s="41"/>
      <c r="BU143" s="41"/>
      <c r="BV143" s="41"/>
      <c r="BW143" s="301"/>
      <c r="BX143" s="297"/>
      <c r="BY143" s="40"/>
      <c r="BZ143" s="297"/>
      <c r="CA143" s="41"/>
      <c r="CB143" s="92"/>
      <c r="CC143" s="112"/>
      <c r="CD143" s="41"/>
      <c r="CE143" s="41"/>
      <c r="CF143" s="297"/>
      <c r="CG143" s="301"/>
      <c r="CH143" s="41"/>
      <c r="CI143" s="41"/>
      <c r="CJ143" s="41"/>
      <c r="CK143" s="40"/>
      <c r="CL143" s="40"/>
      <c r="CM143" s="297"/>
      <c r="CN143" s="301"/>
      <c r="CO143" s="41"/>
      <c r="CP143" s="92"/>
      <c r="CQ143" s="92"/>
      <c r="CR143" s="113"/>
      <c r="CS143" s="92"/>
      <c r="CT143" s="92"/>
      <c r="CU143" s="51"/>
      <c r="CV143" s="92"/>
      <c r="CW143" s="301"/>
      <c r="CX143" s="189"/>
      <c r="CY143" s="41"/>
      <c r="CZ143" s="40"/>
      <c r="DA143" s="40"/>
      <c r="DB143" s="40"/>
      <c r="DC143" s="92"/>
      <c r="DD143" s="92"/>
      <c r="DE143" s="51"/>
      <c r="DF143" s="92"/>
      <c r="DG143" s="92"/>
      <c r="DH143" s="113"/>
      <c r="DI143" s="92"/>
      <c r="DJ143" s="92"/>
      <c r="DK143" s="301"/>
      <c r="DL143" s="301"/>
      <c r="DM143" s="301"/>
      <c r="DN143" s="40"/>
      <c r="DO143" s="40"/>
      <c r="DP143" s="465"/>
      <c r="DQ143" s="43"/>
      <c r="DR143" s="40"/>
      <c r="DS143" s="43"/>
      <c r="DT143" s="297"/>
      <c r="DU143" s="51"/>
      <c r="DV143" s="92"/>
      <c r="DW143" s="92"/>
      <c r="DX143" s="113"/>
      <c r="DY143" s="92"/>
      <c r="DZ143" s="92"/>
    </row>
    <row r="144" spans="1:130">
      <c r="A144" s="51">
        <v>1</v>
      </c>
      <c r="B144" s="51"/>
      <c r="C144" s="39"/>
      <c r="D144" s="297"/>
      <c r="E144" s="297"/>
      <c r="F144" s="40"/>
      <c r="G144" s="41"/>
      <c r="H144" s="17"/>
      <c r="I144" s="11"/>
      <c r="J144" s="40"/>
      <c r="K144" s="297"/>
      <c r="L144" s="43"/>
      <c r="M144" s="40"/>
      <c r="N144" s="301"/>
      <c r="O144" s="92"/>
      <c r="P144" s="82"/>
      <c r="Q144" s="92"/>
      <c r="R144" s="92"/>
      <c r="S144" s="51"/>
      <c r="T144" s="92"/>
      <c r="U144" s="92"/>
      <c r="V144" s="40"/>
      <c r="W144" s="17"/>
      <c r="X144" s="41"/>
      <c r="Y144" s="41"/>
      <c r="Z144" s="40"/>
      <c r="AA144" s="40"/>
      <c r="AB144" s="43"/>
      <c r="AC144" s="39"/>
      <c r="AD144" s="301"/>
      <c r="AE144" s="40"/>
      <c r="AF144" s="82"/>
      <c r="AG144" s="92"/>
      <c r="AH144" s="92"/>
      <c r="AI144" s="51"/>
      <c r="AJ144" s="92"/>
      <c r="AK144" s="92"/>
      <c r="AL144" s="51"/>
      <c r="AM144" s="41"/>
      <c r="AN144" s="41"/>
      <c r="AO144" s="41"/>
      <c r="AP144" s="41"/>
      <c r="AQ144" s="297"/>
      <c r="AR144" s="301"/>
      <c r="AS144" s="51"/>
      <c r="AT144" s="92"/>
      <c r="AU144" s="92"/>
      <c r="AV144" s="82"/>
      <c r="AW144" s="92"/>
      <c r="AX144" s="92"/>
      <c r="AY144" s="92"/>
      <c r="AZ144" s="301"/>
      <c r="BA144" s="297"/>
      <c r="BB144" s="40"/>
      <c r="BC144" s="43"/>
      <c r="BD144" s="40"/>
      <c r="BE144" s="41"/>
      <c r="BF144" s="40"/>
      <c r="BG144" s="297"/>
      <c r="BH144" s="301"/>
      <c r="BI144" s="40"/>
      <c r="BJ144" s="301"/>
      <c r="BK144" s="92"/>
      <c r="BL144" s="82"/>
      <c r="BM144" s="92"/>
      <c r="BN144" s="92"/>
      <c r="BO144" s="41"/>
      <c r="BP144" s="301"/>
      <c r="BQ144" s="301"/>
      <c r="BR144" s="41"/>
      <c r="BS144" s="41"/>
      <c r="BT144" s="40"/>
      <c r="BU144" s="40"/>
      <c r="BV144" s="40"/>
      <c r="BW144" s="297"/>
      <c r="BX144" s="301"/>
      <c r="BY144" s="40"/>
      <c r="BZ144" s="301"/>
      <c r="CA144" s="301"/>
      <c r="CB144" s="92"/>
      <c r="CC144" s="112"/>
      <c r="CD144" s="92"/>
      <c r="CE144" s="41"/>
      <c r="CF144" s="40"/>
      <c r="CG144" s="301"/>
      <c r="CH144" s="41"/>
      <c r="CI144" s="41"/>
      <c r="CJ144" s="41"/>
      <c r="CK144" s="41"/>
      <c r="CL144" s="56"/>
      <c r="CM144" s="301"/>
      <c r="CN144" s="297"/>
      <c r="CO144" s="40"/>
      <c r="CP144" s="92"/>
      <c r="CQ144" s="92"/>
      <c r="CR144" s="82"/>
      <c r="CS144" s="92"/>
      <c r="CT144" s="92"/>
      <c r="CU144" s="51"/>
      <c r="CV144" s="92"/>
      <c r="CW144" s="297"/>
      <c r="CX144" s="43"/>
      <c r="CY144" s="43"/>
      <c r="CZ144" s="40"/>
      <c r="DA144" s="40"/>
      <c r="DB144" s="40"/>
      <c r="DC144" s="92"/>
      <c r="DD144" s="92"/>
      <c r="DE144" s="51"/>
      <c r="DF144" s="92"/>
      <c r="DG144" s="92"/>
      <c r="DH144" s="82"/>
      <c r="DI144" s="92"/>
      <c r="DJ144" s="92"/>
      <c r="DK144" s="301"/>
      <c r="DL144" s="301"/>
      <c r="DM144" s="297"/>
      <c r="DN144" s="40"/>
      <c r="DO144" s="40"/>
      <c r="DP144" s="40"/>
      <c r="DQ144" s="40"/>
      <c r="DR144" s="11"/>
      <c r="DS144" s="43"/>
      <c r="DT144" s="297"/>
      <c r="DU144" s="92"/>
      <c r="DV144" s="92"/>
      <c r="DW144" s="92"/>
      <c r="DX144" s="82"/>
      <c r="DY144" s="92"/>
      <c r="DZ144" s="92"/>
    </row>
    <row r="145" spans="1:130">
      <c r="A145" s="51">
        <v>12</v>
      </c>
      <c r="B145" s="52"/>
      <c r="C145" s="301"/>
      <c r="D145" s="297"/>
      <c r="E145" s="297"/>
      <c r="F145" s="43"/>
      <c r="G145" s="41"/>
      <c r="H145" s="17"/>
      <c r="I145" s="3"/>
      <c r="J145" s="43"/>
      <c r="K145" s="301"/>
      <c r="L145" s="43"/>
      <c r="M145" s="199"/>
      <c r="N145" s="301"/>
      <c r="O145" s="189"/>
      <c r="P145" s="82"/>
      <c r="Q145" s="92"/>
      <c r="R145" s="92"/>
      <c r="S145" s="92"/>
      <c r="T145" s="92"/>
      <c r="U145" s="92"/>
      <c r="V145" s="40"/>
      <c r="W145" s="11"/>
      <c r="X145" s="40"/>
      <c r="Y145" s="41"/>
      <c r="Z145" s="40"/>
      <c r="AA145" s="40"/>
      <c r="AB145" s="297"/>
      <c r="AC145" s="297"/>
      <c r="AD145" s="297"/>
      <c r="AE145" s="301"/>
      <c r="AF145" s="82"/>
      <c r="AG145" s="92"/>
      <c r="AH145" s="92"/>
      <c r="AI145" s="92"/>
      <c r="AJ145" s="92"/>
      <c r="AK145" s="92"/>
      <c r="AL145" s="51"/>
      <c r="AM145" s="41"/>
      <c r="AN145" s="41"/>
      <c r="AO145" s="40"/>
      <c r="AP145" s="40"/>
      <c r="AQ145" s="50"/>
      <c r="AR145" s="301"/>
      <c r="AS145" s="92"/>
      <c r="AT145" s="92"/>
      <c r="AU145" s="92"/>
      <c r="AV145" s="82"/>
      <c r="AW145" s="92"/>
      <c r="AX145" s="92"/>
      <c r="AY145" s="92"/>
      <c r="AZ145" s="301"/>
      <c r="BA145" s="298"/>
      <c r="BB145" s="11"/>
      <c r="BC145" s="54"/>
      <c r="BD145" s="40"/>
      <c r="BE145" s="41"/>
      <c r="BF145" s="41"/>
      <c r="BG145" s="297"/>
      <c r="BH145" s="301"/>
      <c r="BI145" s="301"/>
      <c r="BJ145" s="301"/>
      <c r="BK145" s="92"/>
      <c r="BL145" s="82"/>
      <c r="BM145" s="92"/>
      <c r="BN145" s="92"/>
      <c r="BO145" s="297"/>
      <c r="BP145" s="293"/>
      <c r="BQ145" s="297"/>
      <c r="BR145" s="39"/>
      <c r="BS145" s="41"/>
      <c r="BT145" s="41"/>
      <c r="BU145" s="41"/>
      <c r="BV145" s="41"/>
      <c r="BW145" s="301"/>
      <c r="BX145" s="301"/>
      <c r="BY145" s="297"/>
      <c r="BZ145" s="199"/>
      <c r="CA145" s="207"/>
      <c r="CB145" s="92"/>
      <c r="CC145" s="112"/>
      <c r="CD145" s="92"/>
      <c r="CE145" s="92"/>
      <c r="CF145" s="297"/>
      <c r="CG145" s="301"/>
      <c r="CH145" s="41"/>
      <c r="CI145" s="41"/>
      <c r="CJ145" s="41"/>
      <c r="CK145" s="41"/>
      <c r="CL145" s="56"/>
      <c r="CM145" s="293"/>
      <c r="CN145" s="207"/>
      <c r="CO145" s="298"/>
      <c r="CP145" s="297"/>
      <c r="CQ145" s="92"/>
      <c r="CR145" s="82"/>
      <c r="CS145" s="92"/>
      <c r="CT145" s="92"/>
      <c r="CU145" s="92"/>
      <c r="CV145" s="301"/>
      <c r="CW145" s="293"/>
      <c r="CX145" s="10"/>
      <c r="CY145" s="17"/>
      <c r="CZ145" s="43"/>
      <c r="DA145" s="40"/>
      <c r="DB145" s="40"/>
      <c r="DC145" s="92"/>
      <c r="DD145" s="92"/>
      <c r="DE145" s="92"/>
      <c r="DF145" s="92"/>
      <c r="DG145" s="92"/>
      <c r="DH145" s="82"/>
      <c r="DI145" s="92"/>
      <c r="DJ145" s="92"/>
      <c r="DK145" s="189"/>
      <c r="DL145" s="301"/>
      <c r="DM145" s="301"/>
      <c r="DN145" s="40"/>
      <c r="DO145" s="40"/>
      <c r="DP145" s="40"/>
      <c r="DQ145" s="40"/>
      <c r="DR145" s="11"/>
      <c r="DS145" s="43"/>
      <c r="DT145" s="297"/>
      <c r="DU145" s="92"/>
      <c r="DV145" s="51"/>
      <c r="DW145" s="92"/>
      <c r="DX145" s="82"/>
      <c r="DY145" s="92"/>
      <c r="DZ145" s="92"/>
    </row>
    <row r="146" spans="1:130">
      <c r="A146" s="51">
        <v>30</v>
      </c>
      <c r="B146" s="51"/>
      <c r="C146" s="301"/>
      <c r="D146" s="41"/>
      <c r="E146" s="43"/>
      <c r="F146" s="41"/>
      <c r="G146" s="41"/>
      <c r="H146" s="43"/>
      <c r="I146" s="20"/>
      <c r="J146" s="48"/>
      <c r="K146" s="40"/>
      <c r="L146" s="301"/>
      <c r="M146" s="199"/>
      <c r="N146" s="40"/>
      <c r="O146" s="41"/>
      <c r="P146" s="82"/>
      <c r="Q146" s="51"/>
      <c r="R146" s="51"/>
      <c r="S146" s="92"/>
      <c r="T146" s="51"/>
      <c r="U146" s="52"/>
      <c r="V146" s="41"/>
      <c r="W146" s="16"/>
      <c r="X146" s="43"/>
      <c r="Y146" s="44"/>
      <c r="Z146" s="44"/>
      <c r="AA146" s="40"/>
      <c r="AB146" s="61"/>
      <c r="AC146" s="298"/>
      <c r="AD146" s="54"/>
      <c r="AE146" s="41"/>
      <c r="AF146" s="82"/>
      <c r="AG146" s="51"/>
      <c r="AH146" s="51"/>
      <c r="AI146" s="92"/>
      <c r="AJ146" s="51"/>
      <c r="AK146" s="52"/>
      <c r="AL146" s="51"/>
      <c r="AM146" s="41"/>
      <c r="AN146" s="40"/>
      <c r="AO146" s="9"/>
      <c r="AP146" s="13"/>
      <c r="AQ146" s="11"/>
      <c r="AR146" s="297"/>
      <c r="AS146" s="92"/>
      <c r="AT146" s="51"/>
      <c r="AU146" s="51"/>
      <c r="AV146" s="82"/>
      <c r="AW146" s="51"/>
      <c r="AX146" s="51"/>
      <c r="AY146" s="92"/>
      <c r="AZ146" s="56"/>
      <c r="BA146" s="9"/>
      <c r="BB146" s="11"/>
      <c r="BC146" s="43"/>
      <c r="BD146" s="40"/>
      <c r="BE146" s="44"/>
      <c r="BF146" s="44"/>
      <c r="BG146" s="40"/>
      <c r="BH146" s="301"/>
      <c r="BI146" s="301"/>
      <c r="BJ146" s="43"/>
      <c r="BK146" s="40"/>
      <c r="BL146" s="82"/>
      <c r="BM146" s="51"/>
      <c r="BN146" s="92"/>
      <c r="BO146" s="201"/>
      <c r="BP146" s="43"/>
      <c r="BQ146" s="44"/>
      <c r="BR146" s="41"/>
      <c r="BS146" s="41"/>
      <c r="BT146" s="41"/>
      <c r="BU146" s="44"/>
      <c r="BV146" s="44"/>
      <c r="BW146" s="41"/>
      <c r="BX146" s="301"/>
      <c r="BY146" s="297"/>
      <c r="BZ146" s="17"/>
      <c r="CA146" s="17"/>
      <c r="CB146" s="92"/>
      <c r="CC146" s="114"/>
      <c r="CD146" s="51"/>
      <c r="CE146" s="92"/>
      <c r="CF146" s="40"/>
      <c r="CG146" s="44"/>
      <c r="CH146" s="41"/>
      <c r="CI146" s="41"/>
      <c r="CJ146" s="41"/>
      <c r="CK146" s="45"/>
      <c r="CL146" s="64"/>
      <c r="CM146" s="43"/>
      <c r="CN146" s="207"/>
      <c r="CO146" s="298"/>
      <c r="CP146" s="40"/>
      <c r="CQ146" s="51"/>
      <c r="CR146" s="82"/>
      <c r="CS146" s="51"/>
      <c r="CT146" s="51"/>
      <c r="CU146" s="92"/>
      <c r="CV146" s="301"/>
      <c r="CW146" s="64"/>
      <c r="CX146" s="17"/>
      <c r="CY146" s="54"/>
      <c r="CZ146" s="40"/>
      <c r="DA146" s="45"/>
      <c r="DB146" s="50"/>
      <c r="DC146" s="51"/>
      <c r="DD146" s="92"/>
      <c r="DE146" s="92"/>
      <c r="DF146" s="51"/>
      <c r="DG146" s="51"/>
      <c r="DH146" s="82"/>
      <c r="DI146" s="51"/>
      <c r="DJ146" s="51"/>
      <c r="DK146" s="301"/>
      <c r="DL146" s="41"/>
      <c r="DM146" s="45"/>
      <c r="DN146" s="40"/>
      <c r="DO146" s="40"/>
      <c r="DP146" s="41"/>
      <c r="DQ146" s="45"/>
      <c r="DR146" s="12"/>
      <c r="DS146" s="43"/>
      <c r="DT146" s="301"/>
      <c r="DU146" s="92"/>
      <c r="DV146" s="51"/>
      <c r="DW146" s="51"/>
      <c r="DX146" s="82"/>
      <c r="DY146" s="92"/>
      <c r="DZ146" s="92"/>
    </row>
    <row r="147" spans="1:130">
      <c r="A147" s="51">
        <v>39</v>
      </c>
      <c r="B147" s="39"/>
      <c r="C147" s="40"/>
      <c r="D147" s="50"/>
      <c r="E147" s="45"/>
      <c r="F147" s="41"/>
      <c r="G147" s="40"/>
      <c r="H147" s="16"/>
      <c r="I147" s="48"/>
      <c r="J147" s="48"/>
      <c r="K147" s="43"/>
      <c r="L147" s="301"/>
      <c r="M147" s="40"/>
      <c r="N147" s="54"/>
      <c r="O147" s="40"/>
      <c r="P147" s="82"/>
      <c r="Q147" s="51"/>
      <c r="R147" s="51"/>
      <c r="S147" s="51"/>
      <c r="T147" s="52"/>
      <c r="U147" s="47"/>
      <c r="V147" s="40"/>
      <c r="W147" s="49"/>
      <c r="X147" s="465"/>
      <c r="Y147" s="44"/>
      <c r="Z147" s="44"/>
      <c r="AA147" s="40"/>
      <c r="AB147" s="199"/>
      <c r="AC147" s="56"/>
      <c r="AD147" s="61"/>
      <c r="AE147" s="41"/>
      <c r="AF147" s="82"/>
      <c r="AG147" s="51"/>
      <c r="AH147" s="51"/>
      <c r="AI147" s="51"/>
      <c r="AJ147" s="52"/>
      <c r="AK147" s="52"/>
      <c r="AL147" s="51"/>
      <c r="AM147" s="41"/>
      <c r="AN147" s="41"/>
      <c r="AO147" s="64"/>
      <c r="AP147" s="9"/>
      <c r="AQ147" s="17"/>
      <c r="AR147" s="199"/>
      <c r="AS147" s="51"/>
      <c r="AT147" s="51"/>
      <c r="AU147" s="51"/>
      <c r="AV147" s="82"/>
      <c r="AW147" s="51"/>
      <c r="AX147" s="51"/>
      <c r="AY147" s="92"/>
      <c r="AZ147" s="60"/>
      <c r="BA147" s="64"/>
      <c r="BB147" s="54"/>
      <c r="BC147" s="40"/>
      <c r="BD147" s="41"/>
      <c r="BE147" s="44"/>
      <c r="BF147" s="44"/>
      <c r="BG147" s="41"/>
      <c r="BH147" s="301"/>
      <c r="BI147" s="41"/>
      <c r="BJ147" s="17"/>
      <c r="BK147" s="41"/>
      <c r="BL147" s="82"/>
      <c r="BM147" s="51"/>
      <c r="BN147" s="92"/>
      <c r="BO147" s="60"/>
      <c r="BP147" s="44"/>
      <c r="BQ147" s="47"/>
      <c r="BR147" s="41"/>
      <c r="BS147" s="41"/>
      <c r="BT147" s="41"/>
      <c r="BU147" s="44"/>
      <c r="BV147" s="45"/>
      <c r="BW147" s="41"/>
      <c r="BX147" s="301"/>
      <c r="BY147" s="41"/>
      <c r="BZ147" s="40"/>
      <c r="CA147" s="10"/>
      <c r="CB147" s="92"/>
      <c r="CC147" s="114"/>
      <c r="CD147" s="51"/>
      <c r="CE147" s="40"/>
      <c r="CF147" s="45"/>
      <c r="CG147" s="44"/>
      <c r="CH147" s="41"/>
      <c r="CI147" s="41"/>
      <c r="CJ147" s="41"/>
      <c r="CK147" s="44"/>
      <c r="CL147" s="45"/>
      <c r="CM147" s="54"/>
      <c r="CN147" s="207"/>
      <c r="CO147" s="17"/>
      <c r="CP147" s="40"/>
      <c r="CQ147" s="51"/>
      <c r="CR147" s="82"/>
      <c r="CS147" s="51"/>
      <c r="CT147" s="51"/>
      <c r="CU147" s="51"/>
      <c r="CV147" s="301"/>
      <c r="CW147" s="64"/>
      <c r="CX147" s="54"/>
      <c r="CY147" s="54"/>
      <c r="CZ147" s="43"/>
      <c r="DA147" s="50"/>
      <c r="DB147" s="50"/>
      <c r="DC147" s="51"/>
      <c r="DD147" s="92"/>
      <c r="DE147" s="51"/>
      <c r="DF147" s="51"/>
      <c r="DG147" s="51"/>
      <c r="DH147" s="82"/>
      <c r="DI147" s="51"/>
      <c r="DJ147" s="39"/>
      <c r="DK147" s="10"/>
      <c r="DL147" s="13"/>
      <c r="DM147" s="61"/>
      <c r="DN147" s="40"/>
      <c r="DO147" s="40"/>
      <c r="DP147" s="40"/>
      <c r="DQ147" s="50"/>
      <c r="DR147" s="20"/>
      <c r="DS147" s="16"/>
      <c r="DT147" s="60"/>
      <c r="DU147" s="297"/>
      <c r="DV147" s="51"/>
      <c r="DW147" s="51"/>
      <c r="DX147" s="82"/>
      <c r="DY147" s="92"/>
      <c r="DZ147" s="92"/>
    </row>
    <row r="148" spans="1:130">
      <c r="A148" s="51">
        <v>36</v>
      </c>
      <c r="B148" s="41"/>
      <c r="C148" s="17"/>
      <c r="D148" s="50"/>
      <c r="E148" s="40"/>
      <c r="F148" s="41"/>
      <c r="G148" s="465"/>
      <c r="H148" s="48"/>
      <c r="I148" s="48"/>
      <c r="J148" s="467"/>
      <c r="K148" s="466"/>
      <c r="L148" s="40"/>
      <c r="M148" s="41"/>
      <c r="N148" s="56"/>
      <c r="O148" s="305"/>
      <c r="P148" s="82"/>
      <c r="Q148" s="51"/>
      <c r="R148" s="51"/>
      <c r="S148" s="51"/>
      <c r="T148" s="52"/>
      <c r="U148" s="41"/>
      <c r="V148" s="11"/>
      <c r="W148" s="42"/>
      <c r="X148" s="67"/>
      <c r="Y148" s="45"/>
      <c r="Z148" s="44"/>
      <c r="AA148" s="41"/>
      <c r="AB148" s="305"/>
      <c r="AC148" s="56"/>
      <c r="AD148" s="61"/>
      <c r="AE148" s="41"/>
      <c r="AF148" s="82"/>
      <c r="AG148" s="51"/>
      <c r="AH148" s="51"/>
      <c r="AI148" s="51"/>
      <c r="AJ148" s="52"/>
      <c r="AK148" s="51"/>
      <c r="AL148" s="51"/>
      <c r="AM148" s="41"/>
      <c r="AN148" s="44"/>
      <c r="AO148" s="305"/>
      <c r="AP148" s="13"/>
      <c r="AQ148" s="17"/>
      <c r="AR148" s="40"/>
      <c r="AS148" s="44"/>
      <c r="AT148" s="51"/>
      <c r="AU148" s="51"/>
      <c r="AV148" s="82"/>
      <c r="AW148" s="51"/>
      <c r="AX148" s="51"/>
      <c r="AY148" s="92"/>
      <c r="AZ148" s="56"/>
      <c r="BA148" s="40"/>
      <c r="BB148" s="43"/>
      <c r="BC148" s="43"/>
      <c r="BD148" s="58"/>
      <c r="BE148" s="50"/>
      <c r="BF148" s="45"/>
      <c r="BG148" s="41"/>
      <c r="BH148" s="301"/>
      <c r="BI148" s="41"/>
      <c r="BJ148" s="41"/>
      <c r="BK148" s="92"/>
      <c r="BL148" s="82"/>
      <c r="BM148" s="51"/>
      <c r="BN148" s="92"/>
      <c r="BO148" s="56"/>
      <c r="BP148" s="44"/>
      <c r="BQ148" s="41"/>
      <c r="BR148" s="40"/>
      <c r="BS148" s="41"/>
      <c r="BT148" s="47"/>
      <c r="BU148" s="44"/>
      <c r="BV148" s="44"/>
      <c r="BW148" s="41"/>
      <c r="BX148" s="41"/>
      <c r="BY148" s="41"/>
      <c r="BZ148" s="52"/>
      <c r="CA148" s="40"/>
      <c r="CB148" s="92"/>
      <c r="CC148" s="114"/>
      <c r="CD148" s="51"/>
      <c r="CE148" s="40"/>
      <c r="CF148" s="45"/>
      <c r="CG148" s="41"/>
      <c r="CH148" s="41"/>
      <c r="CI148" s="41"/>
      <c r="CJ148" s="44"/>
      <c r="CK148" s="45"/>
      <c r="CL148" s="45"/>
      <c r="CM148" s="41"/>
      <c r="CN148" s="41"/>
      <c r="CO148" s="61"/>
      <c r="CP148" s="61"/>
      <c r="CQ148" s="51"/>
      <c r="CR148" s="82"/>
      <c r="CS148" s="51"/>
      <c r="CT148" s="51"/>
      <c r="CU148" s="51"/>
      <c r="CV148" s="45"/>
      <c r="CW148" s="54"/>
      <c r="CX148" s="54"/>
      <c r="CY148" s="11"/>
      <c r="CZ148" s="67"/>
      <c r="DA148" s="4"/>
      <c r="DB148" s="50"/>
      <c r="DC148" s="51"/>
      <c r="DD148" s="51"/>
      <c r="DE148" s="51"/>
      <c r="DF148" s="51"/>
      <c r="DG148" s="51"/>
      <c r="DH148" s="82"/>
      <c r="DI148" s="51"/>
      <c r="DJ148" s="41"/>
      <c r="DK148" s="54"/>
      <c r="DL148" s="64"/>
      <c r="DM148" s="56"/>
      <c r="DN148" s="40"/>
      <c r="DO148" s="41"/>
      <c r="DP148" s="45"/>
      <c r="DQ148" s="48"/>
      <c r="DR148" s="467"/>
      <c r="DS148" s="42"/>
      <c r="DT148" s="56"/>
      <c r="DU148" s="297"/>
      <c r="DV148" s="51"/>
      <c r="DW148" s="51"/>
      <c r="DX148" s="82"/>
      <c r="DY148" s="92"/>
      <c r="DZ148" s="92"/>
    </row>
    <row r="149" spans="1:130">
      <c r="A149" s="51">
        <v>160</v>
      </c>
      <c r="B149" s="41"/>
      <c r="C149" s="17"/>
      <c r="D149" s="61"/>
      <c r="E149" s="52"/>
      <c r="F149" s="43"/>
      <c r="G149" s="34"/>
      <c r="H149" s="16"/>
      <c r="I149" s="49"/>
      <c r="J149" s="466"/>
      <c r="K149" s="42"/>
      <c r="L149" s="465"/>
      <c r="M149" s="41"/>
      <c r="N149" s="40"/>
      <c r="O149" s="56"/>
      <c r="P149" s="82"/>
      <c r="Q149" s="51"/>
      <c r="R149" s="51"/>
      <c r="S149" s="51"/>
      <c r="T149" s="51"/>
      <c r="U149" s="41"/>
      <c r="V149" s="54"/>
      <c r="W149" s="54"/>
      <c r="X149" s="54"/>
      <c r="Y149" s="465"/>
      <c r="Z149" s="40"/>
      <c r="AA149" s="41"/>
      <c r="AB149" s="56"/>
      <c r="AC149" s="61"/>
      <c r="AD149" s="40"/>
      <c r="AE149" s="52"/>
      <c r="AF149" s="82"/>
      <c r="AG149" s="51"/>
      <c r="AH149" s="51"/>
      <c r="AI149" s="51"/>
      <c r="AJ149" s="51"/>
      <c r="AK149" s="51"/>
      <c r="AL149" s="51"/>
      <c r="AM149" s="41"/>
      <c r="AN149" s="41"/>
      <c r="AO149" s="56"/>
      <c r="AP149" s="54"/>
      <c r="AQ149" s="54"/>
      <c r="AR149" s="43"/>
      <c r="AS149" s="40"/>
      <c r="AT149" s="51"/>
      <c r="AU149" s="51"/>
      <c r="AV149" s="82"/>
      <c r="AW149" s="51"/>
      <c r="AX149" s="51"/>
      <c r="AY149" s="92"/>
      <c r="AZ149" s="51"/>
      <c r="BA149" s="39"/>
      <c r="BB149" s="470"/>
      <c r="BC149" s="3"/>
      <c r="BD149" s="16"/>
      <c r="BE149" s="3"/>
      <c r="BF149" s="42"/>
      <c r="BG149" s="43"/>
      <c r="BH149" s="39"/>
      <c r="BI149" s="41"/>
      <c r="BJ149" s="92"/>
      <c r="BK149" s="51"/>
      <c r="BL149" s="82"/>
      <c r="BM149" s="51"/>
      <c r="BN149" s="92"/>
      <c r="BO149" s="52"/>
      <c r="BP149" s="41"/>
      <c r="BQ149" s="49"/>
      <c r="BR149" s="16"/>
      <c r="BS149" s="43"/>
      <c r="BT149" s="40"/>
      <c r="BU149" s="41"/>
      <c r="BV149" s="44"/>
      <c r="BW149" s="44"/>
      <c r="BX149" s="41"/>
      <c r="BY149" s="51"/>
      <c r="BZ149" s="51"/>
      <c r="CA149" s="41"/>
      <c r="CB149" s="92"/>
      <c r="CC149" s="114"/>
      <c r="CD149" s="51"/>
      <c r="CE149" s="51"/>
      <c r="CF149" s="41"/>
      <c r="CG149" s="39"/>
      <c r="CH149" s="39"/>
      <c r="CI149" s="41"/>
      <c r="CJ149" s="43"/>
      <c r="CK149" s="61"/>
      <c r="CL149" s="40"/>
      <c r="CM149" s="40"/>
      <c r="CN149" s="51"/>
      <c r="CO149" s="41"/>
      <c r="CP149" s="51"/>
      <c r="CQ149" s="51"/>
      <c r="CR149" s="82"/>
      <c r="CS149" s="51"/>
      <c r="CT149" s="51"/>
      <c r="CU149" s="41"/>
      <c r="CV149" s="55"/>
      <c r="CW149" s="16"/>
      <c r="CX149" s="54"/>
      <c r="CY149" s="54"/>
      <c r="CZ149" s="34"/>
      <c r="DA149" s="3"/>
      <c r="DB149" s="40"/>
      <c r="DC149" s="51"/>
      <c r="DD149" s="51"/>
      <c r="DE149" s="51"/>
      <c r="DF149" s="51"/>
      <c r="DG149" s="51"/>
      <c r="DH149" s="82"/>
      <c r="DI149" s="51"/>
      <c r="DJ149" s="41"/>
      <c r="DK149" s="40"/>
      <c r="DL149" s="40"/>
      <c r="DM149" s="43"/>
      <c r="DN149" s="43"/>
      <c r="DO149" s="43"/>
      <c r="DP149" s="465"/>
      <c r="DQ149" s="49"/>
      <c r="DR149" s="466"/>
      <c r="DS149" s="49"/>
      <c r="DT149" s="293"/>
      <c r="DU149" s="297"/>
      <c r="DV149" s="92"/>
      <c r="DW149" s="51"/>
      <c r="DX149" s="82"/>
      <c r="DY149" s="92"/>
      <c r="DZ149" s="92"/>
    </row>
    <row r="150" spans="1:130">
      <c r="A150" s="51">
        <v>120</v>
      </c>
      <c r="B150" s="301"/>
      <c r="C150" s="64"/>
      <c r="D150" s="52"/>
      <c r="E150" s="41"/>
      <c r="F150" s="54"/>
      <c r="G150" s="54"/>
      <c r="H150" s="290"/>
      <c r="I150" s="465"/>
      <c r="J150" s="465"/>
      <c r="K150" s="3"/>
      <c r="L150" s="205"/>
      <c r="M150" s="40"/>
      <c r="N150" s="301"/>
      <c r="O150" s="301"/>
      <c r="P150" s="113"/>
      <c r="Q150" s="51"/>
      <c r="R150" s="92"/>
      <c r="S150" s="51"/>
      <c r="T150" s="92"/>
      <c r="U150" s="51"/>
      <c r="V150" s="40"/>
      <c r="W150" s="41"/>
      <c r="X150" s="293"/>
      <c r="Y150" s="49"/>
      <c r="Z150" s="465"/>
      <c r="AA150" s="43"/>
      <c r="AB150" s="161"/>
      <c r="AC150" s="470"/>
      <c r="AD150" s="41"/>
      <c r="AE150" s="92"/>
      <c r="AF150" s="113"/>
      <c r="AG150" s="51"/>
      <c r="AH150" s="92"/>
      <c r="AI150" s="51"/>
      <c r="AJ150" s="92"/>
      <c r="AK150" s="51"/>
      <c r="AL150" s="51"/>
      <c r="AM150" s="39"/>
      <c r="AN150" s="297"/>
      <c r="AO150" s="465"/>
      <c r="AP150" s="34"/>
      <c r="AQ150" s="49"/>
      <c r="AR150" s="206"/>
      <c r="AS150" s="40"/>
      <c r="AT150" s="44"/>
      <c r="AU150" s="92"/>
      <c r="AV150" s="113"/>
      <c r="AW150" s="51"/>
      <c r="AX150" s="92"/>
      <c r="AY150" s="92"/>
      <c r="AZ150" s="92"/>
      <c r="BA150" s="51"/>
      <c r="BB150" s="470"/>
      <c r="BC150" s="49"/>
      <c r="BD150" s="61"/>
      <c r="BE150" s="3"/>
      <c r="BF150" s="43"/>
      <c r="BG150" s="42"/>
      <c r="BH150" s="40"/>
      <c r="BI150" s="41"/>
      <c r="BJ150" s="92"/>
      <c r="BK150" s="92"/>
      <c r="BL150" s="113"/>
      <c r="BM150" s="51"/>
      <c r="BN150" s="92"/>
      <c r="BO150" s="51"/>
      <c r="BP150" s="92"/>
      <c r="BQ150" s="55"/>
      <c r="BR150" s="3"/>
      <c r="BS150" s="49"/>
      <c r="BT150" s="297"/>
      <c r="BU150" s="39"/>
      <c r="BV150" s="41"/>
      <c r="BW150" s="40"/>
      <c r="BX150" s="40"/>
      <c r="BY150" s="51"/>
      <c r="BZ150" s="92"/>
      <c r="CA150" s="92"/>
      <c r="CB150" s="92"/>
      <c r="CC150" s="114"/>
      <c r="CD150" s="92"/>
      <c r="CE150" s="51"/>
      <c r="CF150" s="297"/>
      <c r="CG150" s="43"/>
      <c r="CH150" s="40"/>
      <c r="CI150" s="43"/>
      <c r="CJ150" s="290"/>
      <c r="CK150" s="49"/>
      <c r="CL150" s="40"/>
      <c r="CM150" s="40"/>
      <c r="CN150" s="92"/>
      <c r="CO150" s="51"/>
      <c r="CP150" s="92"/>
      <c r="CQ150" s="92"/>
      <c r="CR150" s="113"/>
      <c r="CS150" s="51"/>
      <c r="CT150" s="92"/>
      <c r="CU150" s="41"/>
      <c r="CV150" s="45"/>
      <c r="CW150" s="40"/>
      <c r="CX150" s="54"/>
      <c r="CY150" s="54"/>
      <c r="CZ150" s="290"/>
      <c r="DA150" s="43"/>
      <c r="DB150" s="92"/>
      <c r="DC150" s="51"/>
      <c r="DD150" s="92"/>
      <c r="DE150" s="51"/>
      <c r="DF150" s="92"/>
      <c r="DG150" s="92"/>
      <c r="DH150" s="113"/>
      <c r="DI150" s="51"/>
      <c r="DJ150" s="92"/>
      <c r="DK150" s="41"/>
      <c r="DL150" s="297"/>
      <c r="DM150" s="54"/>
      <c r="DN150" s="16"/>
      <c r="DO150" s="54"/>
      <c r="DP150" s="291"/>
      <c r="DQ150" s="49"/>
      <c r="DR150" s="42"/>
      <c r="DS150" s="3"/>
      <c r="DT150" s="301"/>
      <c r="DU150" s="92"/>
      <c r="DV150" s="92"/>
      <c r="DW150" s="92"/>
      <c r="DX150" s="113"/>
      <c r="DY150" s="92"/>
      <c r="DZ150" s="92"/>
    </row>
    <row r="151" spans="1:130">
      <c r="A151" s="51">
        <v>9</v>
      </c>
      <c r="B151" s="52"/>
      <c r="C151" s="52"/>
      <c r="D151" s="52"/>
      <c r="E151" s="52"/>
      <c r="F151" s="44"/>
      <c r="G151" s="61"/>
      <c r="H151" s="61"/>
      <c r="I151" s="50"/>
      <c r="J151" s="12"/>
      <c r="K151" s="12"/>
      <c r="L151" s="48"/>
      <c r="M151" s="50"/>
      <c r="N151" s="52"/>
      <c r="O151" s="52"/>
      <c r="P151" s="330"/>
      <c r="Q151" s="52"/>
      <c r="R151" s="52"/>
      <c r="S151" s="52"/>
      <c r="T151" s="52"/>
      <c r="U151" s="51"/>
      <c r="V151" s="51"/>
      <c r="W151" s="52"/>
      <c r="X151" s="50"/>
      <c r="Y151" s="48"/>
      <c r="Z151" s="50"/>
      <c r="AA151" s="48"/>
      <c r="AB151" s="48"/>
      <c r="AC151" s="50"/>
      <c r="AD151" s="41"/>
      <c r="AE151" s="52"/>
      <c r="AF151" s="330"/>
      <c r="AG151" s="52"/>
      <c r="AH151" s="52"/>
      <c r="AI151" s="52"/>
      <c r="AJ151" s="52"/>
      <c r="AK151" s="52"/>
      <c r="AL151" s="52"/>
      <c r="AM151" s="52"/>
      <c r="AN151" s="47"/>
      <c r="AO151" s="50"/>
      <c r="AP151" s="48"/>
      <c r="AQ151" s="48"/>
      <c r="AR151" s="12"/>
      <c r="AS151" s="44"/>
      <c r="AT151" s="52"/>
      <c r="AU151" s="52"/>
      <c r="AV151" s="330"/>
      <c r="AW151" s="52"/>
      <c r="AX151" s="52"/>
      <c r="AY151" s="92"/>
      <c r="AZ151" s="52"/>
      <c r="BA151" s="52"/>
      <c r="BB151" s="52"/>
      <c r="BC151" s="44"/>
      <c r="BD151" s="61"/>
      <c r="BE151" s="61"/>
      <c r="BF151" s="12"/>
      <c r="BG151" s="58"/>
      <c r="BH151" s="48"/>
      <c r="BI151" s="44"/>
      <c r="BJ151" s="52"/>
      <c r="BK151" s="52"/>
      <c r="BL151" s="330"/>
      <c r="BM151" s="52"/>
      <c r="BN151" s="92"/>
      <c r="BO151" s="52"/>
      <c r="BP151" s="52"/>
      <c r="BQ151" s="52"/>
      <c r="BR151" s="12"/>
      <c r="BS151" s="45"/>
      <c r="BT151" s="41"/>
      <c r="BU151" s="41"/>
      <c r="BV151" s="43"/>
      <c r="BW151" s="3"/>
      <c r="BX151" s="34"/>
      <c r="BY151" s="52"/>
      <c r="BZ151" s="52"/>
      <c r="CA151" s="52"/>
      <c r="CB151" s="92"/>
      <c r="CC151" s="398"/>
      <c r="CD151" s="52"/>
      <c r="CE151" s="52"/>
      <c r="CF151" s="52"/>
      <c r="CG151" s="12"/>
      <c r="CH151" s="50"/>
      <c r="CI151" s="45"/>
      <c r="CJ151" s="61"/>
      <c r="CK151" s="20"/>
      <c r="CL151" s="44"/>
      <c r="CM151" s="52"/>
      <c r="CN151" s="52"/>
      <c r="CO151" s="52"/>
      <c r="CP151" s="52"/>
      <c r="CQ151" s="52"/>
      <c r="CR151" s="330"/>
      <c r="CS151" s="92"/>
      <c r="CT151" s="92"/>
      <c r="CU151" s="92"/>
      <c r="CV151" s="92"/>
      <c r="CW151" s="297"/>
      <c r="CX151" s="201"/>
      <c r="CY151" s="294"/>
      <c r="CZ151" s="290"/>
      <c r="DA151" s="92"/>
      <c r="DB151" s="92"/>
      <c r="DC151" s="92"/>
      <c r="DD151" s="92"/>
      <c r="DE151" s="92"/>
      <c r="DF151" s="92"/>
      <c r="DG151" s="92"/>
      <c r="DH151" s="113"/>
      <c r="DI151" s="92"/>
      <c r="DJ151" s="92"/>
      <c r="DK151" s="92"/>
      <c r="DL151" s="301"/>
      <c r="DM151" s="293"/>
      <c r="DN151" s="201"/>
      <c r="DO151" s="201"/>
      <c r="DP151" s="201"/>
      <c r="DQ151" s="206"/>
      <c r="DR151" s="205"/>
      <c r="DS151" s="206"/>
      <c r="DT151" s="92"/>
      <c r="DU151" s="92"/>
      <c r="DV151" s="92"/>
      <c r="DW151" s="92"/>
      <c r="DX151" s="113"/>
      <c r="DY151" s="92"/>
      <c r="DZ151" s="92"/>
    </row>
    <row r="152" spans="1:130">
      <c r="A152" s="52">
        <v>164</v>
      </c>
      <c r="B152" s="51"/>
      <c r="C152" s="52"/>
      <c r="D152" s="52"/>
      <c r="E152" s="52"/>
      <c r="F152" s="52"/>
      <c r="G152" s="64"/>
      <c r="H152" s="50"/>
      <c r="I152" s="12"/>
      <c r="J152" s="50"/>
      <c r="K152" s="12"/>
      <c r="L152" s="12"/>
      <c r="M152" s="45"/>
      <c r="N152" s="52"/>
      <c r="O152" s="52"/>
      <c r="P152" s="330"/>
      <c r="Q152" s="52"/>
      <c r="R152" s="52"/>
      <c r="S152" s="52"/>
      <c r="T152" s="52"/>
      <c r="U152" s="52"/>
      <c r="V152" s="52"/>
      <c r="W152" s="52"/>
      <c r="X152" s="45"/>
      <c r="Y152" s="48"/>
      <c r="Z152" s="4"/>
      <c r="AA152" s="61"/>
      <c r="AB152" s="471"/>
      <c r="AC152" s="45"/>
      <c r="AD152" s="41"/>
      <c r="AE152" s="52"/>
      <c r="AF152" s="330"/>
      <c r="AG152" s="52"/>
      <c r="AH152" s="52"/>
      <c r="AI152" s="52"/>
      <c r="AJ152" s="52"/>
      <c r="AK152" s="52"/>
      <c r="AL152" s="52"/>
      <c r="AM152" s="52"/>
      <c r="AN152" s="52"/>
      <c r="AO152" s="44"/>
      <c r="AP152" s="471"/>
      <c r="AQ152" s="20"/>
      <c r="AR152" s="61"/>
      <c r="AS152" s="44"/>
      <c r="AT152" s="52"/>
      <c r="AU152" s="52"/>
      <c r="AV152" s="330"/>
      <c r="AW152" s="52"/>
      <c r="AX152" s="52"/>
      <c r="AY152" s="92"/>
      <c r="AZ152" s="52"/>
      <c r="BA152" s="52"/>
      <c r="BB152" s="52"/>
      <c r="BC152" s="52"/>
      <c r="BD152" s="9"/>
      <c r="BE152" s="61"/>
      <c r="BF152" s="64"/>
      <c r="BG152" s="61"/>
      <c r="BH152" s="40"/>
      <c r="BI152" s="52"/>
      <c r="BJ152" s="52"/>
      <c r="BK152" s="52"/>
      <c r="BL152" s="330"/>
      <c r="BM152" s="52"/>
      <c r="BN152" s="92"/>
      <c r="BO152" s="52"/>
      <c r="BP152" s="52"/>
      <c r="BQ152" s="52"/>
      <c r="BR152" s="61"/>
      <c r="BS152" s="61"/>
      <c r="BT152" s="297"/>
      <c r="BU152" s="297"/>
      <c r="BV152" s="34"/>
      <c r="BW152" s="34"/>
      <c r="BX152" s="64"/>
      <c r="BY152" s="52"/>
      <c r="BZ152" s="52"/>
      <c r="CA152" s="52"/>
      <c r="CB152" s="92"/>
      <c r="CC152" s="398"/>
      <c r="CD152" s="52"/>
      <c r="CE152" s="52"/>
      <c r="CF152" s="52"/>
      <c r="CG152" s="61"/>
      <c r="CH152" s="61"/>
      <c r="CI152" s="45"/>
      <c r="CJ152" s="48"/>
      <c r="CK152" s="61"/>
      <c r="CL152" s="52"/>
      <c r="CM152" s="52"/>
      <c r="CN152" s="52"/>
      <c r="CO152" s="52"/>
      <c r="CP152" s="52"/>
      <c r="CQ152" s="52"/>
      <c r="CR152" s="330"/>
      <c r="CS152" s="92"/>
      <c r="CT152" s="92"/>
      <c r="CU152" s="92"/>
      <c r="CV152" s="92"/>
      <c r="CW152" s="92"/>
      <c r="CX152" s="294"/>
      <c r="CY152" s="20"/>
      <c r="CZ152" s="92"/>
      <c r="DA152" s="92"/>
      <c r="DB152" s="92"/>
      <c r="DC152" s="92"/>
      <c r="DD152" s="92"/>
      <c r="DE152" s="92"/>
      <c r="DF152" s="92"/>
      <c r="DG152" s="92"/>
      <c r="DH152" s="113"/>
      <c r="DI152" s="92"/>
      <c r="DJ152" s="92"/>
      <c r="DK152" s="92"/>
      <c r="DL152" s="92"/>
      <c r="DM152" s="92"/>
      <c r="DN152" s="199"/>
      <c r="DO152" s="201"/>
      <c r="DP152" s="201"/>
      <c r="DQ152" s="206"/>
      <c r="DR152" s="160"/>
      <c r="DS152" s="293"/>
      <c r="DT152" s="92"/>
      <c r="DU152" s="92"/>
      <c r="DV152" s="92"/>
      <c r="DW152" s="92"/>
      <c r="DX152" s="113"/>
      <c r="DY152" s="92"/>
      <c r="DZ152" s="92"/>
    </row>
    <row r="153" spans="1:130">
      <c r="A153" s="51">
        <v>168</v>
      </c>
      <c r="B153" s="51"/>
      <c r="C153" s="52"/>
      <c r="D153" s="52"/>
      <c r="E153" s="52"/>
      <c r="F153" s="52"/>
      <c r="G153" s="64"/>
      <c r="H153" s="50"/>
      <c r="I153" s="50"/>
      <c r="J153" s="50"/>
      <c r="K153" s="12"/>
      <c r="L153" s="12"/>
      <c r="M153" s="52"/>
      <c r="N153" s="52"/>
      <c r="O153" s="52"/>
      <c r="P153" s="330"/>
      <c r="Q153" s="52"/>
      <c r="R153" s="52"/>
      <c r="S153" s="52"/>
      <c r="T153" s="52"/>
      <c r="U153" s="52"/>
      <c r="V153" s="52"/>
      <c r="W153" s="52"/>
      <c r="X153" s="44"/>
      <c r="Y153" s="12"/>
      <c r="Z153" s="48"/>
      <c r="AA153" s="298"/>
      <c r="AB153" s="12"/>
      <c r="AC153" s="44"/>
      <c r="AD153" s="41"/>
      <c r="AE153" s="52"/>
      <c r="AF153" s="330"/>
      <c r="AG153" s="52"/>
      <c r="AH153" s="52"/>
      <c r="AI153" s="52"/>
      <c r="AJ153" s="52"/>
      <c r="AK153" s="52"/>
      <c r="AL153" s="52"/>
      <c r="AM153" s="52"/>
      <c r="AN153" s="52"/>
      <c r="AO153" s="47"/>
      <c r="AP153" s="297"/>
      <c r="AQ153" s="9"/>
      <c r="AR153" s="298"/>
      <c r="AS153" s="52"/>
      <c r="AT153" s="52"/>
      <c r="AU153" s="52"/>
      <c r="AV153" s="330"/>
      <c r="AW153" s="52"/>
      <c r="AX153" s="52"/>
      <c r="AY153" s="92"/>
      <c r="AZ153" s="52"/>
      <c r="BA153" s="52"/>
      <c r="BB153" s="52"/>
      <c r="BC153" s="52"/>
      <c r="BD153" s="9"/>
      <c r="BE153" s="298"/>
      <c r="BF153" s="64"/>
      <c r="BG153" s="61"/>
      <c r="BH153" s="20"/>
      <c r="BI153" s="52"/>
      <c r="BJ153" s="52"/>
      <c r="BK153" s="52"/>
      <c r="BL153" s="330"/>
      <c r="BM153" s="52"/>
      <c r="BN153" s="92"/>
      <c r="BO153" s="52"/>
      <c r="BP153" s="52"/>
      <c r="BQ153" s="52"/>
      <c r="BR153" s="9"/>
      <c r="BS153" s="61"/>
      <c r="BT153" s="52"/>
      <c r="BU153" s="52"/>
      <c r="BV153" s="12"/>
      <c r="BW153" s="61"/>
      <c r="BX153" s="61"/>
      <c r="BY153" s="52"/>
      <c r="BZ153" s="52"/>
      <c r="CA153" s="52"/>
      <c r="CB153" s="92"/>
      <c r="CC153" s="398"/>
      <c r="CD153" s="52"/>
      <c r="CE153" s="51"/>
      <c r="CF153" s="52"/>
      <c r="CG153" s="9"/>
      <c r="CH153" s="298"/>
      <c r="CI153" s="20"/>
      <c r="CJ153" s="61"/>
      <c r="CK153" s="50"/>
      <c r="CL153" s="52"/>
      <c r="CM153" s="52"/>
      <c r="CN153" s="52"/>
      <c r="CO153" s="52"/>
      <c r="CP153" s="52"/>
      <c r="CQ153" s="52"/>
      <c r="CR153" s="330"/>
      <c r="CS153" s="92"/>
      <c r="CT153" s="92"/>
      <c r="CU153" s="92"/>
      <c r="CV153" s="92"/>
      <c r="CW153" s="92"/>
      <c r="CX153" s="201"/>
      <c r="CY153" s="20"/>
      <c r="CZ153" s="92"/>
      <c r="DA153" s="92"/>
      <c r="DB153" s="92"/>
      <c r="DC153" s="92"/>
      <c r="DD153" s="92"/>
      <c r="DE153" s="92"/>
      <c r="DF153" s="92"/>
      <c r="DG153" s="92"/>
      <c r="DH153" s="113"/>
      <c r="DI153" s="92"/>
      <c r="DJ153" s="92"/>
      <c r="DK153" s="92"/>
      <c r="DL153" s="92"/>
      <c r="DM153" s="92"/>
      <c r="DN153" s="201"/>
      <c r="DO153" s="201"/>
      <c r="DP153" s="206"/>
      <c r="DQ153" s="206"/>
      <c r="DR153" s="297"/>
      <c r="DS153" s="301"/>
      <c r="DT153" s="92"/>
      <c r="DU153" s="92"/>
      <c r="DV153" s="92"/>
      <c r="DW153" s="92"/>
      <c r="DX153" s="113"/>
      <c r="DY153" s="92"/>
      <c r="DZ153" s="92"/>
    </row>
    <row r="154" spans="1:130">
      <c r="A154" s="52"/>
      <c r="B154" s="52"/>
      <c r="C154" s="52"/>
      <c r="D154" s="52"/>
      <c r="E154" s="52"/>
      <c r="F154" s="52"/>
      <c r="G154" s="64"/>
      <c r="H154" s="64"/>
      <c r="I154" s="52"/>
      <c r="J154" s="50"/>
      <c r="K154" s="12"/>
      <c r="L154" s="52"/>
      <c r="M154" s="52"/>
      <c r="N154" s="52"/>
      <c r="O154" s="52"/>
      <c r="P154" s="330"/>
      <c r="Q154" s="52"/>
      <c r="R154" s="52"/>
      <c r="S154" s="52"/>
      <c r="T154" s="52"/>
      <c r="U154" s="52"/>
      <c r="V154" s="52"/>
      <c r="W154" s="52"/>
      <c r="X154" s="52"/>
      <c r="Y154" s="50"/>
      <c r="Z154" s="20"/>
      <c r="AA154" s="12"/>
      <c r="AB154" s="52"/>
      <c r="AC154" s="52"/>
      <c r="AD154" s="52"/>
      <c r="AE154" s="52"/>
      <c r="AF154" s="330"/>
      <c r="AG154" s="52"/>
      <c r="AH154" s="52"/>
      <c r="AI154" s="52"/>
      <c r="AJ154" s="52"/>
      <c r="AK154" s="52"/>
      <c r="AL154" s="52"/>
      <c r="AM154" s="52"/>
      <c r="AN154" s="52"/>
      <c r="AO154" s="52"/>
      <c r="AP154" s="47"/>
      <c r="AQ154" s="9"/>
      <c r="AR154" s="61"/>
      <c r="AS154" s="52"/>
      <c r="AT154" s="52"/>
      <c r="AU154" s="52"/>
      <c r="AV154" s="330"/>
      <c r="AW154" s="52"/>
      <c r="AX154" s="52"/>
      <c r="AY154" s="92"/>
      <c r="AZ154" s="52"/>
      <c r="BA154" s="52"/>
      <c r="BB154" s="52"/>
      <c r="BC154" s="52"/>
      <c r="BD154" s="298"/>
      <c r="BE154" s="52"/>
      <c r="BF154" s="52"/>
      <c r="BG154" s="61"/>
      <c r="BH154" s="61"/>
      <c r="BI154" s="52"/>
      <c r="BJ154" s="52"/>
      <c r="BK154" s="52"/>
      <c r="BL154" s="330"/>
      <c r="BM154" s="52"/>
      <c r="BN154" s="92"/>
      <c r="BO154" s="52"/>
      <c r="BP154" s="52"/>
      <c r="BQ154" s="52"/>
      <c r="BR154" s="298"/>
      <c r="BS154" s="12"/>
      <c r="BT154" s="52"/>
      <c r="BU154" s="52"/>
      <c r="BV154" s="64"/>
      <c r="BW154" s="61"/>
      <c r="BX154" s="52"/>
      <c r="BY154" s="52"/>
      <c r="BZ154" s="52"/>
      <c r="CA154" s="52"/>
      <c r="CB154" s="52"/>
      <c r="CC154" s="398"/>
      <c r="CD154" s="52"/>
      <c r="CE154" s="52"/>
      <c r="CF154" s="52"/>
      <c r="CG154" s="298"/>
      <c r="CH154" s="52"/>
      <c r="CI154" s="61"/>
      <c r="CJ154" s="61"/>
      <c r="CK154" s="52"/>
      <c r="CL154" s="52"/>
      <c r="CM154" s="52"/>
      <c r="CN154" s="52"/>
      <c r="CO154" s="52"/>
      <c r="CP154" s="52"/>
      <c r="CQ154" s="52"/>
      <c r="CR154" s="330"/>
      <c r="CS154" s="92"/>
      <c r="CT154" s="92"/>
      <c r="CU154" s="92"/>
      <c r="CV154" s="92"/>
      <c r="CW154" s="201"/>
      <c r="CX154" s="20"/>
      <c r="CY154" s="20"/>
      <c r="CZ154" s="92"/>
      <c r="DA154" s="92"/>
      <c r="DB154" s="92"/>
      <c r="DC154" s="92"/>
      <c r="DD154" s="92"/>
      <c r="DE154" s="92"/>
      <c r="DF154" s="92"/>
      <c r="DG154" s="92"/>
      <c r="DH154" s="113"/>
      <c r="DI154" s="92"/>
      <c r="DJ154" s="92"/>
      <c r="DK154" s="92"/>
      <c r="DL154" s="92"/>
      <c r="DM154" s="92"/>
      <c r="DN154" s="201"/>
      <c r="DO154" s="199"/>
      <c r="DP154" s="12"/>
      <c r="DQ154" s="12"/>
      <c r="DR154" s="92"/>
      <c r="DS154" s="92"/>
      <c r="DT154" s="92"/>
      <c r="DU154" s="92"/>
      <c r="DV154" s="92"/>
      <c r="DW154" s="92"/>
      <c r="DX154" s="113"/>
      <c r="DY154" s="92"/>
      <c r="DZ154" s="92"/>
    </row>
    <row r="155" spans="1:130">
      <c r="A155" s="52">
        <v>2</v>
      </c>
      <c r="B155" s="52"/>
      <c r="C155" s="52"/>
      <c r="D155" s="52"/>
      <c r="E155" s="52"/>
      <c r="F155" s="52"/>
      <c r="G155" s="64"/>
      <c r="H155" s="50"/>
      <c r="I155" s="52"/>
      <c r="J155" s="12"/>
      <c r="K155" s="52"/>
      <c r="L155" s="52"/>
      <c r="M155" s="52"/>
      <c r="N155" s="52"/>
      <c r="O155" s="52"/>
      <c r="P155" s="330"/>
      <c r="Q155" s="52"/>
      <c r="R155" s="52"/>
      <c r="S155" s="52"/>
      <c r="T155" s="52"/>
      <c r="U155" s="52"/>
      <c r="V155" s="52"/>
      <c r="W155" s="52"/>
      <c r="X155" s="52"/>
      <c r="Y155" s="64"/>
      <c r="Z155" s="61"/>
      <c r="AA155" s="12"/>
      <c r="AB155" s="52"/>
      <c r="AC155" s="52"/>
      <c r="AD155" s="52"/>
      <c r="AE155" s="52"/>
      <c r="AF155" s="330"/>
      <c r="AG155" s="52"/>
      <c r="AH155" s="52"/>
      <c r="AI155" s="52"/>
      <c r="AJ155" s="52"/>
      <c r="AK155" s="52"/>
      <c r="AL155" s="52"/>
      <c r="AM155" s="52"/>
      <c r="AN155" s="52"/>
      <c r="AO155" s="52"/>
      <c r="AP155" s="52"/>
      <c r="AQ155" s="298"/>
      <c r="AR155" s="61"/>
      <c r="AS155" s="52"/>
      <c r="AT155" s="52"/>
      <c r="AU155" s="52"/>
      <c r="AV155" s="330"/>
      <c r="AW155" s="52"/>
      <c r="AX155" s="52"/>
      <c r="AY155" s="52"/>
      <c r="AZ155" s="52"/>
      <c r="BA155" s="52"/>
      <c r="BB155" s="52"/>
      <c r="BC155" s="52"/>
      <c r="BD155" s="52"/>
      <c r="BE155" s="298"/>
      <c r="BF155" s="52"/>
      <c r="BG155" s="12"/>
      <c r="BH155" s="61"/>
      <c r="BI155" s="52"/>
      <c r="BJ155" s="52"/>
      <c r="BK155" s="52"/>
      <c r="BL155" s="330"/>
      <c r="BM155" s="52"/>
      <c r="BN155" s="52"/>
      <c r="BO155" s="52"/>
      <c r="BP155" s="52"/>
      <c r="BQ155" s="52"/>
      <c r="BR155" s="12"/>
      <c r="BS155" s="52"/>
      <c r="BT155" s="52"/>
      <c r="BU155" s="52"/>
      <c r="BV155" s="64"/>
      <c r="BW155" s="61"/>
      <c r="BX155" s="52"/>
      <c r="BY155" s="52"/>
      <c r="BZ155" s="52"/>
      <c r="CA155" s="52"/>
      <c r="CB155" s="52"/>
      <c r="CC155" s="398"/>
      <c r="CD155" s="52"/>
      <c r="CE155" s="52"/>
      <c r="CF155" s="298"/>
      <c r="CG155" s="52"/>
      <c r="CH155" s="52"/>
      <c r="CI155" s="61"/>
      <c r="CJ155" s="20"/>
      <c r="CK155" s="52"/>
      <c r="CL155" s="52"/>
      <c r="CM155" s="52"/>
      <c r="CN155" s="52"/>
      <c r="CO155" s="52"/>
      <c r="CP155" s="52"/>
      <c r="CQ155" s="52"/>
      <c r="CR155" s="330"/>
      <c r="CS155" s="92"/>
      <c r="CT155" s="92"/>
      <c r="CU155" s="92"/>
      <c r="CV155" s="92"/>
      <c r="CW155" s="294"/>
      <c r="CX155" s="20"/>
      <c r="CY155" s="92"/>
      <c r="CZ155" s="92"/>
      <c r="DA155" s="92"/>
      <c r="DB155" s="92"/>
      <c r="DC155" s="92"/>
      <c r="DD155" s="92"/>
      <c r="DE155" s="92"/>
      <c r="DF155" s="92"/>
      <c r="DG155" s="92"/>
      <c r="DH155" s="113"/>
      <c r="DI155" s="92"/>
      <c r="DJ155" s="92"/>
      <c r="DK155" s="92"/>
      <c r="DL155" s="92"/>
      <c r="DM155" s="92"/>
      <c r="DN155" s="199"/>
      <c r="DO155" s="201"/>
      <c r="DP155" s="298"/>
      <c r="DQ155" s="12"/>
      <c r="DR155" s="92"/>
      <c r="DS155" s="92"/>
      <c r="DT155" s="92"/>
      <c r="DU155" s="92"/>
      <c r="DV155" s="92"/>
      <c r="DW155" s="92"/>
      <c r="DX155" s="113"/>
      <c r="DY155" s="92"/>
      <c r="DZ155" s="92"/>
    </row>
    <row r="156" spans="1:130">
      <c r="A156" s="52">
        <v>5</v>
      </c>
      <c r="B156" s="52"/>
      <c r="C156" s="52"/>
      <c r="D156" s="52"/>
      <c r="E156" s="52"/>
      <c r="F156" s="52"/>
      <c r="G156" s="64"/>
      <c r="H156" s="50"/>
      <c r="I156" s="52"/>
      <c r="J156" s="12"/>
      <c r="K156" s="52"/>
      <c r="L156" s="52"/>
      <c r="M156" s="52"/>
      <c r="N156" s="52"/>
      <c r="O156" s="52"/>
      <c r="P156" s="330"/>
      <c r="Q156" s="52"/>
      <c r="R156" s="52"/>
      <c r="S156" s="52"/>
      <c r="T156" s="52"/>
      <c r="U156" s="52"/>
      <c r="V156" s="52"/>
      <c r="W156" s="52"/>
      <c r="X156" s="52"/>
      <c r="Y156" s="64"/>
      <c r="Z156" s="61"/>
      <c r="AA156" s="207"/>
      <c r="AB156" s="52"/>
      <c r="AC156" s="52"/>
      <c r="AD156" s="52"/>
      <c r="AE156" s="52"/>
      <c r="AF156" s="330"/>
      <c r="AG156" s="52"/>
      <c r="AH156" s="52"/>
      <c r="AI156" s="52"/>
      <c r="AJ156" s="52"/>
      <c r="AK156" s="52"/>
      <c r="AL156" s="52"/>
      <c r="AM156" s="52"/>
      <c r="AN156" s="52"/>
      <c r="AO156" s="52"/>
      <c r="AP156" s="52"/>
      <c r="AQ156" s="9"/>
      <c r="AR156" s="298"/>
      <c r="AS156" s="64"/>
      <c r="AT156" s="52"/>
      <c r="AU156" s="52"/>
      <c r="AV156" s="330"/>
      <c r="AW156" s="52"/>
      <c r="AX156" s="52"/>
      <c r="AY156" s="52"/>
      <c r="AZ156" s="52"/>
      <c r="BA156" s="52"/>
      <c r="BB156" s="52"/>
      <c r="BC156" s="52"/>
      <c r="BD156" s="9"/>
      <c r="BE156" s="12"/>
      <c r="BF156" s="52"/>
      <c r="BG156" s="52"/>
      <c r="BH156" s="20"/>
      <c r="BI156" s="64"/>
      <c r="BJ156" s="52"/>
      <c r="BK156" s="52"/>
      <c r="BL156" s="330"/>
      <c r="BM156" s="52"/>
      <c r="BN156" s="52"/>
      <c r="BO156" s="52"/>
      <c r="BP156" s="52"/>
      <c r="BQ156" s="52"/>
      <c r="BR156" s="12"/>
      <c r="BS156" s="52"/>
      <c r="BT156" s="52"/>
      <c r="BU156" s="52"/>
      <c r="BV156" s="12"/>
      <c r="BW156" s="61"/>
      <c r="BX156" s="52"/>
      <c r="BY156" s="52"/>
      <c r="BZ156" s="52"/>
      <c r="CA156" s="52"/>
      <c r="CB156" s="52"/>
      <c r="CC156" s="398"/>
      <c r="CD156" s="52"/>
      <c r="CE156" s="9"/>
      <c r="CF156" s="12"/>
      <c r="CG156" s="52"/>
      <c r="CH156" s="64"/>
      <c r="CI156" s="20"/>
      <c r="CJ156" s="52"/>
      <c r="CK156" s="52"/>
      <c r="CL156" s="52"/>
      <c r="CM156" s="52"/>
      <c r="CN156" s="52"/>
      <c r="CO156" s="52"/>
      <c r="CP156" s="52"/>
      <c r="CQ156" s="52"/>
      <c r="CR156" s="330"/>
      <c r="CS156" s="92"/>
      <c r="CT156" s="92"/>
      <c r="CU156" s="92"/>
      <c r="CV156" s="92"/>
      <c r="CW156" s="201"/>
      <c r="CX156" s="20"/>
      <c r="CY156" s="92"/>
      <c r="CZ156" s="92"/>
      <c r="DA156" s="92"/>
      <c r="DB156" s="92"/>
      <c r="DC156" s="92"/>
      <c r="DD156" s="92"/>
      <c r="DE156" s="92"/>
      <c r="DF156" s="92"/>
      <c r="DG156" s="92"/>
      <c r="DH156" s="113"/>
      <c r="DI156" s="92"/>
      <c r="DJ156" s="92"/>
      <c r="DK156" s="92"/>
      <c r="DL156" s="92"/>
      <c r="DM156" s="297"/>
      <c r="DN156" s="201"/>
      <c r="DO156" s="201"/>
      <c r="DP156" s="9"/>
      <c r="DQ156" s="298"/>
      <c r="DR156" s="92"/>
      <c r="DS156" s="92"/>
      <c r="DT156" s="92"/>
      <c r="DU156" s="92"/>
      <c r="DV156" s="92"/>
      <c r="DW156" s="92"/>
      <c r="DX156" s="113"/>
      <c r="DY156" s="92"/>
      <c r="DZ156" s="92"/>
    </row>
    <row r="157" spans="1:130">
      <c r="A157" s="52"/>
      <c r="B157" s="52"/>
      <c r="C157" s="52"/>
      <c r="D157" s="52"/>
      <c r="E157" s="52"/>
      <c r="F157" s="52"/>
      <c r="G157" s="50"/>
      <c r="H157" s="50"/>
      <c r="I157" s="52"/>
      <c r="J157" s="12"/>
      <c r="K157" s="52"/>
      <c r="L157" s="52"/>
      <c r="M157" s="52"/>
      <c r="N157" s="52"/>
      <c r="O157" s="52"/>
      <c r="P157" s="330"/>
      <c r="Q157" s="52"/>
      <c r="R157" s="52"/>
      <c r="S157" s="52"/>
      <c r="T157" s="52"/>
      <c r="U157" s="52"/>
      <c r="V157" s="52"/>
      <c r="W157" s="52"/>
      <c r="X157" s="52"/>
      <c r="Y157" s="64"/>
      <c r="Z157" s="61"/>
      <c r="AA157" s="298"/>
      <c r="AB157" s="52"/>
      <c r="AC157" s="52"/>
      <c r="AD157" s="52"/>
      <c r="AE157" s="52"/>
      <c r="AF157" s="330"/>
      <c r="AG157" s="52"/>
      <c r="AH157" s="52"/>
      <c r="AI157" s="52"/>
      <c r="AJ157" s="52"/>
      <c r="AK157" s="52"/>
      <c r="AL157" s="52"/>
      <c r="AM157" s="52"/>
      <c r="AN157" s="52"/>
      <c r="AO157" s="52"/>
      <c r="AP157" s="52"/>
      <c r="AQ157" s="52"/>
      <c r="AR157" s="298"/>
      <c r="AS157" s="20"/>
      <c r="AT157" s="52"/>
      <c r="AU157" s="52"/>
      <c r="AV157" s="330"/>
      <c r="AW157" s="52"/>
      <c r="AX157" s="52"/>
      <c r="AY157" s="52"/>
      <c r="AZ157" s="52"/>
      <c r="BA157" s="52"/>
      <c r="BB157" s="52"/>
      <c r="BC157" s="52"/>
      <c r="BD157" s="298"/>
      <c r="BE157" s="12"/>
      <c r="BF157" s="52"/>
      <c r="BG157" s="52"/>
      <c r="BH157" s="61"/>
      <c r="BI157" s="20"/>
      <c r="BJ157" s="52"/>
      <c r="BK157" s="52"/>
      <c r="BL157" s="330"/>
      <c r="BM157" s="52"/>
      <c r="BN157" s="52"/>
      <c r="BO157" s="52"/>
      <c r="BP157" s="52"/>
      <c r="BQ157" s="52"/>
      <c r="BR157" s="9"/>
      <c r="BS157" s="52"/>
      <c r="BT157" s="52"/>
      <c r="BU157" s="52"/>
      <c r="BV157" s="12"/>
      <c r="BW157" s="61"/>
      <c r="BX157" s="52"/>
      <c r="BY157" s="52"/>
      <c r="BZ157" s="52"/>
      <c r="CA157" s="52"/>
      <c r="CB157" s="52"/>
      <c r="CC157" s="398"/>
      <c r="CD157" s="52"/>
      <c r="CE157" s="298"/>
      <c r="CF157" s="12"/>
      <c r="CG157" s="52"/>
      <c r="CH157" s="20"/>
      <c r="CI157" s="61"/>
      <c r="CJ157" s="52"/>
      <c r="CK157" s="52"/>
      <c r="CL157" s="52"/>
      <c r="CM157" s="52"/>
      <c r="CN157" s="52"/>
      <c r="CO157" s="52"/>
      <c r="CP157" s="52"/>
      <c r="CQ157" s="52"/>
      <c r="CR157" s="330"/>
      <c r="CS157" s="92"/>
      <c r="CT157" s="92"/>
      <c r="CU157" s="92"/>
      <c r="CV157" s="201"/>
      <c r="CW157" s="201"/>
      <c r="CX157" s="92"/>
      <c r="CY157" s="92"/>
      <c r="CZ157" s="92"/>
      <c r="DA157" s="92"/>
      <c r="DB157" s="92"/>
      <c r="DC157" s="92"/>
      <c r="DD157" s="92"/>
      <c r="DE157" s="92"/>
      <c r="DF157" s="92"/>
      <c r="DG157" s="92"/>
      <c r="DH157" s="113"/>
      <c r="DI157" s="92"/>
      <c r="DJ157" s="92"/>
      <c r="DK157" s="92"/>
      <c r="DL157" s="92"/>
      <c r="DM157" s="199"/>
      <c r="DN157" s="201"/>
      <c r="DO157" s="92"/>
      <c r="DP157" s="12"/>
      <c r="DQ157" s="92"/>
      <c r="DR157" s="92"/>
      <c r="DS157" s="92"/>
      <c r="DT157" s="92"/>
      <c r="DU157" s="92"/>
      <c r="DV157" s="92"/>
      <c r="DW157" s="92"/>
      <c r="DX157" s="113"/>
      <c r="DY157" s="92"/>
      <c r="DZ157" s="92"/>
    </row>
    <row r="158" spans="1:130">
      <c r="A158" s="52"/>
      <c r="B158" s="52"/>
      <c r="C158" s="52"/>
      <c r="D158" s="52"/>
      <c r="E158" s="52"/>
      <c r="F158" s="52"/>
      <c r="G158" s="61"/>
      <c r="H158" s="61"/>
      <c r="I158" s="52"/>
      <c r="J158" s="12"/>
      <c r="K158" s="52"/>
      <c r="L158" s="52"/>
      <c r="M158" s="52"/>
      <c r="N158" s="52"/>
      <c r="O158" s="52"/>
      <c r="P158" s="330"/>
      <c r="Q158" s="52"/>
      <c r="R158" s="52"/>
      <c r="S158" s="52"/>
      <c r="T158" s="52"/>
      <c r="U158" s="52"/>
      <c r="V158" s="52"/>
      <c r="W158" s="52"/>
      <c r="X158" s="52"/>
      <c r="Y158" s="61"/>
      <c r="Z158" s="61"/>
      <c r="AA158" s="298"/>
      <c r="AB158" s="12"/>
      <c r="AC158" s="52"/>
      <c r="AD158" s="52"/>
      <c r="AE158" s="52"/>
      <c r="AF158" s="330"/>
      <c r="AG158" s="52"/>
      <c r="AH158" s="52"/>
      <c r="AI158" s="52"/>
      <c r="AJ158" s="52"/>
      <c r="AK158" s="52"/>
      <c r="AL158" s="52"/>
      <c r="AM158" s="52"/>
      <c r="AN158" s="52"/>
      <c r="AO158" s="52"/>
      <c r="AP158" s="52"/>
      <c r="AQ158" s="298"/>
      <c r="AR158" s="298"/>
      <c r="AS158" s="61"/>
      <c r="AT158" s="52"/>
      <c r="AU158" s="52"/>
      <c r="AV158" s="330"/>
      <c r="AW158" s="52"/>
      <c r="AX158" s="52"/>
      <c r="AY158" s="52"/>
      <c r="AZ158" s="52"/>
      <c r="BA158" s="52"/>
      <c r="BB158" s="52"/>
      <c r="BC158" s="9"/>
      <c r="BD158" s="12"/>
      <c r="BE158" s="52"/>
      <c r="BF158" s="52"/>
      <c r="BG158" s="52"/>
      <c r="BH158" s="20"/>
      <c r="BI158" s="61"/>
      <c r="BJ158" s="52"/>
      <c r="BK158" s="52"/>
      <c r="BL158" s="330"/>
      <c r="BM158" s="52"/>
      <c r="BN158" s="52"/>
      <c r="BO158" s="52"/>
      <c r="BP158" s="52"/>
      <c r="BQ158" s="52"/>
      <c r="BR158" s="9"/>
      <c r="BS158" s="52"/>
      <c r="BT158" s="52"/>
      <c r="BU158" s="52"/>
      <c r="BV158" s="64"/>
      <c r="BW158" s="61"/>
      <c r="BX158" s="52"/>
      <c r="BY158" s="52"/>
      <c r="BZ158" s="52"/>
      <c r="CA158" s="52"/>
      <c r="CB158" s="52"/>
      <c r="CC158" s="398"/>
      <c r="CD158" s="52"/>
      <c r="CE158" s="52"/>
      <c r="CF158" s="12"/>
      <c r="CG158" s="52"/>
      <c r="CH158" s="61"/>
      <c r="CI158" s="20"/>
      <c r="CJ158" s="52"/>
      <c r="CK158" s="52"/>
      <c r="CL158" s="52"/>
      <c r="CM158" s="52"/>
      <c r="CN158" s="52"/>
      <c r="CO158" s="52"/>
      <c r="CP158" s="52"/>
      <c r="CQ158" s="52"/>
      <c r="CR158" s="330"/>
      <c r="CS158" s="92"/>
      <c r="CT158" s="92"/>
      <c r="CU158" s="92"/>
      <c r="CV158" s="201"/>
      <c r="CW158" s="199"/>
      <c r="CX158" s="92"/>
      <c r="CY158" s="92"/>
      <c r="CZ158" s="92"/>
      <c r="DA158" s="92"/>
      <c r="DB158" s="92"/>
      <c r="DC158" s="92"/>
      <c r="DD158" s="92"/>
      <c r="DE158" s="92"/>
      <c r="DF158" s="92"/>
      <c r="DG158" s="92"/>
      <c r="DH158" s="113"/>
      <c r="DI158" s="92"/>
      <c r="DJ158" s="92"/>
      <c r="DK158" s="92"/>
      <c r="DL158" s="92"/>
      <c r="DM158" s="199"/>
      <c r="DN158" s="201"/>
      <c r="DO158" s="9"/>
      <c r="DP158" s="12"/>
      <c r="DQ158" s="92"/>
      <c r="DR158" s="92"/>
      <c r="DS158" s="92"/>
      <c r="DT158" s="92"/>
      <c r="DU158" s="92"/>
      <c r="DV158" s="92"/>
      <c r="DW158" s="92"/>
      <c r="DX158" s="113"/>
      <c r="DY158" s="92"/>
      <c r="DZ158" s="92"/>
    </row>
    <row r="159" spans="1:130">
      <c r="A159" s="52"/>
      <c r="B159" s="52"/>
      <c r="C159" s="52"/>
      <c r="D159" s="52"/>
      <c r="E159" s="52"/>
      <c r="F159" s="52"/>
      <c r="G159" s="12"/>
      <c r="H159" s="61"/>
      <c r="I159" s="52"/>
      <c r="J159" s="12"/>
      <c r="K159" s="12"/>
      <c r="L159" s="52"/>
      <c r="M159" s="52"/>
      <c r="N159" s="52"/>
      <c r="O159" s="52"/>
      <c r="P159" s="330"/>
      <c r="Q159" s="52"/>
      <c r="R159" s="52"/>
      <c r="S159" s="52"/>
      <c r="T159" s="52"/>
      <c r="U159" s="52"/>
      <c r="V159" s="52"/>
      <c r="W159" s="52"/>
      <c r="X159" s="52"/>
      <c r="Y159" s="61"/>
      <c r="Z159" s="61"/>
      <c r="AA159" s="12"/>
      <c r="AB159" s="12"/>
      <c r="AC159" s="52"/>
      <c r="AD159" s="52"/>
      <c r="AE159" s="52"/>
      <c r="AF159" s="330"/>
      <c r="AG159" s="52"/>
      <c r="AH159" s="52"/>
      <c r="AI159" s="52"/>
      <c r="AJ159" s="52"/>
      <c r="AK159" s="52"/>
      <c r="AL159" s="52"/>
      <c r="AM159" s="52"/>
      <c r="AN159" s="52"/>
      <c r="AO159" s="52"/>
      <c r="AP159" s="52"/>
      <c r="AQ159" s="298"/>
      <c r="AR159" s="61"/>
      <c r="AS159" s="52"/>
      <c r="AT159" s="52"/>
      <c r="AU159" s="52"/>
      <c r="AV159" s="330"/>
      <c r="AW159" s="52"/>
      <c r="AX159" s="52"/>
      <c r="AY159" s="52"/>
      <c r="AZ159" s="52"/>
      <c r="BA159" s="52"/>
      <c r="BB159" s="52"/>
      <c r="BC159" s="298"/>
      <c r="BD159" s="52"/>
      <c r="BE159" s="52"/>
      <c r="BF159" s="52"/>
      <c r="BG159" s="61"/>
      <c r="BH159" s="48"/>
      <c r="BI159" s="52"/>
      <c r="BJ159" s="52"/>
      <c r="BK159" s="52"/>
      <c r="BL159" s="330"/>
      <c r="BM159" s="52"/>
      <c r="BN159" s="52"/>
      <c r="BO159" s="52"/>
      <c r="BP159" s="52"/>
      <c r="BQ159" s="52"/>
      <c r="BR159" s="12"/>
      <c r="BS159" s="12"/>
      <c r="BT159" s="52"/>
      <c r="BU159" s="52"/>
      <c r="BV159" s="61"/>
      <c r="BW159" s="64"/>
      <c r="BX159" s="34"/>
      <c r="BY159" s="52"/>
      <c r="BZ159" s="52"/>
      <c r="CA159" s="52"/>
      <c r="CB159" s="52"/>
      <c r="CC159" s="398"/>
      <c r="CD159" s="52"/>
      <c r="CE159" s="52"/>
      <c r="CF159" s="52"/>
      <c r="CG159" s="12"/>
      <c r="CH159" s="52"/>
      <c r="CI159" s="48"/>
      <c r="CJ159" s="61"/>
      <c r="CK159" s="52"/>
      <c r="CL159" s="52"/>
      <c r="CM159" s="52"/>
      <c r="CN159" s="52"/>
      <c r="CO159" s="52"/>
      <c r="CP159" s="52"/>
      <c r="CQ159" s="52"/>
      <c r="CR159" s="330"/>
      <c r="CS159" s="92"/>
      <c r="CT159" s="92"/>
      <c r="CU159" s="92"/>
      <c r="CV159" s="92"/>
      <c r="CW159" s="201"/>
      <c r="CX159" s="201"/>
      <c r="CY159" s="92"/>
      <c r="CZ159" s="92"/>
      <c r="DA159" s="92"/>
      <c r="DB159" s="92"/>
      <c r="DC159" s="92"/>
      <c r="DD159" s="92"/>
      <c r="DE159" s="92"/>
      <c r="DF159" s="92"/>
      <c r="DG159" s="92"/>
      <c r="DH159" s="113"/>
      <c r="DI159" s="92"/>
      <c r="DJ159" s="92"/>
      <c r="DK159" s="92"/>
      <c r="DL159" s="92"/>
      <c r="DM159" s="201"/>
      <c r="DN159" s="294"/>
      <c r="DO159" s="298"/>
      <c r="DP159" s="12"/>
      <c r="DQ159" s="298"/>
      <c r="DR159" s="92"/>
      <c r="DS159" s="92"/>
      <c r="DT159" s="92"/>
      <c r="DU159" s="92"/>
      <c r="DV159" s="92"/>
      <c r="DW159" s="92"/>
      <c r="DX159" s="113"/>
      <c r="DY159" s="92"/>
      <c r="DZ159" s="92"/>
    </row>
    <row r="160" spans="1:130">
      <c r="A160" s="74"/>
      <c r="B160" s="74"/>
      <c r="C160" s="74"/>
      <c r="D160" s="74"/>
      <c r="E160" s="74"/>
      <c r="F160" s="77"/>
      <c r="G160" s="64"/>
      <c r="H160" s="77"/>
      <c r="I160" s="74"/>
      <c r="J160" s="12"/>
      <c r="K160" s="12"/>
      <c r="L160" s="12"/>
      <c r="M160" s="74"/>
      <c r="N160" s="74"/>
      <c r="O160" s="74"/>
      <c r="P160" s="369"/>
      <c r="Q160" s="74"/>
      <c r="R160" s="74"/>
      <c r="S160" s="74"/>
      <c r="T160" s="74"/>
      <c r="U160" s="74"/>
      <c r="V160" s="74"/>
      <c r="W160" s="74"/>
      <c r="X160" s="64"/>
      <c r="Y160" s="378"/>
      <c r="Z160" s="298"/>
      <c r="AA160" s="74"/>
      <c r="AB160" s="52"/>
      <c r="AC160" s="74"/>
      <c r="AD160" s="74"/>
      <c r="AE160" s="74"/>
      <c r="AF160" s="369"/>
      <c r="AG160" s="74"/>
      <c r="AH160" s="74"/>
      <c r="AI160" s="74"/>
      <c r="AJ160" s="74"/>
      <c r="AK160" s="74"/>
      <c r="AL160" s="74"/>
      <c r="AM160" s="74"/>
      <c r="AN160" s="74"/>
      <c r="AO160" s="74"/>
      <c r="AP160" s="298"/>
      <c r="AQ160" s="77"/>
      <c r="AR160" s="20"/>
      <c r="AS160" s="74"/>
      <c r="AT160" s="74"/>
      <c r="AU160" s="74"/>
      <c r="AV160" s="369"/>
      <c r="AW160" s="74"/>
      <c r="AX160" s="74"/>
      <c r="AY160" s="74"/>
      <c r="AZ160" s="74"/>
      <c r="BA160" s="74"/>
      <c r="BB160" s="74"/>
      <c r="BC160" s="74"/>
      <c r="BD160" s="74"/>
      <c r="BE160" s="74"/>
      <c r="BF160" s="74"/>
      <c r="BG160" s="378"/>
      <c r="BH160" s="74"/>
      <c r="BI160" s="74"/>
      <c r="BJ160" s="74"/>
      <c r="BK160" s="74"/>
      <c r="BL160" s="369"/>
      <c r="BM160" s="74"/>
      <c r="BN160" s="74"/>
      <c r="BO160" s="74"/>
      <c r="BP160" s="74"/>
      <c r="BQ160" s="9"/>
      <c r="BR160" s="12"/>
      <c r="BS160" s="12"/>
      <c r="BT160" s="74"/>
      <c r="BU160" s="74"/>
      <c r="BV160" s="34"/>
      <c r="BW160" s="64"/>
      <c r="BX160" s="61"/>
      <c r="BY160" s="74"/>
      <c r="BZ160" s="74"/>
      <c r="CA160" s="74"/>
      <c r="CB160" s="74"/>
      <c r="CC160" s="398"/>
      <c r="CD160" s="52"/>
      <c r="CE160" s="52"/>
      <c r="CF160" s="52"/>
      <c r="CG160" s="52"/>
      <c r="CH160" s="52"/>
      <c r="CI160" s="52"/>
      <c r="CJ160" s="50"/>
      <c r="CK160" s="52"/>
      <c r="CL160" s="52"/>
      <c r="CM160" s="52"/>
      <c r="CN160" s="52"/>
      <c r="CO160" s="52"/>
      <c r="CP160" s="52"/>
      <c r="CQ160" s="52"/>
      <c r="CR160" s="330"/>
      <c r="CS160" s="92"/>
      <c r="CT160" s="92"/>
      <c r="CU160" s="92"/>
      <c r="CV160" s="92"/>
      <c r="CW160" s="92"/>
      <c r="CX160" s="201"/>
      <c r="CY160" s="92"/>
      <c r="CZ160" s="92"/>
      <c r="DA160" s="92"/>
      <c r="DB160" s="92"/>
      <c r="DC160" s="92"/>
      <c r="DD160" s="92"/>
      <c r="DE160" s="92"/>
      <c r="DF160" s="92"/>
      <c r="DG160" s="92"/>
      <c r="DH160" s="113"/>
      <c r="DI160" s="92"/>
      <c r="DJ160" s="92"/>
      <c r="DK160" s="92"/>
      <c r="DL160" s="92"/>
      <c r="DM160" s="92"/>
      <c r="DN160" s="294"/>
      <c r="DO160" s="201"/>
      <c r="DP160" s="92"/>
      <c r="DQ160" s="12"/>
      <c r="DR160" s="92"/>
      <c r="DS160" s="92"/>
      <c r="DT160" s="92"/>
      <c r="DU160" s="92"/>
      <c r="DV160" s="92"/>
      <c r="DW160" s="92"/>
      <c r="DX160" s="113"/>
      <c r="DY160" s="103"/>
      <c r="DZ160" s="103"/>
    </row>
    <row r="161" spans="1:130">
      <c r="A161" s="114"/>
      <c r="B161" s="51" t="s">
        <v>762</v>
      </c>
      <c r="C161" s="51"/>
      <c r="D161" s="51"/>
      <c r="E161" s="51"/>
      <c r="F161" s="92"/>
      <c r="G161" s="92"/>
      <c r="H161" s="51"/>
      <c r="I161" s="51"/>
      <c r="J161" s="51"/>
      <c r="K161" s="51"/>
      <c r="L161" s="92"/>
      <c r="M161" s="51"/>
      <c r="N161" s="51"/>
      <c r="O161" s="51"/>
      <c r="P161" s="82"/>
      <c r="Q161" s="51"/>
      <c r="R161" s="51"/>
      <c r="S161" s="51"/>
      <c r="T161" s="51"/>
      <c r="U161" s="51"/>
      <c r="V161" s="92"/>
      <c r="W161" s="92"/>
      <c r="X161" s="51"/>
      <c r="Y161" s="51"/>
      <c r="Z161" s="51"/>
      <c r="AA161" s="51"/>
      <c r="AB161" s="92"/>
      <c r="AC161" s="51"/>
      <c r="AD161" s="51"/>
      <c r="AE161" s="51"/>
      <c r="AF161" s="82"/>
      <c r="AG161" s="51"/>
      <c r="AH161" s="51"/>
      <c r="AI161" s="51"/>
      <c r="AJ161" s="51"/>
      <c r="AK161" s="51"/>
      <c r="AL161" s="92"/>
      <c r="AM161" s="92"/>
      <c r="AN161" s="51"/>
      <c r="AO161" s="51"/>
      <c r="AP161" s="51"/>
      <c r="AQ161" s="51"/>
      <c r="AR161" s="92"/>
      <c r="AS161" s="51"/>
      <c r="AT161" s="51"/>
      <c r="AU161" s="51"/>
      <c r="AV161" s="82"/>
      <c r="AW161" s="51"/>
      <c r="AX161" s="51"/>
      <c r="AY161" s="51"/>
      <c r="AZ161" s="51"/>
      <c r="BA161" s="51"/>
      <c r="BB161" s="92"/>
      <c r="BC161" s="92"/>
      <c r="BD161" s="51"/>
      <c r="BE161" s="51"/>
      <c r="BF161" s="51"/>
      <c r="BG161" s="51"/>
      <c r="BH161" s="92"/>
      <c r="BI161" s="51"/>
      <c r="BJ161" s="51"/>
      <c r="BK161" s="51"/>
      <c r="BL161" s="82"/>
      <c r="BM161" s="51"/>
      <c r="BN161" s="51"/>
      <c r="BO161" s="51"/>
      <c r="BP161" s="51"/>
      <c r="BQ161" s="51"/>
      <c r="BR161" s="92"/>
      <c r="BS161" s="92"/>
      <c r="BT161" s="51"/>
      <c r="BU161" s="51"/>
      <c r="BV161" s="51"/>
      <c r="BW161" s="51"/>
      <c r="BX161" s="92"/>
      <c r="BY161" s="51"/>
      <c r="BZ161" s="51"/>
      <c r="CA161" s="51"/>
      <c r="CB161" s="51"/>
      <c r="CC161" s="108"/>
      <c r="CD161" s="109"/>
      <c r="CE161" s="109"/>
      <c r="CF161" s="109"/>
      <c r="CG161" s="109"/>
      <c r="CH161" s="110"/>
      <c r="CI161" s="110"/>
      <c r="CJ161" s="109"/>
      <c r="CK161" s="109"/>
      <c r="CL161" s="109"/>
      <c r="CM161" s="109"/>
      <c r="CN161" s="110"/>
      <c r="CO161" s="109"/>
      <c r="CP161" s="109"/>
      <c r="CQ161" s="109"/>
      <c r="CR161" s="111"/>
      <c r="CS161" s="869"/>
      <c r="CT161" s="109"/>
      <c r="CU161" s="109"/>
      <c r="CV161" s="109"/>
      <c r="CW161" s="109"/>
      <c r="CX161" s="110"/>
      <c r="CY161" s="110"/>
      <c r="CZ161" s="109"/>
      <c r="DA161" s="109"/>
      <c r="DB161" s="109"/>
      <c r="DC161" s="109"/>
      <c r="DD161" s="110"/>
      <c r="DE161" s="109"/>
      <c r="DF161" s="109"/>
      <c r="DG161" s="109"/>
      <c r="DH161" s="111"/>
      <c r="DI161" s="108"/>
      <c r="DJ161" s="109"/>
      <c r="DK161" s="109"/>
      <c r="DL161" s="109"/>
      <c r="DM161" s="109"/>
      <c r="DN161" s="110"/>
      <c r="DO161" s="110"/>
      <c r="DP161" s="109"/>
      <c r="DQ161" s="109"/>
      <c r="DR161" s="109"/>
      <c r="DS161" s="109"/>
      <c r="DT161" s="110"/>
      <c r="DU161" s="109"/>
      <c r="DV161" s="109"/>
      <c r="DW161" s="109"/>
      <c r="DX161" s="397"/>
      <c r="DY161" s="92"/>
      <c r="DZ161" s="92"/>
    </row>
    <row r="162" spans="1:130">
      <c r="A162" s="2"/>
      <c r="B162" s="51"/>
      <c r="C162" s="2"/>
      <c r="D162" s="2"/>
      <c r="E162" s="2"/>
      <c r="F162" s="2"/>
      <c r="G162" s="2"/>
      <c r="H162" s="2"/>
      <c r="I162" s="2"/>
      <c r="J162" s="2"/>
      <c r="K162" s="2"/>
      <c r="L162" s="2"/>
      <c r="M162" s="2"/>
      <c r="N162" s="2"/>
      <c r="O162" s="2"/>
      <c r="P162" s="113"/>
      <c r="Q162" s="51"/>
      <c r="R162" s="51"/>
      <c r="S162" s="51"/>
      <c r="T162" s="51"/>
      <c r="U162" s="51"/>
      <c r="V162" s="92"/>
      <c r="W162" s="92"/>
      <c r="X162" s="51"/>
      <c r="Y162" s="51"/>
      <c r="Z162" s="51"/>
      <c r="AA162" s="51"/>
      <c r="AB162" s="92"/>
      <c r="AC162" s="51"/>
      <c r="AD162" s="51"/>
      <c r="AE162" s="51"/>
      <c r="AF162" s="82"/>
      <c r="AG162" s="51"/>
      <c r="AH162" s="51"/>
      <c r="AI162" s="51"/>
      <c r="AJ162" s="51"/>
      <c r="AK162" s="51"/>
      <c r="AL162" s="92"/>
      <c r="AM162" s="92"/>
      <c r="AN162" s="51"/>
      <c r="AO162" s="51"/>
      <c r="AP162" s="51"/>
      <c r="AQ162" s="51"/>
      <c r="AR162" s="92"/>
      <c r="AS162" s="51"/>
      <c r="AT162" s="51"/>
      <c r="AU162" s="51"/>
      <c r="AV162" s="82"/>
      <c r="AW162" s="51"/>
      <c r="AX162" s="51"/>
      <c r="AY162" s="51"/>
      <c r="AZ162" s="51"/>
      <c r="BA162" s="51"/>
      <c r="BB162" s="92"/>
      <c r="BC162" s="92"/>
      <c r="BD162" s="51"/>
      <c r="BE162" s="51"/>
      <c r="BF162" s="51"/>
      <c r="BG162" s="51"/>
      <c r="BH162" s="92"/>
      <c r="BI162" s="51"/>
      <c r="BJ162" s="51"/>
      <c r="BK162" s="51"/>
      <c r="BL162" s="82"/>
      <c r="BM162" s="51"/>
      <c r="BN162" s="51"/>
      <c r="BO162" s="51"/>
      <c r="BP162" s="51"/>
      <c r="BQ162" s="51"/>
      <c r="BR162" s="92"/>
      <c r="BS162" s="92"/>
      <c r="BT162" s="51"/>
      <c r="BU162" s="51"/>
      <c r="BV162" s="51"/>
      <c r="BW162" s="51"/>
      <c r="BX162" s="92"/>
      <c r="BY162" s="51"/>
      <c r="BZ162" s="51"/>
      <c r="CA162" s="51"/>
      <c r="CB162" s="51"/>
      <c r="CC162" s="114"/>
      <c r="CD162" s="51"/>
      <c r="CE162" s="51"/>
      <c r="CF162" s="51"/>
      <c r="CG162" s="51"/>
      <c r="CH162" s="92"/>
      <c r="CI162" s="92"/>
      <c r="CJ162" s="51"/>
      <c r="CK162" s="51"/>
      <c r="CL162" s="51"/>
      <c r="CM162" s="51"/>
      <c r="CN162" s="92"/>
      <c r="CO162" s="51"/>
      <c r="CP162" s="51"/>
      <c r="CQ162" s="51"/>
      <c r="CR162" s="82"/>
      <c r="CS162" s="363"/>
      <c r="CT162" s="51"/>
      <c r="CU162" s="51"/>
      <c r="CV162" s="51"/>
      <c r="CW162" s="51"/>
      <c r="CX162" s="92"/>
      <c r="CY162" s="92"/>
      <c r="CZ162" s="51"/>
      <c r="DA162" s="51"/>
      <c r="DB162" s="51"/>
      <c r="DC162" s="51"/>
      <c r="DD162" s="92"/>
      <c r="DE162" s="51"/>
      <c r="DF162" s="51"/>
      <c r="DG162" s="51"/>
      <c r="DH162" s="82"/>
      <c r="DI162" s="114"/>
      <c r="DJ162" s="51"/>
      <c r="DK162" s="51"/>
      <c r="DL162" s="51"/>
      <c r="DM162" s="51"/>
      <c r="DN162" s="92"/>
      <c r="DO162" s="92"/>
      <c r="DP162" s="51"/>
      <c r="DQ162" s="51"/>
      <c r="DR162" s="51"/>
      <c r="DS162" s="51"/>
      <c r="DT162" s="92"/>
      <c r="DU162" s="51"/>
      <c r="DV162" s="51"/>
      <c r="DW162" s="51"/>
      <c r="DX162" s="362"/>
      <c r="DY162" s="92"/>
      <c r="DZ162" s="92"/>
    </row>
    <row r="163" spans="1:130">
      <c r="A163" s="2"/>
      <c r="B163" s="2"/>
      <c r="C163" s="2"/>
      <c r="D163" s="2"/>
      <c r="E163" s="2"/>
      <c r="F163" s="2"/>
      <c r="G163" s="178"/>
      <c r="H163" s="100"/>
      <c r="I163" s="178"/>
      <c r="J163" s="2"/>
      <c r="K163" s="2"/>
      <c r="L163" s="2"/>
      <c r="M163" s="2"/>
      <c r="N163" s="2"/>
      <c r="O163" s="2"/>
      <c r="P163" s="113"/>
      <c r="Q163" s="51"/>
      <c r="R163" s="51"/>
      <c r="S163" s="51"/>
      <c r="T163" s="51"/>
      <c r="U163" s="40"/>
      <c r="V163" s="43"/>
      <c r="W163" s="40"/>
      <c r="X163" s="51"/>
      <c r="Y163" s="51"/>
      <c r="Z163" s="51"/>
      <c r="AA163" s="51"/>
      <c r="AB163" s="51"/>
      <c r="AC163" s="51"/>
      <c r="AD163" s="51"/>
      <c r="AE163" s="51"/>
      <c r="AF163" s="82"/>
      <c r="AG163" s="51"/>
      <c r="AH163" s="51"/>
      <c r="AI163" s="51"/>
      <c r="AJ163" s="51"/>
      <c r="AK163" s="51"/>
      <c r="AL163" s="40"/>
      <c r="AM163" s="40"/>
      <c r="AN163" s="51"/>
      <c r="AO163" s="51"/>
      <c r="AP163" s="51"/>
      <c r="AQ163" s="51"/>
      <c r="AR163" s="51"/>
      <c r="AS163" s="51"/>
      <c r="AT163" s="51"/>
      <c r="AU163" s="51"/>
      <c r="AV163" s="82"/>
      <c r="AW163" s="51"/>
      <c r="AX163" s="51"/>
      <c r="AY163" s="51"/>
      <c r="AZ163" s="51"/>
      <c r="BA163" s="51"/>
      <c r="BB163" s="51"/>
      <c r="BC163" s="40"/>
      <c r="BD163" s="40"/>
      <c r="BE163" s="40"/>
      <c r="BF163" s="51"/>
      <c r="BG163" s="51"/>
      <c r="BH163" s="51"/>
      <c r="BI163" s="51"/>
      <c r="BJ163" s="51"/>
      <c r="BK163" s="51"/>
      <c r="BL163" s="82"/>
      <c r="BM163" s="51"/>
      <c r="BN163" s="51"/>
      <c r="BO163" s="51"/>
      <c r="BP163" s="51"/>
      <c r="BQ163" s="51"/>
      <c r="BR163" s="51"/>
      <c r="BS163" s="51"/>
      <c r="BT163" s="51"/>
      <c r="BU163" s="40"/>
      <c r="BV163" s="40"/>
      <c r="BW163" s="51"/>
      <c r="BX163" s="51"/>
      <c r="BY163" s="51"/>
      <c r="BZ163" s="51"/>
      <c r="CA163" s="51"/>
      <c r="CB163" s="51"/>
      <c r="CC163" s="114"/>
      <c r="CD163" s="51"/>
      <c r="CE163" s="51"/>
      <c r="CF163" s="51"/>
      <c r="CG163" s="51"/>
      <c r="CH163" s="51"/>
      <c r="CI163" s="51"/>
      <c r="CJ163" s="51"/>
      <c r="CK163" s="51"/>
      <c r="CL163" s="40"/>
      <c r="CM163" s="43"/>
      <c r="CN163" s="40"/>
      <c r="CO163" s="51"/>
      <c r="CP163" s="51"/>
      <c r="CQ163" s="51"/>
      <c r="CR163" s="82"/>
      <c r="CS163" s="112"/>
      <c r="CT163" s="92"/>
      <c r="CU163" s="92"/>
      <c r="CV163" s="92"/>
      <c r="CW163" s="92"/>
      <c r="CX163" s="92"/>
      <c r="CY163" s="92"/>
      <c r="CZ163" s="92"/>
      <c r="DA163" s="40"/>
      <c r="DB163" s="43"/>
      <c r="DC163" s="40"/>
      <c r="DD163" s="92"/>
      <c r="DE163" s="92"/>
      <c r="DF163" s="92"/>
      <c r="DG163" s="92"/>
      <c r="DH163" s="113"/>
      <c r="DI163" s="112"/>
      <c r="DJ163" s="92"/>
      <c r="DK163" s="92"/>
      <c r="DL163" s="92"/>
      <c r="DM163" s="92"/>
      <c r="DN163" s="92"/>
      <c r="DO163" s="92"/>
      <c r="DP163" s="92"/>
      <c r="DQ163" s="40"/>
      <c r="DR163" s="43"/>
      <c r="DS163" s="40"/>
      <c r="DT163" s="92"/>
      <c r="DU163" s="92"/>
      <c r="DV163" s="92"/>
      <c r="DW163" s="92"/>
      <c r="DX163" s="113"/>
      <c r="DY163" s="92"/>
      <c r="DZ163" s="92"/>
    </row>
    <row r="164" spans="1:130">
      <c r="A164" s="2"/>
      <c r="B164" s="2"/>
      <c r="C164" s="2"/>
      <c r="D164" s="2"/>
      <c r="E164" s="2"/>
      <c r="F164" s="92"/>
      <c r="G164" s="190"/>
      <c r="H164" s="72"/>
      <c r="I164" s="72"/>
      <c r="J164" s="178"/>
      <c r="K164" s="2"/>
      <c r="L164" s="2"/>
      <c r="M164" s="2"/>
      <c r="N164" s="2"/>
      <c r="O164" s="2"/>
      <c r="P164" s="113"/>
      <c r="Q164" s="51"/>
      <c r="R164" s="51"/>
      <c r="S164" s="2"/>
      <c r="T164" s="43"/>
      <c r="U164" s="34"/>
      <c r="V164" s="34"/>
      <c r="W164" s="34"/>
      <c r="X164" s="43"/>
      <c r="Y164" s="51"/>
      <c r="Z164" s="51"/>
      <c r="AA164" s="51"/>
      <c r="AB164" s="51"/>
      <c r="AC164" s="51"/>
      <c r="AD164" s="51"/>
      <c r="AE164" s="51"/>
      <c r="AF164" s="82"/>
      <c r="AG164" s="51"/>
      <c r="AH164" s="51"/>
      <c r="AI164" s="51"/>
      <c r="AJ164" s="43"/>
      <c r="AK164" s="465"/>
      <c r="AL164" s="42"/>
      <c r="AM164" s="42"/>
      <c r="AN164" s="465"/>
      <c r="AO164" s="40"/>
      <c r="AP164" s="51"/>
      <c r="AQ164" s="51"/>
      <c r="AR164" s="51"/>
      <c r="AS164" s="51"/>
      <c r="AT164" s="51"/>
      <c r="AU164" s="51"/>
      <c r="AV164" s="82"/>
      <c r="AW164" s="51"/>
      <c r="AX164" s="51"/>
      <c r="AY164" s="51"/>
      <c r="AZ164" s="51"/>
      <c r="BA164" s="51"/>
      <c r="BB164" s="40"/>
      <c r="BC164" s="49"/>
      <c r="BD164" s="3"/>
      <c r="BE164" s="42"/>
      <c r="BF164" s="40"/>
      <c r="BG164" s="51"/>
      <c r="BH164" s="51"/>
      <c r="BI164" s="51"/>
      <c r="BJ164" s="51"/>
      <c r="BK164" s="51"/>
      <c r="BL164" s="82"/>
      <c r="BM164" s="51"/>
      <c r="BN164" s="51"/>
      <c r="BO164" s="51"/>
      <c r="BP164" s="51"/>
      <c r="BQ164" s="51"/>
      <c r="BR164" s="51"/>
      <c r="BS164" s="51"/>
      <c r="BT164" s="40"/>
      <c r="BU164" s="43"/>
      <c r="BV164" s="43"/>
      <c r="BW164" s="40"/>
      <c r="BX164" s="51"/>
      <c r="BY164" s="51"/>
      <c r="BZ164" s="51"/>
      <c r="CA164" s="51"/>
      <c r="CB164" s="51"/>
      <c r="CC164" s="114"/>
      <c r="CD164" s="51"/>
      <c r="CE164" s="51"/>
      <c r="CF164" s="51"/>
      <c r="CG164" s="51"/>
      <c r="CH164" s="51"/>
      <c r="CI164" s="51"/>
      <c r="CJ164" s="51"/>
      <c r="CK164" s="40"/>
      <c r="CL164" s="43"/>
      <c r="CM164" s="465"/>
      <c r="CN164" s="43"/>
      <c r="CO164" s="40"/>
      <c r="CP164" s="51"/>
      <c r="CQ164" s="51"/>
      <c r="CR164" s="82"/>
      <c r="CS164" s="112"/>
      <c r="CT164" s="92"/>
      <c r="CU164" s="92"/>
      <c r="CV164" s="92"/>
      <c r="CW164" s="92"/>
      <c r="CX164" s="92"/>
      <c r="CY164" s="92"/>
      <c r="CZ164" s="43"/>
      <c r="DA164" s="161"/>
      <c r="DB164" s="205"/>
      <c r="DC164" s="206"/>
      <c r="DD164" s="43"/>
      <c r="DE164" s="92"/>
      <c r="DF164" s="92"/>
      <c r="DG164" s="92"/>
      <c r="DH164" s="113"/>
      <c r="DI164" s="112"/>
      <c r="DJ164" s="92"/>
      <c r="DK164" s="92"/>
      <c r="DL164" s="92"/>
      <c r="DM164" s="92"/>
      <c r="DN164" s="92"/>
      <c r="DO164" s="92"/>
      <c r="DP164" s="297"/>
      <c r="DQ164" s="206"/>
      <c r="DR164" s="161"/>
      <c r="DS164" s="293"/>
      <c r="DT164" s="297"/>
      <c r="DU164" s="92"/>
      <c r="DV164" s="92"/>
      <c r="DW164" s="92"/>
      <c r="DX164" s="113"/>
      <c r="DY164" s="92"/>
      <c r="DZ164" s="92"/>
    </row>
    <row r="165" spans="1:130">
      <c r="A165" s="2"/>
      <c r="B165" s="2"/>
      <c r="C165" s="2"/>
      <c r="D165" s="2"/>
      <c r="E165" s="2"/>
      <c r="F165" s="180"/>
      <c r="G165" s="190"/>
      <c r="H165" s="190"/>
      <c r="I165" s="72"/>
      <c r="J165" s="72"/>
      <c r="K165" s="178"/>
      <c r="L165" s="2"/>
      <c r="M165" s="2"/>
      <c r="N165" s="2"/>
      <c r="O165" s="2"/>
      <c r="P165" s="113"/>
      <c r="Q165" s="51"/>
      <c r="R165" s="2"/>
      <c r="S165" s="43"/>
      <c r="T165" s="3"/>
      <c r="U165" s="49"/>
      <c r="V165" s="42"/>
      <c r="W165" s="3"/>
      <c r="X165" s="465"/>
      <c r="Y165" s="41"/>
      <c r="Z165" s="51"/>
      <c r="AA165" s="51"/>
      <c r="AB165" s="51"/>
      <c r="AC165" s="51"/>
      <c r="AD165" s="51"/>
      <c r="AE165" s="51"/>
      <c r="AF165" s="82"/>
      <c r="AG165" s="51"/>
      <c r="AH165" s="51"/>
      <c r="AI165" s="34"/>
      <c r="AJ165" s="42"/>
      <c r="AK165" s="465"/>
      <c r="AL165" s="42"/>
      <c r="AM165" s="3"/>
      <c r="AN165" s="49"/>
      <c r="AO165" s="54"/>
      <c r="AP165" s="51"/>
      <c r="AQ165" s="51"/>
      <c r="AR165" s="51"/>
      <c r="AS165" s="51"/>
      <c r="AT165" s="51"/>
      <c r="AU165" s="51"/>
      <c r="AV165" s="82"/>
      <c r="AW165" s="51"/>
      <c r="AX165" s="51"/>
      <c r="AY165" s="51"/>
      <c r="AZ165" s="51"/>
      <c r="BA165" s="43"/>
      <c r="BB165" s="3"/>
      <c r="BC165" s="3"/>
      <c r="BD165" s="3"/>
      <c r="BE165" s="3"/>
      <c r="BF165" s="465"/>
      <c r="BG165" s="40"/>
      <c r="BH165" s="51"/>
      <c r="BI165" s="51"/>
      <c r="BJ165" s="51"/>
      <c r="BK165" s="51"/>
      <c r="BL165" s="82"/>
      <c r="BM165" s="51"/>
      <c r="BN165" s="51"/>
      <c r="BO165" s="51"/>
      <c r="BP165" s="51"/>
      <c r="BQ165" s="51"/>
      <c r="BR165" s="51"/>
      <c r="BS165" s="51"/>
      <c r="BT165" s="43"/>
      <c r="BU165" s="42"/>
      <c r="BV165" s="3"/>
      <c r="BW165" s="49"/>
      <c r="BX165" s="40"/>
      <c r="BY165" s="51"/>
      <c r="BZ165" s="51"/>
      <c r="CA165" s="51"/>
      <c r="CB165" s="51"/>
      <c r="CC165" s="114"/>
      <c r="CD165" s="51"/>
      <c r="CE165" s="51"/>
      <c r="CF165" s="51"/>
      <c r="CG165" s="51"/>
      <c r="CH165" s="51"/>
      <c r="CI165" s="51"/>
      <c r="CJ165" s="40"/>
      <c r="CK165" s="49"/>
      <c r="CL165" s="49"/>
      <c r="CM165" s="49"/>
      <c r="CN165" s="3"/>
      <c r="CO165" s="3"/>
      <c r="CP165" s="40"/>
      <c r="CQ165" s="51"/>
      <c r="CR165" s="82"/>
      <c r="CS165" s="112"/>
      <c r="CT165" s="92"/>
      <c r="CU165" s="92"/>
      <c r="CV165" s="92"/>
      <c r="CW165" s="92"/>
      <c r="CX165" s="92"/>
      <c r="CY165" s="297"/>
      <c r="CZ165" s="205"/>
      <c r="DA165" s="206"/>
      <c r="DB165" s="205"/>
      <c r="DC165" s="160"/>
      <c r="DD165" s="205"/>
      <c r="DE165" s="297"/>
      <c r="DF165" s="92"/>
      <c r="DG165" s="92"/>
      <c r="DH165" s="113"/>
      <c r="DI165" s="112"/>
      <c r="DJ165" s="92"/>
      <c r="DK165" s="92"/>
      <c r="DL165" s="92"/>
      <c r="DM165" s="92"/>
      <c r="DN165" s="92"/>
      <c r="DO165" s="40"/>
      <c r="DP165" s="206"/>
      <c r="DQ165" s="206"/>
      <c r="DR165" s="206"/>
      <c r="DS165" s="205"/>
      <c r="DT165" s="160"/>
      <c r="DU165" s="43"/>
      <c r="DV165" s="92"/>
      <c r="DW165" s="92"/>
      <c r="DX165" s="113"/>
      <c r="DY165" s="92"/>
      <c r="DZ165" s="92"/>
    </row>
    <row r="166" spans="1:130">
      <c r="A166" s="2"/>
      <c r="B166" s="2"/>
      <c r="C166" s="2"/>
      <c r="D166" s="2"/>
      <c r="E166" s="2"/>
      <c r="F166" s="100"/>
      <c r="G166" s="190"/>
      <c r="H166" s="190"/>
      <c r="I166" s="72"/>
      <c r="J166" s="72"/>
      <c r="K166" s="178"/>
      <c r="L166" s="2"/>
      <c r="M166" s="2"/>
      <c r="N166" s="2"/>
      <c r="O166" s="2"/>
      <c r="P166" s="113"/>
      <c r="Q166" s="51"/>
      <c r="R166" s="43"/>
      <c r="S166" s="49"/>
      <c r="T166" s="3"/>
      <c r="U166" s="49"/>
      <c r="V166" s="49"/>
      <c r="W166" s="42"/>
      <c r="X166" s="3"/>
      <c r="Y166" s="40"/>
      <c r="Z166" s="51"/>
      <c r="AA166" s="51"/>
      <c r="AB166" s="51"/>
      <c r="AC166" s="51"/>
      <c r="AD166" s="51"/>
      <c r="AE166" s="51"/>
      <c r="AF166" s="82"/>
      <c r="AG166" s="51"/>
      <c r="AH166" s="40"/>
      <c r="AI166" s="34"/>
      <c r="AJ166" s="3"/>
      <c r="AK166" s="3"/>
      <c r="AL166" s="55"/>
      <c r="AM166" s="40"/>
      <c r="AN166" s="41"/>
      <c r="AO166" s="39"/>
      <c r="AP166" s="40"/>
      <c r="AQ166" s="51"/>
      <c r="AR166" s="51"/>
      <c r="AS166" s="51"/>
      <c r="AT166" s="51"/>
      <c r="AU166" s="51"/>
      <c r="AV166" s="82"/>
      <c r="AW166" s="51"/>
      <c r="AX166" s="51"/>
      <c r="AY166" s="51"/>
      <c r="AZ166" s="43"/>
      <c r="BA166" s="3"/>
      <c r="BB166" s="54"/>
      <c r="BC166" s="54"/>
      <c r="BD166" s="54"/>
      <c r="BE166" s="54"/>
      <c r="BF166" s="42"/>
      <c r="BG166" s="465"/>
      <c r="BH166" s="51"/>
      <c r="BI166" s="51"/>
      <c r="BJ166" s="51"/>
      <c r="BK166" s="51"/>
      <c r="BL166" s="82"/>
      <c r="BM166" s="51"/>
      <c r="BN166" s="51"/>
      <c r="BO166" s="51"/>
      <c r="BP166" s="51"/>
      <c r="BQ166" s="51"/>
      <c r="BR166" s="51"/>
      <c r="BS166" s="41"/>
      <c r="BT166" s="40"/>
      <c r="BU166" s="43"/>
      <c r="BV166" s="49"/>
      <c r="BW166" s="3"/>
      <c r="BX166" s="465"/>
      <c r="BY166" s="40"/>
      <c r="BZ166" s="51"/>
      <c r="CA166" s="51"/>
      <c r="CB166" s="51"/>
      <c r="CC166" s="114"/>
      <c r="CD166" s="51"/>
      <c r="CE166" s="51"/>
      <c r="CF166" s="51"/>
      <c r="CG166" s="51"/>
      <c r="CH166" s="51"/>
      <c r="CI166" s="40"/>
      <c r="CJ166" s="49"/>
      <c r="CK166" s="42"/>
      <c r="CL166" s="42"/>
      <c r="CM166" s="42"/>
      <c r="CN166" s="49"/>
      <c r="CO166" s="3"/>
      <c r="CP166" s="43"/>
      <c r="CQ166" s="51"/>
      <c r="CR166" s="82"/>
      <c r="CS166" s="112"/>
      <c r="CT166" s="92"/>
      <c r="CU166" s="92"/>
      <c r="CV166" s="92"/>
      <c r="CW166" s="92"/>
      <c r="CX166" s="40"/>
      <c r="CY166" s="161"/>
      <c r="CZ166" s="161"/>
      <c r="DA166" s="161"/>
      <c r="DB166" s="206"/>
      <c r="DC166" s="205"/>
      <c r="DD166" s="160"/>
      <c r="DE166" s="205"/>
      <c r="DF166" s="40"/>
      <c r="DG166" s="92"/>
      <c r="DH166" s="113"/>
      <c r="DI166" s="112"/>
      <c r="DJ166" s="92"/>
      <c r="DK166" s="92"/>
      <c r="DL166" s="92"/>
      <c r="DM166" s="92"/>
      <c r="DN166" s="40"/>
      <c r="DO166" s="161"/>
      <c r="DP166" s="292"/>
      <c r="DQ166" s="205"/>
      <c r="DR166" s="205"/>
      <c r="DS166" s="160"/>
      <c r="DT166" s="160"/>
      <c r="DU166" s="160"/>
      <c r="DV166" s="40"/>
      <c r="DW166" s="92"/>
      <c r="DX166" s="113"/>
      <c r="DY166" s="92"/>
      <c r="DZ166" s="92"/>
    </row>
    <row r="167" spans="1:130">
      <c r="A167" s="2"/>
      <c r="B167" s="2"/>
      <c r="C167" s="2"/>
      <c r="D167" s="2"/>
      <c r="E167" s="2"/>
      <c r="F167" s="72"/>
      <c r="G167" s="190"/>
      <c r="H167" s="34"/>
      <c r="I167" s="12"/>
      <c r="J167" s="72"/>
      <c r="K167" s="179"/>
      <c r="L167" s="178"/>
      <c r="M167" s="2"/>
      <c r="N167" s="2"/>
      <c r="O167" s="2"/>
      <c r="P167" s="113"/>
      <c r="Q167" s="51"/>
      <c r="R167" s="3"/>
      <c r="S167" s="3"/>
      <c r="T167" s="292"/>
      <c r="U167" s="12"/>
      <c r="V167" s="3"/>
      <c r="W167" s="3"/>
      <c r="X167" s="16"/>
      <c r="Y167" s="40"/>
      <c r="Z167" s="41"/>
      <c r="AA167" s="51"/>
      <c r="AB167" s="51"/>
      <c r="AC167" s="51"/>
      <c r="AD167" s="51"/>
      <c r="AE167" s="51"/>
      <c r="AF167" s="82"/>
      <c r="AG167" s="51"/>
      <c r="AH167" s="40"/>
      <c r="AI167" s="34"/>
      <c r="AJ167" s="3"/>
      <c r="AK167" s="3"/>
      <c r="AL167" s="56"/>
      <c r="AM167" s="41"/>
      <c r="AN167" s="39"/>
      <c r="AO167" s="39"/>
      <c r="AP167" s="39"/>
      <c r="AQ167" s="41"/>
      <c r="AR167" s="51"/>
      <c r="AS167" s="51"/>
      <c r="AT167" s="51"/>
      <c r="AU167" s="51"/>
      <c r="AV167" s="82"/>
      <c r="AW167" s="51"/>
      <c r="AX167" s="51"/>
      <c r="AY167" s="51"/>
      <c r="AZ167" s="3"/>
      <c r="BA167" s="3"/>
      <c r="BB167" s="43"/>
      <c r="BC167" s="41"/>
      <c r="BD167" s="41"/>
      <c r="BE167" s="40"/>
      <c r="BF167" s="43"/>
      <c r="BG167" s="49"/>
      <c r="BH167" s="51"/>
      <c r="BI167" s="51"/>
      <c r="BJ167" s="51"/>
      <c r="BK167" s="51"/>
      <c r="BL167" s="82"/>
      <c r="BM167" s="51"/>
      <c r="BN167" s="51"/>
      <c r="BO167" s="51"/>
      <c r="BP167" s="51"/>
      <c r="BQ167" s="51"/>
      <c r="BR167" s="51"/>
      <c r="BS167" s="41"/>
      <c r="BT167" s="41"/>
      <c r="BU167" s="40"/>
      <c r="BV167" s="55"/>
      <c r="BW167" s="3"/>
      <c r="BX167" s="3"/>
      <c r="BY167" s="43"/>
      <c r="BZ167" s="51"/>
      <c r="CA167" s="51"/>
      <c r="CB167" s="51"/>
      <c r="CC167" s="114"/>
      <c r="CD167" s="51"/>
      <c r="CE167" s="51"/>
      <c r="CF167" s="51"/>
      <c r="CG167" s="51"/>
      <c r="CH167" s="40"/>
      <c r="CI167" s="3"/>
      <c r="CJ167" s="3"/>
      <c r="CK167" s="34"/>
      <c r="CL167" s="42"/>
      <c r="CM167" s="34"/>
      <c r="CN167" s="42"/>
      <c r="CO167" s="3"/>
      <c r="CP167" s="34"/>
      <c r="CQ167" s="43"/>
      <c r="CR167" s="82"/>
      <c r="CS167" s="112"/>
      <c r="CT167" s="92"/>
      <c r="CU167" s="92"/>
      <c r="CV167" s="92"/>
      <c r="CW167" s="40"/>
      <c r="CX167" s="161"/>
      <c r="CY167" s="206"/>
      <c r="CZ167" s="161"/>
      <c r="DA167" s="206"/>
      <c r="DB167" s="205"/>
      <c r="DC167" s="205"/>
      <c r="DD167" s="160"/>
      <c r="DE167" s="160"/>
      <c r="DF167" s="43"/>
      <c r="DG167" s="92"/>
      <c r="DH167" s="113"/>
      <c r="DI167" s="112"/>
      <c r="DJ167" s="92"/>
      <c r="DK167" s="92"/>
      <c r="DL167" s="92"/>
      <c r="DM167" s="92"/>
      <c r="DN167" s="43"/>
      <c r="DO167" s="161"/>
      <c r="DP167" s="205"/>
      <c r="DQ167" s="205"/>
      <c r="DR167" s="160"/>
      <c r="DS167" s="160"/>
      <c r="DT167" s="160"/>
      <c r="DU167" s="160"/>
      <c r="DV167" s="43"/>
      <c r="DW167" s="92"/>
      <c r="DX167" s="113"/>
      <c r="DY167" s="92"/>
      <c r="DZ167" s="92"/>
    </row>
    <row r="168" spans="1:130">
      <c r="A168" s="2"/>
      <c r="B168" s="2"/>
      <c r="C168" s="2"/>
      <c r="D168" s="2"/>
      <c r="E168" s="181"/>
      <c r="F168" s="190"/>
      <c r="G168" s="190"/>
      <c r="H168" s="291"/>
      <c r="I168" s="72"/>
      <c r="J168" s="72"/>
      <c r="K168" s="179"/>
      <c r="L168" s="179"/>
      <c r="M168" s="2"/>
      <c r="N168" s="2"/>
      <c r="O168" s="2"/>
      <c r="P168" s="113"/>
      <c r="Q168" s="51"/>
      <c r="R168" s="51"/>
      <c r="S168" s="43"/>
      <c r="T168" s="34"/>
      <c r="U168" s="292"/>
      <c r="V168" s="3"/>
      <c r="W168" s="3"/>
      <c r="X168" s="43"/>
      <c r="Y168" s="40"/>
      <c r="Z168" s="41"/>
      <c r="AA168" s="41"/>
      <c r="AB168" s="51"/>
      <c r="AC168" s="51"/>
      <c r="AD168" s="51"/>
      <c r="AE168" s="51"/>
      <c r="AF168" s="82"/>
      <c r="AG168" s="51"/>
      <c r="AH168" s="51"/>
      <c r="AI168" s="40"/>
      <c r="AJ168" s="3"/>
      <c r="AK168" s="42"/>
      <c r="AL168" s="43"/>
      <c r="AM168" s="40"/>
      <c r="AN168" s="39"/>
      <c r="AO168" s="41"/>
      <c r="AP168" s="39"/>
      <c r="AQ168" s="40"/>
      <c r="AR168" s="51"/>
      <c r="AS168" s="51"/>
      <c r="AT168" s="51"/>
      <c r="AU168" s="51"/>
      <c r="AV168" s="82"/>
      <c r="AW168" s="51"/>
      <c r="AX168" s="51"/>
      <c r="AY168" s="51"/>
      <c r="AZ168" s="3"/>
      <c r="BA168" s="43"/>
      <c r="BB168" s="39"/>
      <c r="BC168" s="41"/>
      <c r="BD168" s="41"/>
      <c r="BE168" s="40"/>
      <c r="BF168" s="43"/>
      <c r="BG168" s="49"/>
      <c r="BH168" s="40"/>
      <c r="BI168" s="51"/>
      <c r="BJ168" s="51"/>
      <c r="BK168" s="51"/>
      <c r="BL168" s="82"/>
      <c r="BM168" s="51"/>
      <c r="BN168" s="51"/>
      <c r="BO168" s="51"/>
      <c r="BP168" s="51"/>
      <c r="BQ168" s="51"/>
      <c r="BR168" s="301"/>
      <c r="BS168" s="41"/>
      <c r="BT168" s="40"/>
      <c r="BU168" s="40"/>
      <c r="BV168" s="40"/>
      <c r="BW168" s="43"/>
      <c r="BX168" s="34"/>
      <c r="BY168" s="3"/>
      <c r="BZ168" s="301"/>
      <c r="CA168" s="51"/>
      <c r="CB168" s="51"/>
      <c r="CC168" s="114"/>
      <c r="CD168" s="51"/>
      <c r="CE168" s="51"/>
      <c r="CF168" s="51"/>
      <c r="CG168" s="51"/>
      <c r="CH168" s="301"/>
      <c r="CI168" s="40"/>
      <c r="CJ168" s="43"/>
      <c r="CK168" s="42"/>
      <c r="CL168" s="49"/>
      <c r="CM168" s="42"/>
      <c r="CN168" s="49"/>
      <c r="CO168" s="3"/>
      <c r="CP168" s="34"/>
      <c r="CQ168" s="51"/>
      <c r="CR168" s="82"/>
      <c r="CS168" s="112"/>
      <c r="CT168" s="92"/>
      <c r="CU168" s="92"/>
      <c r="CV168" s="92"/>
      <c r="CW168" s="297"/>
      <c r="CX168" s="291"/>
      <c r="CY168" s="297"/>
      <c r="CZ168" s="161"/>
      <c r="DA168" s="160"/>
      <c r="DB168" s="205"/>
      <c r="DC168" s="160"/>
      <c r="DD168" s="160"/>
      <c r="DE168" s="206"/>
      <c r="DF168" s="40"/>
      <c r="DG168" s="92"/>
      <c r="DH168" s="113"/>
      <c r="DI168" s="112"/>
      <c r="DJ168" s="92"/>
      <c r="DK168" s="92"/>
      <c r="DL168" s="92"/>
      <c r="DM168" s="92"/>
      <c r="DN168" s="293"/>
      <c r="DO168" s="205"/>
      <c r="DP168" s="160"/>
      <c r="DQ168" s="160"/>
      <c r="DR168" s="160"/>
      <c r="DS168" s="206"/>
      <c r="DT168" s="160"/>
      <c r="DU168" s="160"/>
      <c r="DV168" s="43"/>
      <c r="DW168" s="92"/>
      <c r="DX168" s="113"/>
      <c r="DY168" s="92"/>
      <c r="DZ168" s="92"/>
    </row>
    <row r="169" spans="1:130">
      <c r="A169" s="2"/>
      <c r="B169" s="2"/>
      <c r="C169" s="2"/>
      <c r="D169" s="2"/>
      <c r="E169" s="180"/>
      <c r="F169" s="72"/>
      <c r="G169" s="190"/>
      <c r="H169" s="72"/>
      <c r="I169" s="72"/>
      <c r="J169" s="72"/>
      <c r="K169" s="223"/>
      <c r="L169" s="178"/>
      <c r="M169" s="2"/>
      <c r="N169" s="2"/>
      <c r="O169" s="2"/>
      <c r="P169" s="113"/>
      <c r="Q169" s="51"/>
      <c r="R169" s="51"/>
      <c r="S169" s="301"/>
      <c r="T169" s="49"/>
      <c r="U169" s="3"/>
      <c r="V169" s="3"/>
      <c r="W169" s="16"/>
      <c r="X169" s="43"/>
      <c r="Y169" s="40"/>
      <c r="Z169" s="41"/>
      <c r="AA169" s="41"/>
      <c r="AB169" s="41"/>
      <c r="AC169" s="51"/>
      <c r="AD169" s="51"/>
      <c r="AE169" s="51"/>
      <c r="AF169" s="82"/>
      <c r="AG169" s="51"/>
      <c r="AH169" s="51"/>
      <c r="AI169" s="40"/>
      <c r="AJ169" s="49"/>
      <c r="AK169" s="3"/>
      <c r="AL169" s="43"/>
      <c r="AM169" s="40"/>
      <c r="AN169" s="41"/>
      <c r="AO169" s="41"/>
      <c r="AP169" s="41"/>
      <c r="AQ169" s="39"/>
      <c r="AR169" s="40"/>
      <c r="AS169" s="51"/>
      <c r="AT169" s="51"/>
      <c r="AU169" s="51"/>
      <c r="AV169" s="82"/>
      <c r="AW169" s="51"/>
      <c r="AX169" s="51"/>
      <c r="AY169" s="51"/>
      <c r="AZ169" s="49"/>
      <c r="BA169" s="40"/>
      <c r="BB169" s="39"/>
      <c r="BC169" s="41"/>
      <c r="BD169" s="41"/>
      <c r="BE169" s="40"/>
      <c r="BF169" s="40"/>
      <c r="BG169" s="43"/>
      <c r="BH169" s="43"/>
      <c r="BI169" s="51"/>
      <c r="BJ169" s="51"/>
      <c r="BK169" s="51"/>
      <c r="BL169" s="82"/>
      <c r="BM169" s="51"/>
      <c r="BN169" s="51"/>
      <c r="BO169" s="51"/>
      <c r="BP169" s="51"/>
      <c r="BQ169" s="41"/>
      <c r="BR169" s="40"/>
      <c r="BS169" s="40"/>
      <c r="BT169" s="40"/>
      <c r="BU169" s="41"/>
      <c r="BV169" s="40"/>
      <c r="BW169" s="40"/>
      <c r="BX169" s="40"/>
      <c r="BY169" s="16"/>
      <c r="BZ169" s="40"/>
      <c r="CA169" s="51"/>
      <c r="CB169" s="51"/>
      <c r="CC169" s="114"/>
      <c r="CD169" s="51"/>
      <c r="CE169" s="51"/>
      <c r="CF169" s="51"/>
      <c r="CG169" s="92"/>
      <c r="CH169" s="40"/>
      <c r="CI169" s="39"/>
      <c r="CJ169" s="41"/>
      <c r="CK169" s="40"/>
      <c r="CL169" s="40"/>
      <c r="CM169" s="40"/>
      <c r="CN169" s="49"/>
      <c r="CO169" s="3"/>
      <c r="CP169" s="43"/>
      <c r="CQ169" s="51"/>
      <c r="CR169" s="82"/>
      <c r="CS169" s="112"/>
      <c r="CT169" s="92"/>
      <c r="CU169" s="92"/>
      <c r="CV169" s="92"/>
      <c r="CW169" s="301"/>
      <c r="CX169" s="301"/>
      <c r="CY169" s="301"/>
      <c r="CZ169" s="43"/>
      <c r="DA169" s="160"/>
      <c r="DB169" s="160"/>
      <c r="DC169" s="160"/>
      <c r="DD169" s="160"/>
      <c r="DE169" s="297"/>
      <c r="DF169" s="92"/>
      <c r="DG169" s="92"/>
      <c r="DH169" s="113"/>
      <c r="DI169" s="112"/>
      <c r="DJ169" s="92"/>
      <c r="DK169" s="92"/>
      <c r="DL169" s="92"/>
      <c r="DM169" s="297"/>
      <c r="DN169" s="292"/>
      <c r="DO169" s="205"/>
      <c r="DP169" s="160"/>
      <c r="DQ169" s="160"/>
      <c r="DR169" s="205"/>
      <c r="DS169" s="206"/>
      <c r="DT169" s="291"/>
      <c r="DU169" s="292"/>
      <c r="DV169" s="297"/>
      <c r="DW169" s="92"/>
      <c r="DX169" s="113"/>
      <c r="DY169" s="92"/>
      <c r="DZ169" s="92"/>
    </row>
    <row r="170" spans="1:130">
      <c r="A170" s="2"/>
      <c r="B170" s="2"/>
      <c r="C170" s="2"/>
      <c r="D170" s="2"/>
      <c r="E170" s="178"/>
      <c r="F170" s="190"/>
      <c r="G170" s="190"/>
      <c r="H170" s="72"/>
      <c r="I170" s="190"/>
      <c r="J170" s="191"/>
      <c r="K170" s="190"/>
      <c r="L170" s="180"/>
      <c r="M170" s="2"/>
      <c r="N170" s="2"/>
      <c r="O170" s="2"/>
      <c r="P170" s="113"/>
      <c r="Q170" s="51"/>
      <c r="R170" s="51"/>
      <c r="S170" s="51"/>
      <c r="T170" s="43"/>
      <c r="U170" s="3"/>
      <c r="V170" s="55"/>
      <c r="W170" s="16"/>
      <c r="X170" s="54"/>
      <c r="Y170" s="40"/>
      <c r="Z170" s="40"/>
      <c r="AA170" s="40"/>
      <c r="AB170" s="41"/>
      <c r="AC170" s="51"/>
      <c r="AD170" s="51"/>
      <c r="AE170" s="51"/>
      <c r="AF170" s="82"/>
      <c r="AG170" s="51"/>
      <c r="AH170" s="51"/>
      <c r="AI170" s="51"/>
      <c r="AJ170" s="40"/>
      <c r="AK170" s="49"/>
      <c r="AL170" s="40"/>
      <c r="AM170" s="40"/>
      <c r="AN170" s="40"/>
      <c r="AO170" s="40"/>
      <c r="AP170" s="41"/>
      <c r="AQ170" s="39"/>
      <c r="AR170" s="40"/>
      <c r="AS170" s="52"/>
      <c r="AT170" s="51"/>
      <c r="AU170" s="51"/>
      <c r="AV170" s="82"/>
      <c r="AW170" s="51"/>
      <c r="AX170" s="51"/>
      <c r="AY170" s="51"/>
      <c r="AZ170" s="3"/>
      <c r="BA170" s="40"/>
      <c r="BB170" s="39"/>
      <c r="BC170" s="41"/>
      <c r="BD170" s="41"/>
      <c r="BE170" s="41"/>
      <c r="BF170" s="41"/>
      <c r="BG170" s="40"/>
      <c r="BH170" s="43"/>
      <c r="BI170" s="40"/>
      <c r="BJ170" s="51"/>
      <c r="BK170" s="51"/>
      <c r="BL170" s="82"/>
      <c r="BM170" s="51"/>
      <c r="BN170" s="51"/>
      <c r="BO170" s="51"/>
      <c r="BP170" s="39"/>
      <c r="BQ170" s="41"/>
      <c r="BR170" s="40"/>
      <c r="BS170" s="40"/>
      <c r="BT170" s="41"/>
      <c r="BU170" s="41"/>
      <c r="BV170" s="40"/>
      <c r="BW170" s="40"/>
      <c r="BX170" s="40"/>
      <c r="BY170" s="41"/>
      <c r="BZ170" s="51"/>
      <c r="CA170" s="51"/>
      <c r="CB170" s="51"/>
      <c r="CC170" s="114"/>
      <c r="CD170" s="51"/>
      <c r="CE170" s="51"/>
      <c r="CF170" s="51"/>
      <c r="CG170" s="40"/>
      <c r="CH170" s="39"/>
      <c r="CI170" s="41"/>
      <c r="CJ170" s="41"/>
      <c r="CK170" s="41"/>
      <c r="CL170" s="41"/>
      <c r="CM170" s="41"/>
      <c r="CN170" s="49"/>
      <c r="CO170" s="42"/>
      <c r="CP170" s="40"/>
      <c r="CQ170" s="51"/>
      <c r="CR170" s="82"/>
      <c r="CS170" s="112"/>
      <c r="CT170" s="92"/>
      <c r="CU170" s="92"/>
      <c r="CV170" s="92"/>
      <c r="CW170" s="301"/>
      <c r="CX170" s="189"/>
      <c r="CY170" s="301"/>
      <c r="CZ170" s="293"/>
      <c r="DA170" s="160"/>
      <c r="DB170" s="160"/>
      <c r="DC170" s="160"/>
      <c r="DD170" s="161"/>
      <c r="DE170" s="92"/>
      <c r="DF170" s="92"/>
      <c r="DG170" s="92"/>
      <c r="DH170" s="113"/>
      <c r="DI170" s="112"/>
      <c r="DJ170" s="92"/>
      <c r="DK170" s="92"/>
      <c r="DL170" s="301"/>
      <c r="DM170" s="297"/>
      <c r="DN170" s="293"/>
      <c r="DO170" s="205"/>
      <c r="DP170" s="160"/>
      <c r="DQ170" s="205"/>
      <c r="DR170" s="160"/>
      <c r="DS170" s="291"/>
      <c r="DT170" s="293"/>
      <c r="DU170" s="292"/>
      <c r="DV170" s="41"/>
      <c r="DW170" s="92"/>
      <c r="DX170" s="113"/>
      <c r="DY170" s="92"/>
      <c r="DZ170" s="92"/>
    </row>
    <row r="171" spans="1:130">
      <c r="A171" s="2"/>
      <c r="B171" s="2"/>
      <c r="C171" s="2"/>
      <c r="D171" s="181"/>
      <c r="E171" s="178"/>
      <c r="F171" s="190"/>
      <c r="G171" s="190"/>
      <c r="H171" s="190"/>
      <c r="I171" s="223"/>
      <c r="J171" s="178"/>
      <c r="K171" s="178"/>
      <c r="L171" s="213"/>
      <c r="M171" s="181"/>
      <c r="N171" s="2"/>
      <c r="O171" s="2"/>
      <c r="P171" s="113"/>
      <c r="Q171" s="51"/>
      <c r="R171" s="51"/>
      <c r="S171" s="51"/>
      <c r="T171" s="41"/>
      <c r="U171" s="3"/>
      <c r="V171" s="43"/>
      <c r="W171" s="43"/>
      <c r="X171" s="54"/>
      <c r="Y171" s="40"/>
      <c r="Z171" s="40"/>
      <c r="AA171" s="40"/>
      <c r="AB171" s="40"/>
      <c r="AC171" s="41"/>
      <c r="AD171" s="51"/>
      <c r="AE171" s="51"/>
      <c r="AF171" s="82"/>
      <c r="AG171" s="51"/>
      <c r="AH171" s="51"/>
      <c r="AI171" s="51"/>
      <c r="AJ171" s="51"/>
      <c r="AK171" s="40"/>
      <c r="AL171" s="40"/>
      <c r="AM171" s="40"/>
      <c r="AN171" s="41"/>
      <c r="AO171" s="40"/>
      <c r="AP171" s="41"/>
      <c r="AQ171" s="39"/>
      <c r="AR171" s="41"/>
      <c r="AS171" s="40"/>
      <c r="AT171" s="51"/>
      <c r="AU171" s="51"/>
      <c r="AV171" s="82"/>
      <c r="AW171" s="51"/>
      <c r="AX171" s="51"/>
      <c r="AY171" s="51"/>
      <c r="AZ171" s="43"/>
      <c r="BA171" s="41"/>
      <c r="BB171" s="41"/>
      <c r="BC171" s="41"/>
      <c r="BD171" s="41"/>
      <c r="BE171" s="40"/>
      <c r="BF171" s="41"/>
      <c r="BG171" s="41"/>
      <c r="BH171" s="43"/>
      <c r="BI171" s="40"/>
      <c r="BJ171" s="51"/>
      <c r="BK171" s="51"/>
      <c r="BL171" s="82"/>
      <c r="BM171" s="51"/>
      <c r="BN171" s="51"/>
      <c r="BO171" s="51"/>
      <c r="BP171" s="39"/>
      <c r="BQ171" s="41"/>
      <c r="BR171" s="40"/>
      <c r="BS171" s="40"/>
      <c r="BT171" s="41"/>
      <c r="BU171" s="41"/>
      <c r="BV171" s="41"/>
      <c r="BW171" s="40"/>
      <c r="BX171" s="41"/>
      <c r="BY171" s="41"/>
      <c r="BZ171" s="41"/>
      <c r="CA171" s="51"/>
      <c r="CB171" s="51"/>
      <c r="CC171" s="114"/>
      <c r="CD171" s="51"/>
      <c r="CE171" s="51"/>
      <c r="CF171" s="51"/>
      <c r="CG171" s="39"/>
      <c r="CH171" s="41"/>
      <c r="CI171" s="41"/>
      <c r="CJ171" s="41"/>
      <c r="CK171" s="41"/>
      <c r="CL171" s="40"/>
      <c r="CM171" s="40"/>
      <c r="CN171" s="3"/>
      <c r="CO171" s="40"/>
      <c r="CP171" s="51"/>
      <c r="CQ171" s="51"/>
      <c r="CR171" s="82"/>
      <c r="CS171" s="112"/>
      <c r="CT171" s="92"/>
      <c r="CU171" s="92"/>
      <c r="CV171" s="92"/>
      <c r="CW171" s="301"/>
      <c r="CX171" s="189"/>
      <c r="CY171" s="301"/>
      <c r="CZ171" s="201"/>
      <c r="DA171" s="160"/>
      <c r="DB171" s="160"/>
      <c r="DC171" s="160"/>
      <c r="DD171" s="297"/>
      <c r="DE171" s="92"/>
      <c r="DF171" s="92"/>
      <c r="DG171" s="92"/>
      <c r="DH171" s="113"/>
      <c r="DI171" s="112"/>
      <c r="DJ171" s="92"/>
      <c r="DK171" s="92"/>
      <c r="DL171" s="301"/>
      <c r="DM171" s="189"/>
      <c r="DN171" s="293"/>
      <c r="DO171" s="160"/>
      <c r="DP171" s="205"/>
      <c r="DQ171" s="160"/>
      <c r="DR171" s="205"/>
      <c r="DS171" s="201"/>
      <c r="DT171" s="297"/>
      <c r="DU171" s="206"/>
      <c r="DV171" s="92"/>
      <c r="DW171" s="92"/>
      <c r="DX171" s="113"/>
      <c r="DY171" s="92"/>
      <c r="DZ171" s="92"/>
    </row>
    <row r="172" spans="1:130">
      <c r="A172" s="2"/>
      <c r="B172" s="2"/>
      <c r="C172" s="2"/>
      <c r="D172" s="181"/>
      <c r="E172" s="178"/>
      <c r="F172" s="72"/>
      <c r="G172" s="190"/>
      <c r="H172" s="213"/>
      <c r="I172" s="178"/>
      <c r="J172" s="178"/>
      <c r="K172" s="178"/>
      <c r="L172" s="178"/>
      <c r="M172" s="180"/>
      <c r="N172" s="2"/>
      <c r="O172" s="2"/>
      <c r="P172" s="113"/>
      <c r="Q172" s="51"/>
      <c r="R172" s="51"/>
      <c r="S172" s="51"/>
      <c r="T172" s="39"/>
      <c r="U172" s="43"/>
      <c r="V172" s="43"/>
      <c r="W172" s="56"/>
      <c r="X172" s="43"/>
      <c r="Y172" s="301"/>
      <c r="Z172" s="40"/>
      <c r="AA172" s="40"/>
      <c r="AB172" s="40"/>
      <c r="AC172" s="41"/>
      <c r="AD172" s="51"/>
      <c r="AE172" s="51"/>
      <c r="AF172" s="82"/>
      <c r="AG172" s="51"/>
      <c r="AH172" s="51"/>
      <c r="AI172" s="51"/>
      <c r="AJ172" s="51"/>
      <c r="AK172" s="41"/>
      <c r="AL172" s="40"/>
      <c r="AM172" s="40"/>
      <c r="AN172" s="40"/>
      <c r="AO172" s="40"/>
      <c r="AP172" s="40"/>
      <c r="AQ172" s="39"/>
      <c r="AR172" s="41"/>
      <c r="AS172" s="40"/>
      <c r="AT172" s="51"/>
      <c r="AU172" s="51"/>
      <c r="AV172" s="82"/>
      <c r="AW172" s="51"/>
      <c r="AX172" s="92"/>
      <c r="AY172" s="51"/>
      <c r="AZ172" s="92"/>
      <c r="BA172" s="41"/>
      <c r="BB172" s="39"/>
      <c r="BC172" s="41"/>
      <c r="BD172" s="41"/>
      <c r="BE172" s="41"/>
      <c r="BF172" s="41"/>
      <c r="BG172" s="41"/>
      <c r="BH172" s="40"/>
      <c r="BI172" s="40"/>
      <c r="BJ172" s="51"/>
      <c r="BK172" s="51"/>
      <c r="BL172" s="82"/>
      <c r="BM172" s="51"/>
      <c r="BN172" s="51"/>
      <c r="BO172" s="51"/>
      <c r="BP172" s="41"/>
      <c r="BQ172" s="41"/>
      <c r="BR172" s="43"/>
      <c r="BS172" s="40"/>
      <c r="BT172" s="41"/>
      <c r="BU172" s="41"/>
      <c r="BV172" s="40"/>
      <c r="BW172" s="40"/>
      <c r="BX172" s="40"/>
      <c r="BY172" s="40"/>
      <c r="BZ172" s="41"/>
      <c r="CA172" s="51"/>
      <c r="CB172" s="51"/>
      <c r="CC172" s="114"/>
      <c r="CD172" s="51"/>
      <c r="CE172" s="51"/>
      <c r="CF172" s="40"/>
      <c r="CG172" s="39"/>
      <c r="CH172" s="41"/>
      <c r="CI172" s="41"/>
      <c r="CJ172" s="41"/>
      <c r="CK172" s="41"/>
      <c r="CL172" s="40"/>
      <c r="CM172" s="40"/>
      <c r="CN172" s="40"/>
      <c r="CO172" s="51"/>
      <c r="CP172" s="51"/>
      <c r="CQ172" s="51"/>
      <c r="CR172" s="82"/>
      <c r="CS172" s="112"/>
      <c r="CT172" s="92"/>
      <c r="CU172" s="92"/>
      <c r="CV172" s="92"/>
      <c r="CW172" s="301"/>
      <c r="CX172" s="189"/>
      <c r="CY172" s="301"/>
      <c r="CZ172" s="297"/>
      <c r="DA172" s="291"/>
      <c r="DB172" s="205"/>
      <c r="DC172" s="160"/>
      <c r="DD172" s="92"/>
      <c r="DE172" s="92"/>
      <c r="DF172" s="92"/>
      <c r="DG172" s="92"/>
      <c r="DH172" s="113"/>
      <c r="DI172" s="112"/>
      <c r="DJ172" s="92"/>
      <c r="DK172" s="92"/>
      <c r="DL172" s="301"/>
      <c r="DM172" s="301"/>
      <c r="DN172" s="161"/>
      <c r="DO172" s="290"/>
      <c r="DP172" s="291"/>
      <c r="DQ172" s="205"/>
      <c r="DR172" s="291"/>
      <c r="DS172" s="297"/>
      <c r="DT172" s="301"/>
      <c r="DU172" s="205"/>
      <c r="DV172" s="92"/>
      <c r="DW172" s="92"/>
      <c r="DX172" s="113"/>
      <c r="DY172" s="92"/>
      <c r="DZ172" s="92"/>
    </row>
    <row r="173" spans="1:130">
      <c r="A173" s="2"/>
      <c r="B173" s="2"/>
      <c r="C173" s="2"/>
      <c r="D173" s="181"/>
      <c r="E173" s="178"/>
      <c r="F173" s="213"/>
      <c r="G173" s="179"/>
      <c r="H173" s="178"/>
      <c r="I173" s="178"/>
      <c r="J173" s="178"/>
      <c r="K173" s="178"/>
      <c r="L173" s="178"/>
      <c r="M173" s="180"/>
      <c r="N173" s="2"/>
      <c r="O173" s="2"/>
      <c r="P173" s="113"/>
      <c r="Q173" s="51"/>
      <c r="R173" s="51"/>
      <c r="S173" s="51"/>
      <c r="T173" s="51"/>
      <c r="U173" s="40"/>
      <c r="V173" s="54"/>
      <c r="W173" s="40"/>
      <c r="X173" s="301"/>
      <c r="Y173" s="40"/>
      <c r="Z173" s="301"/>
      <c r="AA173" s="40"/>
      <c r="AB173" s="40"/>
      <c r="AC173" s="40"/>
      <c r="AD173" s="41"/>
      <c r="AE173" s="51"/>
      <c r="AF173" s="82"/>
      <c r="AG173" s="51"/>
      <c r="AH173" s="51"/>
      <c r="AI173" s="51"/>
      <c r="AJ173" s="51"/>
      <c r="AK173" s="51"/>
      <c r="AL173" s="41"/>
      <c r="AM173" s="40"/>
      <c r="AN173" s="40"/>
      <c r="AO173" s="41"/>
      <c r="AP173" s="40"/>
      <c r="AQ173" s="39"/>
      <c r="AR173" s="41"/>
      <c r="AS173" s="40"/>
      <c r="AT173" s="51"/>
      <c r="AU173" s="51"/>
      <c r="AV173" s="82"/>
      <c r="AW173" s="51"/>
      <c r="AX173" s="51"/>
      <c r="AY173" s="51"/>
      <c r="AZ173" s="51"/>
      <c r="BA173" s="51"/>
      <c r="BB173" s="39"/>
      <c r="BC173" s="41"/>
      <c r="BD173" s="41"/>
      <c r="BE173" s="40"/>
      <c r="BF173" s="40"/>
      <c r="BG173" s="41"/>
      <c r="BH173" s="40"/>
      <c r="BI173" s="41"/>
      <c r="BJ173" s="51"/>
      <c r="BK173" s="51"/>
      <c r="BL173" s="82"/>
      <c r="BM173" s="51"/>
      <c r="BN173" s="51"/>
      <c r="BO173" s="39"/>
      <c r="BP173" s="41"/>
      <c r="BQ173" s="41"/>
      <c r="BR173" s="43"/>
      <c r="BS173" s="40"/>
      <c r="BT173" s="41"/>
      <c r="BU173" s="41"/>
      <c r="BV173" s="41"/>
      <c r="BW173" s="41"/>
      <c r="BX173" s="40"/>
      <c r="BY173" s="40"/>
      <c r="BZ173" s="41"/>
      <c r="CA173" s="51"/>
      <c r="CB173" s="51"/>
      <c r="CC173" s="114"/>
      <c r="CD173" s="51"/>
      <c r="CE173" s="51"/>
      <c r="CF173" s="39"/>
      <c r="CG173" s="41"/>
      <c r="CH173" s="41"/>
      <c r="CI173" s="41"/>
      <c r="CJ173" s="39"/>
      <c r="CK173" s="40"/>
      <c r="CL173" s="41"/>
      <c r="CM173" s="41"/>
      <c r="CN173" s="41"/>
      <c r="CO173" s="51"/>
      <c r="CP173" s="51"/>
      <c r="CQ173" s="51"/>
      <c r="CR173" s="82"/>
      <c r="CS173" s="112"/>
      <c r="CT173" s="92"/>
      <c r="CU173" s="92"/>
      <c r="CV173" s="92"/>
      <c r="CW173" s="301"/>
      <c r="CX173" s="189"/>
      <c r="CY173" s="301"/>
      <c r="CZ173" s="301"/>
      <c r="DA173" s="292"/>
      <c r="DB173" s="160"/>
      <c r="DC173" s="291"/>
      <c r="DD173" s="92"/>
      <c r="DE173" s="92"/>
      <c r="DF173" s="92"/>
      <c r="DG173" s="92"/>
      <c r="DH173" s="113"/>
      <c r="DI173" s="112"/>
      <c r="DJ173" s="92"/>
      <c r="DK173" s="301"/>
      <c r="DL173" s="189"/>
      <c r="DM173" s="301"/>
      <c r="DN173" s="291"/>
      <c r="DO173" s="297"/>
      <c r="DP173" s="161"/>
      <c r="DQ173" s="205"/>
      <c r="DR173" s="297"/>
      <c r="DS173" s="301"/>
      <c r="DT173" s="301"/>
      <c r="DU173" s="92"/>
      <c r="DV173" s="92"/>
      <c r="DW173" s="92"/>
      <c r="DX173" s="113"/>
      <c r="DY173" s="92"/>
      <c r="DZ173" s="92"/>
    </row>
    <row r="174" spans="1:130">
      <c r="A174" s="2"/>
      <c r="B174" s="2"/>
      <c r="C174" s="2"/>
      <c r="D174" s="181"/>
      <c r="E174" s="178"/>
      <c r="F174" s="178"/>
      <c r="G174" s="223"/>
      <c r="H174" s="178"/>
      <c r="I174" s="180"/>
      <c r="J174" s="178"/>
      <c r="K174" s="178"/>
      <c r="L174" s="178"/>
      <c r="M174" s="178"/>
      <c r="N174" s="181"/>
      <c r="O174" s="2"/>
      <c r="P174" s="113"/>
      <c r="Q174" s="51"/>
      <c r="R174" s="92"/>
      <c r="S174" s="51"/>
      <c r="T174" s="51"/>
      <c r="U174" s="41"/>
      <c r="V174" s="293"/>
      <c r="W174" s="40"/>
      <c r="X174" s="40"/>
      <c r="Y174" s="43"/>
      <c r="Z174" s="301"/>
      <c r="AA174" s="40"/>
      <c r="AB174" s="40"/>
      <c r="AC174" s="40"/>
      <c r="AD174" s="41"/>
      <c r="AE174" s="51"/>
      <c r="AF174" s="113"/>
      <c r="AG174" s="51"/>
      <c r="AH174" s="92"/>
      <c r="AI174" s="51"/>
      <c r="AJ174" s="51"/>
      <c r="AK174" s="51"/>
      <c r="AL174" s="301"/>
      <c r="AM174" s="41"/>
      <c r="AN174" s="41"/>
      <c r="AO174" s="41"/>
      <c r="AP174" s="297"/>
      <c r="AQ174" s="41"/>
      <c r="AR174" s="41"/>
      <c r="AS174" s="40"/>
      <c r="AT174" s="92"/>
      <c r="AU174" s="51"/>
      <c r="AV174" s="113"/>
      <c r="AW174" s="51"/>
      <c r="AX174" s="51"/>
      <c r="AY174" s="51"/>
      <c r="AZ174" s="51"/>
      <c r="BA174" s="51"/>
      <c r="BB174" s="39"/>
      <c r="BC174" s="41"/>
      <c r="BD174" s="40"/>
      <c r="BE174" s="43"/>
      <c r="BF174" s="40"/>
      <c r="BG174" s="40"/>
      <c r="BH174" s="40"/>
      <c r="BI174" s="41"/>
      <c r="BJ174" s="51"/>
      <c r="BK174" s="51"/>
      <c r="BL174" s="82"/>
      <c r="BM174" s="51"/>
      <c r="BN174" s="51"/>
      <c r="BO174" s="39"/>
      <c r="BP174" s="41"/>
      <c r="BQ174" s="40"/>
      <c r="BR174" s="43"/>
      <c r="BS174" s="40"/>
      <c r="BT174" s="40"/>
      <c r="BU174" s="40"/>
      <c r="BV174" s="40"/>
      <c r="BW174" s="40"/>
      <c r="BX174" s="43"/>
      <c r="BY174" s="40"/>
      <c r="BZ174" s="41"/>
      <c r="CA174" s="51"/>
      <c r="CB174" s="51"/>
      <c r="CC174" s="114"/>
      <c r="CD174" s="51"/>
      <c r="CE174" s="41"/>
      <c r="CF174" s="39"/>
      <c r="CG174" s="41"/>
      <c r="CH174" s="41"/>
      <c r="CI174" s="41"/>
      <c r="CJ174" s="39"/>
      <c r="CK174" s="40"/>
      <c r="CL174" s="40"/>
      <c r="CM174" s="41"/>
      <c r="CN174" s="41"/>
      <c r="CO174" s="51"/>
      <c r="CP174" s="51"/>
      <c r="CQ174" s="51"/>
      <c r="CR174" s="82"/>
      <c r="CS174" s="112"/>
      <c r="CT174" s="92"/>
      <c r="CU174" s="92"/>
      <c r="CV174" s="92"/>
      <c r="CW174" s="301"/>
      <c r="CX174" s="189"/>
      <c r="CY174" s="297"/>
      <c r="CZ174" s="301"/>
      <c r="DA174" s="293"/>
      <c r="DB174" s="293"/>
      <c r="DC174" s="301"/>
      <c r="DD174" s="92"/>
      <c r="DE174" s="92"/>
      <c r="DF174" s="92"/>
      <c r="DG174" s="92"/>
      <c r="DH174" s="113"/>
      <c r="DI174" s="112"/>
      <c r="DJ174" s="92"/>
      <c r="DK174" s="301"/>
      <c r="DL174" s="189"/>
      <c r="DM174" s="301"/>
      <c r="DN174" s="293"/>
      <c r="DO174" s="297"/>
      <c r="DP174" s="291"/>
      <c r="DQ174" s="291"/>
      <c r="DR174" s="297"/>
      <c r="DS174" s="301"/>
      <c r="DT174" s="297"/>
      <c r="DU174" s="92"/>
      <c r="DV174" s="92"/>
      <c r="DW174" s="92"/>
      <c r="DX174" s="113"/>
      <c r="DY174" s="92"/>
      <c r="DZ174" s="92"/>
    </row>
    <row r="175" spans="1:130">
      <c r="A175" s="2"/>
      <c r="B175" s="2"/>
      <c r="C175" s="2"/>
      <c r="D175" s="181"/>
      <c r="E175" s="180"/>
      <c r="F175" s="178"/>
      <c r="G175" s="178"/>
      <c r="H175" s="180"/>
      <c r="I175" s="178"/>
      <c r="J175" s="180"/>
      <c r="K175" s="180"/>
      <c r="L175" s="178"/>
      <c r="M175" s="178"/>
      <c r="N175" s="181"/>
      <c r="O175" s="2"/>
      <c r="P175" s="113"/>
      <c r="Q175" s="92"/>
      <c r="R175" s="92"/>
      <c r="S175" s="92"/>
      <c r="T175" s="92"/>
      <c r="U175" s="189"/>
      <c r="V175" s="43"/>
      <c r="W175" s="40"/>
      <c r="X175" s="40"/>
      <c r="Y175" s="40"/>
      <c r="Z175" s="43"/>
      <c r="AA175" s="301"/>
      <c r="AB175" s="297"/>
      <c r="AC175" s="297"/>
      <c r="AD175" s="301"/>
      <c r="AE175" s="92"/>
      <c r="AF175" s="113"/>
      <c r="AG175" s="92"/>
      <c r="AH175" s="92"/>
      <c r="AI175" s="92"/>
      <c r="AJ175" s="92"/>
      <c r="AK175" s="92"/>
      <c r="AL175" s="41"/>
      <c r="AM175" s="41"/>
      <c r="AN175" s="41"/>
      <c r="AO175" s="41"/>
      <c r="AP175" s="40"/>
      <c r="AQ175" s="189"/>
      <c r="AR175" s="41"/>
      <c r="AS175" s="301"/>
      <c r="AT175" s="40"/>
      <c r="AU175" s="92"/>
      <c r="AV175" s="113"/>
      <c r="AW175" s="51"/>
      <c r="AX175" s="51"/>
      <c r="AY175" s="51"/>
      <c r="AZ175" s="51"/>
      <c r="BA175" s="51"/>
      <c r="BB175" s="39"/>
      <c r="BC175" s="41"/>
      <c r="BD175" s="40"/>
      <c r="BE175" s="43"/>
      <c r="BF175" s="40"/>
      <c r="BG175" s="40"/>
      <c r="BH175" s="40"/>
      <c r="BI175" s="41"/>
      <c r="BJ175" s="51"/>
      <c r="BK175" s="51"/>
      <c r="BL175" s="82"/>
      <c r="BM175" s="51"/>
      <c r="BN175" s="51"/>
      <c r="BO175" s="41"/>
      <c r="BP175" s="40"/>
      <c r="BQ175" s="43"/>
      <c r="BR175" s="40"/>
      <c r="BS175" s="40"/>
      <c r="BT175" s="40"/>
      <c r="BU175" s="40"/>
      <c r="BV175" s="40"/>
      <c r="BW175" s="40"/>
      <c r="BX175" s="43"/>
      <c r="BY175" s="40"/>
      <c r="BZ175" s="41"/>
      <c r="CA175" s="51"/>
      <c r="CB175" s="51"/>
      <c r="CC175" s="114"/>
      <c r="CD175" s="51"/>
      <c r="CE175" s="41"/>
      <c r="CF175" s="39"/>
      <c r="CG175" s="41"/>
      <c r="CH175" s="41"/>
      <c r="CI175" s="40"/>
      <c r="CJ175" s="41"/>
      <c r="CK175" s="43"/>
      <c r="CL175" s="40"/>
      <c r="CM175" s="41"/>
      <c r="CN175" s="41"/>
      <c r="CO175" s="51"/>
      <c r="CP175" s="51"/>
      <c r="CQ175" s="51"/>
      <c r="CR175" s="82"/>
      <c r="CS175" s="112"/>
      <c r="CT175" s="92"/>
      <c r="CU175" s="92"/>
      <c r="CV175" s="301"/>
      <c r="CW175" s="301"/>
      <c r="CX175" s="297"/>
      <c r="CY175" s="297"/>
      <c r="CZ175" s="301"/>
      <c r="DA175" s="301"/>
      <c r="DB175" s="301"/>
      <c r="DC175" s="92"/>
      <c r="DD175" s="92"/>
      <c r="DE175" s="92"/>
      <c r="DF175" s="92"/>
      <c r="DG175" s="92"/>
      <c r="DH175" s="113"/>
      <c r="DI175" s="112"/>
      <c r="DJ175" s="92"/>
      <c r="DK175" s="301"/>
      <c r="DL175" s="189"/>
      <c r="DM175" s="189"/>
      <c r="DN175" s="293"/>
      <c r="DO175" s="297"/>
      <c r="DP175" s="206"/>
      <c r="DQ175" s="293"/>
      <c r="DR175" s="301"/>
      <c r="DS175" s="297"/>
      <c r="DT175" s="297"/>
      <c r="DU175" s="92"/>
      <c r="DV175" s="92"/>
      <c r="DW175" s="92"/>
      <c r="DX175" s="113"/>
      <c r="DY175" s="92"/>
      <c r="DZ175" s="92"/>
    </row>
    <row r="176" spans="1:130">
      <c r="A176" s="2"/>
      <c r="B176" s="2"/>
      <c r="C176" s="185"/>
      <c r="D176" s="180"/>
      <c r="E176" s="178"/>
      <c r="F176" s="178"/>
      <c r="G176" s="180"/>
      <c r="H176" s="188"/>
      <c r="I176" s="191"/>
      <c r="J176" s="180"/>
      <c r="K176" s="180"/>
      <c r="L176" s="178"/>
      <c r="M176" s="178"/>
      <c r="N176" s="180"/>
      <c r="O176" s="2"/>
      <c r="P176" s="113"/>
      <c r="Q176" s="92"/>
      <c r="R176" s="51"/>
      <c r="S176" s="51"/>
      <c r="T176" s="51"/>
      <c r="U176" s="301"/>
      <c r="V176" s="40"/>
      <c r="W176" s="43"/>
      <c r="X176" s="40"/>
      <c r="Y176" s="40"/>
      <c r="Z176" s="40"/>
      <c r="AA176" s="301"/>
      <c r="AB176" s="40"/>
      <c r="AC176" s="40"/>
      <c r="AD176" s="40"/>
      <c r="AE176" s="92"/>
      <c r="AF176" s="113"/>
      <c r="AG176" s="92"/>
      <c r="AH176" s="51"/>
      <c r="AI176" s="51"/>
      <c r="AJ176" s="51"/>
      <c r="AK176" s="92"/>
      <c r="AL176" s="39"/>
      <c r="AM176" s="41"/>
      <c r="AN176" s="41"/>
      <c r="AO176" s="41"/>
      <c r="AP176" s="41"/>
      <c r="AQ176" s="301"/>
      <c r="AR176" s="40"/>
      <c r="AS176" s="41"/>
      <c r="AT176" s="40"/>
      <c r="AU176" s="92"/>
      <c r="AV176" s="113"/>
      <c r="AW176" s="51"/>
      <c r="AX176" s="51"/>
      <c r="AY176" s="51"/>
      <c r="AZ176" s="51"/>
      <c r="BA176" s="51"/>
      <c r="BB176" s="41"/>
      <c r="BC176" s="41"/>
      <c r="BD176" s="40"/>
      <c r="BE176" s="43"/>
      <c r="BF176" s="40"/>
      <c r="BG176" s="41"/>
      <c r="BH176" s="41"/>
      <c r="BI176" s="40"/>
      <c r="BJ176" s="51"/>
      <c r="BK176" s="51"/>
      <c r="BL176" s="82"/>
      <c r="BM176" s="51"/>
      <c r="BN176" s="39"/>
      <c r="BO176" s="41"/>
      <c r="BP176" s="40"/>
      <c r="BQ176" s="41"/>
      <c r="BR176" s="40"/>
      <c r="BS176" s="40"/>
      <c r="BT176" s="41"/>
      <c r="BU176" s="40"/>
      <c r="BV176" s="40"/>
      <c r="BW176" s="40"/>
      <c r="BX176" s="43"/>
      <c r="BY176" s="43"/>
      <c r="BZ176" s="41"/>
      <c r="CA176" s="51"/>
      <c r="CB176" s="51"/>
      <c r="CC176" s="114"/>
      <c r="CD176" s="51"/>
      <c r="CE176" s="41"/>
      <c r="CF176" s="40"/>
      <c r="CG176" s="40"/>
      <c r="CH176" s="41"/>
      <c r="CI176" s="41"/>
      <c r="CJ176" s="41"/>
      <c r="CK176" s="43"/>
      <c r="CL176" s="40"/>
      <c r="CM176" s="40"/>
      <c r="CN176" s="41"/>
      <c r="CO176" s="41"/>
      <c r="CP176" s="51"/>
      <c r="CQ176" s="51"/>
      <c r="CR176" s="82"/>
      <c r="CS176" s="112"/>
      <c r="CT176" s="92"/>
      <c r="CU176" s="92"/>
      <c r="CV176" s="301"/>
      <c r="CW176" s="189"/>
      <c r="CX176" s="293"/>
      <c r="CY176" s="297"/>
      <c r="CZ176" s="297"/>
      <c r="DA176" s="301"/>
      <c r="DB176" s="297"/>
      <c r="DC176" s="92"/>
      <c r="DD176" s="92"/>
      <c r="DE176" s="92"/>
      <c r="DF176" s="92"/>
      <c r="DG176" s="92"/>
      <c r="DH176" s="113"/>
      <c r="DI176" s="112"/>
      <c r="DJ176" s="92"/>
      <c r="DK176" s="301"/>
      <c r="DL176" s="189"/>
      <c r="DM176" s="189"/>
      <c r="DN176" s="301"/>
      <c r="DO176" s="293"/>
      <c r="DP176" s="297"/>
      <c r="DQ176" s="297"/>
      <c r="DR176" s="293"/>
      <c r="DS176" s="301"/>
      <c r="DT176" s="297"/>
      <c r="DU176" s="92"/>
      <c r="DV176" s="92"/>
      <c r="DW176" s="92"/>
      <c r="DX176" s="113"/>
      <c r="DY176" s="92"/>
      <c r="DZ176" s="92"/>
    </row>
    <row r="177" spans="1:130">
      <c r="A177" s="2"/>
      <c r="B177" s="2"/>
      <c r="C177" s="181"/>
      <c r="D177" s="180"/>
      <c r="E177" s="178"/>
      <c r="F177" s="180"/>
      <c r="G177" s="180"/>
      <c r="H177" s="188"/>
      <c r="I177" s="188"/>
      <c r="J177" s="180"/>
      <c r="K177" s="180"/>
      <c r="L177" s="180"/>
      <c r="M177" s="178"/>
      <c r="N177" s="180"/>
      <c r="O177" s="181"/>
      <c r="P177" s="113"/>
      <c r="Q177" s="92"/>
      <c r="R177" s="92"/>
      <c r="S177" s="51"/>
      <c r="T177" s="92"/>
      <c r="U177" s="297"/>
      <c r="V177" s="17"/>
      <c r="W177" s="43"/>
      <c r="X177" s="40"/>
      <c r="Y177" s="40"/>
      <c r="Z177" s="40"/>
      <c r="AA177" s="40"/>
      <c r="AB177" s="297"/>
      <c r="AC177" s="40"/>
      <c r="AD177" s="297"/>
      <c r="AE177" s="92"/>
      <c r="AF177" s="82"/>
      <c r="AG177" s="92"/>
      <c r="AH177" s="92"/>
      <c r="AI177" s="51"/>
      <c r="AJ177" s="92"/>
      <c r="AK177" s="301"/>
      <c r="AL177" s="39"/>
      <c r="AM177" s="41"/>
      <c r="AN177" s="39"/>
      <c r="AO177" s="41"/>
      <c r="AP177" s="40"/>
      <c r="AQ177" s="207"/>
      <c r="AR177" s="298"/>
      <c r="AS177" s="54"/>
      <c r="AT177" s="301"/>
      <c r="AU177" s="92"/>
      <c r="AV177" s="82"/>
      <c r="AW177" s="51"/>
      <c r="AX177" s="51"/>
      <c r="AY177" s="51"/>
      <c r="AZ177" s="51"/>
      <c r="BA177" s="39"/>
      <c r="BB177" s="41"/>
      <c r="BC177" s="40"/>
      <c r="BD177" s="43"/>
      <c r="BE177" s="40"/>
      <c r="BF177" s="40"/>
      <c r="BG177" s="40"/>
      <c r="BH177" s="41"/>
      <c r="BI177" s="51"/>
      <c r="BJ177" s="51"/>
      <c r="BK177" s="51"/>
      <c r="BL177" s="82"/>
      <c r="BM177" s="51"/>
      <c r="BN177" s="39"/>
      <c r="BO177" s="41"/>
      <c r="BP177" s="40"/>
      <c r="BQ177" s="41"/>
      <c r="BR177" s="40"/>
      <c r="BS177" s="41"/>
      <c r="BT177" s="40"/>
      <c r="BU177" s="40"/>
      <c r="BV177" s="40"/>
      <c r="BW177" s="40"/>
      <c r="BX177" s="43"/>
      <c r="BY177" s="56"/>
      <c r="BZ177" s="41"/>
      <c r="CA177" s="51"/>
      <c r="CB177" s="51"/>
      <c r="CC177" s="114"/>
      <c r="CD177" s="51"/>
      <c r="CE177" s="39"/>
      <c r="CF177" s="40"/>
      <c r="CG177" s="41"/>
      <c r="CH177" s="41"/>
      <c r="CI177" s="41"/>
      <c r="CJ177" s="41"/>
      <c r="CK177" s="40"/>
      <c r="CL177" s="43"/>
      <c r="CM177" s="40"/>
      <c r="CN177" s="41"/>
      <c r="CO177" s="41"/>
      <c r="CP177" s="39"/>
      <c r="CQ177" s="51"/>
      <c r="CR177" s="82"/>
      <c r="CS177" s="112"/>
      <c r="CT177" s="92"/>
      <c r="CU177" s="92"/>
      <c r="CV177" s="301"/>
      <c r="CW177" s="189"/>
      <c r="CX177" s="301"/>
      <c r="CY177" s="293"/>
      <c r="CZ177" s="297"/>
      <c r="DA177" s="293"/>
      <c r="DB177" s="301"/>
      <c r="DC177" s="92"/>
      <c r="DD177" s="92"/>
      <c r="DE177" s="92"/>
      <c r="DF177" s="92"/>
      <c r="DG177" s="92"/>
      <c r="DH177" s="113"/>
      <c r="DI177" s="112"/>
      <c r="DJ177" s="92"/>
      <c r="DK177" s="301"/>
      <c r="DL177" s="297"/>
      <c r="DM177" s="189"/>
      <c r="DN177" s="189"/>
      <c r="DO177" s="301"/>
      <c r="DP177" s="297"/>
      <c r="DQ177" s="293"/>
      <c r="DR177" s="298"/>
      <c r="DS177" s="301"/>
      <c r="DT177" s="297"/>
      <c r="DU177" s="92"/>
      <c r="DV177" s="92"/>
      <c r="DW177" s="92"/>
      <c r="DX177" s="113"/>
      <c r="DY177" s="92"/>
      <c r="DZ177" s="92"/>
    </row>
    <row r="178" spans="1:130">
      <c r="A178" s="2"/>
      <c r="B178" s="181"/>
      <c r="C178" s="180"/>
      <c r="D178" s="178"/>
      <c r="E178" s="180"/>
      <c r="F178" s="180"/>
      <c r="G178" s="180"/>
      <c r="H178" s="188"/>
      <c r="I178" s="72"/>
      <c r="J178" s="178"/>
      <c r="K178" s="180"/>
      <c r="L178" s="180"/>
      <c r="M178" s="178"/>
      <c r="N178" s="180"/>
      <c r="O178" s="178"/>
      <c r="P178" s="113"/>
      <c r="Q178" s="92"/>
      <c r="R178" s="92"/>
      <c r="S178" s="92"/>
      <c r="T178" s="301"/>
      <c r="U178" s="297"/>
      <c r="V178" s="17"/>
      <c r="W178" s="54"/>
      <c r="X178" s="40"/>
      <c r="Y178" s="40"/>
      <c r="Z178" s="40"/>
      <c r="AA178" s="43"/>
      <c r="AB178" s="297"/>
      <c r="AC178" s="297"/>
      <c r="AD178" s="297"/>
      <c r="AE178" s="301"/>
      <c r="AF178" s="82"/>
      <c r="AG178" s="92"/>
      <c r="AH178" s="92"/>
      <c r="AI178" s="92"/>
      <c r="AJ178" s="92"/>
      <c r="AK178" s="189"/>
      <c r="AL178" s="41"/>
      <c r="AM178" s="39"/>
      <c r="AN178" s="39"/>
      <c r="AO178" s="41"/>
      <c r="AP178" s="56"/>
      <c r="AQ178" s="54"/>
      <c r="AR178" s="204"/>
      <c r="AS178" s="207"/>
      <c r="AT178" s="297"/>
      <c r="AU178" s="92"/>
      <c r="AV178" s="82"/>
      <c r="AW178" s="51"/>
      <c r="AX178" s="51"/>
      <c r="AY178" s="51"/>
      <c r="AZ178" s="41"/>
      <c r="BA178" s="41"/>
      <c r="BB178" s="43"/>
      <c r="BC178" s="43"/>
      <c r="BD178" s="43"/>
      <c r="BE178" s="40"/>
      <c r="BF178" s="40"/>
      <c r="BG178" s="40"/>
      <c r="BH178" s="41"/>
      <c r="BI178" s="51"/>
      <c r="BJ178" s="51"/>
      <c r="BK178" s="51"/>
      <c r="BL178" s="82"/>
      <c r="BM178" s="51"/>
      <c r="BN178" s="41"/>
      <c r="BO178" s="43"/>
      <c r="BP178" s="40"/>
      <c r="BQ178" s="41"/>
      <c r="BR178" s="40"/>
      <c r="BS178" s="41"/>
      <c r="BT178" s="40"/>
      <c r="BU178" s="40"/>
      <c r="BV178" s="40"/>
      <c r="BW178" s="40"/>
      <c r="BX178" s="43"/>
      <c r="BY178" s="56"/>
      <c r="BZ178" s="40"/>
      <c r="CA178" s="41"/>
      <c r="CB178" s="51"/>
      <c r="CC178" s="114"/>
      <c r="CD178" s="51"/>
      <c r="CE178" s="39"/>
      <c r="CF178" s="40"/>
      <c r="CG178" s="40"/>
      <c r="CH178" s="41"/>
      <c r="CI178" s="41"/>
      <c r="CJ178" s="41"/>
      <c r="CK178" s="40"/>
      <c r="CL178" s="43"/>
      <c r="CM178" s="40"/>
      <c r="CN178" s="40"/>
      <c r="CO178" s="43"/>
      <c r="CP178" s="40"/>
      <c r="CQ178" s="51"/>
      <c r="CR178" s="82"/>
      <c r="CS178" s="112"/>
      <c r="CT178" s="92"/>
      <c r="CU178" s="92"/>
      <c r="CV178" s="301"/>
      <c r="CW178" s="189"/>
      <c r="CX178" s="301"/>
      <c r="CY178" s="297"/>
      <c r="CZ178" s="207"/>
      <c r="DA178" s="207"/>
      <c r="DB178" s="207"/>
      <c r="DC178" s="297"/>
      <c r="DD178" s="92"/>
      <c r="DE178" s="92"/>
      <c r="DF178" s="92"/>
      <c r="DG178" s="92"/>
      <c r="DH178" s="113"/>
      <c r="DI178" s="112"/>
      <c r="DJ178" s="92"/>
      <c r="DK178" s="301"/>
      <c r="DL178" s="297"/>
      <c r="DM178" s="297"/>
      <c r="DN178" s="297"/>
      <c r="DO178" s="297"/>
      <c r="DP178" s="293"/>
      <c r="DQ178" s="297"/>
      <c r="DR178" s="298"/>
      <c r="DS178" s="297"/>
      <c r="DT178" s="297"/>
      <c r="DU178" s="92"/>
      <c r="DV178" s="92"/>
      <c r="DW178" s="92"/>
      <c r="DX178" s="113"/>
      <c r="DY178" s="92"/>
      <c r="DZ178" s="92"/>
    </row>
    <row r="179" spans="1:130">
      <c r="A179" s="2"/>
      <c r="B179" s="180"/>
      <c r="C179" s="187"/>
      <c r="D179" s="188"/>
      <c r="E179" s="92"/>
      <c r="F179" s="180"/>
      <c r="G179" s="178"/>
      <c r="H179" s="190"/>
      <c r="I179" s="72"/>
      <c r="J179" s="179"/>
      <c r="K179" s="180"/>
      <c r="L179" s="180"/>
      <c r="M179" s="178"/>
      <c r="N179" s="178"/>
      <c r="O179" s="192"/>
      <c r="P179" s="113"/>
      <c r="Q179" s="51"/>
      <c r="R179" s="51"/>
      <c r="S179" s="189"/>
      <c r="T179" s="40"/>
      <c r="U179" s="60"/>
      <c r="V179" s="17"/>
      <c r="W179" s="3"/>
      <c r="X179" s="40"/>
      <c r="Y179" s="44"/>
      <c r="Z179" s="45"/>
      <c r="AA179" s="40"/>
      <c r="AB179" s="40"/>
      <c r="AC179" s="201"/>
      <c r="AD179" s="54"/>
      <c r="AE179" s="40"/>
      <c r="AF179" s="82"/>
      <c r="AG179" s="51"/>
      <c r="AH179" s="51"/>
      <c r="AI179" s="92"/>
      <c r="AJ179" s="39"/>
      <c r="AK179" s="45"/>
      <c r="AL179" s="41"/>
      <c r="AM179" s="39"/>
      <c r="AN179" s="39"/>
      <c r="AO179" s="44"/>
      <c r="AP179" s="45"/>
      <c r="AQ179" s="56"/>
      <c r="AR179" s="54"/>
      <c r="AS179" s="298"/>
      <c r="AT179" s="41"/>
      <c r="AU179" s="51"/>
      <c r="AV179" s="82"/>
      <c r="AW179" s="51"/>
      <c r="AX179" s="51"/>
      <c r="AY179" s="51"/>
      <c r="AZ179" s="41"/>
      <c r="BA179" s="56"/>
      <c r="BB179" s="17"/>
      <c r="BC179" s="17"/>
      <c r="BD179" s="43"/>
      <c r="BE179" s="40"/>
      <c r="BF179" s="40"/>
      <c r="BG179" s="40"/>
      <c r="BH179" s="41"/>
      <c r="BI179" s="51"/>
      <c r="BJ179" s="51"/>
      <c r="BK179" s="51"/>
      <c r="BL179" s="82"/>
      <c r="BM179" s="51"/>
      <c r="BN179" s="40"/>
      <c r="BO179" s="11"/>
      <c r="BP179" s="41"/>
      <c r="BQ179" s="41"/>
      <c r="BR179" s="41"/>
      <c r="BS179" s="41"/>
      <c r="BT179" s="40"/>
      <c r="BU179" s="40"/>
      <c r="BV179" s="40"/>
      <c r="BW179" s="40"/>
      <c r="BX179" s="40"/>
      <c r="BY179" s="17"/>
      <c r="BZ179" s="17"/>
      <c r="CA179" s="43"/>
      <c r="CB179" s="51"/>
      <c r="CC179" s="114"/>
      <c r="CD179" s="51"/>
      <c r="CE179" s="41"/>
      <c r="CF179" s="39"/>
      <c r="CG179" s="40"/>
      <c r="CH179" s="41"/>
      <c r="CI179" s="41"/>
      <c r="CJ179" s="40"/>
      <c r="CK179" s="40"/>
      <c r="CL179" s="40"/>
      <c r="CM179" s="43"/>
      <c r="CN179" s="40"/>
      <c r="CO179" s="17"/>
      <c r="CP179" s="17"/>
      <c r="CQ179" s="41"/>
      <c r="CR179" s="82"/>
      <c r="CS179" s="112"/>
      <c r="CT179" s="92"/>
      <c r="CU179" s="92"/>
      <c r="CV179" s="301"/>
      <c r="CW179" s="189"/>
      <c r="CX179" s="301"/>
      <c r="CY179" s="297"/>
      <c r="CZ179" s="199"/>
      <c r="DA179" s="207"/>
      <c r="DB179" s="298"/>
      <c r="DC179" s="17"/>
      <c r="DD179" s="92"/>
      <c r="DE179" s="92"/>
      <c r="DF179" s="92"/>
      <c r="DG179" s="92"/>
      <c r="DH179" s="113"/>
      <c r="DI179" s="112"/>
      <c r="DJ179" s="92"/>
      <c r="DK179" s="301"/>
      <c r="DL179" s="294"/>
      <c r="DM179" s="207"/>
      <c r="DN179" s="54"/>
      <c r="DO179" s="297"/>
      <c r="DP179" s="301"/>
      <c r="DQ179" s="293"/>
      <c r="DR179" s="290"/>
      <c r="DS179" s="291"/>
      <c r="DT179" s="301"/>
      <c r="DU179" s="92"/>
      <c r="DV179" s="92"/>
      <c r="DW179" s="92"/>
      <c r="DX179" s="113"/>
      <c r="DY179" s="92"/>
      <c r="DZ179" s="92"/>
    </row>
    <row r="180" spans="1:130">
      <c r="A180" s="2"/>
      <c r="B180" s="178"/>
      <c r="C180" s="188"/>
      <c r="D180" s="180"/>
      <c r="E180" s="92"/>
      <c r="F180" s="180"/>
      <c r="G180" s="179"/>
      <c r="H180" s="190"/>
      <c r="I180" s="190"/>
      <c r="J180" s="179"/>
      <c r="K180" s="225"/>
      <c r="L180" s="180"/>
      <c r="M180" s="180"/>
      <c r="N180" s="192"/>
      <c r="O180" s="178"/>
      <c r="P180" s="113"/>
      <c r="Q180" s="51"/>
      <c r="R180" s="51"/>
      <c r="S180" s="40"/>
      <c r="T180" s="13"/>
      <c r="U180" s="50"/>
      <c r="V180" s="43"/>
      <c r="W180" s="3"/>
      <c r="X180" s="55"/>
      <c r="Y180" s="45"/>
      <c r="Z180" s="45"/>
      <c r="AA180" s="40"/>
      <c r="AB180" s="199"/>
      <c r="AC180" s="56"/>
      <c r="AD180" s="17"/>
      <c r="AE180" s="40"/>
      <c r="AF180" s="82"/>
      <c r="AG180" s="51"/>
      <c r="AH180" s="51"/>
      <c r="AI180" s="51"/>
      <c r="AJ180" s="60"/>
      <c r="AK180" s="13"/>
      <c r="AL180" s="40"/>
      <c r="AM180" s="39"/>
      <c r="AN180" s="39"/>
      <c r="AO180" s="44"/>
      <c r="AP180" s="45"/>
      <c r="AQ180" s="56"/>
      <c r="AR180" s="315"/>
      <c r="AS180" s="40"/>
      <c r="AT180" s="52"/>
      <c r="AU180" s="51"/>
      <c r="AV180" s="82"/>
      <c r="AW180" s="51"/>
      <c r="AX180" s="51"/>
      <c r="AY180" s="51"/>
      <c r="AZ180" s="39"/>
      <c r="BA180" s="36"/>
      <c r="BB180" s="10"/>
      <c r="BC180" s="17"/>
      <c r="BD180" s="54"/>
      <c r="BE180" s="40"/>
      <c r="BF180" s="40"/>
      <c r="BG180" s="40"/>
      <c r="BH180" s="41"/>
      <c r="BI180" s="51"/>
      <c r="BJ180" s="51"/>
      <c r="BK180" s="51"/>
      <c r="BL180" s="82"/>
      <c r="BM180" s="51"/>
      <c r="BN180" s="56"/>
      <c r="BO180" s="54"/>
      <c r="BP180" s="52"/>
      <c r="BQ180" s="40"/>
      <c r="BR180" s="41"/>
      <c r="BS180" s="40"/>
      <c r="BT180" s="40"/>
      <c r="BU180" s="40"/>
      <c r="BV180" s="40"/>
      <c r="BW180" s="40"/>
      <c r="BX180" s="41"/>
      <c r="BY180" s="11"/>
      <c r="BZ180" s="17"/>
      <c r="CA180" s="51"/>
      <c r="CB180" s="51"/>
      <c r="CC180" s="114"/>
      <c r="CD180" s="51"/>
      <c r="CE180" s="43"/>
      <c r="CF180" s="11"/>
      <c r="CG180" s="41"/>
      <c r="CH180" s="41"/>
      <c r="CI180" s="41"/>
      <c r="CJ180" s="41"/>
      <c r="CK180" s="40"/>
      <c r="CL180" s="43"/>
      <c r="CM180" s="40"/>
      <c r="CN180" s="43"/>
      <c r="CO180" s="10"/>
      <c r="CP180" s="17"/>
      <c r="CQ180" s="36"/>
      <c r="CR180" s="82"/>
      <c r="CS180" s="112"/>
      <c r="CT180" s="92"/>
      <c r="CU180" s="92"/>
      <c r="CV180" s="301"/>
      <c r="CW180" s="301"/>
      <c r="CX180" s="297"/>
      <c r="CY180" s="297"/>
      <c r="CZ180" s="43"/>
      <c r="DA180" s="43"/>
      <c r="DB180" s="294"/>
      <c r="DC180" s="199"/>
      <c r="DD180" s="36"/>
      <c r="DE180" s="92"/>
      <c r="DF180" s="92"/>
      <c r="DG180" s="92"/>
      <c r="DH180" s="113"/>
      <c r="DI180" s="112"/>
      <c r="DJ180" s="92"/>
      <c r="DK180" s="301"/>
      <c r="DL180" s="298"/>
      <c r="DM180" s="199"/>
      <c r="DN180" s="54"/>
      <c r="DO180" s="297"/>
      <c r="DP180" s="297"/>
      <c r="DQ180" s="205"/>
      <c r="DR180" s="173"/>
      <c r="DS180" s="173"/>
      <c r="DT180" s="297"/>
      <c r="DU180" s="92"/>
      <c r="DV180" s="92"/>
      <c r="DW180" s="92"/>
      <c r="DX180" s="113"/>
      <c r="DY180" s="92"/>
      <c r="DZ180" s="92"/>
    </row>
    <row r="181" spans="1:130">
      <c r="A181" s="2"/>
      <c r="B181" s="178"/>
      <c r="C181" s="191"/>
      <c r="D181" s="92"/>
      <c r="E181" s="181"/>
      <c r="F181" s="191"/>
      <c r="G181" s="179"/>
      <c r="H181" s="173"/>
      <c r="I181" s="173"/>
      <c r="J181" s="173"/>
      <c r="K181" s="190"/>
      <c r="L181" s="225"/>
      <c r="M181" s="180"/>
      <c r="N181" s="191"/>
      <c r="O181" s="181"/>
      <c r="P181" s="113"/>
      <c r="Q181" s="51"/>
      <c r="R181" s="51"/>
      <c r="S181" s="13"/>
      <c r="T181" s="4"/>
      <c r="U181" s="40"/>
      <c r="V181" s="40"/>
      <c r="W181" s="3"/>
      <c r="X181" s="48"/>
      <c r="Y181" s="50"/>
      <c r="Z181" s="45"/>
      <c r="AA181" s="40"/>
      <c r="AB181" s="56"/>
      <c r="AC181" s="60"/>
      <c r="AD181" s="56"/>
      <c r="AE181" s="40"/>
      <c r="AF181" s="82"/>
      <c r="AG181" s="51"/>
      <c r="AH181" s="51"/>
      <c r="AI181" s="51"/>
      <c r="AJ181" s="56"/>
      <c r="AK181" s="54"/>
      <c r="AL181" s="11"/>
      <c r="AM181" s="39"/>
      <c r="AN181" s="39"/>
      <c r="AO181" s="44"/>
      <c r="AP181" s="45"/>
      <c r="AQ181" s="297"/>
      <c r="AR181" s="40"/>
      <c r="AS181" s="51"/>
      <c r="AT181" s="51"/>
      <c r="AU181" s="51"/>
      <c r="AV181" s="82"/>
      <c r="AW181" s="51"/>
      <c r="AX181" s="51"/>
      <c r="AY181" s="41"/>
      <c r="AZ181" s="39"/>
      <c r="BA181" s="40"/>
      <c r="BB181" s="17"/>
      <c r="BC181" s="54"/>
      <c r="BD181" s="56"/>
      <c r="BE181" s="40"/>
      <c r="BF181" s="40"/>
      <c r="BG181" s="40"/>
      <c r="BH181" s="40"/>
      <c r="BI181" s="51"/>
      <c r="BJ181" s="51"/>
      <c r="BK181" s="51"/>
      <c r="BL181" s="82"/>
      <c r="BM181" s="51"/>
      <c r="BN181" s="36"/>
      <c r="BO181" s="52"/>
      <c r="BP181" s="41"/>
      <c r="BQ181" s="40"/>
      <c r="BR181" s="41"/>
      <c r="BS181" s="41"/>
      <c r="BT181" s="41"/>
      <c r="BU181" s="40"/>
      <c r="BV181" s="40"/>
      <c r="BW181" s="41"/>
      <c r="BX181" s="41"/>
      <c r="BY181" s="40"/>
      <c r="BZ181" s="43"/>
      <c r="CA181" s="51"/>
      <c r="CB181" s="51"/>
      <c r="CC181" s="114"/>
      <c r="CD181" s="51"/>
      <c r="CE181" s="56"/>
      <c r="CF181" s="11"/>
      <c r="CG181" s="41"/>
      <c r="CH181" s="41"/>
      <c r="CI181" s="41"/>
      <c r="CJ181" s="41"/>
      <c r="CK181" s="40"/>
      <c r="CL181" s="40"/>
      <c r="CM181" s="41"/>
      <c r="CN181" s="51"/>
      <c r="CO181" s="40"/>
      <c r="CP181" s="17"/>
      <c r="CQ181" s="54"/>
      <c r="CR181" s="82"/>
      <c r="CS181" s="112"/>
      <c r="CT181" s="92"/>
      <c r="CU181" s="92"/>
      <c r="CV181" s="301"/>
      <c r="CW181" s="297"/>
      <c r="CX181" s="43"/>
      <c r="CY181" s="43"/>
      <c r="CZ181" s="43"/>
      <c r="DA181" s="161"/>
      <c r="DB181" s="293"/>
      <c r="DC181" s="199"/>
      <c r="DD181" s="199"/>
      <c r="DE181" s="92"/>
      <c r="DF181" s="92"/>
      <c r="DG181" s="92"/>
      <c r="DH181" s="113"/>
      <c r="DI181" s="112"/>
      <c r="DJ181" s="92"/>
      <c r="DK181" s="301"/>
      <c r="DL181" s="298"/>
      <c r="DM181" s="200"/>
      <c r="DN181" s="199"/>
      <c r="DO181" s="297"/>
      <c r="DP181" s="293"/>
      <c r="DQ181" s="205"/>
      <c r="DR181" s="173"/>
      <c r="DS181" s="173"/>
      <c r="DT181" s="161"/>
      <c r="DU181" s="301"/>
      <c r="DV181" s="92"/>
      <c r="DW181" s="92"/>
      <c r="DX181" s="113"/>
      <c r="DY181" s="92"/>
      <c r="DZ181" s="92"/>
    </row>
    <row r="182" spans="1:130">
      <c r="A182" s="2"/>
      <c r="B182" s="2"/>
      <c r="C182" s="178"/>
      <c r="D182" s="2"/>
      <c r="E182" s="181"/>
      <c r="F182" s="178"/>
      <c r="G182" s="213"/>
      <c r="H182" s="173"/>
      <c r="I182" s="173"/>
      <c r="J182" s="173"/>
      <c r="K182" s="190"/>
      <c r="L182" s="190"/>
      <c r="M182" s="178"/>
      <c r="N182" s="180"/>
      <c r="O182" s="2"/>
      <c r="P182" s="113"/>
      <c r="Q182" s="51"/>
      <c r="R182" s="51"/>
      <c r="S182" s="40"/>
      <c r="T182" s="11"/>
      <c r="U182" s="41"/>
      <c r="V182" s="40"/>
      <c r="W182" s="11"/>
      <c r="X182" s="16"/>
      <c r="Y182" s="49"/>
      <c r="Z182" s="43"/>
      <c r="AA182" s="40"/>
      <c r="AB182" s="40"/>
      <c r="AC182" s="40"/>
      <c r="AD182" s="56"/>
      <c r="AE182" s="41"/>
      <c r="AF182" s="82"/>
      <c r="AG182" s="51"/>
      <c r="AH182" s="51"/>
      <c r="AI182" s="51"/>
      <c r="AJ182" s="52"/>
      <c r="AK182" s="52"/>
      <c r="AL182" s="45"/>
      <c r="AM182" s="43"/>
      <c r="AN182" s="50"/>
      <c r="AO182" s="50"/>
      <c r="AP182" s="471"/>
      <c r="AQ182" s="16"/>
      <c r="AR182" s="43"/>
      <c r="AS182" s="51"/>
      <c r="AT182" s="51"/>
      <c r="AU182" s="51"/>
      <c r="AV182" s="82"/>
      <c r="AW182" s="51"/>
      <c r="AX182" s="51"/>
      <c r="AY182" s="40"/>
      <c r="AZ182" s="40"/>
      <c r="BA182" s="40"/>
      <c r="BB182" s="17"/>
      <c r="BC182" s="54"/>
      <c r="BD182" s="43"/>
      <c r="BE182" s="40"/>
      <c r="BF182" s="40"/>
      <c r="BG182" s="41"/>
      <c r="BH182" s="41"/>
      <c r="BI182" s="40"/>
      <c r="BJ182" s="51"/>
      <c r="BK182" s="51"/>
      <c r="BL182" s="82"/>
      <c r="BM182" s="51"/>
      <c r="BN182" s="51"/>
      <c r="BO182" s="52"/>
      <c r="BP182" s="41"/>
      <c r="BQ182" s="16"/>
      <c r="BR182" s="43"/>
      <c r="BS182" s="40"/>
      <c r="BT182" s="41"/>
      <c r="BU182" s="41"/>
      <c r="BV182" s="41"/>
      <c r="BW182" s="41"/>
      <c r="BX182" s="40"/>
      <c r="BY182" s="40"/>
      <c r="BZ182" s="51"/>
      <c r="CA182" s="51"/>
      <c r="CB182" s="51"/>
      <c r="CC182" s="114"/>
      <c r="CD182" s="51"/>
      <c r="CE182" s="52"/>
      <c r="CF182" s="41"/>
      <c r="CG182" s="39"/>
      <c r="CH182" s="41"/>
      <c r="CI182" s="40"/>
      <c r="CJ182" s="43"/>
      <c r="CK182" s="40"/>
      <c r="CL182" s="41"/>
      <c r="CM182" s="40"/>
      <c r="CN182" s="51"/>
      <c r="CO182" s="51"/>
      <c r="CP182" s="54"/>
      <c r="CQ182" s="36"/>
      <c r="CR182" s="82"/>
      <c r="CS182" s="112"/>
      <c r="CT182" s="92"/>
      <c r="CU182" s="297"/>
      <c r="CV182" s="293"/>
      <c r="CW182" s="205"/>
      <c r="CX182" s="290"/>
      <c r="CY182" s="294"/>
      <c r="CZ182" s="291"/>
      <c r="DA182" s="160"/>
      <c r="DB182" s="92"/>
      <c r="DC182" s="36"/>
      <c r="DD182" s="92"/>
      <c r="DE182" s="92"/>
      <c r="DF182" s="92"/>
      <c r="DG182" s="92"/>
      <c r="DH182" s="113"/>
      <c r="DI182" s="112"/>
      <c r="DJ182" s="92"/>
      <c r="DK182" s="92"/>
      <c r="DL182" s="297"/>
      <c r="DM182" s="199"/>
      <c r="DN182" s="201"/>
      <c r="DO182" s="201"/>
      <c r="DP182" s="173"/>
      <c r="DQ182" s="205"/>
      <c r="DR182" s="173"/>
      <c r="DS182" s="206"/>
      <c r="DT182" s="205"/>
      <c r="DU182" s="293"/>
      <c r="DV182" s="92"/>
      <c r="DW182" s="92"/>
      <c r="DX182" s="113"/>
      <c r="DY182" s="92"/>
      <c r="DZ182" s="92"/>
    </row>
    <row r="183" spans="1:130">
      <c r="A183" s="2"/>
      <c r="B183" s="2"/>
      <c r="C183" s="2"/>
      <c r="D183" s="2"/>
      <c r="E183" s="2"/>
      <c r="F183" s="180"/>
      <c r="G183" s="188"/>
      <c r="H183" s="173"/>
      <c r="I183" s="180"/>
      <c r="J183" s="223"/>
      <c r="K183" s="190"/>
      <c r="L183" s="179"/>
      <c r="M183" s="180"/>
      <c r="N183" s="2"/>
      <c r="O183" s="2"/>
      <c r="P183" s="113"/>
      <c r="Q183" s="51"/>
      <c r="R183" s="92"/>
      <c r="S183" s="51"/>
      <c r="T183" s="92"/>
      <c r="U183" s="51"/>
      <c r="V183" s="51"/>
      <c r="W183" s="40"/>
      <c r="X183" s="205"/>
      <c r="Y183" s="49"/>
      <c r="Z183" s="49"/>
      <c r="AA183" s="34"/>
      <c r="AB183" s="206"/>
      <c r="AC183" s="40"/>
      <c r="AD183" s="52"/>
      <c r="AE183" s="92"/>
      <c r="AF183" s="113"/>
      <c r="AG183" s="51"/>
      <c r="AH183" s="92"/>
      <c r="AI183" s="51"/>
      <c r="AJ183" s="92"/>
      <c r="AK183" s="51"/>
      <c r="AL183" s="297"/>
      <c r="AM183" s="43"/>
      <c r="AN183" s="161"/>
      <c r="AO183" s="474"/>
      <c r="AP183" s="42"/>
      <c r="AQ183" s="16"/>
      <c r="AR183" s="297"/>
      <c r="AS183" s="51"/>
      <c r="AT183" s="92"/>
      <c r="AU183" s="92"/>
      <c r="AV183" s="113"/>
      <c r="AW183" s="51"/>
      <c r="AX183" s="51"/>
      <c r="AY183" s="51"/>
      <c r="AZ183" s="51"/>
      <c r="BA183" s="41"/>
      <c r="BB183" s="49"/>
      <c r="BC183" s="3"/>
      <c r="BD183" s="3"/>
      <c r="BE183" s="49"/>
      <c r="BF183" s="43"/>
      <c r="BG183" s="43"/>
      <c r="BH183" s="41"/>
      <c r="BI183" s="41"/>
      <c r="BJ183" s="51"/>
      <c r="BK183" s="51"/>
      <c r="BL183" s="82"/>
      <c r="BM183" s="51"/>
      <c r="BN183" s="51"/>
      <c r="BO183" s="51"/>
      <c r="BP183" s="41"/>
      <c r="BQ183" s="3"/>
      <c r="BR183" s="3"/>
      <c r="BS183" s="43"/>
      <c r="BT183" s="41"/>
      <c r="BU183" s="41"/>
      <c r="BV183" s="40"/>
      <c r="BW183" s="54"/>
      <c r="BX183" s="51"/>
      <c r="BY183" s="51"/>
      <c r="BZ183" s="51"/>
      <c r="CA183" s="51"/>
      <c r="CB183" s="51"/>
      <c r="CC183" s="114"/>
      <c r="CD183" s="51"/>
      <c r="CE183" s="51"/>
      <c r="CF183" s="51"/>
      <c r="CG183" s="41"/>
      <c r="CH183" s="40"/>
      <c r="CI183" s="54"/>
      <c r="CJ183" s="49"/>
      <c r="CK183" s="173"/>
      <c r="CL183" s="43"/>
      <c r="CM183" s="40"/>
      <c r="CN183" s="40"/>
      <c r="CO183" s="51"/>
      <c r="CP183" s="51"/>
      <c r="CQ183" s="51"/>
      <c r="CR183" s="82"/>
      <c r="CS183" s="112"/>
      <c r="CT183" s="92"/>
      <c r="CU183" s="92"/>
      <c r="CV183" s="297"/>
      <c r="CW183" s="199"/>
      <c r="CX183" s="173"/>
      <c r="CY183" s="173"/>
      <c r="CZ183" s="294"/>
      <c r="DA183" s="293"/>
      <c r="DB183" s="92"/>
      <c r="DC183" s="92"/>
      <c r="DD183" s="92"/>
      <c r="DE183" s="92"/>
      <c r="DF183" s="92"/>
      <c r="DG183" s="92"/>
      <c r="DH183" s="113"/>
      <c r="DI183" s="112"/>
      <c r="DJ183" s="92"/>
      <c r="DK183" s="92"/>
      <c r="DL183" s="301"/>
      <c r="DM183" s="293"/>
      <c r="DN183" s="173"/>
      <c r="DO183" s="173"/>
      <c r="DP183" s="173"/>
      <c r="DQ183" s="161"/>
      <c r="DR183" s="206"/>
      <c r="DS183" s="205"/>
      <c r="DT183" s="293"/>
      <c r="DU183" s="301"/>
      <c r="DV183" s="92"/>
      <c r="DW183" s="92"/>
      <c r="DX183" s="113"/>
      <c r="DY183" s="92"/>
      <c r="DZ183" s="92"/>
    </row>
    <row r="184" spans="1:130">
      <c r="A184" s="2"/>
      <c r="B184" s="2"/>
      <c r="C184" s="2"/>
      <c r="D184" s="2"/>
      <c r="E184" s="2"/>
      <c r="F184" s="180"/>
      <c r="G184" s="188"/>
      <c r="H184" s="191"/>
      <c r="I184" s="181"/>
      <c r="J184" s="211"/>
      <c r="K184" s="34"/>
      <c r="L184" s="179"/>
      <c r="M184" s="181"/>
      <c r="N184" s="2"/>
      <c r="O184" s="2"/>
      <c r="P184" s="113"/>
      <c r="Q184" s="52"/>
      <c r="R184" s="52"/>
      <c r="S184" s="52"/>
      <c r="T184" s="52"/>
      <c r="U184" s="52"/>
      <c r="V184" s="52"/>
      <c r="W184" s="45"/>
      <c r="X184" s="4"/>
      <c r="Y184" s="205"/>
      <c r="Z184" s="61"/>
      <c r="AA184" s="48"/>
      <c r="AB184" s="48"/>
      <c r="AC184" s="45"/>
      <c r="AD184" s="52"/>
      <c r="AE184" s="52"/>
      <c r="AF184" s="330"/>
      <c r="AG184" s="52"/>
      <c r="AH184" s="52"/>
      <c r="AI184" s="52"/>
      <c r="AJ184" s="52"/>
      <c r="AK184" s="52"/>
      <c r="AL184" s="43"/>
      <c r="AM184" s="297"/>
      <c r="AN184" s="61"/>
      <c r="AO184" s="16"/>
      <c r="AP184" s="42"/>
      <c r="AQ184" s="45"/>
      <c r="AR184" s="52"/>
      <c r="AS184" s="52"/>
      <c r="AT184" s="52"/>
      <c r="AU184" s="52"/>
      <c r="AV184" s="330"/>
      <c r="AW184" s="52"/>
      <c r="AX184" s="52"/>
      <c r="AY184" s="52"/>
      <c r="AZ184" s="52"/>
      <c r="BA184" s="52"/>
      <c r="BB184" s="467"/>
      <c r="BC184" s="48"/>
      <c r="BD184" s="20"/>
      <c r="BE184" s="161"/>
      <c r="BF184" s="471"/>
      <c r="BG184" s="48"/>
      <c r="BH184" s="43"/>
      <c r="BI184" s="52"/>
      <c r="BJ184" s="52"/>
      <c r="BK184" s="52"/>
      <c r="BL184" s="330"/>
      <c r="BM184" s="52"/>
      <c r="BN184" s="52"/>
      <c r="BO184" s="52"/>
      <c r="BP184" s="47"/>
      <c r="BQ184" s="50"/>
      <c r="BR184" s="12"/>
      <c r="BS184" s="43"/>
      <c r="BT184" s="40"/>
      <c r="BU184" s="40"/>
      <c r="BV184" s="173"/>
      <c r="BW184" s="4"/>
      <c r="BX184" s="52"/>
      <c r="BY184" s="52"/>
      <c r="BZ184" s="52"/>
      <c r="CA184" s="52"/>
      <c r="CB184" s="51"/>
      <c r="CC184" s="398"/>
      <c r="CD184" s="52"/>
      <c r="CE184" s="52"/>
      <c r="CF184" s="52"/>
      <c r="CG184" s="50"/>
      <c r="CH184" s="50"/>
      <c r="CI184" s="50"/>
      <c r="CJ184" s="20"/>
      <c r="CK184" s="173"/>
      <c r="CL184" s="43"/>
      <c r="CM184" s="43"/>
      <c r="CN184" s="40"/>
      <c r="CO184" s="52"/>
      <c r="CP184" s="52"/>
      <c r="CQ184" s="52"/>
      <c r="CR184" s="330"/>
      <c r="CS184" s="112"/>
      <c r="CT184" s="92"/>
      <c r="CU184" s="92"/>
      <c r="CV184" s="92"/>
      <c r="CW184" s="92"/>
      <c r="CX184" s="201"/>
      <c r="CY184" s="201"/>
      <c r="CZ184" s="291"/>
      <c r="DA184" s="92"/>
      <c r="DB184" s="92"/>
      <c r="DC184" s="92"/>
      <c r="DD184" s="92"/>
      <c r="DE184" s="92"/>
      <c r="DF184" s="92"/>
      <c r="DG184" s="92"/>
      <c r="DH184" s="113"/>
      <c r="DI184" s="112"/>
      <c r="DJ184" s="92"/>
      <c r="DK184" s="92"/>
      <c r="DL184" s="92"/>
      <c r="DM184" s="297"/>
      <c r="DN184" s="201"/>
      <c r="DO184" s="48"/>
      <c r="DP184" s="206"/>
      <c r="DQ184" s="297"/>
      <c r="DR184" s="12"/>
      <c r="DS184" s="297"/>
      <c r="DT184" s="92"/>
      <c r="DU184" s="92"/>
      <c r="DV184" s="92"/>
      <c r="DW184" s="92"/>
      <c r="DX184" s="113"/>
      <c r="DY184" s="92"/>
      <c r="DZ184" s="92"/>
    </row>
    <row r="185" spans="1:130">
      <c r="A185" s="2"/>
      <c r="B185" s="2"/>
      <c r="C185" s="2"/>
      <c r="D185" s="2"/>
      <c r="E185" s="2"/>
      <c r="F185" s="213"/>
      <c r="G185" s="188"/>
      <c r="H185" s="191"/>
      <c r="I185" s="2"/>
      <c r="J185" s="298"/>
      <c r="K185" s="211"/>
      <c r="L185" s="2"/>
      <c r="M185" s="2"/>
      <c r="N185" s="2"/>
      <c r="O185" s="2"/>
      <c r="P185" s="113"/>
      <c r="Q185" s="52"/>
      <c r="R185" s="52"/>
      <c r="S185" s="52"/>
      <c r="T185" s="52"/>
      <c r="U185" s="52"/>
      <c r="V185" s="52"/>
      <c r="W185" s="44"/>
      <c r="X185" s="48"/>
      <c r="Y185" s="61"/>
      <c r="Z185" s="61"/>
      <c r="AA185" s="205"/>
      <c r="AB185" s="48"/>
      <c r="AC185" s="44"/>
      <c r="AD185" s="52"/>
      <c r="AE185" s="52"/>
      <c r="AF185" s="330"/>
      <c r="AG185" s="52"/>
      <c r="AH185" s="52"/>
      <c r="AI185" s="52"/>
      <c r="AJ185" s="52"/>
      <c r="AK185" s="52"/>
      <c r="AL185" s="52"/>
      <c r="AM185" s="52"/>
      <c r="AN185" s="298"/>
      <c r="AO185" s="16"/>
      <c r="AP185" s="58"/>
      <c r="AQ185" s="52"/>
      <c r="AR185" s="52"/>
      <c r="AS185" s="52"/>
      <c r="AT185" s="52"/>
      <c r="AU185" s="52"/>
      <c r="AV185" s="330"/>
      <c r="AW185" s="52"/>
      <c r="AX185" s="52"/>
      <c r="AY185" s="52"/>
      <c r="AZ185" s="52"/>
      <c r="BA185" s="52"/>
      <c r="BB185" s="47"/>
      <c r="BC185" s="20"/>
      <c r="BD185" s="20"/>
      <c r="BE185" s="12"/>
      <c r="BF185" s="20"/>
      <c r="BG185" s="20"/>
      <c r="BH185" s="52"/>
      <c r="BI185" s="52"/>
      <c r="BJ185" s="52"/>
      <c r="BK185" s="52"/>
      <c r="BL185" s="330"/>
      <c r="BM185" s="52"/>
      <c r="BN185" s="52"/>
      <c r="BO185" s="52"/>
      <c r="BP185" s="52"/>
      <c r="BQ185" s="51"/>
      <c r="BR185" s="20"/>
      <c r="BS185" s="20"/>
      <c r="BT185" s="52"/>
      <c r="BU185" s="52"/>
      <c r="BV185" s="4"/>
      <c r="BW185" s="4"/>
      <c r="BX185" s="52"/>
      <c r="BY185" s="52"/>
      <c r="BZ185" s="52"/>
      <c r="CA185" s="52"/>
      <c r="CB185" s="52"/>
      <c r="CC185" s="398"/>
      <c r="CD185" s="52"/>
      <c r="CE185" s="52"/>
      <c r="CF185" s="52"/>
      <c r="CG185" s="20"/>
      <c r="CH185" s="20"/>
      <c r="CI185" s="50"/>
      <c r="CJ185" s="48"/>
      <c r="CK185" s="50"/>
      <c r="CL185" s="52"/>
      <c r="CM185" s="52"/>
      <c r="CN185" s="52"/>
      <c r="CO185" s="52"/>
      <c r="CP185" s="52"/>
      <c r="CQ185" s="52"/>
      <c r="CR185" s="330"/>
      <c r="CS185" s="112"/>
      <c r="CT185" s="92"/>
      <c r="CU185" s="92"/>
      <c r="CV185" s="92"/>
      <c r="CW185" s="92"/>
      <c r="CX185" s="20"/>
      <c r="CY185" s="201"/>
      <c r="CZ185" s="201"/>
      <c r="DA185" s="92"/>
      <c r="DB185" s="92"/>
      <c r="DC185" s="92"/>
      <c r="DD185" s="92"/>
      <c r="DE185" s="92"/>
      <c r="DF185" s="92"/>
      <c r="DG185" s="92"/>
      <c r="DH185" s="113"/>
      <c r="DI185" s="112"/>
      <c r="DJ185" s="92"/>
      <c r="DK185" s="92"/>
      <c r="DL185" s="92"/>
      <c r="DM185" s="92"/>
      <c r="DN185" s="199"/>
      <c r="DO185" s="201"/>
      <c r="DP185" s="48"/>
      <c r="DQ185" s="207"/>
      <c r="DR185" s="12"/>
      <c r="DS185" s="92"/>
      <c r="DT185" s="92"/>
      <c r="DU185" s="92"/>
      <c r="DV185" s="92"/>
      <c r="DW185" s="92"/>
      <c r="DX185" s="113"/>
      <c r="DY185" s="92"/>
      <c r="DZ185" s="92"/>
    </row>
    <row r="186" spans="1:130">
      <c r="A186" s="2"/>
      <c r="B186" s="2"/>
      <c r="C186" s="2"/>
      <c r="D186" s="2"/>
      <c r="E186" s="2"/>
      <c r="F186" s="213"/>
      <c r="G186" s="188"/>
      <c r="H186" s="2"/>
      <c r="I186" s="2"/>
      <c r="J186" s="207"/>
      <c r="K186" s="298"/>
      <c r="L186" s="2"/>
      <c r="M186" s="2"/>
      <c r="N186" s="2"/>
      <c r="O186" s="2"/>
      <c r="P186" s="113"/>
      <c r="Q186" s="52"/>
      <c r="R186" s="52"/>
      <c r="S186" s="52"/>
      <c r="T186" s="52"/>
      <c r="U186" s="52"/>
      <c r="V186" s="52"/>
      <c r="W186" s="52"/>
      <c r="X186" s="12"/>
      <c r="Y186" s="61"/>
      <c r="Z186" s="44"/>
      <c r="AA186" s="298"/>
      <c r="AB186" s="188"/>
      <c r="AC186" s="52"/>
      <c r="AD186" s="52"/>
      <c r="AE186" s="52"/>
      <c r="AF186" s="330"/>
      <c r="AG186" s="52"/>
      <c r="AH186" s="52"/>
      <c r="AI186" s="52"/>
      <c r="AJ186" s="52"/>
      <c r="AK186" s="52"/>
      <c r="AL186" s="52"/>
      <c r="AM186" s="64"/>
      <c r="AN186" s="61"/>
      <c r="AO186" s="207"/>
      <c r="AP186" s="12"/>
      <c r="AQ186" s="52"/>
      <c r="AR186" s="52"/>
      <c r="AS186" s="52"/>
      <c r="AT186" s="52"/>
      <c r="AU186" s="52"/>
      <c r="AV186" s="330"/>
      <c r="AW186" s="52"/>
      <c r="AX186" s="52"/>
      <c r="AY186" s="52"/>
      <c r="AZ186" s="52"/>
      <c r="BA186" s="52"/>
      <c r="BB186" s="52"/>
      <c r="BC186" s="52"/>
      <c r="BD186" s="298"/>
      <c r="BE186" s="48"/>
      <c r="BF186" s="61"/>
      <c r="BG186" s="52"/>
      <c r="BH186" s="52"/>
      <c r="BI186" s="52"/>
      <c r="BJ186" s="52"/>
      <c r="BK186" s="52"/>
      <c r="BL186" s="330"/>
      <c r="BM186" s="52"/>
      <c r="BN186" s="52"/>
      <c r="BO186" s="52"/>
      <c r="BP186" s="52"/>
      <c r="BQ186" s="52"/>
      <c r="BR186" s="207"/>
      <c r="BS186" s="20"/>
      <c r="BT186" s="52"/>
      <c r="BU186" s="52"/>
      <c r="BV186" s="61"/>
      <c r="BW186" s="4"/>
      <c r="BX186" s="52"/>
      <c r="BY186" s="52"/>
      <c r="BZ186" s="52"/>
      <c r="CA186" s="52"/>
      <c r="CB186" s="52"/>
      <c r="CC186" s="398"/>
      <c r="CD186" s="52"/>
      <c r="CE186" s="52"/>
      <c r="CF186" s="52"/>
      <c r="CG186" s="298"/>
      <c r="CH186" s="20"/>
      <c r="CI186" s="64"/>
      <c r="CJ186" s="20"/>
      <c r="CK186" s="50"/>
      <c r="CL186" s="52"/>
      <c r="CM186" s="52"/>
      <c r="CN186" s="52"/>
      <c r="CO186" s="52"/>
      <c r="CP186" s="52"/>
      <c r="CQ186" s="52"/>
      <c r="CR186" s="330"/>
      <c r="CS186" s="112"/>
      <c r="CT186" s="92"/>
      <c r="CU186" s="92"/>
      <c r="CV186" s="92"/>
      <c r="CW186" s="92"/>
      <c r="CX186" s="298"/>
      <c r="CY186" s="199"/>
      <c r="CZ186" s="201"/>
      <c r="DA186" s="92"/>
      <c r="DB186" s="92"/>
      <c r="DC186" s="92"/>
      <c r="DD186" s="92"/>
      <c r="DE186" s="92"/>
      <c r="DF186" s="92"/>
      <c r="DG186" s="92"/>
      <c r="DH186" s="113"/>
      <c r="DI186" s="112"/>
      <c r="DJ186" s="92"/>
      <c r="DK186" s="92"/>
      <c r="DL186" s="92"/>
      <c r="DM186" s="92"/>
      <c r="DN186" s="92"/>
      <c r="DO186" s="201"/>
      <c r="DP186" s="48"/>
      <c r="DQ186" s="12"/>
      <c r="DR186" s="92"/>
      <c r="DS186" s="92"/>
      <c r="DT186" s="92"/>
      <c r="DU186" s="92"/>
      <c r="DV186" s="92"/>
      <c r="DW186" s="92"/>
      <c r="DX186" s="113"/>
      <c r="DY186" s="92"/>
      <c r="DZ186" s="92"/>
    </row>
    <row r="187" spans="1:130">
      <c r="A187" s="2"/>
      <c r="B187" s="2"/>
      <c r="C187" s="2"/>
      <c r="D187" s="2"/>
      <c r="E187" s="2"/>
      <c r="F187" s="213"/>
      <c r="G187" s="191"/>
      <c r="H187" s="2"/>
      <c r="I187" s="2"/>
      <c r="J187" s="2"/>
      <c r="K187" s="298"/>
      <c r="L187" s="2"/>
      <c r="M187" s="2"/>
      <c r="N187" s="2"/>
      <c r="O187" s="2"/>
      <c r="P187" s="113"/>
      <c r="Q187" s="52"/>
      <c r="R187" s="52"/>
      <c r="S187" s="52"/>
      <c r="T187" s="52"/>
      <c r="U187" s="52"/>
      <c r="V187" s="52"/>
      <c r="W187" s="64"/>
      <c r="X187" s="61"/>
      <c r="Y187" s="64"/>
      <c r="Z187" s="52"/>
      <c r="AA187" s="207"/>
      <c r="AB187" s="12"/>
      <c r="AC187" s="52"/>
      <c r="AD187" s="52"/>
      <c r="AE187" s="52"/>
      <c r="AF187" s="330"/>
      <c r="AG187" s="52"/>
      <c r="AH187" s="52"/>
      <c r="AI187" s="52"/>
      <c r="AJ187" s="52"/>
      <c r="AK187" s="52"/>
      <c r="AL187" s="52"/>
      <c r="AM187" s="61"/>
      <c r="AN187" s="61"/>
      <c r="AO187" s="298"/>
      <c r="AP187" s="207"/>
      <c r="AQ187" s="52"/>
      <c r="AR187" s="52"/>
      <c r="AS187" s="52"/>
      <c r="AT187" s="52"/>
      <c r="AU187" s="52"/>
      <c r="AV187" s="330"/>
      <c r="AW187" s="52"/>
      <c r="AX187" s="52"/>
      <c r="AY187" s="52"/>
      <c r="AZ187" s="52"/>
      <c r="BA187" s="52"/>
      <c r="BB187" s="52"/>
      <c r="BC187" s="52"/>
      <c r="BD187" s="207"/>
      <c r="BE187" s="61"/>
      <c r="BF187" s="64"/>
      <c r="BG187" s="52"/>
      <c r="BH187" s="52"/>
      <c r="BI187" s="52"/>
      <c r="BJ187" s="52"/>
      <c r="BK187" s="52"/>
      <c r="BL187" s="330"/>
      <c r="BM187" s="52"/>
      <c r="BN187" s="52"/>
      <c r="BO187" s="52"/>
      <c r="BP187" s="52"/>
      <c r="BQ187" s="52"/>
      <c r="BR187" s="298"/>
      <c r="BS187" s="12"/>
      <c r="BT187" s="52"/>
      <c r="BU187" s="52"/>
      <c r="BV187" s="61"/>
      <c r="BW187" s="61"/>
      <c r="BX187" s="52"/>
      <c r="BY187" s="52"/>
      <c r="BZ187" s="52"/>
      <c r="CA187" s="52"/>
      <c r="CB187" s="52"/>
      <c r="CC187" s="398"/>
      <c r="CD187" s="52"/>
      <c r="CE187" s="52"/>
      <c r="CF187" s="52"/>
      <c r="CG187" s="298"/>
      <c r="CH187" s="12"/>
      <c r="CI187" s="52"/>
      <c r="CJ187" s="61"/>
      <c r="CK187" s="12"/>
      <c r="CL187" s="51"/>
      <c r="CM187" s="52"/>
      <c r="CN187" s="52"/>
      <c r="CO187" s="52"/>
      <c r="CP187" s="52"/>
      <c r="CQ187" s="52"/>
      <c r="CR187" s="330"/>
      <c r="CS187" s="112"/>
      <c r="CT187" s="92"/>
      <c r="CU187" s="92"/>
      <c r="CV187" s="92"/>
      <c r="CW187" s="207"/>
      <c r="CX187" s="12"/>
      <c r="CY187" s="12"/>
      <c r="CZ187" s="199"/>
      <c r="DA187" s="92"/>
      <c r="DB187" s="92"/>
      <c r="DC187" s="92"/>
      <c r="DD187" s="92"/>
      <c r="DE187" s="92"/>
      <c r="DF187" s="92"/>
      <c r="DG187" s="92"/>
      <c r="DH187" s="113"/>
      <c r="DI187" s="112"/>
      <c r="DJ187" s="92"/>
      <c r="DK187" s="92"/>
      <c r="DL187" s="92"/>
      <c r="DM187" s="92"/>
      <c r="DN187" s="92"/>
      <c r="DO187" s="199"/>
      <c r="DP187" s="201"/>
      <c r="DQ187" s="12"/>
      <c r="DR187" s="92"/>
      <c r="DS187" s="92"/>
      <c r="DT187" s="92"/>
      <c r="DU187" s="92"/>
      <c r="DV187" s="92"/>
      <c r="DW187" s="92"/>
      <c r="DX187" s="113"/>
      <c r="DY187" s="92"/>
      <c r="DZ187" s="92"/>
    </row>
    <row r="188" spans="1:130">
      <c r="A188" s="2"/>
      <c r="B188" s="2"/>
      <c r="C188" s="2"/>
      <c r="D188" s="2"/>
      <c r="E188" s="2"/>
      <c r="F188" s="213"/>
      <c r="G188" s="191"/>
      <c r="H188" s="2"/>
      <c r="I188" s="2"/>
      <c r="J188" s="2"/>
      <c r="K188" s="207"/>
      <c r="L188" s="2"/>
      <c r="M188" s="2"/>
      <c r="N188" s="2"/>
      <c r="O188" s="2"/>
      <c r="P188" s="113"/>
      <c r="Q188" s="52"/>
      <c r="R188" s="52"/>
      <c r="S188" s="52"/>
      <c r="T188" s="52"/>
      <c r="U188" s="52"/>
      <c r="V188" s="52"/>
      <c r="W188" s="50"/>
      <c r="X188" s="64"/>
      <c r="Y188" s="52"/>
      <c r="Z188" s="52"/>
      <c r="AA188" s="52"/>
      <c r="AB188" s="207"/>
      <c r="AC188" s="52"/>
      <c r="AD188" s="52"/>
      <c r="AE188" s="52"/>
      <c r="AF188" s="330"/>
      <c r="AG188" s="52"/>
      <c r="AH188" s="52"/>
      <c r="AI188" s="52"/>
      <c r="AJ188" s="52"/>
      <c r="AK188" s="52"/>
      <c r="AL188" s="52"/>
      <c r="AM188" s="61"/>
      <c r="AN188" s="64"/>
      <c r="AO188" s="52"/>
      <c r="AP188" s="12"/>
      <c r="AQ188" s="52"/>
      <c r="AR188" s="52"/>
      <c r="AS188" s="52"/>
      <c r="AT188" s="52"/>
      <c r="AU188" s="52"/>
      <c r="AV188" s="330"/>
      <c r="AW188" s="52"/>
      <c r="AX188" s="52"/>
      <c r="AY188" s="52"/>
      <c r="AZ188" s="52"/>
      <c r="BA188" s="52"/>
      <c r="BB188" s="52"/>
      <c r="BC188" s="52"/>
      <c r="BD188" s="12"/>
      <c r="BE188" s="61"/>
      <c r="BF188" s="52"/>
      <c r="BG188" s="52"/>
      <c r="BH188" s="52"/>
      <c r="BI188" s="52"/>
      <c r="BJ188" s="52"/>
      <c r="BK188" s="52"/>
      <c r="BL188" s="330"/>
      <c r="BM188" s="52"/>
      <c r="BN188" s="52"/>
      <c r="BO188" s="52"/>
      <c r="BP188" s="52"/>
      <c r="BQ188" s="52"/>
      <c r="BR188" s="298"/>
      <c r="BS188" s="52"/>
      <c r="BT188" s="52"/>
      <c r="BU188" s="52"/>
      <c r="BV188" s="64"/>
      <c r="BW188" s="61"/>
      <c r="BX188" s="52"/>
      <c r="BY188" s="52"/>
      <c r="BZ188" s="52"/>
      <c r="CA188" s="52"/>
      <c r="CB188" s="52"/>
      <c r="CC188" s="398"/>
      <c r="CD188" s="52"/>
      <c r="CE188" s="52"/>
      <c r="CF188" s="52"/>
      <c r="CG188" s="207"/>
      <c r="CH188" s="52"/>
      <c r="CI188" s="52"/>
      <c r="CJ188" s="64"/>
      <c r="CK188" s="20"/>
      <c r="CL188" s="52"/>
      <c r="CM188" s="52"/>
      <c r="CN188" s="52"/>
      <c r="CO188" s="52"/>
      <c r="CP188" s="52"/>
      <c r="CQ188" s="52"/>
      <c r="CR188" s="330"/>
      <c r="CS188" s="112"/>
      <c r="CT188" s="92"/>
      <c r="CU188" s="92"/>
      <c r="CV188" s="92"/>
      <c r="CW188" s="298"/>
      <c r="CX188" s="92"/>
      <c r="CY188" s="17"/>
      <c r="CZ188" s="201"/>
      <c r="DA188" s="92"/>
      <c r="DB188" s="92"/>
      <c r="DC188" s="92"/>
      <c r="DD188" s="92"/>
      <c r="DE188" s="92"/>
      <c r="DF188" s="92"/>
      <c r="DG188" s="92"/>
      <c r="DH188" s="113"/>
      <c r="DI188" s="112"/>
      <c r="DJ188" s="92"/>
      <c r="DK188" s="92"/>
      <c r="DL188" s="92"/>
      <c r="DM188" s="92"/>
      <c r="DN188" s="92"/>
      <c r="DO188" s="13"/>
      <c r="DP188" s="201"/>
      <c r="DQ188" s="92"/>
      <c r="DR188" s="92"/>
      <c r="DS188" s="92"/>
      <c r="DT188" s="92"/>
      <c r="DU188" s="92"/>
      <c r="DV188" s="92"/>
      <c r="DW188" s="92"/>
      <c r="DX188" s="113"/>
      <c r="DY188" s="92"/>
      <c r="DZ188" s="92"/>
    </row>
    <row r="189" spans="1:130">
      <c r="A189" s="2"/>
      <c r="B189" s="2"/>
      <c r="C189" s="2"/>
      <c r="D189" s="2"/>
      <c r="E189" s="2"/>
      <c r="F189" s="213"/>
      <c r="G189" s="12"/>
      <c r="H189" s="2"/>
      <c r="I189" s="2"/>
      <c r="J189" s="2"/>
      <c r="K189" s="298"/>
      <c r="L189" s="2"/>
      <c r="M189" s="2"/>
      <c r="N189" s="2"/>
      <c r="O189" s="2"/>
      <c r="P189" s="113"/>
      <c r="Q189" s="52"/>
      <c r="R189" s="52"/>
      <c r="S189" s="52"/>
      <c r="T189" s="52"/>
      <c r="U189" s="52"/>
      <c r="V189" s="52"/>
      <c r="W189" s="64"/>
      <c r="X189" s="12"/>
      <c r="Y189" s="52"/>
      <c r="Z189" s="52"/>
      <c r="AA189" s="52"/>
      <c r="AB189" s="298"/>
      <c r="AC189" s="52"/>
      <c r="AD189" s="52"/>
      <c r="AE189" s="52"/>
      <c r="AF189" s="330"/>
      <c r="AG189" s="52"/>
      <c r="AH189" s="52"/>
      <c r="AI189" s="52"/>
      <c r="AJ189" s="52"/>
      <c r="AK189" s="52"/>
      <c r="AL189" s="64"/>
      <c r="AM189" s="12"/>
      <c r="AN189" s="52"/>
      <c r="AO189" s="52"/>
      <c r="AP189" s="12"/>
      <c r="AQ189" s="12"/>
      <c r="AR189" s="52"/>
      <c r="AS189" s="52"/>
      <c r="AT189" s="52"/>
      <c r="AU189" s="52"/>
      <c r="AV189" s="330"/>
      <c r="AW189" s="52"/>
      <c r="AX189" s="52"/>
      <c r="AY189" s="52"/>
      <c r="AZ189" s="52"/>
      <c r="BA189" s="52"/>
      <c r="BB189" s="52"/>
      <c r="BC189" s="52"/>
      <c r="BD189" s="298"/>
      <c r="BE189" s="12"/>
      <c r="BF189" s="52"/>
      <c r="BG189" s="52"/>
      <c r="BH189" s="52"/>
      <c r="BI189" s="52"/>
      <c r="BJ189" s="52"/>
      <c r="BK189" s="52"/>
      <c r="BL189" s="330"/>
      <c r="BM189" s="52"/>
      <c r="BN189" s="52"/>
      <c r="BO189" s="52"/>
      <c r="BP189" s="52"/>
      <c r="BQ189" s="52"/>
      <c r="BR189" s="12"/>
      <c r="BS189" s="52"/>
      <c r="BT189" s="52"/>
      <c r="BU189" s="52"/>
      <c r="BV189" s="61"/>
      <c r="BW189" s="12"/>
      <c r="BX189" s="52"/>
      <c r="BY189" s="52"/>
      <c r="BZ189" s="52"/>
      <c r="CA189" s="52"/>
      <c r="CB189" s="52"/>
      <c r="CC189" s="398"/>
      <c r="CD189" s="52"/>
      <c r="CE189" s="52"/>
      <c r="CF189" s="207"/>
      <c r="CG189" s="12"/>
      <c r="CH189" s="52"/>
      <c r="CI189" s="52"/>
      <c r="CJ189" s="17"/>
      <c r="CK189" s="12"/>
      <c r="CL189" s="52"/>
      <c r="CM189" s="52"/>
      <c r="CN189" s="52"/>
      <c r="CO189" s="52"/>
      <c r="CP189" s="52"/>
      <c r="CQ189" s="52"/>
      <c r="CR189" s="330"/>
      <c r="CS189" s="112"/>
      <c r="CT189" s="92"/>
      <c r="CU189" s="92"/>
      <c r="CV189" s="207"/>
      <c r="CW189" s="12"/>
      <c r="CX189" s="92"/>
      <c r="CY189" s="12"/>
      <c r="CZ189" s="199"/>
      <c r="DA189" s="201"/>
      <c r="DB189" s="92"/>
      <c r="DC189" s="92"/>
      <c r="DD189" s="92"/>
      <c r="DE189" s="92"/>
      <c r="DF189" s="92"/>
      <c r="DG189" s="92"/>
      <c r="DH189" s="113"/>
      <c r="DI189" s="112"/>
      <c r="DJ189" s="92"/>
      <c r="DK189" s="92"/>
      <c r="DL189" s="92"/>
      <c r="DM189" s="92"/>
      <c r="DN189" s="92"/>
      <c r="DO189" s="13"/>
      <c r="DP189" s="201"/>
      <c r="DQ189" s="12"/>
      <c r="DR189" s="92"/>
      <c r="DS189" s="92"/>
      <c r="DT189" s="92"/>
      <c r="DU189" s="92"/>
      <c r="DV189" s="92"/>
      <c r="DW189" s="92"/>
      <c r="DX189" s="113"/>
      <c r="DY189" s="92"/>
      <c r="DZ189" s="92"/>
    </row>
    <row r="190" spans="1:130">
      <c r="A190" s="2"/>
      <c r="B190" s="2"/>
      <c r="C190" s="2"/>
      <c r="D190" s="2"/>
      <c r="E190" s="2"/>
      <c r="F190" s="213"/>
      <c r="G190" s="12"/>
      <c r="H190" s="2"/>
      <c r="I190" s="2"/>
      <c r="J190" s="207"/>
      <c r="K190" s="298"/>
      <c r="L190" s="207"/>
      <c r="M190" s="2"/>
      <c r="N190" s="2"/>
      <c r="O190" s="2"/>
      <c r="P190" s="113"/>
      <c r="Q190" s="52"/>
      <c r="R190" s="52"/>
      <c r="S190" s="52"/>
      <c r="T190" s="52"/>
      <c r="U190" s="52"/>
      <c r="V190" s="52"/>
      <c r="W190" s="64"/>
      <c r="X190" s="12"/>
      <c r="Y190" s="52"/>
      <c r="Z190" s="52"/>
      <c r="AA190" s="52"/>
      <c r="AB190" s="207"/>
      <c r="AC190" s="12"/>
      <c r="AD190" s="52"/>
      <c r="AE190" s="52"/>
      <c r="AF190" s="330"/>
      <c r="AG190" s="52"/>
      <c r="AH190" s="52"/>
      <c r="AI190" s="52"/>
      <c r="AJ190" s="52"/>
      <c r="AK190" s="52"/>
      <c r="AL190" s="61"/>
      <c r="AM190" s="12"/>
      <c r="AN190" s="52"/>
      <c r="AO190" s="52"/>
      <c r="AP190" s="298"/>
      <c r="AQ190" s="12"/>
      <c r="AR190" s="52"/>
      <c r="AS190" s="52"/>
      <c r="AT190" s="52"/>
      <c r="AU190" s="52"/>
      <c r="AV190" s="330"/>
      <c r="AW190" s="52"/>
      <c r="AX190" s="52"/>
      <c r="AY190" s="52"/>
      <c r="AZ190" s="52"/>
      <c r="BA190" s="52"/>
      <c r="BB190" s="52"/>
      <c r="BC190" s="52"/>
      <c r="BD190" s="61"/>
      <c r="BE190" s="12"/>
      <c r="BF190" s="12"/>
      <c r="BG190" s="52"/>
      <c r="BH190" s="52"/>
      <c r="BI190" s="52"/>
      <c r="BJ190" s="52"/>
      <c r="BK190" s="52"/>
      <c r="BL190" s="330"/>
      <c r="BM190" s="52"/>
      <c r="BN190" s="52"/>
      <c r="BO190" s="52"/>
      <c r="BP190" s="52"/>
      <c r="BQ190" s="52"/>
      <c r="BR190" s="12"/>
      <c r="BS190" s="52"/>
      <c r="BT190" s="52"/>
      <c r="BU190" s="52"/>
      <c r="BV190" s="12"/>
      <c r="BW190" s="13"/>
      <c r="BX190" s="52"/>
      <c r="BY190" s="52"/>
      <c r="BZ190" s="52"/>
      <c r="CA190" s="52"/>
      <c r="CB190" s="52"/>
      <c r="CC190" s="398"/>
      <c r="CD190" s="52"/>
      <c r="CE190" s="52"/>
      <c r="CF190" s="298"/>
      <c r="CG190" s="12"/>
      <c r="CH190" s="52"/>
      <c r="CI190" s="52"/>
      <c r="CJ190" s="17"/>
      <c r="CK190" s="12"/>
      <c r="CL190" s="52"/>
      <c r="CM190" s="52"/>
      <c r="CN190" s="52"/>
      <c r="CO190" s="52"/>
      <c r="CP190" s="52"/>
      <c r="CQ190" s="52"/>
      <c r="CR190" s="330"/>
      <c r="CS190" s="112"/>
      <c r="CT190" s="92"/>
      <c r="CU190" s="92"/>
      <c r="CV190" s="298"/>
      <c r="CW190" s="12"/>
      <c r="CX190" s="92"/>
      <c r="CY190" s="92"/>
      <c r="CZ190" s="17"/>
      <c r="DA190" s="199"/>
      <c r="DB190" s="92"/>
      <c r="DC190" s="92"/>
      <c r="DD190" s="92"/>
      <c r="DE190" s="92"/>
      <c r="DF190" s="92"/>
      <c r="DG190" s="92"/>
      <c r="DH190" s="113"/>
      <c r="DI190" s="112"/>
      <c r="DJ190" s="92"/>
      <c r="DK190" s="92"/>
      <c r="DL190" s="92"/>
      <c r="DM190" s="92"/>
      <c r="DN190" s="92"/>
      <c r="DO190" s="12"/>
      <c r="DP190" s="201"/>
      <c r="DQ190" s="201"/>
      <c r="DR190" s="12"/>
      <c r="DS190" s="92"/>
      <c r="DT190" s="92"/>
      <c r="DU190" s="92"/>
      <c r="DV190" s="92"/>
      <c r="DW190" s="92"/>
      <c r="DX190" s="113"/>
      <c r="DY190" s="92"/>
      <c r="DZ190" s="92"/>
    </row>
    <row r="191" spans="1:130">
      <c r="A191" s="2"/>
      <c r="B191" s="2"/>
      <c r="C191" s="2"/>
      <c r="D191" s="2"/>
      <c r="E191" s="192"/>
      <c r="F191" s="213"/>
      <c r="G191" s="2"/>
      <c r="H191" s="2"/>
      <c r="I191" s="2"/>
      <c r="J191" s="2"/>
      <c r="K191" s="298"/>
      <c r="L191" s="298"/>
      <c r="M191" s="298"/>
      <c r="N191" s="2"/>
      <c r="O191" s="2"/>
      <c r="P191" s="113"/>
      <c r="Q191" s="52"/>
      <c r="R191" s="52"/>
      <c r="S191" s="52"/>
      <c r="T191" s="52"/>
      <c r="U191" s="52"/>
      <c r="V191" s="64"/>
      <c r="W191" s="61"/>
      <c r="X191" s="12"/>
      <c r="Y191" s="52"/>
      <c r="Z191" s="52"/>
      <c r="AA191" s="52"/>
      <c r="AB191" s="52"/>
      <c r="AC191" s="207"/>
      <c r="AD191" s="298"/>
      <c r="AE191" s="52"/>
      <c r="AF191" s="330"/>
      <c r="AG191" s="52"/>
      <c r="AH191" s="52"/>
      <c r="AI191" s="52"/>
      <c r="AJ191" s="52"/>
      <c r="AK191" s="64"/>
      <c r="AL191" s="61"/>
      <c r="AM191" s="12"/>
      <c r="AN191" s="52"/>
      <c r="AO191" s="207"/>
      <c r="AP191" s="298"/>
      <c r="AQ191" s="52"/>
      <c r="AR191" s="52"/>
      <c r="AS191" s="52"/>
      <c r="AT191" s="52"/>
      <c r="AU191" s="52"/>
      <c r="AV191" s="330"/>
      <c r="AW191" s="52"/>
      <c r="AX191" s="52"/>
      <c r="AY191" s="52"/>
      <c r="AZ191" s="52"/>
      <c r="BA191" s="52"/>
      <c r="BB191" s="52"/>
      <c r="BC191" s="64"/>
      <c r="BD191" s="20"/>
      <c r="BE191" s="298"/>
      <c r="BF191" s="12"/>
      <c r="BG191" s="52"/>
      <c r="BH191" s="52"/>
      <c r="BI191" s="52"/>
      <c r="BJ191" s="52"/>
      <c r="BK191" s="52"/>
      <c r="BL191" s="330"/>
      <c r="BM191" s="52"/>
      <c r="BN191" s="52"/>
      <c r="BO191" s="52"/>
      <c r="BP191" s="52"/>
      <c r="BQ191" s="207"/>
      <c r="BR191" s="12"/>
      <c r="BS191" s="52"/>
      <c r="BT191" s="52"/>
      <c r="BU191" s="52"/>
      <c r="BV191" s="4"/>
      <c r="BW191" s="12"/>
      <c r="BX191" s="52"/>
      <c r="BY191" s="52"/>
      <c r="BZ191" s="52"/>
      <c r="CA191" s="52"/>
      <c r="CB191" s="52"/>
      <c r="CC191" s="398"/>
      <c r="CD191" s="52"/>
      <c r="CE191" s="207"/>
      <c r="CF191" s="298"/>
      <c r="CG191" s="52"/>
      <c r="CH191" s="52"/>
      <c r="CI191" s="52"/>
      <c r="CJ191" s="12"/>
      <c r="CK191" s="61"/>
      <c r="CL191" s="61"/>
      <c r="CM191" s="51"/>
      <c r="CN191" s="52"/>
      <c r="CO191" s="52"/>
      <c r="CP191" s="52"/>
      <c r="CQ191" s="52"/>
      <c r="CR191" s="330"/>
      <c r="CS191" s="112"/>
      <c r="CT191" s="92"/>
      <c r="CU191" s="92"/>
      <c r="CV191" s="92"/>
      <c r="CW191" s="92"/>
      <c r="CX191" s="12"/>
      <c r="CY191" s="92"/>
      <c r="CZ191" s="12"/>
      <c r="DA191" s="293"/>
      <c r="DB191" s="199"/>
      <c r="DC191" s="293"/>
      <c r="DD191" s="92"/>
      <c r="DE191" s="92"/>
      <c r="DF191" s="92"/>
      <c r="DG191" s="92"/>
      <c r="DH191" s="113"/>
      <c r="DI191" s="112"/>
      <c r="DJ191" s="92"/>
      <c r="DK191" s="92"/>
      <c r="DL191" s="92"/>
      <c r="DM191" s="92"/>
      <c r="DN191" s="92"/>
      <c r="DO191" s="92"/>
      <c r="DP191" s="13"/>
      <c r="DQ191" s="201"/>
      <c r="DR191" s="92"/>
      <c r="DS191" s="92"/>
      <c r="DT191" s="92"/>
      <c r="DU191" s="92"/>
      <c r="DV191" s="92"/>
      <c r="DW191" s="92"/>
      <c r="DX191" s="113"/>
      <c r="DY191" s="92"/>
      <c r="DZ191" s="92"/>
    </row>
    <row r="192" spans="1:130">
      <c r="A192" s="103"/>
      <c r="B192" s="103"/>
      <c r="C192" s="103"/>
      <c r="D192" s="103"/>
      <c r="E192" s="211"/>
      <c r="F192" s="211"/>
      <c r="G192" s="2"/>
      <c r="H192" s="103"/>
      <c r="I192" s="103"/>
      <c r="J192" s="103"/>
      <c r="K192" s="103"/>
      <c r="L192" s="103"/>
      <c r="M192" s="103"/>
      <c r="N192" s="103"/>
      <c r="O192" s="103"/>
      <c r="P192" s="116"/>
      <c r="Q192" s="74"/>
      <c r="R192" s="74"/>
      <c r="S192" s="74"/>
      <c r="T192" s="74"/>
      <c r="U192" s="61"/>
      <c r="V192" s="61"/>
      <c r="W192" s="74"/>
      <c r="X192" s="74"/>
      <c r="Y192" s="74"/>
      <c r="Z192" s="74"/>
      <c r="AA192" s="74"/>
      <c r="AB192" s="74"/>
      <c r="AC192" s="207"/>
      <c r="AD192" s="12"/>
      <c r="AE192" s="74"/>
      <c r="AF192" s="369"/>
      <c r="AG192" s="74"/>
      <c r="AH192" s="74"/>
      <c r="AI192" s="74"/>
      <c r="AJ192" s="77"/>
      <c r="AK192" s="77"/>
      <c r="AL192" s="74"/>
      <c r="AM192" s="74"/>
      <c r="AN192" s="74"/>
      <c r="AO192" s="298"/>
      <c r="AP192" s="298"/>
      <c r="AQ192" s="74"/>
      <c r="AR192" s="74"/>
      <c r="AS192" s="74"/>
      <c r="AT192" s="74"/>
      <c r="AU192" s="74"/>
      <c r="AV192" s="369"/>
      <c r="AW192" s="74"/>
      <c r="AX192" s="74"/>
      <c r="AY192" s="74"/>
      <c r="AZ192" s="74"/>
      <c r="BA192" s="74"/>
      <c r="BB192" s="77"/>
      <c r="BC192" s="64"/>
      <c r="BD192" s="207"/>
      <c r="BE192" s="12"/>
      <c r="BF192" s="74"/>
      <c r="BG192" s="74"/>
      <c r="BH192" s="74"/>
      <c r="BI192" s="74"/>
      <c r="BJ192" s="74"/>
      <c r="BK192" s="74"/>
      <c r="BL192" s="369"/>
      <c r="BM192" s="52"/>
      <c r="BN192" s="52"/>
      <c r="BO192" s="52"/>
      <c r="BP192" s="207"/>
      <c r="BQ192" s="298"/>
      <c r="BR192" s="52"/>
      <c r="BS192" s="52"/>
      <c r="BT192" s="52"/>
      <c r="BU192" s="52"/>
      <c r="BV192" s="48"/>
      <c r="BW192" s="48"/>
      <c r="BX192" s="64"/>
      <c r="BY192" s="52"/>
      <c r="BZ192" s="52"/>
      <c r="CA192" s="52"/>
      <c r="CB192" s="52"/>
      <c r="CC192" s="475"/>
      <c r="CD192" s="74"/>
      <c r="CE192" s="74"/>
      <c r="CF192" s="74"/>
      <c r="CG192" s="74"/>
      <c r="CH192" s="74"/>
      <c r="CI192" s="74"/>
      <c r="CJ192" s="74"/>
      <c r="CK192" s="74"/>
      <c r="CL192" s="378"/>
      <c r="CM192" s="75"/>
      <c r="CN192" s="74"/>
      <c r="CO192" s="74"/>
      <c r="CP192" s="74"/>
      <c r="CQ192" s="74"/>
      <c r="CR192" s="369"/>
      <c r="CS192" s="476"/>
      <c r="CT192" s="103"/>
      <c r="CU192" s="103"/>
      <c r="CV192" s="103"/>
      <c r="CW192" s="103"/>
      <c r="CX192" s="103"/>
      <c r="CY192" s="103"/>
      <c r="CZ192" s="334"/>
      <c r="DA192" s="334"/>
      <c r="DB192" s="103"/>
      <c r="DC192" s="103"/>
      <c r="DD192" s="103"/>
      <c r="DE192" s="103"/>
      <c r="DF192" s="103"/>
      <c r="DG192" s="103"/>
      <c r="DH192" s="116"/>
      <c r="DI192" s="476"/>
      <c r="DJ192" s="103"/>
      <c r="DK192" s="103"/>
      <c r="DL192" s="103"/>
      <c r="DM192" s="103"/>
      <c r="DN192" s="103"/>
      <c r="DO192" s="103"/>
      <c r="DP192" s="103"/>
      <c r="DQ192" s="334"/>
      <c r="DR192" s="210"/>
      <c r="DS192" s="103"/>
      <c r="DT192" s="103"/>
      <c r="DU192" s="103"/>
      <c r="DV192" s="103"/>
      <c r="DW192" s="103"/>
      <c r="DX192" s="116"/>
      <c r="DY192" s="103"/>
      <c r="DZ192" s="103"/>
    </row>
    <row r="193" spans="1:130">
      <c r="A193" s="114"/>
      <c r="B193" s="51" t="s">
        <v>763</v>
      </c>
      <c r="C193" s="51"/>
      <c r="D193" s="51"/>
      <c r="E193" s="51"/>
      <c r="F193" s="92"/>
      <c r="G193" s="92"/>
      <c r="H193" s="51"/>
      <c r="I193" s="51"/>
      <c r="J193" s="51"/>
      <c r="K193" s="51"/>
      <c r="L193" s="92"/>
      <c r="M193" s="51"/>
      <c r="N193" s="51"/>
      <c r="O193" s="51"/>
      <c r="P193" s="82"/>
      <c r="Q193" s="51"/>
      <c r="R193" s="51"/>
      <c r="S193" s="51"/>
      <c r="T193" s="51"/>
      <c r="U193" s="51"/>
      <c r="V193" s="92"/>
      <c r="W193" s="92"/>
      <c r="X193" s="51"/>
      <c r="Y193" s="51"/>
      <c r="Z193" s="51"/>
      <c r="AA193" s="51"/>
      <c r="AB193" s="92"/>
      <c r="AC193" s="51"/>
      <c r="AD193" s="51"/>
      <c r="AE193" s="51"/>
      <c r="AF193" s="82"/>
      <c r="AG193" s="51"/>
      <c r="AH193" s="51"/>
      <c r="AI193" s="51"/>
      <c r="AJ193" s="51"/>
      <c r="AK193" s="51"/>
      <c r="AL193" s="92"/>
      <c r="AM193" s="92"/>
      <c r="AN193" s="51"/>
      <c r="AO193" s="51"/>
      <c r="AP193" s="51"/>
      <c r="AQ193" s="51"/>
      <c r="AR193" s="92"/>
      <c r="AS193" s="51"/>
      <c r="AT193" s="51"/>
      <c r="AU193" s="51"/>
      <c r="AV193" s="82"/>
      <c r="AW193" s="51"/>
      <c r="AX193" s="51"/>
      <c r="AY193" s="51"/>
      <c r="AZ193" s="51"/>
      <c r="BA193" s="51"/>
      <c r="BB193" s="92"/>
      <c r="BC193" s="92"/>
      <c r="BD193" s="51"/>
      <c r="BE193" s="51"/>
      <c r="BF193" s="51"/>
      <c r="BG193" s="51"/>
      <c r="BH193" s="92"/>
      <c r="BI193" s="51"/>
      <c r="BJ193" s="51"/>
      <c r="BK193" s="51"/>
      <c r="BL193" s="51"/>
      <c r="BM193" s="108"/>
      <c r="BN193" s="109"/>
      <c r="BO193" s="109"/>
      <c r="BP193" s="109"/>
      <c r="BQ193" s="109"/>
      <c r="BR193" s="109"/>
      <c r="BS193" s="110"/>
      <c r="BT193" s="110"/>
      <c r="BU193" s="109"/>
      <c r="BV193" s="109"/>
      <c r="BW193" s="109"/>
      <c r="BX193" s="110"/>
      <c r="BY193" s="109"/>
      <c r="BZ193" s="109"/>
      <c r="CA193" s="109"/>
      <c r="CB193" s="109"/>
      <c r="CC193" s="114"/>
      <c r="CD193" s="51"/>
      <c r="CE193" s="51"/>
      <c r="CF193" s="51"/>
      <c r="CG193" s="51"/>
      <c r="CH193" s="92"/>
      <c r="CI193" s="92"/>
      <c r="CJ193" s="51"/>
      <c r="CK193" s="51"/>
      <c r="CL193" s="51"/>
      <c r="CM193" s="51"/>
      <c r="CN193" s="92"/>
      <c r="CO193" s="51"/>
      <c r="CP193" s="51"/>
      <c r="CQ193" s="51"/>
      <c r="CR193" s="51"/>
      <c r="CS193" s="363"/>
      <c r="CT193" s="51"/>
      <c r="CU193" s="51"/>
      <c r="CV193" s="51"/>
      <c r="CW193" s="51"/>
      <c r="CX193" s="92"/>
      <c r="CY193" s="92"/>
      <c r="CZ193" s="51"/>
      <c r="DA193" s="51"/>
      <c r="DB193" s="51"/>
      <c r="DC193" s="51"/>
      <c r="DD193" s="92"/>
      <c r="DE193" s="51"/>
      <c r="DF193" s="51"/>
      <c r="DG193" s="51"/>
      <c r="DH193" s="51"/>
      <c r="DI193" s="114"/>
      <c r="DJ193" s="51"/>
      <c r="DK193" s="51"/>
      <c r="DL193" s="51"/>
      <c r="DM193" s="51"/>
      <c r="DN193" s="92"/>
      <c r="DO193" s="92"/>
      <c r="DP193" s="51"/>
      <c r="DQ193" s="51"/>
      <c r="DR193" s="51"/>
      <c r="DS193" s="92"/>
      <c r="DT193" s="51"/>
      <c r="DU193" s="51"/>
      <c r="DV193" s="51"/>
      <c r="DW193" s="70"/>
      <c r="DX193" s="362"/>
      <c r="DY193" s="92"/>
      <c r="DZ193" s="92"/>
    </row>
    <row r="194" spans="1:130">
      <c r="A194" s="92"/>
      <c r="B194" s="51"/>
      <c r="C194" s="92"/>
      <c r="D194" s="92"/>
      <c r="E194" s="92"/>
      <c r="F194" s="92"/>
      <c r="G194" s="92"/>
      <c r="H194" s="92"/>
      <c r="I194" s="92"/>
      <c r="J194" s="92"/>
      <c r="K194" s="92"/>
      <c r="L194" s="92"/>
      <c r="M194" s="92"/>
      <c r="N194" s="92"/>
      <c r="O194" s="92"/>
      <c r="P194" s="113"/>
      <c r="Q194" s="92"/>
      <c r="R194" s="92"/>
      <c r="S194" s="92"/>
      <c r="T194" s="92"/>
      <c r="U194" s="92"/>
      <c r="V194" s="92"/>
      <c r="W194" s="92"/>
      <c r="X194" s="92"/>
      <c r="Y194" s="92"/>
      <c r="Z194" s="92"/>
      <c r="AA194" s="92"/>
      <c r="AB194" s="92"/>
      <c r="AC194" s="92"/>
      <c r="AD194" s="92"/>
      <c r="AE194" s="92"/>
      <c r="AF194" s="113"/>
      <c r="AG194" s="51"/>
      <c r="AH194" s="51"/>
      <c r="AI194" s="51"/>
      <c r="AJ194" s="51"/>
      <c r="AK194" s="51"/>
      <c r="AL194" s="92"/>
      <c r="AM194" s="92"/>
      <c r="AN194" s="51"/>
      <c r="AO194" s="51"/>
      <c r="AP194" s="51"/>
      <c r="AQ194" s="51"/>
      <c r="AR194" s="92"/>
      <c r="AS194" s="51"/>
      <c r="AT194" s="51"/>
      <c r="AU194" s="51"/>
      <c r="AV194" s="82"/>
      <c r="AW194" s="92"/>
      <c r="AX194" s="92"/>
      <c r="AY194" s="92"/>
      <c r="AZ194" s="92"/>
      <c r="BA194" s="92"/>
      <c r="BB194" s="92"/>
      <c r="BC194" s="92"/>
      <c r="BD194" s="92"/>
      <c r="BE194" s="92"/>
      <c r="BF194" s="92"/>
      <c r="BG194" s="92"/>
      <c r="BH194" s="92"/>
      <c r="BI194" s="92"/>
      <c r="BJ194" s="92"/>
      <c r="BK194" s="92"/>
      <c r="BL194" s="92"/>
      <c r="BM194" s="112"/>
      <c r="BN194" s="92"/>
      <c r="BO194" s="92"/>
      <c r="BP194" s="92"/>
      <c r="BQ194" s="92"/>
      <c r="BR194" s="92"/>
      <c r="BS194" s="92"/>
      <c r="BT194" s="92"/>
      <c r="BU194" s="92"/>
      <c r="BV194" s="92"/>
      <c r="BW194" s="92"/>
      <c r="BX194" s="92"/>
      <c r="BY194" s="92"/>
      <c r="BZ194" s="92"/>
      <c r="CA194" s="92"/>
      <c r="CB194" s="92"/>
      <c r="CC194" s="114"/>
      <c r="CD194" s="51"/>
      <c r="CE194" s="51"/>
      <c r="CF194" s="51"/>
      <c r="CG194" s="51"/>
      <c r="CH194" s="92"/>
      <c r="CI194" s="92"/>
      <c r="CJ194" s="51"/>
      <c r="CK194" s="51"/>
      <c r="CL194" s="51"/>
      <c r="CM194" s="51"/>
      <c r="CN194" s="92"/>
      <c r="CO194" s="51"/>
      <c r="CP194" s="51"/>
      <c r="CQ194" s="51"/>
      <c r="CR194" s="51"/>
      <c r="CS194" s="363"/>
      <c r="CT194" s="51"/>
      <c r="CU194" s="51"/>
      <c r="CV194" s="51"/>
      <c r="CW194" s="51"/>
      <c r="CX194" s="92"/>
      <c r="CY194" s="92"/>
      <c r="CZ194" s="51"/>
      <c r="DA194" s="51"/>
      <c r="DB194" s="51"/>
      <c r="DC194" s="51"/>
      <c r="DD194" s="92"/>
      <c r="DE194" s="51"/>
      <c r="DF194" s="51"/>
      <c r="DG194" s="51"/>
      <c r="DH194" s="51"/>
      <c r="DI194" s="114"/>
      <c r="DJ194" s="51"/>
      <c r="DK194" s="51"/>
      <c r="DL194" s="51"/>
      <c r="DM194" s="51"/>
      <c r="DN194" s="92"/>
      <c r="DO194" s="92"/>
      <c r="DP194" s="51"/>
      <c r="DQ194" s="51"/>
      <c r="DR194" s="51"/>
      <c r="DS194" s="92"/>
      <c r="DT194" s="51"/>
      <c r="DU194" s="51"/>
      <c r="DV194" s="51"/>
      <c r="DW194" s="70"/>
      <c r="DX194" s="362"/>
      <c r="DY194" s="92"/>
      <c r="DZ194" s="92"/>
    </row>
    <row r="195" spans="1:130">
      <c r="A195" s="92"/>
      <c r="B195" s="92"/>
      <c r="C195" s="92"/>
      <c r="D195" s="92"/>
      <c r="E195" s="92"/>
      <c r="F195" s="201"/>
      <c r="G195" s="205"/>
      <c r="H195" s="205"/>
      <c r="I195" s="201"/>
      <c r="J195" s="92"/>
      <c r="K195" s="92"/>
      <c r="L195" s="92"/>
      <c r="M195" s="92"/>
      <c r="N195" s="92"/>
      <c r="O195" s="92"/>
      <c r="P195" s="113"/>
      <c r="Q195" s="92"/>
      <c r="R195" s="92"/>
      <c r="S195" s="92"/>
      <c r="T195" s="293"/>
      <c r="U195" s="206"/>
      <c r="V195" s="206"/>
      <c r="W195" s="206"/>
      <c r="X195" s="293"/>
      <c r="Y195" s="92"/>
      <c r="Z195" s="92"/>
      <c r="AA195" s="92"/>
      <c r="AB195" s="92"/>
      <c r="AC195" s="92"/>
      <c r="AD195" s="92"/>
      <c r="AE195" s="92"/>
      <c r="AF195" s="113"/>
      <c r="AG195" s="92"/>
      <c r="AH195" s="92"/>
      <c r="AI195" s="92"/>
      <c r="AJ195" s="92"/>
      <c r="AK195" s="92"/>
      <c r="AL195" s="293"/>
      <c r="AM195" s="293"/>
      <c r="AN195" s="92"/>
      <c r="AO195" s="92"/>
      <c r="AP195" s="92"/>
      <c r="AQ195" s="92"/>
      <c r="AR195" s="92"/>
      <c r="AS195" s="92"/>
      <c r="AT195" s="92"/>
      <c r="AU195" s="92"/>
      <c r="AV195" s="113"/>
      <c r="AW195" s="92"/>
      <c r="AX195" s="92"/>
      <c r="AY195" s="92"/>
      <c r="AZ195" s="92"/>
      <c r="BA195" s="92"/>
      <c r="BB195" s="293"/>
      <c r="BC195" s="160"/>
      <c r="BD195" s="160"/>
      <c r="BE195" s="293"/>
      <c r="BF195" s="92"/>
      <c r="BG195" s="92"/>
      <c r="BH195" s="92"/>
      <c r="BI195" s="92"/>
      <c r="BJ195" s="92"/>
      <c r="BK195" s="92"/>
      <c r="BL195" s="92"/>
      <c r="BM195" s="112"/>
      <c r="BN195" s="92"/>
      <c r="BO195" s="92"/>
      <c r="BP195" s="92"/>
      <c r="BQ195" s="92"/>
      <c r="BR195" s="92"/>
      <c r="BS195" s="92"/>
      <c r="BT195" s="160"/>
      <c r="BU195" s="293"/>
      <c r="BV195" s="92"/>
      <c r="BW195" s="92"/>
      <c r="BX195" s="92"/>
      <c r="BY195" s="92"/>
      <c r="BZ195" s="92"/>
      <c r="CA195" s="92"/>
      <c r="CB195" s="92"/>
      <c r="CC195" s="112"/>
      <c r="CD195" s="92"/>
      <c r="CE195" s="92"/>
      <c r="CF195" s="92"/>
      <c r="CG195" s="92"/>
      <c r="CH195" s="92"/>
      <c r="CI195" s="92"/>
      <c r="CJ195" s="297"/>
      <c r="CK195" s="293"/>
      <c r="CL195" s="293"/>
      <c r="CM195" s="297"/>
      <c r="CN195" s="92"/>
      <c r="CO195" s="92"/>
      <c r="CP195" s="92"/>
      <c r="CQ195" s="92"/>
      <c r="CR195" s="92"/>
      <c r="CS195" s="112"/>
      <c r="CT195" s="92"/>
      <c r="CU195" s="92"/>
      <c r="CV195" s="92"/>
      <c r="CW195" s="92"/>
      <c r="CX195" s="92"/>
      <c r="CY195" s="92"/>
      <c r="CZ195" s="92"/>
      <c r="DA195" s="92"/>
      <c r="DB195" s="297"/>
      <c r="DC195" s="297"/>
      <c r="DD195" s="92"/>
      <c r="DE195" s="92"/>
      <c r="DF195" s="92"/>
      <c r="DG195" s="92"/>
      <c r="DH195" s="92"/>
      <c r="DI195" s="112"/>
      <c r="DJ195" s="92"/>
      <c r="DK195" s="92"/>
      <c r="DL195" s="92"/>
      <c r="DM195" s="92"/>
      <c r="DN195" s="92"/>
      <c r="DO195" s="92"/>
      <c r="DP195" s="293"/>
      <c r="DQ195" s="297"/>
      <c r="DR195" s="92"/>
      <c r="DS195" s="92"/>
      <c r="DT195" s="92"/>
      <c r="DU195" s="92"/>
      <c r="DV195" s="92"/>
      <c r="DW195" s="92"/>
      <c r="DX195" s="362"/>
      <c r="DY195" s="92"/>
      <c r="DZ195" s="92"/>
    </row>
    <row r="196" spans="1:130">
      <c r="A196" s="92"/>
      <c r="B196" s="92"/>
      <c r="C196" s="92"/>
      <c r="D196" s="92"/>
      <c r="E196" s="92"/>
      <c r="F196" s="205"/>
      <c r="G196" s="160"/>
      <c r="H196" s="160"/>
      <c r="I196" s="160"/>
      <c r="J196" s="92"/>
      <c r="K196" s="92"/>
      <c r="L196" s="92"/>
      <c r="M196" s="92"/>
      <c r="N196" s="92"/>
      <c r="O196" s="92"/>
      <c r="P196" s="113"/>
      <c r="Q196" s="92"/>
      <c r="R196" s="92"/>
      <c r="S196" s="293"/>
      <c r="T196" s="206"/>
      <c r="U196" s="206"/>
      <c r="V196" s="205"/>
      <c r="W196" s="160"/>
      <c r="X196" s="206"/>
      <c r="Y196" s="293"/>
      <c r="Z196" s="92"/>
      <c r="AA196" s="92"/>
      <c r="AB196" s="92"/>
      <c r="AC196" s="92"/>
      <c r="AD196" s="92"/>
      <c r="AE196" s="92"/>
      <c r="AF196" s="113"/>
      <c r="AG196" s="92"/>
      <c r="AH196" s="92"/>
      <c r="AI196" s="92"/>
      <c r="AJ196" s="293"/>
      <c r="AK196" s="292"/>
      <c r="AL196" s="292"/>
      <c r="AM196" s="205"/>
      <c r="AN196" s="292"/>
      <c r="AO196" s="293"/>
      <c r="AP196" s="92"/>
      <c r="AQ196" s="92"/>
      <c r="AR196" s="92"/>
      <c r="AS196" s="92"/>
      <c r="AT196" s="92"/>
      <c r="AU196" s="92"/>
      <c r="AV196" s="113"/>
      <c r="AW196" s="92"/>
      <c r="AX196" s="92"/>
      <c r="AY196" s="92"/>
      <c r="AZ196" s="92"/>
      <c r="BA196" s="293"/>
      <c r="BB196" s="205"/>
      <c r="BC196" s="160"/>
      <c r="BD196" s="206"/>
      <c r="BE196" s="160"/>
      <c r="BF196" s="293"/>
      <c r="BG196" s="92"/>
      <c r="BH196" s="92"/>
      <c r="BI196" s="92"/>
      <c r="BJ196" s="92"/>
      <c r="BK196" s="92"/>
      <c r="BL196" s="92"/>
      <c r="BM196" s="112"/>
      <c r="BN196" s="92"/>
      <c r="BO196" s="92"/>
      <c r="BP196" s="92"/>
      <c r="BQ196" s="92"/>
      <c r="BR196" s="92"/>
      <c r="BS196" s="293"/>
      <c r="BT196" s="205"/>
      <c r="BU196" s="206"/>
      <c r="BV196" s="293"/>
      <c r="BW196" s="92"/>
      <c r="BX196" s="92"/>
      <c r="BY196" s="92"/>
      <c r="BZ196" s="92"/>
      <c r="CA196" s="92"/>
      <c r="CB196" s="92"/>
      <c r="CC196" s="112"/>
      <c r="CD196" s="92"/>
      <c r="CE196" s="92"/>
      <c r="CF196" s="92"/>
      <c r="CG196" s="92"/>
      <c r="CH196" s="92"/>
      <c r="CI196" s="297"/>
      <c r="CJ196" s="293"/>
      <c r="CK196" s="161"/>
      <c r="CL196" s="292"/>
      <c r="CM196" s="292"/>
      <c r="CN196" s="293"/>
      <c r="CO196" s="92"/>
      <c r="CP196" s="92"/>
      <c r="CQ196" s="92"/>
      <c r="CR196" s="92"/>
      <c r="CS196" s="112"/>
      <c r="CT196" s="92"/>
      <c r="CU196" s="92"/>
      <c r="CV196" s="92"/>
      <c r="CW196" s="92"/>
      <c r="CX196" s="92"/>
      <c r="CY196" s="92"/>
      <c r="CZ196" s="297"/>
      <c r="DA196" s="293"/>
      <c r="DB196" s="292"/>
      <c r="DC196" s="160"/>
      <c r="DD196" s="161"/>
      <c r="DE196" s="297"/>
      <c r="DF196" s="92"/>
      <c r="DG196" s="92"/>
      <c r="DH196" s="92"/>
      <c r="DI196" s="112"/>
      <c r="DJ196" s="92"/>
      <c r="DK196" s="92"/>
      <c r="DL196" s="92"/>
      <c r="DM196" s="92"/>
      <c r="DN196" s="92"/>
      <c r="DO196" s="293"/>
      <c r="DP196" s="206"/>
      <c r="DQ196" s="206"/>
      <c r="DR196" s="293"/>
      <c r="DS196" s="297"/>
      <c r="DT196" s="92"/>
      <c r="DU196" s="92"/>
      <c r="DV196" s="92"/>
      <c r="DW196" s="92"/>
      <c r="DX196" s="362"/>
      <c r="DY196" s="92"/>
      <c r="DZ196" s="92"/>
    </row>
    <row r="197" spans="1:130">
      <c r="A197" s="92"/>
      <c r="B197" s="92"/>
      <c r="C197" s="92"/>
      <c r="D197" s="92"/>
      <c r="E197" s="293"/>
      <c r="F197" s="160"/>
      <c r="G197" s="160"/>
      <c r="H197" s="160"/>
      <c r="I197" s="160"/>
      <c r="J197" s="161"/>
      <c r="K197" s="92"/>
      <c r="L197" s="92"/>
      <c r="M197" s="92"/>
      <c r="N197" s="92"/>
      <c r="O197" s="92"/>
      <c r="P197" s="113"/>
      <c r="Q197" s="92"/>
      <c r="R197" s="293"/>
      <c r="S197" s="160"/>
      <c r="T197" s="160"/>
      <c r="U197" s="160"/>
      <c r="V197" s="160"/>
      <c r="W197" s="160"/>
      <c r="X197" s="160"/>
      <c r="Y197" s="293"/>
      <c r="Z197" s="92"/>
      <c r="AA197" s="92"/>
      <c r="AB197" s="92"/>
      <c r="AC197" s="92"/>
      <c r="AD197" s="92"/>
      <c r="AE197" s="92"/>
      <c r="AF197" s="113"/>
      <c r="AG197" s="92"/>
      <c r="AH197" s="92"/>
      <c r="AI197" s="293"/>
      <c r="AJ197" s="161"/>
      <c r="AK197" s="205"/>
      <c r="AL197" s="205"/>
      <c r="AM197" s="160"/>
      <c r="AN197" s="160"/>
      <c r="AO197" s="160"/>
      <c r="AP197" s="92"/>
      <c r="AQ197" s="92"/>
      <c r="AR197" s="92"/>
      <c r="AS197" s="92"/>
      <c r="AT197" s="92"/>
      <c r="AU197" s="92"/>
      <c r="AV197" s="113"/>
      <c r="AW197" s="92"/>
      <c r="AX197" s="92"/>
      <c r="AY197" s="92"/>
      <c r="AZ197" s="293"/>
      <c r="BA197" s="160"/>
      <c r="BB197" s="205"/>
      <c r="BC197" s="205"/>
      <c r="BD197" s="205"/>
      <c r="BE197" s="205"/>
      <c r="BF197" s="160"/>
      <c r="BG197" s="92"/>
      <c r="BH197" s="92"/>
      <c r="BI197" s="92"/>
      <c r="BJ197" s="92"/>
      <c r="BK197" s="92"/>
      <c r="BL197" s="92"/>
      <c r="BM197" s="112"/>
      <c r="BN197" s="92"/>
      <c r="BO197" s="92"/>
      <c r="BP197" s="92"/>
      <c r="BQ197" s="92"/>
      <c r="BR197" s="92"/>
      <c r="BS197" s="293"/>
      <c r="BT197" s="206"/>
      <c r="BU197" s="160"/>
      <c r="BV197" s="160"/>
      <c r="BW197" s="293"/>
      <c r="BX197" s="92"/>
      <c r="BY197" s="92"/>
      <c r="BZ197" s="92"/>
      <c r="CA197" s="92"/>
      <c r="CB197" s="92"/>
      <c r="CC197" s="112"/>
      <c r="CD197" s="92"/>
      <c r="CE197" s="92"/>
      <c r="CF197" s="92"/>
      <c r="CG197" s="92"/>
      <c r="CH197" s="92"/>
      <c r="CI197" s="293"/>
      <c r="CJ197" s="206"/>
      <c r="CK197" s="205"/>
      <c r="CL197" s="205"/>
      <c r="CM197" s="292"/>
      <c r="CN197" s="161"/>
      <c r="CO197" s="297"/>
      <c r="CP197" s="92"/>
      <c r="CQ197" s="92"/>
      <c r="CR197" s="92"/>
      <c r="CS197" s="112"/>
      <c r="CT197" s="92"/>
      <c r="CU197" s="92"/>
      <c r="CV197" s="92"/>
      <c r="CW197" s="92"/>
      <c r="CX197" s="92"/>
      <c r="CY197" s="297"/>
      <c r="CZ197" s="292"/>
      <c r="DA197" s="205"/>
      <c r="DB197" s="206"/>
      <c r="DC197" s="205"/>
      <c r="DD197" s="160"/>
      <c r="DE197" s="292"/>
      <c r="DF197" s="297"/>
      <c r="DG197" s="92"/>
      <c r="DH197" s="92"/>
      <c r="DI197" s="112"/>
      <c r="DJ197" s="92"/>
      <c r="DK197" s="92"/>
      <c r="DL197" s="92"/>
      <c r="DM197" s="92"/>
      <c r="DN197" s="297"/>
      <c r="DO197" s="205"/>
      <c r="DP197" s="205"/>
      <c r="DQ197" s="205"/>
      <c r="DR197" s="205"/>
      <c r="DS197" s="160"/>
      <c r="DT197" s="293"/>
      <c r="DU197" s="92"/>
      <c r="DV197" s="92"/>
      <c r="DW197" s="92"/>
      <c r="DX197" s="362"/>
      <c r="DY197" s="92"/>
      <c r="DZ197" s="92"/>
    </row>
    <row r="198" spans="1:130">
      <c r="A198" s="92"/>
      <c r="B198" s="92"/>
      <c r="C198" s="92"/>
      <c r="D198" s="92"/>
      <c r="E198" s="201"/>
      <c r="F198" s="160"/>
      <c r="G198" s="160"/>
      <c r="H198" s="160"/>
      <c r="I198" s="160"/>
      <c r="J198" s="160"/>
      <c r="K198" s="92"/>
      <c r="L198" s="92"/>
      <c r="M198" s="92"/>
      <c r="N198" s="92"/>
      <c r="O198" s="92"/>
      <c r="P198" s="113"/>
      <c r="Q198" s="92"/>
      <c r="R198" s="206"/>
      <c r="S198" s="160"/>
      <c r="T198" s="292"/>
      <c r="U198" s="12"/>
      <c r="V198" s="160"/>
      <c r="W198" s="160"/>
      <c r="X198" s="160"/>
      <c r="Y198" s="201"/>
      <c r="Z198" s="301"/>
      <c r="AA198" s="92"/>
      <c r="AB198" s="92"/>
      <c r="AC198" s="92"/>
      <c r="AD198" s="92"/>
      <c r="AE198" s="92"/>
      <c r="AF198" s="113"/>
      <c r="AG198" s="92"/>
      <c r="AH198" s="293"/>
      <c r="AI198" s="205"/>
      <c r="AJ198" s="160"/>
      <c r="AK198" s="160"/>
      <c r="AL198" s="160"/>
      <c r="AM198" s="160"/>
      <c r="AN198" s="294"/>
      <c r="AO198" s="199"/>
      <c r="AP198" s="297"/>
      <c r="AQ198" s="301"/>
      <c r="AR198" s="92"/>
      <c r="AS198" s="92"/>
      <c r="AT198" s="92"/>
      <c r="AU198" s="92"/>
      <c r="AV198" s="113"/>
      <c r="AW198" s="92"/>
      <c r="AX198" s="92"/>
      <c r="AY198" s="293"/>
      <c r="AZ198" s="205"/>
      <c r="BA198" s="205"/>
      <c r="BB198" s="205"/>
      <c r="BC198" s="297"/>
      <c r="BD198" s="301"/>
      <c r="BE198" s="297"/>
      <c r="BF198" s="160"/>
      <c r="BG198" s="293"/>
      <c r="BH198" s="92"/>
      <c r="BI198" s="92"/>
      <c r="BJ198" s="92"/>
      <c r="BK198" s="92"/>
      <c r="BL198" s="92"/>
      <c r="BM198" s="112"/>
      <c r="BN198" s="92"/>
      <c r="BO198" s="92"/>
      <c r="BP198" s="92"/>
      <c r="BQ198" s="92"/>
      <c r="BR198" s="301"/>
      <c r="BS198" s="301"/>
      <c r="BT198" s="199"/>
      <c r="BU198" s="160"/>
      <c r="BV198" s="160"/>
      <c r="BW198" s="293"/>
      <c r="BX198" s="92"/>
      <c r="BY198" s="92"/>
      <c r="BZ198" s="92"/>
      <c r="CA198" s="92"/>
      <c r="CB198" s="92"/>
      <c r="CC198" s="112"/>
      <c r="CD198" s="92"/>
      <c r="CE198" s="92"/>
      <c r="CF198" s="92"/>
      <c r="CG198" s="92"/>
      <c r="CH198" s="297"/>
      <c r="CI198" s="293"/>
      <c r="CJ198" s="205"/>
      <c r="CK198" s="291"/>
      <c r="CL198" s="205"/>
      <c r="CM198" s="205"/>
      <c r="CN198" s="292"/>
      <c r="CO198" s="293"/>
      <c r="CP198" s="92"/>
      <c r="CQ198" s="92"/>
      <c r="CR198" s="92"/>
      <c r="CS198" s="112"/>
      <c r="CT198" s="92"/>
      <c r="CU198" s="92"/>
      <c r="CV198" s="92"/>
      <c r="CW198" s="92"/>
      <c r="CX198" s="297"/>
      <c r="CY198" s="293"/>
      <c r="CZ198" s="161"/>
      <c r="DA198" s="161"/>
      <c r="DB198" s="161"/>
      <c r="DC198" s="206"/>
      <c r="DD198" s="205"/>
      <c r="DE198" s="160"/>
      <c r="DF198" s="293"/>
      <c r="DG198" s="92"/>
      <c r="DH198" s="92"/>
      <c r="DI198" s="112"/>
      <c r="DJ198" s="92"/>
      <c r="DK198" s="92"/>
      <c r="DL198" s="92"/>
      <c r="DM198" s="92"/>
      <c r="DN198" s="205"/>
      <c r="DO198" s="205"/>
      <c r="DP198" s="206"/>
      <c r="DQ198" s="205"/>
      <c r="DR198" s="160"/>
      <c r="DS198" s="160"/>
      <c r="DT198" s="160"/>
      <c r="DU198" s="297"/>
      <c r="DV198" s="92"/>
      <c r="DW198" s="92"/>
      <c r="DX198" s="362"/>
      <c r="DY198" s="92"/>
      <c r="DZ198" s="92"/>
    </row>
    <row r="199" spans="1:130">
      <c r="A199" s="92"/>
      <c r="B199" s="92"/>
      <c r="C199" s="92"/>
      <c r="D199" s="92"/>
      <c r="E199" s="206"/>
      <c r="F199" s="160"/>
      <c r="G199" s="205"/>
      <c r="H199" s="12"/>
      <c r="I199" s="160"/>
      <c r="J199" s="160"/>
      <c r="K199" s="297"/>
      <c r="L199" s="92"/>
      <c r="M199" s="92"/>
      <c r="N199" s="92"/>
      <c r="O199" s="92"/>
      <c r="P199" s="113"/>
      <c r="Q199" s="92"/>
      <c r="R199" s="293"/>
      <c r="S199" s="206"/>
      <c r="T199" s="292"/>
      <c r="U199" s="292"/>
      <c r="V199" s="160"/>
      <c r="W199" s="160"/>
      <c r="X199" s="293"/>
      <c r="Y199" s="297"/>
      <c r="Z199" s="301"/>
      <c r="AA199" s="301"/>
      <c r="AB199" s="92"/>
      <c r="AC199" s="92"/>
      <c r="AD199" s="92"/>
      <c r="AE199" s="92"/>
      <c r="AF199" s="113"/>
      <c r="AG199" s="92"/>
      <c r="AH199" s="293"/>
      <c r="AI199" s="291"/>
      <c r="AJ199" s="160"/>
      <c r="AK199" s="160"/>
      <c r="AL199" s="160"/>
      <c r="AM199" s="293"/>
      <c r="AN199" s="301"/>
      <c r="AO199" s="301"/>
      <c r="AP199" s="301"/>
      <c r="AQ199" s="301"/>
      <c r="AR199" s="92"/>
      <c r="AS199" s="92"/>
      <c r="AT199" s="92"/>
      <c r="AU199" s="92"/>
      <c r="AV199" s="113"/>
      <c r="AW199" s="92"/>
      <c r="AX199" s="92"/>
      <c r="AY199" s="293"/>
      <c r="AZ199" s="160"/>
      <c r="BA199" s="297"/>
      <c r="BB199" s="301"/>
      <c r="BC199" s="189"/>
      <c r="BD199" s="189"/>
      <c r="BE199" s="301"/>
      <c r="BF199" s="297"/>
      <c r="BG199" s="160"/>
      <c r="BH199" s="92"/>
      <c r="BI199" s="92"/>
      <c r="BJ199" s="92"/>
      <c r="BK199" s="92"/>
      <c r="BL199" s="92"/>
      <c r="BM199" s="112"/>
      <c r="BN199" s="92"/>
      <c r="BO199" s="92"/>
      <c r="BP199" s="92"/>
      <c r="BQ199" s="92"/>
      <c r="BR199" s="189"/>
      <c r="BS199" s="297"/>
      <c r="BT199" s="301"/>
      <c r="BU199" s="199"/>
      <c r="BV199" s="201"/>
      <c r="BW199" s="205"/>
      <c r="BX199" s="293"/>
      <c r="BY199" s="92"/>
      <c r="BZ199" s="92"/>
      <c r="CA199" s="92"/>
      <c r="CB199" s="92"/>
      <c r="CC199" s="112"/>
      <c r="CD199" s="92"/>
      <c r="CE199" s="92"/>
      <c r="CF199" s="92"/>
      <c r="CG199" s="92"/>
      <c r="CH199" s="293"/>
      <c r="CI199" s="301"/>
      <c r="CJ199" s="297"/>
      <c r="CK199" s="301"/>
      <c r="CL199" s="293"/>
      <c r="CM199" s="292"/>
      <c r="CN199" s="205"/>
      <c r="CO199" s="292"/>
      <c r="CP199" s="92"/>
      <c r="CQ199" s="92"/>
      <c r="CR199" s="92"/>
      <c r="CS199" s="112"/>
      <c r="CT199" s="92"/>
      <c r="CU199" s="92"/>
      <c r="CV199" s="92"/>
      <c r="CW199" s="92"/>
      <c r="CX199" s="293"/>
      <c r="CY199" s="161"/>
      <c r="CZ199" s="206"/>
      <c r="DA199" s="292"/>
      <c r="DB199" s="206"/>
      <c r="DC199" s="206"/>
      <c r="DD199" s="205"/>
      <c r="DE199" s="160"/>
      <c r="DF199" s="206"/>
      <c r="DG199" s="92"/>
      <c r="DH199" s="92"/>
      <c r="DI199" s="112"/>
      <c r="DJ199" s="92"/>
      <c r="DK199" s="92"/>
      <c r="DL199" s="92"/>
      <c r="DM199" s="297"/>
      <c r="DN199" s="206"/>
      <c r="DO199" s="206"/>
      <c r="DP199" s="206"/>
      <c r="DQ199" s="205"/>
      <c r="DR199" s="205"/>
      <c r="DS199" s="160"/>
      <c r="DT199" s="160"/>
      <c r="DU199" s="293"/>
      <c r="DV199" s="92"/>
      <c r="DW199" s="92"/>
      <c r="DX199" s="362"/>
      <c r="DY199" s="92"/>
      <c r="DZ199" s="92"/>
    </row>
    <row r="200" spans="1:130">
      <c r="A200" s="92"/>
      <c r="B200" s="92"/>
      <c r="C200" s="92"/>
      <c r="D200" s="92"/>
      <c r="E200" s="160"/>
      <c r="F200" s="160"/>
      <c r="G200" s="292"/>
      <c r="H200" s="292"/>
      <c r="I200" s="160"/>
      <c r="J200" s="205"/>
      <c r="K200" s="297"/>
      <c r="L200" s="92"/>
      <c r="M200" s="92"/>
      <c r="N200" s="92"/>
      <c r="O200" s="92"/>
      <c r="P200" s="113"/>
      <c r="Q200" s="92"/>
      <c r="R200" s="92"/>
      <c r="S200" s="206"/>
      <c r="T200" s="160"/>
      <c r="U200" s="292"/>
      <c r="V200" s="160"/>
      <c r="W200" s="206"/>
      <c r="X200" s="297"/>
      <c r="Y200" s="301"/>
      <c r="Z200" s="189"/>
      <c r="AA200" s="301"/>
      <c r="AB200" s="92"/>
      <c r="AC200" s="92"/>
      <c r="AD200" s="92"/>
      <c r="AE200" s="92"/>
      <c r="AF200" s="113"/>
      <c r="AG200" s="92"/>
      <c r="AH200" s="92"/>
      <c r="AI200" s="161"/>
      <c r="AJ200" s="160"/>
      <c r="AK200" s="160"/>
      <c r="AL200" s="293"/>
      <c r="AM200" s="297"/>
      <c r="AN200" s="301"/>
      <c r="AO200" s="189"/>
      <c r="AP200" s="189"/>
      <c r="AQ200" s="301"/>
      <c r="AR200" s="92"/>
      <c r="AS200" s="92"/>
      <c r="AT200" s="92"/>
      <c r="AU200" s="92"/>
      <c r="AV200" s="113"/>
      <c r="AW200" s="92"/>
      <c r="AX200" s="92"/>
      <c r="AY200" s="160"/>
      <c r="AZ200" s="160"/>
      <c r="BA200" s="297"/>
      <c r="BB200" s="189"/>
      <c r="BC200" s="189"/>
      <c r="BD200" s="301"/>
      <c r="BE200" s="301"/>
      <c r="BF200" s="301"/>
      <c r="BG200" s="160"/>
      <c r="BH200" s="92"/>
      <c r="BI200" s="92"/>
      <c r="BJ200" s="92"/>
      <c r="BK200" s="92"/>
      <c r="BL200" s="92"/>
      <c r="BM200" s="112"/>
      <c r="BN200" s="92"/>
      <c r="BO200" s="92"/>
      <c r="BP200" s="92"/>
      <c r="BQ200" s="301"/>
      <c r="BR200" s="301"/>
      <c r="BS200" s="297"/>
      <c r="BT200" s="301"/>
      <c r="BU200" s="301"/>
      <c r="BV200" s="301"/>
      <c r="BW200" s="293"/>
      <c r="BX200" s="206"/>
      <c r="BY200" s="92"/>
      <c r="BZ200" s="92"/>
      <c r="CA200" s="92"/>
      <c r="CB200" s="92"/>
      <c r="CC200" s="112"/>
      <c r="CD200" s="92"/>
      <c r="CE200" s="92"/>
      <c r="CF200" s="92"/>
      <c r="CG200" s="92"/>
      <c r="CH200" s="301"/>
      <c r="CI200" s="301"/>
      <c r="CJ200" s="301"/>
      <c r="CK200" s="301"/>
      <c r="CL200" s="301"/>
      <c r="CM200" s="301"/>
      <c r="CN200" s="301"/>
      <c r="CO200" s="297"/>
      <c r="CP200" s="92"/>
      <c r="CQ200" s="92"/>
      <c r="CR200" s="92"/>
      <c r="CS200" s="112"/>
      <c r="CT200" s="92"/>
      <c r="CU200" s="92"/>
      <c r="CV200" s="92"/>
      <c r="CW200" s="92"/>
      <c r="CX200" s="293"/>
      <c r="CY200" s="293"/>
      <c r="CZ200" s="297"/>
      <c r="DA200" s="297"/>
      <c r="DB200" s="160"/>
      <c r="DC200" s="205"/>
      <c r="DD200" s="205"/>
      <c r="DE200" s="160"/>
      <c r="DF200" s="293"/>
      <c r="DG200" s="92"/>
      <c r="DH200" s="92"/>
      <c r="DI200" s="112"/>
      <c r="DJ200" s="92"/>
      <c r="DK200" s="92"/>
      <c r="DL200" s="92"/>
      <c r="DM200" s="297"/>
      <c r="DN200" s="206"/>
      <c r="DO200" s="206"/>
      <c r="DP200" s="205"/>
      <c r="DQ200" s="205"/>
      <c r="DR200" s="160"/>
      <c r="DS200" s="160"/>
      <c r="DT200" s="160"/>
      <c r="DU200" s="293"/>
      <c r="DV200" s="92"/>
      <c r="DW200" s="92"/>
      <c r="DX200" s="362"/>
      <c r="DY200" s="92"/>
      <c r="DZ200" s="92"/>
    </row>
    <row r="201" spans="1:130">
      <c r="A201" s="92"/>
      <c r="B201" s="92"/>
      <c r="C201" s="92"/>
      <c r="D201" s="293"/>
      <c r="E201" s="160"/>
      <c r="F201" s="160"/>
      <c r="G201" s="201"/>
      <c r="H201" s="206"/>
      <c r="I201" s="160"/>
      <c r="J201" s="160"/>
      <c r="K201" s="301"/>
      <c r="L201" s="92"/>
      <c r="M201" s="92"/>
      <c r="N201" s="92"/>
      <c r="O201" s="92"/>
      <c r="P201" s="113"/>
      <c r="Q201" s="92"/>
      <c r="R201" s="92"/>
      <c r="S201" s="293"/>
      <c r="T201" s="205"/>
      <c r="U201" s="160"/>
      <c r="V201" s="160"/>
      <c r="W201" s="201"/>
      <c r="X201" s="297"/>
      <c r="Y201" s="297"/>
      <c r="Z201" s="301"/>
      <c r="AA201" s="189"/>
      <c r="AB201" s="301"/>
      <c r="AC201" s="92"/>
      <c r="AD201" s="92"/>
      <c r="AE201" s="92"/>
      <c r="AF201" s="113"/>
      <c r="AG201" s="92"/>
      <c r="AH201" s="92"/>
      <c r="AI201" s="293"/>
      <c r="AJ201" s="160"/>
      <c r="AK201" s="160"/>
      <c r="AL201" s="199"/>
      <c r="AM201" s="297"/>
      <c r="AN201" s="301"/>
      <c r="AO201" s="301"/>
      <c r="AP201" s="301"/>
      <c r="AQ201" s="189"/>
      <c r="AR201" s="92"/>
      <c r="AS201" s="92"/>
      <c r="AT201" s="92"/>
      <c r="AU201" s="92"/>
      <c r="AV201" s="113"/>
      <c r="AW201" s="92"/>
      <c r="AX201" s="92"/>
      <c r="AY201" s="92"/>
      <c r="AZ201" s="160"/>
      <c r="BA201" s="293"/>
      <c r="BB201" s="189"/>
      <c r="BC201" s="189"/>
      <c r="BD201" s="301"/>
      <c r="BE201" s="301"/>
      <c r="BF201" s="301"/>
      <c r="BG201" s="297"/>
      <c r="BH201" s="301"/>
      <c r="BI201" s="92"/>
      <c r="BJ201" s="92"/>
      <c r="BK201" s="92"/>
      <c r="BL201" s="92"/>
      <c r="BM201" s="112"/>
      <c r="BN201" s="92"/>
      <c r="BO201" s="92"/>
      <c r="BP201" s="301"/>
      <c r="BQ201" s="297"/>
      <c r="BR201" s="297"/>
      <c r="BS201" s="301"/>
      <c r="BT201" s="301"/>
      <c r="BU201" s="301"/>
      <c r="BV201" s="301"/>
      <c r="BW201" s="301"/>
      <c r="BX201" s="297"/>
      <c r="BY201" s="297"/>
      <c r="BZ201" s="92"/>
      <c r="CA201" s="92"/>
      <c r="CB201" s="92"/>
      <c r="CC201" s="112"/>
      <c r="CD201" s="92"/>
      <c r="CE201" s="92"/>
      <c r="CF201" s="92"/>
      <c r="CG201" s="301"/>
      <c r="CH201" s="301"/>
      <c r="CI201" s="301"/>
      <c r="CJ201" s="301"/>
      <c r="CK201" s="301"/>
      <c r="CL201" s="189"/>
      <c r="CM201" s="301"/>
      <c r="CN201" s="301"/>
      <c r="CO201" s="301"/>
      <c r="CP201" s="92"/>
      <c r="CQ201" s="92"/>
      <c r="CR201" s="92"/>
      <c r="CS201" s="112"/>
      <c r="CT201" s="92"/>
      <c r="CU201" s="92"/>
      <c r="CV201" s="92"/>
      <c r="CW201" s="92"/>
      <c r="CX201" s="189"/>
      <c r="CY201" s="301"/>
      <c r="CZ201" s="301"/>
      <c r="DA201" s="297"/>
      <c r="DB201" s="205"/>
      <c r="DC201" s="160"/>
      <c r="DD201" s="160"/>
      <c r="DE201" s="205"/>
      <c r="DF201" s="297"/>
      <c r="DG201" s="92"/>
      <c r="DH201" s="92"/>
      <c r="DI201" s="112"/>
      <c r="DJ201" s="92"/>
      <c r="DK201" s="92"/>
      <c r="DL201" s="92"/>
      <c r="DM201" s="293"/>
      <c r="DN201" s="206"/>
      <c r="DO201" s="205"/>
      <c r="DP201" s="205"/>
      <c r="DQ201" s="160"/>
      <c r="DR201" s="160"/>
      <c r="DS201" s="160"/>
      <c r="DT201" s="160"/>
      <c r="DU201" s="297"/>
      <c r="DV201" s="92"/>
      <c r="DW201" s="92"/>
      <c r="DX201" s="362"/>
      <c r="DY201" s="92"/>
      <c r="DZ201" s="92"/>
    </row>
    <row r="202" spans="1:130">
      <c r="A202" s="92"/>
      <c r="B202" s="92"/>
      <c r="C202" s="92"/>
      <c r="D202" s="297"/>
      <c r="E202" s="160"/>
      <c r="F202" s="160"/>
      <c r="G202" s="205"/>
      <c r="H202" s="206"/>
      <c r="I202" s="160"/>
      <c r="J202" s="293"/>
      <c r="K202" s="301"/>
      <c r="L202" s="297"/>
      <c r="M202" s="92"/>
      <c r="N202" s="92"/>
      <c r="O202" s="92"/>
      <c r="P202" s="113"/>
      <c r="Q202" s="92"/>
      <c r="R202" s="92"/>
      <c r="S202" s="92"/>
      <c r="T202" s="293"/>
      <c r="U202" s="160"/>
      <c r="V202" s="160"/>
      <c r="W202" s="293"/>
      <c r="X202" s="297"/>
      <c r="Y202" s="297"/>
      <c r="Z202" s="301"/>
      <c r="AA202" s="297"/>
      <c r="AB202" s="189"/>
      <c r="AC202" s="301"/>
      <c r="AD202" s="92"/>
      <c r="AE202" s="92"/>
      <c r="AF202" s="113"/>
      <c r="AG202" s="92"/>
      <c r="AH202" s="92"/>
      <c r="AI202" s="92"/>
      <c r="AJ202" s="293"/>
      <c r="AK202" s="160"/>
      <c r="AL202" s="293"/>
      <c r="AM202" s="297"/>
      <c r="AN202" s="301"/>
      <c r="AO202" s="301"/>
      <c r="AP202" s="301"/>
      <c r="AQ202" s="189"/>
      <c r="AR202" s="301"/>
      <c r="AS202" s="92"/>
      <c r="AT202" s="92"/>
      <c r="AU202" s="92"/>
      <c r="AV202" s="113"/>
      <c r="AW202" s="92"/>
      <c r="AX202" s="92"/>
      <c r="AY202" s="92"/>
      <c r="AZ202" s="293"/>
      <c r="BA202" s="291"/>
      <c r="BB202" s="189"/>
      <c r="BC202" s="301"/>
      <c r="BD202" s="297"/>
      <c r="BE202" s="301"/>
      <c r="BF202" s="301"/>
      <c r="BG202" s="301"/>
      <c r="BH202" s="297"/>
      <c r="BI202" s="92"/>
      <c r="BJ202" s="92"/>
      <c r="BK202" s="92"/>
      <c r="BL202" s="92"/>
      <c r="BM202" s="112"/>
      <c r="BN202" s="92"/>
      <c r="BO202" s="92"/>
      <c r="BP202" s="301"/>
      <c r="BQ202" s="297"/>
      <c r="BR202" s="297"/>
      <c r="BS202" s="301"/>
      <c r="BT202" s="301"/>
      <c r="BU202" s="301"/>
      <c r="BV202" s="297"/>
      <c r="BW202" s="301"/>
      <c r="BX202" s="189"/>
      <c r="BY202" s="297"/>
      <c r="BZ202" s="92"/>
      <c r="CA202" s="92"/>
      <c r="CB202" s="92"/>
      <c r="CC202" s="112"/>
      <c r="CD202" s="92"/>
      <c r="CE202" s="92"/>
      <c r="CF202" s="301"/>
      <c r="CG202" s="301"/>
      <c r="CH202" s="301"/>
      <c r="CI202" s="301"/>
      <c r="CJ202" s="301"/>
      <c r="CK202" s="301"/>
      <c r="CL202" s="189"/>
      <c r="CM202" s="301"/>
      <c r="CN202" s="301"/>
      <c r="CO202" s="297"/>
      <c r="CP202" s="92"/>
      <c r="CQ202" s="92"/>
      <c r="CR202" s="92"/>
      <c r="CS202" s="112"/>
      <c r="CT202" s="92"/>
      <c r="CU202" s="92"/>
      <c r="CV202" s="92"/>
      <c r="CW202" s="301"/>
      <c r="CX202" s="189"/>
      <c r="CY202" s="301"/>
      <c r="CZ202" s="301"/>
      <c r="DA202" s="297"/>
      <c r="DB202" s="160"/>
      <c r="DC202" s="160"/>
      <c r="DD202" s="160"/>
      <c r="DE202" s="297"/>
      <c r="DF202" s="92"/>
      <c r="DG202" s="92"/>
      <c r="DH202" s="92"/>
      <c r="DI202" s="112"/>
      <c r="DJ202" s="92"/>
      <c r="DK202" s="92"/>
      <c r="DL202" s="301"/>
      <c r="DM202" s="297"/>
      <c r="DN202" s="297"/>
      <c r="DO202" s="205"/>
      <c r="DP202" s="160"/>
      <c r="DQ202" s="160"/>
      <c r="DR202" s="160"/>
      <c r="DS202" s="160"/>
      <c r="DT202" s="205"/>
      <c r="DU202" s="92"/>
      <c r="DV202" s="92"/>
      <c r="DW202" s="92"/>
      <c r="DX202" s="362"/>
      <c r="DY202" s="92"/>
      <c r="DZ202" s="92"/>
    </row>
    <row r="203" spans="1:130">
      <c r="A203" s="92"/>
      <c r="B203" s="92"/>
      <c r="C203" s="92"/>
      <c r="D203" s="297"/>
      <c r="E203" s="205"/>
      <c r="F203" s="160"/>
      <c r="G203" s="206"/>
      <c r="H203" s="205"/>
      <c r="I203" s="201"/>
      <c r="J203" s="297"/>
      <c r="K203" s="301"/>
      <c r="L203" s="301"/>
      <c r="M203" s="297"/>
      <c r="N203" s="92"/>
      <c r="O203" s="92"/>
      <c r="P203" s="113"/>
      <c r="Q203" s="92"/>
      <c r="R203" s="92"/>
      <c r="S203" s="92"/>
      <c r="T203" s="301"/>
      <c r="U203" s="160"/>
      <c r="V203" s="205"/>
      <c r="W203" s="199"/>
      <c r="X203" s="297"/>
      <c r="Y203" s="297"/>
      <c r="Z203" s="297"/>
      <c r="AA203" s="297"/>
      <c r="AB203" s="301"/>
      <c r="AC203" s="301"/>
      <c r="AD203" s="92"/>
      <c r="AE203" s="92"/>
      <c r="AF203" s="113"/>
      <c r="AG203" s="92"/>
      <c r="AH203" s="92"/>
      <c r="AI203" s="92"/>
      <c r="AJ203" s="293"/>
      <c r="AK203" s="160"/>
      <c r="AL203" s="201"/>
      <c r="AM203" s="301"/>
      <c r="AN203" s="301"/>
      <c r="AO203" s="297"/>
      <c r="AP203" s="301"/>
      <c r="AQ203" s="301"/>
      <c r="AR203" s="301"/>
      <c r="AS203" s="92"/>
      <c r="AT203" s="92"/>
      <c r="AU203" s="92"/>
      <c r="AV203" s="113"/>
      <c r="AW203" s="92"/>
      <c r="AX203" s="92"/>
      <c r="AY203" s="92"/>
      <c r="AZ203" s="189"/>
      <c r="BA203" s="297"/>
      <c r="BB203" s="189"/>
      <c r="BC203" s="301"/>
      <c r="BD203" s="301"/>
      <c r="BE203" s="297"/>
      <c r="BF203" s="301"/>
      <c r="BG203" s="301"/>
      <c r="BH203" s="301"/>
      <c r="BI203" s="92"/>
      <c r="BJ203" s="92"/>
      <c r="BK203" s="92"/>
      <c r="BL203" s="92"/>
      <c r="BM203" s="112"/>
      <c r="BN203" s="92"/>
      <c r="BO203" s="92"/>
      <c r="BP203" s="297"/>
      <c r="BQ203" s="297"/>
      <c r="BR203" s="297"/>
      <c r="BS203" s="301"/>
      <c r="BT203" s="301"/>
      <c r="BU203" s="297"/>
      <c r="BV203" s="297"/>
      <c r="BW203" s="301"/>
      <c r="BX203" s="189"/>
      <c r="BY203" s="301"/>
      <c r="BZ203" s="92"/>
      <c r="CA203" s="92"/>
      <c r="CB203" s="92"/>
      <c r="CC203" s="112"/>
      <c r="CD203" s="92"/>
      <c r="CE203" s="92"/>
      <c r="CF203" s="189"/>
      <c r="CG203" s="301"/>
      <c r="CH203" s="301"/>
      <c r="CI203" s="301"/>
      <c r="CJ203" s="301"/>
      <c r="CK203" s="301"/>
      <c r="CL203" s="189"/>
      <c r="CM203" s="301"/>
      <c r="CN203" s="301"/>
      <c r="CO203" s="92"/>
      <c r="CP203" s="92"/>
      <c r="CQ203" s="92"/>
      <c r="CR203" s="92"/>
      <c r="CS203" s="112"/>
      <c r="CT203" s="92"/>
      <c r="CU203" s="92"/>
      <c r="CV203" s="92"/>
      <c r="CW203" s="301"/>
      <c r="CX203" s="189"/>
      <c r="CY203" s="301"/>
      <c r="CZ203" s="297"/>
      <c r="DA203" s="161"/>
      <c r="DB203" s="205"/>
      <c r="DC203" s="160"/>
      <c r="DD203" s="160"/>
      <c r="DE203" s="301"/>
      <c r="DF203" s="92"/>
      <c r="DG203" s="92"/>
      <c r="DH203" s="92"/>
      <c r="DI203" s="112"/>
      <c r="DJ203" s="92"/>
      <c r="DK203" s="301"/>
      <c r="DL203" s="301"/>
      <c r="DM203" s="301"/>
      <c r="DN203" s="297"/>
      <c r="DO203" s="205"/>
      <c r="DP203" s="160"/>
      <c r="DQ203" s="160"/>
      <c r="DR203" s="205"/>
      <c r="DS203" s="206"/>
      <c r="DT203" s="297"/>
      <c r="DU203" s="92"/>
      <c r="DV203" s="92"/>
      <c r="DW203" s="92"/>
      <c r="DX203" s="362"/>
      <c r="DY203" s="92"/>
      <c r="DZ203" s="92"/>
    </row>
    <row r="204" spans="1:130">
      <c r="A204" s="92"/>
      <c r="B204" s="92"/>
      <c r="C204" s="92"/>
      <c r="D204" s="293"/>
      <c r="E204" s="160"/>
      <c r="F204" s="206"/>
      <c r="G204" s="290"/>
      <c r="H204" s="293"/>
      <c r="I204" s="297"/>
      <c r="J204" s="297"/>
      <c r="K204" s="297"/>
      <c r="L204" s="297"/>
      <c r="M204" s="301"/>
      <c r="N204" s="297"/>
      <c r="O204" s="92"/>
      <c r="P204" s="113"/>
      <c r="Q204" s="92"/>
      <c r="R204" s="92"/>
      <c r="S204" s="92"/>
      <c r="T204" s="92"/>
      <c r="U204" s="161"/>
      <c r="V204" s="201"/>
      <c r="W204" s="199"/>
      <c r="X204" s="297"/>
      <c r="Y204" s="297"/>
      <c r="Z204" s="297"/>
      <c r="AA204" s="297"/>
      <c r="AB204" s="301"/>
      <c r="AC204" s="189"/>
      <c r="AD204" s="92"/>
      <c r="AE204" s="92"/>
      <c r="AF204" s="113"/>
      <c r="AG204" s="92"/>
      <c r="AH204" s="92"/>
      <c r="AI204" s="92"/>
      <c r="AJ204" s="301"/>
      <c r="AK204" s="160"/>
      <c r="AL204" s="201"/>
      <c r="AM204" s="297"/>
      <c r="AN204" s="297"/>
      <c r="AO204" s="297"/>
      <c r="AP204" s="301"/>
      <c r="AQ204" s="301"/>
      <c r="AR204" s="301"/>
      <c r="AS204" s="92"/>
      <c r="AT204" s="92"/>
      <c r="AU204" s="92"/>
      <c r="AV204" s="113"/>
      <c r="AW204" s="92"/>
      <c r="AX204" s="92"/>
      <c r="AY204" s="92"/>
      <c r="AZ204" s="92"/>
      <c r="BA204" s="189"/>
      <c r="BB204" s="301"/>
      <c r="BC204" s="301"/>
      <c r="BD204" s="297"/>
      <c r="BE204" s="297"/>
      <c r="BF204" s="301"/>
      <c r="BG204" s="301"/>
      <c r="BH204" s="301"/>
      <c r="BI204" s="92"/>
      <c r="BJ204" s="92"/>
      <c r="BK204" s="92"/>
      <c r="BL204" s="92"/>
      <c r="BM204" s="112"/>
      <c r="BN204" s="92"/>
      <c r="BO204" s="92"/>
      <c r="BP204" s="297"/>
      <c r="BQ204" s="297"/>
      <c r="BR204" s="297"/>
      <c r="BS204" s="301"/>
      <c r="BT204" s="301"/>
      <c r="BU204" s="301"/>
      <c r="BV204" s="301"/>
      <c r="BW204" s="297"/>
      <c r="BX204" s="189"/>
      <c r="BY204" s="301"/>
      <c r="BZ204" s="92"/>
      <c r="CA204" s="92"/>
      <c r="CB204" s="92"/>
      <c r="CC204" s="112"/>
      <c r="CD204" s="92"/>
      <c r="CE204" s="92"/>
      <c r="CF204" s="301"/>
      <c r="CG204" s="301"/>
      <c r="CH204" s="301"/>
      <c r="CI204" s="301"/>
      <c r="CJ204" s="301"/>
      <c r="CK204" s="189"/>
      <c r="CL204" s="301"/>
      <c r="CM204" s="301"/>
      <c r="CN204" s="297"/>
      <c r="CO204" s="92"/>
      <c r="CP204" s="92"/>
      <c r="CQ204" s="92"/>
      <c r="CR204" s="92"/>
      <c r="CS204" s="112"/>
      <c r="CT204" s="92"/>
      <c r="CU204" s="92"/>
      <c r="CV204" s="92"/>
      <c r="CW204" s="189"/>
      <c r="CX204" s="301"/>
      <c r="CY204" s="301"/>
      <c r="CZ204" s="297"/>
      <c r="DA204" s="293"/>
      <c r="DB204" s="293"/>
      <c r="DC204" s="160"/>
      <c r="DD204" s="205"/>
      <c r="DE204" s="92"/>
      <c r="DF204" s="92"/>
      <c r="DG204" s="92"/>
      <c r="DH204" s="92"/>
      <c r="DI204" s="112"/>
      <c r="DJ204" s="92"/>
      <c r="DK204" s="301"/>
      <c r="DL204" s="189"/>
      <c r="DM204" s="301"/>
      <c r="DN204" s="297"/>
      <c r="DO204" s="205"/>
      <c r="DP204" s="160"/>
      <c r="DQ204" s="205"/>
      <c r="DR204" s="293"/>
      <c r="DS204" s="297"/>
      <c r="DT204" s="92"/>
      <c r="DU204" s="92"/>
      <c r="DV204" s="92"/>
      <c r="DW204" s="92"/>
      <c r="DX204" s="362"/>
      <c r="DY204" s="92"/>
      <c r="DZ204" s="92"/>
    </row>
    <row r="205" spans="1:130">
      <c r="A205" s="92"/>
      <c r="B205" s="92"/>
      <c r="C205" s="92"/>
      <c r="D205" s="293"/>
      <c r="E205" s="291"/>
      <c r="F205" s="291"/>
      <c r="G205" s="293"/>
      <c r="H205" s="297"/>
      <c r="I205" s="297"/>
      <c r="J205" s="293"/>
      <c r="K205" s="297"/>
      <c r="L205" s="297"/>
      <c r="M205" s="301"/>
      <c r="N205" s="297"/>
      <c r="O205" s="92"/>
      <c r="P205" s="113"/>
      <c r="Q205" s="92"/>
      <c r="R205" s="92"/>
      <c r="S205" s="92"/>
      <c r="T205" s="92"/>
      <c r="U205" s="301"/>
      <c r="V205" s="293"/>
      <c r="W205" s="297"/>
      <c r="X205" s="297"/>
      <c r="Y205" s="297"/>
      <c r="Z205" s="297"/>
      <c r="AA205" s="297"/>
      <c r="AB205" s="301"/>
      <c r="AC205" s="301"/>
      <c r="AD205" s="92"/>
      <c r="AE205" s="92"/>
      <c r="AF205" s="113"/>
      <c r="AG205" s="92"/>
      <c r="AH205" s="92"/>
      <c r="AI205" s="92"/>
      <c r="AJ205" s="189"/>
      <c r="AK205" s="301"/>
      <c r="AL205" s="297"/>
      <c r="AM205" s="297"/>
      <c r="AN205" s="297"/>
      <c r="AO205" s="297"/>
      <c r="AP205" s="301"/>
      <c r="AQ205" s="301"/>
      <c r="AR205" s="189"/>
      <c r="AS205" s="92"/>
      <c r="AT205" s="92"/>
      <c r="AU205" s="92"/>
      <c r="AV205" s="113"/>
      <c r="AW205" s="92"/>
      <c r="AX205" s="92"/>
      <c r="AY205" s="92"/>
      <c r="AZ205" s="92"/>
      <c r="BA205" s="189"/>
      <c r="BB205" s="301"/>
      <c r="BC205" s="297"/>
      <c r="BD205" s="297"/>
      <c r="BE205" s="297"/>
      <c r="BF205" s="297"/>
      <c r="BG205" s="301"/>
      <c r="BH205" s="301"/>
      <c r="BI205" s="301"/>
      <c r="BJ205" s="92"/>
      <c r="BK205" s="92"/>
      <c r="BL205" s="92"/>
      <c r="BM205" s="112"/>
      <c r="BN205" s="92"/>
      <c r="BO205" s="301"/>
      <c r="BP205" s="297"/>
      <c r="BQ205" s="293"/>
      <c r="BR205" s="297"/>
      <c r="BS205" s="301"/>
      <c r="BT205" s="301"/>
      <c r="BU205" s="297"/>
      <c r="BV205" s="297"/>
      <c r="BW205" s="297"/>
      <c r="BX205" s="189"/>
      <c r="BY205" s="301"/>
      <c r="BZ205" s="301"/>
      <c r="CA205" s="92"/>
      <c r="CB205" s="92"/>
      <c r="CC205" s="112"/>
      <c r="CD205" s="92"/>
      <c r="CE205" s="92"/>
      <c r="CF205" s="301"/>
      <c r="CG205" s="301"/>
      <c r="CH205" s="301"/>
      <c r="CI205" s="301"/>
      <c r="CJ205" s="297"/>
      <c r="CK205" s="301"/>
      <c r="CL205" s="301"/>
      <c r="CM205" s="301"/>
      <c r="CN205" s="297"/>
      <c r="CO205" s="92"/>
      <c r="CP205" s="92"/>
      <c r="CQ205" s="92"/>
      <c r="CR205" s="92"/>
      <c r="CS205" s="112"/>
      <c r="CT205" s="92"/>
      <c r="CU205" s="92"/>
      <c r="CV205" s="92"/>
      <c r="CW205" s="189"/>
      <c r="CX205" s="301"/>
      <c r="CY205" s="297"/>
      <c r="CZ205" s="293"/>
      <c r="DA205" s="297"/>
      <c r="DB205" s="161"/>
      <c r="DC205" s="161"/>
      <c r="DD205" s="301"/>
      <c r="DE205" s="92"/>
      <c r="DF205" s="92"/>
      <c r="DG205" s="92"/>
      <c r="DH205" s="92"/>
      <c r="DI205" s="112"/>
      <c r="DJ205" s="92"/>
      <c r="DK205" s="301"/>
      <c r="DL205" s="189"/>
      <c r="DM205" s="297"/>
      <c r="DN205" s="201"/>
      <c r="DO205" s="291"/>
      <c r="DP205" s="160"/>
      <c r="DQ205" s="290"/>
      <c r="DR205" s="301"/>
      <c r="DS205" s="92"/>
      <c r="DT205" s="92"/>
      <c r="DU205" s="92"/>
      <c r="DV205" s="92"/>
      <c r="DW205" s="92"/>
      <c r="DX205" s="362"/>
      <c r="DY205" s="92"/>
      <c r="DZ205" s="92"/>
    </row>
    <row r="206" spans="1:130">
      <c r="A206" s="92"/>
      <c r="B206" s="92"/>
      <c r="C206" s="293"/>
      <c r="D206" s="293"/>
      <c r="E206" s="293"/>
      <c r="F206" s="297"/>
      <c r="G206" s="297"/>
      <c r="H206" s="301"/>
      <c r="I206" s="297"/>
      <c r="J206" s="297"/>
      <c r="K206" s="293"/>
      <c r="L206" s="297"/>
      <c r="M206" s="301"/>
      <c r="N206" s="297"/>
      <c r="O206" s="92"/>
      <c r="P206" s="113"/>
      <c r="Q206" s="92"/>
      <c r="R206" s="92"/>
      <c r="S206" s="92"/>
      <c r="T206" s="92"/>
      <c r="U206" s="301"/>
      <c r="V206" s="297"/>
      <c r="W206" s="297"/>
      <c r="X206" s="297"/>
      <c r="Y206" s="293"/>
      <c r="Z206" s="199"/>
      <c r="AA206" s="301"/>
      <c r="AB206" s="301"/>
      <c r="AC206" s="301"/>
      <c r="AD206" s="92"/>
      <c r="AE206" s="92"/>
      <c r="AF206" s="113"/>
      <c r="AG206" s="92"/>
      <c r="AH206" s="92"/>
      <c r="AI206" s="92"/>
      <c r="AJ206" s="92"/>
      <c r="AK206" s="92"/>
      <c r="AL206" s="189"/>
      <c r="AM206" s="297"/>
      <c r="AN206" s="297"/>
      <c r="AO206" s="301"/>
      <c r="AP206" s="301"/>
      <c r="AQ206" s="301"/>
      <c r="AR206" s="189"/>
      <c r="AS206" s="92"/>
      <c r="AT206" s="92"/>
      <c r="AU206" s="92"/>
      <c r="AV206" s="113"/>
      <c r="AW206" s="92"/>
      <c r="AX206" s="92"/>
      <c r="AY206" s="92"/>
      <c r="AZ206" s="189"/>
      <c r="BA206" s="301"/>
      <c r="BB206" s="297"/>
      <c r="BC206" s="297"/>
      <c r="BD206" s="201"/>
      <c r="BE206" s="301"/>
      <c r="BF206" s="301"/>
      <c r="BG206" s="301"/>
      <c r="BH206" s="297"/>
      <c r="BI206" s="301"/>
      <c r="BJ206" s="92"/>
      <c r="BK206" s="92"/>
      <c r="BL206" s="92"/>
      <c r="BM206" s="112"/>
      <c r="BN206" s="92"/>
      <c r="BO206" s="301"/>
      <c r="BP206" s="297"/>
      <c r="BQ206" s="293"/>
      <c r="BR206" s="301"/>
      <c r="BS206" s="301"/>
      <c r="BT206" s="297"/>
      <c r="BU206" s="297"/>
      <c r="BV206" s="297"/>
      <c r="BW206" s="297"/>
      <c r="BX206" s="189"/>
      <c r="BY206" s="297"/>
      <c r="BZ206" s="301"/>
      <c r="CA206" s="92"/>
      <c r="CB206" s="92"/>
      <c r="CC206" s="112"/>
      <c r="CD206" s="92"/>
      <c r="CE206" s="92"/>
      <c r="CF206" s="301"/>
      <c r="CG206" s="297"/>
      <c r="CH206" s="301"/>
      <c r="CI206" s="301"/>
      <c r="CJ206" s="301"/>
      <c r="CK206" s="301"/>
      <c r="CL206" s="301"/>
      <c r="CM206" s="301"/>
      <c r="CN206" s="301"/>
      <c r="CO206" s="92"/>
      <c r="CP206" s="92"/>
      <c r="CQ206" s="92"/>
      <c r="CR206" s="92"/>
      <c r="CS206" s="112"/>
      <c r="CT206" s="92"/>
      <c r="CU206" s="92"/>
      <c r="CV206" s="297"/>
      <c r="CW206" s="301"/>
      <c r="CX206" s="301"/>
      <c r="CY206" s="297"/>
      <c r="CZ206" s="293"/>
      <c r="DA206" s="293"/>
      <c r="DB206" s="205"/>
      <c r="DC206" s="297"/>
      <c r="DD206" s="92"/>
      <c r="DE206" s="92"/>
      <c r="DF206" s="92"/>
      <c r="DG206" s="92"/>
      <c r="DH206" s="92"/>
      <c r="DI206" s="112"/>
      <c r="DJ206" s="92"/>
      <c r="DK206" s="301"/>
      <c r="DL206" s="189"/>
      <c r="DM206" s="297"/>
      <c r="DN206" s="293"/>
      <c r="DO206" s="297"/>
      <c r="DP206" s="205"/>
      <c r="DQ206" s="293"/>
      <c r="DR206" s="301"/>
      <c r="DS206" s="92"/>
      <c r="DT206" s="92"/>
      <c r="DU206" s="92"/>
      <c r="DV206" s="92"/>
      <c r="DW206" s="92"/>
      <c r="DX206" s="362"/>
      <c r="DY206" s="92"/>
      <c r="DZ206" s="92"/>
    </row>
    <row r="207" spans="1:130">
      <c r="A207" s="92"/>
      <c r="B207" s="92"/>
      <c r="C207" s="293"/>
      <c r="D207" s="293"/>
      <c r="E207" s="293"/>
      <c r="F207" s="297"/>
      <c r="G207" s="301"/>
      <c r="H207" s="301"/>
      <c r="I207" s="297"/>
      <c r="J207" s="297"/>
      <c r="K207" s="293"/>
      <c r="L207" s="297"/>
      <c r="M207" s="301"/>
      <c r="N207" s="297"/>
      <c r="O207" s="92"/>
      <c r="P207" s="113"/>
      <c r="Q207" s="92"/>
      <c r="R207" s="92"/>
      <c r="S207" s="92"/>
      <c r="T207" s="92"/>
      <c r="U207" s="189"/>
      <c r="V207" s="297"/>
      <c r="W207" s="297"/>
      <c r="X207" s="297"/>
      <c r="Y207" s="293"/>
      <c r="Z207" s="297"/>
      <c r="AA207" s="301"/>
      <c r="AB207" s="301"/>
      <c r="AC207" s="301"/>
      <c r="AD207" s="92"/>
      <c r="AE207" s="92"/>
      <c r="AF207" s="113"/>
      <c r="AG207" s="92"/>
      <c r="AH207" s="92"/>
      <c r="AI207" s="92"/>
      <c r="AJ207" s="92"/>
      <c r="AK207" s="92"/>
      <c r="AL207" s="189"/>
      <c r="AM207" s="297"/>
      <c r="AN207" s="301"/>
      <c r="AO207" s="189"/>
      <c r="AP207" s="301"/>
      <c r="AQ207" s="297"/>
      <c r="AR207" s="301"/>
      <c r="AS207" s="92"/>
      <c r="AT207" s="92"/>
      <c r="AU207" s="92"/>
      <c r="AV207" s="113"/>
      <c r="AW207" s="92"/>
      <c r="AX207" s="92"/>
      <c r="AY207" s="92"/>
      <c r="AZ207" s="301"/>
      <c r="BA207" s="297"/>
      <c r="BB207" s="297"/>
      <c r="BC207" s="297"/>
      <c r="BD207" s="293"/>
      <c r="BE207" s="301"/>
      <c r="BF207" s="301"/>
      <c r="BG207" s="301"/>
      <c r="BH207" s="297"/>
      <c r="BI207" s="297"/>
      <c r="BJ207" s="301"/>
      <c r="BK207" s="92"/>
      <c r="BL207" s="92"/>
      <c r="BM207" s="112"/>
      <c r="BN207" s="189"/>
      <c r="BO207" s="297"/>
      <c r="BP207" s="293"/>
      <c r="BQ207" s="297"/>
      <c r="BR207" s="189"/>
      <c r="BS207" s="301"/>
      <c r="BT207" s="301"/>
      <c r="BU207" s="301"/>
      <c r="BV207" s="297"/>
      <c r="BW207" s="301"/>
      <c r="BX207" s="301"/>
      <c r="BY207" s="297"/>
      <c r="BZ207" s="297"/>
      <c r="CA207" s="92"/>
      <c r="CB207" s="92"/>
      <c r="CC207" s="112"/>
      <c r="CD207" s="92"/>
      <c r="CE207" s="92"/>
      <c r="CF207" s="301"/>
      <c r="CG207" s="297"/>
      <c r="CH207" s="301"/>
      <c r="CI207" s="301"/>
      <c r="CJ207" s="301"/>
      <c r="CK207" s="297"/>
      <c r="CL207" s="301"/>
      <c r="CM207" s="301"/>
      <c r="CN207" s="301"/>
      <c r="CO207" s="297"/>
      <c r="CP207" s="92"/>
      <c r="CQ207" s="92"/>
      <c r="CR207" s="92"/>
      <c r="CS207" s="112"/>
      <c r="CT207" s="92"/>
      <c r="CU207" s="92"/>
      <c r="CV207" s="297"/>
      <c r="CW207" s="301"/>
      <c r="CX207" s="301"/>
      <c r="CY207" s="293"/>
      <c r="CZ207" s="297"/>
      <c r="DA207" s="297"/>
      <c r="DB207" s="293"/>
      <c r="DC207" s="297"/>
      <c r="DD207" s="92"/>
      <c r="DE207" s="92"/>
      <c r="DF207" s="92"/>
      <c r="DG207" s="92"/>
      <c r="DH207" s="92"/>
      <c r="DI207" s="112"/>
      <c r="DJ207" s="92"/>
      <c r="DK207" s="301"/>
      <c r="DL207" s="189"/>
      <c r="DM207" s="297"/>
      <c r="DN207" s="297"/>
      <c r="DO207" s="297"/>
      <c r="DP207" s="201"/>
      <c r="DQ207" s="297"/>
      <c r="DR207" s="301"/>
      <c r="DS207" s="92"/>
      <c r="DT207" s="92"/>
      <c r="DU207" s="92"/>
      <c r="DV207" s="92"/>
      <c r="DW207" s="92"/>
      <c r="DX207" s="362"/>
      <c r="DY207" s="92"/>
      <c r="DZ207" s="92"/>
    </row>
    <row r="208" spans="1:130">
      <c r="A208" s="92"/>
      <c r="B208" s="92"/>
      <c r="C208" s="293"/>
      <c r="D208" s="297"/>
      <c r="E208" s="293"/>
      <c r="F208" s="301"/>
      <c r="G208" s="293"/>
      <c r="H208" s="298"/>
      <c r="I208" s="297"/>
      <c r="J208" s="297"/>
      <c r="K208" s="297"/>
      <c r="L208" s="301"/>
      <c r="M208" s="301"/>
      <c r="N208" s="297"/>
      <c r="O208" s="92"/>
      <c r="P208" s="113"/>
      <c r="Q208" s="92"/>
      <c r="R208" s="92"/>
      <c r="S208" s="92"/>
      <c r="T208" s="92"/>
      <c r="U208" s="92"/>
      <c r="V208" s="301"/>
      <c r="W208" s="297"/>
      <c r="X208" s="297"/>
      <c r="Y208" s="297"/>
      <c r="Z208" s="301"/>
      <c r="AA208" s="189"/>
      <c r="AB208" s="301"/>
      <c r="AC208" s="301"/>
      <c r="AD208" s="92"/>
      <c r="AE208" s="92"/>
      <c r="AF208" s="113"/>
      <c r="AG208" s="92"/>
      <c r="AH208" s="92"/>
      <c r="AI208" s="92"/>
      <c r="AJ208" s="92"/>
      <c r="AK208" s="92"/>
      <c r="AL208" s="189"/>
      <c r="AM208" s="189"/>
      <c r="AN208" s="301"/>
      <c r="AO208" s="297"/>
      <c r="AP208" s="297"/>
      <c r="AQ208" s="297"/>
      <c r="AR208" s="301"/>
      <c r="AS208" s="92"/>
      <c r="AT208" s="92"/>
      <c r="AU208" s="92"/>
      <c r="AV208" s="113"/>
      <c r="AW208" s="92"/>
      <c r="AX208" s="92"/>
      <c r="AY208" s="301"/>
      <c r="AZ208" s="297"/>
      <c r="BA208" s="297"/>
      <c r="BB208" s="297"/>
      <c r="BC208" s="293"/>
      <c r="BD208" s="297"/>
      <c r="BE208" s="301"/>
      <c r="BF208" s="297"/>
      <c r="BG208" s="301"/>
      <c r="BH208" s="301"/>
      <c r="BI208" s="201"/>
      <c r="BJ208" s="301"/>
      <c r="BK208" s="92"/>
      <c r="BL208" s="92"/>
      <c r="BM208" s="112"/>
      <c r="BN208" s="301"/>
      <c r="BO208" s="293"/>
      <c r="BP208" s="297"/>
      <c r="BQ208" s="189"/>
      <c r="BR208" s="189"/>
      <c r="BS208" s="301"/>
      <c r="BT208" s="297"/>
      <c r="BU208" s="297"/>
      <c r="BV208" s="297"/>
      <c r="BW208" s="297"/>
      <c r="BX208" s="301"/>
      <c r="BY208" s="301"/>
      <c r="BZ208" s="301"/>
      <c r="CA208" s="92"/>
      <c r="CB208" s="92"/>
      <c r="CC208" s="112"/>
      <c r="CD208" s="92"/>
      <c r="CE208" s="92"/>
      <c r="CF208" s="301"/>
      <c r="CG208" s="297"/>
      <c r="CH208" s="301"/>
      <c r="CI208" s="301"/>
      <c r="CJ208" s="301"/>
      <c r="CK208" s="297"/>
      <c r="CL208" s="301"/>
      <c r="CM208" s="301"/>
      <c r="CN208" s="301"/>
      <c r="CO208" s="297"/>
      <c r="CP208" s="92"/>
      <c r="CQ208" s="92"/>
      <c r="CR208" s="92"/>
      <c r="CS208" s="112"/>
      <c r="CT208" s="92"/>
      <c r="CU208" s="297"/>
      <c r="CV208" s="189"/>
      <c r="CW208" s="301"/>
      <c r="CX208" s="293"/>
      <c r="CY208" s="293"/>
      <c r="CZ208" s="297"/>
      <c r="DA208" s="297"/>
      <c r="DB208" s="293"/>
      <c r="DC208" s="297"/>
      <c r="DD208" s="92"/>
      <c r="DE208" s="92"/>
      <c r="DF208" s="92"/>
      <c r="DG208" s="92"/>
      <c r="DH208" s="92"/>
      <c r="DI208" s="112"/>
      <c r="DJ208" s="92"/>
      <c r="DK208" s="301"/>
      <c r="DL208" s="297"/>
      <c r="DM208" s="297"/>
      <c r="DN208" s="297"/>
      <c r="DO208" s="297"/>
      <c r="DP208" s="293"/>
      <c r="DQ208" s="297"/>
      <c r="DR208" s="297"/>
      <c r="DS208" s="301"/>
      <c r="DT208" s="92"/>
      <c r="DU208" s="92"/>
      <c r="DV208" s="92"/>
      <c r="DW208" s="92"/>
      <c r="DX208" s="362"/>
      <c r="DY208" s="92"/>
      <c r="DZ208" s="92"/>
    </row>
    <row r="209" spans="1:130">
      <c r="A209" s="92"/>
      <c r="B209" s="92"/>
      <c r="C209" s="293"/>
      <c r="D209" s="297"/>
      <c r="E209" s="297"/>
      <c r="F209" s="301"/>
      <c r="G209" s="298"/>
      <c r="H209" s="298"/>
      <c r="I209" s="297"/>
      <c r="J209" s="301"/>
      <c r="K209" s="297"/>
      <c r="L209" s="92"/>
      <c r="M209" s="301"/>
      <c r="N209" s="301"/>
      <c r="O209" s="297"/>
      <c r="P209" s="113"/>
      <c r="Q209" s="92"/>
      <c r="R209" s="92"/>
      <c r="S209" s="92"/>
      <c r="T209" s="92"/>
      <c r="U209" s="92"/>
      <c r="V209" s="297"/>
      <c r="W209" s="297"/>
      <c r="X209" s="297"/>
      <c r="Y209" s="297"/>
      <c r="Z209" s="189"/>
      <c r="AA209" s="189"/>
      <c r="AB209" s="301"/>
      <c r="AC209" s="199"/>
      <c r="AD209" s="92"/>
      <c r="AE209" s="92"/>
      <c r="AF209" s="113"/>
      <c r="AG209" s="92"/>
      <c r="AH209" s="92"/>
      <c r="AI209" s="92"/>
      <c r="AJ209" s="92"/>
      <c r="AK209" s="301"/>
      <c r="AL209" s="301"/>
      <c r="AM209" s="301"/>
      <c r="AN209" s="297"/>
      <c r="AO209" s="297"/>
      <c r="AP209" s="297"/>
      <c r="AQ209" s="297"/>
      <c r="AR209" s="301"/>
      <c r="AS209" s="92"/>
      <c r="AT209" s="92"/>
      <c r="AU209" s="92"/>
      <c r="AV209" s="113"/>
      <c r="AW209" s="189"/>
      <c r="AX209" s="301"/>
      <c r="AY209" s="297"/>
      <c r="AZ209" s="297"/>
      <c r="BA209" s="297"/>
      <c r="BB209" s="293"/>
      <c r="BC209" s="297"/>
      <c r="BD209" s="297"/>
      <c r="BE209" s="301"/>
      <c r="BF209" s="301"/>
      <c r="BG209" s="297"/>
      <c r="BH209" s="301"/>
      <c r="BI209" s="297"/>
      <c r="BJ209" s="301"/>
      <c r="BK209" s="92"/>
      <c r="BL209" s="92"/>
      <c r="BM209" s="112"/>
      <c r="BN209" s="301"/>
      <c r="BO209" s="297"/>
      <c r="BP209" s="297"/>
      <c r="BQ209" s="189"/>
      <c r="BR209" s="297"/>
      <c r="BS209" s="301"/>
      <c r="BT209" s="297"/>
      <c r="BU209" s="297"/>
      <c r="BV209" s="297"/>
      <c r="BW209" s="297"/>
      <c r="BX209" s="301"/>
      <c r="BY209" s="301"/>
      <c r="BZ209" s="297"/>
      <c r="CA209" s="301"/>
      <c r="CB209" s="92"/>
      <c r="CC209" s="112"/>
      <c r="CD209" s="92"/>
      <c r="CE209" s="92"/>
      <c r="CF209" s="92"/>
      <c r="CG209" s="301"/>
      <c r="CH209" s="301"/>
      <c r="CI209" s="301"/>
      <c r="CJ209" s="301"/>
      <c r="CK209" s="301"/>
      <c r="CL209" s="301"/>
      <c r="CM209" s="297"/>
      <c r="CN209" s="293"/>
      <c r="CO209" s="297"/>
      <c r="CP209" s="189"/>
      <c r="CQ209" s="92"/>
      <c r="CR209" s="92"/>
      <c r="CS209" s="112"/>
      <c r="CT209" s="92"/>
      <c r="CU209" s="92"/>
      <c r="CV209" s="301"/>
      <c r="CW209" s="207"/>
      <c r="CX209" s="207"/>
      <c r="CY209" s="207"/>
      <c r="CZ209" s="293"/>
      <c r="DA209" s="297"/>
      <c r="DB209" s="293"/>
      <c r="DC209" s="301"/>
      <c r="DD209" s="297"/>
      <c r="DE209" s="92"/>
      <c r="DF209" s="92"/>
      <c r="DG209" s="92"/>
      <c r="DH209" s="92"/>
      <c r="DI209" s="112"/>
      <c r="DJ209" s="301"/>
      <c r="DK209" s="189"/>
      <c r="DL209" s="301"/>
      <c r="DM209" s="301"/>
      <c r="DN209" s="297"/>
      <c r="DO209" s="297"/>
      <c r="DP209" s="301"/>
      <c r="DQ209" s="293"/>
      <c r="DR209" s="293"/>
      <c r="DS209" s="301"/>
      <c r="DT209" s="301"/>
      <c r="DU209" s="92"/>
      <c r="DV209" s="92"/>
      <c r="DW209" s="92"/>
      <c r="DX209" s="362"/>
      <c r="DY209" s="92"/>
      <c r="DZ209" s="92"/>
    </row>
    <row r="210" spans="1:130">
      <c r="A210" s="92"/>
      <c r="B210" s="92"/>
      <c r="C210" s="293"/>
      <c r="D210" s="301"/>
      <c r="E210" s="297"/>
      <c r="F210" s="297"/>
      <c r="G210" s="298"/>
      <c r="H210" s="290"/>
      <c r="I210" s="293"/>
      <c r="J210" s="301"/>
      <c r="K210" s="301"/>
      <c r="L210" s="92"/>
      <c r="M210" s="301"/>
      <c r="N210" s="201"/>
      <c r="O210" s="199"/>
      <c r="P210" s="113"/>
      <c r="Q210" s="92"/>
      <c r="R210" s="92"/>
      <c r="S210" s="92"/>
      <c r="T210" s="92"/>
      <c r="U210" s="92"/>
      <c r="V210" s="293"/>
      <c r="W210" s="297"/>
      <c r="X210" s="297"/>
      <c r="Y210" s="199"/>
      <c r="Z210" s="293"/>
      <c r="AA210" s="297"/>
      <c r="AB210" s="301"/>
      <c r="AC210" s="92"/>
      <c r="AD210" s="92"/>
      <c r="AE210" s="92"/>
      <c r="AF210" s="113"/>
      <c r="AG210" s="92"/>
      <c r="AH210" s="92"/>
      <c r="AI210" s="92"/>
      <c r="AJ210" s="92"/>
      <c r="AK210" s="297"/>
      <c r="AL210" s="201"/>
      <c r="AM210" s="297"/>
      <c r="AN210" s="297"/>
      <c r="AO210" s="297"/>
      <c r="AP210" s="297"/>
      <c r="AQ210" s="297"/>
      <c r="AR210" s="301"/>
      <c r="AS210" s="92"/>
      <c r="AT210" s="92"/>
      <c r="AU210" s="92"/>
      <c r="AV210" s="113"/>
      <c r="AW210" s="305"/>
      <c r="AX210" s="199"/>
      <c r="AY210" s="201"/>
      <c r="AZ210" s="199"/>
      <c r="BA210" s="293"/>
      <c r="BB210" s="301"/>
      <c r="BC210" s="297"/>
      <c r="BD210" s="301"/>
      <c r="BE210" s="301"/>
      <c r="BF210" s="301"/>
      <c r="BG210" s="301"/>
      <c r="BH210" s="301"/>
      <c r="BI210" s="297"/>
      <c r="BJ210" s="301"/>
      <c r="BK210" s="92"/>
      <c r="BL210" s="92"/>
      <c r="BM210" s="112"/>
      <c r="BN210" s="297"/>
      <c r="BO210" s="297"/>
      <c r="BP210" s="301"/>
      <c r="BQ210" s="189"/>
      <c r="BR210" s="301"/>
      <c r="BS210" s="301"/>
      <c r="BT210" s="297"/>
      <c r="BU210" s="297"/>
      <c r="BV210" s="297"/>
      <c r="BW210" s="297"/>
      <c r="BX210" s="301"/>
      <c r="BY210" s="297"/>
      <c r="BZ210" s="294"/>
      <c r="CA210" s="297"/>
      <c r="CB210" s="92"/>
      <c r="CC210" s="112"/>
      <c r="CD210" s="92"/>
      <c r="CE210" s="92"/>
      <c r="CF210" s="92"/>
      <c r="CG210" s="301"/>
      <c r="CH210" s="301"/>
      <c r="CI210" s="301"/>
      <c r="CJ210" s="301"/>
      <c r="CK210" s="301"/>
      <c r="CL210" s="297"/>
      <c r="CM210" s="298"/>
      <c r="CN210" s="207"/>
      <c r="CO210" s="207"/>
      <c r="CP210" s="297"/>
      <c r="CQ210" s="92"/>
      <c r="CR210" s="92"/>
      <c r="CS210" s="112"/>
      <c r="CT210" s="92"/>
      <c r="CU210" s="92"/>
      <c r="CV210" s="189"/>
      <c r="CW210" s="298"/>
      <c r="CX210" s="207"/>
      <c r="CY210" s="298"/>
      <c r="CZ210" s="293"/>
      <c r="DA210" s="297"/>
      <c r="DB210" s="297"/>
      <c r="DC210" s="293"/>
      <c r="DD210" s="301"/>
      <c r="DE210" s="92"/>
      <c r="DF210" s="92"/>
      <c r="DG210" s="92"/>
      <c r="DH210" s="92"/>
      <c r="DI210" s="112"/>
      <c r="DJ210" s="301"/>
      <c r="DK210" s="189"/>
      <c r="DL210" s="301"/>
      <c r="DM210" s="297"/>
      <c r="DN210" s="297"/>
      <c r="DO210" s="297"/>
      <c r="DP210" s="301"/>
      <c r="DQ210" s="293"/>
      <c r="DR210" s="294"/>
      <c r="DS210" s="297"/>
      <c r="DT210" s="297"/>
      <c r="DU210" s="301"/>
      <c r="DV210" s="92"/>
      <c r="DW210" s="92"/>
      <c r="DX210" s="362"/>
      <c r="DY210" s="92"/>
      <c r="DZ210" s="92"/>
    </row>
    <row r="211" spans="1:130">
      <c r="A211" s="92"/>
      <c r="B211" s="92"/>
      <c r="C211" s="293"/>
      <c r="D211" s="301"/>
      <c r="E211" s="297"/>
      <c r="F211" s="291"/>
      <c r="G211" s="298"/>
      <c r="H211" s="160"/>
      <c r="I211" s="205"/>
      <c r="J211" s="301"/>
      <c r="K211" s="301"/>
      <c r="L211" s="92"/>
      <c r="M211" s="301"/>
      <c r="N211" s="201"/>
      <c r="O211" s="199"/>
      <c r="P211" s="469"/>
      <c r="Q211" s="92"/>
      <c r="R211" s="92"/>
      <c r="S211" s="92"/>
      <c r="T211" s="92"/>
      <c r="U211" s="297"/>
      <c r="V211" s="294"/>
      <c r="W211" s="293"/>
      <c r="X211" s="301"/>
      <c r="Y211" s="199"/>
      <c r="Z211" s="298"/>
      <c r="AA211" s="201"/>
      <c r="AB211" s="199"/>
      <c r="AC211" s="92"/>
      <c r="AD211" s="92"/>
      <c r="AE211" s="92"/>
      <c r="AF211" s="113"/>
      <c r="AG211" s="92"/>
      <c r="AH211" s="92"/>
      <c r="AI211" s="92"/>
      <c r="AJ211" s="199"/>
      <c r="AK211" s="305"/>
      <c r="AL211" s="199"/>
      <c r="AM211" s="298"/>
      <c r="AN211" s="297"/>
      <c r="AO211" s="297"/>
      <c r="AP211" s="297"/>
      <c r="AQ211" s="301"/>
      <c r="AR211" s="301"/>
      <c r="AS211" s="92"/>
      <c r="AT211" s="92"/>
      <c r="AU211" s="92"/>
      <c r="AV211" s="113"/>
      <c r="AW211" s="297"/>
      <c r="AX211" s="298"/>
      <c r="AY211" s="199"/>
      <c r="AZ211" s="301"/>
      <c r="BA211" s="92"/>
      <c r="BB211" s="301"/>
      <c r="BC211" s="301"/>
      <c r="BD211" s="301"/>
      <c r="BE211" s="301"/>
      <c r="BF211" s="301"/>
      <c r="BG211" s="301"/>
      <c r="BH211" s="301"/>
      <c r="BI211" s="297"/>
      <c r="BJ211" s="297"/>
      <c r="BK211" s="92"/>
      <c r="BL211" s="92"/>
      <c r="BM211" s="112"/>
      <c r="BN211" s="297"/>
      <c r="BO211" s="297"/>
      <c r="BP211" s="92"/>
      <c r="BQ211" s="189"/>
      <c r="BR211" s="301"/>
      <c r="BS211" s="301"/>
      <c r="BT211" s="297"/>
      <c r="BU211" s="297"/>
      <c r="BV211" s="297"/>
      <c r="BW211" s="297"/>
      <c r="BX211" s="301"/>
      <c r="BY211" s="293"/>
      <c r="BZ211" s="160"/>
      <c r="CA211" s="297"/>
      <c r="CB211" s="92"/>
      <c r="CC211" s="112"/>
      <c r="CD211" s="92"/>
      <c r="CE211" s="92"/>
      <c r="CF211" s="92"/>
      <c r="CG211" s="301"/>
      <c r="CH211" s="301"/>
      <c r="CI211" s="301"/>
      <c r="CJ211" s="301"/>
      <c r="CK211" s="301"/>
      <c r="CL211" s="293"/>
      <c r="CM211" s="293"/>
      <c r="CN211" s="207"/>
      <c r="CO211" s="298"/>
      <c r="CP211" s="199"/>
      <c r="CQ211" s="92"/>
      <c r="CR211" s="92"/>
      <c r="CS211" s="112"/>
      <c r="CT211" s="92"/>
      <c r="CU211" s="92"/>
      <c r="CV211" s="92"/>
      <c r="CW211" s="92"/>
      <c r="CX211" s="207"/>
      <c r="CY211" s="199"/>
      <c r="CZ211" s="200"/>
      <c r="DA211" s="297"/>
      <c r="DB211" s="297"/>
      <c r="DC211" s="293"/>
      <c r="DD211" s="199"/>
      <c r="DE211" s="301"/>
      <c r="DF211" s="92"/>
      <c r="DG211" s="92"/>
      <c r="DH211" s="92"/>
      <c r="DI211" s="112"/>
      <c r="DJ211" s="301"/>
      <c r="DK211" s="297"/>
      <c r="DL211" s="207"/>
      <c r="DM211" s="205"/>
      <c r="DN211" s="297"/>
      <c r="DO211" s="297"/>
      <c r="DP211" s="301"/>
      <c r="DQ211" s="298"/>
      <c r="DR211" s="294"/>
      <c r="DS211" s="293"/>
      <c r="DT211" s="297"/>
      <c r="DU211" s="297"/>
      <c r="DV211" s="297"/>
      <c r="DW211" s="92"/>
      <c r="DX211" s="362"/>
      <c r="DY211" s="92"/>
      <c r="DZ211" s="92"/>
    </row>
    <row r="212" spans="1:130">
      <c r="A212" s="92"/>
      <c r="B212" s="293"/>
      <c r="C212" s="297"/>
      <c r="D212" s="297"/>
      <c r="E212" s="293"/>
      <c r="F212" s="173"/>
      <c r="G212" s="292"/>
      <c r="H212" s="205"/>
      <c r="I212" s="173"/>
      <c r="J212" s="293"/>
      <c r="K212" s="301"/>
      <c r="L212" s="301"/>
      <c r="M212" s="92"/>
      <c r="N212" s="301"/>
      <c r="O212" s="199"/>
      <c r="P212" s="469"/>
      <c r="Q212" s="92"/>
      <c r="R212" s="92"/>
      <c r="S212" s="92"/>
      <c r="T212" s="92"/>
      <c r="U212" s="301"/>
      <c r="V212" s="294"/>
      <c r="W212" s="291"/>
      <c r="X212" s="297"/>
      <c r="Y212" s="199"/>
      <c r="Z212" s="298"/>
      <c r="AA212" s="199"/>
      <c r="AB212" s="189"/>
      <c r="AC212" s="92"/>
      <c r="AD212" s="92"/>
      <c r="AE212" s="92"/>
      <c r="AF212" s="113"/>
      <c r="AG212" s="92"/>
      <c r="AH212" s="92"/>
      <c r="AI212" s="92"/>
      <c r="AJ212" s="297"/>
      <c r="AK212" s="199"/>
      <c r="AL212" s="201"/>
      <c r="AM212" s="298"/>
      <c r="AN212" s="297"/>
      <c r="AO212" s="297"/>
      <c r="AP212" s="297"/>
      <c r="AQ212" s="301"/>
      <c r="AR212" s="301"/>
      <c r="AS212" s="92"/>
      <c r="AT212" s="92"/>
      <c r="AU212" s="92"/>
      <c r="AV212" s="113"/>
      <c r="AW212" s="189"/>
      <c r="AX212" s="301"/>
      <c r="AY212" s="301"/>
      <c r="AZ212" s="92"/>
      <c r="BA212" s="189"/>
      <c r="BB212" s="301"/>
      <c r="BC212" s="301"/>
      <c r="BD212" s="189"/>
      <c r="BE212" s="301"/>
      <c r="BF212" s="301"/>
      <c r="BG212" s="301"/>
      <c r="BH212" s="301"/>
      <c r="BI212" s="297"/>
      <c r="BJ212" s="201"/>
      <c r="BK212" s="301"/>
      <c r="BL212" s="92"/>
      <c r="BM212" s="112"/>
      <c r="BN212" s="301"/>
      <c r="BO212" s="301"/>
      <c r="BP212" s="92"/>
      <c r="BQ212" s="189"/>
      <c r="BR212" s="301"/>
      <c r="BS212" s="301"/>
      <c r="BT212" s="297"/>
      <c r="BU212" s="297"/>
      <c r="BV212" s="301"/>
      <c r="BW212" s="301"/>
      <c r="BX212" s="297"/>
      <c r="BY212" s="297"/>
      <c r="BZ212" s="201"/>
      <c r="CA212" s="297"/>
      <c r="CB212" s="92"/>
      <c r="CC212" s="112"/>
      <c r="CD212" s="92"/>
      <c r="CE212" s="92"/>
      <c r="CF212" s="92"/>
      <c r="CG212" s="301"/>
      <c r="CH212" s="301"/>
      <c r="CI212" s="301"/>
      <c r="CJ212" s="301"/>
      <c r="CK212" s="301"/>
      <c r="CL212" s="297"/>
      <c r="CM212" s="201"/>
      <c r="CN212" s="207"/>
      <c r="CO212" s="298"/>
      <c r="CP212" s="200"/>
      <c r="CQ212" s="92"/>
      <c r="CR212" s="92"/>
      <c r="CS212" s="112"/>
      <c r="CT212" s="92"/>
      <c r="CU212" s="92"/>
      <c r="CV212" s="92"/>
      <c r="CW212" s="301"/>
      <c r="CX212" s="301"/>
      <c r="CY212" s="297"/>
      <c r="CZ212" s="199"/>
      <c r="DA212" s="297"/>
      <c r="DB212" s="293"/>
      <c r="DC212" s="161"/>
      <c r="DD212" s="200"/>
      <c r="DE212" s="199"/>
      <c r="DF212" s="92"/>
      <c r="DG212" s="92"/>
      <c r="DH212" s="92"/>
      <c r="DI212" s="112"/>
      <c r="DJ212" s="301"/>
      <c r="DK212" s="204"/>
      <c r="DL212" s="207"/>
      <c r="DM212" s="298"/>
      <c r="DN212" s="297"/>
      <c r="DO212" s="301"/>
      <c r="DP212" s="293"/>
      <c r="DQ212" s="205"/>
      <c r="DR212" s="206"/>
      <c r="DS212" s="161"/>
      <c r="DT212" s="297"/>
      <c r="DU212" s="200"/>
      <c r="DV212" s="199"/>
      <c r="DW212" s="301"/>
      <c r="DX212" s="362"/>
      <c r="DY212" s="92"/>
      <c r="DZ212" s="92"/>
    </row>
    <row r="213" spans="1:130">
      <c r="A213" s="92"/>
      <c r="B213" s="297"/>
      <c r="C213" s="187"/>
      <c r="D213" s="206"/>
      <c r="E213" s="206"/>
      <c r="F213" s="173"/>
      <c r="G213" s="161"/>
      <c r="H213" s="173"/>
      <c r="I213" s="173"/>
      <c r="J213" s="161"/>
      <c r="K213" s="297"/>
      <c r="L213" s="301"/>
      <c r="M213" s="297"/>
      <c r="N213" s="92"/>
      <c r="O213" s="297"/>
      <c r="P213" s="92"/>
      <c r="Q213" s="92"/>
      <c r="R213" s="92"/>
      <c r="S213" s="92"/>
      <c r="T213" s="92"/>
      <c r="U213" s="301"/>
      <c r="V213" s="290"/>
      <c r="W213" s="161"/>
      <c r="X213" s="199"/>
      <c r="Y213" s="199"/>
      <c r="Z213" s="298"/>
      <c r="AA213" s="199"/>
      <c r="AB213" s="301"/>
      <c r="AC213" s="92"/>
      <c r="AD213" s="92"/>
      <c r="AE213" s="92"/>
      <c r="AF213" s="113"/>
      <c r="AG213" s="92"/>
      <c r="AH213" s="92"/>
      <c r="AI213" s="92"/>
      <c r="AJ213" s="189"/>
      <c r="AK213" s="301"/>
      <c r="AL213" s="199"/>
      <c r="AM213" s="297"/>
      <c r="AN213" s="301"/>
      <c r="AO213" s="297"/>
      <c r="AP213" s="297"/>
      <c r="AQ213" s="301"/>
      <c r="AR213" s="301"/>
      <c r="AS213" s="301"/>
      <c r="AT213" s="92"/>
      <c r="AU213" s="92"/>
      <c r="AV213" s="113"/>
      <c r="AW213" s="92"/>
      <c r="AX213" s="92"/>
      <c r="AY213" s="92"/>
      <c r="AZ213" s="301"/>
      <c r="BA213" s="301"/>
      <c r="BB213" s="301"/>
      <c r="BC213" s="301"/>
      <c r="BD213" s="297"/>
      <c r="BE213" s="297"/>
      <c r="BF213" s="297"/>
      <c r="BG213" s="301"/>
      <c r="BH213" s="189"/>
      <c r="BI213" s="189"/>
      <c r="BJ213" s="201"/>
      <c r="BK213" s="201"/>
      <c r="BL213" s="92"/>
      <c r="BM213" s="112"/>
      <c r="BN213" s="92"/>
      <c r="BO213" s="92"/>
      <c r="BP213" s="297"/>
      <c r="BQ213" s="297"/>
      <c r="BR213" s="297"/>
      <c r="BS213" s="301"/>
      <c r="BT213" s="301"/>
      <c r="BU213" s="301"/>
      <c r="BV213" s="301"/>
      <c r="BW213" s="301"/>
      <c r="BX213" s="297"/>
      <c r="BY213" s="201"/>
      <c r="BZ213" s="199"/>
      <c r="CA213" s="92"/>
      <c r="CB213" s="92"/>
      <c r="CC213" s="112"/>
      <c r="CD213" s="92"/>
      <c r="CE213" s="92"/>
      <c r="CF213" s="301"/>
      <c r="CG213" s="301"/>
      <c r="CH213" s="301"/>
      <c r="CI213" s="189"/>
      <c r="CJ213" s="301"/>
      <c r="CK213" s="293"/>
      <c r="CL213" s="297"/>
      <c r="CM213" s="297"/>
      <c r="CN213" s="92"/>
      <c r="CO213" s="199"/>
      <c r="CP213" s="92"/>
      <c r="CQ213" s="92"/>
      <c r="CR213" s="92"/>
      <c r="CS213" s="112"/>
      <c r="CT213" s="92"/>
      <c r="CU213" s="92"/>
      <c r="CV213" s="92"/>
      <c r="CW213" s="301"/>
      <c r="CX213" s="297"/>
      <c r="CY213" s="293"/>
      <c r="CZ213" s="294"/>
      <c r="DA213" s="294"/>
      <c r="DB213" s="173"/>
      <c r="DC213" s="161"/>
      <c r="DD213" s="199"/>
      <c r="DE213" s="200"/>
      <c r="DF213" s="92"/>
      <c r="DG213" s="92"/>
      <c r="DH213" s="92"/>
      <c r="DI213" s="112"/>
      <c r="DJ213" s="92"/>
      <c r="DK213" s="298"/>
      <c r="DL213" s="199"/>
      <c r="DM213" s="199"/>
      <c r="DN213" s="297"/>
      <c r="DO213" s="301"/>
      <c r="DP213" s="173"/>
      <c r="DQ213" s="173"/>
      <c r="DR213" s="173"/>
      <c r="DS213" s="205"/>
      <c r="DT213" s="297"/>
      <c r="DU213" s="199"/>
      <c r="DV213" s="200"/>
      <c r="DW213" s="199"/>
      <c r="DX213" s="362"/>
      <c r="DY213" s="92"/>
      <c r="DZ213" s="92"/>
    </row>
    <row r="214" spans="1:130">
      <c r="A214" s="92"/>
      <c r="B214" s="297"/>
      <c r="C214" s="199"/>
      <c r="D214" s="293"/>
      <c r="E214" s="201"/>
      <c r="F214" s="292"/>
      <c r="G214" s="292"/>
      <c r="H214" s="173"/>
      <c r="I214" s="173"/>
      <c r="J214" s="294"/>
      <c r="K214" s="206"/>
      <c r="L214" s="293"/>
      <c r="M214" s="297"/>
      <c r="N214" s="92"/>
      <c r="O214" s="92"/>
      <c r="P214" s="113"/>
      <c r="Q214" s="92"/>
      <c r="R214" s="92"/>
      <c r="S214" s="92"/>
      <c r="T214" s="92"/>
      <c r="U214" s="92"/>
      <c r="V214" s="297"/>
      <c r="W214" s="292"/>
      <c r="X214" s="293"/>
      <c r="Y214" s="297"/>
      <c r="Z214" s="200"/>
      <c r="AA214" s="297"/>
      <c r="AB214" s="301"/>
      <c r="AC214" s="92"/>
      <c r="AD214" s="92"/>
      <c r="AE214" s="92"/>
      <c r="AF214" s="113"/>
      <c r="AG214" s="92"/>
      <c r="AH214" s="92"/>
      <c r="AI214" s="92"/>
      <c r="AJ214" s="92"/>
      <c r="AK214" s="92"/>
      <c r="AL214" s="189"/>
      <c r="AM214" s="301"/>
      <c r="AN214" s="301"/>
      <c r="AO214" s="297"/>
      <c r="AP214" s="301"/>
      <c r="AQ214" s="301"/>
      <c r="AR214" s="189"/>
      <c r="AS214" s="189"/>
      <c r="AT214" s="92"/>
      <c r="AU214" s="92"/>
      <c r="AV214" s="113"/>
      <c r="AW214" s="92"/>
      <c r="AX214" s="92"/>
      <c r="AY214" s="92"/>
      <c r="AZ214" s="92"/>
      <c r="BA214" s="301"/>
      <c r="BB214" s="293"/>
      <c r="BC214" s="205"/>
      <c r="BD214" s="160"/>
      <c r="BE214" s="160"/>
      <c r="BF214" s="205"/>
      <c r="BG214" s="297"/>
      <c r="BH214" s="297"/>
      <c r="BI214" s="301"/>
      <c r="BJ214" s="92"/>
      <c r="BK214" s="92"/>
      <c r="BL214" s="92"/>
      <c r="BM214" s="112"/>
      <c r="BN214" s="92"/>
      <c r="BO214" s="92"/>
      <c r="BP214" s="301"/>
      <c r="BQ214" s="173"/>
      <c r="BR214" s="173"/>
      <c r="BS214" s="293"/>
      <c r="BT214" s="301"/>
      <c r="BU214" s="297"/>
      <c r="BV214" s="297"/>
      <c r="BW214" s="301"/>
      <c r="BX214" s="92"/>
      <c r="BY214" s="92"/>
      <c r="BZ214" s="92"/>
      <c r="CA214" s="92"/>
      <c r="CB214" s="92"/>
      <c r="CC214" s="112"/>
      <c r="CD214" s="92"/>
      <c r="CE214" s="92"/>
      <c r="CF214" s="301"/>
      <c r="CG214" s="301"/>
      <c r="CH214" s="301"/>
      <c r="CI214" s="301"/>
      <c r="CJ214" s="201"/>
      <c r="CK214" s="290"/>
      <c r="CL214" s="201"/>
      <c r="CM214" s="92"/>
      <c r="CN214" s="92"/>
      <c r="CO214" s="92"/>
      <c r="CP214" s="92"/>
      <c r="CQ214" s="92"/>
      <c r="CR214" s="92"/>
      <c r="CS214" s="112"/>
      <c r="CT214" s="92"/>
      <c r="CU214" s="92"/>
      <c r="CV214" s="92"/>
      <c r="CW214" s="301"/>
      <c r="CX214" s="293"/>
      <c r="CY214" s="201"/>
      <c r="CZ214" s="290"/>
      <c r="DA214" s="290"/>
      <c r="DB214" s="290"/>
      <c r="DC214" s="293"/>
      <c r="DD214" s="92"/>
      <c r="DE214" s="92"/>
      <c r="DF214" s="92"/>
      <c r="DG214" s="92"/>
      <c r="DH214" s="92"/>
      <c r="DI214" s="112"/>
      <c r="DJ214" s="92"/>
      <c r="DK214" s="301"/>
      <c r="DL214" s="200"/>
      <c r="DM214" s="200"/>
      <c r="DN214" s="297"/>
      <c r="DO214" s="201"/>
      <c r="DP214" s="291"/>
      <c r="DQ214" s="205"/>
      <c r="DR214" s="163"/>
      <c r="DS214" s="205"/>
      <c r="DT214" s="293"/>
      <c r="DU214" s="297"/>
      <c r="DV214" s="200"/>
      <c r="DW214" s="92"/>
      <c r="DX214" s="362"/>
      <c r="DY214" s="92"/>
      <c r="DZ214" s="92"/>
    </row>
    <row r="215" spans="1:130">
      <c r="A215" s="92"/>
      <c r="B215" s="92"/>
      <c r="C215" s="92"/>
      <c r="D215" s="301"/>
      <c r="E215" s="297"/>
      <c r="F215" s="61"/>
      <c r="G215" s="292"/>
      <c r="H215" s="173"/>
      <c r="I215" s="292"/>
      <c r="J215" s="294"/>
      <c r="K215" s="163"/>
      <c r="L215" s="163"/>
      <c r="M215" s="301"/>
      <c r="N215" s="92"/>
      <c r="O215" s="92"/>
      <c r="P215" s="113"/>
      <c r="Q215" s="92"/>
      <c r="R215" s="92"/>
      <c r="S215" s="92"/>
      <c r="T215" s="92"/>
      <c r="U215" s="92"/>
      <c r="V215" s="92"/>
      <c r="W215" s="297"/>
      <c r="X215" s="173"/>
      <c r="Y215" s="297"/>
      <c r="Z215" s="297"/>
      <c r="AA215" s="297"/>
      <c r="AB215" s="301"/>
      <c r="AC215" s="199"/>
      <c r="AD215" s="92"/>
      <c r="AE215" s="92"/>
      <c r="AF215" s="113"/>
      <c r="AG215" s="92"/>
      <c r="AH215" s="92"/>
      <c r="AI215" s="92"/>
      <c r="AJ215" s="92"/>
      <c r="AK215" s="92"/>
      <c r="AL215" s="92"/>
      <c r="AM215" s="301"/>
      <c r="AN215" s="297"/>
      <c r="AO215" s="297"/>
      <c r="AP215" s="297"/>
      <c r="AQ215" s="297"/>
      <c r="AR215" s="297"/>
      <c r="AS215" s="301"/>
      <c r="AT215" s="92"/>
      <c r="AU215" s="92"/>
      <c r="AV215" s="113"/>
      <c r="AW215" s="92"/>
      <c r="AX215" s="92"/>
      <c r="AY215" s="92"/>
      <c r="AZ215" s="92"/>
      <c r="BA215" s="92"/>
      <c r="BB215" s="163"/>
      <c r="BC215" s="173"/>
      <c r="BD215" s="173"/>
      <c r="BE215" s="290"/>
      <c r="BF215" s="173"/>
      <c r="BG215" s="173"/>
      <c r="BH215" s="160"/>
      <c r="BI215" s="297"/>
      <c r="BJ215" s="92"/>
      <c r="BK215" s="92"/>
      <c r="BL215" s="92"/>
      <c r="BM215" s="112"/>
      <c r="BN215" s="92"/>
      <c r="BO215" s="92"/>
      <c r="BP215" s="301"/>
      <c r="BQ215" s="298"/>
      <c r="BR215" s="160"/>
      <c r="BS215" s="201"/>
      <c r="BT215" s="297"/>
      <c r="BU215" s="173"/>
      <c r="BV215" s="173"/>
      <c r="BW215" s="297"/>
      <c r="BX215" s="92"/>
      <c r="BY215" s="92"/>
      <c r="BZ215" s="92"/>
      <c r="CA215" s="92"/>
      <c r="CB215" s="92"/>
      <c r="CC215" s="112"/>
      <c r="CD215" s="92"/>
      <c r="CE215" s="92"/>
      <c r="CF215" s="297"/>
      <c r="CG215" s="294"/>
      <c r="CH215" s="173"/>
      <c r="CI215" s="173"/>
      <c r="CJ215" s="290"/>
      <c r="CK215" s="290"/>
      <c r="CL215" s="199"/>
      <c r="CM215" s="92"/>
      <c r="CN215" s="92"/>
      <c r="CO215" s="92"/>
      <c r="CP215" s="92"/>
      <c r="CQ215" s="92"/>
      <c r="CR215" s="92"/>
      <c r="CS215" s="112"/>
      <c r="CT215" s="92"/>
      <c r="CU215" s="92"/>
      <c r="CV215" s="92"/>
      <c r="CW215" s="92"/>
      <c r="CX215" s="297"/>
      <c r="CY215" s="201"/>
      <c r="CZ215" s="201"/>
      <c r="DA215" s="294"/>
      <c r="DB215" s="205"/>
      <c r="DC215" s="297"/>
      <c r="DD215" s="92"/>
      <c r="DE215" s="92"/>
      <c r="DF215" s="92"/>
      <c r="DG215" s="92"/>
      <c r="DH215" s="92"/>
      <c r="DI215" s="112"/>
      <c r="DJ215" s="92"/>
      <c r="DK215" s="301"/>
      <c r="DL215" s="297"/>
      <c r="DM215" s="297"/>
      <c r="DN215" s="294"/>
      <c r="DO215" s="290"/>
      <c r="DP215" s="205"/>
      <c r="DQ215" s="173"/>
      <c r="DR215" s="205"/>
      <c r="DS215" s="293"/>
      <c r="DT215" s="293"/>
      <c r="DU215" s="92"/>
      <c r="DV215" s="92"/>
      <c r="DW215" s="92"/>
      <c r="DX215" s="362"/>
      <c r="DY215" s="92"/>
      <c r="DZ215" s="92"/>
    </row>
    <row r="216" spans="1:130">
      <c r="A216" s="92"/>
      <c r="B216" s="92"/>
      <c r="C216" s="92"/>
      <c r="D216" s="301"/>
      <c r="E216" s="301"/>
      <c r="F216" s="50"/>
      <c r="G216" s="50"/>
      <c r="H216" s="206"/>
      <c r="I216" s="199"/>
      <c r="J216" s="50"/>
      <c r="K216" s="201"/>
      <c r="L216" s="158"/>
      <c r="M216" s="92"/>
      <c r="N216" s="92"/>
      <c r="O216" s="92"/>
      <c r="P216" s="113"/>
      <c r="Q216" s="92"/>
      <c r="R216" s="92"/>
      <c r="S216" s="92"/>
      <c r="T216" s="92"/>
      <c r="U216" s="92"/>
      <c r="V216" s="92"/>
      <c r="W216" s="301"/>
      <c r="X216" s="290"/>
      <c r="Y216" s="173"/>
      <c r="Z216" s="64"/>
      <c r="AA216" s="201"/>
      <c r="AB216" s="301"/>
      <c r="AC216" s="199"/>
      <c r="AD216" s="92"/>
      <c r="AE216" s="92"/>
      <c r="AF216" s="113"/>
      <c r="AG216" s="92"/>
      <c r="AH216" s="92"/>
      <c r="AI216" s="92"/>
      <c r="AJ216" s="92"/>
      <c r="AK216" s="92"/>
      <c r="AL216" s="92"/>
      <c r="AM216" s="92"/>
      <c r="AN216" s="173"/>
      <c r="AO216" s="173"/>
      <c r="AP216" s="205"/>
      <c r="AQ216" s="160"/>
      <c r="AR216" s="297"/>
      <c r="AS216" s="92"/>
      <c r="AT216" s="92"/>
      <c r="AU216" s="92"/>
      <c r="AV216" s="113"/>
      <c r="AW216" s="92"/>
      <c r="AX216" s="92"/>
      <c r="AY216" s="92"/>
      <c r="AZ216" s="92"/>
      <c r="BA216" s="92"/>
      <c r="BB216" s="297"/>
      <c r="BC216" s="298"/>
      <c r="BD216" s="160"/>
      <c r="BE216" s="201"/>
      <c r="BF216" s="160"/>
      <c r="BG216" s="160"/>
      <c r="BH216" s="160"/>
      <c r="BI216" s="201"/>
      <c r="BJ216" s="92"/>
      <c r="BK216" s="92"/>
      <c r="BL216" s="92"/>
      <c r="BM216" s="112"/>
      <c r="BN216" s="92"/>
      <c r="BO216" s="92"/>
      <c r="BP216" s="92"/>
      <c r="BQ216" s="301"/>
      <c r="BR216" s="201"/>
      <c r="BS216" s="201"/>
      <c r="BT216" s="301"/>
      <c r="BU216" s="201"/>
      <c r="BV216" s="294"/>
      <c r="BW216" s="201"/>
      <c r="BX216" s="92"/>
      <c r="BY216" s="92"/>
      <c r="BZ216" s="92"/>
      <c r="CA216" s="92"/>
      <c r="CB216" s="92"/>
      <c r="CC216" s="112"/>
      <c r="CD216" s="92"/>
      <c r="CE216" s="92"/>
      <c r="CF216" s="92"/>
      <c r="CG216" s="92"/>
      <c r="CH216" s="294"/>
      <c r="CI216" s="199"/>
      <c r="CJ216" s="201"/>
      <c r="CK216" s="290"/>
      <c r="CL216" s="92"/>
      <c r="CM216" s="92"/>
      <c r="CN216" s="92"/>
      <c r="CO216" s="92"/>
      <c r="CP216" s="92"/>
      <c r="CQ216" s="92"/>
      <c r="CR216" s="92"/>
      <c r="CS216" s="112"/>
      <c r="CT216" s="92"/>
      <c r="CU216" s="92"/>
      <c r="CV216" s="92"/>
      <c r="CW216" s="92"/>
      <c r="CX216" s="201"/>
      <c r="CY216" s="294"/>
      <c r="CZ216" s="201"/>
      <c r="DA216" s="201"/>
      <c r="DB216" s="293"/>
      <c r="DC216" s="297"/>
      <c r="DD216" s="92"/>
      <c r="DE216" s="92"/>
      <c r="DF216" s="92"/>
      <c r="DG216" s="92"/>
      <c r="DH216" s="92"/>
      <c r="DI216" s="112"/>
      <c r="DJ216" s="92"/>
      <c r="DK216" s="92"/>
      <c r="DL216" s="92"/>
      <c r="DM216" s="293"/>
      <c r="DN216" s="201"/>
      <c r="DO216" s="201"/>
      <c r="DP216" s="205"/>
      <c r="DQ216" s="201"/>
      <c r="DR216" s="205"/>
      <c r="DS216" s="293"/>
      <c r="DT216" s="92"/>
      <c r="DU216" s="92"/>
      <c r="DV216" s="92"/>
      <c r="DW216" s="92"/>
      <c r="DX216" s="362"/>
      <c r="DY216" s="92"/>
      <c r="DZ216" s="92"/>
    </row>
    <row r="217" spans="1:130">
      <c r="A217" s="92"/>
      <c r="B217" s="92"/>
      <c r="C217" s="92"/>
      <c r="D217" s="92"/>
      <c r="E217" s="301"/>
      <c r="F217" s="64"/>
      <c r="G217" s="50"/>
      <c r="H217" s="50"/>
      <c r="I217" s="297"/>
      <c r="J217" s="298"/>
      <c r="K217" s="64"/>
      <c r="L217" s="293"/>
      <c r="M217" s="92"/>
      <c r="N217" s="92"/>
      <c r="O217" s="92"/>
      <c r="P217" s="113"/>
      <c r="Q217" s="92"/>
      <c r="R217" s="92"/>
      <c r="S217" s="92"/>
      <c r="T217" s="92"/>
      <c r="U217" s="92"/>
      <c r="V217" s="92"/>
      <c r="W217" s="92"/>
      <c r="X217" s="293"/>
      <c r="Y217" s="298"/>
      <c r="Z217" s="294"/>
      <c r="AA217" s="201"/>
      <c r="AB217" s="92"/>
      <c r="AC217" s="92"/>
      <c r="AD217" s="92"/>
      <c r="AE217" s="92"/>
      <c r="AF217" s="113"/>
      <c r="AG217" s="92"/>
      <c r="AH217" s="92"/>
      <c r="AI217" s="92"/>
      <c r="AJ217" s="92"/>
      <c r="AK217" s="92"/>
      <c r="AL217" s="92"/>
      <c r="AM217" s="92"/>
      <c r="AN217" s="163"/>
      <c r="AO217" s="201"/>
      <c r="AP217" s="294"/>
      <c r="AQ217" s="160"/>
      <c r="AR217" s="160"/>
      <c r="AS217" s="92"/>
      <c r="AT217" s="92"/>
      <c r="AU217" s="92"/>
      <c r="AV217" s="113"/>
      <c r="AW217" s="92"/>
      <c r="AX217" s="92"/>
      <c r="AY217" s="92"/>
      <c r="AZ217" s="92"/>
      <c r="BA217" s="92"/>
      <c r="BB217" s="92"/>
      <c r="BC217" s="92"/>
      <c r="BD217" s="201"/>
      <c r="BE217" s="294"/>
      <c r="BF217" s="92"/>
      <c r="BG217" s="201"/>
      <c r="BH217" s="201"/>
      <c r="BI217" s="92"/>
      <c r="BJ217" s="92"/>
      <c r="BK217" s="92"/>
      <c r="BL217" s="92"/>
      <c r="BM217" s="112"/>
      <c r="BN217" s="92"/>
      <c r="BO217" s="92"/>
      <c r="BP217" s="92"/>
      <c r="BQ217" s="92"/>
      <c r="BR217" s="298"/>
      <c r="BS217" s="298"/>
      <c r="BT217" s="92"/>
      <c r="BU217" s="199"/>
      <c r="BV217" s="294"/>
      <c r="BW217" s="201"/>
      <c r="BX217" s="92"/>
      <c r="BY217" s="92"/>
      <c r="BZ217" s="92"/>
      <c r="CA217" s="92"/>
      <c r="CB217" s="92"/>
      <c r="CC217" s="112"/>
      <c r="CD217" s="92"/>
      <c r="CE217" s="92"/>
      <c r="CF217" s="92"/>
      <c r="CG217" s="92"/>
      <c r="CH217" s="294"/>
      <c r="CI217" s="199"/>
      <c r="CJ217" s="201"/>
      <c r="CK217" s="290"/>
      <c r="CL217" s="92"/>
      <c r="CM217" s="92"/>
      <c r="CN217" s="92"/>
      <c r="CO217" s="92"/>
      <c r="CP217" s="92"/>
      <c r="CQ217" s="92"/>
      <c r="CR217" s="92"/>
      <c r="CS217" s="112"/>
      <c r="CT217" s="92"/>
      <c r="CU217" s="92"/>
      <c r="CV217" s="92"/>
      <c r="CW217" s="92"/>
      <c r="CX217" s="199"/>
      <c r="CY217" s="201"/>
      <c r="CZ217" s="294"/>
      <c r="DA217" s="298"/>
      <c r="DB217" s="294"/>
      <c r="DC217" s="92"/>
      <c r="DD217" s="92"/>
      <c r="DE217" s="92"/>
      <c r="DF217" s="92"/>
      <c r="DG217" s="92"/>
      <c r="DH217" s="92"/>
      <c r="DI217" s="112"/>
      <c r="DJ217" s="92"/>
      <c r="DK217" s="92"/>
      <c r="DL217" s="92"/>
      <c r="DM217" s="92"/>
      <c r="DN217" s="199"/>
      <c r="DO217" s="201"/>
      <c r="DP217" s="205"/>
      <c r="DQ217" s="201"/>
      <c r="DR217" s="294"/>
      <c r="DS217" s="297"/>
      <c r="DT217" s="92"/>
      <c r="DU217" s="92"/>
      <c r="DV217" s="92"/>
      <c r="DW217" s="92"/>
      <c r="DX217" s="113"/>
      <c r="DY217" s="92"/>
      <c r="DZ217" s="92"/>
    </row>
    <row r="218" spans="1:130">
      <c r="A218" s="92"/>
      <c r="B218" s="92"/>
      <c r="C218" s="92"/>
      <c r="D218" s="92"/>
      <c r="E218" s="92"/>
      <c r="F218" s="92"/>
      <c r="G218" s="61"/>
      <c r="H218" s="64"/>
      <c r="I218" s="92"/>
      <c r="J218" s="207"/>
      <c r="K218" s="294"/>
      <c r="L218" s="92"/>
      <c r="M218" s="92"/>
      <c r="N218" s="92"/>
      <c r="O218" s="92"/>
      <c r="P218" s="113"/>
      <c r="Q218" s="92"/>
      <c r="R218" s="92"/>
      <c r="S218" s="92"/>
      <c r="T218" s="92"/>
      <c r="U218" s="92"/>
      <c r="V218" s="92"/>
      <c r="W218" s="92"/>
      <c r="X218" s="92"/>
      <c r="Y218" s="64"/>
      <c r="Z218" s="294"/>
      <c r="AA218" s="294"/>
      <c r="AB218" s="92"/>
      <c r="AC218" s="92"/>
      <c r="AD218" s="92"/>
      <c r="AE218" s="92"/>
      <c r="AF218" s="113"/>
      <c r="AG218" s="92"/>
      <c r="AH218" s="92"/>
      <c r="AI218" s="92"/>
      <c r="AJ218" s="92"/>
      <c r="AK218" s="92"/>
      <c r="AL218" s="92"/>
      <c r="AM218" s="92"/>
      <c r="AN218" s="298"/>
      <c r="AO218" s="294"/>
      <c r="AP218" s="161"/>
      <c r="AQ218" s="201"/>
      <c r="AR218" s="160"/>
      <c r="AS218" s="160"/>
      <c r="AT218" s="92"/>
      <c r="AU218" s="92"/>
      <c r="AV218" s="113"/>
      <c r="AW218" s="92"/>
      <c r="AX218" s="92"/>
      <c r="AY218" s="92"/>
      <c r="AZ218" s="92"/>
      <c r="BA218" s="92"/>
      <c r="BB218" s="92"/>
      <c r="BC218" s="92"/>
      <c r="BD218" s="294"/>
      <c r="BE218" s="294"/>
      <c r="BF218" s="92"/>
      <c r="BG218" s="201"/>
      <c r="BH218" s="201"/>
      <c r="BI218" s="160"/>
      <c r="BJ218" s="92"/>
      <c r="BK218" s="92"/>
      <c r="BL218" s="92"/>
      <c r="BM218" s="112"/>
      <c r="BN218" s="92"/>
      <c r="BO218" s="92"/>
      <c r="BP218" s="92"/>
      <c r="BQ218" s="92"/>
      <c r="BR218" s="298"/>
      <c r="BS218" s="92"/>
      <c r="BT218" s="92"/>
      <c r="BU218" s="92"/>
      <c r="BV218" s="201"/>
      <c r="BW218" s="201"/>
      <c r="BX218" s="92"/>
      <c r="BY218" s="92"/>
      <c r="BZ218" s="92"/>
      <c r="CA218" s="92"/>
      <c r="CB218" s="92"/>
      <c r="CC218" s="112"/>
      <c r="CD218" s="92"/>
      <c r="CE218" s="92"/>
      <c r="CF218" s="92"/>
      <c r="CG218" s="92"/>
      <c r="CH218" s="298"/>
      <c r="CI218" s="298"/>
      <c r="CJ218" s="290"/>
      <c r="CK218" s="92"/>
      <c r="CL218" s="92"/>
      <c r="CM218" s="92"/>
      <c r="CN218" s="92"/>
      <c r="CO218" s="92"/>
      <c r="CP218" s="92"/>
      <c r="CQ218" s="92"/>
      <c r="CR218" s="92"/>
      <c r="CS218" s="112"/>
      <c r="CT218" s="92"/>
      <c r="CU218" s="92"/>
      <c r="CV218" s="92"/>
      <c r="CW218" s="199"/>
      <c r="CX218" s="201"/>
      <c r="CY218" s="294"/>
      <c r="CZ218" s="92"/>
      <c r="DA218" s="298"/>
      <c r="DB218" s="294"/>
      <c r="DC218" s="92"/>
      <c r="DD218" s="92"/>
      <c r="DE218" s="92"/>
      <c r="DF218" s="92"/>
      <c r="DG218" s="92"/>
      <c r="DH218" s="92"/>
      <c r="DI218" s="112"/>
      <c r="DJ218" s="92"/>
      <c r="DK218" s="92"/>
      <c r="DL218" s="92"/>
      <c r="DM218" s="298"/>
      <c r="DN218" s="199"/>
      <c r="DO218" s="201"/>
      <c r="DP218" s="92"/>
      <c r="DQ218" s="92"/>
      <c r="DR218" s="294"/>
      <c r="DS218" s="92"/>
      <c r="DT218" s="92"/>
      <c r="DU218" s="92"/>
      <c r="DV218" s="92"/>
      <c r="DW218" s="92"/>
      <c r="DX218" s="113"/>
      <c r="DY218" s="92"/>
      <c r="DZ218" s="92"/>
    </row>
    <row r="219" spans="1:130">
      <c r="A219" s="92"/>
      <c r="B219" s="92"/>
      <c r="C219" s="92"/>
      <c r="D219" s="92"/>
      <c r="E219" s="92"/>
      <c r="F219" s="52"/>
      <c r="G219" s="61"/>
      <c r="H219" s="50"/>
      <c r="I219" s="92"/>
      <c r="J219" s="92"/>
      <c r="K219" s="298"/>
      <c r="L219" s="92"/>
      <c r="M219" s="92"/>
      <c r="N219" s="92"/>
      <c r="O219" s="92"/>
      <c r="P219" s="113"/>
      <c r="Q219" s="92"/>
      <c r="R219" s="92"/>
      <c r="S219" s="92"/>
      <c r="T219" s="92"/>
      <c r="U219" s="92"/>
      <c r="V219" s="92"/>
      <c r="W219" s="92"/>
      <c r="X219" s="92"/>
      <c r="Y219" s="92"/>
      <c r="Z219" s="294"/>
      <c r="AA219" s="293"/>
      <c r="AB219" s="92"/>
      <c r="AC219" s="92"/>
      <c r="AD219" s="92"/>
      <c r="AE219" s="92"/>
      <c r="AF219" s="113"/>
      <c r="AG219" s="92"/>
      <c r="AH219" s="92"/>
      <c r="AI219" s="92"/>
      <c r="AJ219" s="92"/>
      <c r="AK219" s="92"/>
      <c r="AL219" s="92"/>
      <c r="AM219" s="92"/>
      <c r="AN219" s="294"/>
      <c r="AO219" s="294"/>
      <c r="AP219" s="301"/>
      <c r="AQ219" s="201"/>
      <c r="AR219" s="201"/>
      <c r="AS219" s="64"/>
      <c r="AT219" s="92"/>
      <c r="AU219" s="92"/>
      <c r="AV219" s="113"/>
      <c r="AW219" s="92"/>
      <c r="AX219" s="92"/>
      <c r="AY219" s="92"/>
      <c r="AZ219" s="92"/>
      <c r="BA219" s="92"/>
      <c r="BB219" s="92"/>
      <c r="BC219" s="92"/>
      <c r="BD219" s="294"/>
      <c r="BE219" s="92"/>
      <c r="BF219" s="92"/>
      <c r="BG219" s="92"/>
      <c r="BH219" s="201"/>
      <c r="BI219" s="298"/>
      <c r="BJ219" s="92"/>
      <c r="BK219" s="92"/>
      <c r="BL219" s="92"/>
      <c r="BM219" s="112"/>
      <c r="BN219" s="92"/>
      <c r="BO219" s="92"/>
      <c r="BP219" s="92"/>
      <c r="BQ219" s="92"/>
      <c r="BR219" s="294"/>
      <c r="BS219" s="92"/>
      <c r="BT219" s="92"/>
      <c r="BU219" s="92"/>
      <c r="BV219" s="298"/>
      <c r="BW219" s="199"/>
      <c r="BX219" s="92"/>
      <c r="BY219" s="92"/>
      <c r="BZ219" s="92"/>
      <c r="CA219" s="92"/>
      <c r="CB219" s="92"/>
      <c r="CC219" s="112"/>
      <c r="CD219" s="92"/>
      <c r="CE219" s="92"/>
      <c r="CF219" s="92"/>
      <c r="CG219" s="92"/>
      <c r="CH219" s="298"/>
      <c r="CI219" s="201"/>
      <c r="CJ219" s="199"/>
      <c r="CK219" s="92"/>
      <c r="CL219" s="92"/>
      <c r="CM219" s="92"/>
      <c r="CN219" s="92"/>
      <c r="CO219" s="92"/>
      <c r="CP219" s="92"/>
      <c r="CQ219" s="92"/>
      <c r="CR219" s="92"/>
      <c r="CS219" s="112"/>
      <c r="CT219" s="92"/>
      <c r="CU219" s="92"/>
      <c r="CV219" s="92"/>
      <c r="CW219" s="201"/>
      <c r="CX219" s="201"/>
      <c r="CY219" s="92"/>
      <c r="CZ219" s="92"/>
      <c r="DA219" s="207"/>
      <c r="DB219" s="92"/>
      <c r="DC219" s="92"/>
      <c r="DD219" s="92"/>
      <c r="DE219" s="92"/>
      <c r="DF219" s="92"/>
      <c r="DG219" s="92"/>
      <c r="DH219" s="92"/>
      <c r="DI219" s="112"/>
      <c r="DJ219" s="92"/>
      <c r="DK219" s="92"/>
      <c r="DL219" s="92"/>
      <c r="DM219" s="298"/>
      <c r="DN219" s="199"/>
      <c r="DO219" s="201"/>
      <c r="DP219" s="92"/>
      <c r="DQ219" s="92"/>
      <c r="DR219" s="298"/>
      <c r="DS219" s="92"/>
      <c r="DT219" s="92"/>
      <c r="DU219" s="92"/>
      <c r="DV219" s="92"/>
      <c r="DW219" s="92"/>
      <c r="DX219" s="113"/>
      <c r="DY219" s="92"/>
      <c r="DZ219" s="92"/>
    </row>
    <row r="220" spans="1:130">
      <c r="A220" s="92"/>
      <c r="B220" s="92"/>
      <c r="C220" s="92"/>
      <c r="D220" s="92"/>
      <c r="E220" s="92"/>
      <c r="F220" s="52"/>
      <c r="G220" s="64"/>
      <c r="H220" s="50"/>
      <c r="I220" s="92"/>
      <c r="J220" s="92"/>
      <c r="K220" s="298"/>
      <c r="L220" s="92"/>
      <c r="M220" s="92"/>
      <c r="N220" s="92"/>
      <c r="O220" s="92"/>
      <c r="P220" s="113"/>
      <c r="Q220" s="92"/>
      <c r="R220" s="92"/>
      <c r="S220" s="92"/>
      <c r="T220" s="92"/>
      <c r="U220" s="92"/>
      <c r="V220" s="92"/>
      <c r="W220" s="92"/>
      <c r="X220" s="92"/>
      <c r="Y220" s="92"/>
      <c r="Z220" s="298"/>
      <c r="AA220" s="201"/>
      <c r="AB220" s="92"/>
      <c r="AC220" s="92"/>
      <c r="AD220" s="92"/>
      <c r="AE220" s="92"/>
      <c r="AF220" s="113"/>
      <c r="AG220" s="92"/>
      <c r="AH220" s="92"/>
      <c r="AI220" s="92"/>
      <c r="AJ220" s="92"/>
      <c r="AK220" s="92"/>
      <c r="AL220" s="92"/>
      <c r="AM220" s="92"/>
      <c r="AN220" s="294"/>
      <c r="AO220" s="92"/>
      <c r="AP220" s="92"/>
      <c r="AQ220" s="92"/>
      <c r="AR220" s="201"/>
      <c r="AS220" s="201"/>
      <c r="AT220" s="92"/>
      <c r="AU220" s="92"/>
      <c r="AV220" s="113"/>
      <c r="AW220" s="92"/>
      <c r="AX220" s="92"/>
      <c r="AY220" s="92"/>
      <c r="AZ220" s="92"/>
      <c r="BA220" s="92"/>
      <c r="BB220" s="92"/>
      <c r="BC220" s="298"/>
      <c r="BD220" s="92"/>
      <c r="BE220" s="92"/>
      <c r="BF220" s="92"/>
      <c r="BG220" s="92"/>
      <c r="BH220" s="201"/>
      <c r="BI220" s="290"/>
      <c r="BJ220" s="294"/>
      <c r="BK220" s="92"/>
      <c r="BL220" s="92"/>
      <c r="BM220" s="112"/>
      <c r="BN220" s="92"/>
      <c r="BO220" s="92"/>
      <c r="BP220" s="92"/>
      <c r="BQ220" s="92"/>
      <c r="BR220" s="294"/>
      <c r="BS220" s="92"/>
      <c r="BT220" s="92"/>
      <c r="BU220" s="92"/>
      <c r="BV220" s="294"/>
      <c r="BW220" s="294"/>
      <c r="BX220" s="92"/>
      <c r="BY220" s="92"/>
      <c r="BZ220" s="92"/>
      <c r="CA220" s="92"/>
      <c r="CB220" s="92"/>
      <c r="CC220" s="112"/>
      <c r="CD220" s="92"/>
      <c r="CE220" s="92"/>
      <c r="CF220" s="92"/>
      <c r="CG220" s="92"/>
      <c r="CH220" s="294"/>
      <c r="CI220" s="201"/>
      <c r="CJ220" s="294"/>
      <c r="CK220" s="92"/>
      <c r="CL220" s="92"/>
      <c r="CM220" s="92"/>
      <c r="CN220" s="92"/>
      <c r="CO220" s="92"/>
      <c r="CP220" s="92"/>
      <c r="CQ220" s="92"/>
      <c r="CR220" s="92"/>
      <c r="CS220" s="112"/>
      <c r="CT220" s="92"/>
      <c r="CU220" s="92"/>
      <c r="CV220" s="298"/>
      <c r="CW220" s="201"/>
      <c r="CX220" s="201"/>
      <c r="CY220" s="92"/>
      <c r="CZ220" s="92"/>
      <c r="DA220" s="294"/>
      <c r="DB220" s="92"/>
      <c r="DC220" s="92"/>
      <c r="DD220" s="92"/>
      <c r="DE220" s="92"/>
      <c r="DF220" s="92"/>
      <c r="DG220" s="92"/>
      <c r="DH220" s="92"/>
      <c r="DI220" s="112"/>
      <c r="DJ220" s="92"/>
      <c r="DK220" s="92"/>
      <c r="DL220" s="298"/>
      <c r="DM220" s="199"/>
      <c r="DN220" s="201"/>
      <c r="DO220" s="92"/>
      <c r="DP220" s="92"/>
      <c r="DQ220" s="92"/>
      <c r="DR220" s="207"/>
      <c r="DS220" s="92"/>
      <c r="DT220" s="92"/>
      <c r="DU220" s="92"/>
      <c r="DV220" s="92"/>
      <c r="DW220" s="92"/>
      <c r="DX220" s="113"/>
      <c r="DY220" s="92"/>
      <c r="DZ220" s="92"/>
    </row>
    <row r="221" spans="1:130">
      <c r="A221" s="92"/>
      <c r="B221" s="92"/>
      <c r="C221" s="92"/>
      <c r="D221" s="92"/>
      <c r="E221" s="92"/>
      <c r="F221" s="52"/>
      <c r="G221" s="50"/>
      <c r="H221" s="12"/>
      <c r="I221" s="92"/>
      <c r="J221" s="92"/>
      <c r="K221" s="207"/>
      <c r="L221" s="92"/>
      <c r="M221" s="92"/>
      <c r="N221" s="92"/>
      <c r="O221" s="92"/>
      <c r="P221" s="113"/>
      <c r="Q221" s="92"/>
      <c r="R221" s="92"/>
      <c r="S221" s="92"/>
      <c r="T221" s="92"/>
      <c r="U221" s="92"/>
      <c r="V221" s="92"/>
      <c r="W221" s="92"/>
      <c r="X221" s="92"/>
      <c r="Y221" s="207"/>
      <c r="Z221" s="92"/>
      <c r="AA221" s="201"/>
      <c r="AB221" s="298"/>
      <c r="AC221" s="92"/>
      <c r="AD221" s="92"/>
      <c r="AE221" s="92"/>
      <c r="AF221" s="113"/>
      <c r="AG221" s="92"/>
      <c r="AH221" s="92"/>
      <c r="AI221" s="92"/>
      <c r="AJ221" s="92"/>
      <c r="AK221" s="92"/>
      <c r="AL221" s="92"/>
      <c r="AM221" s="92"/>
      <c r="AN221" s="294"/>
      <c r="AO221" s="92"/>
      <c r="AP221" s="92"/>
      <c r="AQ221" s="92"/>
      <c r="AR221" s="92"/>
      <c r="AS221" s="290"/>
      <c r="AT221" s="298"/>
      <c r="AU221" s="92"/>
      <c r="AV221" s="113"/>
      <c r="AW221" s="92"/>
      <c r="AX221" s="92"/>
      <c r="AY221" s="92"/>
      <c r="AZ221" s="92"/>
      <c r="BA221" s="92"/>
      <c r="BB221" s="92"/>
      <c r="BC221" s="294"/>
      <c r="BD221" s="92"/>
      <c r="BE221" s="92"/>
      <c r="BF221" s="92"/>
      <c r="BG221" s="92"/>
      <c r="BH221" s="92"/>
      <c r="BI221" s="201"/>
      <c r="BJ221" s="294"/>
      <c r="BK221" s="294"/>
      <c r="BL221" s="92"/>
      <c r="BM221" s="112"/>
      <c r="BN221" s="92"/>
      <c r="BO221" s="92"/>
      <c r="BP221" s="92"/>
      <c r="BQ221" s="92"/>
      <c r="BR221" s="294"/>
      <c r="BS221" s="92"/>
      <c r="BT221" s="92"/>
      <c r="BU221" s="92"/>
      <c r="BV221" s="294"/>
      <c r="BW221" s="298"/>
      <c r="BX221" s="92"/>
      <c r="BY221" s="92"/>
      <c r="BZ221" s="92"/>
      <c r="CA221" s="92"/>
      <c r="CB221" s="92"/>
      <c r="CC221" s="112"/>
      <c r="CD221" s="92"/>
      <c r="CE221" s="92"/>
      <c r="CF221" s="92"/>
      <c r="CG221" s="298"/>
      <c r="CH221" s="294"/>
      <c r="CI221" s="290"/>
      <c r="CJ221" s="92"/>
      <c r="CK221" s="92"/>
      <c r="CL221" s="92"/>
      <c r="CM221" s="92"/>
      <c r="CN221" s="92"/>
      <c r="CO221" s="92"/>
      <c r="CP221" s="92"/>
      <c r="CQ221" s="92"/>
      <c r="CR221" s="92"/>
      <c r="CS221" s="112"/>
      <c r="CT221" s="92"/>
      <c r="CU221" s="207"/>
      <c r="CV221" s="298"/>
      <c r="CW221" s="290"/>
      <c r="CX221" s="92"/>
      <c r="CY221" s="92"/>
      <c r="CZ221" s="92"/>
      <c r="DA221" s="294"/>
      <c r="DB221" s="92"/>
      <c r="DC221" s="92"/>
      <c r="DD221" s="92"/>
      <c r="DE221" s="92"/>
      <c r="DF221" s="92"/>
      <c r="DG221" s="92"/>
      <c r="DH221" s="92"/>
      <c r="DI221" s="112"/>
      <c r="DJ221" s="92"/>
      <c r="DK221" s="92"/>
      <c r="DL221" s="207"/>
      <c r="DM221" s="201"/>
      <c r="DN221" s="92"/>
      <c r="DO221" s="92"/>
      <c r="DP221" s="92"/>
      <c r="DQ221" s="92"/>
      <c r="DR221" s="92"/>
      <c r="DS221" s="298"/>
      <c r="DT221" s="92"/>
      <c r="DU221" s="92"/>
      <c r="DV221" s="92"/>
      <c r="DW221" s="92"/>
      <c r="DX221" s="113"/>
      <c r="DY221" s="92"/>
      <c r="DZ221" s="92"/>
    </row>
    <row r="222" spans="1:130">
      <c r="A222" s="92"/>
      <c r="B222" s="92"/>
      <c r="C222" s="92"/>
      <c r="D222" s="92"/>
      <c r="E222" s="92"/>
      <c r="F222" s="92"/>
      <c r="G222" s="52"/>
      <c r="H222" s="61"/>
      <c r="I222" s="12"/>
      <c r="J222" s="92"/>
      <c r="K222" s="294"/>
      <c r="L222" s="92"/>
      <c r="M222" s="92"/>
      <c r="N222" s="92"/>
      <c r="O222" s="92"/>
      <c r="P222" s="113"/>
      <c r="Q222" s="92"/>
      <c r="R222" s="92"/>
      <c r="S222" s="92"/>
      <c r="T222" s="92"/>
      <c r="U222" s="92"/>
      <c r="V222" s="92"/>
      <c r="W222" s="92"/>
      <c r="X222" s="92"/>
      <c r="Y222" s="298"/>
      <c r="Z222" s="92"/>
      <c r="AA222" s="201"/>
      <c r="AB222" s="12"/>
      <c r="AC222" s="92"/>
      <c r="AD222" s="92"/>
      <c r="AE222" s="92"/>
      <c r="AF222" s="113"/>
      <c r="AG222" s="92"/>
      <c r="AH222" s="92"/>
      <c r="AI222" s="92"/>
      <c r="AJ222" s="92"/>
      <c r="AK222" s="92"/>
      <c r="AL222" s="92"/>
      <c r="AM222" s="298"/>
      <c r="AN222" s="92"/>
      <c r="AO222" s="92"/>
      <c r="AP222" s="92"/>
      <c r="AQ222" s="92"/>
      <c r="AR222" s="92"/>
      <c r="AS222" s="201"/>
      <c r="AT222" s="294"/>
      <c r="AU222" s="294"/>
      <c r="AV222" s="113"/>
      <c r="AW222" s="92"/>
      <c r="AX222" s="92"/>
      <c r="AY222" s="92"/>
      <c r="AZ222" s="92"/>
      <c r="BA222" s="92"/>
      <c r="BB222" s="92"/>
      <c r="BC222" s="294"/>
      <c r="BD222" s="92"/>
      <c r="BE222" s="92"/>
      <c r="BF222" s="92"/>
      <c r="BG222" s="92"/>
      <c r="BH222" s="92"/>
      <c r="BI222" s="92"/>
      <c r="BJ222" s="201"/>
      <c r="BK222" s="294"/>
      <c r="BL222" s="92"/>
      <c r="BM222" s="112"/>
      <c r="BN222" s="92"/>
      <c r="BO222" s="92"/>
      <c r="BP222" s="92"/>
      <c r="BQ222" s="92"/>
      <c r="BR222" s="294"/>
      <c r="BS222" s="92"/>
      <c r="BT222" s="92"/>
      <c r="BU222" s="92"/>
      <c r="BV222" s="294"/>
      <c r="BW222" s="294"/>
      <c r="BX222" s="92"/>
      <c r="BY222" s="92"/>
      <c r="BZ222" s="92"/>
      <c r="CA222" s="92"/>
      <c r="CB222" s="92"/>
      <c r="CC222" s="112"/>
      <c r="CD222" s="92"/>
      <c r="CE222" s="92"/>
      <c r="CF222" s="92"/>
      <c r="CG222" s="201"/>
      <c r="CH222" s="298"/>
      <c r="CI222" s="290"/>
      <c r="CJ222" s="92"/>
      <c r="CK222" s="92"/>
      <c r="CL222" s="92"/>
      <c r="CM222" s="92"/>
      <c r="CN222" s="92"/>
      <c r="CO222" s="92"/>
      <c r="CP222" s="92"/>
      <c r="CQ222" s="92"/>
      <c r="CR222" s="92"/>
      <c r="CS222" s="112"/>
      <c r="CT222" s="298"/>
      <c r="CU222" s="298"/>
      <c r="CV222" s="290"/>
      <c r="CW222" s="92"/>
      <c r="CX222" s="92"/>
      <c r="CY222" s="92"/>
      <c r="CZ222" s="92"/>
      <c r="DA222" s="294"/>
      <c r="DB222" s="92"/>
      <c r="DC222" s="92"/>
      <c r="DD222" s="92"/>
      <c r="DE222" s="92"/>
      <c r="DF222" s="92"/>
      <c r="DG222" s="92"/>
      <c r="DH222" s="92"/>
      <c r="DI222" s="112"/>
      <c r="DJ222" s="92"/>
      <c r="DK222" s="298"/>
      <c r="DL222" s="199"/>
      <c r="DM222" s="201"/>
      <c r="DN222" s="92"/>
      <c r="DO222" s="92"/>
      <c r="DP222" s="92"/>
      <c r="DQ222" s="92"/>
      <c r="DR222" s="92"/>
      <c r="DS222" s="294"/>
      <c r="DT222" s="92"/>
      <c r="DU222" s="92"/>
      <c r="DV222" s="92"/>
      <c r="DW222" s="92"/>
      <c r="DX222" s="113"/>
      <c r="DY222" s="92"/>
      <c r="DZ222" s="92"/>
    </row>
    <row r="223" spans="1:130">
      <c r="A223" s="92"/>
      <c r="B223" s="92"/>
      <c r="C223" s="92"/>
      <c r="D223" s="92"/>
      <c r="E223" s="92"/>
      <c r="F223" s="92"/>
      <c r="G223" s="52"/>
      <c r="H223" s="12"/>
      <c r="I223" s="61"/>
      <c r="J223" s="92"/>
      <c r="K223" s="298"/>
      <c r="L223" s="294"/>
      <c r="M223" s="92"/>
      <c r="N223" s="92"/>
      <c r="O223" s="92"/>
      <c r="P223" s="113"/>
      <c r="Q223" s="92"/>
      <c r="R223" s="92"/>
      <c r="S223" s="92"/>
      <c r="T223" s="92"/>
      <c r="U223" s="92"/>
      <c r="V223" s="92"/>
      <c r="W223" s="207"/>
      <c r="X223" s="298"/>
      <c r="Y223" s="294"/>
      <c r="Z223" s="92"/>
      <c r="AA223" s="61"/>
      <c r="AB223" s="12"/>
      <c r="AC223" s="92"/>
      <c r="AD223" s="92"/>
      <c r="AE223" s="92"/>
      <c r="AF223" s="113"/>
      <c r="AG223" s="92"/>
      <c r="AH223" s="92"/>
      <c r="AI223" s="92"/>
      <c r="AJ223" s="92"/>
      <c r="AK223" s="92"/>
      <c r="AL223" s="207"/>
      <c r="AM223" s="298"/>
      <c r="AN223" s="294"/>
      <c r="AO223" s="92"/>
      <c r="AP223" s="92"/>
      <c r="AQ223" s="92"/>
      <c r="AR223" s="92"/>
      <c r="AS223" s="201"/>
      <c r="AT223" s="294"/>
      <c r="AU223" s="92"/>
      <c r="AV223" s="113"/>
      <c r="AW223" s="92"/>
      <c r="AX223" s="92"/>
      <c r="AY223" s="92"/>
      <c r="AZ223" s="92"/>
      <c r="BA223" s="207"/>
      <c r="BB223" s="298"/>
      <c r="BC223" s="294"/>
      <c r="BD223" s="92"/>
      <c r="BE223" s="92"/>
      <c r="BF223" s="92"/>
      <c r="BG223" s="92"/>
      <c r="BH223" s="92"/>
      <c r="BI223" s="92"/>
      <c r="BJ223" s="201"/>
      <c r="BK223" s="201"/>
      <c r="BL223" s="92"/>
      <c r="BM223" s="112"/>
      <c r="BN223" s="92"/>
      <c r="BO223" s="92"/>
      <c r="BP223" s="92"/>
      <c r="BQ223" s="207"/>
      <c r="BR223" s="298"/>
      <c r="BS223" s="294"/>
      <c r="BT223" s="92"/>
      <c r="BU223" s="92"/>
      <c r="BV223" s="290"/>
      <c r="BW223" s="160"/>
      <c r="BX223" s="294"/>
      <c r="BY223" s="92"/>
      <c r="BZ223" s="92"/>
      <c r="CA223" s="92"/>
      <c r="CB223" s="92"/>
      <c r="CC223" s="112"/>
      <c r="CD223" s="92"/>
      <c r="CE223" s="92"/>
      <c r="CF223" s="92"/>
      <c r="CG223" s="294"/>
      <c r="CH223" s="199"/>
      <c r="CI223" s="201"/>
      <c r="CJ223" s="92"/>
      <c r="CK223" s="92"/>
      <c r="CL223" s="92"/>
      <c r="CM223" s="92"/>
      <c r="CN223" s="92"/>
      <c r="CO223" s="92"/>
      <c r="CP223" s="92"/>
      <c r="CQ223" s="92"/>
      <c r="CR223" s="92"/>
      <c r="CS223" s="112"/>
      <c r="CT223" s="92"/>
      <c r="CU223" s="199"/>
      <c r="CV223" s="201"/>
      <c r="CW223" s="92"/>
      <c r="CX223" s="92"/>
      <c r="CY223" s="92"/>
      <c r="CZ223" s="207"/>
      <c r="DA223" s="294"/>
      <c r="DB223" s="298"/>
      <c r="DC223" s="92"/>
      <c r="DD223" s="92"/>
      <c r="DE223" s="92"/>
      <c r="DF223" s="92"/>
      <c r="DG223" s="92"/>
      <c r="DH223" s="92"/>
      <c r="DI223" s="112"/>
      <c r="DJ223" s="92"/>
      <c r="DK223" s="199"/>
      <c r="DL223" s="201"/>
      <c r="DM223" s="293"/>
      <c r="DN223" s="92"/>
      <c r="DO223" s="92"/>
      <c r="DP223" s="92"/>
      <c r="DQ223" s="92"/>
      <c r="DR223" s="207"/>
      <c r="DS223" s="294"/>
      <c r="DT223" s="298"/>
      <c r="DU223" s="92"/>
      <c r="DV223" s="92"/>
      <c r="DW223" s="92"/>
      <c r="DX223" s="113"/>
      <c r="DY223" s="92"/>
      <c r="DZ223" s="92"/>
    </row>
    <row r="224" spans="1:130">
      <c r="A224" s="103"/>
      <c r="B224" s="103"/>
      <c r="C224" s="103"/>
      <c r="D224" s="103"/>
      <c r="E224" s="103"/>
      <c r="F224" s="103"/>
      <c r="G224" s="77"/>
      <c r="H224" s="64"/>
      <c r="I224" s="77"/>
      <c r="J224" s="103"/>
      <c r="K224" s="207"/>
      <c r="L224" s="298"/>
      <c r="M224" s="294"/>
      <c r="N224" s="103"/>
      <c r="O224" s="103"/>
      <c r="P224" s="116"/>
      <c r="Q224" s="103"/>
      <c r="R224" s="103"/>
      <c r="S224" s="103"/>
      <c r="T224" s="103"/>
      <c r="U224" s="103"/>
      <c r="V224" s="103"/>
      <c r="W224" s="298"/>
      <c r="X224" s="294"/>
      <c r="Y224" s="103"/>
      <c r="Z224" s="64"/>
      <c r="AA224" s="61"/>
      <c r="AB224" s="103"/>
      <c r="AC224" s="103"/>
      <c r="AD224" s="103"/>
      <c r="AE224" s="103"/>
      <c r="AF224" s="116"/>
      <c r="AG224" s="103"/>
      <c r="AH224" s="103"/>
      <c r="AI224" s="103"/>
      <c r="AJ224" s="103"/>
      <c r="AK224" s="207"/>
      <c r="AL224" s="294"/>
      <c r="AM224" s="103"/>
      <c r="AN224" s="103"/>
      <c r="AO224" s="103"/>
      <c r="AP224" s="103"/>
      <c r="AQ224" s="103"/>
      <c r="AR224" s="64"/>
      <c r="AS224" s="201"/>
      <c r="AT224" s="103"/>
      <c r="AU224" s="103"/>
      <c r="AV224" s="116"/>
      <c r="AW224" s="103"/>
      <c r="AX224" s="103"/>
      <c r="AY224" s="103"/>
      <c r="AZ224" s="495"/>
      <c r="BA224" s="496"/>
      <c r="BB224" s="337"/>
      <c r="BC224" s="336"/>
      <c r="BD224" s="103"/>
      <c r="BE224" s="103"/>
      <c r="BF224" s="103"/>
      <c r="BG224" s="103"/>
      <c r="BH224" s="103"/>
      <c r="BI224" s="211"/>
      <c r="BJ224" s="211"/>
      <c r="BK224" s="103"/>
      <c r="BL224" s="103"/>
      <c r="BM224" s="476"/>
      <c r="BN224" s="103"/>
      <c r="BO224" s="103"/>
      <c r="BP224" s="495"/>
      <c r="BQ224" s="337"/>
      <c r="BR224" s="336"/>
      <c r="BS224" s="103"/>
      <c r="BT224" s="103"/>
      <c r="BU224" s="211"/>
      <c r="BV224" s="211"/>
      <c r="BW224" s="211"/>
      <c r="BX224" s="211"/>
      <c r="BY224" s="103"/>
      <c r="BZ224" s="103"/>
      <c r="CA224" s="103"/>
      <c r="CB224" s="103"/>
      <c r="CC224" s="476"/>
      <c r="CD224" s="103"/>
      <c r="CE224" s="103"/>
      <c r="CF224" s="103"/>
      <c r="CG224" s="103"/>
      <c r="CH224" s="333"/>
      <c r="CI224" s="333"/>
      <c r="CJ224" s="211"/>
      <c r="CK224" s="103"/>
      <c r="CL224" s="103"/>
      <c r="CM224" s="103"/>
      <c r="CN224" s="103"/>
      <c r="CO224" s="103"/>
      <c r="CP224" s="103"/>
      <c r="CQ224" s="103"/>
      <c r="CR224" s="103"/>
      <c r="CS224" s="476"/>
      <c r="CT224" s="103"/>
      <c r="CU224" s="103"/>
      <c r="CV224" s="210"/>
      <c r="CW224" s="211"/>
      <c r="CX224" s="103"/>
      <c r="CY224" s="103"/>
      <c r="CZ224" s="103"/>
      <c r="DA224" s="496"/>
      <c r="DB224" s="336"/>
      <c r="DC224" s="337"/>
      <c r="DD224" s="103"/>
      <c r="DE224" s="103"/>
      <c r="DF224" s="103"/>
      <c r="DG224" s="103"/>
      <c r="DH224" s="103"/>
      <c r="DI224" s="476"/>
      <c r="DJ224" s="103"/>
      <c r="DK224" s="103"/>
      <c r="DL224" s="337"/>
      <c r="DM224" s="334"/>
      <c r="DN224" s="334"/>
      <c r="DO224" s="103"/>
      <c r="DP224" s="103"/>
      <c r="DQ224" s="103"/>
      <c r="DR224" s="103"/>
      <c r="DS224" s="496"/>
      <c r="DT224" s="336"/>
      <c r="DU224" s="337"/>
      <c r="DV224" s="103"/>
      <c r="DW224" s="103"/>
      <c r="DX224" s="116"/>
      <c r="DY224" s="103"/>
      <c r="DZ224" s="103"/>
    </row>
    <row r="225" spans="1:130">
      <c r="A225" s="114"/>
      <c r="B225" s="51" t="s">
        <v>766</v>
      </c>
      <c r="C225" s="51"/>
      <c r="D225" s="51"/>
      <c r="E225" s="51"/>
      <c r="F225" s="92"/>
      <c r="G225" s="92"/>
      <c r="H225" s="51"/>
      <c r="I225" s="51"/>
      <c r="J225" s="51"/>
      <c r="K225" s="51"/>
      <c r="L225" s="92"/>
      <c r="M225" s="51"/>
      <c r="N225" s="51"/>
      <c r="O225" s="51"/>
      <c r="P225" s="82"/>
      <c r="Q225" s="51"/>
      <c r="R225" s="51"/>
      <c r="S225" s="51"/>
      <c r="T225" s="51"/>
      <c r="U225" s="51"/>
      <c r="V225" s="92"/>
      <c r="W225" s="92"/>
      <c r="X225" s="51"/>
      <c r="Y225" s="51"/>
      <c r="Z225" s="51"/>
      <c r="AA225" s="51"/>
      <c r="AB225" s="92"/>
      <c r="AC225" s="51"/>
      <c r="AD225" s="51"/>
      <c r="AE225" s="51"/>
      <c r="AF225" s="82"/>
      <c r="AG225" s="51"/>
      <c r="AH225" s="51"/>
      <c r="AI225" s="51"/>
      <c r="AJ225" s="51"/>
      <c r="AK225" s="51"/>
      <c r="AL225" s="92"/>
      <c r="AM225" s="92"/>
      <c r="AN225" s="51"/>
      <c r="AO225" s="51"/>
      <c r="AP225" s="51"/>
      <c r="AQ225" s="51"/>
      <c r="AR225" s="92"/>
      <c r="AS225" s="51"/>
      <c r="AT225" s="51"/>
      <c r="AU225" s="51"/>
      <c r="AV225" s="82"/>
      <c r="AW225" s="51"/>
      <c r="AX225" s="51"/>
      <c r="AY225" s="51"/>
      <c r="AZ225" s="51"/>
      <c r="BA225" s="51"/>
      <c r="BB225" s="92"/>
      <c r="BC225" s="92"/>
      <c r="BD225" s="51"/>
      <c r="BE225" s="51"/>
      <c r="BF225" s="51"/>
      <c r="BG225" s="51"/>
      <c r="BH225" s="92"/>
      <c r="BI225" s="51"/>
      <c r="BJ225" s="51"/>
      <c r="BK225" s="51"/>
      <c r="BL225" s="82"/>
      <c r="BM225" s="51"/>
      <c r="BN225" s="51"/>
      <c r="BO225" s="51"/>
      <c r="BP225" s="51"/>
      <c r="BQ225" s="51"/>
      <c r="BR225" s="51"/>
      <c r="BS225" s="92"/>
      <c r="BT225" s="51"/>
      <c r="BU225" s="51"/>
      <c r="BV225" s="51"/>
      <c r="BW225" s="51"/>
      <c r="BX225" s="92"/>
      <c r="BY225" s="51"/>
      <c r="BZ225" s="51"/>
      <c r="CA225" s="51"/>
      <c r="CB225" s="51"/>
      <c r="CC225" s="114"/>
      <c r="CD225" s="51"/>
      <c r="CE225" s="51"/>
      <c r="CF225" s="51"/>
      <c r="CG225" s="92"/>
      <c r="CH225" s="92"/>
      <c r="CI225" s="51"/>
      <c r="CJ225" s="51"/>
      <c r="CK225" s="51"/>
      <c r="CL225" s="51"/>
      <c r="CM225" s="92"/>
      <c r="CN225" s="51"/>
      <c r="CO225" s="51"/>
      <c r="CP225" s="51"/>
      <c r="CQ225" s="51"/>
      <c r="CR225" s="51"/>
      <c r="CS225" s="363"/>
      <c r="CT225" s="51"/>
      <c r="CU225" s="51"/>
      <c r="CV225" s="51"/>
      <c r="CW225" s="51"/>
      <c r="CX225" s="92"/>
      <c r="CY225" s="92"/>
      <c r="CZ225" s="51"/>
      <c r="DA225" s="51"/>
      <c r="DB225" s="51"/>
      <c r="DC225" s="51"/>
      <c r="DD225" s="92"/>
      <c r="DE225" s="51"/>
      <c r="DF225" s="51"/>
      <c r="DG225" s="51"/>
      <c r="DH225" s="51"/>
      <c r="DI225" s="114"/>
      <c r="DJ225" s="51"/>
      <c r="DK225" s="51"/>
      <c r="DL225" s="51"/>
      <c r="DM225" s="51"/>
      <c r="DN225" s="92"/>
      <c r="DO225" s="92"/>
      <c r="DP225" s="51"/>
      <c r="DQ225" s="51"/>
      <c r="DR225" s="51"/>
      <c r="DS225" s="51"/>
      <c r="DT225" s="92"/>
      <c r="DU225" s="51"/>
      <c r="DV225" s="51"/>
      <c r="DW225" s="51"/>
      <c r="DX225" s="362"/>
      <c r="DY225" s="92"/>
      <c r="DZ225" s="92"/>
    </row>
    <row r="226" spans="1:130">
      <c r="A226" s="92"/>
      <c r="B226" s="960"/>
      <c r="C226" s="92"/>
      <c r="D226" s="92"/>
      <c r="E226" s="92"/>
      <c r="F226" s="92"/>
      <c r="G226" s="92"/>
      <c r="H226" s="92"/>
      <c r="I226" s="92"/>
      <c r="J226" s="92"/>
      <c r="K226" s="92"/>
      <c r="L226" s="92"/>
      <c r="M226" s="92"/>
      <c r="N226" s="92"/>
      <c r="O226" s="92"/>
      <c r="P226" s="113"/>
      <c r="Q226" s="92"/>
      <c r="R226" s="92"/>
      <c r="S226" s="92"/>
      <c r="T226" s="92"/>
      <c r="U226" s="92"/>
      <c r="V226" s="92"/>
      <c r="W226" s="92"/>
      <c r="X226" s="92"/>
      <c r="Y226" s="92"/>
      <c r="Z226" s="92"/>
      <c r="AA226" s="92"/>
      <c r="AB226" s="92"/>
      <c r="AC226" s="92"/>
      <c r="AD226" s="92"/>
      <c r="AE226" s="92"/>
      <c r="AF226" s="113"/>
      <c r="AG226" s="92"/>
      <c r="AH226" s="92"/>
      <c r="AI226" s="92"/>
      <c r="AJ226" s="92"/>
      <c r="AK226" s="92"/>
      <c r="AL226" s="92"/>
      <c r="AM226" s="92"/>
      <c r="AN226" s="92"/>
      <c r="AO226" s="92"/>
      <c r="AP226" s="92"/>
      <c r="AQ226" s="92"/>
      <c r="AR226" s="92"/>
      <c r="AS226" s="92"/>
      <c r="AT226" s="92"/>
      <c r="AU226" s="92"/>
      <c r="AV226" s="113"/>
      <c r="AW226" s="92"/>
      <c r="AX226" s="92"/>
      <c r="AY226" s="92"/>
      <c r="AZ226" s="92"/>
      <c r="BA226" s="92"/>
      <c r="BB226" s="92"/>
      <c r="BC226" s="92"/>
      <c r="BD226" s="92"/>
      <c r="BE226" s="92"/>
      <c r="BF226" s="92"/>
      <c r="BG226" s="92"/>
      <c r="BH226" s="92"/>
      <c r="BI226" s="92"/>
      <c r="BJ226" s="92"/>
      <c r="BK226" s="92"/>
      <c r="BL226" s="113"/>
      <c r="BM226" s="92"/>
      <c r="BN226" s="92"/>
      <c r="BO226" s="92"/>
      <c r="BP226" s="92"/>
      <c r="BQ226" s="92"/>
      <c r="BR226" s="92"/>
      <c r="BS226" s="92"/>
      <c r="BT226" s="92"/>
      <c r="BU226" s="92"/>
      <c r="BV226" s="92"/>
      <c r="BW226" s="92"/>
      <c r="BX226" s="92"/>
      <c r="BY226" s="92"/>
      <c r="BZ226" s="92"/>
      <c r="CA226" s="92"/>
      <c r="CB226" s="92"/>
      <c r="CC226" s="112"/>
      <c r="CD226" s="92"/>
      <c r="CE226" s="92"/>
      <c r="CF226" s="92"/>
      <c r="CG226" s="92"/>
      <c r="CH226" s="92"/>
      <c r="CI226" s="92"/>
      <c r="CJ226" s="92"/>
      <c r="CK226" s="92"/>
      <c r="CL226" s="92"/>
      <c r="CM226" s="92"/>
      <c r="CN226" s="92"/>
      <c r="CO226" s="92"/>
      <c r="CP226" s="92"/>
      <c r="CQ226" s="92"/>
      <c r="CR226" s="92"/>
      <c r="CS226" s="363"/>
      <c r="CT226" s="51"/>
      <c r="CU226" s="51"/>
      <c r="CV226" s="51"/>
      <c r="CW226" s="51"/>
      <c r="CX226" s="92"/>
      <c r="CY226" s="92"/>
      <c r="CZ226" s="51"/>
      <c r="DA226" s="51"/>
      <c r="DB226" s="51"/>
      <c r="DC226" s="51"/>
      <c r="DD226" s="92"/>
      <c r="DE226" s="51"/>
      <c r="DF226" s="51"/>
      <c r="DG226" s="51"/>
      <c r="DH226" s="51"/>
      <c r="DI226" s="114"/>
      <c r="DJ226" s="51"/>
      <c r="DK226" s="51"/>
      <c r="DL226" s="51"/>
      <c r="DM226" s="51"/>
      <c r="DN226" s="92"/>
      <c r="DO226" s="92"/>
      <c r="DP226" s="51"/>
      <c r="DQ226" s="51"/>
      <c r="DR226" s="51"/>
      <c r="DS226" s="51"/>
      <c r="DT226" s="92"/>
      <c r="DU226" s="51"/>
      <c r="DV226" s="51"/>
      <c r="DW226" s="51"/>
      <c r="DX226" s="362"/>
      <c r="DY226" s="92"/>
      <c r="DZ226" s="92"/>
    </row>
    <row r="227" spans="1:130">
      <c r="A227" s="92"/>
      <c r="B227" s="92"/>
      <c r="C227" s="92"/>
      <c r="D227" s="92"/>
      <c r="E227" s="92"/>
      <c r="F227" s="92"/>
      <c r="G227" s="301"/>
      <c r="H227" s="293"/>
      <c r="I227" s="293"/>
      <c r="J227" s="297"/>
      <c r="K227" s="92"/>
      <c r="L227" s="92"/>
      <c r="M227" s="92"/>
      <c r="N227" s="92"/>
      <c r="O227" s="92"/>
      <c r="P227" s="113"/>
      <c r="Q227" s="92"/>
      <c r="R227" s="92"/>
      <c r="S227" s="92"/>
      <c r="T227" s="92"/>
      <c r="U227" s="92"/>
      <c r="V227" s="92"/>
      <c r="W227" s="301"/>
      <c r="X227" s="293"/>
      <c r="Y227" s="293"/>
      <c r="Z227" s="297"/>
      <c r="AA227" s="92"/>
      <c r="AB227" s="92"/>
      <c r="AC227" s="92"/>
      <c r="AD227" s="92"/>
      <c r="AE227" s="92"/>
      <c r="AF227" s="113"/>
      <c r="AG227" s="92"/>
      <c r="AH227" s="92"/>
      <c r="AI227" s="92"/>
      <c r="AJ227" s="92"/>
      <c r="AK227" s="92"/>
      <c r="AL227" s="92"/>
      <c r="AM227" s="92"/>
      <c r="AN227" s="92"/>
      <c r="AO227" s="92"/>
      <c r="AP227" s="301"/>
      <c r="AQ227" s="301"/>
      <c r="AR227" s="92"/>
      <c r="AS227" s="92"/>
      <c r="AT227" s="92"/>
      <c r="AU227" s="92"/>
      <c r="AV227" s="113"/>
      <c r="AW227" s="92"/>
      <c r="AX227" s="92"/>
      <c r="AY227" s="92"/>
      <c r="AZ227" s="92"/>
      <c r="BA227" s="92"/>
      <c r="BB227" s="92"/>
      <c r="BC227" s="92"/>
      <c r="BD227" s="92"/>
      <c r="BE227" s="92"/>
      <c r="BF227" s="301"/>
      <c r="BG227" s="293"/>
      <c r="BH227" s="297"/>
      <c r="BI227" s="301"/>
      <c r="BJ227" s="92"/>
      <c r="BK227" s="92"/>
      <c r="BL227" s="113"/>
      <c r="BM227" s="92"/>
      <c r="BN227" s="92"/>
      <c r="BO227" s="92"/>
      <c r="BP227" s="92"/>
      <c r="BQ227" s="92"/>
      <c r="BR227" s="92"/>
      <c r="BS227" s="92"/>
      <c r="BT227" s="92"/>
      <c r="BU227" s="297"/>
      <c r="BV227" s="161"/>
      <c r="BW227" s="301"/>
      <c r="BX227" s="92"/>
      <c r="BY227" s="92"/>
      <c r="BZ227" s="92"/>
      <c r="CA227" s="92"/>
      <c r="CB227" s="92"/>
      <c r="CC227" s="112"/>
      <c r="CD227" s="92"/>
      <c r="CE227" s="92"/>
      <c r="CF227" s="92"/>
      <c r="CG227" s="301"/>
      <c r="CH227" s="293"/>
      <c r="CI227" s="206"/>
      <c r="CJ227" s="297"/>
      <c r="CK227" s="297"/>
      <c r="CL227" s="92"/>
      <c r="CM227" s="92"/>
      <c r="CN227" s="92"/>
      <c r="CO227" s="92"/>
      <c r="CP227" s="92"/>
      <c r="CQ227" s="92"/>
      <c r="CR227" s="92"/>
      <c r="CS227" s="112"/>
      <c r="CT227" s="92"/>
      <c r="CU227" s="92"/>
      <c r="CV227" s="92"/>
      <c r="CW227" s="92"/>
      <c r="CX227" s="301"/>
      <c r="CY227" s="297"/>
      <c r="CZ227" s="301"/>
      <c r="DA227" s="92"/>
      <c r="DB227" s="92"/>
      <c r="DC227" s="92"/>
      <c r="DD227" s="92"/>
      <c r="DE227" s="92"/>
      <c r="DF227" s="92"/>
      <c r="DG227" s="92"/>
      <c r="DH227" s="92"/>
      <c r="DI227" s="112"/>
      <c r="DJ227" s="92"/>
      <c r="DK227" s="92"/>
      <c r="DL227" s="92"/>
      <c r="DM227" s="307"/>
      <c r="DN227" s="297"/>
      <c r="DO227" s="297"/>
      <c r="DP227" s="301"/>
      <c r="DQ227" s="307"/>
      <c r="DR227" s="92"/>
      <c r="DS227" s="92"/>
      <c r="DT227" s="92"/>
      <c r="DU227" s="92"/>
      <c r="DV227" s="92"/>
      <c r="DW227" s="92"/>
      <c r="DX227" s="113"/>
      <c r="DY227" s="92"/>
      <c r="DZ227" s="92"/>
    </row>
    <row r="228" spans="1:130">
      <c r="A228" s="92"/>
      <c r="B228" s="92"/>
      <c r="C228" s="92"/>
      <c r="D228" s="92"/>
      <c r="E228" s="92"/>
      <c r="F228" s="301"/>
      <c r="G228" s="160"/>
      <c r="H228" s="160"/>
      <c r="I228" s="160"/>
      <c r="J228" s="205"/>
      <c r="K228" s="301"/>
      <c r="L228" s="92"/>
      <c r="M228" s="92"/>
      <c r="N228" s="92"/>
      <c r="O228" s="92"/>
      <c r="P228" s="113"/>
      <c r="Q228" s="92"/>
      <c r="R228" s="92"/>
      <c r="S228" s="92"/>
      <c r="T228" s="92"/>
      <c r="U228" s="92"/>
      <c r="V228" s="301"/>
      <c r="W228" s="206"/>
      <c r="X228" s="160"/>
      <c r="Y228" s="160"/>
      <c r="Z228" s="205"/>
      <c r="AA228" s="161"/>
      <c r="AB228" s="301"/>
      <c r="AC228" s="92"/>
      <c r="AD228" s="92"/>
      <c r="AE228" s="92"/>
      <c r="AF228" s="113"/>
      <c r="AG228" s="92"/>
      <c r="AH228" s="92"/>
      <c r="AI228" s="92"/>
      <c r="AJ228" s="92"/>
      <c r="AK228" s="92"/>
      <c r="AL228" s="92"/>
      <c r="AM228" s="301"/>
      <c r="AN228" s="301"/>
      <c r="AO228" s="293"/>
      <c r="AP228" s="206"/>
      <c r="AQ228" s="205"/>
      <c r="AR228" s="293"/>
      <c r="AS228" s="92"/>
      <c r="AT228" s="92"/>
      <c r="AU228" s="92"/>
      <c r="AV228" s="113"/>
      <c r="AW228" s="92"/>
      <c r="AX228" s="92"/>
      <c r="AY228" s="92"/>
      <c r="AZ228" s="92"/>
      <c r="BA228" s="92"/>
      <c r="BB228" s="92"/>
      <c r="BC228" s="92"/>
      <c r="BD228" s="301"/>
      <c r="BE228" s="293"/>
      <c r="BF228" s="160"/>
      <c r="BG228" s="205"/>
      <c r="BH228" s="160"/>
      <c r="BI228" s="206"/>
      <c r="BJ228" s="301"/>
      <c r="BK228" s="92"/>
      <c r="BL228" s="113"/>
      <c r="BM228" s="92"/>
      <c r="BN228" s="92"/>
      <c r="BO228" s="92"/>
      <c r="BP228" s="92"/>
      <c r="BQ228" s="92"/>
      <c r="BR228" s="92"/>
      <c r="BS228" s="92"/>
      <c r="BT228" s="297"/>
      <c r="BU228" s="160"/>
      <c r="BV228" s="160"/>
      <c r="BW228" s="160"/>
      <c r="BX228" s="301"/>
      <c r="BY228" s="92"/>
      <c r="BZ228" s="92"/>
      <c r="CA228" s="92"/>
      <c r="CB228" s="92"/>
      <c r="CC228" s="112"/>
      <c r="CD228" s="92"/>
      <c r="CE228" s="92"/>
      <c r="CF228" s="92"/>
      <c r="CG228" s="293"/>
      <c r="CH228" s="160"/>
      <c r="CI228" s="206"/>
      <c r="CJ228" s="206"/>
      <c r="CK228" s="205"/>
      <c r="CL228" s="301"/>
      <c r="CM228" s="92"/>
      <c r="CN228" s="92"/>
      <c r="CO228" s="92"/>
      <c r="CP228" s="92"/>
      <c r="CQ228" s="92"/>
      <c r="CR228" s="92"/>
      <c r="CS228" s="112"/>
      <c r="CT228" s="92"/>
      <c r="CU228" s="92"/>
      <c r="CV228" s="92"/>
      <c r="CW228" s="301"/>
      <c r="CX228" s="292"/>
      <c r="CY228" s="160"/>
      <c r="CZ228" s="160"/>
      <c r="DA228" s="293"/>
      <c r="DB228" s="301"/>
      <c r="DC228" s="92"/>
      <c r="DD228" s="92"/>
      <c r="DE228" s="92"/>
      <c r="DF228" s="92"/>
      <c r="DG228" s="92"/>
      <c r="DH228" s="92"/>
      <c r="DI228" s="112"/>
      <c r="DJ228" s="92"/>
      <c r="DK228" s="92"/>
      <c r="DL228" s="92"/>
      <c r="DM228" s="293"/>
      <c r="DN228" s="160"/>
      <c r="DO228" s="205"/>
      <c r="DP228" s="205"/>
      <c r="DQ228" s="205"/>
      <c r="DR228" s="293"/>
      <c r="DS228" s="92"/>
      <c r="DT228" s="92"/>
      <c r="DU228" s="92"/>
      <c r="DV228" s="92"/>
      <c r="DW228" s="92"/>
      <c r="DX228" s="113"/>
      <c r="DY228" s="92"/>
      <c r="DZ228" s="92"/>
    </row>
    <row r="229" spans="1:130">
      <c r="A229" s="92"/>
      <c r="B229" s="92"/>
      <c r="C229" s="92"/>
      <c r="D229" s="92"/>
      <c r="E229" s="92"/>
      <c r="F229" s="293"/>
      <c r="G229" s="160"/>
      <c r="H229" s="201"/>
      <c r="I229" s="204"/>
      <c r="J229" s="160"/>
      <c r="K229" s="297"/>
      <c r="L229" s="92"/>
      <c r="M229" s="92"/>
      <c r="N229" s="92"/>
      <c r="O229" s="92"/>
      <c r="P229" s="113"/>
      <c r="Q229" s="92"/>
      <c r="R229" s="92"/>
      <c r="S229" s="92"/>
      <c r="T229" s="92"/>
      <c r="U229" s="92"/>
      <c r="V229" s="293"/>
      <c r="W229" s="160"/>
      <c r="X229" s="204"/>
      <c r="Y229" s="298"/>
      <c r="Z229" s="205"/>
      <c r="AA229" s="160"/>
      <c r="AB229" s="293"/>
      <c r="AC229" s="92"/>
      <c r="AD229" s="92"/>
      <c r="AE229" s="92"/>
      <c r="AF229" s="113"/>
      <c r="AG229" s="92"/>
      <c r="AH229" s="92"/>
      <c r="AI229" s="92"/>
      <c r="AJ229" s="92"/>
      <c r="AK229" s="92"/>
      <c r="AL229" s="301"/>
      <c r="AM229" s="205"/>
      <c r="AN229" s="160"/>
      <c r="AO229" s="160"/>
      <c r="AP229" s="160"/>
      <c r="AQ229" s="160"/>
      <c r="AR229" s="160"/>
      <c r="AS229" s="301"/>
      <c r="AT229" s="92"/>
      <c r="AU229" s="92"/>
      <c r="AV229" s="113"/>
      <c r="AW229" s="92"/>
      <c r="AX229" s="92"/>
      <c r="AY229" s="92"/>
      <c r="AZ229" s="92"/>
      <c r="BA229" s="92"/>
      <c r="BB229" s="92"/>
      <c r="BC229" s="189"/>
      <c r="BD229" s="293"/>
      <c r="BE229" s="160"/>
      <c r="BF229" s="293"/>
      <c r="BG229" s="301"/>
      <c r="BH229" s="301"/>
      <c r="BI229" s="161"/>
      <c r="BJ229" s="301"/>
      <c r="BK229" s="92"/>
      <c r="BL229" s="113"/>
      <c r="BM229" s="92"/>
      <c r="BN229" s="92"/>
      <c r="BO229" s="92"/>
      <c r="BP229" s="92"/>
      <c r="BQ229" s="92"/>
      <c r="BR229" s="92"/>
      <c r="BS229" s="92"/>
      <c r="BT229" s="297"/>
      <c r="BU229" s="297"/>
      <c r="BV229" s="206"/>
      <c r="BW229" s="160"/>
      <c r="BX229" s="161"/>
      <c r="BY229" s="92"/>
      <c r="BZ229" s="92"/>
      <c r="CA229" s="92"/>
      <c r="CB229" s="92"/>
      <c r="CC229" s="112"/>
      <c r="CD229" s="92"/>
      <c r="CE229" s="92"/>
      <c r="CF229" s="293"/>
      <c r="CG229" s="205"/>
      <c r="CH229" s="205"/>
      <c r="CI229" s="206"/>
      <c r="CJ229" s="205"/>
      <c r="CK229" s="205"/>
      <c r="CL229" s="297"/>
      <c r="CM229" s="92"/>
      <c r="CN229" s="92"/>
      <c r="CO229" s="92"/>
      <c r="CP229" s="92"/>
      <c r="CQ229" s="92"/>
      <c r="CR229" s="92"/>
      <c r="CS229" s="112"/>
      <c r="CT229" s="92"/>
      <c r="CU229" s="92"/>
      <c r="CV229" s="301"/>
      <c r="CW229" s="161"/>
      <c r="CX229" s="205"/>
      <c r="CY229" s="205"/>
      <c r="CZ229" s="160"/>
      <c r="DA229" s="160"/>
      <c r="DB229" s="160"/>
      <c r="DC229" s="297"/>
      <c r="DD229" s="92"/>
      <c r="DE229" s="92"/>
      <c r="DF229" s="92"/>
      <c r="DG229" s="92"/>
      <c r="DH229" s="92"/>
      <c r="DI229" s="112"/>
      <c r="DJ229" s="92"/>
      <c r="DK229" s="92"/>
      <c r="DL229" s="297"/>
      <c r="DM229" s="160"/>
      <c r="DN229" s="160"/>
      <c r="DO229" s="205"/>
      <c r="DP229" s="206"/>
      <c r="DQ229" s="160"/>
      <c r="DR229" s="160"/>
      <c r="DS229" s="297"/>
      <c r="DT229" s="92"/>
      <c r="DU229" s="92"/>
      <c r="DV229" s="92"/>
      <c r="DW229" s="92"/>
      <c r="DX229" s="113"/>
      <c r="DY229" s="92"/>
      <c r="DZ229" s="92"/>
    </row>
    <row r="230" spans="1:130">
      <c r="A230" s="92"/>
      <c r="B230" s="92"/>
      <c r="C230" s="92"/>
      <c r="D230" s="92"/>
      <c r="E230" s="92"/>
      <c r="F230" s="293"/>
      <c r="G230" s="160"/>
      <c r="H230" s="201"/>
      <c r="I230" s="199"/>
      <c r="J230" s="160"/>
      <c r="K230" s="160"/>
      <c r="L230" s="92"/>
      <c r="M230" s="92"/>
      <c r="N230" s="92"/>
      <c r="O230" s="92"/>
      <c r="P230" s="113"/>
      <c r="Q230" s="92"/>
      <c r="R230" s="92"/>
      <c r="S230" s="92"/>
      <c r="T230" s="92"/>
      <c r="U230" s="301"/>
      <c r="V230" s="160"/>
      <c r="W230" s="160"/>
      <c r="X230" s="201"/>
      <c r="Y230" s="199"/>
      <c r="Z230" s="206"/>
      <c r="AA230" s="160"/>
      <c r="AB230" s="160"/>
      <c r="AC230" s="189"/>
      <c r="AD230" s="92"/>
      <c r="AE230" s="92"/>
      <c r="AF230" s="113"/>
      <c r="AG230" s="92"/>
      <c r="AH230" s="92"/>
      <c r="AI230" s="92"/>
      <c r="AJ230" s="92"/>
      <c r="AK230" s="92"/>
      <c r="AL230" s="189"/>
      <c r="AM230" s="292"/>
      <c r="AN230" s="160"/>
      <c r="AO230" s="205"/>
      <c r="AP230" s="160"/>
      <c r="AQ230" s="160"/>
      <c r="AR230" s="293"/>
      <c r="AS230" s="301"/>
      <c r="AT230" s="92"/>
      <c r="AU230" s="92"/>
      <c r="AV230" s="113"/>
      <c r="AW230" s="92"/>
      <c r="AX230" s="92"/>
      <c r="AY230" s="92"/>
      <c r="AZ230" s="92"/>
      <c r="BA230" s="92"/>
      <c r="BB230" s="92"/>
      <c r="BC230" s="301"/>
      <c r="BD230" s="160"/>
      <c r="BE230" s="161"/>
      <c r="BF230" s="189"/>
      <c r="BG230" s="189"/>
      <c r="BH230" s="301"/>
      <c r="BI230" s="297"/>
      <c r="BJ230" s="297"/>
      <c r="BK230" s="92"/>
      <c r="BL230" s="113"/>
      <c r="BM230" s="92"/>
      <c r="BN230" s="92"/>
      <c r="BO230" s="92"/>
      <c r="BP230" s="92"/>
      <c r="BQ230" s="92"/>
      <c r="BR230" s="92"/>
      <c r="BS230" s="92"/>
      <c r="BT230" s="189"/>
      <c r="BU230" s="301"/>
      <c r="BV230" s="293"/>
      <c r="BW230" s="160"/>
      <c r="BX230" s="160"/>
      <c r="BY230" s="301"/>
      <c r="BZ230" s="92"/>
      <c r="CA230" s="92"/>
      <c r="CB230" s="92"/>
      <c r="CC230" s="112"/>
      <c r="CD230" s="92"/>
      <c r="CE230" s="92"/>
      <c r="CF230" s="205"/>
      <c r="CG230" s="205"/>
      <c r="CH230" s="160"/>
      <c r="CI230" s="205"/>
      <c r="CJ230" s="205"/>
      <c r="CK230" s="206"/>
      <c r="CL230" s="161"/>
      <c r="CM230" s="297"/>
      <c r="CN230" s="92"/>
      <c r="CO230" s="92"/>
      <c r="CP230" s="92"/>
      <c r="CQ230" s="92"/>
      <c r="CR230" s="92"/>
      <c r="CS230" s="112"/>
      <c r="CT230" s="92"/>
      <c r="CU230" s="92"/>
      <c r="CV230" s="297"/>
      <c r="CW230" s="205"/>
      <c r="CX230" s="205"/>
      <c r="CY230" s="205"/>
      <c r="CZ230" s="205"/>
      <c r="DA230" s="205"/>
      <c r="DB230" s="160"/>
      <c r="DC230" s="205"/>
      <c r="DD230" s="301"/>
      <c r="DE230" s="92"/>
      <c r="DF230" s="92"/>
      <c r="DG230" s="92"/>
      <c r="DH230" s="92"/>
      <c r="DI230" s="112"/>
      <c r="DJ230" s="92"/>
      <c r="DK230" s="189"/>
      <c r="DL230" s="292"/>
      <c r="DM230" s="160"/>
      <c r="DN230" s="160"/>
      <c r="DO230" s="160"/>
      <c r="DP230" s="205"/>
      <c r="DQ230" s="205"/>
      <c r="DR230" s="160"/>
      <c r="DS230" s="297"/>
      <c r="DT230" s="92"/>
      <c r="DU230" s="92"/>
      <c r="DV230" s="92"/>
      <c r="DW230" s="92"/>
      <c r="DX230" s="113"/>
      <c r="DY230" s="92"/>
      <c r="DZ230" s="92"/>
    </row>
    <row r="231" spans="1:130">
      <c r="A231" s="92"/>
      <c r="B231" s="92"/>
      <c r="C231" s="92"/>
      <c r="D231" s="92"/>
      <c r="E231" s="92"/>
      <c r="F231" s="292"/>
      <c r="G231" s="160"/>
      <c r="H231" s="294"/>
      <c r="I231" s="207"/>
      <c r="J231" s="290"/>
      <c r="K231" s="160"/>
      <c r="L231" s="297"/>
      <c r="M231" s="92"/>
      <c r="N231" s="92"/>
      <c r="O231" s="92"/>
      <c r="P231" s="113"/>
      <c r="Q231" s="92"/>
      <c r="R231" s="92"/>
      <c r="S231" s="92"/>
      <c r="T231" s="92"/>
      <c r="U231" s="301"/>
      <c r="V231" s="205"/>
      <c r="W231" s="160"/>
      <c r="X231" s="205"/>
      <c r="Y231" s="201"/>
      <c r="Z231" s="201"/>
      <c r="AA231" s="160"/>
      <c r="AB231" s="205"/>
      <c r="AC231" s="189"/>
      <c r="AD231" s="92"/>
      <c r="AE231" s="92"/>
      <c r="AF231" s="113"/>
      <c r="AG231" s="92"/>
      <c r="AH231" s="92"/>
      <c r="AI231" s="92"/>
      <c r="AJ231" s="92"/>
      <c r="AK231" s="92"/>
      <c r="AL231" s="92"/>
      <c r="AM231" s="293"/>
      <c r="AN231" s="160"/>
      <c r="AO231" s="205"/>
      <c r="AP231" s="160"/>
      <c r="AQ231" s="293"/>
      <c r="AR231" s="189"/>
      <c r="AS231" s="189"/>
      <c r="AT231" s="92"/>
      <c r="AU231" s="92"/>
      <c r="AV231" s="113"/>
      <c r="AW231" s="92"/>
      <c r="AX231" s="92"/>
      <c r="AY231" s="92"/>
      <c r="AZ231" s="92"/>
      <c r="BA231" s="92"/>
      <c r="BB231" s="92"/>
      <c r="BC231" s="297"/>
      <c r="BD231" s="160"/>
      <c r="BE231" s="301"/>
      <c r="BF231" s="189"/>
      <c r="BG231" s="189"/>
      <c r="BH231" s="301"/>
      <c r="BI231" s="297"/>
      <c r="BJ231" s="293"/>
      <c r="BK231" s="92"/>
      <c r="BL231" s="113"/>
      <c r="BM231" s="92"/>
      <c r="BN231" s="92"/>
      <c r="BO231" s="92"/>
      <c r="BP231" s="92"/>
      <c r="BQ231" s="92"/>
      <c r="BR231" s="92"/>
      <c r="BS231" s="92"/>
      <c r="BT231" s="189"/>
      <c r="BU231" s="189"/>
      <c r="BV231" s="297"/>
      <c r="BW231" s="160"/>
      <c r="BX231" s="160"/>
      <c r="BY231" s="297"/>
      <c r="BZ231" s="92"/>
      <c r="CA231" s="92"/>
      <c r="CB231" s="92"/>
      <c r="CC231" s="112"/>
      <c r="CD231" s="92"/>
      <c r="CE231" s="92"/>
      <c r="CF231" s="205"/>
      <c r="CG231" s="205"/>
      <c r="CH231" s="160"/>
      <c r="CI231" s="205"/>
      <c r="CJ231" s="205"/>
      <c r="CK231" s="205"/>
      <c r="CL231" s="160"/>
      <c r="CM231" s="293"/>
      <c r="CN231" s="92"/>
      <c r="CO231" s="92"/>
      <c r="CP231" s="92"/>
      <c r="CQ231" s="92"/>
      <c r="CR231" s="92"/>
      <c r="CS231" s="112"/>
      <c r="CT231" s="92"/>
      <c r="CU231" s="92"/>
      <c r="CV231" s="293"/>
      <c r="CW231" s="160"/>
      <c r="CX231" s="205"/>
      <c r="CY231" s="205"/>
      <c r="CZ231" s="205"/>
      <c r="DA231" s="205"/>
      <c r="DB231" s="205"/>
      <c r="DC231" s="160"/>
      <c r="DD231" s="293"/>
      <c r="DE231" s="92"/>
      <c r="DF231" s="92"/>
      <c r="DG231" s="92"/>
      <c r="DH231" s="92"/>
      <c r="DI231" s="112"/>
      <c r="DJ231" s="92"/>
      <c r="DK231" s="301"/>
      <c r="DL231" s="160"/>
      <c r="DM231" s="205"/>
      <c r="DN231" s="160"/>
      <c r="DO231" s="160"/>
      <c r="DP231" s="290"/>
      <c r="DQ231" s="204"/>
      <c r="DR231" s="160"/>
      <c r="DS231" s="293"/>
      <c r="DT231" s="92"/>
      <c r="DU231" s="92"/>
      <c r="DV231" s="92"/>
      <c r="DW231" s="92"/>
      <c r="DX231" s="113"/>
      <c r="DY231" s="92"/>
      <c r="DZ231" s="92"/>
    </row>
    <row r="232" spans="1:130">
      <c r="A232" s="92"/>
      <c r="B232" s="92"/>
      <c r="C232" s="92"/>
      <c r="D232" s="92"/>
      <c r="E232" s="189"/>
      <c r="F232" s="205"/>
      <c r="G232" s="160"/>
      <c r="H232" s="160"/>
      <c r="I232" s="298"/>
      <c r="J232" s="293"/>
      <c r="K232" s="293"/>
      <c r="L232" s="293"/>
      <c r="M232" s="92"/>
      <c r="N232" s="92"/>
      <c r="O232" s="92"/>
      <c r="P232" s="113"/>
      <c r="Q232" s="92"/>
      <c r="R232" s="92"/>
      <c r="S232" s="92"/>
      <c r="T232" s="92"/>
      <c r="U232" s="189"/>
      <c r="V232" s="205"/>
      <c r="W232" s="160"/>
      <c r="X232" s="160"/>
      <c r="Y232" s="160"/>
      <c r="Z232" s="298"/>
      <c r="AA232" s="205"/>
      <c r="AB232" s="160"/>
      <c r="AC232" s="292"/>
      <c r="AD232" s="301"/>
      <c r="AE232" s="92"/>
      <c r="AF232" s="113"/>
      <c r="AG232" s="92"/>
      <c r="AH232" s="92"/>
      <c r="AI232" s="92"/>
      <c r="AJ232" s="92"/>
      <c r="AK232" s="92"/>
      <c r="AL232" s="92"/>
      <c r="AM232" s="293"/>
      <c r="AN232" s="160"/>
      <c r="AO232" s="206"/>
      <c r="AP232" s="291"/>
      <c r="AQ232" s="297"/>
      <c r="AR232" s="189"/>
      <c r="AS232" s="301"/>
      <c r="AT232" s="189"/>
      <c r="AU232" s="92"/>
      <c r="AV232" s="113"/>
      <c r="AW232" s="92"/>
      <c r="AX232" s="92"/>
      <c r="AY232" s="92"/>
      <c r="AZ232" s="92"/>
      <c r="BA232" s="92"/>
      <c r="BB232" s="92"/>
      <c r="BC232" s="301"/>
      <c r="BD232" s="297"/>
      <c r="BE232" s="189"/>
      <c r="BF232" s="189"/>
      <c r="BG232" s="301"/>
      <c r="BH232" s="301"/>
      <c r="BI232" s="293"/>
      <c r="BJ232" s="293"/>
      <c r="BK232" s="92"/>
      <c r="BL232" s="113"/>
      <c r="BM232" s="92"/>
      <c r="BN232" s="92"/>
      <c r="BO232" s="92"/>
      <c r="BP232" s="92"/>
      <c r="BQ232" s="92"/>
      <c r="BR232" s="189"/>
      <c r="BS232" s="189"/>
      <c r="BT232" s="189"/>
      <c r="BU232" s="189"/>
      <c r="BV232" s="301"/>
      <c r="BW232" s="301"/>
      <c r="BX232" s="293"/>
      <c r="BY232" s="293"/>
      <c r="BZ232" s="92"/>
      <c r="CA232" s="92"/>
      <c r="CB232" s="92"/>
      <c r="CC232" s="112"/>
      <c r="CD232" s="92"/>
      <c r="CE232" s="92"/>
      <c r="CF232" s="92"/>
      <c r="CG232" s="293"/>
      <c r="CH232" s="293"/>
      <c r="CI232" s="293"/>
      <c r="CJ232" s="205"/>
      <c r="CK232" s="206"/>
      <c r="CL232" s="206"/>
      <c r="CM232" s="161"/>
      <c r="CN232" s="92"/>
      <c r="CO232" s="92"/>
      <c r="CP232" s="92"/>
      <c r="CQ232" s="92"/>
      <c r="CR232" s="92"/>
      <c r="CS232" s="112"/>
      <c r="CT232" s="92"/>
      <c r="CU232" s="301"/>
      <c r="CV232" s="205"/>
      <c r="CW232" s="206"/>
      <c r="CX232" s="205"/>
      <c r="CY232" s="205"/>
      <c r="CZ232" s="160"/>
      <c r="DA232" s="160"/>
      <c r="DB232" s="160"/>
      <c r="DC232" s="160"/>
      <c r="DD232" s="206"/>
      <c r="DE232" s="92"/>
      <c r="DF232" s="92"/>
      <c r="DG232" s="92"/>
      <c r="DH232" s="92"/>
      <c r="DI232" s="112"/>
      <c r="DJ232" s="92"/>
      <c r="DK232" s="301"/>
      <c r="DL232" s="160"/>
      <c r="DM232" s="205"/>
      <c r="DN232" s="160"/>
      <c r="DO232" s="160"/>
      <c r="DP232" s="298"/>
      <c r="DQ232" s="294"/>
      <c r="DR232" s="160"/>
      <c r="DS232" s="293"/>
      <c r="DT232" s="92"/>
      <c r="DU232" s="92"/>
      <c r="DV232" s="92"/>
      <c r="DW232" s="92"/>
      <c r="DX232" s="113"/>
      <c r="DY232" s="92"/>
      <c r="DZ232" s="92"/>
    </row>
    <row r="233" spans="1:130">
      <c r="A233" s="92"/>
      <c r="B233" s="92"/>
      <c r="C233" s="92"/>
      <c r="D233" s="92"/>
      <c r="E233" s="297"/>
      <c r="F233" s="160"/>
      <c r="G233" s="160"/>
      <c r="H233" s="160"/>
      <c r="I233" s="298"/>
      <c r="J233" s="201"/>
      <c r="K233" s="297"/>
      <c r="L233" s="168"/>
      <c r="M233" s="92"/>
      <c r="N233" s="92"/>
      <c r="O233" s="92"/>
      <c r="P233" s="113"/>
      <c r="Q233" s="92"/>
      <c r="R233" s="92"/>
      <c r="S233" s="92"/>
      <c r="T233" s="92"/>
      <c r="U233" s="189"/>
      <c r="V233" s="160"/>
      <c r="W233" s="160"/>
      <c r="X233" s="160"/>
      <c r="Y233" s="205"/>
      <c r="Z233" s="298"/>
      <c r="AA233" s="199"/>
      <c r="AB233" s="293"/>
      <c r="AC233" s="161"/>
      <c r="AD233" s="301"/>
      <c r="AE233" s="92"/>
      <c r="AF233" s="113"/>
      <c r="AG233" s="92"/>
      <c r="AH233" s="92"/>
      <c r="AI233" s="92"/>
      <c r="AJ233" s="92"/>
      <c r="AK233" s="92"/>
      <c r="AL233" s="92"/>
      <c r="AM233" s="293"/>
      <c r="AN233" s="160"/>
      <c r="AO233" s="297"/>
      <c r="AP233" s="301"/>
      <c r="AQ233" s="301"/>
      <c r="AR233" s="189"/>
      <c r="AS233" s="301"/>
      <c r="AT233" s="189"/>
      <c r="AU233" s="92"/>
      <c r="AV233" s="113"/>
      <c r="AW233" s="92"/>
      <c r="AX233" s="92"/>
      <c r="AY233" s="92"/>
      <c r="AZ233" s="92"/>
      <c r="BA233" s="92"/>
      <c r="BB233" s="92"/>
      <c r="BC233" s="92"/>
      <c r="BD233" s="92"/>
      <c r="BE233" s="189"/>
      <c r="BF233" s="189"/>
      <c r="BG233" s="189"/>
      <c r="BH233" s="189"/>
      <c r="BI233" s="301"/>
      <c r="BJ233" s="293"/>
      <c r="BK233" s="92"/>
      <c r="BL233" s="113"/>
      <c r="BM233" s="92"/>
      <c r="BN233" s="92"/>
      <c r="BO233" s="92"/>
      <c r="BP233" s="92"/>
      <c r="BQ233" s="92"/>
      <c r="BR233" s="189"/>
      <c r="BS233" s="301"/>
      <c r="BT233" s="301"/>
      <c r="BU233" s="301"/>
      <c r="BV233" s="189"/>
      <c r="BW233" s="189"/>
      <c r="BX233" s="301"/>
      <c r="BY233" s="161"/>
      <c r="BZ233" s="297"/>
      <c r="CA233" s="92"/>
      <c r="CB233" s="92"/>
      <c r="CC233" s="112"/>
      <c r="CD233" s="92"/>
      <c r="CE233" s="92"/>
      <c r="CF233" s="92"/>
      <c r="CG233" s="301"/>
      <c r="CH233" s="301"/>
      <c r="CI233" s="297"/>
      <c r="CJ233" s="205"/>
      <c r="CK233" s="205"/>
      <c r="CL233" s="206"/>
      <c r="CM233" s="293"/>
      <c r="CN233" s="92"/>
      <c r="CO233" s="92"/>
      <c r="CP233" s="92"/>
      <c r="CQ233" s="92"/>
      <c r="CR233" s="92"/>
      <c r="CS233" s="112"/>
      <c r="CT233" s="92"/>
      <c r="CU233" s="301"/>
      <c r="CV233" s="292"/>
      <c r="CW233" s="205"/>
      <c r="CX233" s="205"/>
      <c r="CY233" s="205"/>
      <c r="CZ233" s="160"/>
      <c r="DA233" s="160"/>
      <c r="DB233" s="160"/>
      <c r="DC233" s="160"/>
      <c r="DD233" s="293"/>
      <c r="DE233" s="92"/>
      <c r="DF233" s="92"/>
      <c r="DG233" s="92"/>
      <c r="DH233" s="92"/>
      <c r="DI233" s="112"/>
      <c r="DJ233" s="92"/>
      <c r="DK233" s="297"/>
      <c r="DL233" s="160"/>
      <c r="DM233" s="205"/>
      <c r="DN233" s="160"/>
      <c r="DO233" s="160"/>
      <c r="DP233" s="298"/>
      <c r="DQ233" s="201"/>
      <c r="DR233" s="205"/>
      <c r="DS233" s="161"/>
      <c r="DT233" s="92"/>
      <c r="DU233" s="92"/>
      <c r="DV233" s="92"/>
      <c r="DW233" s="92"/>
      <c r="DX233" s="113"/>
      <c r="DY233" s="92"/>
      <c r="DZ233" s="92"/>
    </row>
    <row r="234" spans="1:130">
      <c r="A234" s="92"/>
      <c r="B234" s="92"/>
      <c r="C234" s="92"/>
      <c r="D234" s="92"/>
      <c r="E234" s="293"/>
      <c r="F234" s="160"/>
      <c r="G234" s="291"/>
      <c r="H234" s="293"/>
      <c r="I234" s="298"/>
      <c r="J234" s="293"/>
      <c r="K234" s="301"/>
      <c r="L234" s="301"/>
      <c r="M234" s="92"/>
      <c r="N234" s="92"/>
      <c r="O234" s="92"/>
      <c r="P234" s="113"/>
      <c r="Q234" s="92"/>
      <c r="R234" s="92"/>
      <c r="S234" s="92"/>
      <c r="T234" s="92"/>
      <c r="U234" s="189"/>
      <c r="V234" s="205"/>
      <c r="W234" s="160"/>
      <c r="X234" s="294"/>
      <c r="Y234" s="293"/>
      <c r="Z234" s="298"/>
      <c r="AA234" s="297"/>
      <c r="AB234" s="189"/>
      <c r="AC234" s="189"/>
      <c r="AD234" s="189"/>
      <c r="AE234" s="92"/>
      <c r="AF234" s="113"/>
      <c r="AG234" s="92"/>
      <c r="AH234" s="92"/>
      <c r="AI234" s="92"/>
      <c r="AJ234" s="92"/>
      <c r="AK234" s="92"/>
      <c r="AL234" s="92"/>
      <c r="AM234" s="297"/>
      <c r="AN234" s="291"/>
      <c r="AO234" s="301"/>
      <c r="AP234" s="189"/>
      <c r="AQ234" s="301"/>
      <c r="AR234" s="301"/>
      <c r="AS234" s="297"/>
      <c r="AT234" s="301"/>
      <c r="AU234" s="92"/>
      <c r="AV234" s="113"/>
      <c r="AW234" s="92"/>
      <c r="AX234" s="92"/>
      <c r="AY234" s="92"/>
      <c r="AZ234" s="92"/>
      <c r="BA234" s="92"/>
      <c r="BB234" s="92"/>
      <c r="BC234" s="92"/>
      <c r="BD234" s="189"/>
      <c r="BE234" s="189"/>
      <c r="BF234" s="301"/>
      <c r="BG234" s="301"/>
      <c r="BH234" s="301"/>
      <c r="BI234" s="189"/>
      <c r="BJ234" s="297"/>
      <c r="BK234" s="297"/>
      <c r="BL234" s="113"/>
      <c r="BM234" s="92"/>
      <c r="BN234" s="92"/>
      <c r="BO234" s="92"/>
      <c r="BP234" s="92"/>
      <c r="BQ234" s="92"/>
      <c r="BR234" s="189"/>
      <c r="BS234" s="301"/>
      <c r="BT234" s="301"/>
      <c r="BU234" s="301"/>
      <c r="BV234" s="301"/>
      <c r="BW234" s="301"/>
      <c r="BX234" s="189"/>
      <c r="BY234" s="189"/>
      <c r="BZ234" s="301"/>
      <c r="CA234" s="92"/>
      <c r="CB234" s="92"/>
      <c r="CC234" s="112"/>
      <c r="CD234" s="92"/>
      <c r="CE234" s="92"/>
      <c r="CF234" s="301"/>
      <c r="CG234" s="189"/>
      <c r="CH234" s="189"/>
      <c r="CI234" s="189"/>
      <c r="CJ234" s="293"/>
      <c r="CK234" s="293"/>
      <c r="CL234" s="293"/>
      <c r="CM234" s="293"/>
      <c r="CN234" s="92"/>
      <c r="CO234" s="92"/>
      <c r="CP234" s="92"/>
      <c r="CQ234" s="92"/>
      <c r="CR234" s="92"/>
      <c r="CS234" s="112"/>
      <c r="CT234" s="92"/>
      <c r="CU234" s="92"/>
      <c r="CV234" s="293"/>
      <c r="CW234" s="291"/>
      <c r="CX234" s="297"/>
      <c r="CY234" s="291"/>
      <c r="CZ234" s="160"/>
      <c r="DA234" s="205"/>
      <c r="DB234" s="160"/>
      <c r="DC234" s="291"/>
      <c r="DD234" s="92"/>
      <c r="DE234" s="92"/>
      <c r="DF234" s="92"/>
      <c r="DG234" s="92"/>
      <c r="DH234" s="92"/>
      <c r="DI234" s="112"/>
      <c r="DJ234" s="301"/>
      <c r="DK234" s="205"/>
      <c r="DL234" s="160"/>
      <c r="DM234" s="205"/>
      <c r="DN234" s="160"/>
      <c r="DO234" s="160"/>
      <c r="DP234" s="201"/>
      <c r="DQ234" s="199"/>
      <c r="DR234" s="161"/>
      <c r="DS234" s="301"/>
      <c r="DT234" s="92"/>
      <c r="DU234" s="92"/>
      <c r="DV234" s="92"/>
      <c r="DW234" s="92"/>
      <c r="DX234" s="113"/>
      <c r="DY234" s="92"/>
      <c r="DZ234" s="92"/>
    </row>
    <row r="235" spans="1:130">
      <c r="A235" s="92"/>
      <c r="B235" s="92"/>
      <c r="C235" s="92"/>
      <c r="D235" s="189"/>
      <c r="E235" s="206"/>
      <c r="F235" s="205"/>
      <c r="G235" s="297"/>
      <c r="H235" s="297"/>
      <c r="I235" s="291"/>
      <c r="J235" s="301"/>
      <c r="K235" s="189"/>
      <c r="L235" s="189"/>
      <c r="M235" s="92"/>
      <c r="N235" s="92"/>
      <c r="O235" s="92"/>
      <c r="P235" s="113"/>
      <c r="Q235" s="92"/>
      <c r="R235" s="92"/>
      <c r="S235" s="92"/>
      <c r="T235" s="92"/>
      <c r="U235" s="92"/>
      <c r="V235" s="293"/>
      <c r="W235" s="160"/>
      <c r="X235" s="297"/>
      <c r="Y235" s="301"/>
      <c r="Z235" s="297"/>
      <c r="AA235" s="301"/>
      <c r="AB235" s="189"/>
      <c r="AC235" s="189"/>
      <c r="AD235" s="189"/>
      <c r="AE235" s="189"/>
      <c r="AF235" s="113"/>
      <c r="AG235" s="92"/>
      <c r="AH235" s="92"/>
      <c r="AI235" s="92"/>
      <c r="AJ235" s="92"/>
      <c r="AK235" s="92"/>
      <c r="AL235" s="92"/>
      <c r="AM235" s="297"/>
      <c r="AN235" s="293"/>
      <c r="AO235" s="189"/>
      <c r="AP235" s="189"/>
      <c r="AQ235" s="301"/>
      <c r="AR235" s="301"/>
      <c r="AS235" s="297"/>
      <c r="AT235" s="92"/>
      <c r="AU235" s="92"/>
      <c r="AV235" s="113"/>
      <c r="AW235" s="92"/>
      <c r="AX235" s="92"/>
      <c r="AY235" s="92"/>
      <c r="AZ235" s="92"/>
      <c r="BA235" s="92"/>
      <c r="BB235" s="92"/>
      <c r="BC235" s="92"/>
      <c r="BD235" s="189"/>
      <c r="BE235" s="189"/>
      <c r="BF235" s="189"/>
      <c r="BG235" s="301"/>
      <c r="BH235" s="297"/>
      <c r="BI235" s="301"/>
      <c r="BJ235" s="189"/>
      <c r="BK235" s="301"/>
      <c r="BL235" s="113"/>
      <c r="BM235" s="92"/>
      <c r="BN235" s="92"/>
      <c r="BO235" s="92"/>
      <c r="BP235" s="92"/>
      <c r="BQ235" s="189"/>
      <c r="BR235" s="189"/>
      <c r="BS235" s="301"/>
      <c r="BT235" s="297"/>
      <c r="BU235" s="297"/>
      <c r="BV235" s="301"/>
      <c r="BW235" s="297"/>
      <c r="BX235" s="301"/>
      <c r="BY235" s="189"/>
      <c r="BZ235" s="92"/>
      <c r="CA235" s="92"/>
      <c r="CB235" s="92"/>
      <c r="CC235" s="112"/>
      <c r="CD235" s="92"/>
      <c r="CE235" s="301"/>
      <c r="CF235" s="301"/>
      <c r="CG235" s="301"/>
      <c r="CH235" s="189"/>
      <c r="CI235" s="189"/>
      <c r="CJ235" s="189"/>
      <c r="CK235" s="301"/>
      <c r="CL235" s="297"/>
      <c r="CM235" s="293"/>
      <c r="CN235" s="92"/>
      <c r="CO235" s="92"/>
      <c r="CP235" s="92"/>
      <c r="CQ235" s="92"/>
      <c r="CR235" s="92"/>
      <c r="CS235" s="112"/>
      <c r="CT235" s="92"/>
      <c r="CU235" s="92"/>
      <c r="CV235" s="297"/>
      <c r="CW235" s="301"/>
      <c r="CX235" s="189"/>
      <c r="CY235" s="293"/>
      <c r="CZ235" s="160"/>
      <c r="DA235" s="160"/>
      <c r="DB235" s="160"/>
      <c r="DC235" s="293"/>
      <c r="DD235" s="92"/>
      <c r="DE235" s="92"/>
      <c r="DF235" s="92"/>
      <c r="DG235" s="92"/>
      <c r="DH235" s="92"/>
      <c r="DI235" s="112"/>
      <c r="DJ235" s="297"/>
      <c r="DK235" s="297"/>
      <c r="DL235" s="206"/>
      <c r="DM235" s="205"/>
      <c r="DN235" s="206"/>
      <c r="DO235" s="291"/>
      <c r="DP235" s="201"/>
      <c r="DQ235" s="297"/>
      <c r="DR235" s="301"/>
      <c r="DS235" s="92"/>
      <c r="DT235" s="92"/>
      <c r="DU235" s="92"/>
      <c r="DV235" s="92"/>
      <c r="DW235" s="92"/>
      <c r="DX235" s="113"/>
      <c r="DY235" s="92"/>
      <c r="DZ235" s="92"/>
    </row>
    <row r="236" spans="1:130">
      <c r="A236" s="92"/>
      <c r="B236" s="92"/>
      <c r="C236" s="189"/>
      <c r="D236" s="297"/>
      <c r="E236" s="160"/>
      <c r="F236" s="201"/>
      <c r="G236" s="301"/>
      <c r="H236" s="297"/>
      <c r="I236" s="297"/>
      <c r="J236" s="189"/>
      <c r="K236" s="189"/>
      <c r="L236" s="189"/>
      <c r="M236" s="189"/>
      <c r="N236" s="92"/>
      <c r="O236" s="92"/>
      <c r="P236" s="113"/>
      <c r="Q236" s="92"/>
      <c r="R236" s="92"/>
      <c r="S236" s="92"/>
      <c r="T236" s="92"/>
      <c r="U236" s="189"/>
      <c r="V236" s="292"/>
      <c r="W236" s="160"/>
      <c r="X236" s="297"/>
      <c r="Y236" s="301"/>
      <c r="Z236" s="301"/>
      <c r="AA236" s="189"/>
      <c r="AB236" s="301"/>
      <c r="AC236" s="189"/>
      <c r="AD236" s="189"/>
      <c r="AE236" s="189"/>
      <c r="AF236" s="113"/>
      <c r="AG236" s="92"/>
      <c r="AH236" s="92"/>
      <c r="AI236" s="92"/>
      <c r="AJ236" s="92"/>
      <c r="AK236" s="92"/>
      <c r="AL236" s="92"/>
      <c r="AM236" s="189"/>
      <c r="AN236" s="291"/>
      <c r="AO236" s="301"/>
      <c r="AP236" s="189"/>
      <c r="AQ236" s="189"/>
      <c r="AR236" s="189"/>
      <c r="AS236" s="297"/>
      <c r="AT236" s="92"/>
      <c r="AU236" s="92"/>
      <c r="AV236" s="113"/>
      <c r="AW236" s="92"/>
      <c r="AX236" s="92"/>
      <c r="AY236" s="92"/>
      <c r="AZ236" s="92"/>
      <c r="BA236" s="92"/>
      <c r="BB236" s="92"/>
      <c r="BC236" s="189"/>
      <c r="BD236" s="189"/>
      <c r="BE236" s="301"/>
      <c r="BF236" s="301"/>
      <c r="BG236" s="301"/>
      <c r="BH236" s="297"/>
      <c r="BI236" s="297"/>
      <c r="BJ236" s="301"/>
      <c r="BK236" s="92"/>
      <c r="BL236" s="113"/>
      <c r="BM236" s="92"/>
      <c r="BN236" s="92"/>
      <c r="BO236" s="92"/>
      <c r="BP236" s="92"/>
      <c r="BQ236" s="189"/>
      <c r="BR236" s="301"/>
      <c r="BS236" s="301"/>
      <c r="BT236" s="297"/>
      <c r="BU236" s="297"/>
      <c r="BV236" s="297"/>
      <c r="BW236" s="297"/>
      <c r="BX236" s="189"/>
      <c r="BY236" s="189"/>
      <c r="BZ236" s="189"/>
      <c r="CA236" s="92"/>
      <c r="CB236" s="92"/>
      <c r="CC236" s="112"/>
      <c r="CD236" s="92"/>
      <c r="CE236" s="301"/>
      <c r="CF236" s="297"/>
      <c r="CG236" s="301"/>
      <c r="CH236" s="301"/>
      <c r="CI236" s="189"/>
      <c r="CJ236" s="189"/>
      <c r="CK236" s="189"/>
      <c r="CL236" s="301"/>
      <c r="CM236" s="160"/>
      <c r="CN236" s="301"/>
      <c r="CO236" s="92"/>
      <c r="CP236" s="92"/>
      <c r="CQ236" s="92"/>
      <c r="CR236" s="92"/>
      <c r="CS236" s="112"/>
      <c r="CT236" s="92"/>
      <c r="CU236" s="92"/>
      <c r="CV236" s="92"/>
      <c r="CW236" s="301"/>
      <c r="CX236" s="189"/>
      <c r="CY236" s="293"/>
      <c r="CZ236" s="205"/>
      <c r="DA236" s="291"/>
      <c r="DB236" s="291"/>
      <c r="DC236" s="92"/>
      <c r="DD236" s="92"/>
      <c r="DE236" s="92"/>
      <c r="DF236" s="92"/>
      <c r="DG236" s="92"/>
      <c r="DH236" s="92"/>
      <c r="DI236" s="112"/>
      <c r="DJ236" s="301"/>
      <c r="DK236" s="297"/>
      <c r="DL236" s="206"/>
      <c r="DM236" s="205"/>
      <c r="DN236" s="201"/>
      <c r="DO236" s="297"/>
      <c r="DP236" s="293"/>
      <c r="DQ236" s="301"/>
      <c r="DR236" s="92"/>
      <c r="DS236" s="92"/>
      <c r="DT236" s="92"/>
      <c r="DU236" s="92"/>
      <c r="DV236" s="92"/>
      <c r="DW236" s="92"/>
      <c r="DX236" s="113"/>
      <c r="DY236" s="92"/>
      <c r="DZ236" s="92"/>
    </row>
    <row r="237" spans="1:130">
      <c r="A237" s="92"/>
      <c r="B237" s="92"/>
      <c r="C237" s="92"/>
      <c r="D237" s="301"/>
      <c r="E237" s="293"/>
      <c r="F237" s="293"/>
      <c r="G237" s="189"/>
      <c r="H237" s="301"/>
      <c r="I237" s="301"/>
      <c r="J237" s="189"/>
      <c r="K237" s="301"/>
      <c r="L237" s="189"/>
      <c r="M237" s="189"/>
      <c r="N237" s="92"/>
      <c r="O237" s="189"/>
      <c r="P237" s="472"/>
      <c r="Q237" s="92"/>
      <c r="R237" s="92"/>
      <c r="S237" s="92"/>
      <c r="T237" s="92"/>
      <c r="U237" s="189"/>
      <c r="V237" s="293"/>
      <c r="W237" s="293"/>
      <c r="X237" s="293"/>
      <c r="Y237" s="301"/>
      <c r="Z237" s="189"/>
      <c r="AA237" s="189"/>
      <c r="AB237" s="189"/>
      <c r="AC237" s="301"/>
      <c r="AD237" s="301"/>
      <c r="AE237" s="189"/>
      <c r="AF237" s="472"/>
      <c r="AG237" s="92"/>
      <c r="AH237" s="92"/>
      <c r="AI237" s="92"/>
      <c r="AJ237" s="92"/>
      <c r="AK237" s="92"/>
      <c r="AL237" s="92"/>
      <c r="AM237" s="92"/>
      <c r="AN237" s="301"/>
      <c r="AO237" s="301"/>
      <c r="AP237" s="189"/>
      <c r="AQ237" s="301"/>
      <c r="AR237" s="297"/>
      <c r="AS237" s="301"/>
      <c r="AT237" s="92"/>
      <c r="AU237" s="92"/>
      <c r="AV237" s="113"/>
      <c r="AW237" s="92"/>
      <c r="AX237" s="92"/>
      <c r="AY237" s="92"/>
      <c r="AZ237" s="92"/>
      <c r="BA237" s="92"/>
      <c r="BB237" s="189"/>
      <c r="BC237" s="189"/>
      <c r="BD237" s="301"/>
      <c r="BE237" s="301"/>
      <c r="BF237" s="301"/>
      <c r="BG237" s="301"/>
      <c r="BH237" s="297"/>
      <c r="BI237" s="297"/>
      <c r="BJ237" s="301"/>
      <c r="BK237" s="189"/>
      <c r="BL237" s="113"/>
      <c r="BM237" s="92"/>
      <c r="BN237" s="92"/>
      <c r="BO237" s="92"/>
      <c r="BP237" s="189"/>
      <c r="BQ237" s="189"/>
      <c r="BR237" s="301"/>
      <c r="BS237" s="301"/>
      <c r="BT237" s="301"/>
      <c r="BU237" s="297"/>
      <c r="BV237" s="297"/>
      <c r="BW237" s="301"/>
      <c r="BX237" s="297"/>
      <c r="BY237" s="301"/>
      <c r="BZ237" s="189"/>
      <c r="CA237" s="92"/>
      <c r="CB237" s="92"/>
      <c r="CC237" s="112"/>
      <c r="CD237" s="92"/>
      <c r="CE237" s="301"/>
      <c r="CF237" s="297"/>
      <c r="CG237" s="301"/>
      <c r="CH237" s="301"/>
      <c r="CI237" s="189"/>
      <c r="CJ237" s="189"/>
      <c r="CK237" s="189"/>
      <c r="CL237" s="189"/>
      <c r="CM237" s="297"/>
      <c r="CN237" s="301"/>
      <c r="CO237" s="92"/>
      <c r="CP237" s="92"/>
      <c r="CQ237" s="92"/>
      <c r="CR237" s="92"/>
      <c r="CS237" s="112"/>
      <c r="CT237" s="92"/>
      <c r="CU237" s="92"/>
      <c r="CV237" s="301"/>
      <c r="CW237" s="301"/>
      <c r="CX237" s="189"/>
      <c r="CY237" s="201"/>
      <c r="CZ237" s="297"/>
      <c r="DA237" s="301"/>
      <c r="DB237" s="291"/>
      <c r="DC237" s="92"/>
      <c r="DD237" s="92"/>
      <c r="DE237" s="92"/>
      <c r="DF237" s="92"/>
      <c r="DG237" s="92"/>
      <c r="DH237" s="92"/>
      <c r="DI237" s="112"/>
      <c r="DJ237" s="189"/>
      <c r="DK237" s="297"/>
      <c r="DL237" s="205"/>
      <c r="DM237" s="293"/>
      <c r="DN237" s="301"/>
      <c r="DO237" s="301"/>
      <c r="DP237" s="297"/>
      <c r="DQ237" s="189"/>
      <c r="DR237" s="92"/>
      <c r="DS237" s="92"/>
      <c r="DT237" s="92"/>
      <c r="DU237" s="92"/>
      <c r="DV237" s="92"/>
      <c r="DW237" s="92"/>
      <c r="DX237" s="113"/>
      <c r="DY237" s="92"/>
      <c r="DZ237" s="92"/>
    </row>
    <row r="238" spans="1:130">
      <c r="A238" s="92"/>
      <c r="B238" s="92"/>
      <c r="C238" s="92"/>
      <c r="D238" s="92"/>
      <c r="E238" s="297"/>
      <c r="F238" s="297"/>
      <c r="G238" s="189"/>
      <c r="H238" s="189"/>
      <c r="I238" s="189"/>
      <c r="J238" s="189"/>
      <c r="K238" s="301"/>
      <c r="L238" s="189"/>
      <c r="M238" s="189"/>
      <c r="N238" s="189"/>
      <c r="O238" s="200"/>
      <c r="P238" s="478"/>
      <c r="Q238" s="92"/>
      <c r="R238" s="92"/>
      <c r="S238" s="92"/>
      <c r="T238" s="92"/>
      <c r="U238" s="92"/>
      <c r="V238" s="92"/>
      <c r="W238" s="92"/>
      <c r="X238" s="297"/>
      <c r="Y238" s="301"/>
      <c r="Z238" s="189"/>
      <c r="AA238" s="301"/>
      <c r="AB238" s="189"/>
      <c r="AC238" s="301"/>
      <c r="AD238" s="189"/>
      <c r="AE238" s="189"/>
      <c r="AF238" s="301"/>
      <c r="AG238" s="92"/>
      <c r="AH238" s="189"/>
      <c r="AI238" s="305"/>
      <c r="AJ238" s="301"/>
      <c r="AK238" s="189"/>
      <c r="AL238" s="189"/>
      <c r="AM238" s="189"/>
      <c r="AN238" s="189"/>
      <c r="AO238" s="189"/>
      <c r="AP238" s="189"/>
      <c r="AQ238" s="301"/>
      <c r="AR238" s="297"/>
      <c r="AS238" s="301"/>
      <c r="AT238" s="92"/>
      <c r="AU238" s="92"/>
      <c r="AV238" s="113"/>
      <c r="AW238" s="92"/>
      <c r="AX238" s="92"/>
      <c r="AY238" s="189"/>
      <c r="AZ238" s="189"/>
      <c r="BA238" s="189"/>
      <c r="BB238" s="189"/>
      <c r="BC238" s="301"/>
      <c r="BD238" s="301"/>
      <c r="BE238" s="301"/>
      <c r="BF238" s="189"/>
      <c r="BG238" s="301"/>
      <c r="BH238" s="297"/>
      <c r="BI238" s="297"/>
      <c r="BJ238" s="301"/>
      <c r="BK238" s="189"/>
      <c r="BL238" s="113"/>
      <c r="BM238" s="92"/>
      <c r="BN238" s="92"/>
      <c r="BO238" s="92"/>
      <c r="BP238" s="189"/>
      <c r="BQ238" s="301"/>
      <c r="BR238" s="301"/>
      <c r="BS238" s="301"/>
      <c r="BT238" s="301"/>
      <c r="BU238" s="297"/>
      <c r="BV238" s="297"/>
      <c r="BW238" s="301"/>
      <c r="BX238" s="297"/>
      <c r="BY238" s="301"/>
      <c r="BZ238" s="189"/>
      <c r="CA238" s="92"/>
      <c r="CB238" s="92"/>
      <c r="CC238" s="112"/>
      <c r="CD238" s="92"/>
      <c r="CE238" s="301"/>
      <c r="CF238" s="297"/>
      <c r="CG238" s="297"/>
      <c r="CH238" s="189"/>
      <c r="CI238" s="189"/>
      <c r="CJ238" s="189"/>
      <c r="CK238" s="189"/>
      <c r="CL238" s="189"/>
      <c r="CM238" s="92"/>
      <c r="CN238" s="92"/>
      <c r="CO238" s="92"/>
      <c r="CP238" s="92"/>
      <c r="CQ238" s="92"/>
      <c r="CR238" s="92"/>
      <c r="CS238" s="112"/>
      <c r="CT238" s="92"/>
      <c r="CU238" s="92"/>
      <c r="CV238" s="297"/>
      <c r="CW238" s="189"/>
      <c r="CX238" s="301"/>
      <c r="CY238" s="297"/>
      <c r="CZ238" s="301"/>
      <c r="DA238" s="92"/>
      <c r="DB238" s="92"/>
      <c r="DC238" s="92"/>
      <c r="DD238" s="92"/>
      <c r="DE238" s="92"/>
      <c r="DF238" s="92"/>
      <c r="DG238" s="92"/>
      <c r="DH238" s="92"/>
      <c r="DI238" s="531"/>
      <c r="DJ238" s="189"/>
      <c r="DK238" s="301"/>
      <c r="DL238" s="297"/>
      <c r="DM238" s="189"/>
      <c r="DN238" s="189"/>
      <c r="DO238" s="301"/>
      <c r="DP238" s="189"/>
      <c r="DQ238" s="301"/>
      <c r="DR238" s="92"/>
      <c r="DS238" s="92"/>
      <c r="DT238" s="92"/>
      <c r="DU238" s="92"/>
      <c r="DV238" s="92"/>
      <c r="DW238" s="92"/>
      <c r="DX238" s="113"/>
      <c r="DY238" s="92"/>
      <c r="DZ238" s="92"/>
    </row>
    <row r="239" spans="1:130">
      <c r="A239" s="92"/>
      <c r="B239" s="92"/>
      <c r="C239" s="92"/>
      <c r="D239" s="189"/>
      <c r="E239" s="301"/>
      <c r="F239" s="301"/>
      <c r="G239" s="301"/>
      <c r="H239" s="189"/>
      <c r="I239" s="189"/>
      <c r="J239" s="301"/>
      <c r="K239" s="301"/>
      <c r="L239" s="301"/>
      <c r="M239" s="189"/>
      <c r="N239" s="189"/>
      <c r="O239" s="199"/>
      <c r="P239" s="477"/>
      <c r="Q239" s="92"/>
      <c r="R239" s="92"/>
      <c r="S239" s="92"/>
      <c r="T239" s="92"/>
      <c r="U239" s="92"/>
      <c r="V239" s="92"/>
      <c r="W239" s="92"/>
      <c r="X239" s="301"/>
      <c r="Y239" s="301"/>
      <c r="Z239" s="189"/>
      <c r="AA239" s="200"/>
      <c r="AB239" s="305"/>
      <c r="AC239" s="189"/>
      <c r="AD239" s="189"/>
      <c r="AE239" s="301"/>
      <c r="AF239" s="113"/>
      <c r="AG239" s="305"/>
      <c r="AH239" s="200"/>
      <c r="AI239" s="200"/>
      <c r="AJ239" s="301"/>
      <c r="AK239" s="189"/>
      <c r="AL239" s="189"/>
      <c r="AM239" s="189"/>
      <c r="AN239" s="189"/>
      <c r="AO239" s="189"/>
      <c r="AP239" s="301"/>
      <c r="AQ239" s="297"/>
      <c r="AR239" s="297"/>
      <c r="AS239" s="297"/>
      <c r="AT239" s="92"/>
      <c r="AU239" s="92"/>
      <c r="AV239" s="113"/>
      <c r="AW239" s="92"/>
      <c r="AX239" s="305"/>
      <c r="AY239" s="189"/>
      <c r="AZ239" s="189"/>
      <c r="BA239" s="189"/>
      <c r="BB239" s="301"/>
      <c r="BC239" s="301"/>
      <c r="BD239" s="189"/>
      <c r="BE239" s="189"/>
      <c r="BF239" s="189"/>
      <c r="BG239" s="301"/>
      <c r="BH239" s="297"/>
      <c r="BI239" s="301"/>
      <c r="BJ239" s="301"/>
      <c r="BK239" s="189"/>
      <c r="BL239" s="113"/>
      <c r="BM239" s="92"/>
      <c r="BN239" s="92"/>
      <c r="BO239" s="189"/>
      <c r="BP239" s="301"/>
      <c r="BQ239" s="301"/>
      <c r="BR239" s="301"/>
      <c r="BS239" s="189"/>
      <c r="BT239" s="301"/>
      <c r="BU239" s="297"/>
      <c r="BV239" s="297"/>
      <c r="BW239" s="301"/>
      <c r="BX239" s="297"/>
      <c r="BY239" s="301"/>
      <c r="BZ239" s="189"/>
      <c r="CA239" s="92"/>
      <c r="CB239" s="92"/>
      <c r="CC239" s="112"/>
      <c r="CD239" s="92"/>
      <c r="CE239" s="297"/>
      <c r="CF239" s="301"/>
      <c r="CG239" s="297"/>
      <c r="CH239" s="189"/>
      <c r="CI239" s="301"/>
      <c r="CJ239" s="189"/>
      <c r="CK239" s="189"/>
      <c r="CL239" s="189"/>
      <c r="CM239" s="189"/>
      <c r="CN239" s="189"/>
      <c r="CO239" s="92"/>
      <c r="CP239" s="92"/>
      <c r="CQ239" s="92"/>
      <c r="CR239" s="92"/>
      <c r="CS239" s="112"/>
      <c r="CT239" s="92"/>
      <c r="CU239" s="92"/>
      <c r="CV239" s="297"/>
      <c r="CW239" s="189"/>
      <c r="CX239" s="189"/>
      <c r="CY239" s="301"/>
      <c r="CZ239" s="297"/>
      <c r="DA239" s="297"/>
      <c r="DB239" s="301"/>
      <c r="DC239" s="301"/>
      <c r="DD239" s="301"/>
      <c r="DE239" s="189"/>
      <c r="DF239" s="92"/>
      <c r="DG239" s="92"/>
      <c r="DH239" s="92"/>
      <c r="DI239" s="531"/>
      <c r="DJ239" s="189"/>
      <c r="DK239" s="301"/>
      <c r="DL239" s="301"/>
      <c r="DM239" s="301"/>
      <c r="DN239" s="189"/>
      <c r="DO239" s="301"/>
      <c r="DP239" s="189"/>
      <c r="DQ239" s="301"/>
      <c r="DR239" s="189"/>
      <c r="DS239" s="301"/>
      <c r="DT239" s="189"/>
      <c r="DU239" s="301"/>
      <c r="DV239" s="305"/>
      <c r="DW239" s="92"/>
      <c r="DX239" s="113"/>
      <c r="DY239" s="92"/>
      <c r="DZ239" s="92"/>
    </row>
    <row r="240" spans="1:130">
      <c r="A240" s="92"/>
      <c r="B240" s="189"/>
      <c r="C240" s="301"/>
      <c r="D240" s="301"/>
      <c r="E240" s="301"/>
      <c r="F240" s="189"/>
      <c r="G240" s="301"/>
      <c r="H240" s="301"/>
      <c r="I240" s="189"/>
      <c r="J240" s="189"/>
      <c r="K240" s="301"/>
      <c r="L240" s="301"/>
      <c r="M240" s="301"/>
      <c r="N240" s="301"/>
      <c r="O240" s="297"/>
      <c r="P240" s="207"/>
      <c r="Q240" s="92"/>
      <c r="R240" s="92"/>
      <c r="S240" s="92"/>
      <c r="T240" s="92"/>
      <c r="U240" s="92"/>
      <c r="V240" s="92"/>
      <c r="W240" s="189"/>
      <c r="X240" s="301"/>
      <c r="Y240" s="301"/>
      <c r="Z240" s="310"/>
      <c r="AA240" s="310"/>
      <c r="AB240" s="200"/>
      <c r="AC240" s="207"/>
      <c r="AD240" s="189"/>
      <c r="AE240" s="301"/>
      <c r="AF240" s="113"/>
      <c r="AG240" s="189"/>
      <c r="AH240" s="305"/>
      <c r="AI240" s="200"/>
      <c r="AJ240" s="301"/>
      <c r="AK240" s="189"/>
      <c r="AL240" s="189"/>
      <c r="AM240" s="189"/>
      <c r="AN240" s="301"/>
      <c r="AO240" s="301"/>
      <c r="AP240" s="301"/>
      <c r="AQ240" s="301"/>
      <c r="AR240" s="297"/>
      <c r="AS240" s="301"/>
      <c r="AT240" s="92"/>
      <c r="AU240" s="92"/>
      <c r="AV240" s="113"/>
      <c r="AW240" s="200"/>
      <c r="AX240" s="200"/>
      <c r="AY240" s="301"/>
      <c r="AZ240" s="189"/>
      <c r="BA240" s="301"/>
      <c r="BB240" s="301"/>
      <c r="BC240" s="92"/>
      <c r="BD240" s="189"/>
      <c r="BE240" s="301"/>
      <c r="BF240" s="189"/>
      <c r="BG240" s="301"/>
      <c r="BH240" s="301"/>
      <c r="BI240" s="189"/>
      <c r="BJ240" s="301"/>
      <c r="BK240" s="189"/>
      <c r="BL240" s="113"/>
      <c r="BM240" s="92"/>
      <c r="BN240" s="92"/>
      <c r="BO240" s="189"/>
      <c r="BP240" s="301"/>
      <c r="BQ240" s="301"/>
      <c r="BR240" s="92"/>
      <c r="BS240" s="189"/>
      <c r="BT240" s="301"/>
      <c r="BU240" s="297"/>
      <c r="BV240" s="297"/>
      <c r="BW240" s="301"/>
      <c r="BX240" s="297"/>
      <c r="BY240" s="301"/>
      <c r="BZ240" s="189"/>
      <c r="CA240" s="92"/>
      <c r="CB240" s="92"/>
      <c r="CC240" s="112"/>
      <c r="CD240" s="92"/>
      <c r="CE240" s="297"/>
      <c r="CF240" s="301"/>
      <c r="CG240" s="297"/>
      <c r="CH240" s="189"/>
      <c r="CI240" s="189"/>
      <c r="CJ240" s="301"/>
      <c r="CK240" s="189"/>
      <c r="CL240" s="189"/>
      <c r="CM240" s="189"/>
      <c r="CN240" s="189"/>
      <c r="CO240" s="189"/>
      <c r="CP240" s="189"/>
      <c r="CQ240" s="189"/>
      <c r="CR240" s="305"/>
      <c r="CS240" s="112"/>
      <c r="CT240" s="92"/>
      <c r="CU240" s="92"/>
      <c r="CV240" s="301"/>
      <c r="CW240" s="301"/>
      <c r="CX240" s="189"/>
      <c r="CY240" s="189"/>
      <c r="CZ240" s="301"/>
      <c r="DA240" s="189"/>
      <c r="DB240" s="189"/>
      <c r="DC240" s="189"/>
      <c r="DD240" s="301"/>
      <c r="DE240" s="200"/>
      <c r="DF240" s="305"/>
      <c r="DG240" s="92"/>
      <c r="DH240" s="92"/>
      <c r="DI240" s="531"/>
      <c r="DJ240" s="189"/>
      <c r="DK240" s="189"/>
      <c r="DL240" s="297"/>
      <c r="DM240" s="207"/>
      <c r="DN240" s="297"/>
      <c r="DO240" s="189"/>
      <c r="DP240" s="189"/>
      <c r="DQ240" s="301"/>
      <c r="DR240" s="301"/>
      <c r="DS240" s="189"/>
      <c r="DT240" s="189"/>
      <c r="DU240" s="301"/>
      <c r="DV240" s="200"/>
      <c r="DW240" s="200"/>
      <c r="DX240" s="477"/>
      <c r="DY240" s="92"/>
      <c r="DZ240" s="92"/>
    </row>
    <row r="241" spans="1:130">
      <c r="A241" s="297"/>
      <c r="B241" s="204"/>
      <c r="C241" s="204"/>
      <c r="D241" s="297"/>
      <c r="E241" s="189"/>
      <c r="F241" s="189"/>
      <c r="G241" s="301"/>
      <c r="H241" s="297"/>
      <c r="I241" s="293"/>
      <c r="J241" s="189"/>
      <c r="K241" s="189"/>
      <c r="L241" s="92"/>
      <c r="M241" s="92"/>
      <c r="N241" s="301"/>
      <c r="O241" s="301"/>
      <c r="P241" s="113"/>
      <c r="Q241" s="92"/>
      <c r="R241" s="92"/>
      <c r="S241" s="189"/>
      <c r="T241" s="297"/>
      <c r="U241" s="189"/>
      <c r="V241" s="301"/>
      <c r="W241" s="301"/>
      <c r="X241" s="301"/>
      <c r="Y241" s="301"/>
      <c r="Z241" s="310"/>
      <c r="AA241" s="305"/>
      <c r="AB241" s="200"/>
      <c r="AC241" s="207"/>
      <c r="AD241" s="301"/>
      <c r="AE241" s="92"/>
      <c r="AF241" s="113"/>
      <c r="AG241" s="307"/>
      <c r="AH241" s="301"/>
      <c r="AI241" s="301"/>
      <c r="AJ241" s="189"/>
      <c r="AK241" s="301"/>
      <c r="AL241" s="301"/>
      <c r="AM241" s="301"/>
      <c r="AN241" s="301"/>
      <c r="AO241" s="297"/>
      <c r="AP241" s="297"/>
      <c r="AQ241" s="301"/>
      <c r="AR241" s="297"/>
      <c r="AS241" s="92"/>
      <c r="AT241" s="92"/>
      <c r="AU241" s="92"/>
      <c r="AV241" s="113"/>
      <c r="AW241" s="92"/>
      <c r="AX241" s="305"/>
      <c r="AY241" s="200"/>
      <c r="AZ241" s="301"/>
      <c r="BA241" s="301"/>
      <c r="BB241" s="92"/>
      <c r="BC241" s="92"/>
      <c r="BD241" s="301"/>
      <c r="BE241" s="189"/>
      <c r="BF241" s="189"/>
      <c r="BG241" s="301"/>
      <c r="BH241" s="301"/>
      <c r="BI241" s="301"/>
      <c r="BJ241" s="189"/>
      <c r="BK241" s="92"/>
      <c r="BL241" s="113"/>
      <c r="BM241" s="92"/>
      <c r="BN241" s="92"/>
      <c r="BO241" s="200"/>
      <c r="BP241" s="301"/>
      <c r="BQ241" s="92"/>
      <c r="BR241" s="92"/>
      <c r="BS241" s="189"/>
      <c r="BT241" s="301"/>
      <c r="BU241" s="297"/>
      <c r="BV241" s="297"/>
      <c r="BW241" s="301"/>
      <c r="BX241" s="189"/>
      <c r="BY241" s="301"/>
      <c r="BZ241" s="189"/>
      <c r="CA241" s="92"/>
      <c r="CB241" s="92"/>
      <c r="CC241" s="112"/>
      <c r="CD241" s="92"/>
      <c r="CE241" s="92"/>
      <c r="CF241" s="301"/>
      <c r="CG241" s="297"/>
      <c r="CH241" s="301"/>
      <c r="CI241" s="189"/>
      <c r="CJ241" s="189"/>
      <c r="CK241" s="301"/>
      <c r="CL241" s="189"/>
      <c r="CM241" s="189"/>
      <c r="CN241" s="189"/>
      <c r="CO241" s="189"/>
      <c r="CP241" s="189"/>
      <c r="CQ241" s="301"/>
      <c r="CR241" s="200"/>
      <c r="CS241" s="112"/>
      <c r="CT241" s="92"/>
      <c r="CU241" s="92"/>
      <c r="CV241" s="301"/>
      <c r="CW241" s="297"/>
      <c r="CX241" s="301"/>
      <c r="CY241" s="189"/>
      <c r="CZ241" s="189"/>
      <c r="DA241" s="189"/>
      <c r="DB241" s="189"/>
      <c r="DC241" s="189"/>
      <c r="DD241" s="207"/>
      <c r="DE241" s="297"/>
      <c r="DF241" s="200"/>
      <c r="DG241" s="305"/>
      <c r="DH241" s="92"/>
      <c r="DI241" s="112"/>
      <c r="DJ241" s="189"/>
      <c r="DK241" s="297"/>
      <c r="DL241" s="207"/>
      <c r="DM241" s="204"/>
      <c r="DN241" s="207"/>
      <c r="DO241" s="301"/>
      <c r="DP241" s="301"/>
      <c r="DQ241" s="189"/>
      <c r="DR241" s="189"/>
      <c r="DS241" s="189"/>
      <c r="DT241" s="189"/>
      <c r="DU241" s="189"/>
      <c r="DV241" s="297"/>
      <c r="DW241" s="200"/>
      <c r="DX241" s="113"/>
      <c r="DY241" s="92"/>
      <c r="DZ241" s="92"/>
    </row>
    <row r="242" spans="1:130">
      <c r="A242" s="204"/>
      <c r="B242" s="207"/>
      <c r="C242" s="207"/>
      <c r="D242" s="301"/>
      <c r="E242" s="92"/>
      <c r="F242" s="189"/>
      <c r="G242" s="301"/>
      <c r="H242" s="204"/>
      <c r="I242" s="204"/>
      <c r="J242" s="297"/>
      <c r="K242" s="189"/>
      <c r="L242" s="189"/>
      <c r="M242" s="92"/>
      <c r="N242" s="92"/>
      <c r="O242" s="92"/>
      <c r="P242" s="113"/>
      <c r="Q242" s="92"/>
      <c r="R242" s="305"/>
      <c r="S242" s="207"/>
      <c r="T242" s="204"/>
      <c r="U242" s="297"/>
      <c r="V242" s="189"/>
      <c r="W242" s="189"/>
      <c r="X242" s="189"/>
      <c r="Y242" s="293"/>
      <c r="Z242" s="199"/>
      <c r="AA242" s="301"/>
      <c r="AB242" s="297"/>
      <c r="AC242" s="297"/>
      <c r="AD242" s="189"/>
      <c r="AE242" s="92"/>
      <c r="AF242" s="113"/>
      <c r="AG242" s="92"/>
      <c r="AH242" s="92"/>
      <c r="AI242" s="92"/>
      <c r="AJ242" s="92"/>
      <c r="AK242" s="92"/>
      <c r="AL242" s="297"/>
      <c r="AM242" s="297"/>
      <c r="AN242" s="301"/>
      <c r="AO242" s="297"/>
      <c r="AP242" s="301"/>
      <c r="AQ242" s="301"/>
      <c r="AR242" s="297"/>
      <c r="AS242" s="92"/>
      <c r="AT242" s="92"/>
      <c r="AU242" s="92"/>
      <c r="AV242" s="113"/>
      <c r="AW242" s="92"/>
      <c r="AX242" s="92"/>
      <c r="AY242" s="92"/>
      <c r="AZ242" s="92"/>
      <c r="BA242" s="92"/>
      <c r="BB242" s="92"/>
      <c r="BC242" s="301"/>
      <c r="BD242" s="189"/>
      <c r="BE242" s="189"/>
      <c r="BF242" s="301"/>
      <c r="BG242" s="301"/>
      <c r="BH242" s="297"/>
      <c r="BI242" s="301"/>
      <c r="BJ242" s="92"/>
      <c r="BK242" s="92"/>
      <c r="BL242" s="113"/>
      <c r="BM242" s="92"/>
      <c r="BN242" s="92"/>
      <c r="BO242" s="92"/>
      <c r="BP242" s="92"/>
      <c r="BQ242" s="92"/>
      <c r="BR242" s="189"/>
      <c r="BS242" s="189"/>
      <c r="BT242" s="301"/>
      <c r="BU242" s="297"/>
      <c r="BV242" s="297"/>
      <c r="BW242" s="301"/>
      <c r="BX242" s="189"/>
      <c r="BY242" s="200"/>
      <c r="BZ242" s="189"/>
      <c r="CA242" s="92"/>
      <c r="CB242" s="92"/>
      <c r="CC242" s="112"/>
      <c r="CD242" s="92"/>
      <c r="CE242" s="92"/>
      <c r="CF242" s="301"/>
      <c r="CG242" s="297"/>
      <c r="CH242" s="301"/>
      <c r="CI242" s="189"/>
      <c r="CJ242" s="189"/>
      <c r="CK242" s="92"/>
      <c r="CL242" s="92"/>
      <c r="CM242" s="301"/>
      <c r="CN242" s="301"/>
      <c r="CO242" s="301"/>
      <c r="CP242" s="189"/>
      <c r="CQ242" s="189"/>
      <c r="CR242" s="199"/>
      <c r="CS242" s="112"/>
      <c r="CT242" s="92"/>
      <c r="CU242" s="92"/>
      <c r="CV242" s="297"/>
      <c r="CW242" s="301"/>
      <c r="CX242" s="297"/>
      <c r="CY242" s="189"/>
      <c r="CZ242" s="189"/>
      <c r="DA242" s="189"/>
      <c r="DB242" s="189"/>
      <c r="DC242" s="189"/>
      <c r="DD242" s="207"/>
      <c r="DE242" s="204"/>
      <c r="DF242" s="297"/>
      <c r="DG242" s="199"/>
      <c r="DH242" s="92"/>
      <c r="DI242" s="112"/>
      <c r="DJ242" s="301"/>
      <c r="DK242" s="297"/>
      <c r="DL242" s="204"/>
      <c r="DM242" s="207"/>
      <c r="DN242" s="301"/>
      <c r="DO242" s="297"/>
      <c r="DP242" s="204"/>
      <c r="DQ242" s="189"/>
      <c r="DR242" s="301"/>
      <c r="DS242" s="301"/>
      <c r="DT242" s="301"/>
      <c r="DU242" s="301"/>
      <c r="DV242" s="92"/>
      <c r="DW242" s="199"/>
      <c r="DX242" s="477"/>
      <c r="DY242" s="92"/>
      <c r="DZ242" s="92"/>
    </row>
    <row r="243" spans="1:130">
      <c r="A243" s="189"/>
      <c r="B243" s="301"/>
      <c r="C243" s="189"/>
      <c r="D243" s="92"/>
      <c r="E243" s="92"/>
      <c r="F243" s="189"/>
      <c r="G243" s="301"/>
      <c r="H243" s="204"/>
      <c r="I243" s="298"/>
      <c r="J243" s="294"/>
      <c r="K243" s="301"/>
      <c r="L243" s="189"/>
      <c r="M243" s="92"/>
      <c r="N243" s="92"/>
      <c r="O243" s="92"/>
      <c r="P243" s="113"/>
      <c r="Q243" s="189"/>
      <c r="R243" s="301"/>
      <c r="S243" s="297"/>
      <c r="T243" s="301"/>
      <c r="U243" s="189"/>
      <c r="V243" s="92"/>
      <c r="W243" s="92"/>
      <c r="X243" s="189"/>
      <c r="Y243" s="207"/>
      <c r="Z243" s="298"/>
      <c r="AA243" s="301"/>
      <c r="AB243" s="301"/>
      <c r="AC243" s="301"/>
      <c r="AD243" s="189"/>
      <c r="AE243" s="92"/>
      <c r="AF243" s="113"/>
      <c r="AG243" s="92"/>
      <c r="AH243" s="92"/>
      <c r="AI243" s="92"/>
      <c r="AJ243" s="92"/>
      <c r="AK243" s="204"/>
      <c r="AL243" s="298"/>
      <c r="AM243" s="297"/>
      <c r="AN243" s="301"/>
      <c r="AO243" s="301"/>
      <c r="AP243" s="189"/>
      <c r="AQ243" s="301"/>
      <c r="AR243" s="297"/>
      <c r="AS243" s="92"/>
      <c r="AT243" s="92"/>
      <c r="AU243" s="92"/>
      <c r="AV243" s="113"/>
      <c r="AW243" s="92"/>
      <c r="AX243" s="92"/>
      <c r="AY243" s="92"/>
      <c r="AZ243" s="92"/>
      <c r="BA243" s="92"/>
      <c r="BB243" s="92"/>
      <c r="BC243" s="301"/>
      <c r="BD243" s="189"/>
      <c r="BE243" s="301"/>
      <c r="BF243" s="301"/>
      <c r="BG243" s="297"/>
      <c r="BH243" s="297"/>
      <c r="BI243" s="301"/>
      <c r="BJ243" s="92"/>
      <c r="BK243" s="92"/>
      <c r="BL243" s="113"/>
      <c r="BM243" s="92"/>
      <c r="BN243" s="92"/>
      <c r="BO243" s="92"/>
      <c r="BP243" s="92"/>
      <c r="BQ243" s="92"/>
      <c r="BR243" s="189"/>
      <c r="BS243" s="301"/>
      <c r="BT243" s="301"/>
      <c r="BU243" s="297"/>
      <c r="BV243" s="297"/>
      <c r="BW243" s="301"/>
      <c r="BX243" s="301"/>
      <c r="BY243" s="189"/>
      <c r="BZ243" s="92"/>
      <c r="CA243" s="92"/>
      <c r="CB243" s="92"/>
      <c r="CC243" s="112"/>
      <c r="CD243" s="92"/>
      <c r="CE243" s="92"/>
      <c r="CF243" s="297"/>
      <c r="CG243" s="297"/>
      <c r="CH243" s="301"/>
      <c r="CI243" s="189"/>
      <c r="CJ243" s="301"/>
      <c r="CK243" s="189"/>
      <c r="CL243" s="92"/>
      <c r="CM243" s="92"/>
      <c r="CN243" s="92"/>
      <c r="CO243" s="92"/>
      <c r="CP243" s="92"/>
      <c r="CQ243" s="92"/>
      <c r="CR243" s="92"/>
      <c r="CS243" s="112"/>
      <c r="CT243" s="92"/>
      <c r="CU243" s="92"/>
      <c r="CV243" s="297"/>
      <c r="CW243" s="301"/>
      <c r="CX243" s="189"/>
      <c r="CY243" s="301"/>
      <c r="CZ243" s="301"/>
      <c r="DA243" s="301"/>
      <c r="DB243" s="301"/>
      <c r="DC243" s="189"/>
      <c r="DD243" s="204"/>
      <c r="DE243" s="207"/>
      <c r="DF243" s="92"/>
      <c r="DG243" s="92"/>
      <c r="DH243" s="92"/>
      <c r="DI243" s="112"/>
      <c r="DJ243" s="92"/>
      <c r="DK243" s="301"/>
      <c r="DL243" s="297"/>
      <c r="DM243" s="297"/>
      <c r="DN243" s="189"/>
      <c r="DO243" s="297"/>
      <c r="DP243" s="207"/>
      <c r="DQ243" s="297"/>
      <c r="DR243" s="92"/>
      <c r="DS243" s="92"/>
      <c r="DT243" s="92"/>
      <c r="DU243" s="92"/>
      <c r="DV243" s="92"/>
      <c r="DW243" s="92"/>
      <c r="DX243" s="113"/>
      <c r="DY243" s="92"/>
      <c r="DZ243" s="92"/>
    </row>
    <row r="244" spans="1:130">
      <c r="A244" s="92"/>
      <c r="B244" s="92"/>
      <c r="C244" s="92"/>
      <c r="D244" s="92"/>
      <c r="E244" s="92"/>
      <c r="F244" s="189"/>
      <c r="G244" s="297"/>
      <c r="H244" s="207"/>
      <c r="I244" s="294"/>
      <c r="J244" s="163"/>
      <c r="K244" s="293"/>
      <c r="L244" s="189"/>
      <c r="M244" s="189"/>
      <c r="N244" s="92"/>
      <c r="O244" s="92"/>
      <c r="P244" s="113"/>
      <c r="Q244" s="92"/>
      <c r="R244" s="92"/>
      <c r="S244" s="92"/>
      <c r="T244" s="92"/>
      <c r="U244" s="92"/>
      <c r="V244" s="92"/>
      <c r="W244" s="92"/>
      <c r="X244" s="301"/>
      <c r="Y244" s="207"/>
      <c r="Z244" s="160"/>
      <c r="AA244" s="293"/>
      <c r="AB244" s="301"/>
      <c r="AC244" s="189"/>
      <c r="AD244" s="189"/>
      <c r="AE244" s="189"/>
      <c r="AF244" s="113"/>
      <c r="AG244" s="92"/>
      <c r="AH244" s="92"/>
      <c r="AI244" s="92"/>
      <c r="AJ244" s="92"/>
      <c r="AK244" s="207"/>
      <c r="AL244" s="204"/>
      <c r="AM244" s="301"/>
      <c r="AN244" s="301"/>
      <c r="AO244" s="301"/>
      <c r="AP244" s="189"/>
      <c r="AQ244" s="301"/>
      <c r="AR244" s="301"/>
      <c r="AS244" s="301"/>
      <c r="AT244" s="92"/>
      <c r="AU244" s="92"/>
      <c r="AV244" s="113"/>
      <c r="AW244" s="92"/>
      <c r="AX244" s="92"/>
      <c r="AY244" s="92"/>
      <c r="AZ244" s="92"/>
      <c r="BA244" s="92"/>
      <c r="BB244" s="301"/>
      <c r="BC244" s="189"/>
      <c r="BD244" s="189"/>
      <c r="BE244" s="301"/>
      <c r="BF244" s="297"/>
      <c r="BG244" s="297"/>
      <c r="BH244" s="297"/>
      <c r="BI244" s="301"/>
      <c r="BJ244" s="92"/>
      <c r="BK244" s="92"/>
      <c r="BL244" s="113"/>
      <c r="BM244" s="92"/>
      <c r="BN244" s="92"/>
      <c r="BO244" s="92"/>
      <c r="BP244" s="189"/>
      <c r="BQ244" s="189"/>
      <c r="BR244" s="301"/>
      <c r="BS244" s="301"/>
      <c r="BT244" s="297"/>
      <c r="BU244" s="297"/>
      <c r="BV244" s="297"/>
      <c r="BW244" s="297"/>
      <c r="BX244" s="301"/>
      <c r="BY244" s="189"/>
      <c r="BZ244" s="92"/>
      <c r="CA244" s="92"/>
      <c r="CB244" s="92"/>
      <c r="CC244" s="112"/>
      <c r="CD244" s="92"/>
      <c r="CE244" s="189"/>
      <c r="CF244" s="297"/>
      <c r="CG244" s="297"/>
      <c r="CH244" s="189"/>
      <c r="CI244" s="301"/>
      <c r="CJ244" s="189"/>
      <c r="CK244" s="189"/>
      <c r="CL244" s="92"/>
      <c r="CM244" s="92"/>
      <c r="CN244" s="92"/>
      <c r="CO244" s="92"/>
      <c r="CP244" s="92"/>
      <c r="CQ244" s="92"/>
      <c r="CR244" s="92"/>
      <c r="CS244" s="112"/>
      <c r="CT244" s="92"/>
      <c r="CU244" s="301"/>
      <c r="CV244" s="297"/>
      <c r="CW244" s="301"/>
      <c r="CX244" s="189"/>
      <c r="CY244" s="189"/>
      <c r="CZ244" s="301"/>
      <c r="DA244" s="297"/>
      <c r="DB244" s="92"/>
      <c r="DC244" s="301"/>
      <c r="DD244" s="301"/>
      <c r="DE244" s="297"/>
      <c r="DF244" s="92"/>
      <c r="DG244" s="92"/>
      <c r="DH244" s="92"/>
      <c r="DI244" s="112"/>
      <c r="DJ244" s="92"/>
      <c r="DK244" s="307"/>
      <c r="DL244" s="301"/>
      <c r="DM244" s="189"/>
      <c r="DN244" s="301"/>
      <c r="DO244" s="297"/>
      <c r="DP244" s="298"/>
      <c r="DQ244" s="293"/>
      <c r="DR244" s="189"/>
      <c r="DS244" s="92"/>
      <c r="DT244" s="92"/>
      <c r="DU244" s="92"/>
      <c r="DV244" s="92"/>
      <c r="DW244" s="92"/>
      <c r="DX244" s="113"/>
      <c r="DY244" s="92"/>
      <c r="DZ244" s="92"/>
    </row>
    <row r="245" spans="1:130">
      <c r="A245" s="92"/>
      <c r="B245" s="92"/>
      <c r="C245" s="92"/>
      <c r="D245" s="92"/>
      <c r="E245" s="189"/>
      <c r="F245" s="297"/>
      <c r="G245" s="163"/>
      <c r="H245" s="158"/>
      <c r="I245" s="173"/>
      <c r="J245" s="158"/>
      <c r="K245" s="163"/>
      <c r="L245" s="297"/>
      <c r="M245" s="189"/>
      <c r="N245" s="189"/>
      <c r="O245" s="92"/>
      <c r="P245" s="113"/>
      <c r="Q245" s="92"/>
      <c r="R245" s="92"/>
      <c r="S245" s="92"/>
      <c r="T245" s="92"/>
      <c r="U245" s="92"/>
      <c r="V245" s="92"/>
      <c r="W245" s="189"/>
      <c r="X245" s="301"/>
      <c r="Y245" s="294"/>
      <c r="Z245" s="173"/>
      <c r="AA245" s="168"/>
      <c r="AB245" s="163"/>
      <c r="AC245" s="189"/>
      <c r="AD245" s="189"/>
      <c r="AE245" s="189"/>
      <c r="AF245" s="113"/>
      <c r="AG245" s="92"/>
      <c r="AH245" s="92"/>
      <c r="AI245" s="92"/>
      <c r="AJ245" s="92"/>
      <c r="AK245" s="92"/>
      <c r="AL245" s="92"/>
      <c r="AM245" s="92"/>
      <c r="AN245" s="301"/>
      <c r="AO245" s="189"/>
      <c r="AP245" s="189"/>
      <c r="AQ245" s="189"/>
      <c r="AR245" s="301"/>
      <c r="AS245" s="301"/>
      <c r="AT245" s="92"/>
      <c r="AU245" s="92"/>
      <c r="AV245" s="113"/>
      <c r="AW245" s="92"/>
      <c r="AX245" s="92"/>
      <c r="AY245" s="92"/>
      <c r="AZ245" s="92"/>
      <c r="BA245" s="189"/>
      <c r="BB245" s="301"/>
      <c r="BC245" s="189"/>
      <c r="BD245" s="301"/>
      <c r="BE245" s="301"/>
      <c r="BF245" s="297"/>
      <c r="BG245" s="297"/>
      <c r="BH245" s="297"/>
      <c r="BI245" s="301"/>
      <c r="BJ245" s="92"/>
      <c r="BK245" s="92"/>
      <c r="BL245" s="113"/>
      <c r="BM245" s="92"/>
      <c r="BN245" s="92"/>
      <c r="BO245" s="92"/>
      <c r="BP245" s="301"/>
      <c r="BQ245" s="301"/>
      <c r="BR245" s="301"/>
      <c r="BS245" s="301"/>
      <c r="BT245" s="297"/>
      <c r="BU245" s="297"/>
      <c r="BV245" s="297"/>
      <c r="BW245" s="297"/>
      <c r="BX245" s="301"/>
      <c r="BY245" s="301"/>
      <c r="BZ245" s="92"/>
      <c r="CA245" s="92"/>
      <c r="CB245" s="92"/>
      <c r="CC245" s="112"/>
      <c r="CD245" s="92"/>
      <c r="CE245" s="301"/>
      <c r="CF245" s="297"/>
      <c r="CG245" s="297"/>
      <c r="CH245" s="301"/>
      <c r="CI245" s="189"/>
      <c r="CJ245" s="189"/>
      <c r="CK245" s="189"/>
      <c r="CL245" s="189"/>
      <c r="CM245" s="92"/>
      <c r="CN245" s="92"/>
      <c r="CO245" s="92"/>
      <c r="CP245" s="92"/>
      <c r="CQ245" s="92"/>
      <c r="CR245" s="92"/>
      <c r="CS245" s="112"/>
      <c r="CT245" s="92"/>
      <c r="CU245" s="297"/>
      <c r="CV245" s="297"/>
      <c r="CW245" s="301"/>
      <c r="CX245" s="189"/>
      <c r="CY245" s="189"/>
      <c r="CZ245" s="301"/>
      <c r="DA245" s="301"/>
      <c r="DB245" s="92"/>
      <c r="DC245" s="92"/>
      <c r="DD245" s="92"/>
      <c r="DE245" s="92"/>
      <c r="DF245" s="92"/>
      <c r="DG245" s="92"/>
      <c r="DH245" s="92"/>
      <c r="DI245" s="112"/>
      <c r="DJ245" s="92"/>
      <c r="DK245" s="189"/>
      <c r="DL245" s="189"/>
      <c r="DM245" s="301"/>
      <c r="DN245" s="163"/>
      <c r="DO245" s="293"/>
      <c r="DP245" s="298"/>
      <c r="DQ245" s="293"/>
      <c r="DR245" s="301"/>
      <c r="DS245" s="92"/>
      <c r="DT245" s="92"/>
      <c r="DU245" s="92"/>
      <c r="DV245" s="92"/>
      <c r="DW245" s="92"/>
      <c r="DX245" s="113"/>
      <c r="DY245" s="92"/>
      <c r="DZ245" s="92"/>
    </row>
    <row r="246" spans="1:130">
      <c r="A246" s="92"/>
      <c r="B246" s="92"/>
      <c r="C246" s="92"/>
      <c r="D246" s="92"/>
      <c r="E246" s="301"/>
      <c r="F246" s="297"/>
      <c r="G246" s="158"/>
      <c r="H246" s="158"/>
      <c r="I246" s="168"/>
      <c r="J246" s="158"/>
      <c r="K246" s="158"/>
      <c r="L246" s="163"/>
      <c r="M246" s="301"/>
      <c r="N246" s="189"/>
      <c r="O246" s="92"/>
      <c r="P246" s="113"/>
      <c r="Q246" s="92"/>
      <c r="R246" s="92"/>
      <c r="S246" s="92"/>
      <c r="T246" s="92"/>
      <c r="U246" s="92"/>
      <c r="V246" s="92"/>
      <c r="W246" s="189"/>
      <c r="X246" s="297"/>
      <c r="Y246" s="163"/>
      <c r="Z246" s="158"/>
      <c r="AA246" s="163"/>
      <c r="AB246" s="168"/>
      <c r="AC246" s="297"/>
      <c r="AD246" s="189"/>
      <c r="AE246" s="189"/>
      <c r="AF246" s="472"/>
      <c r="AG246" s="92"/>
      <c r="AH246" s="92"/>
      <c r="AI246" s="92"/>
      <c r="AJ246" s="92"/>
      <c r="AK246" s="92"/>
      <c r="AL246" s="92"/>
      <c r="AM246" s="92"/>
      <c r="AN246" s="189"/>
      <c r="AO246" s="189"/>
      <c r="AP246" s="189"/>
      <c r="AQ246" s="189"/>
      <c r="AR246" s="301"/>
      <c r="AS246" s="301"/>
      <c r="AT246" s="92"/>
      <c r="AU246" s="92"/>
      <c r="AV246" s="113"/>
      <c r="AW246" s="92"/>
      <c r="AX246" s="92"/>
      <c r="AY246" s="92"/>
      <c r="AZ246" s="92"/>
      <c r="BA246" s="92"/>
      <c r="BB246" s="189"/>
      <c r="BC246" s="301"/>
      <c r="BD246" s="301"/>
      <c r="BE246" s="301"/>
      <c r="BF246" s="297"/>
      <c r="BG246" s="297"/>
      <c r="BH246" s="297"/>
      <c r="BI246" s="297"/>
      <c r="BJ246" s="301"/>
      <c r="BK246" s="92"/>
      <c r="BL246" s="113"/>
      <c r="BM246" s="92"/>
      <c r="BN246" s="92"/>
      <c r="BO246" s="92"/>
      <c r="BP246" s="92"/>
      <c r="BQ246" s="297"/>
      <c r="BR246" s="301"/>
      <c r="BS246" s="297"/>
      <c r="BT246" s="297"/>
      <c r="BU246" s="297"/>
      <c r="BV246" s="297"/>
      <c r="BW246" s="301"/>
      <c r="BX246" s="301"/>
      <c r="BY246" s="92"/>
      <c r="BZ246" s="92"/>
      <c r="CA246" s="92"/>
      <c r="CB246" s="92"/>
      <c r="CC246" s="112"/>
      <c r="CD246" s="92"/>
      <c r="CE246" s="301"/>
      <c r="CF246" s="297"/>
      <c r="CG246" s="297"/>
      <c r="CH246" s="301"/>
      <c r="CI246" s="189"/>
      <c r="CJ246" s="189"/>
      <c r="CK246" s="189"/>
      <c r="CL246" s="189"/>
      <c r="CM246" s="301"/>
      <c r="CN246" s="92"/>
      <c r="CO246" s="92"/>
      <c r="CP246" s="92"/>
      <c r="CQ246" s="92"/>
      <c r="CR246" s="92"/>
      <c r="CS246" s="112"/>
      <c r="CT246" s="301"/>
      <c r="CU246" s="297"/>
      <c r="CV246" s="301"/>
      <c r="CW246" s="301"/>
      <c r="CX246" s="189"/>
      <c r="CY246" s="189"/>
      <c r="CZ246" s="189"/>
      <c r="DA246" s="189"/>
      <c r="DB246" s="92"/>
      <c r="DC246" s="92"/>
      <c r="DD246" s="92"/>
      <c r="DE246" s="92"/>
      <c r="DF246" s="92"/>
      <c r="DG246" s="92"/>
      <c r="DH246" s="92"/>
      <c r="DI246" s="112"/>
      <c r="DJ246" s="92"/>
      <c r="DK246" s="189"/>
      <c r="DL246" s="297"/>
      <c r="DM246" s="163"/>
      <c r="DN246" s="158"/>
      <c r="DO246" s="163"/>
      <c r="DP246" s="158"/>
      <c r="DQ246" s="163"/>
      <c r="DR246" s="297"/>
      <c r="DS246" s="189"/>
      <c r="DT246" s="92"/>
      <c r="DU246" s="92"/>
      <c r="DV246" s="92"/>
      <c r="DW246" s="92"/>
      <c r="DX246" s="113"/>
      <c r="DY246" s="92"/>
      <c r="DZ246" s="92"/>
    </row>
    <row r="247" spans="1:130">
      <c r="A247" s="92"/>
      <c r="B247" s="92"/>
      <c r="C247" s="92"/>
      <c r="D247" s="92"/>
      <c r="E247" s="189"/>
      <c r="F247" s="301"/>
      <c r="G247" s="199"/>
      <c r="H247" s="199"/>
      <c r="I247" s="158"/>
      <c r="J247" s="163"/>
      <c r="K247" s="294"/>
      <c r="L247" s="158"/>
      <c r="M247" s="301"/>
      <c r="N247" s="92"/>
      <c r="O247" s="92"/>
      <c r="P247" s="113"/>
      <c r="Q247" s="92"/>
      <c r="R247" s="92"/>
      <c r="S247" s="92"/>
      <c r="T247" s="92"/>
      <c r="U247" s="92"/>
      <c r="V247" s="92"/>
      <c r="W247" s="92"/>
      <c r="X247" s="189"/>
      <c r="Y247" s="297"/>
      <c r="Z247" s="199"/>
      <c r="AA247" s="163"/>
      <c r="AB247" s="292"/>
      <c r="AC247" s="163"/>
      <c r="AD247" s="301"/>
      <c r="AE247" s="189"/>
      <c r="AF247" s="472"/>
      <c r="AG247" s="92"/>
      <c r="AH247" s="92"/>
      <c r="AI247" s="92"/>
      <c r="AJ247" s="92"/>
      <c r="AK247" s="92"/>
      <c r="AL247" s="92"/>
      <c r="AM247" s="92"/>
      <c r="AN247" s="92"/>
      <c r="AO247" s="189"/>
      <c r="AP247" s="301"/>
      <c r="AQ247" s="301"/>
      <c r="AR247" s="301"/>
      <c r="AS247" s="189"/>
      <c r="AT247" s="301"/>
      <c r="AU247" s="92"/>
      <c r="AV247" s="113"/>
      <c r="AW247" s="92"/>
      <c r="AX247" s="92"/>
      <c r="AY247" s="92"/>
      <c r="AZ247" s="92"/>
      <c r="BA247" s="92"/>
      <c r="BB247" s="92"/>
      <c r="BC247" s="189"/>
      <c r="BD247" s="301"/>
      <c r="BE247" s="301"/>
      <c r="BF247" s="301"/>
      <c r="BG247" s="301"/>
      <c r="BH247" s="297"/>
      <c r="BI247" s="297"/>
      <c r="BJ247" s="301"/>
      <c r="BK247" s="92"/>
      <c r="BL247" s="113"/>
      <c r="BM247" s="92"/>
      <c r="BN247" s="92"/>
      <c r="BO247" s="92"/>
      <c r="BP247" s="92"/>
      <c r="BQ247" s="92"/>
      <c r="BR247" s="297"/>
      <c r="BS247" s="301"/>
      <c r="BT247" s="297"/>
      <c r="BU247" s="297"/>
      <c r="BV247" s="301"/>
      <c r="BW247" s="301"/>
      <c r="BX247" s="92"/>
      <c r="BY247" s="92"/>
      <c r="BZ247" s="92"/>
      <c r="CA247" s="92"/>
      <c r="CB247" s="92"/>
      <c r="CC247" s="112"/>
      <c r="CD247" s="301"/>
      <c r="CE247" s="189"/>
      <c r="CF247" s="301"/>
      <c r="CG247" s="297"/>
      <c r="CH247" s="297"/>
      <c r="CI247" s="301"/>
      <c r="CJ247" s="189"/>
      <c r="CK247" s="189"/>
      <c r="CL247" s="301"/>
      <c r="CM247" s="92"/>
      <c r="CN247" s="92"/>
      <c r="CO247" s="92"/>
      <c r="CP247" s="92"/>
      <c r="CQ247" s="92"/>
      <c r="CR247" s="92"/>
      <c r="CS247" s="112"/>
      <c r="CT247" s="189"/>
      <c r="CU247" s="301"/>
      <c r="CV247" s="301"/>
      <c r="CW247" s="189"/>
      <c r="CX247" s="189"/>
      <c r="CY247" s="189"/>
      <c r="CZ247" s="189"/>
      <c r="DA247" s="189"/>
      <c r="DB247" s="297"/>
      <c r="DC247" s="92"/>
      <c r="DD247" s="92"/>
      <c r="DE247" s="92"/>
      <c r="DF247" s="92"/>
      <c r="DG247" s="92"/>
      <c r="DH247" s="92"/>
      <c r="DI247" s="112"/>
      <c r="DJ247" s="92"/>
      <c r="DK247" s="301"/>
      <c r="DL247" s="293"/>
      <c r="DM247" s="163"/>
      <c r="DN247" s="163"/>
      <c r="DO247" s="168"/>
      <c r="DP247" s="163"/>
      <c r="DQ247" s="163"/>
      <c r="DR247" s="301"/>
      <c r="DS247" s="92"/>
      <c r="DT247" s="92"/>
      <c r="DU247" s="92"/>
      <c r="DV247" s="92"/>
      <c r="DW247" s="92"/>
      <c r="DX247" s="113"/>
      <c r="DY247" s="92"/>
      <c r="DZ247" s="92"/>
    </row>
    <row r="248" spans="1:130">
      <c r="A248" s="92"/>
      <c r="B248" s="92"/>
      <c r="C248" s="92"/>
      <c r="D248" s="92"/>
      <c r="E248" s="92"/>
      <c r="F248" s="92"/>
      <c r="G248" s="199"/>
      <c r="H248" s="199"/>
      <c r="I248" s="301"/>
      <c r="J248" s="293"/>
      <c r="K248" s="201"/>
      <c r="L248" s="156"/>
      <c r="M248" s="92"/>
      <c r="N248" s="92"/>
      <c r="O248" s="92"/>
      <c r="P248" s="113"/>
      <c r="Q248" s="92"/>
      <c r="R248" s="92"/>
      <c r="S248" s="92"/>
      <c r="T248" s="92"/>
      <c r="U248" s="92"/>
      <c r="V248" s="92"/>
      <c r="W248" s="92"/>
      <c r="X248" s="92"/>
      <c r="Y248" s="301"/>
      <c r="Z248" s="199"/>
      <c r="AA248" s="161"/>
      <c r="AB248" s="294"/>
      <c r="AC248" s="201"/>
      <c r="AD248" s="158"/>
      <c r="AE248" s="189"/>
      <c r="AF248" s="472"/>
      <c r="AG248" s="92"/>
      <c r="AH248" s="92"/>
      <c r="AI248" s="92"/>
      <c r="AJ248" s="92"/>
      <c r="AK248" s="92"/>
      <c r="AL248" s="92"/>
      <c r="AM248" s="92"/>
      <c r="AN248" s="92"/>
      <c r="AO248" s="92"/>
      <c r="AP248" s="301"/>
      <c r="AQ248" s="163"/>
      <c r="AR248" s="163"/>
      <c r="AS248" s="297"/>
      <c r="AT248" s="189"/>
      <c r="AU248" s="92"/>
      <c r="AV248" s="113"/>
      <c r="AW248" s="92"/>
      <c r="AX248" s="92"/>
      <c r="AY248" s="92"/>
      <c r="AZ248" s="92"/>
      <c r="BA248" s="92"/>
      <c r="BB248" s="92"/>
      <c r="BC248" s="92"/>
      <c r="BD248" s="163"/>
      <c r="BE248" s="163"/>
      <c r="BF248" s="199"/>
      <c r="BG248" s="301"/>
      <c r="BH248" s="301"/>
      <c r="BI248" s="301"/>
      <c r="BJ248" s="301"/>
      <c r="BK248" s="92"/>
      <c r="BL248" s="113"/>
      <c r="BM248" s="92"/>
      <c r="BN248" s="92"/>
      <c r="BO248" s="92"/>
      <c r="BP248" s="92"/>
      <c r="BQ248" s="92"/>
      <c r="BR248" s="293"/>
      <c r="BS248" s="163"/>
      <c r="BT248" s="301"/>
      <c r="BU248" s="301"/>
      <c r="BV248" s="163"/>
      <c r="BW248" s="163"/>
      <c r="BX248" s="92"/>
      <c r="BY248" s="92"/>
      <c r="BZ248" s="92"/>
      <c r="CA248" s="92"/>
      <c r="CB248" s="92"/>
      <c r="CC248" s="112"/>
      <c r="CD248" s="92"/>
      <c r="CE248" s="301"/>
      <c r="CF248" s="189"/>
      <c r="CG248" s="189"/>
      <c r="CH248" s="189"/>
      <c r="CI248" s="189"/>
      <c r="CJ248" s="301"/>
      <c r="CK248" s="301"/>
      <c r="CL248" s="92"/>
      <c r="CM248" s="92"/>
      <c r="CN248" s="92"/>
      <c r="CO248" s="92"/>
      <c r="CP248" s="92"/>
      <c r="CQ248" s="92"/>
      <c r="CR248" s="92"/>
      <c r="CS248" s="112"/>
      <c r="CT248" s="92"/>
      <c r="CU248" s="301"/>
      <c r="CV248" s="301"/>
      <c r="CW248" s="189"/>
      <c r="CX248" s="189"/>
      <c r="CY248" s="189"/>
      <c r="CZ248" s="189"/>
      <c r="DA248" s="301"/>
      <c r="DB248" s="92"/>
      <c r="DC248" s="92"/>
      <c r="DD248" s="92"/>
      <c r="DE248" s="92"/>
      <c r="DF248" s="92"/>
      <c r="DG248" s="92"/>
      <c r="DH248" s="92"/>
      <c r="DI248" s="112"/>
      <c r="DJ248" s="92"/>
      <c r="DK248" s="297"/>
      <c r="DL248" s="293"/>
      <c r="DM248" s="290"/>
      <c r="DN248" s="201"/>
      <c r="DO248" s="168"/>
      <c r="DP248" s="201"/>
      <c r="DQ248" s="163"/>
      <c r="DR248" s="92"/>
      <c r="DS248" s="92"/>
      <c r="DT248" s="92"/>
      <c r="DU248" s="92"/>
      <c r="DV248" s="92"/>
      <c r="DW248" s="92"/>
      <c r="DX248" s="113"/>
      <c r="DY248" s="92"/>
      <c r="DZ248" s="92"/>
    </row>
    <row r="249" spans="1:130">
      <c r="A249" s="92"/>
      <c r="B249" s="92"/>
      <c r="C249" s="92"/>
      <c r="D249" s="92"/>
      <c r="E249" s="92"/>
      <c r="F249" s="92"/>
      <c r="G249" s="199"/>
      <c r="H249" s="199"/>
      <c r="I249" s="92"/>
      <c r="J249" s="294"/>
      <c r="K249" s="199"/>
      <c r="L249" s="294"/>
      <c r="M249" s="92"/>
      <c r="N249" s="92"/>
      <c r="O249" s="92"/>
      <c r="P249" s="113"/>
      <c r="Q249" s="92"/>
      <c r="R249" s="92"/>
      <c r="S249" s="92"/>
      <c r="T249" s="92"/>
      <c r="U249" s="92"/>
      <c r="V249" s="92"/>
      <c r="W249" s="92"/>
      <c r="X249" s="92"/>
      <c r="Y249" s="189"/>
      <c r="Z249" s="201"/>
      <c r="AA249" s="199"/>
      <c r="AB249" s="294"/>
      <c r="AC249" s="199"/>
      <c r="AD249" s="294"/>
      <c r="AE249" s="301"/>
      <c r="AF249" s="113"/>
      <c r="AG249" s="92"/>
      <c r="AH249" s="92"/>
      <c r="AI249" s="92"/>
      <c r="AJ249" s="92"/>
      <c r="AK249" s="92"/>
      <c r="AL249" s="92"/>
      <c r="AM249" s="92"/>
      <c r="AN249" s="92"/>
      <c r="AO249" s="92"/>
      <c r="AP249" s="199"/>
      <c r="AQ249" s="201"/>
      <c r="AR249" s="294"/>
      <c r="AS249" s="189"/>
      <c r="AT249" s="92"/>
      <c r="AU249" s="92"/>
      <c r="AV249" s="113"/>
      <c r="AW249" s="92"/>
      <c r="AX249" s="92"/>
      <c r="AY249" s="92"/>
      <c r="AZ249" s="92"/>
      <c r="BA249" s="92"/>
      <c r="BB249" s="92"/>
      <c r="BC249" s="92"/>
      <c r="BD249" s="199"/>
      <c r="BE249" s="201"/>
      <c r="BF249" s="163"/>
      <c r="BG249" s="161"/>
      <c r="BH249" s="201"/>
      <c r="BI249" s="92"/>
      <c r="BJ249" s="92"/>
      <c r="BK249" s="92"/>
      <c r="BL249" s="113"/>
      <c r="BM249" s="92"/>
      <c r="BN249" s="92"/>
      <c r="BO249" s="92"/>
      <c r="BP249" s="92"/>
      <c r="BQ249" s="92"/>
      <c r="BR249" s="163"/>
      <c r="BS249" s="201"/>
      <c r="BT249" s="199"/>
      <c r="BU249" s="92"/>
      <c r="BV249" s="201"/>
      <c r="BW249" s="201"/>
      <c r="BX249" s="92"/>
      <c r="BY249" s="92"/>
      <c r="BZ249" s="92"/>
      <c r="CA249" s="92"/>
      <c r="CB249" s="92"/>
      <c r="CC249" s="112"/>
      <c r="CD249" s="92"/>
      <c r="CE249" s="92"/>
      <c r="CF249" s="163"/>
      <c r="CG249" s="297"/>
      <c r="CH249" s="163"/>
      <c r="CI249" s="201"/>
      <c r="CJ249" s="92"/>
      <c r="CK249" s="92"/>
      <c r="CL249" s="92"/>
      <c r="CM249" s="92"/>
      <c r="CN249" s="92"/>
      <c r="CO249" s="92"/>
      <c r="CP249" s="92"/>
      <c r="CQ249" s="92"/>
      <c r="CR249" s="92"/>
      <c r="CS249" s="112"/>
      <c r="CT249" s="92"/>
      <c r="CU249" s="92"/>
      <c r="CV249" s="301"/>
      <c r="CW249" s="189"/>
      <c r="CX249" s="297"/>
      <c r="CY249" s="297"/>
      <c r="CZ249" s="301"/>
      <c r="DA249" s="92"/>
      <c r="DB249" s="92"/>
      <c r="DC249" s="92"/>
      <c r="DD249" s="92"/>
      <c r="DE249" s="92"/>
      <c r="DF249" s="92"/>
      <c r="DG249" s="92"/>
      <c r="DH249" s="92"/>
      <c r="DI249" s="112"/>
      <c r="DJ249" s="92"/>
      <c r="DK249" s="92"/>
      <c r="DL249" s="297"/>
      <c r="DM249" s="201"/>
      <c r="DN249" s="199"/>
      <c r="DO249" s="201"/>
      <c r="DP249" s="298"/>
      <c r="DQ249" s="92"/>
      <c r="DR249" s="92"/>
      <c r="DS249" s="92"/>
      <c r="DT249" s="92"/>
      <c r="DU249" s="92"/>
      <c r="DV249" s="92"/>
      <c r="DW249" s="92"/>
      <c r="DX249" s="113"/>
      <c r="DY249" s="92"/>
      <c r="DZ249" s="92"/>
    </row>
    <row r="250" spans="1:130">
      <c r="A250" s="92"/>
      <c r="B250" s="92"/>
      <c r="C250" s="92"/>
      <c r="D250" s="92"/>
      <c r="E250" s="92"/>
      <c r="F250" s="92"/>
      <c r="G250" s="199"/>
      <c r="H250" s="199"/>
      <c r="I250" s="92"/>
      <c r="J250" s="92"/>
      <c r="K250" s="207"/>
      <c r="L250" s="207"/>
      <c r="M250" s="92"/>
      <c r="N250" s="92"/>
      <c r="O250" s="92"/>
      <c r="P250" s="113"/>
      <c r="Q250" s="92"/>
      <c r="R250" s="92"/>
      <c r="S250" s="92"/>
      <c r="T250" s="92"/>
      <c r="U250" s="92"/>
      <c r="V250" s="92"/>
      <c r="W250" s="92"/>
      <c r="X250" s="92"/>
      <c r="Y250" s="92"/>
      <c r="Z250" s="200"/>
      <c r="AA250" s="199"/>
      <c r="AB250" s="92"/>
      <c r="AC250" s="207"/>
      <c r="AD250" s="298"/>
      <c r="AE250" s="92"/>
      <c r="AF250" s="113"/>
      <c r="AG250" s="92"/>
      <c r="AH250" s="92"/>
      <c r="AI250" s="92"/>
      <c r="AJ250" s="92"/>
      <c r="AK250" s="92"/>
      <c r="AL250" s="92"/>
      <c r="AM250" s="92"/>
      <c r="AN250" s="92"/>
      <c r="AO250" s="92"/>
      <c r="AP250" s="92"/>
      <c r="AQ250" s="298"/>
      <c r="AR250" s="293"/>
      <c r="AS250" s="293"/>
      <c r="AT250" s="92"/>
      <c r="AU250" s="92"/>
      <c r="AV250" s="113"/>
      <c r="AW250" s="92"/>
      <c r="AX250" s="92"/>
      <c r="AY250" s="92"/>
      <c r="AZ250" s="92"/>
      <c r="BA250" s="92"/>
      <c r="BB250" s="92"/>
      <c r="BC250" s="92"/>
      <c r="BD250" s="207"/>
      <c r="BE250" s="298"/>
      <c r="BF250" s="92"/>
      <c r="BG250" s="201"/>
      <c r="BH250" s="199"/>
      <c r="BI250" s="92"/>
      <c r="BJ250" s="92"/>
      <c r="BK250" s="92"/>
      <c r="BL250" s="113"/>
      <c r="BM250" s="92"/>
      <c r="BN250" s="92"/>
      <c r="BO250" s="92"/>
      <c r="BP250" s="92"/>
      <c r="BQ250" s="92"/>
      <c r="BR250" s="92"/>
      <c r="BS250" s="207"/>
      <c r="BT250" s="298"/>
      <c r="BU250" s="92"/>
      <c r="BV250" s="199"/>
      <c r="BW250" s="201"/>
      <c r="BX250" s="92"/>
      <c r="BY250" s="92"/>
      <c r="BZ250" s="92"/>
      <c r="CA250" s="92"/>
      <c r="CB250" s="92"/>
      <c r="CC250" s="112"/>
      <c r="CD250" s="92"/>
      <c r="CE250" s="92"/>
      <c r="CF250" s="298"/>
      <c r="CG250" s="207"/>
      <c r="CH250" s="201"/>
      <c r="CI250" s="199"/>
      <c r="CJ250" s="92"/>
      <c r="CK250" s="92"/>
      <c r="CL250" s="92"/>
      <c r="CM250" s="92"/>
      <c r="CN250" s="92"/>
      <c r="CO250" s="92"/>
      <c r="CP250" s="92"/>
      <c r="CQ250" s="92"/>
      <c r="CR250" s="92"/>
      <c r="CS250" s="112"/>
      <c r="CT250" s="92"/>
      <c r="CU250" s="92"/>
      <c r="CV250" s="92"/>
      <c r="CW250" s="201"/>
      <c r="CX250" s="201"/>
      <c r="CY250" s="298"/>
      <c r="CZ250" s="92"/>
      <c r="DA250" s="92"/>
      <c r="DB250" s="92"/>
      <c r="DC250" s="92"/>
      <c r="DD250" s="92"/>
      <c r="DE250" s="92"/>
      <c r="DF250" s="92"/>
      <c r="DG250" s="92"/>
      <c r="DH250" s="92"/>
      <c r="DI250" s="112"/>
      <c r="DJ250" s="92"/>
      <c r="DK250" s="92"/>
      <c r="DL250" s="201"/>
      <c r="DM250" s="199"/>
      <c r="DN250" s="200"/>
      <c r="DO250" s="298"/>
      <c r="DP250" s="207"/>
      <c r="DQ250" s="92"/>
      <c r="DR250" s="92"/>
      <c r="DS250" s="92"/>
      <c r="DT250" s="92"/>
      <c r="DU250" s="92"/>
      <c r="DV250" s="92"/>
      <c r="DW250" s="92"/>
      <c r="DX250" s="113"/>
      <c r="DY250" s="92"/>
      <c r="DZ250" s="92"/>
    </row>
    <row r="251" spans="1:130">
      <c r="A251" s="92"/>
      <c r="B251" s="92"/>
      <c r="C251" s="92"/>
      <c r="D251" s="92"/>
      <c r="E251" s="92"/>
      <c r="F251" s="92"/>
      <c r="G251" s="200"/>
      <c r="H251" s="199"/>
      <c r="I251" s="92"/>
      <c r="J251" s="92"/>
      <c r="K251" s="207"/>
      <c r="L251" s="92"/>
      <c r="M251" s="92"/>
      <c r="N251" s="92"/>
      <c r="O251" s="92"/>
      <c r="P251" s="113"/>
      <c r="Q251" s="92"/>
      <c r="R251" s="92"/>
      <c r="S251" s="92"/>
      <c r="T251" s="92"/>
      <c r="U251" s="92"/>
      <c r="V251" s="92"/>
      <c r="W251" s="92"/>
      <c r="X251" s="92"/>
      <c r="Y251" s="92"/>
      <c r="Z251" s="199"/>
      <c r="AA251" s="199"/>
      <c r="AB251" s="92"/>
      <c r="AC251" s="204"/>
      <c r="AD251" s="92"/>
      <c r="AE251" s="92"/>
      <c r="AF251" s="113"/>
      <c r="AG251" s="92"/>
      <c r="AH251" s="92"/>
      <c r="AI251" s="92"/>
      <c r="AJ251" s="92"/>
      <c r="AK251" s="92"/>
      <c r="AL251" s="92"/>
      <c r="AM251" s="92"/>
      <c r="AN251" s="92"/>
      <c r="AO251" s="92"/>
      <c r="AP251" s="92"/>
      <c r="AQ251" s="207"/>
      <c r="AR251" s="200"/>
      <c r="AS251" s="207"/>
      <c r="AT251" s="92"/>
      <c r="AU251" s="92"/>
      <c r="AV251" s="113"/>
      <c r="AW251" s="92"/>
      <c r="AX251" s="92"/>
      <c r="AY251" s="92"/>
      <c r="AZ251" s="92"/>
      <c r="BA251" s="92"/>
      <c r="BB251" s="92"/>
      <c r="BC251" s="92"/>
      <c r="BD251" s="207"/>
      <c r="BE251" s="298"/>
      <c r="BF251" s="92"/>
      <c r="BG251" s="200"/>
      <c r="BH251" s="201"/>
      <c r="BI251" s="298"/>
      <c r="BJ251" s="92"/>
      <c r="BK251" s="92"/>
      <c r="BL251" s="113"/>
      <c r="BM251" s="92"/>
      <c r="BN251" s="92"/>
      <c r="BO251" s="92"/>
      <c r="BP251" s="92"/>
      <c r="BQ251" s="92"/>
      <c r="BR251" s="92"/>
      <c r="BS251" s="298"/>
      <c r="BT251" s="298"/>
      <c r="BU251" s="92"/>
      <c r="BV251" s="201"/>
      <c r="BW251" s="201"/>
      <c r="BX251" s="92"/>
      <c r="BY251" s="92"/>
      <c r="BZ251" s="92"/>
      <c r="CA251" s="92"/>
      <c r="CB251" s="92"/>
      <c r="CC251" s="112"/>
      <c r="CD251" s="92"/>
      <c r="CE251" s="92"/>
      <c r="CF251" s="298"/>
      <c r="CG251" s="92"/>
      <c r="CH251" s="201"/>
      <c r="CI251" s="200"/>
      <c r="CJ251" s="92"/>
      <c r="CK251" s="92"/>
      <c r="CL251" s="92"/>
      <c r="CM251" s="92"/>
      <c r="CN251" s="92"/>
      <c r="CO251" s="92"/>
      <c r="CP251" s="92"/>
      <c r="CQ251" s="92"/>
      <c r="CR251" s="92"/>
      <c r="CS251" s="112"/>
      <c r="CT251" s="92"/>
      <c r="CU251" s="92"/>
      <c r="CV251" s="92"/>
      <c r="CW251" s="207"/>
      <c r="CX251" s="199"/>
      <c r="CY251" s="92"/>
      <c r="CZ251" s="92"/>
      <c r="DA251" s="92"/>
      <c r="DB251" s="92"/>
      <c r="DC251" s="92"/>
      <c r="DD251" s="92"/>
      <c r="DE251" s="92"/>
      <c r="DF251" s="92"/>
      <c r="DG251" s="92"/>
      <c r="DH251" s="92"/>
      <c r="DI251" s="112"/>
      <c r="DJ251" s="92"/>
      <c r="DK251" s="92"/>
      <c r="DL251" s="298"/>
      <c r="DM251" s="199"/>
      <c r="DN251" s="92"/>
      <c r="DO251" s="207"/>
      <c r="DP251" s="92"/>
      <c r="DQ251" s="92"/>
      <c r="DR251" s="92"/>
      <c r="DS251" s="92"/>
      <c r="DT251" s="92"/>
      <c r="DU251" s="92"/>
      <c r="DV251" s="92"/>
      <c r="DW251" s="92"/>
      <c r="DX251" s="113"/>
      <c r="DY251" s="92"/>
      <c r="DZ251" s="92"/>
    </row>
    <row r="252" spans="1:130">
      <c r="A252" s="92"/>
      <c r="B252" s="92"/>
      <c r="C252" s="92"/>
      <c r="D252" s="92"/>
      <c r="E252" s="92"/>
      <c r="F252" s="92"/>
      <c r="G252" s="200"/>
      <c r="H252" s="200"/>
      <c r="I252" s="92"/>
      <c r="J252" s="92"/>
      <c r="K252" s="204"/>
      <c r="L252" s="92"/>
      <c r="M252" s="92"/>
      <c r="N252" s="92"/>
      <c r="O252" s="92"/>
      <c r="P252" s="113"/>
      <c r="Q252" s="92"/>
      <c r="R252" s="92"/>
      <c r="S252" s="92"/>
      <c r="T252" s="92"/>
      <c r="U252" s="92"/>
      <c r="V252" s="92"/>
      <c r="W252" s="92"/>
      <c r="X252" s="92"/>
      <c r="Y252" s="92"/>
      <c r="Z252" s="200"/>
      <c r="AA252" s="207"/>
      <c r="AB252" s="92"/>
      <c r="AC252" s="298"/>
      <c r="AD252" s="92"/>
      <c r="AE252" s="92"/>
      <c r="AF252" s="113"/>
      <c r="AG252" s="92"/>
      <c r="AH252" s="92"/>
      <c r="AI252" s="92"/>
      <c r="AJ252" s="92"/>
      <c r="AK252" s="92"/>
      <c r="AL252" s="92"/>
      <c r="AM252" s="92"/>
      <c r="AN252" s="92"/>
      <c r="AO252" s="92"/>
      <c r="AP252" s="92"/>
      <c r="AQ252" s="207"/>
      <c r="AR252" s="199"/>
      <c r="AS252" s="204"/>
      <c r="AT252" s="92"/>
      <c r="AU252" s="92"/>
      <c r="AV252" s="113"/>
      <c r="AW252" s="92"/>
      <c r="AX252" s="92"/>
      <c r="AY252" s="92"/>
      <c r="AZ252" s="92"/>
      <c r="BA252" s="92"/>
      <c r="BB252" s="92"/>
      <c r="BC252" s="92"/>
      <c r="BD252" s="92"/>
      <c r="BE252" s="298"/>
      <c r="BF252" s="92"/>
      <c r="BG252" s="92"/>
      <c r="BH252" s="201"/>
      <c r="BI252" s="207"/>
      <c r="BJ252" s="92"/>
      <c r="BK252" s="92"/>
      <c r="BL252" s="113"/>
      <c r="BM252" s="92"/>
      <c r="BN252" s="92"/>
      <c r="BO252" s="92"/>
      <c r="BP252" s="92"/>
      <c r="BQ252" s="92"/>
      <c r="BR252" s="92"/>
      <c r="BS252" s="298"/>
      <c r="BT252" s="92"/>
      <c r="BU252" s="92"/>
      <c r="BV252" s="199"/>
      <c r="BW252" s="298"/>
      <c r="BX252" s="92"/>
      <c r="BY252" s="92"/>
      <c r="BZ252" s="92"/>
      <c r="CA252" s="92"/>
      <c r="CB252" s="92"/>
      <c r="CC252" s="112"/>
      <c r="CD252" s="92"/>
      <c r="CE252" s="92"/>
      <c r="CF252" s="207"/>
      <c r="CG252" s="92"/>
      <c r="CH252" s="199"/>
      <c r="CI252" s="199"/>
      <c r="CJ252" s="92"/>
      <c r="CK252" s="92"/>
      <c r="CL252" s="92"/>
      <c r="CM252" s="92"/>
      <c r="CN252" s="92"/>
      <c r="CO252" s="92"/>
      <c r="CP252" s="92"/>
      <c r="CQ252" s="92"/>
      <c r="CR252" s="92"/>
      <c r="CS252" s="112"/>
      <c r="CT252" s="92"/>
      <c r="CU252" s="92"/>
      <c r="CV252" s="92"/>
      <c r="CW252" s="204"/>
      <c r="CX252" s="200"/>
      <c r="CY252" s="92"/>
      <c r="CZ252" s="92"/>
      <c r="DA252" s="92"/>
      <c r="DB252" s="92"/>
      <c r="DC252" s="92"/>
      <c r="DD252" s="92"/>
      <c r="DE252" s="92"/>
      <c r="DF252" s="92"/>
      <c r="DG252" s="92"/>
      <c r="DH252" s="92"/>
      <c r="DI252" s="112"/>
      <c r="DJ252" s="92"/>
      <c r="DK252" s="92"/>
      <c r="DL252" s="298"/>
      <c r="DM252" s="199"/>
      <c r="DN252" s="92"/>
      <c r="DO252" s="204"/>
      <c r="DP252" s="92"/>
      <c r="DQ252" s="92"/>
      <c r="DR252" s="92"/>
      <c r="DS252" s="92"/>
      <c r="DT252" s="92"/>
      <c r="DU252" s="92"/>
      <c r="DV252" s="92"/>
      <c r="DW252" s="92"/>
      <c r="DX252" s="113"/>
      <c r="DY252" s="92"/>
      <c r="DZ252" s="92"/>
    </row>
    <row r="253" spans="1:130">
      <c r="A253" s="92"/>
      <c r="B253" s="92"/>
      <c r="C253" s="92"/>
      <c r="D253" s="92"/>
      <c r="E253" s="92"/>
      <c r="F253" s="92"/>
      <c r="G253" s="199"/>
      <c r="H253" s="200"/>
      <c r="I253" s="92"/>
      <c r="J253" s="92"/>
      <c r="K253" s="204"/>
      <c r="L253" s="92"/>
      <c r="M253" s="92"/>
      <c r="N253" s="92"/>
      <c r="O253" s="92"/>
      <c r="P253" s="113"/>
      <c r="Q253" s="92"/>
      <c r="R253" s="92"/>
      <c r="S253" s="92"/>
      <c r="T253" s="92"/>
      <c r="U253" s="92"/>
      <c r="V253" s="92"/>
      <c r="W253" s="92"/>
      <c r="X253" s="92"/>
      <c r="Y253" s="92"/>
      <c r="Z253" s="200"/>
      <c r="AA253" s="204"/>
      <c r="AB253" s="92"/>
      <c r="AC253" s="298"/>
      <c r="AD253" s="92"/>
      <c r="AE253" s="92"/>
      <c r="AF253" s="113"/>
      <c r="AG253" s="92"/>
      <c r="AH253" s="92"/>
      <c r="AI253" s="92"/>
      <c r="AJ253" s="92"/>
      <c r="AK253" s="92"/>
      <c r="AL253" s="92"/>
      <c r="AM253" s="92"/>
      <c r="AN253" s="92"/>
      <c r="AO253" s="92"/>
      <c r="AP253" s="204"/>
      <c r="AQ253" s="92"/>
      <c r="AR253" s="293"/>
      <c r="AS253" s="207"/>
      <c r="AT253" s="204"/>
      <c r="AU253" s="92"/>
      <c r="AV253" s="113"/>
      <c r="AW253" s="92"/>
      <c r="AX253" s="92"/>
      <c r="AY253" s="92"/>
      <c r="AZ253" s="92"/>
      <c r="BA253" s="92"/>
      <c r="BB253" s="92"/>
      <c r="BC253" s="92"/>
      <c r="BD253" s="92"/>
      <c r="BE253" s="298"/>
      <c r="BF253" s="92"/>
      <c r="BG253" s="92"/>
      <c r="BH253" s="199"/>
      <c r="BI253" s="207"/>
      <c r="BJ253" s="92"/>
      <c r="BK253" s="92"/>
      <c r="BL253" s="113"/>
      <c r="BM253" s="92"/>
      <c r="BN253" s="92"/>
      <c r="BO253" s="92"/>
      <c r="BP253" s="92"/>
      <c r="BQ253" s="92"/>
      <c r="BR253" s="92"/>
      <c r="BS253" s="298"/>
      <c r="BT253" s="92"/>
      <c r="BU253" s="92"/>
      <c r="BV253" s="207"/>
      <c r="BW253" s="298"/>
      <c r="BX253" s="92"/>
      <c r="BY253" s="92"/>
      <c r="BZ253" s="92"/>
      <c r="CA253" s="92"/>
      <c r="CB253" s="92"/>
      <c r="CC253" s="112"/>
      <c r="CD253" s="92"/>
      <c r="CE253" s="298"/>
      <c r="CF253" s="92"/>
      <c r="CG253" s="298"/>
      <c r="CH253" s="199"/>
      <c r="CI253" s="92"/>
      <c r="CJ253" s="92"/>
      <c r="CK253" s="92"/>
      <c r="CL253" s="92"/>
      <c r="CM253" s="92"/>
      <c r="CN253" s="92"/>
      <c r="CO253" s="92"/>
      <c r="CP253" s="92"/>
      <c r="CQ253" s="92"/>
      <c r="CR253" s="92"/>
      <c r="CS253" s="112"/>
      <c r="CT253" s="92"/>
      <c r="CU253" s="92"/>
      <c r="CV253" s="204"/>
      <c r="CW253" s="207"/>
      <c r="CX253" s="201"/>
      <c r="CY253" s="92"/>
      <c r="CZ253" s="92"/>
      <c r="DA253" s="92"/>
      <c r="DB253" s="92"/>
      <c r="DC253" s="92"/>
      <c r="DD253" s="92"/>
      <c r="DE253" s="92"/>
      <c r="DF253" s="92"/>
      <c r="DG253" s="92"/>
      <c r="DH253" s="92"/>
      <c r="DI253" s="112"/>
      <c r="DJ253" s="92"/>
      <c r="DK253" s="92"/>
      <c r="DL253" s="199"/>
      <c r="DM253" s="200"/>
      <c r="DN253" s="92"/>
      <c r="DO253" s="207"/>
      <c r="DP253" s="92"/>
      <c r="DQ253" s="92"/>
      <c r="DR253" s="92"/>
      <c r="DS253" s="92"/>
      <c r="DT253" s="92"/>
      <c r="DU253" s="92"/>
      <c r="DV253" s="92"/>
      <c r="DW253" s="92"/>
      <c r="DX253" s="113"/>
      <c r="DY253" s="92"/>
      <c r="DZ253" s="92"/>
    </row>
    <row r="254" spans="1:130">
      <c r="A254" s="92"/>
      <c r="B254" s="92"/>
      <c r="C254" s="92"/>
      <c r="D254" s="92"/>
      <c r="E254" s="92"/>
      <c r="F254" s="92"/>
      <c r="G254" s="298"/>
      <c r="H254" s="199"/>
      <c r="I254" s="92"/>
      <c r="J254" s="92"/>
      <c r="K254" s="207"/>
      <c r="L254" s="92"/>
      <c r="M254" s="92"/>
      <c r="N254" s="92"/>
      <c r="O254" s="92"/>
      <c r="P254" s="113"/>
      <c r="Q254" s="92"/>
      <c r="R254" s="92"/>
      <c r="S254" s="92"/>
      <c r="T254" s="92"/>
      <c r="U254" s="92"/>
      <c r="V254" s="92"/>
      <c r="W254" s="92"/>
      <c r="X254" s="92"/>
      <c r="Y254" s="92"/>
      <c r="Z254" s="199"/>
      <c r="AA254" s="207"/>
      <c r="AB254" s="92"/>
      <c r="AC254" s="92"/>
      <c r="AD254" s="298"/>
      <c r="AE254" s="92"/>
      <c r="AF254" s="113"/>
      <c r="AG254" s="92"/>
      <c r="AH254" s="92"/>
      <c r="AI254" s="92"/>
      <c r="AJ254" s="92"/>
      <c r="AK254" s="92"/>
      <c r="AL254" s="92"/>
      <c r="AM254" s="92"/>
      <c r="AN254" s="92"/>
      <c r="AO254" s="92"/>
      <c r="AP254" s="207"/>
      <c r="AQ254" s="294"/>
      <c r="AR254" s="293"/>
      <c r="AS254" s="199"/>
      <c r="AT254" s="207"/>
      <c r="AU254" s="92"/>
      <c r="AV254" s="113"/>
      <c r="AW254" s="92"/>
      <c r="AX254" s="92"/>
      <c r="AY254" s="92"/>
      <c r="AZ254" s="92"/>
      <c r="BA254" s="92"/>
      <c r="BB254" s="92"/>
      <c r="BC254" s="92"/>
      <c r="BD254" s="92"/>
      <c r="BE254" s="298"/>
      <c r="BF254" s="92"/>
      <c r="BG254" s="92"/>
      <c r="BH254" s="199"/>
      <c r="BI254" s="298"/>
      <c r="BJ254" s="204"/>
      <c r="BK254" s="92"/>
      <c r="BL254" s="113"/>
      <c r="BM254" s="92"/>
      <c r="BN254" s="92"/>
      <c r="BO254" s="92"/>
      <c r="BP254" s="92"/>
      <c r="BQ254" s="92"/>
      <c r="BR254" s="92"/>
      <c r="BS254" s="298"/>
      <c r="BT254" s="92"/>
      <c r="BU254" s="92"/>
      <c r="BV254" s="298"/>
      <c r="BW254" s="207"/>
      <c r="BX254" s="199"/>
      <c r="BY254" s="92"/>
      <c r="BZ254" s="92"/>
      <c r="CA254" s="92"/>
      <c r="CB254" s="92"/>
      <c r="CC254" s="112"/>
      <c r="CD254" s="92"/>
      <c r="CE254" s="298"/>
      <c r="CF254" s="92"/>
      <c r="CG254" s="298"/>
      <c r="CH254" s="201"/>
      <c r="CI254" s="92"/>
      <c r="CJ254" s="92"/>
      <c r="CK254" s="92"/>
      <c r="CL254" s="92"/>
      <c r="CM254" s="92"/>
      <c r="CN254" s="92"/>
      <c r="CO254" s="92"/>
      <c r="CP254" s="92"/>
      <c r="CQ254" s="92"/>
      <c r="CR254" s="92"/>
      <c r="CS254" s="112"/>
      <c r="CT254" s="92"/>
      <c r="CU254" s="92"/>
      <c r="CV254" s="207"/>
      <c r="CW254" s="199"/>
      <c r="CX254" s="201"/>
      <c r="CY254" s="92"/>
      <c r="CZ254" s="92"/>
      <c r="DA254" s="92"/>
      <c r="DB254" s="92"/>
      <c r="DC254" s="92"/>
      <c r="DD254" s="92"/>
      <c r="DE254" s="92"/>
      <c r="DF254" s="92"/>
      <c r="DG254" s="92"/>
      <c r="DH254" s="92"/>
      <c r="DI254" s="112"/>
      <c r="DJ254" s="92"/>
      <c r="DK254" s="204"/>
      <c r="DL254" s="199"/>
      <c r="DM254" s="200"/>
      <c r="DN254" s="92"/>
      <c r="DO254" s="298"/>
      <c r="DP254" s="92"/>
      <c r="DQ254" s="92"/>
      <c r="DR254" s="92"/>
      <c r="DS254" s="92"/>
      <c r="DT254" s="92"/>
      <c r="DU254" s="92"/>
      <c r="DV254" s="92"/>
      <c r="DW254" s="92"/>
      <c r="DX254" s="113"/>
      <c r="DY254" s="92"/>
      <c r="DZ254" s="92"/>
    </row>
    <row r="255" spans="1:130">
      <c r="A255" s="92"/>
      <c r="B255" s="92"/>
      <c r="C255" s="92"/>
      <c r="D255" s="92"/>
      <c r="E255" s="92"/>
      <c r="F255" s="200"/>
      <c r="G255" s="298"/>
      <c r="H255" s="199"/>
      <c r="I255" s="92"/>
      <c r="J255" s="92"/>
      <c r="K255" s="207"/>
      <c r="L255" s="204"/>
      <c r="M255" s="92"/>
      <c r="N255" s="92"/>
      <c r="O255" s="92"/>
      <c r="P255" s="113"/>
      <c r="Q255" s="92"/>
      <c r="R255" s="92"/>
      <c r="S255" s="92"/>
      <c r="T255" s="92"/>
      <c r="U255" s="92"/>
      <c r="V255" s="92"/>
      <c r="W255" s="92"/>
      <c r="X255" s="92"/>
      <c r="Y255" s="199"/>
      <c r="Z255" s="161"/>
      <c r="AA255" s="92"/>
      <c r="AB255" s="92"/>
      <c r="AC255" s="204"/>
      <c r="AD255" s="207"/>
      <c r="AE255" s="298"/>
      <c r="AF255" s="113"/>
      <c r="AG255" s="92"/>
      <c r="AH255" s="92"/>
      <c r="AI255" s="92"/>
      <c r="AJ255" s="92"/>
      <c r="AK255" s="92"/>
      <c r="AL255" s="92"/>
      <c r="AM255" s="92"/>
      <c r="AN255" s="92"/>
      <c r="AO255" s="204"/>
      <c r="AP255" s="298"/>
      <c r="AQ255" s="298"/>
      <c r="AR255" s="199"/>
      <c r="AS255" s="161"/>
      <c r="AT255" s="92"/>
      <c r="AU255" s="92"/>
      <c r="AV255" s="113"/>
      <c r="AW255" s="92"/>
      <c r="AX255" s="92"/>
      <c r="AY255" s="92"/>
      <c r="AZ255" s="92"/>
      <c r="BA255" s="92"/>
      <c r="BB255" s="92"/>
      <c r="BC255" s="92"/>
      <c r="BD255" s="207"/>
      <c r="BE255" s="298"/>
      <c r="BF255" s="92"/>
      <c r="BG255" s="92"/>
      <c r="BH255" s="199"/>
      <c r="BI255" s="161"/>
      <c r="BJ255" s="92"/>
      <c r="BK255" s="92"/>
      <c r="BL255" s="113"/>
      <c r="BM255" s="92"/>
      <c r="BN255" s="92"/>
      <c r="BO255" s="92"/>
      <c r="BP255" s="92"/>
      <c r="BQ255" s="92"/>
      <c r="BR255" s="207"/>
      <c r="BS255" s="298"/>
      <c r="BT255" s="92"/>
      <c r="BU255" s="92"/>
      <c r="BV255" s="298"/>
      <c r="BW255" s="201"/>
      <c r="BX255" s="92"/>
      <c r="BY255" s="92"/>
      <c r="BZ255" s="92"/>
      <c r="CA255" s="92"/>
      <c r="CB255" s="92"/>
      <c r="CC255" s="112"/>
      <c r="CD255" s="92"/>
      <c r="CE255" s="294"/>
      <c r="CF255" s="207"/>
      <c r="CG255" s="298"/>
      <c r="CH255" s="201"/>
      <c r="CI255" s="201"/>
      <c r="CJ255" s="92"/>
      <c r="CK255" s="92"/>
      <c r="CL255" s="92"/>
      <c r="CM255" s="92"/>
      <c r="CN255" s="92"/>
      <c r="CO255" s="92"/>
      <c r="CP255" s="92"/>
      <c r="CQ255" s="92"/>
      <c r="CR255" s="92"/>
      <c r="CS255" s="112"/>
      <c r="CT255" s="92"/>
      <c r="CU255" s="92"/>
      <c r="CV255" s="298"/>
      <c r="CW255" s="161"/>
      <c r="CX255" s="199"/>
      <c r="CY255" s="92"/>
      <c r="CZ255" s="92"/>
      <c r="DA255" s="92"/>
      <c r="DB255" s="92"/>
      <c r="DC255" s="92"/>
      <c r="DD255" s="92"/>
      <c r="DE255" s="92"/>
      <c r="DF255" s="92"/>
      <c r="DG255" s="92"/>
      <c r="DH255" s="92"/>
      <c r="DI255" s="112"/>
      <c r="DJ255" s="92"/>
      <c r="DK255" s="207"/>
      <c r="DL255" s="298"/>
      <c r="DM255" s="200"/>
      <c r="DN255" s="92"/>
      <c r="DO255" s="294"/>
      <c r="DP255" s="204"/>
      <c r="DQ255" s="92"/>
      <c r="DR255" s="92"/>
      <c r="DS255" s="92"/>
      <c r="DT255" s="92"/>
      <c r="DU255" s="92"/>
      <c r="DV255" s="92"/>
      <c r="DW255" s="92"/>
      <c r="DX255" s="113"/>
      <c r="DY255" s="92"/>
      <c r="DZ255" s="92"/>
    </row>
    <row r="256" spans="1:130">
      <c r="A256" s="103"/>
      <c r="B256" s="103"/>
      <c r="C256" s="103"/>
      <c r="D256" s="103"/>
      <c r="E256" s="103"/>
      <c r="F256" s="199"/>
      <c r="G256" s="199"/>
      <c r="H256" s="103"/>
      <c r="I256" s="103"/>
      <c r="J256" s="103"/>
      <c r="K256" s="298"/>
      <c r="L256" s="298"/>
      <c r="M256" s="207"/>
      <c r="N256" s="103"/>
      <c r="O256" s="103"/>
      <c r="P256" s="116"/>
      <c r="Q256" s="92"/>
      <c r="R256" s="92"/>
      <c r="S256" s="92"/>
      <c r="T256" s="92"/>
      <c r="U256" s="92"/>
      <c r="V256" s="92"/>
      <c r="W256" s="92"/>
      <c r="X256" s="92"/>
      <c r="Y256" s="161"/>
      <c r="Z256" s="92"/>
      <c r="AA256" s="92"/>
      <c r="AB256" s="204"/>
      <c r="AC256" s="207"/>
      <c r="AD256" s="294"/>
      <c r="AE256" s="92"/>
      <c r="AF256" s="113"/>
      <c r="AG256" s="103"/>
      <c r="AH256" s="103"/>
      <c r="AI256" s="103"/>
      <c r="AJ256" s="103"/>
      <c r="AK256" s="103"/>
      <c r="AL256" s="103"/>
      <c r="AM256" s="103"/>
      <c r="AN256" s="204"/>
      <c r="AO256" s="207"/>
      <c r="AP256" s="294"/>
      <c r="AQ256" s="200"/>
      <c r="AR256" s="161"/>
      <c r="AS256" s="103"/>
      <c r="AT256" s="103"/>
      <c r="AU256" s="103"/>
      <c r="AV256" s="116"/>
      <c r="AW256" s="92"/>
      <c r="AX256" s="92"/>
      <c r="AY256" s="92"/>
      <c r="AZ256" s="92"/>
      <c r="BA256" s="92"/>
      <c r="BB256" s="92"/>
      <c r="BC256" s="207"/>
      <c r="BD256" s="298"/>
      <c r="BE256" s="294"/>
      <c r="BF256" s="92"/>
      <c r="BG256" s="200"/>
      <c r="BH256" s="161"/>
      <c r="BI256" s="92"/>
      <c r="BJ256" s="92"/>
      <c r="BK256" s="92"/>
      <c r="BL256" s="113"/>
      <c r="BM256" s="103"/>
      <c r="BN256" s="103"/>
      <c r="BO256" s="103"/>
      <c r="BP256" s="103"/>
      <c r="BQ256" s="207"/>
      <c r="BR256" s="294"/>
      <c r="BS256" s="160"/>
      <c r="BT256" s="103"/>
      <c r="BU256" s="103"/>
      <c r="BV256" s="201"/>
      <c r="BW256" s="199"/>
      <c r="BX256" s="103"/>
      <c r="BY256" s="103"/>
      <c r="BZ256" s="103"/>
      <c r="CA256" s="103"/>
      <c r="CB256" s="103"/>
      <c r="CC256" s="476"/>
      <c r="CD256" s="103"/>
      <c r="CE256" s="103"/>
      <c r="CF256" s="337"/>
      <c r="CG256" s="495"/>
      <c r="CH256" s="103"/>
      <c r="CI256" s="211"/>
      <c r="CJ256" s="209"/>
      <c r="CK256" s="103"/>
      <c r="CL256" s="103"/>
      <c r="CM256" s="103"/>
      <c r="CN256" s="103"/>
      <c r="CO256" s="103"/>
      <c r="CP256" s="103"/>
      <c r="CQ256" s="103"/>
      <c r="CR256" s="103"/>
      <c r="CS256" s="476"/>
      <c r="CT256" s="103"/>
      <c r="CU256" s="103"/>
      <c r="CV256" s="103"/>
      <c r="CW256" s="496"/>
      <c r="CX256" s="210"/>
      <c r="CY256" s="209"/>
      <c r="CZ256" s="103"/>
      <c r="DA256" s="103"/>
      <c r="DB256" s="103"/>
      <c r="DC256" s="103"/>
      <c r="DD256" s="103"/>
      <c r="DE256" s="103"/>
      <c r="DF256" s="103"/>
      <c r="DG256" s="103"/>
      <c r="DH256" s="103"/>
      <c r="DI256" s="476"/>
      <c r="DJ256" s="103"/>
      <c r="DK256" s="103"/>
      <c r="DL256" s="210"/>
      <c r="DM256" s="210"/>
      <c r="DN256" s="209"/>
      <c r="DO256" s="103"/>
      <c r="DP256" s="337"/>
      <c r="DQ256" s="735"/>
      <c r="DR256" s="103"/>
      <c r="DS256" s="103"/>
      <c r="DT256" s="103"/>
      <c r="DU256" s="103"/>
      <c r="DV256" s="103"/>
      <c r="DW256" s="103"/>
      <c r="DX256" s="116"/>
      <c r="DY256" s="92"/>
      <c r="DZ256" s="92"/>
    </row>
    <row r="257" spans="1:130">
      <c r="A257" s="114">
        <v>3</v>
      </c>
      <c r="B257" s="51"/>
      <c r="C257" s="51"/>
      <c r="D257" s="51"/>
      <c r="E257" s="51"/>
      <c r="F257" s="92"/>
      <c r="G257" s="92"/>
      <c r="H257" s="51"/>
      <c r="I257" s="51"/>
      <c r="J257" s="51"/>
      <c r="K257" s="51"/>
      <c r="L257" s="92"/>
      <c r="M257" s="51"/>
      <c r="N257" s="51"/>
      <c r="O257" s="51"/>
      <c r="P257" s="82"/>
      <c r="Q257" s="753"/>
      <c r="R257" s="711"/>
      <c r="S257" s="711"/>
      <c r="T257" s="711"/>
      <c r="U257" s="711"/>
      <c r="V257" s="711"/>
      <c r="W257" s="711"/>
      <c r="X257" s="711"/>
      <c r="Y257" s="711"/>
      <c r="Z257" s="711"/>
      <c r="AA257" s="711"/>
      <c r="AB257" s="711"/>
      <c r="AC257" s="711"/>
      <c r="AD257" s="711"/>
      <c r="AE257" s="711"/>
      <c r="AF257" s="530"/>
      <c r="AG257" s="51"/>
      <c r="AH257" s="51"/>
      <c r="AI257" s="51"/>
      <c r="AJ257" s="51"/>
      <c r="AK257" s="51"/>
      <c r="AL257" s="92"/>
      <c r="AM257" s="92"/>
      <c r="AN257" s="51"/>
      <c r="AO257" s="51"/>
      <c r="AP257" s="51"/>
      <c r="AQ257" s="51"/>
      <c r="AR257" s="92"/>
      <c r="AS257" s="51"/>
      <c r="AT257" s="51"/>
      <c r="AU257" s="51"/>
      <c r="AV257" s="82"/>
      <c r="AW257" s="753"/>
      <c r="AX257" s="711"/>
      <c r="AY257" s="711"/>
      <c r="AZ257" s="711"/>
      <c r="BA257" s="711"/>
      <c r="BB257" s="711"/>
      <c r="BC257" s="711"/>
      <c r="BD257" s="711"/>
      <c r="BE257" s="711"/>
      <c r="BF257" s="711"/>
      <c r="BG257" s="711"/>
      <c r="BH257" s="711"/>
      <c r="BI257" s="711"/>
      <c r="BJ257" s="711"/>
      <c r="BK257" s="711"/>
      <c r="BL257" s="530"/>
      <c r="BM257" s="51"/>
      <c r="BN257" s="51"/>
      <c r="BO257" s="51"/>
      <c r="BP257" s="51"/>
      <c r="BQ257" s="51"/>
      <c r="BR257" s="92"/>
      <c r="BS257" s="92"/>
      <c r="BT257" s="51"/>
      <c r="BU257" s="51"/>
      <c r="BV257" s="51"/>
      <c r="BW257" s="51"/>
      <c r="BX257" s="92"/>
      <c r="BY257" s="51"/>
      <c r="BZ257" s="51"/>
      <c r="CA257" s="51"/>
      <c r="CB257" s="51"/>
      <c r="CC257" s="699"/>
      <c r="CD257" s="93"/>
      <c r="CE257" s="93"/>
      <c r="CF257" s="93"/>
      <c r="CG257" s="93"/>
      <c r="CH257" s="93"/>
      <c r="CI257" s="93"/>
      <c r="CJ257" s="93"/>
      <c r="CK257" s="93"/>
      <c r="CL257" s="93"/>
      <c r="CM257" s="93"/>
      <c r="CN257" s="93"/>
      <c r="CO257" s="93"/>
      <c r="CP257" s="93"/>
      <c r="CQ257" s="93"/>
      <c r="CR257" s="79"/>
      <c r="CS257" s="699"/>
      <c r="CT257" s="93"/>
      <c r="CU257" s="93"/>
      <c r="CV257" s="93"/>
      <c r="CW257" s="93"/>
      <c r="CX257" s="93"/>
      <c r="CY257" s="93"/>
      <c r="CZ257" s="93"/>
      <c r="DA257" s="93"/>
      <c r="DB257" s="93"/>
      <c r="DC257" s="93"/>
      <c r="DD257" s="93"/>
      <c r="DE257" s="93"/>
      <c r="DF257" s="93"/>
      <c r="DG257" s="93"/>
      <c r="DH257" s="79"/>
      <c r="DI257" s="699"/>
      <c r="DJ257" s="93"/>
      <c r="DK257" s="93"/>
      <c r="DL257" s="93"/>
      <c r="DM257" s="93"/>
      <c r="DN257" s="93"/>
      <c r="DO257" s="93"/>
      <c r="DP257" s="93"/>
      <c r="DQ257" s="93"/>
      <c r="DR257" s="93"/>
      <c r="DS257" s="93"/>
      <c r="DT257" s="93"/>
      <c r="DU257" s="93"/>
      <c r="DV257" s="93"/>
      <c r="DW257" s="93"/>
      <c r="DX257" s="79"/>
      <c r="DY257" s="92"/>
      <c r="DZ257" s="795"/>
    </row>
    <row r="258" spans="1:130">
      <c r="A258" s="92">
        <v>6</v>
      </c>
      <c r="B258" s="52"/>
      <c r="C258" s="92"/>
      <c r="D258" s="92"/>
      <c r="E258" s="92"/>
      <c r="F258" s="92"/>
      <c r="G258" s="92"/>
      <c r="H258" s="92"/>
      <c r="I258" s="92"/>
      <c r="J258" s="92"/>
      <c r="K258" s="92"/>
      <c r="L258" s="92"/>
      <c r="M258" s="92"/>
      <c r="N258" s="92"/>
      <c r="O258" s="92"/>
      <c r="P258" s="113"/>
      <c r="Q258" s="699"/>
      <c r="R258" s="93"/>
      <c r="S258" s="93"/>
      <c r="T258" s="93"/>
      <c r="U258" s="93"/>
      <c r="V258" s="93"/>
      <c r="W258" s="93"/>
      <c r="X258" s="93"/>
      <c r="Y258" s="93"/>
      <c r="Z258" s="93"/>
      <c r="AA258" s="93"/>
      <c r="AB258" s="93"/>
      <c r="AC258" s="93"/>
      <c r="AD258" s="93"/>
      <c r="AE258" s="93"/>
      <c r="AF258" s="79"/>
      <c r="AG258" s="51"/>
      <c r="AH258" s="51"/>
      <c r="AI258" s="51"/>
      <c r="AJ258" s="51"/>
      <c r="AK258" s="51"/>
      <c r="AL258" s="92"/>
      <c r="AM258" s="92"/>
      <c r="AN258" s="51"/>
      <c r="AO258" s="51"/>
      <c r="AP258" s="51"/>
      <c r="AQ258" s="51"/>
      <c r="AR258" s="92"/>
      <c r="AS258" s="51"/>
      <c r="AT258" s="51"/>
      <c r="AU258" s="51"/>
      <c r="AV258" s="82"/>
      <c r="AW258" s="699"/>
      <c r="AX258" s="93"/>
      <c r="AY258" s="93"/>
      <c r="AZ258" s="93"/>
      <c r="BA258" s="93"/>
      <c r="BB258" s="93"/>
      <c r="BC258" s="93"/>
      <c r="BD258" s="93"/>
      <c r="BE258" s="93"/>
      <c r="BF258" s="93"/>
      <c r="BG258" s="93"/>
      <c r="BH258" s="93"/>
      <c r="BI258" s="93"/>
      <c r="BJ258" s="93"/>
      <c r="BK258" s="93"/>
      <c r="BL258" s="79"/>
      <c r="BM258" s="92"/>
      <c r="BN258" s="92"/>
      <c r="BO258" s="92"/>
      <c r="BP258" s="92"/>
      <c r="BQ258" s="92"/>
      <c r="BR258" s="92"/>
      <c r="BS258" s="92"/>
      <c r="BT258" s="92"/>
      <c r="BU258" s="92"/>
      <c r="BV258" s="92"/>
      <c r="BW258" s="92"/>
      <c r="BX258" s="92"/>
      <c r="BY258" s="92"/>
      <c r="BZ258" s="92"/>
      <c r="CA258" s="92"/>
      <c r="CB258" s="92"/>
      <c r="CC258" s="699"/>
      <c r="CD258" s="93"/>
      <c r="CE258" s="93"/>
      <c r="CF258" s="93"/>
      <c r="CG258" s="93"/>
      <c r="CH258" s="93"/>
      <c r="CI258" s="93"/>
      <c r="CJ258" s="93"/>
      <c r="CK258" s="93"/>
      <c r="CL258" s="93"/>
      <c r="CM258" s="93"/>
      <c r="CN258" s="93"/>
      <c r="CO258" s="93"/>
      <c r="CP258" s="93"/>
      <c r="CQ258" s="93"/>
      <c r="CR258" s="79"/>
      <c r="CS258" s="699"/>
      <c r="CT258" s="93"/>
      <c r="CU258" s="93"/>
      <c r="CV258" s="93"/>
      <c r="CW258" s="93"/>
      <c r="CX258" s="93"/>
      <c r="CY258" s="93"/>
      <c r="CZ258" s="93"/>
      <c r="DA258" s="93"/>
      <c r="DB258" s="93"/>
      <c r="DC258" s="93"/>
      <c r="DD258" s="93"/>
      <c r="DE258" s="93"/>
      <c r="DF258" s="93"/>
      <c r="DG258" s="93"/>
      <c r="DH258" s="79"/>
      <c r="DI258" s="699"/>
      <c r="DJ258" s="93"/>
      <c r="DK258" s="93"/>
      <c r="DL258" s="93"/>
      <c r="DM258" s="93"/>
      <c r="DN258" s="93"/>
      <c r="DO258" s="93"/>
      <c r="DP258" s="93"/>
      <c r="DQ258" s="93"/>
      <c r="DR258" s="93"/>
      <c r="DS258" s="93"/>
      <c r="DT258" s="93"/>
      <c r="DU258" s="93"/>
      <c r="DV258" s="93"/>
      <c r="DW258" s="93"/>
      <c r="DX258" s="79"/>
      <c r="DY258" s="92"/>
      <c r="DZ258" s="52"/>
    </row>
    <row r="259" spans="1:130">
      <c r="A259" s="92">
        <v>7</v>
      </c>
      <c r="B259" s="52"/>
      <c r="C259" s="92"/>
      <c r="D259" s="92"/>
      <c r="E259" s="51"/>
      <c r="F259" s="92"/>
      <c r="G259" s="92"/>
      <c r="H259" s="92"/>
      <c r="I259" s="92"/>
      <c r="J259" s="92"/>
      <c r="K259" s="92"/>
      <c r="L259" s="92"/>
      <c r="M259" s="92"/>
      <c r="N259" s="92"/>
      <c r="O259" s="92"/>
      <c r="P259" s="113"/>
      <c r="Q259" s="699"/>
      <c r="R259" s="93"/>
      <c r="S259" s="93"/>
      <c r="T259" s="93"/>
      <c r="U259" s="93"/>
      <c r="V259" s="93"/>
      <c r="W259" s="93"/>
      <c r="X259" s="93"/>
      <c r="Y259" s="93"/>
      <c r="Z259" s="93"/>
      <c r="AA259" s="93"/>
      <c r="AB259" s="93"/>
      <c r="AC259" s="93"/>
      <c r="AD259" s="93"/>
      <c r="AE259" s="93"/>
      <c r="AF259" s="79"/>
      <c r="AG259" s="51"/>
      <c r="AH259" s="51"/>
      <c r="AI259" s="51"/>
      <c r="AJ259" s="51"/>
      <c r="AK259" s="51"/>
      <c r="AL259" s="92"/>
      <c r="AM259" s="92"/>
      <c r="AN259" s="51"/>
      <c r="AO259" s="51"/>
      <c r="AP259" s="51"/>
      <c r="AQ259" s="51"/>
      <c r="AR259" s="92"/>
      <c r="AS259" s="51"/>
      <c r="AT259" s="51"/>
      <c r="AU259" s="51"/>
      <c r="AV259" s="82"/>
      <c r="AW259" s="699"/>
      <c r="AX259" s="93"/>
      <c r="AY259" s="93"/>
      <c r="AZ259" s="93"/>
      <c r="BA259" s="93"/>
      <c r="BB259" s="93"/>
      <c r="BC259" s="93"/>
      <c r="BD259" s="93"/>
      <c r="BE259" s="93"/>
      <c r="BF259" s="93"/>
      <c r="BG259" s="93"/>
      <c r="BH259" s="93"/>
      <c r="BI259" s="93"/>
      <c r="BJ259" s="93"/>
      <c r="BK259" s="93"/>
      <c r="BL259" s="79"/>
      <c r="BM259" s="51"/>
      <c r="BN259" s="92"/>
      <c r="BO259" s="92"/>
      <c r="BP259" s="92"/>
      <c r="BQ259" s="51"/>
      <c r="BR259" s="92"/>
      <c r="BS259" s="92"/>
      <c r="BT259" s="92"/>
      <c r="BU259" s="92"/>
      <c r="BV259" s="92"/>
      <c r="BW259" s="92"/>
      <c r="BX259" s="92"/>
      <c r="BY259" s="92"/>
      <c r="BZ259" s="92"/>
      <c r="CA259" s="92"/>
      <c r="CB259" s="92"/>
      <c r="CC259" s="699"/>
      <c r="CD259" s="93"/>
      <c r="CE259" s="93"/>
      <c r="CF259" s="93"/>
      <c r="CG259" s="93"/>
      <c r="CH259" s="93"/>
      <c r="CI259" s="93"/>
      <c r="CJ259" s="93"/>
      <c r="CK259" s="93"/>
      <c r="CL259" s="93"/>
      <c r="CM259" s="93"/>
      <c r="CN259" s="93"/>
      <c r="CO259" s="93"/>
      <c r="CP259" s="93"/>
      <c r="CQ259" s="93"/>
      <c r="CR259" s="79"/>
      <c r="CS259" s="699"/>
      <c r="CT259" s="93"/>
      <c r="CU259" s="93"/>
      <c r="CV259" s="93"/>
      <c r="CW259" s="93"/>
      <c r="CX259" s="93"/>
      <c r="CY259" s="93"/>
      <c r="CZ259" s="93"/>
      <c r="DA259" s="93"/>
      <c r="DB259" s="93"/>
      <c r="DC259" s="93"/>
      <c r="DD259" s="93"/>
      <c r="DE259" s="93"/>
      <c r="DF259" s="93"/>
      <c r="DG259" s="93"/>
      <c r="DH259" s="79"/>
      <c r="DI259" s="699"/>
      <c r="DJ259" s="93"/>
      <c r="DK259" s="93"/>
      <c r="DL259" s="93"/>
      <c r="DM259" s="93"/>
      <c r="DN259" s="93"/>
      <c r="DO259" s="93"/>
      <c r="DP259" s="93"/>
      <c r="DQ259" s="93"/>
      <c r="DR259" s="93"/>
      <c r="DS259" s="93"/>
      <c r="DT259" s="93"/>
      <c r="DU259" s="93"/>
      <c r="DV259" s="93"/>
      <c r="DW259" s="93"/>
      <c r="DX259" s="79"/>
      <c r="DZ259" s="52"/>
    </row>
    <row r="260" spans="1:130">
      <c r="A260" s="51">
        <v>5</v>
      </c>
      <c r="B260" s="1"/>
      <c r="C260" s="92"/>
      <c r="D260" s="92"/>
      <c r="E260" s="51"/>
      <c r="F260" s="92"/>
      <c r="G260" s="92"/>
      <c r="H260" s="92"/>
      <c r="I260" s="92"/>
      <c r="J260" s="92"/>
      <c r="K260" s="92"/>
      <c r="L260" s="92"/>
      <c r="M260" s="92"/>
      <c r="N260" s="92"/>
      <c r="O260" s="92"/>
      <c r="P260" s="113"/>
      <c r="Q260" s="699"/>
      <c r="R260" s="93"/>
      <c r="S260" s="93"/>
      <c r="T260" s="93"/>
      <c r="U260" s="93"/>
      <c r="V260" s="93"/>
      <c r="W260" s="93"/>
      <c r="X260" s="93"/>
      <c r="Y260" s="93"/>
      <c r="Z260" s="93"/>
      <c r="AA260" s="93"/>
      <c r="AB260" s="93"/>
      <c r="AC260" s="93"/>
      <c r="AD260" s="93"/>
      <c r="AE260" s="93"/>
      <c r="AF260" s="79"/>
      <c r="AG260" s="51"/>
      <c r="AH260" s="51"/>
      <c r="AI260" s="51"/>
      <c r="AJ260" s="51"/>
      <c r="AK260" s="51"/>
      <c r="AL260" s="92"/>
      <c r="AM260" s="92"/>
      <c r="AN260" s="51"/>
      <c r="AO260" s="51"/>
      <c r="AP260" s="51"/>
      <c r="AQ260" s="51"/>
      <c r="AR260" s="92"/>
      <c r="AS260" s="51"/>
      <c r="AT260" s="51"/>
      <c r="AU260" s="51"/>
      <c r="AV260" s="82"/>
      <c r="AW260" s="699"/>
      <c r="AX260" s="93"/>
      <c r="AY260" s="93"/>
      <c r="AZ260" s="93"/>
      <c r="BA260" s="93"/>
      <c r="BB260" s="93"/>
      <c r="BC260" s="93"/>
      <c r="BD260" s="93"/>
      <c r="BE260" s="93"/>
      <c r="BF260" s="93"/>
      <c r="BG260" s="93"/>
      <c r="BH260" s="93"/>
      <c r="BI260" s="93"/>
      <c r="BJ260" s="93"/>
      <c r="BK260" s="93"/>
      <c r="BL260" s="79"/>
      <c r="BM260" s="92"/>
      <c r="BN260" s="92"/>
      <c r="BO260" s="92"/>
      <c r="BP260" s="92"/>
      <c r="BQ260" s="51"/>
      <c r="BR260" s="92"/>
      <c r="BS260" s="92"/>
      <c r="BT260" s="92"/>
      <c r="BU260" s="92"/>
      <c r="BV260" s="92"/>
      <c r="BW260" s="92"/>
      <c r="BX260" s="92"/>
      <c r="BY260" s="92"/>
      <c r="BZ260" s="92"/>
      <c r="CA260" s="92"/>
      <c r="CB260" s="92"/>
      <c r="CC260" s="699"/>
      <c r="CD260" s="93"/>
      <c r="CE260" s="93"/>
      <c r="CF260" s="93"/>
      <c r="CG260" s="93"/>
      <c r="CH260" s="93"/>
      <c r="CI260" s="93"/>
      <c r="CJ260" s="93"/>
      <c r="CK260" s="93"/>
      <c r="CL260" s="93"/>
      <c r="CM260" s="93"/>
      <c r="CN260" s="93"/>
      <c r="CO260" s="93"/>
      <c r="CP260" s="93"/>
      <c r="CQ260" s="93"/>
      <c r="CR260" s="79"/>
      <c r="CS260" s="699"/>
      <c r="CT260" s="93"/>
      <c r="CU260" s="93"/>
      <c r="CV260" s="93"/>
      <c r="CW260" s="93"/>
      <c r="CX260" s="93"/>
      <c r="CY260" s="93"/>
      <c r="CZ260" s="93"/>
      <c r="DA260" s="93"/>
      <c r="DB260" s="93"/>
      <c r="DC260" s="93"/>
      <c r="DD260" s="93"/>
      <c r="DE260" s="93"/>
      <c r="DF260" s="93"/>
      <c r="DG260" s="93"/>
      <c r="DH260" s="79"/>
      <c r="DI260" s="699"/>
      <c r="DJ260" s="93"/>
      <c r="DK260" s="93"/>
      <c r="DL260" s="93"/>
      <c r="DM260" s="93"/>
      <c r="DN260" s="93"/>
      <c r="DO260" s="93"/>
      <c r="DP260" s="93"/>
      <c r="DQ260" s="93"/>
      <c r="DR260" s="93"/>
      <c r="DS260" s="93"/>
      <c r="DT260" s="93"/>
      <c r="DU260" s="93"/>
      <c r="DV260" s="93"/>
      <c r="DW260" s="93"/>
      <c r="DX260" s="79"/>
      <c r="DZ260" s="795"/>
    </row>
    <row r="261" spans="1:130">
      <c r="A261" s="112">
        <v>0</v>
      </c>
      <c r="B261" s="1"/>
      <c r="C261" s="92"/>
      <c r="D261" s="92"/>
      <c r="E261" s="51"/>
      <c r="F261" s="92"/>
      <c r="G261" s="92"/>
      <c r="H261" s="92"/>
      <c r="I261" s="92"/>
      <c r="J261" s="92"/>
      <c r="K261" s="92"/>
      <c r="L261" s="92"/>
      <c r="M261" s="92"/>
      <c r="N261" s="92"/>
      <c r="O261" s="92"/>
      <c r="P261" s="113"/>
      <c r="Q261" s="699"/>
      <c r="R261" s="93"/>
      <c r="S261" s="93"/>
      <c r="T261" s="93"/>
      <c r="U261" s="93"/>
      <c r="V261" s="93"/>
      <c r="W261" s="93"/>
      <c r="X261" s="93"/>
      <c r="Y261" s="93"/>
      <c r="Z261" s="93"/>
      <c r="AA261" s="93"/>
      <c r="AB261" s="93"/>
      <c r="AC261" s="93"/>
      <c r="AD261" s="93"/>
      <c r="AE261" s="93"/>
      <c r="AF261" s="79"/>
      <c r="AG261" s="51"/>
      <c r="AH261" s="51"/>
      <c r="AI261" s="51"/>
      <c r="AJ261" s="51"/>
      <c r="AK261" s="51"/>
      <c r="AL261" s="92"/>
      <c r="AM261" s="92"/>
      <c r="AN261" s="51"/>
      <c r="AO261" s="51"/>
      <c r="AP261" s="51"/>
      <c r="AQ261" s="51"/>
      <c r="AR261" s="92"/>
      <c r="AS261" s="51"/>
      <c r="AT261" s="51"/>
      <c r="AU261" s="51"/>
      <c r="AV261" s="82"/>
      <c r="AW261" s="699"/>
      <c r="AX261" s="93"/>
      <c r="AY261" s="93"/>
      <c r="AZ261" s="93"/>
      <c r="BA261" s="93"/>
      <c r="BB261" s="93"/>
      <c r="BC261" s="93"/>
      <c r="BD261" s="93"/>
      <c r="BE261" s="93"/>
      <c r="BF261" s="93"/>
      <c r="BG261" s="93"/>
      <c r="BH261" s="93"/>
      <c r="BI261" s="93"/>
      <c r="BJ261" s="93"/>
      <c r="BK261" s="93"/>
      <c r="BL261" s="79"/>
      <c r="BM261" s="51"/>
      <c r="BN261" s="92"/>
      <c r="BO261" s="92"/>
      <c r="BP261" s="92"/>
      <c r="BQ261" s="92"/>
      <c r="BR261" s="92"/>
      <c r="BS261" s="92"/>
      <c r="BT261" s="92"/>
      <c r="BU261" s="92"/>
      <c r="BV261" s="92"/>
      <c r="BW261" s="51"/>
      <c r="BX261" s="92"/>
      <c r="BY261" s="92"/>
      <c r="BZ261" s="92"/>
      <c r="CA261" s="92"/>
      <c r="CB261" s="92"/>
      <c r="CC261" s="699"/>
      <c r="CD261" s="93"/>
      <c r="CE261" s="93"/>
      <c r="CF261" s="93"/>
      <c r="CG261" s="93"/>
      <c r="CH261" s="93"/>
      <c r="CI261" s="93"/>
      <c r="CJ261" s="93"/>
      <c r="CK261" s="93"/>
      <c r="CL261" s="93"/>
      <c r="CM261" s="93"/>
      <c r="CN261" s="93"/>
      <c r="CO261" s="93"/>
      <c r="CP261" s="93"/>
      <c r="CQ261" s="93"/>
      <c r="CR261" s="79"/>
      <c r="CS261" s="699"/>
      <c r="CT261" s="93"/>
      <c r="CU261" s="93"/>
      <c r="CV261" s="93"/>
      <c r="CW261" s="93"/>
      <c r="CX261" s="93"/>
      <c r="CY261" s="93"/>
      <c r="CZ261" s="93"/>
      <c r="DA261" s="93"/>
      <c r="DB261" s="93"/>
      <c r="DC261" s="93"/>
      <c r="DD261" s="93"/>
      <c r="DE261" s="93"/>
      <c r="DF261" s="93"/>
      <c r="DG261" s="93"/>
      <c r="DH261" s="79"/>
      <c r="DI261" s="699"/>
      <c r="DJ261" s="93"/>
      <c r="DK261" s="93"/>
      <c r="DL261" s="93"/>
      <c r="DM261" s="93"/>
      <c r="DN261" s="93"/>
      <c r="DO261" s="93"/>
      <c r="DP261" s="93"/>
      <c r="DQ261" s="93"/>
      <c r="DR261" s="93"/>
      <c r="DS261" s="93"/>
      <c r="DT261" s="93"/>
      <c r="DU261" s="93"/>
      <c r="DV261" s="93"/>
      <c r="DW261" s="93"/>
      <c r="DX261" s="79"/>
      <c r="DZ261" s="798"/>
    </row>
    <row r="262" spans="1:130">
      <c r="A262" s="112"/>
      <c r="B262" s="52"/>
      <c r="C262" s="51"/>
      <c r="D262" s="51"/>
      <c r="E262" s="51"/>
      <c r="F262" s="51"/>
      <c r="G262" s="51"/>
      <c r="H262" s="51"/>
      <c r="I262" s="51"/>
      <c r="J262" s="51"/>
      <c r="K262" s="51"/>
      <c r="L262" s="51"/>
      <c r="M262" s="51"/>
      <c r="N262" s="51"/>
      <c r="O262" s="51"/>
      <c r="P262" s="82"/>
      <c r="Q262" s="699"/>
      <c r="R262" s="93"/>
      <c r="S262" s="93"/>
      <c r="T262" s="93"/>
      <c r="U262" s="93"/>
      <c r="V262" s="93"/>
      <c r="W262" s="93"/>
      <c r="X262" s="93"/>
      <c r="Y262" s="93"/>
      <c r="Z262" s="93"/>
      <c r="AA262" s="93"/>
      <c r="AB262" s="93"/>
      <c r="AC262" s="93"/>
      <c r="AD262" s="93"/>
      <c r="AE262" s="93"/>
      <c r="AF262" s="79"/>
      <c r="AG262" s="51"/>
      <c r="AH262" s="51"/>
      <c r="AI262" s="51"/>
      <c r="AJ262" s="51"/>
      <c r="AK262" s="51"/>
      <c r="AL262" s="92"/>
      <c r="AM262" s="92"/>
      <c r="AN262" s="51"/>
      <c r="AO262" s="51"/>
      <c r="AP262" s="51"/>
      <c r="AQ262" s="51"/>
      <c r="AR262" s="92"/>
      <c r="AS262" s="51"/>
      <c r="AT262" s="51"/>
      <c r="AU262" s="51"/>
      <c r="AV262" s="82"/>
      <c r="AW262" s="699"/>
      <c r="AX262" s="93"/>
      <c r="AY262" s="93"/>
      <c r="AZ262" s="93"/>
      <c r="BA262" s="93"/>
      <c r="BB262" s="93"/>
      <c r="BC262" s="93"/>
      <c r="BD262" s="93"/>
      <c r="BE262" s="93"/>
      <c r="BF262" s="93"/>
      <c r="BG262" s="93"/>
      <c r="BH262" s="93"/>
      <c r="BI262" s="93"/>
      <c r="BJ262" s="93"/>
      <c r="BK262" s="93"/>
      <c r="BL262" s="79"/>
      <c r="BM262" s="51"/>
      <c r="BN262" s="92"/>
      <c r="BO262" s="92"/>
      <c r="BP262" s="92"/>
      <c r="BQ262" s="92"/>
      <c r="BR262" s="51"/>
      <c r="BS262" s="92"/>
      <c r="BT262" s="92"/>
      <c r="BU262" s="92"/>
      <c r="BV262" s="92"/>
      <c r="BW262" s="51"/>
      <c r="BX262" s="92"/>
      <c r="BY262" s="92"/>
      <c r="BZ262" s="92"/>
      <c r="CA262" s="92"/>
      <c r="CB262" s="92"/>
      <c r="CC262" s="699"/>
      <c r="CD262" s="93"/>
      <c r="CE262" s="93"/>
      <c r="CF262" s="93"/>
      <c r="CG262" s="93"/>
      <c r="CH262" s="93"/>
      <c r="CI262" s="93"/>
      <c r="CJ262" s="93"/>
      <c r="CK262" s="93"/>
      <c r="CL262" s="93"/>
      <c r="CM262" s="93"/>
      <c r="CN262" s="93"/>
      <c r="CO262" s="93"/>
      <c r="CP262" s="93"/>
      <c r="CQ262" s="93"/>
      <c r="CR262" s="79"/>
      <c r="CS262" s="699"/>
      <c r="CT262" s="93"/>
      <c r="CU262" s="93"/>
      <c r="CV262" s="93"/>
      <c r="CW262" s="93"/>
      <c r="CX262" s="93"/>
      <c r="CY262" s="93"/>
      <c r="CZ262" s="93"/>
      <c r="DA262" s="93"/>
      <c r="DB262" s="93"/>
      <c r="DC262" s="93"/>
      <c r="DD262" s="93"/>
      <c r="DE262" s="93"/>
      <c r="DF262" s="93"/>
      <c r="DG262" s="93"/>
      <c r="DH262" s="79"/>
      <c r="DI262" s="699"/>
      <c r="DJ262" s="93"/>
      <c r="DK262" s="93"/>
      <c r="DL262" s="93"/>
      <c r="DM262" s="93"/>
      <c r="DN262" s="93"/>
      <c r="DO262" s="93"/>
      <c r="DP262" s="93"/>
      <c r="DQ262" s="93"/>
      <c r="DR262" s="93"/>
      <c r="DS262" s="93"/>
      <c r="DT262" s="93"/>
      <c r="DU262" s="93"/>
      <c r="DV262" s="93"/>
      <c r="DW262" s="93"/>
      <c r="DX262" s="79"/>
      <c r="DZ262" s="798"/>
    </row>
    <row r="263" spans="1:130">
      <c r="A263" s="112"/>
      <c r="B263" s="52"/>
      <c r="C263" s="92"/>
      <c r="D263" s="92"/>
      <c r="E263" s="92"/>
      <c r="F263" s="92"/>
      <c r="G263" s="92"/>
      <c r="H263" s="92"/>
      <c r="I263" s="92"/>
      <c r="J263" s="92"/>
      <c r="K263" s="51"/>
      <c r="L263" s="92"/>
      <c r="M263" s="92"/>
      <c r="N263" s="92"/>
      <c r="O263" s="92"/>
      <c r="P263" s="113"/>
      <c r="Q263" s="699"/>
      <c r="R263" s="93"/>
      <c r="S263" s="93"/>
      <c r="T263" s="93"/>
      <c r="U263" s="93"/>
      <c r="V263" s="93"/>
      <c r="W263" s="93"/>
      <c r="X263" s="93"/>
      <c r="Y263" s="93"/>
      <c r="Z263" s="93"/>
      <c r="AA263" s="93"/>
      <c r="AB263" s="93"/>
      <c r="AC263" s="93"/>
      <c r="AD263" s="93"/>
      <c r="AE263" s="93"/>
      <c r="AF263" s="79"/>
      <c r="AG263" s="51"/>
      <c r="AH263" s="51"/>
      <c r="AI263" s="51"/>
      <c r="AJ263" s="51"/>
      <c r="AK263" s="51"/>
      <c r="AL263" s="92"/>
      <c r="AM263" s="92"/>
      <c r="AN263" s="51"/>
      <c r="AO263" s="51"/>
      <c r="AP263" s="51"/>
      <c r="AQ263" s="51"/>
      <c r="AR263" s="92"/>
      <c r="AS263" s="51"/>
      <c r="AT263" s="51"/>
      <c r="AU263" s="51"/>
      <c r="AV263" s="82"/>
      <c r="AW263" s="699"/>
      <c r="AX263" s="93"/>
      <c r="AY263" s="93"/>
      <c r="AZ263" s="93"/>
      <c r="BA263" s="93"/>
      <c r="BB263" s="93"/>
      <c r="BC263" s="93"/>
      <c r="BD263" s="93"/>
      <c r="BE263" s="93"/>
      <c r="BF263" s="93"/>
      <c r="BG263" s="93"/>
      <c r="BH263" s="93"/>
      <c r="BI263" s="93"/>
      <c r="BJ263" s="93"/>
      <c r="BK263" s="93"/>
      <c r="BL263" s="79"/>
      <c r="BM263" s="51"/>
      <c r="BN263" s="92"/>
      <c r="BO263" s="92"/>
      <c r="BP263" s="92"/>
      <c r="BQ263" s="92"/>
      <c r="BR263" s="92"/>
      <c r="BS263" s="92"/>
      <c r="BT263" s="92"/>
      <c r="BU263" s="92"/>
      <c r="BV263" s="92"/>
      <c r="BW263" s="51"/>
      <c r="BX263" s="92"/>
      <c r="BY263" s="92"/>
      <c r="BZ263" s="92"/>
      <c r="CA263" s="92"/>
      <c r="CB263" s="92"/>
      <c r="CC263" s="699"/>
      <c r="CD263" s="93"/>
      <c r="CE263" s="93"/>
      <c r="CF263" s="93"/>
      <c r="CG263" s="93"/>
      <c r="CH263" s="93"/>
      <c r="CI263" s="93"/>
      <c r="CJ263" s="93"/>
      <c r="CK263" s="93"/>
      <c r="CL263" s="93"/>
      <c r="CM263" s="93"/>
      <c r="CN263" s="93"/>
      <c r="CO263" s="93"/>
      <c r="CP263" s="93"/>
      <c r="CQ263" s="93"/>
      <c r="CR263" s="79"/>
      <c r="CS263" s="699"/>
      <c r="CT263" s="93"/>
      <c r="CU263" s="93"/>
      <c r="CV263" s="93"/>
      <c r="CW263" s="93"/>
      <c r="CX263" s="93"/>
      <c r="CY263" s="93"/>
      <c r="CZ263" s="93"/>
      <c r="DA263" s="93"/>
      <c r="DB263" s="93"/>
      <c r="DC263" s="93"/>
      <c r="DD263" s="93"/>
      <c r="DE263" s="93"/>
      <c r="DF263" s="93"/>
      <c r="DG263" s="93"/>
      <c r="DH263" s="79"/>
      <c r="DI263" s="699"/>
      <c r="DJ263" s="93"/>
      <c r="DK263" s="93"/>
      <c r="DL263" s="93"/>
      <c r="DM263" s="93"/>
      <c r="DN263" s="93"/>
      <c r="DO263" s="93"/>
      <c r="DP263" s="93"/>
      <c r="DQ263" s="93"/>
      <c r="DR263" s="93"/>
      <c r="DS263" s="93"/>
      <c r="DT263" s="93"/>
      <c r="DU263" s="93"/>
      <c r="DV263" s="93"/>
      <c r="DW263" s="93"/>
      <c r="DX263" s="79"/>
      <c r="DZ263" s="795"/>
    </row>
    <row r="264" spans="1:130">
      <c r="A264" s="51"/>
      <c r="B264" s="52"/>
      <c r="C264" s="92"/>
      <c r="D264" s="92"/>
      <c r="E264" s="92"/>
      <c r="F264" s="51"/>
      <c r="G264" s="92"/>
      <c r="H264" s="92"/>
      <c r="I264" s="92"/>
      <c r="J264" s="92"/>
      <c r="K264" s="51"/>
      <c r="L264" s="92"/>
      <c r="M264" s="92"/>
      <c r="N264" s="92"/>
      <c r="O264" s="92"/>
      <c r="P264" s="113"/>
      <c r="Q264" s="699"/>
      <c r="R264" s="93"/>
      <c r="S264" s="93"/>
      <c r="T264" s="93"/>
      <c r="U264" s="93"/>
      <c r="V264" s="93"/>
      <c r="W264" s="93"/>
      <c r="X264" s="93"/>
      <c r="Y264" s="93"/>
      <c r="Z264" s="93"/>
      <c r="AA264" s="93"/>
      <c r="AB264" s="93"/>
      <c r="AC264" s="93"/>
      <c r="AD264" s="93"/>
      <c r="AE264" s="93"/>
      <c r="AF264" s="79"/>
      <c r="AG264" s="51"/>
      <c r="AH264" s="51"/>
      <c r="AI264" s="51"/>
      <c r="AJ264" s="51"/>
      <c r="AK264" s="51"/>
      <c r="AL264" s="92"/>
      <c r="AM264" s="92"/>
      <c r="AN264" s="51"/>
      <c r="AO264" s="51"/>
      <c r="AP264" s="51"/>
      <c r="AQ264" s="51"/>
      <c r="AR264" s="92"/>
      <c r="AS264" s="51"/>
      <c r="AT264" s="51"/>
      <c r="AU264" s="51"/>
      <c r="AV264" s="82"/>
      <c r="AW264" s="699"/>
      <c r="AX264" s="93"/>
      <c r="AY264" s="93"/>
      <c r="AZ264" s="93"/>
      <c r="BA264" s="93"/>
      <c r="BB264" s="93"/>
      <c r="BC264" s="93"/>
      <c r="BD264" s="93"/>
      <c r="BE264" s="93"/>
      <c r="BF264" s="93"/>
      <c r="BG264" s="93"/>
      <c r="BH264" s="93"/>
      <c r="BI264" s="93"/>
      <c r="BJ264" s="93"/>
      <c r="BK264" s="93"/>
      <c r="BL264" s="79"/>
      <c r="BM264" s="51"/>
      <c r="BN264" s="92"/>
      <c r="BO264" s="92"/>
      <c r="BP264" s="92"/>
      <c r="BQ264" s="92"/>
      <c r="BR264" s="92"/>
      <c r="BS264" s="92"/>
      <c r="BT264" s="92"/>
      <c r="BU264" s="92"/>
      <c r="BV264" s="92"/>
      <c r="BW264" s="51"/>
      <c r="BX264" s="92"/>
      <c r="BY264" s="92"/>
      <c r="BZ264" s="92"/>
      <c r="CA264" s="92"/>
      <c r="CB264" s="92"/>
      <c r="CC264" s="699"/>
      <c r="CD264" s="93"/>
      <c r="CE264" s="93"/>
      <c r="CF264" s="93"/>
      <c r="CG264" s="93"/>
      <c r="CH264" s="93"/>
      <c r="CI264" s="93"/>
      <c r="CJ264" s="93"/>
      <c r="CK264" s="93"/>
      <c r="CL264" s="93"/>
      <c r="CM264" s="93"/>
      <c r="CN264" s="93"/>
      <c r="CO264" s="93"/>
      <c r="CP264" s="93"/>
      <c r="CQ264" s="93"/>
      <c r="CR264" s="79"/>
      <c r="CS264" s="699"/>
      <c r="CT264" s="93"/>
      <c r="CU264" s="93"/>
      <c r="CV264" s="93"/>
      <c r="CW264" s="93"/>
      <c r="CX264" s="93"/>
      <c r="CY264" s="93"/>
      <c r="CZ264" s="93"/>
      <c r="DA264" s="93"/>
      <c r="DB264" s="93"/>
      <c r="DC264" s="93"/>
      <c r="DD264" s="93"/>
      <c r="DE264" s="93"/>
      <c r="DF264" s="93"/>
      <c r="DG264" s="93"/>
      <c r="DH264" s="79"/>
      <c r="DI264" s="699"/>
      <c r="DJ264" s="93"/>
      <c r="DK264" s="93"/>
      <c r="DL264" s="93"/>
      <c r="DM264" s="93"/>
      <c r="DN264" s="93"/>
      <c r="DO264" s="93"/>
      <c r="DP264" s="93"/>
      <c r="DQ264" s="93"/>
      <c r="DR264" s="93"/>
      <c r="DS264" s="93"/>
      <c r="DT264" s="93"/>
      <c r="DU264" s="93"/>
      <c r="DV264" s="93"/>
      <c r="DW264" s="93"/>
      <c r="DX264" s="79"/>
      <c r="DZ264" s="798"/>
    </row>
    <row r="265" spans="1:130">
      <c r="A265" s="51"/>
      <c r="B265" s="52"/>
      <c r="C265" s="51"/>
      <c r="D265" s="51"/>
      <c r="E265" s="51"/>
      <c r="F265" s="51"/>
      <c r="G265" s="299"/>
      <c r="H265" s="302"/>
      <c r="I265" s="295"/>
      <c r="J265" s="51"/>
      <c r="K265" s="51"/>
      <c r="L265" s="51"/>
      <c r="M265" s="51"/>
      <c r="N265" s="51"/>
      <c r="O265" s="92"/>
      <c r="P265" s="113"/>
      <c r="Q265" s="699"/>
      <c r="R265" s="93"/>
      <c r="S265" s="93"/>
      <c r="T265" s="51"/>
      <c r="U265" s="51"/>
      <c r="V265" s="92"/>
      <c r="W265" s="302"/>
      <c r="X265" s="299"/>
      <c r="Y265" s="299"/>
      <c r="Z265" s="51"/>
      <c r="AA265" s="93"/>
      <c r="AB265" s="93"/>
      <c r="AC265" s="93"/>
      <c r="AD265" s="93"/>
      <c r="AE265" s="93"/>
      <c r="AF265" s="79"/>
      <c r="AG265" s="51"/>
      <c r="AH265" s="51"/>
      <c r="AI265" s="51"/>
      <c r="AJ265" s="51"/>
      <c r="AK265" s="51"/>
      <c r="AL265" s="92"/>
      <c r="AM265" s="302"/>
      <c r="AN265" s="299"/>
      <c r="AO265" s="299"/>
      <c r="AP265" s="51"/>
      <c r="AQ265" s="92"/>
      <c r="AR265" s="51"/>
      <c r="AS265" s="51"/>
      <c r="AT265" s="51"/>
      <c r="AU265" s="51"/>
      <c r="AV265" s="82"/>
      <c r="AW265" s="699"/>
      <c r="AX265" s="93"/>
      <c r="AY265" s="93"/>
      <c r="AZ265" s="51"/>
      <c r="BA265" s="51"/>
      <c r="BB265" s="51"/>
      <c r="BC265" s="51"/>
      <c r="BD265" s="299"/>
      <c r="BE265" s="299"/>
      <c r="BF265" s="295"/>
      <c r="BG265" s="51"/>
      <c r="BH265" s="51"/>
      <c r="BI265" s="51"/>
      <c r="BJ265" s="92"/>
      <c r="BK265" s="92"/>
      <c r="BL265" s="113"/>
      <c r="BM265" s="51"/>
      <c r="BN265" s="52"/>
      <c r="BO265" s="52"/>
      <c r="BP265" s="51"/>
      <c r="BQ265" s="51"/>
      <c r="BR265" s="51"/>
      <c r="BS265" s="51"/>
      <c r="BT265" s="299"/>
      <c r="BU265" s="299"/>
      <c r="BV265" s="295"/>
      <c r="BW265" s="51"/>
      <c r="BX265" s="51"/>
      <c r="BY265" s="51"/>
      <c r="BZ265" s="51"/>
      <c r="CA265" s="92"/>
      <c r="CB265" s="92"/>
      <c r="CC265" s="699"/>
      <c r="CD265" s="93"/>
      <c r="CE265" s="93"/>
      <c r="CF265" s="51"/>
      <c r="CG265" s="51"/>
      <c r="CH265" s="51"/>
      <c r="CI265" s="295"/>
      <c r="CJ265" s="299"/>
      <c r="CK265" s="299"/>
      <c r="CL265" s="51"/>
      <c r="CM265" s="93"/>
      <c r="CN265" s="93"/>
      <c r="CO265" s="93"/>
      <c r="CP265" s="93"/>
      <c r="CQ265" s="93"/>
      <c r="CR265" s="79"/>
      <c r="CS265" s="699"/>
      <c r="CT265" s="93"/>
      <c r="CU265" s="93"/>
      <c r="CV265" s="93"/>
      <c r="CW265" s="93"/>
      <c r="CX265" s="93"/>
      <c r="CY265" s="51"/>
      <c r="CZ265" s="302"/>
      <c r="DA265" s="299"/>
      <c r="DB265" s="299"/>
      <c r="DC265" s="93"/>
      <c r="DD265" s="93"/>
      <c r="DE265" s="93"/>
      <c r="DF265" s="93"/>
      <c r="DG265" s="93"/>
      <c r="DH265" s="79"/>
      <c r="DI265" s="699"/>
      <c r="DJ265" s="93"/>
      <c r="DK265" s="93"/>
      <c r="DL265" s="93"/>
      <c r="DM265" s="93"/>
      <c r="DN265" s="93"/>
      <c r="DO265" s="51"/>
      <c r="DP265" s="302"/>
      <c r="DQ265" s="299"/>
      <c r="DR265" s="295"/>
      <c r="DS265" s="51"/>
      <c r="DT265" s="51"/>
      <c r="DU265" s="93"/>
      <c r="DV265" s="93"/>
      <c r="DW265" s="93"/>
      <c r="DX265" s="79"/>
      <c r="DZ265" s="795"/>
    </row>
    <row r="266" spans="1:130">
      <c r="A266" s="51"/>
      <c r="B266" s="1"/>
      <c r="C266" s="92"/>
      <c r="D266" s="92"/>
      <c r="E266" s="92"/>
      <c r="F266" s="299"/>
      <c r="G266" s="302"/>
      <c r="H266" s="295"/>
      <c r="I266" s="299"/>
      <c r="J266" s="295"/>
      <c r="K266" s="92"/>
      <c r="L266" s="92"/>
      <c r="M266" s="92"/>
      <c r="N266" s="92"/>
      <c r="O266" s="92"/>
      <c r="P266" s="113"/>
      <c r="Q266" s="699"/>
      <c r="R266" s="93"/>
      <c r="S266" s="93"/>
      <c r="T266" s="92"/>
      <c r="U266" s="92"/>
      <c r="V266" s="302"/>
      <c r="W266" s="299"/>
      <c r="X266" s="295"/>
      <c r="Y266" s="193"/>
      <c r="Z266" s="299"/>
      <c r="AA266" s="92"/>
      <c r="AB266" s="92"/>
      <c r="AC266" s="93"/>
      <c r="AD266" s="93"/>
      <c r="AE266" s="93"/>
      <c r="AF266" s="79"/>
      <c r="AG266" s="51"/>
      <c r="AH266" s="51"/>
      <c r="AI266" s="51"/>
      <c r="AJ266" s="51"/>
      <c r="AK266" s="51"/>
      <c r="AL266" s="302"/>
      <c r="AM266" s="299"/>
      <c r="AN266" s="193"/>
      <c r="AO266" s="193"/>
      <c r="AP266" s="299"/>
      <c r="AQ266" s="92"/>
      <c r="AR266" s="51"/>
      <c r="AS266" s="51"/>
      <c r="AT266" s="51"/>
      <c r="AU266" s="51"/>
      <c r="AV266" s="82"/>
      <c r="AW266" s="699"/>
      <c r="AX266" s="93"/>
      <c r="AY266" s="93"/>
      <c r="AZ266" s="92"/>
      <c r="BA266" s="92"/>
      <c r="BB266" s="92"/>
      <c r="BC266" s="299"/>
      <c r="BD266" s="299"/>
      <c r="BE266" s="295"/>
      <c r="BF266" s="295"/>
      <c r="BG266" s="295"/>
      <c r="BH266" s="92"/>
      <c r="BI266" s="92"/>
      <c r="BJ266" s="92"/>
      <c r="BK266" s="92"/>
      <c r="BL266" s="113"/>
      <c r="BM266" s="51"/>
      <c r="BN266" s="1"/>
      <c r="BO266" s="1"/>
      <c r="BP266" s="92"/>
      <c r="BQ266" s="92"/>
      <c r="BR266" s="92"/>
      <c r="BS266" s="299"/>
      <c r="BT266" s="299"/>
      <c r="BU266" s="295"/>
      <c r="BV266" s="295"/>
      <c r="BW266" s="295"/>
      <c r="BX266" s="92"/>
      <c r="BY266" s="92"/>
      <c r="BZ266" s="92"/>
      <c r="CA266" s="92"/>
      <c r="CB266" s="92"/>
      <c r="CC266" s="699"/>
      <c r="CD266" s="93"/>
      <c r="CE266" s="93"/>
      <c r="CF266" s="92"/>
      <c r="CG266" s="92"/>
      <c r="CH266" s="295"/>
      <c r="CI266" s="295"/>
      <c r="CJ266" s="295"/>
      <c r="CK266" s="299"/>
      <c r="CL266" s="299"/>
      <c r="CM266" s="92"/>
      <c r="CN266" s="92"/>
      <c r="CO266" s="93"/>
      <c r="CP266" s="93"/>
      <c r="CQ266" s="93"/>
      <c r="CR266" s="79"/>
      <c r="CS266" s="699"/>
      <c r="CT266" s="93"/>
      <c r="CU266" s="93"/>
      <c r="CV266" s="93"/>
      <c r="CW266" s="93"/>
      <c r="CX266" s="93"/>
      <c r="CY266" s="302"/>
      <c r="CZ266" s="299"/>
      <c r="DA266" s="193"/>
      <c r="DB266" s="295"/>
      <c r="DC266" s="299"/>
      <c r="DD266" s="93"/>
      <c r="DE266" s="93"/>
      <c r="DF266" s="93"/>
      <c r="DG266" s="93"/>
      <c r="DH266" s="79"/>
      <c r="DI266" s="699"/>
      <c r="DJ266" s="93"/>
      <c r="DK266" s="93"/>
      <c r="DL266" s="93"/>
      <c r="DM266" s="92"/>
      <c r="DN266" s="92"/>
      <c r="DO266" s="302"/>
      <c r="DP266" s="299"/>
      <c r="DQ266" s="295"/>
      <c r="DR266" s="295"/>
      <c r="DS266" s="295"/>
      <c r="DT266" s="92"/>
      <c r="DU266" s="93"/>
      <c r="DV266" s="93"/>
      <c r="DW266" s="93"/>
      <c r="DX266" s="79"/>
      <c r="DZ266" s="795"/>
    </row>
    <row r="267" spans="1:130">
      <c r="A267" s="51"/>
      <c r="B267" s="1"/>
      <c r="C267" s="92"/>
      <c r="D267" s="92"/>
      <c r="E267" s="92"/>
      <c r="F267" s="299"/>
      <c r="G267" s="295"/>
      <c r="H267" s="295"/>
      <c r="I267" s="295"/>
      <c r="J267" s="295"/>
      <c r="K267" s="92"/>
      <c r="L267" s="92"/>
      <c r="M267" s="92"/>
      <c r="N267" s="92"/>
      <c r="O267" s="51"/>
      <c r="P267" s="82"/>
      <c r="Q267" s="699"/>
      <c r="R267" s="93"/>
      <c r="S267" s="93"/>
      <c r="T267" s="92"/>
      <c r="U267" s="92"/>
      <c r="V267" s="299"/>
      <c r="W267" s="295"/>
      <c r="X267" s="193"/>
      <c r="Y267" s="193"/>
      <c r="Z267" s="295"/>
      <c r="AA267" s="92"/>
      <c r="AB267" s="92"/>
      <c r="AC267" s="93"/>
      <c r="AD267" s="93"/>
      <c r="AE267" s="93"/>
      <c r="AF267" s="79"/>
      <c r="AG267" s="51"/>
      <c r="AH267" s="51"/>
      <c r="AI267" s="51"/>
      <c r="AJ267" s="51"/>
      <c r="AK267" s="51"/>
      <c r="AL267" s="299"/>
      <c r="AM267" s="193"/>
      <c r="AN267" s="193"/>
      <c r="AO267" s="193"/>
      <c r="AP267" s="295"/>
      <c r="AQ267" s="92"/>
      <c r="AR267" s="51"/>
      <c r="AS267" s="51"/>
      <c r="AT267" s="51"/>
      <c r="AU267" s="51"/>
      <c r="AV267" s="82"/>
      <c r="AW267" s="699"/>
      <c r="AX267" s="93"/>
      <c r="AY267" s="93"/>
      <c r="AZ267" s="92"/>
      <c r="BA267" s="92"/>
      <c r="BB267" s="92"/>
      <c r="BC267" s="295"/>
      <c r="BD267" s="295"/>
      <c r="BE267" s="193"/>
      <c r="BF267" s="193"/>
      <c r="BG267" s="295"/>
      <c r="BH267" s="92"/>
      <c r="BI267" s="92"/>
      <c r="BJ267" s="51"/>
      <c r="BK267" s="51"/>
      <c r="BL267" s="82"/>
      <c r="BM267" s="51"/>
      <c r="BN267" s="1"/>
      <c r="BO267" s="1"/>
      <c r="BP267" s="92"/>
      <c r="BQ267" s="92"/>
      <c r="BR267" s="92"/>
      <c r="BS267" s="299"/>
      <c r="BT267" s="295"/>
      <c r="BU267" s="295"/>
      <c r="BV267" s="295"/>
      <c r="BW267" s="295"/>
      <c r="BX267" s="92"/>
      <c r="BY267" s="92"/>
      <c r="BZ267" s="92"/>
      <c r="CA267" s="51"/>
      <c r="CB267" s="51"/>
      <c r="CC267" s="699"/>
      <c r="CD267" s="93"/>
      <c r="CE267" s="93"/>
      <c r="CF267" s="92"/>
      <c r="CG267" s="92"/>
      <c r="CH267" s="295"/>
      <c r="CI267" s="193"/>
      <c r="CJ267" s="193"/>
      <c r="CK267" s="295"/>
      <c r="CL267" s="295"/>
      <c r="CM267" s="92"/>
      <c r="CN267" s="92"/>
      <c r="CO267" s="93"/>
      <c r="CP267" s="93"/>
      <c r="CQ267" s="93"/>
      <c r="CR267" s="79"/>
      <c r="CS267" s="699"/>
      <c r="CT267" s="93"/>
      <c r="CU267" s="93"/>
      <c r="CV267" s="93"/>
      <c r="CW267" s="93"/>
      <c r="CX267" s="93"/>
      <c r="CY267" s="295"/>
      <c r="CZ267" s="193"/>
      <c r="DA267" s="193"/>
      <c r="DB267" s="193"/>
      <c r="DC267" s="295"/>
      <c r="DD267" s="93"/>
      <c r="DE267" s="93"/>
      <c r="DF267" s="93"/>
      <c r="DG267" s="93"/>
      <c r="DH267" s="79"/>
      <c r="DI267" s="699"/>
      <c r="DJ267" s="93"/>
      <c r="DK267" s="93"/>
      <c r="DL267" s="93"/>
      <c r="DM267" s="92"/>
      <c r="DN267" s="92"/>
      <c r="DO267" s="299"/>
      <c r="DP267" s="295"/>
      <c r="DQ267" s="295"/>
      <c r="DR267" s="295"/>
      <c r="DS267" s="295"/>
      <c r="DT267" s="92"/>
      <c r="DU267" s="93"/>
      <c r="DV267" s="93"/>
      <c r="DW267" s="93"/>
      <c r="DX267" s="79"/>
      <c r="DZ267" s="795"/>
    </row>
    <row r="268" spans="1:130">
      <c r="A268" s="51">
        <v>100</v>
      </c>
      <c r="B268" s="52"/>
      <c r="C268" s="92"/>
      <c r="D268" s="92"/>
      <c r="E268" s="92"/>
      <c r="F268" s="64"/>
      <c r="G268" s="161"/>
      <c r="H268" s="36"/>
      <c r="I268" s="161"/>
      <c r="J268" s="54"/>
      <c r="K268" s="92"/>
      <c r="L268" s="92"/>
      <c r="M268" s="92"/>
      <c r="N268" s="92"/>
      <c r="O268" s="51"/>
      <c r="P268" s="113"/>
      <c r="Q268" s="699"/>
      <c r="R268" s="93"/>
      <c r="S268" s="93"/>
      <c r="T268" s="92"/>
      <c r="U268" s="92"/>
      <c r="V268" s="161"/>
      <c r="W268" s="36"/>
      <c r="X268" s="161"/>
      <c r="Y268" s="290"/>
      <c r="Z268" s="290"/>
      <c r="AA268" s="92"/>
      <c r="AB268" s="92"/>
      <c r="AC268" s="93"/>
      <c r="AD268" s="93"/>
      <c r="AE268" s="93"/>
      <c r="AF268" s="79"/>
      <c r="AG268" s="51"/>
      <c r="AH268" s="51"/>
      <c r="AI268" s="51"/>
      <c r="AJ268" s="51"/>
      <c r="AK268" s="92"/>
      <c r="AL268" s="206"/>
      <c r="AM268" s="201"/>
      <c r="AN268" s="290"/>
      <c r="AO268" s="290"/>
      <c r="AP268" s="290"/>
      <c r="AQ268" s="92"/>
      <c r="AR268" s="51"/>
      <c r="AS268" s="51"/>
      <c r="AT268" s="51"/>
      <c r="AU268" s="51"/>
      <c r="AV268" s="82"/>
      <c r="AW268" s="699"/>
      <c r="AX268" s="93"/>
      <c r="AY268" s="93"/>
      <c r="AZ268" s="92"/>
      <c r="BA268" s="92"/>
      <c r="BB268" s="92"/>
      <c r="BC268" s="206"/>
      <c r="BD268" s="294"/>
      <c r="BE268" s="290"/>
      <c r="BF268" s="290"/>
      <c r="BG268" s="290"/>
      <c r="BH268" s="92"/>
      <c r="BI268" s="92"/>
      <c r="BJ268" s="51"/>
      <c r="BK268" s="51"/>
      <c r="BL268" s="113"/>
      <c r="BM268" s="51"/>
      <c r="BN268" s="52"/>
      <c r="BO268" s="52"/>
      <c r="BP268" s="92"/>
      <c r="BQ268" s="92"/>
      <c r="BR268" s="92"/>
      <c r="BS268" s="295"/>
      <c r="BT268" s="295"/>
      <c r="BU268" s="193"/>
      <c r="BV268" s="193"/>
      <c r="BW268" s="295"/>
      <c r="BX268" s="92"/>
      <c r="BY268" s="92"/>
      <c r="BZ268" s="92"/>
      <c r="CA268" s="51"/>
      <c r="CB268" s="92"/>
      <c r="CC268" s="699"/>
      <c r="CD268" s="93"/>
      <c r="CE268" s="93"/>
      <c r="CF268" s="92"/>
      <c r="CG268" s="92"/>
      <c r="CH268" s="290"/>
      <c r="CI268" s="290"/>
      <c r="CJ268" s="290"/>
      <c r="CK268" s="294"/>
      <c r="CL268" s="205"/>
      <c r="CM268" s="92"/>
      <c r="CN268" s="92"/>
      <c r="CO268" s="93"/>
      <c r="CP268" s="93"/>
      <c r="CQ268" s="93"/>
      <c r="CR268" s="79"/>
      <c r="CS268" s="699"/>
      <c r="CT268" s="93"/>
      <c r="CU268" s="93"/>
      <c r="CV268" s="93"/>
      <c r="CW268" s="93"/>
      <c r="CX268" s="93"/>
      <c r="CY268" s="294"/>
      <c r="CZ268" s="294"/>
      <c r="DA268" s="290"/>
      <c r="DB268" s="294"/>
      <c r="DC268" s="206"/>
      <c r="DD268" s="93"/>
      <c r="DE268" s="93"/>
      <c r="DF268" s="93"/>
      <c r="DG268" s="93"/>
      <c r="DH268" s="79"/>
      <c r="DI268" s="699"/>
      <c r="DJ268" s="93"/>
      <c r="DK268" s="93"/>
      <c r="DL268" s="93"/>
      <c r="DM268" s="92"/>
      <c r="DN268" s="92"/>
      <c r="DO268" s="290"/>
      <c r="DP268" s="290"/>
      <c r="DQ268" s="161"/>
      <c r="DR268" s="36"/>
      <c r="DS268" s="161"/>
      <c r="DT268" s="92"/>
      <c r="DU268" s="93"/>
      <c r="DV268" s="93"/>
      <c r="DW268" s="93"/>
      <c r="DX268" s="79"/>
      <c r="DZ268" s="795"/>
    </row>
    <row r="269" spans="1:130">
      <c r="A269" s="51">
        <v>70</v>
      </c>
      <c r="B269" s="52"/>
      <c r="C269" s="92"/>
      <c r="D269" s="92"/>
      <c r="E269" s="92"/>
      <c r="F269" s="294"/>
      <c r="G269" s="64"/>
      <c r="H269" s="64"/>
      <c r="I269" s="64"/>
      <c r="J269" s="290"/>
      <c r="K269" s="92"/>
      <c r="L269" s="92"/>
      <c r="M269" s="92"/>
      <c r="N269" s="92"/>
      <c r="O269" s="51"/>
      <c r="P269" s="113"/>
      <c r="Q269" s="699"/>
      <c r="R269" s="93"/>
      <c r="S269" s="93"/>
      <c r="T269" s="92"/>
      <c r="U269" s="92"/>
      <c r="V269" s="64"/>
      <c r="W269" s="64"/>
      <c r="X269" s="64"/>
      <c r="Y269" s="290"/>
      <c r="Z269" s="290"/>
      <c r="AA269" s="92"/>
      <c r="AB269" s="92"/>
      <c r="AC269" s="93"/>
      <c r="AD269" s="93"/>
      <c r="AE269" s="93"/>
      <c r="AF269" s="79"/>
      <c r="AG269" s="51"/>
      <c r="AH269" s="51"/>
      <c r="AI269" s="51"/>
      <c r="AJ269" s="51"/>
      <c r="AK269" s="51"/>
      <c r="AL269" s="36"/>
      <c r="AM269" s="56"/>
      <c r="AN269" s="294"/>
      <c r="AO269" s="290"/>
      <c r="AP269" s="290"/>
      <c r="AQ269" s="51"/>
      <c r="AR269" s="92"/>
      <c r="AS269" s="51"/>
      <c r="AT269" s="51"/>
      <c r="AU269" s="51"/>
      <c r="AV269" s="82"/>
      <c r="AW269" s="699"/>
      <c r="AX269" s="93"/>
      <c r="AY269" s="93"/>
      <c r="AZ269" s="92"/>
      <c r="BA269" s="92"/>
      <c r="BB269" s="92"/>
      <c r="BC269" s="56"/>
      <c r="BD269" s="290"/>
      <c r="BE269" s="290"/>
      <c r="BF269" s="290"/>
      <c r="BG269" s="290"/>
      <c r="BH269" s="92"/>
      <c r="BI269" s="92"/>
      <c r="BJ269" s="51"/>
      <c r="BK269" s="51"/>
      <c r="BL269" s="113"/>
      <c r="BM269" s="51"/>
      <c r="BN269" s="52"/>
      <c r="BO269" s="52"/>
      <c r="BP269" s="92"/>
      <c r="BQ269" s="92"/>
      <c r="BR269" s="92"/>
      <c r="BS269" s="294"/>
      <c r="BT269" s="290"/>
      <c r="BU269" s="290"/>
      <c r="BV269" s="290"/>
      <c r="BW269" s="290"/>
      <c r="BX269" s="92"/>
      <c r="BY269" s="92"/>
      <c r="BZ269" s="92"/>
      <c r="CA269" s="51"/>
      <c r="CB269" s="92"/>
      <c r="CC269" s="699"/>
      <c r="CD269" s="93"/>
      <c r="CE269" s="93"/>
      <c r="CF269" s="92"/>
      <c r="CG269" s="92"/>
      <c r="CH269" s="290"/>
      <c r="CI269" s="290"/>
      <c r="CJ269" s="290"/>
      <c r="CK269" s="290"/>
      <c r="CL269" s="56"/>
      <c r="CM269" s="92"/>
      <c r="CN269" s="92"/>
      <c r="CO269" s="93"/>
      <c r="CP269" s="93"/>
      <c r="CQ269" s="93"/>
      <c r="CR269" s="79"/>
      <c r="CS269" s="699"/>
      <c r="CT269" s="93"/>
      <c r="CU269" s="93"/>
      <c r="CV269" s="93"/>
      <c r="CW269" s="93"/>
      <c r="CX269" s="93"/>
      <c r="CY269" s="294"/>
      <c r="CZ269" s="290"/>
      <c r="DA269" s="290"/>
      <c r="DB269" s="56"/>
      <c r="DC269" s="36"/>
      <c r="DD269" s="93"/>
      <c r="DE269" s="93"/>
      <c r="DF269" s="93"/>
      <c r="DG269" s="93"/>
      <c r="DH269" s="79"/>
      <c r="DI269" s="699"/>
      <c r="DJ269" s="93"/>
      <c r="DK269" s="93"/>
      <c r="DL269" s="93"/>
      <c r="DM269" s="92"/>
      <c r="DN269" s="92"/>
      <c r="DO269" s="290"/>
      <c r="DP269" s="290"/>
      <c r="DQ269" s="64"/>
      <c r="DR269" s="64"/>
      <c r="DS269" s="64"/>
      <c r="DT269" s="92"/>
      <c r="DU269" s="93"/>
      <c r="DV269" s="93"/>
      <c r="DW269" s="93"/>
      <c r="DX269" s="79"/>
      <c r="DZ269" s="798"/>
    </row>
    <row r="270" spans="1:130">
      <c r="A270" s="51">
        <v>88</v>
      </c>
      <c r="B270" s="52"/>
      <c r="C270" s="92"/>
      <c r="D270" s="51"/>
      <c r="E270" s="51"/>
      <c r="F270" s="51"/>
      <c r="G270" s="36"/>
      <c r="H270" s="201"/>
      <c r="I270" s="36"/>
      <c r="J270" s="51"/>
      <c r="K270" s="51"/>
      <c r="L270" s="51"/>
      <c r="M270" s="92"/>
      <c r="N270" s="51"/>
      <c r="O270" s="51"/>
      <c r="P270" s="113"/>
      <c r="Q270" s="699"/>
      <c r="R270" s="93"/>
      <c r="S270" s="93"/>
      <c r="T270" s="92"/>
      <c r="U270" s="51"/>
      <c r="V270" s="92"/>
      <c r="W270" s="201"/>
      <c r="X270" s="36"/>
      <c r="Y270" s="64"/>
      <c r="Z270" s="51"/>
      <c r="AA270" s="51"/>
      <c r="AB270" s="51"/>
      <c r="AC270" s="93"/>
      <c r="AD270" s="93"/>
      <c r="AE270" s="93"/>
      <c r="AF270" s="79"/>
      <c r="AG270" s="51"/>
      <c r="AH270" s="51"/>
      <c r="AI270" s="51"/>
      <c r="AJ270" s="51"/>
      <c r="AK270" s="51"/>
      <c r="AL270" s="201"/>
      <c r="AM270" s="36"/>
      <c r="AN270" s="56"/>
      <c r="AO270" s="56"/>
      <c r="AP270" s="51"/>
      <c r="AQ270" s="51"/>
      <c r="AR270" s="92"/>
      <c r="AS270" s="51"/>
      <c r="AT270" s="51"/>
      <c r="AU270" s="51"/>
      <c r="AV270" s="82"/>
      <c r="AW270" s="699"/>
      <c r="AX270" s="93"/>
      <c r="AY270" s="93"/>
      <c r="AZ270" s="92"/>
      <c r="BA270" s="51"/>
      <c r="BB270" s="51"/>
      <c r="BC270" s="201"/>
      <c r="BD270" s="56"/>
      <c r="BE270" s="201"/>
      <c r="BF270" s="290"/>
      <c r="BG270" s="51"/>
      <c r="BH270" s="51"/>
      <c r="BI270" s="92"/>
      <c r="BJ270" s="51"/>
      <c r="BK270" s="51"/>
      <c r="BL270" s="113"/>
      <c r="BM270" s="51"/>
      <c r="BN270" s="52"/>
      <c r="BO270" s="52"/>
      <c r="BP270" s="92"/>
      <c r="BQ270" s="51"/>
      <c r="BR270" s="51"/>
      <c r="BS270" s="51"/>
      <c r="BT270" s="290"/>
      <c r="BU270" s="290"/>
      <c r="BV270" s="290"/>
      <c r="BW270" s="51"/>
      <c r="BX270" s="51"/>
      <c r="BY270" s="51"/>
      <c r="BZ270" s="92"/>
      <c r="CA270" s="51"/>
      <c r="CB270" s="92"/>
      <c r="CC270" s="699"/>
      <c r="CD270" s="93"/>
      <c r="CE270" s="93"/>
      <c r="CF270" s="92"/>
      <c r="CG270" s="51"/>
      <c r="CH270" s="51"/>
      <c r="CI270" s="290"/>
      <c r="CJ270" s="201"/>
      <c r="CK270" s="56"/>
      <c r="CL270" s="201"/>
      <c r="CM270" s="51"/>
      <c r="CN270" s="51"/>
      <c r="CO270" s="93"/>
      <c r="CP270" s="93"/>
      <c r="CQ270" s="93"/>
      <c r="CR270" s="79"/>
      <c r="CS270" s="699"/>
      <c r="CT270" s="93"/>
      <c r="CU270" s="93"/>
      <c r="CV270" s="93"/>
      <c r="CW270" s="93"/>
      <c r="CX270" s="93"/>
      <c r="CY270" s="51"/>
      <c r="CZ270" s="56"/>
      <c r="DA270" s="56"/>
      <c r="DB270" s="36"/>
      <c r="DC270" s="201"/>
      <c r="DD270" s="93"/>
      <c r="DE270" s="93"/>
      <c r="DF270" s="93"/>
      <c r="DG270" s="93"/>
      <c r="DH270" s="79"/>
      <c r="DI270" s="699"/>
      <c r="DJ270" s="93"/>
      <c r="DK270" s="93"/>
      <c r="DL270" s="93"/>
      <c r="DM270" s="51"/>
      <c r="DN270" s="51"/>
      <c r="DO270" s="51"/>
      <c r="DP270" s="64"/>
      <c r="DQ270" s="36"/>
      <c r="DR270" s="201"/>
      <c r="DS270" s="92"/>
      <c r="DT270" s="51"/>
      <c r="DU270" s="93"/>
      <c r="DV270" s="93"/>
      <c r="DW270" s="93"/>
      <c r="DX270" s="79"/>
      <c r="DZ270" s="798"/>
    </row>
    <row r="271" spans="1:130">
      <c r="A271" s="699">
        <v>138</v>
      </c>
      <c r="B271" s="52"/>
      <c r="C271" s="92"/>
      <c r="D271" s="92"/>
      <c r="E271" s="92"/>
      <c r="F271" s="295"/>
      <c r="G271" s="64"/>
      <c r="H271" s="36"/>
      <c r="I271" s="64"/>
      <c r="J271" s="295"/>
      <c r="K271" s="92"/>
      <c r="L271" s="92"/>
      <c r="M271" s="92"/>
      <c r="N271" s="92"/>
      <c r="O271" s="51"/>
      <c r="P271" s="113"/>
      <c r="Q271" s="699"/>
      <c r="R271" s="93"/>
      <c r="S271" s="93"/>
      <c r="T271" s="92"/>
      <c r="U271" s="92"/>
      <c r="V271" s="92"/>
      <c r="W271" s="64"/>
      <c r="X271" s="295"/>
      <c r="Y271" s="295"/>
      <c r="Z271" s="92"/>
      <c r="AA271" s="92"/>
      <c r="AB271" s="92"/>
      <c r="AC271" s="93"/>
      <c r="AD271" s="93"/>
      <c r="AE271" s="93"/>
      <c r="AF271" s="79"/>
      <c r="AG271" s="51"/>
      <c r="AH271" s="51"/>
      <c r="AI271" s="51"/>
      <c r="AJ271" s="51"/>
      <c r="AK271" s="51"/>
      <c r="AL271" s="92"/>
      <c r="AM271" s="295"/>
      <c r="AN271" s="299"/>
      <c r="AO271" s="295"/>
      <c r="AP271" s="92"/>
      <c r="AQ271" s="51"/>
      <c r="AR271" s="92"/>
      <c r="AS271" s="51"/>
      <c r="AT271" s="51"/>
      <c r="AU271" s="51"/>
      <c r="AV271" s="82"/>
      <c r="AW271" s="699"/>
      <c r="AX271" s="93"/>
      <c r="AY271" s="93"/>
      <c r="AZ271" s="92"/>
      <c r="BA271" s="92"/>
      <c r="BB271" s="92"/>
      <c r="BC271" s="92"/>
      <c r="BD271" s="295"/>
      <c r="BE271" s="295"/>
      <c r="BF271" s="295"/>
      <c r="BG271" s="92"/>
      <c r="BH271" s="92"/>
      <c r="BI271" s="92"/>
      <c r="BJ271" s="51"/>
      <c r="BK271" s="51"/>
      <c r="BL271" s="113"/>
      <c r="BM271" s="51"/>
      <c r="BN271" s="52"/>
      <c r="BO271" s="52"/>
      <c r="BP271" s="92"/>
      <c r="BQ271" s="92"/>
      <c r="BR271" s="92"/>
      <c r="BS271" s="295"/>
      <c r="BT271" s="54"/>
      <c r="BU271" s="64"/>
      <c r="BV271" s="54"/>
      <c r="BW271" s="295"/>
      <c r="BX271" s="92"/>
      <c r="BY271" s="92"/>
      <c r="BZ271" s="92"/>
      <c r="CA271" s="51"/>
      <c r="CB271" s="92"/>
      <c r="CC271" s="699"/>
      <c r="CD271" s="93"/>
      <c r="CE271" s="93"/>
      <c r="CF271" s="92"/>
      <c r="CG271" s="92"/>
      <c r="CH271" s="92"/>
      <c r="CI271" s="295"/>
      <c r="CJ271" s="295"/>
      <c r="CK271" s="295"/>
      <c r="CL271" s="92"/>
      <c r="CM271" s="92"/>
      <c r="CN271" s="92"/>
      <c r="CO271" s="93"/>
      <c r="CP271" s="93"/>
      <c r="CQ271" s="93"/>
      <c r="CR271" s="79"/>
      <c r="CS271" s="699"/>
      <c r="CT271" s="93"/>
      <c r="CU271" s="93"/>
      <c r="CV271" s="93"/>
      <c r="CW271" s="93"/>
      <c r="CX271" s="93"/>
      <c r="CY271" s="92"/>
      <c r="CZ271" s="295"/>
      <c r="DA271" s="299"/>
      <c r="DB271" s="295"/>
      <c r="DC271" s="92"/>
      <c r="DD271" s="93"/>
      <c r="DE271" s="93"/>
      <c r="DF271" s="93"/>
      <c r="DG271" s="93"/>
      <c r="DH271" s="79"/>
      <c r="DI271" s="699"/>
      <c r="DJ271" s="93"/>
      <c r="DK271" s="93"/>
      <c r="DL271" s="93"/>
      <c r="DM271" s="92"/>
      <c r="DN271" s="92"/>
      <c r="DO271" s="92"/>
      <c r="DP271" s="295"/>
      <c r="DQ271" s="295"/>
      <c r="DR271" s="64"/>
      <c r="DS271" s="92"/>
      <c r="DT271" s="92"/>
      <c r="DU271" s="93"/>
      <c r="DV271" s="93"/>
      <c r="DW271" s="93"/>
      <c r="DX271" s="79"/>
      <c r="DZ271" s="795"/>
    </row>
    <row r="272" spans="1:130">
      <c r="A272" s="699">
        <v>1</v>
      </c>
      <c r="B272" s="51"/>
      <c r="C272" s="92"/>
      <c r="D272" s="92"/>
      <c r="E272" s="302"/>
      <c r="F272" s="295"/>
      <c r="G272" s="295"/>
      <c r="H272" s="64"/>
      <c r="I272" s="295"/>
      <c r="J272" s="295"/>
      <c r="K272" s="299"/>
      <c r="L272" s="92"/>
      <c r="M272" s="92"/>
      <c r="N272" s="92"/>
      <c r="O272" s="51"/>
      <c r="P272" s="82"/>
      <c r="Q272" s="699"/>
      <c r="R272" s="93"/>
      <c r="S272" s="93"/>
      <c r="T272" s="92"/>
      <c r="U272" s="92"/>
      <c r="V272" s="302"/>
      <c r="W272" s="64"/>
      <c r="X272" s="295"/>
      <c r="Y272" s="295"/>
      <c r="Z272" s="299"/>
      <c r="AA272" s="92"/>
      <c r="AB272" s="92"/>
      <c r="AC272" s="93"/>
      <c r="AD272" s="93"/>
      <c r="AE272" s="93"/>
      <c r="AF272" s="79"/>
      <c r="AG272" s="51"/>
      <c r="AH272" s="51"/>
      <c r="AI272" s="51"/>
      <c r="AJ272" s="51"/>
      <c r="AK272" s="51"/>
      <c r="AL272" s="92"/>
      <c r="AM272" s="299"/>
      <c r="AN272" s="299"/>
      <c r="AO272" s="295"/>
      <c r="AP272" s="193"/>
      <c r="AQ272" s="51"/>
      <c r="AR272" s="92"/>
      <c r="AS272" s="51"/>
      <c r="AT272" s="51"/>
      <c r="AU272" s="51"/>
      <c r="AV272" s="82"/>
      <c r="AW272" s="699"/>
      <c r="AX272" s="93"/>
      <c r="AY272" s="93"/>
      <c r="AZ272" s="51"/>
      <c r="BA272" s="92"/>
      <c r="BB272" s="92"/>
      <c r="BC272" s="302"/>
      <c r="BD272" s="295"/>
      <c r="BE272" s="295"/>
      <c r="BF272" s="295"/>
      <c r="BG272" s="92"/>
      <c r="BH272" s="92"/>
      <c r="BI272" s="51"/>
      <c r="BJ272" s="51"/>
      <c r="BK272" s="51"/>
      <c r="BL272" s="82"/>
      <c r="BM272" s="51"/>
      <c r="BN272" s="51"/>
      <c r="BO272" s="51"/>
      <c r="BP272" s="92"/>
      <c r="BQ272" s="92"/>
      <c r="BR272" s="302"/>
      <c r="BS272" s="295"/>
      <c r="BT272" s="295"/>
      <c r="BU272" s="295"/>
      <c r="BV272" s="295"/>
      <c r="BW272" s="295"/>
      <c r="BX272" s="299"/>
      <c r="BY272" s="92"/>
      <c r="BZ272" s="92"/>
      <c r="CA272" s="51"/>
      <c r="CB272" s="51"/>
      <c r="CC272" s="699"/>
      <c r="CD272" s="93"/>
      <c r="CE272" s="93"/>
      <c r="CF272" s="93"/>
      <c r="CG272" s="92"/>
      <c r="CH272" s="302"/>
      <c r="CI272" s="295"/>
      <c r="CJ272" s="295"/>
      <c r="CK272" s="295"/>
      <c r="CL272" s="299"/>
      <c r="CM272" s="92"/>
      <c r="CN272" s="92"/>
      <c r="CO272" s="93"/>
      <c r="CP272" s="93"/>
      <c r="CQ272" s="93"/>
      <c r="CR272" s="79"/>
      <c r="CS272" s="699"/>
      <c r="CT272" s="93"/>
      <c r="CU272" s="93"/>
      <c r="CV272" s="93"/>
      <c r="CW272" s="93"/>
      <c r="CX272" s="93"/>
      <c r="CY272" s="193"/>
      <c r="CZ272" s="295"/>
      <c r="DA272" s="299"/>
      <c r="DB272" s="299"/>
      <c r="DC272" s="92"/>
      <c r="DD272" s="93"/>
      <c r="DE272" s="93"/>
      <c r="DF272" s="93"/>
      <c r="DG272" s="93"/>
      <c r="DH272" s="79"/>
      <c r="DI272" s="699"/>
      <c r="DJ272" s="93"/>
      <c r="DK272" s="93"/>
      <c r="DL272" s="93"/>
      <c r="DM272" s="92"/>
      <c r="DN272" s="92"/>
      <c r="DO272" s="302"/>
      <c r="DP272" s="295"/>
      <c r="DQ272" s="295"/>
      <c r="DR272" s="64"/>
      <c r="DS272" s="299"/>
      <c r="DT272" s="92"/>
      <c r="DU272" s="93"/>
      <c r="DV272" s="93"/>
      <c r="DW272" s="93"/>
      <c r="DX272" s="79"/>
      <c r="DZ272" s="795"/>
    </row>
    <row r="273" spans="1:130">
      <c r="A273" s="699">
        <v>96</v>
      </c>
      <c r="B273" s="52"/>
      <c r="C273" s="92"/>
      <c r="D273" s="302"/>
      <c r="E273" s="295"/>
      <c r="F273" s="295"/>
      <c r="G273" s="295"/>
      <c r="H273" s="299"/>
      <c r="I273" s="299"/>
      <c r="J273" s="295"/>
      <c r="K273" s="193"/>
      <c r="L273" s="299"/>
      <c r="M273" s="92"/>
      <c r="N273" s="51"/>
      <c r="O273" s="92"/>
      <c r="P273" s="113"/>
      <c r="Q273" s="699"/>
      <c r="R273" s="93"/>
      <c r="S273" s="93"/>
      <c r="T273" s="92"/>
      <c r="U273" s="92"/>
      <c r="V273" s="299"/>
      <c r="W273" s="295"/>
      <c r="X273" s="299"/>
      <c r="Y273" s="295"/>
      <c r="Z273" s="295"/>
      <c r="AA273" s="299"/>
      <c r="AB273" s="92"/>
      <c r="AC273" s="93"/>
      <c r="AD273" s="93"/>
      <c r="AE273" s="93"/>
      <c r="AF273" s="79"/>
      <c r="AG273" s="51"/>
      <c r="AH273" s="51"/>
      <c r="AI273" s="51"/>
      <c r="AJ273" s="51"/>
      <c r="AK273" s="51"/>
      <c r="AL273" s="299"/>
      <c r="AM273" s="302"/>
      <c r="AN273" s="299"/>
      <c r="AO273" s="193"/>
      <c r="AP273" s="299"/>
      <c r="AQ273" s="51"/>
      <c r="AR273" s="92"/>
      <c r="AS273" s="51"/>
      <c r="AT273" s="51"/>
      <c r="AU273" s="51"/>
      <c r="AV273" s="82"/>
      <c r="AW273" s="699"/>
      <c r="AX273" s="93"/>
      <c r="AY273" s="93"/>
      <c r="AZ273" s="51"/>
      <c r="BA273" s="92"/>
      <c r="BB273" s="299"/>
      <c r="BC273" s="295"/>
      <c r="BD273" s="295"/>
      <c r="BE273" s="295"/>
      <c r="BF273" s="295"/>
      <c r="BG273" s="299"/>
      <c r="BH273" s="92"/>
      <c r="BI273" s="92"/>
      <c r="BJ273" s="92"/>
      <c r="BK273" s="92"/>
      <c r="BL273" s="113"/>
      <c r="BM273" s="51"/>
      <c r="BN273" s="51"/>
      <c r="BO273" s="51"/>
      <c r="BP273" s="92"/>
      <c r="BQ273" s="302"/>
      <c r="BR273" s="295"/>
      <c r="BS273" s="295"/>
      <c r="BT273" s="295"/>
      <c r="BU273" s="299"/>
      <c r="BV273" s="299"/>
      <c r="BW273" s="295"/>
      <c r="BX273" s="193"/>
      <c r="BY273" s="299"/>
      <c r="BZ273" s="92"/>
      <c r="CA273" s="92"/>
      <c r="CB273" s="92"/>
      <c r="CC273" s="699"/>
      <c r="CD273" s="93"/>
      <c r="CE273" s="93"/>
      <c r="CF273" s="93"/>
      <c r="CG273" s="51"/>
      <c r="CH273" s="193"/>
      <c r="CI273" s="299"/>
      <c r="CJ273" s="295"/>
      <c r="CK273" s="295"/>
      <c r="CL273" s="295"/>
      <c r="CM273" s="299"/>
      <c r="CN273" s="92"/>
      <c r="CO273" s="93"/>
      <c r="CP273" s="93"/>
      <c r="CQ273" s="93"/>
      <c r="CR273" s="79"/>
      <c r="CS273" s="699"/>
      <c r="CT273" s="93"/>
      <c r="CU273" s="93"/>
      <c r="CV273" s="93"/>
      <c r="CW273" s="93"/>
      <c r="CX273" s="93"/>
      <c r="CY273" s="299"/>
      <c r="CZ273" s="302"/>
      <c r="DA273" s="299"/>
      <c r="DB273" s="295"/>
      <c r="DC273" s="299"/>
      <c r="DD273" s="93"/>
      <c r="DE273" s="93"/>
      <c r="DF273" s="93"/>
      <c r="DG273" s="93"/>
      <c r="DH273" s="79"/>
      <c r="DI273" s="699"/>
      <c r="DJ273" s="93"/>
      <c r="DK273" s="93"/>
      <c r="DL273" s="93"/>
      <c r="DM273" s="92"/>
      <c r="DN273" s="302"/>
      <c r="DO273" s="295"/>
      <c r="DP273" s="295"/>
      <c r="DQ273" s="299"/>
      <c r="DR273" s="295"/>
      <c r="DS273" s="299"/>
      <c r="DT273" s="92"/>
      <c r="DU273" s="93"/>
      <c r="DV273" s="93"/>
      <c r="DW273" s="93"/>
      <c r="DX273" s="79"/>
      <c r="DZ273" s="795"/>
    </row>
    <row r="274" spans="1:130">
      <c r="A274" s="51">
        <v>24</v>
      </c>
      <c r="B274" s="51"/>
      <c r="C274" s="92"/>
      <c r="D274" s="299"/>
      <c r="E274" s="295"/>
      <c r="F274" s="299"/>
      <c r="G274" s="295"/>
      <c r="H274" s="295"/>
      <c r="I274" s="299"/>
      <c r="J274" s="299"/>
      <c r="K274" s="295"/>
      <c r="L274" s="193"/>
      <c r="M274" s="92"/>
      <c r="N274" s="51"/>
      <c r="O274" s="92"/>
      <c r="P274" s="113"/>
      <c r="Q274" s="699"/>
      <c r="R274" s="93"/>
      <c r="S274" s="93"/>
      <c r="T274" s="92"/>
      <c r="U274" s="193"/>
      <c r="V274" s="295"/>
      <c r="W274" s="299"/>
      <c r="X274" s="299"/>
      <c r="Y274" s="193"/>
      <c r="Z274" s="295"/>
      <c r="AA274" s="295"/>
      <c r="AB274" s="92"/>
      <c r="AC274" s="93"/>
      <c r="AD274" s="93"/>
      <c r="AE274" s="93"/>
      <c r="AF274" s="79"/>
      <c r="AG274" s="51"/>
      <c r="AH274" s="51"/>
      <c r="AI274" s="51"/>
      <c r="AJ274" s="51"/>
      <c r="AK274" s="51"/>
      <c r="AL274" s="193"/>
      <c r="AM274" s="299"/>
      <c r="AN274" s="299"/>
      <c r="AO274" s="295"/>
      <c r="AP274" s="299"/>
      <c r="AQ274" s="51"/>
      <c r="AR274" s="92"/>
      <c r="AS274" s="51"/>
      <c r="AT274" s="51"/>
      <c r="AU274" s="51"/>
      <c r="AV274" s="82"/>
      <c r="AW274" s="699"/>
      <c r="AX274" s="93"/>
      <c r="AY274" s="93"/>
      <c r="AZ274" s="51"/>
      <c r="BA274" s="92"/>
      <c r="BB274" s="302"/>
      <c r="BC274" s="295"/>
      <c r="BD274" s="295"/>
      <c r="BE274" s="295"/>
      <c r="BF274" s="299"/>
      <c r="BG274" s="193"/>
      <c r="BH274" s="92"/>
      <c r="BI274" s="92"/>
      <c r="BJ274" s="92"/>
      <c r="BK274" s="92"/>
      <c r="BL274" s="113"/>
      <c r="BM274" s="51"/>
      <c r="BN274" s="51"/>
      <c r="BO274" s="51"/>
      <c r="BP274" s="92"/>
      <c r="BQ274" s="302"/>
      <c r="BR274" s="295"/>
      <c r="BS274" s="295"/>
      <c r="BT274" s="295"/>
      <c r="BU274" s="295"/>
      <c r="BV274" s="299"/>
      <c r="BW274" s="299"/>
      <c r="BX274" s="295"/>
      <c r="BY274" s="193"/>
      <c r="BZ274" s="92"/>
      <c r="CA274" s="92"/>
      <c r="CB274" s="92"/>
      <c r="CC274" s="699"/>
      <c r="CD274" s="93"/>
      <c r="CE274" s="93"/>
      <c r="CF274" s="93"/>
      <c r="CG274" s="302"/>
      <c r="CH274" s="295"/>
      <c r="CI274" s="299"/>
      <c r="CJ274" s="295"/>
      <c r="CK274" s="295"/>
      <c r="CL274" s="295"/>
      <c r="CM274" s="299"/>
      <c r="CN274" s="92"/>
      <c r="CO274" s="93"/>
      <c r="CP274" s="93"/>
      <c r="CQ274" s="93"/>
      <c r="CR274" s="79"/>
      <c r="CS274" s="699"/>
      <c r="CT274" s="93"/>
      <c r="CU274" s="93"/>
      <c r="CV274" s="93"/>
      <c r="CW274" s="93"/>
      <c r="CX274" s="93"/>
      <c r="CY274" s="299"/>
      <c r="CZ274" s="295"/>
      <c r="DA274" s="299"/>
      <c r="DB274" s="299"/>
      <c r="DC274" s="193"/>
      <c r="DD274" s="93"/>
      <c r="DE274" s="93"/>
      <c r="DF274" s="93"/>
      <c r="DG274" s="93"/>
      <c r="DH274" s="79"/>
      <c r="DI274" s="699"/>
      <c r="DJ274" s="93"/>
      <c r="DK274" s="93"/>
      <c r="DL274" s="93"/>
      <c r="DM274" s="92"/>
      <c r="DN274" s="299"/>
      <c r="DO274" s="295"/>
      <c r="DP274" s="193"/>
      <c r="DQ274" s="299"/>
      <c r="DR274" s="299"/>
      <c r="DS274" s="295"/>
      <c r="DT274" s="193"/>
      <c r="DU274" s="93"/>
      <c r="DV274" s="93"/>
      <c r="DW274" s="93"/>
      <c r="DX274" s="79"/>
      <c r="DZ274" s="795"/>
    </row>
    <row r="275" spans="1:130">
      <c r="A275" s="51">
        <v>38</v>
      </c>
      <c r="B275" s="51"/>
      <c r="C275" s="92"/>
      <c r="D275" s="295"/>
      <c r="E275" s="193"/>
      <c r="F275" s="299"/>
      <c r="G275" s="295"/>
      <c r="H275" s="299"/>
      <c r="I275" s="299"/>
      <c r="J275" s="299"/>
      <c r="K275" s="193"/>
      <c r="L275" s="295"/>
      <c r="M275" s="51"/>
      <c r="N275" s="51"/>
      <c r="O275" s="92"/>
      <c r="P275" s="82"/>
      <c r="Q275" s="699"/>
      <c r="R275" s="93"/>
      <c r="S275" s="93"/>
      <c r="T275" s="51"/>
      <c r="U275" s="295"/>
      <c r="V275" s="295"/>
      <c r="W275" s="295"/>
      <c r="X275" s="299"/>
      <c r="Y275" s="193"/>
      <c r="Z275" s="295"/>
      <c r="AA275" s="295"/>
      <c r="AB275" s="93"/>
      <c r="AC275" s="93"/>
      <c r="AD275" s="93"/>
      <c r="AE275" s="93"/>
      <c r="AF275" s="79"/>
      <c r="AG275" s="51"/>
      <c r="AH275" s="51"/>
      <c r="AI275" s="51"/>
      <c r="AJ275" s="51"/>
      <c r="AK275" s="51"/>
      <c r="AL275" s="299"/>
      <c r="AM275" s="302"/>
      <c r="AN275" s="299"/>
      <c r="AO275" s="295"/>
      <c r="AP275" s="295"/>
      <c r="AQ275" s="51"/>
      <c r="AR275" s="92"/>
      <c r="AS275" s="51"/>
      <c r="AT275" s="51"/>
      <c r="AU275" s="51"/>
      <c r="AV275" s="82"/>
      <c r="AW275" s="699"/>
      <c r="AX275" s="93"/>
      <c r="AY275" s="93"/>
      <c r="AZ275" s="51"/>
      <c r="BA275" s="92"/>
      <c r="BB275" s="302"/>
      <c r="BC275" s="295"/>
      <c r="BD275" s="193"/>
      <c r="BE275" s="295"/>
      <c r="BF275" s="299"/>
      <c r="BG275" s="295"/>
      <c r="BH275" s="51"/>
      <c r="BI275" s="92"/>
      <c r="BJ275" s="92"/>
      <c r="BK275" s="92"/>
      <c r="BL275" s="82"/>
      <c r="BM275" s="51"/>
      <c r="BN275" s="51"/>
      <c r="BO275" s="51"/>
      <c r="BP275" s="92"/>
      <c r="BQ275" s="295"/>
      <c r="BR275" s="193"/>
      <c r="BS275" s="299"/>
      <c r="BT275" s="295"/>
      <c r="BU275" s="295"/>
      <c r="BV275" s="299"/>
      <c r="BW275" s="299"/>
      <c r="BX275" s="193"/>
      <c r="BY275" s="295"/>
      <c r="BZ275" s="51"/>
      <c r="CA275" s="92"/>
      <c r="CB275" s="51"/>
      <c r="CC275" s="699"/>
      <c r="CD275" s="93"/>
      <c r="CE275" s="93"/>
      <c r="CF275" s="93"/>
      <c r="CG275" s="193"/>
      <c r="CH275" s="295"/>
      <c r="CI275" s="299"/>
      <c r="CJ275" s="295"/>
      <c r="CK275" s="193"/>
      <c r="CL275" s="295"/>
      <c r="CM275" s="295"/>
      <c r="CN275" s="92"/>
      <c r="CO275" s="93"/>
      <c r="CP275" s="93"/>
      <c r="CQ275" s="93"/>
      <c r="CR275" s="79"/>
      <c r="CS275" s="699"/>
      <c r="CT275" s="93"/>
      <c r="CU275" s="93"/>
      <c r="CV275" s="93"/>
      <c r="CW275" s="93"/>
      <c r="CX275" s="93"/>
      <c r="CY275" s="299"/>
      <c r="CZ275" s="302"/>
      <c r="DA275" s="299"/>
      <c r="DB275" s="295"/>
      <c r="DC275" s="299"/>
      <c r="DD275" s="93"/>
      <c r="DE275" s="93"/>
      <c r="DF275" s="93"/>
      <c r="DG275" s="93"/>
      <c r="DH275" s="79"/>
      <c r="DI275" s="699"/>
      <c r="DJ275" s="93"/>
      <c r="DK275" s="93"/>
      <c r="DL275" s="93"/>
      <c r="DM275" s="93"/>
      <c r="DN275" s="295"/>
      <c r="DO275" s="295"/>
      <c r="DP275" s="193"/>
      <c r="DQ275" s="299"/>
      <c r="DR275" s="295"/>
      <c r="DS275" s="295"/>
      <c r="DT275" s="295"/>
      <c r="DU275" s="93"/>
      <c r="DV275" s="93"/>
      <c r="DW275" s="93"/>
      <c r="DX275" s="79"/>
      <c r="DZ275" s="795"/>
    </row>
    <row r="276" spans="1:130">
      <c r="A276" s="51">
        <v>35</v>
      </c>
      <c r="B276" s="51"/>
      <c r="C276" s="302"/>
      <c r="D276" s="295"/>
      <c r="E276" s="193"/>
      <c r="F276" s="299"/>
      <c r="G276" s="295"/>
      <c r="H276" s="295"/>
      <c r="I276" s="299"/>
      <c r="J276" s="295"/>
      <c r="K276" s="193"/>
      <c r="L276" s="295"/>
      <c r="M276" s="299"/>
      <c r="N276" s="51"/>
      <c r="O276" s="92"/>
      <c r="P276" s="113"/>
      <c r="Q276" s="699"/>
      <c r="R276" s="93"/>
      <c r="S276" s="93"/>
      <c r="T276" s="93"/>
      <c r="U276" s="302"/>
      <c r="V276" s="295"/>
      <c r="W276" s="299"/>
      <c r="X276" s="299"/>
      <c r="Y276" s="295"/>
      <c r="Z276" s="193"/>
      <c r="AA276" s="295"/>
      <c r="AB276" s="295"/>
      <c r="AC276" s="93"/>
      <c r="AD276" s="93"/>
      <c r="AE276" s="93"/>
      <c r="AF276" s="79"/>
      <c r="AG276" s="51"/>
      <c r="AH276" s="51"/>
      <c r="AI276" s="51"/>
      <c r="AJ276" s="51"/>
      <c r="AK276" s="51"/>
      <c r="AL276" s="295"/>
      <c r="AM276" s="299"/>
      <c r="AN276" s="299"/>
      <c r="AO276" s="193"/>
      <c r="AP276" s="295"/>
      <c r="AQ276" s="51"/>
      <c r="AR276" s="92"/>
      <c r="AS276" s="51"/>
      <c r="AT276" s="51"/>
      <c r="AU276" s="51"/>
      <c r="AV276" s="82"/>
      <c r="AW276" s="699"/>
      <c r="AX276" s="93"/>
      <c r="AY276" s="93"/>
      <c r="AZ276" s="51"/>
      <c r="BA276" s="92"/>
      <c r="BB276" s="299"/>
      <c r="BC276" s="295"/>
      <c r="BD276" s="193"/>
      <c r="BE276" s="295"/>
      <c r="BF276" s="295"/>
      <c r="BG276" s="295"/>
      <c r="BH276" s="299"/>
      <c r="BI276" s="92"/>
      <c r="BJ276" s="92"/>
      <c r="BK276" s="92"/>
      <c r="BL276" s="113"/>
      <c r="BM276" s="51"/>
      <c r="BN276" s="51"/>
      <c r="BO276" s="51"/>
      <c r="BP276" s="302"/>
      <c r="BQ276" s="295"/>
      <c r="BR276" s="193"/>
      <c r="BS276" s="299"/>
      <c r="BT276" s="295"/>
      <c r="BU276" s="295"/>
      <c r="BV276" s="299"/>
      <c r="BW276" s="295"/>
      <c r="BX276" s="193"/>
      <c r="BY276" s="295"/>
      <c r="BZ276" s="299"/>
      <c r="CA276" s="92"/>
      <c r="CB276" s="92"/>
      <c r="CC276" s="699"/>
      <c r="CD276" s="93"/>
      <c r="CE276" s="93"/>
      <c r="CF276" s="93"/>
      <c r="CG276" s="295"/>
      <c r="CH276" s="295"/>
      <c r="CI276" s="299"/>
      <c r="CJ276" s="295"/>
      <c r="CK276" s="193"/>
      <c r="CL276" s="295"/>
      <c r="CM276" s="295"/>
      <c r="CN276" s="92"/>
      <c r="CO276" s="93"/>
      <c r="CP276" s="93"/>
      <c r="CQ276" s="93"/>
      <c r="CR276" s="79"/>
      <c r="CS276" s="699"/>
      <c r="CT276" s="93"/>
      <c r="CU276" s="93"/>
      <c r="CV276" s="93"/>
      <c r="CW276" s="93"/>
      <c r="CX276" s="93"/>
      <c r="CY276" s="299"/>
      <c r="CZ276" s="302"/>
      <c r="DA276" s="299"/>
      <c r="DB276" s="299"/>
      <c r="DC276" s="295"/>
      <c r="DD276" s="93"/>
      <c r="DE276" s="93"/>
      <c r="DF276" s="93"/>
      <c r="DG276" s="93"/>
      <c r="DH276" s="79"/>
      <c r="DI276" s="699"/>
      <c r="DJ276" s="93"/>
      <c r="DK276" s="93"/>
      <c r="DL276" s="93"/>
      <c r="DM276" s="93"/>
      <c r="DN276" s="302"/>
      <c r="DO276" s="295"/>
      <c r="DP276" s="295"/>
      <c r="DQ276" s="299"/>
      <c r="DR276" s="299"/>
      <c r="DS276" s="295"/>
      <c r="DT276" s="299"/>
      <c r="DU276" s="93"/>
      <c r="DV276" s="93"/>
      <c r="DW276" s="93"/>
      <c r="DX276" s="79"/>
      <c r="DZ276" s="795"/>
    </row>
    <row r="277" spans="1:130">
      <c r="A277" s="51">
        <v>150</v>
      </c>
      <c r="B277" s="51"/>
      <c r="C277" s="295"/>
      <c r="D277" s="295"/>
      <c r="E277" s="92"/>
      <c r="F277" s="299"/>
      <c r="G277" s="295"/>
      <c r="H277" s="299"/>
      <c r="I277" s="299"/>
      <c r="J277" s="193"/>
      <c r="K277" s="92"/>
      <c r="L277" s="295"/>
      <c r="M277" s="193"/>
      <c r="N277" s="51"/>
      <c r="O277" s="51"/>
      <c r="P277" s="82"/>
      <c r="Q277" s="699"/>
      <c r="R277" s="93"/>
      <c r="S277" s="93"/>
      <c r="T277" s="93"/>
      <c r="U277" s="193"/>
      <c r="V277" s="295"/>
      <c r="W277" s="295"/>
      <c r="X277" s="299"/>
      <c r="Y277" s="295"/>
      <c r="Z277" s="193"/>
      <c r="AA277" s="295"/>
      <c r="AB277" s="299"/>
      <c r="AC277" s="93"/>
      <c r="AD277" s="93"/>
      <c r="AE277" s="93"/>
      <c r="AF277" s="79"/>
      <c r="AG277" s="51"/>
      <c r="AH277" s="51"/>
      <c r="AI277" s="51"/>
      <c r="AJ277" s="51"/>
      <c r="AK277" s="51"/>
      <c r="AL277" s="295"/>
      <c r="AM277" s="302"/>
      <c r="AN277" s="299"/>
      <c r="AO277" s="193"/>
      <c r="AP277" s="295"/>
      <c r="AQ277" s="51"/>
      <c r="AR277" s="92"/>
      <c r="AS277" s="51"/>
      <c r="AT277" s="51"/>
      <c r="AU277" s="51"/>
      <c r="AV277" s="82"/>
      <c r="AW277" s="699"/>
      <c r="AX277" s="93"/>
      <c r="AY277" s="93"/>
      <c r="AZ277" s="51"/>
      <c r="BA277" s="299"/>
      <c r="BB277" s="295"/>
      <c r="BC277" s="193"/>
      <c r="BD277" s="295"/>
      <c r="BE277" s="295"/>
      <c r="BF277" s="295"/>
      <c r="BG277" s="295"/>
      <c r="BH277" s="193"/>
      <c r="BI277" s="51"/>
      <c r="BJ277" s="51"/>
      <c r="BK277" s="51"/>
      <c r="BL277" s="82"/>
      <c r="BM277" s="51"/>
      <c r="BN277" s="51"/>
      <c r="BO277" s="51"/>
      <c r="BP277" s="295"/>
      <c r="BQ277" s="295"/>
      <c r="BR277" s="92"/>
      <c r="BS277" s="299"/>
      <c r="BT277" s="295"/>
      <c r="BU277" s="295"/>
      <c r="BV277" s="299"/>
      <c r="BW277" s="295"/>
      <c r="BX277" s="92"/>
      <c r="BY277" s="295"/>
      <c r="BZ277" s="193"/>
      <c r="CA277" s="51"/>
      <c r="CB277" s="51"/>
      <c r="CC277" s="699"/>
      <c r="CD277" s="93"/>
      <c r="CE277" s="93"/>
      <c r="CF277" s="93"/>
      <c r="CG277" s="193"/>
      <c r="CH277" s="295"/>
      <c r="CI277" s="299"/>
      <c r="CJ277" s="295"/>
      <c r="CK277" s="295"/>
      <c r="CL277" s="193"/>
      <c r="CM277" s="295"/>
      <c r="CN277" s="299"/>
      <c r="CO277" s="93"/>
      <c r="CP277" s="93"/>
      <c r="CQ277" s="93"/>
      <c r="CR277" s="79"/>
      <c r="CS277" s="699"/>
      <c r="CT277" s="93"/>
      <c r="CU277" s="93"/>
      <c r="CV277" s="93"/>
      <c r="CW277" s="93"/>
      <c r="CX277" s="93"/>
      <c r="CY277" s="295"/>
      <c r="CZ277" s="302"/>
      <c r="DA277" s="299"/>
      <c r="DB277" s="295"/>
      <c r="DC277" s="295"/>
      <c r="DD277" s="93"/>
      <c r="DE277" s="93"/>
      <c r="DF277" s="93"/>
      <c r="DG277" s="93"/>
      <c r="DH277" s="79"/>
      <c r="DI277" s="699"/>
      <c r="DJ277" s="93"/>
      <c r="DK277" s="93"/>
      <c r="DL277" s="93"/>
      <c r="DM277" s="93"/>
      <c r="DN277" s="299"/>
      <c r="DO277" s="295"/>
      <c r="DP277" s="295"/>
      <c r="DQ277" s="299"/>
      <c r="DR277" s="295"/>
      <c r="DS277" s="295"/>
      <c r="DT277" s="299"/>
      <c r="DU277" s="93"/>
      <c r="DV277" s="93"/>
      <c r="DW277" s="93"/>
      <c r="DX277" s="79"/>
      <c r="DZ277" s="795"/>
    </row>
    <row r="278" spans="1:130">
      <c r="A278" s="51">
        <v>220</v>
      </c>
      <c r="B278" s="51"/>
      <c r="C278" s="295"/>
      <c r="D278" s="295"/>
      <c r="E278" s="92"/>
      <c r="F278" s="299"/>
      <c r="G278" s="295"/>
      <c r="H278" s="295"/>
      <c r="I278" s="299"/>
      <c r="J278" s="193"/>
      <c r="K278" s="92"/>
      <c r="L278" s="295"/>
      <c r="M278" s="295"/>
      <c r="N278" s="51"/>
      <c r="O278" s="51"/>
      <c r="P278" s="113"/>
      <c r="Q278" s="699"/>
      <c r="R278" s="93"/>
      <c r="S278" s="93"/>
      <c r="T278" s="93"/>
      <c r="U278" s="295"/>
      <c r="V278" s="295"/>
      <c r="W278" s="299"/>
      <c r="X278" s="295"/>
      <c r="Y278" s="295"/>
      <c r="Z278" s="193"/>
      <c r="AA278" s="295"/>
      <c r="AB278" s="295"/>
      <c r="AC278" s="93"/>
      <c r="AD278" s="93"/>
      <c r="AE278" s="93"/>
      <c r="AF278" s="79"/>
      <c r="AG278" s="51"/>
      <c r="AH278" s="51"/>
      <c r="AI278" s="51"/>
      <c r="AJ278" s="51"/>
      <c r="AK278" s="51"/>
      <c r="AL278" s="295"/>
      <c r="AM278" s="302"/>
      <c r="AN278" s="299"/>
      <c r="AO278" s="193"/>
      <c r="AP278" s="295"/>
      <c r="AQ278" s="51"/>
      <c r="AR278" s="92"/>
      <c r="AS278" s="51"/>
      <c r="AT278" s="51"/>
      <c r="AU278" s="51"/>
      <c r="AV278" s="82"/>
      <c r="AW278" s="699"/>
      <c r="AX278" s="93"/>
      <c r="AY278" s="93"/>
      <c r="AZ278" s="51"/>
      <c r="BA278" s="295"/>
      <c r="BB278" s="295"/>
      <c r="BC278" s="193"/>
      <c r="BD278" s="299"/>
      <c r="BE278" s="295"/>
      <c r="BF278" s="295"/>
      <c r="BG278" s="295"/>
      <c r="BH278" s="295"/>
      <c r="BI278" s="51"/>
      <c r="BJ278" s="51"/>
      <c r="BK278" s="51"/>
      <c r="BL278" s="113"/>
      <c r="BM278" s="51"/>
      <c r="BN278" s="51"/>
      <c r="BO278" s="51"/>
      <c r="BP278" s="295"/>
      <c r="BQ278" s="295"/>
      <c r="BR278" s="92"/>
      <c r="BS278" s="299"/>
      <c r="BT278" s="295"/>
      <c r="BU278" s="295"/>
      <c r="BV278" s="299"/>
      <c r="BW278" s="295"/>
      <c r="BX278" s="92"/>
      <c r="BY278" s="295"/>
      <c r="BZ278" s="295"/>
      <c r="CA278" s="51"/>
      <c r="CB278" s="92"/>
      <c r="CC278" s="699"/>
      <c r="CD278" s="93"/>
      <c r="CE278" s="93"/>
      <c r="CF278" s="93"/>
      <c r="CG278" s="295"/>
      <c r="CH278" s="295"/>
      <c r="CI278" s="299"/>
      <c r="CJ278" s="295"/>
      <c r="CK278" s="299"/>
      <c r="CL278" s="193"/>
      <c r="CM278" s="295"/>
      <c r="CN278" s="295"/>
      <c r="CO278" s="93"/>
      <c r="CP278" s="93"/>
      <c r="CQ278" s="93"/>
      <c r="CR278" s="79"/>
      <c r="CS278" s="699"/>
      <c r="CT278" s="93"/>
      <c r="CU278" s="93"/>
      <c r="CV278" s="93"/>
      <c r="CW278" s="93"/>
      <c r="CX278" s="93"/>
      <c r="CY278" s="295"/>
      <c r="CZ278" s="302"/>
      <c r="DA278" s="299"/>
      <c r="DB278" s="295"/>
      <c r="DC278" s="193"/>
      <c r="DD278" s="93"/>
      <c r="DE278" s="93"/>
      <c r="DF278" s="93"/>
      <c r="DG278" s="93"/>
      <c r="DH278" s="79"/>
      <c r="DI278" s="699"/>
      <c r="DJ278" s="93"/>
      <c r="DK278" s="93"/>
      <c r="DL278" s="93"/>
      <c r="DM278" s="93"/>
      <c r="DN278" s="295"/>
      <c r="DO278" s="295"/>
      <c r="DP278" s="295"/>
      <c r="DQ278" s="295"/>
      <c r="DR278" s="299"/>
      <c r="DS278" s="295"/>
      <c r="DT278" s="295"/>
      <c r="DU278" s="93"/>
      <c r="DV278" s="93"/>
      <c r="DW278" s="93"/>
      <c r="DX278" s="79"/>
      <c r="DZ278" s="795"/>
    </row>
    <row r="279" spans="1:130">
      <c r="A279" s="51">
        <v>161</v>
      </c>
      <c r="B279" s="51"/>
      <c r="C279" s="35"/>
      <c r="D279" s="199"/>
      <c r="E279" s="92"/>
      <c r="F279" s="299"/>
      <c r="G279" s="299"/>
      <c r="H279" s="299"/>
      <c r="I279" s="299"/>
      <c r="J279" s="299"/>
      <c r="K279" s="92"/>
      <c r="L279" s="199"/>
      <c r="M279" s="35"/>
      <c r="N279" s="51"/>
      <c r="O279" s="51"/>
      <c r="P279" s="113"/>
      <c r="Q279" s="699"/>
      <c r="R279" s="93"/>
      <c r="S279" s="93"/>
      <c r="T279" s="93"/>
      <c r="U279" s="64"/>
      <c r="V279" s="193"/>
      <c r="W279" s="299"/>
      <c r="X279" s="299"/>
      <c r="Y279" s="299"/>
      <c r="Z279" s="299"/>
      <c r="AA279" s="54"/>
      <c r="AB279" s="64"/>
      <c r="AC279" s="93"/>
      <c r="AD279" s="93"/>
      <c r="AE279" s="93"/>
      <c r="AF279" s="79"/>
      <c r="AG279" s="51"/>
      <c r="AH279" s="51"/>
      <c r="AI279" s="51"/>
      <c r="AJ279" s="51"/>
      <c r="AK279" s="51"/>
      <c r="AL279" s="92"/>
      <c r="AM279" s="199"/>
      <c r="AN279" s="54"/>
      <c r="AO279" s="55"/>
      <c r="AP279" s="302"/>
      <c r="AQ279" s="51"/>
      <c r="AR279" s="92"/>
      <c r="AS279" s="51"/>
      <c r="AT279" s="51"/>
      <c r="AU279" s="51"/>
      <c r="AV279" s="82"/>
      <c r="AW279" s="699"/>
      <c r="AX279" s="93"/>
      <c r="AY279" s="93"/>
      <c r="AZ279" s="51"/>
      <c r="BA279" s="64"/>
      <c r="BB279" s="54"/>
      <c r="BC279" s="295"/>
      <c r="BD279" s="295"/>
      <c r="BE279" s="299"/>
      <c r="BF279" s="299"/>
      <c r="BG279" s="54"/>
      <c r="BH279" s="64"/>
      <c r="BI279" s="51"/>
      <c r="BJ279" s="51"/>
      <c r="BK279" s="51"/>
      <c r="BL279" s="113"/>
      <c r="BM279" s="51"/>
      <c r="BN279" s="51"/>
      <c r="BO279" s="51"/>
      <c r="BP279" s="64"/>
      <c r="BQ279" s="54"/>
      <c r="BR279" s="92"/>
      <c r="BS279" s="295"/>
      <c r="BT279" s="299"/>
      <c r="BU279" s="299"/>
      <c r="BV279" s="299"/>
      <c r="BW279" s="299"/>
      <c r="BX279" s="92"/>
      <c r="BY279" s="54"/>
      <c r="BZ279" s="54"/>
      <c r="CA279" s="51"/>
      <c r="CB279" s="92"/>
      <c r="CC279" s="699"/>
      <c r="CD279" s="93"/>
      <c r="CE279" s="93"/>
      <c r="CF279" s="93"/>
      <c r="CG279" s="35"/>
      <c r="CH279" s="193"/>
      <c r="CI279" s="299"/>
      <c r="CJ279" s="299"/>
      <c r="CK279" s="295"/>
      <c r="CL279" s="295"/>
      <c r="CM279" s="54"/>
      <c r="CN279" s="64"/>
      <c r="CO279" s="93"/>
      <c r="CP279" s="93"/>
      <c r="CQ279" s="93"/>
      <c r="CR279" s="79"/>
      <c r="CS279" s="699"/>
      <c r="CT279" s="93"/>
      <c r="CU279" s="93"/>
      <c r="CV279" s="93"/>
      <c r="CW279" s="93"/>
      <c r="CX279" s="93"/>
      <c r="CY279" s="302"/>
      <c r="CZ279" s="54"/>
      <c r="DA279" s="54"/>
      <c r="DB279" s="295"/>
      <c r="DC279" s="92"/>
      <c r="DD279" s="93"/>
      <c r="DE279" s="93"/>
      <c r="DF279" s="93"/>
      <c r="DG279" s="93"/>
      <c r="DH279" s="79"/>
      <c r="DI279" s="699"/>
      <c r="DJ279" s="93"/>
      <c r="DK279" s="93"/>
      <c r="DL279" s="93"/>
      <c r="DM279" s="93"/>
      <c r="DN279" s="64"/>
      <c r="DO279" s="54"/>
      <c r="DP279" s="299"/>
      <c r="DQ279" s="299"/>
      <c r="DR279" s="299"/>
      <c r="DS279" s="193"/>
      <c r="DT279" s="64"/>
      <c r="DU279" s="93"/>
      <c r="DV279" s="93"/>
      <c r="DW279" s="93"/>
      <c r="DX279" s="79"/>
      <c r="DZ279" s="795"/>
    </row>
    <row r="280" spans="1:130">
      <c r="A280" s="51">
        <v>164</v>
      </c>
      <c r="B280" s="51"/>
      <c r="C280" s="35"/>
      <c r="D280" s="36"/>
      <c r="E280" s="92"/>
      <c r="F280" s="193"/>
      <c r="G280" s="193"/>
      <c r="H280" s="193"/>
      <c r="I280" s="193"/>
      <c r="J280" s="193"/>
      <c r="K280" s="92"/>
      <c r="L280" s="36"/>
      <c r="M280" s="161"/>
      <c r="N280" s="51"/>
      <c r="O280" s="51"/>
      <c r="P280" s="113"/>
      <c r="Q280" s="699"/>
      <c r="R280" s="93"/>
      <c r="S280" s="93"/>
      <c r="T280" s="93"/>
      <c r="U280" s="53"/>
      <c r="V280" s="193"/>
      <c r="W280" s="193"/>
      <c r="X280" s="295"/>
      <c r="Y280" s="295"/>
      <c r="Z280" s="206"/>
      <c r="AA280" s="36"/>
      <c r="AB280" s="54"/>
      <c r="AC280" s="93"/>
      <c r="AD280" s="93"/>
      <c r="AE280" s="93"/>
      <c r="AF280" s="79"/>
      <c r="AG280" s="51"/>
      <c r="AH280" s="51"/>
      <c r="AI280" s="51"/>
      <c r="AJ280" s="51"/>
      <c r="AK280" s="51"/>
      <c r="AL280" s="92"/>
      <c r="AM280" s="160"/>
      <c r="AN280" s="36"/>
      <c r="AO280" s="160"/>
      <c r="AP280" s="295"/>
      <c r="AQ280" s="51"/>
      <c r="AR280" s="92"/>
      <c r="AS280" s="51"/>
      <c r="AT280" s="51"/>
      <c r="AU280" s="51"/>
      <c r="AV280" s="82"/>
      <c r="AW280" s="699"/>
      <c r="AX280" s="93"/>
      <c r="AY280" s="93"/>
      <c r="AZ280" s="161"/>
      <c r="BA280" s="35"/>
      <c r="BB280" s="161"/>
      <c r="BC280" s="193"/>
      <c r="BD280" s="193"/>
      <c r="BE280" s="193"/>
      <c r="BF280" s="193"/>
      <c r="BG280" s="56"/>
      <c r="BH280" s="35"/>
      <c r="BI280" s="51"/>
      <c r="BJ280" s="51"/>
      <c r="BK280" s="51"/>
      <c r="BL280" s="113"/>
      <c r="BM280" s="51"/>
      <c r="BN280" s="51"/>
      <c r="BO280" s="51"/>
      <c r="BP280" s="35"/>
      <c r="BQ280" s="161"/>
      <c r="BR280" s="92"/>
      <c r="BS280" s="193"/>
      <c r="BT280" s="193"/>
      <c r="BU280" s="193"/>
      <c r="BV280" s="193"/>
      <c r="BW280" s="193"/>
      <c r="BX280" s="92"/>
      <c r="BY280" s="199"/>
      <c r="BZ280" s="35"/>
      <c r="CA280" s="51"/>
      <c r="CB280" s="92"/>
      <c r="CC280" s="699"/>
      <c r="CD280" s="93"/>
      <c r="CE280" s="93"/>
      <c r="CF280" s="93"/>
      <c r="CG280" s="161"/>
      <c r="CH280" s="56"/>
      <c r="CI280" s="193"/>
      <c r="CJ280" s="193"/>
      <c r="CK280" s="193"/>
      <c r="CL280" s="193"/>
      <c r="CM280" s="54"/>
      <c r="CN280" s="35"/>
      <c r="CO280" s="93"/>
      <c r="CP280" s="93"/>
      <c r="CQ280" s="93"/>
      <c r="CR280" s="79"/>
      <c r="CS280" s="699"/>
      <c r="CT280" s="93"/>
      <c r="CU280" s="93"/>
      <c r="CV280" s="93"/>
      <c r="CW280" s="93"/>
      <c r="CX280" s="93"/>
      <c r="CY280" s="295"/>
      <c r="CZ280" s="199"/>
      <c r="DA280" s="36"/>
      <c r="DB280" s="295"/>
      <c r="DC280" s="92"/>
      <c r="DD280" s="93"/>
      <c r="DE280" s="93"/>
      <c r="DF280" s="93"/>
      <c r="DG280" s="93"/>
      <c r="DH280" s="79"/>
      <c r="DI280" s="699"/>
      <c r="DJ280" s="93"/>
      <c r="DK280" s="93"/>
      <c r="DL280" s="93"/>
      <c r="DM280" s="93"/>
      <c r="DN280" s="35"/>
      <c r="DO280" s="64"/>
      <c r="DP280" s="295"/>
      <c r="DQ280" s="295"/>
      <c r="DR280" s="193"/>
      <c r="DS280" s="193"/>
      <c r="DT280" s="35"/>
      <c r="DU280" s="206"/>
      <c r="DV280" s="93"/>
      <c r="DW280" s="93"/>
      <c r="DX280" s="79"/>
      <c r="DZ280" s="51"/>
    </row>
    <row r="281" spans="1:130">
      <c r="A281" s="51">
        <v>168</v>
      </c>
      <c r="B281" s="51"/>
      <c r="C281" s="53"/>
      <c r="D281" s="199"/>
      <c r="E281" s="92"/>
      <c r="F281" s="295"/>
      <c r="G281" s="193"/>
      <c r="H281" s="51"/>
      <c r="I281" s="193"/>
      <c r="J281" s="295"/>
      <c r="K281" s="92"/>
      <c r="L281" s="199"/>
      <c r="M281" s="160"/>
      <c r="N281" s="51"/>
      <c r="O281" s="51"/>
      <c r="P281" s="113"/>
      <c r="Q281" s="699"/>
      <c r="R281" s="93"/>
      <c r="S281" s="93"/>
      <c r="T281" s="93"/>
      <c r="U281" s="35"/>
      <c r="V281" s="295"/>
      <c r="W281" s="295"/>
      <c r="X281" s="295"/>
      <c r="Y281" s="299"/>
      <c r="Z281" s="160"/>
      <c r="AA281" s="35"/>
      <c r="AB281" s="93"/>
      <c r="AC281" s="93"/>
      <c r="AD281" s="93"/>
      <c r="AE281" s="93"/>
      <c r="AF281" s="79"/>
      <c r="AG281" s="51"/>
      <c r="AH281" s="51"/>
      <c r="AI281" s="51"/>
      <c r="AJ281" s="51"/>
      <c r="AK281" s="51"/>
      <c r="AL281" s="92"/>
      <c r="AM281" s="160"/>
      <c r="AN281" s="35"/>
      <c r="AO281" s="295"/>
      <c r="AP281" s="51"/>
      <c r="AQ281" s="51"/>
      <c r="AR281" s="92"/>
      <c r="AS281" s="51"/>
      <c r="AT281" s="51"/>
      <c r="AU281" s="51"/>
      <c r="AV281" s="82"/>
      <c r="AW281" s="699"/>
      <c r="AX281" s="93"/>
      <c r="AY281" s="93"/>
      <c r="AZ281" s="161"/>
      <c r="BA281" s="53"/>
      <c r="BB281" s="199"/>
      <c r="BC281" s="295"/>
      <c r="BD281" s="193"/>
      <c r="BE281" s="193"/>
      <c r="BF281" s="295"/>
      <c r="BG281" s="35"/>
      <c r="BH281" s="199"/>
      <c r="BI281" s="51"/>
      <c r="BJ281" s="51"/>
      <c r="BK281" s="51"/>
      <c r="BL281" s="113"/>
      <c r="BM281" s="51"/>
      <c r="BN281" s="51"/>
      <c r="BO281" s="51"/>
      <c r="BP281" s="53"/>
      <c r="BQ281" s="199"/>
      <c r="BR281" s="92"/>
      <c r="BS281" s="295"/>
      <c r="BT281" s="193"/>
      <c r="BU281" s="51"/>
      <c r="BV281" s="193"/>
      <c r="BW281" s="295"/>
      <c r="BX281" s="92"/>
      <c r="BY281" s="35"/>
      <c r="BZ281" s="199"/>
      <c r="CA281" s="51"/>
      <c r="CB281" s="92"/>
      <c r="CC281" s="699"/>
      <c r="CD281" s="93"/>
      <c r="CE281" s="93"/>
      <c r="CF281" s="93"/>
      <c r="CG281" s="53"/>
      <c r="CH281" s="56"/>
      <c r="CI281" s="193"/>
      <c r="CJ281" s="193"/>
      <c r="CK281" s="193"/>
      <c r="CL281" s="295"/>
      <c r="CM281" s="199"/>
      <c r="CN281" s="35"/>
      <c r="CO281" s="93"/>
      <c r="CP281" s="93"/>
      <c r="CQ281" s="93"/>
      <c r="CR281" s="79"/>
      <c r="CS281" s="699"/>
      <c r="CT281" s="93"/>
      <c r="CU281" s="93"/>
      <c r="CV281" s="93"/>
      <c r="CW281" s="93"/>
      <c r="CX281" s="93"/>
      <c r="CY281" s="51"/>
      <c r="CZ281" s="199"/>
      <c r="DA281" s="35"/>
      <c r="DB281" s="295"/>
      <c r="DC281" s="92"/>
      <c r="DD281" s="93"/>
      <c r="DE281" s="93"/>
      <c r="DF281" s="93"/>
      <c r="DG281" s="93"/>
      <c r="DH281" s="79"/>
      <c r="DI281" s="699"/>
      <c r="DJ281" s="93"/>
      <c r="DK281" s="93"/>
      <c r="DL281" s="93"/>
      <c r="DM281" s="93"/>
      <c r="DN281" s="35"/>
      <c r="DO281" s="64"/>
      <c r="DP281" s="299"/>
      <c r="DQ281" s="295"/>
      <c r="DR281" s="295"/>
      <c r="DS281" s="295"/>
      <c r="DT281" s="36"/>
      <c r="DU281" s="160"/>
      <c r="DV281" s="93"/>
      <c r="DW281" s="93"/>
      <c r="DX281" s="79"/>
      <c r="DZ281" s="51"/>
    </row>
    <row r="282" spans="1:130">
      <c r="A282" s="51"/>
      <c r="B282" s="51"/>
      <c r="C282" s="92"/>
      <c r="D282" s="51"/>
      <c r="E282" s="52"/>
      <c r="F282" s="295"/>
      <c r="G282" s="193"/>
      <c r="H282" s="51"/>
      <c r="I282" s="295"/>
      <c r="J282" s="299"/>
      <c r="K282" s="51"/>
      <c r="L282" s="92"/>
      <c r="M282" s="160"/>
      <c r="N282" s="51"/>
      <c r="O282" s="51"/>
      <c r="P282" s="82"/>
      <c r="Q282" s="699"/>
      <c r="R282" s="93"/>
      <c r="S282" s="93"/>
      <c r="T282" s="93"/>
      <c r="U282" s="51"/>
      <c r="V282" s="295"/>
      <c r="W282" s="193"/>
      <c r="X282" s="299"/>
      <c r="Y282" s="299"/>
      <c r="Z282" s="160"/>
      <c r="AA282" s="93"/>
      <c r="AB282" s="51"/>
      <c r="AC282" s="93"/>
      <c r="AD282" s="93"/>
      <c r="AE282" s="93"/>
      <c r="AF282" s="79"/>
      <c r="AG282" s="51"/>
      <c r="AH282" s="51"/>
      <c r="AI282" s="51"/>
      <c r="AJ282" s="51"/>
      <c r="AK282" s="51"/>
      <c r="AL282" s="92"/>
      <c r="AM282" s="160"/>
      <c r="AN282" s="295"/>
      <c r="AO282" s="295"/>
      <c r="AP282" s="51"/>
      <c r="AQ282" s="51"/>
      <c r="AR282" s="92"/>
      <c r="AS282" s="51"/>
      <c r="AT282" s="51"/>
      <c r="AU282" s="51"/>
      <c r="AV282" s="82"/>
      <c r="AW282" s="699"/>
      <c r="AX282" s="93"/>
      <c r="AY282" s="93"/>
      <c r="AZ282" s="160"/>
      <c r="BA282" s="93"/>
      <c r="BB282" s="51"/>
      <c r="BC282" s="295"/>
      <c r="BD282" s="193"/>
      <c r="BE282" s="193"/>
      <c r="BF282" s="193"/>
      <c r="BG282" s="92"/>
      <c r="BH282" s="92"/>
      <c r="BI282" s="92"/>
      <c r="BJ282" s="51"/>
      <c r="BK282" s="51"/>
      <c r="BL282" s="82"/>
      <c r="BM282" s="51"/>
      <c r="BN282" s="51"/>
      <c r="BO282" s="51"/>
      <c r="BP282" s="160"/>
      <c r="BQ282" s="51"/>
      <c r="BR282" s="52"/>
      <c r="BS282" s="295"/>
      <c r="BT282" s="193"/>
      <c r="BU282" s="51"/>
      <c r="BV282" s="295"/>
      <c r="BW282" s="299"/>
      <c r="BX282" s="51"/>
      <c r="BY282" s="92"/>
      <c r="BZ282" s="92"/>
      <c r="CA282" s="51"/>
      <c r="CB282" s="51"/>
      <c r="CC282" s="699"/>
      <c r="CD282" s="93"/>
      <c r="CE282" s="93"/>
      <c r="CF282" s="93"/>
      <c r="CG282" s="93"/>
      <c r="CH282" s="160"/>
      <c r="CI282" s="193"/>
      <c r="CJ282" s="295"/>
      <c r="CK282" s="193"/>
      <c r="CL282" s="295"/>
      <c r="CM282" s="51"/>
      <c r="CN282" s="93"/>
      <c r="CO282" s="93"/>
      <c r="CP282" s="93"/>
      <c r="CQ282" s="93"/>
      <c r="CR282" s="79"/>
      <c r="CS282" s="699"/>
      <c r="CT282" s="93"/>
      <c r="CU282" s="93"/>
      <c r="CV282" s="93"/>
      <c r="CW282" s="93"/>
      <c r="CX282" s="93"/>
      <c r="CY282" s="51"/>
      <c r="CZ282" s="299"/>
      <c r="DA282" s="295"/>
      <c r="DB282" s="161"/>
      <c r="DC282" s="92"/>
      <c r="DD282" s="93"/>
      <c r="DE282" s="93"/>
      <c r="DF282" s="93"/>
      <c r="DG282" s="93"/>
      <c r="DH282" s="79"/>
      <c r="DI282" s="699"/>
      <c r="DJ282" s="93"/>
      <c r="DK282" s="93"/>
      <c r="DL282" s="93"/>
      <c r="DM282" s="93"/>
      <c r="DN282" s="51"/>
      <c r="DO282" s="93"/>
      <c r="DP282" s="299"/>
      <c r="DQ282" s="299"/>
      <c r="DR282" s="193"/>
      <c r="DS282" s="295"/>
      <c r="DT282" s="51"/>
      <c r="DU282" s="160"/>
      <c r="DV282" s="93"/>
      <c r="DW282" s="93"/>
      <c r="DX282" s="79"/>
    </row>
    <row r="283" spans="1:130">
      <c r="A283" s="51"/>
      <c r="B283" s="51"/>
      <c r="C283" s="51"/>
      <c r="D283" s="51"/>
      <c r="E283" s="92"/>
      <c r="F283" s="299"/>
      <c r="G283" s="295"/>
      <c r="H283" s="51"/>
      <c r="I283" s="295"/>
      <c r="J283" s="295"/>
      <c r="K283" s="92"/>
      <c r="L283" s="92"/>
      <c r="M283" s="160"/>
      <c r="N283" s="51"/>
      <c r="O283" s="92"/>
      <c r="P283" s="82"/>
      <c r="Q283" s="699"/>
      <c r="R283" s="93"/>
      <c r="S283" s="93"/>
      <c r="T283" s="92"/>
      <c r="U283" s="52"/>
      <c r="V283" s="299"/>
      <c r="W283" s="193"/>
      <c r="X283" s="299"/>
      <c r="Y283" s="299"/>
      <c r="Z283" s="160"/>
      <c r="AA283" s="93"/>
      <c r="AB283" s="51"/>
      <c r="AC283" s="93"/>
      <c r="AD283" s="93"/>
      <c r="AE283" s="93"/>
      <c r="AF283" s="79"/>
      <c r="AG283" s="51"/>
      <c r="AH283" s="51"/>
      <c r="AI283" s="51"/>
      <c r="AJ283" s="51"/>
      <c r="AK283" s="51"/>
      <c r="AL283" s="92"/>
      <c r="AM283" s="160"/>
      <c r="AN283" s="299"/>
      <c r="AO283" s="295"/>
      <c r="AP283" s="51"/>
      <c r="AQ283" s="51"/>
      <c r="AR283" s="92"/>
      <c r="AS283" s="51"/>
      <c r="AT283" s="51"/>
      <c r="AU283" s="51"/>
      <c r="AV283" s="82"/>
      <c r="AW283" s="699"/>
      <c r="AX283" s="93"/>
      <c r="AY283" s="93"/>
      <c r="AZ283" s="160"/>
      <c r="BA283" s="93"/>
      <c r="BB283" s="51"/>
      <c r="BC283" s="295"/>
      <c r="BD283" s="295"/>
      <c r="BE283" s="193"/>
      <c r="BF283" s="193"/>
      <c r="BG283" s="92"/>
      <c r="BH283" s="92"/>
      <c r="BI283" s="92"/>
      <c r="BJ283" s="92"/>
      <c r="BK283" s="92"/>
      <c r="BL283" s="82"/>
      <c r="BM283" s="51"/>
      <c r="BN283" s="51"/>
      <c r="BO283" s="51"/>
      <c r="BP283" s="160"/>
      <c r="BQ283" s="51"/>
      <c r="BR283" s="92"/>
      <c r="BS283" s="299"/>
      <c r="BT283" s="295"/>
      <c r="BU283" s="51"/>
      <c r="BV283" s="295"/>
      <c r="BW283" s="295"/>
      <c r="BX283" s="92"/>
      <c r="BY283" s="92"/>
      <c r="BZ283" s="92"/>
      <c r="CA283" s="92"/>
      <c r="CB283" s="51"/>
      <c r="CC283" s="699"/>
      <c r="CD283" s="93"/>
      <c r="CE283" s="93"/>
      <c r="CF283" s="93"/>
      <c r="CG283" s="93"/>
      <c r="CH283" s="160"/>
      <c r="CI283" s="193"/>
      <c r="CJ283" s="295"/>
      <c r="CK283" s="193"/>
      <c r="CL283" s="295"/>
      <c r="CM283" s="51"/>
      <c r="CN283" s="93"/>
      <c r="CO283" s="93"/>
      <c r="CP283" s="93"/>
      <c r="CQ283" s="93"/>
      <c r="CR283" s="79"/>
      <c r="CS283" s="699"/>
      <c r="CT283" s="93"/>
      <c r="CU283" s="93"/>
      <c r="CV283" s="93"/>
      <c r="CW283" s="93"/>
      <c r="CX283" s="93"/>
      <c r="CY283" s="51"/>
      <c r="CZ283" s="299"/>
      <c r="DA283" s="295"/>
      <c r="DB283" s="160"/>
      <c r="DC283" s="92"/>
      <c r="DD283" s="93"/>
      <c r="DE283" s="93"/>
      <c r="DF283" s="93"/>
      <c r="DG283" s="93"/>
      <c r="DH283" s="79"/>
      <c r="DI283" s="699"/>
      <c r="DJ283" s="93"/>
      <c r="DK283" s="93"/>
      <c r="DL283" s="93"/>
      <c r="DM283" s="93"/>
      <c r="DN283" s="51"/>
      <c r="DO283" s="93"/>
      <c r="DP283" s="302"/>
      <c r="DQ283" s="299"/>
      <c r="DR283" s="193"/>
      <c r="DS283" s="299"/>
      <c r="DT283" s="52"/>
      <c r="DU283" s="160"/>
      <c r="DV283" s="93"/>
      <c r="DW283" s="93"/>
      <c r="DX283" s="79"/>
    </row>
    <row r="284" spans="1:130">
      <c r="A284" s="51">
        <v>3</v>
      </c>
      <c r="B284" s="51"/>
      <c r="C284" s="92"/>
      <c r="D284" s="51"/>
      <c r="E284" s="52"/>
      <c r="F284" s="299"/>
      <c r="G284" s="295"/>
      <c r="H284" s="51"/>
      <c r="I284" s="295"/>
      <c r="J284" s="295"/>
      <c r="K284" s="51"/>
      <c r="L284" s="92"/>
      <c r="M284" s="92"/>
      <c r="N284" s="51"/>
      <c r="O284" s="51"/>
      <c r="P284" s="82"/>
      <c r="Q284" s="699"/>
      <c r="R284" s="93"/>
      <c r="S284" s="93"/>
      <c r="T284" s="92"/>
      <c r="U284" s="93"/>
      <c r="V284" s="299"/>
      <c r="W284" s="193"/>
      <c r="X284" s="295"/>
      <c r="Y284" s="299"/>
      <c r="Z284" s="93"/>
      <c r="AA284" s="52"/>
      <c r="AB284" s="51"/>
      <c r="AC284" s="93"/>
      <c r="AD284" s="93"/>
      <c r="AE284" s="93"/>
      <c r="AF284" s="79"/>
      <c r="AG284" s="51"/>
      <c r="AH284" s="51"/>
      <c r="AI284" s="51"/>
      <c r="AJ284" s="51"/>
      <c r="AK284" s="51"/>
      <c r="AL284" s="92"/>
      <c r="AM284" s="92"/>
      <c r="AN284" s="299"/>
      <c r="AO284" s="193"/>
      <c r="AP284" s="51"/>
      <c r="AQ284" s="51"/>
      <c r="AR284" s="92"/>
      <c r="AS284" s="51"/>
      <c r="AT284" s="51"/>
      <c r="AU284" s="51"/>
      <c r="AV284" s="82"/>
      <c r="AW284" s="699"/>
      <c r="AX284" s="93"/>
      <c r="AY284" s="93"/>
      <c r="AZ284" s="92"/>
      <c r="BA284" s="51"/>
      <c r="BB284" s="52"/>
      <c r="BC284" s="295"/>
      <c r="BD284" s="295"/>
      <c r="BE284" s="193"/>
      <c r="BF284" s="193"/>
      <c r="BG284" s="92"/>
      <c r="BH284" s="92"/>
      <c r="BI284" s="92"/>
      <c r="BJ284" s="51"/>
      <c r="BK284" s="51"/>
      <c r="BL284" s="82"/>
      <c r="BM284" s="51"/>
      <c r="BN284" s="51"/>
      <c r="BO284" s="51"/>
      <c r="BP284" s="92"/>
      <c r="BQ284" s="51"/>
      <c r="BR284" s="52"/>
      <c r="BS284" s="299"/>
      <c r="BT284" s="295"/>
      <c r="BU284" s="51"/>
      <c r="BV284" s="295"/>
      <c r="BW284" s="299"/>
      <c r="BX284" s="51"/>
      <c r="BY284" s="92"/>
      <c r="BZ284" s="92"/>
      <c r="CA284" s="51"/>
      <c r="CB284" s="51"/>
      <c r="CC284" s="699"/>
      <c r="CD284" s="93"/>
      <c r="CE284" s="93"/>
      <c r="CF284" s="93"/>
      <c r="CG284" s="93"/>
      <c r="CH284" s="92"/>
      <c r="CI284" s="193"/>
      <c r="CJ284" s="295"/>
      <c r="CK284" s="193"/>
      <c r="CL284" s="295"/>
      <c r="CM284" s="52"/>
      <c r="CN284" s="51"/>
      <c r="CO284" s="93"/>
      <c r="CP284" s="93"/>
      <c r="CQ284" s="93"/>
      <c r="CR284" s="79"/>
      <c r="CS284" s="699"/>
      <c r="CT284" s="93"/>
      <c r="CU284" s="93"/>
      <c r="CV284" s="93"/>
      <c r="CW284" s="93"/>
      <c r="CX284" s="93"/>
      <c r="CY284" s="51"/>
      <c r="CZ284" s="295"/>
      <c r="DA284" s="295"/>
      <c r="DB284" s="92"/>
      <c r="DC284" s="92"/>
      <c r="DD284" s="93"/>
      <c r="DE284" s="93"/>
      <c r="DF284" s="93"/>
      <c r="DG284" s="93"/>
      <c r="DH284" s="79"/>
      <c r="DI284" s="699"/>
      <c r="DJ284" s="93"/>
      <c r="DK284" s="93"/>
      <c r="DL284" s="93"/>
      <c r="DM284" s="93"/>
      <c r="DN284" s="51"/>
      <c r="DO284" s="52"/>
      <c r="DP284" s="302"/>
      <c r="DQ284" s="295"/>
      <c r="DR284" s="193"/>
      <c r="DS284" s="299"/>
      <c r="DT284" s="93"/>
      <c r="DU284" s="93"/>
      <c r="DV284" s="93"/>
      <c r="DW284" s="93"/>
      <c r="DX284" s="79"/>
    </row>
    <row r="285" spans="1:130">
      <c r="A285" s="51"/>
      <c r="B285" s="51"/>
      <c r="C285" s="51"/>
      <c r="D285" s="52"/>
      <c r="E285" s="52"/>
      <c r="F285" s="299"/>
      <c r="G285" s="295"/>
      <c r="H285" s="51"/>
      <c r="I285" s="299"/>
      <c r="J285" s="295"/>
      <c r="K285" s="51"/>
      <c r="L285" s="92"/>
      <c r="M285" s="51"/>
      <c r="N285" s="51"/>
      <c r="O285" s="51"/>
      <c r="P285" s="82"/>
      <c r="Q285" s="699"/>
      <c r="R285" s="93"/>
      <c r="S285" s="93"/>
      <c r="T285" s="51"/>
      <c r="U285" s="93"/>
      <c r="V285" s="299"/>
      <c r="W285" s="193"/>
      <c r="X285" s="295"/>
      <c r="Y285" s="299"/>
      <c r="Z285" s="93"/>
      <c r="AA285" s="52"/>
      <c r="AB285" s="52"/>
      <c r="AC285" s="93"/>
      <c r="AD285" s="93"/>
      <c r="AE285" s="93"/>
      <c r="AF285" s="79"/>
      <c r="AG285" s="51"/>
      <c r="AH285" s="51"/>
      <c r="AI285" s="51"/>
      <c r="AJ285" s="51"/>
      <c r="AK285" s="51"/>
      <c r="AL285" s="92"/>
      <c r="AM285" s="92"/>
      <c r="AN285" s="295"/>
      <c r="AO285" s="193"/>
      <c r="AP285" s="51"/>
      <c r="AQ285" s="51"/>
      <c r="AR285" s="92"/>
      <c r="AS285" s="51"/>
      <c r="AT285" s="51"/>
      <c r="AU285" s="51"/>
      <c r="AV285" s="82"/>
      <c r="AW285" s="699"/>
      <c r="AX285" s="93"/>
      <c r="AY285" s="93"/>
      <c r="AZ285" s="51"/>
      <c r="BA285" s="52"/>
      <c r="BB285" s="52"/>
      <c r="BC285" s="299"/>
      <c r="BD285" s="193"/>
      <c r="BE285" s="193"/>
      <c r="BF285" s="193"/>
      <c r="BG285" s="92"/>
      <c r="BH285" s="51"/>
      <c r="BI285" s="51"/>
      <c r="BJ285" s="51"/>
      <c r="BK285" s="51"/>
      <c r="BL285" s="82"/>
      <c r="BM285" s="51"/>
      <c r="BN285" s="51"/>
      <c r="BO285" s="51"/>
      <c r="BP285" s="51"/>
      <c r="BQ285" s="52"/>
      <c r="BR285" s="52"/>
      <c r="BS285" s="295"/>
      <c r="BT285" s="193"/>
      <c r="BU285" s="51"/>
      <c r="BV285" s="295"/>
      <c r="BW285" s="193"/>
      <c r="BX285" s="51"/>
      <c r="BY285" s="92"/>
      <c r="BZ285" s="51"/>
      <c r="CA285" s="51"/>
      <c r="CB285" s="51"/>
      <c r="CC285" s="699"/>
      <c r="CD285" s="93"/>
      <c r="CE285" s="93"/>
      <c r="CF285" s="93"/>
      <c r="CG285" s="93"/>
      <c r="CH285" s="51"/>
      <c r="CI285" s="193"/>
      <c r="CJ285" s="295"/>
      <c r="CK285" s="193"/>
      <c r="CL285" s="299"/>
      <c r="CM285" s="52"/>
      <c r="CN285" s="52"/>
      <c r="CO285" s="93"/>
      <c r="CP285" s="93"/>
      <c r="CQ285" s="93"/>
      <c r="CR285" s="79"/>
      <c r="CS285" s="699"/>
      <c r="CT285" s="93"/>
      <c r="CU285" s="93"/>
      <c r="CV285" s="93"/>
      <c r="CW285" s="93"/>
      <c r="CX285" s="93"/>
      <c r="CY285" s="51"/>
      <c r="CZ285" s="295"/>
      <c r="DA285" s="193"/>
      <c r="DB285" s="92"/>
      <c r="DC285" s="92"/>
      <c r="DD285" s="93"/>
      <c r="DE285" s="93"/>
      <c r="DF285" s="93"/>
      <c r="DG285" s="93"/>
      <c r="DH285" s="79"/>
      <c r="DI285" s="699"/>
      <c r="DJ285" s="93"/>
      <c r="DK285" s="93"/>
      <c r="DL285" s="93"/>
      <c r="DM285" s="93"/>
      <c r="DN285" s="52"/>
      <c r="DO285" s="52"/>
      <c r="DP285" s="299"/>
      <c r="DQ285" s="295"/>
      <c r="DR285" s="193"/>
      <c r="DS285" s="299"/>
      <c r="DT285" s="93"/>
      <c r="DU285" s="93"/>
      <c r="DV285" s="93"/>
      <c r="DW285" s="93"/>
      <c r="DX285" s="79"/>
    </row>
    <row r="286" spans="1:130">
      <c r="A286" s="51"/>
      <c r="B286" s="51"/>
      <c r="C286" s="51"/>
      <c r="D286" s="52"/>
      <c r="E286" s="51"/>
      <c r="F286" s="299"/>
      <c r="G286" s="295"/>
      <c r="H286" s="52"/>
      <c r="I286" s="299"/>
      <c r="J286" s="295"/>
      <c r="K286" s="51"/>
      <c r="L286" s="51"/>
      <c r="M286" s="51"/>
      <c r="N286" s="51"/>
      <c r="O286" s="51"/>
      <c r="P286" s="82"/>
      <c r="Q286" s="699"/>
      <c r="R286" s="93"/>
      <c r="S286" s="93"/>
      <c r="T286" s="51"/>
      <c r="U286" s="93"/>
      <c r="V286" s="193"/>
      <c r="W286" s="295"/>
      <c r="X286" s="295"/>
      <c r="Y286" s="295"/>
      <c r="Z286" s="93"/>
      <c r="AA286" s="52"/>
      <c r="AB286" s="52"/>
      <c r="AC286" s="93"/>
      <c r="AD286" s="93"/>
      <c r="AE286" s="93"/>
      <c r="AF286" s="79"/>
      <c r="AG286" s="51"/>
      <c r="AH286" s="51"/>
      <c r="AI286" s="51"/>
      <c r="AJ286" s="51"/>
      <c r="AK286" s="51"/>
      <c r="AL286" s="92"/>
      <c r="AM286" s="92"/>
      <c r="AN286" s="295"/>
      <c r="AO286" s="193"/>
      <c r="AP286" s="51"/>
      <c r="AQ286" s="51"/>
      <c r="AR286" s="92"/>
      <c r="AS286" s="51"/>
      <c r="AT286" s="51"/>
      <c r="AU286" s="51"/>
      <c r="AV286" s="82"/>
      <c r="AW286" s="699"/>
      <c r="AX286" s="93"/>
      <c r="AY286" s="93"/>
      <c r="AZ286" s="51"/>
      <c r="BA286" s="52"/>
      <c r="BB286" s="51"/>
      <c r="BC286" s="295"/>
      <c r="BD286" s="295"/>
      <c r="BE286" s="193"/>
      <c r="BF286" s="193"/>
      <c r="BG286" s="51"/>
      <c r="BH286" s="51"/>
      <c r="BI286" s="51"/>
      <c r="BJ286" s="51"/>
      <c r="BK286" s="51"/>
      <c r="BL286" s="82"/>
      <c r="BM286" s="51"/>
      <c r="BN286" s="51"/>
      <c r="BO286" s="51"/>
      <c r="BP286" s="51"/>
      <c r="BQ286" s="52"/>
      <c r="BR286" s="51"/>
      <c r="BS286" s="295"/>
      <c r="BT286" s="193"/>
      <c r="BU286" s="52"/>
      <c r="BV286" s="193"/>
      <c r="BW286" s="193"/>
      <c r="BX286" s="51"/>
      <c r="BY286" s="51"/>
      <c r="BZ286" s="51"/>
      <c r="CA286" s="51"/>
      <c r="CB286" s="51"/>
      <c r="CC286" s="699"/>
      <c r="CD286" s="93"/>
      <c r="CE286" s="93"/>
      <c r="CF286" s="93"/>
      <c r="CG286" s="51"/>
      <c r="CH286" s="51"/>
      <c r="CI286" s="193"/>
      <c r="CJ286" s="295"/>
      <c r="CK286" s="193"/>
      <c r="CL286" s="295"/>
      <c r="CM286" s="51"/>
      <c r="CN286" s="52"/>
      <c r="CO286" s="93"/>
      <c r="CP286" s="93"/>
      <c r="CQ286" s="93"/>
      <c r="CR286" s="79"/>
      <c r="CS286" s="699"/>
      <c r="CT286" s="93"/>
      <c r="CU286" s="93"/>
      <c r="CV286" s="93"/>
      <c r="CW286" s="93"/>
      <c r="CX286" s="93"/>
      <c r="CY286" s="51"/>
      <c r="CZ286" s="193"/>
      <c r="DA286" s="193"/>
      <c r="DB286" s="92"/>
      <c r="DC286" s="92"/>
      <c r="DD286" s="93"/>
      <c r="DE286" s="93"/>
      <c r="DF286" s="93"/>
      <c r="DG286" s="93"/>
      <c r="DH286" s="79"/>
      <c r="DI286" s="699"/>
      <c r="DJ286" s="93"/>
      <c r="DK286" s="93"/>
      <c r="DL286" s="93"/>
      <c r="DM286" s="52"/>
      <c r="DN286" s="52"/>
      <c r="DO286" s="93"/>
      <c r="DP286" s="295"/>
      <c r="DQ286" s="295"/>
      <c r="DR286" s="295"/>
      <c r="DS286" s="193"/>
      <c r="DT286" s="93"/>
      <c r="DU286" s="93"/>
      <c r="DV286" s="93"/>
      <c r="DW286" s="93"/>
      <c r="DX286" s="79"/>
    </row>
    <row r="287" spans="1:130">
      <c r="A287" s="51"/>
      <c r="B287" s="51"/>
      <c r="C287" s="51"/>
      <c r="D287" s="51"/>
      <c r="E287" s="297"/>
      <c r="F287" s="295"/>
      <c r="G287" s="295"/>
      <c r="H287" s="51"/>
      <c r="I287" s="295"/>
      <c r="J287" s="295"/>
      <c r="K287" s="291"/>
      <c r="L287" s="51"/>
      <c r="M287" s="51"/>
      <c r="N287" s="51"/>
      <c r="O287" s="51"/>
      <c r="P287" s="82"/>
      <c r="Q287" s="699"/>
      <c r="R287" s="93"/>
      <c r="S287" s="93"/>
      <c r="T287" s="51"/>
      <c r="U287" s="295"/>
      <c r="V287" s="193"/>
      <c r="W287" s="193"/>
      <c r="X287" s="193"/>
      <c r="Y287" s="295"/>
      <c r="Z287" s="93"/>
      <c r="AA287" s="51"/>
      <c r="AB287" s="51"/>
      <c r="AC287" s="93"/>
      <c r="AD287" s="93"/>
      <c r="AE287" s="93"/>
      <c r="AF287" s="79"/>
      <c r="AG287" s="51"/>
      <c r="AH287" s="51"/>
      <c r="AI287" s="51"/>
      <c r="AJ287" s="51"/>
      <c r="AK287" s="51"/>
      <c r="AL287" s="293"/>
      <c r="AM287" s="292"/>
      <c r="AN287" s="291"/>
      <c r="AO287" s="291"/>
      <c r="AP287" s="51"/>
      <c r="AQ287" s="51"/>
      <c r="AR287" s="92"/>
      <c r="AS287" s="51"/>
      <c r="AT287" s="51"/>
      <c r="AU287" s="51"/>
      <c r="AV287" s="82"/>
      <c r="AW287" s="699"/>
      <c r="AX287" s="93"/>
      <c r="AY287" s="93"/>
      <c r="AZ287" s="51"/>
      <c r="BA287" s="51"/>
      <c r="BB287" s="297"/>
      <c r="BC287" s="295"/>
      <c r="BD287" s="193"/>
      <c r="BE287" s="193"/>
      <c r="BF287" s="291"/>
      <c r="BG287" s="51"/>
      <c r="BH287" s="51"/>
      <c r="BI287" s="51"/>
      <c r="BJ287" s="51"/>
      <c r="BK287" s="51"/>
      <c r="BL287" s="82"/>
      <c r="BM287" s="51"/>
      <c r="BN287" s="51"/>
      <c r="BO287" s="51"/>
      <c r="BP287" s="51"/>
      <c r="BQ287" s="51"/>
      <c r="BR287" s="297"/>
      <c r="BS287" s="295"/>
      <c r="BT287" s="193"/>
      <c r="BU287" s="51"/>
      <c r="BV287" s="295"/>
      <c r="BW287" s="295"/>
      <c r="BX287" s="291"/>
      <c r="BY287" s="51"/>
      <c r="BZ287" s="51"/>
      <c r="CA287" s="51"/>
      <c r="CB287" s="51"/>
      <c r="CC287" s="699"/>
      <c r="CD287" s="93"/>
      <c r="CE287" s="93"/>
      <c r="CF287" s="93"/>
      <c r="CG287" s="51"/>
      <c r="CH287" s="51"/>
      <c r="CI287" s="291"/>
      <c r="CJ287" s="193"/>
      <c r="CK287" s="193"/>
      <c r="CL287" s="295"/>
      <c r="CM287" s="297"/>
      <c r="CN287" s="51"/>
      <c r="CO287" s="93"/>
      <c r="CP287" s="93"/>
      <c r="CQ287" s="93"/>
      <c r="CR287" s="79"/>
      <c r="CS287" s="699"/>
      <c r="CT287" s="93"/>
      <c r="CU287" s="93"/>
      <c r="CV287" s="93"/>
      <c r="CW287" s="93"/>
      <c r="CX287" s="93"/>
      <c r="CY287" s="51"/>
      <c r="CZ287" s="291"/>
      <c r="DA287" s="291"/>
      <c r="DB287" s="292"/>
      <c r="DC287" s="293"/>
      <c r="DD287" s="93"/>
      <c r="DE287" s="93"/>
      <c r="DF287" s="93"/>
      <c r="DG287" s="93"/>
      <c r="DH287" s="79"/>
      <c r="DI287" s="699"/>
      <c r="DJ287" s="93"/>
      <c r="DK287" s="93"/>
      <c r="DL287" s="93"/>
      <c r="DM287" s="51"/>
      <c r="DN287" s="51"/>
      <c r="DO287" s="93"/>
      <c r="DP287" s="295"/>
      <c r="DQ287" s="193"/>
      <c r="DR287" s="193"/>
      <c r="DS287" s="193"/>
      <c r="DT287" s="295"/>
      <c r="DU287" s="93"/>
      <c r="DV287" s="93"/>
      <c r="DW287" s="93"/>
      <c r="DX287" s="79"/>
    </row>
    <row r="288" spans="1:130">
      <c r="A288" s="106"/>
      <c r="B288" s="106"/>
      <c r="C288" s="106"/>
      <c r="D288" s="106"/>
      <c r="E288" s="48"/>
      <c r="F288" s="160"/>
      <c r="G288" s="160"/>
      <c r="H288" s="103"/>
      <c r="I288" s="160"/>
      <c r="J288" s="160"/>
      <c r="K288" s="48"/>
      <c r="L288" s="103"/>
      <c r="M288" s="103"/>
      <c r="N288" s="103"/>
      <c r="O288" s="103"/>
      <c r="P288" s="116"/>
      <c r="Q288" s="700"/>
      <c r="R288" s="73"/>
      <c r="S288" s="73"/>
      <c r="T288" s="103"/>
      <c r="U288" s="160"/>
      <c r="V288" s="160"/>
      <c r="W288" s="291"/>
      <c r="X288" s="160"/>
      <c r="Y288" s="160"/>
      <c r="Z288" s="93"/>
      <c r="AA288" s="106"/>
      <c r="AB288" s="106"/>
      <c r="AC288" s="73"/>
      <c r="AD288" s="73"/>
      <c r="AE288" s="73"/>
      <c r="AF288" s="701"/>
      <c r="AG288" s="106"/>
      <c r="AH288" s="106"/>
      <c r="AI288" s="106"/>
      <c r="AJ288" s="106"/>
      <c r="AK288" s="106"/>
      <c r="AL288" s="291"/>
      <c r="AM288" s="160"/>
      <c r="AN288" s="160"/>
      <c r="AO288" s="160"/>
      <c r="AP288" s="106"/>
      <c r="AQ288" s="106"/>
      <c r="AR288" s="103"/>
      <c r="AS288" s="106"/>
      <c r="AT288" s="106"/>
      <c r="AU288" s="106"/>
      <c r="AV288" s="394"/>
      <c r="AW288" s="700"/>
      <c r="AX288" s="73"/>
      <c r="AY288" s="73"/>
      <c r="AZ288" s="106"/>
      <c r="BA288" s="106"/>
      <c r="BB288" s="291"/>
      <c r="BC288" s="160"/>
      <c r="BD288" s="160"/>
      <c r="BE288" s="291"/>
      <c r="BF288" s="160"/>
      <c r="BG288" s="103"/>
      <c r="BH288" s="103"/>
      <c r="BI288" s="103"/>
      <c r="BJ288" s="103"/>
      <c r="BK288" s="103"/>
      <c r="BL288" s="116"/>
      <c r="BM288" s="106"/>
      <c r="BN288" s="106"/>
      <c r="BO288" s="106"/>
      <c r="BP288" s="106"/>
      <c r="BQ288" s="106"/>
      <c r="BR288" s="291"/>
      <c r="BS288" s="160"/>
      <c r="BT288" s="160"/>
      <c r="BU288" s="103"/>
      <c r="BV288" s="291"/>
      <c r="BW288" s="160"/>
      <c r="BX288" s="160"/>
      <c r="BY288" s="103"/>
      <c r="BZ288" s="103"/>
      <c r="CA288" s="103"/>
      <c r="CB288" s="103"/>
      <c r="CC288" s="699"/>
      <c r="CD288" s="93"/>
      <c r="CE288" s="93"/>
      <c r="CF288" s="93"/>
      <c r="CG288" s="92"/>
      <c r="CH288" s="92"/>
      <c r="CI288" s="160"/>
      <c r="CJ288" s="160"/>
      <c r="CK288" s="291"/>
      <c r="CL288" s="160"/>
      <c r="CM288" s="291"/>
      <c r="CN288" s="51"/>
      <c r="CO288" s="93"/>
      <c r="CP288" s="93"/>
      <c r="CQ288" s="93"/>
      <c r="CR288" s="79"/>
      <c r="CS288" s="699"/>
      <c r="CT288" s="93"/>
      <c r="CU288" s="93"/>
      <c r="CV288" s="93"/>
      <c r="CW288" s="93"/>
      <c r="CX288" s="93"/>
      <c r="CY288" s="51"/>
      <c r="CZ288" s="160"/>
      <c r="DA288" s="160"/>
      <c r="DB288" s="160"/>
      <c r="DC288" s="291"/>
      <c r="DD288" s="93"/>
      <c r="DE288" s="93"/>
      <c r="DF288" s="93"/>
      <c r="DG288" s="93"/>
      <c r="DH288" s="79"/>
      <c r="DI288" s="699"/>
      <c r="DJ288" s="93"/>
      <c r="DK288" s="93"/>
      <c r="DL288" s="93"/>
      <c r="DM288" s="51"/>
      <c r="DN288" s="51"/>
      <c r="DO288" s="93"/>
      <c r="DP288" s="160"/>
      <c r="DQ288" s="160"/>
      <c r="DR288" s="291"/>
      <c r="DS288" s="160"/>
      <c r="DT288" s="160"/>
      <c r="DU288" s="93"/>
      <c r="DV288" s="93"/>
      <c r="DW288" s="93"/>
      <c r="DX288" s="79"/>
    </row>
    <row r="289" spans="1:129">
      <c r="A289" s="114"/>
      <c r="B289" s="51" t="s">
        <v>762</v>
      </c>
      <c r="C289" s="51"/>
      <c r="D289" s="51"/>
      <c r="E289" s="51"/>
      <c r="F289" s="92"/>
      <c r="G289" s="92"/>
      <c r="H289" s="51"/>
      <c r="I289" s="51"/>
      <c r="J289" s="51"/>
      <c r="K289" s="51"/>
      <c r="L289" s="92"/>
      <c r="M289" s="51"/>
      <c r="N289" s="51"/>
      <c r="O289" s="51"/>
      <c r="P289" s="82"/>
      <c r="Q289" s="753"/>
      <c r="R289" s="711"/>
      <c r="S289" s="711"/>
      <c r="T289" s="711"/>
      <c r="U289" s="711"/>
      <c r="V289" s="711"/>
      <c r="W289" s="711"/>
      <c r="X289" s="711"/>
      <c r="Y289" s="711"/>
      <c r="Z289" s="711"/>
      <c r="AA289" s="711"/>
      <c r="AB289" s="711"/>
      <c r="AC289" s="711"/>
      <c r="AD289" s="711"/>
      <c r="AE289" s="711"/>
      <c r="AF289" s="530"/>
      <c r="AG289" s="51"/>
      <c r="AH289" s="51"/>
      <c r="AI289" s="51"/>
      <c r="AJ289" s="51"/>
      <c r="AK289" s="51"/>
      <c r="AL289" s="92"/>
      <c r="AM289" s="92"/>
      <c r="AN289" s="51"/>
      <c r="AO289" s="51"/>
      <c r="AP289" s="51"/>
      <c r="AQ289" s="51"/>
      <c r="AR289" s="92"/>
      <c r="AS289" s="51"/>
      <c r="AT289" s="51"/>
      <c r="AU289" s="51"/>
      <c r="AV289" s="82"/>
      <c r="AW289" s="753"/>
      <c r="AX289" s="711"/>
      <c r="AY289" s="711"/>
      <c r="AZ289" s="711"/>
      <c r="BA289" s="711"/>
      <c r="BB289" s="711"/>
      <c r="BC289" s="711"/>
      <c r="BD289" s="711"/>
      <c r="BE289" s="711"/>
      <c r="BF289" s="711"/>
      <c r="BG289" s="711"/>
      <c r="BH289" s="711"/>
      <c r="BI289" s="711"/>
      <c r="BJ289" s="711"/>
      <c r="BK289" s="711"/>
      <c r="BL289" s="530"/>
      <c r="BM289" s="51"/>
      <c r="BN289" s="51"/>
      <c r="BO289" s="51"/>
      <c r="BP289" s="51"/>
      <c r="BQ289" s="51"/>
      <c r="BR289" s="92"/>
      <c r="BS289" s="92"/>
      <c r="BT289" s="51"/>
      <c r="BU289" s="51"/>
      <c r="BV289" s="51"/>
      <c r="BW289" s="51"/>
      <c r="BX289" s="92"/>
      <c r="BY289" s="51"/>
      <c r="BZ289" s="51"/>
      <c r="CA289" s="51"/>
      <c r="CB289" s="70"/>
      <c r="CC289" s="753"/>
      <c r="CD289" s="711"/>
      <c r="CE289" s="711"/>
      <c r="CF289" s="711"/>
      <c r="CG289" s="711"/>
      <c r="CH289" s="711"/>
      <c r="CI289" s="711"/>
      <c r="CJ289" s="711"/>
      <c r="CK289" s="711"/>
      <c r="CL289" s="711"/>
      <c r="CM289" s="711"/>
      <c r="CN289" s="711"/>
      <c r="CO289" s="711"/>
      <c r="CP289" s="711"/>
      <c r="CQ289" s="711"/>
      <c r="CR289" s="711"/>
      <c r="CS289" s="753"/>
      <c r="CT289" s="711"/>
      <c r="CU289" s="711"/>
      <c r="CV289" s="110"/>
      <c r="CW289" s="109"/>
      <c r="CX289" s="109"/>
      <c r="CY289" s="109"/>
      <c r="CZ289" s="109"/>
      <c r="DA289" s="110"/>
      <c r="DB289" s="110"/>
      <c r="DC289" s="109"/>
      <c r="DD289" s="109"/>
      <c r="DE289" s="109"/>
      <c r="DF289" s="711"/>
      <c r="DG289" s="711"/>
      <c r="DH289" s="711"/>
      <c r="DI289" s="753"/>
      <c r="DJ289" s="711"/>
      <c r="DK289" s="711"/>
      <c r="DL289" s="711"/>
      <c r="DM289" s="711"/>
      <c r="DN289" s="711"/>
      <c r="DO289" s="711"/>
      <c r="DP289" s="711"/>
      <c r="DQ289" s="711"/>
      <c r="DR289" s="711"/>
      <c r="DS289" s="711"/>
      <c r="DT289" s="711"/>
      <c r="DU289" s="711"/>
      <c r="DV289" s="711"/>
      <c r="DW289" s="711"/>
      <c r="DX289" s="530"/>
      <c r="DY289" s="93"/>
    </row>
    <row r="290" spans="1:129">
      <c r="A290" s="92"/>
      <c r="B290" s="92"/>
      <c r="C290" s="92"/>
      <c r="D290" s="92"/>
      <c r="E290" s="92"/>
      <c r="F290" s="92"/>
      <c r="G290" s="92"/>
      <c r="H290" s="92"/>
      <c r="I290" s="92"/>
      <c r="J290" s="92"/>
      <c r="K290" s="92"/>
      <c r="L290" s="92"/>
      <c r="M290" s="92"/>
      <c r="N290" s="92"/>
      <c r="O290" s="92"/>
      <c r="P290" s="113"/>
      <c r="Q290" s="699"/>
      <c r="R290" s="93"/>
      <c r="S290" s="93"/>
      <c r="T290" s="93"/>
      <c r="U290" s="93"/>
      <c r="V290" s="93"/>
      <c r="W290" s="93"/>
      <c r="X290" s="93"/>
      <c r="Y290" s="93"/>
      <c r="Z290" s="93"/>
      <c r="AA290" s="93"/>
      <c r="AB290" s="93"/>
      <c r="AC290" s="93"/>
      <c r="AD290" s="93"/>
      <c r="AE290" s="93"/>
      <c r="AF290" s="79"/>
      <c r="AG290" s="51"/>
      <c r="AH290" s="51"/>
      <c r="AI290" s="51"/>
      <c r="AJ290" s="51"/>
      <c r="AK290" s="51"/>
      <c r="AL290" s="92"/>
      <c r="AM290" s="92"/>
      <c r="AN290" s="51"/>
      <c r="AO290" s="51"/>
      <c r="AP290" s="51"/>
      <c r="AQ290" s="51"/>
      <c r="AR290" s="92"/>
      <c r="AS290" s="51"/>
      <c r="AT290" s="51"/>
      <c r="AU290" s="51"/>
      <c r="AV290" s="82"/>
      <c r="AW290" s="699"/>
      <c r="AX290" s="93"/>
      <c r="AY290" s="93"/>
      <c r="AZ290" s="93"/>
      <c r="BA290" s="93"/>
      <c r="BB290" s="93"/>
      <c r="BC290" s="93"/>
      <c r="BD290" s="93"/>
      <c r="BE290" s="93"/>
      <c r="BF290" s="93"/>
      <c r="BG290" s="93"/>
      <c r="BH290" s="93"/>
      <c r="BI290" s="93"/>
      <c r="BJ290" s="93"/>
      <c r="BK290" s="93"/>
      <c r="BL290" s="79"/>
      <c r="BM290" s="92"/>
      <c r="BN290" s="92"/>
      <c r="BO290" s="92"/>
      <c r="BP290" s="92"/>
      <c r="BQ290" s="92"/>
      <c r="BR290" s="92"/>
      <c r="BS290" s="92"/>
      <c r="BT290" s="92"/>
      <c r="BU290" s="92"/>
      <c r="BV290" s="92"/>
      <c r="BW290" s="92"/>
      <c r="BX290" s="92"/>
      <c r="BY290" s="92"/>
      <c r="BZ290" s="92"/>
      <c r="CA290" s="92"/>
      <c r="CB290" s="117"/>
      <c r="CC290" s="699"/>
      <c r="CD290" s="93"/>
      <c r="CE290" s="93"/>
      <c r="CF290" s="93"/>
      <c r="CG290" s="93"/>
      <c r="CH290" s="93"/>
      <c r="CI290" s="93"/>
      <c r="CJ290" s="93"/>
      <c r="CK290" s="93"/>
      <c r="CL290" s="93"/>
      <c r="CM290" s="93"/>
      <c r="CN290" s="93"/>
      <c r="CO290" s="93"/>
      <c r="CP290" s="93"/>
      <c r="CQ290" s="93"/>
      <c r="CR290" s="93"/>
      <c r="CS290" s="699"/>
      <c r="CT290" s="93"/>
      <c r="CU290" s="93"/>
      <c r="CV290" s="92"/>
      <c r="CW290" s="51"/>
      <c r="CX290" s="51"/>
      <c r="CY290" s="51"/>
      <c r="CZ290" s="51"/>
      <c r="DA290" s="92"/>
      <c r="DB290" s="92"/>
      <c r="DC290" s="51"/>
      <c r="DD290" s="51"/>
      <c r="DE290" s="51"/>
      <c r="DF290" s="93"/>
      <c r="DG290" s="93"/>
      <c r="DH290" s="93"/>
      <c r="DI290" s="699"/>
      <c r="DJ290" s="93"/>
      <c r="DK290" s="93"/>
      <c r="DL290" s="93"/>
      <c r="DM290" s="93"/>
      <c r="DN290" s="93"/>
      <c r="DO290" s="93"/>
      <c r="DP290" s="93"/>
      <c r="DQ290" s="93"/>
      <c r="DR290" s="93"/>
      <c r="DS290" s="93"/>
      <c r="DT290" s="93"/>
      <c r="DU290" s="93"/>
      <c r="DV290" s="93"/>
      <c r="DW290" s="93"/>
      <c r="DX290" s="79"/>
      <c r="DY290" s="93"/>
    </row>
    <row r="291" spans="1:129">
      <c r="A291" s="51"/>
      <c r="B291" s="92"/>
      <c r="C291" s="92"/>
      <c r="D291" s="92"/>
      <c r="E291" s="51"/>
      <c r="F291" s="92"/>
      <c r="G291" s="92"/>
      <c r="H291" s="92"/>
      <c r="I291" s="92"/>
      <c r="J291" s="92"/>
      <c r="K291" s="92"/>
      <c r="L291" s="92"/>
      <c r="M291" s="92"/>
      <c r="N291" s="92"/>
      <c r="O291" s="92"/>
      <c r="P291" s="113"/>
      <c r="Q291" s="699"/>
      <c r="R291" s="93"/>
      <c r="S291" s="93"/>
      <c r="T291" s="93"/>
      <c r="U291" s="93"/>
      <c r="V291" s="93"/>
      <c r="W291" s="93"/>
      <c r="X291" s="93"/>
      <c r="Y291" s="93"/>
      <c r="Z291" s="93"/>
      <c r="AA291" s="93"/>
      <c r="AB291" s="93"/>
      <c r="AC291" s="93"/>
      <c r="AD291" s="93"/>
      <c r="AE291" s="93"/>
      <c r="AF291" s="79"/>
      <c r="AG291" s="51"/>
      <c r="AH291" s="51"/>
      <c r="AI291" s="51"/>
      <c r="AJ291" s="51"/>
      <c r="AK291" s="51"/>
      <c r="AL291" s="92"/>
      <c r="AM291" s="92"/>
      <c r="AN291" s="51"/>
      <c r="AO291" s="51"/>
      <c r="AP291" s="51"/>
      <c r="AQ291" s="51"/>
      <c r="AR291" s="92"/>
      <c r="AS291" s="51"/>
      <c r="AT291" s="51"/>
      <c r="AU291" s="51"/>
      <c r="AV291" s="82"/>
      <c r="AW291" s="699"/>
      <c r="AX291" s="93"/>
      <c r="AY291" s="93"/>
      <c r="AZ291" s="93"/>
      <c r="BA291" s="93"/>
      <c r="BB291" s="93"/>
      <c r="BC291" s="93"/>
      <c r="BD291" s="93"/>
      <c r="BE291" s="93"/>
      <c r="BF291" s="93"/>
      <c r="BG291" s="93"/>
      <c r="BH291" s="93"/>
      <c r="BI291" s="93"/>
      <c r="BJ291" s="93"/>
      <c r="BK291" s="93"/>
      <c r="BL291" s="79"/>
      <c r="BM291" s="51"/>
      <c r="BN291" s="92"/>
      <c r="BO291" s="92"/>
      <c r="BP291" s="92"/>
      <c r="BQ291" s="51"/>
      <c r="BR291" s="92"/>
      <c r="BS291" s="92"/>
      <c r="BT291" s="92"/>
      <c r="BU291" s="92"/>
      <c r="BV291" s="92"/>
      <c r="BW291" s="92"/>
      <c r="BX291" s="92"/>
      <c r="BY291" s="92"/>
      <c r="BZ291" s="92"/>
      <c r="CA291" s="92"/>
      <c r="CB291" s="117"/>
      <c r="CC291" s="699"/>
      <c r="CD291" s="93"/>
      <c r="CE291" s="93"/>
      <c r="CF291" s="93"/>
      <c r="CG291" s="93"/>
      <c r="CH291" s="93"/>
      <c r="CI291" s="93"/>
      <c r="CJ291" s="93"/>
      <c r="CK291" s="93"/>
      <c r="CL291" s="93"/>
      <c r="CM291" s="93"/>
      <c r="CN291" s="93"/>
      <c r="CO291" s="93"/>
      <c r="CP291" s="93"/>
      <c r="CQ291" s="93"/>
      <c r="CR291" s="93"/>
      <c r="CS291" s="699"/>
      <c r="CT291" s="93"/>
      <c r="CU291" s="93"/>
      <c r="CV291" s="92"/>
      <c r="CW291" s="51"/>
      <c r="CX291" s="51"/>
      <c r="CY291" s="51"/>
      <c r="CZ291" s="51"/>
      <c r="DA291" s="92"/>
      <c r="DB291" s="92"/>
      <c r="DC291" s="51"/>
      <c r="DD291" s="51"/>
      <c r="DE291" s="51"/>
      <c r="DF291" s="93"/>
      <c r="DG291" s="93"/>
      <c r="DH291" s="93"/>
      <c r="DI291" s="699"/>
      <c r="DJ291" s="93"/>
      <c r="DK291" s="93"/>
      <c r="DL291" s="93"/>
      <c r="DM291" s="93"/>
      <c r="DN291" s="93"/>
      <c r="DO291" s="93"/>
      <c r="DP291" s="93"/>
      <c r="DQ291" s="93"/>
      <c r="DR291" s="93"/>
      <c r="DS291" s="93"/>
      <c r="DT291" s="93"/>
      <c r="DU291" s="93"/>
      <c r="DV291" s="93"/>
      <c r="DW291" s="93"/>
      <c r="DX291" s="79"/>
      <c r="DY291" s="93"/>
    </row>
    <row r="292" spans="1:129">
      <c r="A292" s="92"/>
      <c r="B292" s="92"/>
      <c r="C292" s="92"/>
      <c r="D292" s="92"/>
      <c r="E292" s="51"/>
      <c r="F292" s="92"/>
      <c r="G292" s="92"/>
      <c r="H292" s="92"/>
      <c r="I292" s="92"/>
      <c r="J292" s="92"/>
      <c r="K292" s="92"/>
      <c r="L292" s="92"/>
      <c r="M292" s="92"/>
      <c r="N292" s="92"/>
      <c r="O292" s="92"/>
      <c r="P292" s="113"/>
      <c r="Q292" s="699"/>
      <c r="R292" s="93"/>
      <c r="S292" s="93"/>
      <c r="T292" s="93"/>
      <c r="U292" s="93"/>
      <c r="V292" s="93"/>
      <c r="W292" s="93"/>
      <c r="X292" s="93"/>
      <c r="Y292" s="93"/>
      <c r="Z292" s="93"/>
      <c r="AA292" s="93"/>
      <c r="AB292" s="93"/>
      <c r="AC292" s="93"/>
      <c r="AD292" s="93"/>
      <c r="AE292" s="93"/>
      <c r="AF292" s="79"/>
      <c r="AG292" s="51"/>
      <c r="AH292" s="51"/>
      <c r="AI292" s="51"/>
      <c r="AJ292" s="51"/>
      <c r="AK292" s="51"/>
      <c r="AL292" s="92"/>
      <c r="AM292" s="92"/>
      <c r="AN292" s="51"/>
      <c r="AO292" s="51"/>
      <c r="AP292" s="51"/>
      <c r="AQ292" s="51"/>
      <c r="AR292" s="92"/>
      <c r="AS292" s="51"/>
      <c r="AT292" s="51"/>
      <c r="AU292" s="51"/>
      <c r="AV292" s="82"/>
      <c r="AW292" s="699"/>
      <c r="AX292" s="93"/>
      <c r="AY292" s="93"/>
      <c r="AZ292" s="93"/>
      <c r="BA292" s="93"/>
      <c r="BB292" s="93"/>
      <c r="BC292" s="93"/>
      <c r="BD292" s="93"/>
      <c r="BE292" s="93"/>
      <c r="BF292" s="93"/>
      <c r="BG292" s="93"/>
      <c r="BH292" s="93"/>
      <c r="BI292" s="93"/>
      <c r="BJ292" s="93"/>
      <c r="BK292" s="93"/>
      <c r="BL292" s="79"/>
      <c r="BM292" s="92"/>
      <c r="BN292" s="92"/>
      <c r="BO292" s="92"/>
      <c r="BP292" s="92"/>
      <c r="BQ292" s="51"/>
      <c r="BR292" s="92"/>
      <c r="BS292" s="92"/>
      <c r="BT292" s="92"/>
      <c r="BU292" s="92"/>
      <c r="BV292" s="92"/>
      <c r="BW292" s="92"/>
      <c r="BX292" s="92"/>
      <c r="BY292" s="92"/>
      <c r="BZ292" s="92"/>
      <c r="CA292" s="92"/>
      <c r="CB292" s="117"/>
      <c r="CC292" s="699"/>
      <c r="CD292" s="93"/>
      <c r="CE292" s="93"/>
      <c r="CF292" s="93"/>
      <c r="CG292" s="93"/>
      <c r="CH292" s="93"/>
      <c r="CI292" s="93"/>
      <c r="CJ292" s="93"/>
      <c r="CK292" s="93"/>
      <c r="CL292" s="93"/>
      <c r="CM292" s="93"/>
      <c r="CN292" s="93"/>
      <c r="CO292" s="93"/>
      <c r="CP292" s="93"/>
      <c r="CQ292" s="93"/>
      <c r="CR292" s="93"/>
      <c r="CS292" s="699"/>
      <c r="CT292" s="93"/>
      <c r="CU292" s="93"/>
      <c r="CV292" s="92"/>
      <c r="CW292" s="51"/>
      <c r="CX292" s="51"/>
      <c r="CY292" s="51"/>
      <c r="CZ292" s="51"/>
      <c r="DA292" s="92"/>
      <c r="DB292" s="92"/>
      <c r="DC292" s="51"/>
      <c r="DD292" s="51"/>
      <c r="DE292" s="51"/>
      <c r="DF292" s="93"/>
      <c r="DG292" s="93"/>
      <c r="DH292" s="93"/>
      <c r="DI292" s="699"/>
      <c r="DJ292" s="93"/>
      <c r="DK292" s="93"/>
      <c r="DL292" s="93"/>
      <c r="DM292" s="93"/>
      <c r="DN292" s="93"/>
      <c r="DO292" s="93"/>
      <c r="DP292" s="93"/>
      <c r="DQ292" s="93"/>
      <c r="DR292" s="93"/>
      <c r="DS292" s="93"/>
      <c r="DT292" s="93"/>
      <c r="DU292" s="93"/>
      <c r="DV292" s="93"/>
      <c r="DW292" s="93"/>
      <c r="DX292" s="79"/>
      <c r="DY292" s="93"/>
    </row>
    <row r="293" spans="1:129">
      <c r="A293" s="51"/>
      <c r="B293" s="92"/>
      <c r="C293" s="92"/>
      <c r="D293" s="92"/>
      <c r="E293" s="51"/>
      <c r="F293" s="92"/>
      <c r="G293" s="92"/>
      <c r="H293" s="92"/>
      <c r="I293" s="92"/>
      <c r="J293" s="92"/>
      <c r="K293" s="92"/>
      <c r="L293" s="92"/>
      <c r="M293" s="92"/>
      <c r="N293" s="92"/>
      <c r="O293" s="92"/>
      <c r="P293" s="113"/>
      <c r="Q293" s="699"/>
      <c r="R293" s="93"/>
      <c r="S293" s="93"/>
      <c r="T293" s="93"/>
      <c r="U293" s="93"/>
      <c r="V293" s="93"/>
      <c r="W293" s="93"/>
      <c r="X293" s="93"/>
      <c r="Y293" s="93"/>
      <c r="Z293" s="93"/>
      <c r="AA293" s="93"/>
      <c r="AB293" s="93"/>
      <c r="AC293" s="93"/>
      <c r="AD293" s="93"/>
      <c r="AE293" s="93"/>
      <c r="AF293" s="79"/>
      <c r="AG293" s="51"/>
      <c r="AH293" s="51"/>
      <c r="AI293" s="51"/>
      <c r="AJ293" s="51"/>
      <c r="AK293" s="51"/>
      <c r="AL293" s="92"/>
      <c r="AM293" s="92"/>
      <c r="AN293" s="51"/>
      <c r="AO293" s="51"/>
      <c r="AP293" s="51"/>
      <c r="AQ293" s="51"/>
      <c r="AR293" s="92"/>
      <c r="AS293" s="51"/>
      <c r="AT293" s="51"/>
      <c r="AU293" s="51"/>
      <c r="AV293" s="82"/>
      <c r="AW293" s="699"/>
      <c r="AX293" s="93"/>
      <c r="AY293" s="93"/>
      <c r="AZ293" s="93"/>
      <c r="BA293" s="93"/>
      <c r="BB293" s="93"/>
      <c r="BC293" s="93"/>
      <c r="BD293" s="93"/>
      <c r="BE293" s="93"/>
      <c r="BF293" s="93"/>
      <c r="BG293" s="93"/>
      <c r="BH293" s="93"/>
      <c r="BI293" s="93"/>
      <c r="BJ293" s="93"/>
      <c r="BK293" s="93"/>
      <c r="BL293" s="79"/>
      <c r="BM293" s="51"/>
      <c r="BN293" s="92"/>
      <c r="BO293" s="92"/>
      <c r="BP293" s="92"/>
      <c r="BQ293" s="51"/>
      <c r="BR293" s="92"/>
      <c r="BS293" s="92"/>
      <c r="BT293" s="92"/>
      <c r="BU293" s="92"/>
      <c r="BV293" s="92"/>
      <c r="BW293" s="92"/>
      <c r="BX293" s="92"/>
      <c r="BY293" s="92"/>
      <c r="BZ293" s="92"/>
      <c r="CA293" s="92"/>
      <c r="CB293" s="117"/>
      <c r="CC293" s="699"/>
      <c r="CD293" s="93"/>
      <c r="CE293" s="93"/>
      <c r="CF293" s="93"/>
      <c r="CG293" s="93"/>
      <c r="CH293" s="93"/>
      <c r="CI293" s="93"/>
      <c r="CJ293" s="93"/>
      <c r="CK293" s="93"/>
      <c r="CL293" s="93"/>
      <c r="CM293" s="93"/>
      <c r="CN293" s="93"/>
      <c r="CO293" s="93"/>
      <c r="CP293" s="93"/>
      <c r="CQ293" s="93"/>
      <c r="CR293" s="93"/>
      <c r="CS293" s="699"/>
      <c r="CT293" s="93"/>
      <c r="CU293" s="93"/>
      <c r="CV293" s="92"/>
      <c r="CW293" s="51"/>
      <c r="CX293" s="51"/>
      <c r="CY293" s="51"/>
      <c r="CZ293" s="51"/>
      <c r="DA293" s="92"/>
      <c r="DB293" s="92"/>
      <c r="DC293" s="51"/>
      <c r="DD293" s="51"/>
      <c r="DE293" s="51"/>
      <c r="DF293" s="93"/>
      <c r="DG293" s="93"/>
      <c r="DH293" s="93"/>
      <c r="DI293" s="699"/>
      <c r="DJ293" s="93"/>
      <c r="DK293" s="93"/>
      <c r="DL293" s="93"/>
      <c r="DM293" s="93"/>
      <c r="DN293" s="93"/>
      <c r="DO293" s="93"/>
      <c r="DP293" s="93"/>
      <c r="DQ293" s="93"/>
      <c r="DR293" s="93"/>
      <c r="DS293" s="93"/>
      <c r="DT293" s="93"/>
      <c r="DU293" s="93"/>
      <c r="DV293" s="93"/>
      <c r="DW293" s="93"/>
      <c r="DX293" s="79"/>
      <c r="DY293" s="93"/>
    </row>
    <row r="294" spans="1:129">
      <c r="A294" s="51"/>
      <c r="B294" s="51"/>
      <c r="C294" s="51"/>
      <c r="D294" s="51"/>
      <c r="E294" s="51"/>
      <c r="F294" s="51"/>
      <c r="G294" s="51"/>
      <c r="H294" s="51"/>
      <c r="I294" s="51"/>
      <c r="J294" s="51"/>
      <c r="K294" s="51"/>
      <c r="L294" s="51"/>
      <c r="M294" s="51"/>
      <c r="N294" s="51"/>
      <c r="O294" s="51"/>
      <c r="P294" s="82"/>
      <c r="Q294" s="699"/>
      <c r="R294" s="93"/>
      <c r="S294" s="93"/>
      <c r="T294" s="93"/>
      <c r="U294" s="93"/>
      <c r="V294" s="93"/>
      <c r="W294" s="93"/>
      <c r="X294" s="93"/>
      <c r="Y294" s="93"/>
      <c r="Z294" s="93"/>
      <c r="AA294" s="93"/>
      <c r="AB294" s="93"/>
      <c r="AC294" s="93"/>
      <c r="AD294" s="93"/>
      <c r="AE294" s="93"/>
      <c r="AF294" s="79"/>
      <c r="AG294" s="51"/>
      <c r="AH294" s="51"/>
      <c r="AI294" s="51"/>
      <c r="AJ294" s="51"/>
      <c r="AK294" s="51"/>
      <c r="AL294" s="92"/>
      <c r="AM294" s="92"/>
      <c r="AN294" s="51"/>
      <c r="AO294" s="51"/>
      <c r="AP294" s="51"/>
      <c r="AQ294" s="51"/>
      <c r="AR294" s="92"/>
      <c r="AS294" s="51"/>
      <c r="AT294" s="51"/>
      <c r="AU294" s="51"/>
      <c r="AV294" s="82"/>
      <c r="AW294" s="699"/>
      <c r="AX294" s="93"/>
      <c r="AY294" s="93"/>
      <c r="AZ294" s="93"/>
      <c r="BA294" s="93"/>
      <c r="BB294" s="93"/>
      <c r="BC294" s="93"/>
      <c r="BD294" s="93"/>
      <c r="BE294" s="93"/>
      <c r="BF294" s="93"/>
      <c r="BG294" s="93"/>
      <c r="BH294" s="93"/>
      <c r="BI294" s="93"/>
      <c r="BJ294" s="93"/>
      <c r="BK294" s="93"/>
      <c r="BL294" s="79"/>
      <c r="BM294" s="51"/>
      <c r="BN294" s="51"/>
      <c r="BO294" s="51"/>
      <c r="BP294" s="51"/>
      <c r="BQ294" s="51"/>
      <c r="BR294" s="51"/>
      <c r="BS294" s="51"/>
      <c r="BT294" s="51"/>
      <c r="BU294" s="51"/>
      <c r="BV294" s="51"/>
      <c r="BW294" s="51"/>
      <c r="BX294" s="51"/>
      <c r="BY294" s="51"/>
      <c r="BZ294" s="51"/>
      <c r="CA294" s="51"/>
      <c r="CB294" s="70"/>
      <c r="CC294" s="699"/>
      <c r="CD294" s="93"/>
      <c r="CE294" s="93"/>
      <c r="CF294" s="93"/>
      <c r="CG294" s="93"/>
      <c r="CH294" s="93"/>
      <c r="CI294" s="93"/>
      <c r="CJ294" s="93"/>
      <c r="CK294" s="93"/>
      <c r="CL294" s="93"/>
      <c r="CM294" s="93"/>
      <c r="CN294" s="93"/>
      <c r="CO294" s="93"/>
      <c r="CP294" s="93"/>
      <c r="CQ294" s="93"/>
      <c r="CR294" s="93"/>
      <c r="CS294" s="699"/>
      <c r="CT294" s="93"/>
      <c r="CU294" s="93"/>
      <c r="CV294" s="92"/>
      <c r="CW294" s="51"/>
      <c r="CX294" s="51"/>
      <c r="CY294" s="51"/>
      <c r="CZ294" s="51"/>
      <c r="DA294" s="92"/>
      <c r="DB294" s="92"/>
      <c r="DC294" s="51"/>
      <c r="DD294" s="51"/>
      <c r="DE294" s="51"/>
      <c r="DF294" s="93"/>
      <c r="DG294" s="93"/>
      <c r="DH294" s="93"/>
      <c r="DI294" s="699"/>
      <c r="DJ294" s="93"/>
      <c r="DK294" s="93"/>
      <c r="DL294" s="93"/>
      <c r="DM294" s="93"/>
      <c r="DN294" s="93"/>
      <c r="DO294" s="93"/>
      <c r="DP294" s="93"/>
      <c r="DQ294" s="93"/>
      <c r="DR294" s="93"/>
      <c r="DS294" s="93"/>
      <c r="DT294" s="93"/>
      <c r="DU294" s="93"/>
      <c r="DV294" s="93"/>
      <c r="DW294" s="93"/>
      <c r="DX294" s="79"/>
      <c r="DY294" s="93"/>
    </row>
    <row r="295" spans="1:129">
      <c r="A295" s="51"/>
      <c r="B295" s="92"/>
      <c r="C295" s="92"/>
      <c r="D295" s="92"/>
      <c r="E295" s="92"/>
      <c r="F295" s="92"/>
      <c r="G295" s="92"/>
      <c r="H295" s="92"/>
      <c r="I295" s="92"/>
      <c r="J295" s="92"/>
      <c r="K295" s="51"/>
      <c r="L295" s="92"/>
      <c r="M295" s="92"/>
      <c r="N295" s="92"/>
      <c r="O295" s="92"/>
      <c r="P295" s="113"/>
      <c r="Q295" s="699"/>
      <c r="R295" s="93"/>
      <c r="S295" s="93"/>
      <c r="T295" s="93"/>
      <c r="U295" s="93"/>
      <c r="V295" s="93"/>
      <c r="W295" s="93"/>
      <c r="X295" s="93"/>
      <c r="Y295" s="93"/>
      <c r="Z295" s="93"/>
      <c r="AA295" s="93"/>
      <c r="AB295" s="93"/>
      <c r="AC295" s="93"/>
      <c r="AD295" s="93"/>
      <c r="AE295" s="93"/>
      <c r="AF295" s="79"/>
      <c r="AG295" s="51"/>
      <c r="AH295" s="51"/>
      <c r="AI295" s="51"/>
      <c r="AJ295" s="51"/>
      <c r="AK295" s="51"/>
      <c r="AL295" s="92"/>
      <c r="AM295" s="92"/>
      <c r="AN295" s="51"/>
      <c r="AO295" s="51"/>
      <c r="AP295" s="51"/>
      <c r="AQ295" s="51"/>
      <c r="AR295" s="92"/>
      <c r="AS295" s="51"/>
      <c r="AT295" s="51"/>
      <c r="AU295" s="51"/>
      <c r="AV295" s="82"/>
      <c r="AW295" s="699"/>
      <c r="AX295" s="93"/>
      <c r="AY295" s="93"/>
      <c r="AZ295" s="93"/>
      <c r="BA295" s="93"/>
      <c r="BB295" s="93"/>
      <c r="BC295" s="93"/>
      <c r="BD295" s="93"/>
      <c r="BE295" s="93"/>
      <c r="BF295" s="93"/>
      <c r="BG295" s="93"/>
      <c r="BH295" s="93"/>
      <c r="BI295" s="93"/>
      <c r="BJ295" s="93"/>
      <c r="BK295" s="93"/>
      <c r="BL295" s="79"/>
      <c r="BM295" s="51"/>
      <c r="BN295" s="92"/>
      <c r="BO295" s="92"/>
      <c r="BP295" s="92"/>
      <c r="BQ295" s="92"/>
      <c r="BR295" s="92"/>
      <c r="BS295" s="92"/>
      <c r="BT295" s="92"/>
      <c r="BU295" s="92"/>
      <c r="BV295" s="92"/>
      <c r="BW295" s="51"/>
      <c r="BX295" s="92"/>
      <c r="BY295" s="92"/>
      <c r="BZ295" s="92"/>
      <c r="CA295" s="92"/>
      <c r="CB295" s="117"/>
      <c r="CC295" s="699"/>
      <c r="CD295" s="93"/>
      <c r="CE295" s="93"/>
      <c r="CF295" s="93"/>
      <c r="CG295" s="93"/>
      <c r="CH295" s="93"/>
      <c r="CI295" s="93"/>
      <c r="CJ295" s="93"/>
      <c r="CK295" s="93"/>
      <c r="CL295" s="93"/>
      <c r="CM295" s="93"/>
      <c r="CN295" s="93"/>
      <c r="CO295" s="93"/>
      <c r="CP295" s="93"/>
      <c r="CQ295" s="93"/>
      <c r="CR295" s="93"/>
      <c r="CS295" s="699"/>
      <c r="CT295" s="93"/>
      <c r="CU295" s="93"/>
      <c r="CV295" s="92"/>
      <c r="CW295" s="51"/>
      <c r="CX295" s="51"/>
      <c r="CY295" s="51"/>
      <c r="CZ295" s="51"/>
      <c r="DA295" s="92"/>
      <c r="DB295" s="92"/>
      <c r="DC295" s="51"/>
      <c r="DD295" s="51"/>
      <c r="DE295" s="51"/>
      <c r="DF295" s="93"/>
      <c r="DG295" s="93"/>
      <c r="DH295" s="93"/>
      <c r="DI295" s="699"/>
      <c r="DJ295" s="93"/>
      <c r="DK295" s="93"/>
      <c r="DL295" s="93"/>
      <c r="DM295" s="93"/>
      <c r="DN295" s="93"/>
      <c r="DO295" s="93"/>
      <c r="DP295" s="93"/>
      <c r="DQ295" s="93"/>
      <c r="DR295" s="93"/>
      <c r="DS295" s="93"/>
      <c r="DT295" s="93"/>
      <c r="DU295" s="93"/>
      <c r="DV295" s="93"/>
      <c r="DW295" s="93"/>
      <c r="DX295" s="79"/>
      <c r="DY295" s="93"/>
    </row>
    <row r="296" spans="1:129">
      <c r="DY296" s="93">
        <v>265</v>
      </c>
    </row>
    <row r="297" spans="1:129">
      <c r="DY297" s="93">
        <v>266</v>
      </c>
    </row>
    <row r="298" spans="1:129">
      <c r="DY298" s="93">
        <v>267</v>
      </c>
    </row>
    <row r="299" spans="1:129">
      <c r="DY299" s="92">
        <v>268</v>
      </c>
    </row>
    <row r="300" spans="1:129">
      <c r="DY300" s="92">
        <v>269</v>
      </c>
    </row>
    <row r="301" spans="1:129">
      <c r="DY301" s="92">
        <v>270</v>
      </c>
    </row>
    <row r="302" spans="1:129">
      <c r="A302" s="51"/>
      <c r="B302" s="92"/>
      <c r="C302" s="92"/>
      <c r="D302" s="51"/>
      <c r="E302" s="51"/>
      <c r="F302" s="295"/>
      <c r="G302" s="64"/>
      <c r="H302" s="36"/>
      <c r="I302" s="64"/>
      <c r="J302" s="295"/>
      <c r="K302" s="51"/>
      <c r="L302" s="51"/>
      <c r="M302" s="92"/>
      <c r="N302" s="51"/>
      <c r="O302" s="51"/>
      <c r="P302" s="113"/>
      <c r="Q302" s="699"/>
      <c r="R302" s="93"/>
      <c r="S302" s="93"/>
      <c r="T302" s="92"/>
      <c r="U302" s="92"/>
      <c r="V302" s="64"/>
      <c r="W302" s="64"/>
      <c r="X302" s="54"/>
      <c r="Y302" s="295"/>
      <c r="Z302" s="92"/>
      <c r="AA302" s="51"/>
      <c r="AB302" s="51"/>
      <c r="AC302" s="93"/>
      <c r="AD302" s="93"/>
      <c r="AE302" s="93"/>
      <c r="AF302" s="79"/>
      <c r="AG302" s="51"/>
      <c r="AH302" s="51"/>
      <c r="AI302" s="51"/>
      <c r="AJ302" s="51"/>
      <c r="AK302" s="51"/>
      <c r="AL302" s="92"/>
      <c r="AM302" s="56"/>
      <c r="AN302" s="56"/>
      <c r="AO302" s="295"/>
      <c r="AP302" s="92"/>
      <c r="AQ302" s="51"/>
      <c r="AR302" s="92"/>
      <c r="AS302" s="51"/>
      <c r="AT302" s="51"/>
      <c r="AU302" s="51"/>
      <c r="AV302" s="82"/>
      <c r="AW302" s="699"/>
      <c r="AX302" s="93"/>
      <c r="AY302" s="93"/>
      <c r="AZ302" s="92"/>
      <c r="BA302" s="92"/>
      <c r="BB302" s="92"/>
      <c r="BC302" s="92"/>
      <c r="BD302" s="201"/>
      <c r="BE302" s="201"/>
      <c r="BF302" s="295"/>
      <c r="BG302" s="92"/>
      <c r="BH302" s="92"/>
      <c r="BI302" s="92"/>
      <c r="BJ302" s="51"/>
      <c r="BK302" s="51"/>
      <c r="BL302" s="113"/>
      <c r="BM302" s="699"/>
      <c r="BN302" s="93"/>
      <c r="BO302" s="51"/>
      <c r="BP302" s="92"/>
      <c r="BQ302" s="51"/>
      <c r="BR302" s="51"/>
      <c r="BS302" s="295"/>
      <c r="BT302" s="54"/>
      <c r="BU302" s="64"/>
      <c r="BV302" s="54"/>
      <c r="BW302" s="295"/>
      <c r="BX302" s="51"/>
      <c r="BY302" s="51"/>
      <c r="BZ302" s="93"/>
      <c r="CA302" s="93"/>
      <c r="CB302" s="93"/>
      <c r="CC302" s="699"/>
      <c r="CD302" s="93"/>
      <c r="CE302" s="51"/>
      <c r="CF302" s="92"/>
      <c r="CG302" s="92"/>
      <c r="CH302" s="92"/>
      <c r="CI302" s="295"/>
      <c r="CJ302" s="295"/>
      <c r="CK302" s="201"/>
      <c r="CL302" s="92"/>
      <c r="CM302" s="92"/>
      <c r="CN302" s="92"/>
      <c r="CO302" s="93"/>
      <c r="CP302" s="93"/>
      <c r="CQ302" s="93"/>
      <c r="CR302" s="93"/>
      <c r="CS302" s="699"/>
      <c r="CT302" s="93"/>
      <c r="CU302" s="93"/>
      <c r="CV302" s="92"/>
      <c r="CW302" s="51"/>
      <c r="CX302" s="92"/>
      <c r="CY302" s="295"/>
      <c r="CZ302" s="201"/>
      <c r="DA302" s="64"/>
      <c r="DB302" s="92"/>
      <c r="DC302" s="51"/>
      <c r="DD302" s="51"/>
      <c r="DE302" s="51"/>
      <c r="DF302" s="93"/>
      <c r="DG302" s="93"/>
      <c r="DH302" s="93"/>
      <c r="DI302" s="699"/>
      <c r="DJ302" s="93"/>
      <c r="DK302" s="93"/>
      <c r="DL302" s="93"/>
      <c r="DM302" s="92"/>
      <c r="DN302" s="295"/>
      <c r="DO302" s="201"/>
      <c r="DP302" s="64"/>
      <c r="DQ302" s="64"/>
      <c r="DR302" s="92"/>
      <c r="DS302" s="92"/>
      <c r="DT302" s="92"/>
      <c r="DU302" s="93"/>
      <c r="DV302" s="93"/>
      <c r="DW302" s="93"/>
      <c r="DX302" s="79"/>
      <c r="DY302" s="93"/>
    </row>
    <row r="303" spans="1:129">
      <c r="A303" s="51"/>
      <c r="B303" s="92"/>
      <c r="C303" s="92"/>
      <c r="D303" s="92"/>
      <c r="E303" s="92"/>
      <c r="F303" s="295"/>
      <c r="G303" s="54"/>
      <c r="H303" s="64"/>
      <c r="I303" s="295"/>
      <c r="J303" s="295"/>
      <c r="K303" s="92"/>
      <c r="L303" s="92"/>
      <c r="M303" s="92"/>
      <c r="N303" s="92"/>
      <c r="O303" s="51"/>
      <c r="P303" s="113"/>
      <c r="Q303" s="699"/>
      <c r="R303" s="93"/>
      <c r="S303" s="93"/>
      <c r="T303" s="92"/>
      <c r="U303" s="92"/>
      <c r="V303" s="92"/>
      <c r="W303" s="64"/>
      <c r="X303" s="295"/>
      <c r="Y303" s="193"/>
      <c r="Z303" s="92"/>
      <c r="AA303" s="92"/>
      <c r="AB303" s="92"/>
      <c r="AC303" s="93"/>
      <c r="AD303" s="93"/>
      <c r="AE303" s="93"/>
      <c r="AF303" s="79"/>
      <c r="AG303" s="51"/>
      <c r="AH303" s="51"/>
      <c r="AI303" s="51"/>
      <c r="AJ303" s="51"/>
      <c r="AK303" s="51"/>
      <c r="AL303" s="92"/>
      <c r="AM303" s="295"/>
      <c r="AN303" s="299"/>
      <c r="AO303" s="295"/>
      <c r="AP303" s="92"/>
      <c r="AQ303" s="51"/>
      <c r="AR303" s="92"/>
      <c r="AS303" s="51"/>
      <c r="AT303" s="51"/>
      <c r="AU303" s="51"/>
      <c r="AV303" s="82"/>
      <c r="AW303" s="699"/>
      <c r="AX303" s="93"/>
      <c r="AY303" s="93"/>
      <c r="AZ303" s="92"/>
      <c r="BA303" s="92"/>
      <c r="BB303" s="92"/>
      <c r="BC303" s="92"/>
      <c r="BD303" s="295"/>
      <c r="BE303" s="295"/>
      <c r="BF303" s="193"/>
      <c r="BG303" s="92"/>
      <c r="BH303" s="92"/>
      <c r="BI303" s="92"/>
      <c r="BJ303" s="51"/>
      <c r="BK303" s="51"/>
      <c r="BL303" s="113"/>
      <c r="BM303" s="699"/>
      <c r="BN303" s="93"/>
      <c r="BO303" s="92"/>
      <c r="BP303" s="92"/>
      <c r="BQ303" s="92"/>
      <c r="BR303" s="92"/>
      <c r="BS303" s="295"/>
      <c r="BT303" s="295"/>
      <c r="BU303" s="295"/>
      <c r="BV303" s="295"/>
      <c r="BW303" s="295"/>
      <c r="BX303" s="92"/>
      <c r="BY303" s="92"/>
      <c r="BZ303" s="93"/>
      <c r="CA303" s="93"/>
      <c r="CB303" s="93"/>
      <c r="CC303" s="699"/>
      <c r="CD303" s="93"/>
      <c r="CE303" s="51"/>
      <c r="CF303" s="92"/>
      <c r="CG303" s="92"/>
      <c r="CH303" s="92"/>
      <c r="CI303" s="193"/>
      <c r="CJ303" s="295"/>
      <c r="CK303" s="295"/>
      <c r="CL303" s="92"/>
      <c r="CM303" s="92"/>
      <c r="CN303" s="92"/>
      <c r="CO303" s="93"/>
      <c r="CP303" s="93"/>
      <c r="CQ303" s="93"/>
      <c r="CR303" s="93"/>
      <c r="CS303" s="699"/>
      <c r="CT303" s="93"/>
      <c r="CU303" s="93"/>
      <c r="CV303" s="92"/>
      <c r="CW303" s="51"/>
      <c r="CX303" s="92"/>
      <c r="CY303" s="295"/>
      <c r="CZ303" s="299"/>
      <c r="DA303" s="201"/>
      <c r="DB303" s="92"/>
      <c r="DC303" s="51"/>
      <c r="DD303" s="51"/>
      <c r="DE303" s="51"/>
      <c r="DF303" s="93"/>
      <c r="DG303" s="93"/>
      <c r="DH303" s="93"/>
      <c r="DI303" s="699"/>
      <c r="DJ303" s="93"/>
      <c r="DK303" s="93"/>
      <c r="DL303" s="92"/>
      <c r="DM303" s="92"/>
      <c r="DN303" s="193"/>
      <c r="DO303" s="295"/>
      <c r="DP303" s="201"/>
      <c r="DQ303" s="64"/>
      <c r="DR303" s="92"/>
      <c r="DS303" s="92"/>
      <c r="DT303" s="92"/>
      <c r="DU303" s="93"/>
      <c r="DV303" s="93"/>
      <c r="DW303" s="93"/>
      <c r="DX303" s="79"/>
      <c r="DY303" s="93"/>
    </row>
    <row r="304" spans="1:129">
      <c r="A304" s="51"/>
      <c r="B304" s="51"/>
      <c r="C304" s="92"/>
      <c r="D304" s="92"/>
      <c r="E304" s="302"/>
      <c r="F304" s="299"/>
      <c r="G304" s="295"/>
      <c r="H304" s="64"/>
      <c r="I304" s="295"/>
      <c r="J304" s="295"/>
      <c r="K304" s="299"/>
      <c r="L304" s="92"/>
      <c r="M304" s="92"/>
      <c r="N304" s="92"/>
      <c r="O304" s="51"/>
      <c r="P304" s="82"/>
      <c r="Q304" s="699"/>
      <c r="R304" s="93"/>
      <c r="S304" s="93"/>
      <c r="T304" s="92"/>
      <c r="U304" s="92"/>
      <c r="V304" s="302"/>
      <c r="W304" s="64"/>
      <c r="X304" s="193"/>
      <c r="Y304" s="295"/>
      <c r="Z304" s="299"/>
      <c r="AA304" s="92"/>
      <c r="AB304" s="92"/>
      <c r="AC304" s="93"/>
      <c r="AD304" s="93"/>
      <c r="AE304" s="93"/>
      <c r="AF304" s="79"/>
      <c r="AG304" s="51"/>
      <c r="AH304" s="51"/>
      <c r="AI304" s="51"/>
      <c r="AJ304" s="51"/>
      <c r="AK304" s="51"/>
      <c r="AL304" s="92"/>
      <c r="AM304" s="299"/>
      <c r="AN304" s="299"/>
      <c r="AO304" s="295"/>
      <c r="AP304" s="193"/>
      <c r="AQ304" s="51"/>
      <c r="AR304" s="92"/>
      <c r="AS304" s="51"/>
      <c r="AT304" s="51"/>
      <c r="AU304" s="51"/>
      <c r="AV304" s="82"/>
      <c r="AW304" s="699"/>
      <c r="AX304" s="93"/>
      <c r="AY304" s="93"/>
      <c r="AZ304" s="51"/>
      <c r="BA304" s="92"/>
      <c r="BB304" s="92"/>
      <c r="BC304" s="302"/>
      <c r="BD304" s="295"/>
      <c r="BE304" s="193"/>
      <c r="BF304" s="193"/>
      <c r="BG304" s="295"/>
      <c r="BH304" s="92"/>
      <c r="BI304" s="92"/>
      <c r="BJ304" s="51"/>
      <c r="BK304" s="51"/>
      <c r="BL304" s="82"/>
      <c r="BM304" s="699"/>
      <c r="BN304" s="93"/>
      <c r="BO304" s="92"/>
      <c r="BP304" s="92"/>
      <c r="BQ304" s="92"/>
      <c r="BR304" s="302"/>
      <c r="BS304" s="295"/>
      <c r="BT304" s="295"/>
      <c r="BU304" s="295"/>
      <c r="BV304" s="295"/>
      <c r="BW304" s="295"/>
      <c r="BX304" s="295"/>
      <c r="BY304" s="92"/>
      <c r="BZ304" s="93"/>
      <c r="CA304" s="93"/>
      <c r="CB304" s="93"/>
      <c r="CC304" s="699"/>
      <c r="CD304" s="93"/>
      <c r="CE304" s="51"/>
      <c r="CF304" s="92"/>
      <c r="CG304" s="92"/>
      <c r="CH304" s="295"/>
      <c r="CI304" s="193"/>
      <c r="CJ304" s="193"/>
      <c r="CK304" s="295"/>
      <c r="CL304" s="302"/>
      <c r="CM304" s="92"/>
      <c r="CN304" s="92"/>
      <c r="CO304" s="93"/>
      <c r="CP304" s="93"/>
      <c r="CQ304" s="93"/>
      <c r="CR304" s="93"/>
      <c r="CS304" s="699"/>
      <c r="CT304" s="93"/>
      <c r="CU304" s="93"/>
      <c r="CV304" s="92"/>
      <c r="CW304" s="51"/>
      <c r="CX304" s="295"/>
      <c r="CY304" s="295"/>
      <c r="CZ304" s="299"/>
      <c r="DA304" s="299"/>
      <c r="DB304" s="92"/>
      <c r="DC304" s="51"/>
      <c r="DD304" s="51"/>
      <c r="DE304" s="51"/>
      <c r="DF304" s="93"/>
      <c r="DG304" s="93"/>
      <c r="DH304" s="93"/>
      <c r="DI304" s="699"/>
      <c r="DJ304" s="93"/>
      <c r="DK304" s="93"/>
      <c r="DL304" s="92"/>
      <c r="DM304" s="92"/>
      <c r="DN304" s="299"/>
      <c r="DO304" s="295"/>
      <c r="DP304" s="295"/>
      <c r="DQ304" s="295"/>
      <c r="DR304" s="302"/>
      <c r="DS304" s="92"/>
      <c r="DT304" s="92"/>
      <c r="DU304" s="93"/>
      <c r="DV304" s="93"/>
      <c r="DW304" s="93"/>
      <c r="DX304" s="79"/>
      <c r="DY304" s="93"/>
    </row>
    <row r="305" spans="1:129">
      <c r="A305" s="51"/>
      <c r="B305" s="92"/>
      <c r="C305" s="92"/>
      <c r="D305" s="92"/>
      <c r="E305" s="299"/>
      <c r="F305" s="299"/>
      <c r="G305" s="295"/>
      <c r="H305" s="299"/>
      <c r="I305" s="299"/>
      <c r="J305" s="295"/>
      <c r="K305" s="193"/>
      <c r="L305" s="299"/>
      <c r="M305" s="92"/>
      <c r="N305" s="51"/>
      <c r="O305" s="92"/>
      <c r="P305" s="113"/>
      <c r="Q305" s="699"/>
      <c r="R305" s="93"/>
      <c r="S305" s="93"/>
      <c r="T305" s="92"/>
      <c r="U305" s="193"/>
      <c r="V305" s="299"/>
      <c r="W305" s="295"/>
      <c r="X305" s="299"/>
      <c r="Y305" s="295"/>
      <c r="Z305" s="295"/>
      <c r="AA305" s="299"/>
      <c r="AB305" s="92"/>
      <c r="AC305" s="93"/>
      <c r="AD305" s="93"/>
      <c r="AE305" s="93"/>
      <c r="AF305" s="79"/>
      <c r="AG305" s="51"/>
      <c r="AH305" s="51"/>
      <c r="AI305" s="51"/>
      <c r="AJ305" s="51"/>
      <c r="AK305" s="51"/>
      <c r="AL305" s="299"/>
      <c r="AM305" s="302"/>
      <c r="AN305" s="299"/>
      <c r="AO305" s="193"/>
      <c r="AP305" s="295"/>
      <c r="AQ305" s="51"/>
      <c r="AR305" s="92"/>
      <c r="AS305" s="51"/>
      <c r="AT305" s="51"/>
      <c r="AU305" s="51"/>
      <c r="AV305" s="82"/>
      <c r="AW305" s="699"/>
      <c r="AX305" s="93"/>
      <c r="AY305" s="93"/>
      <c r="AZ305" s="51"/>
      <c r="BA305" s="92"/>
      <c r="BB305" s="299"/>
      <c r="BC305" s="295"/>
      <c r="BD305" s="295"/>
      <c r="BE305" s="295"/>
      <c r="BF305" s="295"/>
      <c r="BG305" s="295"/>
      <c r="BH305" s="299"/>
      <c r="BI305" s="92"/>
      <c r="BJ305" s="92"/>
      <c r="BK305" s="92"/>
      <c r="BL305" s="113"/>
      <c r="BM305" s="699"/>
      <c r="BN305" s="93"/>
      <c r="BO305" s="51"/>
      <c r="BP305" s="92"/>
      <c r="BQ305" s="302"/>
      <c r="BR305" s="193"/>
      <c r="BS305" s="295"/>
      <c r="BT305" s="295"/>
      <c r="BU305" s="299"/>
      <c r="BV305" s="299"/>
      <c r="BW305" s="295"/>
      <c r="BX305" s="299"/>
      <c r="BY305" s="92"/>
      <c r="BZ305" s="93"/>
      <c r="CA305" s="93"/>
      <c r="CB305" s="93"/>
      <c r="CC305" s="699"/>
      <c r="CD305" s="93"/>
      <c r="CE305" s="92"/>
      <c r="CF305" s="92"/>
      <c r="CG305" s="299"/>
      <c r="CH305" s="295"/>
      <c r="CI305" s="299"/>
      <c r="CJ305" s="295"/>
      <c r="CK305" s="299"/>
      <c r="CL305" s="295"/>
      <c r="CM305" s="299"/>
      <c r="CN305" s="92"/>
      <c r="CO305" s="93"/>
      <c r="CP305" s="93"/>
      <c r="CQ305" s="93"/>
      <c r="CR305" s="93"/>
      <c r="CS305" s="699"/>
      <c r="CT305" s="93"/>
      <c r="CU305" s="93"/>
      <c r="CV305" s="92"/>
      <c r="CW305" s="51"/>
      <c r="CX305" s="295"/>
      <c r="CY305" s="193"/>
      <c r="CZ305" s="299"/>
      <c r="DA305" s="302"/>
      <c r="DB305" s="299"/>
      <c r="DC305" s="51"/>
      <c r="DD305" s="51"/>
      <c r="DE305" s="51"/>
      <c r="DF305" s="93"/>
      <c r="DG305" s="93"/>
      <c r="DH305" s="93"/>
      <c r="DI305" s="699"/>
      <c r="DJ305" s="93"/>
      <c r="DK305" s="93"/>
      <c r="DL305" s="92"/>
      <c r="DM305" s="299"/>
      <c r="DN305" s="295"/>
      <c r="DO305" s="295"/>
      <c r="DP305" s="299"/>
      <c r="DQ305" s="295"/>
      <c r="DR305" s="299"/>
      <c r="DS305" s="92"/>
      <c r="DT305" s="92"/>
      <c r="DU305" s="93"/>
      <c r="DV305" s="93"/>
      <c r="DW305" s="93"/>
      <c r="DX305" s="79"/>
      <c r="DY305" s="93"/>
    </row>
    <row r="306" spans="1:129">
      <c r="A306" s="51"/>
      <c r="B306" s="92"/>
      <c r="C306" s="92"/>
      <c r="D306" s="302"/>
      <c r="E306" s="295"/>
      <c r="F306" s="299"/>
      <c r="G306" s="295"/>
      <c r="H306" s="295"/>
      <c r="I306" s="299"/>
      <c r="J306" s="299"/>
      <c r="K306" s="295"/>
      <c r="L306" s="193"/>
      <c r="M306" s="92"/>
      <c r="N306" s="51"/>
      <c r="O306" s="92"/>
      <c r="P306" s="113"/>
      <c r="Q306" s="699"/>
      <c r="R306" s="93"/>
      <c r="S306" s="93"/>
      <c r="T306" s="92"/>
      <c r="U306" s="193"/>
      <c r="V306" s="295"/>
      <c r="W306" s="299"/>
      <c r="X306" s="299"/>
      <c r="Y306" s="193"/>
      <c r="Z306" s="295"/>
      <c r="AA306" s="295"/>
      <c r="AB306" s="92"/>
      <c r="AC306" s="93"/>
      <c r="AD306" s="93"/>
      <c r="AE306" s="93"/>
      <c r="AF306" s="79"/>
      <c r="AG306" s="51"/>
      <c r="AH306" s="51"/>
      <c r="AI306" s="51"/>
      <c r="AJ306" s="51"/>
      <c r="AK306" s="51"/>
      <c r="AL306" s="193"/>
      <c r="AM306" s="299"/>
      <c r="AN306" s="299"/>
      <c r="AO306" s="295"/>
      <c r="AP306" s="299"/>
      <c r="AQ306" s="51"/>
      <c r="AR306" s="92"/>
      <c r="AS306" s="51"/>
      <c r="AT306" s="51"/>
      <c r="AU306" s="51"/>
      <c r="AV306" s="82"/>
      <c r="AW306" s="699"/>
      <c r="AX306" s="93"/>
      <c r="AY306" s="93"/>
      <c r="AZ306" s="51"/>
      <c r="BA306" s="92"/>
      <c r="BB306" s="302"/>
      <c r="BC306" s="295"/>
      <c r="BD306" s="193"/>
      <c r="BE306" s="295"/>
      <c r="BF306" s="299"/>
      <c r="BG306" s="295"/>
      <c r="BH306" s="193"/>
      <c r="BI306" s="92"/>
      <c r="BJ306" s="92"/>
      <c r="BK306" s="92"/>
      <c r="BL306" s="113"/>
      <c r="BM306" s="699"/>
      <c r="BN306" s="93"/>
      <c r="BO306" s="51"/>
      <c r="BP306" s="92"/>
      <c r="BQ306" s="302"/>
      <c r="BR306" s="295"/>
      <c r="BS306" s="295"/>
      <c r="BT306" s="295"/>
      <c r="BU306" s="295"/>
      <c r="BV306" s="299"/>
      <c r="BW306" s="299"/>
      <c r="BX306" s="295"/>
      <c r="BY306" s="295"/>
      <c r="BZ306" s="93"/>
      <c r="CA306" s="93"/>
      <c r="CB306" s="93"/>
      <c r="CC306" s="699"/>
      <c r="CD306" s="93"/>
      <c r="CE306" s="92"/>
      <c r="CF306" s="295"/>
      <c r="CG306" s="193"/>
      <c r="CH306" s="299"/>
      <c r="CI306" s="295"/>
      <c r="CJ306" s="299"/>
      <c r="CK306" s="295"/>
      <c r="CL306" s="295"/>
      <c r="CM306" s="295"/>
      <c r="CN306" s="92"/>
      <c r="CO306" s="93"/>
      <c r="CP306" s="93"/>
      <c r="CQ306" s="93"/>
      <c r="CR306" s="93"/>
      <c r="CS306" s="699"/>
      <c r="CT306" s="93"/>
      <c r="CU306" s="93"/>
      <c r="CV306" s="92"/>
      <c r="CW306" s="51"/>
      <c r="CX306" s="193"/>
      <c r="CY306" s="299"/>
      <c r="CZ306" s="302"/>
      <c r="DA306" s="299"/>
      <c r="DB306" s="193"/>
      <c r="DC306" s="51"/>
      <c r="DD306" s="51"/>
      <c r="DE306" s="51"/>
      <c r="DF306" s="93"/>
      <c r="DG306" s="93"/>
      <c r="DH306" s="93"/>
      <c r="DI306" s="699"/>
      <c r="DJ306" s="93"/>
      <c r="DK306" s="93"/>
      <c r="DL306" s="92"/>
      <c r="DM306" s="295"/>
      <c r="DN306" s="295"/>
      <c r="DO306" s="193"/>
      <c r="DP306" s="299"/>
      <c r="DQ306" s="299"/>
      <c r="DR306" s="295"/>
      <c r="DS306" s="193"/>
      <c r="DT306" s="92"/>
      <c r="DU306" s="93"/>
      <c r="DV306" s="93"/>
      <c r="DW306" s="93"/>
      <c r="DX306" s="79"/>
      <c r="DY306" s="93"/>
    </row>
    <row r="307" spans="1:129">
      <c r="A307" s="51"/>
      <c r="B307" s="92"/>
      <c r="C307" s="92"/>
      <c r="D307" s="302"/>
      <c r="E307" s="193"/>
      <c r="F307" s="299"/>
      <c r="G307" s="295"/>
      <c r="H307" s="299"/>
      <c r="I307" s="299"/>
      <c r="J307" s="295"/>
      <c r="K307" s="193"/>
      <c r="L307" s="295"/>
      <c r="M307" s="299"/>
      <c r="N307" s="51"/>
      <c r="O307" s="92"/>
      <c r="P307" s="82"/>
      <c r="Q307" s="699"/>
      <c r="R307" s="93"/>
      <c r="S307" s="93"/>
      <c r="T307" s="92"/>
      <c r="U307" s="295"/>
      <c r="V307" s="295"/>
      <c r="W307" s="295"/>
      <c r="X307" s="299"/>
      <c r="Y307" s="193"/>
      <c r="Z307" s="299"/>
      <c r="AA307" s="295"/>
      <c r="AB307" s="93"/>
      <c r="AC307" s="93"/>
      <c r="AD307" s="93"/>
      <c r="AE307" s="93"/>
      <c r="AF307" s="79"/>
      <c r="AG307" s="51"/>
      <c r="AH307" s="51"/>
      <c r="AI307" s="51"/>
      <c r="AJ307" s="51"/>
      <c r="AK307" s="51"/>
      <c r="AL307" s="299"/>
      <c r="AM307" s="295"/>
      <c r="AN307" s="302"/>
      <c r="AO307" s="295"/>
      <c r="AP307" s="295"/>
      <c r="AQ307" s="51"/>
      <c r="AR307" s="92"/>
      <c r="AS307" s="51"/>
      <c r="AT307" s="51"/>
      <c r="AU307" s="51"/>
      <c r="AV307" s="82"/>
      <c r="AW307" s="699"/>
      <c r="AX307" s="93"/>
      <c r="AY307" s="93"/>
      <c r="AZ307" s="51"/>
      <c r="BA307" s="92"/>
      <c r="BB307" s="299"/>
      <c r="BC307" s="295"/>
      <c r="BD307" s="193"/>
      <c r="BE307" s="295"/>
      <c r="BF307" s="299"/>
      <c r="BG307" s="193"/>
      <c r="BH307" s="295"/>
      <c r="BI307" s="299"/>
      <c r="BJ307" s="92"/>
      <c r="BK307" s="92"/>
      <c r="BL307" s="82"/>
      <c r="BM307" s="699"/>
      <c r="BN307" s="93"/>
      <c r="BO307" s="93"/>
      <c r="BP307" s="51"/>
      <c r="BQ307" s="299"/>
      <c r="BR307" s="295"/>
      <c r="BS307" s="299"/>
      <c r="BT307" s="295"/>
      <c r="BU307" s="295"/>
      <c r="BV307" s="299"/>
      <c r="BW307" s="299"/>
      <c r="BX307" s="193"/>
      <c r="BY307" s="299"/>
      <c r="BZ307" s="93"/>
      <c r="CA307" s="93"/>
      <c r="CB307" s="93"/>
      <c r="CC307" s="699"/>
      <c r="CD307" s="93"/>
      <c r="CE307" s="92"/>
      <c r="CF307" s="193"/>
      <c r="CG307" s="295"/>
      <c r="CH307" s="295"/>
      <c r="CI307" s="295"/>
      <c r="CJ307" s="295"/>
      <c r="CK307" s="193"/>
      <c r="CL307" s="295"/>
      <c r="CM307" s="302"/>
      <c r="CN307" s="92"/>
      <c r="CO307" s="93"/>
      <c r="CP307" s="93"/>
      <c r="CQ307" s="93"/>
      <c r="CR307" s="93"/>
      <c r="CS307" s="699"/>
      <c r="CT307" s="93"/>
      <c r="CU307" s="93"/>
      <c r="CV307" s="92"/>
      <c r="CW307" s="51"/>
      <c r="CX307" s="193"/>
      <c r="CY307" s="299"/>
      <c r="CZ307" s="295"/>
      <c r="DA307" s="302"/>
      <c r="DB307" s="299"/>
      <c r="DC307" s="51"/>
      <c r="DD307" s="51"/>
      <c r="DE307" s="51"/>
      <c r="DF307" s="93"/>
      <c r="DG307" s="93"/>
      <c r="DH307" s="93"/>
      <c r="DI307" s="699"/>
      <c r="DJ307" s="93"/>
      <c r="DK307" s="93"/>
      <c r="DL307" s="93"/>
      <c r="DM307" s="295"/>
      <c r="DN307" s="295"/>
      <c r="DO307" s="193"/>
      <c r="DP307" s="299"/>
      <c r="DQ307" s="295"/>
      <c r="DR307" s="295"/>
      <c r="DS307" s="295"/>
      <c r="DT307" s="51"/>
      <c r="DU307" s="93"/>
      <c r="DV307" s="93"/>
      <c r="DW307" s="93"/>
      <c r="DX307" s="79"/>
      <c r="DY307" s="93"/>
    </row>
    <row r="308" spans="1:129">
      <c r="A308" s="51"/>
      <c r="B308" s="92"/>
      <c r="C308" s="92"/>
      <c r="D308" s="302"/>
      <c r="E308" s="193"/>
      <c r="F308" s="299"/>
      <c r="G308" s="295"/>
      <c r="H308" s="295"/>
      <c r="I308" s="299"/>
      <c r="J308" s="295"/>
      <c r="K308" s="92"/>
      <c r="L308" s="295"/>
      <c r="M308" s="295"/>
      <c r="N308" s="51"/>
      <c r="O308" s="92"/>
      <c r="P308" s="113"/>
      <c r="Q308" s="699"/>
      <c r="R308" s="93"/>
      <c r="S308" s="93"/>
      <c r="T308" s="92"/>
      <c r="U308" s="295"/>
      <c r="V308" s="295"/>
      <c r="W308" s="299"/>
      <c r="X308" s="299"/>
      <c r="Y308" s="295"/>
      <c r="Z308" s="193"/>
      <c r="AA308" s="295"/>
      <c r="AB308" s="299"/>
      <c r="AC308" s="93"/>
      <c r="AD308" s="93"/>
      <c r="AE308" s="93"/>
      <c r="AF308" s="79"/>
      <c r="AG308" s="51"/>
      <c r="AH308" s="51"/>
      <c r="AI308" s="51"/>
      <c r="AJ308" s="51"/>
      <c r="AK308" s="51"/>
      <c r="AL308" s="295"/>
      <c r="AM308" s="295"/>
      <c r="AN308" s="299"/>
      <c r="AO308" s="302"/>
      <c r="AP308" s="193"/>
      <c r="AQ308" s="299"/>
      <c r="AR308" s="92"/>
      <c r="AS308" s="51"/>
      <c r="AT308" s="51"/>
      <c r="AU308" s="51"/>
      <c r="AV308" s="82"/>
      <c r="AW308" s="699"/>
      <c r="AX308" s="93"/>
      <c r="AY308" s="93"/>
      <c r="AZ308" s="51"/>
      <c r="BA308" s="92"/>
      <c r="BB308" s="295"/>
      <c r="BC308" s="295"/>
      <c r="BD308" s="193"/>
      <c r="BE308" s="295"/>
      <c r="BF308" s="299"/>
      <c r="BG308" s="193"/>
      <c r="BH308" s="295"/>
      <c r="BI308" s="193"/>
      <c r="BJ308" s="92"/>
      <c r="BK308" s="92"/>
      <c r="BL308" s="113"/>
      <c r="BM308" s="699"/>
      <c r="BN308" s="93"/>
      <c r="BO308" s="51"/>
      <c r="BP308" s="302"/>
      <c r="BQ308" s="295"/>
      <c r="BR308" s="295"/>
      <c r="BS308" s="299"/>
      <c r="BT308" s="295"/>
      <c r="BU308" s="295"/>
      <c r="BV308" s="299"/>
      <c r="BW308" s="295"/>
      <c r="BX308" s="193"/>
      <c r="BY308" s="295"/>
      <c r="BZ308" s="295"/>
      <c r="CA308" s="93"/>
      <c r="CB308" s="93"/>
      <c r="CC308" s="699"/>
      <c r="CD308" s="93"/>
      <c r="CE308" s="92"/>
      <c r="CF308" s="193"/>
      <c r="CG308" s="295"/>
      <c r="CH308" s="193"/>
      <c r="CI308" s="295"/>
      <c r="CJ308" s="295"/>
      <c r="CK308" s="193"/>
      <c r="CL308" s="295"/>
      <c r="CM308" s="299"/>
      <c r="CN308" s="92"/>
      <c r="CO308" s="93"/>
      <c r="CP308" s="93"/>
      <c r="CQ308" s="93"/>
      <c r="CR308" s="93"/>
      <c r="CS308" s="699"/>
      <c r="CT308" s="93"/>
      <c r="CU308" s="93"/>
      <c r="CV308" s="92"/>
      <c r="CW308" s="193"/>
      <c r="CX308" s="295"/>
      <c r="CY308" s="302"/>
      <c r="CZ308" s="295"/>
      <c r="DA308" s="299"/>
      <c r="DB308" s="295"/>
      <c r="DC308" s="51"/>
      <c r="DD308" s="51"/>
      <c r="DE308" s="51"/>
      <c r="DF308" s="93"/>
      <c r="DG308" s="93"/>
      <c r="DH308" s="93"/>
      <c r="DI308" s="699"/>
      <c r="DJ308" s="93"/>
      <c r="DK308" s="93"/>
      <c r="DL308" s="295"/>
      <c r="DM308" s="295"/>
      <c r="DN308" s="193"/>
      <c r="DO308" s="295"/>
      <c r="DP308" s="299"/>
      <c r="DQ308" s="299"/>
      <c r="DR308" s="193"/>
      <c r="DS308" s="295"/>
      <c r="DT308" s="302"/>
      <c r="DU308" s="93"/>
      <c r="DV308" s="93"/>
      <c r="DW308" s="93"/>
      <c r="DX308" s="79"/>
      <c r="DY308" s="93"/>
    </row>
    <row r="309" spans="1:129">
      <c r="A309" s="51"/>
      <c r="B309" s="92"/>
      <c r="C309" s="51"/>
      <c r="D309" s="295"/>
      <c r="E309" s="295"/>
      <c r="F309" s="299"/>
      <c r="G309" s="295"/>
      <c r="H309" s="299"/>
      <c r="I309" s="299"/>
      <c r="J309" s="193"/>
      <c r="K309" s="92"/>
      <c r="L309" s="199"/>
      <c r="M309" s="35"/>
      <c r="N309" s="51"/>
      <c r="O309" s="51"/>
      <c r="P309" s="82"/>
      <c r="Q309" s="699"/>
      <c r="R309" s="93"/>
      <c r="S309" s="93"/>
      <c r="T309" s="92"/>
      <c r="U309" s="193"/>
      <c r="V309" s="295"/>
      <c r="W309" s="295"/>
      <c r="X309" s="299"/>
      <c r="Y309" s="295"/>
      <c r="Z309" s="193"/>
      <c r="AA309" s="299"/>
      <c r="AB309" s="193"/>
      <c r="AC309" s="93"/>
      <c r="AD309" s="93"/>
      <c r="AE309" s="93"/>
      <c r="AF309" s="79"/>
      <c r="AG309" s="51"/>
      <c r="AH309" s="51"/>
      <c r="AI309" s="51"/>
      <c r="AJ309" s="51"/>
      <c r="AK309" s="51"/>
      <c r="AL309" s="295"/>
      <c r="AM309" s="299"/>
      <c r="AN309" s="302"/>
      <c r="AO309" s="295"/>
      <c r="AP309" s="193"/>
      <c r="AQ309" s="295"/>
      <c r="AR309" s="92"/>
      <c r="AS309" s="51"/>
      <c r="AT309" s="51"/>
      <c r="AU309" s="51"/>
      <c r="AV309" s="82"/>
      <c r="AW309" s="699"/>
      <c r="AX309" s="93"/>
      <c r="AY309" s="93"/>
      <c r="AZ309" s="51"/>
      <c r="BA309" s="51"/>
      <c r="BB309" s="302"/>
      <c r="BC309" s="295"/>
      <c r="BD309" s="193"/>
      <c r="BE309" s="295"/>
      <c r="BF309" s="295"/>
      <c r="BG309" s="193"/>
      <c r="BH309" s="295"/>
      <c r="BI309" s="193"/>
      <c r="BJ309" s="51"/>
      <c r="BK309" s="51"/>
      <c r="BL309" s="82"/>
      <c r="BM309" s="699"/>
      <c r="BN309" s="93"/>
      <c r="BO309" s="51"/>
      <c r="BP309" s="295"/>
      <c r="BQ309" s="295"/>
      <c r="BR309" s="193"/>
      <c r="BS309" s="299"/>
      <c r="BT309" s="295"/>
      <c r="BU309" s="295"/>
      <c r="BV309" s="299"/>
      <c r="BW309" s="295"/>
      <c r="BX309" s="193"/>
      <c r="BY309" s="295"/>
      <c r="BZ309" s="299"/>
      <c r="CA309" s="93"/>
      <c r="CB309" s="93"/>
      <c r="CC309" s="699"/>
      <c r="CD309" s="93"/>
      <c r="CE309" s="51"/>
      <c r="CF309" s="51"/>
      <c r="CG309" s="193"/>
      <c r="CH309" s="193"/>
      <c r="CI309" s="295"/>
      <c r="CJ309" s="193"/>
      <c r="CK309" s="295"/>
      <c r="CL309" s="299"/>
      <c r="CM309" s="295"/>
      <c r="CN309" s="92"/>
      <c r="CO309" s="93"/>
      <c r="CP309" s="93"/>
      <c r="CQ309" s="93"/>
      <c r="CR309" s="93"/>
      <c r="CS309" s="699"/>
      <c r="CT309" s="93"/>
      <c r="CU309" s="93"/>
      <c r="CV309" s="92"/>
      <c r="CW309" s="193"/>
      <c r="CX309" s="295"/>
      <c r="CY309" s="302"/>
      <c r="CZ309" s="299"/>
      <c r="DA309" s="302"/>
      <c r="DB309" s="295"/>
      <c r="DC309" s="302"/>
      <c r="DD309" s="51"/>
      <c r="DE309" s="51"/>
      <c r="DF309" s="93"/>
      <c r="DG309" s="93"/>
      <c r="DH309" s="93"/>
      <c r="DI309" s="699"/>
      <c r="DJ309" s="93"/>
      <c r="DK309" s="93"/>
      <c r="DL309" s="299"/>
      <c r="DM309" s="295"/>
      <c r="DN309" s="193"/>
      <c r="DO309" s="295"/>
      <c r="DP309" s="299"/>
      <c r="DQ309" s="295"/>
      <c r="DR309" s="295"/>
      <c r="DS309" s="193"/>
      <c r="DT309" s="295"/>
      <c r="DU309" s="93"/>
      <c r="DV309" s="93"/>
      <c r="DW309" s="93"/>
      <c r="DX309" s="79"/>
      <c r="DY309" s="93"/>
    </row>
    <row r="310" spans="1:129">
      <c r="A310" s="51"/>
      <c r="B310" s="51"/>
      <c r="C310" s="51"/>
      <c r="D310" s="295"/>
      <c r="E310" s="295"/>
      <c r="F310" s="299"/>
      <c r="G310" s="295"/>
      <c r="H310" s="295"/>
      <c r="I310" s="299"/>
      <c r="J310" s="193"/>
      <c r="K310" s="92"/>
      <c r="L310" s="35"/>
      <c r="M310" s="161"/>
      <c r="N310" s="51"/>
      <c r="O310" s="51"/>
      <c r="P310" s="113"/>
      <c r="Q310" s="699"/>
      <c r="R310" s="93"/>
      <c r="S310" s="93"/>
      <c r="T310" s="92"/>
      <c r="U310" s="92"/>
      <c r="V310" s="295"/>
      <c r="W310" s="299"/>
      <c r="X310" s="295"/>
      <c r="Y310" s="295"/>
      <c r="Z310" s="299"/>
      <c r="AA310" s="295"/>
      <c r="AB310" s="93"/>
      <c r="AC310" s="93"/>
      <c r="AD310" s="93"/>
      <c r="AE310" s="93"/>
      <c r="AF310" s="79"/>
      <c r="AG310" s="51"/>
      <c r="AH310" s="51"/>
      <c r="AI310" s="51"/>
      <c r="AJ310" s="51"/>
      <c r="AK310" s="51"/>
      <c r="AL310" s="299"/>
      <c r="AM310" s="302"/>
      <c r="AN310" s="299"/>
      <c r="AO310" s="193"/>
      <c r="AP310" s="193"/>
      <c r="AQ310" s="193"/>
      <c r="AR310" s="92"/>
      <c r="AS310" s="51"/>
      <c r="AT310" s="51"/>
      <c r="AU310" s="51"/>
      <c r="AV310" s="82"/>
      <c r="AW310" s="699"/>
      <c r="AX310" s="93"/>
      <c r="AY310" s="93"/>
      <c r="AZ310" s="51"/>
      <c r="BA310" s="302"/>
      <c r="BB310" s="295"/>
      <c r="BC310" s="295"/>
      <c r="BD310" s="193"/>
      <c r="BE310" s="295"/>
      <c r="BF310" s="295"/>
      <c r="BG310" s="193"/>
      <c r="BH310" s="193"/>
      <c r="BI310" s="295"/>
      <c r="BJ310" s="295"/>
      <c r="BK310" s="51"/>
      <c r="BL310" s="113"/>
      <c r="BM310" s="699"/>
      <c r="BN310" s="93"/>
      <c r="BO310" s="51"/>
      <c r="BP310" s="35"/>
      <c r="BQ310" s="295"/>
      <c r="BR310" s="193"/>
      <c r="BS310" s="299"/>
      <c r="BT310" s="295"/>
      <c r="BU310" s="295"/>
      <c r="BV310" s="299"/>
      <c r="BW310" s="295"/>
      <c r="BX310" s="51"/>
      <c r="BY310" s="295"/>
      <c r="BZ310" s="295"/>
      <c r="CA310" s="93"/>
      <c r="CB310" s="93"/>
      <c r="CC310" s="699"/>
      <c r="CD310" s="93"/>
      <c r="CE310" s="51"/>
      <c r="CF310" s="51"/>
      <c r="CG310" s="193"/>
      <c r="CH310" s="193"/>
      <c r="CI310" s="295"/>
      <c r="CJ310" s="193"/>
      <c r="CK310" s="295"/>
      <c r="CL310" s="299"/>
      <c r="CM310" s="92"/>
      <c r="CN310" s="92"/>
      <c r="CO310" s="93"/>
      <c r="CP310" s="93"/>
      <c r="CQ310" s="93"/>
      <c r="CR310" s="93"/>
      <c r="CS310" s="699"/>
      <c r="CT310" s="93"/>
      <c r="CU310" s="93"/>
      <c r="CV310" s="92"/>
      <c r="CW310" s="193"/>
      <c r="CX310" s="295"/>
      <c r="CY310" s="295"/>
      <c r="CZ310" s="299"/>
      <c r="DA310" s="302"/>
      <c r="DB310" s="295"/>
      <c r="DC310" s="295"/>
      <c r="DD310" s="302"/>
      <c r="DE310" s="160"/>
      <c r="DF310" s="93"/>
      <c r="DG310" s="93"/>
      <c r="DH310" s="93"/>
      <c r="DI310" s="699"/>
      <c r="DJ310" s="93"/>
      <c r="DK310" s="93"/>
      <c r="DL310" s="295"/>
      <c r="DM310" s="295"/>
      <c r="DN310" s="193"/>
      <c r="DO310" s="295"/>
      <c r="DP310" s="295"/>
      <c r="DQ310" s="299"/>
      <c r="DR310" s="295"/>
      <c r="DS310" s="193"/>
      <c r="DT310" s="295"/>
      <c r="DU310" s="160"/>
      <c r="DV310" s="93"/>
      <c r="DW310" s="93"/>
      <c r="DX310" s="79"/>
      <c r="DY310" s="93"/>
    </row>
    <row r="311" spans="1:129">
      <c r="A311" s="51"/>
      <c r="B311" s="51"/>
      <c r="C311" s="51"/>
      <c r="D311" s="199"/>
      <c r="E311" s="54"/>
      <c r="F311" s="299"/>
      <c r="G311" s="299"/>
      <c r="H311" s="295"/>
      <c r="I311" s="193"/>
      <c r="J311" s="193"/>
      <c r="K311" s="92"/>
      <c r="L311" s="199"/>
      <c r="M311" s="160"/>
      <c r="N311" s="51"/>
      <c r="O311" s="51"/>
      <c r="P311" s="113"/>
      <c r="Q311" s="699"/>
      <c r="R311" s="93"/>
      <c r="S311" s="93"/>
      <c r="T311" s="92"/>
      <c r="U311" s="92"/>
      <c r="V311" s="299"/>
      <c r="W311" s="295"/>
      <c r="X311" s="295"/>
      <c r="Y311" s="160"/>
      <c r="Z311" s="64"/>
      <c r="AA311" s="193"/>
      <c r="AB311" s="93"/>
      <c r="AC311" s="93"/>
      <c r="AD311" s="93"/>
      <c r="AE311" s="93"/>
      <c r="AF311" s="79"/>
      <c r="AG311" s="51"/>
      <c r="AH311" s="51"/>
      <c r="AI311" s="51"/>
      <c r="AJ311" s="51"/>
      <c r="AK311" s="51"/>
      <c r="AL311" s="160"/>
      <c r="AM311" s="302"/>
      <c r="AN311" s="193"/>
      <c r="AO311" s="295"/>
      <c r="AP311" s="193"/>
      <c r="AQ311" s="193"/>
      <c r="AR311" s="54"/>
      <c r="AS311" s="51"/>
      <c r="AT311" s="51"/>
      <c r="AU311" s="51"/>
      <c r="AV311" s="82"/>
      <c r="AW311" s="699"/>
      <c r="AX311" s="93"/>
      <c r="AY311" s="93"/>
      <c r="AZ311" s="160"/>
      <c r="BA311" s="64"/>
      <c r="BB311" s="295"/>
      <c r="BC311" s="193"/>
      <c r="BD311" s="193"/>
      <c r="BE311" s="299"/>
      <c r="BF311" s="295"/>
      <c r="BG311" s="295"/>
      <c r="BH311" s="193"/>
      <c r="BI311" s="54"/>
      <c r="BJ311" s="64"/>
      <c r="BK311" s="51"/>
      <c r="BL311" s="113"/>
      <c r="BM311" s="699"/>
      <c r="BN311" s="93"/>
      <c r="BO311" s="51"/>
      <c r="BP311" s="161"/>
      <c r="BQ311" s="64"/>
      <c r="BR311" s="92"/>
      <c r="BS311" s="295"/>
      <c r="BT311" s="299"/>
      <c r="BU311" s="299"/>
      <c r="BV311" s="299"/>
      <c r="BW311" s="299"/>
      <c r="BX311" s="51"/>
      <c r="BY311" s="199"/>
      <c r="BZ311" s="35"/>
      <c r="CA311" s="93"/>
      <c r="CB311" s="93"/>
      <c r="CC311" s="699"/>
      <c r="CD311" s="93"/>
      <c r="CE311" s="51"/>
      <c r="CF311" s="51"/>
      <c r="CG311" s="51"/>
      <c r="CH311" s="193"/>
      <c r="CI311" s="295"/>
      <c r="CJ311" s="199"/>
      <c r="CK311" s="54"/>
      <c r="CL311" s="295"/>
      <c r="CM311" s="51"/>
      <c r="CN311" s="92"/>
      <c r="CO311" s="93"/>
      <c r="CP311" s="93"/>
      <c r="CQ311" s="93"/>
      <c r="CR311" s="93"/>
      <c r="CS311" s="699"/>
      <c r="CT311" s="93"/>
      <c r="CU311" s="93"/>
      <c r="CV311" s="92"/>
      <c r="CW311" s="193"/>
      <c r="CX311" s="302"/>
      <c r="CY311" s="193"/>
      <c r="CZ311" s="299"/>
      <c r="DA311" s="299"/>
      <c r="DB311" s="92"/>
      <c r="DC311" s="295"/>
      <c r="DD311" s="54"/>
      <c r="DE311" s="35"/>
      <c r="DF311" s="160"/>
      <c r="DG311" s="93"/>
      <c r="DH311" s="93"/>
      <c r="DI311" s="699"/>
      <c r="DJ311" s="93"/>
      <c r="DK311" s="93"/>
      <c r="DL311" s="54"/>
      <c r="DM311" s="299"/>
      <c r="DN311" s="193"/>
      <c r="DO311" s="299"/>
      <c r="DP311" s="299"/>
      <c r="DQ311" s="299"/>
      <c r="DR311" s="193"/>
      <c r="DS311" s="93"/>
      <c r="DT311" s="54"/>
      <c r="DU311" s="35"/>
      <c r="DV311" s="160"/>
      <c r="DW311" s="93"/>
      <c r="DX311" s="79"/>
      <c r="DY311" s="93"/>
    </row>
    <row r="312" spans="1:129">
      <c r="A312" s="51"/>
      <c r="B312" s="51"/>
      <c r="C312" s="51"/>
      <c r="D312" s="35"/>
      <c r="E312" s="199"/>
      <c r="F312" s="193"/>
      <c r="G312" s="193"/>
      <c r="H312" s="193"/>
      <c r="I312" s="193"/>
      <c r="J312" s="295"/>
      <c r="K312" s="51"/>
      <c r="L312" s="161"/>
      <c r="M312" s="160"/>
      <c r="N312" s="51"/>
      <c r="O312" s="51"/>
      <c r="P312" s="113"/>
      <c r="Q312" s="699"/>
      <c r="R312" s="93"/>
      <c r="S312" s="93"/>
      <c r="T312" s="93"/>
      <c r="U312" s="92"/>
      <c r="V312" s="193"/>
      <c r="W312" s="295"/>
      <c r="X312" s="160"/>
      <c r="Y312" s="35"/>
      <c r="Z312" s="54"/>
      <c r="AA312" s="93"/>
      <c r="AB312" s="93"/>
      <c r="AC312" s="93"/>
      <c r="AD312" s="93"/>
      <c r="AE312" s="93"/>
      <c r="AF312" s="79"/>
      <c r="AG312" s="51"/>
      <c r="AH312" s="51"/>
      <c r="AI312" s="51"/>
      <c r="AJ312" s="51"/>
      <c r="AK312" s="160"/>
      <c r="AL312" s="35"/>
      <c r="AM312" s="54"/>
      <c r="AN312" s="193"/>
      <c r="AO312" s="193"/>
      <c r="AP312" s="51"/>
      <c r="AQ312" s="64"/>
      <c r="AR312" s="54"/>
      <c r="AS312" s="51"/>
      <c r="AT312" s="51"/>
      <c r="AU312" s="51"/>
      <c r="AV312" s="82"/>
      <c r="AW312" s="699"/>
      <c r="AX312" s="93"/>
      <c r="AY312" s="93"/>
      <c r="AZ312" s="161"/>
      <c r="BA312" s="35"/>
      <c r="BB312" s="161"/>
      <c r="BC312" s="193"/>
      <c r="BD312" s="193"/>
      <c r="BE312" s="193"/>
      <c r="BF312" s="193"/>
      <c r="BG312" s="193"/>
      <c r="BH312" s="92"/>
      <c r="BI312" s="56"/>
      <c r="BJ312" s="35"/>
      <c r="BK312" s="51"/>
      <c r="BL312" s="113"/>
      <c r="BM312" s="699"/>
      <c r="BN312" s="93"/>
      <c r="BO312" s="161"/>
      <c r="BP312" s="64"/>
      <c r="BQ312" s="54"/>
      <c r="BR312" s="92"/>
      <c r="BS312" s="295"/>
      <c r="BT312" s="193"/>
      <c r="BU312" s="193"/>
      <c r="BV312" s="193"/>
      <c r="BW312" s="193"/>
      <c r="BX312" s="51"/>
      <c r="BY312" s="199"/>
      <c r="BZ312" s="53"/>
      <c r="CA312" s="93"/>
      <c r="CB312" s="93"/>
      <c r="CC312" s="699"/>
      <c r="CD312" s="93"/>
      <c r="CE312" s="51"/>
      <c r="CF312" s="51"/>
      <c r="CG312" s="51"/>
      <c r="CH312" s="193"/>
      <c r="CI312" s="199"/>
      <c r="CJ312" s="35"/>
      <c r="CK312" s="295"/>
      <c r="CL312" s="193"/>
      <c r="CM312" s="51"/>
      <c r="CN312" s="92"/>
      <c r="CO312" s="93"/>
      <c r="CP312" s="93"/>
      <c r="CQ312" s="93"/>
      <c r="CR312" s="93"/>
      <c r="CS312" s="699"/>
      <c r="CT312" s="93"/>
      <c r="CU312" s="93"/>
      <c r="CV312" s="93"/>
      <c r="CW312" s="64"/>
      <c r="CX312" s="35"/>
      <c r="CY312" s="193"/>
      <c r="CZ312" s="193"/>
      <c r="DA312" s="193"/>
      <c r="DB312" s="92"/>
      <c r="DC312" s="92"/>
      <c r="DD312" s="199"/>
      <c r="DE312" s="35"/>
      <c r="DF312" s="93"/>
      <c r="DG312" s="160"/>
      <c r="DH312" s="93"/>
      <c r="DI312" s="699"/>
      <c r="DJ312" s="93"/>
      <c r="DK312" s="64"/>
      <c r="DL312" s="35"/>
      <c r="DM312" s="93"/>
      <c r="DN312" s="193"/>
      <c r="DO312" s="193"/>
      <c r="DP312" s="295"/>
      <c r="DQ312" s="193"/>
      <c r="DR312" s="193"/>
      <c r="DS312" s="93"/>
      <c r="DT312" s="199"/>
      <c r="DU312" s="35"/>
      <c r="DV312" s="93"/>
      <c r="DW312" s="160"/>
      <c r="DX312" s="79"/>
      <c r="DY312" s="93"/>
    </row>
    <row r="313" spans="1:129">
      <c r="A313" s="51"/>
      <c r="B313" s="51"/>
      <c r="C313" s="51"/>
      <c r="D313" s="92"/>
      <c r="E313" s="51"/>
      <c r="F313" s="193"/>
      <c r="G313" s="193"/>
      <c r="H313" s="51"/>
      <c r="I313" s="193"/>
      <c r="J313" s="295"/>
      <c r="K313" s="92"/>
      <c r="L313" s="92"/>
      <c r="M313" s="160"/>
      <c r="N313" s="51"/>
      <c r="O313" s="51"/>
      <c r="P313" s="113"/>
      <c r="Q313" s="699"/>
      <c r="R313" s="93"/>
      <c r="S313" s="93"/>
      <c r="T313" s="93"/>
      <c r="U313" s="92"/>
      <c r="V313" s="295"/>
      <c r="W313" s="160"/>
      <c r="X313" s="299"/>
      <c r="Y313" s="199"/>
      <c r="Z313" s="93"/>
      <c r="AA313" s="93"/>
      <c r="AB313" s="51"/>
      <c r="AC313" s="93"/>
      <c r="AD313" s="93"/>
      <c r="AE313" s="93"/>
      <c r="AF313" s="79"/>
      <c r="AG313" s="51"/>
      <c r="AH313" s="51"/>
      <c r="AI313" s="51"/>
      <c r="AJ313" s="160"/>
      <c r="AK313" s="92"/>
      <c r="AL313" s="64"/>
      <c r="AM313" s="64"/>
      <c r="AN313" s="193"/>
      <c r="AO313" s="295"/>
      <c r="AP313" s="51"/>
      <c r="AQ313" s="64"/>
      <c r="AR313" s="51"/>
      <c r="AS313" s="51"/>
      <c r="AT313" s="51"/>
      <c r="AU313" s="51"/>
      <c r="AV313" s="82"/>
      <c r="AW313" s="699"/>
      <c r="AX313" s="93"/>
      <c r="AY313" s="161"/>
      <c r="AZ313" s="64"/>
      <c r="BA313" s="51"/>
      <c r="BB313" s="51"/>
      <c r="BC313" s="295"/>
      <c r="BD313" s="193"/>
      <c r="BE313" s="193"/>
      <c r="BF313" s="193"/>
      <c r="BG313" s="295"/>
      <c r="BH313" s="92"/>
      <c r="BI313" s="92"/>
      <c r="BJ313" s="199"/>
      <c r="BK313" s="51"/>
      <c r="BL313" s="113"/>
      <c r="BM313" s="699"/>
      <c r="BN313" s="93"/>
      <c r="BO313" s="161"/>
      <c r="BP313" s="92"/>
      <c r="BQ313" s="92"/>
      <c r="BR313" s="92"/>
      <c r="BS313" s="299"/>
      <c r="BT313" s="193"/>
      <c r="BU313" s="51"/>
      <c r="BV313" s="193"/>
      <c r="BW313" s="193"/>
      <c r="BX313" s="51"/>
      <c r="BY313" s="51"/>
      <c r="BZ313" s="92"/>
      <c r="CA313" s="93"/>
      <c r="CB313" s="93"/>
      <c r="CC313" s="699"/>
      <c r="CD313" s="93"/>
      <c r="CE313" s="51"/>
      <c r="CF313" s="51"/>
      <c r="CG313" s="92"/>
      <c r="CH313" s="295"/>
      <c r="CI313" s="193"/>
      <c r="CJ313" s="295"/>
      <c r="CK313" s="295"/>
      <c r="CL313" s="295"/>
      <c r="CM313" s="51"/>
      <c r="CN313" s="51"/>
      <c r="CO313" s="93"/>
      <c r="CP313" s="93"/>
      <c r="CQ313" s="93"/>
      <c r="CR313" s="93"/>
      <c r="CS313" s="699"/>
      <c r="CT313" s="93"/>
      <c r="CU313" s="93"/>
      <c r="CV313" s="93"/>
      <c r="CW313" s="54"/>
      <c r="CX313" s="93"/>
      <c r="CY313" s="295"/>
      <c r="CZ313" s="295"/>
      <c r="DA313" s="295"/>
      <c r="DB313" s="92"/>
      <c r="DC313" s="51"/>
      <c r="DD313" s="51"/>
      <c r="DE313" s="51"/>
      <c r="DF313" s="93"/>
      <c r="DG313" s="93"/>
      <c r="DH313" s="93"/>
      <c r="DI313" s="699"/>
      <c r="DJ313" s="93"/>
      <c r="DK313" s="54"/>
      <c r="DL313" s="35"/>
      <c r="DM313" s="93"/>
      <c r="DN313" s="295"/>
      <c r="DO313" s="299"/>
      <c r="DP313" s="299"/>
      <c r="DQ313" s="295"/>
      <c r="DR313" s="295"/>
      <c r="DS313" s="93"/>
      <c r="DT313" s="93"/>
      <c r="DU313" s="93"/>
      <c r="DV313" s="93"/>
      <c r="DW313" s="93"/>
      <c r="DX313" s="79"/>
      <c r="DY313" s="93"/>
    </row>
    <row r="314" spans="1:129">
      <c r="A314" s="51"/>
      <c r="B314" s="51"/>
      <c r="C314" s="92"/>
      <c r="D314" s="51"/>
      <c r="E314" s="299"/>
      <c r="F314" s="295"/>
      <c r="G314" s="193"/>
      <c r="H314" s="51"/>
      <c r="I314" s="295"/>
      <c r="J314" s="299"/>
      <c r="K314" s="51"/>
      <c r="L314" s="92"/>
      <c r="M314" s="92"/>
      <c r="N314" s="51"/>
      <c r="O314" s="51"/>
      <c r="P314" s="82"/>
      <c r="Q314" s="699"/>
      <c r="R314" s="93"/>
      <c r="S314" s="93"/>
      <c r="T314" s="93"/>
      <c r="U314" s="51"/>
      <c r="V314" s="299"/>
      <c r="W314" s="295"/>
      <c r="X314" s="299"/>
      <c r="Y314" s="295"/>
      <c r="Z314" s="93"/>
      <c r="AA314" s="93"/>
      <c r="AB314" s="51"/>
      <c r="AC314" s="93"/>
      <c r="AD314" s="93"/>
      <c r="AE314" s="93"/>
      <c r="AF314" s="79"/>
      <c r="AG314" s="51"/>
      <c r="AH314" s="51"/>
      <c r="AI314" s="51"/>
      <c r="AJ314" s="51"/>
      <c r="AK314" s="92"/>
      <c r="AL314" s="302"/>
      <c r="AM314" s="299"/>
      <c r="AN314" s="299"/>
      <c r="AO314" s="193"/>
      <c r="AP314" s="51"/>
      <c r="AQ314" s="51"/>
      <c r="AR314" s="92"/>
      <c r="AS314" s="51"/>
      <c r="AT314" s="51"/>
      <c r="AU314" s="51"/>
      <c r="AV314" s="82"/>
      <c r="AW314" s="699"/>
      <c r="AX314" s="93"/>
      <c r="AY314" s="160"/>
      <c r="AZ314" s="51"/>
      <c r="BA314" s="51"/>
      <c r="BB314" s="51"/>
      <c r="BC314" s="299"/>
      <c r="BD314" s="193"/>
      <c r="BE314" s="193"/>
      <c r="BF314" s="295"/>
      <c r="BG314" s="92"/>
      <c r="BH314" s="92"/>
      <c r="BI314" s="92"/>
      <c r="BJ314" s="92"/>
      <c r="BK314" s="51"/>
      <c r="BL314" s="82"/>
      <c r="BM314" s="699"/>
      <c r="BN314" s="93"/>
      <c r="BO314" s="51"/>
      <c r="BP314" s="92"/>
      <c r="BQ314" s="92"/>
      <c r="BR314" s="92"/>
      <c r="BS314" s="299"/>
      <c r="BT314" s="193"/>
      <c r="BU314" s="51"/>
      <c r="BV314" s="193"/>
      <c r="BW314" s="295"/>
      <c r="BX314" s="295"/>
      <c r="BY314" s="51"/>
      <c r="BZ314" s="93"/>
      <c r="CA314" s="93"/>
      <c r="CB314" s="93"/>
      <c r="CC314" s="699"/>
      <c r="CD314" s="93"/>
      <c r="CE314" s="51"/>
      <c r="CF314" s="92"/>
      <c r="CG314" s="92"/>
      <c r="CH314" s="295"/>
      <c r="CI314" s="295"/>
      <c r="CJ314" s="295"/>
      <c r="CK314" s="295"/>
      <c r="CL314" s="299"/>
      <c r="CM314" s="51"/>
      <c r="CN314" s="51"/>
      <c r="CO314" s="93"/>
      <c r="CP314" s="93"/>
      <c r="CQ314" s="93"/>
      <c r="CR314" s="93"/>
      <c r="CS314" s="699"/>
      <c r="CT314" s="93"/>
      <c r="CU314" s="93"/>
      <c r="CV314" s="51"/>
      <c r="CW314" s="93"/>
      <c r="CX314" s="93"/>
      <c r="CY314" s="193"/>
      <c r="CZ314" s="299"/>
      <c r="DA314" s="299"/>
      <c r="DB314" s="92"/>
      <c r="DC314" s="92"/>
      <c r="DD314" s="51"/>
      <c r="DE314" s="51"/>
      <c r="DF314" s="93"/>
      <c r="DG314" s="93"/>
      <c r="DH314" s="93"/>
      <c r="DI314" s="699"/>
      <c r="DJ314" s="93"/>
      <c r="DK314" s="93"/>
      <c r="DL314" s="93"/>
      <c r="DM314" s="93"/>
      <c r="DN314" s="93"/>
      <c r="DO314" s="295"/>
      <c r="DP314" s="295"/>
      <c r="DQ314" s="299"/>
      <c r="DR314" s="295"/>
      <c r="DS314" s="51"/>
      <c r="DT314" s="93"/>
      <c r="DU314" s="93"/>
      <c r="DV314" s="93"/>
      <c r="DW314" s="93"/>
      <c r="DX314" s="79"/>
      <c r="DY314" s="93"/>
    </row>
    <row r="315" spans="1:129">
      <c r="A315" s="51"/>
      <c r="B315" s="51"/>
      <c r="C315" s="51"/>
      <c r="D315" s="51"/>
      <c r="E315" s="299"/>
      <c r="F315" s="295"/>
      <c r="G315" s="295"/>
      <c r="H315" s="51"/>
      <c r="I315" s="295"/>
      <c r="J315" s="295"/>
      <c r="K315" s="51"/>
      <c r="L315" s="92"/>
      <c r="M315" s="92"/>
      <c r="N315" s="51"/>
      <c r="O315" s="51"/>
      <c r="P315" s="82"/>
      <c r="Q315" s="699"/>
      <c r="R315" s="93"/>
      <c r="S315" s="93"/>
      <c r="T315" s="92"/>
      <c r="U315" s="299"/>
      <c r="V315" s="299"/>
      <c r="W315" s="193"/>
      <c r="X315" s="295"/>
      <c r="Y315" s="295"/>
      <c r="Z315" s="93"/>
      <c r="AA315" s="93"/>
      <c r="AB315" s="51"/>
      <c r="AC315" s="93"/>
      <c r="AD315" s="93"/>
      <c r="AE315" s="93"/>
      <c r="AF315" s="79"/>
      <c r="AG315" s="51"/>
      <c r="AH315" s="51"/>
      <c r="AI315" s="51"/>
      <c r="AJ315" s="51"/>
      <c r="AK315" s="51"/>
      <c r="AL315" s="302"/>
      <c r="AM315" s="295"/>
      <c r="AN315" s="299"/>
      <c r="AO315" s="193"/>
      <c r="AP315" s="51"/>
      <c r="AQ315" s="51"/>
      <c r="AR315" s="92"/>
      <c r="AS315" s="51"/>
      <c r="AT315" s="51"/>
      <c r="AU315" s="51"/>
      <c r="AV315" s="82"/>
      <c r="AW315" s="699"/>
      <c r="AX315" s="93"/>
      <c r="AY315" s="93"/>
      <c r="AZ315" s="51"/>
      <c r="BA315" s="51"/>
      <c r="BB315" s="51"/>
      <c r="BC315" s="299"/>
      <c r="BD315" s="193"/>
      <c r="BE315" s="193"/>
      <c r="BF315" s="295"/>
      <c r="BG315" s="92"/>
      <c r="BH315" s="92"/>
      <c r="BI315" s="92"/>
      <c r="BJ315" s="92"/>
      <c r="BK315" s="92"/>
      <c r="BL315" s="82"/>
      <c r="BM315" s="699"/>
      <c r="BN315" s="93"/>
      <c r="BO315" s="93"/>
      <c r="BP315" s="51"/>
      <c r="BQ315" s="92"/>
      <c r="BR315" s="92"/>
      <c r="BS315" s="295"/>
      <c r="BT315" s="193"/>
      <c r="BU315" s="51"/>
      <c r="BV315" s="295"/>
      <c r="BW315" s="295"/>
      <c r="BX315" s="193"/>
      <c r="BY315" s="51"/>
      <c r="BZ315" s="93"/>
      <c r="CA315" s="93"/>
      <c r="CB315" s="93"/>
      <c r="CC315" s="699"/>
      <c r="CD315" s="93"/>
      <c r="CE315" s="92"/>
      <c r="CF315" s="92"/>
      <c r="CG315" s="92"/>
      <c r="CH315" s="295"/>
      <c r="CI315" s="295"/>
      <c r="CJ315" s="299"/>
      <c r="CK315" s="193"/>
      <c r="CL315" s="299"/>
      <c r="CM315" s="299"/>
      <c r="CN315" s="51"/>
      <c r="CO315" s="93"/>
      <c r="CP315" s="93"/>
      <c r="CQ315" s="93"/>
      <c r="CR315" s="93"/>
      <c r="CS315" s="699"/>
      <c r="CT315" s="93"/>
      <c r="CU315" s="93"/>
      <c r="CV315" s="93"/>
      <c r="CW315" s="52"/>
      <c r="CX315" s="52"/>
      <c r="CY315" s="193"/>
      <c r="CZ315" s="295"/>
      <c r="DA315" s="299"/>
      <c r="DB315" s="302"/>
      <c r="DC315" s="51"/>
      <c r="DD315" s="51"/>
      <c r="DE315" s="51"/>
      <c r="DF315" s="93"/>
      <c r="DG315" s="93"/>
      <c r="DH315" s="93"/>
      <c r="DI315" s="699"/>
      <c r="DJ315" s="93"/>
      <c r="DK315" s="93"/>
      <c r="DL315" s="52"/>
      <c r="DM315" s="93"/>
      <c r="DN315" s="93"/>
      <c r="DO315" s="193"/>
      <c r="DP315" s="295"/>
      <c r="DQ315" s="295"/>
      <c r="DR315" s="299"/>
      <c r="DS315" s="93"/>
      <c r="DT315" s="93"/>
      <c r="DU315" s="92"/>
      <c r="DV315" s="93"/>
      <c r="DW315" s="93"/>
      <c r="DX315" s="79"/>
      <c r="DY315" s="93"/>
    </row>
    <row r="316" spans="1:129">
      <c r="A316" s="51"/>
      <c r="B316" s="51"/>
      <c r="C316" s="92"/>
      <c r="D316" s="51"/>
      <c r="E316" s="295"/>
      <c r="F316" s="299"/>
      <c r="G316" s="51"/>
      <c r="H316" s="51"/>
      <c r="I316" s="295"/>
      <c r="J316" s="295"/>
      <c r="K316" s="51"/>
      <c r="L316" s="92"/>
      <c r="M316" s="92"/>
      <c r="N316" s="51"/>
      <c r="O316" s="51"/>
      <c r="P316" s="82"/>
      <c r="Q316" s="699"/>
      <c r="R316" s="93"/>
      <c r="S316" s="93"/>
      <c r="T316" s="92"/>
      <c r="U316" s="299"/>
      <c r="V316" s="295"/>
      <c r="W316" s="93"/>
      <c r="X316" s="299"/>
      <c r="Y316" s="295"/>
      <c r="Z316" s="93"/>
      <c r="AA316" s="52"/>
      <c r="AB316" s="51"/>
      <c r="AC316" s="93"/>
      <c r="AD316" s="93"/>
      <c r="AE316" s="93"/>
      <c r="AF316" s="79"/>
      <c r="AG316" s="51"/>
      <c r="AH316" s="51"/>
      <c r="AI316" s="51"/>
      <c r="AJ316" s="51"/>
      <c r="AK316" s="51"/>
      <c r="AL316" s="299"/>
      <c r="AM316" s="193"/>
      <c r="AN316" s="299"/>
      <c r="AO316" s="193"/>
      <c r="AP316" s="193"/>
      <c r="AQ316" s="51"/>
      <c r="AR316" s="92"/>
      <c r="AS316" s="51"/>
      <c r="AT316" s="51"/>
      <c r="AU316" s="51"/>
      <c r="AV316" s="82"/>
      <c r="AW316" s="699"/>
      <c r="AX316" s="93"/>
      <c r="AY316" s="93"/>
      <c r="AZ316" s="92"/>
      <c r="BA316" s="51"/>
      <c r="BB316" s="51"/>
      <c r="BC316" s="295"/>
      <c r="BD316" s="193"/>
      <c r="BE316" s="295"/>
      <c r="BF316" s="92"/>
      <c r="BG316" s="92"/>
      <c r="BH316" s="92"/>
      <c r="BI316" s="51"/>
      <c r="BJ316" s="51"/>
      <c r="BK316" s="51"/>
      <c r="BL316" s="82"/>
      <c r="BM316" s="699"/>
      <c r="BN316" s="93"/>
      <c r="BO316" s="51"/>
      <c r="BP316" s="92"/>
      <c r="BQ316" s="92"/>
      <c r="BR316" s="51"/>
      <c r="BS316" s="193"/>
      <c r="BT316" s="295"/>
      <c r="BU316" s="51"/>
      <c r="BV316" s="51"/>
      <c r="BW316" s="299"/>
      <c r="BX316" s="295"/>
      <c r="BY316" s="51"/>
      <c r="BZ316" s="93"/>
      <c r="CA316" s="93"/>
      <c r="CB316" s="93"/>
      <c r="CC316" s="699"/>
      <c r="CD316" s="93"/>
      <c r="CE316" s="51"/>
      <c r="CF316" s="92"/>
      <c r="CG316" s="92"/>
      <c r="CH316" s="295"/>
      <c r="CI316" s="295"/>
      <c r="CJ316" s="51"/>
      <c r="CK316" s="193"/>
      <c r="CL316" s="295"/>
      <c r="CM316" s="299"/>
      <c r="CN316" s="51"/>
      <c r="CO316" s="93"/>
      <c r="CP316" s="93"/>
      <c r="CQ316" s="93"/>
      <c r="CR316" s="93"/>
      <c r="CS316" s="699"/>
      <c r="CT316" s="93"/>
      <c r="CU316" s="93"/>
      <c r="CV316" s="92"/>
      <c r="CW316" s="51"/>
      <c r="CX316" s="193"/>
      <c r="CY316" s="193"/>
      <c r="CZ316" s="193"/>
      <c r="DA316" s="295"/>
      <c r="DB316" s="299"/>
      <c r="DC316" s="51"/>
      <c r="DD316" s="51"/>
      <c r="DE316" s="51"/>
      <c r="DF316" s="93"/>
      <c r="DG316" s="93"/>
      <c r="DH316" s="93"/>
      <c r="DI316" s="699"/>
      <c r="DJ316" s="93"/>
      <c r="DK316" s="93"/>
      <c r="DL316" s="52"/>
      <c r="DM316" s="52"/>
      <c r="DN316" s="93"/>
      <c r="DO316" s="193"/>
      <c r="DP316" s="193"/>
      <c r="DQ316" s="295"/>
      <c r="DR316" s="295"/>
      <c r="DS316" s="299"/>
      <c r="DT316" s="93"/>
      <c r="DU316" s="93"/>
      <c r="DV316" s="93"/>
      <c r="DW316" s="93"/>
      <c r="DX316" s="79"/>
      <c r="DY316" s="93"/>
    </row>
    <row r="317" spans="1:129">
      <c r="A317" s="51"/>
      <c r="B317" s="51"/>
      <c r="C317" s="51"/>
      <c r="D317" s="51"/>
      <c r="E317" s="299"/>
      <c r="F317" s="295"/>
      <c r="G317" s="51"/>
      <c r="H317" s="51"/>
      <c r="I317" s="299"/>
      <c r="J317" s="295"/>
      <c r="K317" s="51"/>
      <c r="L317" s="92"/>
      <c r="M317" s="51"/>
      <c r="N317" s="51"/>
      <c r="O317" s="51"/>
      <c r="P317" s="82"/>
      <c r="Q317" s="699"/>
      <c r="R317" s="93"/>
      <c r="S317" s="93"/>
      <c r="T317" s="51"/>
      <c r="U317" s="299"/>
      <c r="V317" s="193"/>
      <c r="W317" s="51"/>
      <c r="X317" s="295"/>
      <c r="Y317" s="295"/>
      <c r="Z317" s="193"/>
      <c r="AA317" s="52"/>
      <c r="AB317" s="52"/>
      <c r="AC317" s="93"/>
      <c r="AD317" s="93"/>
      <c r="AE317" s="93"/>
      <c r="AF317" s="79"/>
      <c r="AG317" s="51"/>
      <c r="AH317" s="51"/>
      <c r="AI317" s="51"/>
      <c r="AJ317" s="51"/>
      <c r="AK317" s="299"/>
      <c r="AL317" s="299"/>
      <c r="AM317" s="193"/>
      <c r="AN317" s="295"/>
      <c r="AO317" s="295"/>
      <c r="AP317" s="193"/>
      <c r="AQ317" s="51"/>
      <c r="AR317" s="92"/>
      <c r="AS317" s="51"/>
      <c r="AT317" s="51"/>
      <c r="AU317" s="51"/>
      <c r="AV317" s="82"/>
      <c r="AW317" s="699"/>
      <c r="AX317" s="93"/>
      <c r="AY317" s="93"/>
      <c r="AZ317" s="51"/>
      <c r="BA317" s="52"/>
      <c r="BB317" s="52"/>
      <c r="BC317" s="52"/>
      <c r="BD317" s="193"/>
      <c r="BE317" s="295"/>
      <c r="BF317" s="92"/>
      <c r="BG317" s="92"/>
      <c r="BH317" s="51"/>
      <c r="BI317" s="51"/>
      <c r="BJ317" s="51"/>
      <c r="BK317" s="51"/>
      <c r="BL317" s="82"/>
      <c r="BM317" s="699"/>
      <c r="BN317" s="93"/>
      <c r="BO317" s="51"/>
      <c r="BP317" s="51"/>
      <c r="BQ317" s="51"/>
      <c r="BR317" s="51"/>
      <c r="BS317" s="193"/>
      <c r="BT317" s="295"/>
      <c r="BU317" s="51"/>
      <c r="BV317" s="51"/>
      <c r="BW317" s="295"/>
      <c r="BX317" s="193"/>
      <c r="BY317" s="51"/>
      <c r="BZ317" s="93"/>
      <c r="CA317" s="93"/>
      <c r="CB317" s="93"/>
      <c r="CC317" s="699"/>
      <c r="CD317" s="93"/>
      <c r="CE317" s="51"/>
      <c r="CF317" s="51"/>
      <c r="CG317" s="92"/>
      <c r="CH317" s="295"/>
      <c r="CI317" s="193"/>
      <c r="CJ317" s="51"/>
      <c r="CK317" s="51"/>
      <c r="CL317" s="193"/>
      <c r="CM317" s="299"/>
      <c r="CN317" s="52"/>
      <c r="CO317" s="93"/>
      <c r="CP317" s="93"/>
      <c r="CQ317" s="93"/>
      <c r="CR317" s="93"/>
      <c r="CS317" s="699"/>
      <c r="CT317" s="93"/>
      <c r="CU317" s="93"/>
      <c r="CV317" s="92"/>
      <c r="CW317" s="51"/>
      <c r="CX317" s="193"/>
      <c r="CY317" s="295"/>
      <c r="CZ317" s="92"/>
      <c r="DA317" s="193"/>
      <c r="DB317" s="295"/>
      <c r="DC317" s="299"/>
      <c r="DD317" s="51"/>
      <c r="DE317" s="293"/>
      <c r="DF317" s="93"/>
      <c r="DG317" s="93"/>
      <c r="DH317" s="93"/>
      <c r="DI317" s="699"/>
      <c r="DJ317" s="93"/>
      <c r="DK317" s="93"/>
      <c r="DL317" s="52"/>
      <c r="DM317" s="52"/>
      <c r="DN317" s="93"/>
      <c r="DO317" s="193"/>
      <c r="DP317" s="193"/>
      <c r="DQ317" s="93"/>
      <c r="DR317" s="295"/>
      <c r="DS317" s="193"/>
      <c r="DT317" s="160"/>
      <c r="DU317" s="160"/>
      <c r="DV317" s="93"/>
      <c r="DW317" s="93"/>
      <c r="DX317" s="79"/>
      <c r="DY317" s="93"/>
    </row>
    <row r="318" spans="1:129">
      <c r="A318" s="51"/>
      <c r="B318" s="51"/>
      <c r="C318" s="51"/>
      <c r="D318" s="297"/>
      <c r="E318" s="295"/>
      <c r="F318" s="295"/>
      <c r="G318" s="51"/>
      <c r="H318" s="52"/>
      <c r="I318" s="299"/>
      <c r="J318" s="295"/>
      <c r="K318" s="51"/>
      <c r="L318" s="51"/>
      <c r="M318" s="51"/>
      <c r="N318" s="51"/>
      <c r="O318" s="51"/>
      <c r="P318" s="82"/>
      <c r="Q318" s="699"/>
      <c r="R318" s="93"/>
      <c r="S318" s="93"/>
      <c r="T318" s="51"/>
      <c r="U318" s="299"/>
      <c r="V318" s="193"/>
      <c r="W318" s="51"/>
      <c r="X318" s="51"/>
      <c r="Y318" s="295"/>
      <c r="Z318" s="193"/>
      <c r="AA318" s="52"/>
      <c r="AB318" s="52"/>
      <c r="AC318" s="93"/>
      <c r="AD318" s="93"/>
      <c r="AE318" s="93"/>
      <c r="AF318" s="79"/>
      <c r="AG318" s="51"/>
      <c r="AH318" s="51"/>
      <c r="AI318" s="51"/>
      <c r="AJ318" s="51"/>
      <c r="AK318" s="299"/>
      <c r="AL318" s="295"/>
      <c r="AM318" s="51"/>
      <c r="AN318" s="92"/>
      <c r="AO318" s="295"/>
      <c r="AP318" s="193"/>
      <c r="AQ318" s="51"/>
      <c r="AR318" s="92"/>
      <c r="AS318" s="51"/>
      <c r="AT318" s="51"/>
      <c r="AU318" s="51"/>
      <c r="AV318" s="82"/>
      <c r="AW318" s="699"/>
      <c r="AX318" s="93"/>
      <c r="AY318" s="93"/>
      <c r="AZ318" s="52"/>
      <c r="BA318" s="51"/>
      <c r="BB318" s="51"/>
      <c r="BC318" s="51"/>
      <c r="BD318" s="295"/>
      <c r="BE318" s="295"/>
      <c r="BF318" s="193"/>
      <c r="BG318" s="51"/>
      <c r="BH318" s="51"/>
      <c r="BI318" s="51"/>
      <c r="BJ318" s="51"/>
      <c r="BK318" s="51"/>
      <c r="BL318" s="82"/>
      <c r="BM318" s="699"/>
      <c r="BN318" s="93"/>
      <c r="BO318" s="51"/>
      <c r="BP318" s="51"/>
      <c r="BQ318" s="51"/>
      <c r="BR318" s="51"/>
      <c r="BS318" s="295"/>
      <c r="BT318" s="299"/>
      <c r="BU318" s="52"/>
      <c r="BV318" s="51"/>
      <c r="BW318" s="295"/>
      <c r="BX318" s="295"/>
      <c r="BY318" s="297"/>
      <c r="BZ318" s="93"/>
      <c r="CA318" s="93"/>
      <c r="CB318" s="93"/>
      <c r="CC318" s="699"/>
      <c r="CD318" s="93"/>
      <c r="CE318" s="51"/>
      <c r="CF318" s="51"/>
      <c r="CG318" s="193"/>
      <c r="CH318" s="295"/>
      <c r="CI318" s="193"/>
      <c r="CJ318" s="51"/>
      <c r="CK318" s="51"/>
      <c r="CL318" s="193"/>
      <c r="CM318" s="295"/>
      <c r="CN318" s="297"/>
      <c r="CO318" s="93"/>
      <c r="CP318" s="93"/>
      <c r="CQ318" s="93"/>
      <c r="CR318" s="93"/>
      <c r="CS318" s="699"/>
      <c r="CT318" s="93"/>
      <c r="CU318" s="93"/>
      <c r="CV318" s="92"/>
      <c r="CW318" s="51"/>
      <c r="CX318" s="193"/>
      <c r="CY318" s="295"/>
      <c r="CZ318" s="92"/>
      <c r="DA318" s="51"/>
      <c r="DB318" s="193"/>
      <c r="DC318" s="295"/>
      <c r="DD318" s="160"/>
      <c r="DE318" s="160"/>
      <c r="DF318" s="93"/>
      <c r="DG318" s="93"/>
      <c r="DH318" s="93"/>
      <c r="DI318" s="699"/>
      <c r="DJ318" s="93"/>
      <c r="DK318" s="93"/>
      <c r="DL318" s="52"/>
      <c r="DM318" s="52"/>
      <c r="DN318" s="160"/>
      <c r="DO318" s="160"/>
      <c r="DP318" s="193"/>
      <c r="DQ318" s="93"/>
      <c r="DR318" s="93"/>
      <c r="DS318" s="160"/>
      <c r="DT318" s="160"/>
      <c r="DU318" s="93"/>
      <c r="DV318" s="93"/>
      <c r="DW318" s="93"/>
      <c r="DX318" s="79"/>
      <c r="DY318" s="93"/>
    </row>
    <row r="319" spans="1:129">
      <c r="A319" s="51"/>
      <c r="B319" s="92"/>
      <c r="C319" s="51"/>
      <c r="D319" s="291"/>
      <c r="E319" s="291"/>
      <c r="F319" s="291"/>
      <c r="G319" s="161"/>
      <c r="H319" s="51"/>
      <c r="I319" s="291"/>
      <c r="J319" s="291"/>
      <c r="K319" s="297"/>
      <c r="L319" s="51"/>
      <c r="M319" s="51"/>
      <c r="N319" s="51"/>
      <c r="O319" s="51"/>
      <c r="P319" s="82"/>
      <c r="Q319" s="699"/>
      <c r="R319" s="93"/>
      <c r="S319" s="93"/>
      <c r="T319" s="93"/>
      <c r="U319" s="291"/>
      <c r="V319" s="291"/>
      <c r="W319" s="51"/>
      <c r="X319" s="297"/>
      <c r="Y319" s="160"/>
      <c r="Z319" s="291"/>
      <c r="AA319" s="51"/>
      <c r="AB319" s="51"/>
      <c r="AC319" s="93"/>
      <c r="AD319" s="93"/>
      <c r="AE319" s="93"/>
      <c r="AF319" s="79"/>
      <c r="AG319" s="51"/>
      <c r="AH319" s="51"/>
      <c r="AI319" s="51"/>
      <c r="AJ319" s="93"/>
      <c r="AK319" s="291"/>
      <c r="AL319" s="291"/>
      <c r="AM319" s="51"/>
      <c r="AN319" s="293"/>
      <c r="AO319" s="291"/>
      <c r="AP319" s="291"/>
      <c r="AQ319" s="291"/>
      <c r="AR319" s="92"/>
      <c r="AS319" s="51"/>
      <c r="AT319" s="51"/>
      <c r="AU319" s="51"/>
      <c r="AV319" s="82"/>
      <c r="AW319" s="699"/>
      <c r="AX319" s="93"/>
      <c r="AY319" s="93"/>
      <c r="AZ319" s="51"/>
      <c r="BA319" s="51"/>
      <c r="BB319" s="51"/>
      <c r="BC319" s="297"/>
      <c r="BD319" s="193"/>
      <c r="BE319" s="193"/>
      <c r="BF319" s="291"/>
      <c r="BG319" s="51"/>
      <c r="BH319" s="51"/>
      <c r="BI319" s="51"/>
      <c r="BJ319" s="51"/>
      <c r="BK319" s="51"/>
      <c r="BL319" s="82"/>
      <c r="BM319" s="699"/>
      <c r="BN319" s="93"/>
      <c r="BO319" s="51"/>
      <c r="BP319" s="51"/>
      <c r="BQ319" s="51"/>
      <c r="BR319" s="291"/>
      <c r="BS319" s="291"/>
      <c r="BT319" s="291"/>
      <c r="BU319" s="51"/>
      <c r="BV319" s="161"/>
      <c r="BW319" s="291"/>
      <c r="BX319" s="291"/>
      <c r="BY319" s="291"/>
      <c r="BZ319" s="93"/>
      <c r="CA319" s="93"/>
      <c r="CB319" s="93"/>
      <c r="CC319" s="699"/>
      <c r="CD319" s="93"/>
      <c r="CE319" s="51"/>
      <c r="CF319" s="51"/>
      <c r="CG319" s="291"/>
      <c r="CH319" s="193"/>
      <c r="CI319" s="51"/>
      <c r="CJ319" s="51"/>
      <c r="CK319" s="51"/>
      <c r="CL319" s="160"/>
      <c r="CM319" s="160"/>
      <c r="CN319" s="291"/>
      <c r="CO319" s="93"/>
      <c r="CP319" s="93"/>
      <c r="CQ319" s="93"/>
      <c r="CR319" s="93"/>
      <c r="CS319" s="699"/>
      <c r="CT319" s="93"/>
      <c r="CU319" s="93"/>
      <c r="CV319" s="92"/>
      <c r="CW319" s="291"/>
      <c r="CX319" s="291"/>
      <c r="CY319" s="291"/>
      <c r="CZ319" s="293"/>
      <c r="DA319" s="51"/>
      <c r="DB319" s="160"/>
      <c r="DC319" s="160"/>
      <c r="DD319" s="160"/>
      <c r="DE319" s="51"/>
      <c r="DF319" s="93"/>
      <c r="DG319" s="93"/>
      <c r="DH319" s="93"/>
      <c r="DI319" s="699"/>
      <c r="DJ319" s="93"/>
      <c r="DK319" s="93"/>
      <c r="DL319" s="51"/>
      <c r="DM319" s="51"/>
      <c r="DN319" s="160"/>
      <c r="DO319" s="160"/>
      <c r="DP319" s="93"/>
      <c r="DQ319" s="93"/>
      <c r="DR319" s="93"/>
      <c r="DS319" s="160"/>
      <c r="DT319" s="93"/>
      <c r="DU319" s="93"/>
      <c r="DV319" s="93"/>
      <c r="DW319" s="93"/>
      <c r="DX319" s="79"/>
      <c r="DY319" s="93"/>
    </row>
    <row r="320" spans="1:129">
      <c r="A320" s="106"/>
      <c r="B320" s="106"/>
      <c r="C320" s="106"/>
      <c r="D320" s="106"/>
      <c r="E320" s="160"/>
      <c r="F320" s="160"/>
      <c r="G320" s="292"/>
      <c r="H320" s="103"/>
      <c r="I320" s="160"/>
      <c r="J320" s="160"/>
      <c r="K320" s="291"/>
      <c r="L320" s="103"/>
      <c r="M320" s="103"/>
      <c r="N320" s="103"/>
      <c r="O320" s="103"/>
      <c r="P320" s="116"/>
      <c r="Q320" s="700"/>
      <c r="R320" s="73"/>
      <c r="S320" s="73"/>
      <c r="T320" s="160"/>
      <c r="U320" s="160"/>
      <c r="V320" s="160"/>
      <c r="W320" s="51"/>
      <c r="X320" s="160"/>
      <c r="Y320" s="160"/>
      <c r="Z320" s="160"/>
      <c r="AA320" s="106"/>
      <c r="AB320" s="106"/>
      <c r="AC320" s="73"/>
      <c r="AD320" s="73"/>
      <c r="AE320" s="73"/>
      <c r="AF320" s="701"/>
      <c r="AG320" s="51"/>
      <c r="AH320" s="51"/>
      <c r="AI320" s="51"/>
      <c r="AJ320" s="160"/>
      <c r="AK320" s="160"/>
      <c r="AL320" s="160"/>
      <c r="AM320" s="51"/>
      <c r="AN320" s="291"/>
      <c r="AO320" s="160"/>
      <c r="AP320" s="160"/>
      <c r="AQ320" s="51"/>
      <c r="AR320" s="92"/>
      <c r="AS320" s="51"/>
      <c r="AT320" s="51"/>
      <c r="AU320" s="51"/>
      <c r="AV320" s="82"/>
      <c r="AW320" s="700"/>
      <c r="AX320" s="73"/>
      <c r="AY320" s="73"/>
      <c r="AZ320" s="106"/>
      <c r="BA320" s="106"/>
      <c r="BB320" s="291"/>
      <c r="BC320" s="291"/>
      <c r="BD320" s="160"/>
      <c r="BE320" s="160"/>
      <c r="BF320" s="160"/>
      <c r="BG320" s="103"/>
      <c r="BH320" s="103"/>
      <c r="BI320" s="103"/>
      <c r="BJ320" s="103"/>
      <c r="BK320" s="103"/>
      <c r="BL320" s="116"/>
      <c r="BM320" s="699"/>
      <c r="BN320" s="93"/>
      <c r="BO320" s="92"/>
      <c r="BP320" s="92"/>
      <c r="BQ320" s="92"/>
      <c r="BR320" s="291"/>
      <c r="BS320" s="160"/>
      <c r="BT320" s="160"/>
      <c r="BU320" s="92"/>
      <c r="BV320" s="292"/>
      <c r="BW320" s="160"/>
      <c r="BX320" s="160"/>
      <c r="BY320" s="51"/>
      <c r="BZ320" s="93"/>
      <c r="CA320" s="93"/>
      <c r="CB320" s="93"/>
      <c r="CC320" s="700"/>
      <c r="CD320" s="73"/>
      <c r="CE320" s="103"/>
      <c r="CF320" s="103"/>
      <c r="CG320" s="160"/>
      <c r="CH320" s="160"/>
      <c r="CI320" s="291"/>
      <c r="CJ320" s="51"/>
      <c r="CK320" s="51"/>
      <c r="CL320" s="160"/>
      <c r="CM320" s="106"/>
      <c r="CN320" s="106"/>
      <c r="CO320" s="73"/>
      <c r="CP320" s="73"/>
      <c r="CQ320" s="73"/>
      <c r="CR320" s="73"/>
      <c r="CS320" s="699"/>
      <c r="CT320" s="93"/>
      <c r="CU320" s="93"/>
      <c r="CV320" s="92"/>
      <c r="CW320" s="51"/>
      <c r="CX320" s="160"/>
      <c r="CY320" s="160"/>
      <c r="CZ320" s="291"/>
      <c r="DA320" s="51"/>
      <c r="DB320" s="51"/>
      <c r="DC320" s="160"/>
      <c r="DD320" s="51"/>
      <c r="DE320" s="51"/>
      <c r="DF320" s="93"/>
      <c r="DG320" s="93"/>
      <c r="DH320" s="93"/>
      <c r="DI320" s="700"/>
      <c r="DJ320" s="73"/>
      <c r="DK320" s="73"/>
      <c r="DL320" s="106"/>
      <c r="DM320" s="106"/>
      <c r="DN320" s="73"/>
      <c r="DO320" s="336"/>
      <c r="DP320" s="336"/>
      <c r="DQ320" s="73"/>
      <c r="DR320" s="73"/>
      <c r="DS320" s="73"/>
      <c r="DT320" s="103"/>
      <c r="DU320" s="73"/>
      <c r="DV320" s="73"/>
      <c r="DW320" s="73"/>
      <c r="DX320" s="701"/>
      <c r="DY320" s="93"/>
    </row>
    <row r="321" spans="1:129">
      <c r="A321" s="114"/>
      <c r="B321" s="51" t="s">
        <v>763</v>
      </c>
      <c r="C321" s="51"/>
      <c r="D321" s="51"/>
      <c r="E321" s="51"/>
      <c r="F321" s="92"/>
      <c r="G321" s="92"/>
      <c r="H321" s="51"/>
      <c r="I321" s="51"/>
      <c r="J321" s="51"/>
      <c r="K321" s="51"/>
      <c r="L321" s="92"/>
      <c r="M321" s="51"/>
      <c r="N321" s="51"/>
      <c r="O321" s="51"/>
      <c r="P321" s="82"/>
      <c r="Q321" s="753"/>
      <c r="R321" s="711"/>
      <c r="S321" s="711"/>
      <c r="T321" s="711"/>
      <c r="U321" s="711"/>
      <c r="V321" s="711"/>
      <c r="W321" s="711"/>
      <c r="X321" s="711"/>
      <c r="Y321" s="711"/>
      <c r="Z321" s="711"/>
      <c r="AA321" s="711"/>
      <c r="AB321" s="711"/>
      <c r="AC321" s="711"/>
      <c r="AD321" s="711"/>
      <c r="AE321" s="711"/>
      <c r="AF321" s="711"/>
      <c r="AG321" s="108"/>
      <c r="AH321" s="109"/>
      <c r="AI321" s="109"/>
      <c r="AJ321" s="109"/>
      <c r="AK321" s="109"/>
      <c r="AL321" s="110"/>
      <c r="AM321" s="110"/>
      <c r="AN321" s="109"/>
      <c r="AO321" s="109"/>
      <c r="AP321" s="109"/>
      <c r="AQ321" s="109"/>
      <c r="AR321" s="110"/>
      <c r="AS321" s="109"/>
      <c r="AT321" s="109"/>
      <c r="AU321" s="109"/>
      <c r="AV321" s="111"/>
      <c r="AW321" s="711"/>
      <c r="AX321" s="711"/>
      <c r="AY321" s="711"/>
      <c r="AZ321" s="711"/>
      <c r="BA321" s="711"/>
      <c r="BB321" s="711"/>
      <c r="BC321" s="711"/>
      <c r="BD321" s="711"/>
      <c r="BE321" s="711"/>
      <c r="BF321" s="711"/>
      <c r="BG321" s="711"/>
      <c r="BH321" s="711"/>
      <c r="BI321" s="711"/>
      <c r="BJ321" s="711"/>
      <c r="BK321" s="711"/>
      <c r="BL321" s="530"/>
      <c r="BM321" s="753"/>
      <c r="BN321" s="711"/>
      <c r="BO321" s="711"/>
      <c r="BP321" s="711"/>
      <c r="BQ321" s="711"/>
      <c r="BR321" s="711"/>
      <c r="BS321" s="711"/>
      <c r="BT321" s="711"/>
      <c r="BU321" s="711"/>
      <c r="BV321" s="711"/>
      <c r="BW321" s="711"/>
      <c r="BX321" s="711"/>
      <c r="BY321" s="711"/>
      <c r="BZ321" s="711"/>
      <c r="CA321" s="711"/>
      <c r="CB321" s="530"/>
      <c r="CC321" s="753"/>
      <c r="CD321" s="711"/>
      <c r="CE321" s="711"/>
      <c r="CF321" s="711"/>
      <c r="CG321" s="711"/>
      <c r="CH321" s="711"/>
      <c r="CI321" s="711"/>
      <c r="CJ321" s="711"/>
      <c r="CK321" s="711"/>
      <c r="CL321" s="711"/>
      <c r="CM321" s="711"/>
      <c r="CN321" s="711"/>
      <c r="CO321" s="711"/>
      <c r="CP321" s="711"/>
      <c r="CQ321" s="711"/>
      <c r="CR321" s="711"/>
      <c r="CS321" s="753"/>
      <c r="CT321" s="711"/>
      <c r="CU321" s="711"/>
      <c r="CV321" s="110"/>
      <c r="CW321" s="109"/>
      <c r="CX321" s="109"/>
      <c r="CY321" s="109"/>
      <c r="CZ321" s="109"/>
      <c r="DA321" s="110"/>
      <c r="DB321" s="110"/>
      <c r="DC321" s="109"/>
      <c r="DD321" s="109"/>
      <c r="DE321" s="109"/>
      <c r="DF321" s="711"/>
      <c r="DG321" s="711"/>
      <c r="DH321" s="530"/>
      <c r="DI321" s="753"/>
      <c r="DJ321" s="711"/>
      <c r="DK321" s="711"/>
      <c r="DL321" s="711"/>
      <c r="DM321" s="711"/>
      <c r="DN321" s="711"/>
      <c r="DO321" s="711"/>
      <c r="DP321" s="711"/>
      <c r="DQ321" s="711"/>
      <c r="DR321" s="711"/>
      <c r="DS321" s="711"/>
      <c r="DT321" s="711"/>
      <c r="DU321" s="711"/>
      <c r="DV321" s="711"/>
      <c r="DW321" s="711"/>
      <c r="DX321" s="530"/>
    </row>
    <row r="322" spans="1:129">
      <c r="A322" s="92"/>
      <c r="B322" s="92"/>
      <c r="C322" s="92"/>
      <c r="D322" s="92"/>
      <c r="E322" s="92"/>
      <c r="F322" s="92"/>
      <c r="G322" s="92"/>
      <c r="H322" s="92"/>
      <c r="I322" s="92"/>
      <c r="J322" s="92"/>
      <c r="K322" s="92"/>
      <c r="L322" s="92"/>
      <c r="M322" s="92"/>
      <c r="N322" s="92"/>
      <c r="O322" s="92"/>
      <c r="P322" s="113"/>
      <c r="Q322" s="699"/>
      <c r="R322" s="93"/>
      <c r="S322" s="93"/>
      <c r="T322" s="93"/>
      <c r="U322" s="93"/>
      <c r="V322" s="93"/>
      <c r="W322" s="93"/>
      <c r="X322" s="93"/>
      <c r="Y322" s="93"/>
      <c r="Z322" s="93"/>
      <c r="AA322" s="93"/>
      <c r="AB322" s="93"/>
      <c r="AC322" s="93"/>
      <c r="AD322" s="93"/>
      <c r="AE322" s="93"/>
      <c r="AF322" s="93"/>
      <c r="AG322" s="114"/>
      <c r="AH322" s="51"/>
      <c r="AI322" s="51"/>
      <c r="AJ322" s="51"/>
      <c r="AK322" s="51"/>
      <c r="AL322" s="92"/>
      <c r="AM322" s="92"/>
      <c r="AN322" s="51"/>
      <c r="AO322" s="51"/>
      <c r="AP322" s="51"/>
      <c r="AQ322" s="51"/>
      <c r="AR322" s="92"/>
      <c r="AS322" s="51"/>
      <c r="AT322" s="51"/>
      <c r="AU322" s="51"/>
      <c r="AV322" s="82"/>
      <c r="AW322" s="93"/>
      <c r="AX322" s="93"/>
      <c r="AY322" s="93"/>
      <c r="AZ322" s="93"/>
      <c r="BA322" s="93"/>
      <c r="BB322" s="93"/>
      <c r="BC322" s="93"/>
      <c r="BD322" s="93"/>
      <c r="BE322" s="93"/>
      <c r="BF322" s="93"/>
      <c r="BG322" s="93"/>
      <c r="BH322" s="93"/>
      <c r="BI322" s="93"/>
      <c r="BJ322" s="93"/>
      <c r="BK322" s="93"/>
      <c r="BL322" s="79"/>
      <c r="BM322" s="699"/>
      <c r="BN322" s="93"/>
      <c r="BO322" s="93"/>
      <c r="BP322" s="93"/>
      <c r="BQ322" s="93"/>
      <c r="BR322" s="93"/>
      <c r="BS322" s="93"/>
      <c r="BT322" s="93"/>
      <c r="BU322" s="93"/>
      <c r="BV322" s="93"/>
      <c r="BW322" s="93"/>
      <c r="BX322" s="93"/>
      <c r="BY322" s="93"/>
      <c r="BZ322" s="93"/>
      <c r="CA322" s="93"/>
      <c r="CB322" s="79"/>
      <c r="CC322" s="699"/>
      <c r="CD322" s="93"/>
      <c r="CE322" s="93"/>
      <c r="CF322" s="93"/>
      <c r="CG322" s="93"/>
      <c r="CH322" s="93"/>
      <c r="CI322" s="93"/>
      <c r="CJ322" s="93"/>
      <c r="CK322" s="93"/>
      <c r="CL322" s="93"/>
      <c r="CM322" s="93"/>
      <c r="CN322" s="93"/>
      <c r="CO322" s="93"/>
      <c r="CP322" s="93"/>
      <c r="CQ322" s="93"/>
      <c r="CR322" s="93"/>
      <c r="CS322" s="699"/>
      <c r="CT322" s="93"/>
      <c r="CU322" s="93"/>
      <c r="CV322" s="92"/>
      <c r="CW322" s="51"/>
      <c r="CX322" s="51"/>
      <c r="CY322" s="51"/>
      <c r="CZ322" s="51"/>
      <c r="DA322" s="92"/>
      <c r="DB322" s="92"/>
      <c r="DC322" s="51"/>
      <c r="DD322" s="51"/>
      <c r="DE322" s="51"/>
      <c r="DF322" s="93"/>
      <c r="DG322" s="93"/>
      <c r="DH322" s="79"/>
      <c r="DI322" s="699"/>
      <c r="DJ322" s="93"/>
      <c r="DK322" s="93"/>
      <c r="DL322" s="93"/>
      <c r="DM322" s="93"/>
      <c r="DN322" s="93"/>
      <c r="DO322" s="93"/>
      <c r="DP322" s="93"/>
      <c r="DQ322" s="93"/>
      <c r="DR322" s="93"/>
      <c r="DS322" s="93"/>
      <c r="DT322" s="93"/>
      <c r="DU322" s="93"/>
      <c r="DV322" s="93"/>
      <c r="DW322" s="93"/>
      <c r="DX322" s="79"/>
    </row>
    <row r="323" spans="1:129">
      <c r="A323" s="51"/>
      <c r="B323" s="92"/>
      <c r="C323" s="92"/>
      <c r="D323" s="92"/>
      <c r="E323" s="51"/>
      <c r="F323" s="92"/>
      <c r="G323" s="92"/>
      <c r="H323" s="92"/>
      <c r="I323" s="92"/>
      <c r="J323" s="92"/>
      <c r="K323" s="92"/>
      <c r="L323" s="92"/>
      <c r="M323" s="92"/>
      <c r="N323" s="92"/>
      <c r="O323" s="92"/>
      <c r="P323" s="113"/>
      <c r="Q323" s="699"/>
      <c r="R323" s="93"/>
      <c r="S323" s="93"/>
      <c r="T323" s="93"/>
      <c r="U323" s="93"/>
      <c r="V323" s="93"/>
      <c r="W323" s="93"/>
      <c r="X323" s="93"/>
      <c r="Y323" s="93"/>
      <c r="Z323" s="93"/>
      <c r="AA323" s="93"/>
      <c r="AB323" s="93"/>
      <c r="AC323" s="93"/>
      <c r="AD323" s="93"/>
      <c r="AE323" s="93"/>
      <c r="AF323" s="93"/>
      <c r="AG323" s="114"/>
      <c r="AH323" s="51"/>
      <c r="AI323" s="51"/>
      <c r="AJ323" s="51"/>
      <c r="AK323" s="51"/>
      <c r="AL323" s="92"/>
      <c r="AM323" s="92"/>
      <c r="AN323" s="51"/>
      <c r="AO323" s="51"/>
      <c r="AP323" s="51"/>
      <c r="AQ323" s="51"/>
      <c r="AR323" s="92"/>
      <c r="AS323" s="51"/>
      <c r="AT323" s="51"/>
      <c r="AU323" s="51"/>
      <c r="AV323" s="82"/>
      <c r="AW323" s="93"/>
      <c r="AX323" s="93"/>
      <c r="AY323" s="93"/>
      <c r="AZ323" s="93"/>
      <c r="BA323" s="93"/>
      <c r="BB323" s="93"/>
      <c r="BC323" s="93"/>
      <c r="BD323" s="93"/>
      <c r="BE323" s="93"/>
      <c r="BF323" s="93"/>
      <c r="BG323" s="93"/>
      <c r="BH323" s="93"/>
      <c r="BI323" s="93"/>
      <c r="BJ323" s="93"/>
      <c r="BK323" s="93"/>
      <c r="BL323" s="79"/>
      <c r="BM323" s="699"/>
      <c r="BN323" s="93"/>
      <c r="BO323" s="93"/>
      <c r="BP323" s="93"/>
      <c r="BQ323" s="93"/>
      <c r="BR323" s="93"/>
      <c r="BS323" s="93"/>
      <c r="BT323" s="93"/>
      <c r="BU323" s="93"/>
      <c r="BV323" s="93"/>
      <c r="BW323" s="93"/>
      <c r="BX323" s="93"/>
      <c r="BY323" s="93"/>
      <c r="BZ323" s="93"/>
      <c r="CA323" s="93"/>
      <c r="CB323" s="79"/>
      <c r="CC323" s="699"/>
      <c r="CD323" s="93"/>
      <c r="CE323" s="93"/>
      <c r="CF323" s="93"/>
      <c r="CG323" s="93"/>
      <c r="CH323" s="93"/>
      <c r="CI323" s="93"/>
      <c r="CJ323" s="93"/>
      <c r="CK323" s="93"/>
      <c r="CL323" s="93"/>
      <c r="CM323" s="93"/>
      <c r="CN323" s="93"/>
      <c r="CO323" s="93"/>
      <c r="CP323" s="93"/>
      <c r="CQ323" s="93"/>
      <c r="CR323" s="93"/>
      <c r="CS323" s="699"/>
      <c r="CT323" s="93"/>
      <c r="CU323" s="93"/>
      <c r="CV323" s="92"/>
      <c r="CW323" s="51"/>
      <c r="CX323" s="51"/>
      <c r="CY323" s="51"/>
      <c r="CZ323" s="51"/>
      <c r="DA323" s="92"/>
      <c r="DB323" s="92"/>
      <c r="DC323" s="51"/>
      <c r="DD323" s="51"/>
      <c r="DE323" s="51"/>
      <c r="DF323" s="93"/>
      <c r="DG323" s="93"/>
      <c r="DH323" s="79"/>
      <c r="DI323" s="699"/>
      <c r="DJ323" s="93"/>
      <c r="DK323" s="93"/>
      <c r="DL323" s="93"/>
      <c r="DM323" s="93"/>
      <c r="DN323" s="93"/>
      <c r="DO323" s="93"/>
      <c r="DP323" s="93"/>
      <c r="DQ323" s="93"/>
      <c r="DR323" s="93"/>
      <c r="DS323" s="93"/>
      <c r="DT323" s="93"/>
      <c r="DU323" s="93"/>
      <c r="DV323" s="93"/>
      <c r="DW323" s="93"/>
      <c r="DX323" s="79"/>
    </row>
    <row r="324" spans="1:129">
      <c r="A324" s="92"/>
      <c r="B324" s="92"/>
      <c r="C324" s="92"/>
      <c r="D324" s="92"/>
      <c r="E324" s="51"/>
      <c r="F324" s="92"/>
      <c r="G324" s="92"/>
      <c r="H324" s="92"/>
      <c r="I324" s="92"/>
      <c r="J324" s="92"/>
      <c r="K324" s="92"/>
      <c r="L324" s="92"/>
      <c r="M324" s="92"/>
      <c r="N324" s="92"/>
      <c r="O324" s="92"/>
      <c r="P324" s="113"/>
      <c r="Q324" s="699"/>
      <c r="R324" s="93"/>
      <c r="S324" s="93"/>
      <c r="T324" s="93"/>
      <c r="U324" s="93"/>
      <c r="V324" s="93"/>
      <c r="W324" s="93"/>
      <c r="X324" s="93"/>
      <c r="Y324" s="93"/>
      <c r="Z324" s="93"/>
      <c r="AA324" s="93"/>
      <c r="AB324" s="93"/>
      <c r="AC324" s="93"/>
      <c r="AD324" s="93"/>
      <c r="AE324" s="93"/>
      <c r="AF324" s="93"/>
      <c r="AG324" s="114"/>
      <c r="AH324" s="51"/>
      <c r="AI324" s="51"/>
      <c r="AJ324" s="51"/>
      <c r="AK324" s="51"/>
      <c r="AL324" s="92"/>
      <c r="AM324" s="92"/>
      <c r="AN324" s="51"/>
      <c r="AO324" s="51"/>
      <c r="AP324" s="51"/>
      <c r="AQ324" s="51"/>
      <c r="AR324" s="92"/>
      <c r="AS324" s="51"/>
      <c r="AT324" s="51"/>
      <c r="AU324" s="51"/>
      <c r="AV324" s="82"/>
      <c r="AW324" s="93"/>
      <c r="AX324" s="93"/>
      <c r="AY324" s="93"/>
      <c r="AZ324" s="93"/>
      <c r="BA324" s="93"/>
      <c r="BB324" s="93"/>
      <c r="BC324" s="93"/>
      <c r="BD324" s="93"/>
      <c r="BE324" s="93"/>
      <c r="BF324" s="93"/>
      <c r="BG324" s="93"/>
      <c r="BH324" s="93"/>
      <c r="BI324" s="93"/>
      <c r="BJ324" s="93"/>
      <c r="BK324" s="93"/>
      <c r="BL324" s="79"/>
      <c r="BM324" s="699"/>
      <c r="BN324" s="93"/>
      <c r="BO324" s="93"/>
      <c r="BP324" s="93"/>
      <c r="BQ324" s="93"/>
      <c r="BR324" s="93"/>
      <c r="BS324" s="93"/>
      <c r="BT324" s="93"/>
      <c r="BU324" s="93"/>
      <c r="BV324" s="93"/>
      <c r="BW324" s="93"/>
      <c r="BX324" s="93"/>
      <c r="BY324" s="93"/>
      <c r="BZ324" s="93"/>
      <c r="CA324" s="93"/>
      <c r="CB324" s="79"/>
      <c r="CC324" s="699"/>
      <c r="CD324" s="93"/>
      <c r="CE324" s="93"/>
      <c r="CF324" s="93"/>
      <c r="CG324" s="93"/>
      <c r="CH324" s="93"/>
      <c r="CI324" s="93"/>
      <c r="CJ324" s="93"/>
      <c r="CK324" s="93"/>
      <c r="CL324" s="93"/>
      <c r="CM324" s="93"/>
      <c r="CN324" s="93"/>
      <c r="CO324" s="93"/>
      <c r="CP324" s="93"/>
      <c r="CQ324" s="93"/>
      <c r="CR324" s="93"/>
      <c r="CS324" s="699"/>
      <c r="CT324" s="93"/>
      <c r="CU324" s="93"/>
      <c r="CV324" s="92"/>
      <c r="CW324" s="51"/>
      <c r="CX324" s="51"/>
      <c r="CY324" s="51"/>
      <c r="CZ324" s="51"/>
      <c r="DA324" s="92"/>
      <c r="DB324" s="92"/>
      <c r="DC324" s="51"/>
      <c r="DD324" s="51"/>
      <c r="DE324" s="51"/>
      <c r="DF324" s="93"/>
      <c r="DG324" s="93"/>
      <c r="DH324" s="79"/>
      <c r="DI324" s="699"/>
      <c r="DJ324" s="93"/>
      <c r="DK324" s="93"/>
      <c r="DL324" s="93"/>
      <c r="DM324" s="93"/>
      <c r="DN324" s="93"/>
      <c r="DO324" s="93"/>
      <c r="DP324" s="93"/>
      <c r="DQ324" s="93"/>
      <c r="DR324" s="93"/>
      <c r="DS324" s="93"/>
      <c r="DT324" s="93"/>
      <c r="DU324" s="93"/>
      <c r="DV324" s="93"/>
      <c r="DW324" s="93"/>
      <c r="DX324" s="79"/>
    </row>
    <row r="325" spans="1:129">
      <c r="A325" s="51"/>
      <c r="B325" s="92"/>
      <c r="C325" s="92"/>
      <c r="D325" s="92"/>
      <c r="E325" s="51"/>
      <c r="F325" s="92"/>
      <c r="G325" s="92"/>
      <c r="H325" s="92"/>
      <c r="I325" s="92"/>
      <c r="J325" s="92"/>
      <c r="K325" s="92"/>
      <c r="L325" s="92"/>
      <c r="M325" s="92"/>
      <c r="N325" s="92"/>
      <c r="O325" s="92"/>
      <c r="P325" s="113"/>
      <c r="Q325" s="699"/>
      <c r="R325" s="93"/>
      <c r="S325" s="93"/>
      <c r="T325" s="93"/>
      <c r="U325" s="93"/>
      <c r="V325" s="93"/>
      <c r="W325" s="93"/>
      <c r="X325" s="93"/>
      <c r="Y325" s="93"/>
      <c r="Z325" s="93"/>
      <c r="AA325" s="93"/>
      <c r="AB325" s="93"/>
      <c r="AC325" s="93"/>
      <c r="AD325" s="93"/>
      <c r="AE325" s="93"/>
      <c r="AF325" s="93"/>
      <c r="AG325" s="114"/>
      <c r="AH325" s="51"/>
      <c r="AI325" s="51"/>
      <c r="AJ325" s="51"/>
      <c r="AK325" s="51"/>
      <c r="AL325" s="92"/>
      <c r="AM325" s="92"/>
      <c r="AN325" s="51"/>
      <c r="AO325" s="51"/>
      <c r="AP325" s="51"/>
      <c r="AQ325" s="51"/>
      <c r="AR325" s="92"/>
      <c r="AS325" s="51"/>
      <c r="AT325" s="51"/>
      <c r="AU325" s="51"/>
      <c r="AV325" s="82"/>
      <c r="AW325" s="93"/>
      <c r="AX325" s="93"/>
      <c r="AY325" s="93"/>
      <c r="AZ325" s="93"/>
      <c r="BA325" s="93"/>
      <c r="BB325" s="93"/>
      <c r="BC325" s="93"/>
      <c r="BD325" s="93"/>
      <c r="BE325" s="93"/>
      <c r="BF325" s="93"/>
      <c r="BG325" s="93"/>
      <c r="BH325" s="93"/>
      <c r="BI325" s="93"/>
      <c r="BJ325" s="93"/>
      <c r="BK325" s="93"/>
      <c r="BL325" s="79"/>
      <c r="BM325" s="699"/>
      <c r="BN325" s="93"/>
      <c r="BO325" s="93"/>
      <c r="BP325" s="93"/>
      <c r="BQ325" s="93"/>
      <c r="BR325" s="93"/>
      <c r="BS325" s="93"/>
      <c r="BT325" s="93"/>
      <c r="BU325" s="93"/>
      <c r="BV325" s="93"/>
      <c r="BW325" s="93"/>
      <c r="BX325" s="93"/>
      <c r="BY325" s="93"/>
      <c r="BZ325" s="93"/>
      <c r="CA325" s="93"/>
      <c r="CB325" s="79"/>
      <c r="CC325" s="699"/>
      <c r="CD325" s="93"/>
      <c r="CE325" s="93"/>
      <c r="CF325" s="93"/>
      <c r="CG325" s="93"/>
      <c r="CH325" s="93"/>
      <c r="CI325" s="93"/>
      <c r="CJ325" s="93"/>
      <c r="CK325" s="93"/>
      <c r="CL325" s="93"/>
      <c r="CM325" s="93"/>
      <c r="CN325" s="93"/>
      <c r="CO325" s="93"/>
      <c r="CP325" s="93"/>
      <c r="CQ325" s="93"/>
      <c r="CR325" s="93"/>
      <c r="CS325" s="699"/>
      <c r="CT325" s="93"/>
      <c r="CU325" s="93"/>
      <c r="CV325" s="92"/>
      <c r="CW325" s="51"/>
      <c r="CX325" s="51"/>
      <c r="CY325" s="51"/>
      <c r="CZ325" s="51"/>
      <c r="DA325" s="92"/>
      <c r="DB325" s="92"/>
      <c r="DC325" s="51"/>
      <c r="DD325" s="51"/>
      <c r="DE325" s="51"/>
      <c r="DF325" s="93"/>
      <c r="DG325" s="93"/>
      <c r="DH325" s="79"/>
      <c r="DI325" s="699"/>
      <c r="DJ325" s="93"/>
      <c r="DK325" s="93"/>
      <c r="DL325" s="93"/>
      <c r="DM325" s="93"/>
      <c r="DN325" s="93"/>
      <c r="DO325" s="93"/>
      <c r="DP325" s="93"/>
      <c r="DQ325" s="93"/>
      <c r="DR325" s="93"/>
      <c r="DS325" s="93"/>
      <c r="DT325" s="93"/>
      <c r="DU325" s="93"/>
      <c r="DV325" s="93"/>
      <c r="DW325" s="93"/>
      <c r="DX325" s="79"/>
    </row>
    <row r="326" spans="1:129">
      <c r="A326" s="51"/>
      <c r="B326" s="51"/>
      <c r="C326" s="51"/>
      <c r="D326" s="51"/>
      <c r="E326" s="51"/>
      <c r="F326" s="51"/>
      <c r="G326" s="51"/>
      <c r="H326" s="51"/>
      <c r="I326" s="51"/>
      <c r="J326" s="51"/>
      <c r="K326" s="51"/>
      <c r="L326" s="51"/>
      <c r="M326" s="51"/>
      <c r="N326" s="51"/>
      <c r="O326" s="51"/>
      <c r="P326" s="82"/>
      <c r="Q326" s="699"/>
      <c r="R326" s="93"/>
      <c r="S326" s="93"/>
      <c r="T326" s="93"/>
      <c r="U326" s="93"/>
      <c r="V326" s="93"/>
      <c r="W326" s="93"/>
      <c r="X326" s="93"/>
      <c r="Y326" s="93"/>
      <c r="Z326" s="93"/>
      <c r="AA326" s="93"/>
      <c r="AB326" s="93"/>
      <c r="AC326" s="93"/>
      <c r="AD326" s="93"/>
      <c r="AE326" s="93"/>
      <c r="AF326" s="93"/>
      <c r="AG326" s="114"/>
      <c r="AH326" s="51"/>
      <c r="AI326" s="51"/>
      <c r="AJ326" s="51"/>
      <c r="AK326" s="51"/>
      <c r="AL326" s="92"/>
      <c r="AM326" s="92"/>
      <c r="AN326" s="51"/>
      <c r="AO326" s="51"/>
      <c r="AP326" s="51"/>
      <c r="AQ326" s="51"/>
      <c r="AR326" s="92"/>
      <c r="AS326" s="51"/>
      <c r="AT326" s="51"/>
      <c r="AU326" s="51"/>
      <c r="AV326" s="82"/>
      <c r="AW326" s="93"/>
      <c r="AX326" s="93"/>
      <c r="AY326" s="93"/>
      <c r="AZ326" s="93"/>
      <c r="BA326" s="93"/>
      <c r="BB326" s="93"/>
      <c r="BC326" s="93"/>
      <c r="BD326" s="93"/>
      <c r="BE326" s="93"/>
      <c r="BF326" s="93"/>
      <c r="BG326" s="93"/>
      <c r="BH326" s="93"/>
      <c r="BI326" s="93"/>
      <c r="BJ326" s="93"/>
      <c r="BK326" s="93"/>
      <c r="BL326" s="79"/>
      <c r="BM326" s="699"/>
      <c r="BN326" s="93"/>
      <c r="BO326" s="93"/>
      <c r="BP326" s="93"/>
      <c r="BQ326" s="93"/>
      <c r="BR326" s="93"/>
      <c r="BS326" s="93"/>
      <c r="BT326" s="93"/>
      <c r="BU326" s="93"/>
      <c r="BV326" s="93"/>
      <c r="BW326" s="93"/>
      <c r="BX326" s="93"/>
      <c r="BY326" s="93"/>
      <c r="BZ326" s="93"/>
      <c r="CA326" s="93"/>
      <c r="CB326" s="79"/>
      <c r="CC326" s="699"/>
      <c r="CD326" s="93"/>
      <c r="CE326" s="93"/>
      <c r="CF326" s="93"/>
      <c r="CG326" s="93"/>
      <c r="CH326" s="93"/>
      <c r="CI326" s="93"/>
      <c r="CJ326" s="93"/>
      <c r="CK326" s="93"/>
      <c r="CL326" s="93"/>
      <c r="CM326" s="93"/>
      <c r="CN326" s="93"/>
      <c r="CO326" s="93"/>
      <c r="CP326" s="93"/>
      <c r="CQ326" s="93"/>
      <c r="CR326" s="93"/>
      <c r="CS326" s="699"/>
      <c r="CT326" s="93"/>
      <c r="CU326" s="93"/>
      <c r="CV326" s="92"/>
      <c r="CW326" s="51"/>
      <c r="CX326" s="51"/>
      <c r="CY326" s="51"/>
      <c r="CZ326" s="51"/>
      <c r="DA326" s="92"/>
      <c r="DB326" s="92"/>
      <c r="DC326" s="51"/>
      <c r="DD326" s="51"/>
      <c r="DE326" s="51"/>
      <c r="DF326" s="93"/>
      <c r="DG326" s="93"/>
      <c r="DH326" s="79"/>
      <c r="DI326" s="699"/>
      <c r="DJ326" s="93"/>
      <c r="DK326" s="93"/>
      <c r="DL326" s="93"/>
      <c r="DM326" s="93"/>
      <c r="DN326" s="93"/>
      <c r="DO326" s="93"/>
      <c r="DP326" s="93"/>
      <c r="DQ326" s="93"/>
      <c r="DR326" s="93"/>
      <c r="DS326" s="93"/>
      <c r="DT326" s="93"/>
      <c r="DU326" s="93"/>
      <c r="DV326" s="93"/>
      <c r="DW326" s="93"/>
      <c r="DX326" s="79"/>
    </row>
    <row r="327" spans="1:129">
      <c r="A327" s="51"/>
      <c r="B327" s="92"/>
      <c r="C327" s="92"/>
      <c r="D327" s="92"/>
      <c r="E327" s="92"/>
      <c r="F327" s="92"/>
      <c r="G327" s="92"/>
      <c r="H327" s="92"/>
      <c r="I327" s="92"/>
      <c r="J327" s="92"/>
      <c r="K327" s="51"/>
      <c r="L327" s="92"/>
      <c r="M327" s="92"/>
      <c r="N327" s="92"/>
      <c r="O327" s="92"/>
      <c r="P327" s="113"/>
      <c r="Q327" s="699"/>
      <c r="R327" s="93"/>
      <c r="S327" s="93"/>
      <c r="T327" s="93"/>
      <c r="U327" s="93"/>
      <c r="V327" s="93"/>
      <c r="W327" s="93"/>
      <c r="X327" s="93"/>
      <c r="Y327" s="93"/>
      <c r="Z327" s="93"/>
      <c r="AA327" s="93"/>
      <c r="AB327" s="93"/>
      <c r="AC327" s="93"/>
      <c r="AD327" s="93"/>
      <c r="AE327" s="93"/>
      <c r="AF327" s="93"/>
      <c r="AG327" s="114"/>
      <c r="AH327" s="51"/>
      <c r="AI327" s="51"/>
      <c r="AJ327" s="51"/>
      <c r="AK327" s="51"/>
      <c r="AL327" s="92"/>
      <c r="AM327" s="92"/>
      <c r="AN327" s="51"/>
      <c r="AO327" s="51"/>
      <c r="AP327" s="51"/>
      <c r="AQ327" s="51"/>
      <c r="AR327" s="92"/>
      <c r="AS327" s="51"/>
      <c r="AT327" s="51"/>
      <c r="AU327" s="51"/>
      <c r="AV327" s="82"/>
      <c r="AW327" s="93"/>
      <c r="AX327" s="93"/>
      <c r="AY327" s="93"/>
      <c r="AZ327" s="93"/>
      <c r="BA327" s="93"/>
      <c r="BB327" s="93"/>
      <c r="BC327" s="93"/>
      <c r="BD327" s="93"/>
      <c r="BE327" s="93"/>
      <c r="BF327" s="93"/>
      <c r="BG327" s="93"/>
      <c r="BH327" s="93"/>
      <c r="BI327" s="93"/>
      <c r="BJ327" s="93"/>
      <c r="BK327" s="93"/>
      <c r="BL327" s="79"/>
      <c r="BM327" s="699"/>
      <c r="BN327" s="93"/>
      <c r="BO327" s="93"/>
      <c r="BP327" s="93"/>
      <c r="BQ327" s="93"/>
      <c r="BR327" s="93"/>
      <c r="BS327" s="93"/>
      <c r="BT327" s="93"/>
      <c r="BU327" s="93"/>
      <c r="BV327" s="93"/>
      <c r="BW327" s="93"/>
      <c r="BX327" s="93"/>
      <c r="BY327" s="93"/>
      <c r="BZ327" s="93"/>
      <c r="CA327" s="93"/>
      <c r="CB327" s="79"/>
      <c r="CC327" s="699"/>
      <c r="CD327" s="93"/>
      <c r="CE327" s="93"/>
      <c r="CF327" s="93"/>
      <c r="CG327" s="93"/>
      <c r="CH327" s="93"/>
      <c r="CI327" s="93"/>
      <c r="CJ327" s="93"/>
      <c r="CK327" s="93"/>
      <c r="CL327" s="93"/>
      <c r="CM327" s="93"/>
      <c r="CN327" s="93"/>
      <c r="CO327" s="93"/>
      <c r="CP327" s="93"/>
      <c r="CQ327" s="93"/>
      <c r="CR327" s="93"/>
      <c r="CS327" s="699"/>
      <c r="CT327" s="93"/>
      <c r="CU327" s="93"/>
      <c r="CV327" s="92"/>
      <c r="CW327" s="51"/>
      <c r="CX327" s="51"/>
      <c r="CY327" s="51"/>
      <c r="CZ327" s="51"/>
      <c r="DA327" s="92"/>
      <c r="DB327" s="92"/>
      <c r="DC327" s="51"/>
      <c r="DD327" s="51"/>
      <c r="DE327" s="51"/>
      <c r="DF327" s="93"/>
      <c r="DG327" s="93"/>
      <c r="DH327" s="79"/>
      <c r="DI327" s="699"/>
      <c r="DJ327" s="93"/>
      <c r="DK327" s="93"/>
      <c r="DL327" s="93"/>
      <c r="DM327" s="93"/>
      <c r="DN327" s="93"/>
      <c r="DO327" s="93"/>
      <c r="DP327" s="93"/>
      <c r="DQ327" s="93"/>
      <c r="DR327" s="93"/>
      <c r="DS327" s="93"/>
      <c r="DT327" s="93"/>
      <c r="DU327" s="93"/>
      <c r="DV327" s="93"/>
      <c r="DW327" s="93"/>
      <c r="DX327" s="79"/>
    </row>
    <row r="328" spans="1:129">
      <c r="DY328" s="93">
        <v>265</v>
      </c>
    </row>
    <row r="329" spans="1:129">
      <c r="DY329" s="93">
        <v>266</v>
      </c>
    </row>
    <row r="330" spans="1:129">
      <c r="DY330" s="93">
        <v>267</v>
      </c>
    </row>
    <row r="331" spans="1:129">
      <c r="DY331" s="92">
        <v>268</v>
      </c>
    </row>
    <row r="332" spans="1:129">
      <c r="DY332" s="92">
        <v>269</v>
      </c>
    </row>
    <row r="333" spans="1:129">
      <c r="DY333" s="92">
        <v>270</v>
      </c>
    </row>
    <row r="334" spans="1:129">
      <c r="A334" s="51"/>
      <c r="B334" s="92"/>
      <c r="C334" s="92"/>
      <c r="D334" s="51"/>
      <c r="E334" s="51"/>
      <c r="F334" s="295"/>
      <c r="G334" s="64"/>
      <c r="H334" s="36"/>
      <c r="I334" s="64"/>
      <c r="J334" s="295"/>
      <c r="K334" s="51"/>
      <c r="L334" s="51"/>
      <c r="M334" s="92"/>
      <c r="N334" s="51"/>
      <c r="O334" s="51"/>
      <c r="P334" s="113"/>
      <c r="Q334" s="699"/>
      <c r="R334" s="93"/>
      <c r="S334" s="93"/>
      <c r="T334" s="92"/>
      <c r="U334" s="92"/>
      <c r="V334" s="92"/>
      <c r="W334" s="64"/>
      <c r="X334" s="64"/>
      <c r="Y334" s="201"/>
      <c r="Z334" s="295"/>
      <c r="AA334" s="92"/>
      <c r="AB334" s="93"/>
      <c r="AC334" s="93"/>
      <c r="AD334" s="93"/>
      <c r="AE334" s="93"/>
      <c r="AF334" s="93"/>
      <c r="AG334" s="114"/>
      <c r="AH334" s="51"/>
      <c r="AI334" s="51"/>
      <c r="AJ334" s="51"/>
      <c r="AK334" s="51"/>
      <c r="AL334" s="92"/>
      <c r="AM334" s="64"/>
      <c r="AN334" s="201"/>
      <c r="AO334" s="295"/>
      <c r="AP334" s="92"/>
      <c r="AQ334" s="51"/>
      <c r="AR334" s="92"/>
      <c r="AS334" s="51"/>
      <c r="AT334" s="51"/>
      <c r="AU334" s="51"/>
      <c r="AV334" s="82"/>
      <c r="AW334" s="93"/>
      <c r="AX334" s="93"/>
      <c r="AY334" s="93"/>
      <c r="AZ334" s="92"/>
      <c r="BA334" s="92"/>
      <c r="BB334" s="92"/>
      <c r="BC334" s="92"/>
      <c r="BD334" s="201"/>
      <c r="BE334" s="295"/>
      <c r="BF334" s="295"/>
      <c r="BG334" s="92"/>
      <c r="BH334" s="92"/>
      <c r="BI334" s="92"/>
      <c r="BJ334" s="51"/>
      <c r="BK334" s="51"/>
      <c r="BL334" s="113"/>
      <c r="BM334" s="699"/>
      <c r="BN334" s="93"/>
      <c r="BO334" s="93"/>
      <c r="BP334" s="93"/>
      <c r="BQ334" s="51"/>
      <c r="BR334" s="51"/>
      <c r="BS334" s="295"/>
      <c r="BT334" s="54"/>
      <c r="BU334" s="64"/>
      <c r="BV334" s="54"/>
      <c r="BW334" s="295"/>
      <c r="BX334" s="51"/>
      <c r="BY334" s="51"/>
      <c r="BZ334" s="92"/>
      <c r="CA334" s="93"/>
      <c r="CB334" s="79"/>
      <c r="CC334" s="699"/>
      <c r="CD334" s="93"/>
      <c r="CE334" s="51"/>
      <c r="CF334" s="92"/>
      <c r="CG334" s="92"/>
      <c r="CH334" s="92"/>
      <c r="CI334" s="295"/>
      <c r="CJ334" s="201"/>
      <c r="CK334" s="201"/>
      <c r="CL334" s="92"/>
      <c r="CM334" s="92"/>
      <c r="CN334" s="92"/>
      <c r="CO334" s="93"/>
      <c r="CP334" s="93"/>
      <c r="CQ334" s="93"/>
      <c r="CR334" s="93"/>
      <c r="CS334" s="699"/>
      <c r="CT334" s="93"/>
      <c r="CU334" s="93"/>
      <c r="CV334" s="92"/>
      <c r="CW334" s="51"/>
      <c r="CX334" s="92"/>
      <c r="CY334" s="295"/>
      <c r="CZ334" s="56"/>
      <c r="DA334" s="56"/>
      <c r="DB334" s="92"/>
      <c r="DC334" s="51"/>
      <c r="DD334" s="51"/>
      <c r="DE334" s="51"/>
      <c r="DF334" s="93"/>
      <c r="DG334" s="93"/>
      <c r="DH334" s="79"/>
      <c r="DI334" s="699"/>
      <c r="DJ334" s="93"/>
      <c r="DK334" s="93"/>
      <c r="DL334" s="51"/>
      <c r="DM334" s="51"/>
      <c r="DN334" s="92"/>
      <c r="DO334" s="295"/>
      <c r="DP334" s="54"/>
      <c r="DQ334" s="64"/>
      <c r="DR334" s="64"/>
      <c r="DS334" s="92"/>
      <c r="DT334" s="92"/>
      <c r="DU334" s="93"/>
      <c r="DV334" s="93"/>
      <c r="DW334" s="93"/>
      <c r="DX334" s="79"/>
    </row>
    <row r="335" spans="1:129">
      <c r="A335" s="51"/>
      <c r="B335" s="51"/>
      <c r="C335" s="92"/>
      <c r="D335" s="92"/>
      <c r="E335" s="92"/>
      <c r="F335" s="295"/>
      <c r="G335" s="295"/>
      <c r="H335" s="64"/>
      <c r="I335" s="54"/>
      <c r="J335" s="295"/>
      <c r="K335" s="92"/>
      <c r="L335" s="92"/>
      <c r="M335" s="92"/>
      <c r="N335" s="92"/>
      <c r="O335" s="51"/>
      <c r="P335" s="113"/>
      <c r="Q335" s="699"/>
      <c r="R335" s="93"/>
      <c r="S335" s="93"/>
      <c r="T335" s="92"/>
      <c r="U335" s="92"/>
      <c r="V335" s="92"/>
      <c r="W335" s="64"/>
      <c r="X335" s="201"/>
      <c r="Y335" s="295"/>
      <c r="Z335" s="193"/>
      <c r="AA335" s="92"/>
      <c r="AB335" s="92"/>
      <c r="AC335" s="93"/>
      <c r="AD335" s="93"/>
      <c r="AE335" s="93"/>
      <c r="AF335" s="93"/>
      <c r="AG335" s="114"/>
      <c r="AH335" s="51"/>
      <c r="AI335" s="51"/>
      <c r="AJ335" s="51"/>
      <c r="AK335" s="51"/>
      <c r="AL335" s="92"/>
      <c r="AM335" s="201"/>
      <c r="AN335" s="299"/>
      <c r="AO335" s="295"/>
      <c r="AP335" s="92"/>
      <c r="AQ335" s="51"/>
      <c r="AR335" s="92"/>
      <c r="AS335" s="51"/>
      <c r="AT335" s="51"/>
      <c r="AU335" s="51"/>
      <c r="AV335" s="82"/>
      <c r="AW335" s="93"/>
      <c r="AX335" s="93"/>
      <c r="AY335" s="93"/>
      <c r="AZ335" s="92"/>
      <c r="BA335" s="92"/>
      <c r="BB335" s="92"/>
      <c r="BC335" s="92"/>
      <c r="BD335" s="295"/>
      <c r="BE335" s="295"/>
      <c r="BF335" s="193"/>
      <c r="BG335" s="92"/>
      <c r="BH335" s="92"/>
      <c r="BI335" s="92"/>
      <c r="BJ335" s="51"/>
      <c r="BK335" s="51"/>
      <c r="BL335" s="113"/>
      <c r="BM335" s="699"/>
      <c r="BN335" s="93"/>
      <c r="BO335" s="93"/>
      <c r="BP335" s="93"/>
      <c r="BQ335" s="92"/>
      <c r="BR335" s="92"/>
      <c r="BS335" s="295"/>
      <c r="BT335" s="295"/>
      <c r="BU335" s="295"/>
      <c r="BV335" s="295"/>
      <c r="BW335" s="295"/>
      <c r="BX335" s="92"/>
      <c r="BY335" s="92"/>
      <c r="BZ335" s="92"/>
      <c r="CA335" s="93"/>
      <c r="CB335" s="79"/>
      <c r="CC335" s="699"/>
      <c r="CD335" s="93"/>
      <c r="CE335" s="51"/>
      <c r="CF335" s="92"/>
      <c r="CG335" s="92"/>
      <c r="CH335" s="92"/>
      <c r="CI335" s="193"/>
      <c r="CJ335" s="295"/>
      <c r="CK335" s="295"/>
      <c r="CL335" s="92"/>
      <c r="CM335" s="92"/>
      <c r="CN335" s="92"/>
      <c r="CO335" s="93"/>
      <c r="CP335" s="93"/>
      <c r="CQ335" s="93"/>
      <c r="CR335" s="93"/>
      <c r="CS335" s="699"/>
      <c r="CT335" s="93"/>
      <c r="CU335" s="93"/>
      <c r="CV335" s="92"/>
      <c r="CW335" s="51"/>
      <c r="CX335" s="92"/>
      <c r="CY335" s="295"/>
      <c r="CZ335" s="299"/>
      <c r="DA335" s="295"/>
      <c r="DB335" s="92"/>
      <c r="DC335" s="51"/>
      <c r="DD335" s="51"/>
      <c r="DE335" s="51"/>
      <c r="DF335" s="93"/>
      <c r="DG335" s="93"/>
      <c r="DH335" s="79"/>
      <c r="DI335" s="699"/>
      <c r="DJ335" s="93"/>
      <c r="DK335" s="93"/>
      <c r="DL335" s="92"/>
      <c r="DM335" s="92"/>
      <c r="DN335" s="92"/>
      <c r="DO335" s="193"/>
      <c r="DP335" s="295"/>
      <c r="DQ335" s="64"/>
      <c r="DR335" s="92"/>
      <c r="DS335" s="92"/>
      <c r="DT335" s="92"/>
      <c r="DU335" s="93"/>
      <c r="DV335" s="93"/>
      <c r="DW335" s="93"/>
      <c r="DX335" s="79"/>
    </row>
    <row r="336" spans="1:129">
      <c r="A336" s="51"/>
      <c r="B336" s="51"/>
      <c r="C336" s="92"/>
      <c r="D336" s="92"/>
      <c r="E336" s="302"/>
      <c r="F336" s="295"/>
      <c r="G336" s="295"/>
      <c r="H336" s="64"/>
      <c r="I336" s="295"/>
      <c r="J336" s="295"/>
      <c r="K336" s="299"/>
      <c r="L336" s="92"/>
      <c r="M336" s="92"/>
      <c r="N336" s="92"/>
      <c r="O336" s="51"/>
      <c r="P336" s="82"/>
      <c r="Q336" s="699"/>
      <c r="R336" s="93"/>
      <c r="S336" s="93"/>
      <c r="T336" s="92"/>
      <c r="U336" s="92"/>
      <c r="V336" s="302"/>
      <c r="W336" s="295"/>
      <c r="X336" s="295"/>
      <c r="Y336" s="295"/>
      <c r="Z336" s="299"/>
      <c r="AA336" s="92"/>
      <c r="AB336" s="92"/>
      <c r="AC336" s="93"/>
      <c r="AD336" s="93"/>
      <c r="AE336" s="93"/>
      <c r="AF336" s="93"/>
      <c r="AG336" s="114"/>
      <c r="AH336" s="51"/>
      <c r="AI336" s="51"/>
      <c r="AJ336" s="51"/>
      <c r="AK336" s="51"/>
      <c r="AL336" s="92"/>
      <c r="AM336" s="299"/>
      <c r="AN336" s="299"/>
      <c r="AO336" s="295"/>
      <c r="AP336" s="295"/>
      <c r="AQ336" s="51"/>
      <c r="AR336" s="92"/>
      <c r="AS336" s="51"/>
      <c r="AT336" s="51"/>
      <c r="AU336" s="51"/>
      <c r="AV336" s="82"/>
      <c r="AW336" s="93"/>
      <c r="AX336" s="93"/>
      <c r="AY336" s="93"/>
      <c r="AZ336" s="51"/>
      <c r="BA336" s="92"/>
      <c r="BB336" s="92"/>
      <c r="BC336" s="302"/>
      <c r="BD336" s="295"/>
      <c r="BE336" s="193"/>
      <c r="BF336" s="193"/>
      <c r="BG336" s="295"/>
      <c r="BH336" s="92"/>
      <c r="BI336" s="92"/>
      <c r="BJ336" s="51"/>
      <c r="BK336" s="51"/>
      <c r="BL336" s="82"/>
      <c r="BM336" s="699"/>
      <c r="BN336" s="93"/>
      <c r="BO336" s="93"/>
      <c r="BP336" s="93"/>
      <c r="BQ336" s="93"/>
      <c r="BR336" s="299"/>
      <c r="BS336" s="295"/>
      <c r="BT336" s="295"/>
      <c r="BU336" s="295"/>
      <c r="BV336" s="295"/>
      <c r="BW336" s="295"/>
      <c r="BX336" s="299"/>
      <c r="BY336" s="92"/>
      <c r="BZ336" s="92"/>
      <c r="CA336" s="93"/>
      <c r="CB336" s="79"/>
      <c r="CC336" s="699"/>
      <c r="CD336" s="93"/>
      <c r="CE336" s="51"/>
      <c r="CF336" s="92"/>
      <c r="CG336" s="92"/>
      <c r="CH336" s="295"/>
      <c r="CI336" s="193"/>
      <c r="CJ336" s="193"/>
      <c r="CK336" s="295"/>
      <c r="CL336" s="302"/>
      <c r="CM336" s="92"/>
      <c r="CN336" s="92"/>
      <c r="CO336" s="93"/>
      <c r="CP336" s="93"/>
      <c r="CQ336" s="93"/>
      <c r="CR336" s="93"/>
      <c r="CS336" s="699"/>
      <c r="CT336" s="93"/>
      <c r="CU336" s="93"/>
      <c r="CV336" s="92"/>
      <c r="CW336" s="51"/>
      <c r="CX336" s="193"/>
      <c r="CY336" s="295"/>
      <c r="CZ336" s="299"/>
      <c r="DA336" s="299"/>
      <c r="DB336" s="92"/>
      <c r="DC336" s="51"/>
      <c r="DD336" s="51"/>
      <c r="DE336" s="51"/>
      <c r="DF336" s="93"/>
      <c r="DG336" s="93"/>
      <c r="DH336" s="79"/>
      <c r="DI336" s="699"/>
      <c r="DJ336" s="93"/>
      <c r="DK336" s="93"/>
      <c r="DL336" s="92"/>
      <c r="DM336" s="92"/>
      <c r="DN336" s="299"/>
      <c r="DO336" s="295"/>
      <c r="DP336" s="193"/>
      <c r="DQ336" s="64"/>
      <c r="DR336" s="302"/>
      <c r="DS336" s="92"/>
      <c r="DT336" s="92"/>
      <c r="DU336" s="93"/>
      <c r="DV336" s="93"/>
      <c r="DW336" s="93"/>
      <c r="DX336" s="79"/>
    </row>
    <row r="337" spans="1:128">
      <c r="A337" s="51"/>
      <c r="B337" s="51"/>
      <c r="C337" s="92"/>
      <c r="D337" s="302"/>
      <c r="E337" s="295"/>
      <c r="F337" s="295"/>
      <c r="G337" s="295"/>
      <c r="H337" s="299"/>
      <c r="I337" s="299"/>
      <c r="J337" s="295"/>
      <c r="K337" s="299"/>
      <c r="L337" s="92"/>
      <c r="M337" s="92"/>
      <c r="N337" s="51"/>
      <c r="O337" s="92"/>
      <c r="P337" s="113"/>
      <c r="Q337" s="699"/>
      <c r="R337" s="93"/>
      <c r="S337" s="93"/>
      <c r="T337" s="92"/>
      <c r="U337" s="92"/>
      <c r="V337" s="299"/>
      <c r="W337" s="295"/>
      <c r="X337" s="299"/>
      <c r="Y337" s="295"/>
      <c r="Z337" s="295"/>
      <c r="AA337" s="299"/>
      <c r="AB337" s="92"/>
      <c r="AC337" s="93"/>
      <c r="AD337" s="93"/>
      <c r="AE337" s="93"/>
      <c r="AF337" s="93"/>
      <c r="AG337" s="114"/>
      <c r="AH337" s="51"/>
      <c r="AI337" s="51"/>
      <c r="AJ337" s="51"/>
      <c r="AK337" s="51"/>
      <c r="AL337" s="299"/>
      <c r="AM337" s="302"/>
      <c r="AN337" s="299"/>
      <c r="AO337" s="193"/>
      <c r="AP337" s="295"/>
      <c r="AQ337" s="51"/>
      <c r="AR337" s="92"/>
      <c r="AS337" s="51"/>
      <c r="AT337" s="51"/>
      <c r="AU337" s="51"/>
      <c r="AV337" s="82"/>
      <c r="AW337" s="93"/>
      <c r="AX337" s="93"/>
      <c r="AY337" s="93"/>
      <c r="AZ337" s="51"/>
      <c r="BA337" s="92"/>
      <c r="BB337" s="299"/>
      <c r="BC337" s="295"/>
      <c r="BD337" s="299"/>
      <c r="BE337" s="295"/>
      <c r="BF337" s="299"/>
      <c r="BG337" s="295"/>
      <c r="BH337" s="299"/>
      <c r="BI337" s="92"/>
      <c r="BJ337" s="92"/>
      <c r="BK337" s="92"/>
      <c r="BL337" s="113"/>
      <c r="BM337" s="699"/>
      <c r="BN337" s="93"/>
      <c r="BO337" s="93"/>
      <c r="BP337" s="93"/>
      <c r="BQ337" s="295"/>
      <c r="BR337" s="295"/>
      <c r="BS337" s="295"/>
      <c r="BT337" s="299"/>
      <c r="BU337" s="299"/>
      <c r="BV337" s="299"/>
      <c r="BW337" s="295"/>
      <c r="BX337" s="295"/>
      <c r="BY337" s="299"/>
      <c r="BZ337" s="92"/>
      <c r="CA337" s="93"/>
      <c r="CB337" s="79"/>
      <c r="CC337" s="699"/>
      <c r="CD337" s="93"/>
      <c r="CE337" s="92"/>
      <c r="CF337" s="92"/>
      <c r="CG337" s="299"/>
      <c r="CH337" s="295"/>
      <c r="CI337" s="295"/>
      <c r="CJ337" s="295"/>
      <c r="CK337" s="295"/>
      <c r="CL337" s="295"/>
      <c r="CM337" s="299"/>
      <c r="CN337" s="92"/>
      <c r="CO337" s="93"/>
      <c r="CP337" s="93"/>
      <c r="CQ337" s="93"/>
      <c r="CR337" s="93"/>
      <c r="CS337" s="699"/>
      <c r="CT337" s="93"/>
      <c r="CU337" s="93"/>
      <c r="CV337" s="92"/>
      <c r="CW337" s="51"/>
      <c r="CX337" s="295"/>
      <c r="CY337" s="193"/>
      <c r="CZ337" s="299"/>
      <c r="DA337" s="302"/>
      <c r="DB337" s="299"/>
      <c r="DC337" s="51"/>
      <c r="DD337" s="51"/>
      <c r="DE337" s="51"/>
      <c r="DF337" s="93"/>
      <c r="DG337" s="93"/>
      <c r="DH337" s="79"/>
      <c r="DI337" s="699"/>
      <c r="DJ337" s="93"/>
      <c r="DK337" s="93"/>
      <c r="DL337" s="92"/>
      <c r="DM337" s="299"/>
      <c r="DN337" s="295"/>
      <c r="DO337" s="295"/>
      <c r="DP337" s="299"/>
      <c r="DQ337" s="295"/>
      <c r="DR337" s="299"/>
      <c r="DS337" s="193"/>
      <c r="DT337" s="92"/>
      <c r="DU337" s="93"/>
      <c r="DV337" s="93"/>
      <c r="DW337" s="93"/>
      <c r="DX337" s="79"/>
    </row>
    <row r="338" spans="1:128">
      <c r="A338" s="51"/>
      <c r="B338" s="51"/>
      <c r="C338" s="92"/>
      <c r="D338" s="299"/>
      <c r="E338" s="295"/>
      <c r="F338" s="299"/>
      <c r="G338" s="295"/>
      <c r="H338" s="295"/>
      <c r="I338" s="299"/>
      <c r="J338" s="299"/>
      <c r="K338" s="193"/>
      <c r="L338" s="92"/>
      <c r="M338" s="92"/>
      <c r="N338" s="92"/>
      <c r="O338" s="92"/>
      <c r="P338" s="113"/>
      <c r="Q338" s="699"/>
      <c r="R338" s="93"/>
      <c r="S338" s="93"/>
      <c r="T338" s="92"/>
      <c r="U338" s="193"/>
      <c r="V338" s="295"/>
      <c r="W338" s="299"/>
      <c r="X338" s="299"/>
      <c r="Y338" s="193"/>
      <c r="Z338" s="295"/>
      <c r="AA338" s="295"/>
      <c r="AB338" s="92"/>
      <c r="AC338" s="93"/>
      <c r="AD338" s="93"/>
      <c r="AE338" s="93"/>
      <c r="AF338" s="93"/>
      <c r="AG338" s="114"/>
      <c r="AH338" s="51"/>
      <c r="AI338" s="51"/>
      <c r="AJ338" s="51"/>
      <c r="AK338" s="51"/>
      <c r="AL338" s="193"/>
      <c r="AM338" s="299"/>
      <c r="AN338" s="302"/>
      <c r="AO338" s="299"/>
      <c r="AP338" s="193"/>
      <c r="AQ338" s="51"/>
      <c r="AR338" s="92"/>
      <c r="AS338" s="51"/>
      <c r="AT338" s="51"/>
      <c r="AU338" s="51"/>
      <c r="AV338" s="82"/>
      <c r="AW338" s="93"/>
      <c r="AX338" s="93"/>
      <c r="AY338" s="93"/>
      <c r="AZ338" s="51"/>
      <c r="BA338" s="92"/>
      <c r="BB338" s="295"/>
      <c r="BC338" s="295"/>
      <c r="BD338" s="295"/>
      <c r="BE338" s="299"/>
      <c r="BF338" s="295"/>
      <c r="BG338" s="299"/>
      <c r="BH338" s="193"/>
      <c r="BI338" s="295"/>
      <c r="BJ338" s="92"/>
      <c r="BK338" s="92"/>
      <c r="BL338" s="113"/>
      <c r="BM338" s="699"/>
      <c r="BN338" s="93"/>
      <c r="BO338" s="93"/>
      <c r="BP338" s="93"/>
      <c r="BQ338" s="295"/>
      <c r="BR338" s="193"/>
      <c r="BS338" s="299"/>
      <c r="BT338" s="295"/>
      <c r="BU338" s="299"/>
      <c r="BV338" s="299"/>
      <c r="BW338" s="295"/>
      <c r="BX338" s="295"/>
      <c r="BY338" s="299"/>
      <c r="BZ338" s="92"/>
      <c r="CA338" s="93"/>
      <c r="CB338" s="79"/>
      <c r="CC338" s="699"/>
      <c r="CD338" s="93"/>
      <c r="CE338" s="92"/>
      <c r="CF338" s="92"/>
      <c r="CG338" s="193"/>
      <c r="CH338" s="295"/>
      <c r="CI338" s="299"/>
      <c r="CJ338" s="295"/>
      <c r="CK338" s="193"/>
      <c r="CL338" s="295"/>
      <c r="CM338" s="302"/>
      <c r="CN338" s="92"/>
      <c r="CO338" s="93"/>
      <c r="CP338" s="93"/>
      <c r="CQ338" s="93"/>
      <c r="CR338" s="93"/>
      <c r="CS338" s="699"/>
      <c r="CT338" s="93"/>
      <c r="CU338" s="93"/>
      <c r="CV338" s="92"/>
      <c r="CW338" s="51"/>
      <c r="CX338" s="299"/>
      <c r="CY338" s="295"/>
      <c r="CZ338" s="299"/>
      <c r="DA338" s="299"/>
      <c r="DB338" s="193"/>
      <c r="DC338" s="51"/>
      <c r="DD338" s="51"/>
      <c r="DE338" s="51"/>
      <c r="DF338" s="93"/>
      <c r="DG338" s="93"/>
      <c r="DH338" s="79"/>
      <c r="DI338" s="699"/>
      <c r="DJ338" s="93"/>
      <c r="DK338" s="93"/>
      <c r="DL338" s="92"/>
      <c r="DM338" s="295"/>
      <c r="DN338" s="295"/>
      <c r="DO338" s="193"/>
      <c r="DP338" s="299"/>
      <c r="DQ338" s="299"/>
      <c r="DR338" s="295"/>
      <c r="DS338" s="193"/>
      <c r="DT338" s="92"/>
      <c r="DU338" s="93"/>
      <c r="DV338" s="93"/>
      <c r="DW338" s="93"/>
      <c r="DX338" s="79"/>
    </row>
    <row r="339" spans="1:128">
      <c r="A339" s="51"/>
      <c r="B339" s="51"/>
      <c r="C339" s="302"/>
      <c r="D339" s="295"/>
      <c r="E339" s="193"/>
      <c r="F339" s="299"/>
      <c r="G339" s="295"/>
      <c r="H339" s="299"/>
      <c r="I339" s="299"/>
      <c r="J339" s="295"/>
      <c r="K339" s="295"/>
      <c r="L339" s="299"/>
      <c r="M339" s="92"/>
      <c r="N339" s="92"/>
      <c r="O339" s="92"/>
      <c r="P339" s="82"/>
      <c r="Q339" s="699"/>
      <c r="R339" s="93"/>
      <c r="S339" s="93"/>
      <c r="T339" s="51"/>
      <c r="U339" s="295"/>
      <c r="V339" s="295"/>
      <c r="W339" s="295"/>
      <c r="X339" s="299"/>
      <c r="Y339" s="193"/>
      <c r="Z339" s="295"/>
      <c r="AA339" s="295"/>
      <c r="AB339" s="93"/>
      <c r="AC339" s="93"/>
      <c r="AD339" s="93"/>
      <c r="AE339" s="93"/>
      <c r="AF339" s="93"/>
      <c r="AG339" s="114"/>
      <c r="AH339" s="51"/>
      <c r="AI339" s="51"/>
      <c r="AJ339" s="51"/>
      <c r="AK339" s="51"/>
      <c r="AL339" s="299"/>
      <c r="AM339" s="302"/>
      <c r="AN339" s="295"/>
      <c r="AO339" s="299"/>
      <c r="AP339" s="193"/>
      <c r="AQ339" s="51"/>
      <c r="AR339" s="92"/>
      <c r="AS339" s="51"/>
      <c r="AT339" s="51"/>
      <c r="AU339" s="51"/>
      <c r="AV339" s="82"/>
      <c r="AW339" s="93"/>
      <c r="AX339" s="93"/>
      <c r="AY339" s="93"/>
      <c r="AZ339" s="51"/>
      <c r="BA339" s="92"/>
      <c r="BB339" s="302"/>
      <c r="BC339" s="295"/>
      <c r="BD339" s="193"/>
      <c r="BE339" s="295"/>
      <c r="BF339" s="295"/>
      <c r="BG339" s="295"/>
      <c r="BH339" s="295"/>
      <c r="BI339" s="193"/>
      <c r="BJ339" s="92"/>
      <c r="BK339" s="92"/>
      <c r="BL339" s="82"/>
      <c r="BM339" s="699"/>
      <c r="BN339" s="93"/>
      <c r="BO339" s="93"/>
      <c r="BP339" s="93"/>
      <c r="BQ339" s="295"/>
      <c r="BR339" s="295"/>
      <c r="BS339" s="193"/>
      <c r="BT339" s="295"/>
      <c r="BU339" s="299"/>
      <c r="BV339" s="299"/>
      <c r="BW339" s="295"/>
      <c r="BX339" s="193"/>
      <c r="BY339" s="299"/>
      <c r="BZ339" s="93"/>
      <c r="CA339" s="93"/>
      <c r="CB339" s="79"/>
      <c r="CC339" s="699"/>
      <c r="CD339" s="93"/>
      <c r="CE339" s="92"/>
      <c r="CF339" s="299"/>
      <c r="CG339" s="295"/>
      <c r="CH339" s="193"/>
      <c r="CI339" s="299"/>
      <c r="CJ339" s="295"/>
      <c r="CK339" s="193"/>
      <c r="CL339" s="295"/>
      <c r="CM339" s="299"/>
      <c r="CN339" s="92"/>
      <c r="CO339" s="93"/>
      <c r="CP339" s="93"/>
      <c r="CQ339" s="93"/>
      <c r="CR339" s="93"/>
      <c r="CS339" s="699"/>
      <c r="CT339" s="93"/>
      <c r="CU339" s="93"/>
      <c r="CV339" s="92"/>
      <c r="CW339" s="51"/>
      <c r="CX339" s="295"/>
      <c r="CY339" s="295"/>
      <c r="CZ339" s="302"/>
      <c r="DA339" s="295"/>
      <c r="DB339" s="299"/>
      <c r="DC339" s="51"/>
      <c r="DD339" s="51"/>
      <c r="DE339" s="51"/>
      <c r="DF339" s="93"/>
      <c r="DG339" s="93"/>
      <c r="DH339" s="79"/>
      <c r="DI339" s="699"/>
      <c r="DJ339" s="93"/>
      <c r="DK339" s="93"/>
      <c r="DL339" s="93"/>
      <c r="DM339" s="295"/>
      <c r="DN339" s="299"/>
      <c r="DO339" s="193"/>
      <c r="DP339" s="299"/>
      <c r="DQ339" s="295"/>
      <c r="DR339" s="295"/>
      <c r="DS339" s="295"/>
      <c r="DT339" s="92"/>
      <c r="DU339" s="93"/>
      <c r="DV339" s="93"/>
      <c r="DW339" s="93"/>
      <c r="DX339" s="79"/>
    </row>
    <row r="340" spans="1:128">
      <c r="A340" s="51"/>
      <c r="B340" s="51"/>
      <c r="C340" s="295"/>
      <c r="D340" s="295"/>
      <c r="E340" s="193"/>
      <c r="F340" s="299"/>
      <c r="G340" s="295"/>
      <c r="H340" s="295"/>
      <c r="I340" s="299"/>
      <c r="J340" s="193"/>
      <c r="K340" s="295"/>
      <c r="L340" s="299"/>
      <c r="M340" s="92"/>
      <c r="N340" s="92"/>
      <c r="O340" s="92"/>
      <c r="P340" s="113"/>
      <c r="Q340" s="699"/>
      <c r="R340" s="93"/>
      <c r="S340" s="93"/>
      <c r="T340" s="302"/>
      <c r="U340" s="295"/>
      <c r="V340" s="193"/>
      <c r="W340" s="299"/>
      <c r="X340" s="299"/>
      <c r="Y340" s="295"/>
      <c r="Z340" s="193"/>
      <c r="AA340" s="295"/>
      <c r="AB340" s="295"/>
      <c r="AC340" s="93"/>
      <c r="AD340" s="93"/>
      <c r="AE340" s="93"/>
      <c r="AF340" s="93"/>
      <c r="AG340" s="114"/>
      <c r="AH340" s="51"/>
      <c r="AI340" s="51"/>
      <c r="AJ340" s="51"/>
      <c r="AK340" s="51"/>
      <c r="AL340" s="295"/>
      <c r="AM340" s="299"/>
      <c r="AN340" s="295"/>
      <c r="AO340" s="302"/>
      <c r="AP340" s="295"/>
      <c r="AQ340" s="193"/>
      <c r="AR340" s="92"/>
      <c r="AS340" s="51"/>
      <c r="AT340" s="51"/>
      <c r="AU340" s="51"/>
      <c r="AV340" s="82"/>
      <c r="AW340" s="93"/>
      <c r="AX340" s="93"/>
      <c r="AY340" s="93"/>
      <c r="AZ340" s="51"/>
      <c r="BA340" s="92"/>
      <c r="BB340" s="299"/>
      <c r="BC340" s="295"/>
      <c r="BD340" s="193"/>
      <c r="BE340" s="295"/>
      <c r="BF340" s="295"/>
      <c r="BG340" s="193"/>
      <c r="BH340" s="295"/>
      <c r="BI340" s="193"/>
      <c r="BJ340" s="92"/>
      <c r="BK340" s="92"/>
      <c r="BL340" s="113"/>
      <c r="BM340" s="699"/>
      <c r="BN340" s="93"/>
      <c r="BO340" s="93"/>
      <c r="BP340" s="93"/>
      <c r="BQ340" s="295"/>
      <c r="BR340" s="295"/>
      <c r="BS340" s="193"/>
      <c r="BT340" s="295"/>
      <c r="BU340" s="299"/>
      <c r="BV340" s="295"/>
      <c r="BW340" s="295"/>
      <c r="BX340" s="295"/>
      <c r="BY340" s="299"/>
      <c r="BZ340" s="93"/>
      <c r="CA340" s="93"/>
      <c r="CB340" s="79"/>
      <c r="CC340" s="699"/>
      <c r="CD340" s="93"/>
      <c r="CE340" s="92"/>
      <c r="CF340" s="193"/>
      <c r="CG340" s="295"/>
      <c r="CH340" s="193"/>
      <c r="CI340" s="299"/>
      <c r="CJ340" s="295"/>
      <c r="CK340" s="193"/>
      <c r="CL340" s="295"/>
      <c r="CM340" s="295"/>
      <c r="CN340" s="92"/>
      <c r="CO340" s="93"/>
      <c r="CP340" s="93"/>
      <c r="CQ340" s="93"/>
      <c r="CR340" s="93"/>
      <c r="CS340" s="699"/>
      <c r="CT340" s="93"/>
      <c r="CU340" s="93"/>
      <c r="CV340" s="92"/>
      <c r="CW340" s="299"/>
      <c r="CX340" s="193"/>
      <c r="CY340" s="302"/>
      <c r="CZ340" s="299"/>
      <c r="DA340" s="295"/>
      <c r="DB340" s="295"/>
      <c r="DC340" s="51"/>
      <c r="DD340" s="51"/>
      <c r="DE340" s="51"/>
      <c r="DF340" s="93"/>
      <c r="DG340" s="93"/>
      <c r="DH340" s="79"/>
      <c r="DI340" s="699"/>
      <c r="DJ340" s="93"/>
      <c r="DK340" s="93"/>
      <c r="DL340" s="299"/>
      <c r="DM340" s="295"/>
      <c r="DN340" s="193"/>
      <c r="DO340" s="295"/>
      <c r="DP340" s="299"/>
      <c r="DQ340" s="299"/>
      <c r="DR340" s="295"/>
      <c r="DS340" s="295"/>
      <c r="DT340" s="92"/>
      <c r="DU340" s="93"/>
      <c r="DV340" s="93"/>
      <c r="DW340" s="93"/>
      <c r="DX340" s="79"/>
    </row>
    <row r="341" spans="1:128">
      <c r="A341" s="51"/>
      <c r="B341" s="51"/>
      <c r="C341" s="295"/>
      <c r="D341" s="295"/>
      <c r="E341" s="295"/>
      <c r="F341" s="299"/>
      <c r="G341" s="295"/>
      <c r="H341" s="299"/>
      <c r="I341" s="299"/>
      <c r="J341" s="193"/>
      <c r="K341" s="295"/>
      <c r="L341" s="295"/>
      <c r="M341" s="92"/>
      <c r="N341" s="92"/>
      <c r="O341" s="51"/>
      <c r="P341" s="82"/>
      <c r="Q341" s="699"/>
      <c r="R341" s="93"/>
      <c r="S341" s="93"/>
      <c r="T341" s="295"/>
      <c r="U341" s="193"/>
      <c r="V341" s="295"/>
      <c r="W341" s="295"/>
      <c r="X341" s="299"/>
      <c r="Y341" s="295"/>
      <c r="Z341" s="193"/>
      <c r="AA341" s="295"/>
      <c r="AB341" s="299"/>
      <c r="AC341" s="93"/>
      <c r="AD341" s="93"/>
      <c r="AE341" s="93"/>
      <c r="AF341" s="93"/>
      <c r="AG341" s="114"/>
      <c r="AH341" s="51"/>
      <c r="AI341" s="51"/>
      <c r="AJ341" s="51"/>
      <c r="AK341" s="302"/>
      <c r="AL341" s="295"/>
      <c r="AM341" s="302"/>
      <c r="AN341" s="299"/>
      <c r="AO341" s="302"/>
      <c r="AP341" s="295"/>
      <c r="AQ341" s="193"/>
      <c r="AR341" s="92"/>
      <c r="AS341" s="51"/>
      <c r="AT341" s="51"/>
      <c r="AU341" s="51"/>
      <c r="AV341" s="82"/>
      <c r="AW341" s="93"/>
      <c r="AX341" s="93"/>
      <c r="AY341" s="93"/>
      <c r="AZ341" s="51"/>
      <c r="BA341" s="92"/>
      <c r="BB341" s="295"/>
      <c r="BC341" s="299"/>
      <c r="BD341" s="295"/>
      <c r="BE341" s="193"/>
      <c r="BF341" s="295"/>
      <c r="BG341" s="193"/>
      <c r="BH341" s="193"/>
      <c r="BI341" s="51"/>
      <c r="BJ341" s="51"/>
      <c r="BK341" s="51"/>
      <c r="BL341" s="82"/>
      <c r="BM341" s="699"/>
      <c r="BN341" s="93"/>
      <c r="BO341" s="93"/>
      <c r="BP341" s="93"/>
      <c r="BQ341" s="295"/>
      <c r="BR341" s="295"/>
      <c r="BS341" s="193"/>
      <c r="BT341" s="295"/>
      <c r="BU341" s="299"/>
      <c r="BV341" s="295"/>
      <c r="BW341" s="295"/>
      <c r="BX341" s="193"/>
      <c r="BY341" s="295"/>
      <c r="BZ341" s="93"/>
      <c r="CA341" s="93"/>
      <c r="CB341" s="79"/>
      <c r="CC341" s="699"/>
      <c r="CD341" s="93"/>
      <c r="CE341" s="51"/>
      <c r="CF341" s="193"/>
      <c r="CG341" s="295"/>
      <c r="CH341" s="193"/>
      <c r="CI341" s="295"/>
      <c r="CJ341" s="295"/>
      <c r="CK341" s="193"/>
      <c r="CL341" s="295"/>
      <c r="CM341" s="302"/>
      <c r="CN341" s="51"/>
      <c r="CO341" s="93"/>
      <c r="CP341" s="93"/>
      <c r="CQ341" s="93"/>
      <c r="CR341" s="93"/>
      <c r="CS341" s="699"/>
      <c r="CT341" s="93"/>
      <c r="CU341" s="93"/>
      <c r="CV341" s="92"/>
      <c r="CW341" s="295"/>
      <c r="CX341" s="193"/>
      <c r="CY341" s="295"/>
      <c r="CZ341" s="302"/>
      <c r="DA341" s="299"/>
      <c r="DB341" s="295"/>
      <c r="DC341" s="51"/>
      <c r="DD341" s="51"/>
      <c r="DE341" s="51"/>
      <c r="DF341" s="93"/>
      <c r="DG341" s="93"/>
      <c r="DH341" s="79"/>
      <c r="DI341" s="699"/>
      <c r="DJ341" s="93"/>
      <c r="DK341" s="93"/>
      <c r="DL341" s="193"/>
      <c r="DM341" s="299"/>
      <c r="DN341" s="193"/>
      <c r="DO341" s="295"/>
      <c r="DP341" s="299"/>
      <c r="DQ341" s="295"/>
      <c r="DR341" s="295"/>
      <c r="DS341" s="193"/>
      <c r="DT341" s="92"/>
      <c r="DU341" s="93"/>
      <c r="DV341" s="93"/>
      <c r="DW341" s="93"/>
      <c r="DX341" s="79"/>
    </row>
    <row r="342" spans="1:128">
      <c r="A342" s="51"/>
      <c r="B342" s="51"/>
      <c r="C342" s="199"/>
      <c r="D342" s="199"/>
      <c r="E342" s="92"/>
      <c r="F342" s="299"/>
      <c r="G342" s="295"/>
      <c r="H342" s="295"/>
      <c r="I342" s="299"/>
      <c r="J342" s="193"/>
      <c r="K342" s="295"/>
      <c r="L342" s="295"/>
      <c r="M342" s="92"/>
      <c r="N342" s="92"/>
      <c r="O342" s="51"/>
      <c r="P342" s="113"/>
      <c r="Q342" s="699"/>
      <c r="R342" s="93"/>
      <c r="S342" s="302"/>
      <c r="T342" s="295"/>
      <c r="U342" s="193"/>
      <c r="V342" s="295"/>
      <c r="W342" s="299"/>
      <c r="X342" s="295"/>
      <c r="Y342" s="295"/>
      <c r="Z342" s="193"/>
      <c r="AA342" s="295"/>
      <c r="AB342" s="295"/>
      <c r="AC342" s="93"/>
      <c r="AD342" s="93"/>
      <c r="AE342" s="93"/>
      <c r="AF342" s="93"/>
      <c r="AG342" s="114"/>
      <c r="AH342" s="51"/>
      <c r="AI342" s="51"/>
      <c r="AJ342" s="302"/>
      <c r="AK342" s="295"/>
      <c r="AL342" s="295"/>
      <c r="AM342" s="302"/>
      <c r="AN342" s="299"/>
      <c r="AO342" s="295"/>
      <c r="AP342" s="295"/>
      <c r="AQ342" s="193"/>
      <c r="AR342" s="92"/>
      <c r="AS342" s="51"/>
      <c r="AT342" s="51"/>
      <c r="AU342" s="51"/>
      <c r="AV342" s="82"/>
      <c r="AW342" s="93"/>
      <c r="AX342" s="93"/>
      <c r="AY342" s="93"/>
      <c r="AZ342" s="51"/>
      <c r="BA342" s="92"/>
      <c r="BB342" s="92"/>
      <c r="BC342" s="299"/>
      <c r="BD342" s="295"/>
      <c r="BE342" s="193"/>
      <c r="BF342" s="295"/>
      <c r="BG342" s="193"/>
      <c r="BH342" s="193"/>
      <c r="BI342" s="51"/>
      <c r="BJ342" s="51"/>
      <c r="BK342" s="51"/>
      <c r="BL342" s="113"/>
      <c r="BM342" s="699"/>
      <c r="BN342" s="93"/>
      <c r="BO342" s="93"/>
      <c r="BP342" s="93"/>
      <c r="BQ342" s="299"/>
      <c r="BR342" s="299"/>
      <c r="BS342" s="193"/>
      <c r="BT342" s="295"/>
      <c r="BU342" s="299"/>
      <c r="BV342" s="295"/>
      <c r="BW342" s="295"/>
      <c r="BX342" s="193"/>
      <c r="BY342" s="295"/>
      <c r="BZ342" s="93"/>
      <c r="CA342" s="93"/>
      <c r="CB342" s="79"/>
      <c r="CC342" s="699"/>
      <c r="CD342" s="93"/>
      <c r="CE342" s="295"/>
      <c r="CF342" s="295"/>
      <c r="CG342" s="193"/>
      <c r="CH342" s="193"/>
      <c r="CI342" s="295"/>
      <c r="CJ342" s="295"/>
      <c r="CK342" s="193"/>
      <c r="CL342" s="295"/>
      <c r="CM342" s="295"/>
      <c r="CN342" s="302"/>
      <c r="CO342" s="93"/>
      <c r="CP342" s="93"/>
      <c r="CQ342" s="93"/>
      <c r="CR342" s="93"/>
      <c r="CS342" s="699"/>
      <c r="CT342" s="93"/>
      <c r="CU342" s="93"/>
      <c r="CV342" s="92"/>
      <c r="CW342" s="193"/>
      <c r="CX342" s="193"/>
      <c r="CY342" s="193"/>
      <c r="CZ342" s="299"/>
      <c r="DA342" s="302"/>
      <c r="DB342" s="299"/>
      <c r="DC342" s="51"/>
      <c r="DD342" s="51"/>
      <c r="DE342" s="51"/>
      <c r="DF342" s="93"/>
      <c r="DG342" s="93"/>
      <c r="DH342" s="79"/>
      <c r="DI342" s="699"/>
      <c r="DJ342" s="93"/>
      <c r="DK342" s="93"/>
      <c r="DL342" s="93"/>
      <c r="DM342" s="295"/>
      <c r="DN342" s="299"/>
      <c r="DO342" s="295"/>
      <c r="DP342" s="295"/>
      <c r="DQ342" s="299"/>
      <c r="DR342" s="295"/>
      <c r="DS342" s="92"/>
      <c r="DT342" s="92"/>
      <c r="DU342" s="93"/>
      <c r="DV342" s="93"/>
      <c r="DW342" s="93"/>
      <c r="DX342" s="79"/>
    </row>
    <row r="343" spans="1:128">
      <c r="A343" s="51"/>
      <c r="B343" s="51"/>
      <c r="C343" s="35"/>
      <c r="D343" s="54"/>
      <c r="E343" s="92"/>
      <c r="F343" s="193"/>
      <c r="G343" s="193"/>
      <c r="H343" s="295"/>
      <c r="I343" s="299"/>
      <c r="J343" s="193"/>
      <c r="K343" s="199"/>
      <c r="L343" s="193"/>
      <c r="M343" s="92"/>
      <c r="N343" s="92"/>
      <c r="O343" s="51"/>
      <c r="P343" s="113"/>
      <c r="Q343" s="699"/>
      <c r="R343" s="93"/>
      <c r="S343" s="35"/>
      <c r="T343" s="54"/>
      <c r="U343" s="93"/>
      <c r="V343" s="193"/>
      <c r="W343" s="299"/>
      <c r="X343" s="299"/>
      <c r="Y343" s="299"/>
      <c r="Z343" s="193"/>
      <c r="AA343" s="299"/>
      <c r="AB343" s="54"/>
      <c r="AC343" s="93"/>
      <c r="AD343" s="93"/>
      <c r="AE343" s="93"/>
      <c r="AF343" s="93"/>
      <c r="AG343" s="114"/>
      <c r="AH343" s="51"/>
      <c r="AI343" s="35"/>
      <c r="AJ343" s="54"/>
      <c r="AK343" s="295"/>
      <c r="AL343" s="92"/>
      <c r="AM343" s="299"/>
      <c r="AN343" s="299"/>
      <c r="AO343" s="193"/>
      <c r="AP343" s="302"/>
      <c r="AQ343" s="193"/>
      <c r="AR343" s="92"/>
      <c r="AS343" s="51"/>
      <c r="AT343" s="51"/>
      <c r="AU343" s="51"/>
      <c r="AV343" s="82"/>
      <c r="AW343" s="93"/>
      <c r="AX343" s="93"/>
      <c r="AY343" s="93"/>
      <c r="AZ343" s="51"/>
      <c r="BA343" s="92"/>
      <c r="BB343" s="51"/>
      <c r="BC343" s="295"/>
      <c r="BD343" s="193"/>
      <c r="BE343" s="193"/>
      <c r="BF343" s="295"/>
      <c r="BG343" s="193"/>
      <c r="BH343" s="51"/>
      <c r="BI343" s="51"/>
      <c r="BJ343" s="51"/>
      <c r="BK343" s="51"/>
      <c r="BL343" s="113"/>
      <c r="BM343" s="699"/>
      <c r="BN343" s="93"/>
      <c r="BO343" s="93"/>
      <c r="BP343" s="93"/>
      <c r="BQ343" s="199"/>
      <c r="BR343" s="199"/>
      <c r="BS343" s="193"/>
      <c r="BT343" s="299"/>
      <c r="BU343" s="299"/>
      <c r="BV343" s="299"/>
      <c r="BW343" s="299"/>
      <c r="BX343" s="199"/>
      <c r="BY343" s="199"/>
      <c r="BZ343" s="93"/>
      <c r="CA343" s="93"/>
      <c r="CB343" s="79"/>
      <c r="CC343" s="699"/>
      <c r="CD343" s="199"/>
      <c r="CE343" s="54"/>
      <c r="CF343" s="193"/>
      <c r="CG343" s="193"/>
      <c r="CH343" s="295"/>
      <c r="CI343" s="295"/>
      <c r="CJ343" s="299"/>
      <c r="CK343" s="193"/>
      <c r="CL343" s="193"/>
      <c r="CM343" s="295"/>
      <c r="CN343" s="64"/>
      <c r="CO343" s="93"/>
      <c r="CP343" s="93"/>
      <c r="CQ343" s="93"/>
      <c r="CR343" s="93"/>
      <c r="CS343" s="699"/>
      <c r="CT343" s="93"/>
      <c r="CU343" s="93"/>
      <c r="CV343" s="54"/>
      <c r="CW343" s="193"/>
      <c r="CX343" s="193"/>
      <c r="CY343" s="295"/>
      <c r="CZ343" s="193"/>
      <c r="DA343" s="302"/>
      <c r="DB343" s="299"/>
      <c r="DC343" s="51"/>
      <c r="DD343" s="51"/>
      <c r="DE343" s="51"/>
      <c r="DF343" s="93"/>
      <c r="DG343" s="93"/>
      <c r="DH343" s="79"/>
      <c r="DI343" s="699"/>
      <c r="DJ343" s="93"/>
      <c r="DK343" s="93"/>
      <c r="DL343" s="93"/>
      <c r="DM343" s="193"/>
      <c r="DN343" s="299"/>
      <c r="DO343" s="299"/>
      <c r="DP343" s="295"/>
      <c r="DQ343" s="299"/>
      <c r="DR343" s="299"/>
      <c r="DS343" s="92"/>
      <c r="DT343" s="92"/>
      <c r="DU343" s="93"/>
      <c r="DV343" s="93"/>
      <c r="DW343" s="93"/>
      <c r="DX343" s="79"/>
    </row>
    <row r="344" spans="1:128">
      <c r="A344" s="51"/>
      <c r="B344" s="51"/>
      <c r="C344" s="35"/>
      <c r="D344" s="199"/>
      <c r="E344" s="92"/>
      <c r="F344" s="295"/>
      <c r="G344" s="193"/>
      <c r="H344" s="193"/>
      <c r="I344" s="193"/>
      <c r="J344" s="193"/>
      <c r="K344" s="92"/>
      <c r="L344" s="160"/>
      <c r="M344" s="92"/>
      <c r="N344" s="92"/>
      <c r="O344" s="51"/>
      <c r="P344" s="113"/>
      <c r="Q344" s="699"/>
      <c r="R344" s="93"/>
      <c r="S344" s="35"/>
      <c r="T344" s="199"/>
      <c r="U344" s="93"/>
      <c r="V344" s="193"/>
      <c r="W344" s="193"/>
      <c r="X344" s="295"/>
      <c r="Y344" s="193"/>
      <c r="Z344" s="193"/>
      <c r="AA344" s="93"/>
      <c r="AB344" s="35"/>
      <c r="AC344" s="64"/>
      <c r="AD344" s="93"/>
      <c r="AE344" s="93"/>
      <c r="AF344" s="93"/>
      <c r="AG344" s="114"/>
      <c r="AH344" s="51"/>
      <c r="AI344" s="35"/>
      <c r="AJ344" s="199"/>
      <c r="AK344" s="92"/>
      <c r="AL344" s="92"/>
      <c r="AM344" s="193"/>
      <c r="AN344" s="193"/>
      <c r="AO344" s="193"/>
      <c r="AP344" s="35"/>
      <c r="AQ344" s="64"/>
      <c r="AR344" s="93"/>
      <c r="AS344" s="51"/>
      <c r="AT344" s="51"/>
      <c r="AU344" s="51"/>
      <c r="AV344" s="82"/>
      <c r="AW344" s="93"/>
      <c r="AX344" s="93"/>
      <c r="AY344" s="93"/>
      <c r="AZ344" s="51"/>
      <c r="BA344" s="92"/>
      <c r="BB344" s="51"/>
      <c r="BC344" s="193"/>
      <c r="BD344" s="54"/>
      <c r="BE344" s="54"/>
      <c r="BF344" s="193"/>
      <c r="BG344" s="193"/>
      <c r="BH344" s="51"/>
      <c r="BI344" s="51"/>
      <c r="BJ344" s="51"/>
      <c r="BK344" s="51"/>
      <c r="BL344" s="113"/>
      <c r="BM344" s="699"/>
      <c r="BN344" s="93"/>
      <c r="BO344" s="93"/>
      <c r="BP344" s="93"/>
      <c r="BQ344" s="35"/>
      <c r="BR344" s="161"/>
      <c r="BS344" s="193"/>
      <c r="BT344" s="193"/>
      <c r="BU344" s="193"/>
      <c r="BV344" s="193"/>
      <c r="BW344" s="295"/>
      <c r="BX344" s="199"/>
      <c r="BY344" s="93"/>
      <c r="BZ344" s="93"/>
      <c r="CA344" s="93"/>
      <c r="CB344" s="79"/>
      <c r="CC344" s="699"/>
      <c r="CD344" s="199"/>
      <c r="CE344" s="35"/>
      <c r="CF344" s="206"/>
      <c r="CG344" s="92"/>
      <c r="CH344" s="193"/>
      <c r="CI344" s="193"/>
      <c r="CJ344" s="193"/>
      <c r="CK344" s="193"/>
      <c r="CL344" s="193"/>
      <c r="CM344" s="161"/>
      <c r="CN344" s="199"/>
      <c r="CO344" s="35"/>
      <c r="CP344" s="93"/>
      <c r="CQ344" s="93"/>
      <c r="CR344" s="93"/>
      <c r="CS344" s="699"/>
      <c r="CT344" s="93"/>
      <c r="CU344" s="93"/>
      <c r="CV344" s="54"/>
      <c r="CW344" s="64"/>
      <c r="CX344" s="206"/>
      <c r="CY344" s="193"/>
      <c r="CZ344" s="193"/>
      <c r="DA344" s="299"/>
      <c r="DB344" s="35"/>
      <c r="DC344" s="35"/>
      <c r="DD344" s="51"/>
      <c r="DE344" s="51"/>
      <c r="DF344" s="93"/>
      <c r="DG344" s="93"/>
      <c r="DH344" s="79"/>
      <c r="DI344" s="699"/>
      <c r="DJ344" s="93"/>
      <c r="DK344" s="93"/>
      <c r="DL344" s="93"/>
      <c r="DM344" s="93"/>
      <c r="DN344" s="54"/>
      <c r="DO344" s="35"/>
      <c r="DP344" s="295"/>
      <c r="DQ344" s="295"/>
      <c r="DR344" s="193"/>
      <c r="DS344" s="92"/>
      <c r="DT344" s="93"/>
      <c r="DU344" s="93"/>
      <c r="DV344" s="93"/>
      <c r="DW344" s="93"/>
      <c r="DX344" s="79"/>
    </row>
    <row r="345" spans="1:128">
      <c r="A345" s="51"/>
      <c r="B345" s="51"/>
      <c r="C345" s="51"/>
      <c r="D345" s="51"/>
      <c r="E345" s="92"/>
      <c r="F345" s="295"/>
      <c r="G345" s="193"/>
      <c r="H345" s="51"/>
      <c r="I345" s="193"/>
      <c r="J345" s="295"/>
      <c r="K345" s="295"/>
      <c r="L345" s="160"/>
      <c r="M345" s="92"/>
      <c r="N345" s="92"/>
      <c r="O345" s="51"/>
      <c r="P345" s="113"/>
      <c r="Q345" s="699"/>
      <c r="R345" s="93"/>
      <c r="S345" s="93"/>
      <c r="T345" s="93"/>
      <c r="U345" s="93"/>
      <c r="V345" s="295"/>
      <c r="W345" s="295"/>
      <c r="X345" s="299"/>
      <c r="Y345" s="299"/>
      <c r="Z345" s="295"/>
      <c r="AA345" s="93"/>
      <c r="AB345" s="206"/>
      <c r="AC345" s="54"/>
      <c r="AD345" s="93"/>
      <c r="AE345" s="93"/>
      <c r="AF345" s="93"/>
      <c r="AG345" s="114"/>
      <c r="AH345" s="51"/>
      <c r="AI345" s="51"/>
      <c r="AJ345" s="51"/>
      <c r="AK345" s="51"/>
      <c r="AL345" s="92"/>
      <c r="AM345" s="295"/>
      <c r="AN345" s="295"/>
      <c r="AO345" s="295"/>
      <c r="AP345" s="206"/>
      <c r="AQ345" s="54"/>
      <c r="AR345" s="93"/>
      <c r="AS345" s="51"/>
      <c r="AT345" s="51"/>
      <c r="AU345" s="51"/>
      <c r="AV345" s="82"/>
      <c r="AW345" s="93"/>
      <c r="AX345" s="93"/>
      <c r="AY345" s="93"/>
      <c r="AZ345" s="51"/>
      <c r="BA345" s="51"/>
      <c r="BB345" s="51"/>
      <c r="BC345" s="295"/>
      <c r="BD345" s="206"/>
      <c r="BE345" s="199"/>
      <c r="BF345" s="193"/>
      <c r="BG345" s="295"/>
      <c r="BH345" s="92"/>
      <c r="BI345" s="51"/>
      <c r="BJ345" s="51"/>
      <c r="BK345" s="51"/>
      <c r="BL345" s="113"/>
      <c r="BM345" s="699"/>
      <c r="BN345" s="93"/>
      <c r="BO345" s="93"/>
      <c r="BP345" s="93"/>
      <c r="BQ345" s="199"/>
      <c r="BR345" s="199"/>
      <c r="BS345" s="295"/>
      <c r="BT345" s="193"/>
      <c r="BU345" s="193"/>
      <c r="BV345" s="193"/>
      <c r="BW345" s="295"/>
      <c r="BX345" s="51"/>
      <c r="BY345" s="51"/>
      <c r="BZ345" s="93"/>
      <c r="CA345" s="93"/>
      <c r="CB345" s="79"/>
      <c r="CC345" s="699"/>
      <c r="CD345" s="93"/>
      <c r="CE345" s="206"/>
      <c r="CF345" s="92"/>
      <c r="CG345" s="92"/>
      <c r="CH345" s="295"/>
      <c r="CI345" s="193"/>
      <c r="CJ345" s="193"/>
      <c r="CK345" s="193"/>
      <c r="CL345" s="295"/>
      <c r="CM345" s="51"/>
      <c r="CN345" s="51"/>
      <c r="CO345" s="199"/>
      <c r="CP345" s="93"/>
      <c r="CQ345" s="93"/>
      <c r="CR345" s="93"/>
      <c r="CS345" s="699"/>
      <c r="CT345" s="93"/>
      <c r="CU345" s="93"/>
      <c r="CV345" s="51"/>
      <c r="CW345" s="206"/>
      <c r="CX345" s="51"/>
      <c r="CY345" s="295"/>
      <c r="CZ345" s="193"/>
      <c r="DA345" s="193"/>
      <c r="DB345" s="64"/>
      <c r="DC345" s="64"/>
      <c r="DD345" s="51"/>
      <c r="DE345" s="51"/>
      <c r="DF345" s="93"/>
      <c r="DG345" s="93"/>
      <c r="DH345" s="79"/>
      <c r="DI345" s="699"/>
      <c r="DJ345" s="93"/>
      <c r="DK345" s="93"/>
      <c r="DL345" s="51"/>
      <c r="DM345" s="93"/>
      <c r="DN345" s="93"/>
      <c r="DO345" s="199"/>
      <c r="DP345" s="299"/>
      <c r="DQ345" s="295"/>
      <c r="DR345" s="295"/>
      <c r="DS345" s="92"/>
      <c r="DT345" s="93"/>
      <c r="DU345" s="93"/>
      <c r="DV345" s="93"/>
      <c r="DW345" s="93"/>
      <c r="DX345" s="79"/>
    </row>
    <row r="346" spans="1:128">
      <c r="A346" s="51"/>
      <c r="B346" s="51"/>
      <c r="C346" s="92"/>
      <c r="D346" s="51"/>
      <c r="E346" s="52"/>
      <c r="F346" s="295"/>
      <c r="G346" s="193"/>
      <c r="H346" s="51"/>
      <c r="I346" s="295"/>
      <c r="J346" s="193"/>
      <c r="K346" s="299"/>
      <c r="L346" s="160"/>
      <c r="M346" s="92"/>
      <c r="N346" s="92"/>
      <c r="O346" s="92"/>
      <c r="P346" s="82"/>
      <c r="Q346" s="699"/>
      <c r="R346" s="93"/>
      <c r="S346" s="93"/>
      <c r="T346" s="93"/>
      <c r="U346" s="51"/>
      <c r="V346" s="295"/>
      <c r="W346" s="299"/>
      <c r="X346" s="295"/>
      <c r="Y346" s="295"/>
      <c r="Z346" s="93"/>
      <c r="AA346" s="93"/>
      <c r="AB346" s="93"/>
      <c r="AC346" s="206"/>
      <c r="AD346" s="51"/>
      <c r="AE346" s="93"/>
      <c r="AF346" s="93"/>
      <c r="AG346" s="114"/>
      <c r="AH346" s="51"/>
      <c r="AI346" s="51"/>
      <c r="AJ346" s="51"/>
      <c r="AK346" s="92"/>
      <c r="AL346" s="92"/>
      <c r="AM346" s="299"/>
      <c r="AN346" s="299"/>
      <c r="AO346" s="193"/>
      <c r="AP346" s="93"/>
      <c r="AQ346" s="206"/>
      <c r="AR346" s="51"/>
      <c r="AS346" s="51"/>
      <c r="AT346" s="51"/>
      <c r="AU346" s="51"/>
      <c r="AV346" s="82"/>
      <c r="AW346" s="93"/>
      <c r="AX346" s="93"/>
      <c r="AY346" s="93"/>
      <c r="AZ346" s="51"/>
      <c r="BA346" s="51"/>
      <c r="BB346" s="51"/>
      <c r="BC346" s="299"/>
      <c r="BD346" s="295"/>
      <c r="BE346" s="206"/>
      <c r="BF346" s="295"/>
      <c r="BG346" s="295"/>
      <c r="BH346" s="92"/>
      <c r="BI346" s="92"/>
      <c r="BJ346" s="51"/>
      <c r="BK346" s="51"/>
      <c r="BL346" s="82"/>
      <c r="BM346" s="699"/>
      <c r="BN346" s="93"/>
      <c r="BO346" s="93"/>
      <c r="BP346" s="93"/>
      <c r="BQ346" s="161"/>
      <c r="BR346" s="93"/>
      <c r="BS346" s="295"/>
      <c r="BT346" s="295"/>
      <c r="BU346" s="51"/>
      <c r="BV346" s="193"/>
      <c r="BW346" s="295"/>
      <c r="BX346" s="52"/>
      <c r="BY346" s="51"/>
      <c r="BZ346" s="92"/>
      <c r="CA346" s="93"/>
      <c r="CB346" s="79"/>
      <c r="CC346" s="699"/>
      <c r="CD346" s="206"/>
      <c r="CE346" s="92"/>
      <c r="CF346" s="92"/>
      <c r="CG346" s="92"/>
      <c r="CH346" s="92"/>
      <c r="CI346" s="295"/>
      <c r="CJ346" s="193"/>
      <c r="CK346" s="193"/>
      <c r="CL346" s="299"/>
      <c r="CM346" s="51"/>
      <c r="CN346" s="51"/>
      <c r="CO346" s="93"/>
      <c r="CP346" s="93"/>
      <c r="CQ346" s="93"/>
      <c r="CR346" s="93"/>
      <c r="CS346" s="699"/>
      <c r="CT346" s="93"/>
      <c r="CU346" s="93"/>
      <c r="CV346" s="206"/>
      <c r="CW346" s="51"/>
      <c r="CX346" s="51"/>
      <c r="CY346" s="193"/>
      <c r="CZ346" s="299"/>
      <c r="DA346" s="299"/>
      <c r="DB346" s="302"/>
      <c r="DC346" s="92"/>
      <c r="DD346" s="51"/>
      <c r="DE346" s="51"/>
      <c r="DF346" s="93"/>
      <c r="DG346" s="93"/>
      <c r="DH346" s="79"/>
      <c r="DI346" s="699"/>
      <c r="DJ346" s="93"/>
      <c r="DK346" s="93"/>
      <c r="DL346" s="51"/>
      <c r="DM346" s="93"/>
      <c r="DN346" s="93"/>
      <c r="DO346" s="295"/>
      <c r="DP346" s="299"/>
      <c r="DQ346" s="295"/>
      <c r="DR346" s="299"/>
      <c r="DS346" s="51"/>
      <c r="DT346" s="93"/>
      <c r="DU346" s="93"/>
      <c r="DV346" s="93"/>
      <c r="DW346" s="93"/>
      <c r="DX346" s="79"/>
    </row>
    <row r="347" spans="1:128">
      <c r="A347" s="51"/>
      <c r="B347" s="51"/>
      <c r="C347" s="51"/>
      <c r="D347" s="51"/>
      <c r="E347" s="92"/>
      <c r="F347" s="299"/>
      <c r="G347" s="295"/>
      <c r="H347" s="51"/>
      <c r="I347" s="51"/>
      <c r="J347" s="295"/>
      <c r="K347" s="295"/>
      <c r="L347" s="51"/>
      <c r="M347" s="92"/>
      <c r="N347" s="51"/>
      <c r="O347" s="51"/>
      <c r="P347" s="82"/>
      <c r="Q347" s="699"/>
      <c r="R347" s="93"/>
      <c r="S347" s="92"/>
      <c r="T347" s="93"/>
      <c r="U347" s="93"/>
      <c r="V347" s="299"/>
      <c r="W347" s="295"/>
      <c r="X347" s="295"/>
      <c r="Y347" s="193"/>
      <c r="Z347" s="93"/>
      <c r="AA347" s="93"/>
      <c r="AB347" s="52"/>
      <c r="AC347" s="52"/>
      <c r="AD347" s="206"/>
      <c r="AE347" s="93"/>
      <c r="AF347" s="93"/>
      <c r="AG347" s="114"/>
      <c r="AH347" s="51"/>
      <c r="AI347" s="51"/>
      <c r="AJ347" s="51"/>
      <c r="AK347" s="51"/>
      <c r="AL347" s="302"/>
      <c r="AM347" s="299"/>
      <c r="AN347" s="295"/>
      <c r="AO347" s="193"/>
      <c r="AP347" s="52"/>
      <c r="AQ347" s="52"/>
      <c r="AR347" s="206"/>
      <c r="AS347" s="51"/>
      <c r="AT347" s="51"/>
      <c r="AU347" s="51"/>
      <c r="AV347" s="82"/>
      <c r="AW347" s="93"/>
      <c r="AX347" s="93"/>
      <c r="AY347" s="93"/>
      <c r="AZ347" s="51"/>
      <c r="BA347" s="51"/>
      <c r="BB347" s="299"/>
      <c r="BC347" s="299"/>
      <c r="BD347" s="193"/>
      <c r="BE347" s="299"/>
      <c r="BF347" s="206"/>
      <c r="BG347" s="295"/>
      <c r="BH347" s="92"/>
      <c r="BI347" s="92"/>
      <c r="BJ347" s="92"/>
      <c r="BK347" s="92"/>
      <c r="BL347" s="82"/>
      <c r="BM347" s="699"/>
      <c r="BN347" s="93"/>
      <c r="BO347" s="93"/>
      <c r="BP347" s="93"/>
      <c r="BQ347" s="161"/>
      <c r="BR347" s="299"/>
      <c r="BS347" s="295"/>
      <c r="BT347" s="193"/>
      <c r="BU347" s="51"/>
      <c r="BV347" s="295"/>
      <c r="BW347" s="295"/>
      <c r="BX347" s="92"/>
      <c r="BY347" s="51"/>
      <c r="BZ347" s="51"/>
      <c r="CA347" s="93"/>
      <c r="CB347" s="79"/>
      <c r="CC347" s="699"/>
      <c r="CD347" s="93"/>
      <c r="CE347" s="92"/>
      <c r="CF347" s="92"/>
      <c r="CG347" s="92"/>
      <c r="CH347" s="92"/>
      <c r="CI347" s="295"/>
      <c r="CJ347" s="193"/>
      <c r="CK347" s="193"/>
      <c r="CL347" s="299"/>
      <c r="CM347" s="51"/>
      <c r="CN347" s="51"/>
      <c r="CO347" s="93"/>
      <c r="CP347" s="93"/>
      <c r="CQ347" s="93"/>
      <c r="CR347" s="93"/>
      <c r="CS347" s="699"/>
      <c r="CT347" s="93"/>
      <c r="CU347" s="93"/>
      <c r="CV347" s="92"/>
      <c r="CW347" s="51"/>
      <c r="CX347" s="51"/>
      <c r="CY347" s="193"/>
      <c r="CZ347" s="299"/>
      <c r="DA347" s="295"/>
      <c r="DB347" s="302"/>
      <c r="DC347" s="51"/>
      <c r="DD347" s="51"/>
      <c r="DE347" s="51"/>
      <c r="DF347" s="93"/>
      <c r="DG347" s="93"/>
      <c r="DH347" s="79"/>
      <c r="DI347" s="699"/>
      <c r="DJ347" s="93"/>
      <c r="DK347" s="93"/>
      <c r="DL347" s="51"/>
      <c r="DM347" s="93"/>
      <c r="DN347" s="93"/>
      <c r="DO347" s="295"/>
      <c r="DP347" s="295"/>
      <c r="DQ347" s="193"/>
      <c r="DR347" s="299"/>
      <c r="DS347" s="299"/>
      <c r="DT347" s="92"/>
      <c r="DU347" s="93"/>
      <c r="DV347" s="93"/>
      <c r="DW347" s="93"/>
      <c r="DX347" s="79"/>
    </row>
    <row r="348" spans="1:128">
      <c r="A348" s="51"/>
      <c r="B348" s="51"/>
      <c r="C348" s="92"/>
      <c r="D348" s="51"/>
      <c r="E348" s="52"/>
      <c r="F348" s="299"/>
      <c r="G348" s="295"/>
      <c r="H348" s="51"/>
      <c r="I348" s="51"/>
      <c r="J348" s="299"/>
      <c r="K348" s="295"/>
      <c r="L348" s="51"/>
      <c r="M348" s="92"/>
      <c r="N348" s="51"/>
      <c r="O348" s="51"/>
      <c r="P348" s="82"/>
      <c r="Q348" s="699"/>
      <c r="R348" s="93"/>
      <c r="S348" s="93"/>
      <c r="T348" s="93"/>
      <c r="U348" s="299"/>
      <c r="V348" s="295"/>
      <c r="W348" s="295"/>
      <c r="X348" s="193"/>
      <c r="Y348" s="193"/>
      <c r="Z348" s="93"/>
      <c r="AA348" s="52"/>
      <c r="AB348" s="52"/>
      <c r="AC348" s="93"/>
      <c r="AD348" s="93"/>
      <c r="AE348" s="93"/>
      <c r="AF348" s="93"/>
      <c r="AG348" s="114"/>
      <c r="AH348" s="51"/>
      <c r="AI348" s="51"/>
      <c r="AJ348" s="51"/>
      <c r="AK348" s="51"/>
      <c r="AL348" s="299"/>
      <c r="AM348" s="295"/>
      <c r="AN348" s="193"/>
      <c r="AO348" s="193"/>
      <c r="AP348" s="193"/>
      <c r="AQ348" s="51"/>
      <c r="AR348" s="92"/>
      <c r="AS348" s="51"/>
      <c r="AT348" s="51"/>
      <c r="AU348" s="51"/>
      <c r="AV348" s="82"/>
      <c r="AW348" s="93"/>
      <c r="AX348" s="93"/>
      <c r="AY348" s="93"/>
      <c r="AZ348" s="92"/>
      <c r="BA348" s="51"/>
      <c r="BB348" s="299"/>
      <c r="BC348" s="295"/>
      <c r="BD348" s="193"/>
      <c r="BE348" s="51"/>
      <c r="BF348" s="295"/>
      <c r="BG348" s="295"/>
      <c r="BH348" s="92"/>
      <c r="BI348" s="92"/>
      <c r="BJ348" s="51"/>
      <c r="BK348" s="51"/>
      <c r="BL348" s="82"/>
      <c r="BM348" s="699"/>
      <c r="BN348" s="93"/>
      <c r="BO348" s="93"/>
      <c r="BP348" s="93"/>
      <c r="BQ348" s="51"/>
      <c r="BR348" s="299"/>
      <c r="BS348" s="193"/>
      <c r="BT348" s="51"/>
      <c r="BU348" s="51"/>
      <c r="BV348" s="295"/>
      <c r="BW348" s="299"/>
      <c r="BX348" s="52"/>
      <c r="BY348" s="51"/>
      <c r="BZ348" s="92"/>
      <c r="CA348" s="93"/>
      <c r="CB348" s="79"/>
      <c r="CC348" s="699"/>
      <c r="CD348" s="93"/>
      <c r="CE348" s="51"/>
      <c r="CF348" s="51"/>
      <c r="CG348" s="92"/>
      <c r="CH348" s="92"/>
      <c r="CI348" s="92"/>
      <c r="CJ348" s="295"/>
      <c r="CK348" s="193"/>
      <c r="CL348" s="295"/>
      <c r="CM348" s="51"/>
      <c r="CN348" s="51"/>
      <c r="CO348" s="93"/>
      <c r="CP348" s="93"/>
      <c r="CQ348" s="93"/>
      <c r="CR348" s="93"/>
      <c r="CS348" s="699"/>
      <c r="CT348" s="93"/>
      <c r="CU348" s="93"/>
      <c r="CV348" s="92"/>
      <c r="CW348" s="51"/>
      <c r="CX348" s="193"/>
      <c r="CY348" s="193"/>
      <c r="CZ348" s="299"/>
      <c r="DA348" s="193"/>
      <c r="DB348" s="299"/>
      <c r="DC348" s="51"/>
      <c r="DD348" s="51"/>
      <c r="DE348" s="51"/>
      <c r="DF348" s="93"/>
      <c r="DG348" s="93"/>
      <c r="DH348" s="79"/>
      <c r="DI348" s="699"/>
      <c r="DJ348" s="93"/>
      <c r="DK348" s="93"/>
      <c r="DL348" s="51"/>
      <c r="DM348" s="52"/>
      <c r="DN348" s="93"/>
      <c r="DO348" s="295"/>
      <c r="DP348" s="299"/>
      <c r="DQ348" s="93"/>
      <c r="DR348" s="295"/>
      <c r="DS348" s="299"/>
      <c r="DT348" s="92"/>
      <c r="DU348" s="93"/>
      <c r="DV348" s="93"/>
      <c r="DW348" s="93"/>
      <c r="DX348" s="79"/>
    </row>
    <row r="349" spans="1:128">
      <c r="A349" s="51"/>
      <c r="B349" s="51"/>
      <c r="C349" s="51"/>
      <c r="D349" s="52"/>
      <c r="E349" s="52"/>
      <c r="F349" s="299"/>
      <c r="G349" s="295"/>
      <c r="H349" s="51"/>
      <c r="I349" s="51"/>
      <c r="J349" s="299"/>
      <c r="K349" s="295"/>
      <c r="L349" s="51"/>
      <c r="M349" s="51"/>
      <c r="N349" s="51"/>
      <c r="O349" s="51"/>
      <c r="P349" s="82"/>
      <c r="Q349" s="699"/>
      <c r="R349" s="93"/>
      <c r="S349" s="160"/>
      <c r="T349" s="160"/>
      <c r="U349" s="193"/>
      <c r="V349" s="295"/>
      <c r="W349" s="93"/>
      <c r="X349" s="193"/>
      <c r="Y349" s="193"/>
      <c r="Z349" s="93"/>
      <c r="AA349" s="52"/>
      <c r="AB349" s="52"/>
      <c r="AC349" s="93"/>
      <c r="AD349" s="93"/>
      <c r="AE349" s="93"/>
      <c r="AF349" s="93"/>
      <c r="AG349" s="114"/>
      <c r="AH349" s="51"/>
      <c r="AI349" s="293"/>
      <c r="AJ349" s="51"/>
      <c r="AK349" s="299"/>
      <c r="AL349" s="295"/>
      <c r="AM349" s="193"/>
      <c r="AN349" s="92"/>
      <c r="AO349" s="295"/>
      <c r="AP349" s="193"/>
      <c r="AQ349" s="51"/>
      <c r="AR349" s="92"/>
      <c r="AS349" s="51"/>
      <c r="AT349" s="51"/>
      <c r="AU349" s="51"/>
      <c r="AV349" s="82"/>
      <c r="AW349" s="93"/>
      <c r="AX349" s="93"/>
      <c r="AY349" s="93"/>
      <c r="AZ349" s="51"/>
      <c r="BA349" s="52"/>
      <c r="BB349" s="299"/>
      <c r="BC349" s="193"/>
      <c r="BD349" s="51"/>
      <c r="BE349" s="51"/>
      <c r="BF349" s="193"/>
      <c r="BG349" s="295"/>
      <c r="BH349" s="92"/>
      <c r="BI349" s="51"/>
      <c r="BJ349" s="51"/>
      <c r="BK349" s="51"/>
      <c r="BL349" s="82"/>
      <c r="BM349" s="699"/>
      <c r="BN349" s="93"/>
      <c r="BO349" s="93"/>
      <c r="BP349" s="93"/>
      <c r="BQ349" s="51"/>
      <c r="BR349" s="295"/>
      <c r="BS349" s="299"/>
      <c r="BT349" s="51"/>
      <c r="BU349" s="51"/>
      <c r="BV349" s="295"/>
      <c r="BW349" s="295"/>
      <c r="BX349" s="52"/>
      <c r="BY349" s="52"/>
      <c r="BZ349" s="51"/>
      <c r="CA349" s="93"/>
      <c r="CB349" s="79"/>
      <c r="CC349" s="699"/>
      <c r="CD349" s="93"/>
      <c r="CE349" s="51"/>
      <c r="CF349" s="51"/>
      <c r="CG349" s="51"/>
      <c r="CH349" s="92"/>
      <c r="CI349" s="92"/>
      <c r="CJ349" s="295"/>
      <c r="CK349" s="193"/>
      <c r="CL349" s="52"/>
      <c r="CM349" s="52"/>
      <c r="CN349" s="52"/>
      <c r="CO349" s="93"/>
      <c r="CP349" s="93"/>
      <c r="CQ349" s="93"/>
      <c r="CR349" s="93"/>
      <c r="CS349" s="699"/>
      <c r="CT349" s="93"/>
      <c r="CU349" s="93"/>
      <c r="CV349" s="92"/>
      <c r="CW349" s="51"/>
      <c r="CX349" s="193"/>
      <c r="CY349" s="295"/>
      <c r="CZ349" s="295"/>
      <c r="DA349" s="193"/>
      <c r="DB349" s="299"/>
      <c r="DC349" s="299"/>
      <c r="DD349" s="51"/>
      <c r="DE349" s="51"/>
      <c r="DF349" s="93"/>
      <c r="DG349" s="93"/>
      <c r="DH349" s="79"/>
      <c r="DI349" s="699"/>
      <c r="DJ349" s="93"/>
      <c r="DK349" s="93"/>
      <c r="DL349" s="52"/>
      <c r="DM349" s="52"/>
      <c r="DN349" s="193"/>
      <c r="DO349" s="295"/>
      <c r="DP349" s="295"/>
      <c r="DQ349" s="51"/>
      <c r="DR349" s="193"/>
      <c r="DS349" s="299"/>
      <c r="DT349" s="51"/>
      <c r="DU349" s="93"/>
      <c r="DV349" s="93"/>
      <c r="DW349" s="93"/>
      <c r="DX349" s="79"/>
    </row>
    <row r="350" spans="1:128">
      <c r="A350" s="51"/>
      <c r="B350" s="51"/>
      <c r="C350" s="51"/>
      <c r="D350" s="52"/>
      <c r="E350" s="51"/>
      <c r="F350" s="299"/>
      <c r="G350" s="295"/>
      <c r="H350" s="52"/>
      <c r="I350" s="51"/>
      <c r="J350" s="291"/>
      <c r="K350" s="291"/>
      <c r="L350" s="297"/>
      <c r="M350" s="51"/>
      <c r="N350" s="51"/>
      <c r="O350" s="51"/>
      <c r="P350" s="82"/>
      <c r="Q350" s="699"/>
      <c r="R350" s="93"/>
      <c r="S350" s="93"/>
      <c r="T350" s="160"/>
      <c r="U350" s="160"/>
      <c r="V350" s="93"/>
      <c r="W350" s="93"/>
      <c r="X350" s="193"/>
      <c r="Y350" s="160"/>
      <c r="Z350" s="160"/>
      <c r="AA350" s="52"/>
      <c r="AB350" s="52"/>
      <c r="AC350" s="93"/>
      <c r="AD350" s="93"/>
      <c r="AE350" s="93"/>
      <c r="AF350" s="93"/>
      <c r="AG350" s="114"/>
      <c r="AH350" s="51"/>
      <c r="AI350" s="160"/>
      <c r="AJ350" s="160"/>
      <c r="AK350" s="295"/>
      <c r="AL350" s="193"/>
      <c r="AM350" s="51"/>
      <c r="AN350" s="92"/>
      <c r="AO350" s="295"/>
      <c r="AP350" s="193"/>
      <c r="AQ350" s="51"/>
      <c r="AR350" s="92"/>
      <c r="AS350" s="51"/>
      <c r="AT350" s="51"/>
      <c r="AU350" s="51"/>
      <c r="AV350" s="82"/>
      <c r="AW350" s="93"/>
      <c r="AX350" s="93"/>
      <c r="AY350" s="93"/>
      <c r="AZ350" s="51"/>
      <c r="BA350" s="297"/>
      <c r="BB350" s="295"/>
      <c r="BC350" s="193"/>
      <c r="BD350" s="51"/>
      <c r="BE350" s="51"/>
      <c r="BF350" s="193"/>
      <c r="BG350" s="295"/>
      <c r="BH350" s="193"/>
      <c r="BI350" s="51"/>
      <c r="BJ350" s="51"/>
      <c r="BK350" s="51"/>
      <c r="BL350" s="82"/>
      <c r="BM350" s="699"/>
      <c r="BN350" s="93"/>
      <c r="BO350" s="93"/>
      <c r="BP350" s="93"/>
      <c r="BQ350" s="297"/>
      <c r="BR350" s="291"/>
      <c r="BS350" s="291"/>
      <c r="BT350" s="51"/>
      <c r="BU350" s="52"/>
      <c r="BV350" s="295"/>
      <c r="BW350" s="299"/>
      <c r="BX350" s="51"/>
      <c r="BY350" s="52"/>
      <c r="BZ350" s="51"/>
      <c r="CA350" s="93"/>
      <c r="CB350" s="79"/>
      <c r="CC350" s="699"/>
      <c r="CD350" s="93"/>
      <c r="CE350" s="51"/>
      <c r="CF350" s="51"/>
      <c r="CG350" s="51"/>
      <c r="CH350" s="51"/>
      <c r="CI350" s="193"/>
      <c r="CJ350" s="295"/>
      <c r="CK350" s="295"/>
      <c r="CL350" s="51"/>
      <c r="CM350" s="51"/>
      <c r="CN350" s="51"/>
      <c r="CO350" s="93"/>
      <c r="CP350" s="93"/>
      <c r="CQ350" s="93"/>
      <c r="CR350" s="93"/>
      <c r="CS350" s="699"/>
      <c r="CT350" s="93"/>
      <c r="CU350" s="93"/>
      <c r="CV350" s="92"/>
      <c r="CW350" s="51"/>
      <c r="CX350" s="193"/>
      <c r="CY350" s="295"/>
      <c r="CZ350" s="92"/>
      <c r="DA350" s="51"/>
      <c r="DB350" s="295"/>
      <c r="DC350" s="299"/>
      <c r="DD350" s="51"/>
      <c r="DE350" s="51"/>
      <c r="DF350" s="93"/>
      <c r="DG350" s="93"/>
      <c r="DH350" s="79"/>
      <c r="DI350" s="699"/>
      <c r="DJ350" s="93"/>
      <c r="DK350" s="93"/>
      <c r="DL350" s="52"/>
      <c r="DM350" s="52"/>
      <c r="DN350" s="193"/>
      <c r="DO350" s="295"/>
      <c r="DP350" s="51"/>
      <c r="DQ350" s="51"/>
      <c r="DR350" s="193"/>
      <c r="DS350" s="299"/>
      <c r="DT350" s="51"/>
      <c r="DU350" s="93"/>
      <c r="DV350" s="93"/>
      <c r="DW350" s="93"/>
      <c r="DX350" s="79"/>
    </row>
    <row r="351" spans="1:128">
      <c r="A351" s="51"/>
      <c r="B351" s="51"/>
      <c r="C351" s="51"/>
      <c r="D351" s="52"/>
      <c r="E351" s="51"/>
      <c r="F351" s="291"/>
      <c r="G351" s="43"/>
      <c r="H351" s="51"/>
      <c r="I351" s="51"/>
      <c r="J351" s="160"/>
      <c r="K351" s="160"/>
      <c r="L351" s="291"/>
      <c r="M351" s="51"/>
      <c r="N351" s="51"/>
      <c r="O351" s="51"/>
      <c r="P351" s="82"/>
      <c r="Q351" s="699"/>
      <c r="R351" s="93"/>
      <c r="S351" s="93"/>
      <c r="T351" s="93"/>
      <c r="U351" s="160"/>
      <c r="V351" s="93"/>
      <c r="W351" s="93"/>
      <c r="X351" s="93"/>
      <c r="Y351" s="160"/>
      <c r="Z351" s="160"/>
      <c r="AA351" s="51"/>
      <c r="AB351" s="51"/>
      <c r="AC351" s="93"/>
      <c r="AD351" s="93"/>
      <c r="AE351" s="93"/>
      <c r="AF351" s="93"/>
      <c r="AG351" s="114"/>
      <c r="AH351" s="51"/>
      <c r="AI351" s="51"/>
      <c r="AJ351" s="160"/>
      <c r="AK351" s="160"/>
      <c r="AL351" s="160"/>
      <c r="AM351" s="51"/>
      <c r="AN351" s="293"/>
      <c r="AO351" s="291"/>
      <c r="AP351" s="291"/>
      <c r="AQ351" s="291"/>
      <c r="AR351" s="92"/>
      <c r="AS351" s="51"/>
      <c r="AT351" s="51"/>
      <c r="AU351" s="51"/>
      <c r="AV351" s="82"/>
      <c r="AW351" s="93"/>
      <c r="AX351" s="93"/>
      <c r="AY351" s="93"/>
      <c r="AZ351" s="51"/>
      <c r="BA351" s="291"/>
      <c r="BB351" s="160"/>
      <c r="BC351" s="160"/>
      <c r="BD351" s="51"/>
      <c r="BE351" s="51"/>
      <c r="BF351" s="51"/>
      <c r="BG351" s="193"/>
      <c r="BH351" s="291"/>
      <c r="BI351" s="51"/>
      <c r="BJ351" s="51"/>
      <c r="BK351" s="51"/>
      <c r="BL351" s="82"/>
      <c r="BM351" s="699"/>
      <c r="BN351" s="93"/>
      <c r="BO351" s="93"/>
      <c r="BP351" s="93"/>
      <c r="BQ351" s="291"/>
      <c r="BR351" s="160"/>
      <c r="BS351" s="160"/>
      <c r="BT351" s="51"/>
      <c r="BU351" s="51"/>
      <c r="BV351" s="43"/>
      <c r="BW351" s="291"/>
      <c r="BX351" s="51"/>
      <c r="BY351" s="52"/>
      <c r="BZ351" s="51"/>
      <c r="CA351" s="93"/>
      <c r="CB351" s="79"/>
      <c r="CC351" s="699"/>
      <c r="CD351" s="93"/>
      <c r="CE351" s="51"/>
      <c r="CF351" s="51"/>
      <c r="CG351" s="51"/>
      <c r="CH351" s="51"/>
      <c r="CI351" s="291"/>
      <c r="CJ351" s="193"/>
      <c r="CK351" s="193"/>
      <c r="CL351" s="297"/>
      <c r="CM351" s="51"/>
      <c r="CN351" s="51"/>
      <c r="CO351" s="93"/>
      <c r="CP351" s="93"/>
      <c r="CQ351" s="93"/>
      <c r="CR351" s="93"/>
      <c r="CS351" s="699"/>
      <c r="CT351" s="93"/>
      <c r="CU351" s="93"/>
      <c r="CV351" s="92"/>
      <c r="CW351" s="291"/>
      <c r="CX351" s="291"/>
      <c r="CY351" s="291"/>
      <c r="CZ351" s="293"/>
      <c r="DA351" s="51"/>
      <c r="DB351" s="291"/>
      <c r="DC351" s="291"/>
      <c r="DD351" s="93"/>
      <c r="DE351" s="51"/>
      <c r="DF351" s="93"/>
      <c r="DG351" s="93"/>
      <c r="DH351" s="79"/>
      <c r="DI351" s="699"/>
      <c r="DJ351" s="93"/>
      <c r="DK351" s="93"/>
      <c r="DL351" s="51"/>
      <c r="DM351" s="51"/>
      <c r="DN351" s="291"/>
      <c r="DO351" s="160"/>
      <c r="DP351" s="297"/>
      <c r="DQ351" s="51"/>
      <c r="DR351" s="291"/>
      <c r="DS351" s="291"/>
      <c r="DT351" s="93"/>
      <c r="DU351" s="93"/>
      <c r="DV351" s="93"/>
      <c r="DW351" s="93"/>
      <c r="DX351" s="79"/>
    </row>
    <row r="352" spans="1:128">
      <c r="A352" s="106"/>
      <c r="B352" s="103"/>
      <c r="C352" s="106"/>
      <c r="D352" s="106"/>
      <c r="E352" s="291"/>
      <c r="F352" s="160"/>
      <c r="G352" s="160"/>
      <c r="H352" s="103"/>
      <c r="I352" s="103"/>
      <c r="J352" s="103"/>
      <c r="K352" s="103"/>
      <c r="L352" s="103"/>
      <c r="M352" s="103"/>
      <c r="N352" s="103"/>
      <c r="O352" s="103"/>
      <c r="P352" s="116"/>
      <c r="Q352" s="700"/>
      <c r="R352" s="73"/>
      <c r="S352" s="73"/>
      <c r="T352" s="103"/>
      <c r="U352" s="93"/>
      <c r="V352" s="73"/>
      <c r="W352" s="93"/>
      <c r="X352" s="160"/>
      <c r="Y352" s="160"/>
      <c r="Z352" s="93"/>
      <c r="AA352" s="106"/>
      <c r="AB352" s="106"/>
      <c r="AC352" s="73"/>
      <c r="AD352" s="73"/>
      <c r="AE352" s="73"/>
      <c r="AF352" s="73"/>
      <c r="AG352" s="115"/>
      <c r="AH352" s="106"/>
      <c r="AI352" s="106"/>
      <c r="AJ352" s="106"/>
      <c r="AK352" s="336"/>
      <c r="AL352" s="106"/>
      <c r="AM352" s="106"/>
      <c r="AN352" s="81"/>
      <c r="AO352" s="336"/>
      <c r="AP352" s="336"/>
      <c r="AQ352" s="106"/>
      <c r="AR352" s="103"/>
      <c r="AS352" s="106"/>
      <c r="AT352" s="106"/>
      <c r="AU352" s="106"/>
      <c r="AV352" s="394"/>
      <c r="AW352" s="73"/>
      <c r="AX352" s="73"/>
      <c r="AY352" s="73"/>
      <c r="AZ352" s="106"/>
      <c r="BA352" s="106"/>
      <c r="BB352" s="106"/>
      <c r="BC352" s="160"/>
      <c r="BD352" s="51"/>
      <c r="BE352" s="51"/>
      <c r="BF352" s="291"/>
      <c r="BG352" s="160"/>
      <c r="BH352" s="160"/>
      <c r="BI352" s="103"/>
      <c r="BJ352" s="103"/>
      <c r="BK352" s="103"/>
      <c r="BL352" s="116"/>
      <c r="BM352" s="700"/>
      <c r="BN352" s="73"/>
      <c r="BO352" s="73"/>
      <c r="BP352" s="73"/>
      <c r="BQ352" s="103"/>
      <c r="BR352" s="103"/>
      <c r="BS352" s="103"/>
      <c r="BT352" s="103"/>
      <c r="BU352" s="103"/>
      <c r="BV352" s="160"/>
      <c r="BW352" s="160"/>
      <c r="BX352" s="291"/>
      <c r="BY352" s="106"/>
      <c r="BZ352" s="106"/>
      <c r="CA352" s="73"/>
      <c r="CB352" s="701"/>
      <c r="CC352" s="700"/>
      <c r="CD352" s="73"/>
      <c r="CE352" s="103"/>
      <c r="CF352" s="103"/>
      <c r="CG352" s="103"/>
      <c r="CH352" s="103"/>
      <c r="CI352" s="160"/>
      <c r="CJ352" s="160"/>
      <c r="CK352" s="160"/>
      <c r="CL352" s="291"/>
      <c r="CM352" s="291"/>
      <c r="CN352" s="106"/>
      <c r="CO352" s="73"/>
      <c r="CP352" s="73"/>
      <c r="CQ352" s="73"/>
      <c r="CR352" s="73"/>
      <c r="CS352" s="700"/>
      <c r="CT352" s="73"/>
      <c r="CU352" s="73"/>
      <c r="CV352" s="103"/>
      <c r="CW352" s="106"/>
      <c r="CX352" s="336"/>
      <c r="CY352" s="336"/>
      <c r="CZ352" s="81"/>
      <c r="DA352" s="106"/>
      <c r="DB352" s="336"/>
      <c r="DC352" s="336"/>
      <c r="DD352" s="336"/>
      <c r="DE352" s="106"/>
      <c r="DF352" s="73"/>
      <c r="DG352" s="73"/>
      <c r="DH352" s="701"/>
      <c r="DI352" s="700"/>
      <c r="DJ352" s="73"/>
      <c r="DK352" s="73"/>
      <c r="DL352" s="106"/>
      <c r="DM352" s="106"/>
      <c r="DN352" s="336"/>
      <c r="DO352" s="336"/>
      <c r="DP352" s="336"/>
      <c r="DQ352" s="106"/>
      <c r="DR352" s="336"/>
      <c r="DS352" s="336"/>
      <c r="DT352" s="336"/>
      <c r="DU352" s="73"/>
      <c r="DV352" s="73"/>
      <c r="DW352" s="73"/>
      <c r="DX352" s="701"/>
    </row>
    <row r="353" spans="1:128">
      <c r="A353" s="114"/>
      <c r="B353" s="51" t="s">
        <v>764</v>
      </c>
      <c r="C353" s="51"/>
      <c r="D353" s="51"/>
      <c r="E353" s="51"/>
      <c r="F353" s="92"/>
      <c r="G353" s="92"/>
      <c r="H353" s="51"/>
      <c r="I353" s="51"/>
      <c r="J353" s="51"/>
      <c r="K353" s="51"/>
      <c r="L353" s="92"/>
      <c r="M353" s="51"/>
      <c r="N353" s="51"/>
      <c r="O353" s="51"/>
      <c r="P353" s="82"/>
      <c r="Q353" s="753"/>
      <c r="R353" s="711"/>
      <c r="S353" s="711"/>
      <c r="T353" s="711"/>
      <c r="U353" s="711"/>
      <c r="V353" s="711"/>
      <c r="W353" s="711"/>
      <c r="X353" s="711"/>
      <c r="Y353" s="711"/>
      <c r="Z353" s="711"/>
      <c r="AA353" s="711"/>
      <c r="AB353" s="711"/>
      <c r="AC353" s="711"/>
      <c r="AD353" s="711"/>
      <c r="AE353" s="711"/>
      <c r="AF353" s="530"/>
      <c r="AG353" s="51"/>
      <c r="AH353" s="51"/>
      <c r="AI353" s="51"/>
      <c r="AJ353" s="51"/>
      <c r="AK353" s="51"/>
      <c r="AL353" s="92"/>
      <c r="AM353" s="92"/>
      <c r="AN353" s="51"/>
      <c r="AO353" s="51"/>
      <c r="AP353" s="51"/>
      <c r="AQ353" s="51"/>
      <c r="AR353" s="92"/>
      <c r="AS353" s="51"/>
      <c r="AT353" s="51"/>
      <c r="AU353" s="51"/>
      <c r="AV353" s="82"/>
      <c r="AW353" s="753"/>
      <c r="AX353" s="711"/>
      <c r="AY353" s="711"/>
      <c r="AZ353" s="711"/>
      <c r="BA353" s="711"/>
      <c r="BB353" s="711"/>
      <c r="BC353" s="711"/>
      <c r="BD353" s="711"/>
      <c r="BE353" s="711"/>
      <c r="BF353" s="711"/>
      <c r="BG353" s="711"/>
      <c r="BH353" s="711"/>
      <c r="BI353" s="711"/>
      <c r="BJ353" s="711"/>
      <c r="BK353" s="711"/>
      <c r="BL353" s="530"/>
      <c r="BM353" s="51"/>
      <c r="BN353" s="51"/>
      <c r="BO353" s="51"/>
      <c r="BP353" s="51"/>
      <c r="BQ353" s="51"/>
      <c r="BR353" s="92"/>
      <c r="BS353" s="92"/>
      <c r="BT353" s="51"/>
      <c r="BU353" s="51"/>
      <c r="BV353" s="51"/>
      <c r="BW353" s="51"/>
      <c r="BX353" s="92"/>
      <c r="BY353" s="51"/>
      <c r="BZ353" s="51"/>
      <c r="CA353" s="51"/>
      <c r="CB353" s="51"/>
      <c r="CC353" s="753"/>
      <c r="CD353" s="711"/>
      <c r="CE353" s="711"/>
      <c r="CF353" s="711"/>
      <c r="CG353" s="711"/>
      <c r="CH353" s="711"/>
      <c r="CI353" s="711"/>
      <c r="CJ353" s="711"/>
      <c r="CK353" s="711"/>
      <c r="CL353" s="711"/>
      <c r="CM353" s="711"/>
      <c r="CN353" s="711"/>
      <c r="CO353" s="711"/>
      <c r="CP353" s="711"/>
      <c r="CQ353" s="711"/>
      <c r="CR353" s="530"/>
      <c r="CS353" s="699"/>
      <c r="CT353" s="93"/>
      <c r="CU353" s="93"/>
      <c r="CV353" s="93"/>
      <c r="CW353" s="93"/>
      <c r="CX353" s="51"/>
      <c r="CY353" s="51"/>
      <c r="CZ353" s="51"/>
      <c r="DA353" s="51"/>
      <c r="DB353" s="92"/>
      <c r="DC353" s="92"/>
      <c r="DD353" s="51"/>
      <c r="DE353" s="51"/>
      <c r="DF353" s="51"/>
      <c r="DG353" s="93"/>
      <c r="DH353" s="79"/>
      <c r="DI353" s="753"/>
      <c r="DJ353" s="711"/>
      <c r="DK353" s="711"/>
      <c r="DL353" s="711"/>
      <c r="DM353" s="711"/>
      <c r="DN353" s="711"/>
      <c r="DO353" s="711"/>
      <c r="DP353" s="711"/>
      <c r="DQ353" s="711"/>
      <c r="DR353" s="711"/>
      <c r="DS353" s="711"/>
      <c r="DT353" s="711"/>
      <c r="DU353" s="711"/>
      <c r="DV353" s="711"/>
      <c r="DW353" s="711"/>
      <c r="DX353" s="530"/>
    </row>
    <row r="354" spans="1:128">
      <c r="A354" s="112"/>
      <c r="B354" s="92"/>
      <c r="C354" s="92"/>
      <c r="D354" s="92"/>
      <c r="E354" s="92"/>
      <c r="F354" s="92"/>
      <c r="G354" s="92"/>
      <c r="H354" s="92"/>
      <c r="I354" s="92"/>
      <c r="J354" s="92"/>
      <c r="K354" s="92"/>
      <c r="L354" s="92"/>
      <c r="M354" s="92"/>
      <c r="N354" s="92"/>
      <c r="O354" s="92"/>
      <c r="P354" s="113"/>
      <c r="Q354" s="699"/>
      <c r="R354" s="93"/>
      <c r="S354" s="93"/>
      <c r="T354" s="93"/>
      <c r="U354" s="93"/>
      <c r="V354" s="93"/>
      <c r="W354" s="93"/>
      <c r="X354" s="93"/>
      <c r="Y354" s="93"/>
      <c r="Z354" s="93"/>
      <c r="AA354" s="93"/>
      <c r="AB354" s="93"/>
      <c r="AC354" s="93"/>
      <c r="AD354" s="93"/>
      <c r="AE354" s="93"/>
      <c r="AF354" s="79"/>
      <c r="AG354" s="51"/>
      <c r="AH354" s="51"/>
      <c r="AI354" s="51"/>
      <c r="AJ354" s="51"/>
      <c r="AK354" s="51"/>
      <c r="AL354" s="92"/>
      <c r="AM354" s="92"/>
      <c r="AN354" s="51"/>
      <c r="AO354" s="51"/>
      <c r="AP354" s="51"/>
      <c r="AQ354" s="51"/>
      <c r="AR354" s="92"/>
      <c r="AS354" s="51"/>
      <c r="AT354" s="51"/>
      <c r="AU354" s="51"/>
      <c r="AV354" s="82"/>
      <c r="AW354" s="699"/>
      <c r="AX354" s="93"/>
      <c r="AY354" s="93"/>
      <c r="AZ354" s="93"/>
      <c r="BA354" s="93"/>
      <c r="BB354" s="93"/>
      <c r="BC354" s="93"/>
      <c r="BD354" s="93"/>
      <c r="BE354" s="93"/>
      <c r="BF354" s="93"/>
      <c r="BG354" s="93"/>
      <c r="BH354" s="93"/>
      <c r="BI354" s="93"/>
      <c r="BJ354" s="93"/>
      <c r="BK354" s="93"/>
      <c r="BL354" s="79"/>
      <c r="BM354" s="92"/>
      <c r="BN354" s="92"/>
      <c r="BO354" s="92"/>
      <c r="BP354" s="92"/>
      <c r="BQ354" s="92"/>
      <c r="BR354" s="92"/>
      <c r="BS354" s="92"/>
      <c r="BT354" s="92"/>
      <c r="BU354" s="92"/>
      <c r="BV354" s="92"/>
      <c r="BW354" s="92"/>
      <c r="BX354" s="92"/>
      <c r="BY354" s="92"/>
      <c r="BZ354" s="92"/>
      <c r="CA354" s="92"/>
      <c r="CB354" s="92"/>
      <c r="CC354" s="699"/>
      <c r="CD354" s="93"/>
      <c r="CE354" s="93"/>
      <c r="CF354" s="93"/>
      <c r="CG354" s="93"/>
      <c r="CH354" s="93"/>
      <c r="CI354" s="93"/>
      <c r="CJ354" s="93"/>
      <c r="CK354" s="93"/>
      <c r="CL354" s="93"/>
      <c r="CM354" s="93"/>
      <c r="CN354" s="93"/>
      <c r="CO354" s="93"/>
      <c r="CP354" s="93"/>
      <c r="CQ354" s="93"/>
      <c r="CR354" s="79"/>
      <c r="CS354" s="699"/>
      <c r="CT354" s="93"/>
      <c r="CU354" s="93"/>
      <c r="CV354" s="93"/>
      <c r="CW354" s="93"/>
      <c r="CX354" s="51"/>
      <c r="CY354" s="51"/>
      <c r="CZ354" s="51"/>
      <c r="DA354" s="51"/>
      <c r="DB354" s="92"/>
      <c r="DC354" s="92"/>
      <c r="DD354" s="51"/>
      <c r="DE354" s="51"/>
      <c r="DF354" s="51"/>
      <c r="DG354" s="93"/>
      <c r="DH354" s="79"/>
      <c r="DI354" s="699"/>
      <c r="DJ354" s="93"/>
      <c r="DK354" s="93"/>
      <c r="DL354" s="93"/>
      <c r="DM354" s="93"/>
      <c r="DN354" s="93"/>
      <c r="DO354" s="93"/>
      <c r="DP354" s="93"/>
      <c r="DQ354" s="93"/>
      <c r="DR354" s="93"/>
      <c r="DS354" s="93"/>
      <c r="DT354" s="93"/>
      <c r="DU354" s="93"/>
      <c r="DV354" s="93"/>
      <c r="DW354" s="93"/>
      <c r="DX354" s="79"/>
    </row>
    <row r="355" spans="1:128">
      <c r="A355" s="114"/>
      <c r="B355" s="92"/>
      <c r="C355" s="92"/>
      <c r="D355" s="92"/>
      <c r="E355" s="51"/>
      <c r="F355" s="92"/>
      <c r="G355" s="92"/>
      <c r="H355" s="92"/>
      <c r="I355" s="92"/>
      <c r="J355" s="92"/>
      <c r="K355" s="92"/>
      <c r="L355" s="92"/>
      <c r="M355" s="92"/>
      <c r="N355" s="92"/>
      <c r="O355" s="92"/>
      <c r="P355" s="113"/>
      <c r="Q355" s="699"/>
      <c r="R355" s="93"/>
      <c r="S355" s="93"/>
      <c r="T355" s="93"/>
      <c r="U355" s="93"/>
      <c r="V355" s="93"/>
      <c r="W355" s="93"/>
      <c r="X355" s="93"/>
      <c r="Y355" s="93"/>
      <c r="Z355" s="93"/>
      <c r="AA355" s="93"/>
      <c r="AB355" s="93"/>
      <c r="AC355" s="93"/>
      <c r="AD355" s="93"/>
      <c r="AE355" s="93"/>
      <c r="AF355" s="79"/>
      <c r="AG355" s="51"/>
      <c r="AH355" s="51"/>
      <c r="AI355" s="51"/>
      <c r="AJ355" s="51"/>
      <c r="AK355" s="51"/>
      <c r="AL355" s="92"/>
      <c r="AM355" s="92"/>
      <c r="AN355" s="51"/>
      <c r="AO355" s="51"/>
      <c r="AP355" s="51"/>
      <c r="AQ355" s="51"/>
      <c r="AR355" s="92"/>
      <c r="AS355" s="51"/>
      <c r="AT355" s="51"/>
      <c r="AU355" s="51"/>
      <c r="AV355" s="82"/>
      <c r="AW355" s="699"/>
      <c r="AX355" s="93"/>
      <c r="AY355" s="93"/>
      <c r="AZ355" s="93"/>
      <c r="BA355" s="93"/>
      <c r="BB355" s="93"/>
      <c r="BC355" s="93"/>
      <c r="BD355" s="93"/>
      <c r="BE355" s="93"/>
      <c r="BF355" s="93"/>
      <c r="BG355" s="93"/>
      <c r="BH355" s="93"/>
      <c r="BI355" s="93"/>
      <c r="BJ355" s="93"/>
      <c r="BK355" s="93"/>
      <c r="BL355" s="79"/>
      <c r="BM355" s="51"/>
      <c r="BN355" s="92"/>
      <c r="BO355" s="92"/>
      <c r="BP355" s="92"/>
      <c r="BQ355" s="51"/>
      <c r="BR355" s="92"/>
      <c r="BS355" s="92"/>
      <c r="BT355" s="92"/>
      <c r="BU355" s="92"/>
      <c r="BV355" s="92"/>
      <c r="BW355" s="92"/>
      <c r="BX355" s="92"/>
      <c r="BY355" s="92"/>
      <c r="BZ355" s="92"/>
      <c r="CA355" s="92"/>
      <c r="CB355" s="92"/>
      <c r="CC355" s="699"/>
      <c r="CD355" s="93"/>
      <c r="CE355" s="93"/>
      <c r="CF355" s="93"/>
      <c r="CG355" s="93"/>
      <c r="CH355" s="93"/>
      <c r="CI355" s="93"/>
      <c r="CJ355" s="93"/>
      <c r="CK355" s="93"/>
      <c r="CL355" s="93"/>
      <c r="CM355" s="93"/>
      <c r="CN355" s="93"/>
      <c r="CO355" s="93"/>
      <c r="CP355" s="93"/>
      <c r="CQ355" s="93"/>
      <c r="CR355" s="79"/>
      <c r="CS355" s="699"/>
      <c r="CT355" s="93"/>
      <c r="CU355" s="93"/>
      <c r="CV355" s="93"/>
      <c r="CW355" s="93"/>
      <c r="CX355" s="51"/>
      <c r="CY355" s="51"/>
      <c r="CZ355" s="51"/>
      <c r="DA355" s="51"/>
      <c r="DB355" s="92"/>
      <c r="DC355" s="92"/>
      <c r="DD355" s="51"/>
      <c r="DE355" s="51"/>
      <c r="DF355" s="51"/>
      <c r="DG355" s="93"/>
      <c r="DH355" s="79"/>
      <c r="DI355" s="699"/>
      <c r="DJ355" s="93"/>
      <c r="DK355" s="93"/>
      <c r="DL355" s="93"/>
      <c r="DM355" s="93"/>
      <c r="DN355" s="93"/>
      <c r="DO355" s="93"/>
      <c r="DP355" s="93"/>
      <c r="DQ355" s="93"/>
      <c r="DR355" s="93"/>
      <c r="DS355" s="93"/>
      <c r="DT355" s="93"/>
      <c r="DU355" s="93"/>
      <c r="DV355" s="93"/>
      <c r="DW355" s="93"/>
      <c r="DX355" s="79"/>
    </row>
    <row r="356" spans="1:128">
      <c r="A356" s="112"/>
      <c r="B356" s="92"/>
      <c r="C356" s="92"/>
      <c r="D356" s="92"/>
      <c r="E356" s="51"/>
      <c r="F356" s="92"/>
      <c r="G356" s="92"/>
      <c r="H356" s="92"/>
      <c r="I356" s="92"/>
      <c r="J356" s="92"/>
      <c r="K356" s="92"/>
      <c r="L356" s="92"/>
      <c r="M356" s="92"/>
      <c r="N356" s="92"/>
      <c r="O356" s="92"/>
      <c r="P356" s="113"/>
      <c r="Q356" s="699"/>
      <c r="R356" s="93"/>
      <c r="S356" s="93"/>
      <c r="T356" s="93"/>
      <c r="U356" s="93"/>
      <c r="V356" s="93"/>
      <c r="W356" s="93"/>
      <c r="X356" s="93"/>
      <c r="Y356" s="93"/>
      <c r="Z356" s="93"/>
      <c r="AA356" s="93"/>
      <c r="AB356" s="93"/>
      <c r="AC356" s="93"/>
      <c r="AD356" s="93"/>
      <c r="AE356" s="93"/>
      <c r="AF356" s="79"/>
      <c r="AG356" s="51"/>
      <c r="AH356" s="51"/>
      <c r="AI356" s="51"/>
      <c r="AJ356" s="51"/>
      <c r="AK356" s="51"/>
      <c r="AL356" s="92"/>
      <c r="AM356" s="92"/>
      <c r="AN356" s="51"/>
      <c r="AO356" s="51"/>
      <c r="AP356" s="51"/>
      <c r="AQ356" s="51"/>
      <c r="AR356" s="92"/>
      <c r="AS356" s="51"/>
      <c r="AT356" s="51"/>
      <c r="AU356" s="51"/>
      <c r="AV356" s="82"/>
      <c r="AW356" s="699"/>
      <c r="AX356" s="93"/>
      <c r="AY356" s="93"/>
      <c r="AZ356" s="93"/>
      <c r="BA356" s="93"/>
      <c r="BB356" s="93"/>
      <c r="BC356" s="93"/>
      <c r="BD356" s="93"/>
      <c r="BE356" s="93"/>
      <c r="BF356" s="93"/>
      <c r="BG356" s="93"/>
      <c r="BH356" s="93"/>
      <c r="BI356" s="93"/>
      <c r="BJ356" s="93"/>
      <c r="BK356" s="93"/>
      <c r="BL356" s="79"/>
      <c r="BM356" s="92"/>
      <c r="BN356" s="92"/>
      <c r="BO356" s="92"/>
      <c r="BP356" s="92"/>
      <c r="BQ356" s="51"/>
      <c r="BR356" s="92"/>
      <c r="BS356" s="92"/>
      <c r="BT356" s="92"/>
      <c r="BU356" s="92"/>
      <c r="BV356" s="92"/>
      <c r="BW356" s="92"/>
      <c r="BX356" s="92"/>
      <c r="BY356" s="92"/>
      <c r="BZ356" s="92"/>
      <c r="CA356" s="92"/>
      <c r="CB356" s="92"/>
      <c r="CC356" s="699"/>
      <c r="CD356" s="93"/>
      <c r="CE356" s="93"/>
      <c r="CF356" s="93"/>
      <c r="CG356" s="93"/>
      <c r="CH356" s="93"/>
      <c r="CI356" s="93"/>
      <c r="CJ356" s="93"/>
      <c r="CK356" s="93"/>
      <c r="CL356" s="93"/>
      <c r="CM356" s="93"/>
      <c r="CN356" s="93"/>
      <c r="CO356" s="93"/>
      <c r="CP356" s="93"/>
      <c r="CQ356" s="93"/>
      <c r="CR356" s="79"/>
      <c r="CS356" s="699"/>
      <c r="CT356" s="93"/>
      <c r="CU356" s="93"/>
      <c r="CV356" s="93"/>
      <c r="CW356" s="93"/>
      <c r="CX356" s="51"/>
      <c r="CY356" s="51"/>
      <c r="CZ356" s="51"/>
      <c r="DA356" s="51"/>
      <c r="DB356" s="92"/>
      <c r="DC356" s="92"/>
      <c r="DD356" s="51"/>
      <c r="DE356" s="51"/>
      <c r="DF356" s="51"/>
      <c r="DG356" s="93"/>
      <c r="DH356" s="79"/>
      <c r="DI356" s="699"/>
      <c r="DJ356" s="93"/>
      <c r="DK356" s="93"/>
      <c r="DL356" s="93"/>
      <c r="DM356" s="93"/>
      <c r="DN356" s="93"/>
      <c r="DO356" s="93"/>
      <c r="DP356" s="93"/>
      <c r="DQ356" s="93"/>
      <c r="DR356" s="93"/>
      <c r="DS356" s="93"/>
      <c r="DT356" s="93"/>
      <c r="DU356" s="93"/>
      <c r="DV356" s="93"/>
      <c r="DW356" s="93"/>
      <c r="DX356" s="79"/>
    </row>
    <row r="357" spans="1:128">
      <c r="A357" s="114"/>
      <c r="B357" s="92"/>
      <c r="C357" s="92"/>
      <c r="D357" s="92"/>
      <c r="E357" s="51"/>
      <c r="F357" s="92"/>
      <c r="G357" s="92"/>
      <c r="H357" s="92"/>
      <c r="I357" s="92"/>
      <c r="J357" s="92"/>
      <c r="K357" s="92"/>
      <c r="L357" s="92"/>
      <c r="M357" s="92"/>
      <c r="N357" s="92"/>
      <c r="O357" s="92"/>
      <c r="P357" s="113"/>
      <c r="Q357" s="699"/>
      <c r="R357" s="93"/>
      <c r="S357" s="93"/>
      <c r="T357" s="93"/>
      <c r="U357" s="93"/>
      <c r="V357" s="93"/>
      <c r="W357" s="93"/>
      <c r="X357" s="93"/>
      <c r="Y357" s="93"/>
      <c r="Z357" s="93"/>
      <c r="AA357" s="93"/>
      <c r="AB357" s="93"/>
      <c r="AC357" s="93"/>
      <c r="AD357" s="93"/>
      <c r="AE357" s="93"/>
      <c r="AF357" s="79"/>
      <c r="AG357" s="51"/>
      <c r="AH357" s="51"/>
      <c r="AI357" s="51"/>
      <c r="AJ357" s="51"/>
      <c r="AK357" s="51"/>
      <c r="AL357" s="92"/>
      <c r="AM357" s="92"/>
      <c r="AN357" s="51"/>
      <c r="AO357" s="51"/>
      <c r="AP357" s="51"/>
      <c r="AQ357" s="51"/>
      <c r="AR357" s="92"/>
      <c r="AS357" s="51"/>
      <c r="AT357" s="51"/>
      <c r="AU357" s="51"/>
      <c r="AV357" s="82"/>
      <c r="AW357" s="699"/>
      <c r="AX357" s="93"/>
      <c r="AY357" s="93"/>
      <c r="AZ357" s="93"/>
      <c r="BA357" s="93"/>
      <c r="BB357" s="93"/>
      <c r="BC357" s="93"/>
      <c r="BD357" s="93"/>
      <c r="BE357" s="93"/>
      <c r="BF357" s="93"/>
      <c r="BG357" s="93"/>
      <c r="BH357" s="93"/>
      <c r="BI357" s="93"/>
      <c r="BJ357" s="93"/>
      <c r="BK357" s="93"/>
      <c r="BL357" s="79"/>
      <c r="BM357" s="51"/>
      <c r="BN357" s="92"/>
      <c r="BO357" s="92"/>
      <c r="BP357" s="92"/>
      <c r="BQ357" s="92"/>
      <c r="BR357" s="92"/>
      <c r="BS357" s="92"/>
      <c r="BT357" s="92"/>
      <c r="BU357" s="92"/>
      <c r="BV357" s="92"/>
      <c r="BW357" s="51"/>
      <c r="BX357" s="92"/>
      <c r="BY357" s="92"/>
      <c r="BZ357" s="92"/>
      <c r="CA357" s="92"/>
      <c r="CB357" s="92"/>
      <c r="CC357" s="699"/>
      <c r="CD357" s="93"/>
      <c r="CE357" s="93"/>
      <c r="CF357" s="93"/>
      <c r="CG357" s="93"/>
      <c r="CH357" s="93"/>
      <c r="CI357" s="93"/>
      <c r="CJ357" s="93"/>
      <c r="CK357" s="93"/>
      <c r="CL357" s="93"/>
      <c r="CM357" s="93"/>
      <c r="CN357" s="93"/>
      <c r="CO357" s="93"/>
      <c r="CP357" s="93"/>
      <c r="CQ357" s="93"/>
      <c r="CR357" s="79"/>
      <c r="CS357" s="699"/>
      <c r="CT357" s="93"/>
      <c r="CU357" s="93"/>
      <c r="CV357" s="93"/>
      <c r="CW357" s="93"/>
      <c r="CX357" s="51"/>
      <c r="CY357" s="51"/>
      <c r="CZ357" s="51"/>
      <c r="DA357" s="51"/>
      <c r="DB357" s="92"/>
      <c r="DC357" s="92"/>
      <c r="DD357" s="51"/>
      <c r="DE357" s="51"/>
      <c r="DF357" s="51"/>
      <c r="DG357" s="93"/>
      <c r="DH357" s="79"/>
      <c r="DI357" s="699"/>
      <c r="DJ357" s="93"/>
      <c r="DK357" s="93"/>
      <c r="DL357" s="93"/>
      <c r="DM357" s="93"/>
      <c r="DN357" s="93"/>
      <c r="DO357" s="93"/>
      <c r="DP357" s="93"/>
      <c r="DQ357" s="93"/>
      <c r="DR357" s="93"/>
      <c r="DS357" s="93"/>
      <c r="DT357" s="93"/>
      <c r="DU357" s="93"/>
      <c r="DV357" s="93"/>
      <c r="DW357" s="93"/>
      <c r="DX357" s="79"/>
    </row>
    <row r="358" spans="1:128">
      <c r="A358" s="114"/>
      <c r="B358" s="51"/>
      <c r="C358" s="51"/>
      <c r="D358" s="51"/>
      <c r="E358" s="51"/>
      <c r="F358" s="51"/>
      <c r="G358" s="51"/>
      <c r="H358" s="51"/>
      <c r="I358" s="51"/>
      <c r="J358" s="51"/>
      <c r="K358" s="51"/>
      <c r="L358" s="51"/>
      <c r="M358" s="51"/>
      <c r="N358" s="51"/>
      <c r="O358" s="51"/>
      <c r="P358" s="82"/>
      <c r="Q358" s="699"/>
      <c r="R358" s="93"/>
      <c r="S358" s="93"/>
      <c r="T358" s="93"/>
      <c r="U358" s="93"/>
      <c r="V358" s="93"/>
      <c r="W358" s="93"/>
      <c r="X358" s="93"/>
      <c r="Y358" s="93"/>
      <c r="Z358" s="93"/>
      <c r="AA358" s="93"/>
      <c r="AB358" s="93"/>
      <c r="AC358" s="93"/>
      <c r="AD358" s="93"/>
      <c r="AE358" s="93"/>
      <c r="AF358" s="79"/>
      <c r="AG358" s="51"/>
      <c r="AH358" s="51"/>
      <c r="AI358" s="51"/>
      <c r="AJ358" s="51"/>
      <c r="AK358" s="51"/>
      <c r="AL358" s="92"/>
      <c r="AM358" s="92"/>
      <c r="AN358" s="51"/>
      <c r="AO358" s="51"/>
      <c r="AP358" s="51"/>
      <c r="AQ358" s="51"/>
      <c r="AR358" s="92"/>
      <c r="AS358" s="51"/>
      <c r="AT358" s="51"/>
      <c r="AU358" s="51"/>
      <c r="AV358" s="82"/>
      <c r="AW358" s="699"/>
      <c r="AX358" s="93"/>
      <c r="AY358" s="93"/>
      <c r="AZ358" s="93"/>
      <c r="BA358" s="93"/>
      <c r="BB358" s="93"/>
      <c r="BC358" s="93"/>
      <c r="BD358" s="93"/>
      <c r="BE358" s="93"/>
      <c r="BF358" s="93"/>
      <c r="BG358" s="93"/>
      <c r="BH358" s="93"/>
      <c r="BI358" s="93"/>
      <c r="BJ358" s="93"/>
      <c r="BK358" s="93"/>
      <c r="BL358" s="79"/>
      <c r="BM358" s="51"/>
      <c r="BN358" s="92"/>
      <c r="BO358" s="92"/>
      <c r="BP358" s="92"/>
      <c r="BQ358" s="92"/>
      <c r="BR358" s="51"/>
      <c r="BS358" s="92"/>
      <c r="BT358" s="92"/>
      <c r="BU358" s="92"/>
      <c r="BV358" s="92"/>
      <c r="BW358" s="51"/>
      <c r="BX358" s="92"/>
      <c r="BY358" s="92"/>
      <c r="BZ358" s="92"/>
      <c r="CA358" s="92"/>
      <c r="CB358" s="92"/>
      <c r="CC358" s="699"/>
      <c r="CD358" s="93"/>
      <c r="CE358" s="93"/>
      <c r="CF358" s="93"/>
      <c r="CG358" s="93"/>
      <c r="CH358" s="93"/>
      <c r="CI358" s="93"/>
      <c r="CJ358" s="93"/>
      <c r="CK358" s="93"/>
      <c r="CL358" s="93"/>
      <c r="CM358" s="93"/>
      <c r="CN358" s="93"/>
      <c r="CO358" s="93"/>
      <c r="CP358" s="93"/>
      <c r="CQ358" s="93"/>
      <c r="CR358" s="79"/>
      <c r="CS358" s="699"/>
      <c r="CT358" s="93"/>
      <c r="CU358" s="93"/>
      <c r="CV358" s="93"/>
      <c r="CW358" s="93"/>
      <c r="CX358" s="51"/>
      <c r="CY358" s="51"/>
      <c r="CZ358" s="51"/>
      <c r="DA358" s="51"/>
      <c r="DB358" s="92"/>
      <c r="DC358" s="92"/>
      <c r="DD358" s="51"/>
      <c r="DE358" s="51"/>
      <c r="DF358" s="51"/>
      <c r="DG358" s="93"/>
      <c r="DH358" s="79"/>
      <c r="DI358" s="699"/>
      <c r="DJ358" s="93"/>
      <c r="DK358" s="93"/>
      <c r="DL358" s="93"/>
      <c r="DM358" s="93"/>
      <c r="DN358" s="93"/>
      <c r="DO358" s="93"/>
      <c r="DP358" s="93"/>
      <c r="DQ358" s="93"/>
      <c r="DR358" s="93"/>
      <c r="DS358" s="93"/>
      <c r="DT358" s="93"/>
      <c r="DU358" s="93"/>
      <c r="DV358" s="93"/>
      <c r="DW358" s="93"/>
      <c r="DX358" s="79"/>
    </row>
    <row r="359" spans="1:128">
      <c r="A359" s="114"/>
      <c r="B359" s="92"/>
      <c r="C359" s="92"/>
      <c r="D359" s="92"/>
      <c r="E359" s="92"/>
      <c r="F359" s="92"/>
      <c r="G359" s="92"/>
      <c r="H359" s="92"/>
      <c r="I359" s="92"/>
      <c r="J359" s="92"/>
      <c r="K359" s="51"/>
      <c r="L359" s="92"/>
      <c r="M359" s="92"/>
      <c r="N359" s="92"/>
      <c r="O359" s="92"/>
      <c r="P359" s="113"/>
      <c r="Q359" s="699"/>
      <c r="R359" s="93"/>
      <c r="S359" s="93"/>
      <c r="T359" s="93"/>
      <c r="U359" s="93"/>
      <c r="V359" s="93"/>
      <c r="W359" s="93"/>
      <c r="X359" s="93"/>
      <c r="Y359" s="93"/>
      <c r="Z359" s="93"/>
      <c r="AA359" s="93"/>
      <c r="AB359" s="93"/>
      <c r="AC359" s="93"/>
      <c r="AD359" s="93"/>
      <c r="AE359" s="93"/>
      <c r="AF359" s="79"/>
      <c r="AG359" s="51"/>
      <c r="AH359" s="51"/>
      <c r="AI359" s="51"/>
      <c r="AJ359" s="51"/>
      <c r="AK359" s="51"/>
      <c r="AL359" s="92"/>
      <c r="AM359" s="92"/>
      <c r="AN359" s="51"/>
      <c r="AO359" s="51"/>
      <c r="AP359" s="51"/>
      <c r="AQ359" s="51"/>
      <c r="AR359" s="92"/>
      <c r="AS359" s="51"/>
      <c r="AT359" s="51"/>
      <c r="AU359" s="51"/>
      <c r="AV359" s="82"/>
      <c r="AW359" s="699"/>
      <c r="AX359" s="93"/>
      <c r="AY359" s="93"/>
      <c r="AZ359" s="93"/>
      <c r="BA359" s="93"/>
      <c r="BB359" s="93"/>
      <c r="BC359" s="93"/>
      <c r="BD359" s="93"/>
      <c r="BE359" s="93"/>
      <c r="BF359" s="93"/>
      <c r="BG359" s="93"/>
      <c r="BH359" s="93"/>
      <c r="BI359" s="93"/>
      <c r="BJ359" s="93"/>
      <c r="BK359" s="93"/>
      <c r="BL359" s="79"/>
      <c r="BM359" s="51"/>
      <c r="BN359" s="92"/>
      <c r="BO359" s="92"/>
      <c r="BP359" s="92"/>
      <c r="BQ359" s="92"/>
      <c r="BR359" s="92"/>
      <c r="BS359" s="92"/>
      <c r="BT359" s="92"/>
      <c r="BU359" s="92"/>
      <c r="BV359" s="92"/>
      <c r="BW359" s="51"/>
      <c r="BX359" s="92"/>
      <c r="BY359" s="92"/>
      <c r="BZ359" s="92"/>
      <c r="CA359" s="92"/>
      <c r="CB359" s="92"/>
      <c r="CC359" s="699"/>
      <c r="CD359" s="93"/>
      <c r="CE359" s="93"/>
      <c r="CF359" s="93"/>
      <c r="CG359" s="93"/>
      <c r="CH359" s="93"/>
      <c r="CI359" s="93"/>
      <c r="CJ359" s="93"/>
      <c r="CK359" s="93"/>
      <c r="CL359" s="93"/>
      <c r="CM359" s="93"/>
      <c r="CN359" s="93"/>
      <c r="CO359" s="93"/>
      <c r="CP359" s="93"/>
      <c r="CQ359" s="93"/>
      <c r="CR359" s="79"/>
      <c r="CS359" s="699"/>
      <c r="CT359" s="93"/>
      <c r="CU359" s="93"/>
      <c r="CV359" s="93"/>
      <c r="CW359" s="93"/>
      <c r="CX359" s="51"/>
      <c r="CY359" s="51"/>
      <c r="CZ359" s="51"/>
      <c r="DA359" s="51"/>
      <c r="DB359" s="92"/>
      <c r="DC359" s="92"/>
      <c r="DD359" s="51"/>
      <c r="DE359" s="51"/>
      <c r="DF359" s="51"/>
      <c r="DG359" s="93"/>
      <c r="DH359" s="79"/>
      <c r="DI359" s="699"/>
      <c r="DJ359" s="93"/>
      <c r="DK359" s="93"/>
      <c r="DL359" s="93"/>
      <c r="DM359" s="93"/>
      <c r="DN359" s="93"/>
      <c r="DO359" s="93"/>
      <c r="DP359" s="93"/>
      <c r="DQ359" s="93"/>
      <c r="DR359" s="93"/>
      <c r="DS359" s="93"/>
      <c r="DT359" s="93"/>
      <c r="DU359" s="93"/>
      <c r="DV359" s="93"/>
      <c r="DW359" s="93"/>
      <c r="DX359" s="79"/>
    </row>
    <row r="360" spans="1:128">
      <c r="A360" s="114"/>
      <c r="B360" s="92"/>
      <c r="C360" s="92"/>
      <c r="D360" s="92"/>
      <c r="E360" s="92"/>
      <c r="F360" s="51"/>
      <c r="G360" s="92"/>
      <c r="H360" s="92"/>
      <c r="I360" s="92"/>
      <c r="J360" s="92"/>
      <c r="K360" s="51"/>
      <c r="L360" s="92"/>
      <c r="M360" s="92"/>
      <c r="N360" s="92"/>
      <c r="O360" s="92"/>
      <c r="P360" s="113"/>
      <c r="Q360" s="699"/>
      <c r="R360" s="93"/>
      <c r="S360" s="93"/>
      <c r="T360" s="93"/>
      <c r="U360" s="93"/>
      <c r="V360" s="93"/>
      <c r="W360" s="93"/>
      <c r="X360" s="93"/>
      <c r="Y360" s="93"/>
      <c r="Z360" s="93"/>
      <c r="AA360" s="93"/>
      <c r="AB360" s="93"/>
      <c r="AC360" s="93"/>
      <c r="AD360" s="93"/>
      <c r="AE360" s="93"/>
      <c r="AF360" s="79"/>
      <c r="AG360" s="51"/>
      <c r="AH360" s="51"/>
      <c r="AI360" s="51"/>
      <c r="AJ360" s="51"/>
      <c r="AK360" s="51"/>
      <c r="AL360" s="92"/>
      <c r="AM360" s="92"/>
      <c r="AN360" s="51"/>
      <c r="AO360" s="51"/>
      <c r="AP360" s="51"/>
      <c r="AQ360" s="51"/>
      <c r="AR360" s="92"/>
      <c r="AS360" s="51"/>
      <c r="AT360" s="51"/>
      <c r="AU360" s="51"/>
      <c r="AV360" s="82"/>
      <c r="AW360" s="699"/>
      <c r="AX360" s="93"/>
      <c r="AY360" s="93"/>
      <c r="AZ360" s="93"/>
      <c r="BA360" s="93"/>
      <c r="BB360" s="93"/>
      <c r="BC360" s="93"/>
      <c r="BD360" s="93"/>
      <c r="BE360" s="93"/>
      <c r="BF360" s="93"/>
      <c r="BG360" s="93"/>
      <c r="BH360" s="93"/>
      <c r="BI360" s="93"/>
      <c r="BJ360" s="93"/>
      <c r="BK360" s="93"/>
      <c r="BL360" s="79"/>
      <c r="BM360" s="51"/>
      <c r="BN360" s="92"/>
      <c r="BO360" s="92"/>
      <c r="BP360" s="92"/>
      <c r="BQ360" s="92"/>
      <c r="BR360" s="92"/>
      <c r="BS360" s="92"/>
      <c r="BT360" s="92"/>
      <c r="BU360" s="92"/>
      <c r="BV360" s="92"/>
      <c r="BW360" s="51"/>
      <c r="BX360" s="92"/>
      <c r="BY360" s="92"/>
      <c r="BZ360" s="92"/>
      <c r="CA360" s="92"/>
      <c r="CB360" s="92"/>
      <c r="CC360" s="699"/>
      <c r="CD360" s="93"/>
      <c r="CE360" s="93"/>
      <c r="CF360" s="93"/>
      <c r="CG360" s="93"/>
      <c r="CH360" s="93"/>
      <c r="CI360" s="93"/>
      <c r="CJ360" s="93"/>
      <c r="CK360" s="93"/>
      <c r="CL360" s="93"/>
      <c r="CM360" s="93"/>
      <c r="CN360" s="93"/>
      <c r="CO360" s="93"/>
      <c r="CP360" s="93"/>
      <c r="CQ360" s="93"/>
      <c r="CR360" s="79"/>
      <c r="CS360" s="699"/>
      <c r="CT360" s="93"/>
      <c r="CU360" s="93"/>
      <c r="CV360" s="93"/>
      <c r="CW360" s="93"/>
      <c r="CX360" s="51"/>
      <c r="CY360" s="51"/>
      <c r="CZ360" s="51"/>
      <c r="DA360" s="51"/>
      <c r="DB360" s="92"/>
      <c r="DC360" s="92"/>
      <c r="DD360" s="51"/>
      <c r="DE360" s="51"/>
      <c r="DF360" s="51"/>
      <c r="DG360" s="93"/>
      <c r="DH360" s="79"/>
      <c r="DI360" s="699"/>
      <c r="DJ360" s="93"/>
      <c r="DK360" s="93"/>
      <c r="DL360" s="93"/>
      <c r="DM360" s="93"/>
      <c r="DN360" s="93"/>
      <c r="DO360" s="93"/>
      <c r="DP360" s="93"/>
      <c r="DQ360" s="93"/>
      <c r="DR360" s="93"/>
      <c r="DS360" s="93"/>
      <c r="DT360" s="93"/>
      <c r="DU360" s="93"/>
      <c r="DV360" s="93"/>
      <c r="DW360" s="93"/>
      <c r="DX360" s="79"/>
    </row>
    <row r="361" spans="1:128">
      <c r="A361" s="114"/>
      <c r="B361" s="92"/>
      <c r="C361" s="92"/>
      <c r="D361" s="92"/>
      <c r="E361" s="92"/>
      <c r="F361" s="51"/>
      <c r="G361" s="92"/>
      <c r="H361" s="92"/>
      <c r="I361" s="92"/>
      <c r="J361" s="92"/>
      <c r="K361" s="51"/>
      <c r="L361" s="92"/>
      <c r="M361" s="92"/>
      <c r="N361" s="92"/>
      <c r="O361" s="92"/>
      <c r="P361" s="113"/>
      <c r="Q361" s="699"/>
      <c r="R361" s="93"/>
      <c r="S361" s="93"/>
      <c r="T361" s="93"/>
      <c r="U361" s="93"/>
      <c r="V361" s="93"/>
      <c r="W361" s="93"/>
      <c r="X361" s="93"/>
      <c r="Y361" s="93"/>
      <c r="Z361" s="93"/>
      <c r="AA361" s="93"/>
      <c r="AB361" s="93"/>
      <c r="AC361" s="93"/>
      <c r="AD361" s="93"/>
      <c r="AE361" s="93"/>
      <c r="AF361" s="79"/>
      <c r="AG361" s="51"/>
      <c r="AH361" s="51"/>
      <c r="AI361" s="51"/>
      <c r="AJ361" s="51"/>
      <c r="AK361" s="51"/>
      <c r="AL361" s="92"/>
      <c r="AM361" s="92"/>
      <c r="AN361" s="51"/>
      <c r="AO361" s="51"/>
      <c r="AP361" s="51"/>
      <c r="AQ361" s="51"/>
      <c r="AR361" s="92"/>
      <c r="AS361" s="51"/>
      <c r="AT361" s="51"/>
      <c r="AU361" s="51"/>
      <c r="AV361" s="82"/>
      <c r="AW361" s="699"/>
      <c r="AX361" s="93"/>
      <c r="AY361" s="93"/>
      <c r="AZ361" s="93"/>
      <c r="BA361" s="93"/>
      <c r="BB361" s="93"/>
      <c r="BC361" s="93"/>
      <c r="BD361" s="93"/>
      <c r="BE361" s="93"/>
      <c r="BF361" s="93"/>
      <c r="BG361" s="93"/>
      <c r="BH361" s="93"/>
      <c r="BI361" s="93"/>
      <c r="BJ361" s="93"/>
      <c r="BK361" s="93"/>
      <c r="BL361" s="113"/>
      <c r="BM361" s="51"/>
      <c r="BN361" s="52"/>
      <c r="BO361" s="92"/>
      <c r="BP361" s="92"/>
      <c r="BQ361" s="92"/>
      <c r="BR361" s="92"/>
      <c r="BS361" s="92"/>
      <c r="BT361" s="92"/>
      <c r="BU361" s="92"/>
      <c r="BV361" s="92"/>
      <c r="BW361" s="51"/>
      <c r="BX361" s="92"/>
      <c r="BY361" s="92"/>
      <c r="BZ361" s="92"/>
      <c r="CA361" s="92"/>
      <c r="CB361" s="113"/>
      <c r="CC361" s="699"/>
      <c r="CD361" s="93"/>
      <c r="CE361" s="93"/>
      <c r="CF361" s="93"/>
      <c r="CG361" s="93"/>
      <c r="CH361" s="93"/>
      <c r="CI361" s="93"/>
      <c r="CJ361" s="93"/>
      <c r="CK361" s="93"/>
      <c r="CL361" s="93"/>
      <c r="CM361" s="93"/>
      <c r="CN361" s="93"/>
      <c r="CO361" s="93"/>
      <c r="CP361" s="93"/>
      <c r="CQ361" s="93"/>
      <c r="CR361" s="79"/>
      <c r="CS361" s="699"/>
      <c r="CT361" s="93"/>
      <c r="CU361" s="93"/>
      <c r="CV361" s="93"/>
      <c r="CW361" s="93"/>
      <c r="CX361" s="51"/>
      <c r="CY361" s="51"/>
      <c r="CZ361" s="51"/>
      <c r="DA361" s="51"/>
      <c r="DB361" s="92"/>
      <c r="DC361" s="92"/>
      <c r="DD361" s="51"/>
      <c r="DE361" s="51"/>
      <c r="DF361" s="51"/>
      <c r="DG361" s="93"/>
      <c r="DH361" s="79"/>
      <c r="DI361" s="699"/>
      <c r="DJ361" s="93"/>
      <c r="DK361" s="93"/>
      <c r="DL361" s="93"/>
      <c r="DM361" s="93"/>
      <c r="DN361" s="93"/>
      <c r="DO361" s="93"/>
      <c r="DP361" s="93"/>
      <c r="DQ361" s="93"/>
      <c r="DR361" s="93"/>
      <c r="DS361" s="93"/>
      <c r="DT361" s="93"/>
      <c r="DU361" s="93"/>
      <c r="DV361" s="93"/>
      <c r="DW361" s="93"/>
      <c r="DX361" s="79"/>
    </row>
    <row r="362" spans="1:128">
      <c r="A362" s="114"/>
      <c r="B362" s="92"/>
      <c r="C362" s="51"/>
      <c r="D362" s="51"/>
      <c r="E362" s="51"/>
      <c r="F362" s="51"/>
      <c r="G362" s="299"/>
      <c r="H362" s="302"/>
      <c r="I362" s="295"/>
      <c r="J362" s="51"/>
      <c r="K362" s="51"/>
      <c r="L362" s="51"/>
      <c r="M362" s="51"/>
      <c r="N362" s="51"/>
      <c r="O362" s="92"/>
      <c r="P362" s="113"/>
      <c r="Q362" s="699"/>
      <c r="R362" s="93"/>
      <c r="S362" s="93"/>
      <c r="T362" s="51"/>
      <c r="U362" s="51"/>
      <c r="V362" s="92"/>
      <c r="W362" s="302"/>
      <c r="X362" s="299"/>
      <c r="Y362" s="299"/>
      <c r="Z362" s="51"/>
      <c r="AA362" s="93"/>
      <c r="AB362" s="93"/>
      <c r="AC362" s="93"/>
      <c r="AD362" s="93"/>
      <c r="AE362" s="93"/>
      <c r="AF362" s="79"/>
      <c r="AG362" s="51"/>
      <c r="AH362" s="51"/>
      <c r="AI362" s="51"/>
      <c r="AJ362" s="51"/>
      <c r="AK362" s="51"/>
      <c r="AL362" s="92"/>
      <c r="AM362" s="302"/>
      <c r="AN362" s="299"/>
      <c r="AO362" s="299"/>
      <c r="AP362" s="51"/>
      <c r="AQ362" s="92"/>
      <c r="AR362" s="51"/>
      <c r="AS362" s="51"/>
      <c r="AT362" s="51"/>
      <c r="AU362" s="51"/>
      <c r="AV362" s="82"/>
      <c r="AW362" s="699"/>
      <c r="AX362" s="93"/>
      <c r="AY362" s="93"/>
      <c r="AZ362" s="51"/>
      <c r="BA362" s="51"/>
      <c r="BB362" s="51"/>
      <c r="BC362" s="51"/>
      <c r="BD362" s="299"/>
      <c r="BE362" s="299"/>
      <c r="BF362" s="295"/>
      <c r="BG362" s="51"/>
      <c r="BH362" s="51"/>
      <c r="BI362" s="51"/>
      <c r="BJ362" s="92"/>
      <c r="BK362" s="92"/>
      <c r="BL362" s="113"/>
      <c r="BM362" s="51"/>
      <c r="BN362" s="1"/>
      <c r="BO362" s="52"/>
      <c r="BP362" s="51"/>
      <c r="BQ362" s="51"/>
      <c r="BR362" s="51"/>
      <c r="BS362" s="51"/>
      <c r="BT362" s="299"/>
      <c r="BU362" s="299"/>
      <c r="BV362" s="295"/>
      <c r="BW362" s="51"/>
      <c r="BX362" s="51"/>
      <c r="BY362" s="51"/>
      <c r="BZ362" s="51"/>
      <c r="CA362" s="92"/>
      <c r="CB362" s="113"/>
      <c r="CC362" s="699"/>
      <c r="CD362" s="93"/>
      <c r="CE362" s="92"/>
      <c r="CF362" s="51"/>
      <c r="CG362" s="51"/>
      <c r="CH362" s="51"/>
      <c r="CI362" s="295"/>
      <c r="CJ362" s="299"/>
      <c r="CK362" s="299"/>
      <c r="CL362" s="51"/>
      <c r="CM362" s="51"/>
      <c r="CN362" s="51"/>
      <c r="CO362" s="93"/>
      <c r="CP362" s="93"/>
      <c r="CQ362" s="93"/>
      <c r="CR362" s="79"/>
      <c r="CS362" s="699"/>
      <c r="CT362" s="93"/>
      <c r="CU362" s="93"/>
      <c r="CV362" s="93"/>
      <c r="CW362" s="92"/>
      <c r="CX362" s="51"/>
      <c r="CY362" s="299"/>
      <c r="CZ362" s="299"/>
      <c r="DA362" s="302"/>
      <c r="DB362" s="92"/>
      <c r="DC362" s="51"/>
      <c r="DD362" s="51"/>
      <c r="DE362" s="51"/>
      <c r="DF362" s="51"/>
      <c r="DG362" s="93"/>
      <c r="DH362" s="79"/>
      <c r="DI362" s="699"/>
      <c r="DJ362" s="93"/>
      <c r="DK362" s="93"/>
      <c r="DL362" s="93"/>
      <c r="DM362" s="93"/>
      <c r="DN362" s="51"/>
      <c r="DO362" s="295"/>
      <c r="DP362" s="295"/>
      <c r="DQ362" s="299"/>
      <c r="DR362" s="51"/>
      <c r="DS362" s="51"/>
      <c r="DT362" s="93"/>
      <c r="DU362" s="93"/>
      <c r="DV362" s="93"/>
      <c r="DW362" s="93"/>
      <c r="DX362" s="79"/>
    </row>
    <row r="363" spans="1:128">
      <c r="A363" s="114"/>
      <c r="B363" s="51"/>
      <c r="C363" s="92"/>
      <c r="D363" s="92"/>
      <c r="E363" s="92"/>
      <c r="F363" s="299"/>
      <c r="G363" s="302"/>
      <c r="H363" s="295"/>
      <c r="I363" s="299"/>
      <c r="J363" s="295"/>
      <c r="K363" s="92"/>
      <c r="L363" s="92"/>
      <c r="M363" s="92"/>
      <c r="N363" s="92"/>
      <c r="O363" s="51"/>
      <c r="P363" s="82"/>
      <c r="Q363" s="699"/>
      <c r="R363" s="93"/>
      <c r="S363" s="93"/>
      <c r="T363" s="92"/>
      <c r="U363" s="92"/>
      <c r="V363" s="302"/>
      <c r="W363" s="299"/>
      <c r="X363" s="295"/>
      <c r="Y363" s="193"/>
      <c r="Z363" s="299"/>
      <c r="AA363" s="92"/>
      <c r="AB363" s="92"/>
      <c r="AC363" s="93"/>
      <c r="AD363" s="93"/>
      <c r="AE363" s="93"/>
      <c r="AF363" s="79"/>
      <c r="AG363" s="51"/>
      <c r="AH363" s="51"/>
      <c r="AI363" s="51"/>
      <c r="AJ363" s="51"/>
      <c r="AK363" s="51"/>
      <c r="AL363" s="302"/>
      <c r="AM363" s="299"/>
      <c r="AN363" s="193"/>
      <c r="AO363" s="193"/>
      <c r="AP363" s="299"/>
      <c r="AQ363" s="92"/>
      <c r="AR363" s="51"/>
      <c r="AS363" s="51"/>
      <c r="AT363" s="51"/>
      <c r="AU363" s="51"/>
      <c r="AV363" s="82"/>
      <c r="AW363" s="699"/>
      <c r="AX363" s="93"/>
      <c r="AY363" s="93"/>
      <c r="AZ363" s="92"/>
      <c r="BA363" s="92"/>
      <c r="BB363" s="92"/>
      <c r="BC363" s="299"/>
      <c r="BD363" s="299"/>
      <c r="BE363" s="295"/>
      <c r="BF363" s="295"/>
      <c r="BG363" s="295"/>
      <c r="BH363" s="92"/>
      <c r="BI363" s="92"/>
      <c r="BJ363" s="92"/>
      <c r="BK363" s="92"/>
      <c r="BL363" s="82"/>
      <c r="BM363" s="51"/>
      <c r="BN363" s="1"/>
      <c r="BO363" s="1"/>
      <c r="BP363" s="92"/>
      <c r="BQ363" s="92"/>
      <c r="BR363" s="92"/>
      <c r="BS363" s="299"/>
      <c r="BT363" s="299"/>
      <c r="BU363" s="295"/>
      <c r="BV363" s="299"/>
      <c r="BW363" s="295"/>
      <c r="BX363" s="92"/>
      <c r="BY363" s="92"/>
      <c r="BZ363" s="92"/>
      <c r="CA363" s="92"/>
      <c r="CB363" s="82"/>
      <c r="CC363" s="699"/>
      <c r="CD363" s="93"/>
      <c r="CE363" s="92"/>
      <c r="CF363" s="92"/>
      <c r="CG363" s="92"/>
      <c r="CH363" s="295"/>
      <c r="CI363" s="295"/>
      <c r="CJ363" s="295"/>
      <c r="CK363" s="299"/>
      <c r="CL363" s="299"/>
      <c r="CM363" s="92"/>
      <c r="CN363" s="92"/>
      <c r="CO363" s="93"/>
      <c r="CP363" s="93"/>
      <c r="CQ363" s="93"/>
      <c r="CR363" s="79"/>
      <c r="CS363" s="699"/>
      <c r="CT363" s="93"/>
      <c r="CU363" s="93"/>
      <c r="CV363" s="93"/>
      <c r="CW363" s="92"/>
      <c r="CX363" s="299"/>
      <c r="CY363" s="193"/>
      <c r="CZ363" s="193"/>
      <c r="DA363" s="299"/>
      <c r="DB363" s="302"/>
      <c r="DC363" s="51"/>
      <c r="DD363" s="51"/>
      <c r="DE363" s="51"/>
      <c r="DF363" s="51"/>
      <c r="DG363" s="93"/>
      <c r="DH363" s="79"/>
      <c r="DI363" s="699"/>
      <c r="DJ363" s="93"/>
      <c r="DK363" s="93"/>
      <c r="DL363" s="92"/>
      <c r="DM363" s="92"/>
      <c r="DN363" s="295"/>
      <c r="DO363" s="193"/>
      <c r="DP363" s="295"/>
      <c r="DQ363" s="299"/>
      <c r="DR363" s="302"/>
      <c r="DS363" s="92"/>
      <c r="DT363" s="93"/>
      <c r="DU363" s="93"/>
      <c r="DV363" s="93"/>
      <c r="DW363" s="93"/>
      <c r="DX363" s="79"/>
    </row>
    <row r="364" spans="1:128">
      <c r="A364" s="114"/>
      <c r="B364" s="92"/>
      <c r="C364" s="92"/>
      <c r="D364" s="92"/>
      <c r="E364" s="92"/>
      <c r="F364" s="299"/>
      <c r="G364" s="295"/>
      <c r="H364" s="295"/>
      <c r="I364" s="295"/>
      <c r="J364" s="295"/>
      <c r="K364" s="92"/>
      <c r="L364" s="92"/>
      <c r="M364" s="92"/>
      <c r="N364" s="92"/>
      <c r="O364" s="51"/>
      <c r="P364" s="113"/>
      <c r="Q364" s="699"/>
      <c r="R364" s="93"/>
      <c r="S364" s="93"/>
      <c r="T364" s="92"/>
      <c r="U364" s="92"/>
      <c r="V364" s="299"/>
      <c r="W364" s="295"/>
      <c r="X364" s="193"/>
      <c r="Y364" s="193"/>
      <c r="Z364" s="295"/>
      <c r="AA364" s="92"/>
      <c r="AB364" s="92"/>
      <c r="AC364" s="93"/>
      <c r="AD364" s="93"/>
      <c r="AE364" s="93"/>
      <c r="AF364" s="79"/>
      <c r="AG364" s="51"/>
      <c r="AH364" s="51"/>
      <c r="AI364" s="51"/>
      <c r="AJ364" s="51"/>
      <c r="AK364" s="51"/>
      <c r="AL364" s="299"/>
      <c r="AM364" s="193"/>
      <c r="AN364" s="193"/>
      <c r="AO364" s="193"/>
      <c r="AP364" s="295"/>
      <c r="AQ364" s="92"/>
      <c r="AR364" s="51"/>
      <c r="AS364" s="51"/>
      <c r="AT364" s="51"/>
      <c r="AU364" s="51"/>
      <c r="AV364" s="82"/>
      <c r="AW364" s="699"/>
      <c r="AX364" s="93"/>
      <c r="AY364" s="93"/>
      <c r="AZ364" s="92"/>
      <c r="BA364" s="92"/>
      <c r="BB364" s="92"/>
      <c r="BC364" s="295"/>
      <c r="BD364" s="295"/>
      <c r="BE364" s="193"/>
      <c r="BF364" s="193"/>
      <c r="BG364" s="295"/>
      <c r="BH364" s="92"/>
      <c r="BI364" s="92"/>
      <c r="BJ364" s="51"/>
      <c r="BK364" s="51"/>
      <c r="BL364" s="113"/>
      <c r="BM364" s="51"/>
      <c r="BN364" s="52"/>
      <c r="BO364" s="1"/>
      <c r="BP364" s="92"/>
      <c r="BQ364" s="92"/>
      <c r="BR364" s="92"/>
      <c r="BS364" s="299"/>
      <c r="BT364" s="295"/>
      <c r="BU364" s="295"/>
      <c r="BV364" s="295"/>
      <c r="BW364" s="295"/>
      <c r="BX364" s="92"/>
      <c r="BY364" s="92"/>
      <c r="BZ364" s="92"/>
      <c r="CA364" s="51"/>
      <c r="CB364" s="113"/>
      <c r="CC364" s="699"/>
      <c r="CD364" s="93"/>
      <c r="CE364" s="51"/>
      <c r="CF364" s="92"/>
      <c r="CG364" s="92"/>
      <c r="CH364" s="295"/>
      <c r="CI364" s="193"/>
      <c r="CJ364" s="193"/>
      <c r="CK364" s="295"/>
      <c r="CL364" s="64"/>
      <c r="CM364" s="92"/>
      <c r="CN364" s="92"/>
      <c r="CO364" s="93"/>
      <c r="CP364" s="93"/>
      <c r="CQ364" s="93"/>
      <c r="CR364" s="79"/>
      <c r="CS364" s="699"/>
      <c r="CT364" s="93"/>
      <c r="CU364" s="93"/>
      <c r="CV364" s="93"/>
      <c r="CW364" s="92"/>
      <c r="CX364" s="295"/>
      <c r="CY364" s="193"/>
      <c r="CZ364" s="193"/>
      <c r="DA364" s="193"/>
      <c r="DB364" s="299"/>
      <c r="DC364" s="51"/>
      <c r="DD364" s="51"/>
      <c r="DE364" s="51"/>
      <c r="DF364" s="51"/>
      <c r="DG364" s="93"/>
      <c r="DH364" s="79"/>
      <c r="DI364" s="699"/>
      <c r="DJ364" s="93"/>
      <c r="DK364" s="93"/>
      <c r="DL364" s="92"/>
      <c r="DM364" s="92"/>
      <c r="DN364" s="193"/>
      <c r="DO364" s="295"/>
      <c r="DP364" s="299"/>
      <c r="DQ364" s="302"/>
      <c r="DR364" s="302"/>
      <c r="DS364" s="92"/>
      <c r="DT364" s="93"/>
      <c r="DU364" s="93"/>
      <c r="DV364" s="93"/>
      <c r="DW364" s="93"/>
      <c r="DX364" s="79"/>
    </row>
    <row r="365" spans="1:128">
      <c r="A365" s="114"/>
      <c r="B365" s="92"/>
      <c r="C365" s="92"/>
      <c r="D365" s="92"/>
      <c r="E365" s="92"/>
      <c r="F365" s="64"/>
      <c r="G365" s="161"/>
      <c r="H365" s="305"/>
      <c r="I365" s="161"/>
      <c r="J365" s="54"/>
      <c r="K365" s="92"/>
      <c r="L365" s="92"/>
      <c r="M365" s="92"/>
      <c r="N365" s="92"/>
      <c r="O365" s="51"/>
      <c r="P365" s="113"/>
      <c r="Q365" s="699"/>
      <c r="R365" s="93"/>
      <c r="S365" s="93"/>
      <c r="T365" s="92"/>
      <c r="U365" s="92"/>
      <c r="V365" s="161"/>
      <c r="W365" s="305"/>
      <c r="X365" s="161"/>
      <c r="Y365" s="290"/>
      <c r="Z365" s="290"/>
      <c r="AA365" s="92"/>
      <c r="AB365" s="92"/>
      <c r="AC365" s="93"/>
      <c r="AD365" s="93"/>
      <c r="AE365" s="93"/>
      <c r="AF365" s="79"/>
      <c r="AG365" s="51"/>
      <c r="AH365" s="51"/>
      <c r="AI365" s="51"/>
      <c r="AJ365" s="51"/>
      <c r="AK365" s="92"/>
      <c r="AL365" s="206"/>
      <c r="AM365" s="294"/>
      <c r="AN365" s="294"/>
      <c r="AO365" s="290"/>
      <c r="AP365" s="290"/>
      <c r="AQ365" s="92"/>
      <c r="AR365" s="51"/>
      <c r="AS365" s="51"/>
      <c r="AT365" s="51"/>
      <c r="AU365" s="51"/>
      <c r="AV365" s="82"/>
      <c r="AW365" s="699"/>
      <c r="AX365" s="93"/>
      <c r="AY365" s="93"/>
      <c r="AZ365" s="92"/>
      <c r="BA365" s="92"/>
      <c r="BB365" s="92"/>
      <c r="BC365" s="206"/>
      <c r="BD365" s="294"/>
      <c r="BE365" s="290"/>
      <c r="BF365" s="290"/>
      <c r="BG365" s="290"/>
      <c r="BH365" s="92"/>
      <c r="BI365" s="92"/>
      <c r="BJ365" s="51"/>
      <c r="BK365" s="51"/>
      <c r="BL365" s="113"/>
      <c r="BM365" s="51"/>
      <c r="BN365" s="52"/>
      <c r="BO365" s="52"/>
      <c r="BP365" s="92"/>
      <c r="BQ365" s="92"/>
      <c r="BR365" s="92"/>
      <c r="BS365" s="295"/>
      <c r="BT365" s="295"/>
      <c r="BU365" s="193"/>
      <c r="BV365" s="193"/>
      <c r="BW365" s="295"/>
      <c r="BX365" s="92"/>
      <c r="BY365" s="92"/>
      <c r="BZ365" s="92"/>
      <c r="CA365" s="51"/>
      <c r="CB365" s="113"/>
      <c r="CC365" s="699"/>
      <c r="CD365" s="93"/>
      <c r="CE365" s="51"/>
      <c r="CF365" s="92"/>
      <c r="CG365" s="92"/>
      <c r="CH365" s="290"/>
      <c r="CI365" s="290"/>
      <c r="CJ365" s="290"/>
      <c r="CK365" s="294"/>
      <c r="CL365" s="206"/>
      <c r="CM365" s="92"/>
      <c r="CN365" s="92"/>
      <c r="CO365" s="93"/>
      <c r="CP365" s="93"/>
      <c r="CQ365" s="93"/>
      <c r="CR365" s="79"/>
      <c r="CS365" s="699"/>
      <c r="CT365" s="93"/>
      <c r="CU365" s="93"/>
      <c r="CV365" s="93"/>
      <c r="CW365" s="92"/>
      <c r="CX365" s="290"/>
      <c r="CY365" s="290"/>
      <c r="CZ365" s="294"/>
      <c r="DA365" s="294"/>
      <c r="DB365" s="206"/>
      <c r="DC365" s="92"/>
      <c r="DD365" s="92"/>
      <c r="DE365" s="51"/>
      <c r="DF365" s="51"/>
      <c r="DG365" s="93"/>
      <c r="DH365" s="79"/>
      <c r="DI365" s="699"/>
      <c r="DJ365" s="93"/>
      <c r="DK365" s="93"/>
      <c r="DL365" s="92"/>
      <c r="DM365" s="92"/>
      <c r="DN365" s="290"/>
      <c r="DO365" s="290"/>
      <c r="DP365" s="161"/>
      <c r="DQ365" s="36"/>
      <c r="DR365" s="161"/>
      <c r="DS365" s="92"/>
      <c r="DT365" s="93"/>
      <c r="DU365" s="93"/>
      <c r="DV365" s="93"/>
      <c r="DW365" s="93"/>
      <c r="DX365" s="79"/>
    </row>
    <row r="366" spans="1:128">
      <c r="A366" s="114"/>
      <c r="B366" s="92"/>
      <c r="C366" s="92"/>
      <c r="D366" s="92"/>
      <c r="E366" s="92"/>
      <c r="F366" s="294"/>
      <c r="G366" s="36"/>
      <c r="H366" s="36"/>
      <c r="I366" s="36"/>
      <c r="J366" s="298"/>
      <c r="K366" s="92"/>
      <c r="L366" s="92"/>
      <c r="M366" s="92"/>
      <c r="N366" s="92"/>
      <c r="O366" s="51"/>
      <c r="P366" s="113"/>
      <c r="Q366" s="699"/>
      <c r="R366" s="93"/>
      <c r="S366" s="93"/>
      <c r="T366" s="92"/>
      <c r="U366" s="92"/>
      <c r="V366" s="36"/>
      <c r="W366" s="36"/>
      <c r="X366" s="64"/>
      <c r="Y366" s="294"/>
      <c r="Z366" s="290"/>
      <c r="AA366" s="92"/>
      <c r="AB366" s="92"/>
      <c r="AC366" s="93"/>
      <c r="AD366" s="93"/>
      <c r="AE366" s="93"/>
      <c r="AF366" s="79"/>
      <c r="AG366" s="51"/>
      <c r="AH366" s="51"/>
      <c r="AI366" s="51"/>
      <c r="AJ366" s="51"/>
      <c r="AK366" s="51"/>
      <c r="AL366" s="305"/>
      <c r="AM366" s="36"/>
      <c r="AN366" s="294"/>
      <c r="AO366" s="290"/>
      <c r="AP366" s="290"/>
      <c r="AQ366" s="51"/>
      <c r="AR366" s="92"/>
      <c r="AS366" s="51"/>
      <c r="AT366" s="51"/>
      <c r="AU366" s="51"/>
      <c r="AV366" s="82"/>
      <c r="AW366" s="699"/>
      <c r="AX366" s="93"/>
      <c r="AY366" s="93"/>
      <c r="AZ366" s="92"/>
      <c r="BA366" s="92"/>
      <c r="BB366" s="92"/>
      <c r="BC366" s="305"/>
      <c r="BD366" s="294"/>
      <c r="BE366" s="290"/>
      <c r="BF366" s="290"/>
      <c r="BG366" s="290"/>
      <c r="BH366" s="92"/>
      <c r="BI366" s="92"/>
      <c r="BJ366" s="51"/>
      <c r="BK366" s="51"/>
      <c r="BL366" s="113"/>
      <c r="BM366" s="51"/>
      <c r="BN366" s="52"/>
      <c r="BO366" s="52"/>
      <c r="BP366" s="92"/>
      <c r="BQ366" s="92"/>
      <c r="BR366" s="92"/>
      <c r="BS366" s="294"/>
      <c r="BT366" s="290"/>
      <c r="BU366" s="290"/>
      <c r="BV366" s="290"/>
      <c r="BW366" s="290"/>
      <c r="BX366" s="92"/>
      <c r="BY366" s="92"/>
      <c r="BZ366" s="92"/>
      <c r="CA366" s="51"/>
      <c r="CB366" s="113"/>
      <c r="CC366" s="699"/>
      <c r="CD366" s="93"/>
      <c r="CE366" s="51"/>
      <c r="CF366" s="92"/>
      <c r="CG366" s="92"/>
      <c r="CH366" s="290"/>
      <c r="CI366" s="290"/>
      <c r="CJ366" s="290"/>
      <c r="CK366" s="294"/>
      <c r="CL366" s="305"/>
      <c r="CM366" s="92"/>
      <c r="CN366" s="92"/>
      <c r="CO366" s="93"/>
      <c r="CP366" s="93"/>
      <c r="CQ366" s="93"/>
      <c r="CR366" s="79"/>
      <c r="CS366" s="699"/>
      <c r="CT366" s="93"/>
      <c r="CU366" s="93"/>
      <c r="CV366" s="93"/>
      <c r="CW366" s="51"/>
      <c r="CX366" s="290"/>
      <c r="CY366" s="290"/>
      <c r="CZ366" s="294"/>
      <c r="DA366" s="36"/>
      <c r="DB366" s="305"/>
      <c r="DC366" s="51"/>
      <c r="DD366" s="51"/>
      <c r="DE366" s="51"/>
      <c r="DF366" s="51"/>
      <c r="DG366" s="93"/>
      <c r="DH366" s="79"/>
      <c r="DI366" s="699"/>
      <c r="DJ366" s="93"/>
      <c r="DK366" s="93"/>
      <c r="DL366" s="92"/>
      <c r="DM366" s="92"/>
      <c r="DN366" s="290"/>
      <c r="DO366" s="290"/>
      <c r="DP366" s="64"/>
      <c r="DQ366" s="64"/>
      <c r="DR366" s="36"/>
      <c r="DS366" s="92"/>
      <c r="DT366" s="93"/>
      <c r="DU366" s="93"/>
      <c r="DV366" s="93"/>
      <c r="DW366" s="93"/>
      <c r="DX366" s="79"/>
    </row>
    <row r="367" spans="1:128">
      <c r="A367" s="114"/>
      <c r="B367" s="92"/>
      <c r="C367" s="92"/>
      <c r="D367" s="51"/>
      <c r="E367" s="51"/>
      <c r="F367" s="51"/>
      <c r="G367" s="305"/>
      <c r="H367" s="201"/>
      <c r="I367" s="305"/>
      <c r="J367" s="51"/>
      <c r="K367" s="51"/>
      <c r="L367" s="51"/>
      <c r="M367" s="92"/>
      <c r="N367" s="51"/>
      <c r="O367" s="51"/>
      <c r="P367" s="113"/>
      <c r="Q367" s="699"/>
      <c r="R367" s="93"/>
      <c r="S367" s="51"/>
      <c r="T367" s="92"/>
      <c r="U367" s="51"/>
      <c r="V367" s="92"/>
      <c r="W367" s="201"/>
      <c r="X367" s="36"/>
      <c r="Y367" s="64"/>
      <c r="Z367" s="51"/>
      <c r="AA367" s="51"/>
      <c r="AB367" s="51"/>
      <c r="AC367" s="93"/>
      <c r="AD367" s="93"/>
      <c r="AE367" s="93"/>
      <c r="AF367" s="79"/>
      <c r="AG367" s="51"/>
      <c r="AH367" s="51"/>
      <c r="AI367" s="51"/>
      <c r="AJ367" s="51"/>
      <c r="AK367" s="51"/>
      <c r="AL367" s="201"/>
      <c r="AM367" s="305"/>
      <c r="AN367" s="56"/>
      <c r="AO367" s="56"/>
      <c r="AP367" s="51"/>
      <c r="AQ367" s="51"/>
      <c r="AR367" s="92"/>
      <c r="AS367" s="51"/>
      <c r="AT367" s="51"/>
      <c r="AU367" s="51"/>
      <c r="AV367" s="82"/>
      <c r="AW367" s="699"/>
      <c r="AX367" s="93"/>
      <c r="AY367" s="93"/>
      <c r="AZ367" s="92"/>
      <c r="BA367" s="51"/>
      <c r="BB367" s="51"/>
      <c r="BC367" s="201"/>
      <c r="BD367" s="305"/>
      <c r="BE367" s="201"/>
      <c r="BF367" s="290"/>
      <c r="BG367" s="51"/>
      <c r="BH367" s="51"/>
      <c r="BI367" s="92"/>
      <c r="BJ367" s="51"/>
      <c r="BK367" s="51"/>
      <c r="BL367" s="113"/>
      <c r="BM367" s="51"/>
      <c r="BN367" s="52"/>
      <c r="BO367" s="52"/>
      <c r="BP367" s="92"/>
      <c r="BQ367" s="51"/>
      <c r="BR367" s="51"/>
      <c r="BS367" s="51"/>
      <c r="BT367" s="290"/>
      <c r="BU367" s="290"/>
      <c r="BV367" s="290"/>
      <c r="BW367" s="51"/>
      <c r="BX367" s="51"/>
      <c r="BY367" s="51"/>
      <c r="BZ367" s="92"/>
      <c r="CA367" s="51"/>
      <c r="CB367" s="113"/>
      <c r="CC367" s="699"/>
      <c r="CD367" s="93"/>
      <c r="CE367" s="51"/>
      <c r="CF367" s="92"/>
      <c r="CG367" s="51"/>
      <c r="CH367" s="51"/>
      <c r="CI367" s="290"/>
      <c r="CJ367" s="201"/>
      <c r="CK367" s="305"/>
      <c r="CL367" s="201"/>
      <c r="CM367" s="51"/>
      <c r="CN367" s="51"/>
      <c r="CO367" s="93"/>
      <c r="CP367" s="93"/>
      <c r="CQ367" s="93"/>
      <c r="CR367" s="79"/>
      <c r="CS367" s="699"/>
      <c r="CT367" s="93"/>
      <c r="CU367" s="93"/>
      <c r="CV367" s="93"/>
      <c r="CW367" s="51"/>
      <c r="CX367" s="51"/>
      <c r="CY367" s="56"/>
      <c r="CZ367" s="56"/>
      <c r="DA367" s="305"/>
      <c r="DB367" s="201"/>
      <c r="DC367" s="51"/>
      <c r="DD367" s="51"/>
      <c r="DE367" s="51"/>
      <c r="DF367" s="51"/>
      <c r="DG367" s="93"/>
      <c r="DH367" s="79"/>
      <c r="DI367" s="699"/>
      <c r="DJ367" s="93"/>
      <c r="DK367" s="93"/>
      <c r="DL367" s="51"/>
      <c r="DM367" s="51"/>
      <c r="DN367" s="51"/>
      <c r="DO367" s="64"/>
      <c r="DP367" s="36"/>
      <c r="DQ367" s="201"/>
      <c r="DR367" s="92"/>
      <c r="DS367" s="51"/>
      <c r="DT367" s="93"/>
      <c r="DU367" s="93"/>
      <c r="DV367" s="93"/>
      <c r="DW367" s="93"/>
      <c r="DX367" s="79"/>
    </row>
    <row r="368" spans="1:128">
      <c r="A368" s="114"/>
      <c r="B368" s="51"/>
      <c r="C368" s="92"/>
      <c r="D368" s="92"/>
      <c r="E368" s="92"/>
      <c r="F368" s="295"/>
      <c r="G368" s="64"/>
      <c r="H368" s="305"/>
      <c r="I368" s="64"/>
      <c r="J368" s="295"/>
      <c r="K368" s="92"/>
      <c r="L368" s="92"/>
      <c r="M368" s="92"/>
      <c r="N368" s="92"/>
      <c r="O368" s="51"/>
      <c r="P368" s="82"/>
      <c r="Q368" s="699"/>
      <c r="R368" s="93"/>
      <c r="S368" s="93"/>
      <c r="T368" s="92"/>
      <c r="U368" s="92"/>
      <c r="V368" s="92"/>
      <c r="W368" s="305"/>
      <c r="X368" s="295"/>
      <c r="Y368" s="295"/>
      <c r="Z368" s="92"/>
      <c r="AA368" s="92"/>
      <c r="AB368" s="92"/>
      <c r="AC368" s="93"/>
      <c r="AD368" s="93"/>
      <c r="AE368" s="93"/>
      <c r="AF368" s="79"/>
      <c r="AG368" s="51"/>
      <c r="AH368" s="51"/>
      <c r="AI368" s="51"/>
      <c r="AJ368" s="51"/>
      <c r="AK368" s="51"/>
      <c r="AL368" s="92"/>
      <c r="AM368" s="36"/>
      <c r="AN368" s="299"/>
      <c r="AO368" s="295"/>
      <c r="AP368" s="92"/>
      <c r="AQ368" s="51"/>
      <c r="AR368" s="92"/>
      <c r="AS368" s="51"/>
      <c r="AT368" s="51"/>
      <c r="AU368" s="51"/>
      <c r="AV368" s="82"/>
      <c r="AW368" s="699"/>
      <c r="AX368" s="93"/>
      <c r="AY368" s="93"/>
      <c r="AZ368" s="92"/>
      <c r="BA368" s="92"/>
      <c r="BB368" s="92"/>
      <c r="BC368" s="92"/>
      <c r="BD368" s="295"/>
      <c r="BE368" s="295"/>
      <c r="BF368" s="295"/>
      <c r="BG368" s="92"/>
      <c r="BH368" s="92"/>
      <c r="BI368" s="92"/>
      <c r="BJ368" s="51"/>
      <c r="BK368" s="51"/>
      <c r="BL368" s="82"/>
      <c r="BM368" s="51"/>
      <c r="BN368" s="51"/>
      <c r="BO368" s="52"/>
      <c r="BP368" s="92"/>
      <c r="BQ368" s="92"/>
      <c r="BR368" s="92"/>
      <c r="BS368" s="295"/>
      <c r="BT368" s="64"/>
      <c r="BU368" s="54"/>
      <c r="BV368" s="54"/>
      <c r="BW368" s="295"/>
      <c r="BX368" s="92"/>
      <c r="BY368" s="92"/>
      <c r="BZ368" s="92"/>
      <c r="CA368" s="51"/>
      <c r="CB368" s="82"/>
      <c r="CC368" s="699"/>
      <c r="CD368" s="93"/>
      <c r="CE368" s="51"/>
      <c r="CF368" s="92"/>
      <c r="CG368" s="92"/>
      <c r="CH368" s="92"/>
      <c r="CI368" s="295"/>
      <c r="CJ368" s="295"/>
      <c r="CK368" s="295"/>
      <c r="CL368" s="92"/>
      <c r="CM368" s="92"/>
      <c r="CN368" s="92"/>
      <c r="CO368" s="93"/>
      <c r="CP368" s="93"/>
      <c r="CQ368" s="93"/>
      <c r="CR368" s="79"/>
      <c r="CS368" s="699"/>
      <c r="CT368" s="93"/>
      <c r="CU368" s="93"/>
      <c r="CV368" s="93"/>
      <c r="CW368" s="51"/>
      <c r="CX368" s="92"/>
      <c r="CY368" s="295"/>
      <c r="CZ368" s="299"/>
      <c r="DA368" s="36"/>
      <c r="DB368" s="92"/>
      <c r="DC368" s="51"/>
      <c r="DD368" s="51"/>
      <c r="DE368" s="51"/>
      <c r="DF368" s="51"/>
      <c r="DG368" s="93"/>
      <c r="DH368" s="79"/>
      <c r="DI368" s="699"/>
      <c r="DJ368" s="93"/>
      <c r="DK368" s="93"/>
      <c r="DL368" s="92"/>
      <c r="DM368" s="92"/>
      <c r="DN368" s="92"/>
      <c r="DO368" s="295"/>
      <c r="DP368" s="295"/>
      <c r="DQ368" s="64"/>
      <c r="DR368" s="92"/>
      <c r="DS368" s="92"/>
      <c r="DT368" s="93"/>
      <c r="DU368" s="93"/>
      <c r="DV368" s="93"/>
      <c r="DW368" s="93"/>
      <c r="DX368" s="79"/>
    </row>
    <row r="369" spans="1:128">
      <c r="A369" s="114"/>
      <c r="B369" s="92"/>
      <c r="C369" s="92"/>
      <c r="D369" s="92"/>
      <c r="E369" s="302"/>
      <c r="F369" s="295"/>
      <c r="G369" s="295"/>
      <c r="H369" s="64"/>
      <c r="I369" s="295"/>
      <c r="J369" s="299"/>
      <c r="K369" s="299"/>
      <c r="L369" s="92"/>
      <c r="M369" s="92"/>
      <c r="N369" s="92"/>
      <c r="O369" s="92"/>
      <c r="P369" s="113"/>
      <c r="Q369" s="699"/>
      <c r="R369" s="93"/>
      <c r="S369" s="93"/>
      <c r="T369" s="92"/>
      <c r="U369" s="92"/>
      <c r="V369" s="302"/>
      <c r="W369" s="64"/>
      <c r="X369" s="295"/>
      <c r="Y369" s="295"/>
      <c r="Z369" s="299"/>
      <c r="AA369" s="92"/>
      <c r="AB369" s="92"/>
      <c r="AC369" s="93"/>
      <c r="AD369" s="93"/>
      <c r="AE369" s="93"/>
      <c r="AF369" s="79"/>
      <c r="AG369" s="51"/>
      <c r="AH369" s="51"/>
      <c r="AI369" s="51"/>
      <c r="AJ369" s="51"/>
      <c r="AK369" s="51"/>
      <c r="AL369" s="92"/>
      <c r="AM369" s="299"/>
      <c r="AN369" s="299"/>
      <c r="AO369" s="295"/>
      <c r="AP369" s="193"/>
      <c r="AQ369" s="51"/>
      <c r="AR369" s="92"/>
      <c r="AS369" s="51"/>
      <c r="AT369" s="51"/>
      <c r="AU369" s="51"/>
      <c r="AV369" s="82"/>
      <c r="AW369" s="699"/>
      <c r="AX369" s="93"/>
      <c r="AY369" s="93"/>
      <c r="AZ369" s="51"/>
      <c r="BA369" s="92"/>
      <c r="BB369" s="92"/>
      <c r="BC369" s="304"/>
      <c r="BD369" s="295"/>
      <c r="BE369" s="295"/>
      <c r="BF369" s="295"/>
      <c r="BG369" s="295"/>
      <c r="BH369" s="92"/>
      <c r="BI369" s="92"/>
      <c r="BJ369" s="51"/>
      <c r="BK369" s="51"/>
      <c r="BL369" s="113"/>
      <c r="BM369" s="51"/>
      <c r="BN369" s="51"/>
      <c r="BO369" s="51"/>
      <c r="BP369" s="92"/>
      <c r="BQ369" s="92"/>
      <c r="BR369" s="304"/>
      <c r="BS369" s="295"/>
      <c r="BT369" s="295"/>
      <c r="BU369" s="295"/>
      <c r="BV369" s="295"/>
      <c r="BW369" s="295"/>
      <c r="BX369" s="299"/>
      <c r="BY369" s="92"/>
      <c r="BZ369" s="92"/>
      <c r="CA369" s="51"/>
      <c r="CB369" s="113"/>
      <c r="CC369" s="699"/>
      <c r="CD369" s="93"/>
      <c r="CE369" s="51"/>
      <c r="CF369" s="92"/>
      <c r="CG369" s="92"/>
      <c r="CH369" s="295"/>
      <c r="CI369" s="295"/>
      <c r="CJ369" s="295"/>
      <c r="CK369" s="295"/>
      <c r="CL369" s="302"/>
      <c r="CM369" s="92"/>
      <c r="CN369" s="92"/>
      <c r="CO369" s="93"/>
      <c r="CP369" s="93"/>
      <c r="CQ369" s="93"/>
      <c r="CR369" s="79"/>
      <c r="CS369" s="699"/>
      <c r="CT369" s="93"/>
      <c r="CU369" s="93"/>
      <c r="CV369" s="93"/>
      <c r="CW369" s="51"/>
      <c r="CX369" s="193"/>
      <c r="CY369" s="295"/>
      <c r="CZ369" s="299"/>
      <c r="DA369" s="299"/>
      <c r="DB369" s="92"/>
      <c r="DC369" s="51"/>
      <c r="DD369" s="51"/>
      <c r="DE369" s="51"/>
      <c r="DF369" s="51"/>
      <c r="DG369" s="93"/>
      <c r="DH369" s="79"/>
      <c r="DI369" s="699"/>
      <c r="DJ369" s="93"/>
      <c r="DK369" s="93"/>
      <c r="DL369" s="92"/>
      <c r="DM369" s="92"/>
      <c r="DN369" s="302"/>
      <c r="DO369" s="295"/>
      <c r="DP369" s="295"/>
      <c r="DQ369" s="64"/>
      <c r="DR369" s="299"/>
      <c r="DS369" s="92"/>
      <c r="DT369" s="93"/>
      <c r="DU369" s="93"/>
      <c r="DV369" s="93"/>
      <c r="DW369" s="93"/>
      <c r="DX369" s="79"/>
    </row>
    <row r="370" spans="1:128">
      <c r="A370" s="114"/>
      <c r="B370" s="92"/>
      <c r="C370" s="92"/>
      <c r="D370" s="302"/>
      <c r="E370" s="295"/>
      <c r="F370" s="304"/>
      <c r="G370" s="295"/>
      <c r="H370" s="304"/>
      <c r="I370" s="304"/>
      <c r="J370" s="302"/>
      <c r="K370" s="193"/>
      <c r="L370" s="302"/>
      <c r="M370" s="92"/>
      <c r="N370" s="51"/>
      <c r="O370" s="92"/>
      <c r="P370" s="113"/>
      <c r="Q370" s="699"/>
      <c r="R370" s="93"/>
      <c r="S370" s="93"/>
      <c r="T370" s="92"/>
      <c r="U370" s="92"/>
      <c r="V370" s="299"/>
      <c r="W370" s="295"/>
      <c r="X370" s="299"/>
      <c r="Y370" s="295"/>
      <c r="Z370" s="193"/>
      <c r="AA370" s="299"/>
      <c r="AB370" s="92"/>
      <c r="AC370" s="93"/>
      <c r="AD370" s="93"/>
      <c r="AE370" s="93"/>
      <c r="AF370" s="79"/>
      <c r="AG370" s="51"/>
      <c r="AH370" s="51"/>
      <c r="AI370" s="51"/>
      <c r="AJ370" s="51"/>
      <c r="AK370" s="51"/>
      <c r="AL370" s="304"/>
      <c r="AM370" s="64"/>
      <c r="AN370" s="299"/>
      <c r="AO370" s="54"/>
      <c r="AP370" s="193"/>
      <c r="AQ370" s="51"/>
      <c r="AR370" s="92"/>
      <c r="AS370" s="51"/>
      <c r="AT370" s="51"/>
      <c r="AU370" s="51"/>
      <c r="AV370" s="82"/>
      <c r="AW370" s="699"/>
      <c r="AX370" s="93"/>
      <c r="AY370" s="93"/>
      <c r="AZ370" s="51"/>
      <c r="BA370" s="92"/>
      <c r="BB370" s="64"/>
      <c r="BC370" s="295"/>
      <c r="BD370" s="295"/>
      <c r="BE370" s="295"/>
      <c r="BF370" s="193"/>
      <c r="BG370" s="295"/>
      <c r="BH370" s="299"/>
      <c r="BI370" s="92"/>
      <c r="BJ370" s="92"/>
      <c r="BK370" s="92"/>
      <c r="BL370" s="113"/>
      <c r="BM370" s="51"/>
      <c r="BN370" s="51"/>
      <c r="BO370" s="51"/>
      <c r="BP370" s="92"/>
      <c r="BQ370" s="304"/>
      <c r="BR370" s="295"/>
      <c r="BS370" s="295"/>
      <c r="BT370" s="295"/>
      <c r="BU370" s="299"/>
      <c r="BV370" s="299"/>
      <c r="BW370" s="295"/>
      <c r="BX370" s="193"/>
      <c r="BY370" s="299"/>
      <c r="BZ370" s="92"/>
      <c r="CA370" s="92"/>
      <c r="CB370" s="113"/>
      <c r="CC370" s="699"/>
      <c r="CD370" s="93"/>
      <c r="CE370" s="92"/>
      <c r="CF370" s="92"/>
      <c r="CG370" s="299"/>
      <c r="CH370" s="295"/>
      <c r="CI370" s="193"/>
      <c r="CJ370" s="295"/>
      <c r="CK370" s="295"/>
      <c r="CL370" s="295"/>
      <c r="CM370" s="64"/>
      <c r="CN370" s="92"/>
      <c r="CO370" s="93"/>
      <c r="CP370" s="93"/>
      <c r="CQ370" s="93"/>
      <c r="CR370" s="79"/>
      <c r="CS370" s="699"/>
      <c r="CT370" s="93"/>
      <c r="CU370" s="93"/>
      <c r="CV370" s="93"/>
      <c r="CW370" s="51"/>
      <c r="CX370" s="193"/>
      <c r="CY370" s="193"/>
      <c r="CZ370" s="299"/>
      <c r="DA370" s="64"/>
      <c r="DB370" s="304"/>
      <c r="DC370" s="51"/>
      <c r="DD370" s="51"/>
      <c r="DE370" s="51"/>
      <c r="DF370" s="51"/>
      <c r="DG370" s="93"/>
      <c r="DH370" s="79"/>
      <c r="DI370" s="699"/>
      <c r="DJ370" s="93"/>
      <c r="DK370" s="93"/>
      <c r="DL370" s="92"/>
      <c r="DM370" s="302"/>
      <c r="DN370" s="295"/>
      <c r="DO370" s="295"/>
      <c r="DP370" s="299"/>
      <c r="DQ370" s="295"/>
      <c r="DR370" s="299"/>
      <c r="DS370" s="64"/>
      <c r="DT370" s="93"/>
      <c r="DU370" s="93"/>
      <c r="DV370" s="93"/>
      <c r="DW370" s="93"/>
      <c r="DX370" s="79"/>
    </row>
    <row r="371" spans="1:128">
      <c r="A371" s="114"/>
      <c r="B371" s="92"/>
      <c r="C371" s="92"/>
      <c r="D371" s="302"/>
      <c r="E371" s="304"/>
      <c r="F371" s="302"/>
      <c r="G371" s="299"/>
      <c r="H371" s="64"/>
      <c r="I371" s="304"/>
      <c r="J371" s="299"/>
      <c r="K371" s="295"/>
      <c r="L371" s="64"/>
      <c r="M371" s="92"/>
      <c r="N371" s="51"/>
      <c r="O371" s="92"/>
      <c r="P371" s="82"/>
      <c r="Q371" s="699"/>
      <c r="R371" s="93"/>
      <c r="S371" s="93"/>
      <c r="T371" s="92"/>
      <c r="U371" s="193"/>
      <c r="V371" s="64"/>
      <c r="W371" s="304"/>
      <c r="X371" s="302"/>
      <c r="Y371" s="64"/>
      <c r="Z371" s="295"/>
      <c r="AA371" s="193"/>
      <c r="AB371" s="92"/>
      <c r="AC371" s="93"/>
      <c r="AD371" s="93"/>
      <c r="AE371" s="93"/>
      <c r="AF371" s="79"/>
      <c r="AG371" s="51"/>
      <c r="AH371" s="51"/>
      <c r="AI371" s="51"/>
      <c r="AJ371" s="51"/>
      <c r="AK371" s="51"/>
      <c r="AL371" s="64"/>
      <c r="AM371" s="193"/>
      <c r="AN371" s="299"/>
      <c r="AO371" s="295"/>
      <c r="AP371" s="295"/>
      <c r="AQ371" s="51"/>
      <c r="AR371" s="92"/>
      <c r="AS371" s="51"/>
      <c r="AT371" s="51"/>
      <c r="AU371" s="51"/>
      <c r="AV371" s="82"/>
      <c r="AW371" s="699"/>
      <c r="AX371" s="93"/>
      <c r="AY371" s="93"/>
      <c r="AZ371" s="51"/>
      <c r="BA371" s="92"/>
      <c r="BB371" s="304"/>
      <c r="BC371" s="295"/>
      <c r="BD371" s="193"/>
      <c r="BE371" s="295"/>
      <c r="BF371" s="193"/>
      <c r="BG371" s="193"/>
      <c r="BH371" s="193"/>
      <c r="BI371" s="92"/>
      <c r="BJ371" s="92"/>
      <c r="BK371" s="92"/>
      <c r="BL371" s="82"/>
      <c r="BM371" s="51"/>
      <c r="BN371" s="51"/>
      <c r="BO371" s="51"/>
      <c r="BP371" s="92"/>
      <c r="BQ371" s="302"/>
      <c r="BR371" s="295"/>
      <c r="BS371" s="295"/>
      <c r="BT371" s="295"/>
      <c r="BU371" s="295"/>
      <c r="BV371" s="299"/>
      <c r="BW371" s="299"/>
      <c r="BX371" s="295"/>
      <c r="BY371" s="193"/>
      <c r="BZ371" s="92"/>
      <c r="CA371" s="92"/>
      <c r="CB371" s="82"/>
      <c r="CC371" s="699"/>
      <c r="CD371" s="93"/>
      <c r="CE371" s="92"/>
      <c r="CF371" s="92"/>
      <c r="CG371" s="193"/>
      <c r="CH371" s="193"/>
      <c r="CI371" s="193"/>
      <c r="CJ371" s="295"/>
      <c r="CK371" s="193"/>
      <c r="CL371" s="295"/>
      <c r="CM371" s="302"/>
      <c r="CN371" s="92"/>
      <c r="CO371" s="93"/>
      <c r="CP371" s="93"/>
      <c r="CQ371" s="93"/>
      <c r="CR371" s="79"/>
      <c r="CS371" s="699"/>
      <c r="CT371" s="93"/>
      <c r="CU371" s="93"/>
      <c r="CV371" s="93"/>
      <c r="CW371" s="51"/>
      <c r="CX371" s="295"/>
      <c r="CY371" s="295"/>
      <c r="CZ371" s="302"/>
      <c r="DA371" s="193"/>
      <c r="DB371" s="64"/>
      <c r="DC371" s="51"/>
      <c r="DD371" s="51"/>
      <c r="DE371" s="51"/>
      <c r="DF371" s="51"/>
      <c r="DG371" s="93"/>
      <c r="DH371" s="79"/>
      <c r="DI371" s="699"/>
      <c r="DJ371" s="93"/>
      <c r="DK371" s="93"/>
      <c r="DL371" s="92"/>
      <c r="DM371" s="299"/>
      <c r="DN371" s="295"/>
      <c r="DO371" s="54"/>
      <c r="DP371" s="302"/>
      <c r="DQ371" s="304"/>
      <c r="DR371" s="299"/>
      <c r="DS371" s="302"/>
      <c r="DT371" s="93"/>
      <c r="DU371" s="93"/>
      <c r="DV371" s="93"/>
      <c r="DW371" s="93"/>
      <c r="DX371" s="79"/>
    </row>
    <row r="372" spans="1:128">
      <c r="A372" s="51"/>
      <c r="B372" s="51"/>
      <c r="C372" s="92"/>
      <c r="D372" s="295"/>
      <c r="E372" s="64"/>
      <c r="F372" s="299"/>
      <c r="G372" s="299"/>
      <c r="H372" s="304"/>
      <c r="I372" s="304"/>
      <c r="J372" s="64"/>
      <c r="K372" s="193"/>
      <c r="L372" s="295"/>
      <c r="M372" s="51"/>
      <c r="N372" s="51"/>
      <c r="O372" s="92"/>
      <c r="P372" s="113"/>
      <c r="Q372" s="699"/>
      <c r="R372" s="93"/>
      <c r="S372" s="93"/>
      <c r="T372" s="51"/>
      <c r="U372" s="64"/>
      <c r="V372" s="295"/>
      <c r="W372" s="64"/>
      <c r="X372" s="302"/>
      <c r="Y372" s="64"/>
      <c r="Z372" s="295"/>
      <c r="AA372" s="295"/>
      <c r="AB372" s="93"/>
      <c r="AC372" s="93"/>
      <c r="AD372" s="93"/>
      <c r="AE372" s="93"/>
      <c r="AF372" s="79"/>
      <c r="AG372" s="51"/>
      <c r="AH372" s="51"/>
      <c r="AI372" s="51"/>
      <c r="AJ372" s="51"/>
      <c r="AK372" s="51"/>
      <c r="AL372" s="299"/>
      <c r="AM372" s="193"/>
      <c r="AN372" s="304"/>
      <c r="AO372" s="299"/>
      <c r="AP372" s="295"/>
      <c r="AQ372" s="51"/>
      <c r="AR372" s="92"/>
      <c r="AS372" s="51"/>
      <c r="AT372" s="51"/>
      <c r="AU372" s="51"/>
      <c r="AV372" s="82"/>
      <c r="AW372" s="699"/>
      <c r="AX372" s="93"/>
      <c r="AY372" s="93"/>
      <c r="AZ372" s="51"/>
      <c r="BA372" s="92"/>
      <c r="BB372" s="302"/>
      <c r="BC372" s="193"/>
      <c r="BD372" s="193"/>
      <c r="BE372" s="295"/>
      <c r="BF372" s="193"/>
      <c r="BG372" s="193"/>
      <c r="BH372" s="295"/>
      <c r="BI372" s="51"/>
      <c r="BJ372" s="92"/>
      <c r="BK372" s="92"/>
      <c r="BL372" s="113"/>
      <c r="BM372" s="51"/>
      <c r="BN372" s="51"/>
      <c r="BO372" s="51"/>
      <c r="BP372" s="92"/>
      <c r="BQ372" s="295"/>
      <c r="BR372" s="193"/>
      <c r="BS372" s="299"/>
      <c r="BT372" s="295"/>
      <c r="BU372" s="295"/>
      <c r="BV372" s="299"/>
      <c r="BW372" s="299"/>
      <c r="BX372" s="193"/>
      <c r="BY372" s="295"/>
      <c r="BZ372" s="51"/>
      <c r="CA372" s="92"/>
      <c r="CB372" s="113"/>
      <c r="CC372" s="699"/>
      <c r="CD372" s="93"/>
      <c r="CE372" s="92"/>
      <c r="CF372" s="51"/>
      <c r="CG372" s="295"/>
      <c r="CH372" s="193"/>
      <c r="CI372" s="193"/>
      <c r="CJ372" s="295"/>
      <c r="CK372" s="193"/>
      <c r="CL372" s="193"/>
      <c r="CM372" s="302"/>
      <c r="CN372" s="92"/>
      <c r="CO372" s="93"/>
      <c r="CP372" s="93"/>
      <c r="CQ372" s="93"/>
      <c r="CR372" s="79"/>
      <c r="CS372" s="699"/>
      <c r="CT372" s="93"/>
      <c r="CU372" s="93"/>
      <c r="CV372" s="51"/>
      <c r="CW372" s="295"/>
      <c r="CX372" s="299"/>
      <c r="CY372" s="302"/>
      <c r="CZ372" s="193"/>
      <c r="DA372" s="295"/>
      <c r="DB372" s="304"/>
      <c r="DC372" s="51"/>
      <c r="DD372" s="51"/>
      <c r="DE372" s="51"/>
      <c r="DF372" s="51"/>
      <c r="DG372" s="93"/>
      <c r="DH372" s="79"/>
      <c r="DI372" s="699"/>
      <c r="DJ372" s="93"/>
      <c r="DK372" s="93"/>
      <c r="DL372" s="93"/>
      <c r="DM372" s="295"/>
      <c r="DN372" s="295"/>
      <c r="DO372" s="193"/>
      <c r="DP372" s="304"/>
      <c r="DQ372" s="64"/>
      <c r="DR372" s="295"/>
      <c r="DS372" s="302"/>
      <c r="DT372" s="93"/>
      <c r="DU372" s="93"/>
      <c r="DV372" s="93"/>
      <c r="DW372" s="93"/>
      <c r="DX372" s="79"/>
    </row>
    <row r="373" spans="1:128">
      <c r="A373" s="51"/>
      <c r="B373" s="51"/>
      <c r="C373" s="302"/>
      <c r="D373" s="295"/>
      <c r="E373" s="193"/>
      <c r="F373" s="299"/>
      <c r="G373" s="299"/>
      <c r="H373" s="299"/>
      <c r="I373" s="302"/>
      <c r="J373" s="295"/>
      <c r="K373" s="193"/>
      <c r="L373" s="295"/>
      <c r="M373" s="299"/>
      <c r="N373" s="51"/>
      <c r="O373" s="51"/>
      <c r="P373" s="82"/>
      <c r="Q373" s="699"/>
      <c r="R373" s="93"/>
      <c r="S373" s="93"/>
      <c r="T373" s="93"/>
      <c r="U373" s="295"/>
      <c r="V373" s="299"/>
      <c r="W373" s="304"/>
      <c r="X373" s="302"/>
      <c r="Y373" s="295"/>
      <c r="Z373" s="64"/>
      <c r="AA373" s="295"/>
      <c r="AB373" s="295"/>
      <c r="AC373" s="93"/>
      <c r="AD373" s="93"/>
      <c r="AE373" s="93"/>
      <c r="AF373" s="79"/>
      <c r="AG373" s="51"/>
      <c r="AH373" s="51"/>
      <c r="AI373" s="51"/>
      <c r="AJ373" s="51"/>
      <c r="AK373" s="51"/>
      <c r="AL373" s="92"/>
      <c r="AM373" s="299"/>
      <c r="AN373" s="193"/>
      <c r="AO373" s="299"/>
      <c r="AP373" s="295"/>
      <c r="AQ373" s="295"/>
      <c r="AR373" s="92"/>
      <c r="AS373" s="51"/>
      <c r="AT373" s="51"/>
      <c r="AU373" s="51"/>
      <c r="AV373" s="82"/>
      <c r="AW373" s="51"/>
      <c r="AX373" s="51"/>
      <c r="AY373" s="51"/>
      <c r="AZ373" s="51"/>
      <c r="BA373" s="92"/>
      <c r="BB373" s="302"/>
      <c r="BC373" s="295"/>
      <c r="BD373" s="193"/>
      <c r="BE373" s="295"/>
      <c r="BF373" s="193"/>
      <c r="BG373" s="193"/>
      <c r="BH373" s="295"/>
      <c r="BI373" s="299"/>
      <c r="BJ373" s="92"/>
      <c r="BK373" s="92"/>
      <c r="BL373" s="82"/>
      <c r="BM373" s="51"/>
      <c r="BN373" s="51"/>
      <c r="BO373" s="51"/>
      <c r="BP373" s="314"/>
      <c r="BQ373" s="295"/>
      <c r="BR373" s="193"/>
      <c r="BS373" s="299"/>
      <c r="BT373" s="295"/>
      <c r="BU373" s="295"/>
      <c r="BV373" s="299"/>
      <c r="BW373" s="295"/>
      <c r="BX373" s="193"/>
      <c r="BY373" s="295"/>
      <c r="BZ373" s="299"/>
      <c r="CA373" s="92"/>
      <c r="CB373" s="82"/>
      <c r="CC373" s="699"/>
      <c r="CD373" s="93"/>
      <c r="CE373" s="92"/>
      <c r="CF373" s="299"/>
      <c r="CG373" s="295"/>
      <c r="CH373" s="193"/>
      <c r="CI373" s="193"/>
      <c r="CJ373" s="295"/>
      <c r="CK373" s="193"/>
      <c r="CL373" s="295"/>
      <c r="CM373" s="302"/>
      <c r="CN373" s="92"/>
      <c r="CO373" s="93"/>
      <c r="CP373" s="93"/>
      <c r="CQ373" s="93"/>
      <c r="CR373" s="79"/>
      <c r="CS373" s="699"/>
      <c r="CT373" s="93"/>
      <c r="CU373" s="93"/>
      <c r="CV373" s="93"/>
      <c r="CW373" s="295"/>
      <c r="CX373" s="299"/>
      <c r="CY373" s="302"/>
      <c r="CZ373" s="295"/>
      <c r="DA373" s="302"/>
      <c r="DB373" s="92"/>
      <c r="DC373" s="92"/>
      <c r="DD373" s="51"/>
      <c r="DE373" s="51"/>
      <c r="DF373" s="51"/>
      <c r="DG373" s="93"/>
      <c r="DH373" s="79"/>
      <c r="DI373" s="699"/>
      <c r="DJ373" s="93"/>
      <c r="DK373" s="93"/>
      <c r="DL373" s="302"/>
      <c r="DM373" s="295"/>
      <c r="DN373" s="54"/>
      <c r="DO373" s="295"/>
      <c r="DP373" s="304"/>
      <c r="DQ373" s="304"/>
      <c r="DR373" s="295"/>
      <c r="DS373" s="193"/>
      <c r="DT373" s="93"/>
      <c r="DU373" s="93"/>
      <c r="DV373" s="93"/>
      <c r="DW373" s="93"/>
      <c r="DX373" s="79"/>
    </row>
    <row r="374" spans="1:128">
      <c r="A374" s="51"/>
      <c r="B374" s="51"/>
      <c r="C374" s="295"/>
      <c r="D374" s="295"/>
      <c r="E374" s="92"/>
      <c r="F374" s="295"/>
      <c r="G374" s="299"/>
      <c r="H374" s="304"/>
      <c r="I374" s="54"/>
      <c r="J374" s="193"/>
      <c r="K374" s="193"/>
      <c r="L374" s="481"/>
      <c r="M374" s="35"/>
      <c r="N374" s="51"/>
      <c r="O374" s="51"/>
      <c r="P374" s="113"/>
      <c r="Q374" s="699"/>
      <c r="R374" s="93"/>
      <c r="S374" s="93"/>
      <c r="T374" s="93"/>
      <c r="U374" s="93"/>
      <c r="V374" s="295"/>
      <c r="W374" s="64"/>
      <c r="X374" s="299"/>
      <c r="Y374" s="206"/>
      <c r="Z374" s="193"/>
      <c r="AA374" s="295"/>
      <c r="AB374" s="193"/>
      <c r="AC374" s="93"/>
      <c r="AD374" s="93"/>
      <c r="AE374" s="93"/>
      <c r="AF374" s="79"/>
      <c r="AG374" s="314"/>
      <c r="AH374" s="481"/>
      <c r="AI374" s="160"/>
      <c r="AJ374" s="160"/>
      <c r="AK374" s="160"/>
      <c r="AL374" s="54"/>
      <c r="AM374" s="64"/>
      <c r="AN374" s="302"/>
      <c r="AO374" s="302"/>
      <c r="AP374" s="299"/>
      <c r="AQ374" s="193"/>
      <c r="AR374" s="92"/>
      <c r="AS374" s="51"/>
      <c r="AT374" s="51"/>
      <c r="AU374" s="51"/>
      <c r="AV374" s="82"/>
      <c r="AW374" s="314"/>
      <c r="AX374" s="481"/>
      <c r="AY374" s="160"/>
      <c r="AZ374" s="160"/>
      <c r="BA374" s="193"/>
      <c r="BB374" s="302"/>
      <c r="BC374" s="295"/>
      <c r="BD374" s="193"/>
      <c r="BE374" s="295"/>
      <c r="BF374" s="295"/>
      <c r="BG374" s="193"/>
      <c r="BH374" s="295"/>
      <c r="BI374" s="193"/>
      <c r="BJ374" s="51"/>
      <c r="BK374" s="51"/>
      <c r="BL374" s="113"/>
      <c r="BM374" s="51"/>
      <c r="BN374" s="51"/>
      <c r="BO374" s="51"/>
      <c r="BP374" s="295"/>
      <c r="BQ374" s="295"/>
      <c r="BR374" s="295"/>
      <c r="BS374" s="299"/>
      <c r="BT374" s="295"/>
      <c r="BU374" s="295"/>
      <c r="BV374" s="299"/>
      <c r="BW374" s="295"/>
      <c r="BX374" s="92"/>
      <c r="BY374" s="54"/>
      <c r="BZ374" s="295"/>
      <c r="CA374" s="51"/>
      <c r="CB374" s="113"/>
      <c r="CC374" s="699"/>
      <c r="CD374" s="93"/>
      <c r="CE374" s="51"/>
      <c r="CF374" s="299"/>
      <c r="CG374" s="295"/>
      <c r="CH374" s="193"/>
      <c r="CI374" s="295"/>
      <c r="CJ374" s="295"/>
      <c r="CK374" s="193"/>
      <c r="CL374" s="193"/>
      <c r="CM374" s="302"/>
      <c r="CN374" s="314"/>
      <c r="CO374" s="93"/>
      <c r="CP374" s="93"/>
      <c r="CQ374" s="93"/>
      <c r="CR374" s="79"/>
      <c r="CS374" s="699"/>
      <c r="CT374" s="93"/>
      <c r="CU374" s="93"/>
      <c r="CV374" s="93"/>
      <c r="CW374" s="193"/>
      <c r="CX374" s="302"/>
      <c r="CY374" s="299"/>
      <c r="CZ374" s="295"/>
      <c r="DA374" s="64"/>
      <c r="DB374" s="51"/>
      <c r="DC374" s="291"/>
      <c r="DD374" s="160"/>
      <c r="DE374" s="160"/>
      <c r="DF374" s="160"/>
      <c r="DG374" s="481"/>
      <c r="DH374" s="393"/>
      <c r="DI374" s="699"/>
      <c r="DJ374" s="93"/>
      <c r="DK374" s="93"/>
      <c r="DL374" s="299"/>
      <c r="DM374" s="295"/>
      <c r="DN374" s="193"/>
      <c r="DO374" s="295"/>
      <c r="DP374" s="302"/>
      <c r="DQ374" s="64"/>
      <c r="DR374" s="295"/>
      <c r="DS374" s="304"/>
      <c r="DT374" s="193"/>
      <c r="DU374" s="160"/>
      <c r="DV374" s="160"/>
      <c r="DW374" s="481"/>
      <c r="DX374" s="393"/>
    </row>
    <row r="375" spans="1:128">
      <c r="A375" s="51"/>
      <c r="B375" s="51"/>
      <c r="C375" s="295"/>
      <c r="D375" s="295"/>
      <c r="E375" s="92"/>
      <c r="F375" s="295"/>
      <c r="G375" s="295"/>
      <c r="H375" s="299"/>
      <c r="I375" s="299"/>
      <c r="J375" s="193"/>
      <c r="K375" s="199"/>
      <c r="L375" s="161"/>
      <c r="M375" s="35"/>
      <c r="N375" s="51"/>
      <c r="O375" s="51"/>
      <c r="P375" s="113"/>
      <c r="Q375" s="699"/>
      <c r="R375" s="93"/>
      <c r="S375" s="314"/>
      <c r="T375" s="481"/>
      <c r="U375" s="160"/>
      <c r="V375" s="160"/>
      <c r="W375" s="160"/>
      <c r="X375" s="193"/>
      <c r="Y375" s="295"/>
      <c r="Z375" s="299"/>
      <c r="AA375" s="193"/>
      <c r="AB375" s="295"/>
      <c r="AC375" s="93"/>
      <c r="AD375" s="93"/>
      <c r="AE375" s="93"/>
      <c r="AF375" s="79"/>
      <c r="AG375" s="51"/>
      <c r="AH375" s="51"/>
      <c r="AI375" s="51"/>
      <c r="AJ375" s="51"/>
      <c r="AK375" s="314"/>
      <c r="AL375" s="64"/>
      <c r="AM375" s="302"/>
      <c r="AN375" s="299"/>
      <c r="AO375" s="193"/>
      <c r="AP375" s="295"/>
      <c r="AQ375" s="291"/>
      <c r="AR375" s="92"/>
      <c r="AS375" s="51"/>
      <c r="AT375" s="51"/>
      <c r="AU375" s="51"/>
      <c r="AV375" s="82"/>
      <c r="AW375" s="51"/>
      <c r="AX375" s="51"/>
      <c r="AY375" s="51"/>
      <c r="AZ375" s="64"/>
      <c r="BA375" s="295"/>
      <c r="BB375" s="295"/>
      <c r="BC375" s="299"/>
      <c r="BD375" s="193"/>
      <c r="BE375" s="295"/>
      <c r="BF375" s="299"/>
      <c r="BG375" s="295"/>
      <c r="BH375" s="193"/>
      <c r="BI375" s="193"/>
      <c r="BJ375" s="295"/>
      <c r="BK375" s="51"/>
      <c r="BL375" s="113"/>
      <c r="BM375" s="51"/>
      <c r="BN375" s="51"/>
      <c r="BO375" s="51"/>
      <c r="BP375" s="295"/>
      <c r="BQ375" s="295"/>
      <c r="BR375" s="92"/>
      <c r="BS375" s="299"/>
      <c r="BT375" s="295"/>
      <c r="BU375" s="295"/>
      <c r="BV375" s="299"/>
      <c r="BW375" s="295"/>
      <c r="BX375" s="92"/>
      <c r="BY375" s="295"/>
      <c r="BZ375" s="295"/>
      <c r="CA375" s="51"/>
      <c r="CB375" s="113"/>
      <c r="CC375" s="699"/>
      <c r="CD375" s="93"/>
      <c r="CE375" s="93"/>
      <c r="CF375" s="193"/>
      <c r="CG375" s="295"/>
      <c r="CH375" s="295"/>
      <c r="CI375" s="299"/>
      <c r="CJ375" s="295"/>
      <c r="CK375" s="295"/>
      <c r="CL375" s="193"/>
      <c r="CM375" s="295"/>
      <c r="CN375" s="92"/>
      <c r="CO375" s="93"/>
      <c r="CP375" s="93"/>
      <c r="CQ375" s="93"/>
      <c r="CR375" s="79"/>
      <c r="CS375" s="699"/>
      <c r="CT375" s="93"/>
      <c r="CU375" s="93"/>
      <c r="CV375" s="93"/>
      <c r="CW375" s="291"/>
      <c r="CX375" s="295"/>
      <c r="CY375" s="193"/>
      <c r="CZ375" s="299"/>
      <c r="DA375" s="304"/>
      <c r="DB375" s="193"/>
      <c r="DC375" s="64"/>
      <c r="DD375" s="314"/>
      <c r="DE375" s="51"/>
      <c r="DF375" s="51"/>
      <c r="DG375" s="93"/>
      <c r="DH375" s="79"/>
      <c r="DI375" s="699"/>
      <c r="DJ375" s="93"/>
      <c r="DK375" s="295"/>
      <c r="DL375" s="295"/>
      <c r="DM375" s="295"/>
      <c r="DN375" s="193"/>
      <c r="DO375" s="295"/>
      <c r="DP375" s="295"/>
      <c r="DQ375" s="299"/>
      <c r="DR375" s="193"/>
      <c r="DS375" s="295"/>
      <c r="DT375" s="295"/>
      <c r="DU375" s="64"/>
      <c r="DV375" s="93"/>
      <c r="DW375" s="93"/>
      <c r="DX375" s="79"/>
    </row>
    <row r="376" spans="1:128">
      <c r="A376" s="51"/>
      <c r="B376" s="51"/>
      <c r="C376" s="199"/>
      <c r="D376" s="199"/>
      <c r="E376" s="92"/>
      <c r="F376" s="295"/>
      <c r="G376" s="299"/>
      <c r="H376" s="299"/>
      <c r="I376" s="299"/>
      <c r="J376" s="64"/>
      <c r="K376" s="92"/>
      <c r="L376" s="161"/>
      <c r="M376" s="51"/>
      <c r="N376" s="51"/>
      <c r="O376" s="51"/>
      <c r="P376" s="113"/>
      <c r="Q376" s="699"/>
      <c r="R376" s="93"/>
      <c r="S376" s="93"/>
      <c r="T376" s="93"/>
      <c r="U376" s="51"/>
      <c r="V376" s="161"/>
      <c r="W376" s="35"/>
      <c r="X376" s="64"/>
      <c r="Y376" s="299"/>
      <c r="Z376" s="193"/>
      <c r="AA376" s="295"/>
      <c r="AB376" s="93"/>
      <c r="AC376" s="93"/>
      <c r="AD376" s="93"/>
      <c r="AE376" s="93"/>
      <c r="AF376" s="79"/>
      <c r="AG376" s="51"/>
      <c r="AH376" s="51"/>
      <c r="AI376" s="51"/>
      <c r="AJ376" s="51"/>
      <c r="AK376" s="161"/>
      <c r="AL376" s="64"/>
      <c r="AM376" s="193"/>
      <c r="AN376" s="193"/>
      <c r="AO376" s="55"/>
      <c r="AP376" s="193"/>
      <c r="AQ376" s="64"/>
      <c r="AR376" s="92"/>
      <c r="AS376" s="51"/>
      <c r="AT376" s="51"/>
      <c r="AU376" s="51"/>
      <c r="AV376" s="82"/>
      <c r="AW376" s="51"/>
      <c r="AX376" s="51"/>
      <c r="AY376" s="51"/>
      <c r="AZ376" s="35"/>
      <c r="BA376" s="295"/>
      <c r="BB376" s="193"/>
      <c r="BC376" s="193"/>
      <c r="BD376" s="193"/>
      <c r="BE376" s="299"/>
      <c r="BF376" s="299"/>
      <c r="BG376" s="299"/>
      <c r="BH376" s="92"/>
      <c r="BI376" s="54"/>
      <c r="BJ376" s="64"/>
      <c r="BK376" s="51"/>
      <c r="BL376" s="113"/>
      <c r="BM376" s="51"/>
      <c r="BN376" s="51"/>
      <c r="BO376" s="51"/>
      <c r="BP376" s="193"/>
      <c r="BQ376" s="199"/>
      <c r="BR376" s="92"/>
      <c r="BS376" s="295"/>
      <c r="BT376" s="299"/>
      <c r="BU376" s="299"/>
      <c r="BV376" s="299"/>
      <c r="BW376" s="299"/>
      <c r="BX376" s="92"/>
      <c r="BY376" s="295"/>
      <c r="BZ376" s="54"/>
      <c r="CA376" s="51"/>
      <c r="CB376" s="113"/>
      <c r="CC376" s="699"/>
      <c r="CD376" s="93"/>
      <c r="CE376" s="93"/>
      <c r="CF376" s="93"/>
      <c r="CG376" s="193"/>
      <c r="CH376" s="299"/>
      <c r="CI376" s="299"/>
      <c r="CJ376" s="299"/>
      <c r="CK376" s="299"/>
      <c r="CL376" s="64"/>
      <c r="CM376" s="54"/>
      <c r="CN376" s="92"/>
      <c r="CO376" s="93"/>
      <c r="CP376" s="93"/>
      <c r="CQ376" s="93"/>
      <c r="CR376" s="79"/>
      <c r="CS376" s="699"/>
      <c r="CT376" s="93"/>
      <c r="CU376" s="93"/>
      <c r="CV376" s="93"/>
      <c r="CW376" s="54"/>
      <c r="CX376" s="54"/>
      <c r="CY376" s="193"/>
      <c r="CZ376" s="299"/>
      <c r="DA376" s="302"/>
      <c r="DB376" s="193"/>
      <c r="DC376" s="64"/>
      <c r="DD376" s="161"/>
      <c r="DE376" s="51"/>
      <c r="DF376" s="51"/>
      <c r="DG376" s="93"/>
      <c r="DH376" s="79"/>
      <c r="DI376" s="699"/>
      <c r="DJ376" s="93"/>
      <c r="DK376" s="54"/>
      <c r="DL376" s="54"/>
      <c r="DM376" s="93"/>
      <c r="DN376" s="295"/>
      <c r="DO376" s="299"/>
      <c r="DP376" s="299"/>
      <c r="DQ376" s="299"/>
      <c r="DR376" s="193"/>
      <c r="DS376" s="193"/>
      <c r="DT376" s="295"/>
      <c r="DU376" s="35"/>
      <c r="DV376" s="93"/>
      <c r="DW376" s="93"/>
      <c r="DX376" s="79"/>
    </row>
    <row r="377" spans="1:128">
      <c r="A377" s="51"/>
      <c r="B377" s="51"/>
      <c r="C377" s="35"/>
      <c r="D377" s="199"/>
      <c r="E377" s="92"/>
      <c r="F377" s="193"/>
      <c r="G377" s="193"/>
      <c r="H377" s="193"/>
      <c r="I377" s="193"/>
      <c r="J377" s="193"/>
      <c r="K377" s="92"/>
      <c r="L377" s="51"/>
      <c r="M377" s="51"/>
      <c r="N377" s="51"/>
      <c r="O377" s="51"/>
      <c r="P377" s="113"/>
      <c r="Q377" s="699"/>
      <c r="R377" s="93"/>
      <c r="S377" s="93"/>
      <c r="T377" s="93"/>
      <c r="U377" s="51"/>
      <c r="V377" s="295"/>
      <c r="W377" s="295"/>
      <c r="X377" s="206"/>
      <c r="Y377" s="295"/>
      <c r="Z377" s="206"/>
      <c r="AA377" s="93"/>
      <c r="AB377" s="93"/>
      <c r="AC377" s="93"/>
      <c r="AD377" s="93"/>
      <c r="AE377" s="93"/>
      <c r="AF377" s="79"/>
      <c r="AG377" s="51"/>
      <c r="AH377" s="51"/>
      <c r="AI377" s="51"/>
      <c r="AJ377" s="51"/>
      <c r="AK377" s="51"/>
      <c r="AL377" s="92"/>
      <c r="AM377" s="193"/>
      <c r="AN377" s="295"/>
      <c r="AO377" s="160"/>
      <c r="AP377" s="295"/>
      <c r="AQ377" s="51"/>
      <c r="AR377" s="92"/>
      <c r="AS377" s="51"/>
      <c r="AT377" s="51"/>
      <c r="AU377" s="51"/>
      <c r="AV377" s="82"/>
      <c r="AW377" s="699"/>
      <c r="AX377" s="93"/>
      <c r="AY377" s="93"/>
      <c r="AZ377" s="51"/>
      <c r="BA377" s="93"/>
      <c r="BB377" s="161"/>
      <c r="BC377" s="193"/>
      <c r="BD377" s="193"/>
      <c r="BE377" s="193"/>
      <c r="BF377" s="193"/>
      <c r="BG377" s="193"/>
      <c r="BH377" s="92"/>
      <c r="BI377" s="56"/>
      <c r="BJ377" s="35"/>
      <c r="BK377" s="51"/>
      <c r="BL377" s="113"/>
      <c r="BM377" s="51"/>
      <c r="BN377" s="51"/>
      <c r="BO377" s="51"/>
      <c r="BP377" s="51"/>
      <c r="BQ377" s="51"/>
      <c r="BR377" s="92"/>
      <c r="BS377" s="193"/>
      <c r="BT377" s="193"/>
      <c r="BU377" s="193"/>
      <c r="BV377" s="193"/>
      <c r="BW377" s="193"/>
      <c r="BX377" s="92"/>
      <c r="BY377" s="54"/>
      <c r="BZ377" s="199"/>
      <c r="CA377" s="51"/>
      <c r="CB377" s="113"/>
      <c r="CC377" s="699"/>
      <c r="CD377" s="93"/>
      <c r="CE377" s="93"/>
      <c r="CF377" s="93"/>
      <c r="CG377" s="92"/>
      <c r="CH377" s="193"/>
      <c r="CI377" s="193"/>
      <c r="CJ377" s="193"/>
      <c r="CK377" s="193"/>
      <c r="CL377" s="64"/>
      <c r="CM377" s="35"/>
      <c r="CN377" s="93"/>
      <c r="CO377" s="93"/>
      <c r="CP377" s="93"/>
      <c r="CQ377" s="93"/>
      <c r="CR377" s="79"/>
      <c r="CS377" s="699"/>
      <c r="CT377" s="93"/>
      <c r="CU377" s="93"/>
      <c r="CV377" s="54"/>
      <c r="CW377" s="35"/>
      <c r="CX377" s="193"/>
      <c r="CY377" s="193"/>
      <c r="CZ377" s="295"/>
      <c r="DA377" s="193"/>
      <c r="DB377" s="193"/>
      <c r="DC377" s="92"/>
      <c r="DD377" s="51"/>
      <c r="DE377" s="51"/>
      <c r="DF377" s="51"/>
      <c r="DG377" s="93"/>
      <c r="DH377" s="79"/>
      <c r="DI377" s="699"/>
      <c r="DJ377" s="93"/>
      <c r="DK377" s="64"/>
      <c r="DL377" s="35"/>
      <c r="DM377" s="93"/>
      <c r="DN377" s="193"/>
      <c r="DO377" s="295"/>
      <c r="DP377" s="295"/>
      <c r="DQ377" s="193"/>
      <c r="DR377" s="193"/>
      <c r="DS377" s="93"/>
      <c r="DT377" s="93"/>
      <c r="DU377" s="93"/>
      <c r="DV377" s="93"/>
      <c r="DW377" s="93"/>
      <c r="DX377" s="79"/>
    </row>
    <row r="378" spans="1:128">
      <c r="A378" s="51"/>
      <c r="B378" s="51"/>
      <c r="C378" s="51"/>
      <c r="D378" s="51"/>
      <c r="E378" s="92"/>
      <c r="F378" s="295"/>
      <c r="G378" s="193"/>
      <c r="H378" s="51"/>
      <c r="I378" s="193"/>
      <c r="J378" s="295"/>
      <c r="K378" s="92"/>
      <c r="L378" s="51"/>
      <c r="M378" s="51"/>
      <c r="N378" s="51"/>
      <c r="O378" s="51"/>
      <c r="P378" s="82"/>
      <c r="Q378" s="699"/>
      <c r="R378" s="93"/>
      <c r="S378" s="93"/>
      <c r="T378" s="93"/>
      <c r="U378" s="93"/>
      <c r="V378" s="295"/>
      <c r="W378" s="295"/>
      <c r="X378" s="295"/>
      <c r="Y378" s="299"/>
      <c r="Z378" s="193"/>
      <c r="AA378" s="93"/>
      <c r="AB378" s="93"/>
      <c r="AC378" s="93"/>
      <c r="AD378" s="93"/>
      <c r="AE378" s="93"/>
      <c r="AF378" s="79"/>
      <c r="AG378" s="51"/>
      <c r="AH378" s="51"/>
      <c r="AI378" s="51"/>
      <c r="AJ378" s="51"/>
      <c r="AK378" s="51"/>
      <c r="AL378" s="92"/>
      <c r="AM378" s="92"/>
      <c r="AN378" s="295"/>
      <c r="AO378" s="295"/>
      <c r="AP378" s="51"/>
      <c r="AQ378" s="51"/>
      <c r="AR378" s="92"/>
      <c r="AS378" s="51"/>
      <c r="AT378" s="51"/>
      <c r="AU378" s="51"/>
      <c r="AV378" s="82"/>
      <c r="AW378" s="699"/>
      <c r="AX378" s="93"/>
      <c r="AY378" s="93"/>
      <c r="AZ378" s="93"/>
      <c r="BA378" s="93"/>
      <c r="BB378" s="93"/>
      <c r="BC378" s="295"/>
      <c r="BD378" s="193"/>
      <c r="BE378" s="193"/>
      <c r="BF378" s="193"/>
      <c r="BG378" s="295"/>
      <c r="BH378" s="92"/>
      <c r="BI378" s="92"/>
      <c r="BJ378" s="51"/>
      <c r="BK378" s="51"/>
      <c r="BL378" s="82"/>
      <c r="BM378" s="51"/>
      <c r="BN378" s="51"/>
      <c r="BO378" s="51"/>
      <c r="BP378" s="51"/>
      <c r="BQ378" s="51"/>
      <c r="BR378" s="92"/>
      <c r="BS378" s="295"/>
      <c r="BT378" s="193"/>
      <c r="BU378" s="51"/>
      <c r="BV378" s="193"/>
      <c r="BW378" s="295"/>
      <c r="BX378" s="92"/>
      <c r="BY378" s="199"/>
      <c r="BZ378" s="54"/>
      <c r="CA378" s="51"/>
      <c r="CB378" s="82"/>
      <c r="CC378" s="699"/>
      <c r="CD378" s="93"/>
      <c r="CE378" s="51"/>
      <c r="CF378" s="92"/>
      <c r="CG378" s="92"/>
      <c r="CH378" s="295"/>
      <c r="CI378" s="193"/>
      <c r="CJ378" s="193"/>
      <c r="CK378" s="193"/>
      <c r="CL378" s="193"/>
      <c r="CM378" s="199"/>
      <c r="CN378" s="93"/>
      <c r="CO378" s="93"/>
      <c r="CP378" s="93"/>
      <c r="CQ378" s="93"/>
      <c r="CR378" s="79"/>
      <c r="CS378" s="699"/>
      <c r="CT378" s="93"/>
      <c r="CU378" s="93"/>
      <c r="CV378" s="199"/>
      <c r="CW378" s="54"/>
      <c r="CX378" s="193"/>
      <c r="CY378" s="295"/>
      <c r="CZ378" s="295"/>
      <c r="DA378" s="92"/>
      <c r="DB378" s="92"/>
      <c r="DC378" s="92"/>
      <c r="DD378" s="51"/>
      <c r="DE378" s="51"/>
      <c r="DF378" s="51"/>
      <c r="DG378" s="93"/>
      <c r="DH378" s="79"/>
      <c r="DI378" s="699"/>
      <c r="DJ378" s="93"/>
      <c r="DK378" s="93"/>
      <c r="DL378" s="51"/>
      <c r="DM378" s="93"/>
      <c r="DN378" s="193"/>
      <c r="DO378" s="299"/>
      <c r="DP378" s="295"/>
      <c r="DQ378" s="299"/>
      <c r="DR378" s="295"/>
      <c r="DS378" s="64"/>
      <c r="DT378" s="93"/>
      <c r="DU378" s="93"/>
      <c r="DV378" s="93"/>
      <c r="DW378" s="93"/>
      <c r="DX378" s="79"/>
    </row>
    <row r="379" spans="1:128">
      <c r="A379" s="51"/>
      <c r="B379" s="51"/>
      <c r="C379" s="51"/>
      <c r="D379" s="51"/>
      <c r="E379" s="92"/>
      <c r="F379" s="302"/>
      <c r="G379" s="295"/>
      <c r="H379" s="51"/>
      <c r="I379" s="299"/>
      <c r="J379" s="295"/>
      <c r="K379" s="92"/>
      <c r="L379" s="92"/>
      <c r="M379" s="51"/>
      <c r="N379" s="51"/>
      <c r="O379" s="92"/>
      <c r="P379" s="82"/>
      <c r="Q379" s="699"/>
      <c r="R379" s="93"/>
      <c r="S379" s="93"/>
      <c r="T379" s="93"/>
      <c r="U379" s="295"/>
      <c r="V379" s="302"/>
      <c r="W379" s="193"/>
      <c r="X379" s="193"/>
      <c r="Y379" s="302"/>
      <c r="Z379" s="193"/>
      <c r="AA379" s="93"/>
      <c r="AB379" s="51"/>
      <c r="AC379" s="93"/>
      <c r="AD379" s="93"/>
      <c r="AE379" s="93"/>
      <c r="AF379" s="79"/>
      <c r="AG379" s="51"/>
      <c r="AH379" s="51"/>
      <c r="AI379" s="51"/>
      <c r="AJ379" s="51"/>
      <c r="AK379" s="51"/>
      <c r="AL379" s="92"/>
      <c r="AM379" s="64"/>
      <c r="AN379" s="295"/>
      <c r="AO379" s="295"/>
      <c r="AP379" s="51"/>
      <c r="AQ379" s="51"/>
      <c r="AR379" s="92"/>
      <c r="AS379" s="51"/>
      <c r="AT379" s="51"/>
      <c r="AU379" s="51"/>
      <c r="AV379" s="82"/>
      <c r="AW379" s="699"/>
      <c r="AX379" s="93"/>
      <c r="AY379" s="93"/>
      <c r="AZ379" s="93"/>
      <c r="BA379" s="93"/>
      <c r="BB379" s="64"/>
      <c r="BC379" s="295"/>
      <c r="BD379" s="193"/>
      <c r="BE379" s="193"/>
      <c r="BF379" s="193"/>
      <c r="BG379" s="295"/>
      <c r="BH379" s="92"/>
      <c r="BI379" s="92"/>
      <c r="BJ379" s="51"/>
      <c r="BK379" s="51"/>
      <c r="BL379" s="82"/>
      <c r="BM379" s="51"/>
      <c r="BN379" s="51"/>
      <c r="BO379" s="51"/>
      <c r="BP379" s="51"/>
      <c r="BQ379" s="51"/>
      <c r="BR379" s="92"/>
      <c r="BS379" s="299"/>
      <c r="BT379" s="295"/>
      <c r="BU379" s="51"/>
      <c r="BV379" s="295"/>
      <c r="BW379" s="295"/>
      <c r="BX379" s="92"/>
      <c r="BY379" s="92"/>
      <c r="BZ379" s="92"/>
      <c r="CA379" s="92"/>
      <c r="CB379" s="82"/>
      <c r="CC379" s="699"/>
      <c r="CD379" s="93"/>
      <c r="CE379" s="51"/>
      <c r="CF379" s="92"/>
      <c r="CG379" s="92"/>
      <c r="CH379" s="295"/>
      <c r="CI379" s="193"/>
      <c r="CJ379" s="193"/>
      <c r="CK379" s="193"/>
      <c r="CL379" s="295"/>
      <c r="CM379" s="295"/>
      <c r="CN379" s="93"/>
      <c r="CO379" s="93"/>
      <c r="CP379" s="93"/>
      <c r="CQ379" s="93"/>
      <c r="CR379" s="79"/>
      <c r="CS379" s="699"/>
      <c r="CT379" s="93"/>
      <c r="CU379" s="93"/>
      <c r="CV379" s="93"/>
      <c r="CW379" s="51"/>
      <c r="CX379" s="51"/>
      <c r="CY379" s="295"/>
      <c r="CZ379" s="295"/>
      <c r="DA379" s="64"/>
      <c r="DB379" s="92"/>
      <c r="DC379" s="51"/>
      <c r="DD379" s="51"/>
      <c r="DE379" s="51"/>
      <c r="DF379" s="51"/>
      <c r="DG379" s="93"/>
      <c r="DH379" s="79"/>
      <c r="DI379" s="699"/>
      <c r="DJ379" s="93"/>
      <c r="DK379" s="93"/>
      <c r="DL379" s="93"/>
      <c r="DM379" s="93"/>
      <c r="DN379" s="93"/>
      <c r="DO379" s="299"/>
      <c r="DP379" s="64"/>
      <c r="DQ379" s="302"/>
      <c r="DR379" s="302"/>
      <c r="DS379" s="295"/>
      <c r="DT379" s="93"/>
      <c r="DU379" s="93"/>
      <c r="DV379" s="93"/>
      <c r="DW379" s="93"/>
      <c r="DX379" s="79"/>
    </row>
    <row r="380" spans="1:128">
      <c r="A380" s="51"/>
      <c r="B380" s="51"/>
      <c r="C380" s="92"/>
      <c r="D380" s="52"/>
      <c r="E380" s="302"/>
      <c r="F380" s="302"/>
      <c r="G380" s="51"/>
      <c r="H380" s="51"/>
      <c r="I380" s="51"/>
      <c r="J380" s="302"/>
      <c r="K380" s="299"/>
      <c r="L380" s="51"/>
      <c r="M380" s="92"/>
      <c r="N380" s="51"/>
      <c r="O380" s="51"/>
      <c r="P380" s="82"/>
      <c r="Q380" s="699"/>
      <c r="R380" s="93"/>
      <c r="S380" s="93"/>
      <c r="T380" s="52"/>
      <c r="U380" s="302"/>
      <c r="V380" s="193"/>
      <c r="W380" s="193"/>
      <c r="X380" s="193"/>
      <c r="Y380" s="193"/>
      <c r="Z380" s="299"/>
      <c r="AA380" s="93"/>
      <c r="AB380" s="51"/>
      <c r="AC380" s="93"/>
      <c r="AD380" s="93"/>
      <c r="AE380" s="93"/>
      <c r="AF380" s="79"/>
      <c r="AG380" s="51"/>
      <c r="AH380" s="51"/>
      <c r="AI380" s="51"/>
      <c r="AJ380" s="51"/>
      <c r="AK380" s="51"/>
      <c r="AL380" s="92"/>
      <c r="AM380" s="302"/>
      <c r="AN380" s="299"/>
      <c r="AO380" s="51"/>
      <c r="AP380" s="51"/>
      <c r="AQ380" s="51"/>
      <c r="AR380" s="92"/>
      <c r="AS380" s="51"/>
      <c r="AT380" s="51"/>
      <c r="AU380" s="51"/>
      <c r="AV380" s="82"/>
      <c r="AW380" s="699"/>
      <c r="AX380" s="93"/>
      <c r="AY380" s="93"/>
      <c r="AZ380" s="93"/>
      <c r="BA380" s="93"/>
      <c r="BB380" s="302"/>
      <c r="BC380" s="295"/>
      <c r="BD380" s="193"/>
      <c r="BE380" s="51"/>
      <c r="BF380" s="193"/>
      <c r="BG380" s="295"/>
      <c r="BH380" s="92"/>
      <c r="BI380" s="92"/>
      <c r="BJ380" s="92"/>
      <c r="BK380" s="92"/>
      <c r="BL380" s="82"/>
      <c r="BM380" s="51"/>
      <c r="BN380" s="51"/>
      <c r="BO380" s="51"/>
      <c r="BP380" s="51"/>
      <c r="BQ380" s="52"/>
      <c r="BR380" s="299"/>
      <c r="BS380" s="295"/>
      <c r="BT380" s="51"/>
      <c r="BU380" s="51"/>
      <c r="BV380" s="51"/>
      <c r="BW380" s="295"/>
      <c r="BX380" s="299"/>
      <c r="BY380" s="51"/>
      <c r="BZ380" s="92"/>
      <c r="CA380" s="51"/>
      <c r="CB380" s="82"/>
      <c r="CC380" s="699"/>
      <c r="CD380" s="93"/>
      <c r="CE380" s="92"/>
      <c r="CF380" s="92"/>
      <c r="CG380" s="92"/>
      <c r="CH380" s="295"/>
      <c r="CI380" s="193"/>
      <c r="CJ380" s="51"/>
      <c r="CK380" s="193"/>
      <c r="CL380" s="295"/>
      <c r="CM380" s="302"/>
      <c r="CN380" s="93"/>
      <c r="CO380" s="93"/>
      <c r="CP380" s="93"/>
      <c r="CQ380" s="93"/>
      <c r="CR380" s="79"/>
      <c r="CS380" s="699"/>
      <c r="CT380" s="93"/>
      <c r="CU380" s="93"/>
      <c r="CV380" s="93"/>
      <c r="CW380" s="51"/>
      <c r="CX380" s="51"/>
      <c r="CY380" s="51"/>
      <c r="CZ380" s="299"/>
      <c r="DA380" s="302"/>
      <c r="DB380" s="92"/>
      <c r="DC380" s="51"/>
      <c r="DD380" s="51"/>
      <c r="DE380" s="51"/>
      <c r="DF380" s="51"/>
      <c r="DG380" s="93"/>
      <c r="DH380" s="79"/>
      <c r="DI380" s="699"/>
      <c r="DJ380" s="93"/>
      <c r="DK380" s="93"/>
      <c r="DL380" s="93"/>
      <c r="DM380" s="93"/>
      <c r="DN380" s="299"/>
      <c r="DO380" s="193"/>
      <c r="DP380" s="54"/>
      <c r="DQ380" s="93"/>
      <c r="DR380" s="193"/>
      <c r="DS380" s="302"/>
      <c r="DT380" s="93"/>
      <c r="DU380" s="93"/>
      <c r="DV380" s="93"/>
      <c r="DW380" s="93"/>
      <c r="DX380" s="79"/>
    </row>
    <row r="381" spans="1:128">
      <c r="A381" s="51"/>
      <c r="B381" s="51"/>
      <c r="C381" s="51"/>
      <c r="D381" s="52"/>
      <c r="E381" s="302"/>
      <c r="F381" s="295"/>
      <c r="G381" s="51"/>
      <c r="H381" s="51"/>
      <c r="I381" s="51"/>
      <c r="J381" s="299"/>
      <c r="K381" s="302"/>
      <c r="L381" s="51"/>
      <c r="M381" s="51"/>
      <c r="N381" s="51"/>
      <c r="O381" s="51"/>
      <c r="P381" s="82"/>
      <c r="Q381" s="699"/>
      <c r="R381" s="93"/>
      <c r="S381" s="93"/>
      <c r="T381" s="93"/>
      <c r="U381" s="299"/>
      <c r="V381" s="193"/>
      <c r="W381" s="93"/>
      <c r="X381" s="93"/>
      <c r="Y381" s="193"/>
      <c r="Z381" s="295"/>
      <c r="AA381" s="295"/>
      <c r="AB381" s="52"/>
      <c r="AC381" s="93"/>
      <c r="AD381" s="93"/>
      <c r="AE381" s="93"/>
      <c r="AF381" s="79"/>
      <c r="AG381" s="51"/>
      <c r="AH381" s="51"/>
      <c r="AI381" s="51"/>
      <c r="AJ381" s="51"/>
      <c r="AK381" s="51"/>
      <c r="AL381" s="92"/>
      <c r="AM381" s="299"/>
      <c r="AN381" s="295"/>
      <c r="AO381" s="193"/>
      <c r="AP381" s="51"/>
      <c r="AQ381" s="51"/>
      <c r="AR381" s="92"/>
      <c r="AS381" s="51"/>
      <c r="AT381" s="51"/>
      <c r="AU381" s="51"/>
      <c r="AV381" s="82"/>
      <c r="AW381" s="699"/>
      <c r="AX381" s="93"/>
      <c r="AY381" s="93"/>
      <c r="AZ381" s="51"/>
      <c r="BA381" s="52"/>
      <c r="BB381" s="299"/>
      <c r="BC381" s="193"/>
      <c r="BD381" s="51"/>
      <c r="BE381" s="51"/>
      <c r="BF381" s="299"/>
      <c r="BG381" s="193"/>
      <c r="BH381" s="295"/>
      <c r="BI381" s="92"/>
      <c r="BJ381" s="51"/>
      <c r="BK381" s="51"/>
      <c r="BL381" s="82"/>
      <c r="BM381" s="51"/>
      <c r="BN381" s="51"/>
      <c r="BO381" s="51"/>
      <c r="BP381" s="51"/>
      <c r="BQ381" s="52"/>
      <c r="BR381" s="295"/>
      <c r="BS381" s="193"/>
      <c r="BT381" s="51"/>
      <c r="BU381" s="51"/>
      <c r="BV381" s="51"/>
      <c r="BW381" s="295"/>
      <c r="BX381" s="193"/>
      <c r="BY381" s="51"/>
      <c r="BZ381" s="51"/>
      <c r="CA381" s="51"/>
      <c r="CB381" s="82"/>
      <c r="CC381" s="699"/>
      <c r="CD381" s="93"/>
      <c r="CE381" s="51"/>
      <c r="CF381" s="92"/>
      <c r="CG381" s="295"/>
      <c r="CH381" s="193"/>
      <c r="CI381" s="299"/>
      <c r="CJ381" s="51"/>
      <c r="CK381" s="51"/>
      <c r="CL381" s="193"/>
      <c r="CM381" s="299"/>
      <c r="CN381" s="52"/>
      <c r="CO381" s="93"/>
      <c r="CP381" s="93"/>
      <c r="CQ381" s="93"/>
      <c r="CR381" s="79"/>
      <c r="CS381" s="699"/>
      <c r="CT381" s="93"/>
      <c r="CU381" s="93"/>
      <c r="CV381" s="93"/>
      <c r="CW381" s="51"/>
      <c r="CX381" s="51"/>
      <c r="CY381" s="193"/>
      <c r="CZ381" s="295"/>
      <c r="DA381" s="299"/>
      <c r="DB381" s="92"/>
      <c r="DC381" s="51"/>
      <c r="DD381" s="51"/>
      <c r="DE381" s="51"/>
      <c r="DF381" s="51"/>
      <c r="DG381" s="93"/>
      <c r="DH381" s="79"/>
      <c r="DI381" s="699"/>
      <c r="DJ381" s="93"/>
      <c r="DK381" s="93"/>
      <c r="DL381" s="93"/>
      <c r="DM381" s="295"/>
      <c r="DN381" s="295"/>
      <c r="DO381" s="193"/>
      <c r="DP381" s="93"/>
      <c r="DQ381" s="93"/>
      <c r="DR381" s="193"/>
      <c r="DS381" s="299"/>
      <c r="DT381" s="93"/>
      <c r="DU381" s="93"/>
      <c r="DV381" s="93"/>
      <c r="DW381" s="93"/>
      <c r="DX381" s="79"/>
    </row>
    <row r="382" spans="1:128">
      <c r="A382" s="114"/>
      <c r="B382" s="51"/>
      <c r="C382" s="51"/>
      <c r="D382" s="51"/>
      <c r="E382" s="299"/>
      <c r="F382" s="295"/>
      <c r="G382" s="52"/>
      <c r="H382" s="52"/>
      <c r="I382" s="52"/>
      <c r="J382" s="299"/>
      <c r="K382" s="295"/>
      <c r="L382" s="51"/>
      <c r="M382" s="51"/>
      <c r="N382" s="51"/>
      <c r="O382" s="51"/>
      <c r="P382" s="82"/>
      <c r="Q382" s="699"/>
      <c r="R382" s="93"/>
      <c r="S382" s="93"/>
      <c r="T382" s="93"/>
      <c r="U382" s="193"/>
      <c r="V382" s="295"/>
      <c r="W382" s="93"/>
      <c r="X382" s="93"/>
      <c r="Y382" s="93"/>
      <c r="Z382" s="295"/>
      <c r="AA382" s="295"/>
      <c r="AB382" s="52"/>
      <c r="AC382" s="93"/>
      <c r="AD382" s="93"/>
      <c r="AE382" s="93"/>
      <c r="AF382" s="79"/>
      <c r="AG382" s="51"/>
      <c r="AH382" s="51"/>
      <c r="AI382" s="51"/>
      <c r="AJ382" s="51"/>
      <c r="AK382" s="51"/>
      <c r="AL382" s="92"/>
      <c r="AM382" s="92"/>
      <c r="AN382" s="295"/>
      <c r="AO382" s="193"/>
      <c r="AP382" s="51"/>
      <c r="AQ382" s="51"/>
      <c r="AR382" s="92"/>
      <c r="AS382" s="51"/>
      <c r="AT382" s="51"/>
      <c r="AU382" s="51"/>
      <c r="AV382" s="82"/>
      <c r="AW382" s="699"/>
      <c r="AX382" s="93"/>
      <c r="AY382" s="93"/>
      <c r="AZ382" s="51"/>
      <c r="BA382" s="51"/>
      <c r="BB382" s="295"/>
      <c r="BC382" s="295"/>
      <c r="BD382" s="51"/>
      <c r="BE382" s="51"/>
      <c r="BF382" s="51"/>
      <c r="BG382" s="193"/>
      <c r="BH382" s="295"/>
      <c r="BI382" s="193"/>
      <c r="BJ382" s="51"/>
      <c r="BK382" s="51"/>
      <c r="BL382" s="82"/>
      <c r="BM382" s="51"/>
      <c r="BN382" s="51"/>
      <c r="BO382" s="51"/>
      <c r="BP382" s="51"/>
      <c r="BQ382" s="51"/>
      <c r="BR382" s="295"/>
      <c r="BS382" s="193"/>
      <c r="BT382" s="52"/>
      <c r="BU382" s="52"/>
      <c r="BV382" s="52"/>
      <c r="BW382" s="193"/>
      <c r="BX382" s="193"/>
      <c r="BY382" s="51"/>
      <c r="BZ382" s="51"/>
      <c r="CA382" s="51"/>
      <c r="CB382" s="82"/>
      <c r="CC382" s="699"/>
      <c r="CD382" s="93"/>
      <c r="CE382" s="51"/>
      <c r="CF382" s="193"/>
      <c r="CG382" s="295"/>
      <c r="CH382" s="193"/>
      <c r="CI382" s="51"/>
      <c r="CJ382" s="51"/>
      <c r="CK382" s="51"/>
      <c r="CL382" s="295"/>
      <c r="CM382" s="295"/>
      <c r="CN382" s="51"/>
      <c r="CO382" s="93"/>
      <c r="CP382" s="93"/>
      <c r="CQ382" s="93"/>
      <c r="CR382" s="79"/>
      <c r="CS382" s="699"/>
      <c r="CT382" s="93"/>
      <c r="CU382" s="93"/>
      <c r="CV382" s="93"/>
      <c r="CW382" s="51"/>
      <c r="CX382" s="51"/>
      <c r="CY382" s="193"/>
      <c r="CZ382" s="295"/>
      <c r="DA382" s="92"/>
      <c r="DB382" s="92"/>
      <c r="DC382" s="51"/>
      <c r="DD382" s="51"/>
      <c r="DE382" s="51"/>
      <c r="DF382" s="51"/>
      <c r="DG382" s="93"/>
      <c r="DH382" s="79"/>
      <c r="DI382" s="699"/>
      <c r="DJ382" s="93"/>
      <c r="DK382" s="93"/>
      <c r="DL382" s="93"/>
      <c r="DM382" s="295"/>
      <c r="DN382" s="295"/>
      <c r="DO382" s="93"/>
      <c r="DP382" s="93"/>
      <c r="DQ382" s="93"/>
      <c r="DR382" s="295"/>
      <c r="DS382" s="193"/>
      <c r="DT382" s="93"/>
      <c r="DU382" s="93"/>
      <c r="DV382" s="93"/>
      <c r="DW382" s="93"/>
      <c r="DX382" s="79"/>
    </row>
    <row r="383" spans="1:128">
      <c r="A383" s="114"/>
      <c r="B383" s="51"/>
      <c r="C383" s="51"/>
      <c r="D383" s="64"/>
      <c r="E383" s="295"/>
      <c r="F383" s="295"/>
      <c r="G383" s="51"/>
      <c r="H383" s="51"/>
      <c r="I383" s="51"/>
      <c r="J383" s="295"/>
      <c r="K383" s="295"/>
      <c r="L383" s="64"/>
      <c r="M383" s="51"/>
      <c r="N383" s="51"/>
      <c r="O383" s="51"/>
      <c r="P383" s="82"/>
      <c r="Q383" s="699"/>
      <c r="R383" s="93"/>
      <c r="S383" s="93"/>
      <c r="T383" s="54"/>
      <c r="U383" s="193"/>
      <c r="V383" s="160"/>
      <c r="W383" s="93"/>
      <c r="X383" s="93"/>
      <c r="Y383" s="64"/>
      <c r="Z383" s="193"/>
      <c r="AA383" s="295"/>
      <c r="AB383" s="51"/>
      <c r="AC383" s="93"/>
      <c r="AD383" s="93"/>
      <c r="AE383" s="93"/>
      <c r="AF383" s="79"/>
      <c r="AG383" s="51"/>
      <c r="AH383" s="51"/>
      <c r="AI383" s="51"/>
      <c r="AJ383" s="51"/>
      <c r="AK383" s="51"/>
      <c r="AL383" s="51"/>
      <c r="AM383" s="64"/>
      <c r="AN383" s="291"/>
      <c r="AO383" s="291"/>
      <c r="AP383" s="193"/>
      <c r="AQ383" s="51"/>
      <c r="AR383" s="92"/>
      <c r="AS383" s="51"/>
      <c r="AT383" s="51"/>
      <c r="AU383" s="51"/>
      <c r="AV383" s="82"/>
      <c r="AW383" s="699"/>
      <c r="AX383" s="93"/>
      <c r="AY383" s="93"/>
      <c r="AZ383" s="51"/>
      <c r="BA383" s="36"/>
      <c r="BB383" s="295"/>
      <c r="BC383" s="193"/>
      <c r="BD383" s="51"/>
      <c r="BE383" s="51"/>
      <c r="BF383" s="51"/>
      <c r="BG383" s="64"/>
      <c r="BH383" s="193"/>
      <c r="BI383" s="291"/>
      <c r="BJ383" s="51"/>
      <c r="BK383" s="51"/>
      <c r="BL383" s="82"/>
      <c r="BM383" s="51"/>
      <c r="BN383" s="51"/>
      <c r="BO383" s="51"/>
      <c r="BP383" s="51"/>
      <c r="BQ383" s="64"/>
      <c r="BR383" s="295"/>
      <c r="BS383" s="193"/>
      <c r="BT383" s="51"/>
      <c r="BU383" s="51"/>
      <c r="BV383" s="51"/>
      <c r="BW383" s="295"/>
      <c r="BX383" s="295"/>
      <c r="BY383" s="291"/>
      <c r="BZ383" s="51"/>
      <c r="CA383" s="51"/>
      <c r="CB383" s="82"/>
      <c r="CC383" s="699"/>
      <c r="CD383" s="93"/>
      <c r="CE383" s="51"/>
      <c r="CF383" s="291"/>
      <c r="CG383" s="193"/>
      <c r="CH383" s="51"/>
      <c r="CI383" s="51"/>
      <c r="CJ383" s="51"/>
      <c r="CK383" s="51"/>
      <c r="CL383" s="193"/>
      <c r="CM383" s="295"/>
      <c r="CN383" s="64"/>
      <c r="CO383" s="93"/>
      <c r="CP383" s="93"/>
      <c r="CQ383" s="93"/>
      <c r="CR383" s="79"/>
      <c r="CS383" s="699"/>
      <c r="CT383" s="93"/>
      <c r="CU383" s="93"/>
      <c r="CV383" s="93"/>
      <c r="CW383" s="51"/>
      <c r="CX383" s="193"/>
      <c r="CY383" s="291"/>
      <c r="CZ383" s="291"/>
      <c r="DA383" s="64"/>
      <c r="DB383" s="51"/>
      <c r="DC383" s="51"/>
      <c r="DD383" s="51"/>
      <c r="DE383" s="51"/>
      <c r="DF383" s="51"/>
      <c r="DG383" s="93"/>
      <c r="DH383" s="79"/>
      <c r="DI383" s="699"/>
      <c r="DJ383" s="93"/>
      <c r="DK383" s="93"/>
      <c r="DL383" s="295"/>
      <c r="DM383" s="193"/>
      <c r="DN383" s="64"/>
      <c r="DO383" s="93"/>
      <c r="DP383" s="93"/>
      <c r="DQ383" s="160"/>
      <c r="DR383" s="160"/>
      <c r="DS383" s="193"/>
      <c r="DT383" s="64"/>
      <c r="DU383" s="93"/>
      <c r="DV383" s="93"/>
      <c r="DW383" s="93"/>
      <c r="DX383" s="79"/>
    </row>
    <row r="384" spans="1:128">
      <c r="A384" s="115"/>
      <c r="B384" s="103"/>
      <c r="C384" s="106"/>
      <c r="D384" s="81"/>
      <c r="E384" s="336"/>
      <c r="F384" s="336"/>
      <c r="G384" s="103"/>
      <c r="H384" s="103"/>
      <c r="I384" s="103"/>
      <c r="J384" s="336"/>
      <c r="K384" s="336"/>
      <c r="L384" s="81"/>
      <c r="M384" s="103"/>
      <c r="N384" s="103"/>
      <c r="O384" s="103"/>
      <c r="P384" s="116"/>
      <c r="Q384" s="700"/>
      <c r="R384" s="73"/>
      <c r="S384" s="73"/>
      <c r="T384" s="160"/>
      <c r="U384" s="160"/>
      <c r="V384" s="160"/>
      <c r="W384" s="93"/>
      <c r="X384" s="93"/>
      <c r="Y384" s="291"/>
      <c r="Z384" s="160"/>
      <c r="AA384" s="160"/>
      <c r="AB384" s="106"/>
      <c r="AC384" s="73"/>
      <c r="AD384" s="73"/>
      <c r="AE384" s="73"/>
      <c r="AF384" s="701"/>
      <c r="AG384" s="106"/>
      <c r="AH384" s="106"/>
      <c r="AI384" s="106"/>
      <c r="AJ384" s="106"/>
      <c r="AK384" s="106"/>
      <c r="AL384" s="160"/>
      <c r="AM384" s="160"/>
      <c r="AN384" s="160"/>
      <c r="AO384" s="160"/>
      <c r="AP384" s="160"/>
      <c r="AQ384" s="106"/>
      <c r="AR384" s="103"/>
      <c r="AS384" s="106"/>
      <c r="AT384" s="106"/>
      <c r="AU384" s="106"/>
      <c r="AV384" s="394"/>
      <c r="AW384" s="700"/>
      <c r="AX384" s="73"/>
      <c r="AY384" s="73"/>
      <c r="AZ384" s="106"/>
      <c r="BA384" s="291"/>
      <c r="BB384" s="160"/>
      <c r="BC384" s="160"/>
      <c r="BD384" s="51"/>
      <c r="BE384" s="51"/>
      <c r="BF384" s="51"/>
      <c r="BG384" s="291"/>
      <c r="BH384" s="160"/>
      <c r="BI384" s="160"/>
      <c r="BJ384" s="103"/>
      <c r="BK384" s="103"/>
      <c r="BL384" s="116"/>
      <c r="BM384" s="106"/>
      <c r="BN384" s="106"/>
      <c r="BO384" s="106"/>
      <c r="BP384" s="106"/>
      <c r="BQ384" s="291"/>
      <c r="BR384" s="160"/>
      <c r="BS384" s="160"/>
      <c r="BT384" s="103"/>
      <c r="BU384" s="103"/>
      <c r="BV384" s="103"/>
      <c r="BW384" s="291"/>
      <c r="BX384" s="160"/>
      <c r="BY384" s="160"/>
      <c r="BZ384" s="103"/>
      <c r="CA384" s="103"/>
      <c r="CB384" s="116"/>
      <c r="CC384" s="700"/>
      <c r="CD384" s="73"/>
      <c r="CE384" s="103"/>
      <c r="CF384" s="336"/>
      <c r="CG384" s="336"/>
      <c r="CH384" s="81"/>
      <c r="CI384" s="106"/>
      <c r="CJ384" s="106"/>
      <c r="CK384" s="106"/>
      <c r="CL384" s="336"/>
      <c r="CM384" s="336"/>
      <c r="CN384" s="81"/>
      <c r="CO384" s="73"/>
      <c r="CP384" s="73"/>
      <c r="CQ384" s="73"/>
      <c r="CR384" s="701"/>
      <c r="CS384" s="700"/>
      <c r="CT384" s="73"/>
      <c r="CU384" s="73"/>
      <c r="CV384" s="73"/>
      <c r="CW384" s="106"/>
      <c r="CX384" s="160"/>
      <c r="CY384" s="160"/>
      <c r="CZ384" s="160"/>
      <c r="DA384" s="160"/>
      <c r="DB384" s="160"/>
      <c r="DC384" s="106"/>
      <c r="DD384" s="106"/>
      <c r="DE384" s="106"/>
      <c r="DF384" s="106"/>
      <c r="DG384" s="73"/>
      <c r="DH384" s="701"/>
      <c r="DI384" s="700"/>
      <c r="DJ384" s="73"/>
      <c r="DK384" s="73"/>
      <c r="DL384" s="336"/>
      <c r="DM384" s="336"/>
      <c r="DN384" s="81"/>
      <c r="DO384" s="73"/>
      <c r="DP384" s="73"/>
      <c r="DQ384" s="336"/>
      <c r="DR384" s="336"/>
      <c r="DS384" s="336"/>
      <c r="DT384" s="336"/>
      <c r="DU384" s="73"/>
      <c r="DV384" s="73"/>
      <c r="DW384" s="73"/>
      <c r="DX384" s="701"/>
    </row>
    <row r="385" spans="1:130">
      <c r="A385" s="114">
        <v>4</v>
      </c>
      <c r="B385" s="51"/>
      <c r="C385" s="51"/>
      <c r="D385" s="51"/>
      <c r="E385" s="51"/>
      <c r="F385" s="92"/>
      <c r="G385" s="92"/>
      <c r="H385" s="51"/>
      <c r="I385" s="51"/>
      <c r="J385" s="51"/>
      <c r="K385" s="51"/>
      <c r="L385" s="92"/>
      <c r="M385" s="51"/>
      <c r="N385" s="51"/>
      <c r="O385" s="51"/>
      <c r="P385" s="82"/>
      <c r="Q385" s="753"/>
      <c r="R385" s="711"/>
      <c r="S385" s="711"/>
      <c r="T385" s="711"/>
      <c r="U385" s="711"/>
      <c r="V385" s="711"/>
      <c r="W385" s="711"/>
      <c r="X385" s="711"/>
      <c r="Y385" s="711"/>
      <c r="Z385" s="711"/>
      <c r="AA385" s="711"/>
      <c r="AB385" s="711"/>
      <c r="AC385" s="711"/>
      <c r="AD385" s="711"/>
      <c r="AE385" s="711"/>
      <c r="AF385" s="530"/>
      <c r="AG385" s="51"/>
      <c r="AH385" s="51"/>
      <c r="AI385" s="51"/>
      <c r="AJ385" s="51"/>
      <c r="AK385" s="51"/>
      <c r="AL385" s="92"/>
      <c r="AM385" s="92"/>
      <c r="AN385" s="51"/>
      <c r="AO385" s="51"/>
      <c r="AP385" s="711"/>
      <c r="AQ385" s="711"/>
      <c r="AR385" s="711"/>
      <c r="AS385" s="711"/>
      <c r="AT385" s="711"/>
      <c r="AU385" s="711"/>
      <c r="AV385" s="530"/>
      <c r="AW385" s="753"/>
      <c r="AX385" s="711"/>
      <c r="AY385" s="711"/>
      <c r="AZ385" s="711"/>
      <c r="BA385" s="711"/>
      <c r="BB385" s="711"/>
      <c r="BC385" s="711"/>
      <c r="BD385" s="711"/>
      <c r="BE385" s="711"/>
      <c r="BF385" s="711"/>
      <c r="BG385" s="711"/>
      <c r="BH385" s="711"/>
      <c r="BI385" s="711"/>
      <c r="BJ385" s="711"/>
      <c r="BK385" s="711"/>
      <c r="BL385" s="530"/>
      <c r="BM385" s="51"/>
      <c r="BN385" s="51"/>
      <c r="BO385" s="51"/>
      <c r="BP385" s="51"/>
      <c r="BQ385" s="51"/>
      <c r="BR385" s="92"/>
      <c r="BS385" s="92"/>
      <c r="BT385" s="51"/>
      <c r="BU385" s="51"/>
      <c r="BV385" s="51"/>
      <c r="BW385" s="51"/>
      <c r="BX385" s="92"/>
      <c r="BY385" s="51"/>
      <c r="BZ385" s="51"/>
      <c r="CA385" s="51"/>
      <c r="CB385" s="51"/>
      <c r="CC385" s="753"/>
      <c r="CD385" s="711"/>
      <c r="CE385" s="711"/>
      <c r="CF385" s="711"/>
      <c r="CG385" s="711"/>
      <c r="CH385" s="711"/>
      <c r="CI385" s="711"/>
      <c r="CJ385" s="711"/>
      <c r="CK385" s="711"/>
      <c r="CL385" s="711"/>
      <c r="CM385" s="711"/>
      <c r="CN385" s="711"/>
      <c r="CO385" s="711"/>
      <c r="CP385" s="711"/>
      <c r="CQ385" s="711"/>
      <c r="CR385" s="530"/>
      <c r="CS385" s="753"/>
      <c r="CT385" s="711"/>
      <c r="CU385" s="711"/>
      <c r="CV385" s="711"/>
      <c r="CW385" s="711"/>
      <c r="CX385" s="711"/>
      <c r="CY385" s="711"/>
      <c r="CZ385" s="711"/>
      <c r="DA385" s="711"/>
      <c r="DB385" s="711"/>
      <c r="DC385" s="711"/>
      <c r="DD385" s="711"/>
      <c r="DE385" s="711"/>
      <c r="DF385" s="711"/>
      <c r="DG385" s="711"/>
      <c r="DH385" s="530"/>
      <c r="DI385" s="753"/>
      <c r="DJ385" s="711"/>
      <c r="DK385" s="711"/>
      <c r="DL385" s="711"/>
      <c r="DM385" s="711"/>
      <c r="DN385" s="711"/>
      <c r="DO385" s="711"/>
      <c r="DP385" s="711"/>
      <c r="DQ385" s="711"/>
      <c r="DR385" s="711"/>
      <c r="DS385" s="711"/>
      <c r="DT385" s="711"/>
      <c r="DU385" s="711"/>
      <c r="DV385" s="711"/>
      <c r="DW385" s="711"/>
      <c r="DX385" s="530"/>
      <c r="DZ385" s="795"/>
    </row>
    <row r="386" spans="1:130">
      <c r="A386" s="92">
        <v>5</v>
      </c>
      <c r="B386" s="52"/>
      <c r="C386" s="92"/>
      <c r="D386" s="92"/>
      <c r="E386" s="92"/>
      <c r="F386" s="92"/>
      <c r="G386" s="92"/>
      <c r="H386" s="92"/>
      <c r="I386" s="92"/>
      <c r="J386" s="92"/>
      <c r="K386" s="92"/>
      <c r="L386" s="92"/>
      <c r="M386" s="92"/>
      <c r="N386" s="92"/>
      <c r="O386" s="92"/>
      <c r="P386" s="113"/>
      <c r="Q386" s="699"/>
      <c r="R386" s="93"/>
      <c r="S386" s="93"/>
      <c r="T386" s="93"/>
      <c r="U386" s="93"/>
      <c r="V386" s="93"/>
      <c r="W386" s="93"/>
      <c r="X386" s="93"/>
      <c r="Y386" s="93"/>
      <c r="Z386" s="93"/>
      <c r="AA386" s="93"/>
      <c r="AB386" s="93"/>
      <c r="AC386" s="93"/>
      <c r="AD386" s="93"/>
      <c r="AE386" s="93"/>
      <c r="AF386" s="79"/>
      <c r="AG386" s="51"/>
      <c r="AH386" s="51"/>
      <c r="AI386" s="51"/>
      <c r="AJ386" s="51"/>
      <c r="AK386" s="51"/>
      <c r="AL386" s="92"/>
      <c r="AM386" s="92"/>
      <c r="AN386" s="51"/>
      <c r="AO386" s="51"/>
      <c r="AP386" s="93"/>
      <c r="AQ386" s="93"/>
      <c r="AR386" s="93"/>
      <c r="AS386" s="93"/>
      <c r="AT386" s="93"/>
      <c r="AU386" s="93"/>
      <c r="AV386" s="79"/>
      <c r="AW386" s="699"/>
      <c r="AX386" s="93"/>
      <c r="AY386" s="93"/>
      <c r="AZ386" s="93"/>
      <c r="BA386" s="93"/>
      <c r="BB386" s="93"/>
      <c r="BC386" s="93"/>
      <c r="BD386" s="93"/>
      <c r="BE386" s="93"/>
      <c r="BF386" s="93"/>
      <c r="BG386" s="93"/>
      <c r="BH386" s="93"/>
      <c r="BI386" s="93"/>
      <c r="BJ386" s="93"/>
      <c r="BK386" s="93"/>
      <c r="BL386" s="79"/>
      <c r="BM386" s="92"/>
      <c r="BN386" s="92"/>
      <c r="BO386" s="92"/>
      <c r="BP386" s="92"/>
      <c r="BQ386" s="92"/>
      <c r="BR386" s="92"/>
      <c r="BS386" s="92"/>
      <c r="BT386" s="92"/>
      <c r="BU386" s="92"/>
      <c r="BV386" s="92"/>
      <c r="BW386" s="92"/>
      <c r="BX386" s="92"/>
      <c r="BY386" s="92"/>
      <c r="BZ386" s="92"/>
      <c r="CA386" s="92"/>
      <c r="CB386" s="92"/>
      <c r="CC386" s="699"/>
      <c r="CD386" s="93"/>
      <c r="CE386" s="93"/>
      <c r="CF386" s="93"/>
      <c r="CG386" s="93"/>
      <c r="CH386" s="93"/>
      <c r="CI386" s="93"/>
      <c r="CJ386" s="93"/>
      <c r="CK386" s="93"/>
      <c r="CL386" s="93"/>
      <c r="CM386" s="93"/>
      <c r="CN386" s="93"/>
      <c r="CO386" s="93"/>
      <c r="CP386" s="93"/>
      <c r="CQ386" s="93"/>
      <c r="CR386" s="79"/>
      <c r="CS386" s="699"/>
      <c r="CT386" s="93"/>
      <c r="CU386" s="93"/>
      <c r="CV386" s="93"/>
      <c r="CW386" s="93"/>
      <c r="CX386" s="93"/>
      <c r="CY386" s="93"/>
      <c r="CZ386" s="93"/>
      <c r="DA386" s="93"/>
      <c r="DB386" s="93"/>
      <c r="DC386" s="93"/>
      <c r="DD386" s="93"/>
      <c r="DE386" s="93"/>
      <c r="DF386" s="93"/>
      <c r="DG386" s="93"/>
      <c r="DH386" s="79"/>
      <c r="DI386" s="699"/>
      <c r="DJ386" s="93"/>
      <c r="DK386" s="93"/>
      <c r="DL386" s="93"/>
      <c r="DM386" s="93"/>
      <c r="DN386" s="93"/>
      <c r="DO386" s="93"/>
      <c r="DP386" s="93"/>
      <c r="DQ386" s="93"/>
      <c r="DR386" s="93"/>
      <c r="DS386" s="93"/>
      <c r="DT386" s="93"/>
      <c r="DU386" s="93"/>
      <c r="DV386" s="93"/>
      <c r="DW386" s="93"/>
      <c r="DX386" s="79"/>
      <c r="DZ386" s="52"/>
    </row>
    <row r="387" spans="1:130">
      <c r="A387" s="92">
        <v>7</v>
      </c>
      <c r="B387" s="52"/>
      <c r="C387" s="92"/>
      <c r="D387" s="92"/>
      <c r="E387" s="51"/>
      <c r="F387" s="92"/>
      <c r="G387" s="92"/>
      <c r="H387" s="92"/>
      <c r="I387" s="92"/>
      <c r="J387" s="92"/>
      <c r="K387" s="92"/>
      <c r="L387" s="92"/>
      <c r="M387" s="92"/>
      <c r="N387" s="92"/>
      <c r="O387" s="92"/>
      <c r="P387" s="113"/>
      <c r="Q387" s="699"/>
      <c r="R387" s="93"/>
      <c r="S387" s="93"/>
      <c r="T387" s="93"/>
      <c r="U387" s="93"/>
      <c r="V387" s="93"/>
      <c r="W387" s="93"/>
      <c r="X387" s="93"/>
      <c r="Y387" s="93"/>
      <c r="Z387" s="93"/>
      <c r="AA387" s="93"/>
      <c r="AB387" s="93"/>
      <c r="AC387" s="93"/>
      <c r="AD387" s="93"/>
      <c r="AE387" s="93"/>
      <c r="AF387" s="79"/>
      <c r="AG387" s="51"/>
      <c r="AH387" s="51"/>
      <c r="AI387" s="51"/>
      <c r="AJ387" s="51"/>
      <c r="AK387" s="51"/>
      <c r="AL387" s="92"/>
      <c r="AM387" s="92"/>
      <c r="AN387" s="51"/>
      <c r="AO387" s="51"/>
      <c r="AP387" s="93"/>
      <c r="AQ387" s="93"/>
      <c r="AR387" s="93"/>
      <c r="AS387" s="93"/>
      <c r="AT387" s="93"/>
      <c r="AU387" s="93"/>
      <c r="AV387" s="79"/>
      <c r="AW387" s="699"/>
      <c r="AX387" s="93"/>
      <c r="AY387" s="93"/>
      <c r="AZ387" s="93"/>
      <c r="BA387" s="93"/>
      <c r="BB387" s="93"/>
      <c r="BC387" s="93"/>
      <c r="BD387" s="93"/>
      <c r="BE387" s="93"/>
      <c r="BF387" s="93"/>
      <c r="BG387" s="93"/>
      <c r="BH387" s="93"/>
      <c r="BI387" s="93"/>
      <c r="BJ387" s="93"/>
      <c r="BK387" s="93"/>
      <c r="BL387" s="79"/>
      <c r="BM387" s="51"/>
      <c r="BN387" s="92"/>
      <c r="BO387" s="92"/>
      <c r="BP387" s="92"/>
      <c r="BQ387" s="51"/>
      <c r="BR387" s="92"/>
      <c r="BS387" s="92"/>
      <c r="BT387" s="92"/>
      <c r="BU387" s="92"/>
      <c r="BV387" s="92"/>
      <c r="BW387" s="92"/>
      <c r="BX387" s="92"/>
      <c r="BY387" s="92"/>
      <c r="BZ387" s="92"/>
      <c r="CA387" s="92"/>
      <c r="CB387" s="92"/>
      <c r="CC387" s="699"/>
      <c r="CD387" s="93"/>
      <c r="CE387" s="93"/>
      <c r="CF387" s="93"/>
      <c r="CG387" s="93"/>
      <c r="CH387" s="93"/>
      <c r="CI387" s="93"/>
      <c r="CJ387" s="93"/>
      <c r="CK387" s="93"/>
      <c r="CL387" s="93"/>
      <c r="CM387" s="93"/>
      <c r="CN387" s="93"/>
      <c r="CO387" s="93"/>
      <c r="CP387" s="93"/>
      <c r="CQ387" s="93"/>
      <c r="CR387" s="79"/>
      <c r="CS387" s="699"/>
      <c r="CT387" s="93"/>
      <c r="CU387" s="93"/>
      <c r="CV387" s="93"/>
      <c r="CW387" s="93"/>
      <c r="CX387" s="93"/>
      <c r="CY387" s="93"/>
      <c r="CZ387" s="93"/>
      <c r="DA387" s="93"/>
      <c r="DB387" s="93"/>
      <c r="DC387" s="93"/>
      <c r="DD387" s="93"/>
      <c r="DE387" s="93"/>
      <c r="DF387" s="93"/>
      <c r="DG387" s="93"/>
      <c r="DH387" s="79"/>
      <c r="DI387" s="699"/>
      <c r="DJ387" s="93"/>
      <c r="DK387" s="93"/>
      <c r="DL387" s="93"/>
      <c r="DM387" s="93"/>
      <c r="DN387" s="93"/>
      <c r="DO387" s="93"/>
      <c r="DP387" s="93"/>
      <c r="DQ387" s="93"/>
      <c r="DR387" s="93"/>
      <c r="DS387" s="93"/>
      <c r="DT387" s="93"/>
      <c r="DU387" s="93"/>
      <c r="DV387" s="93"/>
      <c r="DW387" s="93"/>
      <c r="DX387" s="79"/>
      <c r="DZ387" s="52"/>
    </row>
    <row r="388" spans="1:130">
      <c r="A388" s="51">
        <v>6</v>
      </c>
      <c r="B388" s="1"/>
      <c r="C388" s="92"/>
      <c r="D388" s="92"/>
      <c r="E388" s="51"/>
      <c r="F388" s="92"/>
      <c r="G388" s="92"/>
      <c r="H388" s="92"/>
      <c r="I388" s="92"/>
      <c r="J388" s="92"/>
      <c r="K388" s="92"/>
      <c r="L388" s="92"/>
      <c r="M388" s="92"/>
      <c r="N388" s="92"/>
      <c r="O388" s="92"/>
      <c r="P388" s="113"/>
      <c r="Q388" s="699"/>
      <c r="R388" s="93"/>
      <c r="S388" s="93"/>
      <c r="T388" s="93"/>
      <c r="U388" s="93"/>
      <c r="V388" s="93"/>
      <c r="W388" s="93"/>
      <c r="X388" s="93"/>
      <c r="Y388" s="93"/>
      <c r="Z388" s="93"/>
      <c r="AA388" s="93"/>
      <c r="AB388" s="93"/>
      <c r="AC388" s="93"/>
      <c r="AD388" s="93"/>
      <c r="AE388" s="93"/>
      <c r="AF388" s="79"/>
      <c r="AG388" s="51"/>
      <c r="AH388" s="51"/>
      <c r="AI388" s="51"/>
      <c r="AJ388" s="51"/>
      <c r="AK388" s="51"/>
      <c r="AL388" s="92"/>
      <c r="AM388" s="92"/>
      <c r="AN388" s="51"/>
      <c r="AO388" s="51"/>
      <c r="AP388" s="93"/>
      <c r="AQ388" s="93"/>
      <c r="AR388" s="93"/>
      <c r="AS388" s="93"/>
      <c r="AT388" s="93"/>
      <c r="AU388" s="93"/>
      <c r="AV388" s="79"/>
      <c r="AW388" s="699"/>
      <c r="AX388" s="93"/>
      <c r="AY388" s="93"/>
      <c r="AZ388" s="93"/>
      <c r="BA388" s="93"/>
      <c r="BB388" s="93"/>
      <c r="BC388" s="93"/>
      <c r="BD388" s="93"/>
      <c r="BE388" s="93"/>
      <c r="BF388" s="93"/>
      <c r="BG388" s="93"/>
      <c r="BH388" s="93"/>
      <c r="BI388" s="93"/>
      <c r="BJ388" s="93"/>
      <c r="BK388" s="93"/>
      <c r="BL388" s="79"/>
      <c r="BM388" s="92"/>
      <c r="BN388" s="92"/>
      <c r="BO388" s="92"/>
      <c r="BP388" s="92"/>
      <c r="BQ388" s="51"/>
      <c r="BR388" s="92"/>
      <c r="BS388" s="92"/>
      <c r="BT388" s="92"/>
      <c r="BU388" s="92"/>
      <c r="BV388" s="92"/>
      <c r="BW388" s="92"/>
      <c r="BX388" s="92"/>
      <c r="BY388" s="92"/>
      <c r="BZ388" s="92"/>
      <c r="CA388" s="92"/>
      <c r="CB388" s="92"/>
      <c r="CC388" s="699"/>
      <c r="CD388" s="93"/>
      <c r="CE388" s="93"/>
      <c r="CF388" s="93"/>
      <c r="CG388" s="93"/>
      <c r="CH388" s="93"/>
      <c r="CI388" s="93"/>
      <c r="CJ388" s="93"/>
      <c r="CK388" s="93"/>
      <c r="CL388" s="93"/>
      <c r="CM388" s="93"/>
      <c r="CN388" s="93"/>
      <c r="CO388" s="93"/>
      <c r="CP388" s="93"/>
      <c r="CQ388" s="93"/>
      <c r="CR388" s="79"/>
      <c r="CS388" s="699"/>
      <c r="CT388" s="93"/>
      <c r="CU388" s="93"/>
      <c r="CV388" s="93"/>
      <c r="CW388" s="93"/>
      <c r="CX388" s="93"/>
      <c r="CY388" s="93"/>
      <c r="CZ388" s="93"/>
      <c r="DA388" s="93"/>
      <c r="DB388" s="93"/>
      <c r="DC388" s="93"/>
      <c r="DD388" s="93"/>
      <c r="DE388" s="93"/>
      <c r="DF388" s="93"/>
      <c r="DG388" s="93"/>
      <c r="DH388" s="79"/>
      <c r="DI388" s="699"/>
      <c r="DJ388" s="93"/>
      <c r="DK388" s="93"/>
      <c r="DL388" s="93"/>
      <c r="DM388" s="93"/>
      <c r="DN388" s="93"/>
      <c r="DO388" s="93"/>
      <c r="DP388" s="93"/>
      <c r="DQ388" s="93"/>
      <c r="DR388" s="93"/>
      <c r="DS388" s="93"/>
      <c r="DT388" s="93"/>
      <c r="DU388" s="93"/>
      <c r="DV388" s="93"/>
      <c r="DW388" s="93"/>
      <c r="DX388" s="79"/>
      <c r="DZ388" s="795"/>
    </row>
    <row r="389" spans="1:130">
      <c r="A389" s="112">
        <v>0</v>
      </c>
      <c r="B389" s="1"/>
      <c r="C389" s="92"/>
      <c r="D389" s="92"/>
      <c r="E389" s="51"/>
      <c r="F389" s="92"/>
      <c r="G389" s="92"/>
      <c r="H389" s="92"/>
      <c r="I389" s="92"/>
      <c r="J389" s="92"/>
      <c r="K389" s="92"/>
      <c r="L389" s="92"/>
      <c r="M389" s="92"/>
      <c r="N389" s="92"/>
      <c r="O389" s="92"/>
      <c r="P389" s="113"/>
      <c r="Q389" s="699"/>
      <c r="R389" s="93"/>
      <c r="S389" s="93"/>
      <c r="T389" s="93"/>
      <c r="U389" s="93"/>
      <c r="V389" s="93"/>
      <c r="W389" s="93"/>
      <c r="X389" s="93"/>
      <c r="Y389" s="93"/>
      <c r="Z389" s="93"/>
      <c r="AA389" s="93"/>
      <c r="AB389" s="93"/>
      <c r="AC389" s="93"/>
      <c r="AD389" s="93"/>
      <c r="AE389" s="93"/>
      <c r="AF389" s="79"/>
      <c r="AG389" s="51"/>
      <c r="AH389" s="51"/>
      <c r="AI389" s="51"/>
      <c r="AJ389" s="51"/>
      <c r="AK389" s="51"/>
      <c r="AL389" s="92"/>
      <c r="AM389" s="92"/>
      <c r="AN389" s="51"/>
      <c r="AO389" s="51"/>
      <c r="AP389" s="93"/>
      <c r="AQ389" s="93"/>
      <c r="AR389" s="93"/>
      <c r="AS389" s="93"/>
      <c r="AT389" s="93"/>
      <c r="AU389" s="93"/>
      <c r="AV389" s="79"/>
      <c r="AW389" s="699"/>
      <c r="AX389" s="93"/>
      <c r="AY389" s="93"/>
      <c r="AZ389" s="93"/>
      <c r="BA389" s="93"/>
      <c r="BB389" s="93"/>
      <c r="BC389" s="93"/>
      <c r="BD389" s="93"/>
      <c r="BE389" s="93"/>
      <c r="BF389" s="93"/>
      <c r="BG389" s="93"/>
      <c r="BH389" s="93"/>
      <c r="BI389" s="93"/>
      <c r="BJ389" s="93"/>
      <c r="BK389" s="93"/>
      <c r="BL389" s="79"/>
      <c r="BM389" s="51"/>
      <c r="BN389" s="92"/>
      <c r="BO389" s="92"/>
      <c r="BP389" s="92"/>
      <c r="BQ389" s="92"/>
      <c r="BR389" s="92"/>
      <c r="BS389" s="92"/>
      <c r="BT389" s="92"/>
      <c r="BU389" s="92"/>
      <c r="BV389" s="92"/>
      <c r="BW389" s="51"/>
      <c r="BX389" s="92"/>
      <c r="BY389" s="92"/>
      <c r="BZ389" s="92"/>
      <c r="CA389" s="92"/>
      <c r="CB389" s="92"/>
      <c r="CC389" s="699"/>
      <c r="CD389" s="93"/>
      <c r="CE389" s="93"/>
      <c r="CF389" s="93"/>
      <c r="CG389" s="93"/>
      <c r="CH389" s="93"/>
      <c r="CI389" s="93"/>
      <c r="CJ389" s="93"/>
      <c r="CK389" s="93"/>
      <c r="CL389" s="93"/>
      <c r="CM389" s="93"/>
      <c r="CN389" s="93"/>
      <c r="CO389" s="93"/>
      <c r="CP389" s="93"/>
      <c r="CQ389" s="93"/>
      <c r="CR389" s="79"/>
      <c r="CS389" s="699"/>
      <c r="CT389" s="93"/>
      <c r="CU389" s="93"/>
      <c r="CV389" s="93"/>
      <c r="CW389" s="93"/>
      <c r="CX389" s="93"/>
      <c r="CY389" s="93"/>
      <c r="CZ389" s="93"/>
      <c r="DA389" s="93"/>
      <c r="DB389" s="93"/>
      <c r="DC389" s="93"/>
      <c r="DD389" s="93"/>
      <c r="DE389" s="93"/>
      <c r="DF389" s="93"/>
      <c r="DG389" s="93"/>
      <c r="DH389" s="79"/>
      <c r="DI389" s="699"/>
      <c r="DJ389" s="93"/>
      <c r="DK389" s="93"/>
      <c r="DL389" s="93"/>
      <c r="DM389" s="93"/>
      <c r="DN389" s="93"/>
      <c r="DO389" s="93"/>
      <c r="DP389" s="93"/>
      <c r="DQ389" s="93"/>
      <c r="DR389" s="93"/>
      <c r="DS389" s="93"/>
      <c r="DT389" s="93"/>
      <c r="DU389" s="93"/>
      <c r="DV389" s="93"/>
      <c r="DW389" s="93"/>
      <c r="DX389" s="79"/>
      <c r="DZ389" s="798"/>
    </row>
    <row r="390" spans="1:130">
      <c r="A390" s="112"/>
      <c r="B390" s="52"/>
      <c r="C390" s="51"/>
      <c r="D390" s="51"/>
      <c r="E390" s="51"/>
      <c r="F390" s="51"/>
      <c r="G390" s="51"/>
      <c r="H390" s="51"/>
      <c r="I390" s="51"/>
      <c r="J390" s="51"/>
      <c r="K390" s="51"/>
      <c r="L390" s="51"/>
      <c r="M390" s="51"/>
      <c r="N390" s="51"/>
      <c r="O390" s="51"/>
      <c r="P390" s="82"/>
      <c r="Q390" s="699"/>
      <c r="R390" s="93"/>
      <c r="S390" s="93"/>
      <c r="T390" s="93"/>
      <c r="U390" s="93"/>
      <c r="V390" s="93"/>
      <c r="W390" s="93"/>
      <c r="X390" s="93"/>
      <c r="Y390" s="93"/>
      <c r="Z390" s="93"/>
      <c r="AA390" s="93"/>
      <c r="AB390" s="93"/>
      <c r="AC390" s="93"/>
      <c r="AD390" s="93"/>
      <c r="AE390" s="93"/>
      <c r="AF390" s="79"/>
      <c r="AG390" s="51"/>
      <c r="AH390" s="51"/>
      <c r="AI390" s="51"/>
      <c r="AJ390" s="51"/>
      <c r="AK390" s="51"/>
      <c r="AL390" s="92"/>
      <c r="AM390" s="92"/>
      <c r="AN390" s="51"/>
      <c r="AO390" s="51"/>
      <c r="AP390" s="93"/>
      <c r="AQ390" s="93"/>
      <c r="AR390" s="93"/>
      <c r="AS390" s="93"/>
      <c r="AT390" s="93"/>
      <c r="AU390" s="93"/>
      <c r="AV390" s="79"/>
      <c r="AW390" s="699"/>
      <c r="AX390" s="93"/>
      <c r="AY390" s="93"/>
      <c r="AZ390" s="93"/>
      <c r="BA390" s="93"/>
      <c r="BB390" s="93"/>
      <c r="BC390" s="93"/>
      <c r="BD390" s="93"/>
      <c r="BE390" s="93"/>
      <c r="BF390" s="93"/>
      <c r="BG390" s="93"/>
      <c r="BH390" s="93"/>
      <c r="BI390" s="93"/>
      <c r="BJ390" s="93"/>
      <c r="BK390" s="93"/>
      <c r="BL390" s="79"/>
      <c r="BM390" s="51"/>
      <c r="BN390" s="92"/>
      <c r="BO390" s="92"/>
      <c r="BP390" s="92"/>
      <c r="BQ390" s="92"/>
      <c r="BR390" s="51"/>
      <c r="BS390" s="92"/>
      <c r="BT390" s="92"/>
      <c r="BU390" s="92"/>
      <c r="BV390" s="92"/>
      <c r="BW390" s="51"/>
      <c r="BX390" s="92"/>
      <c r="BY390" s="92"/>
      <c r="BZ390" s="92"/>
      <c r="CA390" s="92"/>
      <c r="CB390" s="92"/>
      <c r="CC390" s="699"/>
      <c r="CD390" s="93"/>
      <c r="CE390" s="93"/>
      <c r="CF390" s="93"/>
      <c r="CG390" s="93"/>
      <c r="CH390" s="93"/>
      <c r="CI390" s="93"/>
      <c r="CJ390" s="93"/>
      <c r="CK390" s="93"/>
      <c r="CL390" s="93"/>
      <c r="CM390" s="93"/>
      <c r="CN390" s="93"/>
      <c r="CO390" s="93"/>
      <c r="CP390" s="93"/>
      <c r="CQ390" s="93"/>
      <c r="CR390" s="79"/>
      <c r="CS390" s="699"/>
      <c r="CT390" s="93"/>
      <c r="CU390" s="93"/>
      <c r="CV390" s="93"/>
      <c r="CW390" s="93"/>
      <c r="CX390" s="93"/>
      <c r="CY390" s="93"/>
      <c r="CZ390" s="93"/>
      <c r="DA390" s="93"/>
      <c r="DB390" s="93"/>
      <c r="DC390" s="93"/>
      <c r="DD390" s="93"/>
      <c r="DE390" s="93"/>
      <c r="DF390" s="93"/>
      <c r="DG390" s="93"/>
      <c r="DH390" s="79"/>
      <c r="DI390" s="699"/>
      <c r="DJ390" s="93"/>
      <c r="DK390" s="93"/>
      <c r="DL390" s="93"/>
      <c r="DM390" s="93"/>
      <c r="DN390" s="93"/>
      <c r="DO390" s="93"/>
      <c r="DP390" s="93"/>
      <c r="DQ390" s="93"/>
      <c r="DR390" s="93"/>
      <c r="DS390" s="93"/>
      <c r="DT390" s="93"/>
      <c r="DU390" s="93"/>
      <c r="DV390" s="93"/>
      <c r="DW390" s="93"/>
      <c r="DX390" s="79"/>
      <c r="DZ390" s="798"/>
    </row>
    <row r="391" spans="1:130">
      <c r="A391" s="112">
        <v>160</v>
      </c>
      <c r="B391" s="52"/>
      <c r="C391" s="92"/>
      <c r="D391" s="92"/>
      <c r="E391" s="92"/>
      <c r="F391" s="92"/>
      <c r="G391" s="92"/>
      <c r="H391" s="92"/>
      <c r="I391" s="92"/>
      <c r="J391" s="92"/>
      <c r="K391" s="51"/>
      <c r="L391" s="92"/>
      <c r="M391" s="92"/>
      <c r="N391" s="92"/>
      <c r="O391" s="92"/>
      <c r="P391" s="113"/>
      <c r="Q391" s="699"/>
      <c r="R391" s="93"/>
      <c r="S391" s="93"/>
      <c r="T391" s="93"/>
      <c r="U391" s="93"/>
      <c r="V391" s="93"/>
      <c r="W391" s="93"/>
      <c r="X391" s="93"/>
      <c r="Y391" s="93"/>
      <c r="Z391" s="93"/>
      <c r="AA391" s="93"/>
      <c r="AB391" s="93"/>
      <c r="AC391" s="93"/>
      <c r="AD391" s="93"/>
      <c r="AE391" s="93"/>
      <c r="AF391" s="79"/>
      <c r="AG391" s="51"/>
      <c r="AH391" s="51"/>
      <c r="AI391" s="51"/>
      <c r="AJ391" s="51"/>
      <c r="AK391" s="51"/>
      <c r="AL391" s="92"/>
      <c r="AM391" s="92"/>
      <c r="AN391" s="51"/>
      <c r="AO391" s="51"/>
      <c r="AP391" s="93"/>
      <c r="AQ391" s="93"/>
      <c r="AR391" s="93"/>
      <c r="AS391" s="93"/>
      <c r="AT391" s="93"/>
      <c r="AU391" s="93"/>
      <c r="AV391" s="79"/>
      <c r="AW391" s="699"/>
      <c r="AX391" s="93"/>
      <c r="AY391" s="93"/>
      <c r="AZ391" s="93"/>
      <c r="BA391" s="93"/>
      <c r="BB391" s="93"/>
      <c r="BC391" s="93"/>
      <c r="BD391" s="93"/>
      <c r="BE391" s="93"/>
      <c r="BF391" s="93"/>
      <c r="BG391" s="93"/>
      <c r="BH391" s="93"/>
      <c r="BI391" s="93"/>
      <c r="BJ391" s="93"/>
      <c r="BK391" s="93"/>
      <c r="BL391" s="79"/>
      <c r="BM391" s="51"/>
      <c r="BN391" s="92"/>
      <c r="BO391" s="92"/>
      <c r="BP391" s="92"/>
      <c r="BQ391" s="92"/>
      <c r="BR391" s="92"/>
      <c r="BS391" s="92"/>
      <c r="BT391" s="92"/>
      <c r="BU391" s="92"/>
      <c r="BV391" s="92"/>
      <c r="BW391" s="51"/>
      <c r="BX391" s="92"/>
      <c r="BY391" s="92"/>
      <c r="BZ391" s="92"/>
      <c r="CA391" s="92"/>
      <c r="CB391" s="92"/>
      <c r="CC391" s="699"/>
      <c r="CD391" s="93"/>
      <c r="CE391" s="93"/>
      <c r="CF391" s="93"/>
      <c r="CG391" s="93"/>
      <c r="CH391" s="93"/>
      <c r="CI391" s="93"/>
      <c r="CJ391" s="93"/>
      <c r="CK391" s="93"/>
      <c r="CL391" s="93"/>
      <c r="CM391" s="93"/>
      <c r="CN391" s="93"/>
      <c r="CO391" s="93"/>
      <c r="CP391" s="93"/>
      <c r="CQ391" s="93"/>
      <c r="CR391" s="79"/>
      <c r="CS391" s="699"/>
      <c r="CT391" s="93"/>
      <c r="CU391" s="93"/>
      <c r="CV391" s="93"/>
      <c r="CW391" s="93"/>
      <c r="CX391" s="93"/>
      <c r="CY391" s="93"/>
      <c r="CZ391" s="93"/>
      <c r="DA391" s="93"/>
      <c r="DB391" s="93"/>
      <c r="DC391" s="93"/>
      <c r="DD391" s="93"/>
      <c r="DE391" s="93"/>
      <c r="DF391" s="93"/>
      <c r="DG391" s="93"/>
      <c r="DH391" s="79"/>
      <c r="DI391" s="699"/>
      <c r="DJ391" s="93"/>
      <c r="DK391" s="93"/>
      <c r="DL391" s="93"/>
      <c r="DM391" s="93"/>
      <c r="DN391" s="93"/>
      <c r="DO391" s="93"/>
      <c r="DP391" s="93"/>
      <c r="DQ391" s="93"/>
      <c r="DR391" s="93"/>
      <c r="DS391" s="93"/>
      <c r="DT391" s="93"/>
      <c r="DU391" s="93"/>
      <c r="DV391" s="93"/>
      <c r="DW391" s="93"/>
      <c r="DX391" s="79"/>
      <c r="DZ391" s="795"/>
    </row>
    <row r="392" spans="1:130">
      <c r="A392" s="51"/>
      <c r="B392" s="52"/>
      <c r="C392" s="92"/>
      <c r="D392" s="92"/>
      <c r="E392" s="92"/>
      <c r="F392" s="51"/>
      <c r="G392" s="92"/>
      <c r="H392" s="92"/>
      <c r="I392" s="92"/>
      <c r="J392" s="92"/>
      <c r="K392" s="51"/>
      <c r="L392" s="92"/>
      <c r="M392" s="92"/>
      <c r="N392" s="92"/>
      <c r="O392" s="92"/>
      <c r="P392" s="113"/>
      <c r="Q392" s="699"/>
      <c r="R392" s="93"/>
      <c r="S392" s="93"/>
      <c r="T392" s="93"/>
      <c r="U392" s="93"/>
      <c r="V392" s="93"/>
      <c r="W392" s="93"/>
      <c r="X392" s="93"/>
      <c r="Y392" s="93"/>
      <c r="Z392" s="93"/>
      <c r="AA392" s="93"/>
      <c r="AB392" s="93"/>
      <c r="AC392" s="93"/>
      <c r="AD392" s="93"/>
      <c r="AE392" s="93"/>
      <c r="AF392" s="79"/>
      <c r="AG392" s="51"/>
      <c r="AH392" s="51"/>
      <c r="AI392" s="51"/>
      <c r="AJ392" s="51"/>
      <c r="AK392" s="51"/>
      <c r="AL392" s="92"/>
      <c r="AM392" s="92"/>
      <c r="AN392" s="51"/>
      <c r="AO392" s="51"/>
      <c r="AP392" s="93"/>
      <c r="AQ392" s="93"/>
      <c r="AR392" s="93"/>
      <c r="AS392" s="93"/>
      <c r="AT392" s="93"/>
      <c r="AU392" s="93"/>
      <c r="AV392" s="79"/>
      <c r="AW392" s="699"/>
      <c r="AX392" s="93"/>
      <c r="AY392" s="93"/>
      <c r="AZ392" s="93"/>
      <c r="BA392" s="93"/>
      <c r="BB392" s="93"/>
      <c r="BC392" s="93"/>
      <c r="BD392" s="93"/>
      <c r="BE392" s="93"/>
      <c r="BF392" s="93"/>
      <c r="BG392" s="93"/>
      <c r="BH392" s="93"/>
      <c r="BI392" s="93"/>
      <c r="BJ392" s="93"/>
      <c r="BK392" s="93"/>
      <c r="BL392" s="79"/>
      <c r="BM392" s="51"/>
      <c r="BN392" s="92"/>
      <c r="BO392" s="92"/>
      <c r="BP392" s="92"/>
      <c r="BQ392" s="92"/>
      <c r="BR392" s="92"/>
      <c r="BS392" s="92"/>
      <c r="BT392" s="92"/>
      <c r="BU392" s="92"/>
      <c r="BV392" s="92"/>
      <c r="BW392" s="51"/>
      <c r="BX392" s="92"/>
      <c r="BY392" s="92"/>
      <c r="BZ392" s="92"/>
      <c r="CA392" s="92"/>
      <c r="CB392" s="92"/>
      <c r="CC392" s="699"/>
      <c r="CD392" s="93"/>
      <c r="CE392" s="93"/>
      <c r="CF392" s="93"/>
      <c r="CG392" s="93"/>
      <c r="CH392" s="93"/>
      <c r="CI392" s="93"/>
      <c r="CJ392" s="93"/>
      <c r="CK392" s="93"/>
      <c r="CL392" s="93"/>
      <c r="CM392" s="93"/>
      <c r="CN392" s="93"/>
      <c r="CO392" s="93"/>
      <c r="CP392" s="93"/>
      <c r="CQ392" s="93"/>
      <c r="CR392" s="79"/>
      <c r="CS392" s="699"/>
      <c r="CT392" s="93"/>
      <c r="CU392" s="93"/>
      <c r="CV392" s="93"/>
      <c r="CW392" s="93"/>
      <c r="CX392" s="93"/>
      <c r="CY392" s="93"/>
      <c r="CZ392" s="93"/>
      <c r="DA392" s="93"/>
      <c r="DB392" s="93"/>
      <c r="DC392" s="93"/>
      <c r="DD392" s="93"/>
      <c r="DE392" s="93"/>
      <c r="DF392" s="93"/>
      <c r="DG392" s="93"/>
      <c r="DH392" s="79"/>
      <c r="DI392" s="699"/>
      <c r="DJ392" s="93"/>
      <c r="DK392" s="93"/>
      <c r="DL392" s="93"/>
      <c r="DM392" s="93"/>
      <c r="DN392" s="93"/>
      <c r="DO392" s="93"/>
      <c r="DP392" s="93"/>
      <c r="DQ392" s="93"/>
      <c r="DR392" s="93"/>
      <c r="DS392" s="93"/>
      <c r="DT392" s="93"/>
      <c r="DU392" s="93"/>
      <c r="DV392" s="93"/>
      <c r="DW392" s="93"/>
      <c r="DX392" s="79"/>
      <c r="DZ392" s="798"/>
    </row>
    <row r="393" spans="1:130">
      <c r="A393" s="51">
        <v>2000</v>
      </c>
      <c r="B393" s="52"/>
      <c r="C393" s="51"/>
      <c r="D393" s="51"/>
      <c r="E393" s="51"/>
      <c r="F393" s="51"/>
      <c r="G393" s="161"/>
      <c r="H393" s="293"/>
      <c r="I393" s="291"/>
      <c r="J393" s="51"/>
      <c r="K393" s="51"/>
      <c r="L393" s="51"/>
      <c r="M393" s="51"/>
      <c r="N393" s="51"/>
      <c r="O393" s="92"/>
      <c r="P393" s="113"/>
      <c r="Q393" s="699"/>
      <c r="R393" s="93"/>
      <c r="S393" s="93"/>
      <c r="T393" s="51"/>
      <c r="U393" s="51"/>
      <c r="V393" s="92"/>
      <c r="W393" s="293"/>
      <c r="X393" s="161"/>
      <c r="Y393" s="161"/>
      <c r="Z393" s="51"/>
      <c r="AA393" s="93"/>
      <c r="AB393" s="93"/>
      <c r="AC393" s="93"/>
      <c r="AD393" s="93"/>
      <c r="AE393" s="93"/>
      <c r="AF393" s="79"/>
      <c r="AG393" s="51"/>
      <c r="AH393" s="51"/>
      <c r="AI393" s="51"/>
      <c r="AJ393" s="51"/>
      <c r="AK393" s="51"/>
      <c r="AL393" s="92"/>
      <c r="AM393" s="293"/>
      <c r="AN393" s="161"/>
      <c r="AO393" s="161"/>
      <c r="AP393" s="51"/>
      <c r="AQ393" s="51"/>
      <c r="AR393" s="51"/>
      <c r="AS393" s="51"/>
      <c r="AT393" s="92"/>
      <c r="AU393" s="92"/>
      <c r="AV393" s="113"/>
      <c r="AW393" s="699"/>
      <c r="AX393" s="93"/>
      <c r="AY393" s="93"/>
      <c r="AZ393" s="51"/>
      <c r="BA393" s="51"/>
      <c r="BB393" s="51"/>
      <c r="BC393" s="51"/>
      <c r="BD393" s="161"/>
      <c r="BE393" s="161"/>
      <c r="BF393" s="291"/>
      <c r="BG393" s="51"/>
      <c r="BH393" s="51"/>
      <c r="BI393" s="51"/>
      <c r="BJ393" s="92"/>
      <c r="BK393" s="92"/>
      <c r="BL393" s="113"/>
      <c r="BM393" s="51"/>
      <c r="BN393" s="52"/>
      <c r="BO393" s="52"/>
      <c r="BP393" s="51"/>
      <c r="BQ393" s="51"/>
      <c r="BR393" s="51"/>
      <c r="BS393" s="51"/>
      <c r="BT393" s="161"/>
      <c r="BU393" s="161"/>
      <c r="BV393" s="291"/>
      <c r="BW393" s="51"/>
      <c r="BX393" s="51"/>
      <c r="BY393" s="51"/>
      <c r="BZ393" s="51"/>
      <c r="CA393" s="92"/>
      <c r="CB393" s="92"/>
      <c r="CC393" s="699"/>
      <c r="CD393" s="93"/>
      <c r="CE393" s="93"/>
      <c r="CF393" s="51"/>
      <c r="CG393" s="51"/>
      <c r="CH393" s="51"/>
      <c r="CI393" s="291"/>
      <c r="CJ393" s="161"/>
      <c r="CK393" s="161"/>
      <c r="CL393" s="51"/>
      <c r="CM393" s="93"/>
      <c r="CN393" s="93"/>
      <c r="CO393" s="93"/>
      <c r="CP393" s="93"/>
      <c r="CQ393" s="93"/>
      <c r="CR393" s="79"/>
      <c r="CS393" s="699"/>
      <c r="CT393" s="93"/>
      <c r="CU393" s="93"/>
      <c r="CV393" s="93"/>
      <c r="CW393" s="93"/>
      <c r="CX393" s="93"/>
      <c r="CY393" s="51"/>
      <c r="CZ393" s="293"/>
      <c r="DA393" s="161"/>
      <c r="DB393" s="161"/>
      <c r="DC393" s="93"/>
      <c r="DD393" s="93"/>
      <c r="DE393" s="93"/>
      <c r="DF393" s="93"/>
      <c r="DG393" s="93"/>
      <c r="DH393" s="79"/>
      <c r="DI393" s="699"/>
      <c r="DJ393" s="93"/>
      <c r="DK393" s="93"/>
      <c r="DL393" s="93"/>
      <c r="DM393" s="93"/>
      <c r="DN393" s="93"/>
      <c r="DO393" s="51"/>
      <c r="DP393" s="161"/>
      <c r="DQ393" s="161"/>
      <c r="DR393" s="293"/>
      <c r="DS393" s="92"/>
      <c r="DT393" s="51"/>
      <c r="DU393" s="93"/>
      <c r="DV393" s="93"/>
      <c r="DW393" s="93"/>
      <c r="DX393" s="79"/>
      <c r="DZ393" s="795"/>
    </row>
    <row r="394" spans="1:130">
      <c r="A394" s="51">
        <v>8</v>
      </c>
      <c r="B394" s="1"/>
      <c r="C394" s="92"/>
      <c r="D394" s="92"/>
      <c r="E394" s="92"/>
      <c r="F394" s="161"/>
      <c r="G394" s="206"/>
      <c r="H394" s="206"/>
      <c r="I394" s="161"/>
      <c r="J394" s="291"/>
      <c r="K394" s="92"/>
      <c r="L394" s="92"/>
      <c r="M394" s="92"/>
      <c r="N394" s="92"/>
      <c r="O394" s="92"/>
      <c r="P394" s="113"/>
      <c r="Q394" s="699"/>
      <c r="R394" s="93"/>
      <c r="S394" s="93"/>
      <c r="T394" s="92"/>
      <c r="U394" s="92"/>
      <c r="V394" s="293"/>
      <c r="W394" s="161"/>
      <c r="X394" s="206"/>
      <c r="Y394" s="206"/>
      <c r="Z394" s="161"/>
      <c r="AA394" s="92"/>
      <c r="AB394" s="92"/>
      <c r="AC394" s="93"/>
      <c r="AD394" s="93"/>
      <c r="AE394" s="93"/>
      <c r="AF394" s="79"/>
      <c r="AG394" s="51"/>
      <c r="AH394" s="51"/>
      <c r="AI394" s="51"/>
      <c r="AJ394" s="51"/>
      <c r="AK394" s="51"/>
      <c r="AL394" s="293"/>
      <c r="AM394" s="206"/>
      <c r="AN394" s="206"/>
      <c r="AO394" s="206"/>
      <c r="AP394" s="161"/>
      <c r="AQ394" s="92"/>
      <c r="AR394" s="51"/>
      <c r="AS394" s="51"/>
      <c r="AT394" s="51"/>
      <c r="AU394" s="51"/>
      <c r="AV394" s="82"/>
      <c r="AW394" s="699"/>
      <c r="AX394" s="93"/>
      <c r="AY394" s="93"/>
      <c r="AZ394" s="92"/>
      <c r="BA394" s="92"/>
      <c r="BB394" s="92"/>
      <c r="BC394" s="161"/>
      <c r="BD394" s="161"/>
      <c r="BE394" s="291"/>
      <c r="BF394" s="291"/>
      <c r="BG394" s="291"/>
      <c r="BH394" s="92"/>
      <c r="BI394" s="92"/>
      <c r="BJ394" s="92"/>
      <c r="BK394" s="92"/>
      <c r="BL394" s="113"/>
      <c r="BM394" s="51"/>
      <c r="BN394" s="1"/>
      <c r="BO394" s="1"/>
      <c r="BP394" s="92"/>
      <c r="BQ394" s="92"/>
      <c r="BR394" s="92"/>
      <c r="BS394" s="161"/>
      <c r="BT394" s="161"/>
      <c r="BU394" s="291"/>
      <c r="BV394" s="291"/>
      <c r="BW394" s="291"/>
      <c r="BX394" s="92"/>
      <c r="BY394" s="92"/>
      <c r="BZ394" s="92"/>
      <c r="CA394" s="92"/>
      <c r="CB394" s="92"/>
      <c r="CC394" s="699"/>
      <c r="CD394" s="93"/>
      <c r="CE394" s="93"/>
      <c r="CF394" s="92"/>
      <c r="CG394" s="92"/>
      <c r="CH394" s="291"/>
      <c r="CI394" s="206"/>
      <c r="CJ394" s="206"/>
      <c r="CK394" s="161"/>
      <c r="CL394" s="161"/>
      <c r="CM394" s="92"/>
      <c r="CN394" s="92"/>
      <c r="CO394" s="93"/>
      <c r="CP394" s="93"/>
      <c r="CQ394" s="93"/>
      <c r="CR394" s="79"/>
      <c r="CS394" s="699"/>
      <c r="CT394" s="93"/>
      <c r="CU394" s="93"/>
      <c r="CV394" s="93"/>
      <c r="CW394" s="93"/>
      <c r="CX394" s="93"/>
      <c r="CY394" s="293"/>
      <c r="CZ394" s="206"/>
      <c r="DA394" s="206"/>
      <c r="DB394" s="291"/>
      <c r="DC394" s="161"/>
      <c r="DD394" s="93"/>
      <c r="DE394" s="93"/>
      <c r="DF394" s="93"/>
      <c r="DG394" s="93"/>
      <c r="DH394" s="79"/>
      <c r="DI394" s="699"/>
      <c r="DJ394" s="93"/>
      <c r="DK394" s="93"/>
      <c r="DL394" s="93"/>
      <c r="DM394" s="92"/>
      <c r="DN394" s="92"/>
      <c r="DO394" s="161"/>
      <c r="DP394" s="206"/>
      <c r="DQ394" s="206"/>
      <c r="DR394" s="161"/>
      <c r="DS394" s="293"/>
      <c r="DT394" s="92"/>
      <c r="DU394" s="93"/>
      <c r="DV394" s="93"/>
      <c r="DW394" s="93"/>
      <c r="DX394" s="79"/>
      <c r="DZ394" s="795"/>
    </row>
    <row r="395" spans="1:130">
      <c r="A395" s="51">
        <v>9</v>
      </c>
      <c r="B395" s="1"/>
      <c r="C395" s="92"/>
      <c r="D395" s="92"/>
      <c r="E395" s="92"/>
      <c r="F395" s="161"/>
      <c r="G395" s="206"/>
      <c r="H395" s="206"/>
      <c r="I395" s="206"/>
      <c r="J395" s="291"/>
      <c r="K395" s="92"/>
      <c r="L395" s="92"/>
      <c r="M395" s="92"/>
      <c r="N395" s="92"/>
      <c r="O395" s="51"/>
      <c r="P395" s="82"/>
      <c r="Q395" s="699"/>
      <c r="R395" s="93"/>
      <c r="S395" s="93"/>
      <c r="T395" s="92"/>
      <c r="U395" s="92"/>
      <c r="V395" s="161"/>
      <c r="W395" s="206"/>
      <c r="X395" s="206"/>
      <c r="Y395" s="206"/>
      <c r="Z395" s="291"/>
      <c r="AA395" s="92"/>
      <c r="AB395" s="92"/>
      <c r="AC395" s="93"/>
      <c r="AD395" s="93"/>
      <c r="AE395" s="93"/>
      <c r="AF395" s="79"/>
      <c r="AG395" s="51"/>
      <c r="AH395" s="51"/>
      <c r="AI395" s="51"/>
      <c r="AJ395" s="51"/>
      <c r="AK395" s="51"/>
      <c r="AL395" s="161"/>
      <c r="AM395" s="292"/>
      <c r="AN395" s="206"/>
      <c r="AO395" s="206"/>
      <c r="AP395" s="206"/>
      <c r="AQ395" s="92"/>
      <c r="AR395" s="51"/>
      <c r="AS395" s="51"/>
      <c r="AT395" s="51"/>
      <c r="AU395" s="51"/>
      <c r="AV395" s="82"/>
      <c r="AW395" s="699"/>
      <c r="AX395" s="93"/>
      <c r="AY395" s="93"/>
      <c r="AZ395" s="92"/>
      <c r="BA395" s="92"/>
      <c r="BB395" s="92"/>
      <c r="BC395" s="291"/>
      <c r="BD395" s="291"/>
      <c r="BE395" s="292"/>
      <c r="BF395" s="292"/>
      <c r="BG395" s="291"/>
      <c r="BH395" s="92"/>
      <c r="BI395" s="92"/>
      <c r="BJ395" s="51"/>
      <c r="BK395" s="51"/>
      <c r="BL395" s="82"/>
      <c r="BM395" s="51"/>
      <c r="BN395" s="1"/>
      <c r="BO395" s="1"/>
      <c r="BP395" s="92"/>
      <c r="BQ395" s="92"/>
      <c r="BR395" s="92"/>
      <c r="BS395" s="161"/>
      <c r="BT395" s="291"/>
      <c r="BU395" s="291"/>
      <c r="BV395" s="291"/>
      <c r="BW395" s="291"/>
      <c r="BX395" s="92"/>
      <c r="BY395" s="92"/>
      <c r="BZ395" s="92"/>
      <c r="CA395" s="51"/>
      <c r="CB395" s="51"/>
      <c r="CC395" s="699"/>
      <c r="CD395" s="93"/>
      <c r="CE395" s="93"/>
      <c r="CF395" s="92"/>
      <c r="CG395" s="92"/>
      <c r="CH395" s="206"/>
      <c r="CI395" s="206"/>
      <c r="CJ395" s="206"/>
      <c r="CK395" s="206"/>
      <c r="CL395" s="291"/>
      <c r="CM395" s="92"/>
      <c r="CN395" s="92"/>
      <c r="CO395" s="93"/>
      <c r="CP395" s="93"/>
      <c r="CQ395" s="93"/>
      <c r="CR395" s="79"/>
      <c r="CS395" s="699"/>
      <c r="CT395" s="93"/>
      <c r="CU395" s="93"/>
      <c r="CV395" s="93"/>
      <c r="CW395" s="93"/>
      <c r="CX395" s="93"/>
      <c r="CY395" s="206"/>
      <c r="CZ395" s="206"/>
      <c r="DA395" s="206"/>
      <c r="DB395" s="206"/>
      <c r="DC395" s="291"/>
      <c r="DD395" s="93"/>
      <c r="DE395" s="93"/>
      <c r="DF395" s="93"/>
      <c r="DG395" s="93"/>
      <c r="DH395" s="79"/>
      <c r="DI395" s="699"/>
      <c r="DJ395" s="93"/>
      <c r="DK395" s="93"/>
      <c r="DL395" s="93"/>
      <c r="DM395" s="92"/>
      <c r="DN395" s="92"/>
      <c r="DO395" s="291"/>
      <c r="DP395" s="206"/>
      <c r="DQ395" s="206"/>
      <c r="DR395" s="206"/>
      <c r="DS395" s="161"/>
      <c r="DT395" s="92"/>
      <c r="DU395" s="93"/>
      <c r="DV395" s="93"/>
      <c r="DW395" s="93"/>
      <c r="DX395" s="79"/>
      <c r="DZ395" s="795"/>
    </row>
    <row r="396" spans="1:130">
      <c r="A396" s="51">
        <v>120</v>
      </c>
      <c r="B396" s="52"/>
      <c r="C396" s="92"/>
      <c r="D396" s="92"/>
      <c r="E396" s="92"/>
      <c r="F396" s="64"/>
      <c r="G396" s="161"/>
      <c r="H396" s="36"/>
      <c r="I396" s="161"/>
      <c r="J396" s="54"/>
      <c r="K396" s="92"/>
      <c r="L396" s="92"/>
      <c r="M396" s="92"/>
      <c r="N396" s="92"/>
      <c r="O396" s="51"/>
      <c r="P396" s="113"/>
      <c r="Q396" s="699"/>
      <c r="R396" s="93"/>
      <c r="S396" s="93"/>
      <c r="T396" s="92"/>
      <c r="U396" s="92"/>
      <c r="V396" s="161"/>
      <c r="W396" s="36"/>
      <c r="X396" s="161"/>
      <c r="Y396" s="290"/>
      <c r="Z396" s="290"/>
      <c r="AA396" s="92"/>
      <c r="AB396" s="92"/>
      <c r="AC396" s="93"/>
      <c r="AD396" s="93"/>
      <c r="AE396" s="93"/>
      <c r="AF396" s="79"/>
      <c r="AG396" s="51"/>
      <c r="AH396" s="51"/>
      <c r="AI396" s="51"/>
      <c r="AJ396" s="51"/>
      <c r="AK396" s="92"/>
      <c r="AL396" s="206"/>
      <c r="AM396" s="201"/>
      <c r="AN396" s="290"/>
      <c r="AO396" s="290"/>
      <c r="AP396" s="290"/>
      <c r="AQ396" s="92"/>
      <c r="AR396" s="51"/>
      <c r="AS396" s="51"/>
      <c r="AT396" s="51"/>
      <c r="AU396" s="51"/>
      <c r="AV396" s="82"/>
      <c r="AW396" s="699"/>
      <c r="AX396" s="93"/>
      <c r="AY396" s="93"/>
      <c r="AZ396" s="92"/>
      <c r="BA396" s="92"/>
      <c r="BB396" s="92"/>
      <c r="BC396" s="206"/>
      <c r="BD396" s="294"/>
      <c r="BE396" s="290"/>
      <c r="BF396" s="290"/>
      <c r="BG396" s="290"/>
      <c r="BH396" s="92"/>
      <c r="BI396" s="92"/>
      <c r="BJ396" s="51"/>
      <c r="BK396" s="51"/>
      <c r="BL396" s="113"/>
      <c r="BM396" s="51"/>
      <c r="BN396" s="52"/>
      <c r="BO396" s="52"/>
      <c r="BP396" s="92"/>
      <c r="BQ396" s="92"/>
      <c r="BR396" s="92"/>
      <c r="BS396" s="291"/>
      <c r="BT396" s="291"/>
      <c r="BU396" s="292"/>
      <c r="BV396" s="292"/>
      <c r="BW396" s="291"/>
      <c r="BX396" s="92"/>
      <c r="BY396" s="92"/>
      <c r="BZ396" s="92"/>
      <c r="CA396" s="51"/>
      <c r="CB396" s="92"/>
      <c r="CC396" s="699"/>
      <c r="CD396" s="93"/>
      <c r="CE396" s="93"/>
      <c r="CF396" s="92"/>
      <c r="CG396" s="92"/>
      <c r="CH396" s="290"/>
      <c r="CI396" s="290"/>
      <c r="CJ396" s="290"/>
      <c r="CK396" s="294"/>
      <c r="CL396" s="205"/>
      <c r="CM396" s="92"/>
      <c r="CN396" s="92"/>
      <c r="CO396" s="93"/>
      <c r="CP396" s="93"/>
      <c r="CQ396" s="93"/>
      <c r="CR396" s="79"/>
      <c r="CS396" s="699"/>
      <c r="CT396" s="93"/>
      <c r="CU396" s="93"/>
      <c r="CV396" s="93"/>
      <c r="CW396" s="93"/>
      <c r="CX396" s="93"/>
      <c r="CY396" s="294"/>
      <c r="CZ396" s="294"/>
      <c r="DA396" s="290"/>
      <c r="DB396" s="294"/>
      <c r="DC396" s="206"/>
      <c r="DD396" s="93"/>
      <c r="DE396" s="93"/>
      <c r="DF396" s="93"/>
      <c r="DG396" s="93"/>
      <c r="DH396" s="79"/>
      <c r="DI396" s="699"/>
      <c r="DJ396" s="93"/>
      <c r="DK396" s="93"/>
      <c r="DL396" s="93"/>
      <c r="DM396" s="92"/>
      <c r="DN396" s="92"/>
      <c r="DO396" s="290"/>
      <c r="DP396" s="290"/>
      <c r="DQ396" s="161"/>
      <c r="DR396" s="36"/>
      <c r="DS396" s="161"/>
      <c r="DT396" s="92"/>
      <c r="DU396" s="93"/>
      <c r="DV396" s="93"/>
      <c r="DW396" s="93"/>
      <c r="DX396" s="79"/>
      <c r="DZ396" s="795"/>
    </row>
    <row r="397" spans="1:130">
      <c r="A397" s="699">
        <v>125</v>
      </c>
      <c r="B397" s="52"/>
      <c r="C397" s="92"/>
      <c r="D397" s="92"/>
      <c r="E397" s="92"/>
      <c r="F397" s="294"/>
      <c r="G397" s="64"/>
      <c r="H397" s="64"/>
      <c r="I397" s="64"/>
      <c r="J397" s="290"/>
      <c r="K397" s="92"/>
      <c r="L397" s="92"/>
      <c r="M397" s="92"/>
      <c r="N397" s="92"/>
      <c r="O397" s="51"/>
      <c r="P397" s="113"/>
      <c r="Q397" s="699"/>
      <c r="R397" s="93"/>
      <c r="S397" s="93"/>
      <c r="T397" s="92"/>
      <c r="U397" s="92"/>
      <c r="V397" s="64"/>
      <c r="W397" s="64"/>
      <c r="X397" s="64"/>
      <c r="Y397" s="290"/>
      <c r="Z397" s="290"/>
      <c r="AA397" s="92"/>
      <c r="AB397" s="92"/>
      <c r="AC397" s="93"/>
      <c r="AD397" s="93"/>
      <c r="AE397" s="93"/>
      <c r="AF397" s="79"/>
      <c r="AG397" s="51"/>
      <c r="AH397" s="51"/>
      <c r="AI397" s="51"/>
      <c r="AJ397" s="51"/>
      <c r="AK397" s="51"/>
      <c r="AL397" s="36"/>
      <c r="AM397" s="56"/>
      <c r="AN397" s="294"/>
      <c r="AO397" s="290"/>
      <c r="AP397" s="290"/>
      <c r="AQ397" s="51"/>
      <c r="AR397" s="92"/>
      <c r="AS397" s="51"/>
      <c r="AT397" s="51"/>
      <c r="AU397" s="51"/>
      <c r="AV397" s="82"/>
      <c r="AW397" s="699"/>
      <c r="AX397" s="93"/>
      <c r="AY397" s="93"/>
      <c r="AZ397" s="92"/>
      <c r="BA397" s="92"/>
      <c r="BB397" s="92"/>
      <c r="BC397" s="56"/>
      <c r="BD397" s="290"/>
      <c r="BE397" s="290"/>
      <c r="BF397" s="290"/>
      <c r="BG397" s="290"/>
      <c r="BH397" s="92"/>
      <c r="BI397" s="92"/>
      <c r="BJ397" s="51"/>
      <c r="BK397" s="51"/>
      <c r="BL397" s="113"/>
      <c r="BM397" s="51"/>
      <c r="BN397" s="52"/>
      <c r="BO397" s="52"/>
      <c r="BP397" s="92"/>
      <c r="BQ397" s="92"/>
      <c r="BR397" s="92"/>
      <c r="BS397" s="294"/>
      <c r="BT397" s="290"/>
      <c r="BU397" s="290"/>
      <c r="BV397" s="290"/>
      <c r="BW397" s="290"/>
      <c r="BX397" s="92"/>
      <c r="BY397" s="92"/>
      <c r="BZ397" s="92"/>
      <c r="CA397" s="51"/>
      <c r="CB397" s="92"/>
      <c r="CC397" s="699"/>
      <c r="CD397" s="93"/>
      <c r="CE397" s="93"/>
      <c r="CF397" s="92"/>
      <c r="CG397" s="92"/>
      <c r="CH397" s="290"/>
      <c r="CI397" s="290"/>
      <c r="CJ397" s="290"/>
      <c r="CK397" s="290"/>
      <c r="CL397" s="56"/>
      <c r="CM397" s="92"/>
      <c r="CN397" s="92"/>
      <c r="CO397" s="93"/>
      <c r="CP397" s="93"/>
      <c r="CQ397" s="93"/>
      <c r="CR397" s="79"/>
      <c r="CS397" s="699"/>
      <c r="CT397" s="93"/>
      <c r="CU397" s="93"/>
      <c r="CV397" s="93"/>
      <c r="CW397" s="93"/>
      <c r="CX397" s="93"/>
      <c r="CY397" s="294"/>
      <c r="CZ397" s="290"/>
      <c r="DA397" s="290"/>
      <c r="DB397" s="56"/>
      <c r="DC397" s="36"/>
      <c r="DD397" s="93"/>
      <c r="DE397" s="93"/>
      <c r="DF397" s="93"/>
      <c r="DG397" s="93"/>
      <c r="DH397" s="79"/>
      <c r="DI397" s="699"/>
      <c r="DJ397" s="93"/>
      <c r="DK397" s="93"/>
      <c r="DL397" s="93"/>
      <c r="DM397" s="92"/>
      <c r="DN397" s="92"/>
      <c r="DO397" s="290"/>
      <c r="DP397" s="290"/>
      <c r="DQ397" s="64"/>
      <c r="DR397" s="64"/>
      <c r="DS397" s="64"/>
      <c r="DT397" s="92"/>
      <c r="DU397" s="93"/>
      <c r="DV397" s="93"/>
      <c r="DW397" s="93"/>
      <c r="DX397" s="79"/>
      <c r="DZ397" s="798"/>
    </row>
    <row r="398" spans="1:130">
      <c r="A398" s="699">
        <v>88</v>
      </c>
      <c r="B398" s="52"/>
      <c r="C398" s="92"/>
      <c r="D398" s="51"/>
      <c r="E398" s="51"/>
      <c r="F398" s="51"/>
      <c r="G398" s="36"/>
      <c r="H398" s="201"/>
      <c r="I398" s="36"/>
      <c r="J398" s="51"/>
      <c r="K398" s="51"/>
      <c r="L398" s="51"/>
      <c r="M398" s="92"/>
      <c r="N398" s="51"/>
      <c r="O398" s="51"/>
      <c r="P398" s="113"/>
      <c r="Q398" s="699"/>
      <c r="R398" s="93"/>
      <c r="S398" s="93"/>
      <c r="T398" s="92"/>
      <c r="U398" s="51"/>
      <c r="V398" s="92"/>
      <c r="W398" s="201"/>
      <c r="X398" s="36"/>
      <c r="Y398" s="64"/>
      <c r="Z398" s="51"/>
      <c r="AA398" s="51"/>
      <c r="AB398" s="51"/>
      <c r="AC398" s="93"/>
      <c r="AD398" s="93"/>
      <c r="AE398" s="93"/>
      <c r="AF398" s="79"/>
      <c r="AG398" s="51"/>
      <c r="AH398" s="51"/>
      <c r="AI398" s="51"/>
      <c r="AJ398" s="51"/>
      <c r="AK398" s="51"/>
      <c r="AL398" s="201"/>
      <c r="AM398" s="36"/>
      <c r="AN398" s="56"/>
      <c r="AO398" s="56"/>
      <c r="AP398" s="51"/>
      <c r="AQ398" s="51"/>
      <c r="AR398" s="92"/>
      <c r="AS398" s="51"/>
      <c r="AT398" s="51"/>
      <c r="AU398" s="51"/>
      <c r="AV398" s="82"/>
      <c r="AW398" s="699"/>
      <c r="AX398" s="93"/>
      <c r="AY398" s="93"/>
      <c r="AZ398" s="92"/>
      <c r="BA398" s="51"/>
      <c r="BB398" s="51"/>
      <c r="BC398" s="201"/>
      <c r="BD398" s="56"/>
      <c r="BE398" s="201"/>
      <c r="BF398" s="290"/>
      <c r="BG398" s="51"/>
      <c r="BH398" s="51"/>
      <c r="BI398" s="92"/>
      <c r="BJ398" s="51"/>
      <c r="BK398" s="51"/>
      <c r="BL398" s="113"/>
      <c r="BM398" s="51"/>
      <c r="BN398" s="52"/>
      <c r="BO398" s="52"/>
      <c r="BP398" s="92"/>
      <c r="BQ398" s="51"/>
      <c r="BR398" s="51"/>
      <c r="BS398" s="51"/>
      <c r="BT398" s="290"/>
      <c r="BU398" s="290"/>
      <c r="BV398" s="290"/>
      <c r="BW398" s="51"/>
      <c r="BX398" s="51"/>
      <c r="BY398" s="51"/>
      <c r="BZ398" s="92"/>
      <c r="CA398" s="51"/>
      <c r="CB398" s="92"/>
      <c r="CC398" s="699"/>
      <c r="CD398" s="93"/>
      <c r="CE398" s="93"/>
      <c r="CF398" s="92"/>
      <c r="CG398" s="51"/>
      <c r="CH398" s="51"/>
      <c r="CI398" s="290"/>
      <c r="CJ398" s="201"/>
      <c r="CK398" s="56"/>
      <c r="CL398" s="201"/>
      <c r="CM398" s="51"/>
      <c r="CN398" s="51"/>
      <c r="CO398" s="93"/>
      <c r="CP398" s="93"/>
      <c r="CQ398" s="93"/>
      <c r="CR398" s="79"/>
      <c r="CS398" s="699"/>
      <c r="CT398" s="93"/>
      <c r="CU398" s="93"/>
      <c r="CV398" s="93"/>
      <c r="CW398" s="93"/>
      <c r="CX398" s="93"/>
      <c r="CY398" s="51"/>
      <c r="CZ398" s="56"/>
      <c r="DA398" s="56"/>
      <c r="DB398" s="36"/>
      <c r="DC398" s="201"/>
      <c r="DD398" s="93"/>
      <c r="DE398" s="93"/>
      <c r="DF398" s="93"/>
      <c r="DG398" s="93"/>
      <c r="DH398" s="79"/>
      <c r="DI398" s="699"/>
      <c r="DJ398" s="93"/>
      <c r="DK398" s="93"/>
      <c r="DL398" s="93"/>
      <c r="DM398" s="51"/>
      <c r="DN398" s="51"/>
      <c r="DO398" s="51"/>
      <c r="DP398" s="64"/>
      <c r="DQ398" s="36"/>
      <c r="DR398" s="201"/>
      <c r="DS398" s="92"/>
      <c r="DT398" s="51"/>
      <c r="DU398" s="93"/>
      <c r="DV398" s="93"/>
      <c r="DW398" s="93"/>
      <c r="DX398" s="79"/>
      <c r="DZ398" s="798"/>
    </row>
    <row r="399" spans="1:130">
      <c r="A399" s="699">
        <v>138</v>
      </c>
      <c r="B399" s="52"/>
      <c r="C399" s="92"/>
      <c r="D399" s="92"/>
      <c r="E399" s="92"/>
      <c r="F399" s="291"/>
      <c r="G399" s="64"/>
      <c r="H399" s="36"/>
      <c r="I399" s="64"/>
      <c r="J399" s="291"/>
      <c r="K399" s="92"/>
      <c r="L399" s="92"/>
      <c r="M399" s="92"/>
      <c r="N399" s="92"/>
      <c r="O399" s="51"/>
      <c r="P399" s="113"/>
      <c r="Q399" s="699"/>
      <c r="R399" s="93"/>
      <c r="S399" s="93"/>
      <c r="T399" s="92"/>
      <c r="U399" s="92"/>
      <c r="V399" s="92"/>
      <c r="W399" s="64"/>
      <c r="X399" s="291"/>
      <c r="Y399" s="206"/>
      <c r="Z399" s="92"/>
      <c r="AA399" s="92"/>
      <c r="AB399" s="92"/>
      <c r="AC399" s="93"/>
      <c r="AD399" s="93"/>
      <c r="AE399" s="93"/>
      <c r="AF399" s="79"/>
      <c r="AG399" s="51"/>
      <c r="AH399" s="51"/>
      <c r="AI399" s="51"/>
      <c r="AJ399" s="51"/>
      <c r="AK399" s="51"/>
      <c r="AL399" s="92"/>
      <c r="AM399" s="291"/>
      <c r="AN399" s="161"/>
      <c r="AO399" s="291"/>
      <c r="AP399" s="92"/>
      <c r="AQ399" s="51"/>
      <c r="AR399" s="92"/>
      <c r="AS399" s="51"/>
      <c r="AT399" s="51"/>
      <c r="AU399" s="51"/>
      <c r="AV399" s="82"/>
      <c r="AW399" s="699"/>
      <c r="AX399" s="93"/>
      <c r="AY399" s="93"/>
      <c r="AZ399" s="92"/>
      <c r="BA399" s="92"/>
      <c r="BB399" s="92"/>
      <c r="BC399" s="92"/>
      <c r="BD399" s="291"/>
      <c r="BE399" s="291"/>
      <c r="BF399" s="291"/>
      <c r="BG399" s="92"/>
      <c r="BH399" s="92"/>
      <c r="BI399" s="92"/>
      <c r="BJ399" s="51"/>
      <c r="BK399" s="51"/>
      <c r="BL399" s="113"/>
      <c r="BM399" s="51"/>
      <c r="BN399" s="52"/>
      <c r="BO399" s="52"/>
      <c r="BP399" s="92"/>
      <c r="BQ399" s="92"/>
      <c r="BR399" s="92"/>
      <c r="BS399" s="291"/>
      <c r="BT399" s="54"/>
      <c r="BU399" s="64"/>
      <c r="BV399" s="54"/>
      <c r="BW399" s="291"/>
      <c r="BX399" s="92"/>
      <c r="BY399" s="92"/>
      <c r="BZ399" s="92"/>
      <c r="CA399" s="51"/>
      <c r="CB399" s="92"/>
      <c r="CC399" s="699"/>
      <c r="CD399" s="93"/>
      <c r="CE399" s="93"/>
      <c r="CF399" s="92"/>
      <c r="CG399" s="92"/>
      <c r="CH399" s="92"/>
      <c r="CI399" s="291"/>
      <c r="CJ399" s="291"/>
      <c r="CK399" s="291"/>
      <c r="CL399" s="92"/>
      <c r="CM399" s="92"/>
      <c r="CN399" s="92"/>
      <c r="CO399" s="93"/>
      <c r="CP399" s="93"/>
      <c r="CQ399" s="93"/>
      <c r="CR399" s="79"/>
      <c r="CS399" s="699"/>
      <c r="CT399" s="93"/>
      <c r="CU399" s="93"/>
      <c r="CV399" s="93"/>
      <c r="CW399" s="93"/>
      <c r="CX399" s="93"/>
      <c r="CY399" s="92"/>
      <c r="CZ399" s="206"/>
      <c r="DA399" s="206"/>
      <c r="DB399" s="291"/>
      <c r="DC399" s="92"/>
      <c r="DD399" s="93"/>
      <c r="DE399" s="93"/>
      <c r="DF399" s="93"/>
      <c r="DG399" s="93"/>
      <c r="DH399" s="79"/>
      <c r="DI399" s="699"/>
      <c r="DJ399" s="93"/>
      <c r="DK399" s="93"/>
      <c r="DL399" s="93"/>
      <c r="DM399" s="92"/>
      <c r="DN399" s="92"/>
      <c r="DO399" s="92"/>
      <c r="DP399" s="291"/>
      <c r="DQ399" s="291"/>
      <c r="DR399" s="64"/>
      <c r="DS399" s="92"/>
      <c r="DT399" s="92"/>
      <c r="DU399" s="93"/>
      <c r="DV399" s="93"/>
      <c r="DW399" s="93"/>
      <c r="DX399" s="79"/>
      <c r="DZ399" s="795"/>
    </row>
    <row r="400" spans="1:130">
      <c r="A400" s="51">
        <v>3</v>
      </c>
      <c r="B400" s="51"/>
      <c r="C400" s="92"/>
      <c r="D400" s="92"/>
      <c r="E400" s="206"/>
      <c r="F400" s="291"/>
      <c r="G400" s="291"/>
      <c r="H400" s="64"/>
      <c r="I400" s="291"/>
      <c r="J400" s="291"/>
      <c r="K400" s="206"/>
      <c r="L400" s="92"/>
      <c r="M400" s="92"/>
      <c r="N400" s="92"/>
      <c r="O400" s="51"/>
      <c r="P400" s="82"/>
      <c r="Q400" s="699"/>
      <c r="R400" s="93"/>
      <c r="S400" s="93"/>
      <c r="T400" s="92"/>
      <c r="U400" s="92"/>
      <c r="V400" s="293"/>
      <c r="W400" s="64"/>
      <c r="X400" s="291"/>
      <c r="Y400" s="291"/>
      <c r="Z400" s="206"/>
      <c r="AA400" s="92"/>
      <c r="AB400" s="92"/>
      <c r="AC400" s="93"/>
      <c r="AD400" s="93"/>
      <c r="AE400" s="93"/>
      <c r="AF400" s="79"/>
      <c r="AG400" s="51"/>
      <c r="AH400" s="51"/>
      <c r="AI400" s="51"/>
      <c r="AJ400" s="51"/>
      <c r="AK400" s="51"/>
      <c r="AL400" s="92"/>
      <c r="AM400" s="161"/>
      <c r="AN400" s="161"/>
      <c r="AO400" s="291"/>
      <c r="AP400" s="292"/>
      <c r="AQ400" s="51"/>
      <c r="AR400" s="92"/>
      <c r="AS400" s="51"/>
      <c r="AT400" s="51"/>
      <c r="AU400" s="51"/>
      <c r="AV400" s="82"/>
      <c r="AW400" s="699"/>
      <c r="AX400" s="93"/>
      <c r="AY400" s="93"/>
      <c r="AZ400" s="51"/>
      <c r="BA400" s="92"/>
      <c r="BB400" s="92"/>
      <c r="BC400" s="293"/>
      <c r="BD400" s="291"/>
      <c r="BE400" s="291"/>
      <c r="BF400" s="291"/>
      <c r="BG400" s="92"/>
      <c r="BH400" s="92"/>
      <c r="BI400" s="51"/>
      <c r="BJ400" s="51"/>
      <c r="BK400" s="51"/>
      <c r="BL400" s="82"/>
      <c r="BM400" s="51"/>
      <c r="BN400" s="51"/>
      <c r="BO400" s="51"/>
      <c r="BP400" s="92"/>
      <c r="BQ400" s="92"/>
      <c r="BR400" s="293"/>
      <c r="BS400" s="291"/>
      <c r="BT400" s="291"/>
      <c r="BU400" s="291"/>
      <c r="BV400" s="291"/>
      <c r="BW400" s="291"/>
      <c r="BX400" s="161"/>
      <c r="BY400" s="92"/>
      <c r="BZ400" s="92"/>
      <c r="CA400" s="51"/>
      <c r="CB400" s="51"/>
      <c r="CC400" s="699"/>
      <c r="CD400" s="93"/>
      <c r="CE400" s="93"/>
      <c r="CF400" s="93"/>
      <c r="CG400" s="92"/>
      <c r="CH400" s="293"/>
      <c r="CI400" s="291"/>
      <c r="CJ400" s="291"/>
      <c r="CK400" s="291"/>
      <c r="CL400" s="161"/>
      <c r="CM400" s="92"/>
      <c r="CN400" s="92"/>
      <c r="CO400" s="93"/>
      <c r="CP400" s="93"/>
      <c r="CQ400" s="93"/>
      <c r="CR400" s="79"/>
      <c r="CS400" s="699"/>
      <c r="CT400" s="93"/>
      <c r="CU400" s="93"/>
      <c r="CV400" s="93"/>
      <c r="CW400" s="93"/>
      <c r="CX400" s="93"/>
      <c r="CY400" s="292"/>
      <c r="CZ400" s="291"/>
      <c r="DA400" s="161"/>
      <c r="DB400" s="161"/>
      <c r="DC400" s="92"/>
      <c r="DD400" s="93"/>
      <c r="DE400" s="93"/>
      <c r="DF400" s="93"/>
      <c r="DG400" s="93"/>
      <c r="DH400" s="79"/>
      <c r="DI400" s="699"/>
      <c r="DJ400" s="93"/>
      <c r="DK400" s="93"/>
      <c r="DL400" s="93"/>
      <c r="DM400" s="92"/>
      <c r="DN400" s="92"/>
      <c r="DO400" s="293"/>
      <c r="DP400" s="291"/>
      <c r="DQ400" s="291"/>
      <c r="DR400" s="64"/>
      <c r="DS400" s="161"/>
      <c r="DT400" s="92"/>
      <c r="DU400" s="93"/>
      <c r="DV400" s="93"/>
      <c r="DW400" s="93"/>
      <c r="DX400" s="79"/>
      <c r="DZ400" s="795"/>
    </row>
    <row r="401" spans="1:130">
      <c r="A401" s="51">
        <v>96</v>
      </c>
      <c r="B401" s="52"/>
      <c r="C401" s="92"/>
      <c r="D401" s="206"/>
      <c r="E401" s="291"/>
      <c r="F401" s="291"/>
      <c r="G401" s="291"/>
      <c r="H401" s="161"/>
      <c r="I401" s="161"/>
      <c r="J401" s="291"/>
      <c r="K401" s="291"/>
      <c r="L401" s="92"/>
      <c r="M401" s="92"/>
      <c r="N401" s="51"/>
      <c r="O401" s="92"/>
      <c r="P401" s="113"/>
      <c r="Q401" s="699"/>
      <c r="R401" s="93"/>
      <c r="S401" s="93"/>
      <c r="T401" s="92"/>
      <c r="U401" s="92"/>
      <c r="V401" s="161"/>
      <c r="W401" s="291"/>
      <c r="X401" s="161"/>
      <c r="Y401" s="291"/>
      <c r="Z401" s="291"/>
      <c r="AA401" s="206"/>
      <c r="AB401" s="92"/>
      <c r="AC401" s="93"/>
      <c r="AD401" s="93"/>
      <c r="AE401" s="93"/>
      <c r="AF401" s="79"/>
      <c r="AG401" s="51"/>
      <c r="AH401" s="51"/>
      <c r="AI401" s="51"/>
      <c r="AJ401" s="51"/>
      <c r="AK401" s="51"/>
      <c r="AL401" s="292"/>
      <c r="AM401" s="293"/>
      <c r="AN401" s="206"/>
      <c r="AO401" s="292"/>
      <c r="AP401" s="206"/>
      <c r="AQ401" s="51"/>
      <c r="AR401" s="92"/>
      <c r="AS401" s="51"/>
      <c r="AT401" s="51"/>
      <c r="AU401" s="51"/>
      <c r="AV401" s="82"/>
      <c r="AW401" s="699"/>
      <c r="AX401" s="93"/>
      <c r="AY401" s="93"/>
      <c r="AZ401" s="51"/>
      <c r="BA401" s="92"/>
      <c r="BB401" s="161"/>
      <c r="BC401" s="291"/>
      <c r="BD401" s="291"/>
      <c r="BE401" s="291"/>
      <c r="BF401" s="291"/>
      <c r="BG401" s="161"/>
      <c r="BH401" s="92"/>
      <c r="BI401" s="92"/>
      <c r="BJ401" s="92"/>
      <c r="BK401" s="92"/>
      <c r="BL401" s="113"/>
      <c r="BM401" s="51"/>
      <c r="BN401" s="51"/>
      <c r="BO401" s="51"/>
      <c r="BP401" s="92"/>
      <c r="BQ401" s="92"/>
      <c r="BR401" s="291"/>
      <c r="BS401" s="291"/>
      <c r="BT401" s="291"/>
      <c r="BU401" s="161"/>
      <c r="BV401" s="161"/>
      <c r="BW401" s="291"/>
      <c r="BX401" s="292"/>
      <c r="BY401" s="92"/>
      <c r="BZ401" s="92"/>
      <c r="CA401" s="92"/>
      <c r="CB401" s="92"/>
      <c r="CC401" s="699"/>
      <c r="CD401" s="93"/>
      <c r="CE401" s="93"/>
      <c r="CF401" s="93"/>
      <c r="CG401" s="51"/>
      <c r="CH401" s="206"/>
      <c r="CI401" s="161"/>
      <c r="CJ401" s="291"/>
      <c r="CK401" s="291"/>
      <c r="CL401" s="291"/>
      <c r="CM401" s="161"/>
      <c r="CN401" s="92"/>
      <c r="CO401" s="93"/>
      <c r="CP401" s="93"/>
      <c r="CQ401" s="93"/>
      <c r="CR401" s="79"/>
      <c r="CS401" s="699"/>
      <c r="CT401" s="93"/>
      <c r="CU401" s="93"/>
      <c r="CV401" s="93"/>
      <c r="CW401" s="93"/>
      <c r="CX401" s="93"/>
      <c r="CY401" s="206"/>
      <c r="CZ401" s="293"/>
      <c r="DA401" s="161"/>
      <c r="DB401" s="291"/>
      <c r="DC401" s="92"/>
      <c r="DD401" s="93"/>
      <c r="DE401" s="93"/>
      <c r="DF401" s="93"/>
      <c r="DG401" s="93"/>
      <c r="DH401" s="79"/>
      <c r="DI401" s="699"/>
      <c r="DJ401" s="93"/>
      <c r="DK401" s="93"/>
      <c r="DL401" s="93"/>
      <c r="DM401" s="92"/>
      <c r="DN401" s="293"/>
      <c r="DO401" s="291"/>
      <c r="DP401" s="291"/>
      <c r="DQ401" s="161"/>
      <c r="DR401" s="291"/>
      <c r="DS401" s="161"/>
      <c r="DT401" s="92"/>
      <c r="DU401" s="93"/>
      <c r="DV401" s="93"/>
      <c r="DW401" s="93"/>
      <c r="DX401" s="79"/>
      <c r="DZ401" s="795"/>
    </row>
    <row r="402" spans="1:130">
      <c r="A402" s="51">
        <v>24</v>
      </c>
      <c r="B402" s="51"/>
      <c r="C402" s="92"/>
      <c r="D402" s="206"/>
      <c r="E402" s="206"/>
      <c r="F402" s="161"/>
      <c r="G402" s="291"/>
      <c r="H402" s="291"/>
      <c r="I402" s="161"/>
      <c r="J402" s="291"/>
      <c r="K402" s="206"/>
      <c r="L402" s="92"/>
      <c r="M402" s="51"/>
      <c r="N402" s="51"/>
      <c r="O402" s="92"/>
      <c r="P402" s="113"/>
      <c r="Q402" s="699"/>
      <c r="R402" s="93"/>
      <c r="S402" s="93"/>
      <c r="T402" s="92"/>
      <c r="U402" s="292"/>
      <c r="V402" s="291"/>
      <c r="W402" s="161"/>
      <c r="X402" s="161"/>
      <c r="Y402" s="206"/>
      <c r="Z402" s="291"/>
      <c r="AA402" s="206"/>
      <c r="AB402" s="92"/>
      <c r="AC402" s="93"/>
      <c r="AD402" s="93"/>
      <c r="AE402" s="93"/>
      <c r="AF402" s="79"/>
      <c r="AG402" s="51"/>
      <c r="AH402" s="51"/>
      <c r="AI402" s="51"/>
      <c r="AJ402" s="51"/>
      <c r="AK402" s="51"/>
      <c r="AL402" s="292"/>
      <c r="AM402" s="161"/>
      <c r="AN402" s="206"/>
      <c r="AO402" s="291"/>
      <c r="AP402" s="206"/>
      <c r="AQ402" s="51"/>
      <c r="AR402" s="92"/>
      <c r="AS402" s="51"/>
      <c r="AT402" s="51"/>
      <c r="AU402" s="51"/>
      <c r="AV402" s="82"/>
      <c r="AW402" s="699"/>
      <c r="AX402" s="93"/>
      <c r="AY402" s="93"/>
      <c r="AZ402" s="51"/>
      <c r="BA402" s="92"/>
      <c r="BB402" s="293"/>
      <c r="BC402" s="291"/>
      <c r="BD402" s="206"/>
      <c r="BE402" s="291"/>
      <c r="BF402" s="161"/>
      <c r="BG402" s="292"/>
      <c r="BH402" s="92"/>
      <c r="BI402" s="92"/>
      <c r="BJ402" s="92"/>
      <c r="BK402" s="92"/>
      <c r="BL402" s="113"/>
      <c r="BM402" s="51"/>
      <c r="BN402" s="51"/>
      <c r="BO402" s="51"/>
      <c r="BP402" s="92"/>
      <c r="BQ402" s="293"/>
      <c r="BR402" s="291"/>
      <c r="BS402" s="206"/>
      <c r="BT402" s="291"/>
      <c r="BU402" s="291"/>
      <c r="BV402" s="161"/>
      <c r="BW402" s="206"/>
      <c r="BX402" s="291"/>
      <c r="BY402" s="292"/>
      <c r="BZ402" s="92"/>
      <c r="CA402" s="92"/>
      <c r="CB402" s="92"/>
      <c r="CC402" s="699"/>
      <c r="CD402" s="93"/>
      <c r="CE402" s="93"/>
      <c r="CF402" s="93"/>
      <c r="CG402" s="293"/>
      <c r="CH402" s="291"/>
      <c r="CI402" s="161"/>
      <c r="CJ402" s="291"/>
      <c r="CK402" s="206"/>
      <c r="CL402" s="291"/>
      <c r="CM402" s="161"/>
      <c r="CN402" s="291"/>
      <c r="CO402" s="93"/>
      <c r="CP402" s="93"/>
      <c r="CQ402" s="93"/>
      <c r="CR402" s="79"/>
      <c r="CS402" s="699"/>
      <c r="CT402" s="93"/>
      <c r="CU402" s="93"/>
      <c r="CV402" s="93"/>
      <c r="CW402" s="93"/>
      <c r="CX402" s="93"/>
      <c r="CY402" s="206"/>
      <c r="CZ402" s="291"/>
      <c r="DA402" s="161"/>
      <c r="DB402" s="161"/>
      <c r="DC402" s="92"/>
      <c r="DD402" s="93"/>
      <c r="DE402" s="93"/>
      <c r="DF402" s="93"/>
      <c r="DG402" s="93"/>
      <c r="DH402" s="79"/>
      <c r="DI402" s="699"/>
      <c r="DJ402" s="93"/>
      <c r="DK402" s="93"/>
      <c r="DL402" s="93"/>
      <c r="DM402" s="92"/>
      <c r="DN402" s="161"/>
      <c r="DO402" s="291"/>
      <c r="DP402" s="206"/>
      <c r="DQ402" s="161"/>
      <c r="DR402" s="161"/>
      <c r="DS402" s="206"/>
      <c r="DT402" s="292"/>
      <c r="DU402" s="93"/>
      <c r="DV402" s="93"/>
      <c r="DW402" s="93"/>
      <c r="DX402" s="79"/>
      <c r="DZ402" s="795"/>
    </row>
    <row r="403" spans="1:130">
      <c r="A403" s="51">
        <v>46</v>
      </c>
      <c r="B403" s="51"/>
      <c r="C403" s="92"/>
      <c r="D403" s="206"/>
      <c r="E403" s="206"/>
      <c r="F403" s="161"/>
      <c r="G403" s="291"/>
      <c r="H403" s="161"/>
      <c r="I403" s="161"/>
      <c r="J403" s="206"/>
      <c r="K403" s="206"/>
      <c r="L403" s="92"/>
      <c r="M403" s="51"/>
      <c r="N403" s="51"/>
      <c r="O403" s="92"/>
      <c r="P403" s="82"/>
      <c r="Q403" s="699"/>
      <c r="R403" s="93"/>
      <c r="S403" s="93"/>
      <c r="T403" s="292"/>
      <c r="U403" s="292"/>
      <c r="V403" s="206"/>
      <c r="W403" s="291"/>
      <c r="X403" s="161"/>
      <c r="Y403" s="206"/>
      <c r="Z403" s="291"/>
      <c r="AA403" s="291"/>
      <c r="AB403" s="93"/>
      <c r="AC403" s="93"/>
      <c r="AD403" s="93"/>
      <c r="AE403" s="93"/>
      <c r="AF403" s="79"/>
      <c r="AG403" s="51"/>
      <c r="AH403" s="51"/>
      <c r="AI403" s="51"/>
      <c r="AJ403" s="51"/>
      <c r="AK403" s="51"/>
      <c r="AL403" s="292"/>
      <c r="AM403" s="161"/>
      <c r="AN403" s="206"/>
      <c r="AO403" s="291"/>
      <c r="AP403" s="206"/>
      <c r="AQ403" s="51"/>
      <c r="AR403" s="92"/>
      <c r="AS403" s="51"/>
      <c r="AT403" s="51"/>
      <c r="AU403" s="51"/>
      <c r="AV403" s="82"/>
      <c r="AW403" s="699"/>
      <c r="AX403" s="93"/>
      <c r="AY403" s="93"/>
      <c r="AZ403" s="51"/>
      <c r="BA403" s="92"/>
      <c r="BB403" s="293"/>
      <c r="BC403" s="291"/>
      <c r="BD403" s="206"/>
      <c r="BE403" s="291"/>
      <c r="BF403" s="161"/>
      <c r="BG403" s="291"/>
      <c r="BH403" s="161"/>
      <c r="BI403" s="92"/>
      <c r="BJ403" s="92"/>
      <c r="BK403" s="92"/>
      <c r="BL403" s="82"/>
      <c r="BM403" s="51"/>
      <c r="BN403" s="51"/>
      <c r="BO403" s="51"/>
      <c r="BP403" s="51"/>
      <c r="BQ403" s="293"/>
      <c r="BR403" s="291"/>
      <c r="BS403" s="161"/>
      <c r="BT403" s="291"/>
      <c r="BU403" s="291"/>
      <c r="BV403" s="161"/>
      <c r="BW403" s="206"/>
      <c r="BX403" s="291"/>
      <c r="BY403" s="161"/>
      <c r="BZ403" s="161"/>
      <c r="CA403" s="92"/>
      <c r="CB403" s="51"/>
      <c r="CC403" s="699"/>
      <c r="CD403" s="93"/>
      <c r="CE403" s="93"/>
      <c r="CF403" s="93"/>
      <c r="CG403" s="292"/>
      <c r="CH403" s="206"/>
      <c r="CI403" s="161"/>
      <c r="CJ403" s="291"/>
      <c r="CK403" s="206"/>
      <c r="CL403" s="291"/>
      <c r="CM403" s="291"/>
      <c r="CN403" s="291"/>
      <c r="CO403" s="93"/>
      <c r="CP403" s="93"/>
      <c r="CQ403" s="93"/>
      <c r="CR403" s="79"/>
      <c r="CS403" s="699"/>
      <c r="CT403" s="93"/>
      <c r="CU403" s="93"/>
      <c r="CV403" s="93"/>
      <c r="CW403" s="93"/>
      <c r="CX403" s="93"/>
      <c r="CY403" s="206"/>
      <c r="CZ403" s="291"/>
      <c r="DA403" s="293"/>
      <c r="DB403" s="161"/>
      <c r="DC403" s="92"/>
      <c r="DD403" s="93"/>
      <c r="DE403" s="93"/>
      <c r="DF403" s="93"/>
      <c r="DG403" s="93"/>
      <c r="DH403" s="79"/>
      <c r="DI403" s="699"/>
      <c r="DJ403" s="93"/>
      <c r="DK403" s="93"/>
      <c r="DL403" s="93"/>
      <c r="DM403" s="291"/>
      <c r="DN403" s="291"/>
      <c r="DO403" s="291"/>
      <c r="DP403" s="206"/>
      <c r="DQ403" s="161"/>
      <c r="DR403" s="291"/>
      <c r="DS403" s="206"/>
      <c r="DT403" s="291"/>
      <c r="DU403" s="93"/>
      <c r="DV403" s="93"/>
      <c r="DW403" s="93"/>
      <c r="DX403" s="79"/>
      <c r="DZ403" s="795"/>
    </row>
    <row r="404" spans="1:130">
      <c r="A404" s="51">
        <v>47</v>
      </c>
      <c r="B404" s="51"/>
      <c r="C404" s="92"/>
      <c r="D404" s="291"/>
      <c r="E404" s="292"/>
      <c r="F404" s="161"/>
      <c r="G404" s="291"/>
      <c r="H404" s="291"/>
      <c r="I404" s="161"/>
      <c r="J404" s="206"/>
      <c r="K404" s="291"/>
      <c r="L404" s="51"/>
      <c r="M404" s="51"/>
      <c r="N404" s="51"/>
      <c r="O404" s="92"/>
      <c r="P404" s="113"/>
      <c r="Q404" s="699"/>
      <c r="R404" s="93"/>
      <c r="S404" s="294"/>
      <c r="T404" s="291"/>
      <c r="U404" s="206"/>
      <c r="V404" s="206"/>
      <c r="W404" s="161"/>
      <c r="X404" s="161"/>
      <c r="Y404" s="292"/>
      <c r="Z404" s="291"/>
      <c r="AA404" s="206"/>
      <c r="AB404" s="93"/>
      <c r="AC404" s="93"/>
      <c r="AD404" s="93"/>
      <c r="AE404" s="93"/>
      <c r="AF404" s="79"/>
      <c r="AG404" s="51"/>
      <c r="AH404" s="51"/>
      <c r="AI404" s="51"/>
      <c r="AJ404" s="51"/>
      <c r="AK404" s="292"/>
      <c r="AL404" s="292"/>
      <c r="AM404" s="293"/>
      <c r="AN404" s="291"/>
      <c r="AO404" s="291"/>
      <c r="AP404" s="206"/>
      <c r="AQ404" s="51"/>
      <c r="AR404" s="92"/>
      <c r="AS404" s="51"/>
      <c r="AT404" s="51"/>
      <c r="AU404" s="51"/>
      <c r="AV404" s="82"/>
      <c r="AW404" s="699"/>
      <c r="AX404" s="93"/>
      <c r="AY404" s="93"/>
      <c r="AZ404" s="51"/>
      <c r="BA404" s="92"/>
      <c r="BB404" s="161"/>
      <c r="BC404" s="206"/>
      <c r="BD404" s="292"/>
      <c r="BE404" s="291"/>
      <c r="BF404" s="291"/>
      <c r="BG404" s="206"/>
      <c r="BH404" s="206"/>
      <c r="BI404" s="294"/>
      <c r="BJ404" s="92"/>
      <c r="BK404" s="92"/>
      <c r="BL404" s="113"/>
      <c r="BM404" s="51"/>
      <c r="BN404" s="51"/>
      <c r="BO404" s="51"/>
      <c r="BP404" s="51"/>
      <c r="BQ404" s="291"/>
      <c r="BR404" s="291"/>
      <c r="BS404" s="161"/>
      <c r="BT404" s="291"/>
      <c r="BU404" s="291"/>
      <c r="BV404" s="161"/>
      <c r="BW404" s="206"/>
      <c r="BX404" s="92"/>
      <c r="BY404" s="291"/>
      <c r="BZ404" s="161"/>
      <c r="CA404" s="294"/>
      <c r="CB404" s="92"/>
      <c r="CC404" s="699"/>
      <c r="CD404" s="93"/>
      <c r="CE404" s="93"/>
      <c r="CF404" s="93"/>
      <c r="CG404" s="291"/>
      <c r="CH404" s="206"/>
      <c r="CI404" s="161"/>
      <c r="CJ404" s="291"/>
      <c r="CK404" s="292"/>
      <c r="CL404" s="206"/>
      <c r="CM404" s="291"/>
      <c r="CN404" s="291"/>
      <c r="CO404" s="93"/>
      <c r="CP404" s="93"/>
      <c r="CQ404" s="93"/>
      <c r="CR404" s="79"/>
      <c r="CS404" s="699"/>
      <c r="CT404" s="93"/>
      <c r="CU404" s="93"/>
      <c r="CV404" s="93"/>
      <c r="CW404" s="93"/>
      <c r="CX404" s="93"/>
      <c r="CY404" s="206"/>
      <c r="CZ404" s="291"/>
      <c r="DA404" s="291"/>
      <c r="DB404" s="161"/>
      <c r="DC404" s="161"/>
      <c r="DD404" s="93"/>
      <c r="DE404" s="93"/>
      <c r="DF404" s="93"/>
      <c r="DG404" s="93"/>
      <c r="DH404" s="79"/>
      <c r="DI404" s="699"/>
      <c r="DJ404" s="93"/>
      <c r="DK404" s="93"/>
      <c r="DL404" s="93"/>
      <c r="DM404" s="290"/>
      <c r="DN404" s="293"/>
      <c r="DO404" s="293"/>
      <c r="DP404" s="206"/>
      <c r="DQ404" s="161"/>
      <c r="DR404" s="161"/>
      <c r="DS404" s="206"/>
      <c r="DT404" s="161"/>
      <c r="DU404" s="93"/>
      <c r="DV404" s="93"/>
      <c r="DW404" s="93"/>
      <c r="DX404" s="79"/>
      <c r="DZ404" s="795"/>
    </row>
    <row r="405" spans="1:130">
      <c r="A405" s="51">
        <v>150</v>
      </c>
      <c r="B405" s="51"/>
      <c r="C405" s="294"/>
      <c r="D405" s="291"/>
      <c r="E405" s="291"/>
      <c r="F405" s="161"/>
      <c r="G405" s="291"/>
      <c r="H405" s="161"/>
      <c r="I405" s="161"/>
      <c r="J405" s="292"/>
      <c r="K405" s="291"/>
      <c r="L405" s="206"/>
      <c r="M405" s="51"/>
      <c r="N405" s="51"/>
      <c r="O405" s="51"/>
      <c r="P405" s="82"/>
      <c r="Q405" s="699"/>
      <c r="R405" s="93"/>
      <c r="S405" s="290"/>
      <c r="T405" s="64"/>
      <c r="U405" s="64"/>
      <c r="V405" s="291"/>
      <c r="W405" s="291"/>
      <c r="X405" s="206"/>
      <c r="Y405" s="291"/>
      <c r="Z405" s="206"/>
      <c r="AA405" s="93"/>
      <c r="AB405" s="93"/>
      <c r="AC405" s="93"/>
      <c r="AD405" s="93"/>
      <c r="AE405" s="93"/>
      <c r="AF405" s="79"/>
      <c r="AG405" s="51"/>
      <c r="AH405" s="51"/>
      <c r="AI405" s="51"/>
      <c r="AJ405" s="51"/>
      <c r="AK405" s="292"/>
      <c r="AL405" s="292"/>
      <c r="AM405" s="206"/>
      <c r="AN405" s="291"/>
      <c r="AO405" s="206"/>
      <c r="AP405" s="291"/>
      <c r="AQ405" s="51"/>
      <c r="AR405" s="92"/>
      <c r="AS405" s="51"/>
      <c r="AT405" s="51"/>
      <c r="AU405" s="51"/>
      <c r="AV405" s="82"/>
      <c r="AW405" s="699"/>
      <c r="AX405" s="93"/>
      <c r="AY405" s="93"/>
      <c r="AZ405" s="51"/>
      <c r="BA405" s="161"/>
      <c r="BB405" s="291"/>
      <c r="BC405" s="206"/>
      <c r="BD405" s="291"/>
      <c r="BE405" s="291"/>
      <c r="BF405" s="291"/>
      <c r="BG405" s="206"/>
      <c r="BH405" s="290"/>
      <c r="BI405" s="290"/>
      <c r="BJ405" s="51"/>
      <c r="BK405" s="51"/>
      <c r="BL405" s="82"/>
      <c r="BM405" s="51"/>
      <c r="BN405" s="51"/>
      <c r="BO405" s="51"/>
      <c r="BP405" s="51"/>
      <c r="BQ405" s="291"/>
      <c r="BR405" s="291"/>
      <c r="BS405" s="161"/>
      <c r="BT405" s="291"/>
      <c r="BU405" s="291"/>
      <c r="BV405" s="161"/>
      <c r="BW405" s="291"/>
      <c r="BX405" s="206"/>
      <c r="BY405" s="290"/>
      <c r="BZ405" s="290"/>
      <c r="CA405" s="290"/>
      <c r="CB405" s="51"/>
      <c r="CC405" s="699"/>
      <c r="CD405" s="93"/>
      <c r="CE405" s="93"/>
      <c r="CF405" s="93"/>
      <c r="CG405" s="292"/>
      <c r="CH405" s="206"/>
      <c r="CI405" s="161"/>
      <c r="CJ405" s="291"/>
      <c r="CK405" s="291"/>
      <c r="CL405" s="161"/>
      <c r="CM405" s="206"/>
      <c r="CN405" s="294"/>
      <c r="CO405" s="294"/>
      <c r="CP405" s="93"/>
      <c r="CQ405" s="93"/>
      <c r="CR405" s="79"/>
      <c r="CS405" s="699"/>
      <c r="CT405" s="93"/>
      <c r="CU405" s="93"/>
      <c r="CV405" s="93"/>
      <c r="CW405" s="93"/>
      <c r="CX405" s="93"/>
      <c r="CY405" s="206"/>
      <c r="CZ405" s="291"/>
      <c r="DA405" s="291"/>
      <c r="DB405" s="293"/>
      <c r="DC405" s="161"/>
      <c r="DD405" s="93"/>
      <c r="DE405" s="93"/>
      <c r="DF405" s="93"/>
      <c r="DG405" s="93"/>
      <c r="DH405" s="79"/>
      <c r="DI405" s="699"/>
      <c r="DJ405" s="93"/>
      <c r="DK405" s="93"/>
      <c r="DL405" s="93"/>
      <c r="DM405" s="93"/>
      <c r="DN405" s="290"/>
      <c r="DO405" s="293"/>
      <c r="DP405" s="293"/>
      <c r="DQ405" s="206"/>
      <c r="DR405" s="291"/>
      <c r="DS405" s="206"/>
      <c r="DT405" s="161"/>
      <c r="DU405" s="93"/>
      <c r="DV405" s="93"/>
      <c r="DW405" s="93"/>
      <c r="DX405" s="79"/>
      <c r="DZ405" s="795"/>
    </row>
    <row r="406" spans="1:130">
      <c r="A406" s="51">
        <v>250</v>
      </c>
      <c r="B406" s="51"/>
      <c r="C406" s="290"/>
      <c r="D406" s="291"/>
      <c r="E406" s="35"/>
      <c r="F406" s="199"/>
      <c r="G406" s="161"/>
      <c r="H406" s="161"/>
      <c r="I406" s="161"/>
      <c r="J406" s="292"/>
      <c r="K406" s="291"/>
      <c r="L406" s="292"/>
      <c r="M406" s="51"/>
      <c r="N406" s="51"/>
      <c r="O406" s="51"/>
      <c r="P406" s="113"/>
      <c r="Q406" s="699"/>
      <c r="R406" s="93"/>
      <c r="S406" s="290"/>
      <c r="T406" s="35"/>
      <c r="U406" s="297"/>
      <c r="V406" s="297"/>
      <c r="W406" s="161"/>
      <c r="X406" s="206"/>
      <c r="Y406" s="291"/>
      <c r="Z406" s="206"/>
      <c r="AA406" s="93"/>
      <c r="AB406" s="93"/>
      <c r="AC406" s="93"/>
      <c r="AD406" s="93"/>
      <c r="AE406" s="93"/>
      <c r="AF406" s="79"/>
      <c r="AG406" s="51"/>
      <c r="AH406" s="51"/>
      <c r="AI406" s="51"/>
      <c r="AJ406" s="51"/>
      <c r="AK406" s="36"/>
      <c r="AL406" s="54"/>
      <c r="AM406" s="161"/>
      <c r="AN406" s="291"/>
      <c r="AO406" s="206"/>
      <c r="AP406" s="291"/>
      <c r="AQ406" s="51"/>
      <c r="AR406" s="92"/>
      <c r="AS406" s="51"/>
      <c r="AT406" s="51"/>
      <c r="AU406" s="51"/>
      <c r="AV406" s="82"/>
      <c r="AW406" s="699"/>
      <c r="AX406" s="93"/>
      <c r="AY406" s="93"/>
      <c r="AZ406" s="51"/>
      <c r="BA406" s="291"/>
      <c r="BB406" s="291"/>
      <c r="BC406" s="206"/>
      <c r="BD406" s="161"/>
      <c r="BE406" s="291"/>
      <c r="BF406" s="291"/>
      <c r="BG406" s="206"/>
      <c r="BH406" s="290"/>
      <c r="BI406" s="290"/>
      <c r="BJ406" s="51"/>
      <c r="BK406" s="51"/>
      <c r="BL406" s="113"/>
      <c r="BM406" s="51"/>
      <c r="BN406" s="51"/>
      <c r="BO406" s="51"/>
      <c r="BP406" s="51"/>
      <c r="BQ406" s="64"/>
      <c r="BR406" s="54"/>
      <c r="BS406" s="161"/>
      <c r="BT406" s="291"/>
      <c r="BU406" s="291"/>
      <c r="BV406" s="161"/>
      <c r="BW406" s="291"/>
      <c r="BX406" s="206"/>
      <c r="BY406" s="290"/>
      <c r="BZ406" s="290"/>
      <c r="CA406" s="290"/>
      <c r="CB406" s="92"/>
      <c r="CC406" s="699"/>
      <c r="CD406" s="93"/>
      <c r="CE406" s="93"/>
      <c r="CF406" s="93"/>
      <c r="CG406" s="291"/>
      <c r="CH406" s="206"/>
      <c r="CI406" s="161"/>
      <c r="CJ406" s="291"/>
      <c r="CK406" s="161"/>
      <c r="CL406" s="292"/>
      <c r="CM406" s="290"/>
      <c r="CN406" s="290"/>
      <c r="CO406" s="290"/>
      <c r="CP406" s="93"/>
      <c r="CQ406" s="93"/>
      <c r="CR406" s="79"/>
      <c r="CS406" s="699"/>
      <c r="CT406" s="93"/>
      <c r="CU406" s="93"/>
      <c r="CV406" s="93"/>
      <c r="CW406" s="93"/>
      <c r="CX406" s="93"/>
      <c r="CY406" s="93"/>
      <c r="CZ406" s="206"/>
      <c r="DA406" s="290"/>
      <c r="DB406" s="290"/>
      <c r="DC406" s="293"/>
      <c r="DD406" s="93"/>
      <c r="DE406" s="93"/>
      <c r="DF406" s="93"/>
      <c r="DG406" s="93"/>
      <c r="DH406" s="79"/>
      <c r="DI406" s="699"/>
      <c r="DJ406" s="93"/>
      <c r="DK406" s="93"/>
      <c r="DL406" s="93"/>
      <c r="DM406" s="294"/>
      <c r="DN406" s="294"/>
      <c r="DO406" s="290"/>
      <c r="DP406" s="35"/>
      <c r="DQ406" s="64"/>
      <c r="DR406" s="161"/>
      <c r="DS406" s="206"/>
      <c r="DT406" s="291"/>
      <c r="DU406" s="93"/>
      <c r="DV406" s="93"/>
      <c r="DW406" s="93"/>
      <c r="DX406" s="79"/>
      <c r="DZ406" s="795"/>
    </row>
    <row r="407" spans="1:130">
      <c r="A407" s="51">
        <v>30</v>
      </c>
      <c r="B407" s="51"/>
      <c r="C407" s="290"/>
      <c r="D407" s="290"/>
      <c r="E407" s="35"/>
      <c r="F407" s="36"/>
      <c r="G407" s="297"/>
      <c r="H407" s="297"/>
      <c r="I407" s="161"/>
      <c r="J407" s="292"/>
      <c r="K407" s="291"/>
      <c r="L407" s="291"/>
      <c r="M407" s="51"/>
      <c r="N407" s="51"/>
      <c r="O407" s="51"/>
      <c r="P407" s="113"/>
      <c r="Q407" s="699"/>
      <c r="R407" s="93"/>
      <c r="S407" s="93"/>
      <c r="T407" s="35"/>
      <c r="U407" s="35"/>
      <c r="V407" s="205"/>
      <c r="W407" s="301"/>
      <c r="X407" s="54"/>
      <c r="Y407" s="64"/>
      <c r="Z407" s="291"/>
      <c r="AA407" s="93"/>
      <c r="AB407" s="93"/>
      <c r="AC407" s="93"/>
      <c r="AD407" s="93"/>
      <c r="AE407" s="93"/>
      <c r="AF407" s="79"/>
      <c r="AG407" s="51"/>
      <c r="AH407" s="51"/>
      <c r="AI407" s="51"/>
      <c r="AJ407" s="51"/>
      <c r="AK407" s="51"/>
      <c r="AL407" s="301"/>
      <c r="AM407" s="54"/>
      <c r="AN407" s="206"/>
      <c r="AO407" s="206"/>
      <c r="AP407" s="293"/>
      <c r="AQ407" s="51"/>
      <c r="AR407" s="92"/>
      <c r="AS407" s="51"/>
      <c r="AT407" s="51"/>
      <c r="AU407" s="51"/>
      <c r="AV407" s="82"/>
      <c r="AW407" s="699"/>
      <c r="AX407" s="93"/>
      <c r="AY407" s="93"/>
      <c r="AZ407" s="51"/>
      <c r="BA407" s="64"/>
      <c r="BB407" s="206"/>
      <c r="BC407" s="291"/>
      <c r="BD407" s="291"/>
      <c r="BE407" s="161"/>
      <c r="BF407" s="161"/>
      <c r="BG407" s="51"/>
      <c r="BH407" s="51"/>
      <c r="BI407" s="51"/>
      <c r="BJ407" s="51"/>
      <c r="BK407" s="51"/>
      <c r="BL407" s="113"/>
      <c r="BM407" s="51"/>
      <c r="BN407" s="51"/>
      <c r="BO407" s="51"/>
      <c r="BP407" s="51"/>
      <c r="BQ407" s="35"/>
      <c r="BR407" s="161"/>
      <c r="BS407" s="291"/>
      <c r="BT407" s="161"/>
      <c r="BU407" s="161"/>
      <c r="BV407" s="161"/>
      <c r="BW407" s="161"/>
      <c r="BX407" s="35"/>
      <c r="BY407" s="51"/>
      <c r="BZ407" s="92"/>
      <c r="CA407" s="92"/>
      <c r="CB407" s="92"/>
      <c r="CC407" s="699"/>
      <c r="CD407" s="93"/>
      <c r="CE407" s="93"/>
      <c r="CF407" s="93"/>
      <c r="CG407" s="93"/>
      <c r="CH407" s="292"/>
      <c r="CI407" s="161"/>
      <c r="CJ407" s="161"/>
      <c r="CK407" s="291"/>
      <c r="CL407" s="206"/>
      <c r="CM407" s="290"/>
      <c r="CN407" s="290"/>
      <c r="CO407" s="290"/>
      <c r="CP407" s="93"/>
      <c r="CQ407" s="93"/>
      <c r="CR407" s="79"/>
      <c r="CS407" s="699"/>
      <c r="CT407" s="93"/>
      <c r="CU407" s="93"/>
      <c r="CV407" s="93"/>
      <c r="CW407" s="93"/>
      <c r="CX407" s="93"/>
      <c r="CY407" s="93"/>
      <c r="CZ407" s="291"/>
      <c r="DA407" s="290"/>
      <c r="DB407" s="294"/>
      <c r="DC407" s="54"/>
      <c r="DD407" s="93"/>
      <c r="DE407" s="93"/>
      <c r="DF407" s="93"/>
      <c r="DG407" s="93"/>
      <c r="DH407" s="79"/>
      <c r="DI407" s="699"/>
      <c r="DJ407" s="93"/>
      <c r="DK407" s="93"/>
      <c r="DL407" s="93"/>
      <c r="DM407" s="290"/>
      <c r="DN407" s="290"/>
      <c r="DO407" s="290"/>
      <c r="DP407" s="35"/>
      <c r="DQ407" s="64"/>
      <c r="DR407" s="301"/>
      <c r="DS407" s="292"/>
      <c r="DT407" s="64"/>
      <c r="DU407" s="93"/>
      <c r="DV407" s="93"/>
      <c r="DW407" s="93"/>
      <c r="DX407" s="79"/>
      <c r="DZ407" s="795"/>
    </row>
    <row r="408" spans="1:130">
      <c r="A408" s="51">
        <v>164</v>
      </c>
      <c r="B408" s="51"/>
      <c r="C408" s="92"/>
      <c r="D408" s="92"/>
      <c r="E408" s="53"/>
      <c r="F408" s="199"/>
      <c r="G408" s="205"/>
      <c r="H408" s="205"/>
      <c r="I408" s="297"/>
      <c r="J408" s="297"/>
      <c r="K408" s="292"/>
      <c r="L408" s="292"/>
      <c r="M408" s="51"/>
      <c r="N408" s="51"/>
      <c r="O408" s="51"/>
      <c r="P408" s="113"/>
      <c r="Q408" s="699"/>
      <c r="R408" s="93"/>
      <c r="S408" s="93"/>
      <c r="T408" s="93"/>
      <c r="U408" s="93"/>
      <c r="V408" s="205"/>
      <c r="W408" s="205"/>
      <c r="X408" s="297"/>
      <c r="Y408" s="301"/>
      <c r="Z408" s="93"/>
      <c r="AA408" s="93"/>
      <c r="AB408" s="93"/>
      <c r="AC408" s="93"/>
      <c r="AD408" s="93"/>
      <c r="AE408" s="93"/>
      <c r="AF408" s="79"/>
      <c r="AG408" s="51"/>
      <c r="AH408" s="51"/>
      <c r="AI408" s="51"/>
      <c r="AJ408" s="51"/>
      <c r="AK408" s="199"/>
      <c r="AL408" s="301"/>
      <c r="AM408" s="36"/>
      <c r="AN408" s="291"/>
      <c r="AO408" s="160"/>
      <c r="AP408" s="291"/>
      <c r="AQ408" s="51"/>
      <c r="AR408" s="92"/>
      <c r="AS408" s="51"/>
      <c r="AT408" s="51"/>
      <c r="AU408" s="51"/>
      <c r="AV408" s="82"/>
      <c r="AW408" s="699"/>
      <c r="AX408" s="93"/>
      <c r="AY408" s="93"/>
      <c r="AZ408" s="301"/>
      <c r="BA408" s="35"/>
      <c r="BB408" s="161"/>
      <c r="BC408" s="206"/>
      <c r="BD408" s="206"/>
      <c r="BE408" s="206"/>
      <c r="BF408" s="206"/>
      <c r="BG408" s="51"/>
      <c r="BH408" s="51"/>
      <c r="BI408" s="51"/>
      <c r="BJ408" s="51"/>
      <c r="BK408" s="51"/>
      <c r="BL408" s="113"/>
      <c r="BM408" s="51"/>
      <c r="BN408" s="51"/>
      <c r="BO408" s="51"/>
      <c r="BP408" s="301"/>
      <c r="BQ408" s="53"/>
      <c r="BR408" s="199"/>
      <c r="BS408" s="292"/>
      <c r="BT408" s="206"/>
      <c r="BU408" s="206"/>
      <c r="BV408" s="206"/>
      <c r="BW408" s="292"/>
      <c r="BX408" s="92"/>
      <c r="BY408" s="92"/>
      <c r="BZ408" s="51"/>
      <c r="CA408" s="51"/>
      <c r="CB408" s="92"/>
      <c r="CC408" s="699"/>
      <c r="CD408" s="93"/>
      <c r="CE408" s="93"/>
      <c r="CF408" s="93"/>
      <c r="CG408" s="93"/>
      <c r="CH408" s="301"/>
      <c r="CI408" s="206"/>
      <c r="CJ408" s="206"/>
      <c r="CK408" s="206"/>
      <c r="CL408" s="292"/>
      <c r="CM408" s="35"/>
      <c r="CN408" s="93"/>
      <c r="CO408" s="93"/>
      <c r="CP408" s="93"/>
      <c r="CQ408" s="93"/>
      <c r="CR408" s="79"/>
      <c r="CS408" s="699"/>
      <c r="CT408" s="93"/>
      <c r="CU408" s="93"/>
      <c r="CV408" s="93"/>
      <c r="CW408" s="93"/>
      <c r="CX408" s="93"/>
      <c r="CY408" s="93"/>
      <c r="CZ408" s="206"/>
      <c r="DA408" s="290"/>
      <c r="DB408" s="290"/>
      <c r="DC408" s="64"/>
      <c r="DD408" s="301"/>
      <c r="DE408" s="93"/>
      <c r="DF408" s="93"/>
      <c r="DG408" s="93"/>
      <c r="DH408" s="79"/>
      <c r="DI408" s="699"/>
      <c r="DJ408" s="93"/>
      <c r="DK408" s="93"/>
      <c r="DL408" s="93"/>
      <c r="DM408" s="93"/>
      <c r="DN408" s="93"/>
      <c r="DO408" s="93"/>
      <c r="DP408" s="161"/>
      <c r="DQ408" s="161"/>
      <c r="DR408" s="160"/>
      <c r="DS408" s="301"/>
      <c r="DT408" s="301"/>
      <c r="DU408" s="206"/>
      <c r="DV408" s="93"/>
      <c r="DW408" s="93"/>
      <c r="DX408" s="79"/>
      <c r="DZ408" s="51"/>
    </row>
    <row r="409" spans="1:130">
      <c r="A409" s="51">
        <v>168</v>
      </c>
      <c r="B409" s="51"/>
      <c r="C409" s="92"/>
      <c r="D409" s="92"/>
      <c r="E409" s="51"/>
      <c r="F409" s="206"/>
      <c r="G409" s="292"/>
      <c r="H409" s="51"/>
      <c r="I409" s="205"/>
      <c r="J409" s="160"/>
      <c r="K409" s="36"/>
      <c r="L409" s="199"/>
      <c r="M409" s="297"/>
      <c r="N409" s="51"/>
      <c r="O409" s="51"/>
      <c r="P409" s="113"/>
      <c r="Q409" s="699"/>
      <c r="R409" s="93"/>
      <c r="S409" s="93"/>
      <c r="T409" s="93"/>
      <c r="U409" s="93"/>
      <c r="V409" s="291"/>
      <c r="W409" s="291"/>
      <c r="X409" s="64"/>
      <c r="Y409" s="161"/>
      <c r="Z409" s="297"/>
      <c r="AA409" s="93"/>
      <c r="AB409" s="93"/>
      <c r="AC409" s="93"/>
      <c r="AD409" s="93"/>
      <c r="AE409" s="93"/>
      <c r="AF409" s="79"/>
      <c r="AG409" s="51"/>
      <c r="AH409" s="51"/>
      <c r="AI409" s="51"/>
      <c r="AJ409" s="51"/>
      <c r="AK409" s="199"/>
      <c r="AL409" s="301"/>
      <c r="AM409" s="199"/>
      <c r="AN409" s="291"/>
      <c r="AO409" s="291"/>
      <c r="AP409" s="51"/>
      <c r="AQ409" s="51"/>
      <c r="AR409" s="92"/>
      <c r="AS409" s="51"/>
      <c r="AT409" s="51"/>
      <c r="AU409" s="51"/>
      <c r="AV409" s="82"/>
      <c r="AW409" s="699"/>
      <c r="AX409" s="93"/>
      <c r="AY409" s="301"/>
      <c r="AZ409" s="161"/>
      <c r="BA409" s="53"/>
      <c r="BB409" s="199"/>
      <c r="BC409" s="291"/>
      <c r="BD409" s="292"/>
      <c r="BE409" s="206"/>
      <c r="BF409" s="291"/>
      <c r="BG409" s="51"/>
      <c r="BH409" s="51"/>
      <c r="BI409" s="51"/>
      <c r="BJ409" s="51"/>
      <c r="BK409" s="51"/>
      <c r="BL409" s="113"/>
      <c r="BM409" s="51"/>
      <c r="BN409" s="51"/>
      <c r="BO409" s="301"/>
      <c r="BP409" s="161"/>
      <c r="BQ409" s="51"/>
      <c r="BR409" s="51"/>
      <c r="BS409" s="206"/>
      <c r="BT409" s="292"/>
      <c r="BU409" s="51"/>
      <c r="BV409" s="292"/>
      <c r="BW409" s="291"/>
      <c r="BX409" s="92"/>
      <c r="BY409" s="92"/>
      <c r="BZ409" s="51"/>
      <c r="CA409" s="51"/>
      <c r="CB409" s="92"/>
      <c r="CC409" s="699"/>
      <c r="CD409" s="93"/>
      <c r="CE409" s="93"/>
      <c r="CF409" s="93"/>
      <c r="CG409" s="301"/>
      <c r="CH409" s="161"/>
      <c r="CI409" s="292"/>
      <c r="CJ409" s="206"/>
      <c r="CK409" s="292"/>
      <c r="CL409" s="291"/>
      <c r="CM409" s="93"/>
      <c r="CN409" s="93"/>
      <c r="CO409" s="93"/>
      <c r="CP409" s="93"/>
      <c r="CQ409" s="93"/>
      <c r="CR409" s="79"/>
      <c r="CS409" s="699"/>
      <c r="CT409" s="93"/>
      <c r="CU409" s="93"/>
      <c r="CV409" s="93"/>
      <c r="CW409" s="93"/>
      <c r="CX409" s="93"/>
      <c r="CY409" s="93"/>
      <c r="CZ409" s="206"/>
      <c r="DA409" s="290"/>
      <c r="DB409" s="290"/>
      <c r="DC409" s="64"/>
      <c r="DD409" s="161"/>
      <c r="DE409" s="93"/>
      <c r="DF409" s="93"/>
      <c r="DG409" s="93"/>
      <c r="DH409" s="79"/>
      <c r="DI409" s="699"/>
      <c r="DJ409" s="93"/>
      <c r="DK409" s="93"/>
      <c r="DL409" s="93"/>
      <c r="DM409" s="93"/>
      <c r="DN409" s="93"/>
      <c r="DO409" s="93"/>
      <c r="DP409" s="161"/>
      <c r="DQ409" s="291"/>
      <c r="DR409" s="206"/>
      <c r="DS409" s="64"/>
      <c r="DT409" s="54"/>
      <c r="DU409" s="301"/>
      <c r="DV409" s="301"/>
      <c r="DW409" s="93"/>
      <c r="DX409" s="79"/>
      <c r="DZ409" s="51"/>
    </row>
    <row r="410" spans="1:130">
      <c r="A410" s="51"/>
      <c r="B410" s="51"/>
      <c r="C410" s="92"/>
      <c r="D410" s="92"/>
      <c r="E410" s="51"/>
      <c r="F410" s="206"/>
      <c r="G410" s="292"/>
      <c r="H410" s="51"/>
      <c r="I410" s="206"/>
      <c r="J410" s="291"/>
      <c r="K410" s="199"/>
      <c r="L410" s="54"/>
      <c r="M410" s="161"/>
      <c r="N410" s="160"/>
      <c r="O410" s="51"/>
      <c r="P410" s="82"/>
      <c r="Q410" s="699"/>
      <c r="R410" s="93"/>
      <c r="S410" s="93"/>
      <c r="T410" s="93"/>
      <c r="U410" s="51"/>
      <c r="V410" s="291"/>
      <c r="W410" s="206"/>
      <c r="X410" s="161"/>
      <c r="Y410" s="161"/>
      <c r="Z410" s="161"/>
      <c r="AA410" s="297"/>
      <c r="AB410" s="93"/>
      <c r="AC410" s="93"/>
      <c r="AD410" s="93"/>
      <c r="AE410" s="93"/>
      <c r="AF410" s="79"/>
      <c r="AG410" s="51"/>
      <c r="AH410" s="51"/>
      <c r="AI410" s="51"/>
      <c r="AJ410" s="51"/>
      <c r="AK410" s="51"/>
      <c r="AL410" s="160"/>
      <c r="AM410" s="92"/>
      <c r="AN410" s="291"/>
      <c r="AO410" s="291"/>
      <c r="AP410" s="51"/>
      <c r="AQ410" s="51"/>
      <c r="AR410" s="92"/>
      <c r="AS410" s="51"/>
      <c r="AT410" s="51"/>
      <c r="AU410" s="51"/>
      <c r="AV410" s="82"/>
      <c r="AW410" s="699"/>
      <c r="AX410" s="93"/>
      <c r="AY410" s="161"/>
      <c r="AZ410" s="92"/>
      <c r="BA410" s="93"/>
      <c r="BB410" s="51"/>
      <c r="BC410" s="291"/>
      <c r="BD410" s="292"/>
      <c r="BE410" s="206"/>
      <c r="BF410" s="292"/>
      <c r="BG410" s="51"/>
      <c r="BH410" s="51"/>
      <c r="BI410" s="51"/>
      <c r="BJ410" s="51"/>
      <c r="BK410" s="51"/>
      <c r="BL410" s="82"/>
      <c r="BM410" s="51"/>
      <c r="BN410" s="51"/>
      <c r="BO410" s="161"/>
      <c r="BP410" s="51"/>
      <c r="BQ410" s="51"/>
      <c r="BR410" s="51"/>
      <c r="BS410" s="206"/>
      <c r="BT410" s="292"/>
      <c r="BU410" s="51"/>
      <c r="BV410" s="206"/>
      <c r="BW410" s="161"/>
      <c r="BX410" s="51"/>
      <c r="BY410" s="92"/>
      <c r="BZ410" s="92"/>
      <c r="CA410" s="51"/>
      <c r="CB410" s="51"/>
      <c r="CC410" s="699"/>
      <c r="CD410" s="93"/>
      <c r="CE410" s="93"/>
      <c r="CF410" s="93"/>
      <c r="CG410" s="161"/>
      <c r="CH410" s="93"/>
      <c r="CI410" s="292"/>
      <c r="CJ410" s="206"/>
      <c r="CK410" s="292"/>
      <c r="CL410" s="291"/>
      <c r="CM410" s="51"/>
      <c r="CN410" s="93"/>
      <c r="CO410" s="93"/>
      <c r="CP410" s="93"/>
      <c r="CQ410" s="93"/>
      <c r="CR410" s="79"/>
      <c r="CS410" s="699"/>
      <c r="CT410" s="93"/>
      <c r="CU410" s="93"/>
      <c r="CV410" s="93"/>
      <c r="CW410" s="93"/>
      <c r="CX410" s="93"/>
      <c r="CY410" s="51"/>
      <c r="CZ410" s="206"/>
      <c r="DA410" s="290"/>
      <c r="DB410" s="93"/>
      <c r="DC410" s="93"/>
      <c r="DD410" s="93"/>
      <c r="DE410" s="93"/>
      <c r="DF410" s="93"/>
      <c r="DG410" s="93"/>
      <c r="DH410" s="79"/>
      <c r="DI410" s="699"/>
      <c r="DJ410" s="93"/>
      <c r="DK410" s="93"/>
      <c r="DL410" s="93"/>
      <c r="DM410" s="93"/>
      <c r="DN410" s="93"/>
      <c r="DO410" s="93"/>
      <c r="DP410" s="161"/>
      <c r="DQ410" s="161"/>
      <c r="DR410" s="206"/>
      <c r="DS410" s="291"/>
      <c r="DT410" s="64"/>
      <c r="DU410" s="161"/>
      <c r="DV410" s="160"/>
      <c r="DW410" s="93"/>
      <c r="DX410" s="79"/>
    </row>
    <row r="411" spans="1:130">
      <c r="A411" s="51">
        <v>1</v>
      </c>
      <c r="B411" s="51"/>
      <c r="C411" s="51"/>
      <c r="D411" s="51"/>
      <c r="E411" s="92"/>
      <c r="F411" s="206"/>
      <c r="G411" s="291"/>
      <c r="H411" s="51"/>
      <c r="I411" s="206"/>
      <c r="J411" s="291"/>
      <c r="K411" s="92"/>
      <c r="L411" s="51"/>
      <c r="M411" s="51"/>
      <c r="N411" s="51"/>
      <c r="O411" s="51"/>
      <c r="P411" s="82"/>
      <c r="Q411" s="699"/>
      <c r="R411" s="93"/>
      <c r="S411" s="93"/>
      <c r="T411" s="92"/>
      <c r="U411" s="52"/>
      <c r="V411" s="161"/>
      <c r="W411" s="206"/>
      <c r="X411" s="161"/>
      <c r="Y411" s="161"/>
      <c r="Z411" s="93"/>
      <c r="AA411" s="160"/>
      <c r="AB411" s="51"/>
      <c r="AC411" s="93"/>
      <c r="AD411" s="93"/>
      <c r="AE411" s="93"/>
      <c r="AF411" s="79"/>
      <c r="AG411" s="51"/>
      <c r="AH411" s="51"/>
      <c r="AI411" s="51"/>
      <c r="AJ411" s="51"/>
      <c r="AK411" s="51"/>
      <c r="AL411" s="92"/>
      <c r="AM411" s="92"/>
      <c r="AN411" s="161"/>
      <c r="AO411" s="206"/>
      <c r="AP411" s="51"/>
      <c r="AQ411" s="51"/>
      <c r="AR411" s="92"/>
      <c r="AS411" s="51"/>
      <c r="AT411" s="51"/>
      <c r="AU411" s="51"/>
      <c r="AV411" s="82"/>
      <c r="AW411" s="699"/>
      <c r="AX411" s="93"/>
      <c r="AY411" s="93"/>
      <c r="AZ411" s="92"/>
      <c r="BA411" s="93"/>
      <c r="BB411" s="51"/>
      <c r="BC411" s="291"/>
      <c r="BD411" s="291"/>
      <c r="BE411" s="206"/>
      <c r="BF411" s="292"/>
      <c r="BG411" s="92"/>
      <c r="BH411" s="92"/>
      <c r="BI411" s="92"/>
      <c r="BJ411" s="92"/>
      <c r="BK411" s="92"/>
      <c r="BL411" s="82"/>
      <c r="BM411" s="51"/>
      <c r="BN411" s="51"/>
      <c r="BO411" s="51"/>
      <c r="BP411" s="51"/>
      <c r="BQ411" s="92"/>
      <c r="BR411" s="51"/>
      <c r="BS411" s="206"/>
      <c r="BT411" s="291"/>
      <c r="BU411" s="51"/>
      <c r="BV411" s="206"/>
      <c r="BW411" s="291"/>
      <c r="BX411" s="92"/>
      <c r="BY411" s="92"/>
      <c r="BZ411" s="92"/>
      <c r="CA411" s="92"/>
      <c r="CB411" s="51"/>
      <c r="CC411" s="699"/>
      <c r="CD411" s="93"/>
      <c r="CE411" s="93"/>
      <c r="CF411" s="93"/>
      <c r="CG411" s="93"/>
      <c r="CH411" s="93"/>
      <c r="CI411" s="292"/>
      <c r="CJ411" s="206"/>
      <c r="CK411" s="292"/>
      <c r="CL411" s="291"/>
      <c r="CM411" s="51"/>
      <c r="CN411" s="93"/>
      <c r="CO411" s="93"/>
      <c r="CP411" s="93"/>
      <c r="CQ411" s="93"/>
      <c r="CR411" s="79"/>
      <c r="CS411" s="699"/>
      <c r="CT411" s="93"/>
      <c r="CU411" s="93"/>
      <c r="CV411" s="93"/>
      <c r="CW411" s="93"/>
      <c r="CX411" s="93"/>
      <c r="CY411" s="51"/>
      <c r="CZ411" s="206"/>
      <c r="DA411" s="291"/>
      <c r="DB411" s="93"/>
      <c r="DC411" s="93"/>
      <c r="DD411" s="93"/>
      <c r="DE411" s="93"/>
      <c r="DF411" s="93"/>
      <c r="DG411" s="93"/>
      <c r="DH411" s="79"/>
      <c r="DI411" s="699"/>
      <c r="DJ411" s="93"/>
      <c r="DK411" s="93"/>
      <c r="DL411" s="93"/>
      <c r="DM411" s="93"/>
      <c r="DN411" s="51"/>
      <c r="DO411" s="93"/>
      <c r="DP411" s="293"/>
      <c r="DQ411" s="161"/>
      <c r="DR411" s="206"/>
      <c r="DS411" s="161"/>
      <c r="DT411" s="52"/>
      <c r="DU411" s="93"/>
      <c r="DV411" s="93"/>
      <c r="DW411" s="93"/>
      <c r="DX411" s="79"/>
    </row>
    <row r="412" spans="1:130">
      <c r="A412" s="51">
        <v>1</v>
      </c>
      <c r="B412" s="51"/>
      <c r="C412" s="92"/>
      <c r="D412" s="51"/>
      <c r="E412" s="52"/>
      <c r="F412" s="206"/>
      <c r="G412" s="291"/>
      <c r="H412" s="51"/>
      <c r="I412" s="206"/>
      <c r="J412" s="291"/>
      <c r="K412" s="51"/>
      <c r="L412" s="92"/>
      <c r="M412" s="92"/>
      <c r="N412" s="51"/>
      <c r="O412" s="51"/>
      <c r="P412" s="82"/>
      <c r="Q412" s="699"/>
      <c r="R412" s="93"/>
      <c r="S412" s="93"/>
      <c r="T412" s="92"/>
      <c r="U412" s="93"/>
      <c r="V412" s="161"/>
      <c r="W412" s="206"/>
      <c r="X412" s="291"/>
      <c r="Y412" s="161"/>
      <c r="Z412" s="93"/>
      <c r="AA412" s="52"/>
      <c r="AB412" s="51"/>
      <c r="AC412" s="93"/>
      <c r="AD412" s="93"/>
      <c r="AE412" s="93"/>
      <c r="AF412" s="79"/>
      <c r="AG412" s="51"/>
      <c r="AH412" s="51"/>
      <c r="AI412" s="51"/>
      <c r="AJ412" s="51"/>
      <c r="AK412" s="51"/>
      <c r="AL412" s="92"/>
      <c r="AM412" s="92"/>
      <c r="AN412" s="161"/>
      <c r="AO412" s="206"/>
      <c r="AP412" s="51"/>
      <c r="AQ412" s="51"/>
      <c r="AR412" s="92"/>
      <c r="AS412" s="51"/>
      <c r="AT412" s="51"/>
      <c r="AU412" s="51"/>
      <c r="AV412" s="82"/>
      <c r="AW412" s="699"/>
      <c r="AX412" s="93"/>
      <c r="AY412" s="93"/>
      <c r="AZ412" s="92"/>
      <c r="BA412" s="51"/>
      <c r="BB412" s="52"/>
      <c r="BC412" s="291"/>
      <c r="BD412" s="291"/>
      <c r="BE412" s="206"/>
      <c r="BF412" s="292"/>
      <c r="BG412" s="92"/>
      <c r="BH412" s="92"/>
      <c r="BI412" s="92"/>
      <c r="BJ412" s="51"/>
      <c r="BK412" s="51"/>
      <c r="BL412" s="82"/>
      <c r="BM412" s="51"/>
      <c r="BN412" s="51"/>
      <c r="BO412" s="51"/>
      <c r="BP412" s="51"/>
      <c r="BQ412" s="51"/>
      <c r="BR412" s="52"/>
      <c r="BS412" s="206"/>
      <c r="BT412" s="291"/>
      <c r="BU412" s="51"/>
      <c r="BV412" s="206"/>
      <c r="BW412" s="161"/>
      <c r="BX412" s="51"/>
      <c r="BY412" s="92"/>
      <c r="BZ412" s="92"/>
      <c r="CA412" s="51"/>
      <c r="CB412" s="51"/>
      <c r="CC412" s="699"/>
      <c r="CD412" s="93"/>
      <c r="CE412" s="93"/>
      <c r="CF412" s="93"/>
      <c r="CG412" s="93"/>
      <c r="CH412" s="93"/>
      <c r="CI412" s="292"/>
      <c r="CJ412" s="206"/>
      <c r="CK412" s="292"/>
      <c r="CL412" s="291"/>
      <c r="CM412" s="52"/>
      <c r="CN412" s="51"/>
      <c r="CO412" s="93"/>
      <c r="CP412" s="93"/>
      <c r="CQ412" s="93"/>
      <c r="CR412" s="79"/>
      <c r="CS412" s="699"/>
      <c r="CT412" s="93"/>
      <c r="CU412" s="93"/>
      <c r="CV412" s="93"/>
      <c r="CW412" s="93"/>
      <c r="CX412" s="93"/>
      <c r="CY412" s="51"/>
      <c r="CZ412" s="206"/>
      <c r="DA412" s="291"/>
      <c r="DB412" s="92"/>
      <c r="DC412" s="92"/>
      <c r="DD412" s="93"/>
      <c r="DE412" s="93"/>
      <c r="DF412" s="93"/>
      <c r="DG412" s="93"/>
      <c r="DH412" s="79"/>
      <c r="DI412" s="699"/>
      <c r="DJ412" s="93"/>
      <c r="DK412" s="93"/>
      <c r="DL412" s="93"/>
      <c r="DM412" s="93"/>
      <c r="DN412" s="51"/>
      <c r="DO412" s="52"/>
      <c r="DP412" s="293"/>
      <c r="DQ412" s="291"/>
      <c r="DR412" s="206"/>
      <c r="DS412" s="161"/>
      <c r="DT412" s="93"/>
      <c r="DU412" s="93"/>
      <c r="DV412" s="93"/>
      <c r="DW412" s="93"/>
      <c r="DX412" s="79"/>
    </row>
    <row r="413" spans="1:130">
      <c r="DY413">
        <v>412</v>
      </c>
    </row>
    <row r="414" spans="1:130">
      <c r="DY414">
        <v>412</v>
      </c>
    </row>
    <row r="415" spans="1:130">
      <c r="A415" s="51"/>
      <c r="B415" s="51"/>
      <c r="C415" s="51"/>
      <c r="D415" s="51"/>
      <c r="E415" s="297"/>
      <c r="F415" s="291"/>
      <c r="G415" s="291"/>
      <c r="H415" s="51"/>
      <c r="I415" s="206"/>
      <c r="J415" s="291"/>
      <c r="K415" s="291"/>
      <c r="L415" s="51"/>
      <c r="M415" s="51"/>
      <c r="N415" s="51"/>
      <c r="O415" s="51"/>
      <c r="P415" s="82"/>
      <c r="Q415" s="699"/>
      <c r="R415" s="93"/>
      <c r="S415" s="93"/>
      <c r="T415" s="51"/>
      <c r="U415" s="291"/>
      <c r="V415" s="292"/>
      <c r="W415" s="292"/>
      <c r="X415" s="292"/>
      <c r="Y415" s="291"/>
      <c r="Z415" s="93"/>
      <c r="AA415" s="51"/>
      <c r="AB415" s="51"/>
      <c r="AC415" s="93"/>
      <c r="AD415" s="93"/>
      <c r="AE415" s="93"/>
      <c r="AF415" s="79"/>
      <c r="AG415" s="51"/>
      <c r="AH415" s="51"/>
      <c r="AI415" s="51"/>
      <c r="AJ415" s="51"/>
      <c r="AK415" s="51"/>
      <c r="AL415" s="293"/>
      <c r="AM415" s="292"/>
      <c r="AN415" s="291"/>
      <c r="AO415" s="291"/>
      <c r="AP415" s="51"/>
      <c r="AQ415" s="51"/>
      <c r="AR415" s="92"/>
      <c r="AS415" s="51"/>
      <c r="AT415" s="51"/>
      <c r="AU415" s="51"/>
      <c r="AV415" s="82"/>
      <c r="AW415" s="699"/>
      <c r="AX415" s="93"/>
      <c r="AY415" s="93"/>
      <c r="AZ415" s="51"/>
      <c r="BA415" s="51"/>
      <c r="BB415" s="297"/>
      <c r="BC415" s="291"/>
      <c r="BD415" s="292"/>
      <c r="BE415" s="292"/>
      <c r="BF415" s="291"/>
      <c r="BG415" s="51"/>
      <c r="BH415" s="51"/>
      <c r="BI415" s="51"/>
      <c r="BJ415" s="51"/>
      <c r="BK415" s="51"/>
      <c r="BL415" s="82"/>
      <c r="BM415" s="51"/>
      <c r="BN415" s="51"/>
      <c r="BO415" s="51"/>
      <c r="BP415" s="51"/>
      <c r="BQ415" s="51"/>
      <c r="BR415" s="297"/>
      <c r="BS415" s="291"/>
      <c r="BT415" s="292"/>
      <c r="BU415" s="51"/>
      <c r="BV415" s="291"/>
      <c r="BW415" s="291"/>
      <c r="BX415" s="291"/>
      <c r="BY415" s="51"/>
      <c r="BZ415" s="51"/>
      <c r="CA415" s="51"/>
      <c r="CB415" s="51"/>
      <c r="CC415" s="699"/>
      <c r="CD415" s="93"/>
      <c r="CE415" s="93"/>
      <c r="CF415" s="93"/>
      <c r="CG415" s="51"/>
      <c r="CH415" s="51"/>
      <c r="CI415" s="291"/>
      <c r="CJ415" s="292"/>
      <c r="CK415" s="292"/>
      <c r="CL415" s="291"/>
      <c r="CM415" s="297"/>
      <c r="CN415" s="51"/>
      <c r="CO415" s="93"/>
      <c r="CP415" s="93"/>
      <c r="CQ415" s="93"/>
      <c r="CR415" s="79"/>
      <c r="CS415" s="699"/>
      <c r="CT415" s="93"/>
      <c r="CU415" s="93"/>
      <c r="CV415" s="93"/>
      <c r="CW415" s="93"/>
      <c r="CX415" s="93"/>
      <c r="CY415" s="51"/>
      <c r="CZ415" s="291"/>
      <c r="DA415" s="291"/>
      <c r="DB415" s="292"/>
      <c r="DC415" s="293"/>
      <c r="DD415" s="93"/>
      <c r="DE415" s="93"/>
      <c r="DF415" s="93"/>
      <c r="DG415" s="93"/>
      <c r="DH415" s="79"/>
      <c r="DI415" s="699"/>
      <c r="DJ415" s="93"/>
      <c r="DK415" s="93"/>
      <c r="DL415" s="93"/>
      <c r="DM415" s="51"/>
      <c r="DN415" s="51"/>
      <c r="DO415" s="93"/>
      <c r="DP415" s="291"/>
      <c r="DQ415" s="292"/>
      <c r="DR415" s="292"/>
      <c r="DS415" s="292"/>
      <c r="DT415" s="291"/>
      <c r="DU415" s="93"/>
      <c r="DV415" s="93"/>
      <c r="DW415" s="93"/>
      <c r="DX415" s="79"/>
    </row>
    <row r="416" spans="1:130">
      <c r="A416" s="106"/>
      <c r="B416" s="106"/>
      <c r="C416" s="106"/>
      <c r="D416" s="106"/>
      <c r="E416" s="48"/>
      <c r="F416" s="160"/>
      <c r="G416" s="160"/>
      <c r="H416" s="103"/>
      <c r="I416" s="160"/>
      <c r="J416" s="160"/>
      <c r="K416" s="48"/>
      <c r="L416" s="103"/>
      <c r="M416" s="103"/>
      <c r="N416" s="103"/>
      <c r="O416" s="103"/>
      <c r="P416" s="116"/>
      <c r="Q416" s="700"/>
      <c r="R416" s="73"/>
      <c r="S416" s="73"/>
      <c r="T416" s="103"/>
      <c r="U416" s="336"/>
      <c r="V416" s="336"/>
      <c r="W416" s="81"/>
      <c r="X416" s="336"/>
      <c r="Y416" s="336"/>
      <c r="Z416" s="73"/>
      <c r="AA416" s="106"/>
      <c r="AB416" s="106"/>
      <c r="AC416" s="73"/>
      <c r="AD416" s="73"/>
      <c r="AE416" s="73"/>
      <c r="AF416" s="701"/>
      <c r="AG416" s="106"/>
      <c r="AH416" s="106"/>
      <c r="AI416" s="106"/>
      <c r="AJ416" s="106"/>
      <c r="AK416" s="106"/>
      <c r="AL416" s="291"/>
      <c r="AM416" s="160"/>
      <c r="AN416" s="160"/>
      <c r="AO416" s="160"/>
      <c r="AP416" s="106"/>
      <c r="AQ416" s="106"/>
      <c r="AR416" s="103"/>
      <c r="AS416" s="106"/>
      <c r="AT416" s="106"/>
      <c r="AU416" s="106"/>
      <c r="AV416" s="394"/>
      <c r="AW416" s="700"/>
      <c r="AX416" s="73"/>
      <c r="AY416" s="73"/>
      <c r="AZ416" s="106"/>
      <c r="BA416" s="106"/>
      <c r="BB416" s="291"/>
      <c r="BC416" s="160"/>
      <c r="BD416" s="160"/>
      <c r="BE416" s="291"/>
      <c r="BF416" s="160"/>
      <c r="BG416" s="103"/>
      <c r="BH416" s="103"/>
      <c r="BI416" s="103"/>
      <c r="BJ416" s="103"/>
      <c r="BK416" s="103"/>
      <c r="BL416" s="116"/>
      <c r="BM416" s="106"/>
      <c r="BN416" s="106"/>
      <c r="BO416" s="106"/>
      <c r="BP416" s="106"/>
      <c r="BQ416" s="106"/>
      <c r="BR416" s="291"/>
      <c r="BS416" s="160"/>
      <c r="BT416" s="160"/>
      <c r="BU416" s="103"/>
      <c r="BV416" s="291"/>
      <c r="BW416" s="160"/>
      <c r="BX416" s="160"/>
      <c r="BY416" s="103"/>
      <c r="BZ416" s="103"/>
      <c r="CA416" s="103"/>
      <c r="CB416" s="103"/>
      <c r="CC416" s="699"/>
      <c r="CD416" s="93"/>
      <c r="CE416" s="93"/>
      <c r="CF416" s="93"/>
      <c r="CG416" s="92"/>
      <c r="CH416" s="92"/>
      <c r="CI416" s="160"/>
      <c r="CJ416" s="160"/>
      <c r="CK416" s="291"/>
      <c r="CL416" s="160"/>
      <c r="CM416" s="291"/>
      <c r="CN416" s="51"/>
      <c r="CO416" s="93"/>
      <c r="CP416" s="93"/>
      <c r="CQ416" s="93"/>
      <c r="CR416" s="79"/>
      <c r="CS416" s="699"/>
      <c r="CT416" s="93"/>
      <c r="CU416" s="93"/>
      <c r="CV416" s="93"/>
      <c r="CW416" s="93"/>
      <c r="CX416" s="93"/>
      <c r="CY416" s="51"/>
      <c r="CZ416" s="160"/>
      <c r="DA416" s="160"/>
      <c r="DB416" s="160"/>
      <c r="DC416" s="291"/>
      <c r="DD416" s="93"/>
      <c r="DE416" s="93"/>
      <c r="DF416" s="93"/>
      <c r="DG416" s="93"/>
      <c r="DH416" s="79"/>
      <c r="DI416" s="699"/>
      <c r="DJ416" s="93"/>
      <c r="DK416" s="93"/>
      <c r="DL416" s="93"/>
      <c r="DM416" s="51"/>
      <c r="DN416" s="51"/>
      <c r="DO416" s="93"/>
      <c r="DP416" s="160"/>
      <c r="DQ416" s="160"/>
      <c r="DR416" s="291"/>
      <c r="DS416" s="160"/>
      <c r="DT416" s="160"/>
      <c r="DU416" s="93"/>
      <c r="DV416" s="93"/>
      <c r="DW416" s="93"/>
      <c r="DX416" s="79"/>
    </row>
    <row r="417" spans="1:129">
      <c r="A417" s="114"/>
      <c r="B417" s="51" t="s">
        <v>762</v>
      </c>
      <c r="C417" s="51"/>
      <c r="D417" s="51"/>
      <c r="E417" s="51"/>
      <c r="F417" s="92"/>
      <c r="G417" s="92"/>
      <c r="H417" s="51"/>
      <c r="I417" s="51"/>
      <c r="J417" s="51"/>
      <c r="K417" s="51"/>
      <c r="L417" s="92"/>
      <c r="M417" s="51"/>
      <c r="N417" s="51"/>
      <c r="O417" s="51"/>
      <c r="P417" s="82"/>
      <c r="Q417" s="753"/>
      <c r="R417" s="711"/>
      <c r="S417" s="711"/>
      <c r="T417" s="711"/>
      <c r="U417" s="93"/>
      <c r="V417" s="93"/>
      <c r="W417" s="93"/>
      <c r="X417" s="93"/>
      <c r="Y417" s="93"/>
      <c r="Z417" s="51"/>
      <c r="AA417" s="51"/>
      <c r="AB417" s="92"/>
      <c r="AC417" s="51"/>
      <c r="AD417" s="51"/>
      <c r="AE417" s="51"/>
      <c r="AF417" s="82"/>
      <c r="AG417" s="51"/>
      <c r="AH417" s="51"/>
      <c r="AI417" s="51"/>
      <c r="AJ417" s="51"/>
      <c r="AK417" s="51"/>
      <c r="AL417" s="92"/>
      <c r="AM417" s="92"/>
      <c r="AN417" s="51"/>
      <c r="AO417" s="51"/>
      <c r="AP417" s="51"/>
      <c r="AQ417" s="51"/>
      <c r="AR417" s="92"/>
      <c r="AS417" s="51"/>
      <c r="AT417" s="51"/>
      <c r="AU417" s="51"/>
      <c r="AV417" s="82"/>
      <c r="AW417" s="753"/>
      <c r="AX417" s="711"/>
      <c r="AY417" s="711"/>
      <c r="AZ417" s="711"/>
      <c r="BA417" s="711"/>
      <c r="BB417" s="711"/>
      <c r="BC417" s="711"/>
      <c r="BD417" s="711"/>
      <c r="BE417" s="711"/>
      <c r="BF417" s="711"/>
      <c r="BG417" s="711"/>
      <c r="BH417" s="711"/>
      <c r="BI417" s="711"/>
      <c r="BJ417" s="711"/>
      <c r="BK417" s="711"/>
      <c r="BL417" s="530"/>
      <c r="BM417" s="51"/>
      <c r="BN417" s="51"/>
      <c r="BO417" s="51"/>
      <c r="BP417" s="51"/>
      <c r="BQ417" s="51"/>
      <c r="BR417" s="92"/>
      <c r="BS417" s="92"/>
      <c r="BT417" s="51"/>
      <c r="BU417" s="51"/>
      <c r="BV417" s="51"/>
      <c r="BW417" s="51"/>
      <c r="BX417" s="92"/>
      <c r="BY417" s="51"/>
      <c r="BZ417" s="51"/>
      <c r="CA417" s="51"/>
      <c r="CB417" s="70"/>
      <c r="CC417" s="753"/>
      <c r="CD417" s="711"/>
      <c r="CE417" s="711"/>
      <c r="CF417" s="711"/>
      <c r="CG417" s="711"/>
      <c r="CH417" s="711"/>
      <c r="CI417" s="711"/>
      <c r="CJ417" s="711"/>
      <c r="CK417" s="711"/>
      <c r="CL417" s="711"/>
      <c r="CM417" s="711"/>
      <c r="CN417" s="711"/>
      <c r="CO417" s="711"/>
      <c r="CP417" s="711"/>
      <c r="CQ417" s="711"/>
      <c r="CR417" s="711"/>
      <c r="CS417" s="753"/>
      <c r="CT417" s="711"/>
      <c r="CU417" s="711"/>
      <c r="CV417" s="110"/>
      <c r="CW417" s="109"/>
      <c r="CX417" s="109"/>
      <c r="CY417" s="109"/>
      <c r="CZ417" s="109"/>
      <c r="DA417" s="110"/>
      <c r="DB417" s="110"/>
      <c r="DC417" s="109"/>
      <c r="DD417" s="109"/>
      <c r="DE417" s="109"/>
      <c r="DF417" s="711"/>
      <c r="DG417" s="711"/>
      <c r="DH417" s="711"/>
      <c r="DI417" s="753"/>
      <c r="DJ417" s="711"/>
      <c r="DK417" s="711"/>
      <c r="DL417" s="711"/>
      <c r="DM417" s="711"/>
      <c r="DN417" s="711"/>
      <c r="DO417" s="711"/>
      <c r="DP417" s="711"/>
      <c r="DQ417" s="711"/>
      <c r="DR417" s="711"/>
      <c r="DS417" s="711"/>
      <c r="DT417" s="711"/>
      <c r="DU417" s="711"/>
      <c r="DV417" s="711"/>
      <c r="DW417" s="711"/>
      <c r="DX417" s="530"/>
    </row>
    <row r="418" spans="1:129">
      <c r="A418" s="92"/>
      <c r="B418" s="92"/>
      <c r="C418" s="92"/>
      <c r="D418" s="92"/>
      <c r="E418" s="92"/>
      <c r="F418" s="92"/>
      <c r="G418" s="92"/>
      <c r="H418" s="92"/>
      <c r="I418" s="92"/>
      <c r="J418" s="92"/>
      <c r="K418" s="92"/>
      <c r="L418" s="92"/>
      <c r="M418" s="92"/>
      <c r="N418" s="92"/>
      <c r="O418" s="92"/>
      <c r="P418" s="113"/>
      <c r="Q418" s="699"/>
      <c r="R418" s="93"/>
      <c r="S418" s="93"/>
      <c r="T418" s="93"/>
      <c r="U418" s="93"/>
      <c r="V418" s="93"/>
      <c r="W418" s="93"/>
      <c r="X418" s="93"/>
      <c r="Y418" s="93"/>
      <c r="Z418" s="51"/>
      <c r="AA418" s="51"/>
      <c r="AB418" s="92"/>
      <c r="AC418" s="51"/>
      <c r="AD418" s="51"/>
      <c r="AE418" s="51"/>
      <c r="AF418" s="82"/>
      <c r="AG418" s="51"/>
      <c r="AH418" s="51"/>
      <c r="AI418" s="51"/>
      <c r="AJ418" s="51"/>
      <c r="AK418" s="51"/>
      <c r="AL418" s="92"/>
      <c r="AM418" s="92"/>
      <c r="AN418" s="51"/>
      <c r="AO418" s="51"/>
      <c r="AP418" s="51"/>
      <c r="AQ418" s="51"/>
      <c r="AR418" s="92"/>
      <c r="AS418" s="51"/>
      <c r="AT418" s="51"/>
      <c r="AU418" s="51"/>
      <c r="AV418" s="82"/>
      <c r="AW418" s="699"/>
      <c r="AX418" s="93"/>
      <c r="AY418" s="93"/>
      <c r="AZ418" s="93"/>
      <c r="BA418" s="93"/>
      <c r="BB418" s="93"/>
      <c r="BC418" s="93"/>
      <c r="BD418" s="93"/>
      <c r="BE418" s="93"/>
      <c r="BF418" s="93"/>
      <c r="BG418" s="93"/>
      <c r="BH418" s="93"/>
      <c r="BI418" s="93"/>
      <c r="BJ418" s="93"/>
      <c r="BK418" s="93"/>
      <c r="BL418" s="79"/>
      <c r="BM418" s="92"/>
      <c r="BN418" s="92"/>
      <c r="BO418" s="92"/>
      <c r="BP418" s="92"/>
      <c r="BQ418" s="92"/>
      <c r="BR418" s="92"/>
      <c r="BS418" s="92"/>
      <c r="BT418" s="92"/>
      <c r="BU418" s="92"/>
      <c r="BV418" s="92"/>
      <c r="BW418" s="92"/>
      <c r="BX418" s="92"/>
      <c r="BY418" s="92"/>
      <c r="BZ418" s="92"/>
      <c r="CA418" s="92"/>
      <c r="CB418" s="117"/>
      <c r="CC418" s="699"/>
      <c r="CD418" s="93"/>
      <c r="CE418" s="93"/>
      <c r="CF418" s="93"/>
      <c r="CG418" s="93"/>
      <c r="CH418" s="93"/>
      <c r="CI418" s="93"/>
      <c r="CJ418" s="93"/>
      <c r="CK418" s="93"/>
      <c r="CL418" s="93"/>
      <c r="CM418" s="93"/>
      <c r="CN418" s="93"/>
      <c r="CO418" s="93"/>
      <c r="CP418" s="93"/>
      <c r="CQ418" s="93"/>
      <c r="CR418" s="93"/>
      <c r="CS418" s="699"/>
      <c r="CT418" s="93"/>
      <c r="CU418" s="93"/>
      <c r="CV418" s="92"/>
      <c r="CW418" s="51"/>
      <c r="CX418" s="51"/>
      <c r="CY418" s="51"/>
      <c r="CZ418" s="51"/>
      <c r="DA418" s="92"/>
      <c r="DB418" s="92"/>
      <c r="DC418" s="51"/>
      <c r="DD418" s="51"/>
      <c r="DE418" s="51"/>
      <c r="DF418" s="93"/>
      <c r="DG418" s="93"/>
      <c r="DH418" s="93"/>
      <c r="DI418" s="699"/>
      <c r="DJ418" s="93"/>
      <c r="DK418" s="93"/>
      <c r="DL418" s="93"/>
      <c r="DM418" s="93"/>
      <c r="DN418" s="93"/>
      <c r="DO418" s="93"/>
      <c r="DP418" s="93"/>
      <c r="DQ418" s="93"/>
      <c r="DR418" s="93"/>
      <c r="DS418" s="93"/>
      <c r="DT418" s="93"/>
      <c r="DU418" s="93"/>
      <c r="DV418" s="93"/>
      <c r="DW418" s="93"/>
      <c r="DX418" s="79"/>
    </row>
    <row r="419" spans="1:129">
      <c r="A419" s="51"/>
      <c r="B419" s="92"/>
      <c r="C419" s="92"/>
      <c r="D419" s="92"/>
      <c r="E419" s="51"/>
      <c r="F419" s="92"/>
      <c r="G419" s="92"/>
      <c r="H419" s="92"/>
      <c r="I419" s="92"/>
      <c r="J419" s="92"/>
      <c r="K419" s="92"/>
      <c r="L419" s="92"/>
      <c r="M419" s="92"/>
      <c r="N419" s="92"/>
      <c r="O419" s="92"/>
      <c r="P419" s="113"/>
      <c r="Q419" s="699"/>
      <c r="R419" s="93"/>
      <c r="S419" s="93"/>
      <c r="T419" s="93"/>
      <c r="U419" s="93"/>
      <c r="V419" s="93"/>
      <c r="W419" s="93"/>
      <c r="X419" s="93"/>
      <c r="Y419" s="93"/>
      <c r="Z419" s="51"/>
      <c r="AA419" s="51"/>
      <c r="AB419" s="92"/>
      <c r="AC419" s="51"/>
      <c r="AD419" s="51"/>
      <c r="AE419" s="51"/>
      <c r="AF419" s="82"/>
      <c r="AG419" s="51"/>
      <c r="AH419" s="51"/>
      <c r="AI419" s="51"/>
      <c r="AJ419" s="51"/>
      <c r="AK419" s="51"/>
      <c r="AL419" s="92"/>
      <c r="AM419" s="92"/>
      <c r="AN419" s="51"/>
      <c r="AO419" s="51"/>
      <c r="AP419" s="51"/>
      <c r="AQ419" s="51"/>
      <c r="AR419" s="92"/>
      <c r="AS419" s="51"/>
      <c r="AT419" s="51"/>
      <c r="AU419" s="51"/>
      <c r="AV419" s="82"/>
      <c r="AW419" s="699"/>
      <c r="AX419" s="93"/>
      <c r="AY419" s="93"/>
      <c r="AZ419" s="93"/>
      <c r="BA419" s="93"/>
      <c r="BB419" s="93"/>
      <c r="BC419" s="93"/>
      <c r="BD419" s="93"/>
      <c r="BE419" s="93"/>
      <c r="BF419" s="93"/>
      <c r="BG419" s="93"/>
      <c r="BH419" s="93"/>
      <c r="BI419" s="93"/>
      <c r="BJ419" s="93"/>
      <c r="BK419" s="93"/>
      <c r="BL419" s="79"/>
      <c r="BM419" s="51"/>
      <c r="BN419" s="92"/>
      <c r="BO419" s="92"/>
      <c r="BP419" s="92"/>
      <c r="BQ419" s="51"/>
      <c r="BR419" s="92"/>
      <c r="BS419" s="92"/>
      <c r="BT419" s="92"/>
      <c r="BU419" s="92"/>
      <c r="BV419" s="92"/>
      <c r="BW419" s="92"/>
      <c r="BX419" s="92"/>
      <c r="BY419" s="92"/>
      <c r="BZ419" s="92"/>
      <c r="CA419" s="92"/>
      <c r="CB419" s="117"/>
      <c r="CC419" s="699"/>
      <c r="CD419" s="93"/>
      <c r="CE419" s="93"/>
      <c r="CF419" s="93"/>
      <c r="CG419" s="93"/>
      <c r="CH419" s="93"/>
      <c r="CI419" s="93"/>
      <c r="CJ419" s="93"/>
      <c r="CK419" s="93"/>
      <c r="CL419" s="93"/>
      <c r="CM419" s="93"/>
      <c r="CN419" s="93"/>
      <c r="CO419" s="93"/>
      <c r="CP419" s="93"/>
      <c r="CQ419" s="93"/>
      <c r="CR419" s="93"/>
      <c r="CS419" s="699"/>
      <c r="CT419" s="93"/>
      <c r="CU419" s="93"/>
      <c r="CV419" s="92"/>
      <c r="CW419" s="51"/>
      <c r="CX419" s="51"/>
      <c r="CY419" s="51"/>
      <c r="CZ419" s="51"/>
      <c r="DA419" s="92"/>
      <c r="DB419" s="92"/>
      <c r="DC419" s="51"/>
      <c r="DD419" s="51"/>
      <c r="DE419" s="51"/>
      <c r="DF419" s="93"/>
      <c r="DG419" s="93"/>
      <c r="DH419" s="93"/>
      <c r="DI419" s="699"/>
      <c r="DJ419" s="93"/>
      <c r="DK419" s="93"/>
      <c r="DL419" s="93"/>
      <c r="DM419" s="93"/>
      <c r="DN419" s="93"/>
      <c r="DO419" s="93"/>
      <c r="DP419" s="93"/>
      <c r="DQ419" s="93"/>
      <c r="DR419" s="93"/>
      <c r="DS419" s="93"/>
      <c r="DT419" s="93"/>
      <c r="DU419" s="93"/>
      <c r="DV419" s="93"/>
      <c r="DW419" s="93"/>
      <c r="DX419" s="79"/>
    </row>
    <row r="420" spans="1:129">
      <c r="A420" s="92"/>
      <c r="B420" s="92"/>
      <c r="C420" s="92"/>
      <c r="D420" s="92"/>
      <c r="E420" s="51"/>
      <c r="F420" s="92"/>
      <c r="G420" s="92"/>
      <c r="H420" s="92"/>
      <c r="I420" s="92"/>
      <c r="J420" s="92"/>
      <c r="K420" s="92"/>
      <c r="L420" s="92"/>
      <c r="M420" s="92"/>
      <c r="N420" s="92"/>
      <c r="O420" s="92"/>
      <c r="P420" s="113"/>
      <c r="Q420" s="699"/>
      <c r="R420" s="93"/>
      <c r="S420" s="93"/>
      <c r="T420" s="93"/>
      <c r="U420" s="93"/>
      <c r="V420" s="93"/>
      <c r="W420" s="93"/>
      <c r="X420" s="93"/>
      <c r="Y420" s="93"/>
      <c r="Z420" s="51"/>
      <c r="AA420" s="51"/>
      <c r="AB420" s="92"/>
      <c r="AC420" s="51"/>
      <c r="AD420" s="51"/>
      <c r="AE420" s="51"/>
      <c r="AF420" s="82"/>
      <c r="AG420" s="51"/>
      <c r="AH420" s="51"/>
      <c r="AI420" s="51"/>
      <c r="AJ420" s="51"/>
      <c r="AK420" s="51"/>
      <c r="AL420" s="92"/>
      <c r="AM420" s="92"/>
      <c r="AN420" s="51"/>
      <c r="AO420" s="51"/>
      <c r="AP420" s="51"/>
      <c r="AQ420" s="51"/>
      <c r="AR420" s="92"/>
      <c r="AS420" s="51"/>
      <c r="AT420" s="51"/>
      <c r="AU420" s="51"/>
      <c r="AV420" s="82"/>
      <c r="AW420" s="699"/>
      <c r="AX420" s="93"/>
      <c r="AY420" s="93"/>
      <c r="AZ420" s="93"/>
      <c r="BA420" s="93"/>
      <c r="BB420" s="93"/>
      <c r="BC420" s="93"/>
      <c r="BD420" s="93"/>
      <c r="BE420" s="93"/>
      <c r="BF420" s="93"/>
      <c r="BG420" s="93"/>
      <c r="BH420" s="93"/>
      <c r="BI420" s="93"/>
      <c r="BJ420" s="93"/>
      <c r="BK420" s="93"/>
      <c r="BL420" s="79"/>
      <c r="BM420" s="92"/>
      <c r="BN420" s="92"/>
      <c r="BO420" s="92"/>
      <c r="BP420" s="92"/>
      <c r="BQ420" s="51"/>
      <c r="BR420" s="92"/>
      <c r="BS420" s="92"/>
      <c r="BT420" s="92"/>
      <c r="BU420" s="92"/>
      <c r="BV420" s="92"/>
      <c r="BW420" s="92"/>
      <c r="BX420" s="92"/>
      <c r="BY420" s="92"/>
      <c r="BZ420" s="92"/>
      <c r="CA420" s="92"/>
      <c r="CB420" s="117"/>
      <c r="CC420" s="699"/>
      <c r="CD420" s="93"/>
      <c r="CE420" s="93"/>
      <c r="CF420" s="93"/>
      <c r="CG420" s="93"/>
      <c r="CH420" s="93"/>
      <c r="CI420" s="93"/>
      <c r="CJ420" s="93"/>
      <c r="CK420" s="93"/>
      <c r="CL420" s="93"/>
      <c r="CM420" s="93"/>
      <c r="CN420" s="93"/>
      <c r="CO420" s="93"/>
      <c r="CP420" s="93"/>
      <c r="CQ420" s="93"/>
      <c r="CR420" s="93"/>
      <c r="CS420" s="699"/>
      <c r="CT420" s="93"/>
      <c r="CU420" s="93"/>
      <c r="CV420" s="92"/>
      <c r="CW420" s="51"/>
      <c r="CX420" s="51"/>
      <c r="CY420" s="51"/>
      <c r="CZ420" s="51"/>
      <c r="DA420" s="92"/>
      <c r="DB420" s="92"/>
      <c r="DC420" s="51"/>
      <c r="DD420" s="51"/>
      <c r="DE420" s="51"/>
      <c r="DF420" s="93"/>
      <c r="DG420" s="93"/>
      <c r="DH420" s="93"/>
      <c r="DI420" s="699"/>
      <c r="DJ420" s="93"/>
      <c r="DK420" s="93"/>
      <c r="DL420" s="93"/>
      <c r="DM420" s="93"/>
      <c r="DN420" s="93"/>
      <c r="DO420" s="93"/>
      <c r="DP420" s="93"/>
      <c r="DQ420" s="93"/>
      <c r="DR420" s="93"/>
      <c r="DS420" s="93"/>
      <c r="DT420" s="93"/>
      <c r="DU420" s="93"/>
      <c r="DV420" s="93"/>
      <c r="DW420" s="93"/>
      <c r="DX420" s="79"/>
    </row>
    <row r="421" spans="1:129">
      <c r="A421" s="51"/>
      <c r="B421" s="92"/>
      <c r="C421" s="92"/>
      <c r="D421" s="92"/>
      <c r="E421" s="51"/>
      <c r="F421" s="92"/>
      <c r="G421" s="92"/>
      <c r="H421" s="92"/>
      <c r="I421" s="92"/>
      <c r="J421" s="92"/>
      <c r="K421" s="92"/>
      <c r="L421" s="92"/>
      <c r="M421" s="92"/>
      <c r="N421" s="92"/>
      <c r="O421" s="92"/>
      <c r="P421" s="113"/>
      <c r="Q421" s="699"/>
      <c r="R421" s="93"/>
      <c r="S421" s="93"/>
      <c r="T421" s="93"/>
      <c r="U421" s="93"/>
      <c r="V421" s="93"/>
      <c r="W421" s="93"/>
      <c r="X421" s="93"/>
      <c r="Y421" s="93"/>
      <c r="Z421" s="51"/>
      <c r="AA421" s="51"/>
      <c r="AB421" s="92"/>
      <c r="AC421" s="51"/>
      <c r="AD421" s="51"/>
      <c r="AE421" s="51"/>
      <c r="AF421" s="82"/>
      <c r="AG421" s="51"/>
      <c r="AH421" s="51"/>
      <c r="AI421" s="51"/>
      <c r="AJ421" s="51"/>
      <c r="AK421" s="51"/>
      <c r="AL421" s="92"/>
      <c r="AM421" s="92"/>
      <c r="AN421" s="51"/>
      <c r="AO421" s="51"/>
      <c r="AP421" s="51"/>
      <c r="AQ421" s="51"/>
      <c r="AR421" s="92"/>
      <c r="AS421" s="51"/>
      <c r="AT421" s="51"/>
      <c r="AU421" s="51"/>
      <c r="AV421" s="82"/>
      <c r="AW421" s="699"/>
      <c r="AX421" s="93"/>
      <c r="AY421" s="93"/>
      <c r="AZ421" s="93"/>
      <c r="BA421" s="93"/>
      <c r="BB421" s="93"/>
      <c r="BC421" s="93"/>
      <c r="BD421" s="93"/>
      <c r="BE421" s="93"/>
      <c r="BF421" s="93"/>
      <c r="BG421" s="93"/>
      <c r="BH421" s="93"/>
      <c r="BI421" s="93"/>
      <c r="BJ421" s="93"/>
      <c r="BK421" s="93"/>
      <c r="BL421" s="79"/>
      <c r="BM421" s="51"/>
      <c r="BN421" s="92"/>
      <c r="BO421" s="92"/>
      <c r="BP421" s="92"/>
      <c r="BQ421" s="51"/>
      <c r="BR421" s="92"/>
      <c r="BS421" s="92"/>
      <c r="BT421" s="92"/>
      <c r="BU421" s="92"/>
      <c r="BV421" s="92"/>
      <c r="BW421" s="92"/>
      <c r="BX421" s="92"/>
      <c r="BY421" s="92"/>
      <c r="BZ421" s="92"/>
      <c r="CA421" s="92"/>
      <c r="CB421" s="117"/>
      <c r="CC421" s="699"/>
      <c r="CD421" s="93"/>
      <c r="CE421" s="93"/>
      <c r="CF421" s="93"/>
      <c r="CG421" s="93"/>
      <c r="CH421" s="93"/>
      <c r="CI421" s="93"/>
      <c r="CJ421" s="93"/>
      <c r="CK421" s="93"/>
      <c r="CL421" s="93"/>
      <c r="CM421" s="93"/>
      <c r="CN421" s="93"/>
      <c r="CO421" s="93"/>
      <c r="CP421" s="93"/>
      <c r="CQ421" s="93"/>
      <c r="CR421" s="93"/>
      <c r="CS421" s="699"/>
      <c r="CT421" s="93"/>
      <c r="CU421" s="93"/>
      <c r="CV421" s="92"/>
      <c r="CW421" s="51"/>
      <c r="CX421" s="51"/>
      <c r="CY421" s="51"/>
      <c r="CZ421" s="51"/>
      <c r="DA421" s="92"/>
      <c r="DB421" s="92"/>
      <c r="DC421" s="51"/>
      <c r="DD421" s="51"/>
      <c r="DE421" s="51"/>
      <c r="DF421" s="93"/>
      <c r="DG421" s="93"/>
      <c r="DH421" s="93"/>
      <c r="DI421" s="699"/>
      <c r="DJ421" s="93"/>
      <c r="DK421" s="93"/>
      <c r="DL421" s="93"/>
      <c r="DM421" s="93"/>
      <c r="DN421" s="93"/>
      <c r="DO421" s="93"/>
      <c r="DP421" s="93"/>
      <c r="DQ421" s="93"/>
      <c r="DR421" s="93"/>
      <c r="DS421" s="93"/>
      <c r="DT421" s="93"/>
      <c r="DU421" s="93"/>
      <c r="DV421" s="93"/>
      <c r="DW421" s="93"/>
      <c r="DX421" s="79"/>
    </row>
    <row r="422" spans="1:129">
      <c r="A422" s="51"/>
      <c r="B422" s="51"/>
      <c r="C422" s="51"/>
      <c r="D422" s="51"/>
      <c r="E422" s="51"/>
      <c r="F422" s="51"/>
      <c r="G422" s="51"/>
      <c r="H422" s="51"/>
      <c r="I422" s="51"/>
      <c r="J422" s="51"/>
      <c r="K422" s="51"/>
      <c r="L422" s="51"/>
      <c r="M422" s="51"/>
      <c r="N422" s="51"/>
      <c r="O422" s="51"/>
      <c r="P422" s="82"/>
      <c r="Q422" s="699"/>
      <c r="R422" s="93"/>
      <c r="S422" s="93"/>
      <c r="T422" s="93"/>
      <c r="U422" s="93"/>
      <c r="V422" s="93"/>
      <c r="W422" s="93"/>
      <c r="X422" s="93"/>
      <c r="Y422" s="93"/>
      <c r="Z422" s="51"/>
      <c r="AA422" s="51"/>
      <c r="AB422" s="92"/>
      <c r="AC422" s="51"/>
      <c r="AD422" s="51"/>
      <c r="AE422" s="51"/>
      <c r="AF422" s="82"/>
      <c r="AG422" s="51"/>
      <c r="AH422" s="51"/>
      <c r="AI422" s="51"/>
      <c r="AJ422" s="51"/>
      <c r="AK422" s="51"/>
      <c r="AL422" s="92"/>
      <c r="AM422" s="92"/>
      <c r="AN422" s="51"/>
      <c r="AO422" s="51"/>
      <c r="AP422" s="51"/>
      <c r="AQ422" s="51"/>
      <c r="AR422" s="92"/>
      <c r="AS422" s="51"/>
      <c r="AT422" s="51"/>
      <c r="AU422" s="51"/>
      <c r="AV422" s="82"/>
      <c r="AW422" s="699"/>
      <c r="AX422" s="93"/>
      <c r="AY422" s="93"/>
      <c r="AZ422" s="93"/>
      <c r="BA422" s="93"/>
      <c r="BB422" s="93"/>
      <c r="BC422" s="93"/>
      <c r="BD422" s="93"/>
      <c r="BE422" s="93"/>
      <c r="BF422" s="93"/>
      <c r="BG422" s="93"/>
      <c r="BH422" s="93"/>
      <c r="BI422" s="93"/>
      <c r="BJ422" s="93"/>
      <c r="BK422" s="93"/>
      <c r="BL422" s="79"/>
      <c r="BM422" s="51"/>
      <c r="BN422" s="51"/>
      <c r="BO422" s="51"/>
      <c r="BP422" s="51"/>
      <c r="BQ422" s="51"/>
      <c r="BR422" s="51"/>
      <c r="BS422" s="51"/>
      <c r="BT422" s="51"/>
      <c r="BU422" s="51"/>
      <c r="BV422" s="51"/>
      <c r="BW422" s="51"/>
      <c r="BX422" s="51"/>
      <c r="BY422" s="51"/>
      <c r="BZ422" s="51"/>
      <c r="CA422" s="51"/>
      <c r="CB422" s="70"/>
      <c r="CC422" s="699"/>
      <c r="CD422" s="93"/>
      <c r="CE422" s="93"/>
      <c r="CF422" s="93"/>
      <c r="CG422" s="93"/>
      <c r="CH422" s="93"/>
      <c r="CI422" s="93"/>
      <c r="CJ422" s="93"/>
      <c r="CK422" s="93"/>
      <c r="CL422" s="93"/>
      <c r="CM422" s="93"/>
      <c r="CN422" s="93"/>
      <c r="CO422" s="93"/>
      <c r="CP422" s="93"/>
      <c r="CQ422" s="93"/>
      <c r="CR422" s="93"/>
      <c r="CS422" s="699"/>
      <c r="CT422" s="93"/>
      <c r="CU422" s="93"/>
      <c r="CV422" s="92"/>
      <c r="CW422" s="51"/>
      <c r="CX422" s="51"/>
      <c r="CY422" s="51"/>
      <c r="CZ422" s="51"/>
      <c r="DA422" s="92"/>
      <c r="DB422" s="92"/>
      <c r="DC422" s="51"/>
      <c r="DD422" s="51"/>
      <c r="DE422" s="51"/>
      <c r="DF422" s="93"/>
      <c r="DG422" s="93"/>
      <c r="DH422" s="93"/>
      <c r="DI422" s="699"/>
      <c r="DJ422" s="93"/>
      <c r="DK422" s="93"/>
      <c r="DL422" s="93"/>
      <c r="DM422" s="93"/>
      <c r="DN422" s="93"/>
      <c r="DO422" s="93"/>
      <c r="DP422" s="93"/>
      <c r="DQ422" s="93"/>
      <c r="DR422" s="93"/>
      <c r="DS422" s="93"/>
      <c r="DT422" s="93"/>
      <c r="DU422" s="93"/>
      <c r="DV422" s="93"/>
      <c r="DW422" s="93"/>
      <c r="DX422" s="79"/>
    </row>
    <row r="423" spans="1:129">
      <c r="A423" s="51"/>
      <c r="B423" s="92"/>
      <c r="C423" s="92"/>
      <c r="D423" s="92"/>
      <c r="E423" s="92"/>
      <c r="F423" s="92"/>
      <c r="G423" s="92"/>
      <c r="H423" s="92"/>
      <c r="I423" s="92"/>
      <c r="J423" s="92"/>
      <c r="K423" s="51"/>
      <c r="L423" s="92"/>
      <c r="M423" s="92"/>
      <c r="N423" s="92"/>
      <c r="O423" s="92"/>
      <c r="P423" s="113"/>
      <c r="Q423" s="699"/>
      <c r="R423" s="93"/>
      <c r="S423" s="93"/>
      <c r="T423" s="93"/>
      <c r="U423" s="93"/>
      <c r="V423" s="93"/>
      <c r="W423" s="93"/>
      <c r="X423" s="93"/>
      <c r="Y423" s="93"/>
      <c r="Z423" s="51"/>
      <c r="AA423" s="51"/>
      <c r="AB423" s="92"/>
      <c r="AC423" s="51"/>
      <c r="AD423" s="51"/>
      <c r="AE423" s="51"/>
      <c r="AF423" s="82"/>
      <c r="AG423" s="51"/>
      <c r="AH423" s="51"/>
      <c r="AI423" s="51"/>
      <c r="AJ423" s="51"/>
      <c r="AK423" s="51"/>
      <c r="AL423" s="92"/>
      <c r="AM423" s="92"/>
      <c r="AN423" s="51"/>
      <c r="AO423" s="51"/>
      <c r="AP423" s="51"/>
      <c r="AQ423" s="51"/>
      <c r="AR423" s="92"/>
      <c r="AS423" s="51"/>
      <c r="AT423" s="51"/>
      <c r="AU423" s="51"/>
      <c r="AV423" s="82"/>
      <c r="AW423" s="699"/>
      <c r="AX423" s="93"/>
      <c r="AY423" s="93"/>
      <c r="AZ423" s="93"/>
      <c r="BA423" s="93"/>
      <c r="BB423" s="93"/>
      <c r="BC423" s="93"/>
      <c r="BD423" s="93"/>
      <c r="BE423" s="93"/>
      <c r="BF423" s="93"/>
      <c r="BG423" s="93"/>
      <c r="BH423" s="93"/>
      <c r="BI423" s="93"/>
      <c r="BJ423" s="93"/>
      <c r="BK423" s="93"/>
      <c r="BL423" s="79"/>
      <c r="BM423" s="51"/>
      <c r="BN423" s="92"/>
      <c r="BO423" s="92"/>
      <c r="BP423" s="92"/>
      <c r="BQ423" s="92"/>
      <c r="BR423" s="92"/>
      <c r="BS423" s="92"/>
      <c r="BT423" s="92"/>
      <c r="BU423" s="92"/>
      <c r="BV423" s="92"/>
      <c r="BW423" s="51"/>
      <c r="BX423" s="92"/>
      <c r="BY423" s="92"/>
      <c r="BZ423" s="92"/>
      <c r="CA423" s="92"/>
      <c r="CB423" s="117"/>
      <c r="CC423" s="699"/>
      <c r="CD423" s="93"/>
      <c r="CE423" s="93"/>
      <c r="CF423" s="93"/>
      <c r="CG423" s="93"/>
      <c r="CH423" s="93"/>
      <c r="CI423" s="93"/>
      <c r="CJ423" s="93"/>
      <c r="CK423" s="93"/>
      <c r="CL423" s="93"/>
      <c r="CM423" s="93"/>
      <c r="CN423" s="93"/>
      <c r="CO423" s="93"/>
      <c r="CP423" s="93"/>
      <c r="CQ423" s="93"/>
      <c r="CR423" s="93"/>
      <c r="CS423" s="699"/>
      <c r="CT423" s="93"/>
      <c r="CU423" s="93"/>
      <c r="CV423" s="92"/>
      <c r="CW423" s="51"/>
      <c r="CX423" s="51"/>
      <c r="CY423" s="51"/>
      <c r="CZ423" s="51"/>
      <c r="DA423" s="92"/>
      <c r="DB423" s="92"/>
      <c r="DC423" s="51"/>
      <c r="DD423" s="51"/>
      <c r="DE423" s="51"/>
      <c r="DF423" s="93"/>
      <c r="DG423" s="93"/>
      <c r="DH423" s="93"/>
      <c r="DI423" s="699"/>
      <c r="DJ423" s="93"/>
      <c r="DK423" s="93"/>
      <c r="DL423" s="93"/>
      <c r="DM423" s="93"/>
      <c r="DN423" s="93"/>
      <c r="DO423" s="93"/>
      <c r="DP423" s="93"/>
      <c r="DQ423" s="93"/>
      <c r="DR423" s="93"/>
      <c r="DS423" s="93"/>
      <c r="DT423" s="93"/>
      <c r="DU423" s="93"/>
      <c r="DV423" s="93"/>
      <c r="DW423" s="93"/>
      <c r="DX423" s="79"/>
    </row>
    <row r="424" spans="1:129">
      <c r="A424" s="51"/>
      <c r="B424" s="92"/>
      <c r="C424" s="92"/>
      <c r="D424" s="92"/>
      <c r="E424" s="92"/>
      <c r="F424" s="51"/>
      <c r="G424" s="161"/>
      <c r="H424" s="293"/>
      <c r="I424" s="291"/>
      <c r="J424" s="51"/>
      <c r="K424" s="51"/>
      <c r="L424" s="92"/>
      <c r="M424" s="92"/>
      <c r="N424" s="92"/>
      <c r="O424" s="92"/>
      <c r="P424" s="113"/>
      <c r="Q424" s="699"/>
      <c r="R424" s="93"/>
      <c r="S424" s="93"/>
      <c r="T424" s="51"/>
      <c r="U424" s="92"/>
      <c r="V424" s="293"/>
      <c r="W424" s="161"/>
      <c r="X424" s="161"/>
      <c r="Y424" s="51"/>
      <c r="Z424" s="51"/>
      <c r="AA424" s="92"/>
      <c r="AB424" s="51"/>
      <c r="AC424" s="51"/>
      <c r="AD424" s="51"/>
      <c r="AE424" s="51"/>
      <c r="AF424" s="82"/>
      <c r="AG424" s="51"/>
      <c r="AH424" s="51"/>
      <c r="AI424" s="51"/>
      <c r="AJ424" s="51"/>
      <c r="AK424" s="51"/>
      <c r="AL424" s="92"/>
      <c r="AM424" s="293"/>
      <c r="AN424" s="161"/>
      <c r="AO424" s="161"/>
      <c r="AP424" s="51"/>
      <c r="AQ424" s="92"/>
      <c r="AR424" s="51"/>
      <c r="AS424" s="51"/>
      <c r="AT424" s="51"/>
      <c r="AU424" s="51"/>
      <c r="AV424" s="82"/>
      <c r="AW424" s="699"/>
      <c r="AX424" s="93"/>
      <c r="AY424" s="93"/>
      <c r="AZ424" s="51"/>
      <c r="BA424" s="51"/>
      <c r="BB424" s="51"/>
      <c r="BC424" s="51"/>
      <c r="BD424" s="161"/>
      <c r="BE424" s="161"/>
      <c r="BF424" s="291"/>
      <c r="BG424" s="51"/>
      <c r="BH424" s="51"/>
      <c r="BI424" s="51"/>
      <c r="BJ424" s="92"/>
      <c r="BK424" s="92"/>
      <c r="BL424" s="79"/>
      <c r="BM424" s="699"/>
      <c r="BN424" s="93"/>
      <c r="BO424" s="92"/>
      <c r="BP424" s="92"/>
      <c r="BQ424" s="92"/>
      <c r="BR424" s="51"/>
      <c r="BS424" s="51"/>
      <c r="BT424" s="161"/>
      <c r="BU424" s="206"/>
      <c r="BV424" s="291"/>
      <c r="BW424" s="51"/>
      <c r="BX424" s="92"/>
      <c r="BY424" s="92"/>
      <c r="BZ424" s="93"/>
      <c r="CA424" s="93"/>
      <c r="CB424" s="93"/>
      <c r="CC424" s="699"/>
      <c r="CD424" s="93"/>
      <c r="CE424" s="92"/>
      <c r="CF424" s="51"/>
      <c r="CG424" s="51"/>
      <c r="CH424" s="51"/>
      <c r="CI424" s="291"/>
      <c r="CJ424" s="161"/>
      <c r="CK424" s="161"/>
      <c r="CL424" s="51"/>
      <c r="CM424" s="51"/>
      <c r="CN424" s="51"/>
      <c r="CO424" s="93"/>
      <c r="CP424" s="93"/>
      <c r="CQ424" s="93"/>
      <c r="CR424" s="93"/>
      <c r="CS424" s="699"/>
      <c r="CT424" s="93"/>
      <c r="CU424" s="93"/>
      <c r="CV424" s="51"/>
      <c r="CW424" s="92"/>
      <c r="CX424" s="51"/>
      <c r="CY424" s="293"/>
      <c r="CZ424" s="161"/>
      <c r="DA424" s="293"/>
      <c r="DB424" s="92"/>
      <c r="DC424" s="51"/>
      <c r="DD424" s="51"/>
      <c r="DE424" s="51"/>
      <c r="DF424" s="93"/>
      <c r="DG424" s="93"/>
      <c r="DH424" s="93"/>
      <c r="DI424" s="699"/>
      <c r="DJ424" s="93"/>
      <c r="DK424" s="93"/>
      <c r="DL424" s="93"/>
      <c r="DM424" s="93"/>
      <c r="DN424" s="51"/>
      <c r="DO424" s="161"/>
      <c r="DP424" s="161"/>
      <c r="DQ424" s="293"/>
      <c r="DR424" s="92"/>
      <c r="DS424" s="51"/>
      <c r="DT424" s="51"/>
      <c r="DU424" s="93"/>
      <c r="DV424" s="93"/>
      <c r="DW424" s="93"/>
      <c r="DX424" s="79"/>
    </row>
    <row r="425" spans="1:129">
      <c r="A425" s="51"/>
      <c r="B425" s="92"/>
      <c r="C425" s="51"/>
      <c r="D425" s="51"/>
      <c r="E425" s="51"/>
      <c r="F425" s="161"/>
      <c r="G425" s="293"/>
      <c r="H425" s="206"/>
      <c r="I425" s="161"/>
      <c r="J425" s="291"/>
      <c r="K425" s="51"/>
      <c r="L425" s="51"/>
      <c r="M425" s="51"/>
      <c r="N425" s="51"/>
      <c r="O425" s="92"/>
      <c r="P425" s="113"/>
      <c r="Q425" s="699"/>
      <c r="R425" s="93"/>
      <c r="S425" s="93"/>
      <c r="T425" s="92"/>
      <c r="U425" s="293"/>
      <c r="V425" s="161"/>
      <c r="W425" s="206"/>
      <c r="X425" s="206"/>
      <c r="Y425" s="161"/>
      <c r="Z425" s="51"/>
      <c r="AA425" s="92"/>
      <c r="AB425" s="51"/>
      <c r="AC425" s="51"/>
      <c r="AD425" s="51"/>
      <c r="AE425" s="51"/>
      <c r="AF425" s="82"/>
      <c r="AG425" s="51"/>
      <c r="AH425" s="51"/>
      <c r="AI425" s="51"/>
      <c r="AJ425" s="51"/>
      <c r="AK425" s="51"/>
      <c r="AL425" s="293"/>
      <c r="AM425" s="161"/>
      <c r="AN425" s="206"/>
      <c r="AO425" s="206"/>
      <c r="AP425" s="161"/>
      <c r="AQ425" s="92"/>
      <c r="AR425" s="51"/>
      <c r="AS425" s="51"/>
      <c r="AT425" s="51"/>
      <c r="AU425" s="51"/>
      <c r="AV425" s="82"/>
      <c r="AW425" s="699"/>
      <c r="AX425" s="93"/>
      <c r="AY425" s="93"/>
      <c r="AZ425" s="92"/>
      <c r="BA425" s="92"/>
      <c r="BB425" s="92"/>
      <c r="BC425" s="161"/>
      <c r="BD425" s="161"/>
      <c r="BE425" s="206"/>
      <c r="BF425" s="206"/>
      <c r="BG425" s="291"/>
      <c r="BH425" s="92"/>
      <c r="BI425" s="92"/>
      <c r="BJ425" s="92"/>
      <c r="BK425" s="92"/>
      <c r="BL425" s="113"/>
      <c r="BM425" s="699"/>
      <c r="BN425" s="93"/>
      <c r="BO425" s="51"/>
      <c r="BP425" s="51"/>
      <c r="BQ425" s="51"/>
      <c r="BR425" s="51"/>
      <c r="BS425" s="161"/>
      <c r="BT425" s="206"/>
      <c r="BU425" s="206"/>
      <c r="BV425" s="206"/>
      <c r="BW425" s="291"/>
      <c r="BX425" s="51"/>
      <c r="BY425" s="51"/>
      <c r="BZ425" s="93"/>
      <c r="CA425" s="93"/>
      <c r="CB425" s="93"/>
      <c r="CC425" s="699"/>
      <c r="CD425" s="93"/>
      <c r="CE425" s="92"/>
      <c r="CF425" s="92"/>
      <c r="CG425" s="92"/>
      <c r="CH425" s="291"/>
      <c r="CI425" s="206"/>
      <c r="CJ425" s="206"/>
      <c r="CK425" s="161"/>
      <c r="CL425" s="161"/>
      <c r="CM425" s="92"/>
      <c r="CN425" s="92"/>
      <c r="CO425" s="93"/>
      <c r="CP425" s="93"/>
      <c r="CQ425" s="93"/>
      <c r="CR425" s="93"/>
      <c r="CS425" s="699"/>
      <c r="CT425" s="93"/>
      <c r="CU425" s="93"/>
      <c r="CV425" s="51"/>
      <c r="CW425" s="92"/>
      <c r="CX425" s="293"/>
      <c r="CY425" s="206"/>
      <c r="CZ425" s="206"/>
      <c r="DA425" s="292"/>
      <c r="DB425" s="161"/>
      <c r="DC425" s="51"/>
      <c r="DD425" s="51"/>
      <c r="DE425" s="51"/>
      <c r="DF425" s="93"/>
      <c r="DG425" s="93"/>
      <c r="DH425" s="93"/>
      <c r="DI425" s="699"/>
      <c r="DJ425" s="93"/>
      <c r="DK425" s="93"/>
      <c r="DL425" s="93"/>
      <c r="DM425" s="92"/>
      <c r="DN425" s="161"/>
      <c r="DO425" s="292"/>
      <c r="DP425" s="291"/>
      <c r="DQ425" s="161"/>
      <c r="DR425" s="293"/>
      <c r="DS425" s="92"/>
      <c r="DT425" s="92"/>
      <c r="DU425" s="51"/>
      <c r="DV425" s="93"/>
      <c r="DW425" s="93"/>
      <c r="DX425" s="79"/>
    </row>
    <row r="426" spans="1:129">
      <c r="A426" s="51"/>
      <c r="B426" s="92"/>
      <c r="C426" s="92"/>
      <c r="D426" s="92"/>
      <c r="E426" s="92"/>
      <c r="F426" s="161"/>
      <c r="G426" s="206"/>
      <c r="H426" s="206"/>
      <c r="I426" s="206"/>
      <c r="J426" s="291"/>
      <c r="K426" s="92"/>
      <c r="L426" s="92"/>
      <c r="M426" s="92"/>
      <c r="N426" s="92"/>
      <c r="O426" s="92"/>
      <c r="P426" s="113"/>
      <c r="Q426" s="699"/>
      <c r="R426" s="93"/>
      <c r="S426" s="93"/>
      <c r="T426" s="92"/>
      <c r="U426" s="161"/>
      <c r="V426" s="206"/>
      <c r="W426" s="206"/>
      <c r="X426" s="206"/>
      <c r="Y426" s="206"/>
      <c r="Z426" s="92"/>
      <c r="AA426" s="92"/>
      <c r="AB426" s="92"/>
      <c r="AC426" s="93"/>
      <c r="AD426" s="93"/>
      <c r="AE426" s="93"/>
      <c r="AF426" s="79"/>
      <c r="AG426" s="51"/>
      <c r="AH426" s="51"/>
      <c r="AI426" s="51"/>
      <c r="AJ426" s="51"/>
      <c r="AK426" s="51"/>
      <c r="AL426" s="161"/>
      <c r="AM426" s="206"/>
      <c r="AN426" s="206"/>
      <c r="AO426" s="206"/>
      <c r="AP426" s="206"/>
      <c r="AQ426" s="92"/>
      <c r="AR426" s="51"/>
      <c r="AS426" s="51"/>
      <c r="AT426" s="51"/>
      <c r="AU426" s="51"/>
      <c r="AV426" s="82"/>
      <c r="AW426" s="699"/>
      <c r="AX426" s="93"/>
      <c r="AY426" s="93"/>
      <c r="AZ426" s="92"/>
      <c r="BA426" s="92"/>
      <c r="BB426" s="92"/>
      <c r="BC426" s="291"/>
      <c r="BD426" s="206"/>
      <c r="BE426" s="206"/>
      <c r="BF426" s="206"/>
      <c r="BG426" s="206"/>
      <c r="BH426" s="92"/>
      <c r="BI426" s="92"/>
      <c r="BJ426" s="51"/>
      <c r="BK426" s="51"/>
      <c r="BL426" s="113"/>
      <c r="BM426" s="699"/>
      <c r="BN426" s="93"/>
      <c r="BO426" s="92"/>
      <c r="BP426" s="92"/>
      <c r="BQ426" s="92"/>
      <c r="BR426" s="92"/>
      <c r="BS426" s="161"/>
      <c r="BT426" s="206"/>
      <c r="BU426" s="206"/>
      <c r="BV426" s="206"/>
      <c r="BW426" s="291"/>
      <c r="BX426" s="92"/>
      <c r="BY426" s="92"/>
      <c r="BZ426" s="93"/>
      <c r="CA426" s="93"/>
      <c r="CB426" s="93"/>
      <c r="CC426" s="699"/>
      <c r="CD426" s="93"/>
      <c r="CE426" s="51"/>
      <c r="CF426" s="92"/>
      <c r="CG426" s="92"/>
      <c r="CH426" s="206"/>
      <c r="CI426" s="206"/>
      <c r="CJ426" s="206"/>
      <c r="CK426" s="291"/>
      <c r="CL426" s="291"/>
      <c r="CM426" s="92"/>
      <c r="CN426" s="92"/>
      <c r="CO426" s="93"/>
      <c r="CP426" s="93"/>
      <c r="CQ426" s="93"/>
      <c r="CR426" s="93"/>
      <c r="CS426" s="699"/>
      <c r="CT426" s="93"/>
      <c r="CU426" s="93"/>
      <c r="CV426" s="51"/>
      <c r="CW426" s="92"/>
      <c r="CX426" s="161"/>
      <c r="CY426" s="206"/>
      <c r="CZ426" s="206"/>
      <c r="DA426" s="206"/>
      <c r="DB426" s="291"/>
      <c r="DC426" s="51"/>
      <c r="DD426" s="51"/>
      <c r="DE426" s="51"/>
      <c r="DF426" s="93"/>
      <c r="DG426" s="93"/>
      <c r="DH426" s="93"/>
      <c r="DI426" s="699"/>
      <c r="DJ426" s="93"/>
      <c r="DK426" s="93"/>
      <c r="DL426" s="93"/>
      <c r="DM426" s="92"/>
      <c r="DN426" s="291"/>
      <c r="DO426" s="292"/>
      <c r="DP426" s="292"/>
      <c r="DQ426" s="291"/>
      <c r="DR426" s="161"/>
      <c r="DS426" s="92"/>
      <c r="DT426" s="92"/>
      <c r="DU426" s="92"/>
      <c r="DV426" s="93"/>
      <c r="DW426" s="93"/>
      <c r="DX426" s="79"/>
    </row>
    <row r="427" spans="1:129">
      <c r="DY427">
        <v>396</v>
      </c>
    </row>
    <row r="428" spans="1:129">
      <c r="DY428">
        <v>397</v>
      </c>
    </row>
    <row r="429" spans="1:129">
      <c r="DY429">
        <v>398</v>
      </c>
    </row>
    <row r="430" spans="1:129">
      <c r="A430" s="51"/>
      <c r="B430" s="92"/>
      <c r="C430" s="92"/>
      <c r="D430" s="51"/>
      <c r="E430" s="51"/>
      <c r="F430" s="291"/>
      <c r="G430" s="64"/>
      <c r="H430" s="36"/>
      <c r="I430" s="64"/>
      <c r="J430" s="291"/>
      <c r="K430" s="51"/>
      <c r="L430" s="51"/>
      <c r="M430" s="92"/>
      <c r="N430" s="51"/>
      <c r="O430" s="51"/>
      <c r="P430" s="113"/>
      <c r="Q430" s="699"/>
      <c r="R430" s="93"/>
      <c r="S430" s="93"/>
      <c r="T430" s="92"/>
      <c r="U430" s="92"/>
      <c r="V430" s="64"/>
      <c r="W430" s="64"/>
      <c r="X430" s="54"/>
      <c r="Y430" s="291"/>
      <c r="Z430" s="92"/>
      <c r="AA430" s="51"/>
      <c r="AB430" s="51"/>
      <c r="AC430" s="93"/>
      <c r="AD430" s="93"/>
      <c r="AE430" s="93"/>
      <c r="AF430" s="79"/>
      <c r="AG430" s="51"/>
      <c r="AH430" s="51"/>
      <c r="AI430" s="51"/>
      <c r="AJ430" s="51"/>
      <c r="AK430" s="51"/>
      <c r="AL430" s="92"/>
      <c r="AM430" s="56"/>
      <c r="AN430" s="56"/>
      <c r="AO430" s="291"/>
      <c r="AP430" s="92"/>
      <c r="AQ430" s="51"/>
      <c r="AR430" s="92"/>
      <c r="AS430" s="51"/>
      <c r="AT430" s="51"/>
      <c r="AU430" s="51"/>
      <c r="AV430" s="82"/>
      <c r="AW430" s="699"/>
      <c r="AX430" s="93"/>
      <c r="AY430" s="93"/>
      <c r="AZ430" s="92"/>
      <c r="BA430" s="92"/>
      <c r="BB430" s="92"/>
      <c r="BC430" s="92"/>
      <c r="BD430" s="201"/>
      <c r="BE430" s="201"/>
      <c r="BF430" s="291"/>
      <c r="BG430" s="92"/>
      <c r="BH430" s="92"/>
      <c r="BI430" s="92"/>
      <c r="BJ430" s="51"/>
      <c r="BK430" s="51"/>
      <c r="BL430" s="113"/>
      <c r="BM430" s="699"/>
      <c r="BN430" s="93"/>
      <c r="BO430" s="51"/>
      <c r="BP430" s="92"/>
      <c r="BQ430" s="51"/>
      <c r="BR430" s="51"/>
      <c r="BS430" s="291"/>
      <c r="BT430" s="54"/>
      <c r="BU430" s="64"/>
      <c r="BV430" s="54"/>
      <c r="BW430" s="291"/>
      <c r="BX430" s="51"/>
      <c r="BY430" s="51"/>
      <c r="BZ430" s="93"/>
      <c r="CA430" s="93"/>
      <c r="CB430" s="93"/>
      <c r="CC430" s="699"/>
      <c r="CD430" s="93"/>
      <c r="CE430" s="51"/>
      <c r="CF430" s="92"/>
      <c r="CG430" s="92"/>
      <c r="CH430" s="92"/>
      <c r="CI430" s="291"/>
      <c r="CJ430" s="291"/>
      <c r="CK430" s="201"/>
      <c r="CL430" s="92"/>
      <c r="CM430" s="92"/>
      <c r="CN430" s="92"/>
      <c r="CO430" s="93"/>
      <c r="CP430" s="93"/>
      <c r="CQ430" s="93"/>
      <c r="CR430" s="93"/>
      <c r="CS430" s="699"/>
      <c r="CT430" s="93"/>
      <c r="CU430" s="93"/>
      <c r="CV430" s="92"/>
      <c r="CW430" s="51"/>
      <c r="CX430" s="92"/>
      <c r="CY430" s="291"/>
      <c r="CZ430" s="201"/>
      <c r="DA430" s="64"/>
      <c r="DB430" s="92"/>
      <c r="DC430" s="51"/>
      <c r="DD430" s="51"/>
      <c r="DE430" s="51"/>
      <c r="DF430" s="93"/>
      <c r="DG430" s="93"/>
      <c r="DH430" s="93"/>
      <c r="DI430" s="699"/>
      <c r="DJ430" s="93"/>
      <c r="DK430" s="93"/>
      <c r="DL430" s="93"/>
      <c r="DM430" s="92"/>
      <c r="DN430" s="291"/>
      <c r="DO430" s="201"/>
      <c r="DP430" s="64"/>
      <c r="DQ430" s="64"/>
      <c r="DR430" s="92"/>
      <c r="DS430" s="92"/>
      <c r="DT430" s="92"/>
      <c r="DU430" s="93"/>
      <c r="DV430" s="93"/>
      <c r="DW430" s="93"/>
      <c r="DX430" s="79"/>
    </row>
    <row r="431" spans="1:129">
      <c r="A431" s="51"/>
      <c r="B431" s="92"/>
      <c r="C431" s="92"/>
      <c r="D431" s="92"/>
      <c r="E431" s="92"/>
      <c r="F431" s="291"/>
      <c r="G431" s="54"/>
      <c r="H431" s="64"/>
      <c r="I431" s="291"/>
      <c r="J431" s="206"/>
      <c r="K431" s="92"/>
      <c r="L431" s="92"/>
      <c r="M431" s="92"/>
      <c r="N431" s="92"/>
      <c r="O431" s="51"/>
      <c r="P431" s="113"/>
      <c r="Q431" s="699"/>
      <c r="R431" s="93"/>
      <c r="S431" s="93"/>
      <c r="T431" s="92"/>
      <c r="U431" s="92"/>
      <c r="V431" s="92"/>
      <c r="W431" s="64"/>
      <c r="X431" s="291"/>
      <c r="Y431" s="292"/>
      <c r="Z431" s="92"/>
      <c r="AA431" s="92"/>
      <c r="AB431" s="92"/>
      <c r="AC431" s="93"/>
      <c r="AD431" s="93"/>
      <c r="AE431" s="93"/>
      <c r="AF431" s="79"/>
      <c r="AG431" s="51"/>
      <c r="AH431" s="51"/>
      <c r="AI431" s="51"/>
      <c r="AJ431" s="51"/>
      <c r="AK431" s="51"/>
      <c r="AL431" s="92"/>
      <c r="AM431" s="291"/>
      <c r="AN431" s="161"/>
      <c r="AO431" s="291"/>
      <c r="AP431" s="92"/>
      <c r="AQ431" s="51"/>
      <c r="AR431" s="92"/>
      <c r="AS431" s="51"/>
      <c r="AT431" s="51"/>
      <c r="AU431" s="51"/>
      <c r="AV431" s="82"/>
      <c r="AW431" s="699"/>
      <c r="AX431" s="93"/>
      <c r="AY431" s="93"/>
      <c r="AZ431" s="92"/>
      <c r="BA431" s="92"/>
      <c r="BB431" s="92"/>
      <c r="BC431" s="92"/>
      <c r="BD431" s="291"/>
      <c r="BE431" s="206"/>
      <c r="BF431" s="206"/>
      <c r="BG431" s="92"/>
      <c r="BH431" s="92"/>
      <c r="BI431" s="92"/>
      <c r="BJ431" s="51"/>
      <c r="BK431" s="51"/>
      <c r="BL431" s="113"/>
      <c r="BM431" s="699"/>
      <c r="BN431" s="93"/>
      <c r="BO431" s="92"/>
      <c r="BP431" s="92"/>
      <c r="BQ431" s="92"/>
      <c r="BR431" s="92"/>
      <c r="BS431" s="291"/>
      <c r="BT431" s="291"/>
      <c r="BU431" s="291"/>
      <c r="BV431" s="291"/>
      <c r="BW431" s="291"/>
      <c r="BX431" s="92"/>
      <c r="BY431" s="92"/>
      <c r="BZ431" s="93"/>
      <c r="CA431" s="93"/>
      <c r="CB431" s="93"/>
      <c r="CC431" s="699"/>
      <c r="CD431" s="93"/>
      <c r="CE431" s="51"/>
      <c r="CF431" s="92"/>
      <c r="CG431" s="92"/>
      <c r="CH431" s="92"/>
      <c r="CI431" s="292"/>
      <c r="CJ431" s="291"/>
      <c r="CK431" s="291"/>
      <c r="CL431" s="92"/>
      <c r="CM431" s="92"/>
      <c r="CN431" s="92"/>
      <c r="CO431" s="93"/>
      <c r="CP431" s="93"/>
      <c r="CQ431" s="93"/>
      <c r="CR431" s="93"/>
      <c r="CS431" s="699"/>
      <c r="CT431" s="93"/>
      <c r="CU431" s="93"/>
      <c r="CV431" s="92"/>
      <c r="CW431" s="51"/>
      <c r="CX431" s="92"/>
      <c r="CY431" s="291"/>
      <c r="CZ431" s="161"/>
      <c r="DA431" s="201"/>
      <c r="DB431" s="92"/>
      <c r="DC431" s="51"/>
      <c r="DD431" s="51"/>
      <c r="DE431" s="51"/>
      <c r="DF431" s="93"/>
      <c r="DG431" s="93"/>
      <c r="DH431" s="93"/>
      <c r="DI431" s="699"/>
      <c r="DJ431" s="93"/>
      <c r="DK431" s="93"/>
      <c r="DL431" s="92"/>
      <c r="DM431" s="92"/>
      <c r="DN431" s="292"/>
      <c r="DO431" s="291"/>
      <c r="DP431" s="201"/>
      <c r="DQ431" s="64"/>
      <c r="DR431" s="92"/>
      <c r="DS431" s="92"/>
      <c r="DT431" s="92"/>
      <c r="DU431" s="93"/>
      <c r="DV431" s="93"/>
      <c r="DW431" s="93"/>
      <c r="DX431" s="79"/>
    </row>
    <row r="432" spans="1:129">
      <c r="A432" s="51"/>
      <c r="B432" s="51"/>
      <c r="C432" s="92"/>
      <c r="D432" s="92"/>
      <c r="E432" s="293"/>
      <c r="F432" s="161"/>
      <c r="G432" s="291"/>
      <c r="H432" s="64"/>
      <c r="I432" s="291"/>
      <c r="J432" s="291"/>
      <c r="K432" s="92"/>
      <c r="L432" s="92"/>
      <c r="M432" s="92"/>
      <c r="N432" s="51"/>
      <c r="O432" s="51"/>
      <c r="P432" s="82"/>
      <c r="Q432" s="699"/>
      <c r="R432" s="93"/>
      <c r="S432" s="93"/>
      <c r="T432" s="92"/>
      <c r="U432" s="92"/>
      <c r="V432" s="293"/>
      <c r="W432" s="64"/>
      <c r="X432" s="292"/>
      <c r="Y432" s="291"/>
      <c r="Z432" s="161"/>
      <c r="AA432" s="92"/>
      <c r="AB432" s="92"/>
      <c r="AC432" s="93"/>
      <c r="AD432" s="93"/>
      <c r="AE432" s="93"/>
      <c r="AF432" s="79"/>
      <c r="AG432" s="51"/>
      <c r="AH432" s="51"/>
      <c r="AI432" s="51"/>
      <c r="AJ432" s="51"/>
      <c r="AK432" s="51"/>
      <c r="AL432" s="92"/>
      <c r="AM432" s="161"/>
      <c r="AN432" s="161"/>
      <c r="AO432" s="291"/>
      <c r="AP432" s="206"/>
      <c r="AQ432" s="51"/>
      <c r="AR432" s="92"/>
      <c r="AS432" s="51"/>
      <c r="AT432" s="51"/>
      <c r="AU432" s="51"/>
      <c r="AV432" s="82"/>
      <c r="AW432" s="699"/>
      <c r="AX432" s="93"/>
      <c r="AY432" s="93"/>
      <c r="AZ432" s="51"/>
      <c r="BA432" s="92"/>
      <c r="BB432" s="92"/>
      <c r="BC432" s="293"/>
      <c r="BD432" s="291"/>
      <c r="BE432" s="292"/>
      <c r="BF432" s="292"/>
      <c r="BG432" s="206"/>
      <c r="BH432" s="92"/>
      <c r="BI432" s="92"/>
      <c r="BJ432" s="51"/>
      <c r="BK432" s="51"/>
      <c r="BL432" s="82"/>
      <c r="BM432" s="699"/>
      <c r="BN432" s="93"/>
      <c r="BO432" s="92"/>
      <c r="BP432" s="92"/>
      <c r="BQ432" s="92"/>
      <c r="BR432" s="293"/>
      <c r="BS432" s="291"/>
      <c r="BT432" s="291"/>
      <c r="BU432" s="291"/>
      <c r="BV432" s="291"/>
      <c r="BW432" s="291"/>
      <c r="BX432" s="206"/>
      <c r="BY432" s="92"/>
      <c r="BZ432" s="93"/>
      <c r="CA432" s="93"/>
      <c r="CB432" s="93"/>
      <c r="CC432" s="699"/>
      <c r="CD432" s="93"/>
      <c r="CE432" s="51"/>
      <c r="CF432" s="92"/>
      <c r="CG432" s="92"/>
      <c r="CH432" s="291"/>
      <c r="CI432" s="292"/>
      <c r="CJ432" s="292"/>
      <c r="CK432" s="291"/>
      <c r="CL432" s="293"/>
      <c r="CM432" s="92"/>
      <c r="CN432" s="92"/>
      <c r="CO432" s="93"/>
      <c r="CP432" s="93"/>
      <c r="CQ432" s="93"/>
      <c r="CR432" s="93"/>
      <c r="CS432" s="699"/>
      <c r="CT432" s="93"/>
      <c r="CU432" s="93"/>
      <c r="CV432" s="92"/>
      <c r="CW432" s="51"/>
      <c r="CX432" s="206"/>
      <c r="CY432" s="291"/>
      <c r="CZ432" s="161"/>
      <c r="DA432" s="161"/>
      <c r="DB432" s="92"/>
      <c r="DC432" s="51"/>
      <c r="DD432" s="51"/>
      <c r="DE432" s="51"/>
      <c r="DF432" s="93"/>
      <c r="DG432" s="93"/>
      <c r="DH432" s="93"/>
      <c r="DI432" s="699"/>
      <c r="DJ432" s="93"/>
      <c r="DK432" s="93"/>
      <c r="DL432" s="92"/>
      <c r="DM432" s="92"/>
      <c r="DN432" s="161"/>
      <c r="DO432" s="291"/>
      <c r="DP432" s="291"/>
      <c r="DQ432" s="291"/>
      <c r="DR432" s="293"/>
      <c r="DS432" s="92"/>
      <c r="DT432" s="92"/>
      <c r="DU432" s="93"/>
      <c r="DV432" s="93"/>
      <c r="DW432" s="93"/>
      <c r="DX432" s="79"/>
    </row>
    <row r="433" spans="1:128">
      <c r="A433" s="51"/>
      <c r="B433" s="92"/>
      <c r="C433" s="92"/>
      <c r="D433" s="293"/>
      <c r="E433" s="291"/>
      <c r="F433" s="161"/>
      <c r="G433" s="291"/>
      <c r="H433" s="206"/>
      <c r="I433" s="161"/>
      <c r="J433" s="291"/>
      <c r="K433" s="161"/>
      <c r="L433" s="92"/>
      <c r="M433" s="51"/>
      <c r="N433" s="92"/>
      <c r="O433" s="92"/>
      <c r="P433" s="113"/>
      <c r="Q433" s="699"/>
      <c r="R433" s="93"/>
      <c r="S433" s="93"/>
      <c r="T433" s="92"/>
      <c r="U433" s="292"/>
      <c r="V433" s="206"/>
      <c r="W433" s="291"/>
      <c r="X433" s="161"/>
      <c r="Y433" s="206"/>
      <c r="Z433" s="291"/>
      <c r="AA433" s="161"/>
      <c r="AB433" s="92"/>
      <c r="AC433" s="93"/>
      <c r="AD433" s="93"/>
      <c r="AE433" s="93"/>
      <c r="AF433" s="79"/>
      <c r="AG433" s="51"/>
      <c r="AH433" s="51"/>
      <c r="AI433" s="51"/>
      <c r="AJ433" s="51"/>
      <c r="AK433" s="51"/>
      <c r="AL433" s="161"/>
      <c r="AM433" s="293"/>
      <c r="AN433" s="161"/>
      <c r="AO433" s="292"/>
      <c r="AP433" s="206"/>
      <c r="AQ433" s="51"/>
      <c r="AR433" s="92"/>
      <c r="AS433" s="51"/>
      <c r="AT433" s="51"/>
      <c r="AU433" s="51"/>
      <c r="AV433" s="82"/>
      <c r="AW433" s="699"/>
      <c r="AX433" s="93"/>
      <c r="AY433" s="93"/>
      <c r="AZ433" s="51"/>
      <c r="BA433" s="92"/>
      <c r="BB433" s="161"/>
      <c r="BC433" s="291"/>
      <c r="BD433" s="291"/>
      <c r="BE433" s="291"/>
      <c r="BF433" s="291"/>
      <c r="BG433" s="291"/>
      <c r="BH433" s="206"/>
      <c r="BI433" s="92"/>
      <c r="BJ433" s="92"/>
      <c r="BK433" s="92"/>
      <c r="BL433" s="113"/>
      <c r="BM433" s="699"/>
      <c r="BN433" s="93"/>
      <c r="BO433" s="51"/>
      <c r="BP433" s="92"/>
      <c r="BQ433" s="293"/>
      <c r="BR433" s="292"/>
      <c r="BS433" s="291"/>
      <c r="BT433" s="291"/>
      <c r="BU433" s="161"/>
      <c r="BV433" s="161"/>
      <c r="BW433" s="291"/>
      <c r="BX433" s="161"/>
      <c r="BY433" s="92"/>
      <c r="BZ433" s="93"/>
      <c r="CA433" s="93"/>
      <c r="CB433" s="93"/>
      <c r="CC433" s="699"/>
      <c r="CD433" s="93"/>
      <c r="CE433" s="92"/>
      <c r="CF433" s="92"/>
      <c r="CG433" s="161"/>
      <c r="CH433" s="291"/>
      <c r="CI433" s="161"/>
      <c r="CJ433" s="291"/>
      <c r="CK433" s="161"/>
      <c r="CL433" s="291"/>
      <c r="CM433" s="161"/>
      <c r="CN433" s="92"/>
      <c r="CO433" s="93"/>
      <c r="CP433" s="93"/>
      <c r="CQ433" s="93"/>
      <c r="CR433" s="93"/>
      <c r="CS433" s="699"/>
      <c r="CT433" s="93"/>
      <c r="CU433" s="93"/>
      <c r="CV433" s="92"/>
      <c r="CW433" s="51"/>
      <c r="CX433" s="206"/>
      <c r="CY433" s="292"/>
      <c r="CZ433" s="161"/>
      <c r="DA433" s="293"/>
      <c r="DB433" s="92"/>
      <c r="DC433" s="51"/>
      <c r="DD433" s="51"/>
      <c r="DE433" s="51"/>
      <c r="DF433" s="93"/>
      <c r="DG433" s="93"/>
      <c r="DH433" s="93"/>
      <c r="DI433" s="699"/>
      <c r="DJ433" s="93"/>
      <c r="DK433" s="93"/>
      <c r="DL433" s="92"/>
      <c r="DM433" s="161"/>
      <c r="DN433" s="291"/>
      <c r="DO433" s="291"/>
      <c r="DP433" s="161"/>
      <c r="DQ433" s="291"/>
      <c r="DR433" s="161"/>
      <c r="DS433" s="92"/>
      <c r="DT433" s="92"/>
      <c r="DU433" s="93"/>
      <c r="DV433" s="93"/>
      <c r="DW433" s="93"/>
      <c r="DX433" s="79"/>
    </row>
    <row r="434" spans="1:128">
      <c r="A434" s="51"/>
      <c r="B434" s="92"/>
      <c r="C434" s="92"/>
      <c r="D434" s="206"/>
      <c r="E434" s="292"/>
      <c r="F434" s="161"/>
      <c r="G434" s="291"/>
      <c r="H434" s="291"/>
      <c r="I434" s="161"/>
      <c r="J434" s="161"/>
      <c r="K434" s="206"/>
      <c r="L434" s="92"/>
      <c r="M434" s="51"/>
      <c r="N434" s="92"/>
      <c r="O434" s="92"/>
      <c r="P434" s="113"/>
      <c r="Q434" s="699"/>
      <c r="R434" s="93"/>
      <c r="S434" s="93"/>
      <c r="T434" s="92"/>
      <c r="U434" s="292"/>
      <c r="V434" s="291"/>
      <c r="W434" s="161"/>
      <c r="X434" s="161"/>
      <c r="Y434" s="206"/>
      <c r="Z434" s="291"/>
      <c r="AA434" s="291"/>
      <c r="AB434" s="92"/>
      <c r="AC434" s="93"/>
      <c r="AD434" s="93"/>
      <c r="AE434" s="93"/>
      <c r="AF434" s="79"/>
      <c r="AG434" s="51"/>
      <c r="AH434" s="51"/>
      <c r="AI434" s="51"/>
      <c r="AJ434" s="51"/>
      <c r="AK434" s="51"/>
      <c r="AL434" s="292"/>
      <c r="AM434" s="293"/>
      <c r="AN434" s="161"/>
      <c r="AO434" s="206"/>
      <c r="AP434" s="206"/>
      <c r="AQ434" s="206"/>
      <c r="AR434" s="51"/>
      <c r="AS434" s="51"/>
      <c r="AT434" s="51"/>
      <c r="AU434" s="51"/>
      <c r="AV434" s="82"/>
      <c r="AW434" s="699"/>
      <c r="AX434" s="93"/>
      <c r="AY434" s="93"/>
      <c r="AZ434" s="51"/>
      <c r="BA434" s="92"/>
      <c r="BB434" s="293"/>
      <c r="BC434" s="291"/>
      <c r="BD434" s="292"/>
      <c r="BE434" s="291"/>
      <c r="BF434" s="161"/>
      <c r="BG434" s="291"/>
      <c r="BH434" s="206"/>
      <c r="BI434" s="92"/>
      <c r="BJ434" s="92"/>
      <c r="BK434" s="92"/>
      <c r="BL434" s="113"/>
      <c r="BM434" s="699"/>
      <c r="BN434" s="93"/>
      <c r="BO434" s="51"/>
      <c r="BP434" s="92"/>
      <c r="BQ434" s="293"/>
      <c r="BR434" s="291"/>
      <c r="BS434" s="206"/>
      <c r="BT434" s="291"/>
      <c r="BU434" s="291"/>
      <c r="BV434" s="161"/>
      <c r="BW434" s="206"/>
      <c r="BX434" s="291"/>
      <c r="BY434" s="206"/>
      <c r="BZ434" s="93"/>
      <c r="CA434" s="93"/>
      <c r="CB434" s="93"/>
      <c r="CC434" s="699"/>
      <c r="CD434" s="93"/>
      <c r="CE434" s="92"/>
      <c r="CF434" s="291"/>
      <c r="CG434" s="292"/>
      <c r="CH434" s="161"/>
      <c r="CI434" s="291"/>
      <c r="CJ434" s="291"/>
      <c r="CK434" s="161"/>
      <c r="CL434" s="291"/>
      <c r="CM434" s="291"/>
      <c r="CN434" s="291"/>
      <c r="CO434" s="93"/>
      <c r="CP434" s="93"/>
      <c r="CQ434" s="93"/>
      <c r="CR434" s="93"/>
      <c r="CS434" s="699"/>
      <c r="CT434" s="93"/>
      <c r="CU434" s="93"/>
      <c r="CV434" s="92"/>
      <c r="CW434" s="51"/>
      <c r="CX434" s="206"/>
      <c r="CY434" s="161"/>
      <c r="CZ434" s="293"/>
      <c r="DA434" s="161"/>
      <c r="DB434" s="161"/>
      <c r="DC434" s="51"/>
      <c r="DD434" s="51"/>
      <c r="DE434" s="51"/>
      <c r="DF434" s="93"/>
      <c r="DG434" s="93"/>
      <c r="DH434" s="93"/>
      <c r="DI434" s="699"/>
      <c r="DJ434" s="93"/>
      <c r="DK434" s="93"/>
      <c r="DL434" s="92"/>
      <c r="DM434" s="291"/>
      <c r="DN434" s="291"/>
      <c r="DO434" s="292"/>
      <c r="DP434" s="161"/>
      <c r="DQ434" s="206"/>
      <c r="DR434" s="291"/>
      <c r="DS434" s="292"/>
      <c r="DT434" s="92"/>
      <c r="DU434" s="93"/>
      <c r="DV434" s="93"/>
      <c r="DW434" s="93"/>
      <c r="DX434" s="79"/>
    </row>
    <row r="435" spans="1:128">
      <c r="A435" s="51"/>
      <c r="B435" s="92"/>
      <c r="C435" s="293"/>
      <c r="D435" s="292"/>
      <c r="E435" s="292"/>
      <c r="F435" s="161"/>
      <c r="G435" s="291"/>
      <c r="H435" s="206"/>
      <c r="I435" s="161"/>
      <c r="J435" s="291"/>
      <c r="K435" s="206"/>
      <c r="L435" s="161"/>
      <c r="M435" s="51"/>
      <c r="N435" s="92"/>
      <c r="O435" s="92"/>
      <c r="P435" s="82"/>
      <c r="Q435" s="699"/>
      <c r="R435" s="93"/>
      <c r="S435" s="93"/>
      <c r="T435" s="206"/>
      <c r="U435" s="291"/>
      <c r="V435" s="206"/>
      <c r="W435" s="291"/>
      <c r="X435" s="161"/>
      <c r="Y435" s="206"/>
      <c r="Z435" s="161"/>
      <c r="AA435" s="291"/>
      <c r="AB435" s="93"/>
      <c r="AC435" s="93"/>
      <c r="AD435" s="93"/>
      <c r="AE435" s="93"/>
      <c r="AF435" s="79"/>
      <c r="AG435" s="51"/>
      <c r="AH435" s="51"/>
      <c r="AI435" s="51"/>
      <c r="AJ435" s="51"/>
      <c r="AK435" s="51"/>
      <c r="AL435" s="161"/>
      <c r="AM435" s="293"/>
      <c r="AN435" s="161"/>
      <c r="AO435" s="206"/>
      <c r="AP435" s="291"/>
      <c r="AQ435" s="206"/>
      <c r="AR435" s="51"/>
      <c r="AS435" s="51"/>
      <c r="AT435" s="51"/>
      <c r="AU435" s="51"/>
      <c r="AV435" s="82"/>
      <c r="AW435" s="699"/>
      <c r="AX435" s="93"/>
      <c r="AY435" s="93"/>
      <c r="AZ435" s="51"/>
      <c r="BA435" s="92"/>
      <c r="BB435" s="161"/>
      <c r="BC435" s="291"/>
      <c r="BD435" s="206"/>
      <c r="BE435" s="291"/>
      <c r="BF435" s="161"/>
      <c r="BG435" s="292"/>
      <c r="BH435" s="291"/>
      <c r="BI435" s="161"/>
      <c r="BJ435" s="92"/>
      <c r="BK435" s="92"/>
      <c r="BL435" s="82"/>
      <c r="BM435" s="699"/>
      <c r="BN435" s="93"/>
      <c r="BO435" s="93"/>
      <c r="BP435" s="51"/>
      <c r="BQ435" s="161"/>
      <c r="BR435" s="291"/>
      <c r="BS435" s="206"/>
      <c r="BT435" s="291"/>
      <c r="BU435" s="291"/>
      <c r="BV435" s="161"/>
      <c r="BW435" s="206"/>
      <c r="BX435" s="292"/>
      <c r="BY435" s="161"/>
      <c r="BZ435" s="93"/>
      <c r="CA435" s="93"/>
      <c r="CB435" s="93"/>
      <c r="CC435" s="699"/>
      <c r="CD435" s="93"/>
      <c r="CE435" s="92"/>
      <c r="CF435" s="292"/>
      <c r="CG435" s="206"/>
      <c r="CH435" s="291"/>
      <c r="CI435" s="291"/>
      <c r="CJ435" s="291"/>
      <c r="CK435" s="291"/>
      <c r="CL435" s="206"/>
      <c r="CM435" s="293"/>
      <c r="CN435" s="291"/>
      <c r="CO435" s="93"/>
      <c r="CP435" s="93"/>
      <c r="CQ435" s="93"/>
      <c r="CR435" s="93"/>
      <c r="CS435" s="699"/>
      <c r="CT435" s="93"/>
      <c r="CU435" s="93"/>
      <c r="CV435" s="92"/>
      <c r="CW435" s="51"/>
      <c r="CX435" s="206"/>
      <c r="CY435" s="161"/>
      <c r="CZ435" s="291"/>
      <c r="DA435" s="293"/>
      <c r="DB435" s="292"/>
      <c r="DC435" s="51"/>
      <c r="DD435" s="51"/>
      <c r="DE435" s="51"/>
      <c r="DF435" s="93"/>
      <c r="DG435" s="93"/>
      <c r="DH435" s="93"/>
      <c r="DI435" s="699"/>
      <c r="DJ435" s="93"/>
      <c r="DK435" s="93"/>
      <c r="DL435" s="93"/>
      <c r="DM435" s="291"/>
      <c r="DN435" s="291"/>
      <c r="DO435" s="206"/>
      <c r="DP435" s="161"/>
      <c r="DQ435" s="291"/>
      <c r="DR435" s="291"/>
      <c r="DS435" s="291"/>
      <c r="DT435" s="51"/>
      <c r="DU435" s="93"/>
      <c r="DV435" s="93"/>
      <c r="DW435" s="93"/>
      <c r="DX435" s="79"/>
    </row>
    <row r="436" spans="1:128">
      <c r="A436" s="51"/>
      <c r="B436" s="92"/>
      <c r="C436" s="206"/>
      <c r="D436" s="291"/>
      <c r="E436" s="291"/>
      <c r="F436" s="161"/>
      <c r="G436" s="291"/>
      <c r="H436" s="291"/>
      <c r="I436" s="161"/>
      <c r="J436" s="291"/>
      <c r="K436" s="291"/>
      <c r="L436" s="206"/>
      <c r="M436" s="51"/>
      <c r="N436" s="92"/>
      <c r="O436" s="92"/>
      <c r="P436" s="113"/>
      <c r="Q436" s="699"/>
      <c r="R436" s="93"/>
      <c r="S436" s="206"/>
      <c r="T436" s="206"/>
      <c r="U436" s="291"/>
      <c r="V436" s="291"/>
      <c r="W436" s="161"/>
      <c r="X436" s="161"/>
      <c r="Y436" s="206"/>
      <c r="Z436" s="291"/>
      <c r="AA436" s="161"/>
      <c r="AB436" s="93"/>
      <c r="AC436" s="93"/>
      <c r="AD436" s="93"/>
      <c r="AE436" s="93"/>
      <c r="AF436" s="79"/>
      <c r="AG436" s="51"/>
      <c r="AH436" s="51"/>
      <c r="AI436" s="51"/>
      <c r="AJ436" s="51"/>
      <c r="AK436" s="199"/>
      <c r="AL436" s="291"/>
      <c r="AM436" s="293"/>
      <c r="AN436" s="161"/>
      <c r="AO436" s="206"/>
      <c r="AP436" s="292"/>
      <c r="AQ436" s="206"/>
      <c r="AR436" s="51"/>
      <c r="AS436" s="51"/>
      <c r="AT436" s="51"/>
      <c r="AU436" s="51"/>
      <c r="AV436" s="82"/>
      <c r="AW436" s="699"/>
      <c r="AX436" s="93"/>
      <c r="AY436" s="93"/>
      <c r="AZ436" s="51"/>
      <c r="BA436" s="92"/>
      <c r="BB436" s="291"/>
      <c r="BC436" s="291"/>
      <c r="BD436" s="206"/>
      <c r="BE436" s="291"/>
      <c r="BF436" s="161"/>
      <c r="BG436" s="206"/>
      <c r="BH436" s="291"/>
      <c r="BI436" s="206"/>
      <c r="BJ436" s="92"/>
      <c r="BK436" s="92"/>
      <c r="BL436" s="113"/>
      <c r="BM436" s="699"/>
      <c r="BN436" s="93"/>
      <c r="BO436" s="51"/>
      <c r="BP436" s="293"/>
      <c r="BQ436" s="291"/>
      <c r="BR436" s="291"/>
      <c r="BS436" s="206"/>
      <c r="BT436" s="291"/>
      <c r="BU436" s="291"/>
      <c r="BV436" s="161"/>
      <c r="BW436" s="206"/>
      <c r="BX436" s="292"/>
      <c r="BY436" s="291"/>
      <c r="BZ436" s="206"/>
      <c r="CA436" s="93"/>
      <c r="CB436" s="93"/>
      <c r="CC436" s="699"/>
      <c r="CD436" s="93"/>
      <c r="CE436" s="92"/>
      <c r="CF436" s="292"/>
      <c r="CG436" s="206"/>
      <c r="CH436" s="292"/>
      <c r="CI436" s="291"/>
      <c r="CJ436" s="291"/>
      <c r="CK436" s="291"/>
      <c r="CL436" s="206"/>
      <c r="CM436" s="161"/>
      <c r="CN436" s="293"/>
      <c r="CO436" s="93"/>
      <c r="CP436" s="93"/>
      <c r="CQ436" s="93"/>
      <c r="CR436" s="93"/>
      <c r="CS436" s="699"/>
      <c r="CT436" s="93"/>
      <c r="CU436" s="93"/>
      <c r="CV436" s="92"/>
      <c r="CW436" s="292"/>
      <c r="CX436" s="291"/>
      <c r="CY436" s="293"/>
      <c r="CZ436" s="291"/>
      <c r="DA436" s="161"/>
      <c r="DB436" s="161"/>
      <c r="DC436" s="51"/>
      <c r="DD436" s="51"/>
      <c r="DE436" s="51"/>
      <c r="DF436" s="93"/>
      <c r="DG436" s="93"/>
      <c r="DH436" s="93"/>
      <c r="DI436" s="699"/>
      <c r="DJ436" s="93"/>
      <c r="DK436" s="93"/>
      <c r="DL436" s="291"/>
      <c r="DM436" s="291"/>
      <c r="DN436" s="292"/>
      <c r="DO436" s="206"/>
      <c r="DP436" s="161"/>
      <c r="DQ436" s="206"/>
      <c r="DR436" s="292"/>
      <c r="DS436" s="291"/>
      <c r="DT436" s="293"/>
      <c r="DU436" s="93"/>
      <c r="DV436" s="93"/>
      <c r="DW436" s="93"/>
      <c r="DX436" s="79"/>
    </row>
    <row r="437" spans="1:128">
      <c r="A437" s="51"/>
      <c r="B437" s="51"/>
      <c r="C437" s="291"/>
      <c r="D437" s="291"/>
      <c r="E437" s="297"/>
      <c r="F437" s="161"/>
      <c r="G437" s="291"/>
      <c r="H437" s="206"/>
      <c r="I437" s="161"/>
      <c r="J437" s="292"/>
      <c r="K437" s="291"/>
      <c r="L437" s="291"/>
      <c r="M437" s="51"/>
      <c r="N437" s="51"/>
      <c r="O437" s="51"/>
      <c r="P437" s="82"/>
      <c r="Q437" s="699"/>
      <c r="R437" s="93"/>
      <c r="S437" s="206"/>
      <c r="T437" s="206"/>
      <c r="U437" s="292"/>
      <c r="V437" s="206"/>
      <c r="W437" s="291"/>
      <c r="X437" s="206"/>
      <c r="Y437" s="292"/>
      <c r="Z437" s="161"/>
      <c r="AA437" s="292"/>
      <c r="AB437" s="93"/>
      <c r="AC437" s="93"/>
      <c r="AD437" s="93"/>
      <c r="AE437" s="93"/>
      <c r="AF437" s="79"/>
      <c r="AG437" s="51"/>
      <c r="AH437" s="51"/>
      <c r="AI437" s="51"/>
      <c r="AJ437" s="51"/>
      <c r="AK437" s="199"/>
      <c r="AL437" s="291"/>
      <c r="AM437" s="293"/>
      <c r="AN437" s="161"/>
      <c r="AO437" s="206"/>
      <c r="AP437" s="292"/>
      <c r="AQ437" s="51"/>
      <c r="AR437" s="51"/>
      <c r="AS437" s="51"/>
      <c r="AT437" s="51"/>
      <c r="AU437" s="51"/>
      <c r="AV437" s="82"/>
      <c r="AW437" s="699"/>
      <c r="AX437" s="93"/>
      <c r="AY437" s="93"/>
      <c r="AZ437" s="51"/>
      <c r="BA437" s="291"/>
      <c r="BB437" s="291"/>
      <c r="BC437" s="291"/>
      <c r="BD437" s="206"/>
      <c r="BE437" s="291"/>
      <c r="BF437" s="291"/>
      <c r="BG437" s="206"/>
      <c r="BH437" s="290"/>
      <c r="BI437" s="294"/>
      <c r="BJ437" s="51"/>
      <c r="BK437" s="51"/>
      <c r="BL437" s="82"/>
      <c r="BM437" s="699"/>
      <c r="BN437" s="93"/>
      <c r="BO437" s="51"/>
      <c r="BP437" s="291"/>
      <c r="BQ437" s="291"/>
      <c r="BR437" s="292"/>
      <c r="BS437" s="206"/>
      <c r="BT437" s="291"/>
      <c r="BU437" s="291"/>
      <c r="BV437" s="161"/>
      <c r="BW437" s="291"/>
      <c r="BX437" s="294"/>
      <c r="BY437" s="291"/>
      <c r="BZ437" s="206"/>
      <c r="CA437" s="93"/>
      <c r="CB437" s="93"/>
      <c r="CC437" s="699"/>
      <c r="CD437" s="93"/>
      <c r="CE437" s="51"/>
      <c r="CF437" s="51"/>
      <c r="CG437" s="206"/>
      <c r="CH437" s="292"/>
      <c r="CI437" s="291"/>
      <c r="CJ437" s="291"/>
      <c r="CK437" s="206"/>
      <c r="CL437" s="206"/>
      <c r="CM437" s="161"/>
      <c r="CN437" s="293"/>
      <c r="CO437" s="93"/>
      <c r="CP437" s="93"/>
      <c r="CQ437" s="93"/>
      <c r="CR437" s="93"/>
      <c r="CS437" s="699"/>
      <c r="CT437" s="93"/>
      <c r="CU437" s="93"/>
      <c r="CV437" s="92"/>
      <c r="CW437" s="206"/>
      <c r="CX437" s="291"/>
      <c r="CY437" s="293"/>
      <c r="CZ437" s="161"/>
      <c r="DA437" s="293"/>
      <c r="DB437" s="291"/>
      <c r="DC437" s="293"/>
      <c r="DD437" s="51"/>
      <c r="DE437" s="93"/>
      <c r="DF437" s="93"/>
      <c r="DG437" s="93"/>
      <c r="DH437" s="93"/>
      <c r="DI437" s="699"/>
      <c r="DJ437" s="93"/>
      <c r="DK437" s="294"/>
      <c r="DL437" s="161"/>
      <c r="DM437" s="291"/>
      <c r="DN437" s="206"/>
      <c r="DO437" s="291"/>
      <c r="DP437" s="161"/>
      <c r="DQ437" s="291"/>
      <c r="DR437" s="291"/>
      <c r="DS437" s="292"/>
      <c r="DT437" s="291"/>
      <c r="DU437" s="93"/>
      <c r="DV437" s="93"/>
      <c r="DW437" s="93"/>
      <c r="DX437" s="79"/>
    </row>
    <row r="438" spans="1:128">
      <c r="A438" s="51"/>
      <c r="B438" s="51"/>
      <c r="C438" s="294"/>
      <c r="D438" s="199"/>
      <c r="E438" s="54"/>
      <c r="F438" s="297"/>
      <c r="G438" s="297"/>
      <c r="H438" s="291"/>
      <c r="I438" s="161"/>
      <c r="J438" s="292"/>
      <c r="K438" s="291"/>
      <c r="L438" s="161"/>
      <c r="M438" s="51"/>
      <c r="N438" s="51"/>
      <c r="O438" s="51"/>
      <c r="P438" s="113"/>
      <c r="Q438" s="699"/>
      <c r="R438" s="93"/>
      <c r="S438" s="206"/>
      <c r="T438" s="206"/>
      <c r="U438" s="297"/>
      <c r="V438" s="291"/>
      <c r="W438" s="161"/>
      <c r="X438" s="206"/>
      <c r="Y438" s="161"/>
      <c r="Z438" s="291"/>
      <c r="AA438" s="93"/>
      <c r="AB438" s="93"/>
      <c r="AC438" s="93"/>
      <c r="AD438" s="93"/>
      <c r="AE438" s="93"/>
      <c r="AF438" s="79"/>
      <c r="AG438" s="51"/>
      <c r="AH438" s="51"/>
      <c r="AI438" s="51"/>
      <c r="AJ438" s="51"/>
      <c r="AK438" s="291"/>
      <c r="AL438" s="293"/>
      <c r="AM438" s="161"/>
      <c r="AN438" s="206"/>
      <c r="AO438" s="206"/>
      <c r="AP438" s="51"/>
      <c r="AQ438" s="51"/>
      <c r="AR438" s="51"/>
      <c r="AS438" s="51"/>
      <c r="AT438" s="51"/>
      <c r="AU438" s="51"/>
      <c r="AV438" s="82"/>
      <c r="AW438" s="699"/>
      <c r="AX438" s="93"/>
      <c r="AY438" s="93"/>
      <c r="AZ438" s="51"/>
      <c r="BA438" s="301"/>
      <c r="BB438" s="206"/>
      <c r="BC438" s="291"/>
      <c r="BD438" s="292"/>
      <c r="BE438" s="291"/>
      <c r="BF438" s="291"/>
      <c r="BG438" s="206"/>
      <c r="BH438" s="290"/>
      <c r="BI438" s="294"/>
      <c r="BJ438" s="51"/>
      <c r="BK438" s="51"/>
      <c r="BL438" s="113"/>
      <c r="BM438" s="699"/>
      <c r="BN438" s="93"/>
      <c r="BO438" s="93"/>
      <c r="BP438" s="93"/>
      <c r="BQ438" s="161"/>
      <c r="BR438" s="292"/>
      <c r="BS438" s="206"/>
      <c r="BT438" s="206"/>
      <c r="BU438" s="206"/>
      <c r="BV438" s="161"/>
      <c r="BW438" s="291"/>
      <c r="BX438" s="290"/>
      <c r="BY438" s="290"/>
      <c r="BZ438" s="291"/>
      <c r="CA438" s="93"/>
      <c r="CB438" s="93"/>
      <c r="CC438" s="699"/>
      <c r="CD438" s="93"/>
      <c r="CE438" s="51"/>
      <c r="CF438" s="51"/>
      <c r="CG438" s="206"/>
      <c r="CH438" s="292"/>
      <c r="CI438" s="291"/>
      <c r="CJ438" s="291"/>
      <c r="CK438" s="206"/>
      <c r="CL438" s="294"/>
      <c r="CM438" s="206"/>
      <c r="CN438" s="293"/>
      <c r="CO438" s="93"/>
      <c r="CP438" s="93"/>
      <c r="CQ438" s="93"/>
      <c r="CR438" s="93"/>
      <c r="CS438" s="699"/>
      <c r="CT438" s="93"/>
      <c r="CU438" s="93"/>
      <c r="CV438" s="92"/>
      <c r="CW438" s="206"/>
      <c r="CX438" s="291"/>
      <c r="CY438" s="291"/>
      <c r="CZ438" s="161"/>
      <c r="DA438" s="293"/>
      <c r="DB438" s="291"/>
      <c r="DC438" s="293"/>
      <c r="DD438" s="51"/>
      <c r="DE438" s="93"/>
      <c r="DF438" s="93"/>
      <c r="DG438" s="93"/>
      <c r="DH438" s="93"/>
      <c r="DI438" s="699"/>
      <c r="DJ438" s="93"/>
      <c r="DK438" s="290"/>
      <c r="DL438" s="206"/>
      <c r="DM438" s="291"/>
      <c r="DN438" s="206"/>
      <c r="DO438" s="199"/>
      <c r="DP438" s="301"/>
      <c r="DQ438" s="206"/>
      <c r="DR438" s="291"/>
      <c r="DS438" s="292"/>
      <c r="DT438" s="291"/>
      <c r="DU438" s="93"/>
      <c r="DV438" s="93"/>
      <c r="DW438" s="93"/>
      <c r="DX438" s="79"/>
    </row>
    <row r="439" spans="1:128">
      <c r="A439" s="51"/>
      <c r="B439" s="51"/>
      <c r="C439" s="294"/>
      <c r="D439" s="290"/>
      <c r="E439" s="54"/>
      <c r="F439" s="160"/>
      <c r="G439" s="160"/>
      <c r="H439" s="297"/>
      <c r="I439" s="297"/>
      <c r="J439" s="292"/>
      <c r="K439" s="291"/>
      <c r="L439" s="51"/>
      <c r="M439" s="51"/>
      <c r="N439" s="51"/>
      <c r="O439" s="51"/>
      <c r="P439" s="113"/>
      <c r="Q439" s="699"/>
      <c r="R439" s="93"/>
      <c r="S439" s="206"/>
      <c r="T439" s="199"/>
      <c r="U439" s="160"/>
      <c r="V439" s="297"/>
      <c r="W439" s="297"/>
      <c r="X439" s="206"/>
      <c r="Y439" s="291"/>
      <c r="Z439" s="292"/>
      <c r="AA439" s="93"/>
      <c r="AB439" s="93"/>
      <c r="AC439" s="93"/>
      <c r="AD439" s="93"/>
      <c r="AE439" s="93"/>
      <c r="AF439" s="79"/>
      <c r="AG439" s="51"/>
      <c r="AH439" s="51"/>
      <c r="AI439" s="51"/>
      <c r="AJ439" s="297"/>
      <c r="AK439" s="293"/>
      <c r="AL439" s="161"/>
      <c r="AM439" s="206"/>
      <c r="AN439" s="292"/>
      <c r="AO439" s="206"/>
      <c r="AP439" s="51"/>
      <c r="AQ439" s="51"/>
      <c r="AR439" s="51"/>
      <c r="AS439" s="51"/>
      <c r="AT439" s="51"/>
      <c r="AU439" s="51"/>
      <c r="AV439" s="82"/>
      <c r="AW439" s="699"/>
      <c r="AX439" s="93"/>
      <c r="AY439" s="301"/>
      <c r="AZ439" s="301"/>
      <c r="BA439" s="199"/>
      <c r="BB439" s="161"/>
      <c r="BC439" s="206"/>
      <c r="BD439" s="292"/>
      <c r="BE439" s="161"/>
      <c r="BF439" s="291"/>
      <c r="BG439" s="291"/>
      <c r="BH439" s="290"/>
      <c r="BI439" s="290"/>
      <c r="BJ439" s="51"/>
      <c r="BK439" s="51"/>
      <c r="BL439" s="113"/>
      <c r="BM439" s="699"/>
      <c r="BN439" s="93"/>
      <c r="BO439" s="93"/>
      <c r="BP439" s="301"/>
      <c r="BQ439" s="293"/>
      <c r="BR439" s="199"/>
      <c r="BS439" s="291"/>
      <c r="BT439" s="161"/>
      <c r="BU439" s="161"/>
      <c r="BV439" s="161"/>
      <c r="BW439" s="161"/>
      <c r="BX439" s="290"/>
      <c r="BY439" s="294"/>
      <c r="BZ439" s="93"/>
      <c r="CA439" s="93"/>
      <c r="CB439" s="93"/>
      <c r="CC439" s="699"/>
      <c r="CD439" s="93"/>
      <c r="CE439" s="51"/>
      <c r="CF439" s="51"/>
      <c r="CG439" s="301"/>
      <c r="CH439" s="292"/>
      <c r="CI439" s="292"/>
      <c r="CJ439" s="292"/>
      <c r="CK439" s="292"/>
      <c r="CL439" s="294"/>
      <c r="CM439" s="290"/>
      <c r="CN439" s="92"/>
      <c r="CO439" s="93"/>
      <c r="CP439" s="93"/>
      <c r="CQ439" s="93"/>
      <c r="CR439" s="93"/>
      <c r="CS439" s="699"/>
      <c r="CT439" s="93"/>
      <c r="CU439" s="93"/>
      <c r="CV439" s="92"/>
      <c r="CW439" s="294"/>
      <c r="CX439" s="206"/>
      <c r="CY439" s="206"/>
      <c r="CZ439" s="54"/>
      <c r="DA439" s="199"/>
      <c r="DB439" s="301"/>
      <c r="DC439" s="301"/>
      <c r="DD439" s="293"/>
      <c r="DE439" s="51"/>
      <c r="DF439" s="51"/>
      <c r="DG439" s="51"/>
      <c r="DH439" s="93"/>
      <c r="DI439" s="699"/>
      <c r="DJ439" s="93"/>
      <c r="DK439" s="290"/>
      <c r="DL439" s="290"/>
      <c r="DM439" s="206"/>
      <c r="DN439" s="292"/>
      <c r="DO439" s="200"/>
      <c r="DP439" s="64"/>
      <c r="DQ439" s="301"/>
      <c r="DR439" s="301"/>
      <c r="DS439" s="206"/>
      <c r="DT439" s="54"/>
      <c r="DU439" s="293"/>
      <c r="DV439" s="93"/>
      <c r="DW439" s="93"/>
      <c r="DX439" s="79"/>
    </row>
    <row r="440" spans="1:128">
      <c r="A440" s="51"/>
      <c r="B440" s="51"/>
      <c r="C440" s="51"/>
      <c r="D440" s="51"/>
      <c r="E440" s="51"/>
      <c r="F440" s="292"/>
      <c r="G440" s="292"/>
      <c r="H440" s="160"/>
      <c r="I440" s="36"/>
      <c r="J440" s="199"/>
      <c r="K440" s="297"/>
      <c r="L440" s="51"/>
      <c r="M440" s="51"/>
      <c r="N440" s="51"/>
      <c r="O440" s="51"/>
      <c r="P440" s="113"/>
      <c r="Q440" s="699"/>
      <c r="R440" s="93"/>
      <c r="S440" s="294"/>
      <c r="T440" s="54"/>
      <c r="U440" s="199"/>
      <c r="V440" s="160"/>
      <c r="W440" s="160"/>
      <c r="X440" s="297"/>
      <c r="Y440" s="297"/>
      <c r="Z440" s="93"/>
      <c r="AA440" s="51"/>
      <c r="AB440" s="93"/>
      <c r="AC440" s="93"/>
      <c r="AD440" s="93"/>
      <c r="AE440" s="93"/>
      <c r="AF440" s="79"/>
      <c r="AG440" s="51"/>
      <c r="AH440" s="51"/>
      <c r="AI440" s="51"/>
      <c r="AJ440" s="301"/>
      <c r="AK440" s="293"/>
      <c r="AL440" s="206"/>
      <c r="AM440" s="292"/>
      <c r="AN440" s="206"/>
      <c r="AO440" s="292"/>
      <c r="AP440" s="51"/>
      <c r="AQ440" s="51"/>
      <c r="AR440" s="51"/>
      <c r="AS440" s="51"/>
      <c r="AT440" s="51"/>
      <c r="AU440" s="51"/>
      <c r="AV440" s="82"/>
      <c r="AW440" s="699"/>
      <c r="AX440" s="301"/>
      <c r="AY440" s="161"/>
      <c r="AZ440" s="160"/>
      <c r="BA440" s="53"/>
      <c r="BB440" s="199"/>
      <c r="BC440" s="292"/>
      <c r="BD440" s="292"/>
      <c r="BE440" s="206"/>
      <c r="BF440" s="206"/>
      <c r="BG440" s="206"/>
      <c r="BH440" s="92"/>
      <c r="BI440" s="92"/>
      <c r="BJ440" s="51"/>
      <c r="BK440" s="51"/>
      <c r="BL440" s="113"/>
      <c r="BM440" s="699"/>
      <c r="BN440" s="93"/>
      <c r="BO440" s="301"/>
      <c r="BP440" s="161"/>
      <c r="BQ440" s="161"/>
      <c r="BR440" s="92"/>
      <c r="BS440" s="291"/>
      <c r="BT440" s="206"/>
      <c r="BU440" s="206"/>
      <c r="BV440" s="292"/>
      <c r="BW440" s="292"/>
      <c r="BX440" s="290"/>
      <c r="BY440" s="290"/>
      <c r="BZ440" s="93"/>
      <c r="CA440" s="93"/>
      <c r="CB440" s="93"/>
      <c r="CC440" s="699"/>
      <c r="CD440" s="93"/>
      <c r="CE440" s="51"/>
      <c r="CF440" s="51"/>
      <c r="CG440" s="161"/>
      <c r="CH440" s="292"/>
      <c r="CI440" s="292"/>
      <c r="CJ440" s="292"/>
      <c r="CK440" s="292"/>
      <c r="CL440" s="290"/>
      <c r="CM440" s="290"/>
      <c r="CN440" s="92"/>
      <c r="CO440" s="93"/>
      <c r="CP440" s="93"/>
      <c r="CQ440" s="93"/>
      <c r="CR440" s="93"/>
      <c r="CS440" s="699"/>
      <c r="CT440" s="93"/>
      <c r="CU440" s="93"/>
      <c r="CV440" s="92"/>
      <c r="CW440" s="290"/>
      <c r="CX440" s="290"/>
      <c r="CY440" s="206"/>
      <c r="CZ440" s="64"/>
      <c r="DA440" s="54"/>
      <c r="DB440" s="161"/>
      <c r="DC440" s="199"/>
      <c r="DD440" s="301"/>
      <c r="DE440" s="301"/>
      <c r="DF440" s="51"/>
      <c r="DG440" s="51"/>
      <c r="DH440" s="93"/>
      <c r="DI440" s="699"/>
      <c r="DJ440" s="93"/>
      <c r="DK440" s="290"/>
      <c r="DL440" s="93"/>
      <c r="DM440" s="93"/>
      <c r="DN440" s="206"/>
      <c r="DO440" s="64"/>
      <c r="DP440" s="200"/>
      <c r="DQ440" s="161"/>
      <c r="DR440" s="161"/>
      <c r="DS440" s="301"/>
      <c r="DT440" s="301"/>
      <c r="DU440" s="301"/>
      <c r="DV440" s="301"/>
      <c r="DW440" s="93"/>
      <c r="DX440" s="79"/>
    </row>
    <row r="441" spans="1:128">
      <c r="A441" s="51"/>
      <c r="B441" s="51"/>
      <c r="C441" s="51"/>
      <c r="D441" s="92"/>
      <c r="E441" s="206"/>
      <c r="F441" s="291"/>
      <c r="G441" s="292"/>
      <c r="H441" s="51"/>
      <c r="I441" s="199"/>
      <c r="J441" s="54"/>
      <c r="K441" s="160"/>
      <c r="L441" s="297"/>
      <c r="M441" s="51"/>
      <c r="N441" s="51"/>
      <c r="O441" s="51"/>
      <c r="P441" s="113"/>
      <c r="Q441" s="699"/>
      <c r="R441" s="93"/>
      <c r="S441" s="93"/>
      <c r="T441" s="93"/>
      <c r="U441" s="161"/>
      <c r="V441" s="291"/>
      <c r="W441" s="54"/>
      <c r="X441" s="199"/>
      <c r="Y441" s="160"/>
      <c r="Z441" s="297"/>
      <c r="AA441" s="51"/>
      <c r="AB441" s="51"/>
      <c r="AC441" s="93"/>
      <c r="AD441" s="93"/>
      <c r="AE441" s="93"/>
      <c r="AF441" s="79"/>
      <c r="AG441" s="51"/>
      <c r="AH441" s="51"/>
      <c r="AI441" s="301"/>
      <c r="AJ441" s="160"/>
      <c r="AK441" s="64"/>
      <c r="AL441" s="293"/>
      <c r="AM441" s="292"/>
      <c r="AN441" s="292"/>
      <c r="AO441" s="206"/>
      <c r="AP441" s="51"/>
      <c r="AQ441" s="51"/>
      <c r="AR441" s="51"/>
      <c r="AS441" s="51"/>
      <c r="AT441" s="51"/>
      <c r="AU441" s="51"/>
      <c r="AV441" s="82"/>
      <c r="AW441" s="699"/>
      <c r="AX441" s="161"/>
      <c r="AY441" s="699"/>
      <c r="AZ441" s="92"/>
      <c r="BA441" s="93"/>
      <c r="BB441" s="51"/>
      <c r="BC441" s="291"/>
      <c r="BD441" s="292"/>
      <c r="BE441" s="206"/>
      <c r="BF441" s="292"/>
      <c r="BG441" s="206"/>
      <c r="BH441" s="92"/>
      <c r="BI441" s="51"/>
      <c r="BJ441" s="51"/>
      <c r="BK441" s="51"/>
      <c r="BL441" s="113"/>
      <c r="BM441" s="699"/>
      <c r="BN441" s="93"/>
      <c r="BO441" s="161"/>
      <c r="BP441" s="93"/>
      <c r="BQ441" s="93"/>
      <c r="BR441" s="92"/>
      <c r="BS441" s="161"/>
      <c r="BT441" s="206"/>
      <c r="BU441" s="51"/>
      <c r="BV441" s="292"/>
      <c r="BW441" s="292"/>
      <c r="BX441" s="51"/>
      <c r="BY441" s="93"/>
      <c r="BZ441" s="93"/>
      <c r="CA441" s="93"/>
      <c r="CB441" s="93"/>
      <c r="CC441" s="699"/>
      <c r="CD441" s="93"/>
      <c r="CE441" s="51"/>
      <c r="CF441" s="51"/>
      <c r="CG441" s="92"/>
      <c r="CH441" s="291"/>
      <c r="CI441" s="292"/>
      <c r="CJ441" s="292"/>
      <c r="CK441" s="292"/>
      <c r="CL441" s="292"/>
      <c r="CM441" s="290"/>
      <c r="CN441" s="51"/>
      <c r="CO441" s="93"/>
      <c r="CP441" s="93"/>
      <c r="CQ441" s="93"/>
      <c r="CR441" s="93"/>
      <c r="CS441" s="699"/>
      <c r="CT441" s="93"/>
      <c r="CU441" s="93"/>
      <c r="CV441" s="92"/>
      <c r="CW441" s="290"/>
      <c r="CX441" s="92"/>
      <c r="CY441" s="291"/>
      <c r="CZ441" s="291"/>
      <c r="DA441" s="199"/>
      <c r="DB441" s="92"/>
      <c r="DC441" s="54"/>
      <c r="DD441" s="64"/>
      <c r="DE441" s="161"/>
      <c r="DF441" s="51"/>
      <c r="DG441" s="51"/>
      <c r="DH441" s="93"/>
      <c r="DI441" s="699"/>
      <c r="DJ441" s="93"/>
      <c r="DK441" s="93"/>
      <c r="DL441" s="93"/>
      <c r="DM441" s="93"/>
      <c r="DN441" s="93"/>
      <c r="DO441" s="161"/>
      <c r="DP441" s="161"/>
      <c r="DQ441" s="291"/>
      <c r="DR441" s="54"/>
      <c r="DS441" s="200"/>
      <c r="DT441" s="54"/>
      <c r="DU441" s="161"/>
      <c r="DV441" s="161"/>
      <c r="DW441" s="93"/>
      <c r="DX441" s="79"/>
    </row>
    <row r="442" spans="1:128">
      <c r="A442" s="51"/>
      <c r="B442" s="51"/>
      <c r="C442" s="92"/>
      <c r="D442" s="51"/>
      <c r="E442" s="206"/>
      <c r="F442" s="291"/>
      <c r="G442" s="291"/>
      <c r="H442" s="51"/>
      <c r="I442" s="206"/>
      <c r="J442" s="161"/>
      <c r="K442" s="51"/>
      <c r="L442" s="160"/>
      <c r="M442" s="51"/>
      <c r="N442" s="51"/>
      <c r="O442" s="51"/>
      <c r="P442" s="82"/>
      <c r="Q442" s="699"/>
      <c r="R442" s="93"/>
      <c r="S442" s="93"/>
      <c r="T442" s="93"/>
      <c r="U442" s="161"/>
      <c r="V442" s="161"/>
      <c r="W442" s="199"/>
      <c r="X442" s="54"/>
      <c r="Y442" s="206"/>
      <c r="Z442" s="160"/>
      <c r="AA442" s="51"/>
      <c r="AB442" s="51"/>
      <c r="AC442" s="93"/>
      <c r="AD442" s="93"/>
      <c r="AE442" s="93"/>
      <c r="AF442" s="79"/>
      <c r="AG442" s="51"/>
      <c r="AH442" s="51"/>
      <c r="AI442" s="160"/>
      <c r="AJ442" s="51"/>
      <c r="AK442" s="92"/>
      <c r="AL442" s="161"/>
      <c r="AM442" s="293"/>
      <c r="AN442" s="161"/>
      <c r="AO442" s="206"/>
      <c r="AP442" s="51"/>
      <c r="AQ442" s="51"/>
      <c r="AR442" s="51"/>
      <c r="AS442" s="51"/>
      <c r="AT442" s="51"/>
      <c r="AU442" s="51"/>
      <c r="AV442" s="82"/>
      <c r="AW442" s="699"/>
      <c r="AX442" s="93"/>
      <c r="AY442" s="93"/>
      <c r="AZ442" s="51"/>
      <c r="BA442" s="51"/>
      <c r="BB442" s="51"/>
      <c r="BC442" s="161"/>
      <c r="BD442" s="292"/>
      <c r="BE442" s="206"/>
      <c r="BF442" s="291"/>
      <c r="BG442" s="92"/>
      <c r="BH442" s="92"/>
      <c r="BI442" s="92"/>
      <c r="BJ442" s="51"/>
      <c r="BK442" s="51"/>
      <c r="BL442" s="82"/>
      <c r="BM442" s="699"/>
      <c r="BN442" s="93"/>
      <c r="BO442" s="51"/>
      <c r="BP442" s="92"/>
      <c r="BQ442" s="92"/>
      <c r="BR442" s="92"/>
      <c r="BS442" s="161"/>
      <c r="BT442" s="206"/>
      <c r="BU442" s="51"/>
      <c r="BV442" s="292"/>
      <c r="BW442" s="291"/>
      <c r="BX442" s="291"/>
      <c r="BY442" s="51"/>
      <c r="BZ442" s="93"/>
      <c r="CA442" s="93"/>
      <c r="CB442" s="93"/>
      <c r="CC442" s="699"/>
      <c r="CD442" s="93"/>
      <c r="CE442" s="51"/>
      <c r="CF442" s="92"/>
      <c r="CG442" s="92"/>
      <c r="CH442" s="291"/>
      <c r="CI442" s="206"/>
      <c r="CJ442" s="206"/>
      <c r="CK442" s="291"/>
      <c r="CL442" s="293"/>
      <c r="CM442" s="51"/>
      <c r="CN442" s="51"/>
      <c r="CO442" s="93"/>
      <c r="CP442" s="93"/>
      <c r="CQ442" s="93"/>
      <c r="CR442" s="93"/>
      <c r="CS442" s="699"/>
      <c r="CT442" s="93"/>
      <c r="CU442" s="93"/>
      <c r="CV442" s="92"/>
      <c r="CW442" s="93"/>
      <c r="CX442" s="93"/>
      <c r="CY442" s="206"/>
      <c r="CZ442" s="161"/>
      <c r="DA442" s="161"/>
      <c r="DB442" s="293"/>
      <c r="DC442" s="51"/>
      <c r="DD442" s="53"/>
      <c r="DE442" s="51"/>
      <c r="DF442" s="51"/>
      <c r="DG442" s="51"/>
      <c r="DH442" s="93"/>
      <c r="DI442" s="699"/>
      <c r="DJ442" s="93"/>
      <c r="DK442" s="93"/>
      <c r="DL442" s="93"/>
      <c r="DM442" s="93"/>
      <c r="DN442" s="93"/>
      <c r="DO442" s="206"/>
      <c r="DP442" s="291"/>
      <c r="DQ442" s="161"/>
      <c r="DR442" s="206"/>
      <c r="DS442" s="64"/>
      <c r="DT442" s="64"/>
      <c r="DU442" s="93"/>
      <c r="DV442" s="93"/>
      <c r="DW442" s="93"/>
      <c r="DX442" s="79"/>
    </row>
    <row r="443" spans="1:128">
      <c r="A443" s="51"/>
      <c r="B443" s="51"/>
      <c r="C443" s="51"/>
      <c r="D443" s="51"/>
      <c r="E443" s="291"/>
      <c r="F443" s="161"/>
      <c r="G443" s="51"/>
      <c r="H443" s="51"/>
      <c r="I443" s="206"/>
      <c r="J443" s="291"/>
      <c r="K443" s="51"/>
      <c r="L443" s="92"/>
      <c r="M443" s="51"/>
      <c r="N443" s="51"/>
      <c r="O443" s="51"/>
      <c r="P443" s="82"/>
      <c r="Q443" s="699"/>
      <c r="R443" s="93"/>
      <c r="S443" s="93"/>
      <c r="T443" s="92"/>
      <c r="U443" s="161"/>
      <c r="V443" s="206"/>
      <c r="W443" s="93"/>
      <c r="X443" s="206"/>
      <c r="Y443" s="206"/>
      <c r="Z443" s="93"/>
      <c r="AA443" s="51"/>
      <c r="AB443" s="51"/>
      <c r="AC443" s="93"/>
      <c r="AD443" s="93"/>
      <c r="AE443" s="93"/>
      <c r="AF443" s="79"/>
      <c r="AG443" s="51"/>
      <c r="AH443" s="51"/>
      <c r="AI443" s="51"/>
      <c r="AJ443" s="51"/>
      <c r="AK443" s="161"/>
      <c r="AL443" s="161"/>
      <c r="AM443" s="291"/>
      <c r="AN443" s="293"/>
      <c r="AO443" s="206"/>
      <c r="AP443" s="51"/>
      <c r="AQ443" s="51"/>
      <c r="AR443" s="51"/>
      <c r="AS443" s="51"/>
      <c r="AT443" s="51"/>
      <c r="AU443" s="51"/>
      <c r="AV443" s="82"/>
      <c r="AW443" s="699"/>
      <c r="AX443" s="93"/>
      <c r="AY443" s="93"/>
      <c r="AZ443" s="51"/>
      <c r="BA443" s="51"/>
      <c r="BB443" s="51"/>
      <c r="BC443" s="161"/>
      <c r="BD443" s="292"/>
      <c r="BE443" s="206"/>
      <c r="BF443" s="291"/>
      <c r="BG443" s="92"/>
      <c r="BH443" s="92"/>
      <c r="BI443" s="92"/>
      <c r="BJ443" s="92"/>
      <c r="BK443" s="92"/>
      <c r="BL443" s="82"/>
      <c r="BM443" s="699"/>
      <c r="BN443" s="93"/>
      <c r="BO443" s="93"/>
      <c r="BP443" s="51"/>
      <c r="BQ443" s="92"/>
      <c r="BR443" s="92"/>
      <c r="BS443" s="291"/>
      <c r="BT443" s="206"/>
      <c r="BU443" s="51"/>
      <c r="BV443" s="291"/>
      <c r="BW443" s="291"/>
      <c r="BX443" s="292"/>
      <c r="BY443" s="51"/>
      <c r="BZ443" s="93"/>
      <c r="CA443" s="93"/>
      <c r="CB443" s="93"/>
      <c r="CC443" s="699"/>
      <c r="CD443" s="93"/>
      <c r="CE443" s="92"/>
      <c r="CF443" s="92"/>
      <c r="CG443" s="92"/>
      <c r="CH443" s="291"/>
      <c r="CI443" s="291"/>
      <c r="CJ443" s="206"/>
      <c r="CK443" s="292"/>
      <c r="CL443" s="161"/>
      <c r="CM443" s="293"/>
      <c r="CN443" s="51"/>
      <c r="CO443" s="93"/>
      <c r="CP443" s="93"/>
      <c r="CQ443" s="93"/>
      <c r="CR443" s="93"/>
      <c r="CS443" s="699"/>
      <c r="CT443" s="93"/>
      <c r="CU443" s="93"/>
      <c r="CV443" s="93"/>
      <c r="CW443" s="52"/>
      <c r="CX443" s="206"/>
      <c r="CY443" s="292"/>
      <c r="CZ443" s="206"/>
      <c r="DA443" s="161"/>
      <c r="DB443" s="293"/>
      <c r="DC443" s="51"/>
      <c r="DD443" s="51"/>
      <c r="DE443" s="93"/>
      <c r="DF443" s="93"/>
      <c r="DG443" s="93"/>
      <c r="DH443" s="93"/>
      <c r="DI443" s="699"/>
      <c r="DJ443" s="93"/>
      <c r="DK443" s="93"/>
      <c r="DL443" s="52"/>
      <c r="DM443" s="93"/>
      <c r="DN443" s="93"/>
      <c r="DO443" s="292"/>
      <c r="DP443" s="206"/>
      <c r="DQ443" s="291"/>
      <c r="DR443" s="161"/>
      <c r="DS443" s="93"/>
      <c r="DT443" s="93"/>
      <c r="DU443" s="92"/>
      <c r="DV443" s="93"/>
      <c r="DW443" s="93"/>
      <c r="DX443" s="79"/>
    </row>
    <row r="444" spans="1:128">
      <c r="A444" s="51"/>
      <c r="B444" s="51"/>
      <c r="C444" s="92"/>
      <c r="D444" s="51"/>
      <c r="E444" s="291"/>
      <c r="F444" s="161"/>
      <c r="G444" s="51"/>
      <c r="H444" s="51"/>
      <c r="I444" s="206"/>
      <c r="J444" s="291"/>
      <c r="K444" s="51"/>
      <c r="L444" s="92"/>
      <c r="M444" s="92"/>
      <c r="N444" s="51"/>
      <c r="O444" s="51"/>
      <c r="P444" s="82"/>
      <c r="Q444" s="699"/>
      <c r="R444" s="93"/>
      <c r="S444" s="92"/>
      <c r="T444" s="161"/>
      <c r="U444" s="206"/>
      <c r="V444" s="93"/>
      <c r="W444" s="93"/>
      <c r="X444" s="161"/>
      <c r="Y444" s="206"/>
      <c r="Z444" s="93"/>
      <c r="AA444" s="52"/>
      <c r="AB444" s="51"/>
      <c r="AC444" s="93"/>
      <c r="AD444" s="93"/>
      <c r="AE444" s="93"/>
      <c r="AF444" s="79"/>
      <c r="AG444" s="51"/>
      <c r="AH444" s="51"/>
      <c r="AI444" s="51"/>
      <c r="AJ444" s="51"/>
      <c r="AK444" s="161"/>
      <c r="AL444" s="206"/>
      <c r="AM444" s="51"/>
      <c r="AN444" s="293"/>
      <c r="AO444" s="292"/>
      <c r="AP444" s="206"/>
      <c r="AQ444" s="51"/>
      <c r="AR444" s="92"/>
      <c r="AS444" s="51"/>
      <c r="AT444" s="51"/>
      <c r="AU444" s="51"/>
      <c r="AV444" s="82"/>
      <c r="AW444" s="699"/>
      <c r="AX444" s="93"/>
      <c r="AY444" s="93"/>
      <c r="AZ444" s="92"/>
      <c r="BA444" s="51"/>
      <c r="BB444" s="160"/>
      <c r="BC444" s="291"/>
      <c r="BD444" s="292"/>
      <c r="BE444" s="206"/>
      <c r="BF444" s="92"/>
      <c r="BG444" s="92"/>
      <c r="BH444" s="92"/>
      <c r="BI444" s="51"/>
      <c r="BJ444" s="51"/>
      <c r="BK444" s="51"/>
      <c r="BL444" s="82"/>
      <c r="BM444" s="699"/>
      <c r="BN444" s="93"/>
      <c r="BO444" s="51"/>
      <c r="BP444" s="92"/>
      <c r="BQ444" s="92"/>
      <c r="BR444" s="51"/>
      <c r="BS444" s="292"/>
      <c r="BT444" s="206"/>
      <c r="BU444" s="51"/>
      <c r="BV444" s="51"/>
      <c r="BW444" s="161"/>
      <c r="BX444" s="206"/>
      <c r="BY444" s="51"/>
      <c r="BZ444" s="93"/>
      <c r="CA444" s="93"/>
      <c r="CB444" s="93"/>
      <c r="CC444" s="699"/>
      <c r="CD444" s="93"/>
      <c r="CE444" s="51"/>
      <c r="CF444" s="92"/>
      <c r="CG444" s="92"/>
      <c r="CH444" s="291"/>
      <c r="CI444" s="206"/>
      <c r="CJ444" s="51"/>
      <c r="CK444" s="206"/>
      <c r="CL444" s="291"/>
      <c r="CM444" s="293"/>
      <c r="CN444" s="51"/>
      <c r="CO444" s="93"/>
      <c r="CP444" s="93"/>
      <c r="CQ444" s="93"/>
      <c r="CR444" s="93"/>
      <c r="CS444" s="699"/>
      <c r="CT444" s="93"/>
      <c r="CU444" s="93"/>
      <c r="CV444" s="92"/>
      <c r="CW444" s="51"/>
      <c r="CX444" s="206"/>
      <c r="CY444" s="292"/>
      <c r="CZ444" s="51"/>
      <c r="DA444" s="206"/>
      <c r="DB444" s="161"/>
      <c r="DC444" s="293"/>
      <c r="DD444" s="51"/>
      <c r="DE444" s="93"/>
      <c r="DF444" s="93"/>
      <c r="DG444" s="93"/>
      <c r="DH444" s="93"/>
      <c r="DI444" s="699"/>
      <c r="DJ444" s="93"/>
      <c r="DK444" s="93"/>
      <c r="DL444" s="52"/>
      <c r="DM444" s="52"/>
      <c r="DN444" s="93"/>
      <c r="DO444" s="292"/>
      <c r="DP444" s="292"/>
      <c r="DQ444" s="206"/>
      <c r="DR444" s="291"/>
      <c r="DS444" s="161"/>
      <c r="DT444" s="93"/>
      <c r="DU444" s="93"/>
      <c r="DV444" s="93"/>
      <c r="DW444" s="93"/>
      <c r="DX444" s="79"/>
    </row>
    <row r="445" spans="1:128">
      <c r="A445" s="51"/>
      <c r="B445" s="51"/>
      <c r="C445" s="51"/>
      <c r="D445" s="51"/>
      <c r="E445" s="206"/>
      <c r="F445" s="206"/>
      <c r="G445" s="51"/>
      <c r="H445" s="51"/>
      <c r="I445" s="206"/>
      <c r="J445" s="291"/>
      <c r="K445" s="51"/>
      <c r="L445" s="92"/>
      <c r="M445" s="51"/>
      <c r="N445" s="51"/>
      <c r="O445" s="51"/>
      <c r="P445" s="82"/>
      <c r="Q445" s="699"/>
      <c r="R445" s="93"/>
      <c r="S445" s="51"/>
      <c r="T445" s="161"/>
      <c r="U445" s="206"/>
      <c r="V445" s="51"/>
      <c r="W445" s="51"/>
      <c r="X445" s="206"/>
      <c r="Y445" s="291"/>
      <c r="Z445" s="206"/>
      <c r="AA445" s="52"/>
      <c r="AB445" s="52"/>
      <c r="AC445" s="93"/>
      <c r="AD445" s="93"/>
      <c r="AE445" s="93"/>
      <c r="AF445" s="79"/>
      <c r="AG445" s="51"/>
      <c r="AH445" s="51"/>
      <c r="AI445" s="160"/>
      <c r="AJ445" s="51"/>
      <c r="AK445" s="161"/>
      <c r="AL445" s="206"/>
      <c r="AM445" s="51"/>
      <c r="AN445" s="51"/>
      <c r="AO445" s="291"/>
      <c r="AP445" s="206"/>
      <c r="AQ445" s="51"/>
      <c r="AR445" s="92"/>
      <c r="AS445" s="51"/>
      <c r="AT445" s="51"/>
      <c r="AU445" s="51"/>
      <c r="AV445" s="82"/>
      <c r="AW445" s="699"/>
      <c r="AX445" s="93"/>
      <c r="AY445" s="93"/>
      <c r="AZ445" s="51"/>
      <c r="BA445" s="52"/>
      <c r="BB445" s="160"/>
      <c r="BC445" s="160"/>
      <c r="BD445" s="292"/>
      <c r="BE445" s="206"/>
      <c r="BF445" s="92"/>
      <c r="BG445" s="92"/>
      <c r="BH445" s="51"/>
      <c r="BI445" s="51"/>
      <c r="BJ445" s="51"/>
      <c r="BK445" s="51"/>
      <c r="BL445" s="82"/>
      <c r="BM445" s="699"/>
      <c r="BN445" s="93"/>
      <c r="BO445" s="51"/>
      <c r="BP445" s="51"/>
      <c r="BQ445" s="51"/>
      <c r="BR445" s="51"/>
      <c r="BS445" s="292"/>
      <c r="BT445" s="206"/>
      <c r="BU445" s="51"/>
      <c r="BV445" s="51"/>
      <c r="BW445" s="291"/>
      <c r="BX445" s="206"/>
      <c r="BY445" s="51"/>
      <c r="BZ445" s="93"/>
      <c r="CA445" s="93"/>
      <c r="CB445" s="93"/>
      <c r="CC445" s="699"/>
      <c r="CD445" s="93"/>
      <c r="CE445" s="51"/>
      <c r="CF445" s="51"/>
      <c r="CG445" s="92"/>
      <c r="CH445" s="291"/>
      <c r="CI445" s="206"/>
      <c r="CJ445" s="51"/>
      <c r="CK445" s="51"/>
      <c r="CL445" s="206"/>
      <c r="CM445" s="293"/>
      <c r="CN445" s="52"/>
      <c r="CO445" s="93"/>
      <c r="CP445" s="93"/>
      <c r="CQ445" s="93"/>
      <c r="CR445" s="93"/>
      <c r="CS445" s="699"/>
      <c r="CT445" s="93"/>
      <c r="CU445" s="93"/>
      <c r="CV445" s="92"/>
      <c r="CW445" s="51"/>
      <c r="CX445" s="206"/>
      <c r="CY445" s="291"/>
      <c r="CZ445" s="92"/>
      <c r="DA445" s="51"/>
      <c r="DB445" s="206"/>
      <c r="DC445" s="161"/>
      <c r="DD445" s="51"/>
      <c r="DE445" s="293"/>
      <c r="DF445" s="93"/>
      <c r="DG445" s="93"/>
      <c r="DH445" s="93"/>
      <c r="DI445" s="699"/>
      <c r="DJ445" s="93"/>
      <c r="DK445" s="93"/>
      <c r="DL445" s="52"/>
      <c r="DM445" s="52"/>
      <c r="DN445" s="93"/>
      <c r="DO445" s="292"/>
      <c r="DP445" s="292"/>
      <c r="DQ445" s="93"/>
      <c r="DR445" s="206"/>
      <c r="DS445" s="292"/>
      <c r="DT445" s="160"/>
      <c r="DU445" s="160"/>
      <c r="DV445" s="93"/>
      <c r="DW445" s="93"/>
      <c r="DX445" s="79"/>
    </row>
    <row r="446" spans="1:128">
      <c r="A446" s="51"/>
      <c r="B446" s="51"/>
      <c r="C446" s="51"/>
      <c r="D446" s="291"/>
      <c r="E446" s="291"/>
      <c r="F446" s="206"/>
      <c r="G446" s="51"/>
      <c r="H446" s="52"/>
      <c r="I446" s="206"/>
      <c r="J446" s="291"/>
      <c r="K446" s="51"/>
      <c r="L446" s="51"/>
      <c r="M446" s="51"/>
      <c r="N446" s="51"/>
      <c r="O446" s="51"/>
      <c r="P446" s="82"/>
      <c r="Q446" s="699"/>
      <c r="R446" s="93"/>
      <c r="S446" s="297"/>
      <c r="T446" s="161"/>
      <c r="U446" s="206"/>
      <c r="V446" s="51"/>
      <c r="W446" s="51"/>
      <c r="X446" s="51"/>
      <c r="Y446" s="291"/>
      <c r="Z446" s="206"/>
      <c r="AA446" s="52"/>
      <c r="AB446" s="52"/>
      <c r="AC446" s="93"/>
      <c r="AD446" s="93"/>
      <c r="AE446" s="93"/>
      <c r="AF446" s="79"/>
      <c r="AG446" s="51"/>
      <c r="AH446" s="51"/>
      <c r="AI446" s="160"/>
      <c r="AJ446" s="291"/>
      <c r="AK446" s="206"/>
      <c r="AL446" s="51"/>
      <c r="AM446" s="51"/>
      <c r="AN446" s="92"/>
      <c r="AO446" s="291"/>
      <c r="AP446" s="206"/>
      <c r="AQ446" s="51"/>
      <c r="AR446" s="92"/>
      <c r="AS446" s="51"/>
      <c r="AT446" s="51"/>
      <c r="AU446" s="51"/>
      <c r="AV446" s="82"/>
      <c r="AW446" s="699"/>
      <c r="AX446" s="93"/>
      <c r="AY446" s="93"/>
      <c r="AZ446" s="52"/>
      <c r="BA446" s="51"/>
      <c r="BB446" s="51"/>
      <c r="BC446" s="160"/>
      <c r="BD446" s="291"/>
      <c r="BE446" s="291"/>
      <c r="BF446" s="206"/>
      <c r="BG446" s="51"/>
      <c r="BH446" s="51"/>
      <c r="BI446" s="51"/>
      <c r="BJ446" s="51"/>
      <c r="BK446" s="51"/>
      <c r="BL446" s="82"/>
      <c r="BM446" s="699"/>
      <c r="BN446" s="93"/>
      <c r="BO446" s="51"/>
      <c r="BP446" s="51"/>
      <c r="BQ446" s="51"/>
      <c r="BR446" s="51"/>
      <c r="BS446" s="291"/>
      <c r="BT446" s="206"/>
      <c r="BU446" s="52"/>
      <c r="BV446" s="52"/>
      <c r="BW446" s="291"/>
      <c r="BX446" s="206"/>
      <c r="BY446" s="297"/>
      <c r="BZ446" s="93"/>
      <c r="CA446" s="93"/>
      <c r="CB446" s="93"/>
      <c r="CC446" s="699"/>
      <c r="CD446" s="93"/>
      <c r="CE446" s="51"/>
      <c r="CF446" s="51"/>
      <c r="CG446" s="292"/>
      <c r="CH446" s="291"/>
      <c r="CI446" s="293"/>
      <c r="CJ446" s="51"/>
      <c r="CK446" s="51"/>
      <c r="CL446" s="206"/>
      <c r="CM446" s="291"/>
      <c r="CN446" s="297"/>
      <c r="CO446" s="93"/>
      <c r="CP446" s="93"/>
      <c r="CQ446" s="93"/>
      <c r="CR446" s="93"/>
      <c r="CS446" s="699"/>
      <c r="CT446" s="93"/>
      <c r="CU446" s="93"/>
      <c r="CV446" s="92"/>
      <c r="CW446" s="51"/>
      <c r="CX446" s="292"/>
      <c r="CY446" s="291"/>
      <c r="CZ446" s="92"/>
      <c r="DA446" s="51"/>
      <c r="DB446" s="206"/>
      <c r="DC446" s="291"/>
      <c r="DD446" s="160"/>
      <c r="DE446" s="160"/>
      <c r="DF446" s="93"/>
      <c r="DG446" s="93"/>
      <c r="DH446" s="93"/>
      <c r="DI446" s="699"/>
      <c r="DJ446" s="93"/>
      <c r="DK446" s="93"/>
      <c r="DL446" s="52"/>
      <c r="DM446" s="52"/>
      <c r="DN446" s="160"/>
      <c r="DO446" s="160"/>
      <c r="DP446" s="292"/>
      <c r="DQ446" s="93"/>
      <c r="DR446" s="93"/>
      <c r="DS446" s="160"/>
      <c r="DT446" s="160"/>
      <c r="DU446" s="93"/>
      <c r="DV446" s="93"/>
      <c r="DW446" s="93"/>
      <c r="DX446" s="79"/>
    </row>
    <row r="447" spans="1:128">
      <c r="A447" s="51"/>
      <c r="B447" s="92"/>
      <c r="C447" s="51"/>
      <c r="D447" s="160"/>
      <c r="E447" s="160"/>
      <c r="F447" s="160"/>
      <c r="G447" s="51"/>
      <c r="H447" s="51"/>
      <c r="I447" s="206"/>
      <c r="J447" s="291"/>
      <c r="K447" s="297"/>
      <c r="L447" s="51"/>
      <c r="M447" s="51"/>
      <c r="N447" s="51"/>
      <c r="O447" s="51"/>
      <c r="P447" s="82"/>
      <c r="Q447" s="699"/>
      <c r="R447" s="93"/>
      <c r="S447" s="160"/>
      <c r="T447" s="160"/>
      <c r="U447" s="160"/>
      <c r="V447" s="51"/>
      <c r="W447" s="51"/>
      <c r="X447" s="297"/>
      <c r="Y447" s="160"/>
      <c r="Z447" s="291"/>
      <c r="AA447" s="51"/>
      <c r="AB447" s="51"/>
      <c r="AC447" s="93"/>
      <c r="AD447" s="93"/>
      <c r="AE447" s="93"/>
      <c r="AF447" s="79"/>
      <c r="AG447" s="51"/>
      <c r="AH447" s="51"/>
      <c r="AI447" s="51"/>
      <c r="AJ447" s="160"/>
      <c r="AK447" s="160"/>
      <c r="AL447" s="51"/>
      <c r="AM447" s="51"/>
      <c r="AN447" s="293"/>
      <c r="AO447" s="291"/>
      <c r="AP447" s="291"/>
      <c r="AQ447" s="206"/>
      <c r="AR447" s="92"/>
      <c r="AS447" s="51"/>
      <c r="AT447" s="51"/>
      <c r="AU447" s="51"/>
      <c r="AV447" s="82"/>
      <c r="AW447" s="699"/>
      <c r="AX447" s="93"/>
      <c r="AY447" s="93"/>
      <c r="AZ447" s="51"/>
      <c r="BA447" s="51"/>
      <c r="BB447" s="51"/>
      <c r="BC447" s="297"/>
      <c r="BD447" s="292"/>
      <c r="BE447" s="292"/>
      <c r="BF447" s="206"/>
      <c r="BG447" s="51"/>
      <c r="BH447" s="51"/>
      <c r="BI447" s="51"/>
      <c r="BJ447" s="51"/>
      <c r="BK447" s="51"/>
      <c r="BL447" s="82"/>
      <c r="BM447" s="699"/>
      <c r="BN447" s="93"/>
      <c r="BO447" s="51"/>
      <c r="BP447" s="51"/>
      <c r="BQ447" s="51"/>
      <c r="BR447" s="291"/>
      <c r="BS447" s="291"/>
      <c r="BT447" s="206"/>
      <c r="BU447" s="51"/>
      <c r="BV447" s="52"/>
      <c r="BW447" s="291"/>
      <c r="BX447" s="291"/>
      <c r="BY447" s="291"/>
      <c r="BZ447" s="93"/>
      <c r="CA447" s="93"/>
      <c r="CB447" s="93"/>
      <c r="CC447" s="699"/>
      <c r="CD447" s="93"/>
      <c r="CE447" s="51"/>
      <c r="CF447" s="51"/>
      <c r="CG447" s="291"/>
      <c r="CH447" s="206"/>
      <c r="CI447" s="51"/>
      <c r="CJ447" s="51"/>
      <c r="CK447" s="51"/>
      <c r="CL447" s="160"/>
      <c r="CM447" s="160"/>
      <c r="CN447" s="291"/>
      <c r="CO447" s="93"/>
      <c r="CP447" s="93"/>
      <c r="CQ447" s="93"/>
      <c r="CR447" s="93"/>
      <c r="CS447" s="699"/>
      <c r="CT447" s="93"/>
      <c r="CU447" s="93"/>
      <c r="CV447" s="92"/>
      <c r="CW447" s="291"/>
      <c r="CX447" s="291"/>
      <c r="CY447" s="291"/>
      <c r="CZ447" s="293"/>
      <c r="DA447" s="51"/>
      <c r="DB447" s="51"/>
      <c r="DC447" s="160"/>
      <c r="DD447" s="160"/>
      <c r="DE447" s="51"/>
      <c r="DF447" s="93"/>
      <c r="DG447" s="93"/>
      <c r="DH447" s="93"/>
      <c r="DI447" s="699"/>
      <c r="DJ447" s="93"/>
      <c r="DK447" s="93"/>
      <c r="DL447" s="51"/>
      <c r="DM447" s="51"/>
      <c r="DN447" s="160"/>
      <c r="DO447" s="160"/>
      <c r="DP447" s="93"/>
      <c r="DQ447" s="93"/>
      <c r="DR447" s="93"/>
      <c r="DS447" s="160"/>
      <c r="DT447" s="93"/>
      <c r="DU447" s="93"/>
      <c r="DV447" s="93"/>
      <c r="DW447" s="93"/>
      <c r="DX447" s="79"/>
    </row>
    <row r="448" spans="1:128">
      <c r="A448" s="106"/>
      <c r="B448" s="106"/>
      <c r="C448" s="106"/>
      <c r="D448" s="106"/>
      <c r="E448" s="106"/>
      <c r="F448" s="106"/>
      <c r="G448" s="106"/>
      <c r="H448" s="103"/>
      <c r="I448" s="160"/>
      <c r="J448" s="160"/>
      <c r="K448" s="291"/>
      <c r="L448" s="103"/>
      <c r="M448" s="103"/>
      <c r="N448" s="103"/>
      <c r="O448" s="103"/>
      <c r="P448" s="116"/>
      <c r="Q448" s="700"/>
      <c r="R448" s="73"/>
      <c r="S448" s="73"/>
      <c r="T448" s="73"/>
      <c r="U448" s="73"/>
      <c r="V448" s="73"/>
      <c r="W448" s="51"/>
      <c r="X448" s="160"/>
      <c r="Y448" s="160"/>
      <c r="Z448" s="160"/>
      <c r="AA448" s="106"/>
      <c r="AB448" s="106"/>
      <c r="AC448" s="73"/>
      <c r="AD448" s="73"/>
      <c r="AE448" s="73"/>
      <c r="AF448" s="701"/>
      <c r="AG448" s="51"/>
      <c r="AH448" s="51"/>
      <c r="AI448" s="51"/>
      <c r="AJ448" s="51"/>
      <c r="AK448" s="51"/>
      <c r="AL448" s="51"/>
      <c r="AM448" s="51"/>
      <c r="AN448" s="291"/>
      <c r="AO448" s="160"/>
      <c r="AP448" s="160"/>
      <c r="AQ448" s="51"/>
      <c r="AR448" s="92"/>
      <c r="AS448" s="51"/>
      <c r="AT448" s="51"/>
      <c r="AU448" s="51"/>
      <c r="AV448" s="82"/>
      <c r="AW448" s="700"/>
      <c r="AX448" s="73"/>
      <c r="AY448" s="73"/>
      <c r="AZ448" s="106"/>
      <c r="BA448" s="106"/>
      <c r="BB448" s="291"/>
      <c r="BC448" s="291"/>
      <c r="BD448" s="160"/>
      <c r="BE448" s="160"/>
      <c r="BF448" s="160"/>
      <c r="BG448" s="103"/>
      <c r="BH448" s="103"/>
      <c r="BI448" s="103"/>
      <c r="BJ448" s="103"/>
      <c r="BK448" s="103"/>
      <c r="BL448" s="116"/>
      <c r="BM448" s="699"/>
      <c r="BN448" s="93"/>
      <c r="BO448" s="92"/>
      <c r="BP448" s="92"/>
      <c r="BQ448" s="92"/>
      <c r="BR448" s="291"/>
      <c r="BS448" s="160"/>
      <c r="BT448" s="160"/>
      <c r="BU448" s="92"/>
      <c r="BV448" s="52"/>
      <c r="BW448" s="160"/>
      <c r="BX448" s="160"/>
      <c r="BY448" s="51"/>
      <c r="BZ448" s="93"/>
      <c r="CA448" s="93"/>
      <c r="CB448" s="93"/>
      <c r="CC448" s="700"/>
      <c r="CD448" s="73"/>
      <c r="CE448" s="103"/>
      <c r="CF448" s="103"/>
      <c r="CG448" s="160"/>
      <c r="CH448" s="160"/>
      <c r="CI448" s="291"/>
      <c r="CJ448" s="51"/>
      <c r="CK448" s="51"/>
      <c r="CL448" s="160"/>
      <c r="CM448" s="106"/>
      <c r="CN448" s="106"/>
      <c r="CO448" s="73"/>
      <c r="CP448" s="73"/>
      <c r="CQ448" s="73"/>
      <c r="CR448" s="73"/>
      <c r="CS448" s="699"/>
      <c r="CT448" s="93"/>
      <c r="CU448" s="93"/>
      <c r="CV448" s="92"/>
      <c r="CW448" s="51"/>
      <c r="CX448" s="160"/>
      <c r="CY448" s="160"/>
      <c r="CZ448" s="291"/>
      <c r="DA448" s="51"/>
      <c r="DB448" s="51"/>
      <c r="DC448" s="160"/>
      <c r="DD448" s="51"/>
      <c r="DE448" s="51"/>
      <c r="DF448" s="93"/>
      <c r="DG448" s="93"/>
      <c r="DH448" s="93"/>
      <c r="DI448" s="700"/>
      <c r="DJ448" s="73"/>
      <c r="DK448" s="73"/>
      <c r="DL448" s="106"/>
      <c r="DM448" s="106"/>
      <c r="DN448" s="73"/>
      <c r="DO448" s="336"/>
      <c r="DP448" s="336"/>
      <c r="DQ448" s="73"/>
      <c r="DR448" s="73"/>
      <c r="DS448" s="73"/>
      <c r="DT448" s="103"/>
      <c r="DU448" s="73"/>
      <c r="DV448" s="73"/>
      <c r="DW448" s="73"/>
      <c r="DX448" s="701"/>
    </row>
    <row r="449" spans="1:129">
      <c r="A449" s="114"/>
      <c r="B449" s="51" t="s">
        <v>763</v>
      </c>
      <c r="C449" s="51"/>
      <c r="D449" s="51"/>
      <c r="E449" s="51"/>
      <c r="F449" s="92"/>
      <c r="G449" s="92"/>
      <c r="H449" s="51"/>
      <c r="I449" s="51"/>
      <c r="J449" s="51"/>
      <c r="K449" s="51"/>
      <c r="L449" s="92"/>
      <c r="M449" s="51"/>
      <c r="N449" s="51"/>
      <c r="O449" s="51"/>
      <c r="P449" s="82"/>
      <c r="Q449" s="753"/>
      <c r="R449" s="711"/>
      <c r="S449" s="711"/>
      <c r="T449" s="711"/>
      <c r="U449" s="711"/>
      <c r="V449" s="711"/>
      <c r="W449" s="711"/>
      <c r="X449" s="711"/>
      <c r="Y449" s="711"/>
      <c r="Z449" s="711"/>
      <c r="AA449" s="711"/>
      <c r="AB449" s="711"/>
      <c r="AC449" s="711"/>
      <c r="AD449" s="711"/>
      <c r="AE449" s="711"/>
      <c r="AF449" s="711"/>
      <c r="AG449" s="108"/>
      <c r="AH449" s="109"/>
      <c r="AI449" s="109"/>
      <c r="AJ449" s="109"/>
      <c r="AK449" s="109"/>
      <c r="AL449" s="110"/>
      <c r="AM449" s="110"/>
      <c r="AN449" s="109"/>
      <c r="AO449" s="109"/>
      <c r="AP449" s="109"/>
      <c r="AQ449" s="109"/>
      <c r="AR449" s="110"/>
      <c r="AS449" s="109"/>
      <c r="AT449" s="109"/>
      <c r="AU449" s="109"/>
      <c r="AV449" s="111"/>
      <c r="AW449" s="711"/>
      <c r="AX449" s="711"/>
      <c r="AY449" s="711"/>
      <c r="AZ449" s="711"/>
      <c r="BA449" s="711"/>
      <c r="BB449" s="711"/>
      <c r="BC449" s="711"/>
      <c r="BD449" s="711"/>
      <c r="BE449" s="711"/>
      <c r="BF449" s="711"/>
      <c r="BG449" s="711"/>
      <c r="BH449" s="711"/>
      <c r="BI449" s="711"/>
      <c r="BJ449" s="711"/>
      <c r="BK449" s="711"/>
      <c r="BL449" s="530"/>
      <c r="BM449" s="753"/>
      <c r="BN449" s="711"/>
      <c r="BO449" s="711"/>
      <c r="BP449" s="711"/>
      <c r="BQ449" s="711"/>
      <c r="BR449" s="711"/>
      <c r="BS449" s="711"/>
      <c r="BT449" s="711"/>
      <c r="BU449" s="711"/>
      <c r="BV449" s="711"/>
      <c r="BW449" s="711"/>
      <c r="BX449" s="711"/>
      <c r="BY449" s="711"/>
      <c r="BZ449" s="711"/>
      <c r="CA449" s="711"/>
      <c r="CB449" s="530"/>
      <c r="CC449" s="753"/>
      <c r="CD449" s="711"/>
      <c r="CE449" s="711"/>
      <c r="CF449" s="711"/>
      <c r="CG449" s="711"/>
      <c r="CH449" s="711"/>
      <c r="CI449" s="711"/>
      <c r="CJ449" s="711"/>
      <c r="CK449" s="711"/>
      <c r="CL449" s="711"/>
      <c r="CM449" s="711"/>
      <c r="CN449" s="711"/>
      <c r="CO449" s="711"/>
      <c r="CP449" s="711"/>
      <c r="CQ449" s="711"/>
      <c r="CR449" s="711"/>
      <c r="CS449" s="753"/>
      <c r="CT449" s="711"/>
      <c r="CU449" s="711"/>
      <c r="CV449" s="110"/>
      <c r="CW449" s="109"/>
      <c r="CX449" s="109"/>
      <c r="CY449" s="109"/>
      <c r="CZ449" s="109"/>
      <c r="DA449" s="110"/>
      <c r="DB449" s="110"/>
      <c r="DC449" s="109"/>
      <c r="DD449" s="109"/>
      <c r="DE449" s="109"/>
      <c r="DF449" s="711"/>
      <c r="DG449" s="711"/>
      <c r="DH449" s="530"/>
      <c r="DI449" s="711"/>
      <c r="DJ449" s="711"/>
      <c r="DK449" s="711"/>
      <c r="DL449" s="711"/>
      <c r="DM449" s="711"/>
      <c r="DN449" s="711"/>
      <c r="DO449" s="711"/>
      <c r="DP449" s="711"/>
      <c r="DQ449" s="711"/>
      <c r="DR449" s="711"/>
      <c r="DS449" s="711"/>
      <c r="DT449" s="711"/>
      <c r="DU449" s="711"/>
      <c r="DV449" s="711"/>
      <c r="DW449" s="711"/>
      <c r="DX449" s="530"/>
    </row>
    <row r="450" spans="1:129">
      <c r="A450" s="92"/>
      <c r="B450" s="92"/>
      <c r="C450" s="92"/>
      <c r="D450" s="92"/>
      <c r="E450" s="92"/>
      <c r="F450" s="92"/>
      <c r="G450" s="92"/>
      <c r="H450" s="92"/>
      <c r="I450" s="92"/>
      <c r="J450" s="92"/>
      <c r="K450" s="92"/>
      <c r="L450" s="92"/>
      <c r="M450" s="92"/>
      <c r="N450" s="92"/>
      <c r="O450" s="92"/>
      <c r="P450" s="113"/>
      <c r="Q450" s="699"/>
      <c r="R450" s="93"/>
      <c r="S450" s="93"/>
      <c r="T450" s="93"/>
      <c r="U450" s="93"/>
      <c r="V450" s="93"/>
      <c r="W450" s="93"/>
      <c r="X450" s="93"/>
      <c r="Y450" s="93"/>
      <c r="Z450" s="93"/>
      <c r="AA450" s="93"/>
      <c r="AB450" s="93"/>
      <c r="AC450" s="93"/>
      <c r="AD450" s="93"/>
      <c r="AE450" s="93"/>
      <c r="AF450" s="93"/>
      <c r="AG450" s="114"/>
      <c r="AH450" s="51"/>
      <c r="AI450" s="51"/>
      <c r="AJ450" s="51"/>
      <c r="AK450" s="51"/>
      <c r="AL450" s="92"/>
      <c r="AM450" s="92"/>
      <c r="AN450" s="51"/>
      <c r="AO450" s="51"/>
      <c r="AP450" s="51"/>
      <c r="AQ450" s="51"/>
      <c r="AR450" s="92"/>
      <c r="AS450" s="51"/>
      <c r="AT450" s="51"/>
      <c r="AU450" s="51"/>
      <c r="AV450" s="82"/>
      <c r="AW450" s="93"/>
      <c r="AX450" s="93"/>
      <c r="AY450" s="93"/>
      <c r="AZ450" s="93"/>
      <c r="BA450" s="93"/>
      <c r="BB450" s="93"/>
      <c r="BC450" s="93"/>
      <c r="BD450" s="93"/>
      <c r="BE450" s="93"/>
      <c r="BF450" s="93"/>
      <c r="BG450" s="93"/>
      <c r="BH450" s="93"/>
      <c r="BI450" s="93"/>
      <c r="BJ450" s="93"/>
      <c r="BK450" s="93"/>
      <c r="BL450" s="79"/>
      <c r="BM450" s="699"/>
      <c r="BN450" s="93"/>
      <c r="BO450" s="93"/>
      <c r="BP450" s="93"/>
      <c r="BQ450" s="93"/>
      <c r="BR450" s="93"/>
      <c r="BS450" s="93"/>
      <c r="BT450" s="93"/>
      <c r="BU450" s="93"/>
      <c r="BV450" s="93"/>
      <c r="BW450" s="93"/>
      <c r="BX450" s="93"/>
      <c r="BY450" s="93"/>
      <c r="BZ450" s="93"/>
      <c r="CA450" s="93"/>
      <c r="CB450" s="79"/>
      <c r="CC450" s="699"/>
      <c r="CD450" s="93"/>
      <c r="CE450" s="93"/>
      <c r="CF450" s="93"/>
      <c r="CG450" s="93"/>
      <c r="CH450" s="93"/>
      <c r="CI450" s="93"/>
      <c r="CJ450" s="93"/>
      <c r="CK450" s="93"/>
      <c r="CL450" s="93"/>
      <c r="CM450" s="93"/>
      <c r="CN450" s="93"/>
      <c r="CO450" s="93"/>
      <c r="CP450" s="93"/>
      <c r="CQ450" s="93"/>
      <c r="CR450" s="93"/>
      <c r="CS450" s="699"/>
      <c r="CT450" s="93"/>
      <c r="CU450" s="93"/>
      <c r="CV450" s="92"/>
      <c r="CW450" s="51"/>
      <c r="CX450" s="51"/>
      <c r="CY450" s="51"/>
      <c r="CZ450" s="51"/>
      <c r="DA450" s="92"/>
      <c r="DB450" s="92"/>
      <c r="DC450" s="51"/>
      <c r="DD450" s="51"/>
      <c r="DE450" s="51"/>
      <c r="DF450" s="93"/>
      <c r="DG450" s="93"/>
      <c r="DH450" s="79"/>
      <c r="DI450" s="93"/>
      <c r="DJ450" s="93"/>
      <c r="DK450" s="93"/>
      <c r="DL450" s="93"/>
      <c r="DM450" s="93"/>
      <c r="DN450" s="93"/>
      <c r="DO450" s="93"/>
      <c r="DP450" s="93"/>
      <c r="DQ450" s="93"/>
      <c r="DR450" s="93"/>
      <c r="DS450" s="93"/>
      <c r="DT450" s="93"/>
      <c r="DU450" s="93"/>
      <c r="DV450" s="93"/>
      <c r="DW450" s="93"/>
      <c r="DX450" s="79"/>
    </row>
    <row r="451" spans="1:129">
      <c r="A451" s="51"/>
      <c r="B451" s="92"/>
      <c r="C451" s="92"/>
      <c r="D451" s="92"/>
      <c r="E451" s="51"/>
      <c r="F451" s="92"/>
      <c r="G451" s="92"/>
      <c r="H451" s="92"/>
      <c r="I451" s="92"/>
      <c r="J451" s="92"/>
      <c r="K451" s="92"/>
      <c r="L451" s="92"/>
      <c r="M451" s="92"/>
      <c r="N451" s="92"/>
      <c r="O451" s="92"/>
      <c r="P451" s="113"/>
      <c r="Q451" s="699"/>
      <c r="R451" s="93"/>
      <c r="S451" s="93"/>
      <c r="T451" s="93"/>
      <c r="U451" s="93"/>
      <c r="V451" s="93"/>
      <c r="W451" s="93"/>
      <c r="X451" s="93"/>
      <c r="Y451" s="93"/>
      <c r="Z451" s="93"/>
      <c r="AA451" s="93"/>
      <c r="AB451" s="93"/>
      <c r="AC451" s="93"/>
      <c r="AD451" s="93"/>
      <c r="AE451" s="93"/>
      <c r="AF451" s="93"/>
      <c r="AG451" s="114"/>
      <c r="AH451" s="51"/>
      <c r="AI451" s="51"/>
      <c r="AJ451" s="51"/>
      <c r="AK451" s="51"/>
      <c r="AL451" s="92"/>
      <c r="AM451" s="92"/>
      <c r="AN451" s="51"/>
      <c r="AO451" s="51"/>
      <c r="AP451" s="51"/>
      <c r="AQ451" s="51"/>
      <c r="AR451" s="92"/>
      <c r="AS451" s="51"/>
      <c r="AT451" s="51"/>
      <c r="AU451" s="51"/>
      <c r="AV451" s="82"/>
      <c r="AW451" s="93"/>
      <c r="AX451" s="93"/>
      <c r="AY451" s="93"/>
      <c r="AZ451" s="93"/>
      <c r="BA451" s="93"/>
      <c r="BB451" s="93"/>
      <c r="BC451" s="93"/>
      <c r="BD451" s="93"/>
      <c r="BE451" s="93"/>
      <c r="BF451" s="93"/>
      <c r="BG451" s="93"/>
      <c r="BH451" s="93"/>
      <c r="BI451" s="93"/>
      <c r="BJ451" s="93"/>
      <c r="BK451" s="93"/>
      <c r="BL451" s="79"/>
      <c r="BM451" s="699"/>
      <c r="BN451" s="93"/>
      <c r="BO451" s="93"/>
      <c r="BP451" s="93"/>
      <c r="BQ451" s="93"/>
      <c r="BR451" s="93"/>
      <c r="BS451" s="93"/>
      <c r="BT451" s="93"/>
      <c r="BU451" s="93"/>
      <c r="BV451" s="93"/>
      <c r="BW451" s="93"/>
      <c r="BX451" s="93"/>
      <c r="BY451" s="93"/>
      <c r="BZ451" s="93"/>
      <c r="CA451" s="93"/>
      <c r="CB451" s="79"/>
      <c r="CC451" s="699"/>
      <c r="CD451" s="93"/>
      <c r="CE451" s="93"/>
      <c r="CF451" s="93"/>
      <c r="CG451" s="93"/>
      <c r="CH451" s="93"/>
      <c r="CI451" s="93"/>
      <c r="CJ451" s="93"/>
      <c r="CK451" s="93"/>
      <c r="CL451" s="93"/>
      <c r="CM451" s="93"/>
      <c r="CN451" s="93"/>
      <c r="CO451" s="93"/>
      <c r="CP451" s="93"/>
      <c r="CQ451" s="93"/>
      <c r="CR451" s="93"/>
      <c r="CS451" s="699"/>
      <c r="CT451" s="93"/>
      <c r="CU451" s="93"/>
      <c r="CV451" s="92"/>
      <c r="CW451" s="51"/>
      <c r="CX451" s="51"/>
      <c r="CY451" s="51"/>
      <c r="CZ451" s="51"/>
      <c r="DA451" s="92"/>
      <c r="DB451" s="92"/>
      <c r="DC451" s="51"/>
      <c r="DD451" s="51"/>
      <c r="DE451" s="51"/>
      <c r="DF451" s="93"/>
      <c r="DG451" s="93"/>
      <c r="DH451" s="79"/>
      <c r="DI451" s="93"/>
      <c r="DJ451" s="93"/>
      <c r="DK451" s="93"/>
      <c r="DL451" s="93"/>
      <c r="DM451" s="93"/>
      <c r="DN451" s="93"/>
      <c r="DO451" s="93"/>
      <c r="DP451" s="93"/>
      <c r="DQ451" s="93"/>
      <c r="DR451" s="93"/>
      <c r="DS451" s="93"/>
      <c r="DT451" s="93"/>
      <c r="DU451" s="93"/>
      <c r="DV451" s="93"/>
      <c r="DW451" s="93"/>
      <c r="DX451" s="79"/>
    </row>
    <row r="452" spans="1:129">
      <c r="A452" s="92"/>
      <c r="B452" s="92"/>
      <c r="C452" s="92"/>
      <c r="D452" s="92"/>
      <c r="E452" s="51"/>
      <c r="F452" s="92"/>
      <c r="G452" s="92"/>
      <c r="H452" s="92"/>
      <c r="I452" s="92"/>
      <c r="J452" s="92"/>
      <c r="K452" s="92"/>
      <c r="L452" s="92"/>
      <c r="M452" s="92"/>
      <c r="N452" s="92"/>
      <c r="O452" s="92"/>
      <c r="P452" s="113"/>
      <c r="Q452" s="699"/>
      <c r="R452" s="93"/>
      <c r="S452" s="93"/>
      <c r="T452" s="93"/>
      <c r="U452" s="93"/>
      <c r="V452" s="93"/>
      <c r="W452" s="93"/>
      <c r="X452" s="93"/>
      <c r="Y452" s="93"/>
      <c r="Z452" s="93"/>
      <c r="AA452" s="93"/>
      <c r="AB452" s="93"/>
      <c r="AC452" s="93"/>
      <c r="AD452" s="93"/>
      <c r="AE452" s="93"/>
      <c r="AF452" s="93"/>
      <c r="AG452" s="114"/>
      <c r="AH452" s="51"/>
      <c r="AI452" s="51"/>
      <c r="AJ452" s="51"/>
      <c r="AK452" s="51"/>
      <c r="AL452" s="92"/>
      <c r="AM452" s="92"/>
      <c r="AN452" s="51"/>
      <c r="AO452" s="51"/>
      <c r="AP452" s="51"/>
      <c r="AQ452" s="51"/>
      <c r="AR452" s="92"/>
      <c r="AS452" s="51"/>
      <c r="AT452" s="51"/>
      <c r="AU452" s="51"/>
      <c r="AV452" s="82"/>
      <c r="AW452" s="93"/>
      <c r="AX452" s="93"/>
      <c r="AY452" s="93"/>
      <c r="AZ452" s="93"/>
      <c r="BA452" s="93"/>
      <c r="BB452" s="93"/>
      <c r="BC452" s="93"/>
      <c r="BD452" s="93"/>
      <c r="BE452" s="93"/>
      <c r="BF452" s="93"/>
      <c r="BG452" s="93"/>
      <c r="BH452" s="93"/>
      <c r="BI452" s="93"/>
      <c r="BJ452" s="93"/>
      <c r="BK452" s="93"/>
      <c r="BL452" s="79"/>
      <c r="BM452" s="699"/>
      <c r="BN452" s="93"/>
      <c r="BO452" s="93"/>
      <c r="BP452" s="93"/>
      <c r="BQ452" s="93"/>
      <c r="BR452" s="93"/>
      <c r="BS452" s="93"/>
      <c r="BT452" s="93"/>
      <c r="BU452" s="93"/>
      <c r="BV452" s="93"/>
      <c r="BW452" s="93"/>
      <c r="BX452" s="93"/>
      <c r="BY452" s="93"/>
      <c r="BZ452" s="93"/>
      <c r="CA452" s="93"/>
      <c r="CB452" s="79"/>
      <c r="CC452" s="699"/>
      <c r="CD452" s="93"/>
      <c r="CE452" s="93"/>
      <c r="CF452" s="93"/>
      <c r="CG452" s="93"/>
      <c r="CH452" s="93"/>
      <c r="CI452" s="93"/>
      <c r="CJ452" s="93"/>
      <c r="CK452" s="93"/>
      <c r="CL452" s="93"/>
      <c r="CM452" s="93"/>
      <c r="CN452" s="93"/>
      <c r="CO452" s="93"/>
      <c r="CP452" s="93"/>
      <c r="CQ452" s="93"/>
      <c r="CR452" s="93"/>
      <c r="CS452" s="699"/>
      <c r="CT452" s="93"/>
      <c r="CU452" s="93"/>
      <c r="CV452" s="92"/>
      <c r="CW452" s="51"/>
      <c r="CX452" s="51"/>
      <c r="CY452" s="51"/>
      <c r="CZ452" s="51"/>
      <c r="DA452" s="92"/>
      <c r="DB452" s="92"/>
      <c r="DC452" s="51"/>
      <c r="DD452" s="51"/>
      <c r="DE452" s="51"/>
      <c r="DF452" s="93"/>
      <c r="DG452" s="93"/>
      <c r="DH452" s="79"/>
      <c r="DI452" s="93"/>
      <c r="DJ452" s="93"/>
      <c r="DK452" s="93"/>
      <c r="DL452" s="93"/>
      <c r="DM452" s="93"/>
      <c r="DN452" s="93"/>
      <c r="DO452" s="93"/>
      <c r="DP452" s="93"/>
      <c r="DQ452" s="93"/>
      <c r="DR452" s="93"/>
      <c r="DS452" s="93"/>
      <c r="DT452" s="93"/>
      <c r="DU452" s="93"/>
      <c r="DV452" s="93"/>
      <c r="DW452" s="93"/>
      <c r="DX452" s="79"/>
    </row>
    <row r="453" spans="1:129">
      <c r="A453" s="51"/>
      <c r="B453" s="92"/>
      <c r="C453" s="92"/>
      <c r="D453" s="92"/>
      <c r="E453" s="51"/>
      <c r="F453" s="92"/>
      <c r="G453" s="92"/>
      <c r="H453" s="92"/>
      <c r="I453" s="92"/>
      <c r="J453" s="92"/>
      <c r="K453" s="92"/>
      <c r="L453" s="92"/>
      <c r="M453" s="92"/>
      <c r="N453" s="92"/>
      <c r="O453" s="92"/>
      <c r="P453" s="113"/>
      <c r="Q453" s="699"/>
      <c r="R453" s="93"/>
      <c r="S453" s="93"/>
      <c r="T453" s="93"/>
      <c r="U453" s="93"/>
      <c r="V453" s="93"/>
      <c r="W453" s="93"/>
      <c r="X453" s="93"/>
      <c r="Y453" s="93"/>
      <c r="Z453" s="93"/>
      <c r="AA453" s="93"/>
      <c r="AB453" s="93"/>
      <c r="AC453" s="93"/>
      <c r="AD453" s="93"/>
      <c r="AE453" s="93"/>
      <c r="AF453" s="93"/>
      <c r="AG453" s="114"/>
      <c r="AH453" s="51"/>
      <c r="AI453" s="51"/>
      <c r="AJ453" s="51"/>
      <c r="AK453" s="51"/>
      <c r="AL453" s="92"/>
      <c r="AM453" s="92"/>
      <c r="AN453" s="51"/>
      <c r="AO453" s="51"/>
      <c r="AP453" s="51"/>
      <c r="AQ453" s="51"/>
      <c r="AR453" s="92"/>
      <c r="AS453" s="51"/>
      <c r="AT453" s="51"/>
      <c r="AU453" s="51"/>
      <c r="AV453" s="82"/>
      <c r="AW453" s="93"/>
      <c r="AX453" s="93"/>
      <c r="AY453" s="93"/>
      <c r="AZ453" s="93"/>
      <c r="BA453" s="93"/>
      <c r="BB453" s="93"/>
      <c r="BC453" s="93"/>
      <c r="BD453" s="93"/>
      <c r="BE453" s="93"/>
      <c r="BF453" s="93"/>
      <c r="BG453" s="93"/>
      <c r="BH453" s="93"/>
      <c r="BI453" s="93"/>
      <c r="BJ453" s="93"/>
      <c r="BK453" s="93"/>
      <c r="BL453" s="79"/>
      <c r="BM453" s="699"/>
      <c r="BN453" s="93"/>
      <c r="BO453" s="93"/>
      <c r="BP453" s="93"/>
      <c r="BQ453" s="93"/>
      <c r="BR453" s="93"/>
      <c r="BS453" s="93"/>
      <c r="BT453" s="93"/>
      <c r="BU453" s="93"/>
      <c r="BV453" s="93"/>
      <c r="BW453" s="93"/>
      <c r="BX453" s="93"/>
      <c r="BY453" s="93"/>
      <c r="BZ453" s="93"/>
      <c r="CA453" s="93"/>
      <c r="CB453" s="79"/>
      <c r="CC453" s="699"/>
      <c r="CD453" s="93"/>
      <c r="CE453" s="93"/>
      <c r="CF453" s="93"/>
      <c r="CG453" s="93"/>
      <c r="CH453" s="93"/>
      <c r="CI453" s="93"/>
      <c r="CJ453" s="93"/>
      <c r="CK453" s="93"/>
      <c r="CL453" s="93"/>
      <c r="CM453" s="93"/>
      <c r="CN453" s="93"/>
      <c r="CO453" s="93"/>
      <c r="CP453" s="93"/>
      <c r="CQ453" s="93"/>
      <c r="CR453" s="93"/>
      <c r="CS453" s="699"/>
      <c r="CT453" s="93"/>
      <c r="CU453" s="93"/>
      <c r="CV453" s="92"/>
      <c r="CW453" s="51"/>
      <c r="CX453" s="51"/>
      <c r="CY453" s="51"/>
      <c r="CZ453" s="51"/>
      <c r="DA453" s="92"/>
      <c r="DB453" s="92"/>
      <c r="DC453" s="51"/>
      <c r="DD453" s="51"/>
      <c r="DE453" s="51"/>
      <c r="DF453" s="93"/>
      <c r="DG453" s="93"/>
      <c r="DH453" s="79"/>
      <c r="DI453" s="93"/>
      <c r="DJ453" s="93"/>
      <c r="DK453" s="93"/>
      <c r="DL453" s="93"/>
      <c r="DM453" s="93"/>
      <c r="DN453" s="93"/>
      <c r="DO453" s="93"/>
      <c r="DP453" s="93"/>
      <c r="DQ453" s="93"/>
      <c r="DR453" s="93"/>
      <c r="DS453" s="93"/>
      <c r="DT453" s="93"/>
      <c r="DU453" s="93"/>
      <c r="DV453" s="93"/>
      <c r="DW453" s="93"/>
      <c r="DX453" s="79"/>
    </row>
    <row r="454" spans="1:129">
      <c r="A454" s="51"/>
      <c r="B454" s="51"/>
      <c r="C454" s="51"/>
      <c r="D454" s="51"/>
      <c r="E454" s="51"/>
      <c r="F454" s="51"/>
      <c r="G454" s="51"/>
      <c r="H454" s="51"/>
      <c r="I454" s="51"/>
      <c r="J454" s="51"/>
      <c r="K454" s="51"/>
      <c r="L454" s="51"/>
      <c r="M454" s="51"/>
      <c r="N454" s="51"/>
      <c r="O454" s="51"/>
      <c r="P454" s="82"/>
      <c r="Q454" s="699"/>
      <c r="R454" s="93"/>
      <c r="S454" s="93"/>
      <c r="T454" s="93"/>
      <c r="U454" s="93"/>
      <c r="V454" s="93"/>
      <c r="W454" s="93"/>
      <c r="X454" s="93"/>
      <c r="Y454" s="93"/>
      <c r="Z454" s="93"/>
      <c r="AA454" s="93"/>
      <c r="AB454" s="93"/>
      <c r="AC454" s="93"/>
      <c r="AD454" s="93"/>
      <c r="AE454" s="93"/>
      <c r="AF454" s="93"/>
      <c r="AG454" s="114"/>
      <c r="AH454" s="51"/>
      <c r="AI454" s="51"/>
      <c r="AJ454" s="51"/>
      <c r="AK454" s="51"/>
      <c r="AL454" s="92"/>
      <c r="AM454" s="92"/>
      <c r="AN454" s="51"/>
      <c r="AO454" s="51"/>
      <c r="AP454" s="51"/>
      <c r="AQ454" s="51"/>
      <c r="AR454" s="92"/>
      <c r="AS454" s="51"/>
      <c r="AT454" s="51"/>
      <c r="AU454" s="51"/>
      <c r="AV454" s="82"/>
      <c r="AW454" s="93"/>
      <c r="AX454" s="93"/>
      <c r="AY454" s="93"/>
      <c r="AZ454" s="93"/>
      <c r="BA454" s="93"/>
      <c r="BB454" s="93"/>
      <c r="BC454" s="93"/>
      <c r="BD454" s="93"/>
      <c r="BE454" s="93"/>
      <c r="BF454" s="93"/>
      <c r="BG454" s="93"/>
      <c r="BH454" s="93"/>
      <c r="BI454" s="93"/>
      <c r="BJ454" s="93"/>
      <c r="BK454" s="93"/>
      <c r="BL454" s="79"/>
      <c r="BM454" s="699"/>
      <c r="BN454" s="93"/>
      <c r="BO454" s="93"/>
      <c r="BP454" s="93"/>
      <c r="BQ454" s="93"/>
      <c r="BR454" s="93"/>
      <c r="BS454" s="93"/>
      <c r="BT454" s="93"/>
      <c r="BU454" s="93"/>
      <c r="BV454" s="93"/>
      <c r="BW454" s="93"/>
      <c r="BX454" s="93"/>
      <c r="BY454" s="93"/>
      <c r="BZ454" s="93"/>
      <c r="CA454" s="93"/>
      <c r="CB454" s="79"/>
      <c r="CC454" s="699"/>
      <c r="CD454" s="93"/>
      <c r="CE454" s="93"/>
      <c r="CF454" s="93"/>
      <c r="CG454" s="93"/>
      <c r="CH454" s="93"/>
      <c r="CI454" s="93"/>
      <c r="CJ454" s="93"/>
      <c r="CK454" s="93"/>
      <c r="CL454" s="93"/>
      <c r="CM454" s="93"/>
      <c r="CN454" s="93"/>
      <c r="CO454" s="93"/>
      <c r="CP454" s="93"/>
      <c r="CQ454" s="93"/>
      <c r="CR454" s="93"/>
      <c r="CS454" s="699"/>
      <c r="CT454" s="93"/>
      <c r="CU454" s="93"/>
      <c r="CV454" s="92"/>
      <c r="CW454" s="51"/>
      <c r="CX454" s="51"/>
      <c r="CY454" s="51"/>
      <c r="CZ454" s="51"/>
      <c r="DA454" s="92"/>
      <c r="DB454" s="92"/>
      <c r="DC454" s="51"/>
      <c r="DD454" s="51"/>
      <c r="DE454" s="51"/>
      <c r="DF454" s="93"/>
      <c r="DG454" s="93"/>
      <c r="DH454" s="79"/>
      <c r="DI454" s="93"/>
      <c r="DJ454" s="93"/>
      <c r="DK454" s="93"/>
      <c r="DL454" s="93"/>
      <c r="DM454" s="93"/>
      <c r="DN454" s="93"/>
      <c r="DO454" s="93"/>
      <c r="DP454" s="93"/>
      <c r="DQ454" s="93"/>
      <c r="DR454" s="93"/>
      <c r="DS454" s="93"/>
      <c r="DT454" s="93"/>
      <c r="DU454" s="93"/>
      <c r="DV454" s="93"/>
      <c r="DW454" s="93"/>
      <c r="DX454" s="79"/>
    </row>
    <row r="455" spans="1:129">
      <c r="A455" s="51"/>
      <c r="B455" s="92"/>
      <c r="C455" s="92"/>
      <c r="D455" s="92"/>
      <c r="E455" s="92"/>
      <c r="F455" s="92"/>
      <c r="G455" s="92"/>
      <c r="H455" s="92"/>
      <c r="I455" s="92"/>
      <c r="J455" s="92"/>
      <c r="K455" s="51"/>
      <c r="L455" s="92"/>
      <c r="M455" s="92"/>
      <c r="N455" s="92"/>
      <c r="O455" s="92"/>
      <c r="P455" s="113"/>
      <c r="Q455" s="699"/>
      <c r="R455" s="93"/>
      <c r="S455" s="93"/>
      <c r="T455" s="93"/>
      <c r="U455" s="93"/>
      <c r="V455" s="93"/>
      <c r="W455" s="93"/>
      <c r="X455" s="93"/>
      <c r="Y455" s="93"/>
      <c r="Z455" s="93"/>
      <c r="AA455" s="93"/>
      <c r="AB455" s="93"/>
      <c r="AC455" s="93"/>
      <c r="AD455" s="93"/>
      <c r="AE455" s="93"/>
      <c r="AF455" s="93"/>
      <c r="AG455" s="114"/>
      <c r="AH455" s="51"/>
      <c r="AI455" s="51"/>
      <c r="AJ455" s="51"/>
      <c r="AK455" s="51"/>
      <c r="AL455" s="92"/>
      <c r="AM455" s="92"/>
      <c r="AN455" s="51"/>
      <c r="AO455" s="51"/>
      <c r="AP455" s="51"/>
      <c r="AQ455" s="51"/>
      <c r="AR455" s="92"/>
      <c r="AS455" s="51"/>
      <c r="AT455" s="51"/>
      <c r="AU455" s="51"/>
      <c r="AV455" s="82"/>
      <c r="AW455" s="93"/>
      <c r="AX455" s="93"/>
      <c r="AY455" s="93"/>
      <c r="AZ455" s="93"/>
      <c r="BA455" s="93"/>
      <c r="BB455" s="93"/>
      <c r="BC455" s="93"/>
      <c r="BD455" s="93"/>
      <c r="BE455" s="93"/>
      <c r="BF455" s="93"/>
      <c r="BG455" s="93"/>
      <c r="BH455" s="93"/>
      <c r="BI455" s="93"/>
      <c r="BJ455" s="93"/>
      <c r="BK455" s="93"/>
      <c r="BL455" s="79"/>
      <c r="BM455" s="699"/>
      <c r="BN455" s="93"/>
      <c r="BO455" s="93"/>
      <c r="BP455" s="93"/>
      <c r="BQ455" s="93"/>
      <c r="BR455" s="93"/>
      <c r="BS455" s="93"/>
      <c r="BT455" s="93"/>
      <c r="BU455" s="93"/>
      <c r="BV455" s="93"/>
      <c r="BW455" s="93"/>
      <c r="BX455" s="93"/>
      <c r="BY455" s="93"/>
      <c r="BZ455" s="93"/>
      <c r="CA455" s="93"/>
      <c r="CB455" s="79"/>
      <c r="CC455" s="699"/>
      <c r="CD455" s="93"/>
      <c r="CE455" s="93"/>
      <c r="CF455" s="93"/>
      <c r="CG455" s="93"/>
      <c r="CH455" s="93"/>
      <c r="CI455" s="93"/>
      <c r="CJ455" s="93"/>
      <c r="CK455" s="93"/>
      <c r="CL455" s="93"/>
      <c r="CM455" s="93"/>
      <c r="CN455" s="93"/>
      <c r="CO455" s="93"/>
      <c r="CP455" s="93"/>
      <c r="CQ455" s="93"/>
      <c r="CR455" s="93"/>
      <c r="CS455" s="699"/>
      <c r="CT455" s="93"/>
      <c r="CU455" s="93"/>
      <c r="CV455" s="92"/>
      <c r="CW455" s="51"/>
      <c r="CX455" s="51"/>
      <c r="CY455" s="51"/>
      <c r="CZ455" s="51"/>
      <c r="DA455" s="92"/>
      <c r="DB455" s="92"/>
      <c r="DC455" s="51"/>
      <c r="DD455" s="51"/>
      <c r="DE455" s="51"/>
      <c r="DF455" s="93"/>
      <c r="DG455" s="93"/>
      <c r="DH455" s="79"/>
      <c r="DI455" s="93"/>
      <c r="DJ455" s="93"/>
      <c r="DK455" s="93"/>
      <c r="DL455" s="93"/>
      <c r="DM455" s="93"/>
      <c r="DN455" s="93"/>
      <c r="DO455" s="93"/>
      <c r="DP455" s="93"/>
      <c r="DQ455" s="93"/>
      <c r="DR455" s="93"/>
      <c r="DS455" s="93"/>
      <c r="DT455" s="93"/>
      <c r="DU455" s="93"/>
      <c r="DV455" s="93"/>
      <c r="DW455" s="93"/>
      <c r="DX455" s="79"/>
    </row>
    <row r="456" spans="1:129">
      <c r="DY456">
        <v>393</v>
      </c>
    </row>
    <row r="457" spans="1:129">
      <c r="DY457">
        <v>394</v>
      </c>
    </row>
    <row r="458" spans="1:129">
      <c r="DY458">
        <v>395</v>
      </c>
    </row>
    <row r="459" spans="1:129">
      <c r="DY459">
        <v>396</v>
      </c>
    </row>
    <row r="460" spans="1:129">
      <c r="DY460">
        <v>397</v>
      </c>
    </row>
    <row r="461" spans="1:129">
      <c r="DY461">
        <v>398</v>
      </c>
    </row>
    <row r="462" spans="1:129">
      <c r="A462" s="51"/>
      <c r="B462" s="92"/>
      <c r="C462" s="92"/>
      <c r="D462" s="51"/>
      <c r="E462" s="51"/>
      <c r="F462" s="291"/>
      <c r="G462" s="64"/>
      <c r="H462" s="36"/>
      <c r="I462" s="64"/>
      <c r="J462" s="291"/>
      <c r="K462" s="51"/>
      <c r="L462" s="51"/>
      <c r="M462" s="92"/>
      <c r="N462" s="51"/>
      <c r="O462" s="51"/>
      <c r="P462" s="113"/>
      <c r="Q462" s="699"/>
      <c r="R462" s="93"/>
      <c r="S462" s="93"/>
      <c r="T462" s="92"/>
      <c r="U462" s="92"/>
      <c r="V462" s="92"/>
      <c r="W462" s="64"/>
      <c r="X462" s="64"/>
      <c r="Y462" s="201"/>
      <c r="Z462" s="291"/>
      <c r="AA462" s="92"/>
      <c r="AB462" s="93"/>
      <c r="AC462" s="93"/>
      <c r="AD462" s="93"/>
      <c r="AE462" s="93"/>
      <c r="AF462" s="93"/>
      <c r="AG462" s="114"/>
      <c r="AH462" s="51"/>
      <c r="AI462" s="51"/>
      <c r="AJ462" s="51"/>
      <c r="AK462" s="51"/>
      <c r="AL462" s="92"/>
      <c r="AM462" s="64"/>
      <c r="AN462" s="201"/>
      <c r="AO462" s="291"/>
      <c r="AP462" s="92"/>
      <c r="AQ462" s="51"/>
      <c r="AR462" s="92"/>
      <c r="AS462" s="51"/>
      <c r="AT462" s="51"/>
      <c r="AU462" s="51"/>
      <c r="AV462" s="82"/>
      <c r="AW462" s="93"/>
      <c r="AX462" s="93"/>
      <c r="AY462" s="93"/>
      <c r="AZ462" s="92"/>
      <c r="BA462" s="92"/>
      <c r="BB462" s="92"/>
      <c r="BC462" s="92"/>
      <c r="BD462" s="201"/>
      <c r="BE462" s="291"/>
      <c r="BF462" s="291"/>
      <c r="BG462" s="92"/>
      <c r="BH462" s="92"/>
      <c r="BI462" s="92"/>
      <c r="BJ462" s="51"/>
      <c r="BK462" s="51"/>
      <c r="BL462" s="113"/>
      <c r="BM462" s="699"/>
      <c r="BN462" s="93"/>
      <c r="BO462" s="93"/>
      <c r="BP462" s="93"/>
      <c r="BQ462" s="51"/>
      <c r="BR462" s="51"/>
      <c r="BS462" s="291"/>
      <c r="BT462" s="54"/>
      <c r="BU462" s="64"/>
      <c r="BV462" s="54"/>
      <c r="BW462" s="291"/>
      <c r="BX462" s="51"/>
      <c r="BY462" s="51"/>
      <c r="BZ462" s="92"/>
      <c r="CA462" s="93"/>
      <c r="CB462" s="79"/>
      <c r="CC462" s="699"/>
      <c r="CD462" s="93"/>
      <c r="CE462" s="51"/>
      <c r="CF462" s="92"/>
      <c r="CG462" s="92"/>
      <c r="CH462" s="92"/>
      <c r="CI462" s="291"/>
      <c r="CJ462" s="201"/>
      <c r="CK462" s="201"/>
      <c r="CL462" s="92"/>
      <c r="CM462" s="92"/>
      <c r="CN462" s="92"/>
      <c r="CO462" s="93"/>
      <c r="CP462" s="93"/>
      <c r="CQ462" s="93"/>
      <c r="CR462" s="93"/>
      <c r="CS462" s="699"/>
      <c r="CT462" s="93"/>
      <c r="CU462" s="93"/>
      <c r="CV462" s="92"/>
      <c r="CW462" s="51"/>
      <c r="CX462" s="92"/>
      <c r="CY462" s="291"/>
      <c r="CZ462" s="56"/>
      <c r="DA462" s="56"/>
      <c r="DB462" s="92"/>
      <c r="DC462" s="51"/>
      <c r="DD462" s="51"/>
      <c r="DE462" s="51"/>
      <c r="DF462" s="93"/>
      <c r="DG462" s="93"/>
      <c r="DH462" s="79"/>
      <c r="DI462" s="93"/>
      <c r="DJ462" s="93"/>
      <c r="DK462" s="93"/>
      <c r="DL462" s="51"/>
      <c r="DM462" s="51"/>
      <c r="DN462" s="92"/>
      <c r="DO462" s="291"/>
      <c r="DP462" s="54"/>
      <c r="DQ462" s="64"/>
      <c r="DR462" s="64"/>
      <c r="DS462" s="92"/>
      <c r="DT462" s="92"/>
      <c r="DU462" s="93"/>
      <c r="DV462" s="93"/>
      <c r="DW462" s="93"/>
      <c r="DX462" s="79"/>
    </row>
    <row r="463" spans="1:129">
      <c r="A463" s="51"/>
      <c r="B463" s="51"/>
      <c r="C463" s="92"/>
      <c r="D463" s="92"/>
      <c r="E463" s="92"/>
      <c r="F463" s="206"/>
      <c r="G463" s="291"/>
      <c r="H463" s="64"/>
      <c r="I463" s="54"/>
      <c r="J463" s="291"/>
      <c r="K463" s="92"/>
      <c r="L463" s="92"/>
      <c r="M463" s="92"/>
      <c r="N463" s="92"/>
      <c r="O463" s="51"/>
      <c r="P463" s="113"/>
      <c r="Q463" s="699"/>
      <c r="R463" s="93"/>
      <c r="S463" s="93"/>
      <c r="T463" s="92"/>
      <c r="U463" s="92"/>
      <c r="V463" s="92"/>
      <c r="W463" s="64"/>
      <c r="X463" s="201"/>
      <c r="Y463" s="291"/>
      <c r="Z463" s="292"/>
      <c r="AA463" s="92"/>
      <c r="AB463" s="92"/>
      <c r="AC463" s="93"/>
      <c r="AD463" s="93"/>
      <c r="AE463" s="93"/>
      <c r="AF463" s="93"/>
      <c r="AG463" s="114"/>
      <c r="AH463" s="51"/>
      <c r="AI463" s="51"/>
      <c r="AJ463" s="51"/>
      <c r="AK463" s="51"/>
      <c r="AL463" s="92"/>
      <c r="AM463" s="201"/>
      <c r="AN463" s="161"/>
      <c r="AO463" s="206"/>
      <c r="AP463" s="92"/>
      <c r="AQ463" s="51"/>
      <c r="AR463" s="92"/>
      <c r="AS463" s="51"/>
      <c r="AT463" s="51"/>
      <c r="AU463" s="51"/>
      <c r="AV463" s="82"/>
      <c r="AW463" s="93"/>
      <c r="AX463" s="93"/>
      <c r="AY463" s="93"/>
      <c r="AZ463" s="92"/>
      <c r="BA463" s="92"/>
      <c r="BB463" s="92"/>
      <c r="BC463" s="92"/>
      <c r="BD463" s="291"/>
      <c r="BE463" s="291"/>
      <c r="BF463" s="292"/>
      <c r="BG463" s="92"/>
      <c r="BH463" s="92"/>
      <c r="BI463" s="92"/>
      <c r="BJ463" s="51"/>
      <c r="BK463" s="51"/>
      <c r="BL463" s="113"/>
      <c r="BM463" s="699"/>
      <c r="BN463" s="93"/>
      <c r="BO463" s="93"/>
      <c r="BP463" s="93"/>
      <c r="BQ463" s="92"/>
      <c r="BR463" s="92"/>
      <c r="BS463" s="206"/>
      <c r="BT463" s="291"/>
      <c r="BU463" s="291"/>
      <c r="BV463" s="291"/>
      <c r="BW463" s="291"/>
      <c r="BX463" s="92"/>
      <c r="BY463" s="92"/>
      <c r="BZ463" s="92"/>
      <c r="CA463" s="93"/>
      <c r="CB463" s="79"/>
      <c r="CC463" s="699"/>
      <c r="CD463" s="93"/>
      <c r="CE463" s="51"/>
      <c r="CF463" s="92"/>
      <c r="CG463" s="92"/>
      <c r="CH463" s="92"/>
      <c r="CI463" s="206"/>
      <c r="CJ463" s="206"/>
      <c r="CK463" s="291"/>
      <c r="CL463" s="92"/>
      <c r="CM463" s="92"/>
      <c r="CN463" s="92"/>
      <c r="CO463" s="93"/>
      <c r="CP463" s="93"/>
      <c r="CQ463" s="93"/>
      <c r="CR463" s="93"/>
      <c r="CS463" s="699"/>
      <c r="CT463" s="93"/>
      <c r="CU463" s="93"/>
      <c r="CV463" s="92"/>
      <c r="CW463" s="51"/>
      <c r="CX463" s="92"/>
      <c r="CY463" s="291"/>
      <c r="CZ463" s="161"/>
      <c r="DA463" s="291"/>
      <c r="DB463" s="92"/>
      <c r="DC463" s="51"/>
      <c r="DD463" s="51"/>
      <c r="DE463" s="51"/>
      <c r="DF463" s="93"/>
      <c r="DG463" s="93"/>
      <c r="DH463" s="79"/>
      <c r="DI463" s="93"/>
      <c r="DJ463" s="93"/>
      <c r="DK463" s="93"/>
      <c r="DL463" s="92"/>
      <c r="DM463" s="92"/>
      <c r="DN463" s="92"/>
      <c r="DO463" s="292"/>
      <c r="DP463" s="291"/>
      <c r="DQ463" s="64"/>
      <c r="DR463" s="92"/>
      <c r="DS463" s="92"/>
      <c r="DT463" s="92"/>
      <c r="DU463" s="93"/>
      <c r="DV463" s="93"/>
      <c r="DW463" s="93"/>
      <c r="DX463" s="79"/>
    </row>
    <row r="464" spans="1:129">
      <c r="A464" s="51"/>
      <c r="B464" s="51"/>
      <c r="C464" s="92"/>
      <c r="D464" s="92"/>
      <c r="E464" s="293"/>
      <c r="F464" s="291"/>
      <c r="G464" s="206"/>
      <c r="H464" s="64"/>
      <c r="I464" s="206"/>
      <c r="J464" s="291"/>
      <c r="K464" s="161"/>
      <c r="L464" s="92"/>
      <c r="M464" s="92"/>
      <c r="N464" s="92"/>
      <c r="O464" s="51"/>
      <c r="P464" s="82"/>
      <c r="Q464" s="699"/>
      <c r="R464" s="93"/>
      <c r="S464" s="93"/>
      <c r="T464" s="92"/>
      <c r="U464" s="92"/>
      <c r="V464" s="293"/>
      <c r="W464" s="291"/>
      <c r="X464" s="291"/>
      <c r="Y464" s="291"/>
      <c r="Z464" s="161"/>
      <c r="AA464" s="92"/>
      <c r="AB464" s="92"/>
      <c r="AC464" s="93"/>
      <c r="AD464" s="93"/>
      <c r="AE464" s="93"/>
      <c r="AF464" s="93"/>
      <c r="AG464" s="114"/>
      <c r="AH464" s="51"/>
      <c r="AI464" s="51"/>
      <c r="AJ464" s="51"/>
      <c r="AK464" s="51"/>
      <c r="AL464" s="92"/>
      <c r="AM464" s="161"/>
      <c r="AN464" s="206"/>
      <c r="AO464" s="291"/>
      <c r="AP464" s="206"/>
      <c r="AQ464" s="51"/>
      <c r="AR464" s="92"/>
      <c r="AS464" s="51"/>
      <c r="AT464" s="51"/>
      <c r="AU464" s="51"/>
      <c r="AV464" s="82"/>
      <c r="AW464" s="93"/>
      <c r="AX464" s="93"/>
      <c r="AY464" s="93"/>
      <c r="AZ464" s="51"/>
      <c r="BA464" s="92"/>
      <c r="BB464" s="92"/>
      <c r="BC464" s="293"/>
      <c r="BD464" s="291"/>
      <c r="BE464" s="161"/>
      <c r="BF464" s="292"/>
      <c r="BG464" s="291"/>
      <c r="BH464" s="92"/>
      <c r="BI464" s="92"/>
      <c r="BJ464" s="51"/>
      <c r="BK464" s="51"/>
      <c r="BL464" s="82"/>
      <c r="BM464" s="699"/>
      <c r="BN464" s="93"/>
      <c r="BO464" s="93"/>
      <c r="BP464" s="93"/>
      <c r="BQ464" s="93"/>
      <c r="BR464" s="206"/>
      <c r="BS464" s="291"/>
      <c r="BT464" s="291"/>
      <c r="BU464" s="291"/>
      <c r="BV464" s="291"/>
      <c r="BW464" s="291"/>
      <c r="BX464" s="161"/>
      <c r="BY464" s="92"/>
      <c r="BZ464" s="92"/>
      <c r="CA464" s="93"/>
      <c r="CB464" s="79"/>
      <c r="CC464" s="699"/>
      <c r="CD464" s="93"/>
      <c r="CE464" s="51"/>
      <c r="CF464" s="92"/>
      <c r="CG464" s="92"/>
      <c r="CH464" s="291"/>
      <c r="CI464" s="292"/>
      <c r="CJ464" s="292"/>
      <c r="CK464" s="291"/>
      <c r="CL464" s="293"/>
      <c r="CM464" s="92"/>
      <c r="CN464" s="92"/>
      <c r="CO464" s="93"/>
      <c r="CP464" s="93"/>
      <c r="CQ464" s="93"/>
      <c r="CR464" s="93"/>
      <c r="CS464" s="699"/>
      <c r="CT464" s="93"/>
      <c r="CU464" s="93"/>
      <c r="CV464" s="92"/>
      <c r="CW464" s="51"/>
      <c r="CX464" s="92"/>
      <c r="CY464" s="206"/>
      <c r="CZ464" s="161"/>
      <c r="DA464" s="161"/>
      <c r="DB464" s="92"/>
      <c r="DC464" s="51"/>
      <c r="DD464" s="51"/>
      <c r="DE464" s="51"/>
      <c r="DF464" s="93"/>
      <c r="DG464" s="93"/>
      <c r="DH464" s="79"/>
      <c r="DI464" s="93"/>
      <c r="DJ464" s="93"/>
      <c r="DK464" s="93"/>
      <c r="DL464" s="92"/>
      <c r="DM464" s="92"/>
      <c r="DN464" s="206"/>
      <c r="DO464" s="291"/>
      <c r="DP464" s="292"/>
      <c r="DQ464" s="64"/>
      <c r="DR464" s="293"/>
      <c r="DS464" s="92"/>
      <c r="DT464" s="92"/>
      <c r="DU464" s="93"/>
      <c r="DV464" s="93"/>
      <c r="DW464" s="93"/>
      <c r="DX464" s="79"/>
    </row>
    <row r="465" spans="1:128">
      <c r="A465" s="51"/>
      <c r="B465" s="51"/>
      <c r="C465" s="92"/>
      <c r="D465" s="293"/>
      <c r="E465" s="206"/>
      <c r="F465" s="291"/>
      <c r="G465" s="291"/>
      <c r="H465" s="206"/>
      <c r="I465" s="161"/>
      <c r="J465" s="291"/>
      <c r="K465" s="291"/>
      <c r="L465" s="206"/>
      <c r="M465" s="51"/>
      <c r="N465" s="51"/>
      <c r="O465" s="92"/>
      <c r="P465" s="113"/>
      <c r="Q465" s="699"/>
      <c r="R465" s="93"/>
      <c r="S465" s="93"/>
      <c r="T465" s="92"/>
      <c r="U465" s="92"/>
      <c r="V465" s="161"/>
      <c r="W465" s="291"/>
      <c r="X465" s="161"/>
      <c r="Y465" s="291"/>
      <c r="Z465" s="291"/>
      <c r="AA465" s="206"/>
      <c r="AB465" s="92"/>
      <c r="AC465" s="93"/>
      <c r="AD465" s="93"/>
      <c r="AE465" s="93"/>
      <c r="AF465" s="93"/>
      <c r="AG465" s="114"/>
      <c r="AH465" s="51"/>
      <c r="AI465" s="51"/>
      <c r="AJ465" s="51"/>
      <c r="AK465" s="51"/>
      <c r="AL465" s="51"/>
      <c r="AM465" s="293"/>
      <c r="AN465" s="161"/>
      <c r="AO465" s="292"/>
      <c r="AP465" s="206"/>
      <c r="AQ465" s="51"/>
      <c r="AR465" s="92"/>
      <c r="AS465" s="51"/>
      <c r="AT465" s="51"/>
      <c r="AU465" s="51"/>
      <c r="AV465" s="82"/>
      <c r="AW465" s="93"/>
      <c r="AX465" s="93"/>
      <c r="AY465" s="93"/>
      <c r="AZ465" s="51"/>
      <c r="BA465" s="92"/>
      <c r="BB465" s="161"/>
      <c r="BC465" s="291"/>
      <c r="BD465" s="161"/>
      <c r="BE465" s="292"/>
      <c r="BF465" s="161"/>
      <c r="BG465" s="291"/>
      <c r="BH465" s="206"/>
      <c r="BI465" s="92"/>
      <c r="BJ465" s="92"/>
      <c r="BK465" s="92"/>
      <c r="BL465" s="113"/>
      <c r="BM465" s="699"/>
      <c r="BN465" s="93"/>
      <c r="BO465" s="93"/>
      <c r="BP465" s="93"/>
      <c r="BQ465" s="206"/>
      <c r="BR465" s="291"/>
      <c r="BS465" s="291"/>
      <c r="BT465" s="161"/>
      <c r="BU465" s="161"/>
      <c r="BV465" s="161"/>
      <c r="BW465" s="292"/>
      <c r="BX465" s="291"/>
      <c r="BY465" s="92"/>
      <c r="BZ465" s="92"/>
      <c r="CA465" s="93"/>
      <c r="CB465" s="79"/>
      <c r="CC465" s="699"/>
      <c r="CD465" s="93"/>
      <c r="CE465" s="92"/>
      <c r="CF465" s="92"/>
      <c r="CG465" s="161"/>
      <c r="CH465" s="291"/>
      <c r="CI465" s="291"/>
      <c r="CJ465" s="291"/>
      <c r="CK465" s="291"/>
      <c r="CL465" s="291"/>
      <c r="CM465" s="161"/>
      <c r="CN465" s="92"/>
      <c r="CO465" s="93"/>
      <c r="CP465" s="93"/>
      <c r="CQ465" s="93"/>
      <c r="CR465" s="93"/>
      <c r="CS465" s="699"/>
      <c r="CT465" s="93"/>
      <c r="CU465" s="93"/>
      <c r="CV465" s="92"/>
      <c r="CW465" s="51"/>
      <c r="CX465" s="291"/>
      <c r="CY465" s="206"/>
      <c r="CZ465" s="161"/>
      <c r="DA465" s="293"/>
      <c r="DB465" s="161"/>
      <c r="DC465" s="51"/>
      <c r="DD465" s="51"/>
      <c r="DE465" s="51"/>
      <c r="DF465" s="93"/>
      <c r="DG465" s="93"/>
      <c r="DH465" s="79"/>
      <c r="DI465" s="93"/>
      <c r="DJ465" s="93"/>
      <c r="DK465" s="93"/>
      <c r="DL465" s="92"/>
      <c r="DM465" s="206"/>
      <c r="DN465" s="291"/>
      <c r="DO465" s="291"/>
      <c r="DP465" s="161"/>
      <c r="DQ465" s="291"/>
      <c r="DR465" s="161"/>
      <c r="DS465" s="292"/>
      <c r="DT465" s="92"/>
      <c r="DU465" s="93"/>
      <c r="DV465" s="93"/>
      <c r="DW465" s="93"/>
      <c r="DX465" s="79"/>
    </row>
    <row r="466" spans="1:128">
      <c r="A466" s="51"/>
      <c r="B466" s="51"/>
      <c r="C466" s="92"/>
      <c r="D466" s="206"/>
      <c r="E466" s="291"/>
      <c r="F466" s="161"/>
      <c r="G466" s="291"/>
      <c r="H466" s="291"/>
      <c r="I466" s="161"/>
      <c r="J466" s="206"/>
      <c r="K466" s="291"/>
      <c r="L466" s="161"/>
      <c r="M466" s="51"/>
      <c r="N466" s="92"/>
      <c r="O466" s="92"/>
      <c r="P466" s="113"/>
      <c r="Q466" s="699"/>
      <c r="R466" s="93"/>
      <c r="S466" s="93"/>
      <c r="T466" s="92"/>
      <c r="U466" s="292"/>
      <c r="V466" s="291"/>
      <c r="W466" s="161"/>
      <c r="X466" s="161"/>
      <c r="Y466" s="292"/>
      <c r="Z466" s="291"/>
      <c r="AA466" s="206"/>
      <c r="AB466" s="92"/>
      <c r="AC466" s="93"/>
      <c r="AD466" s="93"/>
      <c r="AE466" s="93"/>
      <c r="AF466" s="93"/>
      <c r="AG466" s="114"/>
      <c r="AH466" s="51"/>
      <c r="AI466" s="51"/>
      <c r="AJ466" s="51"/>
      <c r="AK466" s="51"/>
      <c r="AL466" s="292"/>
      <c r="AM466" s="161"/>
      <c r="AN466" s="293"/>
      <c r="AO466" s="161"/>
      <c r="AP466" s="206"/>
      <c r="AQ466" s="51"/>
      <c r="AR466" s="92"/>
      <c r="AS466" s="51"/>
      <c r="AT466" s="51"/>
      <c r="AU466" s="51"/>
      <c r="AV466" s="82"/>
      <c r="AW466" s="93"/>
      <c r="AX466" s="93"/>
      <c r="AY466" s="93"/>
      <c r="AZ466" s="51"/>
      <c r="BA466" s="92"/>
      <c r="BB466" s="291"/>
      <c r="BC466" s="206"/>
      <c r="BD466" s="161"/>
      <c r="BE466" s="292"/>
      <c r="BF466" s="292"/>
      <c r="BG466" s="206"/>
      <c r="BH466" s="292"/>
      <c r="BI466" s="291"/>
      <c r="BJ466" s="92"/>
      <c r="BK466" s="92"/>
      <c r="BL466" s="113"/>
      <c r="BM466" s="699"/>
      <c r="BN466" s="93"/>
      <c r="BO466" s="93"/>
      <c r="BP466" s="93"/>
      <c r="BQ466" s="291"/>
      <c r="BR466" s="292"/>
      <c r="BS466" s="161"/>
      <c r="BT466" s="291"/>
      <c r="BU466" s="161"/>
      <c r="BV466" s="161"/>
      <c r="BW466" s="206"/>
      <c r="BX466" s="291"/>
      <c r="BY466" s="161"/>
      <c r="BZ466" s="92"/>
      <c r="CA466" s="93"/>
      <c r="CB466" s="79"/>
      <c r="CC466" s="699"/>
      <c r="CD466" s="93"/>
      <c r="CE466" s="92"/>
      <c r="CF466" s="92"/>
      <c r="CG466" s="292"/>
      <c r="CH466" s="291"/>
      <c r="CI466" s="161"/>
      <c r="CJ466" s="291"/>
      <c r="CK466" s="206"/>
      <c r="CL466" s="291"/>
      <c r="CM466" s="293"/>
      <c r="CN466" s="92"/>
      <c r="CO466" s="93"/>
      <c r="CP466" s="93"/>
      <c r="CQ466" s="93"/>
      <c r="CR466" s="93"/>
      <c r="CS466" s="699"/>
      <c r="CT466" s="93"/>
      <c r="CU466" s="93"/>
      <c r="CV466" s="92"/>
      <c r="CW466" s="51"/>
      <c r="CX466" s="206"/>
      <c r="CY466" s="291"/>
      <c r="CZ466" s="161"/>
      <c r="DA466" s="161"/>
      <c r="DB466" s="292"/>
      <c r="DC466" s="51"/>
      <c r="DD466" s="51"/>
      <c r="DE466" s="51"/>
      <c r="DF466" s="93"/>
      <c r="DG466" s="93"/>
      <c r="DH466" s="79"/>
      <c r="DI466" s="93"/>
      <c r="DJ466" s="93"/>
      <c r="DK466" s="93"/>
      <c r="DL466" s="92"/>
      <c r="DM466" s="206"/>
      <c r="DN466" s="293"/>
      <c r="DO466" s="206"/>
      <c r="DP466" s="161"/>
      <c r="DQ466" s="161"/>
      <c r="DR466" s="291"/>
      <c r="DS466" s="293"/>
      <c r="DT466" s="92"/>
      <c r="DU466" s="93"/>
      <c r="DV466" s="93"/>
      <c r="DW466" s="93"/>
      <c r="DX466" s="79"/>
    </row>
    <row r="467" spans="1:128">
      <c r="A467" s="51"/>
      <c r="B467" s="51"/>
      <c r="C467" s="293"/>
      <c r="D467" s="291"/>
      <c r="E467" s="292"/>
      <c r="F467" s="161"/>
      <c r="G467" s="291"/>
      <c r="H467" s="206"/>
      <c r="I467" s="161"/>
      <c r="J467" s="206"/>
      <c r="K467" s="161"/>
      <c r="L467" s="291"/>
      <c r="M467" s="293"/>
      <c r="N467" s="92"/>
      <c r="O467" s="92"/>
      <c r="P467" s="82"/>
      <c r="Q467" s="699"/>
      <c r="R467" s="93"/>
      <c r="S467" s="93"/>
      <c r="T467" s="51"/>
      <c r="U467" s="291"/>
      <c r="V467" s="206"/>
      <c r="W467" s="291"/>
      <c r="X467" s="161"/>
      <c r="Y467" s="206"/>
      <c r="Z467" s="291"/>
      <c r="AA467" s="291"/>
      <c r="AB467" s="93"/>
      <c r="AC467" s="93"/>
      <c r="AD467" s="93"/>
      <c r="AE467" s="93"/>
      <c r="AF467" s="93"/>
      <c r="AG467" s="114"/>
      <c r="AH467" s="51"/>
      <c r="AI467" s="51"/>
      <c r="AJ467" s="51"/>
      <c r="AK467" s="51"/>
      <c r="AL467" s="161"/>
      <c r="AM467" s="291"/>
      <c r="AN467" s="293"/>
      <c r="AO467" s="161"/>
      <c r="AP467" s="206"/>
      <c r="AQ467" s="92"/>
      <c r="AR467" s="51"/>
      <c r="AS467" s="51"/>
      <c r="AT467" s="51"/>
      <c r="AU467" s="51"/>
      <c r="AV467" s="82"/>
      <c r="AW467" s="93"/>
      <c r="AX467" s="93"/>
      <c r="AY467" s="93"/>
      <c r="AZ467" s="51"/>
      <c r="BA467" s="92"/>
      <c r="BB467" s="293"/>
      <c r="BC467" s="291"/>
      <c r="BD467" s="292"/>
      <c r="BE467" s="292"/>
      <c r="BF467" s="292"/>
      <c r="BG467" s="206"/>
      <c r="BH467" s="291"/>
      <c r="BI467" s="206"/>
      <c r="BJ467" s="92"/>
      <c r="BK467" s="92"/>
      <c r="BL467" s="82"/>
      <c r="BM467" s="699"/>
      <c r="BN467" s="93"/>
      <c r="BO467" s="93"/>
      <c r="BP467" s="93"/>
      <c r="BQ467" s="291"/>
      <c r="BR467" s="291"/>
      <c r="BS467" s="206"/>
      <c r="BT467" s="291"/>
      <c r="BU467" s="161"/>
      <c r="BV467" s="161"/>
      <c r="BW467" s="206"/>
      <c r="BX467" s="292"/>
      <c r="BY467" s="161"/>
      <c r="BZ467" s="93"/>
      <c r="CA467" s="93"/>
      <c r="CB467" s="79"/>
      <c r="CC467" s="699"/>
      <c r="CD467" s="93"/>
      <c r="CE467" s="92"/>
      <c r="CF467" s="161"/>
      <c r="CG467" s="291"/>
      <c r="CH467" s="206"/>
      <c r="CI467" s="161"/>
      <c r="CJ467" s="291"/>
      <c r="CK467" s="206"/>
      <c r="CL467" s="291"/>
      <c r="CM467" s="293"/>
      <c r="CN467" s="92"/>
      <c r="CO467" s="93"/>
      <c r="CP467" s="93"/>
      <c r="CQ467" s="93"/>
      <c r="CR467" s="93"/>
      <c r="CS467" s="699"/>
      <c r="CT467" s="93"/>
      <c r="CU467" s="93"/>
      <c r="CV467" s="92"/>
      <c r="CW467" s="51"/>
      <c r="CX467" s="206"/>
      <c r="CY467" s="291"/>
      <c r="CZ467" s="293"/>
      <c r="DA467" s="291"/>
      <c r="DB467" s="206"/>
      <c r="DC467" s="51"/>
      <c r="DD467" s="51"/>
      <c r="DE467" s="51"/>
      <c r="DF467" s="93"/>
      <c r="DG467" s="93"/>
      <c r="DH467" s="79"/>
      <c r="DI467" s="93"/>
      <c r="DJ467" s="93"/>
      <c r="DK467" s="93"/>
      <c r="DL467" s="93"/>
      <c r="DM467" s="206"/>
      <c r="DN467" s="293"/>
      <c r="DO467" s="206"/>
      <c r="DP467" s="161"/>
      <c r="DQ467" s="291"/>
      <c r="DR467" s="206"/>
      <c r="DS467" s="293"/>
      <c r="DT467" s="92"/>
      <c r="DU467" s="93"/>
      <c r="DV467" s="93"/>
      <c r="DW467" s="93"/>
      <c r="DX467" s="79"/>
    </row>
    <row r="468" spans="1:128">
      <c r="A468" s="51"/>
      <c r="B468" s="51"/>
      <c r="C468" s="206"/>
      <c r="D468" s="291"/>
      <c r="E468" s="292"/>
      <c r="F468" s="161"/>
      <c r="G468" s="291"/>
      <c r="H468" s="291"/>
      <c r="I468" s="161"/>
      <c r="J468" s="292"/>
      <c r="K468" s="206"/>
      <c r="L468" s="161"/>
      <c r="M468" s="206"/>
      <c r="N468" s="92"/>
      <c r="O468" s="92"/>
      <c r="P468" s="113"/>
      <c r="Q468" s="699"/>
      <c r="R468" s="93"/>
      <c r="S468" s="93"/>
      <c r="T468" s="293"/>
      <c r="U468" s="291"/>
      <c r="V468" s="206"/>
      <c r="W468" s="161"/>
      <c r="X468" s="161"/>
      <c r="Y468" s="206"/>
      <c r="Z468" s="292"/>
      <c r="AA468" s="291"/>
      <c r="AB468" s="206"/>
      <c r="AC468" s="93"/>
      <c r="AD468" s="93"/>
      <c r="AE468" s="93"/>
      <c r="AF468" s="93"/>
      <c r="AG468" s="114"/>
      <c r="AH468" s="51"/>
      <c r="AI468" s="51"/>
      <c r="AJ468" s="51"/>
      <c r="AK468" s="206"/>
      <c r="AL468" s="291"/>
      <c r="AM468" s="293"/>
      <c r="AN468" s="291"/>
      <c r="AO468" s="291"/>
      <c r="AP468" s="206"/>
      <c r="AQ468" s="92"/>
      <c r="AR468" s="51"/>
      <c r="AS468" s="51"/>
      <c r="AT468" s="51"/>
      <c r="AU468" s="51"/>
      <c r="AV468" s="82"/>
      <c r="AW468" s="93"/>
      <c r="AX468" s="93"/>
      <c r="AY468" s="93"/>
      <c r="AZ468" s="51"/>
      <c r="BA468" s="293"/>
      <c r="BB468" s="161"/>
      <c r="BC468" s="291"/>
      <c r="BD468" s="292"/>
      <c r="BE468" s="292"/>
      <c r="BF468" s="292"/>
      <c r="BG468" s="206"/>
      <c r="BH468" s="291"/>
      <c r="BI468" s="206"/>
      <c r="BJ468" s="92"/>
      <c r="BK468" s="92"/>
      <c r="BL468" s="113"/>
      <c r="BM468" s="699"/>
      <c r="BN468" s="93"/>
      <c r="BO468" s="93"/>
      <c r="BP468" s="93"/>
      <c r="BQ468" s="291"/>
      <c r="BR468" s="291"/>
      <c r="BS468" s="206"/>
      <c r="BT468" s="291"/>
      <c r="BU468" s="161"/>
      <c r="BV468" s="291"/>
      <c r="BW468" s="206"/>
      <c r="BX468" s="206"/>
      <c r="BY468" s="161"/>
      <c r="BZ468" s="93"/>
      <c r="CA468" s="93"/>
      <c r="CB468" s="79"/>
      <c r="CC468" s="699"/>
      <c r="CD468" s="93"/>
      <c r="CE468" s="92"/>
      <c r="CF468" s="291"/>
      <c r="CG468" s="206"/>
      <c r="CH468" s="206"/>
      <c r="CI468" s="161"/>
      <c r="CJ468" s="206"/>
      <c r="CK468" s="291"/>
      <c r="CL468" s="291"/>
      <c r="CM468" s="293"/>
      <c r="CN468" s="92"/>
      <c r="CO468" s="93"/>
      <c r="CP468" s="93"/>
      <c r="CQ468" s="93"/>
      <c r="CR468" s="93"/>
      <c r="CS468" s="699"/>
      <c r="CT468" s="93"/>
      <c r="CU468" s="93"/>
      <c r="CV468" s="92"/>
      <c r="CW468" s="206"/>
      <c r="CX468" s="291"/>
      <c r="CY468" s="291"/>
      <c r="CZ468" s="293"/>
      <c r="DA468" s="291"/>
      <c r="DB468" s="206"/>
      <c r="DC468" s="51"/>
      <c r="DD468" s="51"/>
      <c r="DE468" s="51"/>
      <c r="DF468" s="93"/>
      <c r="DG468" s="93"/>
      <c r="DH468" s="79"/>
      <c r="DI468" s="93"/>
      <c r="DJ468" s="93"/>
      <c r="DK468" s="93"/>
      <c r="DL468" s="206"/>
      <c r="DM468" s="293"/>
      <c r="DN468" s="292"/>
      <c r="DO468" s="161"/>
      <c r="DP468" s="161"/>
      <c r="DQ468" s="161"/>
      <c r="DR468" s="206"/>
      <c r="DS468" s="206"/>
      <c r="DT468" s="293"/>
      <c r="DU468" s="93"/>
      <c r="DV468" s="93"/>
      <c r="DW468" s="93"/>
      <c r="DX468" s="79"/>
    </row>
    <row r="469" spans="1:128">
      <c r="A469" s="51"/>
      <c r="B469" s="51"/>
      <c r="C469" s="291"/>
      <c r="D469" s="291"/>
      <c r="E469" s="291"/>
      <c r="F469" s="161"/>
      <c r="G469" s="291"/>
      <c r="H469" s="206"/>
      <c r="I469" s="161"/>
      <c r="J469" s="292"/>
      <c r="K469" s="161"/>
      <c r="L469" s="161"/>
      <c r="M469" s="92"/>
      <c r="N469" s="92"/>
      <c r="O469" s="51"/>
      <c r="P469" s="82"/>
      <c r="Q469" s="699"/>
      <c r="R469" s="93"/>
      <c r="S469" s="93"/>
      <c r="T469" s="291"/>
      <c r="U469" s="291"/>
      <c r="V469" s="291"/>
      <c r="W469" s="206"/>
      <c r="X469" s="161"/>
      <c r="Y469" s="291"/>
      <c r="Z469" s="292"/>
      <c r="AA469" s="291"/>
      <c r="AB469" s="206"/>
      <c r="AC469" s="93"/>
      <c r="AD469" s="93"/>
      <c r="AE469" s="93"/>
      <c r="AF469" s="93"/>
      <c r="AG469" s="114"/>
      <c r="AH469" s="51"/>
      <c r="AI469" s="51"/>
      <c r="AJ469" s="292"/>
      <c r="AK469" s="206"/>
      <c r="AL469" s="293"/>
      <c r="AM469" s="161"/>
      <c r="AN469" s="161"/>
      <c r="AO469" s="291"/>
      <c r="AP469" s="206"/>
      <c r="AQ469" s="92"/>
      <c r="AR469" s="51"/>
      <c r="AS469" s="51"/>
      <c r="AT469" s="51"/>
      <c r="AU469" s="51"/>
      <c r="AV469" s="82"/>
      <c r="AW469" s="93"/>
      <c r="AX469" s="93"/>
      <c r="AY469" s="93"/>
      <c r="AZ469" s="51"/>
      <c r="BA469" s="293"/>
      <c r="BB469" s="292"/>
      <c r="BC469" s="206"/>
      <c r="BD469" s="292"/>
      <c r="BE469" s="292"/>
      <c r="BF469" s="206"/>
      <c r="BG469" s="206"/>
      <c r="BH469" s="292"/>
      <c r="BI469" s="51"/>
      <c r="BJ469" s="51"/>
      <c r="BK469" s="51"/>
      <c r="BL469" s="82"/>
      <c r="BM469" s="699"/>
      <c r="BN469" s="93"/>
      <c r="BO469" s="297"/>
      <c r="BP469" s="297"/>
      <c r="BQ469" s="291"/>
      <c r="BR469" s="291"/>
      <c r="BS469" s="206"/>
      <c r="BT469" s="291"/>
      <c r="BU469" s="161"/>
      <c r="BV469" s="291"/>
      <c r="BW469" s="206"/>
      <c r="BX469" s="290"/>
      <c r="BY469" s="290"/>
      <c r="BZ469" s="294"/>
      <c r="CA469" s="93"/>
      <c r="CB469" s="79"/>
      <c r="CC469" s="699"/>
      <c r="CD469" s="93"/>
      <c r="CE469" s="93"/>
      <c r="CF469" s="93"/>
      <c r="CG469" s="206"/>
      <c r="CH469" s="206"/>
      <c r="CI469" s="291"/>
      <c r="CJ469" s="206"/>
      <c r="CK469" s="291"/>
      <c r="CL469" s="293"/>
      <c r="CM469" s="291"/>
      <c r="CN469" s="64"/>
      <c r="CO469" s="93"/>
      <c r="CP469" s="93"/>
      <c r="CQ469" s="93"/>
      <c r="CR469" s="93"/>
      <c r="CS469" s="699"/>
      <c r="CT469" s="93"/>
      <c r="CU469" s="93"/>
      <c r="CV469" s="92"/>
      <c r="CW469" s="206"/>
      <c r="CX469" s="292"/>
      <c r="CY469" s="291"/>
      <c r="CZ469" s="293"/>
      <c r="DA469" s="161"/>
      <c r="DB469" s="206"/>
      <c r="DC469" s="297"/>
      <c r="DD469" s="51"/>
      <c r="DE469" s="51"/>
      <c r="DF469" s="93"/>
      <c r="DG469" s="93"/>
      <c r="DH469" s="79"/>
      <c r="DI469" s="93"/>
      <c r="DJ469" s="93"/>
      <c r="DK469" s="93"/>
      <c r="DL469" s="93"/>
      <c r="DM469" s="291"/>
      <c r="DN469" s="161"/>
      <c r="DO469" s="206"/>
      <c r="DP469" s="291"/>
      <c r="DQ469" s="291"/>
      <c r="DR469" s="206"/>
      <c r="DS469" s="291"/>
      <c r="DT469" s="293"/>
      <c r="DU469" s="93"/>
      <c r="DV469" s="93"/>
      <c r="DW469" s="93"/>
      <c r="DX469" s="79"/>
    </row>
    <row r="470" spans="1:128">
      <c r="A470" s="51"/>
      <c r="B470" s="290"/>
      <c r="C470" s="206"/>
      <c r="D470" s="54"/>
      <c r="E470" s="199"/>
      <c r="F470" s="297"/>
      <c r="G470" s="297"/>
      <c r="H470" s="297"/>
      <c r="I470" s="297"/>
      <c r="J470" s="297"/>
      <c r="K470" s="297"/>
      <c r="L470" s="297"/>
      <c r="M470" s="297"/>
      <c r="N470" s="297"/>
      <c r="O470" s="51"/>
      <c r="P470" s="113"/>
      <c r="Q470" s="699"/>
      <c r="R470" s="93"/>
      <c r="S470" s="93"/>
      <c r="T470" s="290"/>
      <c r="U470" s="206"/>
      <c r="V470" s="291"/>
      <c r="W470" s="297"/>
      <c r="X470" s="297"/>
      <c r="Y470" s="297"/>
      <c r="Z470" s="297"/>
      <c r="AA470" s="293"/>
      <c r="AB470" s="52"/>
      <c r="AC470" s="93"/>
      <c r="AD470" s="93"/>
      <c r="AE470" s="93"/>
      <c r="AF470" s="93"/>
      <c r="AG470" s="114"/>
      <c r="AH470" s="51"/>
      <c r="AI470" s="51"/>
      <c r="AJ470" s="199"/>
      <c r="AK470" s="297"/>
      <c r="AL470" s="206"/>
      <c r="AM470" s="291"/>
      <c r="AN470" s="206"/>
      <c r="AO470" s="206"/>
      <c r="AP470" s="51"/>
      <c r="AQ470" s="92"/>
      <c r="AR470" s="51"/>
      <c r="AS470" s="51"/>
      <c r="AT470" s="51"/>
      <c r="AU470" s="51"/>
      <c r="AV470" s="82"/>
      <c r="AW470" s="93"/>
      <c r="AX470" s="93"/>
      <c r="AY470" s="293"/>
      <c r="AZ470" s="297"/>
      <c r="BA470" s="292"/>
      <c r="BB470" s="292"/>
      <c r="BC470" s="206"/>
      <c r="BD470" s="292"/>
      <c r="BE470" s="292"/>
      <c r="BF470" s="291"/>
      <c r="BG470" s="206"/>
      <c r="BH470" s="290"/>
      <c r="BI470" s="51"/>
      <c r="BJ470" s="51"/>
      <c r="BK470" s="51"/>
      <c r="BL470" s="113"/>
      <c r="BM470" s="699"/>
      <c r="BN470" s="93"/>
      <c r="BO470" s="160"/>
      <c r="BP470" s="160"/>
      <c r="BQ470" s="161"/>
      <c r="BR470" s="206"/>
      <c r="BS470" s="292"/>
      <c r="BT470" s="291"/>
      <c r="BU470" s="161"/>
      <c r="BV470" s="291"/>
      <c r="BW470" s="206"/>
      <c r="BX470" s="290"/>
      <c r="BY470" s="290"/>
      <c r="BZ470" s="294"/>
      <c r="CA470" s="93"/>
      <c r="CB470" s="79"/>
      <c r="CC470" s="699"/>
      <c r="CD470" s="93"/>
      <c r="CE470" s="93"/>
      <c r="CF470" s="297"/>
      <c r="CG470" s="297"/>
      <c r="CH470" s="206"/>
      <c r="CI470" s="291"/>
      <c r="CJ470" s="291"/>
      <c r="CK470" s="292"/>
      <c r="CL470" s="292"/>
      <c r="CM470" s="290"/>
      <c r="CN470" s="290"/>
      <c r="CO470" s="93"/>
      <c r="CP470" s="93"/>
      <c r="CQ470" s="93"/>
      <c r="CR470" s="93"/>
      <c r="CS470" s="699"/>
      <c r="CT470" s="93"/>
      <c r="CU470" s="93"/>
      <c r="CV470" s="92"/>
      <c r="CW470" s="292"/>
      <c r="CX470" s="206"/>
      <c r="CY470" s="292"/>
      <c r="CZ470" s="161"/>
      <c r="DA470" s="290"/>
      <c r="DB470" s="161"/>
      <c r="DC470" s="161"/>
      <c r="DD470" s="51"/>
      <c r="DE470" s="51"/>
      <c r="DF470" s="93"/>
      <c r="DG470" s="93"/>
      <c r="DH470" s="79"/>
      <c r="DI470" s="93"/>
      <c r="DJ470" s="93"/>
      <c r="DK470" s="93"/>
      <c r="DL470" s="294"/>
      <c r="DM470" s="206"/>
      <c r="DN470" s="161"/>
      <c r="DO470" s="293"/>
      <c r="DP470" s="297"/>
      <c r="DQ470" s="297"/>
      <c r="DR470" s="297"/>
      <c r="DS470" s="297"/>
      <c r="DT470" s="297"/>
      <c r="DU470" s="297"/>
      <c r="DV470" s="93"/>
      <c r="DW470" s="93"/>
      <c r="DX470" s="79"/>
    </row>
    <row r="471" spans="1:128">
      <c r="A471" s="51"/>
      <c r="B471" s="290"/>
      <c r="C471" s="290"/>
      <c r="D471" s="35"/>
      <c r="E471" s="54"/>
      <c r="F471" s="160"/>
      <c r="G471" s="160"/>
      <c r="H471" s="160"/>
      <c r="I471" s="35"/>
      <c r="J471" s="199"/>
      <c r="K471" s="54"/>
      <c r="L471" s="160"/>
      <c r="M471" s="160"/>
      <c r="N471" s="160"/>
      <c r="O471" s="51"/>
      <c r="P471" s="113"/>
      <c r="Q471" s="699"/>
      <c r="R471" s="93"/>
      <c r="S471" s="93"/>
      <c r="T471" s="294"/>
      <c r="U471" s="35"/>
      <c r="V471" s="199"/>
      <c r="W471" s="160"/>
      <c r="X471" s="35"/>
      <c r="Y471" s="64"/>
      <c r="Z471" s="160"/>
      <c r="AA471" s="160"/>
      <c r="AB471" s="52"/>
      <c r="AC471" s="93"/>
      <c r="AD471" s="93"/>
      <c r="AE471" s="93"/>
      <c r="AF471" s="93"/>
      <c r="AG471" s="114"/>
      <c r="AH471" s="51"/>
      <c r="AI471" s="51"/>
      <c r="AJ471" s="54"/>
      <c r="AK471" s="160"/>
      <c r="AL471" s="206"/>
      <c r="AM471" s="206"/>
      <c r="AN471" s="161"/>
      <c r="AO471" s="293"/>
      <c r="AP471" s="51"/>
      <c r="AQ471" s="92"/>
      <c r="AR471" s="51"/>
      <c r="AS471" s="51"/>
      <c r="AT471" s="51"/>
      <c r="AU471" s="51"/>
      <c r="AV471" s="82"/>
      <c r="AW471" s="93"/>
      <c r="AX471" s="93"/>
      <c r="AY471" s="160"/>
      <c r="AZ471" s="160"/>
      <c r="BA471" s="206"/>
      <c r="BB471" s="206"/>
      <c r="BC471" s="206"/>
      <c r="BD471" s="292"/>
      <c r="BE471" s="206"/>
      <c r="BF471" s="206"/>
      <c r="BG471" s="206"/>
      <c r="BH471" s="290"/>
      <c r="BI471" s="51"/>
      <c r="BJ471" s="51"/>
      <c r="BK471" s="51"/>
      <c r="BL471" s="113"/>
      <c r="BM471" s="699"/>
      <c r="BN471" s="93"/>
      <c r="BO471" s="93"/>
      <c r="BP471" s="93"/>
      <c r="BQ471" s="54"/>
      <c r="BR471" s="64"/>
      <c r="BS471" s="206"/>
      <c r="BT471" s="206"/>
      <c r="BU471" s="206"/>
      <c r="BV471" s="206"/>
      <c r="BW471" s="161"/>
      <c r="BX471" s="291"/>
      <c r="BY471" s="290"/>
      <c r="BZ471" s="290"/>
      <c r="CA471" s="93"/>
      <c r="CB471" s="79"/>
      <c r="CC471" s="699"/>
      <c r="CD471" s="93"/>
      <c r="CE471" s="93"/>
      <c r="CF471" s="160"/>
      <c r="CG471" s="160"/>
      <c r="CH471" s="206"/>
      <c r="CI471" s="291"/>
      <c r="CJ471" s="161"/>
      <c r="CK471" s="292"/>
      <c r="CL471" s="292"/>
      <c r="CM471" s="290"/>
      <c r="CN471" s="290"/>
      <c r="CO471" s="290"/>
      <c r="CP471" s="93"/>
      <c r="CQ471" s="93"/>
      <c r="CR471" s="93"/>
      <c r="CS471" s="699"/>
      <c r="CT471" s="93"/>
      <c r="CU471" s="93"/>
      <c r="CV471" s="93"/>
      <c r="CW471" s="93"/>
      <c r="CX471" s="292"/>
      <c r="CY471" s="206"/>
      <c r="CZ471" s="292"/>
      <c r="DA471" s="290"/>
      <c r="DB471" s="290"/>
      <c r="DC471" s="54"/>
      <c r="DD471" s="51"/>
      <c r="DE471" s="51"/>
      <c r="DF471" s="93"/>
      <c r="DG471" s="93"/>
      <c r="DH471" s="79"/>
      <c r="DI471" s="93"/>
      <c r="DJ471" s="93"/>
      <c r="DK471" s="93"/>
      <c r="DL471" s="290"/>
      <c r="DM471" s="290"/>
      <c r="DN471" s="54"/>
      <c r="DO471" s="35"/>
      <c r="DP471" s="160"/>
      <c r="DQ471" s="293"/>
      <c r="DR471" s="199"/>
      <c r="DS471" s="160"/>
      <c r="DT471" s="160"/>
      <c r="DU471" s="160"/>
      <c r="DV471" s="93"/>
      <c r="DW471" s="93"/>
      <c r="DX471" s="79"/>
    </row>
    <row r="472" spans="1:128">
      <c r="A472" s="51"/>
      <c r="B472" s="290"/>
      <c r="C472" s="290"/>
      <c r="D472" s="35"/>
      <c r="E472" s="199"/>
      <c r="F472" s="206"/>
      <c r="G472" s="292"/>
      <c r="H472" s="292"/>
      <c r="I472" s="54"/>
      <c r="J472" s="54"/>
      <c r="K472" s="199"/>
      <c r="L472" s="92"/>
      <c r="M472" s="92"/>
      <c r="N472" s="92"/>
      <c r="O472" s="51"/>
      <c r="P472" s="113"/>
      <c r="Q472" s="699"/>
      <c r="R472" s="93"/>
      <c r="S472" s="93"/>
      <c r="T472" s="294"/>
      <c r="U472" s="54"/>
      <c r="V472" s="54"/>
      <c r="W472" s="206"/>
      <c r="X472" s="206"/>
      <c r="Y472" s="54"/>
      <c r="Z472" s="292"/>
      <c r="AA472" s="93"/>
      <c r="AB472" s="52"/>
      <c r="AC472" s="52"/>
      <c r="AD472" s="52"/>
      <c r="AE472" s="93"/>
      <c r="AF472" s="93"/>
      <c r="AG472" s="114"/>
      <c r="AH472" s="51"/>
      <c r="AI472" s="51"/>
      <c r="AJ472" s="51"/>
      <c r="AK472" s="54"/>
      <c r="AL472" s="294"/>
      <c r="AM472" s="206"/>
      <c r="AN472" s="206"/>
      <c r="AO472" s="206"/>
      <c r="AP472" s="51"/>
      <c r="AQ472" s="51"/>
      <c r="AR472" s="51"/>
      <c r="AS472" s="51"/>
      <c r="AT472" s="51"/>
      <c r="AU472" s="51"/>
      <c r="AV472" s="82"/>
      <c r="AW472" s="93"/>
      <c r="AX472" s="93"/>
      <c r="AY472" s="93"/>
      <c r="AZ472" s="51"/>
      <c r="BA472" s="92"/>
      <c r="BB472" s="54"/>
      <c r="BC472" s="292"/>
      <c r="BD472" s="292"/>
      <c r="BE472" s="292"/>
      <c r="BF472" s="292"/>
      <c r="BG472" s="292"/>
      <c r="BH472" s="290"/>
      <c r="BI472" s="51"/>
      <c r="BJ472" s="51"/>
      <c r="BK472" s="51"/>
      <c r="BL472" s="113"/>
      <c r="BM472" s="699"/>
      <c r="BN472" s="93"/>
      <c r="BO472" s="93"/>
      <c r="BP472" s="93"/>
      <c r="BQ472" s="93"/>
      <c r="BR472" s="93"/>
      <c r="BS472" s="292"/>
      <c r="BT472" s="292"/>
      <c r="BU472" s="292"/>
      <c r="BV472" s="292"/>
      <c r="BW472" s="291"/>
      <c r="BX472" s="93"/>
      <c r="BY472" s="93"/>
      <c r="BZ472" s="93"/>
      <c r="CA472" s="93"/>
      <c r="CB472" s="79"/>
      <c r="CC472" s="699"/>
      <c r="CD472" s="93"/>
      <c r="CE472" s="93"/>
      <c r="CF472" s="93"/>
      <c r="CG472" s="92"/>
      <c r="CH472" s="206"/>
      <c r="CI472" s="206"/>
      <c r="CJ472" s="206"/>
      <c r="CK472" s="292"/>
      <c r="CL472" s="291"/>
      <c r="CM472" s="290"/>
      <c r="CN472" s="290"/>
      <c r="CO472" s="294"/>
      <c r="CP472" s="93"/>
      <c r="CQ472" s="93"/>
      <c r="CR472" s="93"/>
      <c r="CS472" s="699"/>
      <c r="CT472" s="93"/>
      <c r="CU472" s="93"/>
      <c r="CV472" s="93"/>
      <c r="CW472" s="93"/>
      <c r="CX472" s="93"/>
      <c r="CY472" s="206"/>
      <c r="CZ472" s="206"/>
      <c r="DA472" s="294"/>
      <c r="DB472" s="290"/>
      <c r="DC472" s="64"/>
      <c r="DD472" s="51"/>
      <c r="DE472" s="51"/>
      <c r="DF472" s="93"/>
      <c r="DG472" s="93"/>
      <c r="DH472" s="79"/>
      <c r="DI472" s="93"/>
      <c r="DJ472" s="93"/>
      <c r="DK472" s="93"/>
      <c r="DL472" s="290"/>
      <c r="DM472" s="290"/>
      <c r="DN472" s="93"/>
      <c r="DO472" s="54"/>
      <c r="DP472" s="199"/>
      <c r="DQ472" s="291"/>
      <c r="DR472" s="54"/>
      <c r="DS472" s="64"/>
      <c r="DT472" s="93"/>
      <c r="DU472" s="93"/>
      <c r="DV472" s="93"/>
      <c r="DW472" s="93"/>
      <c r="DX472" s="79"/>
    </row>
    <row r="473" spans="1:128">
      <c r="A473" s="51"/>
      <c r="B473" s="290"/>
      <c r="C473" s="51"/>
      <c r="D473" s="51"/>
      <c r="E473" s="92"/>
      <c r="F473" s="206"/>
      <c r="G473" s="292"/>
      <c r="H473" s="51"/>
      <c r="I473" s="206"/>
      <c r="J473" s="291"/>
      <c r="K473" s="291"/>
      <c r="L473" s="92"/>
      <c r="M473" s="92"/>
      <c r="N473" s="92"/>
      <c r="O473" s="51"/>
      <c r="P473" s="113"/>
      <c r="Q473" s="699"/>
      <c r="R473" s="93"/>
      <c r="S473" s="93"/>
      <c r="T473" s="93"/>
      <c r="U473" s="93"/>
      <c r="V473" s="205"/>
      <c r="W473" s="206"/>
      <c r="X473" s="161"/>
      <c r="Y473" s="161"/>
      <c r="Z473" s="291"/>
      <c r="AA473" s="93"/>
      <c r="AB473" s="52"/>
      <c r="AC473" s="52"/>
      <c r="AD473" s="52"/>
      <c r="AE473" s="93"/>
      <c r="AF473" s="93"/>
      <c r="AG473" s="114"/>
      <c r="AH473" s="51"/>
      <c r="AI473" s="51"/>
      <c r="AJ473" s="51"/>
      <c r="AK473" s="51"/>
      <c r="AL473" s="92"/>
      <c r="AM473" s="161"/>
      <c r="AN473" s="161"/>
      <c r="AO473" s="206"/>
      <c r="AP473" s="51"/>
      <c r="AQ473" s="51"/>
      <c r="AR473" s="51"/>
      <c r="AS473" s="51"/>
      <c r="AT473" s="51"/>
      <c r="AU473" s="51"/>
      <c r="AV473" s="82"/>
      <c r="AW473" s="93"/>
      <c r="AX473" s="93"/>
      <c r="AY473" s="93"/>
      <c r="AZ473" s="51"/>
      <c r="BA473" s="51"/>
      <c r="BB473" s="51"/>
      <c r="BC473" s="291"/>
      <c r="BD473" s="206"/>
      <c r="BE473" s="292"/>
      <c r="BF473" s="292"/>
      <c r="BG473" s="291"/>
      <c r="BH473" s="92"/>
      <c r="BI473" s="51"/>
      <c r="BJ473" s="51"/>
      <c r="BK473" s="51"/>
      <c r="BL473" s="113"/>
      <c r="BM473" s="699"/>
      <c r="BN473" s="93"/>
      <c r="BO473" s="93"/>
      <c r="BP473" s="93"/>
      <c r="BQ473" s="93"/>
      <c r="BR473" s="93"/>
      <c r="BS473" s="291"/>
      <c r="BT473" s="292"/>
      <c r="BU473" s="206"/>
      <c r="BV473" s="292"/>
      <c r="BW473" s="291"/>
      <c r="BX473" s="51"/>
      <c r="BY473" s="51"/>
      <c r="BZ473" s="93"/>
      <c r="CA473" s="93"/>
      <c r="CB473" s="79"/>
      <c r="CC473" s="699"/>
      <c r="CD473" s="93"/>
      <c r="CE473" s="93"/>
      <c r="CF473" s="92"/>
      <c r="CG473" s="92"/>
      <c r="CH473" s="206"/>
      <c r="CI473" s="292"/>
      <c r="CJ473" s="206"/>
      <c r="CK473" s="292"/>
      <c r="CL473" s="291"/>
      <c r="CM473" s="51"/>
      <c r="CN473" s="290"/>
      <c r="CO473" s="290"/>
      <c r="CP473" s="93"/>
      <c r="CQ473" s="93"/>
      <c r="CR473" s="93"/>
      <c r="CS473" s="699"/>
      <c r="CT473" s="93"/>
      <c r="CU473" s="93"/>
      <c r="CV473" s="93"/>
      <c r="CW473" s="93"/>
      <c r="CX473" s="51"/>
      <c r="CY473" s="205"/>
      <c r="CZ473" s="292"/>
      <c r="DA473" s="290"/>
      <c r="DB473" s="290"/>
      <c r="DC473" s="51"/>
      <c r="DD473" s="51"/>
      <c r="DE473" s="51"/>
      <c r="DF473" s="93"/>
      <c r="DG473" s="93"/>
      <c r="DH473" s="79"/>
      <c r="DI473" s="93"/>
      <c r="DJ473" s="93"/>
      <c r="DK473" s="93"/>
      <c r="DL473" s="51"/>
      <c r="DM473" s="93"/>
      <c r="DN473" s="93"/>
      <c r="DO473" s="93"/>
      <c r="DP473" s="161"/>
      <c r="DQ473" s="291"/>
      <c r="DR473" s="291"/>
      <c r="DS473" s="92"/>
      <c r="DT473" s="93"/>
      <c r="DU473" s="93"/>
      <c r="DV473" s="93"/>
      <c r="DW473" s="93"/>
      <c r="DX473" s="79"/>
    </row>
    <row r="474" spans="1:128">
      <c r="A474" s="51"/>
      <c r="B474" s="51"/>
      <c r="C474" s="92"/>
      <c r="D474" s="51"/>
      <c r="E474" s="52"/>
      <c r="F474" s="291"/>
      <c r="G474" s="292"/>
      <c r="H474" s="51"/>
      <c r="I474" s="206"/>
      <c r="J474" s="292"/>
      <c r="K474" s="161"/>
      <c r="L474" s="92"/>
      <c r="M474" s="92"/>
      <c r="N474" s="92"/>
      <c r="O474" s="92"/>
      <c r="P474" s="82"/>
      <c r="Q474" s="699"/>
      <c r="R474" s="93"/>
      <c r="S474" s="93"/>
      <c r="T474" s="93"/>
      <c r="U474" s="51"/>
      <c r="V474" s="206"/>
      <c r="W474" s="161"/>
      <c r="X474" s="291"/>
      <c r="Y474" s="206"/>
      <c r="Z474" s="93"/>
      <c r="AA474" s="93"/>
      <c r="AB474" s="52"/>
      <c r="AC474" s="52"/>
      <c r="AD474" s="52"/>
      <c r="AE474" s="93"/>
      <c r="AF474" s="93"/>
      <c r="AG474" s="114"/>
      <c r="AH474" s="51"/>
      <c r="AI474" s="51"/>
      <c r="AJ474" s="51"/>
      <c r="AK474" s="92"/>
      <c r="AL474" s="293"/>
      <c r="AM474" s="161"/>
      <c r="AN474" s="206"/>
      <c r="AO474" s="292"/>
      <c r="AP474" s="51"/>
      <c r="AQ474" s="51"/>
      <c r="AR474" s="51"/>
      <c r="AS474" s="51"/>
      <c r="AT474" s="51"/>
      <c r="AU474" s="51"/>
      <c r="AV474" s="82"/>
      <c r="AW474" s="93"/>
      <c r="AX474" s="93"/>
      <c r="AY474" s="93"/>
      <c r="AZ474" s="51"/>
      <c r="BA474" s="51"/>
      <c r="BB474" s="51"/>
      <c r="BC474" s="161"/>
      <c r="BD474" s="291"/>
      <c r="BE474" s="206"/>
      <c r="BF474" s="291"/>
      <c r="BG474" s="206"/>
      <c r="BH474" s="92"/>
      <c r="BI474" s="92"/>
      <c r="BJ474" s="51"/>
      <c r="BK474" s="51"/>
      <c r="BL474" s="82"/>
      <c r="BM474" s="699"/>
      <c r="BN474" s="93"/>
      <c r="BO474" s="93"/>
      <c r="BP474" s="93"/>
      <c r="BQ474" s="93"/>
      <c r="BR474" s="93"/>
      <c r="BS474" s="291"/>
      <c r="BT474" s="206"/>
      <c r="BU474" s="51"/>
      <c r="BV474" s="292"/>
      <c r="BW474" s="206"/>
      <c r="BX474" s="52"/>
      <c r="BY474" s="51"/>
      <c r="BZ474" s="92"/>
      <c r="CA474" s="93"/>
      <c r="CB474" s="79"/>
      <c r="CC474" s="699"/>
      <c r="CD474" s="93"/>
      <c r="CE474" s="93"/>
      <c r="CF474" s="92"/>
      <c r="CG474" s="92"/>
      <c r="CH474" s="92"/>
      <c r="CI474" s="205"/>
      <c r="CJ474" s="206"/>
      <c r="CK474" s="292"/>
      <c r="CL474" s="161"/>
      <c r="CM474" s="51"/>
      <c r="CN474" s="51"/>
      <c r="CO474" s="290"/>
      <c r="CP474" s="93"/>
      <c r="CQ474" s="93"/>
      <c r="CR474" s="93"/>
      <c r="CS474" s="699"/>
      <c r="CT474" s="93"/>
      <c r="CU474" s="93"/>
      <c r="CV474" s="93"/>
      <c r="CW474" s="93"/>
      <c r="CX474" s="292"/>
      <c r="CY474" s="292"/>
      <c r="CZ474" s="161"/>
      <c r="DA474" s="291"/>
      <c r="DB474" s="293"/>
      <c r="DC474" s="51"/>
      <c r="DD474" s="51"/>
      <c r="DE474" s="51"/>
      <c r="DF474" s="93"/>
      <c r="DG474" s="93"/>
      <c r="DH474" s="79"/>
      <c r="DI474" s="93"/>
      <c r="DJ474" s="93"/>
      <c r="DK474" s="93"/>
      <c r="DL474" s="51"/>
      <c r="DM474" s="93"/>
      <c r="DN474" s="93"/>
      <c r="DO474" s="291"/>
      <c r="DP474" s="161"/>
      <c r="DQ474" s="206"/>
      <c r="DR474" s="161"/>
      <c r="DS474" s="51"/>
      <c r="DT474" s="93"/>
      <c r="DU474" s="93"/>
      <c r="DV474" s="93"/>
      <c r="DW474" s="93"/>
      <c r="DX474" s="79"/>
    </row>
    <row r="475" spans="1:128">
      <c r="A475" s="51"/>
      <c r="B475" s="51"/>
      <c r="C475" s="51"/>
      <c r="D475" s="51"/>
      <c r="E475" s="92"/>
      <c r="F475" s="161"/>
      <c r="G475" s="291"/>
      <c r="H475" s="51"/>
      <c r="I475" s="51"/>
      <c r="J475" s="291"/>
      <c r="K475" s="291"/>
      <c r="L475" s="92"/>
      <c r="M475" s="92"/>
      <c r="N475" s="51"/>
      <c r="O475" s="51"/>
      <c r="P475" s="82"/>
      <c r="Q475" s="699"/>
      <c r="R475" s="93"/>
      <c r="S475" s="92"/>
      <c r="T475" s="93"/>
      <c r="U475" s="93"/>
      <c r="V475" s="161"/>
      <c r="W475" s="291"/>
      <c r="X475" s="291"/>
      <c r="Y475" s="206"/>
      <c r="Z475" s="93"/>
      <c r="AA475" s="93"/>
      <c r="AB475" s="52"/>
      <c r="AC475" s="52"/>
      <c r="AD475" s="52"/>
      <c r="AE475" s="93"/>
      <c r="AF475" s="93"/>
      <c r="AG475" s="114"/>
      <c r="AH475" s="51"/>
      <c r="AI475" s="51"/>
      <c r="AJ475" s="51"/>
      <c r="AK475" s="51"/>
      <c r="AL475" s="161"/>
      <c r="AM475" s="206"/>
      <c r="AN475" s="205"/>
      <c r="AO475" s="292"/>
      <c r="AP475" s="206"/>
      <c r="AQ475" s="51"/>
      <c r="AR475" s="51"/>
      <c r="AS475" s="51"/>
      <c r="AT475" s="51"/>
      <c r="AU475" s="51"/>
      <c r="AV475" s="82"/>
      <c r="AW475" s="93"/>
      <c r="AX475" s="93"/>
      <c r="AY475" s="93"/>
      <c r="AZ475" s="51"/>
      <c r="BA475" s="51"/>
      <c r="BB475" s="161"/>
      <c r="BC475" s="161"/>
      <c r="BD475" s="206"/>
      <c r="BE475" s="161"/>
      <c r="BF475" s="206"/>
      <c r="BG475" s="206"/>
      <c r="BH475" s="92"/>
      <c r="BI475" s="92"/>
      <c r="BJ475" s="92"/>
      <c r="BK475" s="92"/>
      <c r="BL475" s="82"/>
      <c r="BM475" s="699"/>
      <c r="BN475" s="93"/>
      <c r="BO475" s="93"/>
      <c r="BP475" s="93"/>
      <c r="BQ475" s="93"/>
      <c r="BR475" s="161"/>
      <c r="BS475" s="291"/>
      <c r="BT475" s="206"/>
      <c r="BU475" s="51"/>
      <c r="BV475" s="291"/>
      <c r="BW475" s="206"/>
      <c r="BX475" s="92"/>
      <c r="BY475" s="51"/>
      <c r="BZ475" s="51"/>
      <c r="CA475" s="93"/>
      <c r="CB475" s="79"/>
      <c r="CC475" s="699"/>
      <c r="CD475" s="93"/>
      <c r="CE475" s="93"/>
      <c r="CF475" s="92"/>
      <c r="CG475" s="92"/>
      <c r="CH475" s="92"/>
      <c r="CI475" s="205"/>
      <c r="CJ475" s="206"/>
      <c r="CK475" s="292"/>
      <c r="CL475" s="161"/>
      <c r="CM475" s="51"/>
      <c r="CN475" s="51"/>
      <c r="CO475" s="93"/>
      <c r="CP475" s="93"/>
      <c r="CQ475" s="93"/>
      <c r="CR475" s="93"/>
      <c r="CS475" s="699"/>
      <c r="CT475" s="93"/>
      <c r="CU475" s="93"/>
      <c r="CV475" s="92"/>
      <c r="CW475" s="51"/>
      <c r="CX475" s="292"/>
      <c r="CY475" s="292"/>
      <c r="CZ475" s="51"/>
      <c r="DA475" s="205"/>
      <c r="DB475" s="161"/>
      <c r="DC475" s="161"/>
      <c r="DD475" s="51"/>
      <c r="DE475" s="51"/>
      <c r="DF475" s="93"/>
      <c r="DG475" s="93"/>
      <c r="DH475" s="79"/>
      <c r="DI475" s="93"/>
      <c r="DJ475" s="93"/>
      <c r="DK475" s="93"/>
      <c r="DL475" s="51"/>
      <c r="DM475" s="93"/>
      <c r="DN475" s="93"/>
      <c r="DO475" s="291"/>
      <c r="DP475" s="291"/>
      <c r="DQ475" s="206"/>
      <c r="DR475" s="161"/>
      <c r="DS475" s="161"/>
      <c r="DT475" s="92"/>
      <c r="DU475" s="93"/>
      <c r="DV475" s="93"/>
      <c r="DW475" s="93"/>
      <c r="DX475" s="79"/>
    </row>
    <row r="476" spans="1:128">
      <c r="A476" s="51"/>
      <c r="B476" s="51"/>
      <c r="C476" s="92"/>
      <c r="D476" s="51"/>
      <c r="E476" s="52"/>
      <c r="F476" s="161"/>
      <c r="G476" s="291"/>
      <c r="H476" s="51"/>
      <c r="I476" s="51"/>
      <c r="J476" s="161"/>
      <c r="K476" s="291"/>
      <c r="L476" s="51"/>
      <c r="M476" s="92"/>
      <c r="N476" s="51"/>
      <c r="O476" s="51"/>
      <c r="P476" s="82"/>
      <c r="Q476" s="699"/>
      <c r="R476" s="93"/>
      <c r="S476" s="93"/>
      <c r="T476" s="93"/>
      <c r="U476" s="161"/>
      <c r="V476" s="291"/>
      <c r="W476" s="291"/>
      <c r="X476" s="206"/>
      <c r="Y476" s="206"/>
      <c r="Z476" s="93"/>
      <c r="AA476" s="52"/>
      <c r="AB476" s="52"/>
      <c r="AC476" s="93"/>
      <c r="AD476" s="93"/>
      <c r="AE476" s="93"/>
      <c r="AF476" s="93"/>
      <c r="AG476" s="114"/>
      <c r="AH476" s="51"/>
      <c r="AI476" s="51"/>
      <c r="AJ476" s="51"/>
      <c r="AK476" s="51"/>
      <c r="AL476" s="291"/>
      <c r="AM476" s="292"/>
      <c r="AN476" s="92"/>
      <c r="AO476" s="291"/>
      <c r="AP476" s="206"/>
      <c r="AQ476" s="51"/>
      <c r="AR476" s="92"/>
      <c r="AS476" s="51"/>
      <c r="AT476" s="51"/>
      <c r="AU476" s="51"/>
      <c r="AV476" s="82"/>
      <c r="AW476" s="93"/>
      <c r="AX476" s="93"/>
      <c r="AY476" s="93"/>
      <c r="AZ476" s="92"/>
      <c r="BA476" s="51"/>
      <c r="BB476" s="161"/>
      <c r="BC476" s="291"/>
      <c r="BD476" s="206"/>
      <c r="BE476" s="51"/>
      <c r="BF476" s="291"/>
      <c r="BG476" s="206"/>
      <c r="BH476" s="92"/>
      <c r="BI476" s="92"/>
      <c r="BJ476" s="51"/>
      <c r="BK476" s="51"/>
      <c r="BL476" s="82"/>
      <c r="BM476" s="699"/>
      <c r="BN476" s="93"/>
      <c r="BO476" s="93"/>
      <c r="BP476" s="93"/>
      <c r="BQ476" s="51"/>
      <c r="BR476" s="161"/>
      <c r="BS476" s="292"/>
      <c r="BT476" s="51"/>
      <c r="BU476" s="51"/>
      <c r="BV476" s="291"/>
      <c r="BW476" s="206"/>
      <c r="BX476" s="52"/>
      <c r="BY476" s="51"/>
      <c r="BZ476" s="92"/>
      <c r="CA476" s="93"/>
      <c r="CB476" s="79"/>
      <c r="CC476" s="699"/>
      <c r="CD476" s="93"/>
      <c r="CE476" s="51"/>
      <c r="CF476" s="51"/>
      <c r="CG476" s="92"/>
      <c r="CH476" s="92"/>
      <c r="CI476" s="92"/>
      <c r="CJ476" s="206"/>
      <c r="CK476" s="292"/>
      <c r="CL476" s="206"/>
      <c r="CM476" s="206"/>
      <c r="CN476" s="51"/>
      <c r="CO476" s="93"/>
      <c r="CP476" s="93"/>
      <c r="CQ476" s="93"/>
      <c r="CR476" s="93"/>
      <c r="CS476" s="699"/>
      <c r="CT476" s="93"/>
      <c r="CU476" s="93"/>
      <c r="CV476" s="92"/>
      <c r="CW476" s="51"/>
      <c r="CX476" s="292"/>
      <c r="CY476" s="161"/>
      <c r="CZ476" s="92"/>
      <c r="DA476" s="51"/>
      <c r="DB476" s="205"/>
      <c r="DC476" s="161"/>
      <c r="DD476" s="51"/>
      <c r="DE476" s="51"/>
      <c r="DF476" s="93"/>
      <c r="DG476" s="93"/>
      <c r="DH476" s="79"/>
      <c r="DI476" s="93"/>
      <c r="DJ476" s="93"/>
      <c r="DK476" s="93"/>
      <c r="DL476" s="51"/>
      <c r="DM476" s="52"/>
      <c r="DN476" s="93"/>
      <c r="DO476" s="291"/>
      <c r="DP476" s="161"/>
      <c r="DQ476" s="93"/>
      <c r="DR476" s="206"/>
      <c r="DS476" s="161"/>
      <c r="DT476" s="92"/>
      <c r="DU476" s="93"/>
      <c r="DV476" s="93"/>
      <c r="DW476" s="93"/>
      <c r="DX476" s="79"/>
    </row>
    <row r="477" spans="1:128">
      <c r="A477" s="51"/>
      <c r="B477" s="51"/>
      <c r="C477" s="51"/>
      <c r="D477" s="52"/>
      <c r="E477" s="52"/>
      <c r="F477" s="161"/>
      <c r="G477" s="291"/>
      <c r="H477" s="51"/>
      <c r="I477" s="51"/>
      <c r="J477" s="206"/>
      <c r="K477" s="291"/>
      <c r="L477" s="51"/>
      <c r="M477" s="51"/>
      <c r="N477" s="51"/>
      <c r="O477" s="51"/>
      <c r="P477" s="82"/>
      <c r="Q477" s="699"/>
      <c r="R477" s="93"/>
      <c r="S477" s="160"/>
      <c r="T477" s="160"/>
      <c r="U477" s="292"/>
      <c r="V477" s="291"/>
      <c r="W477" s="93"/>
      <c r="X477" s="292"/>
      <c r="Y477" s="292"/>
      <c r="Z477" s="93"/>
      <c r="AA477" s="52"/>
      <c r="AB477" s="52"/>
      <c r="AC477" s="93"/>
      <c r="AD477" s="93"/>
      <c r="AE477" s="93"/>
      <c r="AF477" s="93"/>
      <c r="AG477" s="114"/>
      <c r="AH477" s="51"/>
      <c r="AI477" s="293"/>
      <c r="AJ477" s="51"/>
      <c r="AK477" s="161"/>
      <c r="AL477" s="291"/>
      <c r="AM477" s="292"/>
      <c r="AN477" s="92"/>
      <c r="AO477" s="291"/>
      <c r="AP477" s="206"/>
      <c r="AQ477" s="51"/>
      <c r="AR477" s="92"/>
      <c r="AS477" s="51"/>
      <c r="AT477" s="51"/>
      <c r="AU477" s="51"/>
      <c r="AV477" s="82"/>
      <c r="AW477" s="93"/>
      <c r="AX477" s="93"/>
      <c r="AY477" s="93"/>
      <c r="AZ477" s="51"/>
      <c r="BA477" s="52"/>
      <c r="BB477" s="161"/>
      <c r="BC477" s="206"/>
      <c r="BD477" s="51"/>
      <c r="BE477" s="51"/>
      <c r="BF477" s="292"/>
      <c r="BG477" s="206"/>
      <c r="BH477" s="92"/>
      <c r="BI477" s="51"/>
      <c r="BJ477" s="51"/>
      <c r="BK477" s="51"/>
      <c r="BL477" s="82"/>
      <c r="BM477" s="699"/>
      <c r="BN477" s="93"/>
      <c r="BO477" s="93"/>
      <c r="BP477" s="93"/>
      <c r="BQ477" s="51"/>
      <c r="BR477" s="291"/>
      <c r="BS477" s="206"/>
      <c r="BT477" s="51"/>
      <c r="BU477" s="51"/>
      <c r="BV477" s="291"/>
      <c r="BW477" s="206"/>
      <c r="BX477" s="52"/>
      <c r="BY477" s="52"/>
      <c r="BZ477" s="51"/>
      <c r="CA477" s="93"/>
      <c r="CB477" s="79"/>
      <c r="CC477" s="699"/>
      <c r="CD477" s="93"/>
      <c r="CE477" s="51"/>
      <c r="CF477" s="51"/>
      <c r="CG477" s="51"/>
      <c r="CH477" s="92"/>
      <c r="CI477" s="92"/>
      <c r="CJ477" s="206"/>
      <c r="CK477" s="292"/>
      <c r="CL477" s="206"/>
      <c r="CM477" s="160"/>
      <c r="CN477" s="52"/>
      <c r="CO477" s="93"/>
      <c r="CP477" s="93"/>
      <c r="CQ477" s="93"/>
      <c r="CR477" s="93"/>
      <c r="CS477" s="699"/>
      <c r="CT477" s="93"/>
      <c r="CU477" s="93"/>
      <c r="CV477" s="92"/>
      <c r="CW477" s="51"/>
      <c r="CX477" s="292"/>
      <c r="CY477" s="161"/>
      <c r="CZ477" s="92"/>
      <c r="DA477" s="51"/>
      <c r="DB477" s="205"/>
      <c r="DC477" s="161"/>
      <c r="DD477" s="51"/>
      <c r="DE477" s="161"/>
      <c r="DF477" s="93"/>
      <c r="DG477" s="93"/>
      <c r="DH477" s="79"/>
      <c r="DI477" s="93"/>
      <c r="DJ477" s="93"/>
      <c r="DK477" s="93"/>
      <c r="DL477" s="52"/>
      <c r="DM477" s="52"/>
      <c r="DN477" s="292"/>
      <c r="DO477" s="291"/>
      <c r="DP477" s="291"/>
      <c r="DQ477" s="51"/>
      <c r="DR477" s="206"/>
      <c r="DS477" s="161"/>
      <c r="DT477" s="51"/>
      <c r="DU477" s="93"/>
      <c r="DV477" s="93"/>
      <c r="DW477" s="93"/>
      <c r="DX477" s="79"/>
    </row>
    <row r="478" spans="1:128">
      <c r="A478" s="51"/>
      <c r="B478" s="51"/>
      <c r="C478" s="51"/>
      <c r="D478" s="52"/>
      <c r="E478" s="51"/>
      <c r="F478" s="161"/>
      <c r="G478" s="291"/>
      <c r="H478" s="52"/>
      <c r="I478" s="51"/>
      <c r="J478" s="206"/>
      <c r="K478" s="291"/>
      <c r="L478" s="297"/>
      <c r="M478" s="51"/>
      <c r="N478" s="51"/>
      <c r="O478" s="51"/>
      <c r="P478" s="82"/>
      <c r="Q478" s="699"/>
      <c r="R478" s="93"/>
      <c r="S478" s="93"/>
      <c r="T478" s="160"/>
      <c r="U478" s="160"/>
      <c r="V478" s="93"/>
      <c r="W478" s="93"/>
      <c r="X478" s="292"/>
      <c r="Y478" s="160"/>
      <c r="Z478" s="160"/>
      <c r="AA478" s="52"/>
      <c r="AB478" s="52"/>
      <c r="AC478" s="93"/>
      <c r="AD478" s="93"/>
      <c r="AE478" s="93"/>
      <c r="AF478" s="93"/>
      <c r="AG478" s="114"/>
      <c r="AH478" s="51"/>
      <c r="AI478" s="160"/>
      <c r="AJ478" s="160"/>
      <c r="AK478" s="291"/>
      <c r="AL478" s="206"/>
      <c r="AM478" s="51"/>
      <c r="AN478" s="92"/>
      <c r="AO478" s="291"/>
      <c r="AP478" s="206"/>
      <c r="AQ478" s="51"/>
      <c r="AR478" s="92"/>
      <c r="AS478" s="51"/>
      <c r="AT478" s="51"/>
      <c r="AU478" s="51"/>
      <c r="AV478" s="82"/>
      <c r="AW478" s="93"/>
      <c r="AX478" s="93"/>
      <c r="AY478" s="93"/>
      <c r="AZ478" s="51"/>
      <c r="BA478" s="297"/>
      <c r="BB478" s="291"/>
      <c r="BC478" s="292"/>
      <c r="BD478" s="51"/>
      <c r="BE478" s="51"/>
      <c r="BF478" s="292"/>
      <c r="BG478" s="291"/>
      <c r="BH478" s="206"/>
      <c r="BI478" s="51"/>
      <c r="BJ478" s="51"/>
      <c r="BK478" s="51"/>
      <c r="BL478" s="82"/>
      <c r="BM478" s="699"/>
      <c r="BN478" s="93"/>
      <c r="BO478" s="93"/>
      <c r="BP478" s="93"/>
      <c r="BQ478" s="297"/>
      <c r="BR478" s="291"/>
      <c r="BS478" s="206"/>
      <c r="BT478" s="51"/>
      <c r="BU478" s="52"/>
      <c r="BV478" s="291"/>
      <c r="BW478" s="206"/>
      <c r="BX478" s="51"/>
      <c r="BY478" s="52"/>
      <c r="BZ478" s="51"/>
      <c r="CA478" s="93"/>
      <c r="CB478" s="79"/>
      <c r="CC478" s="699"/>
      <c r="CD478" s="93"/>
      <c r="CE478" s="51"/>
      <c r="CF478" s="51"/>
      <c r="CG478" s="51"/>
      <c r="CH478" s="51"/>
      <c r="CI478" s="206"/>
      <c r="CJ478" s="291"/>
      <c r="CK478" s="291"/>
      <c r="CL478" s="160"/>
      <c r="CM478" s="51"/>
      <c r="CN478" s="51"/>
      <c r="CO478" s="93"/>
      <c r="CP478" s="93"/>
      <c r="CQ478" s="93"/>
      <c r="CR478" s="93"/>
      <c r="CS478" s="699"/>
      <c r="CT478" s="93"/>
      <c r="CU478" s="93"/>
      <c r="CV478" s="92"/>
      <c r="CW478" s="51"/>
      <c r="CX478" s="292"/>
      <c r="CY478" s="161"/>
      <c r="CZ478" s="92"/>
      <c r="DA478" s="51"/>
      <c r="DB478" s="205"/>
      <c r="DC478" s="291"/>
      <c r="DD478" s="160"/>
      <c r="DE478" s="160"/>
      <c r="DF478" s="93"/>
      <c r="DG478" s="93"/>
      <c r="DH478" s="79"/>
      <c r="DI478" s="93"/>
      <c r="DJ478" s="93"/>
      <c r="DK478" s="93"/>
      <c r="DL478" s="52"/>
      <c r="DM478" s="52"/>
      <c r="DN478" s="292"/>
      <c r="DO478" s="291"/>
      <c r="DP478" s="51"/>
      <c r="DQ478" s="51"/>
      <c r="DR478" s="206"/>
      <c r="DS478" s="161"/>
      <c r="DT478" s="51"/>
      <c r="DU478" s="93"/>
      <c r="DV478" s="93"/>
      <c r="DW478" s="93"/>
      <c r="DX478" s="79"/>
    </row>
    <row r="479" spans="1:128">
      <c r="A479" s="51"/>
      <c r="B479" s="51"/>
      <c r="C479" s="51"/>
      <c r="D479" s="52"/>
      <c r="E479" s="51"/>
      <c r="F479" s="291"/>
      <c r="G479" s="43"/>
      <c r="H479" s="51"/>
      <c r="I479" s="51"/>
      <c r="J479" s="160"/>
      <c r="K479" s="160"/>
      <c r="L479" s="291"/>
      <c r="M479" s="51"/>
      <c r="N479" s="51"/>
      <c r="O479" s="51"/>
      <c r="P479" s="82"/>
      <c r="Q479" s="699"/>
      <c r="R479" s="93"/>
      <c r="S479" s="93"/>
      <c r="T479" s="93"/>
      <c r="U479" s="160"/>
      <c r="V479" s="93"/>
      <c r="W479" s="93"/>
      <c r="X479" s="93"/>
      <c r="Y479" s="160"/>
      <c r="Z479" s="160"/>
      <c r="AA479" s="51"/>
      <c r="AB479" s="51"/>
      <c r="AC479" s="93"/>
      <c r="AD479" s="93"/>
      <c r="AE479" s="93"/>
      <c r="AF479" s="93"/>
      <c r="AG479" s="114"/>
      <c r="AH479" s="51"/>
      <c r="AI479" s="51"/>
      <c r="AJ479" s="160"/>
      <c r="AK479" s="160"/>
      <c r="AL479" s="160"/>
      <c r="AM479" s="51"/>
      <c r="AN479" s="293"/>
      <c r="AO479" s="291"/>
      <c r="AP479" s="291"/>
      <c r="AQ479" s="291"/>
      <c r="AR479" s="92"/>
      <c r="AS479" s="51"/>
      <c r="AT479" s="51"/>
      <c r="AU479" s="51"/>
      <c r="AV479" s="82"/>
      <c r="AW479" s="93"/>
      <c r="AX479" s="93"/>
      <c r="AY479" s="93"/>
      <c r="AZ479" s="51"/>
      <c r="BA479" s="291"/>
      <c r="BB479" s="160"/>
      <c r="BC479" s="160"/>
      <c r="BD479" s="51"/>
      <c r="BE479" s="51"/>
      <c r="BF479" s="51"/>
      <c r="BG479" s="292"/>
      <c r="BH479" s="291"/>
      <c r="BI479" s="51"/>
      <c r="BJ479" s="51"/>
      <c r="BK479" s="51"/>
      <c r="BL479" s="82"/>
      <c r="BM479" s="699"/>
      <c r="BN479" s="93"/>
      <c r="BO479" s="93"/>
      <c r="BP479" s="93"/>
      <c r="BQ479" s="291"/>
      <c r="BR479" s="160"/>
      <c r="BS479" s="160"/>
      <c r="BT479" s="51"/>
      <c r="BU479" s="51"/>
      <c r="BV479" s="43"/>
      <c r="BW479" s="291"/>
      <c r="BX479" s="51"/>
      <c r="BY479" s="52"/>
      <c r="BZ479" s="51"/>
      <c r="CA479" s="93"/>
      <c r="CB479" s="79"/>
      <c r="CC479" s="699"/>
      <c r="CD479" s="93"/>
      <c r="CE479" s="51"/>
      <c r="CF479" s="51"/>
      <c r="CG479" s="51"/>
      <c r="CH479" s="51"/>
      <c r="CI479" s="206"/>
      <c r="CJ479" s="292"/>
      <c r="CK479" s="292"/>
      <c r="CL479" s="297"/>
      <c r="CM479" s="51"/>
      <c r="CN479" s="51"/>
      <c r="CO479" s="93"/>
      <c r="CP479" s="93"/>
      <c r="CQ479" s="93"/>
      <c r="CR479" s="93"/>
      <c r="CS479" s="699"/>
      <c r="CT479" s="93"/>
      <c r="CU479" s="93"/>
      <c r="CV479" s="92"/>
      <c r="CW479" s="291"/>
      <c r="CX479" s="291"/>
      <c r="CY479" s="291"/>
      <c r="CZ479" s="293"/>
      <c r="DA479" s="51"/>
      <c r="DB479" s="93"/>
      <c r="DC479" s="160"/>
      <c r="DD479" s="160"/>
      <c r="DE479" s="51"/>
      <c r="DF479" s="93"/>
      <c r="DG479" s="93"/>
      <c r="DH479" s="79"/>
      <c r="DI479" s="93"/>
      <c r="DJ479" s="93"/>
      <c r="DK479" s="93"/>
      <c r="DL479" s="51"/>
      <c r="DM479" s="51"/>
      <c r="DN479" s="291"/>
      <c r="DO479" s="160"/>
      <c r="DP479" s="297"/>
      <c r="DQ479" s="51"/>
      <c r="DR479" s="206"/>
      <c r="DS479" s="291"/>
      <c r="DT479" s="93"/>
      <c r="DU479" s="93"/>
      <c r="DV479" s="93"/>
      <c r="DW479" s="93"/>
      <c r="DX479" s="79"/>
    </row>
    <row r="480" spans="1:128">
      <c r="A480" s="106"/>
      <c r="B480" s="103"/>
      <c r="C480" s="106"/>
      <c r="D480" s="106"/>
      <c r="E480" s="291"/>
      <c r="F480" s="160"/>
      <c r="G480" s="160"/>
      <c r="H480" s="103"/>
      <c r="I480" s="103"/>
      <c r="J480" s="103"/>
      <c r="K480" s="103"/>
      <c r="L480" s="103"/>
      <c r="M480" s="103"/>
      <c r="N480" s="103"/>
      <c r="O480" s="103"/>
      <c r="P480" s="116"/>
      <c r="Q480" s="699"/>
      <c r="R480" s="93"/>
      <c r="S480" s="93"/>
      <c r="T480" s="92"/>
      <c r="U480" s="93"/>
      <c r="V480" s="93"/>
      <c r="W480" s="93"/>
      <c r="X480" s="160"/>
      <c r="Y480" s="160"/>
      <c r="Z480" s="93"/>
      <c r="AA480" s="51"/>
      <c r="AB480" s="51"/>
      <c r="AC480" s="93"/>
      <c r="AD480" s="93"/>
      <c r="AE480" s="93"/>
      <c r="AF480" s="93"/>
      <c r="AG480" s="115"/>
      <c r="AH480" s="106"/>
      <c r="AI480" s="106"/>
      <c r="AJ480" s="106"/>
      <c r="AK480" s="336"/>
      <c r="AL480" s="106"/>
      <c r="AM480" s="106"/>
      <c r="AN480" s="81"/>
      <c r="AO480" s="336"/>
      <c r="AP480" s="336"/>
      <c r="AQ480" s="106"/>
      <c r="AR480" s="103"/>
      <c r="AS480" s="106"/>
      <c r="AT480" s="106"/>
      <c r="AU480" s="106"/>
      <c r="AV480" s="394"/>
      <c r="AW480" s="73"/>
      <c r="AX480" s="73"/>
      <c r="AY480" s="73"/>
      <c r="AZ480" s="106"/>
      <c r="BA480" s="106"/>
      <c r="BB480" s="106"/>
      <c r="BC480" s="160"/>
      <c r="BD480" s="51"/>
      <c r="BE480" s="51"/>
      <c r="BF480" s="291"/>
      <c r="BG480" s="160"/>
      <c r="BH480" s="160"/>
      <c r="BI480" s="103"/>
      <c r="BJ480" s="103"/>
      <c r="BK480" s="103"/>
      <c r="BL480" s="116"/>
      <c r="BM480" s="700"/>
      <c r="BN480" s="73"/>
      <c r="BO480" s="73"/>
      <c r="BP480" s="73"/>
      <c r="BQ480" s="103"/>
      <c r="BR480" s="103"/>
      <c r="BS480" s="103"/>
      <c r="BT480" s="103"/>
      <c r="BU480" s="103"/>
      <c r="BV480" s="160"/>
      <c r="BW480" s="160"/>
      <c r="BX480" s="291"/>
      <c r="BY480" s="106"/>
      <c r="BZ480" s="106"/>
      <c r="CA480" s="73"/>
      <c r="CB480" s="701"/>
      <c r="CC480" s="700"/>
      <c r="CD480" s="73"/>
      <c r="CE480" s="103"/>
      <c r="CF480" s="103"/>
      <c r="CG480" s="103"/>
      <c r="CH480" s="103"/>
      <c r="CI480" s="160"/>
      <c r="CJ480" s="160"/>
      <c r="CK480" s="160"/>
      <c r="CL480" s="291"/>
      <c r="CM480" s="291"/>
      <c r="CN480" s="106"/>
      <c r="CO480" s="73"/>
      <c r="CP480" s="73"/>
      <c r="CQ480" s="73"/>
      <c r="CR480" s="73"/>
      <c r="CS480" s="700"/>
      <c r="CT480" s="73"/>
      <c r="CU480" s="73"/>
      <c r="CV480" s="103"/>
      <c r="CW480" s="106"/>
      <c r="CX480" s="336"/>
      <c r="CY480" s="336"/>
      <c r="CZ480" s="81"/>
      <c r="DA480" s="106"/>
      <c r="DB480" s="73"/>
      <c r="DC480" s="336"/>
      <c r="DD480" s="73"/>
      <c r="DE480" s="73"/>
      <c r="DF480" s="73"/>
      <c r="DG480" s="73"/>
      <c r="DH480" s="701"/>
      <c r="DI480" s="93"/>
      <c r="DJ480" s="93"/>
      <c r="DK480" s="93"/>
      <c r="DL480" s="51"/>
      <c r="DM480" s="51"/>
      <c r="DN480" s="160"/>
      <c r="DO480" s="160"/>
      <c r="DP480" s="160"/>
      <c r="DQ480" s="51"/>
      <c r="DR480" s="160"/>
      <c r="DS480" s="160"/>
      <c r="DT480" s="160"/>
      <c r="DU480" s="93"/>
      <c r="DV480" s="93"/>
      <c r="DW480" s="93"/>
      <c r="DX480" s="79"/>
    </row>
    <row r="481" spans="1:128">
      <c r="A481" s="114"/>
      <c r="B481" s="51" t="s">
        <v>764</v>
      </c>
      <c r="C481" s="51"/>
      <c r="D481" s="51"/>
      <c r="E481" s="51"/>
      <c r="F481" s="92"/>
      <c r="G481" s="92"/>
      <c r="H481" s="51"/>
      <c r="I481" s="51"/>
      <c r="J481" s="51"/>
      <c r="K481" s="51"/>
      <c r="L481" s="92"/>
      <c r="M481" s="51"/>
      <c r="N481" s="51"/>
      <c r="O481" s="51"/>
      <c r="P481" s="51"/>
      <c r="Q481" s="753"/>
      <c r="R481" s="711"/>
      <c r="S481" s="711"/>
      <c r="T481" s="711"/>
      <c r="U481" s="711"/>
      <c r="V481" s="711"/>
      <c r="W481" s="711"/>
      <c r="X481" s="711"/>
      <c r="Y481" s="711"/>
      <c r="Z481" s="711"/>
      <c r="AA481" s="711"/>
      <c r="AB481" s="711"/>
      <c r="AC481" s="711"/>
      <c r="AD481" s="711"/>
      <c r="AE481" s="711"/>
      <c r="AF481" s="530"/>
      <c r="AG481" s="51"/>
      <c r="AH481" s="51"/>
      <c r="AI481" s="51"/>
      <c r="AJ481" s="51"/>
      <c r="AK481" s="51"/>
      <c r="AL481" s="92"/>
      <c r="AM481" s="92"/>
      <c r="AN481" s="51"/>
      <c r="AO481" s="51"/>
      <c r="AP481" s="711"/>
      <c r="AQ481" s="711"/>
      <c r="AR481" s="711"/>
      <c r="AS481" s="711"/>
      <c r="AT481" s="711"/>
      <c r="AU481" s="711"/>
      <c r="AV481" s="530"/>
      <c r="AW481" s="753"/>
      <c r="AX481" s="711"/>
      <c r="AY481" s="711"/>
      <c r="AZ481" s="711"/>
      <c r="BA481" s="711"/>
      <c r="BB481" s="711"/>
      <c r="BC481" s="711"/>
      <c r="BD481" s="711"/>
      <c r="BE481" s="711"/>
      <c r="BF481" s="711"/>
      <c r="BG481" s="711"/>
      <c r="BH481" s="711"/>
      <c r="BI481" s="711"/>
      <c r="BJ481" s="711"/>
      <c r="BK481" s="711"/>
      <c r="BL481" s="530"/>
      <c r="BM481" s="51"/>
      <c r="BN481" s="51"/>
      <c r="BO481" s="51"/>
      <c r="BP481" s="51"/>
      <c r="BQ481" s="51"/>
      <c r="BR481" s="92"/>
      <c r="BS481" s="92"/>
      <c r="BT481" s="51"/>
      <c r="BU481" s="51"/>
      <c r="BV481" s="51"/>
      <c r="BW481" s="51"/>
      <c r="BX481" s="92"/>
      <c r="BY481" s="51"/>
      <c r="BZ481" s="51"/>
      <c r="CA481" s="51"/>
      <c r="CB481" s="51"/>
      <c r="CC481" s="753"/>
      <c r="CD481" s="711"/>
      <c r="CE481" s="711"/>
      <c r="CF481" s="711"/>
      <c r="CG481" s="711"/>
      <c r="CH481" s="711"/>
      <c r="CI481" s="711"/>
      <c r="CJ481" s="711"/>
      <c r="CK481" s="711"/>
      <c r="CL481" s="711"/>
      <c r="CM481" s="711"/>
      <c r="CN481" s="711"/>
      <c r="CO481" s="711"/>
      <c r="CP481" s="711"/>
      <c r="CQ481" s="711"/>
      <c r="CR481" s="711"/>
      <c r="CS481" s="699"/>
      <c r="CT481" s="93"/>
      <c r="CU481" s="93"/>
      <c r="CV481" s="93"/>
      <c r="CW481" s="93"/>
      <c r="CX481" s="51"/>
      <c r="CY481" s="51"/>
      <c r="CZ481" s="51"/>
      <c r="DA481" s="51"/>
      <c r="DB481" s="92"/>
      <c r="DC481" s="92"/>
      <c r="DD481" s="51"/>
      <c r="DE481" s="51"/>
      <c r="DF481" s="51"/>
      <c r="DG481" s="93"/>
      <c r="DH481" s="93"/>
      <c r="DI481" s="753"/>
      <c r="DJ481" s="711"/>
      <c r="DK481" s="711"/>
      <c r="DL481" s="711"/>
      <c r="DM481" s="711"/>
      <c r="DN481" s="711"/>
      <c r="DO481" s="711"/>
      <c r="DP481" s="711"/>
      <c r="DQ481" s="711"/>
      <c r="DR481" s="711"/>
      <c r="DS481" s="711"/>
      <c r="DT481" s="711"/>
      <c r="DU481" s="711"/>
      <c r="DV481" s="711"/>
      <c r="DW481" s="711"/>
      <c r="DX481" s="530"/>
    </row>
    <row r="482" spans="1:128">
      <c r="A482" s="112"/>
      <c r="B482" s="92"/>
      <c r="C482" s="92"/>
      <c r="D482" s="92"/>
      <c r="E482" s="92"/>
      <c r="F482" s="92"/>
      <c r="G482" s="92"/>
      <c r="H482" s="92"/>
      <c r="I482" s="92"/>
      <c r="J482" s="92"/>
      <c r="K482" s="92"/>
      <c r="L482" s="92"/>
      <c r="M482" s="92"/>
      <c r="N482" s="92"/>
      <c r="O482" s="92"/>
      <c r="P482" s="92"/>
      <c r="Q482" s="699"/>
      <c r="R482" s="93"/>
      <c r="S482" s="93"/>
      <c r="T482" s="93"/>
      <c r="U482" s="93"/>
      <c r="V482" s="93"/>
      <c r="W482" s="93"/>
      <c r="X482" s="93"/>
      <c r="Y482" s="93"/>
      <c r="Z482" s="93"/>
      <c r="AA482" s="93"/>
      <c r="AB482" s="93"/>
      <c r="AC482" s="93"/>
      <c r="AD482" s="93"/>
      <c r="AE482" s="93"/>
      <c r="AF482" s="79"/>
      <c r="AG482" s="51"/>
      <c r="AH482" s="51"/>
      <c r="AI482" s="51"/>
      <c r="AJ482" s="51"/>
      <c r="AK482" s="51"/>
      <c r="AL482" s="92"/>
      <c r="AM482" s="92"/>
      <c r="AN482" s="51"/>
      <c r="AO482" s="51"/>
      <c r="AP482" s="93"/>
      <c r="AQ482" s="93"/>
      <c r="AR482" s="93"/>
      <c r="AS482" s="93"/>
      <c r="AT482" s="93"/>
      <c r="AU482" s="93"/>
      <c r="AV482" s="79"/>
      <c r="AW482" s="699"/>
      <c r="AX482" s="93"/>
      <c r="AY482" s="93"/>
      <c r="AZ482" s="93"/>
      <c r="BA482" s="93"/>
      <c r="BB482" s="93"/>
      <c r="BC482" s="93"/>
      <c r="BD482" s="93"/>
      <c r="BE482" s="93"/>
      <c r="BF482" s="93"/>
      <c r="BG482" s="93"/>
      <c r="BH482" s="93"/>
      <c r="BI482" s="93"/>
      <c r="BJ482" s="93"/>
      <c r="BK482" s="93"/>
      <c r="BL482" s="79"/>
      <c r="BM482" s="92"/>
      <c r="BN482" s="92"/>
      <c r="BO482" s="92"/>
      <c r="BP482" s="92"/>
      <c r="BQ482" s="92"/>
      <c r="BR482" s="92"/>
      <c r="BS482" s="92"/>
      <c r="BT482" s="92"/>
      <c r="BU482" s="92"/>
      <c r="BV482" s="92"/>
      <c r="BW482" s="92"/>
      <c r="BX482" s="92"/>
      <c r="BY482" s="92"/>
      <c r="BZ482" s="92"/>
      <c r="CA482" s="92"/>
      <c r="CB482" s="92"/>
      <c r="CC482" s="699"/>
      <c r="CD482" s="93"/>
      <c r="CE482" s="93"/>
      <c r="CF482" s="93"/>
      <c r="CG482" s="93"/>
      <c r="CH482" s="93"/>
      <c r="CI482" s="93"/>
      <c r="CJ482" s="93"/>
      <c r="CK482" s="93"/>
      <c r="CL482" s="93"/>
      <c r="CM482" s="93"/>
      <c r="CN482" s="93"/>
      <c r="CO482" s="93"/>
      <c r="CP482" s="93"/>
      <c r="CQ482" s="93"/>
      <c r="CR482" s="93"/>
      <c r="CS482" s="699"/>
      <c r="CT482" s="93"/>
      <c r="CU482" s="93"/>
      <c r="CV482" s="93"/>
      <c r="CW482" s="93"/>
      <c r="CX482" s="51"/>
      <c r="CY482" s="51"/>
      <c r="CZ482" s="51"/>
      <c r="DA482" s="51"/>
      <c r="DB482" s="92"/>
      <c r="DC482" s="92"/>
      <c r="DD482" s="51"/>
      <c r="DE482" s="51"/>
      <c r="DF482" s="51"/>
      <c r="DG482" s="93"/>
      <c r="DH482" s="93"/>
      <c r="DI482" s="699"/>
      <c r="DJ482" s="93"/>
      <c r="DK482" s="93"/>
      <c r="DL482" s="93"/>
      <c r="DM482" s="93"/>
      <c r="DN482" s="93"/>
      <c r="DO482" s="93"/>
      <c r="DP482" s="93"/>
      <c r="DQ482" s="93"/>
      <c r="DR482" s="93"/>
      <c r="DS482" s="93"/>
      <c r="DT482" s="93"/>
      <c r="DU482" s="93"/>
      <c r="DV482" s="93"/>
      <c r="DW482" s="93"/>
      <c r="DX482" s="79"/>
    </row>
    <row r="483" spans="1:128">
      <c r="A483" s="114"/>
      <c r="B483" s="92"/>
      <c r="C483" s="92"/>
      <c r="D483" s="92"/>
      <c r="E483" s="51"/>
      <c r="F483" s="92"/>
      <c r="G483" s="92"/>
      <c r="H483" s="92"/>
      <c r="I483" s="92"/>
      <c r="J483" s="92"/>
      <c r="K483" s="92"/>
      <c r="L483" s="92"/>
      <c r="M483" s="92"/>
      <c r="N483" s="92"/>
      <c r="O483" s="92"/>
      <c r="P483" s="92"/>
      <c r="Q483" s="699"/>
      <c r="R483" s="93"/>
      <c r="S483" s="93"/>
      <c r="T483" s="93"/>
      <c r="U483" s="93"/>
      <c r="V483" s="93"/>
      <c r="W483" s="93"/>
      <c r="X483" s="93"/>
      <c r="Y483" s="93"/>
      <c r="Z483" s="93"/>
      <c r="AA483" s="93"/>
      <c r="AB483" s="93"/>
      <c r="AC483" s="93"/>
      <c r="AD483" s="93"/>
      <c r="AE483" s="93"/>
      <c r="AF483" s="79"/>
      <c r="AG483" s="51"/>
      <c r="AH483" s="51"/>
      <c r="AI483" s="51"/>
      <c r="AJ483" s="51"/>
      <c r="AK483" s="51"/>
      <c r="AL483" s="92"/>
      <c r="AM483" s="92"/>
      <c r="AN483" s="51"/>
      <c r="AO483" s="51"/>
      <c r="AP483" s="93"/>
      <c r="AQ483" s="93"/>
      <c r="AR483" s="93"/>
      <c r="AS483" s="93"/>
      <c r="AT483" s="93"/>
      <c r="AU483" s="93"/>
      <c r="AV483" s="79"/>
      <c r="AW483" s="699"/>
      <c r="AX483" s="93"/>
      <c r="AY483" s="93"/>
      <c r="AZ483" s="93"/>
      <c r="BA483" s="93"/>
      <c r="BB483" s="93"/>
      <c r="BC483" s="93"/>
      <c r="BD483" s="93"/>
      <c r="BE483" s="93"/>
      <c r="BF483" s="93"/>
      <c r="BG483" s="93"/>
      <c r="BH483" s="93"/>
      <c r="BI483" s="93"/>
      <c r="BJ483" s="93"/>
      <c r="BK483" s="93"/>
      <c r="BL483" s="79"/>
      <c r="BM483" s="51"/>
      <c r="BN483" s="92"/>
      <c r="BO483" s="92"/>
      <c r="BP483" s="92"/>
      <c r="BQ483" s="51"/>
      <c r="BR483" s="92"/>
      <c r="BS483" s="92"/>
      <c r="BT483" s="92"/>
      <c r="BU483" s="92"/>
      <c r="BV483" s="92"/>
      <c r="BW483" s="92"/>
      <c r="BX483" s="92"/>
      <c r="BY483" s="92"/>
      <c r="BZ483" s="92"/>
      <c r="CA483" s="92"/>
      <c r="CB483" s="92"/>
      <c r="CC483" s="699"/>
      <c r="CD483" s="93"/>
      <c r="CE483" s="93"/>
      <c r="CF483" s="93"/>
      <c r="CG483" s="93"/>
      <c r="CH483" s="93"/>
      <c r="CI483" s="93"/>
      <c r="CJ483" s="93"/>
      <c r="CK483" s="93"/>
      <c r="CL483" s="93"/>
      <c r="CM483" s="93"/>
      <c r="CN483" s="93"/>
      <c r="CO483" s="93"/>
      <c r="CP483" s="93"/>
      <c r="CQ483" s="93"/>
      <c r="CR483" s="93"/>
      <c r="CS483" s="699"/>
      <c r="CT483" s="93"/>
      <c r="CU483" s="93"/>
      <c r="CV483" s="93"/>
      <c r="CW483" s="93"/>
      <c r="CX483" s="51"/>
      <c r="CY483" s="51"/>
      <c r="CZ483" s="51"/>
      <c r="DA483" s="51"/>
      <c r="DB483" s="92"/>
      <c r="DC483" s="92"/>
      <c r="DD483" s="51"/>
      <c r="DE483" s="51"/>
      <c r="DF483" s="51"/>
      <c r="DG483" s="93"/>
      <c r="DH483" s="93"/>
      <c r="DI483" s="699"/>
      <c r="DJ483" s="93"/>
      <c r="DK483" s="93"/>
      <c r="DL483" s="93"/>
      <c r="DM483" s="93"/>
      <c r="DN483" s="93"/>
      <c r="DO483" s="93"/>
      <c r="DP483" s="93"/>
      <c r="DQ483" s="93"/>
      <c r="DR483" s="93"/>
      <c r="DS483" s="93"/>
      <c r="DT483" s="93"/>
      <c r="DU483" s="93"/>
      <c r="DV483" s="93"/>
      <c r="DW483" s="93"/>
      <c r="DX483" s="79"/>
    </row>
    <row r="484" spans="1:128">
      <c r="A484" s="112"/>
      <c r="B484" s="92"/>
      <c r="C484" s="92"/>
      <c r="D484" s="92"/>
      <c r="E484" s="51"/>
      <c r="F484" s="92"/>
      <c r="G484" s="92"/>
      <c r="H484" s="92"/>
      <c r="I484" s="92"/>
      <c r="J484" s="92"/>
      <c r="K484" s="92"/>
      <c r="L484" s="92"/>
      <c r="M484" s="92"/>
      <c r="N484" s="92"/>
      <c r="O484" s="92"/>
      <c r="P484" s="92"/>
      <c r="Q484" s="699"/>
      <c r="R484" s="93"/>
      <c r="S484" s="93"/>
      <c r="T484" s="93"/>
      <c r="U484" s="93"/>
      <c r="V484" s="93"/>
      <c r="W484" s="93"/>
      <c r="X484" s="93"/>
      <c r="Y484" s="93"/>
      <c r="Z484" s="93"/>
      <c r="AA484" s="93"/>
      <c r="AB484" s="93"/>
      <c r="AC484" s="93"/>
      <c r="AD484" s="93"/>
      <c r="AE484" s="93"/>
      <c r="AF484" s="79"/>
      <c r="AG484" s="51"/>
      <c r="AH484" s="51"/>
      <c r="AI484" s="51"/>
      <c r="AJ484" s="51"/>
      <c r="AK484" s="51"/>
      <c r="AL484" s="92"/>
      <c r="AM484" s="92"/>
      <c r="AN484" s="51"/>
      <c r="AO484" s="51"/>
      <c r="AP484" s="93"/>
      <c r="AQ484" s="93"/>
      <c r="AR484" s="93"/>
      <c r="AS484" s="93"/>
      <c r="AT484" s="93"/>
      <c r="AU484" s="93"/>
      <c r="AV484" s="79"/>
      <c r="AW484" s="699"/>
      <c r="AX484" s="93"/>
      <c r="AY484" s="93"/>
      <c r="AZ484" s="93"/>
      <c r="BA484" s="93"/>
      <c r="BB484" s="93"/>
      <c r="BC484" s="93"/>
      <c r="BD484" s="93"/>
      <c r="BE484" s="93"/>
      <c r="BF484" s="93"/>
      <c r="BG484" s="93"/>
      <c r="BH484" s="93"/>
      <c r="BI484" s="93"/>
      <c r="BJ484" s="93"/>
      <c r="BK484" s="93"/>
      <c r="BL484" s="79"/>
      <c r="BM484" s="92"/>
      <c r="BN484" s="92"/>
      <c r="BO484" s="92"/>
      <c r="BP484" s="92"/>
      <c r="BQ484" s="51"/>
      <c r="BR484" s="92"/>
      <c r="BS484" s="92"/>
      <c r="BT484" s="92"/>
      <c r="BU484" s="92"/>
      <c r="BV484" s="92"/>
      <c r="BW484" s="92"/>
      <c r="BX484" s="92"/>
      <c r="BY484" s="92"/>
      <c r="BZ484" s="92"/>
      <c r="CA484" s="92"/>
      <c r="CB484" s="92"/>
      <c r="CC484" s="699"/>
      <c r="CD484" s="93"/>
      <c r="CE484" s="93"/>
      <c r="CF484" s="93"/>
      <c r="CG484" s="93"/>
      <c r="CH484" s="93"/>
      <c r="CI484" s="93"/>
      <c r="CJ484" s="93"/>
      <c r="CK484" s="93"/>
      <c r="CL484" s="93"/>
      <c r="CM484" s="93"/>
      <c r="CN484" s="93"/>
      <c r="CO484" s="93"/>
      <c r="CP484" s="93"/>
      <c r="CQ484" s="93"/>
      <c r="CR484" s="93"/>
      <c r="CS484" s="699"/>
      <c r="CT484" s="93"/>
      <c r="CU484" s="93"/>
      <c r="CV484" s="93"/>
      <c r="CW484" s="93"/>
      <c r="CX484" s="51"/>
      <c r="CY484" s="51"/>
      <c r="CZ484" s="51"/>
      <c r="DA484" s="51"/>
      <c r="DB484" s="92"/>
      <c r="DC484" s="92"/>
      <c r="DD484" s="51"/>
      <c r="DE484" s="51"/>
      <c r="DF484" s="51"/>
      <c r="DG484" s="93"/>
      <c r="DH484" s="93"/>
      <c r="DI484" s="699"/>
      <c r="DJ484" s="93"/>
      <c r="DK484" s="93"/>
      <c r="DL484" s="93"/>
      <c r="DM484" s="93"/>
      <c r="DN484" s="93"/>
      <c r="DO484" s="93"/>
      <c r="DP484" s="93"/>
      <c r="DQ484" s="93"/>
      <c r="DR484" s="93"/>
      <c r="DS484" s="93"/>
      <c r="DT484" s="93"/>
      <c r="DU484" s="93"/>
      <c r="DV484" s="93"/>
      <c r="DW484" s="93"/>
      <c r="DX484" s="79"/>
    </row>
    <row r="485" spans="1:128">
      <c r="A485" s="114"/>
      <c r="B485" s="92"/>
      <c r="C485" s="92"/>
      <c r="D485" s="92"/>
      <c r="E485" s="51"/>
      <c r="F485" s="92"/>
      <c r="G485" s="92"/>
      <c r="H485" s="92"/>
      <c r="I485" s="92"/>
      <c r="J485" s="92"/>
      <c r="K485" s="92"/>
      <c r="L485" s="92"/>
      <c r="M485" s="92"/>
      <c r="N485" s="92"/>
      <c r="O485" s="92"/>
      <c r="P485" s="92"/>
      <c r="Q485" s="699"/>
      <c r="R485" s="93"/>
      <c r="S485" s="93"/>
      <c r="T485" s="93"/>
      <c r="U485" s="93"/>
      <c r="V485" s="93"/>
      <c r="W485" s="93"/>
      <c r="X485" s="93"/>
      <c r="Y485" s="93"/>
      <c r="Z485" s="93"/>
      <c r="AA485" s="93"/>
      <c r="AB485" s="93"/>
      <c r="AC485" s="93"/>
      <c r="AD485" s="93"/>
      <c r="AE485" s="93"/>
      <c r="AF485" s="79"/>
      <c r="AG485" s="51"/>
      <c r="AH485" s="51"/>
      <c r="AI485" s="51"/>
      <c r="AJ485" s="51"/>
      <c r="AK485" s="51"/>
      <c r="AL485" s="92"/>
      <c r="AM485" s="92"/>
      <c r="AN485" s="51"/>
      <c r="AO485" s="51"/>
      <c r="AP485" s="93"/>
      <c r="AQ485" s="93"/>
      <c r="AR485" s="93"/>
      <c r="AS485" s="93"/>
      <c r="AT485" s="93"/>
      <c r="AU485" s="93"/>
      <c r="AV485" s="79"/>
      <c r="AW485" s="699"/>
      <c r="AX485" s="93"/>
      <c r="AY485" s="93"/>
      <c r="AZ485" s="93"/>
      <c r="BA485" s="93"/>
      <c r="BB485" s="93"/>
      <c r="BC485" s="93"/>
      <c r="BD485" s="93"/>
      <c r="BE485" s="93"/>
      <c r="BF485" s="93"/>
      <c r="BG485" s="93"/>
      <c r="BH485" s="93"/>
      <c r="BI485" s="93"/>
      <c r="BJ485" s="93"/>
      <c r="BK485" s="93"/>
      <c r="BL485" s="79"/>
      <c r="BM485" s="51"/>
      <c r="BN485" s="92"/>
      <c r="BO485" s="92"/>
      <c r="BP485" s="92"/>
      <c r="BQ485" s="92"/>
      <c r="BR485" s="92"/>
      <c r="BS485" s="92"/>
      <c r="BT485" s="92"/>
      <c r="BU485" s="92"/>
      <c r="BV485" s="92"/>
      <c r="BW485" s="51"/>
      <c r="BX485" s="92"/>
      <c r="BY485" s="92"/>
      <c r="BZ485" s="92"/>
      <c r="CA485" s="92"/>
      <c r="CB485" s="92"/>
      <c r="CC485" s="699"/>
      <c r="CD485" s="93"/>
      <c r="CE485" s="93"/>
      <c r="CF485" s="93"/>
      <c r="CG485" s="93"/>
      <c r="CH485" s="93"/>
      <c r="CI485" s="93"/>
      <c r="CJ485" s="93"/>
      <c r="CK485" s="93"/>
      <c r="CL485" s="93"/>
      <c r="CM485" s="93"/>
      <c r="CN485" s="93"/>
      <c r="CO485" s="93"/>
      <c r="CP485" s="93"/>
      <c r="CQ485" s="93"/>
      <c r="CR485" s="93"/>
      <c r="CS485" s="699"/>
      <c r="CT485" s="93"/>
      <c r="CU485" s="93"/>
      <c r="CV485" s="93"/>
      <c r="CW485" s="93"/>
      <c r="CX485" s="51"/>
      <c r="CY485" s="51"/>
      <c r="CZ485" s="51"/>
      <c r="DA485" s="51"/>
      <c r="DB485" s="92"/>
      <c r="DC485" s="92"/>
      <c r="DD485" s="51"/>
      <c r="DE485" s="51"/>
      <c r="DF485" s="51"/>
      <c r="DG485" s="93"/>
      <c r="DH485" s="93"/>
      <c r="DI485" s="699"/>
      <c r="DJ485" s="93"/>
      <c r="DK485" s="93"/>
      <c r="DL485" s="93"/>
      <c r="DM485" s="93"/>
      <c r="DN485" s="93"/>
      <c r="DO485" s="93"/>
      <c r="DP485" s="93"/>
      <c r="DQ485" s="93"/>
      <c r="DR485" s="93"/>
      <c r="DS485" s="93"/>
      <c r="DT485" s="93"/>
      <c r="DU485" s="93"/>
      <c r="DV485" s="93"/>
      <c r="DW485" s="93"/>
      <c r="DX485" s="79"/>
    </row>
    <row r="486" spans="1:128">
      <c r="A486" s="114"/>
      <c r="B486" s="51"/>
      <c r="C486" s="51"/>
      <c r="D486" s="51"/>
      <c r="E486" s="51"/>
      <c r="F486" s="51"/>
      <c r="G486" s="51"/>
      <c r="H486" s="51"/>
      <c r="I486" s="51"/>
      <c r="J486" s="51"/>
      <c r="K486" s="51"/>
      <c r="L486" s="51"/>
      <c r="M486" s="51"/>
      <c r="N486" s="51"/>
      <c r="O486" s="51"/>
      <c r="P486" s="51"/>
      <c r="Q486" s="699"/>
      <c r="R486" s="93"/>
      <c r="S486" s="93"/>
      <c r="T486" s="93"/>
      <c r="U486" s="93"/>
      <c r="V486" s="93"/>
      <c r="W486" s="93"/>
      <c r="X486" s="93"/>
      <c r="Y486" s="93"/>
      <c r="Z486" s="93"/>
      <c r="AA486" s="93"/>
      <c r="AB486" s="93"/>
      <c r="AC486" s="93"/>
      <c r="AD486" s="93"/>
      <c r="AE486" s="93"/>
      <c r="AF486" s="79"/>
      <c r="AG486" s="51"/>
      <c r="AH486" s="51"/>
      <c r="AI486" s="51"/>
      <c r="AJ486" s="51"/>
      <c r="AK486" s="51"/>
      <c r="AL486" s="92"/>
      <c r="AM486" s="92"/>
      <c r="AN486" s="51"/>
      <c r="AO486" s="51"/>
      <c r="AP486" s="93"/>
      <c r="AQ486" s="93"/>
      <c r="AR486" s="93"/>
      <c r="AS486" s="93"/>
      <c r="AT486" s="93"/>
      <c r="AU486" s="93"/>
      <c r="AV486" s="79"/>
      <c r="AW486" s="699"/>
      <c r="AX486" s="93"/>
      <c r="AY486" s="93"/>
      <c r="AZ486" s="93"/>
      <c r="BA486" s="93"/>
      <c r="BB486" s="93"/>
      <c r="BC486" s="93"/>
      <c r="BD486" s="93"/>
      <c r="BE486" s="93"/>
      <c r="BF486" s="93"/>
      <c r="BG486" s="93"/>
      <c r="BH486" s="93"/>
      <c r="BI486" s="93"/>
      <c r="BJ486" s="93"/>
      <c r="BK486" s="93"/>
      <c r="BL486" s="79"/>
      <c r="BM486" s="51"/>
      <c r="BN486" s="92"/>
      <c r="BO486" s="92"/>
      <c r="BP486" s="92"/>
      <c r="BQ486" s="92"/>
      <c r="BR486" s="51"/>
      <c r="BS486" s="92"/>
      <c r="BT486" s="92"/>
      <c r="BU486" s="92"/>
      <c r="BV486" s="92"/>
      <c r="BW486" s="51"/>
      <c r="BX486" s="92"/>
      <c r="BY486" s="92"/>
      <c r="BZ486" s="92"/>
      <c r="CA486" s="92"/>
      <c r="CB486" s="92"/>
      <c r="CC486" s="699"/>
      <c r="CD486" s="93"/>
      <c r="CE486" s="93"/>
      <c r="CF486" s="93"/>
      <c r="CG486" s="93"/>
      <c r="CH486" s="93"/>
      <c r="CI486" s="93"/>
      <c r="CJ486" s="93"/>
      <c r="CK486" s="93"/>
      <c r="CL486" s="93"/>
      <c r="CM486" s="93"/>
      <c r="CN486" s="93"/>
      <c r="CO486" s="93"/>
      <c r="CP486" s="93"/>
      <c r="CQ486" s="93"/>
      <c r="CR486" s="93"/>
      <c r="CS486" s="699"/>
      <c r="CT486" s="93"/>
      <c r="CU486" s="93"/>
      <c r="CV486" s="93"/>
      <c r="CW486" s="93"/>
      <c r="CX486" s="51"/>
      <c r="CY486" s="51"/>
      <c r="CZ486" s="51"/>
      <c r="DA486" s="51"/>
      <c r="DB486" s="92"/>
      <c r="DC486" s="92"/>
      <c r="DD486" s="51"/>
      <c r="DE486" s="51"/>
      <c r="DF486" s="51"/>
      <c r="DG486" s="93"/>
      <c r="DH486" s="93"/>
      <c r="DI486" s="699"/>
      <c r="DJ486" s="93"/>
      <c r="DK486" s="93"/>
      <c r="DL486" s="93"/>
      <c r="DM486" s="93"/>
      <c r="DN486" s="93"/>
      <c r="DO486" s="93"/>
      <c r="DP486" s="93"/>
      <c r="DQ486" s="93"/>
      <c r="DR486" s="93"/>
      <c r="DS486" s="93"/>
      <c r="DT486" s="93"/>
      <c r="DU486" s="93"/>
      <c r="DV486" s="93"/>
      <c r="DW486" s="93"/>
      <c r="DX486" s="79"/>
    </row>
    <row r="487" spans="1:128">
      <c r="A487" s="114"/>
      <c r="B487" s="92"/>
      <c r="C487" s="92"/>
      <c r="D487" s="92"/>
      <c r="E487" s="92"/>
      <c r="F487" s="92"/>
      <c r="G487" s="92"/>
      <c r="H487" s="92"/>
      <c r="I487" s="92"/>
      <c r="J487" s="92"/>
      <c r="K487" s="51"/>
      <c r="L487" s="92"/>
      <c r="M487" s="92"/>
      <c r="N487" s="92"/>
      <c r="O487" s="92"/>
      <c r="P487" s="92"/>
      <c r="Q487" s="699"/>
      <c r="R487" s="93"/>
      <c r="S487" s="93"/>
      <c r="T487" s="93"/>
      <c r="U487" s="93"/>
      <c r="V487" s="93"/>
      <c r="W487" s="93"/>
      <c r="X487" s="93"/>
      <c r="Y487" s="93"/>
      <c r="Z487" s="93"/>
      <c r="AA487" s="93"/>
      <c r="AB487" s="93"/>
      <c r="AC487" s="93"/>
      <c r="AD487" s="93"/>
      <c r="AE487" s="93"/>
      <c r="AF487" s="79"/>
      <c r="AG487" s="51"/>
      <c r="AH487" s="51"/>
      <c r="AI487" s="51"/>
      <c r="AJ487" s="51"/>
      <c r="AK487" s="51"/>
      <c r="AL487" s="92"/>
      <c r="AM487" s="92"/>
      <c r="AN487" s="51"/>
      <c r="AO487" s="51"/>
      <c r="AP487" s="93"/>
      <c r="AQ487" s="93"/>
      <c r="AR487" s="93"/>
      <c r="AS487" s="93"/>
      <c r="AT487" s="93"/>
      <c r="AU487" s="93"/>
      <c r="AV487" s="79"/>
      <c r="AW487" s="699"/>
      <c r="AX487" s="93"/>
      <c r="AY487" s="93"/>
      <c r="AZ487" s="93"/>
      <c r="BA487" s="93"/>
      <c r="BB487" s="93"/>
      <c r="BC487" s="93"/>
      <c r="BD487" s="93"/>
      <c r="BE487" s="93"/>
      <c r="BF487" s="93"/>
      <c r="BG487" s="93"/>
      <c r="BH487" s="93"/>
      <c r="BI487" s="93"/>
      <c r="BJ487" s="93"/>
      <c r="BK487" s="93"/>
      <c r="BL487" s="79"/>
      <c r="BM487" s="51"/>
      <c r="BN487" s="92"/>
      <c r="BO487" s="92"/>
      <c r="BP487" s="92"/>
      <c r="BQ487" s="92"/>
      <c r="BR487" s="92"/>
      <c r="BS487" s="92"/>
      <c r="BT487" s="92"/>
      <c r="BU487" s="92"/>
      <c r="BV487" s="92"/>
      <c r="BW487" s="51"/>
      <c r="BX487" s="92"/>
      <c r="BY487" s="92"/>
      <c r="BZ487" s="92"/>
      <c r="CA487" s="92"/>
      <c r="CB487" s="92"/>
      <c r="CC487" s="699"/>
      <c r="CD487" s="93"/>
      <c r="CE487" s="93"/>
      <c r="CF487" s="93"/>
      <c r="CG487" s="93"/>
      <c r="CH487" s="93"/>
      <c r="CI487" s="93"/>
      <c r="CJ487" s="93"/>
      <c r="CK487" s="93"/>
      <c r="CL487" s="93"/>
      <c r="CM487" s="93"/>
      <c r="CN487" s="93"/>
      <c r="CO487" s="93"/>
      <c r="CP487" s="93"/>
      <c r="CQ487" s="93"/>
      <c r="CR487" s="93"/>
      <c r="CS487" s="699"/>
      <c r="CT487" s="93"/>
      <c r="CU487" s="93"/>
      <c r="CV487" s="93"/>
      <c r="CW487" s="93"/>
      <c r="CX487" s="51"/>
      <c r="CY487" s="51"/>
      <c r="CZ487" s="51"/>
      <c r="DA487" s="51"/>
      <c r="DB487" s="92"/>
      <c r="DC487" s="92"/>
      <c r="DD487" s="51"/>
      <c r="DE487" s="51"/>
      <c r="DF487" s="51"/>
      <c r="DG487" s="93"/>
      <c r="DH487" s="93"/>
      <c r="DI487" s="699"/>
      <c r="DJ487" s="93"/>
      <c r="DK487" s="93"/>
      <c r="DL487" s="93"/>
      <c r="DM487" s="93"/>
      <c r="DN487" s="93"/>
      <c r="DO487" s="93"/>
      <c r="DP487" s="93"/>
      <c r="DQ487" s="93"/>
      <c r="DR487" s="93"/>
      <c r="DS487" s="93"/>
      <c r="DT487" s="93"/>
      <c r="DU487" s="93"/>
      <c r="DV487" s="93"/>
      <c r="DW487" s="93"/>
      <c r="DX487" s="79"/>
    </row>
    <row r="488" spans="1:128">
      <c r="A488" s="114"/>
      <c r="B488" s="92"/>
      <c r="C488" s="92"/>
      <c r="D488" s="92"/>
      <c r="E488" s="92"/>
      <c r="F488" s="51"/>
      <c r="G488" s="92"/>
      <c r="H488" s="92"/>
      <c r="I488" s="92"/>
      <c r="J488" s="92"/>
      <c r="K488" s="51"/>
      <c r="L488" s="92"/>
      <c r="M488" s="92"/>
      <c r="N488" s="92"/>
      <c r="O488" s="92"/>
      <c r="P488" s="92"/>
      <c r="Q488" s="699"/>
      <c r="R488" s="93"/>
      <c r="S488" s="93"/>
      <c r="T488" s="93"/>
      <c r="U488" s="93"/>
      <c r="V488" s="93"/>
      <c r="W488" s="93"/>
      <c r="X488" s="93"/>
      <c r="Y488" s="93"/>
      <c r="Z488" s="93"/>
      <c r="AA488" s="93"/>
      <c r="AB488" s="93"/>
      <c r="AC488" s="93"/>
      <c r="AD488" s="93"/>
      <c r="AE488" s="93"/>
      <c r="AF488" s="79"/>
      <c r="AG488" s="51"/>
      <c r="AH488" s="51"/>
      <c r="AI488" s="51"/>
      <c r="AJ488" s="51"/>
      <c r="AK488" s="51"/>
      <c r="AL488" s="92"/>
      <c r="AM488" s="92"/>
      <c r="AN488" s="51"/>
      <c r="AO488" s="51"/>
      <c r="AP488" s="93"/>
      <c r="AQ488" s="93"/>
      <c r="AR488" s="93"/>
      <c r="AS488" s="93"/>
      <c r="AT488" s="93"/>
      <c r="AU488" s="93"/>
      <c r="AV488" s="79"/>
      <c r="AW488" s="699"/>
      <c r="AX488" s="93"/>
      <c r="AY488" s="93"/>
      <c r="AZ488" s="93"/>
      <c r="BA488" s="93"/>
      <c r="BB488" s="93"/>
      <c r="BC488" s="93"/>
      <c r="BD488" s="93"/>
      <c r="BE488" s="93"/>
      <c r="BF488" s="93"/>
      <c r="BG488" s="93"/>
      <c r="BH488" s="93"/>
      <c r="BI488" s="93"/>
      <c r="BJ488" s="93"/>
      <c r="BK488" s="93"/>
      <c r="BL488" s="79"/>
      <c r="BM488" s="51"/>
      <c r="BN488" s="92"/>
      <c r="BO488" s="92"/>
      <c r="BP488" s="92"/>
      <c r="BQ488" s="92"/>
      <c r="BR488" s="92"/>
      <c r="BS488" s="92"/>
      <c r="BT488" s="92"/>
      <c r="BU488" s="92"/>
      <c r="BV488" s="92"/>
      <c r="BW488" s="51"/>
      <c r="BX488" s="92"/>
      <c r="BY488" s="92"/>
      <c r="BZ488" s="92"/>
      <c r="CA488" s="92"/>
      <c r="CB488" s="92"/>
      <c r="CC488" s="699"/>
      <c r="CD488" s="93"/>
      <c r="CE488" s="93"/>
      <c r="CF488" s="93"/>
      <c r="CG488" s="93"/>
      <c r="CH488" s="93"/>
      <c r="CI488" s="93"/>
      <c r="CJ488" s="93"/>
      <c r="CK488" s="93"/>
      <c r="CL488" s="93"/>
      <c r="CM488" s="93"/>
      <c r="CN488" s="93"/>
      <c r="CO488" s="93"/>
      <c r="CP488" s="93"/>
      <c r="CQ488" s="93"/>
      <c r="CR488" s="93"/>
      <c r="CS488" s="699"/>
      <c r="CT488" s="93"/>
      <c r="CU488" s="93"/>
      <c r="CV488" s="93"/>
      <c r="CW488" s="93"/>
      <c r="CX488" s="51"/>
      <c r="CY488" s="51"/>
      <c r="CZ488" s="51"/>
      <c r="DA488" s="51"/>
      <c r="DB488" s="92"/>
      <c r="DC488" s="92"/>
      <c r="DD488" s="51"/>
      <c r="DE488" s="51"/>
      <c r="DF488" s="51"/>
      <c r="DG488" s="93"/>
      <c r="DH488" s="93"/>
      <c r="DI488" s="699"/>
      <c r="DJ488" s="93"/>
      <c r="DK488" s="93"/>
      <c r="DL488" s="93"/>
      <c r="DM488" s="93"/>
      <c r="DN488" s="93"/>
      <c r="DO488" s="93"/>
      <c r="DP488" s="93"/>
      <c r="DQ488" s="93"/>
      <c r="DR488" s="93"/>
      <c r="DS488" s="93"/>
      <c r="DT488" s="93"/>
      <c r="DU488" s="93"/>
      <c r="DV488" s="93"/>
      <c r="DW488" s="93"/>
      <c r="DX488" s="79"/>
    </row>
    <row r="489" spans="1:128">
      <c r="A489" s="114"/>
      <c r="B489" s="92"/>
      <c r="C489" s="92"/>
      <c r="D489" s="92"/>
      <c r="E489" s="92"/>
      <c r="F489" s="51"/>
      <c r="G489" s="92"/>
      <c r="H489" s="92"/>
      <c r="I489" s="92"/>
      <c r="J489" s="92"/>
      <c r="K489" s="51"/>
      <c r="L489" s="92"/>
      <c r="M489" s="92"/>
      <c r="N489" s="92"/>
      <c r="O489" s="92"/>
      <c r="P489" s="92"/>
      <c r="Q489" s="699"/>
      <c r="R489" s="93"/>
      <c r="S489" s="93"/>
      <c r="T489" s="93"/>
      <c r="U489" s="93"/>
      <c r="V489" s="93"/>
      <c r="W489" s="93"/>
      <c r="X489" s="93"/>
      <c r="Y489" s="93"/>
      <c r="Z489" s="93"/>
      <c r="AA489" s="93"/>
      <c r="AB489" s="93"/>
      <c r="AC489" s="93"/>
      <c r="AD489" s="93"/>
      <c r="AE489" s="93"/>
      <c r="AF489" s="79"/>
      <c r="AG489" s="51"/>
      <c r="AH489" s="51"/>
      <c r="AI489" s="51"/>
      <c r="AJ489" s="51"/>
      <c r="AK489" s="51"/>
      <c r="AL489" s="92"/>
      <c r="AM489" s="92"/>
      <c r="AN489" s="51"/>
      <c r="AO489" s="51"/>
      <c r="AP489" s="93"/>
      <c r="AQ489" s="93"/>
      <c r="AR489" s="93"/>
      <c r="AS489" s="93"/>
      <c r="AT489" s="93"/>
      <c r="AU489" s="93"/>
      <c r="AV489" s="79"/>
      <c r="AW489" s="699"/>
      <c r="AX489" s="93"/>
      <c r="AY489" s="93"/>
      <c r="AZ489" s="93"/>
      <c r="BA489" s="93"/>
      <c r="BB489" s="93"/>
      <c r="BC489" s="93"/>
      <c r="BD489" s="93"/>
      <c r="BE489" s="93"/>
      <c r="BF489" s="93"/>
      <c r="BG489" s="93"/>
      <c r="BH489" s="93"/>
      <c r="BI489" s="93"/>
      <c r="BJ489" s="93"/>
      <c r="BK489" s="93"/>
      <c r="BL489" s="113"/>
      <c r="BM489" s="51"/>
      <c r="BN489" s="52"/>
      <c r="BO489" s="92"/>
      <c r="BP489" s="92"/>
      <c r="BQ489" s="92"/>
      <c r="BR489" s="92"/>
      <c r="BS489" s="92"/>
      <c r="BT489" s="92"/>
      <c r="BU489" s="92"/>
      <c r="BV489" s="92"/>
      <c r="BW489" s="51"/>
      <c r="BX489" s="92"/>
      <c r="BY489" s="92"/>
      <c r="BZ489" s="92"/>
      <c r="CA489" s="92"/>
      <c r="CB489" s="113"/>
      <c r="CC489" s="699"/>
      <c r="CD489" s="93"/>
      <c r="CE489" s="93"/>
      <c r="CF489" s="93"/>
      <c r="CG489" s="93"/>
      <c r="CH489" s="93"/>
      <c r="CI489" s="93"/>
      <c r="CJ489" s="93"/>
      <c r="CK489" s="93"/>
      <c r="CL489" s="93"/>
      <c r="CM489" s="93"/>
      <c r="CN489" s="93"/>
      <c r="CO489" s="93"/>
      <c r="CP489" s="93"/>
      <c r="CQ489" s="93"/>
      <c r="CR489" s="93"/>
      <c r="CS489" s="699"/>
      <c r="CT489" s="93"/>
      <c r="CU489" s="93"/>
      <c r="CV489" s="93"/>
      <c r="CW489" s="93"/>
      <c r="CX489" s="51"/>
      <c r="CY489" s="51"/>
      <c r="CZ489" s="51"/>
      <c r="DA489" s="51"/>
      <c r="DB489" s="92"/>
      <c r="DC489" s="92"/>
      <c r="DD489" s="51"/>
      <c r="DE489" s="51"/>
      <c r="DF489" s="51"/>
      <c r="DG489" s="93"/>
      <c r="DH489" s="93"/>
      <c r="DI489" s="699"/>
      <c r="DJ489" s="93"/>
      <c r="DK489" s="93"/>
      <c r="DL489" s="93"/>
      <c r="DM489" s="93"/>
      <c r="DN489" s="93"/>
      <c r="DO489" s="93"/>
      <c r="DP489" s="93"/>
      <c r="DQ489" s="93"/>
      <c r="DR489" s="93"/>
      <c r="DS489" s="93"/>
      <c r="DT489" s="93"/>
      <c r="DU489" s="93"/>
      <c r="DV489" s="93"/>
      <c r="DW489" s="93"/>
      <c r="DX489" s="79"/>
    </row>
    <row r="490" spans="1:128">
      <c r="A490" s="114"/>
      <c r="B490" s="92"/>
      <c r="C490" s="51"/>
      <c r="D490" s="51"/>
      <c r="E490" s="51"/>
      <c r="F490" s="51"/>
      <c r="G490" s="205"/>
      <c r="H490" s="293"/>
      <c r="I490" s="291"/>
      <c r="J490" s="51"/>
      <c r="K490" s="51"/>
      <c r="L490" s="51"/>
      <c r="M490" s="51"/>
      <c r="N490" s="51"/>
      <c r="O490" s="92"/>
      <c r="P490" s="92"/>
      <c r="Q490" s="699"/>
      <c r="R490" s="93"/>
      <c r="S490" s="93"/>
      <c r="T490" s="93"/>
      <c r="U490" s="51"/>
      <c r="V490" s="51"/>
      <c r="W490" s="92"/>
      <c r="X490" s="293"/>
      <c r="Y490" s="161"/>
      <c r="Z490" s="205"/>
      <c r="AA490" s="51"/>
      <c r="AB490" s="93"/>
      <c r="AC490" s="93"/>
      <c r="AD490" s="93"/>
      <c r="AE490" s="93"/>
      <c r="AF490" s="79"/>
      <c r="AG490" s="51"/>
      <c r="AH490" s="51"/>
      <c r="AI490" s="51"/>
      <c r="AJ490" s="51"/>
      <c r="AK490" s="51"/>
      <c r="AL490" s="51"/>
      <c r="AM490" s="92"/>
      <c r="AN490" s="293"/>
      <c r="AO490" s="161"/>
      <c r="AP490" s="205"/>
      <c r="AQ490" s="51"/>
      <c r="AR490" s="92"/>
      <c r="AS490" s="51"/>
      <c r="AT490" s="51"/>
      <c r="AU490" s="51"/>
      <c r="AV490" s="82"/>
      <c r="AW490" s="699"/>
      <c r="AX490" s="93"/>
      <c r="AY490" s="93"/>
      <c r="AZ490" s="51"/>
      <c r="BA490" s="51"/>
      <c r="BB490" s="51"/>
      <c r="BC490" s="51"/>
      <c r="BD490" s="161"/>
      <c r="BE490" s="161"/>
      <c r="BF490" s="291"/>
      <c r="BG490" s="51"/>
      <c r="BH490" s="51"/>
      <c r="BI490" s="51"/>
      <c r="BJ490" s="92"/>
      <c r="BK490" s="92"/>
      <c r="BL490" s="113"/>
      <c r="BM490" s="51"/>
      <c r="BN490" s="1"/>
      <c r="BO490" s="52"/>
      <c r="BP490" s="51"/>
      <c r="BQ490" s="51"/>
      <c r="BR490" s="51"/>
      <c r="BS490" s="51"/>
      <c r="BT490" s="161"/>
      <c r="BU490" s="161"/>
      <c r="BV490" s="291"/>
      <c r="BW490" s="51"/>
      <c r="BX490" s="51"/>
      <c r="BY490" s="51"/>
      <c r="BZ490" s="51"/>
      <c r="CA490" s="92"/>
      <c r="CB490" s="113"/>
      <c r="CC490" s="699"/>
      <c r="CD490" s="93"/>
      <c r="CE490" s="51"/>
      <c r="CF490" s="51"/>
      <c r="CG490" s="51"/>
      <c r="CH490" s="291"/>
      <c r="CI490" s="161"/>
      <c r="CJ490" s="161"/>
      <c r="CK490" s="51"/>
      <c r="CL490" s="51"/>
      <c r="CM490" s="51"/>
      <c r="CN490" s="93"/>
      <c r="CO490" s="93"/>
      <c r="CP490" s="93"/>
      <c r="CQ490" s="93"/>
      <c r="CR490" s="93"/>
      <c r="CS490" s="699"/>
      <c r="CT490" s="93"/>
      <c r="CU490" s="93"/>
      <c r="CV490" s="92"/>
      <c r="CW490" s="51"/>
      <c r="CX490" s="206"/>
      <c r="CY490" s="206"/>
      <c r="CZ490" s="293"/>
      <c r="DA490" s="92"/>
      <c r="DB490" s="51"/>
      <c r="DC490" s="51"/>
      <c r="DD490" s="51"/>
      <c r="DE490" s="51"/>
      <c r="DF490" s="93"/>
      <c r="DG490" s="93"/>
      <c r="DH490" s="93"/>
      <c r="DI490" s="699"/>
      <c r="DJ490" s="93"/>
      <c r="DK490" s="93"/>
      <c r="DL490" s="93"/>
      <c r="DM490" s="93"/>
      <c r="DN490" s="51"/>
      <c r="DO490" s="291"/>
      <c r="DP490" s="291"/>
      <c r="DQ490" s="161"/>
      <c r="DR490" s="51"/>
      <c r="DS490" s="51"/>
      <c r="DT490" s="93"/>
      <c r="DU490" s="93"/>
      <c r="DV490" s="93"/>
      <c r="DW490" s="93"/>
      <c r="DX490" s="79"/>
    </row>
    <row r="491" spans="1:128">
      <c r="A491" s="114"/>
      <c r="B491" s="51"/>
      <c r="C491" s="92"/>
      <c r="D491" s="92"/>
      <c r="E491" s="92"/>
      <c r="F491" s="205"/>
      <c r="G491" s="293"/>
      <c r="H491" s="291"/>
      <c r="I491" s="161"/>
      <c r="J491" s="291"/>
      <c r="K491" s="92"/>
      <c r="L491" s="92"/>
      <c r="M491" s="92"/>
      <c r="N491" s="92"/>
      <c r="O491" s="51"/>
      <c r="P491" s="51"/>
      <c r="Q491" s="699"/>
      <c r="R491" s="93"/>
      <c r="S491" s="93"/>
      <c r="T491" s="93"/>
      <c r="U491" s="92"/>
      <c r="V491" s="92"/>
      <c r="W491" s="293"/>
      <c r="X491" s="161"/>
      <c r="Y491" s="291"/>
      <c r="Z491" s="292"/>
      <c r="AA491" s="205"/>
      <c r="AB491" s="92"/>
      <c r="AC491" s="92"/>
      <c r="AD491" s="93"/>
      <c r="AE491" s="93"/>
      <c r="AF491" s="79"/>
      <c r="AG491" s="51"/>
      <c r="AH491" s="51"/>
      <c r="AI491" s="51"/>
      <c r="AJ491" s="51"/>
      <c r="AK491" s="51"/>
      <c r="AL491" s="51"/>
      <c r="AM491" s="293"/>
      <c r="AN491" s="161"/>
      <c r="AO491" s="292"/>
      <c r="AP491" s="292"/>
      <c r="AQ491" s="205"/>
      <c r="AR491" s="92"/>
      <c r="AS491" s="51"/>
      <c r="AT491" s="51"/>
      <c r="AU491" s="51"/>
      <c r="AV491" s="82"/>
      <c r="AW491" s="699"/>
      <c r="AX491" s="93"/>
      <c r="AY491" s="93"/>
      <c r="AZ491" s="92"/>
      <c r="BA491" s="92"/>
      <c r="BB491" s="92"/>
      <c r="BC491" s="161"/>
      <c r="BD491" s="161"/>
      <c r="BE491" s="206"/>
      <c r="BF491" s="206"/>
      <c r="BG491" s="291"/>
      <c r="BH491" s="92"/>
      <c r="BI491" s="92"/>
      <c r="BJ491" s="92"/>
      <c r="BK491" s="92"/>
      <c r="BL491" s="82"/>
      <c r="BM491" s="51"/>
      <c r="BN491" s="1"/>
      <c r="BO491" s="1"/>
      <c r="BP491" s="92"/>
      <c r="BQ491" s="92"/>
      <c r="BR491" s="92"/>
      <c r="BS491" s="64"/>
      <c r="BT491" s="161"/>
      <c r="BU491" s="206"/>
      <c r="BV491" s="161"/>
      <c r="BW491" s="64"/>
      <c r="BX491" s="92"/>
      <c r="BY491" s="92"/>
      <c r="BZ491" s="92"/>
      <c r="CA491" s="92"/>
      <c r="CB491" s="82"/>
      <c r="CC491" s="699"/>
      <c r="CD491" s="93"/>
      <c r="CE491" s="92"/>
      <c r="CF491" s="92"/>
      <c r="CG491" s="291"/>
      <c r="CH491" s="206"/>
      <c r="CI491" s="206"/>
      <c r="CJ491" s="161"/>
      <c r="CK491" s="161"/>
      <c r="CL491" s="92"/>
      <c r="CM491" s="92"/>
      <c r="CN491" s="93"/>
      <c r="CO491" s="93"/>
      <c r="CP491" s="93"/>
      <c r="CQ491" s="93"/>
      <c r="CR491" s="93"/>
      <c r="CS491" s="699"/>
      <c r="CT491" s="93"/>
      <c r="CU491" s="93"/>
      <c r="CV491" s="92"/>
      <c r="CW491" s="206"/>
      <c r="CX491" s="206"/>
      <c r="CY491" s="206"/>
      <c r="CZ491" s="161"/>
      <c r="DA491" s="293"/>
      <c r="DB491" s="51"/>
      <c r="DC491" s="51"/>
      <c r="DD491" s="51"/>
      <c r="DE491" s="51"/>
      <c r="DF491" s="93"/>
      <c r="DG491" s="93"/>
      <c r="DH491" s="93"/>
      <c r="DI491" s="699"/>
      <c r="DJ491" s="93"/>
      <c r="DK491" s="93"/>
      <c r="DL491" s="92"/>
      <c r="DM491" s="92"/>
      <c r="DN491" s="206"/>
      <c r="DO491" s="205"/>
      <c r="DP491" s="205"/>
      <c r="DQ491" s="161"/>
      <c r="DR491" s="293"/>
      <c r="DS491" s="92"/>
      <c r="DT491" s="93"/>
      <c r="DU491" s="93"/>
      <c r="DV491" s="93"/>
      <c r="DW491" s="93"/>
      <c r="DX491" s="79"/>
    </row>
    <row r="492" spans="1:128">
      <c r="A492" s="114"/>
      <c r="B492" s="92"/>
      <c r="C492" s="92"/>
      <c r="D492" s="92"/>
      <c r="E492" s="92"/>
      <c r="F492" s="161"/>
      <c r="G492" s="291"/>
      <c r="H492" s="291"/>
      <c r="I492" s="291"/>
      <c r="J492" s="291"/>
      <c r="K492" s="92"/>
      <c r="L492" s="92"/>
      <c r="M492" s="92"/>
      <c r="N492" s="92"/>
      <c r="O492" s="51"/>
      <c r="P492" s="92"/>
      <c r="Q492" s="699"/>
      <c r="R492" s="93"/>
      <c r="S492" s="93"/>
      <c r="T492" s="93"/>
      <c r="U492" s="92"/>
      <c r="V492" s="92"/>
      <c r="W492" s="161"/>
      <c r="X492" s="291"/>
      <c r="Y492" s="292"/>
      <c r="Z492" s="205"/>
      <c r="AA492" s="205"/>
      <c r="AB492" s="92"/>
      <c r="AC492" s="92"/>
      <c r="AD492" s="93"/>
      <c r="AE492" s="93"/>
      <c r="AF492" s="79"/>
      <c r="AG492" s="51"/>
      <c r="AH492" s="51"/>
      <c r="AI492" s="51"/>
      <c r="AJ492" s="51"/>
      <c r="AK492" s="51"/>
      <c r="AL492" s="51"/>
      <c r="AM492" s="161"/>
      <c r="AN492" s="292"/>
      <c r="AO492" s="292"/>
      <c r="AP492" s="205"/>
      <c r="AQ492" s="205"/>
      <c r="AR492" s="92"/>
      <c r="AS492" s="51"/>
      <c r="AT492" s="51"/>
      <c r="AU492" s="51"/>
      <c r="AV492" s="82"/>
      <c r="AW492" s="699"/>
      <c r="AX492" s="93"/>
      <c r="AY492" s="93"/>
      <c r="AZ492" s="92"/>
      <c r="BA492" s="92"/>
      <c r="BB492" s="92"/>
      <c r="BC492" s="291"/>
      <c r="BD492" s="206"/>
      <c r="BE492" s="206"/>
      <c r="BF492" s="206"/>
      <c r="BG492" s="291"/>
      <c r="BH492" s="92"/>
      <c r="BI492" s="92"/>
      <c r="BJ492" s="51"/>
      <c r="BK492" s="51"/>
      <c r="BL492" s="113"/>
      <c r="BM492" s="51"/>
      <c r="BN492" s="52"/>
      <c r="BO492" s="1"/>
      <c r="BP492" s="92"/>
      <c r="BQ492" s="92"/>
      <c r="BR492" s="92"/>
      <c r="BS492" s="161"/>
      <c r="BT492" s="206"/>
      <c r="BU492" s="206"/>
      <c r="BV492" s="206"/>
      <c r="BW492" s="291"/>
      <c r="BX492" s="92"/>
      <c r="BY492" s="92"/>
      <c r="BZ492" s="92"/>
      <c r="CA492" s="51"/>
      <c r="CB492" s="113"/>
      <c r="CC492" s="699"/>
      <c r="CD492" s="93"/>
      <c r="CE492" s="92"/>
      <c r="CF492" s="92"/>
      <c r="CG492" s="206"/>
      <c r="CH492" s="206"/>
      <c r="CI492" s="206"/>
      <c r="CJ492" s="291"/>
      <c r="CK492" s="64"/>
      <c r="CL492" s="92"/>
      <c r="CM492" s="92"/>
      <c r="CN492" s="93"/>
      <c r="CO492" s="93"/>
      <c r="CP492" s="93"/>
      <c r="CQ492" s="93"/>
      <c r="CR492" s="93"/>
      <c r="CS492" s="699"/>
      <c r="CT492" s="93"/>
      <c r="CU492" s="93"/>
      <c r="CV492" s="92"/>
      <c r="CW492" s="291"/>
      <c r="CX492" s="292"/>
      <c r="CY492" s="292"/>
      <c r="CZ492" s="292"/>
      <c r="DA492" s="161"/>
      <c r="DB492" s="51"/>
      <c r="DC492" s="51"/>
      <c r="DD492" s="51"/>
      <c r="DE492" s="51"/>
      <c r="DF492" s="93"/>
      <c r="DG492" s="93"/>
      <c r="DH492" s="93"/>
      <c r="DI492" s="699"/>
      <c r="DJ492" s="93"/>
      <c r="DK492" s="93"/>
      <c r="DL492" s="92"/>
      <c r="DM492" s="92"/>
      <c r="DN492" s="205"/>
      <c r="DO492" s="205"/>
      <c r="DP492" s="161"/>
      <c r="DQ492" s="293"/>
      <c r="DR492" s="293"/>
      <c r="DS492" s="92"/>
      <c r="DT492" s="93"/>
      <c r="DU492" s="93"/>
      <c r="DV492" s="93"/>
      <c r="DW492" s="93"/>
      <c r="DX492" s="79"/>
    </row>
    <row r="493" spans="1:128">
      <c r="A493" s="114"/>
      <c r="B493" s="92"/>
      <c r="C493" s="92"/>
      <c r="D493" s="92"/>
      <c r="E493" s="92"/>
      <c r="F493" s="64"/>
      <c r="G493" s="161"/>
      <c r="H493" s="305"/>
      <c r="I493" s="161"/>
      <c r="J493" s="54"/>
      <c r="K493" s="92"/>
      <c r="L493" s="92"/>
      <c r="M493" s="92"/>
      <c r="N493" s="92"/>
      <c r="O493" s="51"/>
      <c r="P493" s="92"/>
      <c r="Q493" s="699"/>
      <c r="R493" s="93"/>
      <c r="S493" s="93"/>
      <c r="T493" s="93"/>
      <c r="U493" s="92"/>
      <c r="V493" s="92"/>
      <c r="W493" s="161"/>
      <c r="X493" s="305"/>
      <c r="Y493" s="205"/>
      <c r="Z493" s="290"/>
      <c r="AA493" s="290"/>
      <c r="AB493" s="92"/>
      <c r="AC493" s="92"/>
      <c r="AD493" s="93"/>
      <c r="AE493" s="93"/>
      <c r="AF493" s="79"/>
      <c r="AG493" s="51"/>
      <c r="AH493" s="51"/>
      <c r="AI493" s="51"/>
      <c r="AJ493" s="51"/>
      <c r="AK493" s="92"/>
      <c r="AL493" s="92"/>
      <c r="AM493" s="206"/>
      <c r="AN493" s="294"/>
      <c r="AO493" s="294"/>
      <c r="AP493" s="290"/>
      <c r="AQ493" s="290"/>
      <c r="AR493" s="92"/>
      <c r="AS493" s="51"/>
      <c r="AT493" s="51"/>
      <c r="AU493" s="51"/>
      <c r="AV493" s="82"/>
      <c r="AW493" s="699"/>
      <c r="AX493" s="93"/>
      <c r="AY493" s="93"/>
      <c r="AZ493" s="92"/>
      <c r="BA493" s="92"/>
      <c r="BB493" s="92"/>
      <c r="BC493" s="206"/>
      <c r="BD493" s="294"/>
      <c r="BE493" s="290"/>
      <c r="BF493" s="290"/>
      <c r="BG493" s="290"/>
      <c r="BH493" s="92"/>
      <c r="BI493" s="92"/>
      <c r="BJ493" s="51"/>
      <c r="BK493" s="51"/>
      <c r="BL493" s="113"/>
      <c r="BM493" s="51"/>
      <c r="BN493" s="52"/>
      <c r="BO493" s="52"/>
      <c r="BP493" s="92"/>
      <c r="BQ493" s="92"/>
      <c r="BR493" s="92"/>
      <c r="BS493" s="206"/>
      <c r="BT493" s="206"/>
      <c r="BU493" s="206"/>
      <c r="BV493" s="206"/>
      <c r="BW493" s="291"/>
      <c r="BX493" s="92"/>
      <c r="BY493" s="92"/>
      <c r="BZ493" s="92"/>
      <c r="CA493" s="51"/>
      <c r="CB493" s="113"/>
      <c r="CC493" s="699"/>
      <c r="CD493" s="93"/>
      <c r="CE493" s="92"/>
      <c r="CF493" s="92"/>
      <c r="CG493" s="290"/>
      <c r="CH493" s="290"/>
      <c r="CI493" s="290"/>
      <c r="CJ493" s="294"/>
      <c r="CK493" s="206"/>
      <c r="CL493" s="92"/>
      <c r="CM493" s="92"/>
      <c r="CN493" s="93"/>
      <c r="CO493" s="93"/>
      <c r="CP493" s="93"/>
      <c r="CQ493" s="93"/>
      <c r="CR493" s="93"/>
      <c r="CS493" s="699"/>
      <c r="CT493" s="93"/>
      <c r="CU493" s="93"/>
      <c r="CV493" s="92"/>
      <c r="CW493" s="290"/>
      <c r="CX493" s="290"/>
      <c r="CY493" s="294"/>
      <c r="CZ493" s="294"/>
      <c r="DA493" s="206"/>
      <c r="DB493" s="92"/>
      <c r="DC493" s="92"/>
      <c r="DD493" s="51"/>
      <c r="DE493" s="51"/>
      <c r="DF493" s="93"/>
      <c r="DG493" s="93"/>
      <c r="DH493" s="93"/>
      <c r="DI493" s="699"/>
      <c r="DJ493" s="93"/>
      <c r="DK493" s="93"/>
      <c r="DL493" s="92"/>
      <c r="DM493" s="92"/>
      <c r="DN493" s="290"/>
      <c r="DO493" s="290"/>
      <c r="DP493" s="161"/>
      <c r="DQ493" s="36"/>
      <c r="DR493" s="161"/>
      <c r="DS493" s="92"/>
      <c r="DT493" s="93"/>
      <c r="DU493" s="93"/>
      <c r="DV493" s="93"/>
      <c r="DW493" s="93"/>
      <c r="DX493" s="79"/>
    </row>
    <row r="494" spans="1:128">
      <c r="A494" s="114"/>
      <c r="B494" s="92"/>
      <c r="C494" s="92"/>
      <c r="D494" s="92"/>
      <c r="E494" s="92"/>
      <c r="F494" s="294"/>
      <c r="G494" s="36"/>
      <c r="H494" s="36"/>
      <c r="I494" s="36"/>
      <c r="J494" s="298"/>
      <c r="K494" s="92"/>
      <c r="L494" s="92"/>
      <c r="M494" s="92"/>
      <c r="N494" s="92"/>
      <c r="O494" s="51"/>
      <c r="P494" s="92"/>
      <c r="Q494" s="699"/>
      <c r="R494" s="93"/>
      <c r="S494" s="93"/>
      <c r="T494" s="93"/>
      <c r="U494" s="92"/>
      <c r="V494" s="92"/>
      <c r="W494" s="36"/>
      <c r="X494" s="36"/>
      <c r="Y494" s="64"/>
      <c r="Z494" s="294"/>
      <c r="AA494" s="290"/>
      <c r="AB494" s="92"/>
      <c r="AC494" s="92"/>
      <c r="AD494" s="93"/>
      <c r="AE494" s="93"/>
      <c r="AF494" s="79"/>
      <c r="AG494" s="51"/>
      <c r="AH494" s="51"/>
      <c r="AI494" s="51"/>
      <c r="AJ494" s="51"/>
      <c r="AK494" s="51"/>
      <c r="AL494" s="51"/>
      <c r="AM494" s="305"/>
      <c r="AN494" s="36"/>
      <c r="AO494" s="294"/>
      <c r="AP494" s="290"/>
      <c r="AQ494" s="290"/>
      <c r="AR494" s="51"/>
      <c r="AS494" s="92"/>
      <c r="AT494" s="51"/>
      <c r="AU494" s="51"/>
      <c r="AV494" s="82"/>
      <c r="AW494" s="699"/>
      <c r="AX494" s="93"/>
      <c r="AY494" s="93"/>
      <c r="AZ494" s="92"/>
      <c r="BA494" s="92"/>
      <c r="BB494" s="92"/>
      <c r="BC494" s="305"/>
      <c r="BD494" s="294"/>
      <c r="BE494" s="290"/>
      <c r="BF494" s="290"/>
      <c r="BG494" s="290"/>
      <c r="BH494" s="92"/>
      <c r="BI494" s="92"/>
      <c r="BJ494" s="51"/>
      <c r="BK494" s="51"/>
      <c r="BL494" s="113"/>
      <c r="BM494" s="51"/>
      <c r="BN494" s="52"/>
      <c r="BO494" s="52"/>
      <c r="BP494" s="92"/>
      <c r="BQ494" s="92"/>
      <c r="BR494" s="92"/>
      <c r="BS494" s="294"/>
      <c r="BT494" s="290"/>
      <c r="BU494" s="290"/>
      <c r="BV494" s="290"/>
      <c r="BW494" s="290"/>
      <c r="BX494" s="92"/>
      <c r="BY494" s="92"/>
      <c r="BZ494" s="92"/>
      <c r="CA494" s="51"/>
      <c r="CB494" s="113"/>
      <c r="CC494" s="699"/>
      <c r="CD494" s="93"/>
      <c r="CE494" s="92"/>
      <c r="CF494" s="92"/>
      <c r="CG494" s="290"/>
      <c r="CH494" s="290"/>
      <c r="CI494" s="290"/>
      <c r="CJ494" s="294"/>
      <c r="CK494" s="305"/>
      <c r="CL494" s="92"/>
      <c r="CM494" s="92"/>
      <c r="CN494" s="93"/>
      <c r="CO494" s="93"/>
      <c r="CP494" s="93"/>
      <c r="CQ494" s="93"/>
      <c r="CR494" s="93"/>
      <c r="CS494" s="699"/>
      <c r="CT494" s="93"/>
      <c r="CU494" s="93"/>
      <c r="CV494" s="51"/>
      <c r="CW494" s="290"/>
      <c r="CX494" s="290"/>
      <c r="CY494" s="294"/>
      <c r="CZ494" s="36"/>
      <c r="DA494" s="305"/>
      <c r="DB494" s="51"/>
      <c r="DC494" s="51"/>
      <c r="DD494" s="51"/>
      <c r="DE494" s="51"/>
      <c r="DF494" s="93"/>
      <c r="DG494" s="93"/>
      <c r="DH494" s="93"/>
      <c r="DI494" s="699"/>
      <c r="DJ494" s="93"/>
      <c r="DK494" s="93"/>
      <c r="DL494" s="92"/>
      <c r="DM494" s="92"/>
      <c r="DN494" s="290"/>
      <c r="DO494" s="290"/>
      <c r="DP494" s="64"/>
      <c r="DQ494" s="64"/>
      <c r="DR494" s="36"/>
      <c r="DS494" s="92"/>
      <c r="DT494" s="93"/>
      <c r="DU494" s="93"/>
      <c r="DV494" s="93"/>
      <c r="DW494" s="93"/>
      <c r="DX494" s="79"/>
    </row>
    <row r="495" spans="1:128">
      <c r="A495" s="114"/>
      <c r="B495" s="92"/>
      <c r="C495" s="92"/>
      <c r="D495" s="51"/>
      <c r="E495" s="51"/>
      <c r="F495" s="51"/>
      <c r="G495" s="305"/>
      <c r="H495" s="201"/>
      <c r="I495" s="305"/>
      <c r="J495" s="51"/>
      <c r="K495" s="51"/>
      <c r="L495" s="51"/>
      <c r="M495" s="92"/>
      <c r="N495" s="51"/>
      <c r="O495" s="51"/>
      <c r="P495" s="92"/>
      <c r="Q495" s="699"/>
      <c r="R495" s="93"/>
      <c r="S495" s="93"/>
      <c r="T495" s="51"/>
      <c r="U495" s="92"/>
      <c r="V495" s="51"/>
      <c r="W495" s="92"/>
      <c r="X495" s="201"/>
      <c r="Y495" s="36"/>
      <c r="Z495" s="64"/>
      <c r="AA495" s="51"/>
      <c r="AB495" s="51"/>
      <c r="AC495" s="51"/>
      <c r="AD495" s="93"/>
      <c r="AE495" s="93"/>
      <c r="AF495" s="79"/>
      <c r="AG495" s="51"/>
      <c r="AH495" s="51"/>
      <c r="AI495" s="51"/>
      <c r="AJ495" s="51"/>
      <c r="AK495" s="51"/>
      <c r="AL495" s="51"/>
      <c r="AM495" s="201"/>
      <c r="AN495" s="305"/>
      <c r="AO495" s="56"/>
      <c r="AP495" s="56"/>
      <c r="AQ495" s="51"/>
      <c r="AR495" s="51"/>
      <c r="AS495" s="92"/>
      <c r="AT495" s="51"/>
      <c r="AU495" s="51"/>
      <c r="AV495" s="82"/>
      <c r="AW495" s="699"/>
      <c r="AX495" s="93"/>
      <c r="AY495" s="93"/>
      <c r="AZ495" s="92"/>
      <c r="BA495" s="51"/>
      <c r="BB495" s="51"/>
      <c r="BC495" s="201"/>
      <c r="BD495" s="305"/>
      <c r="BE495" s="201"/>
      <c r="BF495" s="290"/>
      <c r="BG495" s="51"/>
      <c r="BH495" s="51"/>
      <c r="BI495" s="92"/>
      <c r="BJ495" s="51"/>
      <c r="BK495" s="51"/>
      <c r="BL495" s="113"/>
      <c r="BM495" s="51"/>
      <c r="BN495" s="52"/>
      <c r="BO495" s="52"/>
      <c r="BP495" s="92"/>
      <c r="BQ495" s="51"/>
      <c r="BR495" s="51"/>
      <c r="BS495" s="51"/>
      <c r="BT495" s="290"/>
      <c r="BU495" s="290"/>
      <c r="BV495" s="290"/>
      <c r="BW495" s="51"/>
      <c r="BX495" s="51"/>
      <c r="BY495" s="51"/>
      <c r="BZ495" s="92"/>
      <c r="CA495" s="51"/>
      <c r="CB495" s="113"/>
      <c r="CC495" s="699"/>
      <c r="CD495" s="93"/>
      <c r="CE495" s="92"/>
      <c r="CF495" s="51"/>
      <c r="CG495" s="51"/>
      <c r="CH495" s="290"/>
      <c r="CI495" s="201"/>
      <c r="CJ495" s="305"/>
      <c r="CK495" s="201"/>
      <c r="CL495" s="51"/>
      <c r="CM495" s="51"/>
      <c r="CN495" s="93"/>
      <c r="CO495" s="93"/>
      <c r="CP495" s="93"/>
      <c r="CQ495" s="93"/>
      <c r="CR495" s="93"/>
      <c r="CS495" s="699"/>
      <c r="CT495" s="93"/>
      <c r="CU495" s="93"/>
      <c r="CV495" s="51"/>
      <c r="CW495" s="51"/>
      <c r="CX495" s="56"/>
      <c r="CY495" s="56"/>
      <c r="CZ495" s="305"/>
      <c r="DA495" s="201"/>
      <c r="DB495" s="51"/>
      <c r="DC495" s="51"/>
      <c r="DD495" s="51"/>
      <c r="DE495" s="51"/>
      <c r="DF495" s="93"/>
      <c r="DG495" s="93"/>
      <c r="DH495" s="93"/>
      <c r="DI495" s="699"/>
      <c r="DJ495" s="93"/>
      <c r="DK495" s="93"/>
      <c r="DL495" s="51"/>
      <c r="DM495" s="51"/>
      <c r="DN495" s="51"/>
      <c r="DO495" s="64"/>
      <c r="DP495" s="36"/>
      <c r="DQ495" s="201"/>
      <c r="DR495" s="92"/>
      <c r="DS495" s="51"/>
      <c r="DT495" s="93"/>
      <c r="DU495" s="93"/>
      <c r="DV495" s="93"/>
      <c r="DW495" s="93"/>
      <c r="DX495" s="79"/>
    </row>
    <row r="496" spans="1:128">
      <c r="A496" s="114"/>
      <c r="B496" s="51"/>
      <c r="C496" s="92"/>
      <c r="D496" s="92"/>
      <c r="E496" s="92"/>
      <c r="F496" s="205"/>
      <c r="G496" s="64"/>
      <c r="H496" s="305"/>
      <c r="I496" s="64"/>
      <c r="J496" s="291"/>
      <c r="K496" s="92"/>
      <c r="L496" s="92"/>
      <c r="M496" s="92"/>
      <c r="N496" s="92"/>
      <c r="O496" s="51"/>
      <c r="P496" s="51"/>
      <c r="Q496" s="699"/>
      <c r="R496" s="93"/>
      <c r="S496" s="93"/>
      <c r="T496" s="93"/>
      <c r="U496" s="92"/>
      <c r="V496" s="92"/>
      <c r="W496" s="92"/>
      <c r="X496" s="305"/>
      <c r="Y496" s="291"/>
      <c r="Z496" s="205"/>
      <c r="AA496" s="92"/>
      <c r="AB496" s="92"/>
      <c r="AC496" s="92"/>
      <c r="AD496" s="93"/>
      <c r="AE496" s="93"/>
      <c r="AF496" s="79"/>
      <c r="AG496" s="51"/>
      <c r="AH496" s="51"/>
      <c r="AI496" s="51"/>
      <c r="AJ496" s="51"/>
      <c r="AK496" s="51"/>
      <c r="AL496" s="51"/>
      <c r="AM496" s="92"/>
      <c r="AN496" s="36"/>
      <c r="AO496" s="161"/>
      <c r="AP496" s="291"/>
      <c r="AQ496" s="92"/>
      <c r="AR496" s="51"/>
      <c r="AS496" s="92"/>
      <c r="AT496" s="51"/>
      <c r="AU496" s="51"/>
      <c r="AV496" s="82"/>
      <c r="AW496" s="699"/>
      <c r="AX496" s="93"/>
      <c r="AY496" s="93"/>
      <c r="AZ496" s="92"/>
      <c r="BA496" s="92"/>
      <c r="BB496" s="92"/>
      <c r="BC496" s="92"/>
      <c r="BD496" s="291"/>
      <c r="BE496" s="205"/>
      <c r="BF496" s="205"/>
      <c r="BG496" s="92"/>
      <c r="BH496" s="92"/>
      <c r="BI496" s="92"/>
      <c r="BJ496" s="51"/>
      <c r="BK496" s="51"/>
      <c r="BL496" s="82"/>
      <c r="BM496" s="51"/>
      <c r="BN496" s="51"/>
      <c r="BO496" s="52"/>
      <c r="BP496" s="92"/>
      <c r="BQ496" s="92"/>
      <c r="BR496" s="92"/>
      <c r="BS496" s="64"/>
      <c r="BT496" s="291"/>
      <c r="BU496" s="291"/>
      <c r="BV496" s="291"/>
      <c r="BW496" s="64"/>
      <c r="BX496" s="92"/>
      <c r="BY496" s="92"/>
      <c r="BZ496" s="92"/>
      <c r="CA496" s="51"/>
      <c r="CB496" s="82"/>
      <c r="CC496" s="699"/>
      <c r="CD496" s="93"/>
      <c r="CE496" s="92"/>
      <c r="CF496" s="92"/>
      <c r="CG496" s="92"/>
      <c r="CH496" s="206"/>
      <c r="CI496" s="206"/>
      <c r="CJ496" s="291"/>
      <c r="CK496" s="92"/>
      <c r="CL496" s="92"/>
      <c r="CM496" s="92"/>
      <c r="CN496" s="93"/>
      <c r="CO496" s="93"/>
      <c r="CP496" s="93"/>
      <c r="CQ496" s="93"/>
      <c r="CR496" s="93"/>
      <c r="CS496" s="699"/>
      <c r="CT496" s="93"/>
      <c r="CU496" s="93"/>
      <c r="CV496" s="51"/>
      <c r="CW496" s="92"/>
      <c r="CX496" s="206"/>
      <c r="CY496" s="161"/>
      <c r="CZ496" s="36"/>
      <c r="DA496" s="92"/>
      <c r="DB496" s="51"/>
      <c r="DC496" s="51"/>
      <c r="DD496" s="51"/>
      <c r="DE496" s="51"/>
      <c r="DF496" s="93"/>
      <c r="DG496" s="93"/>
      <c r="DH496" s="93"/>
      <c r="DI496" s="699"/>
      <c r="DJ496" s="93"/>
      <c r="DK496" s="93"/>
      <c r="DL496" s="92"/>
      <c r="DM496" s="92"/>
      <c r="DN496" s="92"/>
      <c r="DO496" s="291"/>
      <c r="DP496" s="291"/>
      <c r="DQ496" s="64"/>
      <c r="DR496" s="92"/>
      <c r="DS496" s="92"/>
      <c r="DT496" s="93"/>
      <c r="DU496" s="93"/>
      <c r="DV496" s="93"/>
      <c r="DW496" s="93"/>
      <c r="DX496" s="79"/>
    </row>
    <row r="497" spans="1:128">
      <c r="A497" s="114"/>
      <c r="B497" s="92"/>
      <c r="C497" s="92"/>
      <c r="D497" s="92"/>
      <c r="E497" s="205"/>
      <c r="F497" s="291"/>
      <c r="G497" s="291"/>
      <c r="H497" s="64"/>
      <c r="I497" s="291"/>
      <c r="J497" s="161"/>
      <c r="K497" s="161"/>
      <c r="L497" s="92"/>
      <c r="M497" s="92"/>
      <c r="N497" s="92"/>
      <c r="O497" s="92"/>
      <c r="P497" s="92"/>
      <c r="Q497" s="699"/>
      <c r="R497" s="93"/>
      <c r="S497" s="93"/>
      <c r="T497" s="93"/>
      <c r="U497" s="92"/>
      <c r="V497" s="92"/>
      <c r="W497" s="293"/>
      <c r="X497" s="64"/>
      <c r="Y497" s="291"/>
      <c r="Z497" s="291"/>
      <c r="AA497" s="205"/>
      <c r="AB497" s="92"/>
      <c r="AC497" s="92"/>
      <c r="AD497" s="93"/>
      <c r="AE497" s="93"/>
      <c r="AF497" s="79"/>
      <c r="AG497" s="51"/>
      <c r="AH497" s="51"/>
      <c r="AI497" s="51"/>
      <c r="AJ497" s="51"/>
      <c r="AK497" s="51"/>
      <c r="AL497" s="51"/>
      <c r="AM497" s="92"/>
      <c r="AN497" s="161"/>
      <c r="AO497" s="161"/>
      <c r="AP497" s="291"/>
      <c r="AQ497" s="205"/>
      <c r="AR497" s="51"/>
      <c r="AS497" s="92"/>
      <c r="AT497" s="51"/>
      <c r="AU497" s="51"/>
      <c r="AV497" s="82"/>
      <c r="AW497" s="699"/>
      <c r="AX497" s="93"/>
      <c r="AY497" s="93"/>
      <c r="AZ497" s="51"/>
      <c r="BA497" s="92"/>
      <c r="BB497" s="92"/>
      <c r="BC497" s="297"/>
      <c r="BD497" s="291"/>
      <c r="BE497" s="206"/>
      <c r="BF497" s="291"/>
      <c r="BG497" s="205"/>
      <c r="BH497" s="92"/>
      <c r="BI497" s="92"/>
      <c r="BJ497" s="51"/>
      <c r="BK497" s="51"/>
      <c r="BL497" s="113"/>
      <c r="BM497" s="51"/>
      <c r="BN497" s="51"/>
      <c r="BO497" s="51"/>
      <c r="BP497" s="92"/>
      <c r="BQ497" s="92"/>
      <c r="BR497" s="64"/>
      <c r="BS497" s="291"/>
      <c r="BT497" s="291"/>
      <c r="BU497" s="206"/>
      <c r="BV497" s="291"/>
      <c r="BW497" s="291"/>
      <c r="BX497" s="64"/>
      <c r="BY497" s="92"/>
      <c r="BZ497" s="92"/>
      <c r="CA497" s="51"/>
      <c r="CB497" s="113"/>
      <c r="CC497" s="699"/>
      <c r="CD497" s="93"/>
      <c r="CE497" s="92"/>
      <c r="CF497" s="92"/>
      <c r="CG497" s="291"/>
      <c r="CH497" s="206"/>
      <c r="CI497" s="291"/>
      <c r="CJ497" s="291"/>
      <c r="CK497" s="293"/>
      <c r="CL497" s="92"/>
      <c r="CM497" s="92"/>
      <c r="CN497" s="93"/>
      <c r="CO497" s="93"/>
      <c r="CP497" s="93"/>
      <c r="CQ497" s="93"/>
      <c r="CR497" s="93"/>
      <c r="CS497" s="699"/>
      <c r="CT497" s="93"/>
      <c r="CU497" s="93"/>
      <c r="CV497" s="51"/>
      <c r="CW497" s="205"/>
      <c r="CX497" s="206"/>
      <c r="CY497" s="161"/>
      <c r="CZ497" s="161"/>
      <c r="DA497" s="92"/>
      <c r="DB497" s="51"/>
      <c r="DC497" s="51"/>
      <c r="DD497" s="51"/>
      <c r="DE497" s="51"/>
      <c r="DF497" s="93"/>
      <c r="DG497" s="93"/>
      <c r="DH497" s="93"/>
      <c r="DI497" s="699"/>
      <c r="DJ497" s="93"/>
      <c r="DK497" s="93"/>
      <c r="DL497" s="92"/>
      <c r="DM497" s="92"/>
      <c r="DN497" s="293"/>
      <c r="DO497" s="291"/>
      <c r="DP497" s="291"/>
      <c r="DQ497" s="64"/>
      <c r="DR497" s="161"/>
      <c r="DS497" s="92"/>
      <c r="DT497" s="93"/>
      <c r="DU497" s="93"/>
      <c r="DV497" s="93"/>
      <c r="DW497" s="93"/>
      <c r="DX497" s="79"/>
    </row>
    <row r="498" spans="1:128">
      <c r="A498" s="114"/>
      <c r="B498" s="92"/>
      <c r="C498" s="92"/>
      <c r="D498" s="205"/>
      <c r="E498" s="291"/>
      <c r="F498" s="297"/>
      <c r="G498" s="291"/>
      <c r="H498" s="297"/>
      <c r="I498" s="297"/>
      <c r="J498" s="293"/>
      <c r="K498" s="292"/>
      <c r="L498" s="293"/>
      <c r="M498" s="92"/>
      <c r="N498" s="51"/>
      <c r="O498" s="92"/>
      <c r="P498" s="92"/>
      <c r="Q498" s="699"/>
      <c r="R498" s="93"/>
      <c r="S498" s="93"/>
      <c r="T498" s="93"/>
      <c r="U498" s="92"/>
      <c r="V498" s="92"/>
      <c r="W498" s="161"/>
      <c r="X498" s="291"/>
      <c r="Y498" s="161"/>
      <c r="Z498" s="291"/>
      <c r="AA498" s="292"/>
      <c r="AB498" s="205"/>
      <c r="AC498" s="92"/>
      <c r="AD498" s="93"/>
      <c r="AE498" s="93"/>
      <c r="AF498" s="79"/>
      <c r="AG498" s="51"/>
      <c r="AH498" s="51"/>
      <c r="AI498" s="51"/>
      <c r="AJ498" s="51"/>
      <c r="AK498" s="51"/>
      <c r="AL498" s="51"/>
      <c r="AM498" s="51"/>
      <c r="AN498" s="64"/>
      <c r="AO498" s="161"/>
      <c r="AP498" s="54"/>
      <c r="AQ498" s="206"/>
      <c r="AR498" s="51"/>
      <c r="AS498" s="92"/>
      <c r="AT498" s="51"/>
      <c r="AU498" s="51"/>
      <c r="AV498" s="82"/>
      <c r="AW498" s="699"/>
      <c r="AX498" s="93"/>
      <c r="AY498" s="93"/>
      <c r="AZ498" s="51"/>
      <c r="BA498" s="92"/>
      <c r="BB498" s="64"/>
      <c r="BC498" s="291"/>
      <c r="BD498" s="291"/>
      <c r="BE498" s="206"/>
      <c r="BF498" s="292"/>
      <c r="BG498" s="205"/>
      <c r="BH498" s="205"/>
      <c r="BI498" s="92"/>
      <c r="BJ498" s="92"/>
      <c r="BK498" s="92"/>
      <c r="BL498" s="113"/>
      <c r="BM498" s="51"/>
      <c r="BN498" s="51"/>
      <c r="BO498" s="51"/>
      <c r="BP498" s="92"/>
      <c r="BQ498" s="64"/>
      <c r="BR498" s="291"/>
      <c r="BS498" s="291"/>
      <c r="BT498" s="291"/>
      <c r="BU498" s="206"/>
      <c r="BV498" s="161"/>
      <c r="BW498" s="206"/>
      <c r="BX498" s="292"/>
      <c r="BY498" s="64"/>
      <c r="BZ498" s="92"/>
      <c r="CA498" s="92"/>
      <c r="CB498" s="113"/>
      <c r="CC498" s="699"/>
      <c r="CD498" s="93"/>
      <c r="CE498" s="92"/>
      <c r="CF498" s="92"/>
      <c r="CG498" s="291"/>
      <c r="CH498" s="292"/>
      <c r="CI498" s="291"/>
      <c r="CJ498" s="205"/>
      <c r="CK498" s="64"/>
      <c r="CL498" s="64"/>
      <c r="CM498" s="92"/>
      <c r="CN498" s="93"/>
      <c r="CO498" s="93"/>
      <c r="CP498" s="93"/>
      <c r="CQ498" s="93"/>
      <c r="CR498" s="93"/>
      <c r="CS498" s="699"/>
      <c r="CT498" s="93"/>
      <c r="CU498" s="93"/>
      <c r="CV498" s="51"/>
      <c r="CW498" s="205"/>
      <c r="CX498" s="292"/>
      <c r="CY498" s="161"/>
      <c r="CZ498" s="64"/>
      <c r="DA498" s="51"/>
      <c r="DB498" s="51"/>
      <c r="DC498" s="51"/>
      <c r="DD498" s="51"/>
      <c r="DE498" s="51"/>
      <c r="DF498" s="93"/>
      <c r="DG498" s="93"/>
      <c r="DH498" s="93"/>
      <c r="DI498" s="699"/>
      <c r="DJ498" s="93"/>
      <c r="DK498" s="93"/>
      <c r="DL498" s="92"/>
      <c r="DM498" s="293"/>
      <c r="DN498" s="206"/>
      <c r="DO498" s="291"/>
      <c r="DP498" s="161"/>
      <c r="DQ498" s="291"/>
      <c r="DR498" s="161"/>
      <c r="DS498" s="64"/>
      <c r="DT498" s="93"/>
      <c r="DU498" s="93"/>
      <c r="DV498" s="93"/>
      <c r="DW498" s="93"/>
      <c r="DX498" s="79"/>
    </row>
    <row r="499" spans="1:128">
      <c r="A499" s="114"/>
      <c r="B499" s="92"/>
      <c r="C499" s="92"/>
      <c r="D499" s="205"/>
      <c r="E499" s="297"/>
      <c r="F499" s="293"/>
      <c r="G499" s="161"/>
      <c r="H499" s="64"/>
      <c r="I499" s="293"/>
      <c r="J499" s="297"/>
      <c r="K499" s="291"/>
      <c r="L499" s="64"/>
      <c r="M499" s="92"/>
      <c r="N499" s="51"/>
      <c r="O499" s="92"/>
      <c r="P499" s="51"/>
      <c r="Q499" s="699"/>
      <c r="R499" s="93"/>
      <c r="S499" s="93"/>
      <c r="T499" s="93"/>
      <c r="U499" s="92"/>
      <c r="V499" s="292"/>
      <c r="W499" s="64"/>
      <c r="X499" s="297"/>
      <c r="Y499" s="293"/>
      <c r="Z499" s="64"/>
      <c r="AA499" s="291"/>
      <c r="AB499" s="205"/>
      <c r="AC499" s="92"/>
      <c r="AD499" s="93"/>
      <c r="AE499" s="93"/>
      <c r="AF499" s="79"/>
      <c r="AG499" s="51"/>
      <c r="AH499" s="51"/>
      <c r="AI499" s="51"/>
      <c r="AJ499" s="51"/>
      <c r="AK499" s="51"/>
      <c r="AL499" s="51"/>
      <c r="AM499" s="51"/>
      <c r="AN499" s="64"/>
      <c r="AO499" s="161"/>
      <c r="AP499" s="161"/>
      <c r="AQ499" s="205"/>
      <c r="AR499" s="206"/>
      <c r="AS499" s="92"/>
      <c r="AT499" s="51"/>
      <c r="AU499" s="51"/>
      <c r="AV499" s="82"/>
      <c r="AW499" s="699"/>
      <c r="AX499" s="93"/>
      <c r="AY499" s="93"/>
      <c r="AZ499" s="51"/>
      <c r="BA499" s="92"/>
      <c r="BB499" s="297"/>
      <c r="BC499" s="291"/>
      <c r="BD499" s="206"/>
      <c r="BE499" s="291"/>
      <c r="BF499" s="292"/>
      <c r="BG499" s="205"/>
      <c r="BH499" s="292"/>
      <c r="BI499" s="92"/>
      <c r="BJ499" s="92"/>
      <c r="BK499" s="92"/>
      <c r="BL499" s="82"/>
      <c r="BM499" s="51"/>
      <c r="BN499" s="51"/>
      <c r="BO499" s="51"/>
      <c r="BP499" s="92"/>
      <c r="BQ499" s="293"/>
      <c r="BR499" s="291"/>
      <c r="BS499" s="206"/>
      <c r="BT499" s="291"/>
      <c r="BU499" s="291"/>
      <c r="BV499" s="161"/>
      <c r="BW499" s="205"/>
      <c r="BX499" s="291"/>
      <c r="BY499" s="205"/>
      <c r="BZ499" s="293"/>
      <c r="CA499" s="92"/>
      <c r="CB499" s="82"/>
      <c r="CC499" s="699"/>
      <c r="CD499" s="93"/>
      <c r="CE499" s="92"/>
      <c r="CF499" s="206"/>
      <c r="CG499" s="292"/>
      <c r="CH499" s="292"/>
      <c r="CI499" s="292"/>
      <c r="CJ499" s="205"/>
      <c r="CK499" s="291"/>
      <c r="CL499" s="293"/>
      <c r="CM499" s="51"/>
      <c r="CN499" s="93"/>
      <c r="CO499" s="93"/>
      <c r="CP499" s="93"/>
      <c r="CQ499" s="93"/>
      <c r="CR499" s="93"/>
      <c r="CS499" s="699"/>
      <c r="CT499" s="93"/>
      <c r="CU499" s="93"/>
      <c r="CV499" s="51"/>
      <c r="CW499" s="205"/>
      <c r="CX499" s="291"/>
      <c r="CY499" s="293"/>
      <c r="CZ499" s="292"/>
      <c r="DA499" s="64"/>
      <c r="DB499" s="51"/>
      <c r="DC499" s="93"/>
      <c r="DD499" s="93"/>
      <c r="DE499" s="93"/>
      <c r="DF499" s="93"/>
      <c r="DG499" s="93"/>
      <c r="DH499" s="93"/>
      <c r="DI499" s="699"/>
      <c r="DJ499" s="93"/>
      <c r="DK499" s="93"/>
      <c r="DL499" s="293"/>
      <c r="DM499" s="205"/>
      <c r="DN499" s="291"/>
      <c r="DO499" s="54"/>
      <c r="DP499" s="293"/>
      <c r="DQ499" s="297"/>
      <c r="DR499" s="161"/>
      <c r="DS499" s="293"/>
      <c r="DT499" s="93"/>
      <c r="DU499" s="93"/>
      <c r="DV499" s="93"/>
      <c r="DW499" s="93"/>
      <c r="DX499" s="79"/>
    </row>
    <row r="500" spans="1:128">
      <c r="A500" s="51"/>
      <c r="B500" s="51"/>
      <c r="C500" s="205"/>
      <c r="D500" s="205"/>
      <c r="E500" s="205"/>
      <c r="F500" s="291"/>
      <c r="G500" s="161"/>
      <c r="H500" s="293"/>
      <c r="I500" s="293"/>
      <c r="J500" s="64"/>
      <c r="K500" s="292"/>
      <c r="L500" s="291"/>
      <c r="M500" s="51"/>
      <c r="N500" s="51"/>
      <c r="O500" s="92"/>
      <c r="P500" s="92"/>
      <c r="Q500" s="699"/>
      <c r="R500" s="93"/>
      <c r="S500" s="93"/>
      <c r="T500" s="93"/>
      <c r="U500" s="51"/>
      <c r="V500" s="64"/>
      <c r="W500" s="291"/>
      <c r="X500" s="64"/>
      <c r="Y500" s="293"/>
      <c r="Z500" s="64"/>
      <c r="AA500" s="291"/>
      <c r="AB500" s="291"/>
      <c r="AC500" s="92"/>
      <c r="AD500" s="93"/>
      <c r="AE500" s="93"/>
      <c r="AF500" s="79"/>
      <c r="AG500" s="51"/>
      <c r="AH500" s="51"/>
      <c r="AI500" s="51"/>
      <c r="AJ500" s="51"/>
      <c r="AK500" s="51"/>
      <c r="AL500" s="51"/>
      <c r="AM500" s="51"/>
      <c r="AN500" s="64"/>
      <c r="AO500" s="297"/>
      <c r="AP500" s="161"/>
      <c r="AQ500" s="205"/>
      <c r="AR500" s="206"/>
      <c r="AS500" s="92"/>
      <c r="AT500" s="51"/>
      <c r="AU500" s="51"/>
      <c r="AV500" s="82"/>
      <c r="AW500" s="699"/>
      <c r="AX500" s="93"/>
      <c r="AY500" s="93"/>
      <c r="AZ500" s="51"/>
      <c r="BA500" s="92"/>
      <c r="BB500" s="293"/>
      <c r="BC500" s="292"/>
      <c r="BD500" s="205"/>
      <c r="BE500" s="291"/>
      <c r="BF500" s="292"/>
      <c r="BG500" s="205"/>
      <c r="BH500" s="291"/>
      <c r="BI500" s="51"/>
      <c r="BJ500" s="92"/>
      <c r="BK500" s="92"/>
      <c r="BL500" s="113"/>
      <c r="BM500" s="51"/>
      <c r="BN500" s="51"/>
      <c r="BO500" s="51"/>
      <c r="BP500" s="92"/>
      <c r="BQ500" s="291"/>
      <c r="BR500" s="292"/>
      <c r="BS500" s="205"/>
      <c r="BT500" s="291"/>
      <c r="BU500" s="291"/>
      <c r="BV500" s="161"/>
      <c r="BW500" s="206"/>
      <c r="BX500" s="292"/>
      <c r="BY500" s="291"/>
      <c r="BZ500" s="291"/>
      <c r="CA500" s="92"/>
      <c r="CB500" s="113"/>
      <c r="CC500" s="699"/>
      <c r="CD500" s="93"/>
      <c r="CE500" s="92"/>
      <c r="CF500" s="291"/>
      <c r="CG500" s="206"/>
      <c r="CH500" s="292"/>
      <c r="CI500" s="205"/>
      <c r="CJ500" s="206"/>
      <c r="CK500" s="292"/>
      <c r="CL500" s="199"/>
      <c r="CM500" s="92"/>
      <c r="CN500" s="93"/>
      <c r="CO500" s="93"/>
      <c r="CP500" s="93"/>
      <c r="CQ500" s="93"/>
      <c r="CR500" s="93"/>
      <c r="CS500" s="699"/>
      <c r="CT500" s="93"/>
      <c r="CU500" s="51"/>
      <c r="CV500" s="205"/>
      <c r="CW500" s="161"/>
      <c r="CX500" s="293"/>
      <c r="CY500" s="292"/>
      <c r="CZ500" s="291"/>
      <c r="DA500" s="297"/>
      <c r="DB500" s="51"/>
      <c r="DC500" s="93"/>
      <c r="DD500" s="93"/>
      <c r="DE500" s="93"/>
      <c r="DF500" s="93"/>
      <c r="DG500" s="93"/>
      <c r="DH500" s="93"/>
      <c r="DI500" s="699"/>
      <c r="DJ500" s="93"/>
      <c r="DK500" s="206"/>
      <c r="DL500" s="205"/>
      <c r="DM500" s="206"/>
      <c r="DN500" s="291"/>
      <c r="DO500" s="292"/>
      <c r="DP500" s="297"/>
      <c r="DQ500" s="64"/>
      <c r="DR500" s="291"/>
      <c r="DS500" s="293"/>
      <c r="DT500" s="93"/>
      <c r="DU500" s="93"/>
      <c r="DV500" s="93"/>
      <c r="DW500" s="93"/>
      <c r="DX500" s="79"/>
    </row>
    <row r="501" spans="1:128">
      <c r="A501" s="51"/>
      <c r="B501" s="51"/>
      <c r="C501" s="205"/>
      <c r="D501" s="205"/>
      <c r="E501" s="160"/>
      <c r="F501" s="291"/>
      <c r="G501" s="291"/>
      <c r="H501" s="161"/>
      <c r="I501" s="292"/>
      <c r="J501" s="291"/>
      <c r="K501" s="293"/>
      <c r="L501" s="205"/>
      <c r="M501" s="51"/>
      <c r="N501" s="51"/>
      <c r="O501" s="51"/>
      <c r="P501" s="51"/>
      <c r="Q501" s="699"/>
      <c r="R501" s="93"/>
      <c r="S501" s="93"/>
      <c r="T501" s="93"/>
      <c r="U501" s="93"/>
      <c r="V501" s="291"/>
      <c r="W501" s="161"/>
      <c r="X501" s="297"/>
      <c r="Y501" s="293"/>
      <c r="Z501" s="291"/>
      <c r="AA501" s="64"/>
      <c r="AB501" s="291"/>
      <c r="AC501" s="92"/>
      <c r="AD501" s="93"/>
      <c r="AE501" s="93"/>
      <c r="AF501" s="79"/>
      <c r="AG501" s="51"/>
      <c r="AH501" s="51"/>
      <c r="AI501" s="51"/>
      <c r="AJ501" s="51"/>
      <c r="AK501" s="51"/>
      <c r="AL501" s="51"/>
      <c r="AM501" s="92"/>
      <c r="AN501" s="64"/>
      <c r="AO501" s="292"/>
      <c r="AP501" s="161"/>
      <c r="AQ501" s="205"/>
      <c r="AR501" s="206"/>
      <c r="AS501" s="92"/>
      <c r="AT501" s="51"/>
      <c r="AU501" s="51"/>
      <c r="AV501" s="82"/>
      <c r="AW501" s="699"/>
      <c r="AX501" s="314"/>
      <c r="AY501" s="305"/>
      <c r="AZ501" s="51"/>
      <c r="BA501" s="92"/>
      <c r="BB501" s="293"/>
      <c r="BC501" s="291"/>
      <c r="BD501" s="205"/>
      <c r="BE501" s="291"/>
      <c r="BF501" s="292"/>
      <c r="BG501" s="206"/>
      <c r="BH501" s="291"/>
      <c r="BI501" s="205"/>
      <c r="BJ501" s="92"/>
      <c r="BK501" s="92"/>
      <c r="BL501" s="82"/>
      <c r="BM501" s="51"/>
      <c r="BN501" s="51"/>
      <c r="BO501" s="51"/>
      <c r="BP501" s="51"/>
      <c r="BQ501" s="51"/>
      <c r="BR501" s="292"/>
      <c r="BS501" s="205"/>
      <c r="BT501" s="291"/>
      <c r="BU501" s="291"/>
      <c r="BV501" s="161"/>
      <c r="BW501" s="205"/>
      <c r="BX501" s="292"/>
      <c r="BY501" s="205"/>
      <c r="BZ501" s="291"/>
      <c r="CA501" s="92"/>
      <c r="CB501" s="82"/>
      <c r="CC501" s="699"/>
      <c r="CD501" s="93"/>
      <c r="CE501" s="92"/>
      <c r="CF501" s="206"/>
      <c r="CG501" s="206"/>
      <c r="CH501" s="292"/>
      <c r="CI501" s="205"/>
      <c r="CJ501" s="292"/>
      <c r="CK501" s="293"/>
      <c r="CL501" s="199"/>
      <c r="CM501" s="293"/>
      <c r="CN501" s="93"/>
      <c r="CO501" s="93"/>
      <c r="CP501" s="305"/>
      <c r="CQ501" s="314"/>
      <c r="CR501" s="93"/>
      <c r="CS501" s="699"/>
      <c r="CT501" s="93"/>
      <c r="CU501" s="93"/>
      <c r="CV501" s="205"/>
      <c r="CW501" s="161"/>
      <c r="CX501" s="293"/>
      <c r="CY501" s="291"/>
      <c r="CZ501" s="293"/>
      <c r="DA501" s="292"/>
      <c r="DB501" s="297"/>
      <c r="DC501" s="93"/>
      <c r="DD501" s="93"/>
      <c r="DE501" s="305"/>
      <c r="DF501" s="314"/>
      <c r="DG501" s="305"/>
      <c r="DH501" s="93"/>
      <c r="DI501" s="699"/>
      <c r="DJ501" s="93"/>
      <c r="DK501" s="206"/>
      <c r="DL501" s="291"/>
      <c r="DM501" s="291"/>
      <c r="DN501" s="54"/>
      <c r="DO501" s="291"/>
      <c r="DP501" s="293"/>
      <c r="DQ501" s="297"/>
      <c r="DR501" s="291"/>
      <c r="DS501" s="292"/>
      <c r="DT501" s="293"/>
      <c r="DU501" s="93"/>
      <c r="DV501" s="93"/>
      <c r="DW501" s="93"/>
      <c r="DX501" s="79"/>
    </row>
    <row r="502" spans="1:128">
      <c r="A502" s="51"/>
      <c r="B502" s="51"/>
      <c r="C502" s="205"/>
      <c r="D502" s="205"/>
      <c r="E502" s="293"/>
      <c r="F502" s="160"/>
      <c r="G502" s="314"/>
      <c r="H502" s="64"/>
      <c r="I502" s="205"/>
      <c r="J502" s="293"/>
      <c r="K502" s="205"/>
      <c r="L502" s="205"/>
      <c r="M502" s="51"/>
      <c r="N502" s="51"/>
      <c r="O502" s="51"/>
      <c r="P502" s="92"/>
      <c r="Q502" s="699"/>
      <c r="R502" s="305"/>
      <c r="S502" s="314"/>
      <c r="T502" s="93"/>
      <c r="U502" s="93"/>
      <c r="V502" s="93"/>
      <c r="W502" s="297"/>
      <c r="X502" s="64"/>
      <c r="Y502" s="161"/>
      <c r="Z502" s="64"/>
      <c r="AA502" s="292"/>
      <c r="AB502" s="291"/>
      <c r="AC502" s="92"/>
      <c r="AD502" s="93"/>
      <c r="AE502" s="93"/>
      <c r="AF502" s="79"/>
      <c r="AG502" s="699"/>
      <c r="AH502" s="305"/>
      <c r="AI502" s="314"/>
      <c r="AJ502" s="93"/>
      <c r="AK502" s="93"/>
      <c r="AL502" s="93"/>
      <c r="AM502" s="64"/>
      <c r="AN502" s="64"/>
      <c r="AO502" s="293"/>
      <c r="AP502" s="161"/>
      <c r="AQ502" s="205"/>
      <c r="AR502" s="292"/>
      <c r="AS502" s="92"/>
      <c r="AT502" s="51"/>
      <c r="AU502" s="51"/>
      <c r="AV502" s="82"/>
      <c r="AW502" s="314"/>
      <c r="AX502" s="481"/>
      <c r="AY502" s="301"/>
      <c r="AZ502" s="301"/>
      <c r="BA502" s="301"/>
      <c r="BB502" s="293"/>
      <c r="BC502" s="291"/>
      <c r="BD502" s="205"/>
      <c r="BE502" s="291"/>
      <c r="BF502" s="291"/>
      <c r="BG502" s="206"/>
      <c r="BH502" s="205"/>
      <c r="BI502" s="292"/>
      <c r="BJ502" s="51"/>
      <c r="BK502" s="51"/>
      <c r="BL502" s="113"/>
      <c r="BM502" s="51"/>
      <c r="BN502" s="51"/>
      <c r="BO502" s="51"/>
      <c r="BP502" s="51"/>
      <c r="BQ502" s="51"/>
      <c r="BR502" s="92"/>
      <c r="BS502" s="206"/>
      <c r="BT502" s="291"/>
      <c r="BU502" s="291"/>
      <c r="BV502" s="161"/>
      <c r="BW502" s="206"/>
      <c r="BX502" s="290"/>
      <c r="BY502" s="205"/>
      <c r="BZ502" s="305"/>
      <c r="CA502" s="51"/>
      <c r="CB502" s="113"/>
      <c r="CC502" s="699"/>
      <c r="CD502" s="93"/>
      <c r="CE502" s="92"/>
      <c r="CF502" s="92"/>
      <c r="CG502" s="206"/>
      <c r="CH502" s="205"/>
      <c r="CI502" s="292"/>
      <c r="CJ502" s="292"/>
      <c r="CK502" s="205"/>
      <c r="CL502" s="301"/>
      <c r="CM502" s="301"/>
      <c r="CN502" s="301"/>
      <c r="CO502" s="301"/>
      <c r="CP502" s="301"/>
      <c r="CQ502" s="481"/>
      <c r="CR502" s="314"/>
      <c r="CS502" s="699"/>
      <c r="CT502" s="93"/>
      <c r="CU502" s="290"/>
      <c r="CV502" s="205"/>
      <c r="CW502" s="293"/>
      <c r="CX502" s="161"/>
      <c r="CY502" s="293"/>
      <c r="CZ502" s="301"/>
      <c r="DA502" s="301"/>
      <c r="DB502" s="301"/>
      <c r="DC502" s="301"/>
      <c r="DD502" s="301"/>
      <c r="DE502" s="301"/>
      <c r="DF502" s="481"/>
      <c r="DG502" s="314"/>
      <c r="DH502" s="314"/>
      <c r="DI502" s="699"/>
      <c r="DJ502" s="290"/>
      <c r="DK502" s="54"/>
      <c r="DL502" s="291"/>
      <c r="DM502" s="291"/>
      <c r="DN502" s="54"/>
      <c r="DO502" s="291"/>
      <c r="DP502" s="293"/>
      <c r="DQ502" s="293"/>
      <c r="DR502" s="291"/>
      <c r="DS502" s="292"/>
      <c r="DT502" s="305"/>
      <c r="DU502" s="314"/>
      <c r="DV502" s="305"/>
      <c r="DW502" s="93"/>
      <c r="DX502" s="79"/>
    </row>
    <row r="503" spans="1:128">
      <c r="A503" s="51"/>
      <c r="B503" s="51"/>
      <c r="C503" s="51"/>
      <c r="D503" s="205"/>
      <c r="E503" s="54"/>
      <c r="F503" s="314"/>
      <c r="G503" s="481"/>
      <c r="H503" s="314"/>
      <c r="I503" s="54"/>
      <c r="J503" s="205"/>
      <c r="K503" s="205"/>
      <c r="L503" s="51"/>
      <c r="M503" s="51"/>
      <c r="N503" s="51"/>
      <c r="O503" s="51"/>
      <c r="P503" s="92"/>
      <c r="Q503" s="710"/>
      <c r="R503" s="314"/>
      <c r="S503" s="481"/>
      <c r="T503" s="200"/>
      <c r="U503" s="301"/>
      <c r="V503" s="301"/>
      <c r="W503" s="297"/>
      <c r="X503" s="161"/>
      <c r="Y503" s="64"/>
      <c r="Z503" s="291"/>
      <c r="AA503" s="205"/>
      <c r="AB503" s="92"/>
      <c r="AC503" s="92"/>
      <c r="AD503" s="93"/>
      <c r="AE503" s="93"/>
      <c r="AF503" s="79"/>
      <c r="AG503" s="710"/>
      <c r="AH503" s="314"/>
      <c r="AI503" s="481"/>
      <c r="AJ503" s="200"/>
      <c r="AK503" s="301"/>
      <c r="AL503" s="301"/>
      <c r="AM503" s="64"/>
      <c r="AN503" s="293"/>
      <c r="AO503" s="161"/>
      <c r="AP503" s="292"/>
      <c r="AQ503" s="294"/>
      <c r="AR503" s="92"/>
      <c r="AS503" s="92"/>
      <c r="AT503" s="51"/>
      <c r="AU503" s="51"/>
      <c r="AV503" s="82"/>
      <c r="AW503" s="699"/>
      <c r="AX503" s="314"/>
      <c r="AY503" s="64"/>
      <c r="AZ503" s="160"/>
      <c r="BA503" s="293"/>
      <c r="BB503" s="291"/>
      <c r="BC503" s="161"/>
      <c r="BD503" s="205"/>
      <c r="BE503" s="291"/>
      <c r="BF503" s="161"/>
      <c r="BG503" s="206"/>
      <c r="BH503" s="292"/>
      <c r="BI503" s="292"/>
      <c r="BJ503" s="51"/>
      <c r="BK503" s="51"/>
      <c r="BL503" s="113"/>
      <c r="BM503" s="51"/>
      <c r="BN503" s="51"/>
      <c r="BO503" s="51"/>
      <c r="BP503" s="51"/>
      <c r="BQ503" s="51"/>
      <c r="BR503" s="92"/>
      <c r="BS503" s="161"/>
      <c r="BT503" s="291"/>
      <c r="BU503" s="291"/>
      <c r="BV503" s="161"/>
      <c r="BW503" s="206"/>
      <c r="BX503" s="290"/>
      <c r="BY503" s="291"/>
      <c r="BZ503" s="51"/>
      <c r="CA503" s="51"/>
      <c r="CB503" s="113"/>
      <c r="CC503" s="699"/>
      <c r="CD503" s="93"/>
      <c r="CE503" s="92"/>
      <c r="CF503" s="92"/>
      <c r="CG503" s="290"/>
      <c r="CH503" s="290"/>
      <c r="CI503" s="205"/>
      <c r="CJ503" s="291"/>
      <c r="CK503" s="205"/>
      <c r="CL503" s="199"/>
      <c r="CM503" s="160"/>
      <c r="CN503" s="160"/>
      <c r="CO503" s="160"/>
      <c r="CP503" s="64"/>
      <c r="CQ503" s="314"/>
      <c r="CR503" s="93"/>
      <c r="CS503" s="699"/>
      <c r="CT503" s="93"/>
      <c r="CU503" s="290"/>
      <c r="CV503" s="205"/>
      <c r="CW503" s="291"/>
      <c r="CX503" s="292"/>
      <c r="CY503" s="161"/>
      <c r="CZ503" s="293"/>
      <c r="DA503" s="292"/>
      <c r="DB503" s="64"/>
      <c r="DC503" s="160"/>
      <c r="DD503" s="160"/>
      <c r="DE503" s="64"/>
      <c r="DF503" s="314"/>
      <c r="DG503" s="305"/>
      <c r="DH503" s="93"/>
      <c r="DI503" s="699"/>
      <c r="DJ503" s="290"/>
      <c r="DK503" s="54"/>
      <c r="DL503" s="292"/>
      <c r="DM503" s="291"/>
      <c r="DN503" s="206"/>
      <c r="DO503" s="297"/>
      <c r="DP503" s="297"/>
      <c r="DQ503" s="297"/>
      <c r="DR503" s="297"/>
      <c r="DS503" s="297"/>
      <c r="DT503" s="301"/>
      <c r="DU503" s="481"/>
      <c r="DV503" s="314"/>
      <c r="DW503" s="314"/>
      <c r="DX503" s="393"/>
    </row>
    <row r="504" spans="1:128">
      <c r="A504" s="51"/>
      <c r="B504" s="51"/>
      <c r="C504" s="51"/>
      <c r="D504" s="290"/>
      <c r="E504" s="294"/>
      <c r="F504" s="64"/>
      <c r="G504" s="314"/>
      <c r="H504" s="64"/>
      <c r="I504" s="54"/>
      <c r="J504" s="205"/>
      <c r="K504" s="51"/>
      <c r="L504" s="51"/>
      <c r="M504" s="51"/>
      <c r="N504" s="51"/>
      <c r="O504" s="51"/>
      <c r="P504" s="92"/>
      <c r="Q504" s="699"/>
      <c r="R504" s="305"/>
      <c r="S504" s="314"/>
      <c r="T504" s="160"/>
      <c r="U504" s="160"/>
      <c r="V504" s="160"/>
      <c r="W504" s="291"/>
      <c r="X504" s="161"/>
      <c r="Y504" s="161"/>
      <c r="Z504" s="205"/>
      <c r="AA504" s="292"/>
      <c r="AB504" s="92"/>
      <c r="AC504" s="92"/>
      <c r="AD504" s="93"/>
      <c r="AE504" s="93"/>
      <c r="AF504" s="79"/>
      <c r="AG504" s="699"/>
      <c r="AH504" s="305"/>
      <c r="AI504" s="314"/>
      <c r="AJ504" s="160"/>
      <c r="AK504" s="160"/>
      <c r="AL504" s="292"/>
      <c r="AM504" s="293"/>
      <c r="AN504" s="292"/>
      <c r="AO504" s="205"/>
      <c r="AP504" s="205"/>
      <c r="AQ504" s="292"/>
      <c r="AR504" s="294"/>
      <c r="AS504" s="92"/>
      <c r="AT504" s="51"/>
      <c r="AU504" s="51"/>
      <c r="AV504" s="82"/>
      <c r="AW504" s="51"/>
      <c r="AX504" s="51"/>
      <c r="AY504" s="51"/>
      <c r="AZ504" s="35"/>
      <c r="BA504" s="291"/>
      <c r="BB504" s="292"/>
      <c r="BC504" s="206"/>
      <c r="BD504" s="292"/>
      <c r="BE504" s="161"/>
      <c r="BF504" s="161"/>
      <c r="BG504" s="161"/>
      <c r="BH504" s="290"/>
      <c r="BI504" s="290"/>
      <c r="BJ504" s="51"/>
      <c r="BK504" s="51"/>
      <c r="BL504" s="113"/>
      <c r="BM504" s="51"/>
      <c r="BN504" s="51"/>
      <c r="BO504" s="51"/>
      <c r="BP504" s="51"/>
      <c r="BQ504" s="51"/>
      <c r="BR504" s="92"/>
      <c r="BS504" s="291"/>
      <c r="BT504" s="161"/>
      <c r="BU504" s="161"/>
      <c r="BV504" s="161"/>
      <c r="BW504" s="161"/>
      <c r="BX504" s="290"/>
      <c r="BY504" s="314"/>
      <c r="BZ504" s="51"/>
      <c r="CA504" s="51"/>
      <c r="CB504" s="113"/>
      <c r="CC504" s="699"/>
      <c r="CD504" s="93"/>
      <c r="CE504" s="92"/>
      <c r="CF504" s="92"/>
      <c r="CG504" s="290"/>
      <c r="CH504" s="290"/>
      <c r="CI504" s="294"/>
      <c r="CJ504" s="205"/>
      <c r="CK504" s="199"/>
      <c r="CL504" s="305"/>
      <c r="CM504" s="199"/>
      <c r="CN504" s="201"/>
      <c r="CO504" s="93"/>
      <c r="CP504" s="93"/>
      <c r="CQ504" s="93"/>
      <c r="CR504" s="93"/>
      <c r="CS504" s="699"/>
      <c r="CT504" s="93"/>
      <c r="CU504" s="290"/>
      <c r="CV504" s="294"/>
      <c r="CW504" s="205"/>
      <c r="CX504" s="206"/>
      <c r="CY504" s="206"/>
      <c r="CZ504" s="293"/>
      <c r="DA504" s="51"/>
      <c r="DB504" s="64"/>
      <c r="DC504" s="201"/>
      <c r="DD504" s="93"/>
      <c r="DE504" s="93"/>
      <c r="DF504" s="93"/>
      <c r="DG504" s="93"/>
      <c r="DH504" s="93"/>
      <c r="DI504" s="699"/>
      <c r="DJ504" s="290"/>
      <c r="DK504" s="294"/>
      <c r="DL504" s="54"/>
      <c r="DM504" s="291"/>
      <c r="DN504" s="64"/>
      <c r="DO504" s="64"/>
      <c r="DP504" s="160"/>
      <c r="DQ504" s="160"/>
      <c r="DR504" s="160"/>
      <c r="DS504" s="292"/>
      <c r="DT504" s="64"/>
      <c r="DU504" s="314"/>
      <c r="DV504" s="305"/>
      <c r="DW504" s="93"/>
      <c r="DX504" s="79"/>
    </row>
    <row r="505" spans="1:128">
      <c r="A505" s="51"/>
      <c r="B505" s="51"/>
      <c r="C505" s="51"/>
      <c r="D505" s="294"/>
      <c r="E505" s="92"/>
      <c r="F505" s="161"/>
      <c r="G505" s="292"/>
      <c r="H505" s="292"/>
      <c r="I505" s="292"/>
      <c r="J505" s="292"/>
      <c r="K505" s="92"/>
      <c r="L505" s="51"/>
      <c r="M505" s="51"/>
      <c r="N505" s="51"/>
      <c r="O505" s="51"/>
      <c r="P505" s="92"/>
      <c r="Q505" s="699"/>
      <c r="R505" s="93"/>
      <c r="S505" s="93"/>
      <c r="T505" s="93"/>
      <c r="U505" s="93"/>
      <c r="V505" s="64"/>
      <c r="W505" s="205"/>
      <c r="X505" s="291"/>
      <c r="Y505" s="205"/>
      <c r="Z505" s="291"/>
      <c r="AA505" s="206"/>
      <c r="AB505" s="92"/>
      <c r="AC505" s="93"/>
      <c r="AD505" s="93"/>
      <c r="AE505" s="93"/>
      <c r="AF505" s="79"/>
      <c r="AG505" s="51"/>
      <c r="AH505" s="51"/>
      <c r="AI505" s="51"/>
      <c r="AJ505" s="51"/>
      <c r="AK505" s="305"/>
      <c r="AL505" s="64"/>
      <c r="AM505" s="292"/>
      <c r="AN505" s="92"/>
      <c r="AO505" s="291"/>
      <c r="AP505" s="206"/>
      <c r="AQ505" s="291"/>
      <c r="AR505" s="290"/>
      <c r="AS505" s="92"/>
      <c r="AT505" s="51"/>
      <c r="AU505" s="51"/>
      <c r="AV505" s="82"/>
      <c r="AW505" s="699"/>
      <c r="AX505" s="93"/>
      <c r="AY505" s="93"/>
      <c r="AZ505" s="51"/>
      <c r="BA505" s="93"/>
      <c r="BB505" s="161"/>
      <c r="BC505" s="205"/>
      <c r="BD505" s="292"/>
      <c r="BE505" s="205"/>
      <c r="BF505" s="205"/>
      <c r="BG505" s="205"/>
      <c r="BH505" s="294"/>
      <c r="BI505" s="290"/>
      <c r="BJ505" s="51"/>
      <c r="BK505" s="51"/>
      <c r="BL505" s="113"/>
      <c r="BM505" s="51"/>
      <c r="BN505" s="51"/>
      <c r="BO505" s="51"/>
      <c r="BP505" s="51"/>
      <c r="BQ505" s="51"/>
      <c r="BR505" s="92"/>
      <c r="BS505" s="292"/>
      <c r="BT505" s="205"/>
      <c r="BU505" s="205"/>
      <c r="BV505" s="205"/>
      <c r="BW505" s="205"/>
      <c r="BX505" s="294"/>
      <c r="BY505" s="51"/>
      <c r="BZ505" s="51"/>
      <c r="CA505" s="51"/>
      <c r="CB505" s="113"/>
      <c r="CC505" s="699"/>
      <c r="CD505" s="93"/>
      <c r="CE505" s="93"/>
      <c r="CF505" s="92"/>
      <c r="CG505" s="294"/>
      <c r="CH505" s="294"/>
      <c r="CI505" s="206"/>
      <c r="CJ505" s="292"/>
      <c r="CK505" s="205"/>
      <c r="CL505" s="93"/>
      <c r="CM505" s="93"/>
      <c r="CN505" s="93"/>
      <c r="CO505" s="93"/>
      <c r="CP505" s="93"/>
      <c r="CQ505" s="93"/>
      <c r="CR505" s="93"/>
      <c r="CS505" s="699"/>
      <c r="CT505" s="93"/>
      <c r="CU505" s="294"/>
      <c r="CV505" s="93"/>
      <c r="CW505" s="292"/>
      <c r="CX505" s="205"/>
      <c r="CY505" s="291"/>
      <c r="CZ505" s="292"/>
      <c r="DA505" s="51"/>
      <c r="DB505" s="92"/>
      <c r="DC505" s="93"/>
      <c r="DD505" s="93"/>
      <c r="DE505" s="93"/>
      <c r="DF505" s="93"/>
      <c r="DG505" s="93"/>
      <c r="DH505" s="93"/>
      <c r="DI505" s="699"/>
      <c r="DJ505" s="294"/>
      <c r="DK505" s="290"/>
      <c r="DL505" s="93"/>
      <c r="DM505" s="293"/>
      <c r="DN505" s="293"/>
      <c r="DO505" s="206"/>
      <c r="DP505" s="206"/>
      <c r="DQ505" s="293"/>
      <c r="DR505" s="64"/>
      <c r="DS505" s="293"/>
      <c r="DT505" s="93"/>
      <c r="DU505" s="93"/>
      <c r="DV505" s="93"/>
      <c r="DW505" s="93"/>
      <c r="DX505" s="79"/>
    </row>
    <row r="506" spans="1:128">
      <c r="A506" s="51"/>
      <c r="B506" s="51"/>
      <c r="C506" s="51"/>
      <c r="D506" s="51"/>
      <c r="E506" s="92"/>
      <c r="F506" s="205"/>
      <c r="G506" s="292"/>
      <c r="H506" s="51"/>
      <c r="I506" s="205"/>
      <c r="J506" s="292"/>
      <c r="K506" s="92"/>
      <c r="L506" s="51"/>
      <c r="M506" s="51"/>
      <c r="N506" s="51"/>
      <c r="O506" s="51"/>
      <c r="P506" s="51"/>
      <c r="Q506" s="699"/>
      <c r="R506" s="93"/>
      <c r="S506" s="93"/>
      <c r="T506" s="93"/>
      <c r="U506" s="93"/>
      <c r="V506" s="93"/>
      <c r="W506" s="291"/>
      <c r="X506" s="205"/>
      <c r="Y506" s="291"/>
      <c r="Z506" s="161"/>
      <c r="AA506" s="205"/>
      <c r="AB506" s="93"/>
      <c r="AC506" s="93"/>
      <c r="AD506" s="93"/>
      <c r="AE506" s="93"/>
      <c r="AF506" s="79"/>
      <c r="AG506" s="51"/>
      <c r="AH506" s="51"/>
      <c r="AI506" s="51"/>
      <c r="AJ506" s="51"/>
      <c r="AK506" s="51"/>
      <c r="AL506" s="51"/>
      <c r="AM506" s="92"/>
      <c r="AN506" s="92"/>
      <c r="AO506" s="291"/>
      <c r="AP506" s="205"/>
      <c r="AQ506" s="51"/>
      <c r="AR506" s="51"/>
      <c r="AS506" s="92"/>
      <c r="AT506" s="51"/>
      <c r="AU506" s="51"/>
      <c r="AV506" s="82"/>
      <c r="AW506" s="699"/>
      <c r="AX506" s="93"/>
      <c r="AY506" s="93"/>
      <c r="AZ506" s="93"/>
      <c r="BA506" s="93"/>
      <c r="BB506" s="93"/>
      <c r="BC506" s="291"/>
      <c r="BD506" s="292"/>
      <c r="BE506" s="292"/>
      <c r="BF506" s="292"/>
      <c r="BG506" s="205"/>
      <c r="BH506" s="92"/>
      <c r="BI506" s="294"/>
      <c r="BJ506" s="51"/>
      <c r="BK506" s="51"/>
      <c r="BL506" s="82"/>
      <c r="BM506" s="51"/>
      <c r="BN506" s="51"/>
      <c r="BO506" s="51"/>
      <c r="BP506" s="51"/>
      <c r="BQ506" s="51"/>
      <c r="BR506" s="92"/>
      <c r="BS506" s="291"/>
      <c r="BT506" s="292"/>
      <c r="BU506" s="205"/>
      <c r="BV506" s="292"/>
      <c r="BW506" s="291"/>
      <c r="BX506" s="92"/>
      <c r="BY506" s="51"/>
      <c r="BZ506" s="51"/>
      <c r="CA506" s="51"/>
      <c r="CB506" s="82"/>
      <c r="CC506" s="699"/>
      <c r="CD506" s="93"/>
      <c r="CE506" s="92"/>
      <c r="CF506" s="92"/>
      <c r="CG506" s="206"/>
      <c r="CH506" s="292"/>
      <c r="CI506" s="292"/>
      <c r="CJ506" s="292"/>
      <c r="CK506" s="292"/>
      <c r="CL506" s="205"/>
      <c r="CM506" s="93"/>
      <c r="CN506" s="93"/>
      <c r="CO506" s="93"/>
      <c r="CP506" s="93"/>
      <c r="CQ506" s="93"/>
      <c r="CR506" s="93"/>
      <c r="CS506" s="699"/>
      <c r="CT506" s="93"/>
      <c r="CU506" s="93"/>
      <c r="CV506" s="93"/>
      <c r="CW506" s="292"/>
      <c r="CX506" s="291"/>
      <c r="CY506" s="291"/>
      <c r="CZ506" s="92"/>
      <c r="DA506" s="92"/>
      <c r="DB506" s="92"/>
      <c r="DC506" s="51"/>
      <c r="DD506" s="51"/>
      <c r="DE506" s="51"/>
      <c r="DF506" s="93"/>
      <c r="DG506" s="93"/>
      <c r="DH506" s="93"/>
      <c r="DI506" s="699"/>
      <c r="DJ506" s="93"/>
      <c r="DK506" s="93"/>
      <c r="DL506" s="93"/>
      <c r="DM506" s="93"/>
      <c r="DN506" s="206"/>
      <c r="DO506" s="206"/>
      <c r="DP506" s="206"/>
      <c r="DQ506" s="292"/>
      <c r="DR506" s="292"/>
      <c r="DS506" s="93"/>
      <c r="DT506" s="93"/>
      <c r="DU506" s="93"/>
      <c r="DV506" s="93"/>
      <c r="DW506" s="93"/>
      <c r="DX506" s="79"/>
    </row>
    <row r="507" spans="1:128">
      <c r="A507" s="51"/>
      <c r="B507" s="51"/>
      <c r="C507" s="51"/>
      <c r="D507" s="51"/>
      <c r="E507" s="92"/>
      <c r="F507" s="293"/>
      <c r="G507" s="291"/>
      <c r="H507" s="51"/>
      <c r="I507" s="205"/>
      <c r="J507" s="291"/>
      <c r="K507" s="92"/>
      <c r="L507" s="92"/>
      <c r="M507" s="51"/>
      <c r="N507" s="51"/>
      <c r="O507" s="92"/>
      <c r="P507" s="51"/>
      <c r="Q507" s="699"/>
      <c r="R507" s="93"/>
      <c r="S507" s="93"/>
      <c r="T507" s="93"/>
      <c r="U507" s="93"/>
      <c r="V507" s="291"/>
      <c r="W507" s="293"/>
      <c r="X507" s="205"/>
      <c r="Y507" s="292"/>
      <c r="Z507" s="293"/>
      <c r="AA507" s="205"/>
      <c r="AB507" s="93"/>
      <c r="AC507" s="51"/>
      <c r="AD507" s="93"/>
      <c r="AE507" s="93"/>
      <c r="AF507" s="79"/>
      <c r="AG507" s="51"/>
      <c r="AH507" s="51"/>
      <c r="AI507" s="51"/>
      <c r="AJ507" s="51"/>
      <c r="AK507" s="51"/>
      <c r="AL507" s="51"/>
      <c r="AM507" s="92"/>
      <c r="AN507" s="64"/>
      <c r="AO507" s="291"/>
      <c r="AP507" s="205"/>
      <c r="AQ507" s="51"/>
      <c r="AR507" s="51"/>
      <c r="AS507" s="92"/>
      <c r="AT507" s="51"/>
      <c r="AU507" s="51"/>
      <c r="AV507" s="82"/>
      <c r="AW507" s="699"/>
      <c r="AX507" s="93"/>
      <c r="AY507" s="93"/>
      <c r="AZ507" s="93"/>
      <c r="BA507" s="93"/>
      <c r="BB507" s="64"/>
      <c r="BC507" s="291"/>
      <c r="BD507" s="292"/>
      <c r="BE507" s="205"/>
      <c r="BF507" s="292"/>
      <c r="BG507" s="205"/>
      <c r="BH507" s="92"/>
      <c r="BI507" s="92"/>
      <c r="BJ507" s="51"/>
      <c r="BK507" s="51"/>
      <c r="BL507" s="82"/>
      <c r="BM507" s="51"/>
      <c r="BN507" s="51"/>
      <c r="BO507" s="51"/>
      <c r="BP507" s="51"/>
      <c r="BQ507" s="51"/>
      <c r="BR507" s="92"/>
      <c r="BS507" s="161"/>
      <c r="BT507" s="291"/>
      <c r="BU507" s="51"/>
      <c r="BV507" s="291"/>
      <c r="BW507" s="291"/>
      <c r="BX507" s="92"/>
      <c r="BY507" s="92"/>
      <c r="BZ507" s="92"/>
      <c r="CA507" s="92"/>
      <c r="CB507" s="82"/>
      <c r="CC507" s="699"/>
      <c r="CD507" s="93"/>
      <c r="CE507" s="92"/>
      <c r="CF507" s="92"/>
      <c r="CG507" s="206"/>
      <c r="CH507" s="292"/>
      <c r="CI507" s="206"/>
      <c r="CJ507" s="292"/>
      <c r="CK507" s="291"/>
      <c r="CL507" s="291"/>
      <c r="CM507" s="93"/>
      <c r="CN507" s="93"/>
      <c r="CO507" s="93"/>
      <c r="CP507" s="93"/>
      <c r="CQ507" s="93"/>
      <c r="CR507" s="93"/>
      <c r="CS507" s="699"/>
      <c r="CT507" s="93"/>
      <c r="CU507" s="93"/>
      <c r="CV507" s="51"/>
      <c r="CW507" s="51"/>
      <c r="CX507" s="205"/>
      <c r="CY507" s="291"/>
      <c r="CZ507" s="64"/>
      <c r="DA507" s="92"/>
      <c r="DB507" s="51"/>
      <c r="DC507" s="51"/>
      <c r="DD507" s="51"/>
      <c r="DE507" s="51"/>
      <c r="DF507" s="93"/>
      <c r="DG507" s="93"/>
      <c r="DH507" s="93"/>
      <c r="DI507" s="699"/>
      <c r="DJ507" s="93"/>
      <c r="DK507" s="93"/>
      <c r="DL507" s="93"/>
      <c r="DM507" s="93"/>
      <c r="DN507" s="93"/>
      <c r="DO507" s="161"/>
      <c r="DP507" s="64"/>
      <c r="DQ507" s="293"/>
      <c r="DR507" s="293"/>
      <c r="DS507" s="291"/>
      <c r="DT507" s="93"/>
      <c r="DU507" s="93"/>
      <c r="DV507" s="93"/>
      <c r="DW507" s="93"/>
      <c r="DX507" s="79"/>
    </row>
    <row r="508" spans="1:128">
      <c r="A508" s="51"/>
      <c r="B508" s="51"/>
      <c r="C508" s="92"/>
      <c r="D508" s="52"/>
      <c r="E508" s="205"/>
      <c r="F508" s="293"/>
      <c r="G508" s="51"/>
      <c r="H508" s="51"/>
      <c r="I508" s="51"/>
      <c r="J508" s="293"/>
      <c r="K508" s="161"/>
      <c r="L508" s="51"/>
      <c r="M508" s="92"/>
      <c r="N508" s="51"/>
      <c r="O508" s="51"/>
      <c r="P508" s="51"/>
      <c r="Q508" s="699"/>
      <c r="R508" s="93"/>
      <c r="S508" s="93"/>
      <c r="T508" s="93"/>
      <c r="U508" s="52"/>
      <c r="V508" s="293"/>
      <c r="W508" s="292"/>
      <c r="X508" s="205"/>
      <c r="Y508" s="93"/>
      <c r="Z508" s="292"/>
      <c r="AA508" s="161"/>
      <c r="AB508" s="93"/>
      <c r="AC508" s="51"/>
      <c r="AD508" s="93"/>
      <c r="AE508" s="93"/>
      <c r="AF508" s="79"/>
      <c r="AG508" s="51"/>
      <c r="AH508" s="51"/>
      <c r="AI508" s="51"/>
      <c r="AJ508" s="51"/>
      <c r="AK508" s="51"/>
      <c r="AL508" s="51"/>
      <c r="AM508" s="92"/>
      <c r="AN508" s="293"/>
      <c r="AO508" s="205"/>
      <c r="AP508" s="51"/>
      <c r="AQ508" s="51"/>
      <c r="AR508" s="51"/>
      <c r="AS508" s="92"/>
      <c r="AT508" s="51"/>
      <c r="AU508" s="51"/>
      <c r="AV508" s="82"/>
      <c r="AW508" s="699"/>
      <c r="AX508" s="93"/>
      <c r="AY508" s="93"/>
      <c r="AZ508" s="93"/>
      <c r="BA508" s="93"/>
      <c r="BB508" s="293"/>
      <c r="BC508" s="291"/>
      <c r="BD508" s="205"/>
      <c r="BE508" s="51"/>
      <c r="BF508" s="292"/>
      <c r="BG508" s="291"/>
      <c r="BH508" s="92"/>
      <c r="BI508" s="92"/>
      <c r="BJ508" s="92"/>
      <c r="BK508" s="92"/>
      <c r="BL508" s="82"/>
      <c r="BM508" s="51"/>
      <c r="BN508" s="51"/>
      <c r="BO508" s="51"/>
      <c r="BP508" s="51"/>
      <c r="BQ508" s="52"/>
      <c r="BR508" s="64"/>
      <c r="BS508" s="291"/>
      <c r="BT508" s="51"/>
      <c r="BU508" s="51"/>
      <c r="BV508" s="51"/>
      <c r="BW508" s="291"/>
      <c r="BX508" s="64"/>
      <c r="BY508" s="51"/>
      <c r="BZ508" s="92"/>
      <c r="CA508" s="51"/>
      <c r="CB508" s="82"/>
      <c r="CC508" s="699"/>
      <c r="CD508" s="93"/>
      <c r="CE508" s="92"/>
      <c r="CF508" s="92"/>
      <c r="CG508" s="291"/>
      <c r="CH508" s="292"/>
      <c r="CI508" s="51"/>
      <c r="CJ508" s="206"/>
      <c r="CK508" s="291"/>
      <c r="CL508" s="199"/>
      <c r="CM508" s="93"/>
      <c r="CN508" s="93"/>
      <c r="CO508" s="93"/>
      <c r="CP508" s="93"/>
      <c r="CQ508" s="93"/>
      <c r="CR508" s="93"/>
      <c r="CS508" s="699"/>
      <c r="CT508" s="93"/>
      <c r="CU508" s="93"/>
      <c r="CV508" s="51"/>
      <c r="CW508" s="51"/>
      <c r="CX508" s="51"/>
      <c r="CY508" s="205"/>
      <c r="CZ508" s="293"/>
      <c r="DA508" s="92"/>
      <c r="DB508" s="51"/>
      <c r="DC508" s="51"/>
      <c r="DD508" s="51"/>
      <c r="DE508" s="51"/>
      <c r="DF508" s="93"/>
      <c r="DG508" s="93"/>
      <c r="DH508" s="93"/>
      <c r="DI508" s="699"/>
      <c r="DJ508" s="93"/>
      <c r="DK508" s="93"/>
      <c r="DL508" s="93"/>
      <c r="DM508" s="93"/>
      <c r="DN508" s="205"/>
      <c r="DO508" s="292"/>
      <c r="DP508" s="54"/>
      <c r="DQ508" s="93"/>
      <c r="DR508" s="292"/>
      <c r="DS508" s="293"/>
      <c r="DT508" s="93"/>
      <c r="DU508" s="93"/>
      <c r="DV508" s="93"/>
      <c r="DW508" s="93"/>
      <c r="DX508" s="79"/>
    </row>
    <row r="509" spans="1:128">
      <c r="A509" s="51"/>
      <c r="B509" s="51"/>
      <c r="C509" s="51"/>
      <c r="D509" s="52"/>
      <c r="E509" s="205"/>
      <c r="F509" s="291"/>
      <c r="G509" s="51"/>
      <c r="H509" s="51"/>
      <c r="I509" s="51"/>
      <c r="J509" s="161"/>
      <c r="K509" s="293"/>
      <c r="L509" s="51"/>
      <c r="M509" s="51"/>
      <c r="N509" s="51"/>
      <c r="O509" s="51"/>
      <c r="P509" s="51"/>
      <c r="Q509" s="699"/>
      <c r="R509" s="93"/>
      <c r="S509" s="93"/>
      <c r="T509" s="93"/>
      <c r="U509" s="93"/>
      <c r="V509" s="161"/>
      <c r="W509" s="205"/>
      <c r="X509" s="93"/>
      <c r="Y509" s="93"/>
      <c r="Z509" s="292"/>
      <c r="AA509" s="291"/>
      <c r="AB509" s="205"/>
      <c r="AC509" s="52"/>
      <c r="AD509" s="93"/>
      <c r="AE509" s="93"/>
      <c r="AF509" s="79"/>
      <c r="AG509" s="51"/>
      <c r="AH509" s="51"/>
      <c r="AI509" s="51"/>
      <c r="AJ509" s="51"/>
      <c r="AK509" s="51"/>
      <c r="AL509" s="51"/>
      <c r="AM509" s="92"/>
      <c r="AN509" s="161"/>
      <c r="AO509" s="291"/>
      <c r="AP509" s="205"/>
      <c r="AQ509" s="51"/>
      <c r="AR509" s="51"/>
      <c r="AS509" s="92"/>
      <c r="AT509" s="51"/>
      <c r="AU509" s="51"/>
      <c r="AV509" s="82"/>
      <c r="AW509" s="699"/>
      <c r="AX509" s="93"/>
      <c r="AY509" s="93"/>
      <c r="AZ509" s="51"/>
      <c r="BA509" s="52"/>
      <c r="BB509" s="161"/>
      <c r="BC509" s="205"/>
      <c r="BD509" s="51"/>
      <c r="BE509" s="51"/>
      <c r="BF509" s="161"/>
      <c r="BG509" s="292"/>
      <c r="BH509" s="205"/>
      <c r="BI509" s="92"/>
      <c r="BJ509" s="51"/>
      <c r="BK509" s="51"/>
      <c r="BL509" s="82"/>
      <c r="BM509" s="51"/>
      <c r="BN509" s="51"/>
      <c r="BO509" s="51"/>
      <c r="BP509" s="51"/>
      <c r="BQ509" s="52"/>
      <c r="BR509" s="291"/>
      <c r="BS509" s="205"/>
      <c r="BT509" s="51"/>
      <c r="BU509" s="51"/>
      <c r="BV509" s="51"/>
      <c r="BW509" s="291"/>
      <c r="BX509" s="205"/>
      <c r="BY509" s="51"/>
      <c r="BZ509" s="51"/>
      <c r="CA509" s="51"/>
      <c r="CB509" s="82"/>
      <c r="CC509" s="699"/>
      <c r="CD509" s="93"/>
      <c r="CE509" s="92"/>
      <c r="CF509" s="206"/>
      <c r="CG509" s="292"/>
      <c r="CH509" s="161"/>
      <c r="CI509" s="51"/>
      <c r="CJ509" s="51"/>
      <c r="CK509" s="292"/>
      <c r="CL509" s="161"/>
      <c r="CM509" s="52"/>
      <c r="CN509" s="93"/>
      <c r="CO509" s="93"/>
      <c r="CP509" s="93"/>
      <c r="CQ509" s="93"/>
      <c r="CR509" s="93"/>
      <c r="CS509" s="699"/>
      <c r="CT509" s="93"/>
      <c r="CU509" s="93"/>
      <c r="CV509" s="51"/>
      <c r="CW509" s="51"/>
      <c r="CX509" s="205"/>
      <c r="CY509" s="291"/>
      <c r="CZ509" s="161"/>
      <c r="DA509" s="92"/>
      <c r="DB509" s="51"/>
      <c r="DC509" s="51"/>
      <c r="DD509" s="51"/>
      <c r="DE509" s="51"/>
      <c r="DF509" s="93"/>
      <c r="DG509" s="93"/>
      <c r="DH509" s="93"/>
      <c r="DI509" s="699"/>
      <c r="DJ509" s="93"/>
      <c r="DK509" s="93"/>
      <c r="DL509" s="93"/>
      <c r="DM509" s="205"/>
      <c r="DN509" s="291"/>
      <c r="DO509" s="292"/>
      <c r="DP509" s="93"/>
      <c r="DQ509" s="93"/>
      <c r="DR509" s="205"/>
      <c r="DS509" s="161"/>
      <c r="DT509" s="93"/>
      <c r="DU509" s="93"/>
      <c r="DV509" s="93"/>
      <c r="DW509" s="93"/>
      <c r="DX509" s="79"/>
    </row>
    <row r="510" spans="1:128">
      <c r="A510" s="114"/>
      <c r="B510" s="51"/>
      <c r="C510" s="51"/>
      <c r="D510" s="51"/>
      <c r="E510" s="161"/>
      <c r="F510" s="291"/>
      <c r="G510" s="52"/>
      <c r="H510" s="52"/>
      <c r="I510" s="52"/>
      <c r="J510" s="161"/>
      <c r="K510" s="291"/>
      <c r="L510" s="51"/>
      <c r="M510" s="51"/>
      <c r="N510" s="51"/>
      <c r="O510" s="51"/>
      <c r="P510" s="51"/>
      <c r="Q510" s="699"/>
      <c r="R510" s="93"/>
      <c r="S510" s="93"/>
      <c r="T510" s="93"/>
      <c r="U510" s="93"/>
      <c r="V510" s="292"/>
      <c r="W510" s="205"/>
      <c r="X510" s="93"/>
      <c r="Y510" s="93"/>
      <c r="Z510" s="93"/>
      <c r="AA510" s="291"/>
      <c r="AB510" s="205"/>
      <c r="AC510" s="52"/>
      <c r="AD510" s="93"/>
      <c r="AE510" s="93"/>
      <c r="AF510" s="79"/>
      <c r="AG510" s="51"/>
      <c r="AH510" s="51"/>
      <c r="AI510" s="51"/>
      <c r="AJ510" s="51"/>
      <c r="AK510" s="51"/>
      <c r="AL510" s="51"/>
      <c r="AM510" s="92"/>
      <c r="AN510" s="92"/>
      <c r="AO510" s="291"/>
      <c r="AP510" s="205"/>
      <c r="AQ510" s="51"/>
      <c r="AR510" s="51"/>
      <c r="AS510" s="92"/>
      <c r="AT510" s="51"/>
      <c r="AU510" s="51"/>
      <c r="AV510" s="82"/>
      <c r="AW510" s="699"/>
      <c r="AX510" s="93"/>
      <c r="AY510" s="93"/>
      <c r="AZ510" s="51"/>
      <c r="BA510" s="51"/>
      <c r="BB510" s="291"/>
      <c r="BC510" s="205"/>
      <c r="BD510" s="51"/>
      <c r="BE510" s="51"/>
      <c r="BF510" s="51"/>
      <c r="BG510" s="292"/>
      <c r="BH510" s="291"/>
      <c r="BI510" s="205"/>
      <c r="BJ510" s="51"/>
      <c r="BK510" s="51"/>
      <c r="BL510" s="82"/>
      <c r="BM510" s="51"/>
      <c r="BN510" s="51"/>
      <c r="BO510" s="51"/>
      <c r="BP510" s="51"/>
      <c r="BQ510" s="51"/>
      <c r="BR510" s="291"/>
      <c r="BS510" s="205"/>
      <c r="BT510" s="52"/>
      <c r="BU510" s="52"/>
      <c r="BV510" s="52"/>
      <c r="BW510" s="292"/>
      <c r="BX510" s="205"/>
      <c r="BY510" s="51"/>
      <c r="BZ510" s="51"/>
      <c r="CA510" s="51"/>
      <c r="CB510" s="82"/>
      <c r="CC510" s="699"/>
      <c r="CD510" s="93"/>
      <c r="CE510" s="206"/>
      <c r="CF510" s="291"/>
      <c r="CG510" s="292"/>
      <c r="CH510" s="51"/>
      <c r="CI510" s="51"/>
      <c r="CJ510" s="51"/>
      <c r="CK510" s="206"/>
      <c r="CL510" s="291"/>
      <c r="CM510" s="51"/>
      <c r="CN510" s="93"/>
      <c r="CO510" s="93"/>
      <c r="CP510" s="93"/>
      <c r="CQ510" s="93"/>
      <c r="CR510" s="93"/>
      <c r="CS510" s="699"/>
      <c r="CT510" s="93"/>
      <c r="CU510" s="93"/>
      <c r="CV510" s="51"/>
      <c r="CW510" s="51"/>
      <c r="CX510" s="205"/>
      <c r="CY510" s="291"/>
      <c r="CZ510" s="92"/>
      <c r="DA510" s="92"/>
      <c r="DB510" s="51"/>
      <c r="DC510" s="51"/>
      <c r="DD510" s="51"/>
      <c r="DE510" s="51"/>
      <c r="DF510" s="93"/>
      <c r="DG510" s="93"/>
      <c r="DH510" s="93"/>
      <c r="DI510" s="699"/>
      <c r="DJ510" s="93"/>
      <c r="DK510" s="93"/>
      <c r="DL510" s="93"/>
      <c r="DM510" s="291"/>
      <c r="DN510" s="291"/>
      <c r="DO510" s="93"/>
      <c r="DP510" s="93"/>
      <c r="DQ510" s="93"/>
      <c r="DR510" s="205"/>
      <c r="DS510" s="292"/>
      <c r="DT510" s="93"/>
      <c r="DU510" s="93"/>
      <c r="DV510" s="93"/>
      <c r="DW510" s="93"/>
      <c r="DX510" s="79"/>
    </row>
    <row r="511" spans="1:128">
      <c r="A511" s="114"/>
      <c r="B511" s="51"/>
      <c r="C511" s="51"/>
      <c r="D511" s="64"/>
      <c r="E511" s="291"/>
      <c r="F511" s="291"/>
      <c r="G511" s="51"/>
      <c r="H511" s="51"/>
      <c r="I511" s="51"/>
      <c r="J511" s="205"/>
      <c r="K511" s="291"/>
      <c r="L511" s="64"/>
      <c r="M511" s="51"/>
      <c r="N511" s="51"/>
      <c r="O511" s="51"/>
      <c r="P511" s="51"/>
      <c r="Q511" s="699"/>
      <c r="R511" s="93"/>
      <c r="S511" s="93"/>
      <c r="T511" s="93"/>
      <c r="U511" s="54"/>
      <c r="V511" s="292"/>
      <c r="W511" s="160"/>
      <c r="X511" s="93"/>
      <c r="Y511" s="93"/>
      <c r="Z511" s="64"/>
      <c r="AA511" s="292"/>
      <c r="AB511" s="291"/>
      <c r="AC511" s="51"/>
      <c r="AD511" s="93"/>
      <c r="AE511" s="93"/>
      <c r="AF511" s="79"/>
      <c r="AG511" s="51"/>
      <c r="AH511" s="51"/>
      <c r="AI511" s="51"/>
      <c r="AJ511" s="51"/>
      <c r="AK511" s="51"/>
      <c r="AL511" s="51"/>
      <c r="AM511" s="51"/>
      <c r="AN511" s="64"/>
      <c r="AO511" s="291"/>
      <c r="AP511" s="291"/>
      <c r="AQ511" s="205"/>
      <c r="AR511" s="51"/>
      <c r="AS511" s="92"/>
      <c r="AT511" s="51"/>
      <c r="AU511" s="51"/>
      <c r="AV511" s="82"/>
      <c r="AW511" s="699"/>
      <c r="AX511" s="93"/>
      <c r="AY511" s="93"/>
      <c r="AZ511" s="51"/>
      <c r="BA511" s="36"/>
      <c r="BB511" s="291"/>
      <c r="BC511" s="205"/>
      <c r="BD511" s="51"/>
      <c r="BE511" s="51"/>
      <c r="BF511" s="51"/>
      <c r="BG511" s="64"/>
      <c r="BH511" s="292"/>
      <c r="BI511" s="291"/>
      <c r="BJ511" s="51"/>
      <c r="BK511" s="51"/>
      <c r="BL511" s="82"/>
      <c r="BM511" s="51"/>
      <c r="BN511" s="51"/>
      <c r="BO511" s="51"/>
      <c r="BP511" s="51"/>
      <c r="BQ511" s="64"/>
      <c r="BR511" s="291"/>
      <c r="BS511" s="205"/>
      <c r="BT511" s="51"/>
      <c r="BU511" s="51"/>
      <c r="BV511" s="51"/>
      <c r="BW511" s="291"/>
      <c r="BX511" s="291"/>
      <c r="BY511" s="291"/>
      <c r="BZ511" s="51"/>
      <c r="CA511" s="51"/>
      <c r="CB511" s="82"/>
      <c r="CC511" s="699"/>
      <c r="CD511" s="93"/>
      <c r="CE511" s="291"/>
      <c r="CF511" s="292"/>
      <c r="CG511" s="51"/>
      <c r="CH511" s="51"/>
      <c r="CI511" s="51"/>
      <c r="CJ511" s="51"/>
      <c r="CK511" s="206"/>
      <c r="CL511" s="291"/>
      <c r="CM511" s="64"/>
      <c r="CN511" s="93"/>
      <c r="CO511" s="93"/>
      <c r="CP511" s="93"/>
      <c r="CQ511" s="93"/>
      <c r="CR511" s="93"/>
      <c r="CS511" s="699"/>
      <c r="CT511" s="93"/>
      <c r="CU511" s="93"/>
      <c r="CV511" s="51"/>
      <c r="CW511" s="205"/>
      <c r="CX511" s="291"/>
      <c r="CY511" s="291"/>
      <c r="CZ511" s="64"/>
      <c r="DA511" s="51"/>
      <c r="DB511" s="51"/>
      <c r="DC511" s="51"/>
      <c r="DD511" s="51"/>
      <c r="DE511" s="51"/>
      <c r="DF511" s="93"/>
      <c r="DG511" s="93"/>
      <c r="DH511" s="93"/>
      <c r="DI511" s="699"/>
      <c r="DJ511" s="93"/>
      <c r="DK511" s="93"/>
      <c r="DL511" s="205"/>
      <c r="DM511" s="292"/>
      <c r="DN511" s="64"/>
      <c r="DO511" s="93"/>
      <c r="DP511" s="93"/>
      <c r="DQ511" s="160"/>
      <c r="DR511" s="160"/>
      <c r="DS511" s="292"/>
      <c r="DT511" s="64"/>
      <c r="DU511" s="93"/>
      <c r="DV511" s="93"/>
      <c r="DW511" s="93"/>
      <c r="DX511" s="79"/>
    </row>
    <row r="512" spans="1:128">
      <c r="A512" s="114"/>
      <c r="B512" s="92"/>
      <c r="C512" s="51"/>
      <c r="D512" s="291"/>
      <c r="E512" s="160"/>
      <c r="F512" s="160"/>
      <c r="G512" s="92"/>
      <c r="H512" s="92"/>
      <c r="I512" s="92"/>
      <c r="J512" s="160"/>
      <c r="K512" s="160"/>
      <c r="L512" s="291"/>
      <c r="M512" s="92"/>
      <c r="N512" s="92"/>
      <c r="O512" s="92"/>
      <c r="P512" s="92"/>
      <c r="Q512" s="699"/>
      <c r="R512" s="93"/>
      <c r="S512" s="93"/>
      <c r="T512" s="93"/>
      <c r="U512" s="160"/>
      <c r="V512" s="160"/>
      <c r="W512" s="160"/>
      <c r="X512" s="93"/>
      <c r="Y512" s="93"/>
      <c r="Z512" s="291"/>
      <c r="AA512" s="160"/>
      <c r="AB512" s="160"/>
      <c r="AC512" s="51"/>
      <c r="AD512" s="93"/>
      <c r="AE512" s="93"/>
      <c r="AF512" s="79"/>
      <c r="AG512" s="51"/>
      <c r="AH512" s="51"/>
      <c r="AI512" s="51"/>
      <c r="AJ512" s="51"/>
      <c r="AK512" s="51"/>
      <c r="AL512" s="51"/>
      <c r="AM512" s="160"/>
      <c r="AN512" s="160"/>
      <c r="AO512" s="160"/>
      <c r="AP512" s="160"/>
      <c r="AQ512" s="160"/>
      <c r="AR512" s="51"/>
      <c r="AS512" s="92"/>
      <c r="AT512" s="51"/>
      <c r="AU512" s="51"/>
      <c r="AV512" s="82"/>
      <c r="AW512" s="699"/>
      <c r="AX512" s="93"/>
      <c r="AY512" s="93"/>
      <c r="AZ512" s="51"/>
      <c r="BA512" s="291"/>
      <c r="BB512" s="160"/>
      <c r="BC512" s="160"/>
      <c r="BD512" s="51"/>
      <c r="BE512" s="51"/>
      <c r="BF512" s="51"/>
      <c r="BG512" s="291"/>
      <c r="BH512" s="160"/>
      <c r="BI512" s="160"/>
      <c r="BJ512" s="92"/>
      <c r="BK512" s="92"/>
      <c r="BL512" s="113"/>
      <c r="BM512" s="106"/>
      <c r="BN512" s="106"/>
      <c r="BO512" s="106"/>
      <c r="BP512" s="106"/>
      <c r="BQ512" s="291"/>
      <c r="BR512" s="160"/>
      <c r="BS512" s="160"/>
      <c r="BT512" s="103"/>
      <c r="BU512" s="103"/>
      <c r="BV512" s="103"/>
      <c r="BW512" s="291"/>
      <c r="BX512" s="160"/>
      <c r="BY512" s="160"/>
      <c r="BZ512" s="103"/>
      <c r="CA512" s="103"/>
      <c r="CB512" s="116"/>
      <c r="CC512" s="700"/>
      <c r="CD512" s="73"/>
      <c r="CE512" s="336"/>
      <c r="CF512" s="336"/>
      <c r="CG512" s="81"/>
      <c r="CH512" s="106"/>
      <c r="CI512" s="106"/>
      <c r="CJ512" s="106"/>
      <c r="CK512" s="336"/>
      <c r="CL512" s="336"/>
      <c r="CM512" s="81"/>
      <c r="CN512" s="73"/>
      <c r="CO512" s="73"/>
      <c r="CP512" s="73"/>
      <c r="CQ512" s="73"/>
      <c r="CR512" s="73"/>
      <c r="CS512" s="700"/>
      <c r="CT512" s="73"/>
      <c r="CU512" s="73"/>
      <c r="CV512" s="106"/>
      <c r="CW512" s="336"/>
      <c r="CX512" s="336"/>
      <c r="CY512" s="336"/>
      <c r="CZ512" s="336"/>
      <c r="DA512" s="336"/>
      <c r="DB512" s="106"/>
      <c r="DC512" s="106"/>
      <c r="DD512" s="106"/>
      <c r="DE512" s="106"/>
      <c r="DF512" s="73"/>
      <c r="DG512" s="73"/>
      <c r="DH512" s="73"/>
      <c r="DI512" s="700"/>
      <c r="DJ512" s="73"/>
      <c r="DK512" s="73"/>
      <c r="DL512" s="336"/>
      <c r="DM512" s="336"/>
      <c r="DN512" s="81"/>
      <c r="DO512" s="73"/>
      <c r="DP512" s="73"/>
      <c r="DQ512" s="336"/>
      <c r="DR512" s="336"/>
      <c r="DS512" s="336"/>
      <c r="DT512" s="336"/>
      <c r="DU512" s="73"/>
      <c r="DV512" s="73"/>
      <c r="DW512" s="73"/>
      <c r="DX512" s="701"/>
    </row>
    <row r="513" spans="1:130">
      <c r="A513" s="753">
        <v>5</v>
      </c>
      <c r="B513" s="711"/>
      <c r="C513" s="711"/>
      <c r="D513" s="711"/>
      <c r="E513" s="711"/>
      <c r="F513" s="711"/>
      <c r="G513" s="711"/>
      <c r="H513" s="711"/>
      <c r="I513" s="711"/>
      <c r="J513" s="711"/>
      <c r="K513" s="711"/>
      <c r="L513" s="711"/>
      <c r="M513" s="711"/>
      <c r="N513" s="711"/>
      <c r="O513" s="711"/>
      <c r="P513" s="711"/>
      <c r="Q513" s="753"/>
      <c r="R513" s="711"/>
      <c r="S513" s="711"/>
      <c r="T513" s="711"/>
      <c r="U513" s="711"/>
      <c r="V513" s="711"/>
      <c r="W513" s="711"/>
      <c r="X513" s="711"/>
      <c r="Y513" s="711"/>
      <c r="Z513" s="711"/>
      <c r="AA513" s="711"/>
      <c r="AB513" s="711"/>
      <c r="AC513" s="711"/>
      <c r="AD513" s="711"/>
      <c r="AE513" s="711"/>
      <c r="AF513" s="711"/>
      <c r="AG513" s="108"/>
      <c r="AH513" s="109"/>
      <c r="AI513" s="109"/>
      <c r="AJ513" s="109"/>
      <c r="AK513" s="109"/>
      <c r="AL513" s="110"/>
      <c r="AM513" s="110"/>
      <c r="AN513" s="109"/>
      <c r="AO513" s="109"/>
      <c r="AP513" s="711"/>
      <c r="AQ513" s="711"/>
      <c r="AR513" s="711"/>
      <c r="AS513" s="711"/>
      <c r="AT513" s="711"/>
      <c r="AU513" s="711"/>
      <c r="AV513" s="530"/>
      <c r="AW513" s="711"/>
      <c r="AX513" s="711"/>
      <c r="AY513" s="711"/>
      <c r="AZ513" s="711"/>
      <c r="BA513" s="711"/>
      <c r="BB513" s="711"/>
      <c r="BC513" s="711"/>
      <c r="BD513" s="711"/>
      <c r="BE513" s="711"/>
      <c r="BF513" s="711"/>
      <c r="BG513" s="711"/>
      <c r="BH513" s="711"/>
      <c r="BI513" s="711"/>
      <c r="BJ513" s="711"/>
      <c r="BK513" s="711"/>
      <c r="BL513" s="530"/>
      <c r="BM513" s="711"/>
      <c r="BN513" s="711"/>
      <c r="BO513" s="711"/>
      <c r="BP513" s="711"/>
      <c r="BQ513" s="711"/>
      <c r="BR513" s="711"/>
      <c r="BS513" s="711"/>
      <c r="BT513" s="711"/>
      <c r="BU513" s="711"/>
      <c r="BV513" s="711"/>
      <c r="BW513" s="711"/>
      <c r="BX513" s="711"/>
      <c r="BY513" s="711"/>
      <c r="BZ513" s="711"/>
      <c r="CA513" s="711"/>
      <c r="CB513" s="530"/>
      <c r="CE513" s="711"/>
      <c r="CF513" s="711"/>
      <c r="CG513" s="711"/>
      <c r="CH513" s="711"/>
      <c r="CI513" s="711"/>
      <c r="CJ513" s="711"/>
      <c r="CK513" s="711"/>
      <c r="CL513" s="711"/>
      <c r="CM513" s="711"/>
      <c r="CN513" s="711"/>
      <c r="CO513" s="711"/>
      <c r="CP513" s="711"/>
      <c r="CQ513" s="711"/>
      <c r="CS513" s="753"/>
      <c r="CT513" s="711"/>
      <c r="CU513" s="711"/>
      <c r="CV513" s="711"/>
      <c r="CW513" s="711"/>
      <c r="CX513" s="711"/>
      <c r="CY513" s="711"/>
      <c r="CZ513" s="109"/>
      <c r="DA513" s="109"/>
      <c r="DB513" s="110"/>
      <c r="DC513" s="110"/>
      <c r="DD513" s="109"/>
      <c r="DE513" s="109"/>
      <c r="DF513" s="109"/>
      <c r="DG513" s="109"/>
      <c r="DH513" s="530"/>
      <c r="DI513" s="753"/>
      <c r="DJ513" s="711"/>
      <c r="DK513" s="711"/>
      <c r="DL513" s="711"/>
      <c r="DM513" s="711"/>
      <c r="DN513" s="711"/>
      <c r="DO513" s="711"/>
      <c r="DP513" s="711"/>
      <c r="DQ513" s="711"/>
      <c r="DR513" s="711"/>
      <c r="DS513" s="711"/>
      <c r="DT513" s="711"/>
      <c r="DU513" s="711"/>
      <c r="DV513" s="711"/>
      <c r="DW513" s="711"/>
      <c r="DX513" s="530"/>
      <c r="DZ513" s="795"/>
    </row>
    <row r="514" spans="1:130">
      <c r="A514" s="699">
        <v>5</v>
      </c>
      <c r="B514" s="93"/>
      <c r="C514" s="93"/>
      <c r="D514" s="93"/>
      <c r="E514" s="93"/>
      <c r="F514" s="93"/>
      <c r="G514" s="93"/>
      <c r="H514" s="93"/>
      <c r="I514" s="93"/>
      <c r="J514" s="93"/>
      <c r="K514" s="93"/>
      <c r="L514" s="93"/>
      <c r="M514" s="93"/>
      <c r="N514" s="93"/>
      <c r="O514" s="93"/>
      <c r="P514" s="93"/>
      <c r="Q514" s="699"/>
      <c r="R514" s="93"/>
      <c r="S514" s="93"/>
      <c r="T514" s="93"/>
      <c r="U514" s="93"/>
      <c r="V514" s="93"/>
      <c r="W514" s="93"/>
      <c r="X514" s="93"/>
      <c r="Y514" s="93"/>
      <c r="Z514" s="93"/>
      <c r="AA514" s="93"/>
      <c r="AB514" s="93"/>
      <c r="AC514" s="93"/>
      <c r="AD514" s="93"/>
      <c r="AE514" s="93"/>
      <c r="AF514" s="93"/>
      <c r="AG514" s="114"/>
      <c r="AH514" s="51"/>
      <c r="AI514" s="51"/>
      <c r="AJ514" s="51"/>
      <c r="AK514" s="51"/>
      <c r="AL514" s="92"/>
      <c r="AM514" s="92"/>
      <c r="AN514" s="51"/>
      <c r="AO514" s="51"/>
      <c r="AP514" s="93"/>
      <c r="AQ514" s="93"/>
      <c r="AR514" s="93"/>
      <c r="AS514" s="93"/>
      <c r="AT514" s="93"/>
      <c r="AU514" s="93"/>
      <c r="AV514" s="79"/>
      <c r="AW514" s="93"/>
      <c r="AX514" s="93"/>
      <c r="AY514" s="93"/>
      <c r="AZ514" s="93"/>
      <c r="BA514" s="93"/>
      <c r="BB514" s="93"/>
      <c r="BC514" s="93"/>
      <c r="BD514" s="93"/>
      <c r="BE514" s="93"/>
      <c r="BF514" s="93"/>
      <c r="BG514" s="93"/>
      <c r="BH514" s="93"/>
      <c r="BI514" s="93"/>
      <c r="BJ514" s="93"/>
      <c r="BK514" s="93"/>
      <c r="BL514" s="79"/>
      <c r="BM514" s="93"/>
      <c r="BN514" s="93"/>
      <c r="BO514" s="93"/>
      <c r="BP514" s="93"/>
      <c r="BQ514" s="93"/>
      <c r="BR514" s="93"/>
      <c r="BS514" s="93"/>
      <c r="BT514" s="93"/>
      <c r="BU514" s="93"/>
      <c r="BV514" s="93"/>
      <c r="BW514" s="93"/>
      <c r="BX514" s="93"/>
      <c r="BY514" s="93"/>
      <c r="BZ514" s="93"/>
      <c r="CA514" s="93"/>
      <c r="CB514" s="79"/>
      <c r="CE514" s="93"/>
      <c r="CF514" s="93"/>
      <c r="CG514" s="93"/>
      <c r="CH514" s="93"/>
      <c r="CI514" s="93"/>
      <c r="CJ514" s="93"/>
      <c r="CK514" s="93"/>
      <c r="CL514" s="93"/>
      <c r="CM514" s="93"/>
      <c r="CN514" s="93"/>
      <c r="CO514" s="93"/>
      <c r="CP514" s="93"/>
      <c r="CQ514" s="93"/>
      <c r="CS514" s="699"/>
      <c r="CT514" s="93"/>
      <c r="CU514" s="93"/>
      <c r="CV514" s="93"/>
      <c r="CW514" s="93"/>
      <c r="CX514" s="93"/>
      <c r="CY514" s="93"/>
      <c r="CZ514" s="51"/>
      <c r="DA514" s="51"/>
      <c r="DB514" s="92"/>
      <c r="DC514" s="92"/>
      <c r="DD514" s="51"/>
      <c r="DE514" s="51"/>
      <c r="DF514" s="51"/>
      <c r="DG514" s="51"/>
      <c r="DH514" s="79"/>
      <c r="DI514" s="699"/>
      <c r="DJ514" s="93"/>
      <c r="DK514" s="93"/>
      <c r="DL514" s="93"/>
      <c r="DM514" s="93"/>
      <c r="DN514" s="93"/>
      <c r="DO514" s="93"/>
      <c r="DP514" s="93"/>
      <c r="DQ514" s="93"/>
      <c r="DR514" s="93"/>
      <c r="DS514" s="93"/>
      <c r="DT514" s="93"/>
      <c r="DU514" s="93"/>
      <c r="DV514" s="93"/>
      <c r="DW514" s="93"/>
      <c r="DX514" s="79"/>
      <c r="DZ514" s="52"/>
    </row>
    <row r="515" spans="1:130">
      <c r="A515" s="699">
        <v>7</v>
      </c>
      <c r="B515" s="93"/>
      <c r="C515" s="93"/>
      <c r="D515" s="93"/>
      <c r="E515" s="93"/>
      <c r="F515" s="93"/>
      <c r="G515" s="93"/>
      <c r="H515" s="93"/>
      <c r="I515" s="93"/>
      <c r="J515" s="93"/>
      <c r="K515" s="93"/>
      <c r="L515" s="93"/>
      <c r="M515" s="93"/>
      <c r="N515" s="93"/>
      <c r="O515" s="93"/>
      <c r="P515" s="93"/>
      <c r="Q515" s="699"/>
      <c r="R515" s="93"/>
      <c r="S515" s="93"/>
      <c r="T515" s="93"/>
      <c r="U515" s="93"/>
      <c r="V515" s="93"/>
      <c r="W515" s="93"/>
      <c r="X515" s="93"/>
      <c r="Y515" s="93"/>
      <c r="Z515" s="93"/>
      <c r="AA515" s="93"/>
      <c r="AB515" s="93"/>
      <c r="AC515" s="93"/>
      <c r="AD515" s="93"/>
      <c r="AE515" s="93"/>
      <c r="AF515" s="93"/>
      <c r="AG515" s="114"/>
      <c r="AH515" s="51"/>
      <c r="AI515" s="51"/>
      <c r="AJ515" s="51"/>
      <c r="AK515" s="51"/>
      <c r="AL515" s="92"/>
      <c r="AM515" s="92"/>
      <c r="AN515" s="51"/>
      <c r="AO515" s="51"/>
      <c r="AP515" s="93"/>
      <c r="AQ515" s="93"/>
      <c r="AR515" s="93"/>
      <c r="AS515" s="93"/>
      <c r="AT515" s="93"/>
      <c r="AU515" s="93"/>
      <c r="AV515" s="79"/>
      <c r="AW515" s="93"/>
      <c r="AX515" s="93"/>
      <c r="AY515" s="93"/>
      <c r="AZ515" s="93"/>
      <c r="BA515" s="93"/>
      <c r="BB515" s="93"/>
      <c r="BC515" s="93"/>
      <c r="BD515" s="93"/>
      <c r="BE515" s="93"/>
      <c r="BF515" s="93"/>
      <c r="BG515" s="93"/>
      <c r="BH515" s="93"/>
      <c r="BI515" s="93"/>
      <c r="BJ515" s="93"/>
      <c r="BK515" s="93"/>
      <c r="BL515" s="79"/>
      <c r="BM515" s="93"/>
      <c r="BN515" s="93"/>
      <c r="BO515" s="93"/>
      <c r="BP515" s="93"/>
      <c r="BQ515" s="93"/>
      <c r="BR515" s="93"/>
      <c r="BS515" s="93"/>
      <c r="BT515" s="93"/>
      <c r="BU515" s="93"/>
      <c r="BV515" s="93"/>
      <c r="BW515" s="93"/>
      <c r="BX515" s="93"/>
      <c r="BY515" s="93"/>
      <c r="BZ515" s="93"/>
      <c r="CA515" s="93"/>
      <c r="CB515" s="79"/>
      <c r="CE515" s="93"/>
      <c r="CF515" s="93"/>
      <c r="CG515" s="93"/>
      <c r="CH515" s="93"/>
      <c r="CI515" s="93"/>
      <c r="CJ515" s="93"/>
      <c r="CK515" s="93"/>
      <c r="CL515" s="93"/>
      <c r="CM515" s="93"/>
      <c r="CN515" s="93"/>
      <c r="CO515" s="93"/>
      <c r="CP515" s="93"/>
      <c r="CQ515" s="93"/>
      <c r="CS515" s="699"/>
      <c r="CT515" s="93"/>
      <c r="CU515" s="93"/>
      <c r="CV515" s="93"/>
      <c r="CW515" s="93"/>
      <c r="CX515" s="93"/>
      <c r="CY515" s="93"/>
      <c r="CZ515" s="51"/>
      <c r="DA515" s="51"/>
      <c r="DB515" s="92"/>
      <c r="DC515" s="92"/>
      <c r="DD515" s="51"/>
      <c r="DE515" s="51"/>
      <c r="DF515" s="51"/>
      <c r="DG515" s="51"/>
      <c r="DH515" s="79"/>
      <c r="DI515" s="699"/>
      <c r="DJ515" s="93"/>
      <c r="DK515" s="93"/>
      <c r="DL515" s="93"/>
      <c r="DM515" s="93"/>
      <c r="DN515" s="93"/>
      <c r="DO515" s="93"/>
      <c r="DP515" s="93"/>
      <c r="DQ515" s="93"/>
      <c r="DR515" s="93"/>
      <c r="DS515" s="93"/>
      <c r="DT515" s="93"/>
      <c r="DU515" s="93"/>
      <c r="DV515" s="93"/>
      <c r="DW515" s="93"/>
      <c r="DX515" s="79"/>
      <c r="DZ515" s="52"/>
    </row>
    <row r="516" spans="1:130">
      <c r="A516" s="699">
        <v>7</v>
      </c>
      <c r="B516" s="93"/>
      <c r="C516" s="93"/>
      <c r="D516" s="93"/>
      <c r="E516" s="93"/>
      <c r="F516" s="93"/>
      <c r="G516" s="93"/>
      <c r="H516" s="93"/>
      <c r="I516" s="93"/>
      <c r="J516" s="93"/>
      <c r="K516" s="93"/>
      <c r="L516" s="93"/>
      <c r="M516" s="93"/>
      <c r="N516" s="93"/>
      <c r="O516" s="93"/>
      <c r="P516" s="93"/>
      <c r="Q516" s="699"/>
      <c r="R516" s="93"/>
      <c r="S516" s="93"/>
      <c r="T516" s="93"/>
      <c r="U516" s="93"/>
      <c r="V516" s="93"/>
      <c r="W516" s="93"/>
      <c r="X516" s="93"/>
      <c r="Y516" s="93"/>
      <c r="Z516" s="93"/>
      <c r="AA516" s="93"/>
      <c r="AB516" s="93"/>
      <c r="AC516" s="93"/>
      <c r="AD516" s="93"/>
      <c r="AE516" s="93"/>
      <c r="AF516" s="93"/>
      <c r="AG516" s="114"/>
      <c r="AH516" s="51"/>
      <c r="AI516" s="51"/>
      <c r="AJ516" s="51"/>
      <c r="AK516" s="51"/>
      <c r="AL516" s="92"/>
      <c r="AM516" s="92"/>
      <c r="AN516" s="51"/>
      <c r="AO516" s="51"/>
      <c r="AP516" s="93"/>
      <c r="AQ516" s="93"/>
      <c r="AR516" s="93"/>
      <c r="AS516" s="93"/>
      <c r="AT516" s="93"/>
      <c r="AU516" s="93"/>
      <c r="AV516" s="79"/>
      <c r="AW516" s="93"/>
      <c r="AX516" s="93"/>
      <c r="AY516" s="93"/>
      <c r="AZ516" s="93"/>
      <c r="BA516" s="93"/>
      <c r="BB516" s="93"/>
      <c r="BC516" s="93"/>
      <c r="BD516" s="93"/>
      <c r="BE516" s="93"/>
      <c r="BF516" s="93"/>
      <c r="BG516" s="93"/>
      <c r="BH516" s="93"/>
      <c r="BI516" s="93"/>
      <c r="BJ516" s="93"/>
      <c r="BK516" s="93"/>
      <c r="BL516" s="79"/>
      <c r="BM516" s="93"/>
      <c r="BN516" s="93"/>
      <c r="BO516" s="93"/>
      <c r="BP516" s="93"/>
      <c r="BQ516" s="93"/>
      <c r="BR516" s="93"/>
      <c r="BS516" s="93"/>
      <c r="BT516" s="93"/>
      <c r="BU516" s="93"/>
      <c r="BV516" s="93"/>
      <c r="BW516" s="93"/>
      <c r="BX516" s="93"/>
      <c r="BY516" s="93"/>
      <c r="BZ516" s="93"/>
      <c r="CA516" s="93"/>
      <c r="CB516" s="79"/>
      <c r="CE516" s="93"/>
      <c r="CF516" s="93"/>
      <c r="CG516" s="93"/>
      <c r="CH516" s="93"/>
      <c r="CI516" s="93"/>
      <c r="CJ516" s="93"/>
      <c r="CK516" s="93"/>
      <c r="CL516" s="93"/>
      <c r="CM516" s="93"/>
      <c r="CN516" s="93"/>
      <c r="CO516" s="93"/>
      <c r="CP516" s="93"/>
      <c r="CQ516" s="93"/>
      <c r="CS516" s="699"/>
      <c r="CT516" s="93"/>
      <c r="CU516" s="93"/>
      <c r="CV516" s="93"/>
      <c r="CW516" s="93"/>
      <c r="CX516" s="93"/>
      <c r="CY516" s="93"/>
      <c r="CZ516" s="51"/>
      <c r="DA516" s="51"/>
      <c r="DB516" s="92"/>
      <c r="DC516" s="92"/>
      <c r="DD516" s="51"/>
      <c r="DE516" s="51"/>
      <c r="DF516" s="51"/>
      <c r="DG516" s="51"/>
      <c r="DH516" s="79"/>
      <c r="DI516" s="699"/>
      <c r="DJ516" s="93"/>
      <c r="DK516" s="93"/>
      <c r="DL516" s="93"/>
      <c r="DM516" s="93"/>
      <c r="DN516" s="93"/>
      <c r="DO516" s="93"/>
      <c r="DP516" s="93"/>
      <c r="DQ516" s="93"/>
      <c r="DR516" s="93"/>
      <c r="DS516" s="93"/>
      <c r="DT516" s="93"/>
      <c r="DU516" s="93"/>
      <c r="DV516" s="93"/>
      <c r="DW516" s="93"/>
      <c r="DX516" s="79"/>
      <c r="DZ516" s="795"/>
    </row>
    <row r="517" spans="1:130">
      <c r="A517" s="699">
        <v>0</v>
      </c>
      <c r="B517" s="93"/>
      <c r="C517" s="93"/>
      <c r="D517" s="93"/>
      <c r="E517" s="93"/>
      <c r="F517" s="93"/>
      <c r="G517" s="93"/>
      <c r="H517" s="93"/>
      <c r="I517" s="93"/>
      <c r="J517" s="93"/>
      <c r="K517" s="93"/>
      <c r="L517" s="93"/>
      <c r="M517" s="93"/>
      <c r="N517" s="93"/>
      <c r="O517" s="93"/>
      <c r="P517" s="93"/>
      <c r="Q517" s="699"/>
      <c r="R517" s="93"/>
      <c r="S517" s="93"/>
      <c r="T517" s="93"/>
      <c r="U517" s="93"/>
      <c r="V517" s="93"/>
      <c r="W517" s="93"/>
      <c r="X517" s="93"/>
      <c r="Y517" s="93"/>
      <c r="Z517" s="93"/>
      <c r="AA517" s="93"/>
      <c r="AB517" s="93"/>
      <c r="AC517" s="93"/>
      <c r="AD517" s="93"/>
      <c r="AE517" s="93"/>
      <c r="AF517" s="93"/>
      <c r="AG517" s="114"/>
      <c r="AH517" s="51"/>
      <c r="AI517" s="51"/>
      <c r="AJ517" s="51"/>
      <c r="AK517" s="51"/>
      <c r="AL517" s="92"/>
      <c r="AM517" s="92"/>
      <c r="AN517" s="51"/>
      <c r="AO517" s="51"/>
      <c r="AP517" s="93"/>
      <c r="AQ517" s="93"/>
      <c r="AR517" s="93"/>
      <c r="AS517" s="93"/>
      <c r="AT517" s="93"/>
      <c r="AU517" s="93"/>
      <c r="AV517" s="79"/>
      <c r="AW517" s="93"/>
      <c r="AX517" s="93"/>
      <c r="AY517" s="93"/>
      <c r="AZ517" s="93"/>
      <c r="BA517" s="93"/>
      <c r="BB517" s="93"/>
      <c r="BC517" s="93"/>
      <c r="BD517" s="93"/>
      <c r="BE517" s="93"/>
      <c r="BF517" s="93"/>
      <c r="BG517" s="93"/>
      <c r="BH517" s="93"/>
      <c r="BI517" s="93"/>
      <c r="BJ517" s="93"/>
      <c r="BK517" s="93"/>
      <c r="BL517" s="79"/>
      <c r="BM517" s="93"/>
      <c r="BN517" s="93"/>
      <c r="BO517" s="93"/>
      <c r="BP517" s="93"/>
      <c r="BQ517" s="93"/>
      <c r="BR517" s="93"/>
      <c r="BS517" s="93"/>
      <c r="BT517" s="93"/>
      <c r="BU517" s="93"/>
      <c r="BV517" s="93"/>
      <c r="BW517" s="93"/>
      <c r="BX517" s="93"/>
      <c r="BY517" s="93"/>
      <c r="BZ517" s="93"/>
      <c r="CA517" s="93"/>
      <c r="CB517" s="79"/>
      <c r="CE517" s="93"/>
      <c r="CF517" s="93"/>
      <c r="CG517" s="93"/>
      <c r="CH517" s="93"/>
      <c r="CI517" s="93"/>
      <c r="CJ517" s="93"/>
      <c r="CK517" s="93"/>
      <c r="CL517" s="93"/>
      <c r="CM517" s="93"/>
      <c r="CN517" s="93"/>
      <c r="CO517" s="93"/>
      <c r="CP517" s="93"/>
      <c r="CQ517" s="93"/>
      <c r="CS517" s="699"/>
      <c r="CT517" s="93"/>
      <c r="CU517" s="93"/>
      <c r="CV517" s="93"/>
      <c r="CW517" s="93"/>
      <c r="CX517" s="93"/>
      <c r="CY517" s="93"/>
      <c r="CZ517" s="51"/>
      <c r="DA517" s="51"/>
      <c r="DB517" s="92"/>
      <c r="DC517" s="92"/>
      <c r="DD517" s="51"/>
      <c r="DE517" s="51"/>
      <c r="DF517" s="51"/>
      <c r="DG517" s="51"/>
      <c r="DH517" s="79"/>
      <c r="DI517" s="699"/>
      <c r="DJ517" s="93"/>
      <c r="DK517" s="93"/>
      <c r="DL517" s="93"/>
      <c r="DM517" s="93"/>
      <c r="DN517" s="93"/>
      <c r="DO517" s="93"/>
      <c r="DP517" s="93"/>
      <c r="DQ517" s="93"/>
      <c r="DR517" s="93"/>
      <c r="DS517" s="93"/>
      <c r="DT517" s="93"/>
      <c r="DU517" s="93"/>
      <c r="DV517" s="93"/>
      <c r="DW517" s="93"/>
      <c r="DX517" s="79"/>
      <c r="DZ517" s="798"/>
    </row>
    <row r="518" spans="1:130">
      <c r="A518" s="699">
        <v>160</v>
      </c>
      <c r="B518" s="93"/>
      <c r="C518" s="93"/>
      <c r="D518" s="93"/>
      <c r="E518" s="93"/>
      <c r="F518" s="93"/>
      <c r="G518" s="93"/>
      <c r="H518" s="93"/>
      <c r="I518" s="93"/>
      <c r="J518" s="93"/>
      <c r="K518" s="93"/>
      <c r="L518" s="93"/>
      <c r="M518" s="93"/>
      <c r="N518" s="93"/>
      <c r="O518" s="93"/>
      <c r="P518" s="93"/>
      <c r="Q518" s="699"/>
      <c r="R518" s="93"/>
      <c r="S518" s="93"/>
      <c r="T518" s="93"/>
      <c r="U518" s="93"/>
      <c r="V518" s="93"/>
      <c r="W518" s="93"/>
      <c r="X518" s="93"/>
      <c r="Y518" s="93"/>
      <c r="Z518" s="93"/>
      <c r="AA518" s="93"/>
      <c r="AB518" s="93"/>
      <c r="AC518" s="93"/>
      <c r="AD518" s="93"/>
      <c r="AE518" s="93"/>
      <c r="AF518" s="93"/>
      <c r="AG518" s="114"/>
      <c r="AH518" s="51"/>
      <c r="AI518" s="51"/>
      <c r="AJ518" s="51"/>
      <c r="AK518" s="51"/>
      <c r="AL518" s="92"/>
      <c r="AM518" s="92"/>
      <c r="AN518" s="51"/>
      <c r="AO518" s="51"/>
      <c r="AP518" s="93"/>
      <c r="AQ518" s="93"/>
      <c r="AR518" s="93"/>
      <c r="AS518" s="93"/>
      <c r="AT518" s="93"/>
      <c r="AU518" s="93"/>
      <c r="AV518" s="79"/>
      <c r="AW518" s="93"/>
      <c r="AX518" s="93"/>
      <c r="AY518" s="93"/>
      <c r="AZ518" s="93"/>
      <c r="BA518" s="93"/>
      <c r="BB518" s="93"/>
      <c r="BC518" s="93"/>
      <c r="BD518" s="93"/>
      <c r="BE518" s="93"/>
      <c r="BF518" s="93"/>
      <c r="BG518" s="93"/>
      <c r="BH518" s="93"/>
      <c r="BI518" s="93"/>
      <c r="BJ518" s="93"/>
      <c r="BK518" s="93"/>
      <c r="BL518" s="79"/>
      <c r="BM518" s="93"/>
      <c r="BN518" s="93"/>
      <c r="BO518" s="93"/>
      <c r="BP518" s="93"/>
      <c r="BQ518" s="93"/>
      <c r="BR518" s="93"/>
      <c r="BS518" s="93"/>
      <c r="BT518" s="93"/>
      <c r="BU518" s="93"/>
      <c r="BV518" s="93"/>
      <c r="BW518" s="93"/>
      <c r="BX518" s="93"/>
      <c r="BY518" s="93"/>
      <c r="BZ518" s="93"/>
      <c r="CA518" s="93"/>
      <c r="CB518" s="79"/>
      <c r="CE518" s="93"/>
      <c r="CF518" s="93"/>
      <c r="CG518" s="93"/>
      <c r="CH518" s="93"/>
      <c r="CI518" s="93"/>
      <c r="CJ518" s="93"/>
      <c r="CK518" s="93"/>
      <c r="CL518" s="93"/>
      <c r="CM518" s="93"/>
      <c r="CN518" s="93"/>
      <c r="CO518" s="93"/>
      <c r="CP518" s="93"/>
      <c r="CQ518" s="93"/>
      <c r="CS518" s="699"/>
      <c r="CT518" s="93"/>
      <c r="CU518" s="93"/>
      <c r="CV518" s="93"/>
      <c r="CW518" s="93"/>
      <c r="CX518" s="93"/>
      <c r="CY518" s="93"/>
      <c r="CZ518" s="51"/>
      <c r="DA518" s="51"/>
      <c r="DB518" s="92"/>
      <c r="DC518" s="92"/>
      <c r="DD518" s="51"/>
      <c r="DE518" s="51"/>
      <c r="DF518" s="51"/>
      <c r="DG518" s="51"/>
      <c r="DH518" s="79"/>
      <c r="DI518" s="699"/>
      <c r="DJ518" s="93"/>
      <c r="DK518" s="93"/>
      <c r="DL518" s="93"/>
      <c r="DM518" s="93"/>
      <c r="DN518" s="93"/>
      <c r="DO518" s="93"/>
      <c r="DP518" s="93"/>
      <c r="DQ518" s="93"/>
      <c r="DR518" s="93"/>
      <c r="DS518" s="93"/>
      <c r="DT518" s="93"/>
      <c r="DU518" s="93"/>
      <c r="DV518" s="93"/>
      <c r="DW518" s="93"/>
      <c r="DX518" s="79"/>
      <c r="DZ518" s="798"/>
    </row>
    <row r="519" spans="1:130">
      <c r="A519" s="699">
        <v>500</v>
      </c>
      <c r="B519" s="93"/>
      <c r="C519" s="93"/>
      <c r="D519" s="93"/>
      <c r="E519" s="93"/>
      <c r="F519" s="93"/>
      <c r="G519" s="93"/>
      <c r="H519" s="93"/>
      <c r="I519" s="93"/>
      <c r="J519" s="93"/>
      <c r="K519" s="93"/>
      <c r="L519" s="93"/>
      <c r="M519" s="93"/>
      <c r="N519" s="93"/>
      <c r="O519" s="93"/>
      <c r="P519" s="93"/>
      <c r="Q519" s="699"/>
      <c r="R519" s="93"/>
      <c r="S519" s="93"/>
      <c r="T519" s="93"/>
      <c r="U519" s="93"/>
      <c r="V519" s="93"/>
      <c r="W519" s="93"/>
      <c r="X519" s="93"/>
      <c r="Y519" s="93"/>
      <c r="Z519" s="93"/>
      <c r="AA519" s="93"/>
      <c r="AB519" s="93"/>
      <c r="AC519" s="93"/>
      <c r="AD519" s="93"/>
      <c r="AE519" s="93"/>
      <c r="AF519" s="93"/>
      <c r="AG519" s="114"/>
      <c r="AH519" s="51"/>
      <c r="AI519" s="51"/>
      <c r="AJ519" s="51"/>
      <c r="AK519" s="51"/>
      <c r="AL519" s="92"/>
      <c r="AN519" s="51"/>
      <c r="AO519" s="93"/>
      <c r="AP519" s="93"/>
      <c r="AQ519" s="93"/>
      <c r="AR519" s="93"/>
      <c r="AS519" s="93"/>
      <c r="AT519" s="93"/>
      <c r="AU519" s="93"/>
      <c r="AV519" s="79"/>
      <c r="AW519" s="93"/>
      <c r="AX519" s="93"/>
      <c r="AY519" s="93"/>
      <c r="AZ519" s="93"/>
      <c r="BA519" s="93"/>
      <c r="BB519" s="93"/>
      <c r="BC519" s="93"/>
      <c r="BD519" s="93"/>
      <c r="BE519" s="93"/>
      <c r="BF519" s="93"/>
      <c r="BG519" s="93"/>
      <c r="BH519" s="93"/>
      <c r="BI519" s="93"/>
      <c r="BJ519" s="93"/>
      <c r="BK519" s="93"/>
      <c r="BL519" s="79"/>
      <c r="BM519" s="93"/>
      <c r="BN519" s="93"/>
      <c r="BO519" s="93"/>
      <c r="BP519" s="93"/>
      <c r="BQ519" s="93"/>
      <c r="BR519" s="93"/>
      <c r="BS519" s="93"/>
      <c r="BT519" s="93"/>
      <c r="BU519" s="93"/>
      <c r="BV519" s="93"/>
      <c r="BW519" s="93"/>
      <c r="BX519" s="93"/>
      <c r="BY519" s="93"/>
      <c r="BZ519" s="93"/>
      <c r="CA519" s="93"/>
      <c r="CB519" s="79"/>
      <c r="CE519" s="93"/>
      <c r="CF519" s="93"/>
      <c r="CG519" s="93"/>
      <c r="CH519" s="93"/>
      <c r="CI519" s="93"/>
      <c r="CJ519" s="93"/>
      <c r="CK519" s="93"/>
      <c r="CL519" s="93"/>
      <c r="CM519" s="93"/>
      <c r="CN519" s="93"/>
      <c r="CO519" s="93"/>
      <c r="CP519" s="93"/>
      <c r="CQ519" s="93"/>
      <c r="CS519" s="699"/>
      <c r="CT519" s="93"/>
      <c r="CU519" s="93"/>
      <c r="CV519" s="93"/>
      <c r="CW519" s="93"/>
      <c r="CX519" s="93"/>
      <c r="CY519" s="93"/>
      <c r="CZ519" s="93"/>
      <c r="DA519" s="51"/>
      <c r="DC519" s="92"/>
      <c r="DD519" s="51"/>
      <c r="DE519" s="51"/>
      <c r="DF519" s="51"/>
      <c r="DG519" s="51"/>
      <c r="DH519" s="79"/>
      <c r="DI519" s="699"/>
      <c r="DJ519" s="93"/>
      <c r="DK519" s="93"/>
      <c r="DL519" s="93"/>
      <c r="DM519" s="93"/>
      <c r="DN519" s="93"/>
      <c r="DO519" s="93"/>
      <c r="DP519" s="93"/>
      <c r="DQ519" s="93"/>
      <c r="DR519" s="93"/>
      <c r="DS519" s="93"/>
      <c r="DT519" s="93"/>
      <c r="DU519" s="93"/>
      <c r="DV519" s="93"/>
      <c r="DW519" s="93"/>
      <c r="DX519" s="79"/>
      <c r="DZ519" s="795"/>
    </row>
    <row r="520" spans="1:130">
      <c r="A520" s="699"/>
      <c r="B520" s="201"/>
      <c r="C520" s="93"/>
      <c r="D520" s="93"/>
      <c r="E520" s="93"/>
      <c r="F520" s="93"/>
      <c r="G520" s="93"/>
      <c r="H520" s="93"/>
      <c r="I520" s="93"/>
      <c r="J520" s="93"/>
      <c r="K520" s="93"/>
      <c r="L520" s="93"/>
      <c r="M520" s="93"/>
      <c r="N520" s="93"/>
      <c r="O520" s="206"/>
      <c r="P520" s="93"/>
      <c r="Q520" s="699"/>
      <c r="R520" s="93"/>
      <c r="S520" s="206"/>
      <c r="T520" s="93"/>
      <c r="U520" s="93"/>
      <c r="V520" s="93"/>
      <c r="W520" s="93"/>
      <c r="X520" s="93"/>
      <c r="Y520" s="93"/>
      <c r="Z520" s="93"/>
      <c r="AA520" s="93"/>
      <c r="AB520" s="93"/>
      <c r="AC520" s="93"/>
      <c r="AD520" s="93"/>
      <c r="AE520" s="93"/>
      <c r="AF520" s="93"/>
      <c r="AG520" s="114"/>
      <c r="AH520" s="51"/>
      <c r="AI520" s="51"/>
      <c r="AJ520" s="51"/>
      <c r="AK520" s="51"/>
      <c r="AL520" s="92"/>
      <c r="AM520" s="206"/>
      <c r="AN520" s="291"/>
      <c r="AO520" s="206"/>
      <c r="AP520" s="93"/>
      <c r="AQ520" s="93"/>
      <c r="AR520" s="93"/>
      <c r="AS520" s="93"/>
      <c r="AT520" s="93"/>
      <c r="AU520" s="93"/>
      <c r="AV520" s="79"/>
      <c r="AW520" s="93"/>
      <c r="AX520" s="93"/>
      <c r="AY520" s="93"/>
      <c r="AZ520" s="93"/>
      <c r="BA520" s="93"/>
      <c r="BB520" s="93"/>
      <c r="BC520" s="93"/>
      <c r="BD520" s="93"/>
      <c r="BE520" s="93"/>
      <c r="BF520" s="93"/>
      <c r="BG520" s="93"/>
      <c r="BH520" s="93"/>
      <c r="BI520" s="206"/>
      <c r="BJ520" s="93"/>
      <c r="BK520" s="93"/>
      <c r="BL520" s="79"/>
      <c r="BM520" s="93"/>
      <c r="BN520" s="201"/>
      <c r="BO520" s="93"/>
      <c r="BP520" s="93"/>
      <c r="BQ520" s="93"/>
      <c r="BR520" s="93"/>
      <c r="BS520" s="93"/>
      <c r="BT520" s="93"/>
      <c r="BU520" s="93"/>
      <c r="BV520" s="93"/>
      <c r="BW520" s="93"/>
      <c r="BX520" s="93"/>
      <c r="BY520" s="93"/>
      <c r="BZ520" s="93"/>
      <c r="CA520" s="206"/>
      <c r="CB520" s="79"/>
      <c r="CE520" s="93"/>
      <c r="CF520" s="206"/>
      <c r="CG520" s="93"/>
      <c r="CH520" s="93"/>
      <c r="CI520" s="93"/>
      <c r="CJ520" s="93"/>
      <c r="CK520" s="93"/>
      <c r="CL520" s="93"/>
      <c r="CM520" s="93"/>
      <c r="CN520" s="93"/>
      <c r="CO520" s="93"/>
      <c r="CP520" s="93"/>
      <c r="CQ520" s="93"/>
      <c r="CS520" s="699"/>
      <c r="CT520" s="93"/>
      <c r="CU520" s="93"/>
      <c r="CV520" s="93"/>
      <c r="CW520" s="93"/>
      <c r="CX520" s="93"/>
      <c r="CY520" s="93"/>
      <c r="CZ520" s="206"/>
      <c r="DA520" s="291"/>
      <c r="DB520" s="206"/>
      <c r="DC520" s="92"/>
      <c r="DD520" s="51"/>
      <c r="DE520" s="51"/>
      <c r="DF520" s="51"/>
      <c r="DG520" s="51"/>
      <c r="DH520" s="79"/>
      <c r="DI520" s="699"/>
      <c r="DJ520" s="93"/>
      <c r="DK520" s="93"/>
      <c r="DL520" s="93"/>
      <c r="DM520" s="93"/>
      <c r="DN520" s="93"/>
      <c r="DO520" s="93"/>
      <c r="DP520" s="93"/>
      <c r="DQ520" s="93"/>
      <c r="DR520" s="93"/>
      <c r="DS520" s="93"/>
      <c r="DT520" s="93"/>
      <c r="DU520" s="93"/>
      <c r="DV520" s="206"/>
      <c r="DW520" s="93"/>
      <c r="DX520" s="79"/>
      <c r="DZ520" s="798"/>
    </row>
    <row r="521" spans="1:130">
      <c r="A521" s="709">
        <v>500</v>
      </c>
      <c r="B521" s="206"/>
      <c r="C521" s="199"/>
      <c r="D521" s="93"/>
      <c r="E521" s="93"/>
      <c r="F521" s="93"/>
      <c r="G521" s="93"/>
      <c r="H521" s="93"/>
      <c r="I521" s="93"/>
      <c r="J521" s="93"/>
      <c r="K521" s="93"/>
      <c r="L521" s="93"/>
      <c r="M521" s="93"/>
      <c r="N521" s="290"/>
      <c r="O521" s="206"/>
      <c r="P521" s="290"/>
      <c r="Q521" s="699"/>
      <c r="R521" s="93"/>
      <c r="S521" s="206"/>
      <c r="T521" s="206"/>
      <c r="U521" s="51"/>
      <c r="V521" s="93"/>
      <c r="W521" s="93"/>
      <c r="X521" s="93"/>
      <c r="Y521" s="93"/>
      <c r="Z521" s="93"/>
      <c r="AA521" s="93"/>
      <c r="AB521" s="93"/>
      <c r="AC521" s="206"/>
      <c r="AD521" s="93"/>
      <c r="AE521" s="93"/>
      <c r="AF521" s="93"/>
      <c r="AG521" s="114"/>
      <c r="AH521" s="51"/>
      <c r="AI521" s="51"/>
      <c r="AJ521" s="51"/>
      <c r="AK521" s="92"/>
      <c r="AL521" s="92"/>
      <c r="AM521" s="206"/>
      <c r="AN521" s="201"/>
      <c r="AO521" s="206"/>
      <c r="AP521" s="290"/>
      <c r="AQ521" s="93"/>
      <c r="AR521" s="93"/>
      <c r="AS521" s="93"/>
      <c r="AT521" s="93"/>
      <c r="AU521" s="93"/>
      <c r="AV521" s="79"/>
      <c r="AW521" s="93"/>
      <c r="AX521" s="93"/>
      <c r="AY521" s="206"/>
      <c r="AZ521" s="93"/>
      <c r="BA521" s="93"/>
      <c r="BB521" s="93"/>
      <c r="BC521" s="93"/>
      <c r="BD521" s="93"/>
      <c r="BE521" s="93"/>
      <c r="BF521" s="93"/>
      <c r="BG521" s="93"/>
      <c r="BH521" s="206"/>
      <c r="BI521" s="206"/>
      <c r="BJ521" s="201"/>
      <c r="BK521" s="93"/>
      <c r="BL521" s="79"/>
      <c r="BM521" s="201"/>
      <c r="BN521" s="206"/>
      <c r="BO521" s="199"/>
      <c r="BP521" s="93"/>
      <c r="BQ521" s="93"/>
      <c r="BR521" s="93"/>
      <c r="BS521" s="93"/>
      <c r="BT521" s="93"/>
      <c r="BU521" s="93"/>
      <c r="BV521" s="93"/>
      <c r="BW521" s="93"/>
      <c r="BX521" s="93"/>
      <c r="BY521" s="93"/>
      <c r="BZ521" s="290"/>
      <c r="CA521" s="206"/>
      <c r="CB521" s="863"/>
      <c r="CE521" s="201"/>
      <c r="CF521" s="206"/>
      <c r="CG521" s="206"/>
      <c r="CH521" s="93"/>
      <c r="CI521" s="93"/>
      <c r="CJ521" s="93"/>
      <c r="CK521" s="93"/>
      <c r="CL521" s="93"/>
      <c r="CM521" s="93"/>
      <c r="CN521" s="93"/>
      <c r="CO521" s="93"/>
      <c r="CP521" s="206"/>
      <c r="CQ521" s="93"/>
      <c r="CS521" s="699"/>
      <c r="CT521" s="93"/>
      <c r="CU521" s="93"/>
      <c r="CV521" s="93"/>
      <c r="CW521" s="93"/>
      <c r="CX521" s="93"/>
      <c r="CY521" s="290"/>
      <c r="CZ521" s="206"/>
      <c r="DA521" s="201"/>
      <c r="DB521" s="206"/>
      <c r="DC521" s="92"/>
      <c r="DD521" s="92"/>
      <c r="DE521" s="51"/>
      <c r="DF521" s="51"/>
      <c r="DG521" s="51"/>
      <c r="DH521" s="79"/>
      <c r="DI521" s="699"/>
      <c r="DJ521" s="93"/>
      <c r="DK521" s="93"/>
      <c r="DL521" s="201"/>
      <c r="DM521" s="93"/>
      <c r="DN521" s="93"/>
      <c r="DO521" s="93"/>
      <c r="DP521" s="93"/>
      <c r="DQ521" s="93"/>
      <c r="DR521" s="93"/>
      <c r="DS521" s="93"/>
      <c r="DT521" s="51"/>
      <c r="DU521" s="206"/>
      <c r="DV521" s="206"/>
      <c r="DW521" s="93"/>
      <c r="DX521" s="79"/>
      <c r="DZ521" s="795"/>
    </row>
    <row r="522" spans="1:130">
      <c r="A522" s="709">
        <v>14</v>
      </c>
      <c r="B522" s="291"/>
      <c r="C522" s="206"/>
      <c r="D522" s="93"/>
      <c r="E522" s="93"/>
      <c r="F522" s="93"/>
      <c r="G522" s="205"/>
      <c r="H522" s="206"/>
      <c r="I522" s="206"/>
      <c r="J522" s="205"/>
      <c r="K522" s="93"/>
      <c r="L522" s="93"/>
      <c r="M522" s="93"/>
      <c r="N522" s="201"/>
      <c r="O522" s="291"/>
      <c r="P522" s="291"/>
      <c r="Q522" s="699"/>
      <c r="R522" s="93"/>
      <c r="S522" s="291"/>
      <c r="T522" s="201"/>
      <c r="U522" s="206"/>
      <c r="V522" s="206"/>
      <c r="W522" s="206"/>
      <c r="X522" s="205"/>
      <c r="Y522" s="205"/>
      <c r="Z522" s="93"/>
      <c r="AA522" s="92"/>
      <c r="AB522" s="206"/>
      <c r="AC522" s="206"/>
      <c r="AD522" s="93"/>
      <c r="AE522" s="93"/>
      <c r="AF522" s="93"/>
      <c r="AG522" s="114"/>
      <c r="AH522" s="51"/>
      <c r="AI522" s="51"/>
      <c r="AJ522" s="206"/>
      <c r="AK522" s="206"/>
      <c r="AL522" s="206"/>
      <c r="AM522" s="206"/>
      <c r="AN522" s="201"/>
      <c r="AO522" s="291"/>
      <c r="AP522" s="291"/>
      <c r="AQ522" s="206"/>
      <c r="AR522" s="201"/>
      <c r="AS522" s="93"/>
      <c r="AT522" s="93"/>
      <c r="AU522" s="93"/>
      <c r="AV522" s="79"/>
      <c r="AW522" s="93"/>
      <c r="AX522" s="93"/>
      <c r="AY522" s="201"/>
      <c r="AZ522" s="290"/>
      <c r="BA522" s="93"/>
      <c r="BB522" s="93"/>
      <c r="BC522" s="206"/>
      <c r="BD522" s="206"/>
      <c r="BE522" s="93"/>
      <c r="BF522" s="206"/>
      <c r="BG522" s="206"/>
      <c r="BH522" s="201"/>
      <c r="BI522" s="206"/>
      <c r="BJ522" s="201"/>
      <c r="BK522" s="93"/>
      <c r="BL522" s="79"/>
      <c r="BM522" s="206"/>
      <c r="BN522" s="291"/>
      <c r="BO522" s="206"/>
      <c r="BP522" s="93"/>
      <c r="BQ522" s="93"/>
      <c r="BR522" s="93"/>
      <c r="BS522" s="93"/>
      <c r="BT522" s="93"/>
      <c r="BU522" s="93"/>
      <c r="BV522" s="93"/>
      <c r="BW522" s="93"/>
      <c r="BX522" s="93"/>
      <c r="BY522" s="93"/>
      <c r="BZ522" s="201"/>
      <c r="CA522" s="291"/>
      <c r="CB522" s="865"/>
      <c r="CE522" s="201"/>
      <c r="CF522" s="206"/>
      <c r="CG522" s="201"/>
      <c r="CH522" s="206"/>
      <c r="CI522" s="206"/>
      <c r="CJ522" s="93"/>
      <c r="CK522" s="206"/>
      <c r="CL522" s="206"/>
      <c r="CM522" s="93"/>
      <c r="CN522" s="93"/>
      <c r="CO522" s="290"/>
      <c r="CP522" s="201"/>
      <c r="CQ522" s="93"/>
      <c r="CS522" s="699"/>
      <c r="CT522" s="93"/>
      <c r="CU522" s="93"/>
      <c r="CV522" s="93"/>
      <c r="CW522" s="201"/>
      <c r="CX522" s="206"/>
      <c r="CY522" s="291"/>
      <c r="CZ522" s="291"/>
      <c r="DA522" s="201"/>
      <c r="DB522" s="206"/>
      <c r="DC522" s="206"/>
      <c r="DD522" s="206"/>
      <c r="DE522" s="206"/>
      <c r="DF522" s="51"/>
      <c r="DG522" s="51"/>
      <c r="DH522" s="79"/>
      <c r="DI522" s="699"/>
      <c r="DJ522" s="93"/>
      <c r="DK522" s="93"/>
      <c r="DL522" s="206"/>
      <c r="DM522" s="206"/>
      <c r="DN522" s="92"/>
      <c r="DO522" s="93"/>
      <c r="DP522" s="205"/>
      <c r="DQ522" s="205"/>
      <c r="DR522" s="206"/>
      <c r="DS522" s="206"/>
      <c r="DT522" s="206"/>
      <c r="DU522" s="201"/>
      <c r="DV522" s="291"/>
      <c r="DW522" s="93"/>
      <c r="DX522" s="79"/>
      <c r="DZ522" s="795"/>
    </row>
    <row r="523" spans="1:130">
      <c r="A523" s="864">
        <v>9</v>
      </c>
      <c r="B523" s="291"/>
      <c r="C523" s="291"/>
      <c r="D523" s="160"/>
      <c r="E523" s="93"/>
      <c r="F523" s="205"/>
      <c r="G523" s="206"/>
      <c r="H523" s="297"/>
      <c r="I523" s="293"/>
      <c r="J523" s="206"/>
      <c r="K523" s="205"/>
      <c r="L523" s="93"/>
      <c r="M523" s="290"/>
      <c r="N523" s="206"/>
      <c r="O523" s="291"/>
      <c r="P523" s="206"/>
      <c r="Q523" s="699"/>
      <c r="R523" s="93"/>
      <c r="S523" s="291"/>
      <c r="T523" s="206"/>
      <c r="U523" s="297"/>
      <c r="V523" s="297"/>
      <c r="W523" s="293"/>
      <c r="X523" s="206"/>
      <c r="Y523" s="206"/>
      <c r="Z523" s="205"/>
      <c r="AA523" s="92"/>
      <c r="AB523" s="206"/>
      <c r="AC523" s="206"/>
      <c r="AD523" s="206"/>
      <c r="AE523" s="93"/>
      <c r="AF523" s="93"/>
      <c r="AG523" s="114"/>
      <c r="AH523" s="51"/>
      <c r="AI523" s="206"/>
      <c r="AJ523" s="293"/>
      <c r="AK523" s="161"/>
      <c r="AL523" s="206"/>
      <c r="AM523" s="206"/>
      <c r="AN523" s="206"/>
      <c r="AO523" s="291"/>
      <c r="AP523" s="206"/>
      <c r="AQ523" s="291"/>
      <c r="AR523" s="206"/>
      <c r="AS523" s="201"/>
      <c r="AT523" s="93"/>
      <c r="AU523" s="93"/>
      <c r="AV523" s="79"/>
      <c r="AW523" s="93"/>
      <c r="AX523" s="206"/>
      <c r="AY523" s="201"/>
      <c r="AZ523" s="291"/>
      <c r="BA523" s="291"/>
      <c r="BB523" s="206"/>
      <c r="BC523" s="201"/>
      <c r="BD523" s="201"/>
      <c r="BE523" s="206"/>
      <c r="BF523" s="201"/>
      <c r="BG523" s="206"/>
      <c r="BH523" s="291"/>
      <c r="BI523" s="291"/>
      <c r="BJ523" s="206"/>
      <c r="BK523" s="93"/>
      <c r="BL523" s="79"/>
      <c r="BM523" s="201"/>
      <c r="BN523" s="206"/>
      <c r="BO523" s="291"/>
      <c r="BP523" s="160"/>
      <c r="BQ523" s="93"/>
      <c r="BR523" s="93"/>
      <c r="BS523" s="205"/>
      <c r="BT523" s="206"/>
      <c r="BU523" s="206"/>
      <c r="BV523" s="205"/>
      <c r="BW523" s="93"/>
      <c r="BX523" s="93"/>
      <c r="BY523" s="290"/>
      <c r="BZ523" s="206"/>
      <c r="CA523" s="205"/>
      <c r="CB523" s="746"/>
      <c r="CE523" s="206"/>
      <c r="CF523" s="291"/>
      <c r="CG523" s="291"/>
      <c r="CH523" s="206"/>
      <c r="CI523" s="201"/>
      <c r="CJ523" s="206"/>
      <c r="CK523" s="201"/>
      <c r="CL523" s="201"/>
      <c r="CM523" s="206"/>
      <c r="CN523" s="291"/>
      <c r="CO523" s="291"/>
      <c r="CP523" s="201"/>
      <c r="CQ523" s="206"/>
      <c r="CS523" s="699"/>
      <c r="CT523" s="93"/>
      <c r="CU523" s="93"/>
      <c r="CV523" s="201"/>
      <c r="CW523" s="206"/>
      <c r="CX523" s="291"/>
      <c r="CY523" s="201"/>
      <c r="CZ523" s="206"/>
      <c r="DA523" s="206"/>
      <c r="DB523" s="206"/>
      <c r="DC523" s="206"/>
      <c r="DD523" s="161"/>
      <c r="DE523" s="293"/>
      <c r="DF523" s="206"/>
      <c r="DG523" s="51"/>
      <c r="DH523" s="79"/>
      <c r="DI523" s="699"/>
      <c r="DJ523" s="93"/>
      <c r="DK523" s="201"/>
      <c r="DL523" s="206"/>
      <c r="DM523" s="206"/>
      <c r="DN523" s="92"/>
      <c r="DO523" s="205"/>
      <c r="DP523" s="206"/>
      <c r="DQ523" s="206"/>
      <c r="DR523" s="293"/>
      <c r="DS523" s="293"/>
      <c r="DT523" s="297"/>
      <c r="DU523" s="206"/>
      <c r="DV523" s="291"/>
      <c r="DW523" s="93"/>
      <c r="DX523" s="79"/>
      <c r="DZ523" s="795"/>
    </row>
    <row r="524" spans="1:130">
      <c r="A524" s="864">
        <v>260</v>
      </c>
      <c r="B524" s="291"/>
      <c r="C524" s="291"/>
      <c r="D524" s="291"/>
      <c r="E524" s="206"/>
      <c r="F524" s="162"/>
      <c r="G524" s="158"/>
      <c r="H524" s="161"/>
      <c r="I524" s="206"/>
      <c r="J524" s="163"/>
      <c r="K524" s="163"/>
      <c r="L524" s="206"/>
      <c r="M524" s="290"/>
      <c r="N524" s="291"/>
      <c r="O524" s="201"/>
      <c r="P524" s="206"/>
      <c r="Q524" s="699"/>
      <c r="R524" s="93"/>
      <c r="S524" s="206"/>
      <c r="T524" s="158"/>
      <c r="U524" s="161"/>
      <c r="V524" s="161"/>
      <c r="W524" s="163"/>
      <c r="X524" s="163"/>
      <c r="Y524" s="206"/>
      <c r="Z524" s="206"/>
      <c r="AA524" s="291"/>
      <c r="AB524" s="206"/>
      <c r="AC524" s="201"/>
      <c r="AD524" s="206"/>
      <c r="AE524" s="93"/>
      <c r="AF524" s="93"/>
      <c r="AG524" s="114"/>
      <c r="AH524" s="51"/>
      <c r="AI524" s="206"/>
      <c r="AJ524" s="158"/>
      <c r="AK524" s="158"/>
      <c r="AL524" s="206"/>
      <c r="AM524" s="206"/>
      <c r="AN524" s="206"/>
      <c r="AO524" s="291"/>
      <c r="AP524" s="206"/>
      <c r="AQ524" s="201"/>
      <c r="AR524" s="199"/>
      <c r="AS524" s="199"/>
      <c r="AT524" s="201"/>
      <c r="AU524" s="93"/>
      <c r="AV524" s="79"/>
      <c r="AW524" s="93"/>
      <c r="AX524" s="206"/>
      <c r="AY524" s="201"/>
      <c r="AZ524" s="206"/>
      <c r="BA524" s="291"/>
      <c r="BB524" s="292"/>
      <c r="BC524" s="206"/>
      <c r="BD524" s="206"/>
      <c r="BE524" s="206"/>
      <c r="BF524" s="201"/>
      <c r="BG524" s="199"/>
      <c r="BH524" s="201"/>
      <c r="BI524" s="291"/>
      <c r="BJ524" s="206"/>
      <c r="BK524" s="93"/>
      <c r="BL524" s="79"/>
      <c r="BM524" s="199"/>
      <c r="BN524" s="206"/>
      <c r="BO524" s="206"/>
      <c r="BP524" s="291"/>
      <c r="BQ524" s="93"/>
      <c r="BR524" s="206"/>
      <c r="BS524" s="201"/>
      <c r="BT524" s="160"/>
      <c r="BU524" s="160"/>
      <c r="BV524" s="201"/>
      <c r="BW524" s="205"/>
      <c r="BX524" s="93"/>
      <c r="BY524" s="290"/>
      <c r="BZ524" s="291"/>
      <c r="CA524" s="205"/>
      <c r="CB524" s="746"/>
      <c r="CE524" s="206"/>
      <c r="CF524" s="291"/>
      <c r="CG524" s="201"/>
      <c r="CH524" s="199"/>
      <c r="CI524" s="201"/>
      <c r="CJ524" s="206"/>
      <c r="CK524" s="206"/>
      <c r="CL524" s="206"/>
      <c r="CM524" s="292"/>
      <c r="CN524" s="291"/>
      <c r="CO524" s="206"/>
      <c r="CP524" s="201"/>
      <c r="CQ524" s="206"/>
      <c r="CS524" s="699"/>
      <c r="CT524" s="93"/>
      <c r="CU524" s="201"/>
      <c r="CV524" s="199"/>
      <c r="CW524" s="199"/>
      <c r="CX524" s="201"/>
      <c r="CY524" s="201"/>
      <c r="CZ524" s="206"/>
      <c r="DA524" s="206"/>
      <c r="DB524" s="206"/>
      <c r="DC524" s="206"/>
      <c r="DD524" s="158"/>
      <c r="DE524" s="158"/>
      <c r="DF524" s="206"/>
      <c r="DG524" s="51"/>
      <c r="DH524" s="79"/>
      <c r="DI524" s="699"/>
      <c r="DJ524" s="93"/>
      <c r="DK524" s="201"/>
      <c r="DL524" s="206"/>
      <c r="DM524" s="206"/>
      <c r="DN524" s="291"/>
      <c r="DO524" s="206"/>
      <c r="DP524" s="206"/>
      <c r="DQ524" s="158"/>
      <c r="DR524" s="158"/>
      <c r="DS524" s="161"/>
      <c r="DT524" s="161"/>
      <c r="DU524" s="163"/>
      <c r="DV524" s="206"/>
      <c r="DW524" s="93"/>
      <c r="DX524" s="79"/>
      <c r="DZ524" s="795"/>
    </row>
    <row r="525" spans="1:130">
      <c r="A525" s="864">
        <v>750</v>
      </c>
      <c r="B525" s="291"/>
      <c r="C525" s="206"/>
      <c r="D525" s="199"/>
      <c r="E525" s="206"/>
      <c r="F525" s="158"/>
      <c r="G525" s="158"/>
      <c r="H525" s="161"/>
      <c r="I525" s="206"/>
      <c r="J525" s="163"/>
      <c r="K525" s="163"/>
      <c r="L525" s="205"/>
      <c r="M525" s="199"/>
      <c r="N525" s="291"/>
      <c r="O525" s="201"/>
      <c r="P525" s="206"/>
      <c r="Q525" s="699"/>
      <c r="R525" s="93"/>
      <c r="S525" s="206"/>
      <c r="T525" s="158"/>
      <c r="U525" s="293"/>
      <c r="V525" s="161"/>
      <c r="W525" s="163"/>
      <c r="X525" s="163"/>
      <c r="Y525" s="205"/>
      <c r="Z525" s="205"/>
      <c r="AA525" s="206"/>
      <c r="AB525" s="206"/>
      <c r="AC525" s="201"/>
      <c r="AD525" s="206"/>
      <c r="AE525" s="93"/>
      <c r="AF525" s="93"/>
      <c r="AG525" s="114"/>
      <c r="AH525" s="51"/>
      <c r="AI525" s="161"/>
      <c r="AJ525" s="158"/>
      <c r="AK525" s="158"/>
      <c r="AL525" s="206"/>
      <c r="AM525" s="206"/>
      <c r="AN525" s="206"/>
      <c r="AO525" s="291"/>
      <c r="AP525" s="206"/>
      <c r="AQ525" s="201"/>
      <c r="AR525" s="199"/>
      <c r="AS525" s="160"/>
      <c r="AT525" s="201"/>
      <c r="AU525" s="93"/>
      <c r="AV525" s="79"/>
      <c r="AW525" s="93"/>
      <c r="AX525" s="291"/>
      <c r="AY525" s="291"/>
      <c r="AZ525" s="206"/>
      <c r="BA525" s="201"/>
      <c r="BB525" s="292"/>
      <c r="BC525" s="292"/>
      <c r="BD525" s="201"/>
      <c r="BE525" s="199"/>
      <c r="BF525" s="199"/>
      <c r="BG525" s="199"/>
      <c r="BH525" s="201"/>
      <c r="BI525" s="291"/>
      <c r="BJ525" s="206"/>
      <c r="BK525" s="93"/>
      <c r="BL525" s="79"/>
      <c r="BM525" s="199"/>
      <c r="BN525" s="291"/>
      <c r="BO525" s="206"/>
      <c r="BP525" s="199"/>
      <c r="BQ525" s="206"/>
      <c r="BR525" s="201"/>
      <c r="BS525" s="199"/>
      <c r="BT525" s="199"/>
      <c r="BU525" s="199"/>
      <c r="BV525" s="199"/>
      <c r="BW525" s="201"/>
      <c r="BX525" s="291"/>
      <c r="BY525" s="291"/>
      <c r="BZ525" s="206"/>
      <c r="CA525" s="205"/>
      <c r="CB525" s="746"/>
      <c r="CE525" s="206"/>
      <c r="CF525" s="291"/>
      <c r="CG525" s="201"/>
      <c r="CH525" s="206"/>
      <c r="CI525" s="199"/>
      <c r="CJ525" s="199"/>
      <c r="CK525" s="201"/>
      <c r="CL525" s="292"/>
      <c r="CM525" s="292"/>
      <c r="CN525" s="201"/>
      <c r="CO525" s="206"/>
      <c r="CP525" s="291"/>
      <c r="CQ525" s="291"/>
      <c r="CS525" s="699"/>
      <c r="CT525" s="93"/>
      <c r="CU525" s="201"/>
      <c r="CV525" s="199"/>
      <c r="CW525" s="199"/>
      <c r="CX525" s="201"/>
      <c r="CY525" s="201"/>
      <c r="CZ525" s="206"/>
      <c r="DA525" s="206"/>
      <c r="DB525" s="206"/>
      <c r="DC525" s="206"/>
      <c r="DD525" s="158"/>
      <c r="DE525" s="158"/>
      <c r="DF525" s="161"/>
      <c r="DG525" s="51"/>
      <c r="DH525" s="79"/>
      <c r="DI525" s="699"/>
      <c r="DJ525" s="93"/>
      <c r="DK525" s="199"/>
      <c r="DL525" s="206"/>
      <c r="DM525" s="206"/>
      <c r="DN525" s="206"/>
      <c r="DO525" s="205"/>
      <c r="DP525" s="205"/>
      <c r="DQ525" s="158"/>
      <c r="DR525" s="158"/>
      <c r="DS525" s="161"/>
      <c r="DT525" s="293"/>
      <c r="DU525" s="163"/>
      <c r="DV525" s="206"/>
      <c r="DW525" s="93"/>
      <c r="DX525" s="79"/>
      <c r="DZ525" s="798"/>
    </row>
    <row r="526" spans="1:130">
      <c r="A526" s="864">
        <v>88</v>
      </c>
      <c r="B526" s="291"/>
      <c r="C526" s="291"/>
      <c r="D526" s="206"/>
      <c r="E526" s="206"/>
      <c r="F526" s="163"/>
      <c r="G526" s="163"/>
      <c r="H526" s="161"/>
      <c r="I526" s="206"/>
      <c r="J526" s="161"/>
      <c r="K526" s="161"/>
      <c r="L526" s="205"/>
      <c r="M526" s="206"/>
      <c r="N526" s="206"/>
      <c r="O526" s="201"/>
      <c r="P526" s="206"/>
      <c r="Q526" s="699"/>
      <c r="R526" s="93"/>
      <c r="S526" s="206"/>
      <c r="T526" s="163"/>
      <c r="U526" s="297"/>
      <c r="V526" s="161"/>
      <c r="W526" s="161"/>
      <c r="X526" s="161"/>
      <c r="Y526" s="205"/>
      <c r="Z526" s="205"/>
      <c r="AA526" s="206"/>
      <c r="AB526" s="201"/>
      <c r="AC526" s="199"/>
      <c r="AD526" s="206"/>
      <c r="AE526" s="93"/>
      <c r="AF526" s="93"/>
      <c r="AG526" s="114"/>
      <c r="AH526" s="51"/>
      <c r="AI526" s="293"/>
      <c r="AJ526" s="161"/>
      <c r="AK526" s="161"/>
      <c r="AL526" s="206"/>
      <c r="AM526" s="206"/>
      <c r="AN526" s="206"/>
      <c r="AO526" s="201"/>
      <c r="AP526" s="206"/>
      <c r="AQ526" s="201"/>
      <c r="AR526" s="160"/>
      <c r="AS526" s="160"/>
      <c r="AT526" s="160"/>
      <c r="AU526" s="93"/>
      <c r="AV526" s="79"/>
      <c r="AW526" s="93"/>
      <c r="AX526" s="201"/>
      <c r="AY526" s="291"/>
      <c r="AZ526" s="206"/>
      <c r="BA526" s="201"/>
      <c r="BB526" s="206"/>
      <c r="BC526" s="206"/>
      <c r="BD526" s="201"/>
      <c r="BE526" s="160"/>
      <c r="BF526" s="201"/>
      <c r="BG526" s="160"/>
      <c r="BH526" s="160"/>
      <c r="BI526" s="291"/>
      <c r="BJ526" s="206"/>
      <c r="BK526" s="93"/>
      <c r="BL526" s="79"/>
      <c r="BM526" s="201"/>
      <c r="BN526" s="291"/>
      <c r="BO526" s="291"/>
      <c r="BP526" s="206"/>
      <c r="BQ526" s="206"/>
      <c r="BR526" s="201"/>
      <c r="BS526" s="160"/>
      <c r="BT526" s="199"/>
      <c r="BU526" s="199"/>
      <c r="BV526" s="199"/>
      <c r="BW526" s="201"/>
      <c r="BX526" s="205"/>
      <c r="BY526" s="206"/>
      <c r="BZ526" s="205"/>
      <c r="CA526" s="291"/>
      <c r="CB526" s="746"/>
      <c r="CE526" s="206"/>
      <c r="CF526" s="291"/>
      <c r="CG526" s="160"/>
      <c r="CH526" s="160"/>
      <c r="CI526" s="206"/>
      <c r="CJ526" s="199"/>
      <c r="CK526" s="201"/>
      <c r="CL526" s="206"/>
      <c r="CM526" s="206"/>
      <c r="CN526" s="201"/>
      <c r="CO526" s="206"/>
      <c r="CP526" s="291"/>
      <c r="CQ526" s="201"/>
      <c r="CS526" s="699"/>
      <c r="CT526" s="93"/>
      <c r="CU526" s="206"/>
      <c r="CV526" s="160"/>
      <c r="CW526" s="160"/>
      <c r="CX526" s="201"/>
      <c r="CY526" s="201"/>
      <c r="CZ526" s="206"/>
      <c r="DA526" s="206"/>
      <c r="DB526" s="206"/>
      <c r="DC526" s="206"/>
      <c r="DD526" s="161"/>
      <c r="DE526" s="161"/>
      <c r="DF526" s="293"/>
      <c r="DG526" s="51"/>
      <c r="DH526" s="79"/>
      <c r="DI526" s="699"/>
      <c r="DJ526" s="93"/>
      <c r="DK526" s="199"/>
      <c r="DL526" s="206"/>
      <c r="DM526" s="201"/>
      <c r="DN526" s="206"/>
      <c r="DO526" s="205"/>
      <c r="DP526" s="205"/>
      <c r="DQ526" s="163"/>
      <c r="DR526" s="163"/>
      <c r="DS526" s="161"/>
      <c r="DT526" s="293"/>
      <c r="DU526" s="161"/>
      <c r="DV526" s="206"/>
      <c r="DW526" s="93"/>
      <c r="DX526" s="79"/>
      <c r="DZ526" s="798"/>
    </row>
    <row r="527" spans="1:130">
      <c r="A527" s="864">
        <v>169</v>
      </c>
      <c r="B527" s="201"/>
      <c r="C527" s="291"/>
      <c r="D527" s="291"/>
      <c r="E527" s="291"/>
      <c r="F527" s="206"/>
      <c r="G527" s="206"/>
      <c r="H527" s="293"/>
      <c r="I527" s="206"/>
      <c r="J527" s="205"/>
      <c r="K527" s="205"/>
      <c r="L527" s="206"/>
      <c r="M527" s="291"/>
      <c r="N527" s="206"/>
      <c r="O527" s="201"/>
      <c r="P527" s="206"/>
      <c r="Q527" s="699"/>
      <c r="R527" s="93"/>
      <c r="S527" s="201"/>
      <c r="T527" s="206"/>
      <c r="U527" s="297"/>
      <c r="V527" s="293"/>
      <c r="W527" s="206"/>
      <c r="X527" s="205"/>
      <c r="Y527" s="205"/>
      <c r="Z527" s="206"/>
      <c r="AA527" s="206"/>
      <c r="AB527" s="201"/>
      <c r="AC527" s="199"/>
      <c r="AD527" s="206"/>
      <c r="AE527" s="93"/>
      <c r="AF527" s="93"/>
      <c r="AG527" s="114"/>
      <c r="AH527" s="51"/>
      <c r="AI527" s="293"/>
      <c r="AJ527" s="206"/>
      <c r="AK527" s="206"/>
      <c r="AL527" s="206"/>
      <c r="AM527" s="293"/>
      <c r="AN527" s="161"/>
      <c r="AO527" s="201"/>
      <c r="AP527" s="206"/>
      <c r="AQ527" s="291"/>
      <c r="AR527" s="199"/>
      <c r="AS527" s="160"/>
      <c r="AT527" s="201"/>
      <c r="AU527" s="93"/>
      <c r="AV527" s="79"/>
      <c r="AW527" s="93"/>
      <c r="AX527" s="201"/>
      <c r="AY527" s="201"/>
      <c r="AZ527" s="206"/>
      <c r="BA527" s="291"/>
      <c r="BB527" s="292"/>
      <c r="BC527" s="206"/>
      <c r="BD527" s="206"/>
      <c r="BE527" s="160"/>
      <c r="BF527" s="206"/>
      <c r="BG527" s="199"/>
      <c r="BH527" s="201"/>
      <c r="BI527" s="291"/>
      <c r="BJ527" s="206"/>
      <c r="BK527" s="93"/>
      <c r="BL527" s="79"/>
      <c r="BM527" s="199"/>
      <c r="BN527" s="201"/>
      <c r="BO527" s="291"/>
      <c r="BP527" s="291"/>
      <c r="BQ527" s="206"/>
      <c r="BR527" s="160"/>
      <c r="BS527" s="160"/>
      <c r="BT527" s="160"/>
      <c r="BU527" s="199"/>
      <c r="BV527" s="160"/>
      <c r="BW527" s="160"/>
      <c r="BX527" s="205"/>
      <c r="BY527" s="291"/>
      <c r="BZ527" s="205"/>
      <c r="CA527" s="206"/>
      <c r="CB527" s="746"/>
      <c r="CE527" s="206"/>
      <c r="CF527" s="291"/>
      <c r="CG527" s="201"/>
      <c r="CH527" s="206"/>
      <c r="CI527" s="201"/>
      <c r="CJ527" s="160"/>
      <c r="CK527" s="206"/>
      <c r="CL527" s="206"/>
      <c r="CM527" s="292"/>
      <c r="CN527" s="291"/>
      <c r="CO527" s="206"/>
      <c r="CP527" s="201"/>
      <c r="CQ527" s="201"/>
      <c r="CS527" s="699"/>
      <c r="CT527" s="93"/>
      <c r="CU527" s="201"/>
      <c r="CV527" s="199"/>
      <c r="CW527" s="199"/>
      <c r="CX527" s="291"/>
      <c r="CY527" s="201"/>
      <c r="CZ527" s="206"/>
      <c r="DA527" s="161"/>
      <c r="DB527" s="293"/>
      <c r="DC527" s="206"/>
      <c r="DD527" s="206"/>
      <c r="DE527" s="206"/>
      <c r="DF527" s="293"/>
      <c r="DG527" s="51"/>
      <c r="DH527" s="79"/>
      <c r="DI527" s="699"/>
      <c r="DJ527" s="93"/>
      <c r="DK527" s="199"/>
      <c r="DL527" s="206"/>
      <c r="DM527" s="201"/>
      <c r="DN527" s="206"/>
      <c r="DO527" s="206"/>
      <c r="DP527" s="205"/>
      <c r="DQ527" s="205"/>
      <c r="DR527" s="206"/>
      <c r="DS527" s="293"/>
      <c r="DT527" s="297"/>
      <c r="DU527" s="206"/>
      <c r="DV527" s="201"/>
      <c r="DW527" s="93"/>
      <c r="DX527" s="79"/>
      <c r="DZ527" s="795"/>
    </row>
    <row r="528" spans="1:130">
      <c r="A528" s="709">
        <v>6</v>
      </c>
      <c r="B528" s="201"/>
      <c r="C528" s="93"/>
      <c r="D528" s="291"/>
      <c r="E528" s="201"/>
      <c r="F528" s="206"/>
      <c r="G528" s="206"/>
      <c r="H528" s="291"/>
      <c r="I528" s="205"/>
      <c r="J528" s="205"/>
      <c r="K528" s="160"/>
      <c r="L528" s="291"/>
      <c r="M528" s="206"/>
      <c r="N528" s="93"/>
      <c r="O528" s="201"/>
      <c r="P528" s="206"/>
      <c r="Q528" s="699"/>
      <c r="R528" s="93"/>
      <c r="S528" s="291"/>
      <c r="T528" s="291"/>
      <c r="U528" s="291"/>
      <c r="V528" s="291"/>
      <c r="W528" s="205"/>
      <c r="X528" s="205"/>
      <c r="Y528" s="160"/>
      <c r="Z528" s="291"/>
      <c r="AA528" s="206"/>
      <c r="AB528" s="206"/>
      <c r="AC528" s="201"/>
      <c r="AD528" s="206"/>
      <c r="AE528" s="93"/>
      <c r="AF528" s="93"/>
      <c r="AG528" s="114"/>
      <c r="AH528" s="51"/>
      <c r="AI528" s="161"/>
      <c r="AJ528" s="206"/>
      <c r="AK528" s="206"/>
      <c r="AL528" s="293"/>
      <c r="AM528" s="206"/>
      <c r="AN528" s="206"/>
      <c r="AO528" s="201"/>
      <c r="AP528" s="206"/>
      <c r="AQ528" s="291"/>
      <c r="AR528" s="199"/>
      <c r="AS528" s="199"/>
      <c r="AT528" s="201"/>
      <c r="AU528" s="93"/>
      <c r="AV528" s="79"/>
      <c r="AW528" s="93"/>
      <c r="AX528" s="291"/>
      <c r="AY528" s="201"/>
      <c r="AZ528" s="206"/>
      <c r="BA528" s="206"/>
      <c r="BB528" s="292"/>
      <c r="BC528" s="206"/>
      <c r="BD528" s="201"/>
      <c r="BE528" s="160"/>
      <c r="BF528" s="199"/>
      <c r="BG528" s="199"/>
      <c r="BH528" s="201"/>
      <c r="BI528" s="291"/>
      <c r="BJ528" s="201"/>
      <c r="BK528" s="93"/>
      <c r="BL528" s="79"/>
      <c r="BM528" s="201"/>
      <c r="BN528" s="201"/>
      <c r="BO528" s="93"/>
      <c r="BP528" s="291"/>
      <c r="BQ528" s="291"/>
      <c r="BR528" s="201"/>
      <c r="BS528" s="160"/>
      <c r="BT528" s="199"/>
      <c r="BU528" s="199"/>
      <c r="BV528" s="199"/>
      <c r="BW528" s="201"/>
      <c r="BX528" s="206"/>
      <c r="BY528" s="206"/>
      <c r="BZ528" s="93"/>
      <c r="CA528" s="291"/>
      <c r="CB528" s="746"/>
      <c r="CE528" s="201"/>
      <c r="CF528" s="291"/>
      <c r="CG528" s="201"/>
      <c r="CH528" s="199"/>
      <c r="CI528" s="199"/>
      <c r="CJ528" s="199"/>
      <c r="CK528" s="201"/>
      <c r="CL528" s="206"/>
      <c r="CM528" s="292"/>
      <c r="CN528" s="206"/>
      <c r="CO528" s="206"/>
      <c r="CP528" s="201"/>
      <c r="CQ528" s="291"/>
      <c r="CS528" s="699"/>
      <c r="CT528" s="93"/>
      <c r="CU528" s="201"/>
      <c r="CV528" s="199"/>
      <c r="CW528" s="199"/>
      <c r="CX528" s="291"/>
      <c r="CY528" s="201"/>
      <c r="CZ528" s="206"/>
      <c r="DA528" s="206"/>
      <c r="DB528" s="206"/>
      <c r="DC528" s="293"/>
      <c r="DD528" s="206"/>
      <c r="DE528" s="206"/>
      <c r="DF528" s="161"/>
      <c r="DG528" s="51"/>
      <c r="DH528" s="79"/>
      <c r="DI528" s="699"/>
      <c r="DJ528" s="93"/>
      <c r="DK528" s="201"/>
      <c r="DL528" s="206"/>
      <c r="DM528" s="206"/>
      <c r="DN528" s="206"/>
      <c r="DO528" s="291"/>
      <c r="DP528" s="160"/>
      <c r="DQ528" s="205"/>
      <c r="DR528" s="205"/>
      <c r="DS528" s="291"/>
      <c r="DT528" s="291"/>
      <c r="DU528" s="291"/>
      <c r="DV528" s="291"/>
      <c r="DW528" s="93"/>
      <c r="DX528" s="79"/>
      <c r="DZ528" s="795"/>
    </row>
    <row r="529" spans="1:130">
      <c r="A529" s="864">
        <v>10</v>
      </c>
      <c r="B529" s="291"/>
      <c r="C529" s="93"/>
      <c r="D529" s="291"/>
      <c r="E529" s="201"/>
      <c r="F529" s="206"/>
      <c r="G529" s="206"/>
      <c r="H529" s="291"/>
      <c r="I529" s="205"/>
      <c r="J529" s="205"/>
      <c r="K529" s="160"/>
      <c r="L529" s="291"/>
      <c r="M529" s="206"/>
      <c r="N529" s="93"/>
      <c r="O529" s="201"/>
      <c r="P529" s="206"/>
      <c r="Q529" s="699"/>
      <c r="R529" s="93"/>
      <c r="S529" s="291"/>
      <c r="T529" s="291"/>
      <c r="U529" s="206"/>
      <c r="V529" s="206"/>
      <c r="W529" s="205"/>
      <c r="X529" s="160"/>
      <c r="Y529" s="201"/>
      <c r="Z529" s="201"/>
      <c r="AA529" s="201"/>
      <c r="AB529" s="160"/>
      <c r="AC529" s="201"/>
      <c r="AD529" s="206"/>
      <c r="AE529" s="93"/>
      <c r="AF529" s="93"/>
      <c r="AG529" s="114"/>
      <c r="AH529" s="51"/>
      <c r="AI529" s="206"/>
      <c r="AJ529" s="206"/>
      <c r="AK529" s="293"/>
      <c r="AL529" s="206"/>
      <c r="AM529" s="206"/>
      <c r="AN529" s="206"/>
      <c r="AO529" s="201"/>
      <c r="AP529" s="206"/>
      <c r="AQ529" s="291"/>
      <c r="AR529" s="296"/>
      <c r="AS529" s="300"/>
      <c r="AT529" s="292"/>
      <c r="AU529" s="93"/>
      <c r="AV529" s="79"/>
      <c r="AW529" s="93"/>
      <c r="AX529" s="206"/>
      <c r="AY529" s="201"/>
      <c r="AZ529" s="206"/>
      <c r="BA529" s="291"/>
      <c r="BB529" s="292"/>
      <c r="BC529" s="206"/>
      <c r="BD529" s="201"/>
      <c r="BE529" s="199"/>
      <c r="BF529" s="296"/>
      <c r="BG529" s="296"/>
      <c r="BH529" s="292"/>
      <c r="BI529" s="206"/>
      <c r="BJ529" s="201"/>
      <c r="BK529" s="93"/>
      <c r="BL529" s="79"/>
      <c r="BM529" s="201"/>
      <c r="BN529" s="291"/>
      <c r="BO529" s="93"/>
      <c r="BP529" s="291"/>
      <c r="BQ529" s="201"/>
      <c r="BR529" s="201"/>
      <c r="BS529" s="199"/>
      <c r="BT529" s="199"/>
      <c r="BU529" s="199"/>
      <c r="BV529" s="199"/>
      <c r="BW529" s="201"/>
      <c r="BX529" s="291"/>
      <c r="BY529" s="206"/>
      <c r="BZ529" s="93"/>
      <c r="CA529" s="206"/>
      <c r="CB529" s="746"/>
      <c r="CE529" s="201"/>
      <c r="CF529" s="206"/>
      <c r="CG529" s="292"/>
      <c r="CH529" s="296"/>
      <c r="CI529" s="296"/>
      <c r="CJ529" s="199"/>
      <c r="CK529" s="201"/>
      <c r="CL529" s="206"/>
      <c r="CM529" s="292"/>
      <c r="CN529" s="291"/>
      <c r="CO529" s="206"/>
      <c r="CP529" s="201"/>
      <c r="CQ529" s="206"/>
      <c r="CS529" s="699"/>
      <c r="CT529" s="93"/>
      <c r="CU529" s="292"/>
      <c r="CV529" s="300"/>
      <c r="CW529" s="296"/>
      <c r="CX529" s="291"/>
      <c r="CY529" s="201"/>
      <c r="CZ529" s="206"/>
      <c r="DA529" s="206"/>
      <c r="DB529" s="206"/>
      <c r="DC529" s="206"/>
      <c r="DD529" s="293"/>
      <c r="DE529" s="206"/>
      <c r="DF529" s="206"/>
      <c r="DG529" s="51"/>
      <c r="DH529" s="79"/>
      <c r="DI529" s="699"/>
      <c r="DJ529" s="93"/>
      <c r="DK529" s="201"/>
      <c r="DL529" s="206"/>
      <c r="DM529" s="160"/>
      <c r="DN529" s="201"/>
      <c r="DO529" s="201"/>
      <c r="DP529" s="201"/>
      <c r="DQ529" s="160"/>
      <c r="DR529" s="205"/>
      <c r="DS529" s="206"/>
      <c r="DT529" s="206"/>
      <c r="DU529" s="291"/>
      <c r="DV529" s="291"/>
      <c r="DW529" s="93"/>
      <c r="DX529" s="79"/>
      <c r="DZ529" s="795"/>
    </row>
    <row r="530" spans="1:130">
      <c r="A530" s="864">
        <v>24</v>
      </c>
      <c r="B530" s="291"/>
      <c r="C530" s="93"/>
      <c r="D530" s="93"/>
      <c r="E530" s="201"/>
      <c r="F530" s="199"/>
      <c r="G530" s="206"/>
      <c r="H530" s="206"/>
      <c r="I530" s="205"/>
      <c r="J530" s="160"/>
      <c r="K530" s="201"/>
      <c r="L530" s="201"/>
      <c r="M530" s="93"/>
      <c r="N530" s="93"/>
      <c r="O530" s="201"/>
      <c r="P530" s="206"/>
      <c r="Q530" s="699"/>
      <c r="R530" s="93"/>
      <c r="S530" s="291"/>
      <c r="T530" s="193"/>
      <c r="U530" s="193"/>
      <c r="V530" s="206"/>
      <c r="W530" s="205"/>
      <c r="X530" s="206"/>
      <c r="Y530" s="205"/>
      <c r="Z530" s="291"/>
      <c r="AA530" s="206"/>
      <c r="AB530" s="93"/>
      <c r="AC530" s="201"/>
      <c r="AD530" s="206"/>
      <c r="AE530" s="93"/>
      <c r="AF530" s="93"/>
      <c r="AG530" s="114"/>
      <c r="AH530" s="51"/>
      <c r="AI530" s="206"/>
      <c r="AJ530" s="205"/>
      <c r="AK530" s="160"/>
      <c r="AL530" s="51"/>
      <c r="AM530" s="206"/>
      <c r="AN530" s="206"/>
      <c r="AO530" s="291"/>
      <c r="AP530" s="206"/>
      <c r="AQ530" s="291"/>
      <c r="AR530" s="296"/>
      <c r="AS530" s="300"/>
      <c r="AT530" s="292"/>
      <c r="AU530" s="93"/>
      <c r="AV530" s="79"/>
      <c r="AW530" s="93"/>
      <c r="AX530" s="93"/>
      <c r="AY530" s="201"/>
      <c r="AZ530" s="206"/>
      <c r="BA530" s="201"/>
      <c r="BB530" s="292"/>
      <c r="BC530" s="206"/>
      <c r="BD530" s="292"/>
      <c r="BE530" s="296"/>
      <c r="BF530" s="296"/>
      <c r="BG530" s="296"/>
      <c r="BH530" s="292"/>
      <c r="BI530" s="206"/>
      <c r="BJ530" s="201"/>
      <c r="BK530" s="93"/>
      <c r="BL530" s="79"/>
      <c r="BM530" s="201"/>
      <c r="BN530" s="291"/>
      <c r="BO530" s="93"/>
      <c r="BP530" s="93"/>
      <c r="BQ530" s="201"/>
      <c r="BR530" s="292"/>
      <c r="BS530" s="300"/>
      <c r="BT530" s="300"/>
      <c r="BU530" s="300"/>
      <c r="BV530" s="300"/>
      <c r="BW530" s="292"/>
      <c r="BX530" s="201"/>
      <c r="BY530" s="93"/>
      <c r="BZ530" s="93"/>
      <c r="CA530" s="291"/>
      <c r="CB530" s="746"/>
      <c r="CE530" s="201"/>
      <c r="CF530" s="206"/>
      <c r="CG530" s="292"/>
      <c r="CH530" s="296"/>
      <c r="CI530" s="296"/>
      <c r="CJ530" s="296"/>
      <c r="CK530" s="292"/>
      <c r="CL530" s="206"/>
      <c r="CM530" s="292"/>
      <c r="CN530" s="201"/>
      <c r="CO530" s="206"/>
      <c r="CP530" s="201"/>
      <c r="CQ530" s="93"/>
      <c r="CS530" s="699"/>
      <c r="CT530" s="93"/>
      <c r="CU530" s="292"/>
      <c r="CV530" s="300"/>
      <c r="CW530" s="296"/>
      <c r="CX530" s="291"/>
      <c r="CY530" s="201"/>
      <c r="CZ530" s="291"/>
      <c r="DA530" s="206"/>
      <c r="DB530" s="206"/>
      <c r="DC530" s="51"/>
      <c r="DD530" s="160"/>
      <c r="DE530" s="205"/>
      <c r="DF530" s="206"/>
      <c r="DG530" s="51"/>
      <c r="DH530" s="79"/>
      <c r="DI530" s="699"/>
      <c r="DJ530" s="93"/>
      <c r="DK530" s="201"/>
      <c r="DL530" s="206"/>
      <c r="DM530" s="93"/>
      <c r="DN530" s="206"/>
      <c r="DO530" s="291"/>
      <c r="DP530" s="205"/>
      <c r="DQ530" s="206"/>
      <c r="DR530" s="205"/>
      <c r="DS530" s="206"/>
      <c r="DT530" s="193"/>
      <c r="DU530" s="193"/>
      <c r="DV530" s="291"/>
      <c r="DW530" s="93"/>
      <c r="DX530" s="79"/>
      <c r="DZ530" s="795"/>
    </row>
    <row r="531" spans="1:130">
      <c r="A531" s="709">
        <v>45</v>
      </c>
      <c r="B531" s="291"/>
      <c r="C531" s="93"/>
      <c r="D531" s="93"/>
      <c r="E531" s="291"/>
      <c r="F531" s="201"/>
      <c r="G531" s="193"/>
      <c r="H531" s="193"/>
      <c r="I531" s="193"/>
      <c r="J531" s="206"/>
      <c r="K531" s="205"/>
      <c r="L531" s="291"/>
      <c r="M531" s="93"/>
      <c r="N531" s="93"/>
      <c r="O531" s="291"/>
      <c r="P531" s="291"/>
      <c r="Q531" s="699"/>
      <c r="R531" s="93"/>
      <c r="S531" s="291"/>
      <c r="T531" s="299"/>
      <c r="U531" s="295"/>
      <c r="V531" s="193"/>
      <c r="W531" s="205"/>
      <c r="X531" s="193"/>
      <c r="Y531" s="205"/>
      <c r="Z531" s="206"/>
      <c r="AA531" s="160"/>
      <c r="AB531" s="93"/>
      <c r="AC531" s="201"/>
      <c r="AD531" s="206"/>
      <c r="AE531" s="93"/>
      <c r="AF531" s="93"/>
      <c r="AG531" s="114"/>
      <c r="AH531" s="193"/>
      <c r="AI531" s="193"/>
      <c r="AJ531" s="193"/>
      <c r="AK531" s="206"/>
      <c r="AL531" s="206"/>
      <c r="AM531" s="206"/>
      <c r="AN531" s="206"/>
      <c r="AO531" s="291"/>
      <c r="AP531" s="291"/>
      <c r="AQ531" s="291"/>
      <c r="AR531" s="296"/>
      <c r="AS531" s="300"/>
      <c r="AT531" s="292"/>
      <c r="AU531" s="93"/>
      <c r="AV531" s="79"/>
      <c r="AW531" s="93"/>
      <c r="AX531" s="93"/>
      <c r="AY531" s="291"/>
      <c r="AZ531" s="291"/>
      <c r="BA531" s="201"/>
      <c r="BB531" s="292"/>
      <c r="BC531" s="206"/>
      <c r="BD531" s="292"/>
      <c r="BE531" s="296"/>
      <c r="BF531" s="296"/>
      <c r="BG531" s="296"/>
      <c r="BH531" s="292"/>
      <c r="BI531" s="206"/>
      <c r="BJ531" s="93"/>
      <c r="BK531" s="93"/>
      <c r="BL531" s="79"/>
      <c r="BM531" s="201"/>
      <c r="BN531" s="291"/>
      <c r="BO531" s="93"/>
      <c r="BP531" s="93"/>
      <c r="BQ531" s="291"/>
      <c r="BR531" s="292"/>
      <c r="BS531" s="300"/>
      <c r="BT531" s="300"/>
      <c r="BU531" s="300"/>
      <c r="BV531" s="300"/>
      <c r="BW531" s="292"/>
      <c r="BX531" s="291"/>
      <c r="BY531" s="93"/>
      <c r="BZ531" s="93"/>
      <c r="CA531" s="291"/>
      <c r="CB531" s="865"/>
      <c r="CE531" s="93"/>
      <c r="CF531" s="206"/>
      <c r="CG531" s="292"/>
      <c r="CH531" s="296"/>
      <c r="CI531" s="296"/>
      <c r="CJ531" s="296"/>
      <c r="CK531" s="292"/>
      <c r="CL531" s="206"/>
      <c r="CM531" s="292"/>
      <c r="CN531" s="201"/>
      <c r="CO531" s="291"/>
      <c r="CP531" s="291"/>
      <c r="CQ531" s="93"/>
      <c r="CS531" s="699"/>
      <c r="CT531" s="93"/>
      <c r="CU531" s="292"/>
      <c r="CV531" s="300"/>
      <c r="CW531" s="296"/>
      <c r="CX531" s="291"/>
      <c r="CY531" s="291"/>
      <c r="CZ531" s="291"/>
      <c r="DA531" s="206"/>
      <c r="DB531" s="206"/>
      <c r="DC531" s="206"/>
      <c r="DD531" s="206"/>
      <c r="DE531" s="193"/>
      <c r="DF531" s="193"/>
      <c r="DG531" s="193"/>
      <c r="DH531" s="79"/>
      <c r="DI531" s="699"/>
      <c r="DJ531" s="93"/>
      <c r="DK531" s="201"/>
      <c r="DL531" s="206"/>
      <c r="DM531" s="93"/>
      <c r="DN531" s="160"/>
      <c r="DO531" s="206"/>
      <c r="DP531" s="205"/>
      <c r="DQ531" s="193"/>
      <c r="DR531" s="205"/>
      <c r="DS531" s="193"/>
      <c r="DT531" s="295"/>
      <c r="DU531" s="299"/>
      <c r="DV531" s="291"/>
      <c r="DW531" s="93"/>
      <c r="DX531" s="79"/>
      <c r="DZ531" s="795"/>
    </row>
    <row r="532" spans="1:130">
      <c r="A532" s="699">
        <v>44</v>
      </c>
      <c r="B532" s="291"/>
      <c r="C532" s="93"/>
      <c r="D532" s="93"/>
      <c r="E532" s="291"/>
      <c r="F532" s="201"/>
      <c r="G532" s="295"/>
      <c r="H532" s="299"/>
      <c r="I532" s="295"/>
      <c r="J532" s="193"/>
      <c r="K532" s="205"/>
      <c r="L532" s="206"/>
      <c r="M532" s="93"/>
      <c r="N532" s="93"/>
      <c r="O532" s="291"/>
      <c r="P532" s="93"/>
      <c r="Q532" s="699"/>
      <c r="R532" s="93"/>
      <c r="S532" s="291"/>
      <c r="T532" s="206"/>
      <c r="U532" s="206"/>
      <c r="V532" s="295"/>
      <c r="W532" s="205"/>
      <c r="X532" s="206"/>
      <c r="Y532" s="205"/>
      <c r="Z532" s="206"/>
      <c r="AA532" s="93"/>
      <c r="AB532" s="93"/>
      <c r="AC532" s="201"/>
      <c r="AD532" s="206"/>
      <c r="AE532" s="93"/>
      <c r="AF532" s="93"/>
      <c r="AG532" s="114"/>
      <c r="AH532" s="295"/>
      <c r="AI532" s="299"/>
      <c r="AJ532" s="295"/>
      <c r="AK532" s="193"/>
      <c r="AL532" s="206"/>
      <c r="AM532" s="291"/>
      <c r="AN532" s="205"/>
      <c r="AO532" s="291"/>
      <c r="AP532" s="206"/>
      <c r="AQ532" s="291"/>
      <c r="AR532" s="296"/>
      <c r="AS532" s="300"/>
      <c r="AT532" s="292"/>
      <c r="AU532" s="93"/>
      <c r="AV532" s="79"/>
      <c r="AW532" s="93"/>
      <c r="AX532" s="93"/>
      <c r="AY532" s="291"/>
      <c r="AZ532" s="206"/>
      <c r="BA532" s="201"/>
      <c r="BB532" s="292"/>
      <c r="BC532" s="206"/>
      <c r="BD532" s="292"/>
      <c r="BE532" s="296"/>
      <c r="BF532" s="296"/>
      <c r="BG532" s="296"/>
      <c r="BH532" s="292"/>
      <c r="BI532" s="206"/>
      <c r="BJ532" s="93"/>
      <c r="BK532" s="93"/>
      <c r="BL532" s="79"/>
      <c r="BM532" s="93"/>
      <c r="BN532" s="291"/>
      <c r="BO532" s="93"/>
      <c r="BP532" s="93"/>
      <c r="BQ532" s="291"/>
      <c r="BR532" s="292"/>
      <c r="BS532" s="300"/>
      <c r="BT532" s="300"/>
      <c r="BU532" s="300"/>
      <c r="BV532" s="300"/>
      <c r="BW532" s="292"/>
      <c r="BX532" s="206"/>
      <c r="BY532" s="93"/>
      <c r="BZ532" s="93"/>
      <c r="CA532" s="291"/>
      <c r="CB532" s="79"/>
      <c r="CE532" s="93"/>
      <c r="CF532" s="206"/>
      <c r="CG532" s="292"/>
      <c r="CH532" s="296"/>
      <c r="CI532" s="296"/>
      <c r="CJ532" s="296"/>
      <c r="CK532" s="292"/>
      <c r="CL532" s="206"/>
      <c r="CM532" s="292"/>
      <c r="CN532" s="201"/>
      <c r="CO532" s="206"/>
      <c r="CP532" s="291"/>
      <c r="CS532" s="699"/>
      <c r="CT532" s="93"/>
      <c r="CU532" s="292"/>
      <c r="CV532" s="300"/>
      <c r="CW532" s="296"/>
      <c r="CX532" s="291"/>
      <c r="CY532" s="201"/>
      <c r="CZ532" s="291"/>
      <c r="DA532" s="205"/>
      <c r="DB532" s="291"/>
      <c r="DC532" s="206"/>
      <c r="DD532" s="193"/>
      <c r="DE532" s="295"/>
      <c r="DF532" s="299"/>
      <c r="DG532" s="295"/>
      <c r="DH532" s="79"/>
      <c r="DI532" s="699"/>
      <c r="DJ532" s="93"/>
      <c r="DK532" s="201"/>
      <c r="DL532" s="206"/>
      <c r="DM532" s="93"/>
      <c r="DN532" s="93"/>
      <c r="DO532" s="206"/>
      <c r="DP532" s="205"/>
      <c r="DQ532" s="206"/>
      <c r="DR532" s="205"/>
      <c r="DS532" s="295"/>
      <c r="DT532" s="206"/>
      <c r="DU532" s="206"/>
      <c r="DV532" s="291"/>
      <c r="DW532" s="93"/>
      <c r="DX532" s="79"/>
      <c r="DZ532" s="795"/>
    </row>
    <row r="533" spans="1:130">
      <c r="A533" s="699">
        <v>150</v>
      </c>
      <c r="B533" s="291"/>
      <c r="C533" s="93"/>
      <c r="D533" s="93"/>
      <c r="E533" s="93"/>
      <c r="F533" s="294"/>
      <c r="G533" s="206"/>
      <c r="H533" s="206"/>
      <c r="I533" s="206"/>
      <c r="J533" s="206"/>
      <c r="K533" s="205"/>
      <c r="L533" s="93"/>
      <c r="M533" s="93"/>
      <c r="N533" s="93"/>
      <c r="O533" s="291"/>
      <c r="P533" s="93"/>
      <c r="Q533" s="699"/>
      <c r="R533" s="93"/>
      <c r="S533" s="291"/>
      <c r="T533" s="93"/>
      <c r="U533" s="206"/>
      <c r="V533" s="206"/>
      <c r="W533" s="206"/>
      <c r="X533" s="291"/>
      <c r="Y533" s="201"/>
      <c r="Z533" s="206"/>
      <c r="AA533" s="93"/>
      <c r="AB533" s="93"/>
      <c r="AC533" s="201"/>
      <c r="AD533" s="93"/>
      <c r="AE533" s="93"/>
      <c r="AF533" s="93"/>
      <c r="AG533" s="114"/>
      <c r="AH533" s="206"/>
      <c r="AI533" s="206"/>
      <c r="AJ533" s="206"/>
      <c r="AK533" s="206"/>
      <c r="AL533" s="206"/>
      <c r="AM533" s="291"/>
      <c r="AN533" s="298"/>
      <c r="AO533" s="291"/>
      <c r="AP533" s="206"/>
      <c r="AQ533" s="206"/>
      <c r="AR533" s="296"/>
      <c r="AS533" s="300"/>
      <c r="AT533" s="292"/>
      <c r="AU533" s="93"/>
      <c r="AV533" s="79"/>
      <c r="AW533" s="93"/>
      <c r="AX533" s="93"/>
      <c r="AY533" s="291"/>
      <c r="AZ533" s="206"/>
      <c r="BA533" s="291"/>
      <c r="BB533" s="292"/>
      <c r="BC533" s="206"/>
      <c r="BD533" s="292"/>
      <c r="BE533" s="296"/>
      <c r="BF533" s="296"/>
      <c r="BG533" s="296"/>
      <c r="BH533" s="292"/>
      <c r="BI533" s="206"/>
      <c r="BJ533" s="93"/>
      <c r="BK533" s="93"/>
      <c r="BL533" s="79"/>
      <c r="BM533" s="93"/>
      <c r="BN533" s="291"/>
      <c r="BO533" s="93"/>
      <c r="BP533" s="93"/>
      <c r="BQ533" s="93"/>
      <c r="BR533" s="292"/>
      <c r="BS533" s="300"/>
      <c r="BT533" s="300"/>
      <c r="BU533" s="300"/>
      <c r="BV533" s="300"/>
      <c r="BW533" s="292"/>
      <c r="BX533" s="93"/>
      <c r="BY533" s="93"/>
      <c r="BZ533" s="93"/>
      <c r="CA533" s="291"/>
      <c r="CB533" s="79"/>
      <c r="CE533" s="93"/>
      <c r="CF533" s="206"/>
      <c r="CG533" s="292"/>
      <c r="CH533" s="296"/>
      <c r="CI533" s="296"/>
      <c r="CJ533" s="296"/>
      <c r="CK533" s="292"/>
      <c r="CL533" s="206"/>
      <c r="CM533" s="292"/>
      <c r="CN533" s="291"/>
      <c r="CO533" s="206"/>
      <c r="CP533" s="291"/>
      <c r="CS533" s="699"/>
      <c r="CT533" s="93"/>
      <c r="CU533" s="292"/>
      <c r="CV533" s="300"/>
      <c r="CW533" s="296"/>
      <c r="CX533" s="206"/>
      <c r="CY533" s="201"/>
      <c r="CZ533" s="291"/>
      <c r="DA533" s="294"/>
      <c r="DB533" s="291"/>
      <c r="DC533" s="206"/>
      <c r="DD533" s="206"/>
      <c r="DE533" s="206"/>
      <c r="DF533" s="206"/>
      <c r="DG533" s="206"/>
      <c r="DH533" s="79"/>
      <c r="DI533" s="699"/>
      <c r="DJ533" s="93"/>
      <c r="DK533" s="93"/>
      <c r="DL533" s="206"/>
      <c r="DM533" s="93"/>
      <c r="DN533" s="93"/>
      <c r="DO533" s="206"/>
      <c r="DP533" s="201"/>
      <c r="DQ533" s="291"/>
      <c r="DR533" s="206"/>
      <c r="DS533" s="206"/>
      <c r="DT533" s="206"/>
      <c r="DU533" s="93"/>
      <c r="DV533" s="291"/>
      <c r="DW533" s="93"/>
      <c r="DX533" s="79"/>
      <c r="DZ533" s="795"/>
    </row>
    <row r="534" spans="1:130">
      <c r="A534" s="699">
        <v>250</v>
      </c>
      <c r="B534" s="291"/>
      <c r="C534" s="93"/>
      <c r="D534" s="93"/>
      <c r="E534" s="93"/>
      <c r="F534" s="201"/>
      <c r="G534" s="201"/>
      <c r="H534" s="206"/>
      <c r="I534" s="206"/>
      <c r="J534" s="291"/>
      <c r="K534" s="201"/>
      <c r="L534" s="93"/>
      <c r="M534" s="93"/>
      <c r="N534" s="93"/>
      <c r="O534" s="291"/>
      <c r="P534" s="93"/>
      <c r="Q534" s="699"/>
      <c r="R534" s="93"/>
      <c r="S534" s="291"/>
      <c r="T534" s="206"/>
      <c r="U534" s="93"/>
      <c r="V534" s="298"/>
      <c r="W534" s="294"/>
      <c r="X534" s="291"/>
      <c r="Y534" s="206"/>
      <c r="Z534" s="206"/>
      <c r="AA534" s="93"/>
      <c r="AB534" s="93"/>
      <c r="AC534" s="201"/>
      <c r="AD534" s="93"/>
      <c r="AE534" s="93"/>
      <c r="AF534" s="93"/>
      <c r="AG534" s="114"/>
      <c r="AH534" s="51"/>
      <c r="AI534" s="51"/>
      <c r="AJ534" s="51"/>
      <c r="AK534" s="51"/>
      <c r="AL534" s="51"/>
      <c r="AM534" s="291"/>
      <c r="AN534" s="201"/>
      <c r="AO534" s="291"/>
      <c r="AP534" s="206"/>
      <c r="AQ534" s="206"/>
      <c r="AR534" s="206"/>
      <c r="AS534" s="206"/>
      <c r="AT534" s="206"/>
      <c r="AU534" s="93"/>
      <c r="AV534" s="79"/>
      <c r="AW534" s="93"/>
      <c r="AX534" s="93"/>
      <c r="AY534" s="291"/>
      <c r="AZ534" s="206"/>
      <c r="BA534" s="93"/>
      <c r="BB534" s="292"/>
      <c r="BC534" s="206"/>
      <c r="BD534" s="206"/>
      <c r="BE534" s="296"/>
      <c r="BF534" s="206"/>
      <c r="BG534" s="206"/>
      <c r="BH534" s="205"/>
      <c r="BI534" s="206"/>
      <c r="BJ534" s="201"/>
      <c r="BK534" s="93"/>
      <c r="BL534" s="79"/>
      <c r="BM534" s="93"/>
      <c r="BN534" s="291"/>
      <c r="BO534" s="93"/>
      <c r="BP534" s="93"/>
      <c r="BQ534" s="93"/>
      <c r="BR534" s="292"/>
      <c r="BS534" s="300"/>
      <c r="BT534" s="300"/>
      <c r="BU534" s="300"/>
      <c r="BV534" s="300"/>
      <c r="BW534" s="292"/>
      <c r="BX534" s="93"/>
      <c r="BY534" s="93"/>
      <c r="BZ534" s="93"/>
      <c r="CA534" s="291"/>
      <c r="CB534" s="79"/>
      <c r="CE534" s="201"/>
      <c r="CF534" s="206"/>
      <c r="CG534" s="205"/>
      <c r="CH534" s="206"/>
      <c r="CI534" s="206"/>
      <c r="CJ534" s="296"/>
      <c r="CK534" s="292"/>
      <c r="CL534" s="206"/>
      <c r="CM534" s="292"/>
      <c r="CN534" s="93"/>
      <c r="CO534" s="206"/>
      <c r="CP534" s="291"/>
      <c r="CS534" s="699"/>
      <c r="CT534" s="93"/>
      <c r="CU534" s="206"/>
      <c r="CV534" s="206"/>
      <c r="CW534" s="206"/>
      <c r="CX534" s="206"/>
      <c r="CY534" s="201"/>
      <c r="CZ534" s="291"/>
      <c r="DA534" s="201"/>
      <c r="DB534" s="291"/>
      <c r="DC534" s="51"/>
      <c r="DD534" s="51"/>
      <c r="DE534" s="51"/>
      <c r="DF534" s="51"/>
      <c r="DG534" s="51"/>
      <c r="DH534" s="79"/>
      <c r="DI534" s="699"/>
      <c r="DJ534" s="93"/>
      <c r="DK534" s="93"/>
      <c r="DL534" s="206"/>
      <c r="DM534" s="93"/>
      <c r="DN534" s="93"/>
      <c r="DO534" s="206"/>
      <c r="DP534" s="206"/>
      <c r="DQ534" s="291"/>
      <c r="DR534" s="294"/>
      <c r="DS534" s="298"/>
      <c r="DT534" s="93"/>
      <c r="DU534" s="206"/>
      <c r="DV534" s="291"/>
      <c r="DW534" s="93"/>
      <c r="DX534" s="79"/>
      <c r="DZ534" s="795"/>
    </row>
    <row r="535" spans="1:130">
      <c r="A535" s="699">
        <v>264</v>
      </c>
      <c r="B535" s="291"/>
      <c r="C535" s="206"/>
      <c r="D535" s="93"/>
      <c r="E535" s="93"/>
      <c r="F535" s="291"/>
      <c r="G535" s="298"/>
      <c r="H535" s="298"/>
      <c r="I535" s="294"/>
      <c r="J535" s="291"/>
      <c r="K535" s="206"/>
      <c r="L535" s="93"/>
      <c r="M535" s="93"/>
      <c r="N535" s="206"/>
      <c r="O535" s="291"/>
      <c r="P535" s="93"/>
      <c r="Q535" s="699"/>
      <c r="R535" s="93"/>
      <c r="S535" s="291"/>
      <c r="T535" s="206"/>
      <c r="U535" s="93"/>
      <c r="V535" s="201"/>
      <c r="W535" s="201"/>
      <c r="X535" s="290"/>
      <c r="Y535" s="206"/>
      <c r="Z535" s="93"/>
      <c r="AA535" s="93"/>
      <c r="AB535" s="206"/>
      <c r="AC535" s="291"/>
      <c r="AD535" s="93"/>
      <c r="AE535" s="93"/>
      <c r="AF535" s="93"/>
      <c r="AG535" s="114"/>
      <c r="AH535" s="51"/>
      <c r="AI535" s="51"/>
      <c r="AJ535" s="51"/>
      <c r="AK535" s="51"/>
      <c r="AL535" s="51"/>
      <c r="AM535" s="291"/>
      <c r="AN535" s="298"/>
      <c r="AO535" s="201"/>
      <c r="AP535" s="206"/>
      <c r="AQ535" s="206"/>
      <c r="AR535" s="93"/>
      <c r="AS535" s="93"/>
      <c r="AT535" s="93"/>
      <c r="AU535" s="93"/>
      <c r="AV535" s="79"/>
      <c r="AW535" s="93"/>
      <c r="AX535" s="93"/>
      <c r="AY535" s="291"/>
      <c r="AZ535" s="206"/>
      <c r="BA535" s="93"/>
      <c r="BB535" s="201"/>
      <c r="BC535" s="292"/>
      <c r="BD535" s="297"/>
      <c r="BE535" s="161"/>
      <c r="BF535" s="292"/>
      <c r="BG535" s="93"/>
      <c r="BH535" s="93"/>
      <c r="BI535" s="206"/>
      <c r="BJ535" s="201"/>
      <c r="BK535" s="93"/>
      <c r="BL535" s="79"/>
      <c r="BM535" s="93"/>
      <c r="BN535" s="291"/>
      <c r="BO535" s="206"/>
      <c r="BP535" s="93"/>
      <c r="BQ535" s="93"/>
      <c r="BR535" s="201"/>
      <c r="BS535" s="206"/>
      <c r="BT535" s="206"/>
      <c r="BU535" s="206"/>
      <c r="BV535" s="206"/>
      <c r="BW535" s="205"/>
      <c r="BX535" s="93"/>
      <c r="BY535" s="93"/>
      <c r="BZ535" s="206"/>
      <c r="CA535" s="291"/>
      <c r="CB535" s="79"/>
      <c r="CE535" s="201"/>
      <c r="CF535" s="206"/>
      <c r="CG535" s="93"/>
      <c r="CH535" s="93"/>
      <c r="CI535" s="292"/>
      <c r="CJ535" s="297"/>
      <c r="CK535" s="161"/>
      <c r="CL535" s="292"/>
      <c r="CM535" s="291"/>
      <c r="CN535" s="93"/>
      <c r="CO535" s="206"/>
      <c r="CP535" s="291"/>
      <c r="CS535" s="699"/>
      <c r="CT535" s="93"/>
      <c r="CU535" s="93"/>
      <c r="CV535" s="93"/>
      <c r="CW535" s="93"/>
      <c r="CX535" s="206"/>
      <c r="CY535" s="201"/>
      <c r="CZ535" s="206"/>
      <c r="DA535" s="294"/>
      <c r="DB535" s="291"/>
      <c r="DC535" s="51"/>
      <c r="DD535" s="51"/>
      <c r="DE535" s="51"/>
      <c r="DF535" s="51"/>
      <c r="DG535" s="51"/>
      <c r="DH535" s="79"/>
      <c r="DI535" s="699"/>
      <c r="DJ535" s="93"/>
      <c r="DK535" s="93"/>
      <c r="DL535" s="206"/>
      <c r="DM535" s="206"/>
      <c r="DN535" s="93"/>
      <c r="DO535" s="93"/>
      <c r="DP535" s="206"/>
      <c r="DQ535" s="290"/>
      <c r="DR535" s="201"/>
      <c r="DS535" s="201"/>
      <c r="DT535" s="93"/>
      <c r="DU535" s="201"/>
      <c r="DV535" s="291"/>
      <c r="DW535" s="93"/>
      <c r="DX535" s="79"/>
      <c r="DZ535" s="795"/>
    </row>
    <row r="536" spans="1:130">
      <c r="A536" s="699">
        <v>164</v>
      </c>
      <c r="B536" s="291"/>
      <c r="C536" s="206"/>
      <c r="D536" s="93"/>
      <c r="E536" s="93"/>
      <c r="F536" s="291"/>
      <c r="G536" s="201"/>
      <c r="H536" s="201"/>
      <c r="I536" s="201"/>
      <c r="J536" s="290"/>
      <c r="K536" s="206"/>
      <c r="L536" s="93"/>
      <c r="M536" s="93"/>
      <c r="N536" s="206"/>
      <c r="O536" s="201"/>
      <c r="P536" s="93"/>
      <c r="Q536" s="699"/>
      <c r="R536" s="93"/>
      <c r="S536" s="201"/>
      <c r="T536" s="206"/>
      <c r="U536" s="93"/>
      <c r="V536" s="207"/>
      <c r="W536" s="298"/>
      <c r="X536" s="294"/>
      <c r="Y536" s="291"/>
      <c r="Z536" s="93"/>
      <c r="AA536" s="93"/>
      <c r="AB536" s="206"/>
      <c r="AC536" s="201"/>
      <c r="AD536" s="93"/>
      <c r="AE536" s="93"/>
      <c r="AF536" s="93"/>
      <c r="AG536" s="114"/>
      <c r="AH536" s="51"/>
      <c r="AI536" s="51"/>
      <c r="AJ536" s="51"/>
      <c r="AK536" s="51"/>
      <c r="AL536" s="51"/>
      <c r="AM536" s="291"/>
      <c r="AN536" s="201"/>
      <c r="AO536" s="201"/>
      <c r="AP536" s="206"/>
      <c r="AQ536" s="297"/>
      <c r="AR536" s="93"/>
      <c r="AS536" s="93"/>
      <c r="AT536" s="93"/>
      <c r="AU536" s="93"/>
      <c r="AV536" s="79"/>
      <c r="AW536" s="93"/>
      <c r="AX536" s="93"/>
      <c r="AY536" s="201"/>
      <c r="AZ536" s="206"/>
      <c r="BA536" s="93"/>
      <c r="BB536" s="201"/>
      <c r="BC536" s="199"/>
      <c r="BD536" s="201"/>
      <c r="BE536" s="206"/>
      <c r="BF536" s="290"/>
      <c r="BG536" s="93"/>
      <c r="BH536" s="93"/>
      <c r="BI536" s="206"/>
      <c r="BJ536" s="201"/>
      <c r="BK536" s="93"/>
      <c r="BL536" s="79"/>
      <c r="BM536" s="93"/>
      <c r="BN536" s="291"/>
      <c r="BO536" s="206"/>
      <c r="BP536" s="93"/>
      <c r="BQ536" s="93"/>
      <c r="BR536" s="291"/>
      <c r="BS536" s="199"/>
      <c r="BT536" s="297"/>
      <c r="BU536" s="161"/>
      <c r="BV536" s="290"/>
      <c r="BW536" s="206"/>
      <c r="BX536" s="93"/>
      <c r="BY536" s="93"/>
      <c r="BZ536" s="206"/>
      <c r="CA536" s="201"/>
      <c r="CB536" s="79"/>
      <c r="CE536" s="201"/>
      <c r="CF536" s="206"/>
      <c r="CG536" s="93"/>
      <c r="CH536" s="93"/>
      <c r="CI536" s="199"/>
      <c r="CJ536" s="206"/>
      <c r="CK536" s="206"/>
      <c r="CL536" s="291"/>
      <c r="CM536" s="201"/>
      <c r="CN536" s="93"/>
      <c r="CO536" s="206"/>
      <c r="CP536" s="201"/>
      <c r="CS536" s="699"/>
      <c r="CT536" s="93"/>
      <c r="CU536" s="93"/>
      <c r="CV536" s="93"/>
      <c r="CW536" s="93"/>
      <c r="CX536" s="297"/>
      <c r="CY536" s="201"/>
      <c r="CZ536" s="206"/>
      <c r="DA536" s="201"/>
      <c r="DB536" s="291"/>
      <c r="DC536" s="51"/>
      <c r="DD536" s="51"/>
      <c r="DE536" s="51"/>
      <c r="DF536" s="51"/>
      <c r="DG536" s="51"/>
      <c r="DH536" s="79"/>
      <c r="DI536" s="699"/>
      <c r="DJ536" s="93"/>
      <c r="DK536" s="93"/>
      <c r="DL536" s="201"/>
      <c r="DM536" s="206"/>
      <c r="DN536" s="93"/>
      <c r="DO536" s="93"/>
      <c r="DP536" s="291"/>
      <c r="DQ536" s="294"/>
      <c r="DR536" s="298"/>
      <c r="DS536" s="207"/>
      <c r="DT536" s="93"/>
      <c r="DU536" s="201"/>
      <c r="DV536" s="291"/>
      <c r="DW536" s="93"/>
      <c r="DX536" s="79"/>
      <c r="DZ536" s="51"/>
    </row>
    <row r="537" spans="1:130">
      <c r="A537" s="699">
        <v>168</v>
      </c>
      <c r="B537" s="291"/>
      <c r="C537" s="206"/>
      <c r="D537" s="93"/>
      <c r="E537" s="93"/>
      <c r="F537" s="93"/>
      <c r="G537" s="207"/>
      <c r="H537" s="298"/>
      <c r="I537" s="294"/>
      <c r="J537" s="291"/>
      <c r="K537" s="93"/>
      <c r="L537" s="93"/>
      <c r="M537" s="93"/>
      <c r="N537" s="206"/>
      <c r="O537" s="201"/>
      <c r="P537" s="93"/>
      <c r="Q537" s="699"/>
      <c r="R537" s="93"/>
      <c r="S537" s="201"/>
      <c r="T537" s="206"/>
      <c r="U537" s="93"/>
      <c r="V537" s="291"/>
      <c r="W537" s="201"/>
      <c r="X537" s="199"/>
      <c r="Y537" s="206"/>
      <c r="Z537" s="93"/>
      <c r="AA537" s="93"/>
      <c r="AB537" s="206"/>
      <c r="AC537" s="201"/>
      <c r="AD537" s="93"/>
      <c r="AE537" s="93"/>
      <c r="AF537" s="93"/>
      <c r="AG537" s="114"/>
      <c r="AH537" s="51"/>
      <c r="AI537" s="51"/>
      <c r="AJ537" s="51"/>
      <c r="AK537" s="51"/>
      <c r="AL537" s="51"/>
      <c r="AM537" s="93"/>
      <c r="AN537" s="207"/>
      <c r="AO537" s="201"/>
      <c r="AP537" s="206"/>
      <c r="AQ537" s="201"/>
      <c r="AR537" s="93"/>
      <c r="AS537" s="93"/>
      <c r="AT537" s="93"/>
      <c r="AU537" s="93"/>
      <c r="AV537" s="79"/>
      <c r="AW537" s="93"/>
      <c r="AX537" s="93"/>
      <c r="AY537" s="201"/>
      <c r="AZ537" s="206"/>
      <c r="BA537" s="93"/>
      <c r="BB537" s="201"/>
      <c r="BC537" s="201"/>
      <c r="BD537" s="297"/>
      <c r="BE537" s="161"/>
      <c r="BF537" s="292"/>
      <c r="BG537" s="93"/>
      <c r="BH537" s="93"/>
      <c r="BI537" s="206"/>
      <c r="BJ537" s="201"/>
      <c r="BK537" s="93"/>
      <c r="BL537" s="79"/>
      <c r="BM537" s="93"/>
      <c r="BN537" s="291"/>
      <c r="BO537" s="206"/>
      <c r="BP537" s="93"/>
      <c r="BQ537" s="93"/>
      <c r="BR537" s="93"/>
      <c r="BS537" s="201"/>
      <c r="BT537" s="201"/>
      <c r="BU537" s="206"/>
      <c r="BV537" s="291"/>
      <c r="BW537" s="93"/>
      <c r="BX537" s="93"/>
      <c r="BY537" s="93"/>
      <c r="BZ537" s="206"/>
      <c r="CA537" s="201"/>
      <c r="CB537" s="79"/>
      <c r="CE537" s="201"/>
      <c r="CF537" s="206"/>
      <c r="CG537" s="93"/>
      <c r="CH537" s="93"/>
      <c r="CI537" s="292"/>
      <c r="CJ537" s="297"/>
      <c r="CK537" s="161"/>
      <c r="CL537" s="291"/>
      <c r="CM537" s="201"/>
      <c r="CN537" s="93"/>
      <c r="CO537" s="206"/>
      <c r="CP537" s="201"/>
      <c r="CS537" s="699"/>
      <c r="CT537" s="93"/>
      <c r="CU537" s="93"/>
      <c r="CV537" s="93"/>
      <c r="CW537" s="93"/>
      <c r="CX537" s="201"/>
      <c r="CY537" s="201"/>
      <c r="CZ537" s="206"/>
      <c r="DA537" s="294"/>
      <c r="DB537" s="93"/>
      <c r="DC537" s="51"/>
      <c r="DD537" s="51"/>
      <c r="DE537" s="51"/>
      <c r="DF537" s="51"/>
      <c r="DG537" s="51"/>
      <c r="DH537" s="79"/>
      <c r="DI537" s="699"/>
      <c r="DJ537" s="93"/>
      <c r="DK537" s="93"/>
      <c r="DL537" s="201"/>
      <c r="DM537" s="206"/>
      <c r="DN537" s="93"/>
      <c r="DO537" s="93"/>
      <c r="DP537" s="206"/>
      <c r="DQ537" s="199"/>
      <c r="DR537" s="201"/>
      <c r="DS537" s="291"/>
      <c r="DT537" s="93"/>
      <c r="DU537" s="201"/>
      <c r="DV537" s="291"/>
      <c r="DW537" s="93"/>
      <c r="DX537" s="79"/>
      <c r="DZ537" s="51"/>
    </row>
    <row r="538" spans="1:130">
      <c r="A538" s="699"/>
      <c r="B538" s="201"/>
      <c r="C538" s="206"/>
      <c r="D538" s="93"/>
      <c r="E538" s="93"/>
      <c r="F538" s="93"/>
      <c r="G538" s="291"/>
      <c r="H538" s="201"/>
      <c r="I538" s="199"/>
      <c r="J538" s="206"/>
      <c r="K538" s="93"/>
      <c r="L538" s="93"/>
      <c r="M538" s="93"/>
      <c r="N538" s="206"/>
      <c r="O538" s="291"/>
      <c r="P538" s="93"/>
      <c r="Q538" s="699"/>
      <c r="R538" s="93"/>
      <c r="S538" s="291"/>
      <c r="T538" s="206"/>
      <c r="U538" s="93"/>
      <c r="V538" s="291"/>
      <c r="W538" s="291"/>
      <c r="X538" s="291"/>
      <c r="Y538" s="291"/>
      <c r="Z538" s="93"/>
      <c r="AA538" s="93"/>
      <c r="AB538" s="206"/>
      <c r="AC538" s="291"/>
      <c r="AD538" s="93"/>
      <c r="AE538" s="93"/>
      <c r="AF538" s="93"/>
      <c r="AG538" s="114"/>
      <c r="AH538" s="51"/>
      <c r="AI538" s="51"/>
      <c r="AJ538" s="51"/>
      <c r="AK538" s="51"/>
      <c r="AL538" s="51"/>
      <c r="AM538" s="93"/>
      <c r="AN538" s="291"/>
      <c r="AO538" s="201"/>
      <c r="AP538" s="206"/>
      <c r="AQ538" s="297"/>
      <c r="AR538" s="93"/>
      <c r="AS538" s="93"/>
      <c r="AT538" s="93"/>
      <c r="AU538" s="93"/>
      <c r="AV538" s="79"/>
      <c r="AW538" s="93"/>
      <c r="AX538" s="93"/>
      <c r="AY538" s="201"/>
      <c r="AZ538" s="206"/>
      <c r="BA538" s="93"/>
      <c r="BB538" s="93"/>
      <c r="BC538" s="291"/>
      <c r="BD538" s="201"/>
      <c r="BE538" s="206"/>
      <c r="BF538" s="290"/>
      <c r="BG538" s="93"/>
      <c r="BH538" s="93"/>
      <c r="BI538" s="206"/>
      <c r="BJ538" s="201"/>
      <c r="BK538" s="93"/>
      <c r="BL538" s="79"/>
      <c r="BM538" s="93"/>
      <c r="BN538" s="201"/>
      <c r="BO538" s="206"/>
      <c r="BP538" s="93"/>
      <c r="BQ538" s="93"/>
      <c r="BR538" s="93"/>
      <c r="BS538" s="291"/>
      <c r="BT538" s="297"/>
      <c r="BU538" s="161"/>
      <c r="BV538" s="206"/>
      <c r="BW538" s="93"/>
      <c r="BX538" s="93"/>
      <c r="BY538" s="93"/>
      <c r="BZ538" s="206"/>
      <c r="CA538" s="291"/>
      <c r="CB538" s="79"/>
      <c r="CE538" s="201"/>
      <c r="CF538" s="206"/>
      <c r="CG538" s="93"/>
      <c r="CH538" s="93"/>
      <c r="CI538" s="199"/>
      <c r="CJ538" s="206"/>
      <c r="CK538" s="206"/>
      <c r="CL538" s="291"/>
      <c r="CM538" s="93"/>
      <c r="CN538" s="93"/>
      <c r="CO538" s="206"/>
      <c r="CP538" s="201"/>
      <c r="CS538" s="699"/>
      <c r="CT538" s="93"/>
      <c r="CU538" s="93"/>
      <c r="CV538" s="93"/>
      <c r="CW538" s="93"/>
      <c r="CX538" s="297"/>
      <c r="CY538" s="201"/>
      <c r="CZ538" s="206"/>
      <c r="DA538" s="291"/>
      <c r="DB538" s="93"/>
      <c r="DC538" s="51"/>
      <c r="DD538" s="51"/>
      <c r="DE538" s="51"/>
      <c r="DF538" s="51"/>
      <c r="DG538" s="51"/>
      <c r="DH538" s="79"/>
      <c r="DI538" s="699"/>
      <c r="DJ538" s="93"/>
      <c r="DK538" s="93"/>
      <c r="DL538" s="201"/>
      <c r="DM538" s="206"/>
      <c r="DN538" s="93"/>
      <c r="DO538" s="93"/>
      <c r="DP538" s="291"/>
      <c r="DQ538" s="291"/>
      <c r="DR538" s="291"/>
      <c r="DS538" s="291"/>
      <c r="DT538" s="93"/>
      <c r="DU538" s="206"/>
      <c r="DV538" s="291"/>
      <c r="DW538" s="93"/>
      <c r="DX538" s="79"/>
    </row>
    <row r="539" spans="1:130">
      <c r="A539" s="699">
        <v>5</v>
      </c>
      <c r="B539" s="201"/>
      <c r="C539" s="206"/>
      <c r="D539" s="93"/>
      <c r="E539" s="93"/>
      <c r="F539" s="93"/>
      <c r="G539" s="291"/>
      <c r="H539" s="291"/>
      <c r="I539" s="291"/>
      <c r="J539" s="291"/>
      <c r="K539" s="93"/>
      <c r="L539" s="93"/>
      <c r="M539" s="93"/>
      <c r="N539" s="206"/>
      <c r="O539" s="291"/>
      <c r="P539" s="93"/>
      <c r="Q539" s="699"/>
      <c r="R539" s="93"/>
      <c r="S539" s="206"/>
      <c r="T539" s="93"/>
      <c r="U539" s="93"/>
      <c r="V539" s="291"/>
      <c r="W539" s="199"/>
      <c r="X539" s="201"/>
      <c r="Y539" s="206"/>
      <c r="Z539" s="93"/>
      <c r="AA539" s="93"/>
      <c r="AB539" s="206"/>
      <c r="AC539" s="291"/>
      <c r="AD539" s="93"/>
      <c r="AE539" s="93"/>
      <c r="AF539" s="93"/>
      <c r="AG539" s="114"/>
      <c r="AH539" s="51"/>
      <c r="AI539" s="51"/>
      <c r="AJ539" s="51"/>
      <c r="AK539" s="51"/>
      <c r="AL539" s="51"/>
      <c r="AM539" s="93"/>
      <c r="AN539" s="291"/>
      <c r="AO539" s="291"/>
      <c r="AP539" s="206"/>
      <c r="AQ539" s="201"/>
      <c r="AR539" s="93"/>
      <c r="AS539" s="93"/>
      <c r="AT539" s="93"/>
      <c r="AU539" s="93"/>
      <c r="AV539" s="79"/>
      <c r="AW539" s="93"/>
      <c r="AX539" s="93"/>
      <c r="AY539" s="201"/>
      <c r="AZ539" s="206"/>
      <c r="BA539" s="93"/>
      <c r="BB539" s="93"/>
      <c r="BC539" s="291"/>
      <c r="BD539" s="297"/>
      <c r="BE539" s="161"/>
      <c r="BF539" s="93"/>
      <c r="BG539" s="93"/>
      <c r="BH539" s="93"/>
      <c r="BI539" s="206"/>
      <c r="BJ539" s="201"/>
      <c r="BK539" s="93"/>
      <c r="BL539" s="79"/>
      <c r="BM539" s="93"/>
      <c r="BN539" s="201"/>
      <c r="BO539" s="206"/>
      <c r="BP539" s="93"/>
      <c r="BQ539" s="93"/>
      <c r="BR539" s="93"/>
      <c r="BS539" s="291"/>
      <c r="BT539" s="201"/>
      <c r="BU539" s="206"/>
      <c r="BV539" s="291"/>
      <c r="BW539" s="93"/>
      <c r="BX539" s="93"/>
      <c r="BY539" s="93"/>
      <c r="BZ539" s="206"/>
      <c r="CA539" s="291"/>
      <c r="CB539" s="79"/>
      <c r="CE539" s="201"/>
      <c r="CF539" s="206"/>
      <c r="CG539" s="93"/>
      <c r="CH539" s="93"/>
      <c r="CI539" s="93"/>
      <c r="CJ539" s="297"/>
      <c r="CK539" s="161"/>
      <c r="CL539" s="291"/>
      <c r="CM539" s="93"/>
      <c r="CN539" s="93"/>
      <c r="CO539" s="206"/>
      <c r="CP539" s="201"/>
      <c r="CS539" s="699"/>
      <c r="CT539" s="93"/>
      <c r="CU539" s="93"/>
      <c r="CV539" s="93"/>
      <c r="CW539" s="93"/>
      <c r="CX539" s="201"/>
      <c r="CY539" s="201"/>
      <c r="CZ539" s="206"/>
      <c r="DA539" s="294"/>
      <c r="DB539" s="93"/>
      <c r="DC539" s="51"/>
      <c r="DD539" s="51"/>
      <c r="DE539" s="51"/>
      <c r="DF539" s="51"/>
      <c r="DG539" s="51"/>
      <c r="DH539" s="79"/>
      <c r="DI539" s="699"/>
      <c r="DJ539" s="93"/>
      <c r="DK539" s="93"/>
      <c r="DL539" s="201"/>
      <c r="DM539" s="206"/>
      <c r="DN539" s="93"/>
      <c r="DO539" s="93"/>
      <c r="DP539" s="206"/>
      <c r="DQ539" s="201"/>
      <c r="DR539" s="199"/>
      <c r="DS539" s="291"/>
      <c r="DT539" s="93"/>
      <c r="DU539" s="93"/>
      <c r="DV539" s="206"/>
      <c r="DW539" s="93"/>
      <c r="DX539" s="79"/>
    </row>
    <row r="540" spans="1:130">
      <c r="A540" s="709">
        <v>6</v>
      </c>
      <c r="B540" s="291"/>
      <c r="C540" s="93"/>
      <c r="D540" s="93"/>
      <c r="E540" s="93"/>
      <c r="F540" s="93"/>
      <c r="G540" s="291"/>
      <c r="H540" s="199"/>
      <c r="I540" s="201"/>
      <c r="J540" s="206"/>
      <c r="K540" s="93"/>
      <c r="L540" s="93"/>
      <c r="M540" s="93"/>
      <c r="N540" s="93"/>
      <c r="O540" s="291"/>
      <c r="P540" s="206"/>
      <c r="Q540" s="699"/>
      <c r="R540" s="93"/>
      <c r="S540" s="206"/>
      <c r="T540" s="93"/>
      <c r="U540" s="296"/>
      <c r="V540" s="303"/>
      <c r="W540" s="296"/>
      <c r="X540" s="292"/>
      <c r="Y540" s="292"/>
      <c r="Z540" s="296"/>
      <c r="AA540" s="93"/>
      <c r="AB540" s="291"/>
      <c r="AC540" s="206"/>
      <c r="AD540" s="93"/>
      <c r="AE540" s="93"/>
      <c r="AF540" s="93"/>
      <c r="AG540" s="114"/>
      <c r="AH540" s="51"/>
      <c r="AI540" s="51"/>
      <c r="AJ540" s="51"/>
      <c r="AK540" s="93"/>
      <c r="AL540" s="93"/>
      <c r="AM540" s="296"/>
      <c r="AN540" s="303"/>
      <c r="AO540" s="291"/>
      <c r="AP540" s="206"/>
      <c r="AQ540" s="297"/>
      <c r="AR540" s="93"/>
      <c r="AS540" s="93"/>
      <c r="AT540" s="93"/>
      <c r="AU540" s="93"/>
      <c r="AV540" s="79"/>
      <c r="AW540" s="93"/>
      <c r="AX540" s="93"/>
      <c r="AY540" s="201"/>
      <c r="AZ540" s="291"/>
      <c r="BA540" s="93"/>
      <c r="BB540" s="296"/>
      <c r="BC540" s="303"/>
      <c r="BD540" s="296"/>
      <c r="BE540" s="292"/>
      <c r="BF540" s="292"/>
      <c r="BG540" s="296"/>
      <c r="BH540" s="93"/>
      <c r="BI540" s="206"/>
      <c r="BJ540" s="51"/>
      <c r="BK540" s="93"/>
      <c r="BL540" s="79"/>
      <c r="BM540" s="201"/>
      <c r="BN540" s="291"/>
      <c r="BO540" s="93"/>
      <c r="BP540" s="93"/>
      <c r="BQ540" s="93"/>
      <c r="BR540" s="93"/>
      <c r="BS540" s="291"/>
      <c r="BT540" s="297"/>
      <c r="BU540" s="161"/>
      <c r="BV540" s="206"/>
      <c r="BW540" s="93"/>
      <c r="BX540" s="93"/>
      <c r="BY540" s="93"/>
      <c r="BZ540" s="93"/>
      <c r="CA540" s="291"/>
      <c r="CB540" s="746"/>
      <c r="CE540" s="51"/>
      <c r="CF540" s="206"/>
      <c r="CG540" s="93"/>
      <c r="CH540" s="303"/>
      <c r="CI540" s="300"/>
      <c r="CJ540" s="292"/>
      <c r="CK540" s="296"/>
      <c r="CL540" s="292"/>
      <c r="CM540" s="296"/>
      <c r="CN540" s="93"/>
      <c r="CO540" s="291"/>
      <c r="CP540" s="201"/>
      <c r="CS540" s="699"/>
      <c r="CT540" s="93"/>
      <c r="CU540" s="93"/>
      <c r="CV540" s="93"/>
      <c r="CW540" s="93"/>
      <c r="CX540" s="206"/>
      <c r="CY540" s="300"/>
      <c r="CZ540" s="206"/>
      <c r="DA540" s="292"/>
      <c r="DB540" s="296"/>
      <c r="DC540" s="93"/>
      <c r="DD540" s="93"/>
      <c r="DE540" s="51"/>
      <c r="DF540" s="51"/>
      <c r="DG540" s="51"/>
      <c r="DH540" s="79"/>
      <c r="DI540" s="699"/>
      <c r="DJ540" s="93"/>
      <c r="DK540" s="93"/>
      <c r="DL540" s="206"/>
      <c r="DM540" s="291"/>
      <c r="DN540" s="93"/>
      <c r="DO540" s="296"/>
      <c r="DP540" s="292"/>
      <c r="DQ540" s="292"/>
      <c r="DR540" s="296"/>
      <c r="DS540" s="303"/>
      <c r="DT540" s="296"/>
      <c r="DU540" s="93"/>
      <c r="DV540" s="206"/>
      <c r="DW540" s="93"/>
      <c r="DX540" s="79"/>
    </row>
    <row r="541" spans="1:130">
      <c r="A541" s="864"/>
      <c r="B541" s="291"/>
      <c r="C541" s="93"/>
      <c r="D541" s="93"/>
      <c r="E541" s="93"/>
      <c r="F541" s="296"/>
      <c r="G541" s="303"/>
      <c r="H541" s="296"/>
      <c r="I541" s="292"/>
      <c r="J541" s="292"/>
      <c r="K541" s="296"/>
      <c r="L541" s="93"/>
      <c r="M541" s="93"/>
      <c r="N541" s="93"/>
      <c r="O541" s="291"/>
      <c r="P541" s="206"/>
      <c r="Q541" s="699"/>
      <c r="R541" s="93"/>
      <c r="S541" s="206"/>
      <c r="T541" s="201"/>
      <c r="U541" s="303"/>
      <c r="V541" s="300"/>
      <c r="W541" s="300"/>
      <c r="X541" s="296"/>
      <c r="Y541" s="296"/>
      <c r="Z541" s="296"/>
      <c r="AA541" s="296"/>
      <c r="AB541" s="93"/>
      <c r="AC541" s="206"/>
      <c r="AD541" s="291"/>
      <c r="AE541" s="93"/>
      <c r="AF541" s="93"/>
      <c r="AG541" s="114"/>
      <c r="AH541" s="51"/>
      <c r="AI541" s="51"/>
      <c r="AJ541" s="51"/>
      <c r="AK541" s="93"/>
      <c r="AL541" s="201"/>
      <c r="AM541" s="303"/>
      <c r="AN541" s="300"/>
      <c r="AO541" s="291"/>
      <c r="AP541" s="296"/>
      <c r="AQ541" s="296"/>
      <c r="AR541" s="201"/>
      <c r="AS541" s="93"/>
      <c r="AT541" s="93"/>
      <c r="AU541" s="93"/>
      <c r="AV541" s="79"/>
      <c r="AW541" s="93"/>
      <c r="AX541" s="93"/>
      <c r="AY541" s="201"/>
      <c r="AZ541" s="93"/>
      <c r="BA541" s="201"/>
      <c r="BB541" s="303"/>
      <c r="BC541" s="300"/>
      <c r="BD541" s="300"/>
      <c r="BE541" s="296"/>
      <c r="BF541" s="296"/>
      <c r="BG541" s="296"/>
      <c r="BH541" s="201"/>
      <c r="BI541" s="201"/>
      <c r="BJ541" s="51"/>
      <c r="BK541" s="51"/>
      <c r="BL541" s="82"/>
      <c r="BM541" s="199"/>
      <c r="BN541" s="291"/>
      <c r="BO541" s="93"/>
      <c r="BP541" s="93"/>
      <c r="BQ541" s="93"/>
      <c r="BR541" s="296"/>
      <c r="BS541" s="303"/>
      <c r="BT541" s="296"/>
      <c r="BU541" s="292"/>
      <c r="BV541" s="292"/>
      <c r="BW541" s="296"/>
      <c r="BX541" s="93"/>
      <c r="BY541" s="93"/>
      <c r="BZ541" s="93"/>
      <c r="CA541" s="291"/>
      <c r="CB541" s="746"/>
      <c r="CE541" s="51"/>
      <c r="CF541" s="201"/>
      <c r="CG541" s="303"/>
      <c r="CH541" s="300"/>
      <c r="CI541" s="296"/>
      <c r="CJ541" s="296"/>
      <c r="CK541" s="296"/>
      <c r="CL541" s="292"/>
      <c r="CM541" s="292"/>
      <c r="CN541" s="296"/>
      <c r="CO541" s="93"/>
      <c r="CP541" s="201"/>
      <c r="CS541" s="699"/>
      <c r="CT541" s="93"/>
      <c r="CU541" s="93"/>
      <c r="CV541" s="93"/>
      <c r="CW541" s="303"/>
      <c r="CX541" s="300"/>
      <c r="CY541" s="296"/>
      <c r="CZ541" s="201"/>
      <c r="DA541" s="292"/>
      <c r="DB541" s="292"/>
      <c r="DC541" s="292"/>
      <c r="DD541" s="93"/>
      <c r="DE541" s="51"/>
      <c r="DF541" s="51"/>
      <c r="DG541" s="51"/>
      <c r="DH541" s="79"/>
      <c r="DI541" s="699"/>
      <c r="DJ541" s="93"/>
      <c r="DK541" s="291"/>
      <c r="DL541" s="206"/>
      <c r="DM541" s="93"/>
      <c r="DN541" s="296"/>
      <c r="DO541" s="296"/>
      <c r="DP541" s="296"/>
      <c r="DQ541" s="296"/>
      <c r="DR541" s="300"/>
      <c r="DS541" s="300"/>
      <c r="DT541" s="303"/>
      <c r="DU541" s="201"/>
      <c r="DV541" s="206"/>
      <c r="DW541" s="93"/>
      <c r="DX541" s="79"/>
    </row>
    <row r="542" spans="1:130">
      <c r="A542" s="709"/>
      <c r="B542" s="93"/>
      <c r="C542" s="93"/>
      <c r="D542" s="93"/>
      <c r="E542" s="201"/>
      <c r="F542" s="303"/>
      <c r="G542" s="300"/>
      <c r="H542" s="300"/>
      <c r="I542" s="296"/>
      <c r="J542" s="296"/>
      <c r="K542" s="296"/>
      <c r="L542" s="201"/>
      <c r="M542" s="93"/>
      <c r="N542" s="93"/>
      <c r="O542" s="93"/>
      <c r="P542" s="291"/>
      <c r="Q542" s="699"/>
      <c r="R542" s="93"/>
      <c r="S542" s="93"/>
      <c r="T542" s="201"/>
      <c r="U542" s="201"/>
      <c r="V542" s="205"/>
      <c r="W542" s="205"/>
      <c r="X542" s="201"/>
      <c r="Y542" s="205"/>
      <c r="Z542" s="291"/>
      <c r="AA542" s="201"/>
      <c r="AB542" s="201"/>
      <c r="AC542" s="291"/>
      <c r="AD542" s="291"/>
      <c r="AE542" s="93"/>
      <c r="AF542" s="93"/>
      <c r="AG542" s="114"/>
      <c r="AH542" s="51"/>
      <c r="AI542" s="51"/>
      <c r="AJ542" s="51"/>
      <c r="AK542" s="199"/>
      <c r="AL542" s="201"/>
      <c r="AM542" s="201"/>
      <c r="AN542" s="205"/>
      <c r="AO542" s="201"/>
      <c r="AP542" s="201"/>
      <c r="AQ542" s="205"/>
      <c r="AR542" s="201"/>
      <c r="AS542" s="291"/>
      <c r="AT542" s="93"/>
      <c r="AU542" s="93"/>
      <c r="AV542" s="79"/>
      <c r="AW542" s="93"/>
      <c r="AX542" s="93"/>
      <c r="AY542" s="201"/>
      <c r="AZ542" s="93"/>
      <c r="BA542" s="305"/>
      <c r="BB542" s="205"/>
      <c r="BC542" s="201"/>
      <c r="BD542" s="205"/>
      <c r="BE542" s="205"/>
      <c r="BF542" s="201"/>
      <c r="BG542" s="205"/>
      <c r="BH542" s="291"/>
      <c r="BI542" s="201"/>
      <c r="BJ542" s="51"/>
      <c r="BK542" s="51"/>
      <c r="BL542" s="82"/>
      <c r="BM542" s="201"/>
      <c r="BN542" s="93"/>
      <c r="BO542" s="93"/>
      <c r="BP542" s="93"/>
      <c r="BQ542" s="201"/>
      <c r="BR542" s="303"/>
      <c r="BS542" s="292"/>
      <c r="BT542" s="292"/>
      <c r="BU542" s="292"/>
      <c r="BV542" s="292"/>
      <c r="BW542" s="292"/>
      <c r="BX542" s="201"/>
      <c r="BY542" s="93"/>
      <c r="BZ542" s="93"/>
      <c r="CA542" s="93"/>
      <c r="CB542" s="865"/>
      <c r="CE542" s="51"/>
      <c r="CF542" s="201"/>
      <c r="CG542" s="291"/>
      <c r="CH542" s="205"/>
      <c r="CI542" s="201"/>
      <c r="CJ542" s="205"/>
      <c r="CK542" s="205"/>
      <c r="CL542" s="296"/>
      <c r="CM542" s="205"/>
      <c r="CN542" s="305"/>
      <c r="CO542" s="93"/>
      <c r="CP542" s="201"/>
      <c r="CS542" s="699"/>
      <c r="CT542" s="93"/>
      <c r="CU542" s="93"/>
      <c r="CV542" s="291"/>
      <c r="CW542" s="201"/>
      <c r="CX542" s="205"/>
      <c r="CY542" s="201"/>
      <c r="CZ542" s="201"/>
      <c r="DA542" s="205"/>
      <c r="DB542" s="292"/>
      <c r="DC542" s="201"/>
      <c r="DD542" s="199"/>
      <c r="DE542" s="51"/>
      <c r="DF542" s="51"/>
      <c r="DG542" s="51"/>
      <c r="DH542" s="79"/>
      <c r="DI542" s="699"/>
      <c r="DJ542" s="93"/>
      <c r="DK542" s="291"/>
      <c r="DL542" s="291"/>
      <c r="DM542" s="201"/>
      <c r="DN542" s="201"/>
      <c r="DO542" s="291"/>
      <c r="DP542" s="205"/>
      <c r="DQ542" s="201"/>
      <c r="DR542" s="205"/>
      <c r="DS542" s="205"/>
      <c r="DT542" s="201"/>
      <c r="DU542" s="201"/>
      <c r="DV542" s="93"/>
      <c r="DW542" s="93"/>
      <c r="DX542" s="79"/>
    </row>
    <row r="543" spans="1:130">
      <c r="A543" s="709"/>
      <c r="B543" s="93"/>
      <c r="C543" s="93"/>
      <c r="D543" s="199"/>
      <c r="E543" s="305"/>
      <c r="F543" s="205"/>
      <c r="G543" s="201"/>
      <c r="H543" s="205"/>
      <c r="I543" s="205"/>
      <c r="J543" s="201"/>
      <c r="K543" s="205"/>
      <c r="L543" s="291"/>
      <c r="M543" s="199"/>
      <c r="N543" s="93"/>
      <c r="O543" s="93"/>
      <c r="P543" s="291"/>
      <c r="Q543" s="699"/>
      <c r="R543" s="93"/>
      <c r="S543" s="291"/>
      <c r="T543" s="305"/>
      <c r="U543" s="292"/>
      <c r="V543" s="292"/>
      <c r="W543" s="292"/>
      <c r="X543" s="305"/>
      <c r="Y543" s="292"/>
      <c r="Z543" s="292"/>
      <c r="AA543" s="292"/>
      <c r="AB543" s="305"/>
      <c r="AC543" s="291"/>
      <c r="AD543" s="93"/>
      <c r="AE543" s="93"/>
      <c r="AF543" s="93"/>
      <c r="AG543" s="114"/>
      <c r="AH543" s="51"/>
      <c r="AI543" s="51"/>
      <c r="AJ543" s="51"/>
      <c r="AK543" s="291"/>
      <c r="AL543" s="305"/>
      <c r="AM543" s="292"/>
      <c r="AN543" s="292"/>
      <c r="AO543" s="291"/>
      <c r="AP543" s="305"/>
      <c r="AQ543" s="292"/>
      <c r="AR543" s="291"/>
      <c r="AS543" s="199"/>
      <c r="AT543" s="93"/>
      <c r="AU543" s="93"/>
      <c r="AV543" s="79"/>
      <c r="AW543" s="93"/>
      <c r="AX543" s="93"/>
      <c r="AY543" s="201"/>
      <c r="AZ543" s="51"/>
      <c r="BA543" s="292"/>
      <c r="BB543" s="292"/>
      <c r="BC543" s="305"/>
      <c r="BD543" s="292"/>
      <c r="BE543" s="292"/>
      <c r="BF543" s="305"/>
      <c r="BG543" s="292"/>
      <c r="BH543" s="292"/>
      <c r="BI543" s="103"/>
      <c r="BJ543" s="201"/>
      <c r="BK543" s="51"/>
      <c r="BL543" s="82"/>
      <c r="BM543" s="201"/>
      <c r="BN543" s="93"/>
      <c r="BO543" s="93"/>
      <c r="BP543" s="199"/>
      <c r="BQ543" s="305"/>
      <c r="BR543" s="205"/>
      <c r="BS543" s="201"/>
      <c r="BT543" s="205"/>
      <c r="BU543" s="205"/>
      <c r="BV543" s="201"/>
      <c r="BW543" s="205"/>
      <c r="BX543" s="291"/>
      <c r="BY543" s="199"/>
      <c r="BZ543" s="93"/>
      <c r="CA543" s="93"/>
      <c r="CB543" s="865"/>
      <c r="CE543" s="201"/>
      <c r="CF543" s="103"/>
      <c r="CG543" s="292"/>
      <c r="CH543" s="292"/>
      <c r="CI543" s="305"/>
      <c r="CJ543" s="292"/>
      <c r="CK543" s="292"/>
      <c r="CL543" s="305"/>
      <c r="CM543" s="292"/>
      <c r="CN543" s="292"/>
      <c r="CO543" s="51"/>
      <c r="CP543" s="201"/>
      <c r="CS543" s="699"/>
      <c r="CT543" s="93"/>
      <c r="CU543" s="93"/>
      <c r="CV543" s="199"/>
      <c r="CW543" s="291"/>
      <c r="CX543" s="292"/>
      <c r="CY543" s="305"/>
      <c r="CZ543" s="291"/>
      <c r="DA543" s="292"/>
      <c r="DB543" s="292"/>
      <c r="DC543" s="305"/>
      <c r="DD543" s="291"/>
      <c r="DE543" s="51"/>
      <c r="DF543" s="51"/>
      <c r="DG543" s="51"/>
      <c r="DH543" s="79"/>
      <c r="DI543" s="699"/>
      <c r="DJ543" s="93"/>
      <c r="DK543" s="93"/>
      <c r="DL543" s="291"/>
      <c r="DM543" s="305"/>
      <c r="DN543" s="292"/>
      <c r="DO543" s="292"/>
      <c r="DP543" s="292"/>
      <c r="DQ543" s="199"/>
      <c r="DR543" s="292"/>
      <c r="DS543" s="292"/>
      <c r="DT543" s="292"/>
      <c r="DU543" s="199"/>
      <c r="DV543" s="291"/>
      <c r="DW543" s="93"/>
      <c r="DX543" s="79"/>
    </row>
    <row r="544" spans="1:130">
      <c r="A544" s="699"/>
      <c r="B544" s="206"/>
      <c r="C544" s="93"/>
      <c r="D544" s="291"/>
      <c r="E544" s="292"/>
      <c r="F544" s="292"/>
      <c r="G544" s="305"/>
      <c r="H544" s="292"/>
      <c r="I544" s="292"/>
      <c r="J544" s="305"/>
      <c r="K544" s="292"/>
      <c r="L544" s="292"/>
      <c r="M544" s="291"/>
      <c r="N544" s="93"/>
      <c r="O544" s="291"/>
      <c r="P544" s="93"/>
      <c r="Q544" s="699"/>
      <c r="R544" s="93"/>
      <c r="S544" s="92"/>
      <c r="T544" s="292"/>
      <c r="U544" s="292"/>
      <c r="V544" s="92"/>
      <c r="W544" s="92"/>
      <c r="X544" s="292"/>
      <c r="Y544" s="291"/>
      <c r="Z544" s="51"/>
      <c r="AA544" s="93"/>
      <c r="AB544" s="291"/>
      <c r="AC544" s="93"/>
      <c r="AD544" s="93"/>
      <c r="AE544" s="93"/>
      <c r="AF544" s="93"/>
      <c r="AG544" s="114"/>
      <c r="AH544" s="51"/>
      <c r="AI544" s="51"/>
      <c r="AJ544" s="51"/>
      <c r="AK544" s="92"/>
      <c r="AL544" s="292"/>
      <c r="AM544" s="292"/>
      <c r="AN544" s="92"/>
      <c r="AO544" s="291"/>
      <c r="AP544" s="292"/>
      <c r="AQ544" s="291"/>
      <c r="AR544" s="51"/>
      <c r="AS544" s="93"/>
      <c r="AT544" s="93"/>
      <c r="AU544" s="93"/>
      <c r="AV544" s="79"/>
      <c r="AW544" s="93"/>
      <c r="AX544" s="93"/>
      <c r="AY544" s="93"/>
      <c r="AZ544" s="201"/>
      <c r="BA544" s="51"/>
      <c r="BB544" s="291"/>
      <c r="BC544" s="160"/>
      <c r="BD544" s="160"/>
      <c r="BE544" s="291"/>
      <c r="BF544" s="160"/>
      <c r="BG544" s="92"/>
      <c r="BH544" s="92"/>
      <c r="BI544" s="92"/>
      <c r="BJ544" s="92"/>
      <c r="BK544" s="92"/>
      <c r="BL544" s="113"/>
      <c r="BM544" s="73"/>
      <c r="BN544" s="332"/>
      <c r="BO544" s="73"/>
      <c r="BP544" s="81"/>
      <c r="BQ544" s="866"/>
      <c r="BR544" s="866"/>
      <c r="BS544" s="339"/>
      <c r="BT544" s="866"/>
      <c r="BU544" s="866"/>
      <c r="BV544" s="339"/>
      <c r="BW544" s="866"/>
      <c r="BX544" s="866"/>
      <c r="BY544" s="81"/>
      <c r="BZ544" s="73"/>
      <c r="CA544" s="81"/>
      <c r="CB544" s="701"/>
      <c r="CE544" s="92"/>
      <c r="CF544" s="92"/>
      <c r="CG544" s="92"/>
      <c r="CH544" s="92"/>
      <c r="CI544" s="160"/>
      <c r="CJ544" s="291"/>
      <c r="CK544" s="160"/>
      <c r="CL544" s="160"/>
      <c r="CM544" s="291"/>
      <c r="CN544" s="51"/>
      <c r="CO544" s="201"/>
      <c r="CP544" s="93"/>
      <c r="CS544" s="700"/>
      <c r="CT544" s="73"/>
      <c r="CU544" s="73"/>
      <c r="CV544" s="73"/>
      <c r="CW544" s="106"/>
      <c r="CX544" s="81"/>
      <c r="CY544" s="866"/>
      <c r="CZ544" s="81"/>
      <c r="DA544" s="103"/>
      <c r="DB544" s="866"/>
      <c r="DC544" s="866"/>
      <c r="DD544" s="103"/>
      <c r="DE544" s="106"/>
      <c r="DF544" s="106"/>
      <c r="DG544" s="106"/>
      <c r="DH544" s="701"/>
      <c r="DI544" s="700"/>
      <c r="DJ544" s="73"/>
      <c r="DK544" s="73"/>
      <c r="DL544" s="73"/>
      <c r="DM544" s="81"/>
      <c r="DN544" s="73"/>
      <c r="DO544" s="106"/>
      <c r="DP544" s="81"/>
      <c r="DQ544" s="866"/>
      <c r="DR544" s="103"/>
      <c r="DS544" s="103"/>
      <c r="DT544" s="866"/>
      <c r="DU544" s="866"/>
      <c r="DV544" s="103"/>
      <c r="DW544" s="73"/>
      <c r="DX544" s="701"/>
    </row>
    <row r="545" spans="1:128">
      <c r="A545" s="753"/>
      <c r="B545" s="711"/>
      <c r="C545" s="711"/>
      <c r="D545" s="711"/>
      <c r="E545" s="711"/>
      <c r="F545" s="711"/>
      <c r="G545" s="711"/>
      <c r="H545" s="711"/>
      <c r="I545" s="711"/>
      <c r="J545" s="711"/>
      <c r="K545" s="711"/>
      <c r="L545" s="711"/>
      <c r="M545" s="711"/>
      <c r="N545" s="711"/>
      <c r="O545" s="711"/>
      <c r="P545" s="711"/>
      <c r="Q545" s="753"/>
      <c r="R545" s="711"/>
      <c r="S545" s="711"/>
      <c r="T545" s="711"/>
      <c r="U545" s="711"/>
      <c r="V545" s="711"/>
      <c r="W545" s="711"/>
      <c r="X545" s="711"/>
      <c r="Y545" s="711"/>
      <c r="Z545" s="711"/>
      <c r="AA545" s="711"/>
      <c r="AB545" s="711"/>
      <c r="AC545" s="711"/>
      <c r="AD545" s="711"/>
      <c r="AE545" s="711"/>
      <c r="AF545" s="711"/>
      <c r="AG545" s="108"/>
      <c r="AH545" s="109"/>
      <c r="AI545" s="109"/>
      <c r="AJ545" s="109"/>
      <c r="AK545" s="109"/>
      <c r="AL545" s="110"/>
      <c r="AM545" s="110"/>
      <c r="AN545" s="109"/>
      <c r="AO545" s="109"/>
      <c r="AP545" s="711"/>
      <c r="AQ545" s="711"/>
      <c r="AR545" s="711"/>
      <c r="AS545" s="711"/>
      <c r="AT545" s="711"/>
      <c r="AU545" s="711"/>
      <c r="AV545" s="711"/>
      <c r="AW545" s="753"/>
      <c r="AX545" s="711"/>
      <c r="AY545" s="711"/>
      <c r="AZ545" s="711"/>
      <c r="BA545" s="711"/>
      <c r="BB545" s="711"/>
      <c r="BC545" s="711"/>
      <c r="BD545" s="711"/>
      <c r="BE545" s="711"/>
      <c r="BF545" s="711"/>
      <c r="BG545" s="711"/>
      <c r="BH545" s="711"/>
      <c r="BI545" s="711"/>
      <c r="BJ545" s="711"/>
      <c r="BK545" s="711"/>
      <c r="BL545" s="530"/>
      <c r="BM545" s="711"/>
      <c r="BN545" s="711"/>
      <c r="BO545" s="711"/>
      <c r="BP545" s="711"/>
      <c r="BQ545" s="711"/>
      <c r="BR545" s="711"/>
      <c r="BS545" s="711"/>
      <c r="BT545" s="711"/>
      <c r="BU545" s="711"/>
      <c r="BV545" s="711"/>
      <c r="BW545" s="711"/>
      <c r="BX545" s="711"/>
      <c r="BY545" s="711"/>
      <c r="BZ545" s="711"/>
      <c r="CA545" s="711"/>
      <c r="CB545" s="711"/>
      <c r="CC545" s="753"/>
      <c r="CD545" s="711"/>
      <c r="CE545" s="711"/>
      <c r="CF545" s="711"/>
      <c r="CG545" s="711"/>
      <c r="CH545" s="711"/>
      <c r="CI545" s="711"/>
      <c r="CJ545" s="711"/>
      <c r="CK545" s="711"/>
      <c r="CL545" s="711"/>
      <c r="CM545" s="711"/>
      <c r="CN545" s="711"/>
      <c r="CO545" s="711"/>
      <c r="CP545" s="711"/>
      <c r="CQ545" s="711"/>
      <c r="CR545" s="711"/>
      <c r="CS545" s="753"/>
      <c r="CT545" s="711"/>
      <c r="CU545" s="711"/>
      <c r="CV545" s="711"/>
      <c r="CW545" s="711"/>
      <c r="CX545" s="711"/>
      <c r="CY545" s="711"/>
      <c r="CZ545" s="109"/>
      <c r="DA545" s="109"/>
      <c r="DB545" s="110"/>
      <c r="DC545" s="110"/>
      <c r="DD545" s="109"/>
      <c r="DE545" s="109"/>
      <c r="DF545" s="109"/>
      <c r="DG545" s="109"/>
      <c r="DH545" s="109"/>
      <c r="DI545" s="753"/>
      <c r="DJ545" s="711"/>
      <c r="DK545" s="711"/>
      <c r="DL545" s="711"/>
      <c r="DM545" s="711"/>
      <c r="DN545" s="711"/>
      <c r="DO545" s="711"/>
      <c r="DP545" s="711"/>
      <c r="DQ545" s="711"/>
      <c r="DR545" s="711"/>
      <c r="DS545" s="711"/>
      <c r="DT545" s="711"/>
      <c r="DU545" s="711"/>
      <c r="DV545" s="711"/>
      <c r="DW545" s="711"/>
      <c r="DX545" s="530"/>
    </row>
    <row r="546" spans="1:128">
      <c r="A546" s="699"/>
      <c r="B546" s="93"/>
      <c r="C546" s="93"/>
      <c r="D546" s="93"/>
      <c r="E546" s="93"/>
      <c r="F546" s="93"/>
      <c r="G546" s="93"/>
      <c r="H546" s="93"/>
      <c r="I546" s="93"/>
      <c r="J546" s="93"/>
      <c r="K546" s="93"/>
      <c r="L546" s="93"/>
      <c r="M546" s="93"/>
      <c r="N546" s="93"/>
      <c r="O546" s="93"/>
      <c r="P546" s="93"/>
      <c r="Q546" s="699"/>
      <c r="R546" s="93"/>
      <c r="S546" s="93"/>
      <c r="T546" s="93"/>
      <c r="U546" s="93"/>
      <c r="V546" s="93"/>
      <c r="W546" s="93"/>
      <c r="X546" s="93"/>
      <c r="Y546" s="93"/>
      <c r="Z546" s="93"/>
      <c r="AA546" s="93"/>
      <c r="AB546" s="93"/>
      <c r="AC546" s="93"/>
      <c r="AD546" s="93"/>
      <c r="AE546" s="93"/>
      <c r="AF546" s="93"/>
      <c r="AG546" s="114"/>
      <c r="AH546" s="51"/>
      <c r="AI546" s="51"/>
      <c r="AJ546" s="51"/>
      <c r="AK546" s="51"/>
      <c r="AL546" s="92"/>
      <c r="AM546" s="92"/>
      <c r="AN546" s="51"/>
      <c r="AO546" s="51"/>
      <c r="AP546" s="93"/>
      <c r="AQ546" s="93"/>
      <c r="AR546" s="93"/>
      <c r="AS546" s="93"/>
      <c r="AT546" s="93"/>
      <c r="AU546" s="93"/>
      <c r="AV546" s="93"/>
      <c r="AW546" s="699"/>
      <c r="AX546" s="93"/>
      <c r="AY546" s="93"/>
      <c r="AZ546" s="93"/>
      <c r="BA546" s="93"/>
      <c r="BB546" s="93"/>
      <c r="BC546" s="93"/>
      <c r="BD546" s="93"/>
      <c r="BE546" s="93"/>
      <c r="BF546" s="93"/>
      <c r="BG546" s="93"/>
      <c r="BH546" s="93"/>
      <c r="BI546" s="93"/>
      <c r="BJ546" s="93"/>
      <c r="BK546" s="93"/>
      <c r="BL546" s="79"/>
      <c r="BM546" s="93"/>
      <c r="BN546" s="93"/>
      <c r="BO546" s="93"/>
      <c r="BP546" s="93"/>
      <c r="BQ546" s="93"/>
      <c r="BR546" s="93"/>
      <c r="BS546" s="93"/>
      <c r="BT546" s="93"/>
      <c r="BU546" s="93"/>
      <c r="BV546" s="93"/>
      <c r="BW546" s="93"/>
      <c r="BX546" s="93"/>
      <c r="BY546" s="93"/>
      <c r="BZ546" s="93"/>
      <c r="CA546" s="93"/>
      <c r="CB546" s="93"/>
      <c r="CC546" s="699"/>
      <c r="CD546" s="93"/>
      <c r="CE546" s="93"/>
      <c r="CF546" s="93"/>
      <c r="CG546" s="93"/>
      <c r="CH546" s="93"/>
      <c r="CI546" s="93"/>
      <c r="CJ546" s="93"/>
      <c r="CK546" s="93"/>
      <c r="CL546" s="93"/>
      <c r="CM546" s="93"/>
      <c r="CN546" s="93"/>
      <c r="CO546" s="93"/>
      <c r="CP546" s="93"/>
      <c r="CQ546" s="93"/>
      <c r="CR546" s="93"/>
      <c r="CS546" s="699"/>
      <c r="CT546" s="93"/>
      <c r="CU546" s="93"/>
      <c r="CV546" s="93"/>
      <c r="CW546" s="93"/>
      <c r="CX546" s="93"/>
      <c r="CY546" s="93"/>
      <c r="CZ546" s="51"/>
      <c r="DA546" s="51"/>
      <c r="DB546" s="92"/>
      <c r="DC546" s="92"/>
      <c r="DD546" s="51"/>
      <c r="DE546" s="51"/>
      <c r="DF546" s="51"/>
      <c r="DG546" s="51"/>
      <c r="DH546" s="51"/>
      <c r="DI546" s="699"/>
      <c r="DJ546" s="93"/>
      <c r="DK546" s="93"/>
      <c r="DL546" s="93"/>
      <c r="DM546" s="93"/>
      <c r="DN546" s="93"/>
      <c r="DO546" s="93"/>
      <c r="DP546" s="93"/>
      <c r="DQ546" s="93"/>
      <c r="DR546" s="93"/>
      <c r="DS546" s="93"/>
      <c r="DT546" s="93"/>
      <c r="DU546" s="93"/>
      <c r="DV546" s="93"/>
      <c r="DW546" s="93"/>
      <c r="DX546" s="79"/>
    </row>
    <row r="547" spans="1:128">
      <c r="A547" s="699"/>
      <c r="B547" s="93"/>
      <c r="C547" s="93"/>
      <c r="D547" s="93"/>
      <c r="E547" s="93"/>
      <c r="F547" s="93"/>
      <c r="G547" s="93"/>
      <c r="H547" s="93"/>
      <c r="I547" s="93"/>
      <c r="J547" s="93"/>
      <c r="K547" s="93"/>
      <c r="L547" s="93"/>
      <c r="M547" s="93"/>
      <c r="N547" s="93"/>
      <c r="O547" s="93"/>
      <c r="P547" s="93"/>
      <c r="Q547" s="699"/>
      <c r="R547" s="93"/>
      <c r="S547" s="93"/>
      <c r="T547" s="93"/>
      <c r="U547" s="93"/>
      <c r="V547" s="93"/>
      <c r="W547" s="93"/>
      <c r="X547" s="93"/>
      <c r="Y547" s="93"/>
      <c r="Z547" s="93"/>
      <c r="AA547" s="93"/>
      <c r="AB547" s="93"/>
      <c r="AC547" s="93"/>
      <c r="AD547" s="93"/>
      <c r="AE547" s="93"/>
      <c r="AF547" s="93"/>
      <c r="AG547" s="114"/>
      <c r="AH547" s="51"/>
      <c r="AI547" s="51"/>
      <c r="AJ547" s="51"/>
      <c r="AK547" s="51"/>
      <c r="AL547" s="92"/>
      <c r="AM547" s="92"/>
      <c r="AN547" s="51"/>
      <c r="AO547" s="51"/>
      <c r="AP547" s="93"/>
      <c r="AQ547" s="93"/>
      <c r="AR547" s="93"/>
      <c r="AS547" s="93"/>
      <c r="AT547" s="93"/>
      <c r="AU547" s="93"/>
      <c r="AV547" s="93"/>
      <c r="AW547" s="699"/>
      <c r="AX547" s="93"/>
      <c r="AY547" s="93"/>
      <c r="AZ547" s="93"/>
      <c r="BA547" s="93"/>
      <c r="BB547" s="93"/>
      <c r="BC547" s="93"/>
      <c r="BD547" s="93"/>
      <c r="BE547" s="93"/>
      <c r="BF547" s="93"/>
      <c r="BG547" s="93"/>
      <c r="BH547" s="93"/>
      <c r="BI547" s="93"/>
      <c r="BJ547" s="93"/>
      <c r="BK547" s="93"/>
      <c r="BL547" s="79"/>
      <c r="BM547" s="93"/>
      <c r="BN547" s="93"/>
      <c r="BO547" s="93"/>
      <c r="BP547" s="93"/>
      <c r="BQ547" s="93"/>
      <c r="BR547" s="93"/>
      <c r="BS547" s="93"/>
      <c r="BT547" s="93"/>
      <c r="BU547" s="93"/>
      <c r="BV547" s="93"/>
      <c r="BW547" s="93"/>
      <c r="BX547" s="93"/>
      <c r="BY547" s="93"/>
      <c r="BZ547" s="93"/>
      <c r="CA547" s="93"/>
      <c r="CB547" s="93"/>
      <c r="CC547" s="699"/>
      <c r="CD547" s="93"/>
      <c r="CE547" s="93"/>
      <c r="CF547" s="93"/>
      <c r="CG547" s="93"/>
      <c r="CH547" s="93"/>
      <c r="CI547" s="93"/>
      <c r="CJ547" s="93"/>
      <c r="CK547" s="93"/>
      <c r="CL547" s="93"/>
      <c r="CM547" s="93"/>
      <c r="CN547" s="93"/>
      <c r="CO547" s="93"/>
      <c r="CP547" s="93"/>
      <c r="CQ547" s="93"/>
      <c r="CR547" s="93"/>
      <c r="CS547" s="699"/>
      <c r="CT547" s="93"/>
      <c r="CU547" s="93"/>
      <c r="CV547" s="93"/>
      <c r="CW547" s="93"/>
      <c r="CX547" s="93"/>
      <c r="CY547" s="93"/>
      <c r="CZ547" s="51"/>
      <c r="DA547" s="51"/>
      <c r="DB547" s="92"/>
      <c r="DC547" s="92"/>
      <c r="DD547" s="51"/>
      <c r="DE547" s="51"/>
      <c r="DF547" s="51"/>
      <c r="DG547" s="51"/>
      <c r="DH547" s="51"/>
      <c r="DI547" s="699"/>
      <c r="DJ547" s="93"/>
      <c r="DK547" s="93"/>
      <c r="DL547" s="93"/>
      <c r="DM547" s="93"/>
      <c r="DN547" s="93"/>
      <c r="DO547" s="93"/>
      <c r="DP547" s="93"/>
      <c r="DQ547" s="93"/>
      <c r="DR547" s="93"/>
      <c r="DS547" s="93"/>
      <c r="DT547" s="93"/>
      <c r="DU547" s="93"/>
      <c r="DV547" s="93"/>
      <c r="DW547" s="93"/>
      <c r="DX547" s="79"/>
    </row>
    <row r="548" spans="1:128">
      <c r="A548" s="699"/>
      <c r="B548" s="93"/>
      <c r="C548" s="93"/>
      <c r="D548" s="93"/>
      <c r="E548" s="93"/>
      <c r="F548" s="93"/>
      <c r="G548" s="93"/>
      <c r="H548" s="93"/>
      <c r="I548" s="93"/>
      <c r="J548" s="93"/>
      <c r="K548" s="93"/>
      <c r="L548" s="93"/>
      <c r="M548" s="93"/>
      <c r="N548" s="93"/>
      <c r="O548" s="93"/>
      <c r="P548" s="93"/>
      <c r="Q548" s="699"/>
      <c r="R548" s="93"/>
      <c r="S548" s="93"/>
      <c r="T548" s="93"/>
      <c r="U548" s="93"/>
      <c r="V548" s="93"/>
      <c r="W548" s="93"/>
      <c r="X548" s="93"/>
      <c r="Y548" s="93"/>
      <c r="Z548" s="93"/>
      <c r="AA548" s="93"/>
      <c r="AB548" s="93"/>
      <c r="AC548" s="93"/>
      <c r="AD548" s="93"/>
      <c r="AE548" s="93"/>
      <c r="AF548" s="93"/>
      <c r="AG548" s="114"/>
      <c r="AH548" s="51"/>
      <c r="AI548" s="51"/>
      <c r="AJ548" s="51"/>
      <c r="AK548" s="51"/>
      <c r="AL548" s="92"/>
      <c r="AM548" s="92"/>
      <c r="AN548" s="51"/>
      <c r="AO548" s="51"/>
      <c r="AP548" s="93"/>
      <c r="AQ548" s="93"/>
      <c r="AR548" s="93"/>
      <c r="AS548" s="93"/>
      <c r="AT548" s="93"/>
      <c r="AU548" s="93"/>
      <c r="AV548" s="93"/>
      <c r="AW548" s="699"/>
      <c r="AX548" s="93"/>
      <c r="AY548" s="93"/>
      <c r="AZ548" s="93"/>
      <c r="BA548" s="93"/>
      <c r="BB548" s="93"/>
      <c r="BC548" s="93"/>
      <c r="BD548" s="93"/>
      <c r="BE548" s="93"/>
      <c r="BF548" s="93"/>
      <c r="BG548" s="93"/>
      <c r="BH548" s="93"/>
      <c r="BI548" s="93"/>
      <c r="BJ548" s="93"/>
      <c r="BK548" s="93"/>
      <c r="BL548" s="79"/>
      <c r="BM548" s="93"/>
      <c r="BN548" s="93"/>
      <c r="BO548" s="93"/>
      <c r="BP548" s="93"/>
      <c r="BQ548" s="93"/>
      <c r="BR548" s="93"/>
      <c r="BS548" s="93"/>
      <c r="BT548" s="93"/>
      <c r="BU548" s="93"/>
      <c r="BV548" s="93"/>
      <c r="BW548" s="93"/>
      <c r="BX548" s="93"/>
      <c r="BY548" s="93"/>
      <c r="BZ548" s="93"/>
      <c r="CA548" s="93"/>
      <c r="CB548" s="93"/>
      <c r="CC548" s="699"/>
      <c r="CD548" s="93"/>
      <c r="CE548" s="93"/>
      <c r="CF548" s="93"/>
      <c r="CG548" s="93"/>
      <c r="CH548" s="93"/>
      <c r="CI548" s="93"/>
      <c r="CJ548" s="93"/>
      <c r="CK548" s="93"/>
      <c r="CL548" s="93"/>
      <c r="CM548" s="93"/>
      <c r="CN548" s="93"/>
      <c r="CO548" s="93"/>
      <c r="CP548" s="93"/>
      <c r="CQ548" s="93"/>
      <c r="CR548" s="93"/>
      <c r="CS548" s="699"/>
      <c r="CT548" s="93"/>
      <c r="CU548" s="93"/>
      <c r="CV548" s="93"/>
      <c r="CW548" s="93"/>
      <c r="CX548" s="93"/>
      <c r="CY548" s="93"/>
      <c r="CZ548" s="51"/>
      <c r="DA548" s="51"/>
      <c r="DB548" s="92"/>
      <c r="DC548" s="92"/>
      <c r="DD548" s="51"/>
      <c r="DE548" s="51"/>
      <c r="DF548" s="51"/>
      <c r="DG548" s="51"/>
      <c r="DH548" s="51"/>
      <c r="DI548" s="699"/>
      <c r="DJ548" s="93"/>
      <c r="DK548" s="93"/>
      <c r="DL548" s="93"/>
      <c r="DM548" s="93"/>
      <c r="DN548" s="93"/>
      <c r="DO548" s="93"/>
      <c r="DP548" s="93"/>
      <c r="DQ548" s="93"/>
      <c r="DR548" s="93"/>
      <c r="DS548" s="93"/>
      <c r="DT548" s="93"/>
      <c r="DU548" s="93"/>
      <c r="DV548" s="93"/>
      <c r="DW548" s="93"/>
      <c r="DX548" s="79"/>
    </row>
    <row r="549" spans="1:128">
      <c r="A549" s="699"/>
      <c r="B549" s="93"/>
      <c r="C549" s="93"/>
      <c r="D549" s="93"/>
      <c r="E549" s="93"/>
      <c r="F549" s="93"/>
      <c r="G549" s="93"/>
      <c r="H549" s="93"/>
      <c r="I549" s="93"/>
      <c r="J549" s="93"/>
      <c r="K549" s="93"/>
      <c r="L549" s="93"/>
      <c r="M549" s="93"/>
      <c r="N549" s="93"/>
      <c r="O549" s="93"/>
      <c r="P549" s="93"/>
      <c r="Q549" s="699"/>
      <c r="R549" s="93"/>
      <c r="S549" s="93"/>
      <c r="T549" s="93"/>
      <c r="U549" s="93"/>
      <c r="V549" s="93"/>
      <c r="W549" s="93"/>
      <c r="X549" s="93"/>
      <c r="Y549" s="93"/>
      <c r="Z549" s="93"/>
      <c r="AA549" s="93"/>
      <c r="AB549" s="93"/>
      <c r="AC549" s="93"/>
      <c r="AD549" s="93"/>
      <c r="AE549" s="93"/>
      <c r="AF549" s="93"/>
      <c r="AG549" s="114"/>
      <c r="AH549" s="51"/>
      <c r="AI549" s="51"/>
      <c r="AJ549" s="51"/>
      <c r="AK549" s="51"/>
      <c r="AL549" s="92"/>
      <c r="AM549" s="92"/>
      <c r="AN549" s="51"/>
      <c r="AO549" s="51"/>
      <c r="AP549" s="93"/>
      <c r="AQ549" s="93"/>
      <c r="AR549" s="93"/>
      <c r="AS549" s="93"/>
      <c r="AT549" s="93"/>
      <c r="AU549" s="93"/>
      <c r="AV549" s="93"/>
      <c r="AW549" s="699"/>
      <c r="AX549" s="93"/>
      <c r="AY549" s="93"/>
      <c r="AZ549" s="93"/>
      <c r="BA549" s="93"/>
      <c r="BB549" s="93"/>
      <c r="BC549" s="93"/>
      <c r="BD549" s="93"/>
      <c r="BE549" s="93"/>
      <c r="BF549" s="93"/>
      <c r="BG549" s="93"/>
      <c r="BH549" s="93"/>
      <c r="BI549" s="93"/>
      <c r="BJ549" s="93"/>
      <c r="BK549" s="93"/>
      <c r="BL549" s="79"/>
      <c r="BM549" s="93"/>
      <c r="BN549" s="93"/>
      <c r="BO549" s="93"/>
      <c r="BP549" s="93"/>
      <c r="BQ549" s="93"/>
      <c r="BR549" s="93"/>
      <c r="BS549" s="93"/>
      <c r="BT549" s="93"/>
      <c r="BU549" s="93"/>
      <c r="BV549" s="93"/>
      <c r="BW549" s="93"/>
      <c r="BX549" s="93"/>
      <c r="BY549" s="93"/>
      <c r="BZ549" s="93"/>
      <c r="CA549" s="93"/>
      <c r="CB549" s="93"/>
      <c r="CC549" s="699"/>
      <c r="CD549" s="93"/>
      <c r="CE549" s="93"/>
      <c r="CF549" s="93"/>
      <c r="CG549" s="93"/>
      <c r="CH549" s="93"/>
      <c r="CI549" s="93"/>
      <c r="CJ549" s="93"/>
      <c r="CK549" s="93"/>
      <c r="CL549" s="93"/>
      <c r="CM549" s="93"/>
      <c r="CN549" s="93"/>
      <c r="CO549" s="93"/>
      <c r="CP549" s="93"/>
      <c r="CQ549" s="93"/>
      <c r="CR549" s="93"/>
      <c r="CS549" s="699"/>
      <c r="CT549" s="93"/>
      <c r="CU549" s="93"/>
      <c r="CV549" s="93"/>
      <c r="CW549" s="93"/>
      <c r="CX549" s="93"/>
      <c r="CY549" s="93"/>
      <c r="CZ549" s="51"/>
      <c r="DA549" s="51"/>
      <c r="DB549" s="92"/>
      <c r="DC549" s="92"/>
      <c r="DD549" s="51"/>
      <c r="DE549" s="51"/>
      <c r="DF549" s="51"/>
      <c r="DG549" s="51"/>
      <c r="DH549" s="51"/>
      <c r="DI549" s="699"/>
      <c r="DJ549" s="93"/>
      <c r="DK549" s="93"/>
      <c r="DL549" s="93"/>
      <c r="DM549" s="93"/>
      <c r="DN549" s="93"/>
      <c r="DO549" s="93"/>
      <c r="DP549" s="93"/>
      <c r="DQ549" s="93"/>
      <c r="DR549" s="93"/>
      <c r="DS549" s="93"/>
      <c r="DT549" s="93"/>
      <c r="DU549" s="93"/>
      <c r="DV549" s="93"/>
      <c r="DW549" s="93"/>
      <c r="DX549" s="79"/>
    </row>
    <row r="550" spans="1:128">
      <c r="A550" s="699"/>
      <c r="B550" s="93"/>
      <c r="C550" s="93"/>
      <c r="D550" s="93"/>
      <c r="E550" s="93"/>
      <c r="F550" s="93"/>
      <c r="G550" s="93"/>
      <c r="H550" s="93"/>
      <c r="I550" s="93"/>
      <c r="J550" s="93"/>
      <c r="K550" s="93"/>
      <c r="L550" s="93"/>
      <c r="M550" s="93"/>
      <c r="N550" s="93"/>
      <c r="O550" s="93"/>
      <c r="P550" s="93"/>
      <c r="Q550" s="699"/>
      <c r="R550" s="93"/>
      <c r="S550" s="93"/>
      <c r="T550" s="93"/>
      <c r="U550" s="93"/>
      <c r="V550" s="93"/>
      <c r="W550" s="93"/>
      <c r="X550" s="93"/>
      <c r="Y550" s="93"/>
      <c r="Z550" s="93"/>
      <c r="AA550" s="93"/>
      <c r="AB550" s="93"/>
      <c r="AC550" s="93"/>
      <c r="AD550" s="93"/>
      <c r="AE550" s="93"/>
      <c r="AF550" s="93"/>
      <c r="AG550" s="114"/>
      <c r="AH550" s="51"/>
      <c r="AI550" s="51"/>
      <c r="AJ550" s="51"/>
      <c r="AK550" s="92"/>
      <c r="AL550" s="92"/>
      <c r="AM550" s="51"/>
      <c r="AN550" s="51"/>
      <c r="AO550" s="93"/>
      <c r="AP550" s="93"/>
      <c r="AQ550" s="93"/>
      <c r="AR550" s="93"/>
      <c r="AS550" s="93"/>
      <c r="AT550" s="93"/>
      <c r="AU550" s="93"/>
      <c r="AV550" s="93"/>
      <c r="AW550" s="699"/>
      <c r="AX550" s="93"/>
      <c r="AY550" s="93"/>
      <c r="AZ550" s="93"/>
      <c r="BA550" s="93"/>
      <c r="BB550" s="93"/>
      <c r="BC550" s="93"/>
      <c r="BD550" s="93"/>
      <c r="BE550" s="93"/>
      <c r="BF550" s="93"/>
      <c r="BG550" s="93"/>
      <c r="BH550" s="93"/>
      <c r="BI550" s="93"/>
      <c r="BJ550" s="93"/>
      <c r="BK550" s="93"/>
      <c r="BL550" s="79"/>
      <c r="BM550" s="93"/>
      <c r="BN550" s="93"/>
      <c r="BO550" s="93"/>
      <c r="BP550" s="93"/>
      <c r="BQ550" s="93"/>
      <c r="BR550" s="93"/>
      <c r="BS550" s="93"/>
      <c r="BT550" s="93"/>
      <c r="BU550" s="93"/>
      <c r="BV550" s="93"/>
      <c r="BW550" s="93"/>
      <c r="BX550" s="93"/>
      <c r="BY550" s="93"/>
      <c r="BZ550" s="93"/>
      <c r="CA550" s="93"/>
      <c r="CB550" s="93"/>
      <c r="CC550" s="699"/>
      <c r="CD550" s="93"/>
      <c r="CE550" s="93"/>
      <c r="CF550" s="93"/>
      <c r="CG550" s="93"/>
      <c r="CH550" s="93"/>
      <c r="CI550" s="93"/>
      <c r="CJ550" s="93"/>
      <c r="CK550" s="93"/>
      <c r="CL550" s="93"/>
      <c r="CM550" s="93"/>
      <c r="CN550" s="93"/>
      <c r="CO550" s="93"/>
      <c r="CP550" s="93"/>
      <c r="CQ550" s="93"/>
      <c r="CR550" s="93"/>
      <c r="CS550" s="699"/>
      <c r="CT550" s="93"/>
      <c r="CU550" s="93"/>
      <c r="CV550" s="93"/>
      <c r="CW550" s="93"/>
      <c r="CX550" s="93"/>
      <c r="CY550" s="93"/>
      <c r="CZ550" s="93"/>
      <c r="DA550" s="51"/>
      <c r="DB550" s="51"/>
      <c r="DC550" s="92"/>
      <c r="DD550" s="92"/>
      <c r="DE550" s="51"/>
      <c r="DF550" s="51"/>
      <c r="DG550" s="51"/>
      <c r="DH550" s="51"/>
      <c r="DI550" s="699"/>
      <c r="DJ550" s="93"/>
      <c r="DK550" s="93"/>
      <c r="DL550" s="93"/>
      <c r="DM550" s="93"/>
      <c r="DN550" s="93"/>
      <c r="DO550" s="93"/>
      <c r="DP550" s="93"/>
      <c r="DQ550" s="93"/>
      <c r="DR550" s="93"/>
      <c r="DS550" s="93"/>
      <c r="DT550" s="93"/>
      <c r="DU550" s="93"/>
      <c r="DV550" s="93"/>
      <c r="DW550" s="93"/>
      <c r="DX550" s="79"/>
    </row>
    <row r="551" spans="1:128">
      <c r="A551" s="699"/>
      <c r="B551" s="93"/>
      <c r="C551" s="93"/>
      <c r="D551" s="93"/>
      <c r="E551" s="93"/>
      <c r="F551" s="93"/>
      <c r="G551" s="93"/>
      <c r="H551" s="93"/>
      <c r="I551" s="93"/>
      <c r="J551" s="93"/>
      <c r="K551" s="93"/>
      <c r="L551" s="93"/>
      <c r="M551" s="93"/>
      <c r="N551" s="93"/>
      <c r="O551" s="93"/>
      <c r="P551" s="93"/>
      <c r="Q551" s="699"/>
      <c r="R551" s="93"/>
      <c r="S551" s="93"/>
      <c r="T551" s="93"/>
      <c r="U551" s="93"/>
      <c r="V551" s="93"/>
      <c r="W551" s="93"/>
      <c r="X551" s="93"/>
      <c r="Y551" s="93"/>
      <c r="Z551" s="93"/>
      <c r="AA551" s="93"/>
      <c r="AB551" s="93"/>
      <c r="AC551" s="93"/>
      <c r="AD551" s="93"/>
      <c r="AE551" s="93"/>
      <c r="AF551" s="93"/>
      <c r="AG551" s="114"/>
      <c r="AH551" s="51"/>
      <c r="AI551" s="51"/>
      <c r="AJ551" s="92"/>
      <c r="AK551" s="92"/>
      <c r="AL551" s="51"/>
      <c r="AM551" s="51"/>
      <c r="AN551" s="93"/>
      <c r="AO551" s="93"/>
      <c r="AP551" s="93"/>
      <c r="AQ551" s="93"/>
      <c r="AR551" s="93"/>
      <c r="AS551" s="93"/>
      <c r="AT551" s="93"/>
      <c r="AU551" s="93"/>
      <c r="AV551" s="93"/>
      <c r="AW551" s="699"/>
      <c r="AX551" s="93"/>
      <c r="AY551" s="93"/>
      <c r="AZ551" s="93"/>
      <c r="BA551" s="93"/>
      <c r="BB551" s="93"/>
      <c r="BC551" s="93"/>
      <c r="BD551" s="93"/>
      <c r="BE551" s="93"/>
      <c r="BF551" s="93"/>
      <c r="BG551" s="93"/>
      <c r="BH551" s="93"/>
      <c r="BI551" s="93"/>
      <c r="BJ551" s="93"/>
      <c r="BK551" s="93"/>
      <c r="BL551" s="79"/>
      <c r="BM551" s="93"/>
      <c r="BN551" s="93"/>
      <c r="BO551" s="93"/>
      <c r="BP551" s="93"/>
      <c r="BQ551" s="93"/>
      <c r="BR551" s="93"/>
      <c r="BS551" s="93"/>
      <c r="BT551" s="93"/>
      <c r="BU551" s="93"/>
      <c r="BV551" s="93"/>
      <c r="BW551" s="93"/>
      <c r="BX551" s="93"/>
      <c r="BY551" s="93"/>
      <c r="BZ551" s="93"/>
      <c r="CA551" s="93"/>
      <c r="CB551" s="93"/>
      <c r="CC551" s="699"/>
      <c r="CD551" s="93"/>
      <c r="CE551" s="93"/>
      <c r="CF551" s="93"/>
      <c r="CG551" s="93"/>
      <c r="CH551" s="93"/>
      <c r="CI551" s="93"/>
      <c r="CJ551" s="93"/>
      <c r="CK551" s="93"/>
      <c r="CL551" s="93"/>
      <c r="CM551" s="93"/>
      <c r="CN551" s="93"/>
      <c r="CO551" s="93"/>
      <c r="CP551" s="93"/>
      <c r="CQ551" s="93"/>
      <c r="CR551" s="93"/>
      <c r="CS551" s="699"/>
      <c r="CT551" s="93"/>
      <c r="CU551" s="93"/>
      <c r="CV551" s="93"/>
      <c r="CW551" s="93"/>
      <c r="CX551" s="93"/>
      <c r="CY551" s="93"/>
      <c r="CZ551" s="93"/>
      <c r="DA551" s="93"/>
      <c r="DB551" s="51"/>
      <c r="DC551" s="51"/>
      <c r="DD551" s="92"/>
      <c r="DE551" s="92"/>
      <c r="DF551" s="51"/>
      <c r="DG551" s="51"/>
      <c r="DH551" s="51"/>
      <c r="DI551" s="699"/>
      <c r="DJ551" s="93"/>
      <c r="DK551" s="93"/>
      <c r="DL551" s="93"/>
      <c r="DM551" s="93"/>
      <c r="DN551" s="93"/>
      <c r="DO551" s="93"/>
      <c r="DP551" s="93"/>
      <c r="DQ551" s="93"/>
      <c r="DR551" s="93"/>
      <c r="DS551" s="93"/>
      <c r="DT551" s="93"/>
      <c r="DU551" s="93"/>
      <c r="DV551" s="93"/>
      <c r="DW551" s="93"/>
      <c r="DX551" s="79"/>
    </row>
    <row r="552" spans="1:128">
      <c r="A552" s="699"/>
      <c r="B552" s="201"/>
      <c r="C552" s="93"/>
      <c r="D552" s="93"/>
      <c r="E552" s="93"/>
      <c r="F552" s="93"/>
      <c r="G552" s="93"/>
      <c r="H552" s="93"/>
      <c r="I552" s="93"/>
      <c r="J552" s="93"/>
      <c r="K552" s="93"/>
      <c r="L552" s="93"/>
      <c r="M552" s="93"/>
      <c r="N552" s="93"/>
      <c r="O552" s="206"/>
      <c r="P552" s="93"/>
      <c r="Q552" s="699"/>
      <c r="R552" s="93"/>
      <c r="S552" s="93"/>
      <c r="T552" s="93"/>
      <c r="U552" s="206"/>
      <c r="V552" s="93"/>
      <c r="W552" s="93"/>
      <c r="X552" s="93"/>
      <c r="Y552" s="93"/>
      <c r="Z552" s="93"/>
      <c r="AA552" s="93"/>
      <c r="AB552" s="93"/>
      <c r="AC552" s="93"/>
      <c r="AD552" s="93"/>
      <c r="AE552" s="93"/>
      <c r="AF552" s="93"/>
      <c r="AG552" s="114"/>
      <c r="AH552" s="51"/>
      <c r="AI552" s="51"/>
      <c r="AJ552" s="92"/>
      <c r="AK552" s="92"/>
      <c r="AL552" s="51"/>
      <c r="AM552" s="51"/>
      <c r="AN552" s="93"/>
      <c r="AO552" s="93"/>
      <c r="AP552" s="93"/>
      <c r="AQ552" s="93"/>
      <c r="AR552" s="93"/>
      <c r="AS552" s="93"/>
      <c r="AT552" s="93"/>
      <c r="AU552" s="93"/>
      <c r="AV552" s="93"/>
      <c r="AW552" s="699"/>
      <c r="AX552" s="93"/>
      <c r="AY552" s="93"/>
      <c r="AZ552" s="93"/>
      <c r="BA552" s="93"/>
      <c r="BB552" s="93"/>
      <c r="BC552" s="93"/>
      <c r="BD552" s="93"/>
      <c r="BE552" s="93"/>
      <c r="BF552" s="93"/>
      <c r="BG552" s="93"/>
      <c r="BH552" s="93"/>
      <c r="BI552" s="93"/>
      <c r="BJ552" s="206"/>
      <c r="BK552" s="93"/>
      <c r="BL552" s="79"/>
      <c r="BM552" s="93"/>
      <c r="BN552" s="201"/>
      <c r="BO552" s="93"/>
      <c r="BP552" s="93"/>
      <c r="BQ552" s="93"/>
      <c r="BR552" s="93"/>
      <c r="BS552" s="93"/>
      <c r="BT552" s="93"/>
      <c r="BU552" s="93"/>
      <c r="BV552" s="93"/>
      <c r="BW552" s="93"/>
      <c r="BX552" s="93"/>
      <c r="BY552" s="93"/>
      <c r="BZ552" s="93"/>
      <c r="CA552" s="206"/>
      <c r="CB552" s="93"/>
      <c r="CC552" s="699"/>
      <c r="CD552" s="93"/>
      <c r="CE552" s="206"/>
      <c r="CF552" s="93"/>
      <c r="CG552" s="93"/>
      <c r="CH552" s="93"/>
      <c r="CI552" s="93"/>
      <c r="CJ552" s="93"/>
      <c r="CK552" s="93"/>
      <c r="CL552" s="93"/>
      <c r="CM552" s="93"/>
      <c r="CN552" s="93"/>
      <c r="CO552" s="93"/>
      <c r="CP552" s="93"/>
      <c r="CQ552" s="93"/>
      <c r="CR552" s="93"/>
      <c r="CS552" s="699"/>
      <c r="CT552" s="93"/>
      <c r="CU552" s="93"/>
      <c r="CV552" s="93"/>
      <c r="CW552" s="93"/>
      <c r="CX552" s="93"/>
      <c r="CY552" s="93"/>
      <c r="CZ552" s="93"/>
      <c r="DA552" s="93"/>
      <c r="DB552" s="51"/>
      <c r="DC552" s="51"/>
      <c r="DD552" s="92"/>
      <c r="DE552" s="92"/>
      <c r="DF552" s="51"/>
      <c r="DG552" s="51"/>
      <c r="DH552" s="51"/>
      <c r="DI552" s="699"/>
      <c r="DJ552" s="93"/>
      <c r="DK552" s="93"/>
      <c r="DL552" s="93"/>
      <c r="DM552" s="93"/>
      <c r="DN552" s="93"/>
      <c r="DO552" s="93"/>
      <c r="DP552" s="93"/>
      <c r="DQ552" s="93"/>
      <c r="DR552" s="93"/>
      <c r="DS552" s="93"/>
      <c r="DT552" s="206"/>
      <c r="DU552" s="93"/>
      <c r="DV552" s="93"/>
      <c r="DW552" s="93"/>
      <c r="DX552" s="79"/>
    </row>
    <row r="553" spans="1:128">
      <c r="A553" s="709"/>
      <c r="B553" s="206"/>
      <c r="C553" s="199"/>
      <c r="D553" s="93"/>
      <c r="E553" s="93"/>
      <c r="F553" s="93"/>
      <c r="G553" s="93"/>
      <c r="H553" s="93"/>
      <c r="I553" s="93"/>
      <c r="J553" s="93"/>
      <c r="K553" s="93"/>
      <c r="L553" s="93"/>
      <c r="M553" s="93"/>
      <c r="N553" s="290"/>
      <c r="O553" s="206"/>
      <c r="P553" s="290"/>
      <c r="Q553" s="699"/>
      <c r="R553" s="93"/>
      <c r="S553" s="93"/>
      <c r="T553" s="206"/>
      <c r="U553" s="201"/>
      <c r="V553" s="206"/>
      <c r="W553" s="93"/>
      <c r="X553" s="93"/>
      <c r="Y553" s="93"/>
      <c r="Z553" s="93"/>
      <c r="AA553" s="93"/>
      <c r="AB553" s="93"/>
      <c r="AC553" s="93"/>
      <c r="AD553" s="93"/>
      <c r="AE553" s="206"/>
      <c r="AF553" s="93"/>
      <c r="AG553" s="114"/>
      <c r="AH553" s="51"/>
      <c r="AI553" s="51"/>
      <c r="AJ553" s="92"/>
      <c r="AK553" s="92"/>
      <c r="AL553" s="51"/>
      <c r="AM553" s="199"/>
      <c r="AN553" s="201"/>
      <c r="AO553" s="93"/>
      <c r="AP553" s="93"/>
      <c r="AQ553" s="93"/>
      <c r="AR553" s="93"/>
      <c r="AS553" s="93"/>
      <c r="AT553" s="93"/>
      <c r="AU553" s="93"/>
      <c r="AV553" s="93"/>
      <c r="AW553" s="699"/>
      <c r="AX553" s="93"/>
      <c r="AY553" s="199"/>
      <c r="AZ553" s="93"/>
      <c r="BA553" s="93"/>
      <c r="BB553" s="93"/>
      <c r="BC553" s="93"/>
      <c r="BD553" s="93"/>
      <c r="BE553" s="93"/>
      <c r="BF553" s="93"/>
      <c r="BG553" s="93"/>
      <c r="BH553" s="93"/>
      <c r="BI553" s="201"/>
      <c r="BJ553" s="206"/>
      <c r="BK553" s="206"/>
      <c r="BL553" s="79"/>
      <c r="BM553" s="201"/>
      <c r="BN553" s="206"/>
      <c r="BO553" s="199"/>
      <c r="BP553" s="93"/>
      <c r="BQ553" s="93"/>
      <c r="BR553" s="93"/>
      <c r="BS553" s="93"/>
      <c r="BT553" s="93"/>
      <c r="BU553" s="93"/>
      <c r="BV553" s="93"/>
      <c r="BW553" s="93"/>
      <c r="BX553" s="93"/>
      <c r="BY553" s="93"/>
      <c r="BZ553" s="290"/>
      <c r="CA553" s="206"/>
      <c r="CB553" s="290"/>
      <c r="CC553" s="699"/>
      <c r="CD553" s="206"/>
      <c r="CE553" s="206"/>
      <c r="CF553" s="201"/>
      <c r="CG553" s="93"/>
      <c r="CH553" s="93"/>
      <c r="CI553" s="93"/>
      <c r="CJ553" s="93"/>
      <c r="CK553" s="93"/>
      <c r="CL553" s="93"/>
      <c r="CM553" s="93"/>
      <c r="CN553" s="93"/>
      <c r="CO553" s="93"/>
      <c r="CP553" s="199"/>
      <c r="CQ553" s="93"/>
      <c r="CR553" s="93"/>
      <c r="CS553" s="699"/>
      <c r="CT553" s="93"/>
      <c r="CU553" s="93"/>
      <c r="CV553" s="93"/>
      <c r="CW553" s="93"/>
      <c r="CX553" s="93"/>
      <c r="CY553" s="93"/>
      <c r="CZ553" s="93"/>
      <c r="DA553" s="201"/>
      <c r="DB553" s="199"/>
      <c r="DC553" s="51"/>
      <c r="DD553" s="92"/>
      <c r="DE553" s="92"/>
      <c r="DF553" s="51"/>
      <c r="DG553" s="51"/>
      <c r="DH553" s="51"/>
      <c r="DI553" s="699"/>
      <c r="DJ553" s="206"/>
      <c r="DK553" s="93"/>
      <c r="DL553" s="93"/>
      <c r="DM553" s="93"/>
      <c r="DN553" s="93"/>
      <c r="DO553" s="93"/>
      <c r="DP553" s="93"/>
      <c r="DQ553" s="93"/>
      <c r="DR553" s="93"/>
      <c r="DS553" s="206"/>
      <c r="DT553" s="201"/>
      <c r="DU553" s="206"/>
      <c r="DV553" s="93"/>
      <c r="DW553" s="93"/>
      <c r="DX553" s="79"/>
    </row>
    <row r="554" spans="1:128">
      <c r="A554" s="709"/>
      <c r="B554" s="291"/>
      <c r="C554" s="206"/>
      <c r="D554" s="93"/>
      <c r="E554" s="93"/>
      <c r="F554" s="93"/>
      <c r="G554" s="93"/>
      <c r="H554" s="93"/>
      <c r="I554" s="93"/>
      <c r="J554" s="93"/>
      <c r="K554" s="93"/>
      <c r="L554" s="93"/>
      <c r="M554" s="93"/>
      <c r="N554" s="201"/>
      <c r="O554" s="291"/>
      <c r="P554" s="291"/>
      <c r="Q554" s="699"/>
      <c r="R554" s="93"/>
      <c r="S554" s="93"/>
      <c r="T554" s="206"/>
      <c r="U554" s="201"/>
      <c r="V554" s="206"/>
      <c r="W554" s="93"/>
      <c r="X554" s="201"/>
      <c r="Y554" s="206"/>
      <c r="Z554" s="93"/>
      <c r="AA554" s="201"/>
      <c r="AB554" s="206"/>
      <c r="AC554" s="93"/>
      <c r="AD554" s="206"/>
      <c r="AE554" s="201"/>
      <c r="AF554" s="206"/>
      <c r="AG554" s="114"/>
      <c r="AH554" s="51"/>
      <c r="AI554" s="51"/>
      <c r="AJ554" s="92"/>
      <c r="AK554" s="92"/>
      <c r="AL554" s="199"/>
      <c r="AM554" s="201"/>
      <c r="AN554" s="206"/>
      <c r="AO554" s="201"/>
      <c r="AP554" s="93"/>
      <c r="AQ554" s="93"/>
      <c r="AR554" s="93"/>
      <c r="AS554" s="93"/>
      <c r="AT554" s="93"/>
      <c r="AU554" s="93"/>
      <c r="AV554" s="93"/>
      <c r="AW554" s="699"/>
      <c r="AX554" s="93"/>
      <c r="AY554" s="201"/>
      <c r="AZ554" s="201"/>
      <c r="BA554" s="205"/>
      <c r="BB554" s="205"/>
      <c r="BC554" s="205"/>
      <c r="BD554" s="93"/>
      <c r="BE554" s="93"/>
      <c r="BF554" s="93"/>
      <c r="BG554" s="93"/>
      <c r="BH554" s="201"/>
      <c r="BI554" s="206"/>
      <c r="BJ554" s="201"/>
      <c r="BK554" s="206"/>
      <c r="BL554" s="79"/>
      <c r="BM554" s="201"/>
      <c r="BN554" s="291"/>
      <c r="BO554" s="206"/>
      <c r="BP554" s="93"/>
      <c r="BQ554" s="93"/>
      <c r="BR554" s="93"/>
      <c r="BS554" s="93"/>
      <c r="BT554" s="93"/>
      <c r="BU554" s="93"/>
      <c r="BV554" s="93"/>
      <c r="BW554" s="93"/>
      <c r="BX554" s="93"/>
      <c r="BY554" s="93"/>
      <c r="BZ554" s="201"/>
      <c r="CA554" s="291"/>
      <c r="CB554" s="291"/>
      <c r="CC554" s="699"/>
      <c r="CD554" s="206"/>
      <c r="CE554" s="201"/>
      <c r="CF554" s="206"/>
      <c r="CG554" s="201"/>
      <c r="CH554" s="93"/>
      <c r="CI554" s="93"/>
      <c r="CJ554" s="93"/>
      <c r="CK554" s="93"/>
      <c r="CL554" s="205"/>
      <c r="CM554" s="205"/>
      <c r="CN554" s="205"/>
      <c r="CO554" s="201"/>
      <c r="CP554" s="201"/>
      <c r="CQ554" s="93"/>
      <c r="CR554" s="93"/>
      <c r="CS554" s="699"/>
      <c r="CT554" s="93"/>
      <c r="CU554" s="93"/>
      <c r="CV554" s="93"/>
      <c r="CW554" s="93"/>
      <c r="CX554" s="93"/>
      <c r="CY554" s="93"/>
      <c r="CZ554" s="201"/>
      <c r="DA554" s="206"/>
      <c r="DB554" s="201"/>
      <c r="DC554" s="199"/>
      <c r="DD554" s="92"/>
      <c r="DE554" s="92"/>
      <c r="DF554" s="51"/>
      <c r="DG554" s="51"/>
      <c r="DH554" s="51"/>
      <c r="DI554" s="765"/>
      <c r="DJ554" s="201"/>
      <c r="DK554" s="206"/>
      <c r="DL554" s="93"/>
      <c r="DM554" s="206"/>
      <c r="DN554" s="201"/>
      <c r="DO554" s="93"/>
      <c r="DP554" s="206"/>
      <c r="DQ554" s="201"/>
      <c r="DR554" s="93"/>
      <c r="DS554" s="206"/>
      <c r="DT554" s="201"/>
      <c r="DU554" s="206"/>
      <c r="DV554" s="93"/>
      <c r="DW554" s="93"/>
      <c r="DX554" s="79"/>
    </row>
    <row r="555" spans="1:128">
      <c r="A555" s="864"/>
      <c r="B555" s="291"/>
      <c r="C555" s="291"/>
      <c r="D555" s="160"/>
      <c r="E555" s="93"/>
      <c r="F555" s="201"/>
      <c r="G555" s="205"/>
      <c r="H555" s="93"/>
      <c r="I555" s="93"/>
      <c r="J555" s="201"/>
      <c r="K555" s="205"/>
      <c r="L555" s="93"/>
      <c r="M555" s="290"/>
      <c r="N555" s="206"/>
      <c r="O555" s="291"/>
      <c r="P555" s="206"/>
      <c r="Q555" s="699"/>
      <c r="R555" s="93"/>
      <c r="S555" s="93"/>
      <c r="T555" s="206"/>
      <c r="U555" s="201"/>
      <c r="V555" s="206"/>
      <c r="W555" s="206"/>
      <c r="X555" s="206"/>
      <c r="Y555" s="205"/>
      <c r="Z555" s="205"/>
      <c r="AA555" s="201"/>
      <c r="AB555" s="199"/>
      <c r="AC555" s="201"/>
      <c r="AD555" s="199"/>
      <c r="AE555" s="201"/>
      <c r="AF555" s="206"/>
      <c r="AG555" s="114"/>
      <c r="AH555" s="51"/>
      <c r="AI555" s="51"/>
      <c r="AJ555" s="92"/>
      <c r="AK555" s="92"/>
      <c r="AL555" s="199"/>
      <c r="AM555" s="201"/>
      <c r="AN555" s="206"/>
      <c r="AO555" s="201"/>
      <c r="AP555" s="206"/>
      <c r="AQ555" s="201"/>
      <c r="AR555" s="93"/>
      <c r="AS555" s="93"/>
      <c r="AT555" s="93"/>
      <c r="AU555" s="93"/>
      <c r="AV555" s="93"/>
      <c r="AW555" s="699"/>
      <c r="AX555" s="206"/>
      <c r="AY555" s="201"/>
      <c r="AZ555" s="201"/>
      <c r="BA555" s="206"/>
      <c r="BB555" s="206"/>
      <c r="BC555" s="201"/>
      <c r="BD555" s="160"/>
      <c r="BE555" s="160"/>
      <c r="BF555" s="201"/>
      <c r="BG555" s="205"/>
      <c r="BH555" s="206"/>
      <c r="BI555" s="206"/>
      <c r="BJ555" s="201"/>
      <c r="BK555" s="206"/>
      <c r="BL555" s="79"/>
      <c r="BM555" s="201"/>
      <c r="BN555" s="206"/>
      <c r="BO555" s="291"/>
      <c r="BP555" s="160"/>
      <c r="BQ555" s="93"/>
      <c r="BR555" s="206"/>
      <c r="BS555" s="201"/>
      <c r="BT555" s="160"/>
      <c r="BU555" s="160"/>
      <c r="BV555" s="201"/>
      <c r="BW555" s="205"/>
      <c r="BX555" s="93"/>
      <c r="BY555" s="290"/>
      <c r="BZ555" s="206"/>
      <c r="CA555" s="291"/>
      <c r="CB555" s="206"/>
      <c r="CC555" s="699"/>
      <c r="CD555" s="206"/>
      <c r="CE555" s="201"/>
      <c r="CF555" s="206"/>
      <c r="CG555" s="206"/>
      <c r="CH555" s="205"/>
      <c r="CI555" s="201"/>
      <c r="CJ555" s="160"/>
      <c r="CK555" s="160"/>
      <c r="CL555" s="201"/>
      <c r="CM555" s="206"/>
      <c r="CN555" s="206"/>
      <c r="CO555" s="201"/>
      <c r="CP555" s="201"/>
      <c r="CQ555" s="206"/>
      <c r="CR555" s="93"/>
      <c r="CS555" s="699"/>
      <c r="CT555" s="93"/>
      <c r="CU555" s="93"/>
      <c r="CV555" s="93"/>
      <c r="CW555" s="93"/>
      <c r="CX555" s="201"/>
      <c r="CY555" s="206"/>
      <c r="CZ555" s="201"/>
      <c r="DA555" s="206"/>
      <c r="DB555" s="201"/>
      <c r="DC555" s="199"/>
      <c r="DD555" s="92"/>
      <c r="DE555" s="92"/>
      <c r="DF555" s="51"/>
      <c r="DG555" s="51"/>
      <c r="DH555" s="51"/>
      <c r="DI555" s="765"/>
      <c r="DJ555" s="201"/>
      <c r="DK555" s="199"/>
      <c r="DL555" s="201"/>
      <c r="DM555" s="199"/>
      <c r="DN555" s="201"/>
      <c r="DO555" s="205"/>
      <c r="DP555" s="205"/>
      <c r="DQ555" s="206"/>
      <c r="DR555" s="206"/>
      <c r="DS555" s="206"/>
      <c r="DT555" s="201"/>
      <c r="DU555" s="206"/>
      <c r="DV555" s="93"/>
      <c r="DW555" s="93"/>
      <c r="DX555" s="79"/>
    </row>
    <row r="556" spans="1:128">
      <c r="A556" s="864"/>
      <c r="B556" s="291"/>
      <c r="C556" s="206"/>
      <c r="D556" s="291"/>
      <c r="E556" s="201"/>
      <c r="F556" s="205"/>
      <c r="G556" s="205"/>
      <c r="H556" s="206"/>
      <c r="I556" s="206"/>
      <c r="J556" s="205"/>
      <c r="K556" s="201"/>
      <c r="L556" s="205"/>
      <c r="M556" s="290"/>
      <c r="N556" s="291"/>
      <c r="O556" s="201"/>
      <c r="P556" s="206"/>
      <c r="Q556" s="699"/>
      <c r="R556" s="93"/>
      <c r="S556" s="93"/>
      <c r="T556" s="201"/>
      <c r="U556" s="206"/>
      <c r="V556" s="293"/>
      <c r="W556" s="206"/>
      <c r="X556" s="206"/>
      <c r="Y556" s="206"/>
      <c r="Z556" s="206"/>
      <c r="AA556" s="205"/>
      <c r="AB556" s="201"/>
      <c r="AC556" s="206"/>
      <c r="AD556" s="199"/>
      <c r="AE556" s="201"/>
      <c r="AF556" s="206"/>
      <c r="AG556" s="114"/>
      <c r="AH556" s="51"/>
      <c r="AI556" s="51"/>
      <c r="AJ556" s="92"/>
      <c r="AK556" s="160"/>
      <c r="AL556" s="199"/>
      <c r="AM556" s="201"/>
      <c r="AN556" s="206"/>
      <c r="AO556" s="206"/>
      <c r="AP556" s="199"/>
      <c r="AQ556" s="199"/>
      <c r="AR556" s="201"/>
      <c r="AS556" s="93"/>
      <c r="AT556" s="93"/>
      <c r="AU556" s="93"/>
      <c r="AV556" s="93"/>
      <c r="AW556" s="699"/>
      <c r="AX556" s="206"/>
      <c r="AY556" s="201"/>
      <c r="AZ556" s="206"/>
      <c r="BA556" s="201"/>
      <c r="BB556" s="201"/>
      <c r="BC556" s="201"/>
      <c r="BD556" s="199"/>
      <c r="BE556" s="199"/>
      <c r="BF556" s="199"/>
      <c r="BG556" s="199"/>
      <c r="BH556" s="201"/>
      <c r="BI556" s="206"/>
      <c r="BJ556" s="206"/>
      <c r="BK556" s="206"/>
      <c r="BL556" s="79"/>
      <c r="BM556" s="201"/>
      <c r="BN556" s="291"/>
      <c r="BO556" s="206"/>
      <c r="BP556" s="291"/>
      <c r="BQ556" s="206"/>
      <c r="BR556" s="201"/>
      <c r="BS556" s="199"/>
      <c r="BT556" s="199"/>
      <c r="BU556" s="199"/>
      <c r="BV556" s="199"/>
      <c r="BW556" s="201"/>
      <c r="BX556" s="206"/>
      <c r="BY556" s="290"/>
      <c r="BZ556" s="291"/>
      <c r="CA556" s="291"/>
      <c r="CB556" s="206"/>
      <c r="CC556" s="699"/>
      <c r="CD556" s="206"/>
      <c r="CE556" s="206"/>
      <c r="CF556" s="206"/>
      <c r="CG556" s="201"/>
      <c r="CH556" s="199"/>
      <c r="CI556" s="199"/>
      <c r="CJ556" s="199"/>
      <c r="CK556" s="199"/>
      <c r="CL556" s="201"/>
      <c r="CM556" s="201"/>
      <c r="CN556" s="201"/>
      <c r="CO556" s="206"/>
      <c r="CP556" s="201"/>
      <c r="CQ556" s="206"/>
      <c r="CR556" s="93"/>
      <c r="CS556" s="699"/>
      <c r="CT556" s="93"/>
      <c r="CU556" s="93"/>
      <c r="CV556" s="93"/>
      <c r="CW556" s="201"/>
      <c r="CX556" s="199"/>
      <c r="CY556" s="199"/>
      <c r="CZ556" s="206"/>
      <c r="DA556" s="206"/>
      <c r="DB556" s="201"/>
      <c r="DC556" s="199"/>
      <c r="DD556" s="160"/>
      <c r="DE556" s="92"/>
      <c r="DF556" s="51"/>
      <c r="DG556" s="51"/>
      <c r="DH556" s="51"/>
      <c r="DI556" s="765"/>
      <c r="DJ556" s="201"/>
      <c r="DK556" s="199"/>
      <c r="DL556" s="206"/>
      <c r="DM556" s="201"/>
      <c r="DN556" s="205"/>
      <c r="DO556" s="206"/>
      <c r="DP556" s="206"/>
      <c r="DQ556" s="206"/>
      <c r="DR556" s="206"/>
      <c r="DS556" s="293"/>
      <c r="DT556" s="206"/>
      <c r="DU556" s="201"/>
      <c r="DV556" s="93"/>
      <c r="DW556" s="93"/>
      <c r="DX556" s="79"/>
    </row>
    <row r="557" spans="1:128">
      <c r="A557" s="864"/>
      <c r="B557" s="291"/>
      <c r="C557" s="201"/>
      <c r="D557" s="291"/>
      <c r="E557" s="291"/>
      <c r="F557" s="205"/>
      <c r="G557" s="206"/>
      <c r="H557" s="293"/>
      <c r="I557" s="161"/>
      <c r="J557" s="206"/>
      <c r="K557" s="205"/>
      <c r="L557" s="291"/>
      <c r="M557" s="291"/>
      <c r="N557" s="206"/>
      <c r="O557" s="201"/>
      <c r="P557" s="206"/>
      <c r="Q557" s="699"/>
      <c r="R557" s="93"/>
      <c r="S557" s="199"/>
      <c r="T557" s="201"/>
      <c r="U557" s="206"/>
      <c r="V557" s="297"/>
      <c r="W557" s="297"/>
      <c r="X557" s="293"/>
      <c r="Y557" s="206"/>
      <c r="Z557" s="206"/>
      <c r="AA557" s="206"/>
      <c r="AB557" s="201"/>
      <c r="AC557" s="199"/>
      <c r="AD557" s="206"/>
      <c r="AE557" s="206"/>
      <c r="AF557" s="206"/>
      <c r="AG557" s="114"/>
      <c r="AH557" s="51"/>
      <c r="AI557" s="51"/>
      <c r="AJ557" s="160"/>
      <c r="AK557" s="293"/>
      <c r="AL557" s="199"/>
      <c r="AM557" s="206"/>
      <c r="AN557" s="206"/>
      <c r="AO557" s="201"/>
      <c r="AP557" s="201"/>
      <c r="AQ557" s="206"/>
      <c r="AR557" s="201"/>
      <c r="AS557" s="93"/>
      <c r="AT557" s="93"/>
      <c r="AU557" s="93"/>
      <c r="AV557" s="93"/>
      <c r="AW557" s="699"/>
      <c r="AX557" s="206"/>
      <c r="AY557" s="201"/>
      <c r="AZ557" s="206"/>
      <c r="BA557" s="201"/>
      <c r="BB557" s="206"/>
      <c r="BC557" s="201"/>
      <c r="BD557" s="291"/>
      <c r="BE557" s="205"/>
      <c r="BF557" s="199"/>
      <c r="BG557" s="199"/>
      <c r="BH557" s="201"/>
      <c r="BI557" s="206"/>
      <c r="BJ557" s="206"/>
      <c r="BK557" s="93"/>
      <c r="BL557" s="79"/>
      <c r="BM557" s="199"/>
      <c r="BN557" s="291"/>
      <c r="BO557" s="201"/>
      <c r="BP557" s="199"/>
      <c r="BQ557" s="206"/>
      <c r="BR557" s="201"/>
      <c r="BS557" s="160"/>
      <c r="BT557" s="199"/>
      <c r="BU557" s="199"/>
      <c r="BV557" s="199"/>
      <c r="BW557" s="201"/>
      <c r="BX557" s="205"/>
      <c r="BY557" s="291"/>
      <c r="BZ557" s="291"/>
      <c r="CA557" s="291"/>
      <c r="CB557" s="206"/>
      <c r="CC557" s="699"/>
      <c r="CD557" s="93"/>
      <c r="CE557" s="206"/>
      <c r="CF557" s="206"/>
      <c r="CG557" s="201"/>
      <c r="CH557" s="291"/>
      <c r="CI557" s="199"/>
      <c r="CJ557" s="199"/>
      <c r="CK557" s="201"/>
      <c r="CL557" s="201"/>
      <c r="CM557" s="206"/>
      <c r="CN557" s="201"/>
      <c r="CO557" s="206"/>
      <c r="CP557" s="201"/>
      <c r="CQ557" s="206"/>
      <c r="CR557" s="93"/>
      <c r="CS557" s="699"/>
      <c r="CT557" s="93"/>
      <c r="CU557" s="93"/>
      <c r="CV557" s="93"/>
      <c r="CW557" s="206"/>
      <c r="CX557" s="206"/>
      <c r="CY557" s="199"/>
      <c r="CZ557" s="201"/>
      <c r="DA557" s="206"/>
      <c r="DB557" s="206"/>
      <c r="DC557" s="199"/>
      <c r="DD557" s="293"/>
      <c r="DE557" s="160"/>
      <c r="DF557" s="51"/>
      <c r="DG557" s="51"/>
      <c r="DH557" s="51"/>
      <c r="DI557" s="765"/>
      <c r="DJ557" s="206"/>
      <c r="DK557" s="206"/>
      <c r="DL557" s="199"/>
      <c r="DM557" s="201"/>
      <c r="DN557" s="206"/>
      <c r="DO557" s="206"/>
      <c r="DP557" s="206"/>
      <c r="DQ557" s="293"/>
      <c r="DR557" s="297"/>
      <c r="DS557" s="293"/>
      <c r="DT557" s="206"/>
      <c r="DU557" s="201"/>
      <c r="DV557" s="199"/>
      <c r="DW557" s="93"/>
      <c r="DX557" s="79"/>
    </row>
    <row r="558" spans="1:128">
      <c r="A558" s="864"/>
      <c r="B558" s="201"/>
      <c r="C558" s="201"/>
      <c r="D558" s="206"/>
      <c r="E558" s="206"/>
      <c r="F558" s="206"/>
      <c r="G558" s="206"/>
      <c r="H558" s="161"/>
      <c r="I558" s="206"/>
      <c r="J558" s="205"/>
      <c r="K558" s="205"/>
      <c r="L558" s="206"/>
      <c r="M558" s="206"/>
      <c r="N558" s="206"/>
      <c r="O558" s="201"/>
      <c r="P558" s="206"/>
      <c r="Q558" s="699"/>
      <c r="R558" s="93"/>
      <c r="S558" s="199"/>
      <c r="T558" s="206"/>
      <c r="U558" s="158"/>
      <c r="V558" s="161"/>
      <c r="W558" s="161"/>
      <c r="X558" s="163"/>
      <c r="Y558" s="163"/>
      <c r="Z558" s="205"/>
      <c r="AA558" s="205"/>
      <c r="AB558" s="201"/>
      <c r="AC558" s="199"/>
      <c r="AD558" s="206"/>
      <c r="AE558" s="201"/>
      <c r="AF558" s="206"/>
      <c r="AG558" s="114"/>
      <c r="AH558" s="51"/>
      <c r="AI558" s="160"/>
      <c r="AJ558" s="158"/>
      <c r="AK558" s="199"/>
      <c r="AL558" s="201"/>
      <c r="AM558" s="206"/>
      <c r="AN558" s="206"/>
      <c r="AO558" s="201"/>
      <c r="AP558" s="206"/>
      <c r="AQ558" s="206"/>
      <c r="AR558" s="206"/>
      <c r="AS558" s="93"/>
      <c r="AT558" s="93"/>
      <c r="AU558" s="93"/>
      <c r="AV558" s="93"/>
      <c r="AW558" s="699"/>
      <c r="AX558" s="201"/>
      <c r="AY558" s="206"/>
      <c r="AZ558" s="206"/>
      <c r="BA558" s="206"/>
      <c r="BB558" s="206"/>
      <c r="BC558" s="201"/>
      <c r="BD558" s="160"/>
      <c r="BE558" s="160"/>
      <c r="BF558" s="205"/>
      <c r="BG558" s="160"/>
      <c r="BH558" s="160"/>
      <c r="BI558" s="206"/>
      <c r="BJ558" s="206"/>
      <c r="BK558" s="93"/>
      <c r="BL558" s="79"/>
      <c r="BM558" s="199"/>
      <c r="BN558" s="291"/>
      <c r="BO558" s="201"/>
      <c r="BP558" s="206"/>
      <c r="BQ558" s="206"/>
      <c r="BR558" s="160"/>
      <c r="BS558" s="160"/>
      <c r="BT558" s="160"/>
      <c r="BU558" s="199"/>
      <c r="BV558" s="160"/>
      <c r="BW558" s="160"/>
      <c r="BX558" s="205"/>
      <c r="BY558" s="206"/>
      <c r="BZ558" s="206"/>
      <c r="CA558" s="201"/>
      <c r="CB558" s="206"/>
      <c r="CC558" s="699"/>
      <c r="CD558" s="93"/>
      <c r="CE558" s="206"/>
      <c r="CF558" s="206"/>
      <c r="CG558" s="160"/>
      <c r="CH558" s="205"/>
      <c r="CI558" s="291"/>
      <c r="CJ558" s="160"/>
      <c r="CK558" s="160"/>
      <c r="CL558" s="201"/>
      <c r="CM558" s="206"/>
      <c r="CN558" s="206"/>
      <c r="CO558" s="206"/>
      <c r="CP558" s="206"/>
      <c r="CQ558" s="201"/>
      <c r="CR558" s="93"/>
      <c r="CS558" s="699"/>
      <c r="CT558" s="93"/>
      <c r="CU558" s="93"/>
      <c r="CV558" s="93"/>
      <c r="CW558" s="201"/>
      <c r="CX558" s="201"/>
      <c r="CY558" s="206"/>
      <c r="CZ558" s="201"/>
      <c r="DA558" s="206"/>
      <c r="DB558" s="206"/>
      <c r="DC558" s="201"/>
      <c r="DD558" s="199"/>
      <c r="DE558" s="158"/>
      <c r="DF558" s="160"/>
      <c r="DG558" s="51"/>
      <c r="DH558" s="51"/>
      <c r="DI558" s="765"/>
      <c r="DJ558" s="201"/>
      <c r="DK558" s="206"/>
      <c r="DL558" s="199"/>
      <c r="DM558" s="201"/>
      <c r="DN558" s="205"/>
      <c r="DO558" s="205"/>
      <c r="DP558" s="158"/>
      <c r="DQ558" s="158"/>
      <c r="DR558" s="161"/>
      <c r="DS558" s="161"/>
      <c r="DT558" s="163"/>
      <c r="DU558" s="206"/>
      <c r="DV558" s="199"/>
      <c r="DW558" s="93"/>
      <c r="DX558" s="79"/>
    </row>
    <row r="559" spans="1:128">
      <c r="A559" s="709"/>
      <c r="B559" s="201"/>
      <c r="C559" s="93"/>
      <c r="D559" s="201"/>
      <c r="E559" s="206"/>
      <c r="F559" s="158"/>
      <c r="G559" s="158"/>
      <c r="H559" s="161"/>
      <c r="I559" s="206"/>
      <c r="J559" s="163"/>
      <c r="K559" s="163"/>
      <c r="L559" s="205"/>
      <c r="M559" s="291"/>
      <c r="N559" s="93"/>
      <c r="O559" s="201"/>
      <c r="P559" s="291"/>
      <c r="Q559" s="699"/>
      <c r="R559" s="93"/>
      <c r="S559" s="201"/>
      <c r="T559" s="206"/>
      <c r="U559" s="158"/>
      <c r="V559" s="293"/>
      <c r="W559" s="161"/>
      <c r="X559" s="163"/>
      <c r="Y559" s="163"/>
      <c r="Z559" s="205"/>
      <c r="AA559" s="205"/>
      <c r="AB559" s="206"/>
      <c r="AC559" s="199"/>
      <c r="AD559" s="206"/>
      <c r="AE559" s="201"/>
      <c r="AF559" s="93"/>
      <c r="AG559" s="114"/>
      <c r="AH559" s="51"/>
      <c r="AI559" s="163"/>
      <c r="AJ559" s="158"/>
      <c r="AK559" s="199"/>
      <c r="AL559" s="201"/>
      <c r="AM559" s="205"/>
      <c r="AN559" s="205"/>
      <c r="AO559" s="206"/>
      <c r="AP559" s="199"/>
      <c r="AQ559" s="206"/>
      <c r="AR559" s="201"/>
      <c r="AS559" s="201"/>
      <c r="AT559" s="93"/>
      <c r="AU559" s="93"/>
      <c r="AV559" s="93"/>
      <c r="AW559" s="699"/>
      <c r="AX559" s="201"/>
      <c r="AY559" s="206"/>
      <c r="AZ559" s="163"/>
      <c r="BA559" s="206"/>
      <c r="BB559" s="206"/>
      <c r="BC559" s="201"/>
      <c r="BD559" s="201"/>
      <c r="BE559" s="205"/>
      <c r="BF559" s="201"/>
      <c r="BG559" s="199"/>
      <c r="BH559" s="199"/>
      <c r="BI559" s="201"/>
      <c r="BJ559" s="93"/>
      <c r="BK559" s="93"/>
      <c r="BL559" s="79"/>
      <c r="BM559" s="201"/>
      <c r="BN559" s="201"/>
      <c r="BO559" s="201"/>
      <c r="BP559" s="291"/>
      <c r="BQ559" s="291"/>
      <c r="BR559" s="201"/>
      <c r="BS559" s="160"/>
      <c r="BT559" s="199"/>
      <c r="BU559" s="199"/>
      <c r="BV559" s="199"/>
      <c r="BW559" s="201"/>
      <c r="BX559" s="206"/>
      <c r="BY559" s="291"/>
      <c r="BZ559" s="206"/>
      <c r="CA559" s="201"/>
      <c r="CB559" s="206"/>
      <c r="CC559" s="699"/>
      <c r="CD559" s="93"/>
      <c r="CE559" s="93"/>
      <c r="CF559" s="201"/>
      <c r="CG559" s="291"/>
      <c r="CH559" s="201"/>
      <c r="CI559" s="199"/>
      <c r="CJ559" s="199"/>
      <c r="CK559" s="201"/>
      <c r="CL559" s="201"/>
      <c r="CM559" s="206"/>
      <c r="CN559" s="206"/>
      <c r="CO559" s="163"/>
      <c r="CP559" s="206"/>
      <c r="CQ559" s="201"/>
      <c r="CR559" s="93"/>
      <c r="CS559" s="699"/>
      <c r="CT559" s="93"/>
      <c r="CU559" s="93"/>
      <c r="CV559" s="201"/>
      <c r="CW559" s="201"/>
      <c r="CX559" s="199"/>
      <c r="CY559" s="199"/>
      <c r="CZ559" s="206"/>
      <c r="DA559" s="205"/>
      <c r="DB559" s="205"/>
      <c r="DC559" s="201"/>
      <c r="DD559" s="199"/>
      <c r="DE559" s="158"/>
      <c r="DF559" s="163"/>
      <c r="DG559" s="51"/>
      <c r="DH559" s="51"/>
      <c r="DI559" s="699"/>
      <c r="DJ559" s="201"/>
      <c r="DK559" s="206"/>
      <c r="DL559" s="199"/>
      <c r="DM559" s="206"/>
      <c r="DN559" s="205"/>
      <c r="DO559" s="205"/>
      <c r="DP559" s="158"/>
      <c r="DQ559" s="158"/>
      <c r="DR559" s="161"/>
      <c r="DS559" s="293"/>
      <c r="DT559" s="163"/>
      <c r="DU559" s="206"/>
      <c r="DV559" s="201"/>
      <c r="DW559" s="93"/>
      <c r="DX559" s="79"/>
    </row>
    <row r="560" spans="1:128">
      <c r="A560" s="864"/>
      <c r="B560" s="291"/>
      <c r="C560" s="93"/>
      <c r="D560" s="201"/>
      <c r="E560" s="206"/>
      <c r="F560" s="158"/>
      <c r="G560" s="158"/>
      <c r="H560" s="161"/>
      <c r="I560" s="206"/>
      <c r="J560" s="163"/>
      <c r="K560" s="163"/>
      <c r="L560" s="205"/>
      <c r="M560" s="206"/>
      <c r="N560" s="93"/>
      <c r="O560" s="201"/>
      <c r="P560" s="291"/>
      <c r="Q560" s="699"/>
      <c r="R560" s="93"/>
      <c r="S560" s="201"/>
      <c r="T560" s="206"/>
      <c r="U560" s="163"/>
      <c r="V560" s="297"/>
      <c r="W560" s="161"/>
      <c r="X560" s="161"/>
      <c r="Y560" s="161"/>
      <c r="Z560" s="205"/>
      <c r="AA560" s="206"/>
      <c r="AB560" s="199"/>
      <c r="AC560" s="206"/>
      <c r="AD560" s="201"/>
      <c r="AE560" s="206"/>
      <c r="AF560" s="93"/>
      <c r="AG560" s="114"/>
      <c r="AH560" s="51"/>
      <c r="AI560" s="161"/>
      <c r="AJ560" s="163"/>
      <c r="AK560" s="199"/>
      <c r="AL560" s="206"/>
      <c r="AM560" s="205"/>
      <c r="AN560" s="205"/>
      <c r="AO560" s="206"/>
      <c r="AP560" s="201"/>
      <c r="AQ560" s="199"/>
      <c r="AR560" s="199"/>
      <c r="AS560" s="201"/>
      <c r="AT560" s="93"/>
      <c r="AU560" s="93"/>
      <c r="AV560" s="93"/>
      <c r="AW560" s="699"/>
      <c r="AX560" s="199"/>
      <c r="AY560" s="206"/>
      <c r="AZ560" s="158"/>
      <c r="BA560" s="206"/>
      <c r="BB560" s="206"/>
      <c r="BC560" s="201"/>
      <c r="BD560" s="201"/>
      <c r="BE560" s="199"/>
      <c r="BF560" s="199"/>
      <c r="BG560" s="199"/>
      <c r="BH560" s="199"/>
      <c r="BI560" s="201"/>
      <c r="BJ560" s="93"/>
      <c r="BK560" s="93"/>
      <c r="BL560" s="79"/>
      <c r="BM560" s="199"/>
      <c r="BN560" s="201"/>
      <c r="BO560" s="93"/>
      <c r="BP560" s="201"/>
      <c r="BQ560" s="201"/>
      <c r="BR560" s="201"/>
      <c r="BS560" s="199"/>
      <c r="BT560" s="199"/>
      <c r="BU560" s="199"/>
      <c r="BV560" s="199"/>
      <c r="BW560" s="201"/>
      <c r="BX560" s="291"/>
      <c r="BY560" s="206"/>
      <c r="BZ560" s="93"/>
      <c r="CA560" s="291"/>
      <c r="CB560" s="206"/>
      <c r="CC560" s="699"/>
      <c r="CD560" s="93"/>
      <c r="CE560" s="93"/>
      <c r="CF560" s="201"/>
      <c r="CG560" s="199"/>
      <c r="CH560" s="199"/>
      <c r="CI560" s="199"/>
      <c r="CJ560" s="199"/>
      <c r="CK560" s="201"/>
      <c r="CL560" s="201"/>
      <c r="CM560" s="206"/>
      <c r="CN560" s="206"/>
      <c r="CO560" s="158"/>
      <c r="CP560" s="206"/>
      <c r="CQ560" s="199"/>
      <c r="CR560" s="93"/>
      <c r="CS560" s="699"/>
      <c r="CT560" s="93"/>
      <c r="CU560" s="93"/>
      <c r="CV560" s="201"/>
      <c r="CW560" s="199"/>
      <c r="CX560" s="199"/>
      <c r="CY560" s="201"/>
      <c r="CZ560" s="206"/>
      <c r="DA560" s="205"/>
      <c r="DB560" s="205"/>
      <c r="DC560" s="206"/>
      <c r="DD560" s="199"/>
      <c r="DE560" s="163"/>
      <c r="DF560" s="161"/>
      <c r="DG560" s="51"/>
      <c r="DH560" s="51"/>
      <c r="DI560" s="699"/>
      <c r="DJ560" s="206"/>
      <c r="DK560" s="201"/>
      <c r="DL560" s="206"/>
      <c r="DM560" s="199"/>
      <c r="DN560" s="206"/>
      <c r="DO560" s="205"/>
      <c r="DP560" s="163"/>
      <c r="DQ560" s="163"/>
      <c r="DR560" s="161"/>
      <c r="DS560" s="293"/>
      <c r="DT560" s="161"/>
      <c r="DU560" s="206"/>
      <c r="DV560" s="201"/>
      <c r="DW560" s="93"/>
      <c r="DX560" s="79"/>
    </row>
    <row r="561" spans="1:128">
      <c r="A561" s="864"/>
      <c r="B561" s="291"/>
      <c r="C561" s="93"/>
      <c r="D561" s="199"/>
      <c r="E561" s="291"/>
      <c r="F561" s="163"/>
      <c r="G561" s="163"/>
      <c r="H561" s="161"/>
      <c r="I561" s="206"/>
      <c r="J561" s="161"/>
      <c r="K561" s="161"/>
      <c r="L561" s="206"/>
      <c r="M561" s="206"/>
      <c r="N561" s="93"/>
      <c r="O561" s="201"/>
      <c r="P561" s="291"/>
      <c r="Q561" s="699"/>
      <c r="R561" s="93"/>
      <c r="S561" s="201"/>
      <c r="T561" s="206"/>
      <c r="U561" s="206"/>
      <c r="V561" s="297"/>
      <c r="W561" s="293"/>
      <c r="X561" s="206"/>
      <c r="Y561" s="205"/>
      <c r="Z561" s="205"/>
      <c r="AA561" s="160"/>
      <c r="AB561" s="199"/>
      <c r="AC561" s="206"/>
      <c r="AD561" s="201"/>
      <c r="AE561" s="93"/>
      <c r="AF561" s="93"/>
      <c r="AG561" s="114"/>
      <c r="AH561" s="51"/>
      <c r="AI561" s="51"/>
      <c r="AJ561" s="160"/>
      <c r="AK561" s="199"/>
      <c r="AL561" s="206"/>
      <c r="AM561" s="205"/>
      <c r="AN561" s="205"/>
      <c r="AO561" s="206"/>
      <c r="AP561" s="206"/>
      <c r="AQ561" s="296"/>
      <c r="AR561" s="300"/>
      <c r="AS561" s="292"/>
      <c r="AT561" s="93"/>
      <c r="AU561" s="93"/>
      <c r="AV561" s="93"/>
      <c r="AW561" s="699"/>
      <c r="AX561" s="199"/>
      <c r="AY561" s="206"/>
      <c r="AZ561" s="160"/>
      <c r="BA561" s="206"/>
      <c r="BB561" s="206"/>
      <c r="BC561" s="292"/>
      <c r="BD561" s="292"/>
      <c r="BE561" s="296"/>
      <c r="BF561" s="296"/>
      <c r="BG561" s="296"/>
      <c r="BH561" s="296"/>
      <c r="BI561" s="292"/>
      <c r="BJ561" s="93"/>
      <c r="BK561" s="93"/>
      <c r="BL561" s="79"/>
      <c r="BM561" s="201"/>
      <c r="BN561" s="291"/>
      <c r="BO561" s="93"/>
      <c r="BP561" s="201"/>
      <c r="BQ561" s="201"/>
      <c r="BR561" s="292"/>
      <c r="BS561" s="296"/>
      <c r="BT561" s="296"/>
      <c r="BU561" s="296"/>
      <c r="BV561" s="296"/>
      <c r="BW561" s="292"/>
      <c r="BX561" s="291"/>
      <c r="BY561" s="206"/>
      <c r="BZ561" s="93"/>
      <c r="CA561" s="201"/>
      <c r="CB561" s="206"/>
      <c r="CC561" s="699"/>
      <c r="CD561" s="93"/>
      <c r="CE561" s="93"/>
      <c r="CF561" s="292"/>
      <c r="CG561" s="296"/>
      <c r="CH561" s="296"/>
      <c r="CI561" s="296"/>
      <c r="CJ561" s="296"/>
      <c r="CK561" s="292"/>
      <c r="CL561" s="292"/>
      <c r="CM561" s="206"/>
      <c r="CN561" s="206"/>
      <c r="CO561" s="160"/>
      <c r="CP561" s="206"/>
      <c r="CQ561" s="199"/>
      <c r="CR561" s="93"/>
      <c r="CS561" s="699"/>
      <c r="CT561" s="93"/>
      <c r="CU561" s="93"/>
      <c r="CV561" s="292"/>
      <c r="CW561" s="296"/>
      <c r="CX561" s="296"/>
      <c r="CY561" s="206"/>
      <c r="CZ561" s="206"/>
      <c r="DA561" s="205"/>
      <c r="DB561" s="205"/>
      <c r="DC561" s="206"/>
      <c r="DD561" s="199"/>
      <c r="DE561" s="160"/>
      <c r="DF561" s="51"/>
      <c r="DG561" s="51"/>
      <c r="DH561" s="51"/>
      <c r="DI561" s="699"/>
      <c r="DJ561" s="93"/>
      <c r="DK561" s="201"/>
      <c r="DL561" s="206"/>
      <c r="DM561" s="199"/>
      <c r="DN561" s="160"/>
      <c r="DO561" s="205"/>
      <c r="DP561" s="205"/>
      <c r="DQ561" s="206"/>
      <c r="DR561" s="293"/>
      <c r="DS561" s="297"/>
      <c r="DT561" s="206"/>
      <c r="DU561" s="206"/>
      <c r="DV561" s="201"/>
      <c r="DW561" s="93"/>
      <c r="DX561" s="79"/>
    </row>
    <row r="562" spans="1:128">
      <c r="A562" s="864"/>
      <c r="B562" s="291"/>
      <c r="C562" s="93"/>
      <c r="D562" s="93"/>
      <c r="E562" s="201"/>
      <c r="F562" s="206"/>
      <c r="G562" s="206"/>
      <c r="H562" s="291"/>
      <c r="I562" s="205"/>
      <c r="J562" s="205"/>
      <c r="K562" s="160"/>
      <c r="L562" s="291"/>
      <c r="M562" s="93"/>
      <c r="N562" s="93"/>
      <c r="O562" s="291"/>
      <c r="P562" s="291"/>
      <c r="Q562" s="699"/>
      <c r="R562" s="93"/>
      <c r="S562" s="201"/>
      <c r="T562" s="206"/>
      <c r="U562" s="93"/>
      <c r="V562" s="291"/>
      <c r="W562" s="291"/>
      <c r="X562" s="291"/>
      <c r="Y562" s="205"/>
      <c r="Z562" s="160"/>
      <c r="AA562" s="201"/>
      <c r="AB562" s="199"/>
      <c r="AC562" s="206"/>
      <c r="AD562" s="201"/>
      <c r="AE562" s="93"/>
      <c r="AF562" s="93"/>
      <c r="AG562" s="114"/>
      <c r="AH562" s="51"/>
      <c r="AI562" s="51"/>
      <c r="AJ562" s="199"/>
      <c r="AK562" s="199"/>
      <c r="AL562" s="206"/>
      <c r="AM562" s="205"/>
      <c r="AN562" s="205"/>
      <c r="AO562" s="206"/>
      <c r="AP562" s="206"/>
      <c r="AQ562" s="296"/>
      <c r="AR562" s="300"/>
      <c r="AS562" s="292"/>
      <c r="AT562" s="93"/>
      <c r="AU562" s="93"/>
      <c r="AV562" s="93"/>
      <c r="AW562" s="699"/>
      <c r="AX562" s="199"/>
      <c r="AY562" s="206"/>
      <c r="AZ562" s="293"/>
      <c r="BA562" s="160"/>
      <c r="BB562" s="206"/>
      <c r="BC562" s="292"/>
      <c r="BD562" s="292"/>
      <c r="BE562" s="296"/>
      <c r="BF562" s="296"/>
      <c r="BG562" s="296"/>
      <c r="BH562" s="296"/>
      <c r="BI562" s="292"/>
      <c r="BJ562" s="93"/>
      <c r="BK562" s="93"/>
      <c r="BL562" s="79"/>
      <c r="BM562" s="93"/>
      <c r="BN562" s="291"/>
      <c r="BO562" s="93"/>
      <c r="BP562" s="93"/>
      <c r="BQ562" s="291"/>
      <c r="BR562" s="292"/>
      <c r="BS562" s="296"/>
      <c r="BT562" s="296"/>
      <c r="BU562" s="296"/>
      <c r="BV562" s="296"/>
      <c r="BW562" s="292"/>
      <c r="BX562" s="291"/>
      <c r="BY562" s="93"/>
      <c r="BZ562" s="93"/>
      <c r="CA562" s="291"/>
      <c r="CB562" s="93"/>
      <c r="CC562" s="699"/>
      <c r="CD562" s="93"/>
      <c r="CE562" s="93"/>
      <c r="CF562" s="292"/>
      <c r="CG562" s="296"/>
      <c r="CH562" s="296"/>
      <c r="CI562" s="296"/>
      <c r="CJ562" s="296"/>
      <c r="CK562" s="292"/>
      <c r="CL562" s="292"/>
      <c r="CM562" s="206"/>
      <c r="CN562" s="160"/>
      <c r="CO562" s="293"/>
      <c r="CP562" s="206"/>
      <c r="CQ562" s="199"/>
      <c r="CR562" s="93"/>
      <c r="CS562" s="699"/>
      <c r="CT562" s="93"/>
      <c r="CU562" s="93"/>
      <c r="CV562" s="292"/>
      <c r="CW562" s="296"/>
      <c r="CX562" s="296"/>
      <c r="CY562" s="206"/>
      <c r="CZ562" s="206"/>
      <c r="DA562" s="205"/>
      <c r="DB562" s="205"/>
      <c r="DC562" s="206"/>
      <c r="DD562" s="199"/>
      <c r="DE562" s="199"/>
      <c r="DF562" s="51"/>
      <c r="DG562" s="51"/>
      <c r="DH562" s="51"/>
      <c r="DI562" s="699"/>
      <c r="DJ562" s="93"/>
      <c r="DK562" s="201"/>
      <c r="DL562" s="206"/>
      <c r="DM562" s="199"/>
      <c r="DN562" s="201"/>
      <c r="DO562" s="160"/>
      <c r="DP562" s="205"/>
      <c r="DQ562" s="291"/>
      <c r="DR562" s="291"/>
      <c r="DS562" s="291"/>
      <c r="DT562" s="93"/>
      <c r="DU562" s="206"/>
      <c r="DV562" s="201"/>
      <c r="DW562" s="93"/>
      <c r="DX562" s="79"/>
    </row>
    <row r="563" spans="1:128">
      <c r="A563" s="709"/>
      <c r="B563" s="291"/>
      <c r="C563" s="93"/>
      <c r="D563" s="93"/>
      <c r="E563" s="201"/>
      <c r="F563" s="201"/>
      <c r="G563" s="206"/>
      <c r="H563" s="291"/>
      <c r="I563" s="205"/>
      <c r="J563" s="205"/>
      <c r="K563" s="201"/>
      <c r="L563" s="291"/>
      <c r="M563" s="93"/>
      <c r="N563" s="93"/>
      <c r="O563" s="291"/>
      <c r="P563" s="206"/>
      <c r="Q563" s="699"/>
      <c r="R563" s="93"/>
      <c r="S563" s="206"/>
      <c r="T563" s="206"/>
      <c r="U563" s="93"/>
      <c r="V563" s="206"/>
      <c r="W563" s="206"/>
      <c r="X563" s="206"/>
      <c r="Y563" s="205"/>
      <c r="Z563" s="206"/>
      <c r="AA563" s="199"/>
      <c r="AB563" s="206"/>
      <c r="AC563" s="206"/>
      <c r="AD563" s="206"/>
      <c r="AE563" s="93"/>
      <c r="AF563" s="93"/>
      <c r="AG563" s="114"/>
      <c r="AH563" s="51"/>
      <c r="AI563" s="51"/>
      <c r="AJ563" s="199"/>
      <c r="AK563" s="201"/>
      <c r="AL563" s="205"/>
      <c r="AM563" s="205"/>
      <c r="AN563" s="205"/>
      <c r="AO563" s="206"/>
      <c r="AP563" s="206"/>
      <c r="AQ563" s="296"/>
      <c r="AR563" s="300"/>
      <c r="AS563" s="296"/>
      <c r="AT563" s="292"/>
      <c r="AU563" s="93"/>
      <c r="AV563" s="93"/>
      <c r="AW563" s="699"/>
      <c r="AX563" s="201"/>
      <c r="AY563" s="206"/>
      <c r="AZ563" s="293"/>
      <c r="BA563" s="160"/>
      <c r="BB563" s="206"/>
      <c r="BC563" s="294"/>
      <c r="BD563" s="292"/>
      <c r="BE563" s="292"/>
      <c r="BF563" s="296"/>
      <c r="BG563" s="296"/>
      <c r="BH563" s="296"/>
      <c r="BI563" s="296"/>
      <c r="BJ563" s="292"/>
      <c r="BK563" s="93"/>
      <c r="BL563" s="79"/>
      <c r="BM563" s="93"/>
      <c r="BN563" s="291"/>
      <c r="BO563" s="93"/>
      <c r="BP563" s="93"/>
      <c r="BQ563" s="291"/>
      <c r="BR563" s="292"/>
      <c r="BS563" s="296"/>
      <c r="BT563" s="296"/>
      <c r="BU563" s="296"/>
      <c r="BV563" s="296"/>
      <c r="BW563" s="292"/>
      <c r="BX563" s="206"/>
      <c r="BY563" s="93"/>
      <c r="BZ563" s="93"/>
      <c r="CA563" s="291"/>
      <c r="CB563" s="93"/>
      <c r="CC563" s="699"/>
      <c r="CD563" s="93"/>
      <c r="CE563" s="292"/>
      <c r="CF563" s="296"/>
      <c r="CG563" s="296"/>
      <c r="CH563" s="296"/>
      <c r="CI563" s="296"/>
      <c r="CJ563" s="292"/>
      <c r="CK563" s="292"/>
      <c r="CL563" s="294"/>
      <c r="CM563" s="206"/>
      <c r="CN563" s="160"/>
      <c r="CO563" s="293"/>
      <c r="CP563" s="206"/>
      <c r="CQ563" s="201"/>
      <c r="CR563" s="93"/>
      <c r="CS563" s="699"/>
      <c r="CT563" s="93"/>
      <c r="CU563" s="292"/>
      <c r="CV563" s="296"/>
      <c r="CW563" s="296"/>
      <c r="CX563" s="296"/>
      <c r="CY563" s="206"/>
      <c r="CZ563" s="206"/>
      <c r="DA563" s="205"/>
      <c r="DB563" s="205"/>
      <c r="DC563" s="205"/>
      <c r="DD563" s="201"/>
      <c r="DE563" s="199"/>
      <c r="DF563" s="51"/>
      <c r="DG563" s="51"/>
      <c r="DH563" s="51"/>
      <c r="DI563" s="699"/>
      <c r="DJ563" s="93"/>
      <c r="DK563" s="206"/>
      <c r="DL563" s="206"/>
      <c r="DM563" s="206"/>
      <c r="DN563" s="199"/>
      <c r="DO563" s="206"/>
      <c r="DP563" s="205"/>
      <c r="DQ563" s="206"/>
      <c r="DR563" s="206"/>
      <c r="DS563" s="206"/>
      <c r="DT563" s="93"/>
      <c r="DU563" s="206"/>
      <c r="DV563" s="206"/>
      <c r="DW563" s="93"/>
      <c r="DX563" s="79"/>
    </row>
    <row r="564" spans="1:128">
      <c r="A564" s="709"/>
      <c r="B564" s="291"/>
      <c r="C564" s="93"/>
      <c r="D564" s="93"/>
      <c r="E564" s="291"/>
      <c r="F564" s="201"/>
      <c r="G564" s="206"/>
      <c r="H564" s="206"/>
      <c r="I564" s="205"/>
      <c r="J564" s="160"/>
      <c r="K564" s="205"/>
      <c r="L564" s="291"/>
      <c r="M564" s="93"/>
      <c r="N564" s="93"/>
      <c r="O564" s="291"/>
      <c r="P564" s="206"/>
      <c r="Q564" s="699"/>
      <c r="R564" s="199"/>
      <c r="S564" s="206"/>
      <c r="T564" s="93"/>
      <c r="U564" s="206"/>
      <c r="V564" s="206"/>
      <c r="W564" s="205"/>
      <c r="X564" s="160"/>
      <c r="Y564" s="205"/>
      <c r="Z564" s="193"/>
      <c r="AA564" s="199"/>
      <c r="AB564" s="206"/>
      <c r="AC564" s="294"/>
      <c r="AD564" s="296"/>
      <c r="AE564" s="93"/>
      <c r="AF564" s="93"/>
      <c r="AG564" s="114"/>
      <c r="AH564" s="51"/>
      <c r="AI564" s="51"/>
      <c r="AJ564" s="199"/>
      <c r="AK564" s="206"/>
      <c r="AL564" s="205"/>
      <c r="AM564" s="205"/>
      <c r="AN564" s="51"/>
      <c r="AO564" s="206"/>
      <c r="AP564" s="206"/>
      <c r="AQ564" s="206"/>
      <c r="AR564" s="300"/>
      <c r="AS564" s="296"/>
      <c r="AT564" s="292"/>
      <c r="AU564" s="93"/>
      <c r="AV564" s="93"/>
      <c r="AW564" s="699"/>
      <c r="AX564" s="206"/>
      <c r="AY564" s="93"/>
      <c r="AZ564" s="160"/>
      <c r="BA564" s="160"/>
      <c r="BB564" s="160"/>
      <c r="BC564" s="206"/>
      <c r="BD564" s="292"/>
      <c r="BE564" s="292"/>
      <c r="BF564" s="296"/>
      <c r="BG564" s="296"/>
      <c r="BH564" s="296"/>
      <c r="BI564" s="296"/>
      <c r="BJ564" s="292"/>
      <c r="BK564" s="93"/>
      <c r="BL564" s="79"/>
      <c r="BM564" s="93"/>
      <c r="BN564" s="291"/>
      <c r="BO564" s="93"/>
      <c r="BP564" s="93"/>
      <c r="BQ564" s="93"/>
      <c r="BR564" s="292"/>
      <c r="BS564" s="300"/>
      <c r="BT564" s="300"/>
      <c r="BU564" s="300"/>
      <c r="BV564" s="300"/>
      <c r="BW564" s="292"/>
      <c r="BX564" s="93"/>
      <c r="BY564" s="93"/>
      <c r="BZ564" s="93"/>
      <c r="CA564" s="291"/>
      <c r="CB564" s="93"/>
      <c r="CC564" s="699"/>
      <c r="CD564" s="93"/>
      <c r="CE564" s="292"/>
      <c r="CF564" s="296"/>
      <c r="CG564" s="296"/>
      <c r="CH564" s="296"/>
      <c r="CI564" s="296"/>
      <c r="CJ564" s="292"/>
      <c r="CK564" s="292"/>
      <c r="CL564" s="206"/>
      <c r="CM564" s="160"/>
      <c r="CN564" s="160"/>
      <c r="CO564" s="160"/>
      <c r="CP564" s="93"/>
      <c r="CQ564" s="206"/>
      <c r="CR564" s="93"/>
      <c r="CS564" s="699"/>
      <c r="CT564" s="93"/>
      <c r="CU564" s="292"/>
      <c r="CV564" s="296"/>
      <c r="CW564" s="296"/>
      <c r="CX564" s="206"/>
      <c r="CY564" s="206"/>
      <c r="CZ564" s="206"/>
      <c r="DA564" s="51"/>
      <c r="DB564" s="205"/>
      <c r="DC564" s="205"/>
      <c r="DD564" s="206"/>
      <c r="DE564" s="199"/>
      <c r="DF564" s="51"/>
      <c r="DG564" s="51"/>
      <c r="DH564" s="51"/>
      <c r="DI564" s="699"/>
      <c r="DJ564" s="93"/>
      <c r="DK564" s="296"/>
      <c r="DL564" s="294"/>
      <c r="DM564" s="206"/>
      <c r="DN564" s="199"/>
      <c r="DO564" s="193"/>
      <c r="DP564" s="205"/>
      <c r="DQ564" s="160"/>
      <c r="DR564" s="205"/>
      <c r="DS564" s="206"/>
      <c r="DT564" s="206"/>
      <c r="DU564" s="93"/>
      <c r="DV564" s="206"/>
      <c r="DW564" s="199"/>
      <c r="DX564" s="79"/>
    </row>
    <row r="565" spans="1:128">
      <c r="A565" s="709"/>
      <c r="B565" s="291"/>
      <c r="C565" s="206"/>
      <c r="D565" s="93"/>
      <c r="E565" s="199"/>
      <c r="F565" s="201"/>
      <c r="G565" s="193"/>
      <c r="H565" s="193"/>
      <c r="I565" s="193"/>
      <c r="J565" s="206"/>
      <c r="K565" s="205"/>
      <c r="L565" s="206"/>
      <c r="M565" s="93"/>
      <c r="N565" s="93"/>
      <c r="O565" s="291"/>
      <c r="P565" s="206"/>
      <c r="Q565" s="699"/>
      <c r="R565" s="199"/>
      <c r="S565" s="206"/>
      <c r="T565" s="93"/>
      <c r="U565" s="193"/>
      <c r="V565" s="193"/>
      <c r="W565" s="193"/>
      <c r="X565" s="206"/>
      <c r="Y565" s="205"/>
      <c r="Z565" s="206"/>
      <c r="AA565" s="199"/>
      <c r="AB565" s="206"/>
      <c r="AC565" s="206"/>
      <c r="AD565" s="296"/>
      <c r="AE565" s="93"/>
      <c r="AF565" s="93"/>
      <c r="AG565" s="114"/>
      <c r="AH565" s="51"/>
      <c r="AI565" s="51"/>
      <c r="AJ565" s="199"/>
      <c r="AK565" s="206"/>
      <c r="AL565" s="193"/>
      <c r="AM565" s="206"/>
      <c r="AN565" s="294"/>
      <c r="AO565" s="206"/>
      <c r="AP565" s="206"/>
      <c r="AQ565" s="206"/>
      <c r="AR565" s="300"/>
      <c r="AS565" s="296"/>
      <c r="AT565" s="292"/>
      <c r="AU565" s="93"/>
      <c r="AV565" s="93"/>
      <c r="AW565" s="864"/>
      <c r="AX565" s="206"/>
      <c r="AY565" s="193"/>
      <c r="AZ565" s="206"/>
      <c r="BA565" s="193"/>
      <c r="BB565" s="206"/>
      <c r="BC565" s="206"/>
      <c r="BD565" s="292"/>
      <c r="BE565" s="292"/>
      <c r="BF565" s="296"/>
      <c r="BG565" s="296"/>
      <c r="BH565" s="296"/>
      <c r="BI565" s="296"/>
      <c r="BJ565" s="292"/>
      <c r="BK565" s="93"/>
      <c r="BL565" s="79"/>
      <c r="BM565" s="93"/>
      <c r="BN565" s="291"/>
      <c r="BO565" s="93"/>
      <c r="BP565" s="93"/>
      <c r="BQ565" s="93"/>
      <c r="BR565" s="292"/>
      <c r="BS565" s="300"/>
      <c r="BT565" s="300"/>
      <c r="BU565" s="300"/>
      <c r="BV565" s="300"/>
      <c r="BW565" s="292"/>
      <c r="BX565" s="93"/>
      <c r="BY565" s="93"/>
      <c r="BZ565" s="93"/>
      <c r="CA565" s="291"/>
      <c r="CB565" s="93"/>
      <c r="CC565" s="699"/>
      <c r="CD565" s="93"/>
      <c r="CE565" s="292"/>
      <c r="CF565" s="296"/>
      <c r="CG565" s="296"/>
      <c r="CH565" s="296"/>
      <c r="CI565" s="296"/>
      <c r="CJ565" s="292"/>
      <c r="CK565" s="292"/>
      <c r="CL565" s="206"/>
      <c r="CM565" s="206"/>
      <c r="CN565" s="193"/>
      <c r="CO565" s="206"/>
      <c r="CP565" s="193"/>
      <c r="CQ565" s="206"/>
      <c r="CR565" s="199"/>
      <c r="CS565" s="699"/>
      <c r="CT565" s="93"/>
      <c r="CU565" s="292"/>
      <c r="CV565" s="296"/>
      <c r="CW565" s="296"/>
      <c r="CX565" s="206"/>
      <c r="CY565" s="206"/>
      <c r="CZ565" s="206"/>
      <c r="DA565" s="294"/>
      <c r="DB565" s="206"/>
      <c r="DC565" s="193"/>
      <c r="DD565" s="206"/>
      <c r="DE565" s="199"/>
      <c r="DF565" s="51"/>
      <c r="DG565" s="51"/>
      <c r="DH565" s="51"/>
      <c r="DI565" s="699"/>
      <c r="DJ565" s="93"/>
      <c r="DK565" s="296"/>
      <c r="DL565" s="206"/>
      <c r="DM565" s="206"/>
      <c r="DN565" s="199"/>
      <c r="DO565" s="206"/>
      <c r="DP565" s="205"/>
      <c r="DQ565" s="206"/>
      <c r="DR565" s="193"/>
      <c r="DS565" s="193"/>
      <c r="DT565" s="193"/>
      <c r="DU565" s="93"/>
      <c r="DV565" s="206"/>
      <c r="DW565" s="199"/>
      <c r="DX565" s="79"/>
    </row>
    <row r="566" spans="1:128">
      <c r="A566" s="709"/>
      <c r="B566" s="291"/>
      <c r="C566" s="206"/>
      <c r="D566" s="93"/>
      <c r="E566" s="93"/>
      <c r="F566" s="294"/>
      <c r="G566" s="295"/>
      <c r="H566" s="299"/>
      <c r="I566" s="295"/>
      <c r="J566" s="193"/>
      <c r="K566" s="205"/>
      <c r="L566" s="93"/>
      <c r="M566" s="93"/>
      <c r="N566" s="206"/>
      <c r="O566" s="291"/>
      <c r="P566" s="206"/>
      <c r="Q566" s="699"/>
      <c r="R566" s="201"/>
      <c r="S566" s="206"/>
      <c r="T566" s="93"/>
      <c r="U566" s="295"/>
      <c r="V566" s="299"/>
      <c r="W566" s="295"/>
      <c r="X566" s="193"/>
      <c r="Y566" s="206"/>
      <c r="Z566" s="199"/>
      <c r="AA566" s="206"/>
      <c r="AB566" s="206"/>
      <c r="AC566" s="294"/>
      <c r="AD566" s="93"/>
      <c r="AE566" s="93"/>
      <c r="AF566" s="93"/>
      <c r="AG566" s="114"/>
      <c r="AH566" s="51"/>
      <c r="AI566" s="199"/>
      <c r="AJ566" s="206"/>
      <c r="AK566" s="299"/>
      <c r="AL566" s="295"/>
      <c r="AM566" s="193"/>
      <c r="AN566" s="206"/>
      <c r="AO566" s="294"/>
      <c r="AP566" s="206"/>
      <c r="AQ566" s="206"/>
      <c r="AR566" s="206"/>
      <c r="AS566" s="206"/>
      <c r="AT566" s="93"/>
      <c r="AU566" s="93"/>
      <c r="AV566" s="93"/>
      <c r="AW566" s="864"/>
      <c r="AX566" s="206"/>
      <c r="AY566" s="295"/>
      <c r="AZ566" s="299"/>
      <c r="BA566" s="295"/>
      <c r="BB566" s="193"/>
      <c r="BC566" s="206"/>
      <c r="BD566" s="294"/>
      <c r="BE566" s="292"/>
      <c r="BF566" s="292"/>
      <c r="BG566" s="292"/>
      <c r="BH566" s="292"/>
      <c r="BI566" s="292"/>
      <c r="BJ566" s="93"/>
      <c r="BK566" s="93"/>
      <c r="BL566" s="79"/>
      <c r="BM566" s="93"/>
      <c r="BN566" s="291"/>
      <c r="BO566" s="206"/>
      <c r="BP566" s="93"/>
      <c r="BQ566" s="93"/>
      <c r="BR566" s="201"/>
      <c r="BS566" s="206"/>
      <c r="BT566" s="206"/>
      <c r="BU566" s="206"/>
      <c r="BV566" s="206"/>
      <c r="BW566" s="205"/>
      <c r="BX566" s="93"/>
      <c r="BY566" s="93"/>
      <c r="BZ566" s="206"/>
      <c r="CA566" s="291"/>
      <c r="CB566" s="93"/>
      <c r="CC566" s="699"/>
      <c r="CD566" s="93"/>
      <c r="CE566" s="93"/>
      <c r="CF566" s="292"/>
      <c r="CG566" s="292"/>
      <c r="CH566" s="292"/>
      <c r="CI566" s="292"/>
      <c r="CJ566" s="292"/>
      <c r="CK566" s="294"/>
      <c r="CL566" s="206"/>
      <c r="CM566" s="193"/>
      <c r="CN566" s="295"/>
      <c r="CO566" s="299"/>
      <c r="CP566" s="295"/>
      <c r="CQ566" s="206"/>
      <c r="CR566" s="199"/>
      <c r="CS566" s="699"/>
      <c r="CT566" s="93"/>
      <c r="CU566" s="93"/>
      <c r="CV566" s="206"/>
      <c r="CW566" s="206"/>
      <c r="CX566" s="206"/>
      <c r="CY566" s="206"/>
      <c r="CZ566" s="294"/>
      <c r="DA566" s="206"/>
      <c r="DB566" s="193"/>
      <c r="DC566" s="295"/>
      <c r="DD566" s="299"/>
      <c r="DE566" s="206"/>
      <c r="DF566" s="199"/>
      <c r="DG566" s="51"/>
      <c r="DH566" s="51"/>
      <c r="DI566" s="699"/>
      <c r="DJ566" s="93"/>
      <c r="DK566" s="93"/>
      <c r="DL566" s="294"/>
      <c r="DM566" s="206"/>
      <c r="DN566" s="206"/>
      <c r="DO566" s="199"/>
      <c r="DP566" s="206"/>
      <c r="DQ566" s="193"/>
      <c r="DR566" s="295"/>
      <c r="DS566" s="299"/>
      <c r="DT566" s="295"/>
      <c r="DU566" s="93"/>
      <c r="DV566" s="206"/>
      <c r="DW566" s="201"/>
      <c r="DX566" s="79"/>
    </row>
    <row r="567" spans="1:128">
      <c r="A567" s="699"/>
      <c r="B567" s="291"/>
      <c r="C567" s="206"/>
      <c r="D567" s="93"/>
      <c r="E567" s="93"/>
      <c r="F567" s="201"/>
      <c r="G567" s="206"/>
      <c r="H567" s="206"/>
      <c r="I567" s="206"/>
      <c r="J567" s="206"/>
      <c r="K567" s="201"/>
      <c r="L567" s="93"/>
      <c r="M567" s="93"/>
      <c r="N567" s="206"/>
      <c r="O567" s="291"/>
      <c r="P567" s="93"/>
      <c r="Q567" s="699"/>
      <c r="R567" s="201"/>
      <c r="S567" s="206"/>
      <c r="T567" s="93"/>
      <c r="U567" s="206"/>
      <c r="V567" s="206"/>
      <c r="W567" s="206"/>
      <c r="X567" s="206"/>
      <c r="Y567" s="206"/>
      <c r="Z567" s="199"/>
      <c r="AA567" s="206"/>
      <c r="AB567" s="294"/>
      <c r="AC567" s="206"/>
      <c r="AD567" s="93"/>
      <c r="AE567" s="93"/>
      <c r="AF567" s="93"/>
      <c r="AG567" s="114"/>
      <c r="AH567" s="51"/>
      <c r="AI567" s="199"/>
      <c r="AJ567" s="206"/>
      <c r="AK567" s="206"/>
      <c r="AL567" s="206"/>
      <c r="AM567" s="206"/>
      <c r="AN567" s="294"/>
      <c r="AO567" s="206"/>
      <c r="AP567" s="293"/>
      <c r="AQ567" s="161"/>
      <c r="AR567" s="93"/>
      <c r="AS567" s="93"/>
      <c r="AT567" s="93"/>
      <c r="AU567" s="93"/>
      <c r="AV567" s="93"/>
      <c r="AW567" s="864"/>
      <c r="AX567" s="206"/>
      <c r="AY567" s="206"/>
      <c r="AZ567" s="206"/>
      <c r="BA567" s="206"/>
      <c r="BB567" s="206"/>
      <c r="BC567" s="93"/>
      <c r="BD567" s="294"/>
      <c r="BE567" s="206"/>
      <c r="BF567" s="294"/>
      <c r="BG567" s="201"/>
      <c r="BH567" s="161"/>
      <c r="BI567" s="93"/>
      <c r="BJ567" s="93"/>
      <c r="BK567" s="93"/>
      <c r="BL567" s="79"/>
      <c r="BM567" s="93"/>
      <c r="BN567" s="291"/>
      <c r="BO567" s="206"/>
      <c r="BP567" s="93"/>
      <c r="BQ567" s="93"/>
      <c r="BR567" s="291"/>
      <c r="BS567" s="199"/>
      <c r="BT567" s="297"/>
      <c r="BU567" s="161"/>
      <c r="BV567" s="290"/>
      <c r="BW567" s="206"/>
      <c r="BX567" s="93"/>
      <c r="BY567" s="93"/>
      <c r="BZ567" s="206"/>
      <c r="CA567" s="201"/>
      <c r="CB567" s="93"/>
      <c r="CC567" s="699"/>
      <c r="CD567" s="93"/>
      <c r="CE567" s="93"/>
      <c r="CF567" s="93"/>
      <c r="CG567" s="161"/>
      <c r="CH567" s="201"/>
      <c r="CI567" s="294"/>
      <c r="CJ567" s="206"/>
      <c r="CK567" s="294"/>
      <c r="CL567" s="93"/>
      <c r="CM567" s="206"/>
      <c r="CN567" s="206"/>
      <c r="CO567" s="206"/>
      <c r="CP567" s="206"/>
      <c r="CQ567" s="206"/>
      <c r="CR567" s="199"/>
      <c r="CS567" s="699"/>
      <c r="CT567" s="93"/>
      <c r="CU567" s="93"/>
      <c r="CV567" s="93"/>
      <c r="CW567" s="93"/>
      <c r="CX567" s="161"/>
      <c r="CY567" s="293"/>
      <c r="CZ567" s="206"/>
      <c r="DA567" s="294"/>
      <c r="DB567" s="206"/>
      <c r="DC567" s="206"/>
      <c r="DD567" s="206"/>
      <c r="DE567" s="206"/>
      <c r="DF567" s="199"/>
      <c r="DG567" s="51"/>
      <c r="DH567" s="51"/>
      <c r="DI567" s="699"/>
      <c r="DJ567" s="93"/>
      <c r="DK567" s="93"/>
      <c r="DL567" s="206"/>
      <c r="DM567" s="294"/>
      <c r="DN567" s="206"/>
      <c r="DO567" s="199"/>
      <c r="DP567" s="206"/>
      <c r="DQ567" s="206"/>
      <c r="DR567" s="206"/>
      <c r="DS567" s="206"/>
      <c r="DT567" s="206"/>
      <c r="DU567" s="93"/>
      <c r="DV567" s="206"/>
      <c r="DW567" s="201"/>
      <c r="DX567" s="79"/>
    </row>
    <row r="568" spans="1:128">
      <c r="A568" s="699"/>
      <c r="B568" s="201"/>
      <c r="C568" s="206"/>
      <c r="D568" s="93"/>
      <c r="E568" s="93"/>
      <c r="F568" s="199"/>
      <c r="G568" s="199"/>
      <c r="H568" s="298"/>
      <c r="I568" s="294"/>
      <c r="J568" s="290"/>
      <c r="K568" s="206"/>
      <c r="L568" s="93"/>
      <c r="M568" s="93"/>
      <c r="N568" s="206"/>
      <c r="O568" s="201"/>
      <c r="P568" s="93"/>
      <c r="Q568" s="699"/>
      <c r="R568" s="201"/>
      <c r="S568" s="206"/>
      <c r="T568" s="93"/>
      <c r="U568" s="93"/>
      <c r="V568" s="93"/>
      <c r="W568" s="93"/>
      <c r="X568" s="93"/>
      <c r="Y568" s="294"/>
      <c r="Z568" s="199"/>
      <c r="AA568" s="206"/>
      <c r="AB568" s="201"/>
      <c r="AC568" s="294"/>
      <c r="AD568" s="93"/>
      <c r="AE568" s="93"/>
      <c r="AF568" s="93"/>
      <c r="AG568" s="114"/>
      <c r="AH568" s="51"/>
      <c r="AI568" s="199"/>
      <c r="AJ568" s="206"/>
      <c r="AK568" s="201"/>
      <c r="AL568" s="51"/>
      <c r="AM568" s="51"/>
      <c r="AN568" s="201"/>
      <c r="AO568" s="201"/>
      <c r="AP568" s="294"/>
      <c r="AQ568" s="201"/>
      <c r="AR568" s="206"/>
      <c r="AS568" s="93"/>
      <c r="AT568" s="93"/>
      <c r="AU568" s="93"/>
      <c r="AV568" s="93"/>
      <c r="AW568" s="709"/>
      <c r="AX568" s="206"/>
      <c r="AY568" s="93"/>
      <c r="AZ568" s="93"/>
      <c r="BA568" s="93"/>
      <c r="BB568" s="93"/>
      <c r="BC568" s="93"/>
      <c r="BD568" s="206"/>
      <c r="BE568" s="294"/>
      <c r="BF568" s="206"/>
      <c r="BG568" s="206"/>
      <c r="BH568" s="206"/>
      <c r="BI568" s="93"/>
      <c r="BJ568" s="93"/>
      <c r="BK568" s="93"/>
      <c r="BL568" s="79"/>
      <c r="BM568" s="93"/>
      <c r="BN568" s="201"/>
      <c r="BO568" s="206"/>
      <c r="BP568" s="93"/>
      <c r="BQ568" s="93"/>
      <c r="BR568" s="93"/>
      <c r="BS568" s="201"/>
      <c r="BT568" s="201"/>
      <c r="BU568" s="206"/>
      <c r="BV568" s="291"/>
      <c r="BW568" s="93"/>
      <c r="BX568" s="93"/>
      <c r="BY568" s="93"/>
      <c r="BZ568" s="206"/>
      <c r="CA568" s="291"/>
      <c r="CB568" s="93"/>
      <c r="CC568" s="699"/>
      <c r="CD568" s="93"/>
      <c r="CE568" s="93"/>
      <c r="CF568" s="93"/>
      <c r="CG568" s="206"/>
      <c r="CH568" s="206"/>
      <c r="CI568" s="206"/>
      <c r="CJ568" s="294"/>
      <c r="CK568" s="206"/>
      <c r="CL568" s="93"/>
      <c r="CM568" s="93"/>
      <c r="CN568" s="93"/>
      <c r="CO568" s="93"/>
      <c r="CP568" s="93"/>
      <c r="CQ568" s="206"/>
      <c r="CR568" s="201"/>
      <c r="CS568" s="699"/>
      <c r="CT568" s="93"/>
      <c r="CU568" s="93"/>
      <c r="CV568" s="93"/>
      <c r="CW568" s="206"/>
      <c r="CX568" s="201"/>
      <c r="CY568" s="294"/>
      <c r="CZ568" s="201"/>
      <c r="DA568" s="201"/>
      <c r="DB568" s="51"/>
      <c r="DC568" s="51"/>
      <c r="DD568" s="201"/>
      <c r="DE568" s="206"/>
      <c r="DF568" s="199"/>
      <c r="DG568" s="51"/>
      <c r="DH568" s="51"/>
      <c r="DI568" s="699"/>
      <c r="DJ568" s="93"/>
      <c r="DK568" s="93"/>
      <c r="DL568" s="294"/>
      <c r="DM568" s="201"/>
      <c r="DN568" s="206"/>
      <c r="DO568" s="199"/>
      <c r="DP568" s="294"/>
      <c r="DQ568" s="93"/>
      <c r="DR568" s="93"/>
      <c r="DS568" s="93"/>
      <c r="DT568" s="93"/>
      <c r="DU568" s="93"/>
      <c r="DV568" s="206"/>
      <c r="DW568" s="201"/>
      <c r="DX568" s="79"/>
    </row>
    <row r="569" spans="1:128">
      <c r="A569" s="699"/>
      <c r="B569" s="201"/>
      <c r="C569" s="206"/>
      <c r="D569" s="93"/>
      <c r="E569" s="93"/>
      <c r="F569" s="93"/>
      <c r="G569" s="207"/>
      <c r="H569" s="201"/>
      <c r="I569" s="201"/>
      <c r="J569" s="290"/>
      <c r="K569" s="93"/>
      <c r="L569" s="93"/>
      <c r="M569" s="93"/>
      <c r="N569" s="206"/>
      <c r="O569" s="201"/>
      <c r="P569" s="93"/>
      <c r="Q569" s="864"/>
      <c r="R569" s="201"/>
      <c r="S569" s="93"/>
      <c r="T569" s="93"/>
      <c r="U569" s="93"/>
      <c r="V569" s="93"/>
      <c r="W569" s="93"/>
      <c r="X569" s="93"/>
      <c r="Y569" s="93"/>
      <c r="Z569" s="199"/>
      <c r="AA569" s="206"/>
      <c r="AB569" s="294"/>
      <c r="AC569" s="206"/>
      <c r="AD569" s="206"/>
      <c r="AE569" s="93"/>
      <c r="AF569" s="93"/>
      <c r="AG569" s="114"/>
      <c r="AH569" s="51"/>
      <c r="AI569" s="199"/>
      <c r="AJ569" s="206"/>
      <c r="AK569" s="201"/>
      <c r="AL569" s="51"/>
      <c r="AM569" s="51"/>
      <c r="AN569" s="51"/>
      <c r="AO569" s="294"/>
      <c r="AP569" s="206"/>
      <c r="AQ569" s="297"/>
      <c r="AR569" s="161"/>
      <c r="AS569" s="93"/>
      <c r="AT569" s="93"/>
      <c r="AU569" s="93"/>
      <c r="AV569" s="93"/>
      <c r="AW569" s="709"/>
      <c r="AX569" s="206"/>
      <c r="AY569" s="93"/>
      <c r="AZ569" s="93"/>
      <c r="BA569" s="93"/>
      <c r="BB569" s="93"/>
      <c r="BC569" s="206"/>
      <c r="BD569" s="93"/>
      <c r="BE569" s="206"/>
      <c r="BF569" s="294"/>
      <c r="BG569" s="297"/>
      <c r="BH569" s="161"/>
      <c r="BI569" s="93"/>
      <c r="BJ569" s="93"/>
      <c r="BK569" s="93"/>
      <c r="BL569" s="79"/>
      <c r="BM569" s="93"/>
      <c r="BN569" s="201"/>
      <c r="BO569" s="93"/>
      <c r="BP569" s="93"/>
      <c r="BQ569" s="93"/>
      <c r="BR569" s="93"/>
      <c r="BS569" s="291"/>
      <c r="BT569" s="297"/>
      <c r="BU569" s="161"/>
      <c r="BV569" s="206"/>
      <c r="BW569" s="93"/>
      <c r="BX569" s="93"/>
      <c r="BY569" s="93"/>
      <c r="BZ569" s="93"/>
      <c r="CA569" s="291"/>
      <c r="CB569" s="93"/>
      <c r="CC569" s="699"/>
      <c r="CD569" s="93"/>
      <c r="CE569" s="93"/>
      <c r="CF569" s="93"/>
      <c r="CG569" s="161"/>
      <c r="CH569" s="297"/>
      <c r="CI569" s="294"/>
      <c r="CJ569" s="206"/>
      <c r="CK569" s="93"/>
      <c r="CL569" s="206"/>
      <c r="CM569" s="93"/>
      <c r="CN569" s="93"/>
      <c r="CO569" s="93"/>
      <c r="CP569" s="93"/>
      <c r="CQ569" s="206"/>
      <c r="CR569" s="201"/>
      <c r="CS569" s="699"/>
      <c r="CT569" s="93"/>
      <c r="CU569" s="93"/>
      <c r="CV569" s="93"/>
      <c r="CW569" s="161"/>
      <c r="CX569" s="297"/>
      <c r="CY569" s="206"/>
      <c r="CZ569" s="294"/>
      <c r="DA569" s="51"/>
      <c r="DB569" s="51"/>
      <c r="DC569" s="51"/>
      <c r="DD569" s="201"/>
      <c r="DE569" s="206"/>
      <c r="DF569" s="199"/>
      <c r="DG569" s="51"/>
      <c r="DH569" s="51"/>
      <c r="DI569" s="699"/>
      <c r="DJ569" s="93"/>
      <c r="DK569" s="206"/>
      <c r="DL569" s="206"/>
      <c r="DM569" s="294"/>
      <c r="DN569" s="206"/>
      <c r="DO569" s="199"/>
      <c r="DP569" s="93"/>
      <c r="DQ569" s="93"/>
      <c r="DR569" s="93"/>
      <c r="DS569" s="93"/>
      <c r="DT569" s="93"/>
      <c r="DU569" s="93"/>
      <c r="DV569" s="93"/>
      <c r="DW569" s="201"/>
      <c r="DX569" s="202"/>
    </row>
    <row r="570" spans="1:128">
      <c r="A570" s="699"/>
      <c r="B570" s="201"/>
      <c r="C570" s="206"/>
      <c r="D570" s="93"/>
      <c r="E570" s="93"/>
      <c r="F570" s="93"/>
      <c r="G570" s="201"/>
      <c r="H570" s="298"/>
      <c r="I570" s="294"/>
      <c r="J570" s="206"/>
      <c r="K570" s="93"/>
      <c r="L570" s="93"/>
      <c r="M570" s="93"/>
      <c r="N570" s="206"/>
      <c r="O570" s="291"/>
      <c r="P570" s="93"/>
      <c r="Q570" s="709"/>
      <c r="R570" s="206"/>
      <c r="S570" s="93"/>
      <c r="T570" s="93"/>
      <c r="U570" s="93"/>
      <c r="V570" s="93"/>
      <c r="W570" s="93"/>
      <c r="X570" s="93"/>
      <c r="Y570" s="93"/>
      <c r="Z570" s="206"/>
      <c r="AA570" s="291"/>
      <c r="AB570" s="291"/>
      <c r="AC570" s="292"/>
      <c r="AD570" s="292"/>
      <c r="AE570" s="296"/>
      <c r="AF570" s="93"/>
      <c r="AG570" s="114"/>
      <c r="AH570" s="199"/>
      <c r="AI570" s="206"/>
      <c r="AJ570" s="206"/>
      <c r="AK570" s="92"/>
      <c r="AL570" s="51"/>
      <c r="AM570" s="51"/>
      <c r="AN570" s="51"/>
      <c r="AO570" s="201"/>
      <c r="AP570" s="294"/>
      <c r="AQ570" s="206"/>
      <c r="AR570" s="206"/>
      <c r="AS570" s="206"/>
      <c r="AT570" s="93"/>
      <c r="AU570" s="93"/>
      <c r="AV570" s="93"/>
      <c r="AW570" s="709"/>
      <c r="AX570" s="206"/>
      <c r="AY570" s="93"/>
      <c r="AZ570" s="93"/>
      <c r="BA570" s="93"/>
      <c r="BB570" s="93"/>
      <c r="BC570" s="206"/>
      <c r="BD570" s="93"/>
      <c r="BE570" s="294"/>
      <c r="BF570" s="206"/>
      <c r="BG570" s="292"/>
      <c r="BH570" s="292"/>
      <c r="BI570" s="296"/>
      <c r="BJ570" s="296"/>
      <c r="BK570" s="93"/>
      <c r="BL570" s="79"/>
      <c r="BM570" s="201"/>
      <c r="BN570" s="291"/>
      <c r="BO570" s="93"/>
      <c r="BP570" s="93"/>
      <c r="BQ570" s="93"/>
      <c r="BR570" s="93"/>
      <c r="BS570" s="291"/>
      <c r="BT570" s="201"/>
      <c r="BU570" s="206"/>
      <c r="BV570" s="291"/>
      <c r="BW570" s="93"/>
      <c r="BX570" s="93"/>
      <c r="BY570" s="93"/>
      <c r="BZ570" s="93"/>
      <c r="CA570" s="291"/>
      <c r="CB570" s="206"/>
      <c r="CC570" s="699"/>
      <c r="CD570" s="93"/>
      <c r="CE570" s="296"/>
      <c r="CF570" s="296"/>
      <c r="CG570" s="292"/>
      <c r="CH570" s="292"/>
      <c r="CI570" s="206"/>
      <c r="CJ570" s="294"/>
      <c r="CK570" s="93"/>
      <c r="CL570" s="206"/>
      <c r="CM570" s="93"/>
      <c r="CN570" s="93"/>
      <c r="CO570" s="93"/>
      <c r="CP570" s="93"/>
      <c r="CQ570" s="206"/>
      <c r="CR570" s="201"/>
      <c r="CS570" s="699"/>
      <c r="CT570" s="93"/>
      <c r="CU570" s="93"/>
      <c r="CV570" s="206"/>
      <c r="CW570" s="206"/>
      <c r="CX570" s="206"/>
      <c r="CY570" s="294"/>
      <c r="CZ570" s="201"/>
      <c r="DA570" s="51"/>
      <c r="DB570" s="51"/>
      <c r="DC570" s="51"/>
      <c r="DD570" s="92"/>
      <c r="DE570" s="206"/>
      <c r="DF570" s="206"/>
      <c r="DG570" s="199"/>
      <c r="DH570" s="51"/>
      <c r="DI570" s="699"/>
      <c r="DJ570" s="296"/>
      <c r="DK570" s="292"/>
      <c r="DL570" s="292"/>
      <c r="DM570" s="291"/>
      <c r="DN570" s="291"/>
      <c r="DO570" s="206"/>
      <c r="DP570" s="93"/>
      <c r="DQ570" s="93"/>
      <c r="DR570" s="93"/>
      <c r="DS570" s="93"/>
      <c r="DT570" s="93"/>
      <c r="DU570" s="93"/>
      <c r="DV570" s="93"/>
      <c r="DW570" s="206"/>
      <c r="DX570" s="497"/>
    </row>
    <row r="571" spans="1:128">
      <c r="A571" s="709"/>
      <c r="B571" s="291"/>
      <c r="C571" s="206"/>
      <c r="D571" s="93"/>
      <c r="E571" s="93"/>
      <c r="F571" s="296"/>
      <c r="G571" s="291"/>
      <c r="H571" s="199"/>
      <c r="I571" s="201"/>
      <c r="J571" s="206"/>
      <c r="K571" s="296"/>
      <c r="L571" s="93"/>
      <c r="M571" s="93"/>
      <c r="N571" s="206"/>
      <c r="O571" s="291"/>
      <c r="P571" s="291"/>
      <c r="Q571" s="709"/>
      <c r="R571" s="206"/>
      <c r="S571" s="93"/>
      <c r="T571" s="93"/>
      <c r="U571" s="93"/>
      <c r="V571" s="93"/>
      <c r="W571" s="93"/>
      <c r="X571" s="93"/>
      <c r="Y571" s="199"/>
      <c r="Z571" s="206"/>
      <c r="AA571" s="303"/>
      <c r="AB571" s="296"/>
      <c r="AC571" s="292"/>
      <c r="AD571" s="292"/>
      <c r="AE571" s="296"/>
      <c r="AF571" s="296"/>
      <c r="AG571" s="114"/>
      <c r="AH571" s="199"/>
      <c r="AI571" s="206"/>
      <c r="AJ571" s="201"/>
      <c r="AK571" s="92"/>
      <c r="AL571" s="51"/>
      <c r="AM571" s="51"/>
      <c r="AN571" s="51"/>
      <c r="AO571" s="294"/>
      <c r="AP571" s="206"/>
      <c r="AQ571" s="293"/>
      <c r="AR571" s="292"/>
      <c r="AS571" s="296"/>
      <c r="AT571" s="296"/>
      <c r="AU571" s="296"/>
      <c r="AV571" s="305"/>
      <c r="AW571" s="765"/>
      <c r="AX571" s="93"/>
      <c r="AY571" s="93"/>
      <c r="AZ571" s="93"/>
      <c r="BA571" s="93"/>
      <c r="BB571" s="93"/>
      <c r="BC571" s="206"/>
      <c r="BD571" s="296"/>
      <c r="BE571" s="303"/>
      <c r="BF571" s="296"/>
      <c r="BG571" s="296"/>
      <c r="BH571" s="296"/>
      <c r="BI571" s="296"/>
      <c r="BJ571" s="296"/>
      <c r="BK571" s="201"/>
      <c r="BL571" s="79"/>
      <c r="BM571" s="199"/>
      <c r="BN571" s="291"/>
      <c r="BO571" s="93"/>
      <c r="BP571" s="93"/>
      <c r="BQ571" s="93"/>
      <c r="BR571" s="296"/>
      <c r="BS571" s="303"/>
      <c r="BT571" s="296"/>
      <c r="BU571" s="292"/>
      <c r="BV571" s="292"/>
      <c r="BW571" s="296"/>
      <c r="BX571" s="93"/>
      <c r="BY571" s="93"/>
      <c r="BZ571" s="93"/>
      <c r="CA571" s="291"/>
      <c r="CB571" s="206"/>
      <c r="CC571" s="699"/>
      <c r="CD571" s="201"/>
      <c r="CE571" s="296"/>
      <c r="CF571" s="296"/>
      <c r="CG571" s="296"/>
      <c r="CH571" s="296"/>
      <c r="CI571" s="296"/>
      <c r="CJ571" s="303"/>
      <c r="CK571" s="296"/>
      <c r="CL571" s="206"/>
      <c r="CM571" s="93"/>
      <c r="CN571" s="93"/>
      <c r="CO571" s="93"/>
      <c r="CP571" s="93"/>
      <c r="CQ571" s="93"/>
      <c r="CR571" s="206"/>
      <c r="CS571" s="710"/>
      <c r="CT571" s="296"/>
      <c r="CU571" s="296"/>
      <c r="CV571" s="296"/>
      <c r="CW571" s="292"/>
      <c r="CX571" s="293"/>
      <c r="CY571" s="206"/>
      <c r="CZ571" s="294"/>
      <c r="DA571" s="51"/>
      <c r="DB571" s="51"/>
      <c r="DC571" s="51"/>
      <c r="DD571" s="92"/>
      <c r="DE571" s="201"/>
      <c r="DF571" s="206"/>
      <c r="DG571" s="199"/>
      <c r="DH571" s="51"/>
      <c r="DI571" s="748"/>
      <c r="DJ571" s="296"/>
      <c r="DK571" s="292"/>
      <c r="DL571" s="292"/>
      <c r="DM571" s="296"/>
      <c r="DN571" s="303"/>
      <c r="DO571" s="206"/>
      <c r="DP571" s="199"/>
      <c r="DQ571" s="93"/>
      <c r="DR571" s="93"/>
      <c r="DS571" s="93"/>
      <c r="DT571" s="93"/>
      <c r="DU571" s="93"/>
      <c r="DV571" s="93"/>
      <c r="DW571" s="206"/>
      <c r="DX571" s="497"/>
    </row>
    <row r="572" spans="1:128">
      <c r="A572" s="864"/>
      <c r="B572" s="291"/>
      <c r="C572" s="93"/>
      <c r="D572" s="93"/>
      <c r="E572" s="201"/>
      <c r="F572" s="296"/>
      <c r="G572" s="303"/>
      <c r="H572" s="296"/>
      <c r="I572" s="292"/>
      <c r="J572" s="292"/>
      <c r="K572" s="296"/>
      <c r="L572" s="201"/>
      <c r="M572" s="93"/>
      <c r="N572" s="93"/>
      <c r="O572" s="291"/>
      <c r="P572" s="206"/>
      <c r="Q572" s="709"/>
      <c r="R572" s="93"/>
      <c r="S572" s="93"/>
      <c r="T572" s="93"/>
      <c r="U572" s="93"/>
      <c r="V572" s="93"/>
      <c r="W572" s="93"/>
      <c r="X572" s="305"/>
      <c r="Y572" s="199"/>
      <c r="Z572" s="206"/>
      <c r="AA572" s="300"/>
      <c r="AB572" s="300"/>
      <c r="AC572" s="296"/>
      <c r="AD572" s="296"/>
      <c r="AE572" s="291"/>
      <c r="AF572" s="199"/>
      <c r="AG572" s="114"/>
      <c r="AH572" s="199"/>
      <c r="AI572" s="206"/>
      <c r="AJ572" s="201"/>
      <c r="AK572" s="92"/>
      <c r="AL572" s="93"/>
      <c r="AM572" s="93"/>
      <c r="AN572" s="93"/>
      <c r="AO572" s="296"/>
      <c r="AP572" s="291"/>
      <c r="AQ572" s="296"/>
      <c r="AR572" s="296"/>
      <c r="AS572" s="296"/>
      <c r="AT572" s="291"/>
      <c r="AU572" s="205"/>
      <c r="AV572" s="291"/>
      <c r="AW572" s="765"/>
      <c r="AX572" s="93"/>
      <c r="AY572" s="93"/>
      <c r="AZ572" s="93"/>
      <c r="BA572" s="93"/>
      <c r="BB572" s="93"/>
      <c r="BC572" s="93"/>
      <c r="BD572" s="201"/>
      <c r="BE572" s="296"/>
      <c r="BF572" s="300"/>
      <c r="BG572" s="300"/>
      <c r="BH572" s="205"/>
      <c r="BI572" s="201"/>
      <c r="BJ572" s="201"/>
      <c r="BK572" s="291"/>
      <c r="BL572" s="202"/>
      <c r="BM572" s="201"/>
      <c r="BN572" s="93"/>
      <c r="BO572" s="93"/>
      <c r="BP572" s="93"/>
      <c r="BQ572" s="201"/>
      <c r="BR572" s="296"/>
      <c r="BS572" s="300"/>
      <c r="BT572" s="300"/>
      <c r="BU572" s="296"/>
      <c r="BV572" s="296"/>
      <c r="BW572" s="296"/>
      <c r="BX572" s="201"/>
      <c r="BY572" s="93"/>
      <c r="BZ572" s="93"/>
      <c r="CA572" s="93"/>
      <c r="CB572" s="291"/>
      <c r="CC572" s="864"/>
      <c r="CD572" s="291"/>
      <c r="CE572" s="201"/>
      <c r="CF572" s="201"/>
      <c r="CG572" s="205"/>
      <c r="CH572" s="300"/>
      <c r="CI572" s="300"/>
      <c r="CJ572" s="296"/>
      <c r="CK572" s="201"/>
      <c r="CL572" s="93"/>
      <c r="CM572" s="93"/>
      <c r="CN572" s="93"/>
      <c r="CO572" s="93"/>
      <c r="CP572" s="93"/>
      <c r="CQ572" s="93"/>
      <c r="CR572" s="206"/>
      <c r="CS572" s="876"/>
      <c r="CT572" s="205"/>
      <c r="CU572" s="291"/>
      <c r="CV572" s="296"/>
      <c r="CW572" s="296"/>
      <c r="CX572" s="296"/>
      <c r="CY572" s="291"/>
      <c r="CZ572" s="296"/>
      <c r="DA572" s="93"/>
      <c r="DB572" s="93"/>
      <c r="DC572" s="93"/>
      <c r="DD572" s="92"/>
      <c r="DE572" s="201"/>
      <c r="DF572" s="206"/>
      <c r="DG572" s="199"/>
      <c r="DH572" s="51"/>
      <c r="DI572" s="864"/>
      <c r="DJ572" s="291"/>
      <c r="DK572" s="296"/>
      <c r="DL572" s="296"/>
      <c r="DM572" s="300"/>
      <c r="DN572" s="300"/>
      <c r="DO572" s="206"/>
      <c r="DP572" s="199"/>
      <c r="DQ572" s="305"/>
      <c r="DR572" s="93"/>
      <c r="DS572" s="93"/>
      <c r="DT572" s="93"/>
      <c r="DU572" s="93"/>
      <c r="DV572" s="93"/>
      <c r="DW572" s="93"/>
      <c r="DX572" s="497"/>
    </row>
    <row r="573" spans="1:128">
      <c r="A573" s="709"/>
      <c r="B573" s="291"/>
      <c r="C573" s="93"/>
      <c r="D573" s="199"/>
      <c r="E573" s="303"/>
      <c r="F573" s="303"/>
      <c r="G573" s="300"/>
      <c r="H573" s="300"/>
      <c r="I573" s="296"/>
      <c r="J573" s="296"/>
      <c r="K573" s="296"/>
      <c r="L573" s="291"/>
      <c r="M573" s="199"/>
      <c r="N573" s="93"/>
      <c r="O573" s="864"/>
      <c r="P573" s="206"/>
      <c r="Q573" s="864"/>
      <c r="R573" s="93"/>
      <c r="S573" s="93"/>
      <c r="T573" s="93"/>
      <c r="U573" s="93"/>
      <c r="V573" s="93"/>
      <c r="W573" s="93"/>
      <c r="X573" s="93"/>
      <c r="Y573" s="201"/>
      <c r="Z573" s="206"/>
      <c r="AA573" s="205"/>
      <c r="AB573" s="205"/>
      <c r="AC573" s="201"/>
      <c r="AD573" s="205"/>
      <c r="AE573" s="292"/>
      <c r="AF573" s="292"/>
      <c r="AG573" s="864"/>
      <c r="AH573" s="201"/>
      <c r="AI573" s="201"/>
      <c r="AJ573" s="92"/>
      <c r="AK573" s="92"/>
      <c r="AL573" s="93"/>
      <c r="AM573" s="93"/>
      <c r="AN573" s="201"/>
      <c r="AO573" s="296"/>
      <c r="AP573" s="303"/>
      <c r="AQ573" s="300"/>
      <c r="AR573" s="201"/>
      <c r="AS573" s="205"/>
      <c r="AT573" s="205"/>
      <c r="AU573" s="291"/>
      <c r="AV573" s="93"/>
      <c r="AW573" s="765"/>
      <c r="AX573" s="93"/>
      <c r="AY573" s="93"/>
      <c r="AZ573" s="93"/>
      <c r="BA573" s="93"/>
      <c r="BB573" s="93"/>
      <c r="BC573" s="199"/>
      <c r="BD573" s="303"/>
      <c r="BE573" s="199"/>
      <c r="BF573" s="201"/>
      <c r="BG573" s="205"/>
      <c r="BH573" s="205"/>
      <c r="BI573" s="205"/>
      <c r="BJ573" s="305"/>
      <c r="BK573" s="205"/>
      <c r="BL573" s="202"/>
      <c r="BM573" s="201"/>
      <c r="BN573" s="93"/>
      <c r="BO573" s="93"/>
      <c r="BP573" s="199"/>
      <c r="BQ573" s="303"/>
      <c r="BR573" s="199"/>
      <c r="BS573" s="201"/>
      <c r="BT573" s="205"/>
      <c r="BU573" s="205"/>
      <c r="BV573" s="201"/>
      <c r="BW573" s="201"/>
      <c r="BX573" s="291"/>
      <c r="BY573" s="199"/>
      <c r="BZ573" s="93"/>
      <c r="CA573" s="93"/>
      <c r="CB573" s="291"/>
      <c r="CC573" s="864"/>
      <c r="CD573" s="205"/>
      <c r="CE573" s="305"/>
      <c r="CF573" s="205"/>
      <c r="CG573" s="205"/>
      <c r="CH573" s="205"/>
      <c r="CI573" s="201"/>
      <c r="CJ573" s="199"/>
      <c r="CK573" s="303"/>
      <c r="CL573" s="199"/>
      <c r="CM573" s="93"/>
      <c r="CN573" s="93"/>
      <c r="CO573" s="93"/>
      <c r="CP573" s="93"/>
      <c r="CQ573" s="93"/>
      <c r="CR573" s="206"/>
      <c r="CS573" s="699"/>
      <c r="CT573" s="291"/>
      <c r="CU573" s="205"/>
      <c r="CV573" s="205"/>
      <c r="CW573" s="201"/>
      <c r="CX573" s="300"/>
      <c r="CY573" s="303"/>
      <c r="CZ573" s="296"/>
      <c r="DA573" s="201"/>
      <c r="DB573" s="93"/>
      <c r="DC573" s="93"/>
      <c r="DD573" s="92"/>
      <c r="DE573" s="92"/>
      <c r="DF573" s="201"/>
      <c r="DG573" s="201"/>
      <c r="DH573" s="199"/>
      <c r="DI573" s="877"/>
      <c r="DJ573" s="292"/>
      <c r="DK573" s="205"/>
      <c r="DL573" s="201"/>
      <c r="DM573" s="205"/>
      <c r="DN573" s="205"/>
      <c r="DO573" s="206"/>
      <c r="DP573" s="201"/>
      <c r="DQ573" s="93"/>
      <c r="DR573" s="93"/>
      <c r="DS573" s="93"/>
      <c r="DT573" s="93"/>
      <c r="DU573" s="93"/>
      <c r="DV573" s="93"/>
      <c r="DW573" s="93"/>
      <c r="DX573" s="202"/>
    </row>
    <row r="574" spans="1:128">
      <c r="A574" s="709"/>
      <c r="B574" s="93"/>
      <c r="C574" s="93"/>
      <c r="D574" s="291"/>
      <c r="E574" s="93"/>
      <c r="F574" s="205"/>
      <c r="G574" s="201"/>
      <c r="H574" s="205"/>
      <c r="I574" s="205"/>
      <c r="J574" s="201"/>
      <c r="K574" s="205"/>
      <c r="L574" s="93"/>
      <c r="M574" s="291"/>
      <c r="N574" s="93"/>
      <c r="O574" s="93"/>
      <c r="P574" s="291"/>
      <c r="Q574" s="709"/>
      <c r="R574" s="93"/>
      <c r="S574" s="93"/>
      <c r="T574" s="93"/>
      <c r="U574" s="93"/>
      <c r="V574" s="93"/>
      <c r="W574" s="93"/>
      <c r="X574" s="93"/>
      <c r="Y574" s="305"/>
      <c r="Z574" s="206"/>
      <c r="AA574" s="292"/>
      <c r="AB574" s="292"/>
      <c r="AC574" s="305"/>
      <c r="AD574" s="292"/>
      <c r="AE574" s="51"/>
      <c r="AF574" s="93"/>
      <c r="AG574" s="864"/>
      <c r="AH574" s="51"/>
      <c r="AI574" s="51"/>
      <c r="AJ574" s="201"/>
      <c r="AK574" s="92"/>
      <c r="AL574" s="92"/>
      <c r="AM574" s="199"/>
      <c r="AN574" s="303"/>
      <c r="AO574" s="303"/>
      <c r="AP574" s="300"/>
      <c r="AQ574" s="205"/>
      <c r="AR574" s="205"/>
      <c r="AS574" s="305"/>
      <c r="AT574" s="201"/>
      <c r="AU574" s="93"/>
      <c r="AV574" s="93"/>
      <c r="AW574" s="699"/>
      <c r="AX574" s="206"/>
      <c r="AY574" s="93"/>
      <c r="AZ574" s="93"/>
      <c r="BA574" s="93"/>
      <c r="BB574" s="93"/>
      <c r="BC574" s="305"/>
      <c r="BD574" s="205"/>
      <c r="BE574" s="305"/>
      <c r="BF574" s="205"/>
      <c r="BG574" s="292"/>
      <c r="BH574" s="205"/>
      <c r="BI574" s="291"/>
      <c r="BJ574" s="292"/>
      <c r="BK574" s="292"/>
      <c r="BL574" s="79"/>
      <c r="BM574" s="93"/>
      <c r="BN574" s="206"/>
      <c r="BO574" s="93"/>
      <c r="BP574" s="305"/>
      <c r="BQ574" s="205"/>
      <c r="BR574" s="305"/>
      <c r="BS574" s="205"/>
      <c r="BT574" s="292"/>
      <c r="BU574" s="205"/>
      <c r="BV574" s="205"/>
      <c r="BW574" s="305"/>
      <c r="BX574" s="205"/>
      <c r="BY574" s="199"/>
      <c r="BZ574" s="93"/>
      <c r="CA574" s="291"/>
      <c r="CB574" s="93"/>
      <c r="CC574" s="699"/>
      <c r="CD574" s="292"/>
      <c r="CE574" s="292"/>
      <c r="CF574" s="291"/>
      <c r="CG574" s="205"/>
      <c r="CH574" s="292"/>
      <c r="CI574" s="205"/>
      <c r="CJ574" s="305"/>
      <c r="CK574" s="205"/>
      <c r="CL574" s="305"/>
      <c r="CM574" s="93"/>
      <c r="CN574" s="93"/>
      <c r="CO574" s="93"/>
      <c r="CP574" s="93"/>
      <c r="CQ574" s="206"/>
      <c r="CR574" s="93"/>
      <c r="CS574" s="699"/>
      <c r="CT574" s="93"/>
      <c r="CU574" s="201"/>
      <c r="CV574" s="305"/>
      <c r="CW574" s="205"/>
      <c r="CX574" s="205"/>
      <c r="CY574" s="300"/>
      <c r="CZ574" s="303"/>
      <c r="DA574" s="303"/>
      <c r="DB574" s="199"/>
      <c r="DC574" s="92"/>
      <c r="DD574" s="92"/>
      <c r="DE574" s="201"/>
      <c r="DF574" s="51"/>
      <c r="DG574" s="51"/>
      <c r="DH574" s="199"/>
      <c r="DI574" s="699"/>
      <c r="DJ574" s="51"/>
      <c r="DK574" s="292"/>
      <c r="DL574" s="305"/>
      <c r="DM574" s="292"/>
      <c r="DN574" s="292"/>
      <c r="DO574" s="206"/>
      <c r="DP574" s="305"/>
      <c r="DQ574" s="93"/>
      <c r="DR574" s="93"/>
      <c r="DS574" s="93"/>
      <c r="DT574" s="93"/>
      <c r="DU574" s="93"/>
      <c r="DV574" s="93"/>
      <c r="DW574" s="93"/>
      <c r="DX574" s="497"/>
    </row>
    <row r="575" spans="1:128">
      <c r="A575" s="709"/>
      <c r="B575" s="93"/>
      <c r="C575" s="93"/>
      <c r="D575" s="93"/>
      <c r="E575" s="93"/>
      <c r="F575" s="93"/>
      <c r="G575" s="305"/>
      <c r="H575" s="292"/>
      <c r="I575" s="93"/>
      <c r="J575" s="305"/>
      <c r="K575" s="292"/>
      <c r="L575" s="93"/>
      <c r="M575" s="93"/>
      <c r="N575" s="93"/>
      <c r="O575" s="93"/>
      <c r="P575" s="291"/>
      <c r="Q575" s="699"/>
      <c r="R575" s="201"/>
      <c r="S575" s="93"/>
      <c r="T575" s="93"/>
      <c r="U575" s="93"/>
      <c r="V575" s="93"/>
      <c r="W575" s="93"/>
      <c r="X575" s="92"/>
      <c r="Y575" s="206"/>
      <c r="Z575" s="292"/>
      <c r="AA575" s="92"/>
      <c r="AB575" s="92"/>
      <c r="AC575" s="292"/>
      <c r="AD575" s="291"/>
      <c r="AE575" s="93"/>
      <c r="AF575" s="93"/>
      <c r="AG575" s="864"/>
      <c r="AH575" s="51"/>
      <c r="AI575" s="51"/>
      <c r="AJ575" s="51"/>
      <c r="AK575" s="92"/>
      <c r="AL575" s="92"/>
      <c r="AM575" s="305"/>
      <c r="AN575" s="205"/>
      <c r="AO575" s="205"/>
      <c r="AP575" s="201"/>
      <c r="AQ575" s="292"/>
      <c r="AR575" s="93"/>
      <c r="AS575" s="93"/>
      <c r="AT575" s="93"/>
      <c r="AU575" s="93"/>
      <c r="AV575" s="93"/>
      <c r="AW575" s="699"/>
      <c r="AX575" s="93"/>
      <c r="AY575" s="93"/>
      <c r="AZ575" s="93"/>
      <c r="BA575" s="93"/>
      <c r="BB575" s="93"/>
      <c r="BC575" s="93"/>
      <c r="BD575" s="292"/>
      <c r="BE575" s="292"/>
      <c r="BF575" s="291"/>
      <c r="BG575" s="205"/>
      <c r="BH575" s="93"/>
      <c r="BI575" s="292"/>
      <c r="BJ575" s="93"/>
      <c r="BK575" s="93"/>
      <c r="BL575" s="79"/>
      <c r="BM575" s="93"/>
      <c r="BN575" s="93"/>
      <c r="BO575" s="93"/>
      <c r="BP575" s="93"/>
      <c r="BQ575" s="292"/>
      <c r="BR575" s="292"/>
      <c r="BS575" s="291"/>
      <c r="BT575" s="205"/>
      <c r="BU575" s="205"/>
      <c r="BV575" s="291"/>
      <c r="BW575" s="292"/>
      <c r="BX575" s="292"/>
      <c r="BY575" s="93"/>
      <c r="BZ575" s="93"/>
      <c r="CA575" s="93"/>
      <c r="CB575" s="93"/>
      <c r="CC575" s="699"/>
      <c r="CD575" s="93"/>
      <c r="CE575" s="93"/>
      <c r="CF575" s="292"/>
      <c r="CG575" s="93"/>
      <c r="CH575" s="205"/>
      <c r="CI575" s="291"/>
      <c r="CJ575" s="292"/>
      <c r="CK575" s="292"/>
      <c r="CL575" s="93"/>
      <c r="CM575" s="93"/>
      <c r="CN575" s="93"/>
      <c r="CO575" s="93"/>
      <c r="CP575" s="93"/>
      <c r="CQ575" s="93"/>
      <c r="CR575" s="93"/>
      <c r="CS575" s="699"/>
      <c r="CT575" s="93"/>
      <c r="CU575" s="93"/>
      <c r="CV575" s="93"/>
      <c r="CW575" s="93"/>
      <c r="CX575" s="292"/>
      <c r="CY575" s="201"/>
      <c r="CZ575" s="205"/>
      <c r="DA575" s="205"/>
      <c r="DB575" s="305"/>
      <c r="DC575" s="92"/>
      <c r="DD575" s="92"/>
      <c r="DE575" s="51"/>
      <c r="DF575" s="51"/>
      <c r="DG575" s="51"/>
      <c r="DH575" s="199"/>
      <c r="DI575" s="699"/>
      <c r="DJ575" s="93"/>
      <c r="DK575" s="291"/>
      <c r="DL575" s="292"/>
      <c r="DM575" s="92"/>
      <c r="DN575" s="92"/>
      <c r="DO575" s="292"/>
      <c r="DP575" s="206"/>
      <c r="DQ575" s="92"/>
      <c r="DR575" s="93"/>
      <c r="DS575" s="93"/>
      <c r="DT575" s="93"/>
      <c r="DU575" s="93"/>
      <c r="DV575" s="93"/>
      <c r="DW575" s="201"/>
      <c r="DX575" s="79"/>
    </row>
    <row r="576" spans="1:128">
      <c r="A576" s="699"/>
      <c r="B576" s="206"/>
      <c r="C576" s="93"/>
      <c r="D576" s="93"/>
      <c r="E576" s="93"/>
      <c r="F576" s="93"/>
      <c r="G576" s="93"/>
      <c r="H576" s="93"/>
      <c r="I576" s="93"/>
      <c r="J576" s="93"/>
      <c r="K576" s="93"/>
      <c r="L576" s="93"/>
      <c r="M576" s="93"/>
      <c r="N576" s="93"/>
      <c r="O576" s="291"/>
      <c r="P576" s="93"/>
      <c r="Q576" s="700"/>
      <c r="R576" s="73"/>
      <c r="S576" s="73"/>
      <c r="T576" s="73"/>
      <c r="U576" s="73"/>
      <c r="V576" s="73"/>
      <c r="W576" s="210"/>
      <c r="X576" s="332"/>
      <c r="Y576" s="73"/>
      <c r="Z576" s="73"/>
      <c r="AA576" s="73"/>
      <c r="AB576" s="73"/>
      <c r="AC576" s="73"/>
      <c r="AD576" s="73"/>
      <c r="AE576" s="73"/>
      <c r="AF576" s="73"/>
      <c r="AG576" s="115"/>
      <c r="AH576" s="211"/>
      <c r="AI576" s="106"/>
      <c r="AJ576" s="73"/>
      <c r="AK576" s="73"/>
      <c r="AL576" s="103"/>
      <c r="AM576" s="73"/>
      <c r="AN576" s="73"/>
      <c r="AO576" s="73"/>
      <c r="AP576" s="339"/>
      <c r="AQ576" s="73"/>
      <c r="AR576" s="73"/>
      <c r="AS576" s="73"/>
      <c r="AT576" s="73"/>
      <c r="AU576" s="73"/>
      <c r="AV576" s="73"/>
      <c r="AW576" s="700"/>
      <c r="AX576" s="73"/>
      <c r="AY576" s="73"/>
      <c r="AZ576" s="73"/>
      <c r="BA576" s="73"/>
      <c r="BB576" s="73"/>
      <c r="BC576" s="73"/>
      <c r="BD576" s="73"/>
      <c r="BE576" s="73"/>
      <c r="BF576" s="866"/>
      <c r="BG576" s="73"/>
      <c r="BH576" s="73"/>
      <c r="BI576" s="73"/>
      <c r="BJ576" s="73"/>
      <c r="BK576" s="73"/>
      <c r="BL576" s="701"/>
      <c r="BM576" s="73"/>
      <c r="BN576" s="73"/>
      <c r="BO576" s="73"/>
      <c r="BP576" s="73"/>
      <c r="BQ576" s="73"/>
      <c r="BR576" s="73"/>
      <c r="BS576" s="866"/>
      <c r="BT576" s="73"/>
      <c r="BU576" s="73"/>
      <c r="BV576" s="866"/>
      <c r="BW576" s="73"/>
      <c r="BX576" s="73"/>
      <c r="BY576" s="73"/>
      <c r="BZ576" s="73"/>
      <c r="CA576" s="73"/>
      <c r="CB576" s="73"/>
      <c r="CC576" s="699"/>
      <c r="CD576" s="93"/>
      <c r="CE576" s="93"/>
      <c r="CF576" s="93"/>
      <c r="CG576" s="93"/>
      <c r="CH576" s="93"/>
      <c r="CI576" s="292"/>
      <c r="CJ576" s="93"/>
      <c r="CK576" s="93"/>
      <c r="CL576" s="93"/>
      <c r="CM576" s="93"/>
      <c r="CN576" s="93"/>
      <c r="CO576" s="93"/>
      <c r="CP576" s="93"/>
      <c r="CQ576" s="93"/>
      <c r="CR576" s="93"/>
      <c r="CS576" s="699"/>
      <c r="CT576" s="93"/>
      <c r="CU576" s="93"/>
      <c r="CV576" s="93"/>
      <c r="CW576" s="93"/>
      <c r="CX576" s="93"/>
      <c r="CY576" s="305"/>
      <c r="CZ576" s="93"/>
      <c r="DA576" s="93"/>
      <c r="DB576" s="93"/>
      <c r="DC576" s="92"/>
      <c r="DD576" s="93"/>
      <c r="DE576" s="93"/>
      <c r="DF576" s="51"/>
      <c r="DG576" s="201"/>
      <c r="DH576" s="51"/>
      <c r="DI576" s="699"/>
      <c r="DJ576" s="93"/>
      <c r="DK576" s="93"/>
      <c r="DL576" s="93"/>
      <c r="DM576" s="93"/>
      <c r="DN576" s="93"/>
      <c r="DO576" s="93"/>
      <c r="DP576" s="93"/>
      <c r="DQ576" s="206"/>
      <c r="DR576" s="199"/>
      <c r="DS576" s="93"/>
      <c r="DT576" s="93"/>
      <c r="DU576" s="93"/>
      <c r="DV576" s="93"/>
      <c r="DW576" s="93"/>
      <c r="DX576" s="79"/>
    </row>
    <row r="577" spans="1:129">
      <c r="A577" s="753"/>
      <c r="B577" s="711"/>
      <c r="C577" s="711"/>
      <c r="D577" s="711"/>
      <c r="E577" s="711"/>
      <c r="F577" s="711"/>
      <c r="G577" s="711"/>
      <c r="H577" s="711"/>
      <c r="I577" s="711"/>
      <c r="J577" s="711"/>
      <c r="K577" s="711"/>
      <c r="L577" s="711"/>
      <c r="M577" s="711"/>
      <c r="N577" s="711"/>
      <c r="O577" s="711"/>
      <c r="P577" s="530"/>
      <c r="Q577" s="753"/>
      <c r="R577" s="711"/>
      <c r="S577" s="711"/>
      <c r="T577" s="711"/>
      <c r="U577" s="711"/>
      <c r="V577" s="711"/>
      <c r="W577" s="711"/>
      <c r="X577" s="711"/>
      <c r="Y577" s="711"/>
      <c r="Z577" s="711"/>
      <c r="AA577" s="711"/>
      <c r="AB577" s="711"/>
      <c r="AC577" s="711"/>
      <c r="AD577" s="711"/>
      <c r="AE577" s="711"/>
      <c r="AF577" s="530"/>
      <c r="AG577" s="753"/>
      <c r="AH577" s="711"/>
      <c r="AI577" s="711"/>
      <c r="AJ577" s="711"/>
      <c r="AK577" s="711"/>
      <c r="AL577" s="711"/>
      <c r="AM577" s="711"/>
      <c r="AN577" s="109"/>
      <c r="AO577" s="109"/>
      <c r="AP577" s="110"/>
      <c r="AQ577" s="110"/>
      <c r="AR577" s="109"/>
      <c r="AS577" s="109"/>
      <c r="AT577" s="109"/>
      <c r="AU577" s="109"/>
      <c r="AV577" s="111"/>
      <c r="AW577" s="753"/>
      <c r="AX577" s="711"/>
      <c r="AY577" s="711"/>
      <c r="AZ577" s="711"/>
      <c r="BA577" s="711"/>
      <c r="BB577" s="711"/>
      <c r="BC577" s="711"/>
      <c r="BD577" s="711"/>
      <c r="BE577" s="711"/>
      <c r="BF577" s="711"/>
      <c r="BG577" s="711"/>
      <c r="BH577" s="711"/>
      <c r="BI577" s="711"/>
      <c r="BJ577" s="711"/>
      <c r="BK577" s="711"/>
      <c r="BL577" s="530"/>
      <c r="BM577" s="753"/>
      <c r="BN577" s="711"/>
      <c r="BO577" s="711"/>
      <c r="BP577" s="711"/>
      <c r="BQ577" s="711"/>
      <c r="BR577" s="711"/>
      <c r="BS577" s="711"/>
      <c r="BT577" s="711"/>
      <c r="BU577" s="711"/>
      <c r="BV577" s="711"/>
      <c r="BW577" s="711"/>
      <c r="BX577" s="711"/>
      <c r="BY577" s="711"/>
      <c r="BZ577" s="711"/>
      <c r="CA577" s="711"/>
      <c r="CB577" s="711"/>
      <c r="CC577" s="869"/>
      <c r="CD577" s="396"/>
      <c r="CE577" s="396"/>
      <c r="CF577" s="396"/>
      <c r="CG577" s="396"/>
      <c r="CH577" s="396"/>
      <c r="CI577" s="396"/>
      <c r="CJ577" s="396"/>
      <c r="CK577" s="396"/>
      <c r="CL577" s="396"/>
      <c r="CM577" s="396"/>
      <c r="CN577" s="396"/>
      <c r="CO577" s="396"/>
      <c r="CP577" s="396"/>
      <c r="CQ577" s="396"/>
      <c r="CR577" s="896"/>
      <c r="CS577" s="907"/>
      <c r="CT577" s="908"/>
      <c r="CU577" s="908"/>
      <c r="CV577" s="908"/>
      <c r="CW577" s="908"/>
      <c r="CX577" s="396"/>
      <c r="CY577" s="396"/>
      <c r="CZ577" s="908"/>
      <c r="DA577" s="908"/>
      <c r="DB577" s="396"/>
      <c r="DC577" s="396"/>
      <c r="DD577" s="396"/>
      <c r="DE577" s="396"/>
      <c r="DF577" s="396"/>
      <c r="DG577" s="396"/>
      <c r="DH577" s="896"/>
      <c r="DI577" s="869"/>
      <c r="DJ577" s="396"/>
      <c r="DK577" s="396"/>
      <c r="DL577" s="396"/>
      <c r="DM577" s="396"/>
      <c r="DN577" s="396"/>
      <c r="DO577" s="396"/>
      <c r="DP577" s="396"/>
      <c r="DQ577" s="396"/>
      <c r="DR577" s="396"/>
      <c r="DS577" s="396"/>
      <c r="DT577" s="396"/>
      <c r="DU577" s="396"/>
      <c r="DV577" s="396"/>
      <c r="DW577" s="396"/>
      <c r="DX577" s="896"/>
      <c r="DY577" s="93"/>
    </row>
    <row r="578" spans="1:129">
      <c r="A578" s="699"/>
      <c r="B578" s="93"/>
      <c r="C578" s="93"/>
      <c r="D578" s="93"/>
      <c r="E578" s="93"/>
      <c r="F578" s="93"/>
      <c r="G578" s="93"/>
      <c r="H578" s="93"/>
      <c r="I578" s="93"/>
      <c r="J578" s="93"/>
      <c r="K578" s="93"/>
      <c r="L578" s="93"/>
      <c r="M578" s="93"/>
      <c r="N578" s="93"/>
      <c r="O578" s="93"/>
      <c r="P578" s="79"/>
      <c r="Q578" s="699"/>
      <c r="R578" s="93"/>
      <c r="S578" s="93"/>
      <c r="T578" s="93"/>
      <c r="U578" s="93"/>
      <c r="V578" s="93"/>
      <c r="W578" s="93"/>
      <c r="X578" s="93"/>
      <c r="Y578" s="93"/>
      <c r="Z578" s="93"/>
      <c r="AA578" s="93"/>
      <c r="AB578" s="93"/>
      <c r="AC578" s="93"/>
      <c r="AD578" s="93"/>
      <c r="AE578" s="93"/>
      <c r="AF578" s="79"/>
      <c r="AG578" s="699"/>
      <c r="AH578" s="93"/>
      <c r="AI578" s="93"/>
      <c r="AJ578" s="93"/>
      <c r="AK578" s="93"/>
      <c r="AL578" s="93"/>
      <c r="AM578" s="93"/>
      <c r="AN578" s="51"/>
      <c r="AO578" s="51"/>
      <c r="AP578" s="92"/>
      <c r="AQ578" s="92"/>
      <c r="AR578" s="51"/>
      <c r="AS578" s="51"/>
      <c r="AT578" s="51"/>
      <c r="AU578" s="51"/>
      <c r="AV578" s="82"/>
      <c r="AW578" s="699"/>
      <c r="AX578" s="93"/>
      <c r="AY578" s="93"/>
      <c r="AZ578" s="93"/>
      <c r="BA578" s="93"/>
      <c r="BB578" s="93"/>
      <c r="BC578" s="93"/>
      <c r="BD578" s="93"/>
      <c r="BE578" s="93"/>
      <c r="BF578" s="93"/>
      <c r="BG578" s="93"/>
      <c r="BH578" s="93"/>
      <c r="BI578" s="93"/>
      <c r="BJ578" s="93"/>
      <c r="BK578" s="93"/>
      <c r="BL578" s="79"/>
      <c r="BM578" s="699"/>
      <c r="BN578" s="93"/>
      <c r="BO578" s="93"/>
      <c r="BP578" s="93"/>
      <c r="BQ578" s="93"/>
      <c r="BR578" s="93"/>
      <c r="BS578" s="93"/>
      <c r="BT578" s="93"/>
      <c r="BU578" s="93"/>
      <c r="BV578" s="93"/>
      <c r="BW578" s="93"/>
      <c r="BX578" s="93"/>
      <c r="BY578" s="93"/>
      <c r="BZ578" s="93"/>
      <c r="CA578" s="93"/>
      <c r="CB578" s="93"/>
      <c r="CC578" s="363"/>
      <c r="CD578" s="117"/>
      <c r="CE578" s="117"/>
      <c r="CF578" s="117"/>
      <c r="CG578" s="117"/>
      <c r="CH578" s="117"/>
      <c r="CI578" s="117"/>
      <c r="CJ578" s="117"/>
      <c r="CK578" s="117"/>
      <c r="CL578" s="117"/>
      <c r="CM578" s="117"/>
      <c r="CN578" s="117"/>
      <c r="CO578" s="117"/>
      <c r="CP578" s="117"/>
      <c r="CQ578" s="117"/>
      <c r="CR578" s="364"/>
      <c r="CS578" s="361"/>
      <c r="CT578" s="70"/>
      <c r="CU578" s="70"/>
      <c r="CV578" s="70"/>
      <c r="CW578" s="70"/>
      <c r="CX578" s="117"/>
      <c r="CY578" s="117"/>
      <c r="CZ578" s="70"/>
      <c r="DA578" s="70"/>
      <c r="DB578" s="117"/>
      <c r="DC578" s="117"/>
      <c r="DD578" s="117"/>
      <c r="DE578" s="117"/>
      <c r="DF578" s="117"/>
      <c r="DG578" s="117"/>
      <c r="DH578" s="364"/>
      <c r="DI578" s="363"/>
      <c r="DJ578" s="117"/>
      <c r="DK578" s="117"/>
      <c r="DL578" s="117"/>
      <c r="DM578" s="117"/>
      <c r="DN578" s="117"/>
      <c r="DO578" s="117"/>
      <c r="DP578" s="117"/>
      <c r="DQ578" s="117"/>
      <c r="DR578" s="117"/>
      <c r="DS578" s="117"/>
      <c r="DT578" s="117"/>
      <c r="DU578" s="117"/>
      <c r="DV578" s="117"/>
      <c r="DW578" s="117"/>
      <c r="DX578" s="364"/>
      <c r="DY578" s="93"/>
    </row>
    <row r="579" spans="1:129">
      <c r="A579" s="699"/>
      <c r="B579" s="93"/>
      <c r="C579" s="93"/>
      <c r="D579" s="93"/>
      <c r="E579" s="93"/>
      <c r="F579" s="93"/>
      <c r="G579" s="93"/>
      <c r="H579" s="93"/>
      <c r="I579" s="93"/>
      <c r="J579" s="93"/>
      <c r="K579" s="93"/>
      <c r="L579" s="93"/>
      <c r="M579" s="93"/>
      <c r="N579" s="93"/>
      <c r="O579" s="93"/>
      <c r="P579" s="79"/>
      <c r="Q579" s="699"/>
      <c r="R579" s="93"/>
      <c r="S579" s="93"/>
      <c r="T579" s="93"/>
      <c r="U579" s="93"/>
      <c r="V579" s="93"/>
      <c r="W579" s="93"/>
      <c r="X579" s="93"/>
      <c r="Y579" s="93"/>
      <c r="Z579" s="93"/>
      <c r="AA579" s="93"/>
      <c r="AB579" s="93"/>
      <c r="AC579" s="93"/>
      <c r="AD579" s="93"/>
      <c r="AE579" s="93"/>
      <c r="AF579" s="79"/>
      <c r="AG579" s="699"/>
      <c r="AH579" s="93"/>
      <c r="AI579" s="93"/>
      <c r="AJ579" s="93"/>
      <c r="AK579" s="93"/>
      <c r="AL579" s="93"/>
      <c r="AM579" s="93"/>
      <c r="AN579" s="51"/>
      <c r="AO579" s="51"/>
      <c r="AP579" s="92"/>
      <c r="AQ579" s="92"/>
      <c r="AR579" s="51"/>
      <c r="AS579" s="51"/>
      <c r="AT579" s="51"/>
      <c r="AU579" s="51"/>
      <c r="AV579" s="82"/>
      <c r="AW579" s="699"/>
      <c r="AX579" s="93"/>
      <c r="AY579" s="93"/>
      <c r="AZ579" s="93"/>
      <c r="BA579" s="93"/>
      <c r="BB579" s="93"/>
      <c r="BC579" s="93"/>
      <c r="BD579" s="93"/>
      <c r="BE579" s="93"/>
      <c r="BF579" s="93"/>
      <c r="BG579" s="93"/>
      <c r="BH579" s="93"/>
      <c r="BI579" s="93"/>
      <c r="BJ579" s="93"/>
      <c r="BK579" s="93"/>
      <c r="BL579" s="79"/>
      <c r="BM579" s="699"/>
      <c r="BN579" s="93"/>
      <c r="BO579" s="93"/>
      <c r="BP579" s="93"/>
      <c r="BQ579" s="93"/>
      <c r="BR579" s="93"/>
      <c r="BS579" s="93"/>
      <c r="BT579" s="93"/>
      <c r="BU579" s="93"/>
      <c r="BV579" s="93"/>
      <c r="BW579" s="93"/>
      <c r="BX579" s="93"/>
      <c r="BY579" s="93"/>
      <c r="BZ579" s="93"/>
      <c r="CA579" s="93"/>
      <c r="CB579" s="93"/>
      <c r="CC579" s="363"/>
      <c r="CD579" s="117"/>
      <c r="CE579" s="117"/>
      <c r="CF579" s="117"/>
      <c r="CG579" s="117"/>
      <c r="CH579" s="117"/>
      <c r="CI579" s="117"/>
      <c r="CJ579" s="117"/>
      <c r="CK579" s="117"/>
      <c r="CL579" s="117"/>
      <c r="CM579" s="117"/>
      <c r="CN579" s="117"/>
      <c r="CO579" s="117"/>
      <c r="CP579" s="117"/>
      <c r="CQ579" s="117"/>
      <c r="CR579" s="364"/>
      <c r="CS579" s="361"/>
      <c r="CT579" s="70"/>
      <c r="CU579" s="70"/>
      <c r="CV579" s="70"/>
      <c r="CW579" s="70"/>
      <c r="CX579" s="117"/>
      <c r="CY579" s="117"/>
      <c r="CZ579" s="70"/>
      <c r="DA579" s="70"/>
      <c r="DB579" s="117"/>
      <c r="DC579" s="117"/>
      <c r="DD579" s="117"/>
      <c r="DE579" s="117"/>
      <c r="DF579" s="117"/>
      <c r="DG579" s="117"/>
      <c r="DH579" s="364"/>
      <c r="DI579" s="363"/>
      <c r="DJ579" s="117"/>
      <c r="DK579" s="117"/>
      <c r="DL579" s="117"/>
      <c r="DM579" s="117"/>
      <c r="DN579" s="117"/>
      <c r="DO579" s="117"/>
      <c r="DP579" s="117"/>
      <c r="DQ579" s="117"/>
      <c r="DR579" s="117"/>
      <c r="DS579" s="117"/>
      <c r="DT579" s="117"/>
      <c r="DU579" s="117"/>
      <c r="DV579" s="117"/>
      <c r="DW579" s="117"/>
      <c r="DX579" s="364"/>
      <c r="DY579" s="93"/>
    </row>
    <row r="580" spans="1:129">
      <c r="A580" s="699"/>
      <c r="B580" s="93"/>
      <c r="C580" s="93"/>
      <c r="D580" s="93"/>
      <c r="E580" s="93"/>
      <c r="F580" s="93"/>
      <c r="G580" s="93"/>
      <c r="H580" s="93"/>
      <c r="I580" s="93"/>
      <c r="J580" s="93"/>
      <c r="K580" s="93"/>
      <c r="L580" s="93"/>
      <c r="M580" s="93"/>
      <c r="N580" s="93"/>
      <c r="O580" s="93"/>
      <c r="P580" s="79"/>
      <c r="Q580" s="699"/>
      <c r="R580" s="93"/>
      <c r="S580" s="93"/>
      <c r="T580" s="93"/>
      <c r="U580" s="93"/>
      <c r="V580" s="93"/>
      <c r="W580" s="93"/>
      <c r="X580" s="93"/>
      <c r="Y580" s="93"/>
      <c r="Z580" s="93"/>
      <c r="AA580" s="93"/>
      <c r="AB580" s="93"/>
      <c r="AC580" s="93"/>
      <c r="AD580" s="93"/>
      <c r="AE580" s="93"/>
      <c r="AF580" s="79"/>
      <c r="AG580" s="699"/>
      <c r="AH580" s="93"/>
      <c r="AI580" s="93"/>
      <c r="AJ580" s="93"/>
      <c r="AK580" s="93"/>
      <c r="AL580" s="93"/>
      <c r="AM580" s="93"/>
      <c r="AN580" s="51"/>
      <c r="AO580" s="51"/>
      <c r="AP580" s="92"/>
      <c r="AQ580" s="92"/>
      <c r="AR580" s="51"/>
      <c r="AS580" s="51"/>
      <c r="AT580" s="51"/>
      <c r="AU580" s="51"/>
      <c r="AV580" s="82"/>
      <c r="AW580" s="699"/>
      <c r="AX580" s="93"/>
      <c r="AY580" s="93"/>
      <c r="AZ580" s="93"/>
      <c r="BA580" s="93"/>
      <c r="BB580" s="93"/>
      <c r="BC580" s="93"/>
      <c r="BD580" s="93"/>
      <c r="BE580" s="93"/>
      <c r="BF580" s="93"/>
      <c r="BG580" s="93"/>
      <c r="BH580" s="93"/>
      <c r="BI580" s="93"/>
      <c r="BJ580" s="93"/>
      <c r="BK580" s="93"/>
      <c r="BL580" s="79"/>
      <c r="BM580" s="699"/>
      <c r="BN580" s="93"/>
      <c r="BO580" s="93"/>
      <c r="BP580" s="93"/>
      <c r="BQ580" s="93"/>
      <c r="BR580" s="93"/>
      <c r="BS580" s="93"/>
      <c r="BT580" s="93"/>
      <c r="BU580" s="93"/>
      <c r="BV580" s="93"/>
      <c r="BW580" s="93"/>
      <c r="BX580" s="93"/>
      <c r="BY580" s="93"/>
      <c r="BZ580" s="93"/>
      <c r="CA580" s="93"/>
      <c r="CB580" s="93"/>
      <c r="CC580" s="363"/>
      <c r="CD580" s="117"/>
      <c r="CE580" s="117"/>
      <c r="CF580" s="117"/>
      <c r="CG580" s="117"/>
      <c r="CH580" s="117"/>
      <c r="CI580" s="117"/>
      <c r="CJ580" s="117"/>
      <c r="CK580" s="117"/>
      <c r="CL580" s="117"/>
      <c r="CM580" s="117"/>
      <c r="CN580" s="117"/>
      <c r="CO580" s="117"/>
      <c r="CP580" s="117"/>
      <c r="CQ580" s="117"/>
      <c r="CR580" s="364"/>
      <c r="CS580" s="361"/>
      <c r="CT580" s="70"/>
      <c r="CU580" s="70"/>
      <c r="CV580" s="70"/>
      <c r="CW580" s="70"/>
      <c r="CX580" s="117"/>
      <c r="CY580" s="117"/>
      <c r="CZ580" s="70"/>
      <c r="DA580" s="70"/>
      <c r="DB580" s="117"/>
      <c r="DC580" s="117"/>
      <c r="DD580" s="117"/>
      <c r="DE580" s="117"/>
      <c r="DF580" s="117"/>
      <c r="DG580" s="117"/>
      <c r="DH580" s="364"/>
      <c r="DI580" s="363"/>
      <c r="DJ580" s="117"/>
      <c r="DK580" s="117"/>
      <c r="DL580" s="117"/>
      <c r="DM580" s="117"/>
      <c r="DN580" s="117"/>
      <c r="DO580" s="117"/>
      <c r="DP580" s="117"/>
      <c r="DQ580" s="117"/>
      <c r="DR580" s="117"/>
      <c r="DS580" s="117"/>
      <c r="DT580" s="117"/>
      <c r="DU580" s="117"/>
      <c r="DV580" s="117"/>
      <c r="DW580" s="117"/>
      <c r="DX580" s="364"/>
      <c r="DY580" s="93"/>
    </row>
    <row r="581" spans="1:129">
      <c r="A581" s="699"/>
      <c r="B581" s="93"/>
      <c r="C581" s="93"/>
      <c r="D581" s="93"/>
      <c r="E581" s="93"/>
      <c r="F581" s="93"/>
      <c r="G581" s="93"/>
      <c r="H581" s="93"/>
      <c r="I581" s="93"/>
      <c r="J581" s="93"/>
      <c r="K581" s="93"/>
      <c r="L581" s="93"/>
      <c r="M581" s="93"/>
      <c r="N581" s="93"/>
      <c r="O581" s="93"/>
      <c r="P581" s="79"/>
      <c r="Q581" s="699"/>
      <c r="R581" s="93"/>
      <c r="S581" s="93"/>
      <c r="T581" s="93"/>
      <c r="U581" s="93"/>
      <c r="V581" s="93"/>
      <c r="W581" s="93"/>
      <c r="X581" s="93"/>
      <c r="Y581" s="93"/>
      <c r="Z581" s="93"/>
      <c r="AA581" s="93"/>
      <c r="AB581" s="93"/>
      <c r="AC581" s="93"/>
      <c r="AD581" s="93"/>
      <c r="AE581" s="93"/>
      <c r="AF581" s="79"/>
      <c r="AG581" s="699"/>
      <c r="AH581" s="93"/>
      <c r="AI581" s="93"/>
      <c r="AJ581" s="93"/>
      <c r="AK581" s="93"/>
      <c r="AL581" s="93"/>
      <c r="AM581" s="93"/>
      <c r="AN581" s="51"/>
      <c r="AO581" s="51"/>
      <c r="AP581" s="92"/>
      <c r="AQ581" s="92"/>
      <c r="AR581" s="51"/>
      <c r="AS581" s="51"/>
      <c r="AT581" s="51"/>
      <c r="AU581" s="51"/>
      <c r="AV581" s="82"/>
      <c r="AW581" s="699"/>
      <c r="AX581" s="93"/>
      <c r="AY581" s="93"/>
      <c r="AZ581" s="93"/>
      <c r="BA581" s="93"/>
      <c r="BB581" s="93"/>
      <c r="BC581" s="93"/>
      <c r="BD581" s="93"/>
      <c r="BE581" s="93"/>
      <c r="BF581" s="93"/>
      <c r="BG581" s="93"/>
      <c r="BH581" s="93"/>
      <c r="BI581" s="93"/>
      <c r="BJ581" s="93"/>
      <c r="BK581" s="93"/>
      <c r="BL581" s="79"/>
      <c r="BM581" s="699"/>
      <c r="BN581" s="93"/>
      <c r="BO581" s="93"/>
      <c r="BP581" s="93"/>
      <c r="BQ581" s="93"/>
      <c r="BR581" s="93"/>
      <c r="BS581" s="93"/>
      <c r="BT581" s="93"/>
      <c r="BU581" s="93"/>
      <c r="BV581" s="93"/>
      <c r="BW581" s="93"/>
      <c r="BX581" s="93"/>
      <c r="BY581" s="93"/>
      <c r="BZ581" s="93"/>
      <c r="CA581" s="93"/>
      <c r="CB581" s="93"/>
      <c r="CC581" s="363"/>
      <c r="CD581" s="117"/>
      <c r="CE581" s="117"/>
      <c r="CF581" s="117"/>
      <c r="CG581" s="117"/>
      <c r="CH581" s="117"/>
      <c r="CI581" s="117"/>
      <c r="CJ581" s="117"/>
      <c r="CK581" s="117"/>
      <c r="CL581" s="117"/>
      <c r="CM581" s="117"/>
      <c r="CN581" s="117"/>
      <c r="CO581" s="117"/>
      <c r="CP581" s="117"/>
      <c r="CQ581" s="117"/>
      <c r="CR581" s="364"/>
      <c r="CS581" s="361"/>
      <c r="CT581" s="70"/>
      <c r="CU581" s="70"/>
      <c r="CV581" s="70"/>
      <c r="CW581" s="70"/>
      <c r="CX581" s="117"/>
      <c r="CY581" s="117"/>
      <c r="CZ581" s="70"/>
      <c r="DA581" s="70"/>
      <c r="DB581" s="117"/>
      <c r="DC581" s="117"/>
      <c r="DD581" s="117"/>
      <c r="DE581" s="117"/>
      <c r="DF581" s="117"/>
      <c r="DG581" s="117"/>
      <c r="DH581" s="364"/>
      <c r="DI581" s="363"/>
      <c r="DJ581" s="117"/>
      <c r="DK581" s="117"/>
      <c r="DL581" s="117"/>
      <c r="DM581" s="117"/>
      <c r="DN581" s="117"/>
      <c r="DO581" s="117"/>
      <c r="DP581" s="117"/>
      <c r="DQ581" s="117"/>
      <c r="DR581" s="117"/>
      <c r="DS581" s="117"/>
      <c r="DT581" s="117"/>
      <c r="DU581" s="117"/>
      <c r="DV581" s="117"/>
      <c r="DW581" s="117"/>
      <c r="DX581" s="364"/>
      <c r="DY581" s="93"/>
    </row>
    <row r="582" spans="1:129">
      <c r="A582" s="699"/>
      <c r="B582" s="93"/>
      <c r="C582" s="93"/>
      <c r="D582" s="93"/>
      <c r="E582" s="93"/>
      <c r="F582" s="93"/>
      <c r="G582" s="93"/>
      <c r="H582" s="93"/>
      <c r="I582" s="93"/>
      <c r="J582" s="93"/>
      <c r="K582" s="93"/>
      <c r="L582" s="93"/>
      <c r="M582" s="93"/>
      <c r="N582" s="93"/>
      <c r="O582" s="93"/>
      <c r="P582" s="79"/>
      <c r="Q582" s="699"/>
      <c r="R582" s="93"/>
      <c r="S582" s="93"/>
      <c r="T582" s="93"/>
      <c r="U582" s="93"/>
      <c r="V582" s="93"/>
      <c r="W582" s="93"/>
      <c r="X582" s="93"/>
      <c r="Y582" s="93"/>
      <c r="Z582" s="93"/>
      <c r="AA582" s="93"/>
      <c r="AB582" s="93"/>
      <c r="AC582" s="93"/>
      <c r="AD582" s="93"/>
      <c r="AE582" s="93"/>
      <c r="AF582" s="79"/>
      <c r="AG582" s="699"/>
      <c r="AH582" s="93"/>
      <c r="AI582" s="93"/>
      <c r="AJ582" s="93"/>
      <c r="AK582" s="93"/>
      <c r="AL582" s="93"/>
      <c r="AM582" s="93"/>
      <c r="AN582" s="93"/>
      <c r="AO582" s="51"/>
      <c r="AP582" s="51"/>
      <c r="AQ582" s="92"/>
      <c r="AR582" s="92"/>
      <c r="AS582" s="51"/>
      <c r="AT582" s="51"/>
      <c r="AU582" s="51"/>
      <c r="AV582" s="82"/>
      <c r="AW582" s="699"/>
      <c r="AX582" s="93"/>
      <c r="AY582" s="93"/>
      <c r="AZ582" s="93"/>
      <c r="BA582" s="93"/>
      <c r="BB582" s="93"/>
      <c r="BC582" s="93"/>
      <c r="BD582" s="93"/>
      <c r="BE582" s="93"/>
      <c r="BF582" s="93"/>
      <c r="BG582" s="93"/>
      <c r="BH582" s="93"/>
      <c r="BI582" s="93"/>
      <c r="BJ582" s="93"/>
      <c r="BK582" s="93"/>
      <c r="BL582" s="79"/>
      <c r="BM582" s="699"/>
      <c r="BN582" s="93"/>
      <c r="BO582" s="93"/>
      <c r="BP582" s="93"/>
      <c r="BQ582" s="93"/>
      <c r="BR582" s="93"/>
      <c r="BS582" s="93"/>
      <c r="BT582" s="93"/>
      <c r="BU582" s="93"/>
      <c r="BV582" s="93"/>
      <c r="BW582" s="93"/>
      <c r="BX582" s="93"/>
      <c r="BY582" s="93"/>
      <c r="BZ582" s="93"/>
      <c r="CA582" s="93"/>
      <c r="CB582" s="93"/>
      <c r="CC582" s="363"/>
      <c r="CD582" s="117"/>
      <c r="CE582" s="117"/>
      <c r="CF582" s="117"/>
      <c r="CG582" s="117"/>
      <c r="CH582" s="117"/>
      <c r="CI582" s="117"/>
      <c r="CJ582" s="117"/>
      <c r="CK582" s="117"/>
      <c r="CL582" s="117"/>
      <c r="CM582" s="117"/>
      <c r="CN582" s="117"/>
      <c r="CO582" s="117"/>
      <c r="CP582" s="117"/>
      <c r="CQ582" s="117"/>
      <c r="CR582" s="364"/>
      <c r="CS582" s="361"/>
      <c r="CT582" s="70"/>
      <c r="CU582" s="70"/>
      <c r="CV582" s="70"/>
      <c r="CW582" s="117"/>
      <c r="CX582" s="117"/>
      <c r="CY582" s="70"/>
      <c r="CZ582" s="70"/>
      <c r="DA582" s="117"/>
      <c r="DB582" s="117"/>
      <c r="DC582" s="117"/>
      <c r="DD582" s="117"/>
      <c r="DE582" s="117"/>
      <c r="DF582" s="117"/>
      <c r="DG582" s="117"/>
      <c r="DH582" s="364"/>
      <c r="DI582" s="363"/>
      <c r="DJ582" s="117"/>
      <c r="DK582" s="117"/>
      <c r="DL582" s="117"/>
      <c r="DM582" s="117"/>
      <c r="DN582" s="117"/>
      <c r="DO582" s="117"/>
      <c r="DP582" s="117"/>
      <c r="DQ582" s="117"/>
      <c r="DR582" s="117"/>
      <c r="DS582" s="117"/>
      <c r="DT582" s="117"/>
      <c r="DU582" s="117"/>
      <c r="DV582" s="117"/>
      <c r="DW582" s="117"/>
      <c r="DX582" s="364"/>
      <c r="DY582" s="93"/>
    </row>
    <row r="583" spans="1:129">
      <c r="A583" s="699"/>
      <c r="B583" s="93"/>
      <c r="C583" s="93"/>
      <c r="D583" s="93"/>
      <c r="E583" s="93"/>
      <c r="F583" s="93"/>
      <c r="G583" s="93"/>
      <c r="H583" s="93"/>
      <c r="I583" s="93"/>
      <c r="J583" s="93"/>
      <c r="K583" s="93"/>
      <c r="L583" s="93"/>
      <c r="M583" s="93"/>
      <c r="N583" s="93"/>
      <c r="O583" s="93"/>
      <c r="P583" s="79"/>
      <c r="Q583" s="699"/>
      <c r="R583" s="93"/>
      <c r="S583" s="93"/>
      <c r="T583" s="93"/>
      <c r="U583" s="93"/>
      <c r="V583" s="93"/>
      <c r="W583" s="93"/>
      <c r="X583" s="93"/>
      <c r="Y583" s="93"/>
      <c r="Z583" s="93"/>
      <c r="AA583" s="93"/>
      <c r="AB583" s="93"/>
      <c r="AC583" s="93"/>
      <c r="AD583" s="93"/>
      <c r="AE583" s="93"/>
      <c r="AF583" s="79"/>
      <c r="AG583" s="699"/>
      <c r="AH583" s="93"/>
      <c r="AI583" s="93"/>
      <c r="AJ583" s="93"/>
      <c r="AK583" s="93"/>
      <c r="AL583" s="93"/>
      <c r="AM583" s="93"/>
      <c r="AN583" s="93"/>
      <c r="AO583" s="93"/>
      <c r="AP583" s="51"/>
      <c r="AQ583" s="51"/>
      <c r="AR583" s="92"/>
      <c r="AS583" s="92"/>
      <c r="AT583" s="51"/>
      <c r="AU583" s="51"/>
      <c r="AV583" s="82"/>
      <c r="AW583" s="699"/>
      <c r="AX583" s="93"/>
      <c r="AY583" s="93"/>
      <c r="AZ583" s="93"/>
      <c r="BA583" s="93"/>
      <c r="BB583" s="93"/>
      <c r="BC583" s="93"/>
      <c r="BD583" s="93"/>
      <c r="BE583" s="93"/>
      <c r="BF583" s="93"/>
      <c r="BG583" s="93"/>
      <c r="BH583" s="93"/>
      <c r="BI583" s="93"/>
      <c r="BJ583" s="93"/>
      <c r="BK583" s="93"/>
      <c r="BL583" s="79"/>
      <c r="BM583" s="699"/>
      <c r="BN583" s="93"/>
      <c r="BO583" s="93"/>
      <c r="BP583" s="93"/>
      <c r="BQ583" s="93"/>
      <c r="BR583" s="93"/>
      <c r="BS583" s="93"/>
      <c r="BT583" s="93"/>
      <c r="BU583" s="93"/>
      <c r="BV583" s="93"/>
      <c r="BW583" s="93"/>
      <c r="BX583" s="93"/>
      <c r="BY583" s="93"/>
      <c r="BZ583" s="93"/>
      <c r="CA583" s="93"/>
      <c r="CB583" s="93"/>
      <c r="CC583" s="363"/>
      <c r="CD583" s="117"/>
      <c r="CE583" s="117"/>
      <c r="CF583" s="117"/>
      <c r="CG583" s="117"/>
      <c r="CH583" s="117"/>
      <c r="CI583" s="117"/>
      <c r="CJ583" s="117"/>
      <c r="CK583" s="117"/>
      <c r="CL583" s="117"/>
      <c r="CM583" s="117"/>
      <c r="CN583" s="117"/>
      <c r="CO583" s="117"/>
      <c r="CP583" s="117"/>
      <c r="CQ583" s="117"/>
      <c r="CR583" s="364"/>
      <c r="CS583" s="361"/>
      <c r="CT583" s="70"/>
      <c r="CU583" s="70"/>
      <c r="CV583" s="117"/>
      <c r="CW583" s="117"/>
      <c r="CX583" s="70"/>
      <c r="CY583" s="70"/>
      <c r="CZ583" s="117"/>
      <c r="DA583" s="117"/>
      <c r="DB583" s="117"/>
      <c r="DC583" s="117"/>
      <c r="DD583" s="117"/>
      <c r="DE583" s="117"/>
      <c r="DF583" s="117"/>
      <c r="DG583" s="117"/>
      <c r="DH583" s="364"/>
      <c r="DI583" s="363"/>
      <c r="DJ583" s="117"/>
      <c r="DK583" s="117"/>
      <c r="DL583" s="117"/>
      <c r="DM583" s="117"/>
      <c r="DN583" s="117"/>
      <c r="DO583" s="117"/>
      <c r="DP583" s="117"/>
      <c r="DQ583" s="117"/>
      <c r="DR583" s="117"/>
      <c r="DS583" s="117"/>
      <c r="DT583" s="117"/>
      <c r="DU583" s="117"/>
      <c r="DV583" s="117"/>
      <c r="DW583" s="117"/>
      <c r="DX583" s="364"/>
      <c r="DY583" s="93"/>
    </row>
    <row r="584" spans="1:129">
      <c r="A584" s="699"/>
      <c r="B584" s="201"/>
      <c r="C584" s="93"/>
      <c r="D584" s="93"/>
      <c r="E584" s="93"/>
      <c r="F584" s="93"/>
      <c r="G584" s="93"/>
      <c r="H584" s="93"/>
      <c r="I584" s="93"/>
      <c r="J584" s="93"/>
      <c r="K584" s="93"/>
      <c r="L584" s="93"/>
      <c r="M584" s="93"/>
      <c r="N584" s="93"/>
      <c r="O584" s="206"/>
      <c r="P584" s="79"/>
      <c r="Q584" s="699"/>
      <c r="R584" s="93"/>
      <c r="S584" s="206"/>
      <c r="T584" s="93"/>
      <c r="U584" s="93"/>
      <c r="V584" s="93"/>
      <c r="W584" s="93"/>
      <c r="X584" s="93"/>
      <c r="Y584" s="93"/>
      <c r="Z584" s="93"/>
      <c r="AA584" s="93"/>
      <c r="AB584" s="93"/>
      <c r="AC584" s="93"/>
      <c r="AD584" s="93"/>
      <c r="AE584" s="93"/>
      <c r="AF584" s="79"/>
      <c r="AG584" s="699"/>
      <c r="AH584" s="93"/>
      <c r="AI584" s="93"/>
      <c r="AJ584" s="93"/>
      <c r="AK584" s="93"/>
      <c r="AL584" s="93"/>
      <c r="AM584" s="93"/>
      <c r="AN584" s="93"/>
      <c r="AO584" s="93"/>
      <c r="AP584" s="51"/>
      <c r="AQ584" s="51"/>
      <c r="AR584" s="92"/>
      <c r="AS584" s="92"/>
      <c r="AT584" s="51"/>
      <c r="AU584" s="51"/>
      <c r="AV584" s="82"/>
      <c r="AW584" s="699"/>
      <c r="AX584" s="93"/>
      <c r="AY584" s="93"/>
      <c r="AZ584" s="93"/>
      <c r="BA584" s="93"/>
      <c r="BB584" s="93"/>
      <c r="BC584" s="93"/>
      <c r="BD584" s="93"/>
      <c r="BE584" s="93"/>
      <c r="BF584" s="93"/>
      <c r="BG584" s="93"/>
      <c r="BH584" s="206"/>
      <c r="BI584" s="93"/>
      <c r="BJ584" s="93"/>
      <c r="BK584" s="93"/>
      <c r="BL584" s="79"/>
      <c r="BM584" s="699"/>
      <c r="BN584" s="201"/>
      <c r="BO584" s="93"/>
      <c r="BP584" s="93"/>
      <c r="BQ584" s="93"/>
      <c r="BR584" s="93"/>
      <c r="BS584" s="93"/>
      <c r="BT584" s="93"/>
      <c r="BU584" s="93"/>
      <c r="BV584" s="93"/>
      <c r="BW584" s="93"/>
      <c r="BX584" s="93"/>
      <c r="BY584" s="93"/>
      <c r="BZ584" s="93"/>
      <c r="CA584" s="206"/>
      <c r="CB584" s="93"/>
      <c r="CC584" s="363"/>
      <c r="CD584" s="117"/>
      <c r="CE584" s="117"/>
      <c r="CF584" s="117"/>
      <c r="CG584" s="879"/>
      <c r="CH584" s="117"/>
      <c r="CI584" s="117"/>
      <c r="CJ584" s="117"/>
      <c r="CK584" s="117"/>
      <c r="CL584" s="117"/>
      <c r="CM584" s="117"/>
      <c r="CN584" s="117"/>
      <c r="CO584" s="117"/>
      <c r="CP584" s="117"/>
      <c r="CQ584" s="117"/>
      <c r="CR584" s="364"/>
      <c r="CS584" s="361"/>
      <c r="CT584" s="70"/>
      <c r="CU584" s="70"/>
      <c r="CV584" s="117"/>
      <c r="CW584" s="117"/>
      <c r="CX584" s="70"/>
      <c r="CY584" s="70"/>
      <c r="CZ584" s="117"/>
      <c r="DA584" s="117"/>
      <c r="DB584" s="117"/>
      <c r="DC584" s="117"/>
      <c r="DD584" s="117"/>
      <c r="DE584" s="117"/>
      <c r="DF584" s="117"/>
      <c r="DG584" s="117"/>
      <c r="DH584" s="364"/>
      <c r="DI584" s="363"/>
      <c r="DJ584" s="117"/>
      <c r="DK584" s="117"/>
      <c r="DL584" s="117"/>
      <c r="DM584" s="117"/>
      <c r="DN584" s="117"/>
      <c r="DO584" s="117"/>
      <c r="DP584" s="117"/>
      <c r="DQ584" s="117"/>
      <c r="DR584" s="117"/>
      <c r="DS584" s="117"/>
      <c r="DT584" s="117"/>
      <c r="DU584" s="117"/>
      <c r="DV584" s="878"/>
      <c r="DW584" s="117"/>
      <c r="DX584" s="364"/>
      <c r="DY584" s="93"/>
    </row>
    <row r="585" spans="1:129">
      <c r="A585" s="709"/>
      <c r="B585" s="206"/>
      <c r="C585" s="199"/>
      <c r="D585" s="93"/>
      <c r="E585" s="93"/>
      <c r="F585" s="93"/>
      <c r="G585" s="93"/>
      <c r="H585" s="93"/>
      <c r="I585" s="93"/>
      <c r="J585" s="93"/>
      <c r="K585" s="93"/>
      <c r="L585" s="93"/>
      <c r="M585" s="93"/>
      <c r="N585" s="290"/>
      <c r="O585" s="206"/>
      <c r="P585" s="863"/>
      <c r="Q585" s="699"/>
      <c r="R585" s="206"/>
      <c r="S585" s="206"/>
      <c r="T585" s="201"/>
      <c r="U585" s="93"/>
      <c r="V585" s="93"/>
      <c r="W585" s="93"/>
      <c r="X585" s="93"/>
      <c r="Y585" s="93"/>
      <c r="Z585" s="93"/>
      <c r="AA585" s="93"/>
      <c r="AB585" s="93"/>
      <c r="AC585" s="93"/>
      <c r="AD585" s="199"/>
      <c r="AE585" s="93"/>
      <c r="AF585" s="79"/>
      <c r="AG585" s="699"/>
      <c r="AH585" s="93"/>
      <c r="AI585" s="93"/>
      <c r="AJ585" s="93"/>
      <c r="AK585" s="93"/>
      <c r="AL585" s="93"/>
      <c r="AM585" s="93"/>
      <c r="AN585" s="93"/>
      <c r="AO585" s="201"/>
      <c r="AP585" s="199"/>
      <c r="AQ585" s="51"/>
      <c r="AR585" s="92"/>
      <c r="AS585" s="92"/>
      <c r="AT585" s="51"/>
      <c r="AU585" s="51"/>
      <c r="AV585" s="82"/>
      <c r="AW585" s="699"/>
      <c r="AX585" s="206"/>
      <c r="AY585" s="93"/>
      <c r="AZ585" s="93"/>
      <c r="BA585" s="93"/>
      <c r="BB585" s="93"/>
      <c r="BC585" s="93"/>
      <c r="BD585" s="93"/>
      <c r="BE585" s="93"/>
      <c r="BF585" s="93"/>
      <c r="BG585" s="201"/>
      <c r="BH585" s="201"/>
      <c r="BI585" s="206"/>
      <c r="BJ585" s="93"/>
      <c r="BK585" s="93"/>
      <c r="BL585" s="79"/>
      <c r="BM585" s="709"/>
      <c r="BN585" s="206"/>
      <c r="BO585" s="199"/>
      <c r="BP585" s="93"/>
      <c r="BQ585" s="93"/>
      <c r="BR585" s="93"/>
      <c r="BS585" s="93"/>
      <c r="BT585" s="93"/>
      <c r="BU585" s="93"/>
      <c r="BV585" s="93"/>
      <c r="BW585" s="93"/>
      <c r="BX585" s="93"/>
      <c r="BY585" s="93"/>
      <c r="BZ585" s="290"/>
      <c r="CA585" s="206"/>
      <c r="CB585" s="290"/>
      <c r="CC585" s="363"/>
      <c r="CD585" s="117"/>
      <c r="CE585" s="117"/>
      <c r="CF585" s="880"/>
      <c r="CG585" s="878"/>
      <c r="CH585" s="879"/>
      <c r="CI585" s="117"/>
      <c r="CJ585" s="117"/>
      <c r="CK585" s="117"/>
      <c r="CL585" s="117"/>
      <c r="CM585" s="117"/>
      <c r="CN585" s="117"/>
      <c r="CO585" s="117"/>
      <c r="CP585" s="117"/>
      <c r="CQ585" s="878"/>
      <c r="CR585" s="364"/>
      <c r="CS585" s="361"/>
      <c r="CT585" s="70"/>
      <c r="CU585" s="70"/>
      <c r="CV585" s="117"/>
      <c r="CW585" s="117"/>
      <c r="CX585" s="70"/>
      <c r="CY585" s="880"/>
      <c r="CZ585" s="879"/>
      <c r="DA585" s="117"/>
      <c r="DB585" s="117"/>
      <c r="DC585" s="117"/>
      <c r="DD585" s="117"/>
      <c r="DE585" s="117"/>
      <c r="DF585" s="117"/>
      <c r="DG585" s="117"/>
      <c r="DH585" s="364"/>
      <c r="DI585" s="363"/>
      <c r="DJ585" s="117"/>
      <c r="DK585" s="880"/>
      <c r="DL585" s="117"/>
      <c r="DM585" s="117"/>
      <c r="DN585" s="117"/>
      <c r="DO585" s="117"/>
      <c r="DP585" s="117"/>
      <c r="DQ585" s="117"/>
      <c r="DR585" s="117"/>
      <c r="DS585" s="117"/>
      <c r="DT585" s="117"/>
      <c r="DU585" s="879"/>
      <c r="DV585" s="878"/>
      <c r="DW585" s="878"/>
      <c r="DX585" s="364"/>
      <c r="DY585" s="93"/>
    </row>
    <row r="586" spans="1:129">
      <c r="A586" s="709"/>
      <c r="B586" s="291"/>
      <c r="C586" s="206"/>
      <c r="D586" s="93"/>
      <c r="E586" s="93"/>
      <c r="F586" s="93"/>
      <c r="G586" s="205"/>
      <c r="H586" s="206"/>
      <c r="I586" s="206"/>
      <c r="J586" s="205"/>
      <c r="K586" s="93"/>
      <c r="L586" s="93"/>
      <c r="M586" s="93"/>
      <c r="N586" s="201"/>
      <c r="O586" s="291"/>
      <c r="P586" s="865"/>
      <c r="Q586" s="699"/>
      <c r="R586" s="206"/>
      <c r="S586" s="201"/>
      <c r="T586" s="201"/>
      <c r="U586" s="206"/>
      <c r="V586" s="206"/>
      <c r="W586" s="206"/>
      <c r="X586" s="205"/>
      <c r="Y586" s="205"/>
      <c r="Z586" s="93"/>
      <c r="AA586" s="205"/>
      <c r="AB586" s="205"/>
      <c r="AC586" s="201"/>
      <c r="AD586" s="206"/>
      <c r="AE586" s="93"/>
      <c r="AF586" s="79"/>
      <c r="AG586" s="699"/>
      <c r="AH586" s="93"/>
      <c r="AI586" s="93"/>
      <c r="AJ586" s="93"/>
      <c r="AK586" s="93"/>
      <c r="AL586" s="206"/>
      <c r="AM586" s="206"/>
      <c r="AN586" s="292"/>
      <c r="AO586" s="206"/>
      <c r="AP586" s="201"/>
      <c r="AQ586" s="206"/>
      <c r="AR586" s="92"/>
      <c r="AS586" s="92"/>
      <c r="AT586" s="51"/>
      <c r="AU586" s="51"/>
      <c r="AV586" s="82"/>
      <c r="AW586" s="199"/>
      <c r="AX586" s="206"/>
      <c r="AY586" s="201"/>
      <c r="AZ586" s="93"/>
      <c r="BA586" s="293"/>
      <c r="BB586" s="297"/>
      <c r="BC586" s="293"/>
      <c r="BD586" s="206"/>
      <c r="BE586" s="93"/>
      <c r="BF586" s="93"/>
      <c r="BG586" s="201"/>
      <c r="BH586" s="201"/>
      <c r="BI586" s="206"/>
      <c r="BJ586" s="93"/>
      <c r="BK586" s="93"/>
      <c r="BL586" s="79"/>
      <c r="BM586" s="709"/>
      <c r="BN586" s="291"/>
      <c r="BO586" s="206"/>
      <c r="BP586" s="93"/>
      <c r="BQ586" s="93"/>
      <c r="BR586" s="93"/>
      <c r="BS586" s="205"/>
      <c r="BT586" s="161"/>
      <c r="BU586" s="206"/>
      <c r="BV586" s="205"/>
      <c r="BW586" s="93"/>
      <c r="BX586" s="93"/>
      <c r="BY586" s="93"/>
      <c r="BZ586" s="201"/>
      <c r="CA586" s="291"/>
      <c r="CB586" s="291"/>
      <c r="CC586" s="363"/>
      <c r="CD586" s="117"/>
      <c r="CE586" s="117"/>
      <c r="CF586" s="880"/>
      <c r="CG586" s="878"/>
      <c r="CH586" s="879"/>
      <c r="CI586" s="117"/>
      <c r="CJ586" s="117"/>
      <c r="CK586" s="878"/>
      <c r="CL586" s="886"/>
      <c r="CM586" s="390"/>
      <c r="CN586" s="886"/>
      <c r="CO586" s="117"/>
      <c r="CP586" s="879"/>
      <c r="CQ586" s="878"/>
      <c r="CR586" s="897"/>
      <c r="CS586" s="361"/>
      <c r="CT586" s="70"/>
      <c r="CU586" s="70"/>
      <c r="CV586" s="117"/>
      <c r="CW586" s="117"/>
      <c r="CX586" s="879"/>
      <c r="CY586" s="879"/>
      <c r="CZ586" s="878"/>
      <c r="DA586" s="883"/>
      <c r="DB586" s="878"/>
      <c r="DC586" s="878"/>
      <c r="DD586" s="117"/>
      <c r="DE586" s="117"/>
      <c r="DF586" s="117"/>
      <c r="DG586" s="117"/>
      <c r="DH586" s="364"/>
      <c r="DI586" s="363"/>
      <c r="DJ586" s="879"/>
      <c r="DK586" s="878"/>
      <c r="DL586" s="879"/>
      <c r="DM586" s="881"/>
      <c r="DN586" s="881"/>
      <c r="DO586" s="117"/>
      <c r="DP586" s="881"/>
      <c r="DQ586" s="881"/>
      <c r="DR586" s="878"/>
      <c r="DS586" s="878"/>
      <c r="DT586" s="878"/>
      <c r="DU586" s="879"/>
      <c r="DV586" s="879"/>
      <c r="DW586" s="878"/>
      <c r="DX586" s="364"/>
      <c r="DY586" s="93"/>
    </row>
    <row r="587" spans="1:129">
      <c r="A587" s="709"/>
      <c r="B587" s="206"/>
      <c r="C587" s="291"/>
      <c r="D587" s="160"/>
      <c r="E587" s="93"/>
      <c r="F587" s="162"/>
      <c r="G587" s="162"/>
      <c r="H587" s="161"/>
      <c r="I587" s="206"/>
      <c r="J587" s="158"/>
      <c r="K587" s="158"/>
      <c r="L587" s="93"/>
      <c r="M587" s="290"/>
      <c r="N587" s="206"/>
      <c r="O587" s="291"/>
      <c r="P587" s="746"/>
      <c r="Q587" s="699"/>
      <c r="R587" s="206"/>
      <c r="S587" s="201"/>
      <c r="T587" s="158"/>
      <c r="U587" s="297"/>
      <c r="V587" s="293"/>
      <c r="W587" s="158"/>
      <c r="X587" s="158"/>
      <c r="Y587" s="206"/>
      <c r="Z587" s="205"/>
      <c r="AA587" s="206"/>
      <c r="AB587" s="206"/>
      <c r="AC587" s="201"/>
      <c r="AD587" s="201"/>
      <c r="AE587" s="206"/>
      <c r="AF587" s="79"/>
      <c r="AG587" s="699"/>
      <c r="AH587" s="93"/>
      <c r="AI587" s="93"/>
      <c r="AJ587" s="93"/>
      <c r="AK587" s="293"/>
      <c r="AL587" s="158"/>
      <c r="AM587" s="158"/>
      <c r="AN587" s="292"/>
      <c r="AO587" s="206"/>
      <c r="AP587" s="201"/>
      <c r="AQ587" s="206"/>
      <c r="AR587" s="92"/>
      <c r="AS587" s="92"/>
      <c r="AT587" s="51"/>
      <c r="AU587" s="51"/>
      <c r="AV587" s="82"/>
      <c r="AW587" s="201"/>
      <c r="AX587" s="206"/>
      <c r="AY587" s="201"/>
      <c r="AZ587" s="201"/>
      <c r="BA587" s="199"/>
      <c r="BB587" s="201"/>
      <c r="BC587" s="205"/>
      <c r="BD587" s="205"/>
      <c r="BE587" s="206"/>
      <c r="BF587" s="206"/>
      <c r="BG587" s="206"/>
      <c r="BH587" s="201"/>
      <c r="BI587" s="206"/>
      <c r="BJ587" s="93"/>
      <c r="BK587" s="93"/>
      <c r="BL587" s="79"/>
      <c r="BM587" s="864"/>
      <c r="BN587" s="291"/>
      <c r="BO587" s="291"/>
      <c r="BP587" s="160"/>
      <c r="BQ587" s="93"/>
      <c r="BR587" s="205"/>
      <c r="BS587" s="161"/>
      <c r="BT587" s="161"/>
      <c r="BU587" s="161"/>
      <c r="BV587" s="205"/>
      <c r="BW587" s="205"/>
      <c r="BX587" s="93"/>
      <c r="BY587" s="290"/>
      <c r="BZ587" s="206"/>
      <c r="CA587" s="291"/>
      <c r="CB587" s="206"/>
      <c r="CC587" s="363"/>
      <c r="CD587" s="117"/>
      <c r="CE587" s="117"/>
      <c r="CF587" s="879"/>
      <c r="CG587" s="878"/>
      <c r="CH587" s="878"/>
      <c r="CI587" s="878"/>
      <c r="CJ587" s="878"/>
      <c r="CK587" s="881"/>
      <c r="CL587" s="881"/>
      <c r="CM587" s="879"/>
      <c r="CN587" s="880"/>
      <c r="CO587" s="879"/>
      <c r="CP587" s="879"/>
      <c r="CQ587" s="878"/>
      <c r="CR587" s="898"/>
      <c r="CS587" s="361"/>
      <c r="CT587" s="70"/>
      <c r="CU587" s="70"/>
      <c r="CV587" s="117"/>
      <c r="CW587" s="117"/>
      <c r="CX587" s="879"/>
      <c r="CY587" s="878"/>
      <c r="CZ587" s="878"/>
      <c r="DA587" s="883"/>
      <c r="DB587" s="143"/>
      <c r="DC587" s="143"/>
      <c r="DD587" s="886"/>
      <c r="DE587" s="117"/>
      <c r="DF587" s="117"/>
      <c r="DG587" s="117"/>
      <c r="DH587" s="364"/>
      <c r="DI587" s="363"/>
      <c r="DJ587" s="880"/>
      <c r="DK587" s="878"/>
      <c r="DL587" s="878"/>
      <c r="DM587" s="878"/>
      <c r="DN587" s="878"/>
      <c r="DO587" s="881"/>
      <c r="DP587" s="878"/>
      <c r="DQ587" s="143"/>
      <c r="DR587" s="143"/>
      <c r="DS587" s="886"/>
      <c r="DT587" s="390"/>
      <c r="DU587" s="143"/>
      <c r="DV587" s="879"/>
      <c r="DW587" s="878"/>
      <c r="DX587" s="364"/>
      <c r="DY587" s="93"/>
    </row>
    <row r="588" spans="1:129">
      <c r="A588" s="709"/>
      <c r="B588" s="291"/>
      <c r="C588" s="206"/>
      <c r="D588" s="291"/>
      <c r="E588" s="206"/>
      <c r="F588" s="162"/>
      <c r="G588" s="162"/>
      <c r="H588" s="161"/>
      <c r="I588" s="206"/>
      <c r="J588" s="158"/>
      <c r="K588" s="158"/>
      <c r="L588" s="206"/>
      <c r="M588" s="290"/>
      <c r="N588" s="291"/>
      <c r="O588" s="291"/>
      <c r="P588" s="746"/>
      <c r="Q588" s="699"/>
      <c r="R588" s="206"/>
      <c r="S588" s="206"/>
      <c r="T588" s="158"/>
      <c r="U588" s="161"/>
      <c r="V588" s="161"/>
      <c r="W588" s="158"/>
      <c r="X588" s="158"/>
      <c r="Y588" s="206"/>
      <c r="Z588" s="206"/>
      <c r="AA588" s="201"/>
      <c r="AB588" s="201"/>
      <c r="AC588" s="206"/>
      <c r="AD588" s="201"/>
      <c r="AE588" s="206"/>
      <c r="AF588" s="79"/>
      <c r="AG588" s="699"/>
      <c r="AH588" s="93"/>
      <c r="AI588" s="93"/>
      <c r="AJ588" s="93"/>
      <c r="AK588" s="293"/>
      <c r="AL588" s="158"/>
      <c r="AM588" s="158"/>
      <c r="AN588" s="292"/>
      <c r="AO588" s="206"/>
      <c r="AP588" s="201"/>
      <c r="AQ588" s="206"/>
      <c r="AR588" s="160"/>
      <c r="AS588" s="92"/>
      <c r="AT588" s="51"/>
      <c r="AU588" s="51"/>
      <c r="AV588" s="82"/>
      <c r="AW588" s="201"/>
      <c r="AX588" s="201"/>
      <c r="AY588" s="201"/>
      <c r="AZ588" s="206"/>
      <c r="BA588" s="206"/>
      <c r="BB588" s="205"/>
      <c r="BC588" s="205"/>
      <c r="BD588" s="201"/>
      <c r="BE588" s="206"/>
      <c r="BF588" s="206"/>
      <c r="BG588" s="201"/>
      <c r="BH588" s="205"/>
      <c r="BI588" s="206"/>
      <c r="BJ588" s="93"/>
      <c r="BK588" s="93"/>
      <c r="BL588" s="79"/>
      <c r="BM588" s="864"/>
      <c r="BN588" s="291"/>
      <c r="BO588" s="206"/>
      <c r="BP588" s="291"/>
      <c r="BQ588" s="201"/>
      <c r="BR588" s="206"/>
      <c r="BS588" s="291"/>
      <c r="BT588" s="205"/>
      <c r="BU588" s="205"/>
      <c r="BV588" s="291"/>
      <c r="BW588" s="205"/>
      <c r="BX588" s="205"/>
      <c r="BY588" s="290"/>
      <c r="BZ588" s="291"/>
      <c r="CA588" s="201"/>
      <c r="CB588" s="206"/>
      <c r="CC588" s="363"/>
      <c r="CD588" s="117"/>
      <c r="CE588" s="117"/>
      <c r="CF588" s="879"/>
      <c r="CG588" s="881"/>
      <c r="CH588" s="879"/>
      <c r="CI588" s="878"/>
      <c r="CJ588" s="878"/>
      <c r="CK588" s="879"/>
      <c r="CL588" s="881"/>
      <c r="CM588" s="881"/>
      <c r="CN588" s="878"/>
      <c r="CO588" s="878"/>
      <c r="CP588" s="879"/>
      <c r="CQ588" s="879"/>
      <c r="CR588" s="878"/>
      <c r="CS588" s="361"/>
      <c r="CT588" s="70"/>
      <c r="CU588" s="70"/>
      <c r="CV588" s="117"/>
      <c r="CW588" s="150"/>
      <c r="CX588" s="879"/>
      <c r="CY588" s="150"/>
      <c r="CZ588" s="878"/>
      <c r="DA588" s="883"/>
      <c r="DB588" s="143"/>
      <c r="DC588" s="143"/>
      <c r="DD588" s="886"/>
      <c r="DE588" s="117"/>
      <c r="DF588" s="117"/>
      <c r="DG588" s="117"/>
      <c r="DH588" s="364"/>
      <c r="DI588" s="363"/>
      <c r="DJ588" s="880"/>
      <c r="DK588" s="878"/>
      <c r="DL588" s="878"/>
      <c r="DM588" s="879"/>
      <c r="DN588" s="878"/>
      <c r="DO588" s="150"/>
      <c r="DP588" s="878"/>
      <c r="DQ588" s="143"/>
      <c r="DR588" s="143"/>
      <c r="DS588" s="147"/>
      <c r="DT588" s="147"/>
      <c r="DU588" s="143"/>
      <c r="DV588" s="878"/>
      <c r="DW588" s="878"/>
      <c r="DX588" s="364"/>
      <c r="DY588" s="93"/>
    </row>
    <row r="589" spans="1:129">
      <c r="A589" s="864"/>
      <c r="B589" s="291"/>
      <c r="C589" s="201"/>
      <c r="D589" s="199"/>
      <c r="E589" s="206"/>
      <c r="F589" s="163"/>
      <c r="G589" s="163"/>
      <c r="H589" s="161"/>
      <c r="I589" s="206"/>
      <c r="J589" s="161"/>
      <c r="K589" s="161"/>
      <c r="L589" s="205"/>
      <c r="M589" s="291"/>
      <c r="N589" s="291"/>
      <c r="O589" s="291"/>
      <c r="P589" s="746"/>
      <c r="Q589" s="699"/>
      <c r="R589" s="93"/>
      <c r="S589" s="206"/>
      <c r="T589" s="163"/>
      <c r="U589" s="293"/>
      <c r="V589" s="161"/>
      <c r="W589" s="163"/>
      <c r="X589" s="163"/>
      <c r="Y589" s="205"/>
      <c r="Z589" s="205"/>
      <c r="AA589" s="201"/>
      <c r="AB589" s="201"/>
      <c r="AC589" s="206"/>
      <c r="AD589" s="201"/>
      <c r="AE589" s="206"/>
      <c r="AF589" s="79"/>
      <c r="AG589" s="699"/>
      <c r="AH589" s="93"/>
      <c r="AI589" s="93"/>
      <c r="AJ589" s="293"/>
      <c r="AK589" s="206"/>
      <c r="AL589" s="163"/>
      <c r="AM589" s="163"/>
      <c r="AN589" s="292"/>
      <c r="AO589" s="206"/>
      <c r="AP589" s="201"/>
      <c r="AQ589" s="199"/>
      <c r="AR589" s="206"/>
      <c r="AS589" s="201"/>
      <c r="AT589" s="206"/>
      <c r="AU589" s="51"/>
      <c r="AV589" s="82"/>
      <c r="AW589" s="199"/>
      <c r="AX589" s="201"/>
      <c r="AY589" s="206"/>
      <c r="AZ589" s="160"/>
      <c r="BA589" s="206"/>
      <c r="BB589" s="201"/>
      <c r="BC589" s="205"/>
      <c r="BD589" s="201"/>
      <c r="BE589" s="291"/>
      <c r="BF589" s="291"/>
      <c r="BG589" s="201"/>
      <c r="BH589" s="205"/>
      <c r="BI589" s="206"/>
      <c r="BJ589" s="201"/>
      <c r="BK589" s="93"/>
      <c r="BL589" s="79"/>
      <c r="BM589" s="864"/>
      <c r="BN589" s="291"/>
      <c r="BO589" s="201"/>
      <c r="BP589" s="291"/>
      <c r="BQ589" s="291"/>
      <c r="BR589" s="205"/>
      <c r="BS589" s="201"/>
      <c r="BT589" s="291"/>
      <c r="BU589" s="291"/>
      <c r="BV589" s="201"/>
      <c r="BW589" s="205"/>
      <c r="BX589" s="291"/>
      <c r="BY589" s="291"/>
      <c r="BZ589" s="206"/>
      <c r="CA589" s="201"/>
      <c r="CB589" s="206"/>
      <c r="CC589" s="363"/>
      <c r="CD589" s="117"/>
      <c r="CE589" s="879"/>
      <c r="CF589" s="878"/>
      <c r="CG589" s="881"/>
      <c r="CH589" s="879"/>
      <c r="CI589" s="882"/>
      <c r="CJ589" s="882"/>
      <c r="CK589" s="879"/>
      <c r="CL589" s="881"/>
      <c r="CM589" s="879"/>
      <c r="CN589" s="878"/>
      <c r="CO589" s="150"/>
      <c r="CP589" s="878"/>
      <c r="CQ589" s="879"/>
      <c r="CR589" s="878"/>
      <c r="CS589" s="361"/>
      <c r="CT589" s="70"/>
      <c r="CU589" s="879"/>
      <c r="CV589" s="879"/>
      <c r="CW589" s="880"/>
      <c r="CX589" s="879"/>
      <c r="CY589" s="150"/>
      <c r="CZ589" s="878"/>
      <c r="DA589" s="883"/>
      <c r="DB589" s="144"/>
      <c r="DC589" s="144"/>
      <c r="DD589" s="878"/>
      <c r="DE589" s="886"/>
      <c r="DF589" s="117"/>
      <c r="DG589" s="117"/>
      <c r="DH589" s="364"/>
      <c r="DI589" s="363"/>
      <c r="DJ589" s="880"/>
      <c r="DK589" s="878"/>
      <c r="DL589" s="878"/>
      <c r="DM589" s="879"/>
      <c r="DN589" s="878"/>
      <c r="DO589" s="150"/>
      <c r="DP589" s="881"/>
      <c r="DQ589" s="144"/>
      <c r="DR589" s="144"/>
      <c r="DS589" s="147"/>
      <c r="DT589" s="886"/>
      <c r="DU589" s="144"/>
      <c r="DV589" s="878"/>
      <c r="DW589" s="117"/>
      <c r="DX589" s="364"/>
      <c r="DY589" s="93"/>
    </row>
    <row r="590" spans="1:129">
      <c r="A590" s="864"/>
      <c r="B590" s="291"/>
      <c r="C590" s="201"/>
      <c r="D590" s="206"/>
      <c r="E590" s="206"/>
      <c r="F590" s="206"/>
      <c r="G590" s="206"/>
      <c r="H590" s="161"/>
      <c r="I590" s="206"/>
      <c r="J590" s="206"/>
      <c r="K590" s="206"/>
      <c r="L590" s="205"/>
      <c r="M590" s="206"/>
      <c r="N590" s="206"/>
      <c r="O590" s="201"/>
      <c r="P590" s="746"/>
      <c r="Q590" s="699"/>
      <c r="R590" s="93"/>
      <c r="S590" s="206"/>
      <c r="T590" s="206"/>
      <c r="U590" s="297"/>
      <c r="V590" s="161"/>
      <c r="W590" s="206"/>
      <c r="X590" s="205"/>
      <c r="Y590" s="205"/>
      <c r="Z590" s="205"/>
      <c r="AA590" s="201"/>
      <c r="AB590" s="206"/>
      <c r="AC590" s="206"/>
      <c r="AD590" s="201"/>
      <c r="AE590" s="206"/>
      <c r="AF590" s="79"/>
      <c r="AG590" s="699"/>
      <c r="AH590" s="93"/>
      <c r="AI590" s="93"/>
      <c r="AJ590" s="297"/>
      <c r="AK590" s="206"/>
      <c r="AL590" s="206"/>
      <c r="AM590" s="206"/>
      <c r="AN590" s="292"/>
      <c r="AO590" s="206"/>
      <c r="AP590" s="206"/>
      <c r="AQ590" s="201"/>
      <c r="AR590" s="206"/>
      <c r="AS590" s="206"/>
      <c r="AT590" s="206"/>
      <c r="AU590" s="201"/>
      <c r="AV590" s="82"/>
      <c r="AW590" s="199"/>
      <c r="AX590" s="201"/>
      <c r="AY590" s="206"/>
      <c r="AZ590" s="160"/>
      <c r="BA590" s="206"/>
      <c r="BB590" s="201"/>
      <c r="BC590" s="201"/>
      <c r="BD590" s="199"/>
      <c r="BE590" s="199"/>
      <c r="BF590" s="199"/>
      <c r="BG590" s="199"/>
      <c r="BH590" s="201"/>
      <c r="BI590" s="206"/>
      <c r="BJ590" s="206"/>
      <c r="BK590" s="93"/>
      <c r="BL590" s="79"/>
      <c r="BM590" s="864"/>
      <c r="BN590" s="201"/>
      <c r="BO590" s="201"/>
      <c r="BP590" s="206"/>
      <c r="BQ590" s="206"/>
      <c r="BR590" s="201"/>
      <c r="BS590" s="199"/>
      <c r="BT590" s="199"/>
      <c r="BU590" s="199"/>
      <c r="BV590" s="199"/>
      <c r="BW590" s="201"/>
      <c r="BX590" s="206"/>
      <c r="BY590" s="206"/>
      <c r="BZ590" s="206"/>
      <c r="CA590" s="201"/>
      <c r="CB590" s="206"/>
      <c r="CC590" s="363"/>
      <c r="CD590" s="117"/>
      <c r="CE590" s="880"/>
      <c r="CF590" s="878"/>
      <c r="CG590" s="879"/>
      <c r="CH590" s="880"/>
      <c r="CI590" s="880"/>
      <c r="CJ590" s="880"/>
      <c r="CK590" s="880"/>
      <c r="CL590" s="879"/>
      <c r="CM590" s="879"/>
      <c r="CN590" s="878"/>
      <c r="CO590" s="150"/>
      <c r="CP590" s="878"/>
      <c r="CQ590" s="879"/>
      <c r="CR590" s="878"/>
      <c r="CS590" s="361"/>
      <c r="CT590" s="879"/>
      <c r="CU590" s="879"/>
      <c r="CV590" s="150"/>
      <c r="CW590" s="879"/>
      <c r="CX590" s="879"/>
      <c r="CY590" s="150"/>
      <c r="CZ590" s="878"/>
      <c r="DA590" s="883"/>
      <c r="DB590" s="878"/>
      <c r="DC590" s="878"/>
      <c r="DD590" s="878"/>
      <c r="DE590" s="390"/>
      <c r="DF590" s="117"/>
      <c r="DG590" s="117"/>
      <c r="DH590" s="364"/>
      <c r="DI590" s="363"/>
      <c r="DJ590" s="880"/>
      <c r="DK590" s="878"/>
      <c r="DL590" s="878"/>
      <c r="DM590" s="878"/>
      <c r="DN590" s="879"/>
      <c r="DO590" s="150"/>
      <c r="DP590" s="881"/>
      <c r="DQ590" s="881"/>
      <c r="DR590" s="878"/>
      <c r="DS590" s="147"/>
      <c r="DT590" s="390"/>
      <c r="DU590" s="878"/>
      <c r="DV590" s="878"/>
      <c r="DW590" s="117"/>
      <c r="DX590" s="364"/>
      <c r="DY590" s="93"/>
    </row>
    <row r="591" spans="1:129">
      <c r="A591" s="709"/>
      <c r="B591" s="201"/>
      <c r="C591" s="201"/>
      <c r="D591" s="291"/>
      <c r="E591" s="291"/>
      <c r="F591" s="205"/>
      <c r="G591" s="206"/>
      <c r="H591" s="293"/>
      <c r="I591" s="206"/>
      <c r="J591" s="205"/>
      <c r="K591" s="205"/>
      <c r="L591" s="206"/>
      <c r="M591" s="291"/>
      <c r="N591" s="206"/>
      <c r="O591" s="201"/>
      <c r="P591" s="746"/>
      <c r="Q591" s="699"/>
      <c r="R591" s="93"/>
      <c r="S591" s="93"/>
      <c r="T591" s="206"/>
      <c r="U591" s="297"/>
      <c r="V591" s="293"/>
      <c r="W591" s="206"/>
      <c r="X591" s="205"/>
      <c r="Y591" s="205"/>
      <c r="Z591" s="206"/>
      <c r="AA591" s="206"/>
      <c r="AB591" s="206"/>
      <c r="AC591" s="93"/>
      <c r="AD591" s="201"/>
      <c r="AE591" s="206"/>
      <c r="AF591" s="79"/>
      <c r="AG591" s="699"/>
      <c r="AH591" s="93"/>
      <c r="AI591" s="293"/>
      <c r="AJ591" s="293"/>
      <c r="AK591" s="206"/>
      <c r="AL591" s="206"/>
      <c r="AM591" s="160"/>
      <c r="AN591" s="292"/>
      <c r="AO591" s="205"/>
      <c r="AP591" s="205"/>
      <c r="AQ591" s="201"/>
      <c r="AR591" s="206"/>
      <c r="AS591" s="201"/>
      <c r="AT591" s="206"/>
      <c r="AU591" s="206"/>
      <c r="AV591" s="82"/>
      <c r="AW591" s="699"/>
      <c r="AX591" s="199"/>
      <c r="AY591" s="201"/>
      <c r="AZ591" s="206"/>
      <c r="BA591" s="201"/>
      <c r="BB591" s="201"/>
      <c r="BC591" s="201"/>
      <c r="BD591" s="205"/>
      <c r="BE591" s="291"/>
      <c r="BF591" s="199"/>
      <c r="BG591" s="199"/>
      <c r="BH591" s="201"/>
      <c r="BI591" s="206"/>
      <c r="BJ591" s="206"/>
      <c r="BK591" s="93"/>
      <c r="BL591" s="79"/>
      <c r="BM591" s="709"/>
      <c r="BN591" s="201"/>
      <c r="BO591" s="93"/>
      <c r="BP591" s="201"/>
      <c r="BQ591" s="206"/>
      <c r="BR591" s="201"/>
      <c r="BS591" s="160"/>
      <c r="BT591" s="199"/>
      <c r="BU591" s="199"/>
      <c r="BV591" s="199"/>
      <c r="BW591" s="201"/>
      <c r="BX591" s="205"/>
      <c r="BY591" s="291"/>
      <c r="BZ591" s="93"/>
      <c r="CA591" s="201"/>
      <c r="CB591" s="291"/>
      <c r="CC591" s="363"/>
      <c r="CD591" s="117"/>
      <c r="CE591" s="880"/>
      <c r="CF591" s="878"/>
      <c r="CG591" s="882"/>
      <c r="CH591" s="881"/>
      <c r="CI591" s="880"/>
      <c r="CJ591" s="880"/>
      <c r="CK591" s="880"/>
      <c r="CL591" s="879"/>
      <c r="CM591" s="879"/>
      <c r="CN591" s="879"/>
      <c r="CO591" s="878"/>
      <c r="CP591" s="879"/>
      <c r="CQ591" s="878"/>
      <c r="CR591" s="364"/>
      <c r="CS591" s="361"/>
      <c r="CT591" s="882"/>
      <c r="CU591" s="150"/>
      <c r="CV591" s="880"/>
      <c r="CW591" s="879"/>
      <c r="CX591" s="150"/>
      <c r="CY591" s="881"/>
      <c r="CZ591" s="881"/>
      <c r="DA591" s="883"/>
      <c r="DB591" s="150"/>
      <c r="DC591" s="878"/>
      <c r="DD591" s="878"/>
      <c r="DE591" s="886"/>
      <c r="DF591" s="886"/>
      <c r="DG591" s="117"/>
      <c r="DH591" s="364"/>
      <c r="DI591" s="363"/>
      <c r="DJ591" s="879"/>
      <c r="DK591" s="878"/>
      <c r="DL591" s="117"/>
      <c r="DM591" s="878"/>
      <c r="DN591" s="878"/>
      <c r="DO591" s="878"/>
      <c r="DP591" s="150"/>
      <c r="DQ591" s="881"/>
      <c r="DR591" s="878"/>
      <c r="DS591" s="886"/>
      <c r="DT591" s="390"/>
      <c r="DU591" s="878"/>
      <c r="DV591" s="117"/>
      <c r="DW591" s="117"/>
      <c r="DX591" s="364"/>
      <c r="DY591" s="93"/>
    </row>
    <row r="592" spans="1:129">
      <c r="A592" s="864"/>
      <c r="B592" s="201"/>
      <c r="C592" s="93"/>
      <c r="D592" s="201"/>
      <c r="E592" s="201"/>
      <c r="F592" s="206"/>
      <c r="G592" s="205"/>
      <c r="H592" s="291"/>
      <c r="I592" s="205"/>
      <c r="J592" s="205"/>
      <c r="K592" s="205"/>
      <c r="L592" s="291"/>
      <c r="M592" s="206"/>
      <c r="N592" s="93"/>
      <c r="O592" s="291"/>
      <c r="P592" s="746"/>
      <c r="Q592" s="699"/>
      <c r="R592" s="93"/>
      <c r="S592" s="93"/>
      <c r="T592" s="291"/>
      <c r="U592" s="291"/>
      <c r="V592" s="291"/>
      <c r="W592" s="205"/>
      <c r="X592" s="205"/>
      <c r="Y592" s="160"/>
      <c r="Z592" s="291"/>
      <c r="AA592" s="206"/>
      <c r="AB592" s="160"/>
      <c r="AC592" s="93"/>
      <c r="AD592" s="201"/>
      <c r="AE592" s="206"/>
      <c r="AF592" s="79"/>
      <c r="AG592" s="93"/>
      <c r="AH592" s="295"/>
      <c r="AI592" s="206"/>
      <c r="AJ592" s="206"/>
      <c r="AK592" s="206"/>
      <c r="AL592" s="160"/>
      <c r="AM592" s="160"/>
      <c r="AN592" s="205"/>
      <c r="AO592" s="205"/>
      <c r="AP592" s="205"/>
      <c r="AQ592" s="201"/>
      <c r="AR592" s="206"/>
      <c r="AS592" s="206"/>
      <c r="AT592" s="206"/>
      <c r="AU592" s="201"/>
      <c r="AV592" s="82"/>
      <c r="AW592" s="93"/>
      <c r="AX592" s="199"/>
      <c r="AY592" s="201"/>
      <c r="AZ592" s="206"/>
      <c r="BA592" s="206"/>
      <c r="BB592" s="201"/>
      <c r="BC592" s="160"/>
      <c r="BD592" s="160"/>
      <c r="BE592" s="160"/>
      <c r="BF592" s="201"/>
      <c r="BG592" s="160"/>
      <c r="BH592" s="160"/>
      <c r="BI592" s="206"/>
      <c r="BJ592" s="206"/>
      <c r="BK592" s="93"/>
      <c r="BL592" s="79"/>
      <c r="BM592" s="864"/>
      <c r="BN592" s="291"/>
      <c r="BO592" s="93"/>
      <c r="BP592" s="201"/>
      <c r="BQ592" s="206"/>
      <c r="BR592" s="160"/>
      <c r="BS592" s="160"/>
      <c r="BT592" s="160"/>
      <c r="BU592" s="199"/>
      <c r="BV592" s="160"/>
      <c r="BW592" s="160"/>
      <c r="BX592" s="205"/>
      <c r="BY592" s="206"/>
      <c r="BZ592" s="93"/>
      <c r="CA592" s="201"/>
      <c r="CB592" s="291"/>
      <c r="CC592" s="363"/>
      <c r="CD592" s="117"/>
      <c r="CE592" s="880"/>
      <c r="CF592" s="878"/>
      <c r="CG592" s="150"/>
      <c r="CH592" s="150"/>
      <c r="CI592" s="150"/>
      <c r="CJ592" s="882"/>
      <c r="CK592" s="150"/>
      <c r="CL592" s="150"/>
      <c r="CM592" s="879"/>
      <c r="CN592" s="878"/>
      <c r="CO592" s="878"/>
      <c r="CP592" s="879"/>
      <c r="CQ592" s="878"/>
      <c r="CR592" s="364"/>
      <c r="CS592" s="361"/>
      <c r="CT592" s="879"/>
      <c r="CU592" s="880"/>
      <c r="CV592" s="878"/>
      <c r="CW592" s="879"/>
      <c r="CX592" s="150"/>
      <c r="CY592" s="881"/>
      <c r="CZ592" s="881"/>
      <c r="DA592" s="881"/>
      <c r="DB592" s="150"/>
      <c r="DC592" s="150"/>
      <c r="DD592" s="878"/>
      <c r="DE592" s="878"/>
      <c r="DF592" s="878"/>
      <c r="DG592" s="888"/>
      <c r="DH592" s="364"/>
      <c r="DI592" s="363"/>
      <c r="DJ592" s="879"/>
      <c r="DK592" s="878"/>
      <c r="DL592" s="117"/>
      <c r="DM592" s="150"/>
      <c r="DN592" s="878"/>
      <c r="DO592" s="882"/>
      <c r="DP592" s="150"/>
      <c r="DQ592" s="881"/>
      <c r="DR592" s="881"/>
      <c r="DS592" s="882"/>
      <c r="DT592" s="882"/>
      <c r="DU592" s="882"/>
      <c r="DV592" s="117"/>
      <c r="DW592" s="117"/>
      <c r="DX592" s="364"/>
      <c r="DY592" s="93"/>
    </row>
    <row r="593" spans="1:129">
      <c r="A593" s="709"/>
      <c r="B593" s="291"/>
      <c r="C593" s="93"/>
      <c r="D593" s="206"/>
      <c r="E593" s="201"/>
      <c r="F593" s="199"/>
      <c r="G593" s="206"/>
      <c r="H593" s="193"/>
      <c r="I593" s="193"/>
      <c r="J593" s="205"/>
      <c r="K593" s="201"/>
      <c r="L593" s="291"/>
      <c r="M593" s="206"/>
      <c r="N593" s="93"/>
      <c r="O593" s="201"/>
      <c r="P593" s="746"/>
      <c r="Q593" s="699"/>
      <c r="R593" s="93"/>
      <c r="S593" s="93"/>
      <c r="T593" s="295"/>
      <c r="U593" s="193"/>
      <c r="V593" s="206"/>
      <c r="W593" s="205"/>
      <c r="X593" s="160"/>
      <c r="Y593" s="206"/>
      <c r="Z593" s="201"/>
      <c r="AA593" s="206"/>
      <c r="AB593" s="199"/>
      <c r="AC593" s="93"/>
      <c r="AD593" s="199"/>
      <c r="AE593" s="206"/>
      <c r="AF593" s="79"/>
      <c r="AG593" s="295"/>
      <c r="AH593" s="299"/>
      <c r="AI593" s="193"/>
      <c r="AJ593" s="206"/>
      <c r="AK593" s="206"/>
      <c r="AL593" s="93"/>
      <c r="AM593" s="206"/>
      <c r="AN593" s="201"/>
      <c r="AO593" s="292"/>
      <c r="AP593" s="205"/>
      <c r="AQ593" s="206"/>
      <c r="AR593" s="199"/>
      <c r="AS593" s="206"/>
      <c r="AT593" s="201"/>
      <c r="AU593" s="51"/>
      <c r="AV593" s="82"/>
      <c r="AW593" s="299"/>
      <c r="AX593" s="295"/>
      <c r="AY593" s="199"/>
      <c r="AZ593" s="201"/>
      <c r="BA593" s="206"/>
      <c r="BB593" s="201"/>
      <c r="BC593" s="291"/>
      <c r="BD593" s="205"/>
      <c r="BE593" s="199"/>
      <c r="BF593" s="199"/>
      <c r="BG593" s="201"/>
      <c r="BH593" s="93"/>
      <c r="BI593" s="201"/>
      <c r="BJ593" s="206"/>
      <c r="BK593" s="93"/>
      <c r="BL593" s="79"/>
      <c r="BM593" s="864"/>
      <c r="BN593" s="291"/>
      <c r="BO593" s="93"/>
      <c r="BP593" s="199"/>
      <c r="BQ593" s="291"/>
      <c r="BR593" s="201"/>
      <c r="BS593" s="160"/>
      <c r="BT593" s="199"/>
      <c r="BU593" s="199"/>
      <c r="BV593" s="199"/>
      <c r="BW593" s="201"/>
      <c r="BX593" s="206"/>
      <c r="BY593" s="206"/>
      <c r="BZ593" s="93"/>
      <c r="CA593" s="201"/>
      <c r="CB593" s="291"/>
      <c r="CC593" s="363"/>
      <c r="CD593" s="117"/>
      <c r="CE593" s="879"/>
      <c r="CF593" s="878"/>
      <c r="CG593" s="117"/>
      <c r="CH593" s="881"/>
      <c r="CI593" s="882"/>
      <c r="CJ593" s="880"/>
      <c r="CK593" s="880"/>
      <c r="CL593" s="880"/>
      <c r="CM593" s="879"/>
      <c r="CN593" s="878"/>
      <c r="CO593" s="879"/>
      <c r="CP593" s="878"/>
      <c r="CQ593" s="888"/>
      <c r="CR593" s="899"/>
      <c r="CS593" s="361"/>
      <c r="CT593" s="70"/>
      <c r="CU593" s="879"/>
      <c r="CV593" s="880"/>
      <c r="CW593" s="878"/>
      <c r="CX593" s="150"/>
      <c r="CY593" s="881"/>
      <c r="CZ593" s="883"/>
      <c r="DA593" s="879"/>
      <c r="DB593" s="878"/>
      <c r="DC593" s="117"/>
      <c r="DD593" s="878"/>
      <c r="DE593" s="878"/>
      <c r="DF593" s="887"/>
      <c r="DG593" s="891"/>
      <c r="DH593" s="909"/>
      <c r="DI593" s="363"/>
      <c r="DJ593" s="879"/>
      <c r="DK593" s="878"/>
      <c r="DL593" s="117"/>
      <c r="DM593" s="880"/>
      <c r="DN593" s="878"/>
      <c r="DO593" s="879"/>
      <c r="DP593" s="878"/>
      <c r="DQ593" s="150"/>
      <c r="DR593" s="881"/>
      <c r="DS593" s="878"/>
      <c r="DT593" s="887"/>
      <c r="DU593" s="888"/>
      <c r="DV593" s="117"/>
      <c r="DW593" s="117"/>
      <c r="DX593" s="364"/>
      <c r="DY593" s="93"/>
    </row>
    <row r="594" spans="1:129">
      <c r="A594" s="699"/>
      <c r="B594" s="291"/>
      <c r="C594" s="93"/>
      <c r="D594" s="291"/>
      <c r="E594" s="291"/>
      <c r="F594" s="201"/>
      <c r="G594" s="193"/>
      <c r="H594" s="299"/>
      <c r="I594" s="295"/>
      <c r="J594" s="206"/>
      <c r="K594" s="205"/>
      <c r="L594" s="291"/>
      <c r="M594" s="291"/>
      <c r="N594" s="93"/>
      <c r="O594" s="291"/>
      <c r="P594" s="79"/>
      <c r="Q594" s="699"/>
      <c r="R594" s="93"/>
      <c r="S594" s="295"/>
      <c r="T594" s="299"/>
      <c r="U594" s="295"/>
      <c r="V594" s="193"/>
      <c r="W594" s="205"/>
      <c r="X594" s="160"/>
      <c r="Y594" s="205"/>
      <c r="Z594" s="291"/>
      <c r="AA594" s="206"/>
      <c r="AB594" s="199"/>
      <c r="AC594" s="93"/>
      <c r="AD594" s="199"/>
      <c r="AE594" s="206"/>
      <c r="AF594" s="79"/>
      <c r="AG594" s="206"/>
      <c r="AH594" s="299"/>
      <c r="AI594" s="295"/>
      <c r="AJ594" s="193"/>
      <c r="AK594" s="295"/>
      <c r="AL594" s="93"/>
      <c r="AM594" s="206"/>
      <c r="AN594" s="205"/>
      <c r="AO594" s="205"/>
      <c r="AP594" s="205"/>
      <c r="AQ594" s="206"/>
      <c r="AR594" s="201"/>
      <c r="AS594" s="206"/>
      <c r="AT594" s="201"/>
      <c r="AU594" s="51"/>
      <c r="AV594" s="82"/>
      <c r="AW594" s="206"/>
      <c r="AX594" s="295"/>
      <c r="AY594" s="199"/>
      <c r="AZ594" s="201"/>
      <c r="BA594" s="206"/>
      <c r="BB594" s="201"/>
      <c r="BC594" s="199"/>
      <c r="BD594" s="199"/>
      <c r="BE594" s="199"/>
      <c r="BF594" s="199"/>
      <c r="BG594" s="201"/>
      <c r="BH594" s="93"/>
      <c r="BI594" s="201"/>
      <c r="BJ594" s="206"/>
      <c r="BK594" s="93"/>
      <c r="BL594" s="79"/>
      <c r="BM594" s="864"/>
      <c r="BN594" s="291"/>
      <c r="BO594" s="93"/>
      <c r="BP594" s="93"/>
      <c r="BQ594" s="201"/>
      <c r="BR594" s="201"/>
      <c r="BS594" s="199"/>
      <c r="BT594" s="199"/>
      <c r="BU594" s="199"/>
      <c r="BV594" s="199"/>
      <c r="BW594" s="201"/>
      <c r="BX594" s="291"/>
      <c r="BY594" s="93"/>
      <c r="BZ594" s="93"/>
      <c r="CA594" s="291"/>
      <c r="CB594" s="291"/>
      <c r="CC594" s="363"/>
      <c r="CD594" s="117"/>
      <c r="CE594" s="879"/>
      <c r="CF594" s="878"/>
      <c r="CG594" s="117"/>
      <c r="CH594" s="879"/>
      <c r="CI594" s="880"/>
      <c r="CJ594" s="880"/>
      <c r="CK594" s="880"/>
      <c r="CL594" s="880"/>
      <c r="CM594" s="879"/>
      <c r="CN594" s="878"/>
      <c r="CO594" s="879"/>
      <c r="CP594" s="878"/>
      <c r="CQ594" s="888"/>
      <c r="CR594" s="900"/>
      <c r="CS594" s="361"/>
      <c r="CT594" s="70"/>
      <c r="CU594" s="879"/>
      <c r="CV594" s="879"/>
      <c r="CW594" s="878"/>
      <c r="CX594" s="878"/>
      <c r="CY594" s="881"/>
      <c r="CZ594" s="881"/>
      <c r="DA594" s="881"/>
      <c r="DB594" s="878"/>
      <c r="DC594" s="117"/>
      <c r="DD594" s="888"/>
      <c r="DE594" s="887"/>
      <c r="DF594" s="888"/>
      <c r="DG594" s="891"/>
      <c r="DH594" s="900"/>
      <c r="DI594" s="363"/>
      <c r="DJ594" s="879"/>
      <c r="DK594" s="878"/>
      <c r="DL594" s="117"/>
      <c r="DM594" s="880"/>
      <c r="DN594" s="878"/>
      <c r="DO594" s="882"/>
      <c r="DP594" s="881"/>
      <c r="DQ594" s="150"/>
      <c r="DR594" s="881"/>
      <c r="DS594" s="887"/>
      <c r="DT594" s="888"/>
      <c r="DU594" s="891"/>
      <c r="DV594" s="888"/>
      <c r="DW594" s="117"/>
      <c r="DX594" s="364"/>
      <c r="DY594" s="93"/>
    </row>
    <row r="595" spans="1:129">
      <c r="A595" s="699"/>
      <c r="B595" s="291"/>
      <c r="C595" s="93"/>
      <c r="D595" s="93"/>
      <c r="E595" s="291"/>
      <c r="F595" s="291"/>
      <c r="G595" s="295"/>
      <c r="H595" s="206"/>
      <c r="I595" s="206"/>
      <c r="J595" s="193"/>
      <c r="K595" s="205"/>
      <c r="L595" s="206"/>
      <c r="M595" s="93"/>
      <c r="N595" s="93"/>
      <c r="O595" s="291"/>
      <c r="P595" s="79"/>
      <c r="Q595" s="699"/>
      <c r="R595" s="93"/>
      <c r="S595" s="193"/>
      <c r="T595" s="206"/>
      <c r="U595" s="206"/>
      <c r="V595" s="295"/>
      <c r="W595" s="205"/>
      <c r="X595" s="206"/>
      <c r="Y595" s="205"/>
      <c r="Z595" s="206"/>
      <c r="AA595" s="206"/>
      <c r="AB595" s="296"/>
      <c r="AC595" s="93"/>
      <c r="AD595" s="199"/>
      <c r="AE595" s="201"/>
      <c r="AF595" s="79"/>
      <c r="AG595" s="93"/>
      <c r="AH595" s="206"/>
      <c r="AI595" s="206"/>
      <c r="AJ595" s="295"/>
      <c r="AK595" s="295"/>
      <c r="AL595" s="93"/>
      <c r="AM595" s="205"/>
      <c r="AN595" s="292"/>
      <c r="AO595" s="205"/>
      <c r="AP595" s="205"/>
      <c r="AQ595" s="292"/>
      <c r="AR595" s="201"/>
      <c r="AS595" s="206"/>
      <c r="AT595" s="51"/>
      <c r="AU595" s="51"/>
      <c r="AV595" s="82"/>
      <c r="AW595" s="93"/>
      <c r="AX595" s="206"/>
      <c r="AY595" s="199"/>
      <c r="AZ595" s="201"/>
      <c r="BA595" s="206"/>
      <c r="BB595" s="296"/>
      <c r="BC595" s="296"/>
      <c r="BD595" s="296"/>
      <c r="BE595" s="296"/>
      <c r="BF595" s="296"/>
      <c r="BG595" s="292"/>
      <c r="BH595" s="93"/>
      <c r="BI595" s="199"/>
      <c r="BJ595" s="206"/>
      <c r="BK595" s="201"/>
      <c r="BL595" s="79"/>
      <c r="BM595" s="709"/>
      <c r="BN595" s="291"/>
      <c r="BO595" s="93"/>
      <c r="BP595" s="93"/>
      <c r="BQ595" s="201"/>
      <c r="BR595" s="292"/>
      <c r="BS595" s="300"/>
      <c r="BT595" s="300"/>
      <c r="BU595" s="300"/>
      <c r="BV595" s="300"/>
      <c r="BW595" s="292"/>
      <c r="BX595" s="291"/>
      <c r="BY595" s="93"/>
      <c r="BZ595" s="93"/>
      <c r="CA595" s="291"/>
      <c r="CB595" s="206"/>
      <c r="CC595" s="363"/>
      <c r="CD595" s="879"/>
      <c r="CE595" s="878"/>
      <c r="CF595" s="878"/>
      <c r="CG595" s="117"/>
      <c r="CH595" s="883"/>
      <c r="CI595" s="389"/>
      <c r="CJ595" s="389"/>
      <c r="CK595" s="389"/>
      <c r="CL595" s="389"/>
      <c r="CM595" s="389"/>
      <c r="CN595" s="878"/>
      <c r="CO595" s="879"/>
      <c r="CP595" s="878"/>
      <c r="CQ595" s="878"/>
      <c r="CR595" s="364"/>
      <c r="CS595" s="361"/>
      <c r="CT595" s="70"/>
      <c r="CU595" s="70"/>
      <c r="CV595" s="879"/>
      <c r="CW595" s="150"/>
      <c r="CX595" s="883"/>
      <c r="CY595" s="881"/>
      <c r="CZ595" s="881"/>
      <c r="DA595" s="883"/>
      <c r="DB595" s="881"/>
      <c r="DC595" s="117"/>
      <c r="DD595" s="888"/>
      <c r="DE595" s="888"/>
      <c r="DF595" s="878"/>
      <c r="DG595" s="878"/>
      <c r="DH595" s="364"/>
      <c r="DI595" s="363"/>
      <c r="DJ595" s="878"/>
      <c r="DK595" s="878"/>
      <c r="DL595" s="117"/>
      <c r="DM595" s="389"/>
      <c r="DN595" s="878"/>
      <c r="DO595" s="878"/>
      <c r="DP595" s="881"/>
      <c r="DQ595" s="878"/>
      <c r="DR595" s="881"/>
      <c r="DS595" s="888"/>
      <c r="DT595" s="878"/>
      <c r="DU595" s="878"/>
      <c r="DV595" s="887"/>
      <c r="DW595" s="117"/>
      <c r="DX595" s="364"/>
      <c r="DY595" s="93"/>
    </row>
    <row r="596" spans="1:129">
      <c r="A596" s="699"/>
      <c r="B596" s="291"/>
      <c r="C596" s="93"/>
      <c r="D596" s="93"/>
      <c r="E596" s="291"/>
      <c r="F596" s="291"/>
      <c r="G596" s="206"/>
      <c r="H596" s="206"/>
      <c r="I596" s="206"/>
      <c r="J596" s="206"/>
      <c r="K596" s="205"/>
      <c r="L596" s="291"/>
      <c r="M596" s="93"/>
      <c r="N596" s="93"/>
      <c r="O596" s="291"/>
      <c r="P596" s="79"/>
      <c r="Q596" s="699"/>
      <c r="R596" s="93"/>
      <c r="S596" s="93"/>
      <c r="T596" s="93"/>
      <c r="U596" s="206"/>
      <c r="V596" s="206"/>
      <c r="W596" s="206"/>
      <c r="X596" s="291"/>
      <c r="Y596" s="205"/>
      <c r="Z596" s="206"/>
      <c r="AA596" s="160"/>
      <c r="AB596" s="296"/>
      <c r="AC596" s="93"/>
      <c r="AD596" s="93"/>
      <c r="AE596" s="201"/>
      <c r="AF596" s="79"/>
      <c r="AG596" s="93"/>
      <c r="AH596" s="93"/>
      <c r="AI596" s="206"/>
      <c r="AJ596" s="206"/>
      <c r="AK596" s="93"/>
      <c r="AL596" s="93"/>
      <c r="AM596" s="206"/>
      <c r="AN596" s="205"/>
      <c r="AO596" s="206"/>
      <c r="AP596" s="205"/>
      <c r="AQ596" s="296"/>
      <c r="AR596" s="201"/>
      <c r="AS596" s="206"/>
      <c r="AT596" s="51"/>
      <c r="AU596" s="51"/>
      <c r="AV596" s="82"/>
      <c r="AW596" s="699"/>
      <c r="AX596" s="93"/>
      <c r="AY596" s="296"/>
      <c r="AZ596" s="199"/>
      <c r="BA596" s="201"/>
      <c r="BB596" s="206"/>
      <c r="BC596" s="296"/>
      <c r="BD596" s="296"/>
      <c r="BE596" s="296"/>
      <c r="BF596" s="296"/>
      <c r="BG596" s="292"/>
      <c r="BH596" s="93"/>
      <c r="BI596" s="93"/>
      <c r="BJ596" s="206"/>
      <c r="BK596" s="206"/>
      <c r="BL596" s="79"/>
      <c r="BM596" s="709"/>
      <c r="BN596" s="291"/>
      <c r="BO596" s="93"/>
      <c r="BP596" s="93"/>
      <c r="BQ596" s="291"/>
      <c r="BR596" s="292"/>
      <c r="BS596" s="300"/>
      <c r="BT596" s="300"/>
      <c r="BU596" s="300"/>
      <c r="BV596" s="300"/>
      <c r="BW596" s="292"/>
      <c r="BX596" s="291"/>
      <c r="BY596" s="93"/>
      <c r="BZ596" s="93"/>
      <c r="CA596" s="291"/>
      <c r="CB596" s="206"/>
      <c r="CC596" s="363"/>
      <c r="CD596" s="880"/>
      <c r="CE596" s="878"/>
      <c r="CF596" s="117"/>
      <c r="CG596" s="117"/>
      <c r="CH596" s="883"/>
      <c r="CI596" s="389"/>
      <c r="CJ596" s="389"/>
      <c r="CK596" s="389"/>
      <c r="CL596" s="389"/>
      <c r="CM596" s="879"/>
      <c r="CN596" s="879"/>
      <c r="CO596" s="878"/>
      <c r="CP596" s="389"/>
      <c r="CQ596" s="117"/>
      <c r="CR596" s="364"/>
      <c r="CS596" s="361"/>
      <c r="CT596" s="70"/>
      <c r="CU596" s="70"/>
      <c r="CV596" s="879"/>
      <c r="CW596" s="150"/>
      <c r="CX596" s="389"/>
      <c r="CY596" s="881"/>
      <c r="CZ596" s="878"/>
      <c r="DA596" s="881"/>
      <c r="DB596" s="878"/>
      <c r="DC596" s="117"/>
      <c r="DD596" s="117"/>
      <c r="DE596" s="878"/>
      <c r="DF596" s="878"/>
      <c r="DG596" s="117"/>
      <c r="DH596" s="364"/>
      <c r="DI596" s="363"/>
      <c r="DJ596" s="878"/>
      <c r="DK596" s="117"/>
      <c r="DL596" s="117"/>
      <c r="DM596" s="389"/>
      <c r="DN596" s="150"/>
      <c r="DO596" s="878"/>
      <c r="DP596" s="881"/>
      <c r="DQ596" s="882"/>
      <c r="DR596" s="878"/>
      <c r="DS596" s="878"/>
      <c r="DT596" s="878"/>
      <c r="DU596" s="117"/>
      <c r="DV596" s="117"/>
      <c r="DW596" s="117"/>
      <c r="DX596" s="364"/>
      <c r="DY596" s="93"/>
    </row>
    <row r="597" spans="1:129">
      <c r="A597" s="699"/>
      <c r="B597" s="291"/>
      <c r="C597" s="93"/>
      <c r="D597" s="93"/>
      <c r="E597" s="291"/>
      <c r="F597" s="201"/>
      <c r="G597" s="291"/>
      <c r="H597" s="206"/>
      <c r="I597" s="206"/>
      <c r="J597" s="291"/>
      <c r="K597" s="206"/>
      <c r="L597" s="291"/>
      <c r="M597" s="93"/>
      <c r="N597" s="93"/>
      <c r="O597" s="291"/>
      <c r="P597" s="79"/>
      <c r="Q597" s="699"/>
      <c r="R597" s="93"/>
      <c r="S597" s="93"/>
      <c r="T597" s="93"/>
      <c r="U597" s="291"/>
      <c r="V597" s="291"/>
      <c r="W597" s="294"/>
      <c r="X597" s="292"/>
      <c r="Y597" s="206"/>
      <c r="Z597" s="206"/>
      <c r="AA597" s="296"/>
      <c r="AB597" s="93"/>
      <c r="AC597" s="93"/>
      <c r="AD597" s="93"/>
      <c r="AE597" s="201"/>
      <c r="AF597" s="206"/>
      <c r="AG597" s="699"/>
      <c r="AH597" s="93"/>
      <c r="AI597" s="93"/>
      <c r="AJ597" s="93"/>
      <c r="AK597" s="93"/>
      <c r="AL597" s="201"/>
      <c r="AM597" s="205"/>
      <c r="AN597" s="206"/>
      <c r="AO597" s="205"/>
      <c r="AP597" s="292"/>
      <c r="AQ597" s="300"/>
      <c r="AR597" s="201"/>
      <c r="AS597" s="206"/>
      <c r="AT597" s="51"/>
      <c r="AU597" s="51"/>
      <c r="AV597" s="82"/>
      <c r="AW597" s="699"/>
      <c r="AX597" s="93"/>
      <c r="AY597" s="296"/>
      <c r="AZ597" s="199"/>
      <c r="BA597" s="201"/>
      <c r="BB597" s="206"/>
      <c r="BC597" s="296"/>
      <c r="BD597" s="296"/>
      <c r="BE597" s="296"/>
      <c r="BF597" s="292"/>
      <c r="BG597" s="93"/>
      <c r="BH597" s="93"/>
      <c r="BI597" s="93"/>
      <c r="BJ597" s="201"/>
      <c r="BK597" s="206"/>
      <c r="BL597" s="79"/>
      <c r="BM597" s="709"/>
      <c r="BN597" s="291"/>
      <c r="BO597" s="206"/>
      <c r="BP597" s="93"/>
      <c r="BQ597" s="199"/>
      <c r="BR597" s="292"/>
      <c r="BS597" s="296"/>
      <c r="BT597" s="296"/>
      <c r="BU597" s="296"/>
      <c r="BV597" s="296"/>
      <c r="BW597" s="292"/>
      <c r="BX597" s="206"/>
      <c r="BY597" s="93"/>
      <c r="BZ597" s="93"/>
      <c r="CA597" s="291"/>
      <c r="CB597" s="206"/>
      <c r="CC597" s="363"/>
      <c r="CD597" s="880"/>
      <c r="CE597" s="878"/>
      <c r="CF597" s="117"/>
      <c r="CG597" s="117"/>
      <c r="CH597" s="117"/>
      <c r="CI597" s="883"/>
      <c r="CJ597" s="389"/>
      <c r="CK597" s="389"/>
      <c r="CL597" s="389"/>
      <c r="CM597" s="880"/>
      <c r="CN597" s="879"/>
      <c r="CO597" s="878"/>
      <c r="CP597" s="389"/>
      <c r="CQ597" s="117"/>
      <c r="CR597" s="364"/>
      <c r="CS597" s="361"/>
      <c r="CT597" s="70"/>
      <c r="CU597" s="70"/>
      <c r="CV597" s="879"/>
      <c r="CW597" s="150"/>
      <c r="CX597" s="889"/>
      <c r="CY597" s="883"/>
      <c r="CZ597" s="881"/>
      <c r="DA597" s="878"/>
      <c r="DB597" s="881"/>
      <c r="DC597" s="879"/>
      <c r="DD597" s="117"/>
      <c r="DE597" s="117"/>
      <c r="DF597" s="117"/>
      <c r="DG597" s="117"/>
      <c r="DH597" s="364"/>
      <c r="DI597" s="880"/>
      <c r="DJ597" s="878"/>
      <c r="DK597" s="117"/>
      <c r="DL597" s="117"/>
      <c r="DM597" s="117"/>
      <c r="DN597" s="389"/>
      <c r="DO597" s="878"/>
      <c r="DP597" s="878"/>
      <c r="DQ597" s="883"/>
      <c r="DR597" s="885"/>
      <c r="DS597" s="882"/>
      <c r="DT597" s="882"/>
      <c r="DU597" s="117"/>
      <c r="DV597" s="117"/>
      <c r="DW597" s="117"/>
      <c r="DX597" s="364"/>
      <c r="DY597" s="93"/>
    </row>
    <row r="598" spans="1:129">
      <c r="A598" s="699"/>
      <c r="B598" s="291"/>
      <c r="C598" s="206"/>
      <c r="D598" s="93"/>
      <c r="E598" s="93"/>
      <c r="F598" s="201"/>
      <c r="G598" s="298"/>
      <c r="H598" s="291"/>
      <c r="I598" s="291"/>
      <c r="J598" s="290"/>
      <c r="K598" s="201"/>
      <c r="L598" s="93"/>
      <c r="M598" s="93"/>
      <c r="N598" s="206"/>
      <c r="O598" s="291"/>
      <c r="P598" s="79"/>
      <c r="Q598" s="699"/>
      <c r="R598" s="93"/>
      <c r="S598" s="93"/>
      <c r="T598" s="93"/>
      <c r="U598" s="298"/>
      <c r="V598" s="294"/>
      <c r="W598" s="291"/>
      <c r="X598" s="292"/>
      <c r="Y598" s="161"/>
      <c r="Z598" s="206"/>
      <c r="AA598" s="296"/>
      <c r="AB598" s="93"/>
      <c r="AC598" s="93"/>
      <c r="AD598" s="93"/>
      <c r="AE598" s="201"/>
      <c r="AF598" s="206"/>
      <c r="AG598" s="699"/>
      <c r="AH598" s="93"/>
      <c r="AI598" s="93"/>
      <c r="AJ598" s="93"/>
      <c r="AK598" s="93"/>
      <c r="AL598" s="206"/>
      <c r="AM598" s="206"/>
      <c r="AN598" s="294"/>
      <c r="AO598" s="206"/>
      <c r="AP598" s="296"/>
      <c r="AQ598" s="300"/>
      <c r="AR598" s="201"/>
      <c r="AS598" s="199"/>
      <c r="AT598" s="206"/>
      <c r="AU598" s="51"/>
      <c r="AV598" s="82"/>
      <c r="AW598" s="699"/>
      <c r="AX598" s="93"/>
      <c r="AY598" s="93"/>
      <c r="AZ598" s="294"/>
      <c r="BA598" s="201"/>
      <c r="BB598" s="206"/>
      <c r="BC598" s="296"/>
      <c r="BD598" s="296"/>
      <c r="BE598" s="296"/>
      <c r="BF598" s="292"/>
      <c r="BG598" s="93"/>
      <c r="BH598" s="93"/>
      <c r="BI598" s="93"/>
      <c r="BJ598" s="201"/>
      <c r="BK598" s="206"/>
      <c r="BL598" s="79"/>
      <c r="BM598" s="709"/>
      <c r="BN598" s="291"/>
      <c r="BO598" s="206"/>
      <c r="BP598" s="93"/>
      <c r="BQ598" s="93"/>
      <c r="BR598" s="292"/>
      <c r="BS598" s="296" t="s">
        <v>874</v>
      </c>
      <c r="BT598" s="296"/>
      <c r="BU598" s="296"/>
      <c r="BV598" s="296"/>
      <c r="BW598" s="292"/>
      <c r="BX598" s="93"/>
      <c r="BY598" s="93"/>
      <c r="BZ598" s="206"/>
      <c r="CA598" s="291"/>
      <c r="CB598" s="206"/>
      <c r="CC598" s="363"/>
      <c r="CD598" s="880"/>
      <c r="CE598" s="878"/>
      <c r="CF598" s="117"/>
      <c r="CG598" s="117"/>
      <c r="CH598" s="117"/>
      <c r="CI598" s="883"/>
      <c r="CJ598" s="389"/>
      <c r="CK598" s="389"/>
      <c r="CL598" s="389"/>
      <c r="CM598" s="880"/>
      <c r="CN598" s="879"/>
      <c r="CO598" s="885"/>
      <c r="CP598" s="117"/>
      <c r="CQ598" s="117"/>
      <c r="CR598" s="364"/>
      <c r="CS598" s="361"/>
      <c r="CT598" s="70"/>
      <c r="CU598" s="880"/>
      <c r="CV598" s="878"/>
      <c r="CW598" s="879"/>
      <c r="CX598" s="889"/>
      <c r="CY598" s="389"/>
      <c r="CZ598" s="878"/>
      <c r="DA598" s="885"/>
      <c r="DB598" s="878"/>
      <c r="DC598" s="878"/>
      <c r="DD598" s="117"/>
      <c r="DE598" s="117"/>
      <c r="DF598" s="117"/>
      <c r="DG598" s="117"/>
      <c r="DH598" s="364"/>
      <c r="DI598" s="880"/>
      <c r="DJ598" s="878"/>
      <c r="DK598" s="117"/>
      <c r="DL598" s="117"/>
      <c r="DM598" s="117"/>
      <c r="DN598" s="389"/>
      <c r="DO598" s="878"/>
      <c r="DP598" s="147"/>
      <c r="DQ598" s="883"/>
      <c r="DR598" s="882"/>
      <c r="DS598" s="885"/>
      <c r="DT598" s="890"/>
      <c r="DU598" s="117"/>
      <c r="DV598" s="117"/>
      <c r="DW598" s="117"/>
      <c r="DX598" s="364"/>
      <c r="DY598" s="93"/>
    </row>
    <row r="599" spans="1:129">
      <c r="A599" s="699"/>
      <c r="B599" s="291"/>
      <c r="C599" s="206"/>
      <c r="D599" s="93"/>
      <c r="E599" s="93"/>
      <c r="F599" s="291"/>
      <c r="G599" s="199"/>
      <c r="H599" s="298"/>
      <c r="I599" s="294"/>
      <c r="J599" s="291"/>
      <c r="K599" s="206"/>
      <c r="L599" s="93"/>
      <c r="M599" s="93"/>
      <c r="N599" s="206"/>
      <c r="O599" s="201"/>
      <c r="P599" s="79"/>
      <c r="Q599" s="699"/>
      <c r="R599" s="93"/>
      <c r="S599" s="93"/>
      <c r="T599" s="93"/>
      <c r="U599" s="201"/>
      <c r="V599" s="201"/>
      <c r="W599" s="294"/>
      <c r="X599" s="161"/>
      <c r="Y599" s="161"/>
      <c r="Z599" s="292"/>
      <c r="AA599" s="296"/>
      <c r="AB599" s="93"/>
      <c r="AC599" s="93"/>
      <c r="AD599" s="93"/>
      <c r="AE599" s="201"/>
      <c r="AF599" s="206"/>
      <c r="AG599" s="699"/>
      <c r="AH599" s="93"/>
      <c r="AI599" s="93"/>
      <c r="AJ599" s="93"/>
      <c r="AK599" s="93"/>
      <c r="AL599" s="294"/>
      <c r="AM599" s="201"/>
      <c r="AN599" s="161"/>
      <c r="AO599" s="293"/>
      <c r="AP599" s="296"/>
      <c r="AQ599" s="292"/>
      <c r="AR599" s="292"/>
      <c r="AS599" s="201"/>
      <c r="AT599" s="206"/>
      <c r="AU599" s="51"/>
      <c r="AV599" s="82"/>
      <c r="AW599" s="699"/>
      <c r="AX599" s="93"/>
      <c r="AY599" s="93"/>
      <c r="AZ599" s="206"/>
      <c r="BA599" s="199"/>
      <c r="BB599" s="206"/>
      <c r="BC599" s="292"/>
      <c r="BD599" s="292"/>
      <c r="BE599" s="292"/>
      <c r="BF599" s="292"/>
      <c r="BG599" s="93"/>
      <c r="BH599" s="93"/>
      <c r="BI599" s="93"/>
      <c r="BJ599" s="201"/>
      <c r="BK599" s="206"/>
      <c r="BL599" s="79"/>
      <c r="BM599" s="699"/>
      <c r="BN599" s="291"/>
      <c r="BO599" s="206"/>
      <c r="BP599" s="93"/>
      <c r="BQ599" s="93"/>
      <c r="BR599" s="292"/>
      <c r="BS599" s="296"/>
      <c r="BT599" s="296"/>
      <c r="BU599" s="296"/>
      <c r="BV599" s="296"/>
      <c r="BW599" s="292"/>
      <c r="BX599" s="93"/>
      <c r="BY599" s="93"/>
      <c r="BZ599" s="206"/>
      <c r="CA599" s="291"/>
      <c r="CB599" s="93"/>
      <c r="CC599" s="363"/>
      <c r="CD599" s="879"/>
      <c r="CE599" s="878"/>
      <c r="CF599" s="117"/>
      <c r="CG599" s="117"/>
      <c r="CH599" s="117"/>
      <c r="CI599" s="883"/>
      <c r="CJ599" s="883"/>
      <c r="CK599" s="883"/>
      <c r="CL599" s="883"/>
      <c r="CM599" s="880"/>
      <c r="CN599" s="878"/>
      <c r="CO599" s="878"/>
      <c r="CP599" s="117"/>
      <c r="CQ599" s="117"/>
      <c r="CR599" s="364"/>
      <c r="CS599" s="361"/>
      <c r="CT599" s="70"/>
      <c r="CU599" s="879"/>
      <c r="CV599" s="878"/>
      <c r="CW599" s="883"/>
      <c r="CX599" s="883"/>
      <c r="CY599" s="389"/>
      <c r="CZ599" s="886"/>
      <c r="DA599" s="147"/>
      <c r="DB599" s="879"/>
      <c r="DC599" s="885"/>
      <c r="DD599" s="117"/>
      <c r="DE599" s="117"/>
      <c r="DF599" s="117"/>
      <c r="DG599" s="117"/>
      <c r="DH599" s="364"/>
      <c r="DI599" s="880"/>
      <c r="DJ599" s="878"/>
      <c r="DK599" s="117"/>
      <c r="DL599" s="117"/>
      <c r="DM599" s="117"/>
      <c r="DN599" s="389"/>
      <c r="DO599" s="883"/>
      <c r="DP599" s="147"/>
      <c r="DQ599" s="147"/>
      <c r="DR599" s="885"/>
      <c r="DS599" s="879"/>
      <c r="DT599" s="879"/>
      <c r="DU599" s="117"/>
      <c r="DV599" s="117"/>
      <c r="DW599" s="117"/>
      <c r="DX599" s="364"/>
      <c r="DY599" s="93"/>
    </row>
    <row r="600" spans="1:129">
      <c r="A600" s="699"/>
      <c r="B600" s="201"/>
      <c r="C600" s="206"/>
      <c r="D600" s="93"/>
      <c r="E600" s="93"/>
      <c r="F600" s="291"/>
      <c r="G600" s="207"/>
      <c r="H600" s="201"/>
      <c r="I600" s="201"/>
      <c r="J600" s="290"/>
      <c r="K600" s="206"/>
      <c r="L600" s="93"/>
      <c r="M600" s="93"/>
      <c r="N600" s="206"/>
      <c r="O600" s="291"/>
      <c r="P600" s="79"/>
      <c r="Q600" s="699"/>
      <c r="R600" s="93"/>
      <c r="S600" s="93"/>
      <c r="T600" s="93"/>
      <c r="U600" s="298"/>
      <c r="V600" s="294"/>
      <c r="W600" s="291"/>
      <c r="X600" s="206"/>
      <c r="Y600" s="201"/>
      <c r="Z600" s="93"/>
      <c r="AA600" s="93"/>
      <c r="AB600" s="93"/>
      <c r="AC600" s="93"/>
      <c r="AD600" s="93"/>
      <c r="AE600" s="199"/>
      <c r="AF600" s="206"/>
      <c r="AG600" s="699"/>
      <c r="AH600" s="93"/>
      <c r="AI600" s="93"/>
      <c r="AJ600" s="93"/>
      <c r="AK600" s="206"/>
      <c r="AL600" s="201"/>
      <c r="AM600" s="294"/>
      <c r="AN600" s="206"/>
      <c r="AO600" s="206"/>
      <c r="AP600" s="292"/>
      <c r="AQ600" s="292"/>
      <c r="AR600" s="199"/>
      <c r="AS600" s="201"/>
      <c r="AT600" s="206"/>
      <c r="AU600" s="51"/>
      <c r="AV600" s="82"/>
      <c r="AW600" s="699"/>
      <c r="AX600" s="93"/>
      <c r="AY600" s="93"/>
      <c r="AZ600" s="294"/>
      <c r="BA600" s="199"/>
      <c r="BB600" s="201"/>
      <c r="BC600" s="206"/>
      <c r="BD600" s="294"/>
      <c r="BE600" s="93"/>
      <c r="BF600" s="93"/>
      <c r="BG600" s="93"/>
      <c r="BH600" s="93"/>
      <c r="BI600" s="93"/>
      <c r="BJ600" s="199"/>
      <c r="BK600" s="206"/>
      <c r="BL600" s="201"/>
      <c r="BM600" s="699"/>
      <c r="BN600" s="201"/>
      <c r="BO600" s="206"/>
      <c r="BP600" s="93"/>
      <c r="BQ600" s="93"/>
      <c r="BR600" s="201"/>
      <c r="BS600" s="206"/>
      <c r="BT600" s="206"/>
      <c r="BU600" s="206"/>
      <c r="BV600" s="206"/>
      <c r="BW600" s="201"/>
      <c r="BX600" s="93"/>
      <c r="BY600" s="93"/>
      <c r="BZ600" s="206"/>
      <c r="CA600" s="201"/>
      <c r="CB600" s="93"/>
      <c r="CC600" s="880"/>
      <c r="CD600" s="879"/>
      <c r="CE600" s="878"/>
      <c r="CF600" s="117"/>
      <c r="CG600" s="117"/>
      <c r="CH600" s="117"/>
      <c r="CI600" s="117"/>
      <c r="CJ600" s="117"/>
      <c r="CK600" s="885"/>
      <c r="CL600" s="880"/>
      <c r="CM600" s="879"/>
      <c r="CN600" s="878"/>
      <c r="CO600" s="885"/>
      <c r="CP600" s="117"/>
      <c r="CQ600" s="117"/>
      <c r="CR600" s="364"/>
      <c r="CS600" s="361"/>
      <c r="CT600" s="70"/>
      <c r="CU600" s="879"/>
      <c r="CV600" s="878"/>
      <c r="CW600" s="880"/>
      <c r="CX600" s="883"/>
      <c r="CY600" s="883"/>
      <c r="CZ600" s="878"/>
      <c r="DA600" s="878"/>
      <c r="DB600" s="885"/>
      <c r="DC600" s="879"/>
      <c r="DD600" s="878"/>
      <c r="DE600" s="117"/>
      <c r="DF600" s="117"/>
      <c r="DG600" s="117"/>
      <c r="DH600" s="364"/>
      <c r="DI600" s="879"/>
      <c r="DJ600" s="878"/>
      <c r="DK600" s="117"/>
      <c r="DL600" s="117"/>
      <c r="DM600" s="117"/>
      <c r="DN600" s="117"/>
      <c r="DO600" s="117"/>
      <c r="DP600" s="879"/>
      <c r="DQ600" s="878"/>
      <c r="DR600" s="882"/>
      <c r="DS600" s="885"/>
      <c r="DT600" s="890"/>
      <c r="DU600" s="117"/>
      <c r="DV600" s="117"/>
      <c r="DW600" s="117"/>
      <c r="DX600" s="364"/>
      <c r="DY600" s="93"/>
    </row>
    <row r="601" spans="1:129">
      <c r="A601" s="699"/>
      <c r="B601" s="201"/>
      <c r="C601" s="93"/>
      <c r="D601" s="93"/>
      <c r="E601" s="93"/>
      <c r="F601" s="93"/>
      <c r="G601" s="201"/>
      <c r="H601" s="298"/>
      <c r="I601" s="294"/>
      <c r="J601" s="291"/>
      <c r="K601" s="93"/>
      <c r="L601" s="93"/>
      <c r="M601" s="93"/>
      <c r="N601" s="93"/>
      <c r="O601" s="291"/>
      <c r="P601" s="79"/>
      <c r="Q601" s="699"/>
      <c r="R601" s="93"/>
      <c r="S601" s="93"/>
      <c r="T601" s="93"/>
      <c r="U601" s="201"/>
      <c r="V601" s="199"/>
      <c r="W601" s="294"/>
      <c r="X601" s="161"/>
      <c r="Y601" s="93"/>
      <c r="Z601" s="201"/>
      <c r="AA601" s="93"/>
      <c r="AB601" s="93"/>
      <c r="AC601" s="93"/>
      <c r="AD601" s="93"/>
      <c r="AE601" s="199"/>
      <c r="AF601" s="206"/>
      <c r="AG601" s="699"/>
      <c r="AH601" s="93"/>
      <c r="AI601" s="93"/>
      <c r="AJ601" s="93"/>
      <c r="AK601" s="294"/>
      <c r="AL601" s="206"/>
      <c r="AM601" s="161"/>
      <c r="AN601" s="293"/>
      <c r="AO601" s="51"/>
      <c r="AP601" s="51"/>
      <c r="AQ601" s="292"/>
      <c r="AR601" s="199"/>
      <c r="AS601" s="201"/>
      <c r="AT601" s="206"/>
      <c r="AU601" s="51"/>
      <c r="AV601" s="82"/>
      <c r="AW601" s="699"/>
      <c r="AX601" s="93"/>
      <c r="AY601" s="296"/>
      <c r="AZ601" s="206"/>
      <c r="BA601" s="294"/>
      <c r="BB601" s="201"/>
      <c r="BC601" s="206"/>
      <c r="BD601" s="93"/>
      <c r="BE601" s="93"/>
      <c r="BF601" s="93"/>
      <c r="BG601" s="93"/>
      <c r="BH601" s="93"/>
      <c r="BI601" s="93"/>
      <c r="BJ601" s="93"/>
      <c r="BK601" s="201"/>
      <c r="BL601" s="206"/>
      <c r="BM601" s="699"/>
      <c r="BN601" s="201"/>
      <c r="BO601" s="206"/>
      <c r="BP601" s="93"/>
      <c r="BQ601" s="93"/>
      <c r="BR601" s="93"/>
      <c r="BS601" s="199"/>
      <c r="BT601" s="297"/>
      <c r="BU601" s="161"/>
      <c r="BV601" s="290"/>
      <c r="BW601" s="93"/>
      <c r="BX601" s="93"/>
      <c r="BY601" s="93"/>
      <c r="BZ601" s="206"/>
      <c r="CA601" s="201"/>
      <c r="CB601" s="93"/>
      <c r="CC601" s="880"/>
      <c r="CD601" s="878"/>
      <c r="CE601" s="117"/>
      <c r="CF601" s="117"/>
      <c r="CG601" s="117"/>
      <c r="CH601" s="117"/>
      <c r="CI601" s="117"/>
      <c r="CJ601" s="117"/>
      <c r="CK601" s="117"/>
      <c r="CL601" s="880"/>
      <c r="CM601" s="878"/>
      <c r="CN601" s="885"/>
      <c r="CO601" s="878"/>
      <c r="CP601" s="389"/>
      <c r="CQ601" s="117"/>
      <c r="CR601" s="364"/>
      <c r="CS601" s="361"/>
      <c r="CT601" s="70"/>
      <c r="CU601" s="879"/>
      <c r="CV601" s="150"/>
      <c r="CW601" s="880"/>
      <c r="CX601" s="883"/>
      <c r="CY601" s="70"/>
      <c r="CZ601" s="70"/>
      <c r="DA601" s="886"/>
      <c r="DB601" s="147"/>
      <c r="DC601" s="878"/>
      <c r="DD601" s="885"/>
      <c r="DE601" s="117"/>
      <c r="DF601" s="117"/>
      <c r="DG601" s="117"/>
      <c r="DH601" s="364"/>
      <c r="DI601" s="879"/>
      <c r="DJ601" s="878"/>
      <c r="DK601" s="117"/>
      <c r="DL601" s="117"/>
      <c r="DM601" s="117"/>
      <c r="DN601" s="117"/>
      <c r="DO601" s="879"/>
      <c r="DP601" s="117"/>
      <c r="DQ601" s="147"/>
      <c r="DR601" s="885"/>
      <c r="DS601" s="880"/>
      <c r="DT601" s="879"/>
      <c r="DU601" s="117"/>
      <c r="DV601" s="117"/>
      <c r="DW601" s="117"/>
      <c r="DX601" s="364"/>
      <c r="DY601" s="93"/>
    </row>
    <row r="602" spans="1:129">
      <c r="A602" s="709"/>
      <c r="B602" s="291"/>
      <c r="C602" s="93"/>
      <c r="D602" s="93"/>
      <c r="E602" s="93"/>
      <c r="F602" s="93"/>
      <c r="G602" s="298"/>
      <c r="H602" s="201"/>
      <c r="I602" s="199"/>
      <c r="J602" s="206"/>
      <c r="K602" s="93"/>
      <c r="L602" s="93"/>
      <c r="M602" s="93"/>
      <c r="N602" s="93"/>
      <c r="O602" s="291"/>
      <c r="P602" s="746"/>
      <c r="Q602" s="699"/>
      <c r="R602" s="93"/>
      <c r="S602" s="300"/>
      <c r="T602" s="300"/>
      <c r="U602" s="292"/>
      <c r="V602" s="292"/>
      <c r="W602" s="206"/>
      <c r="X602" s="292"/>
      <c r="Y602" s="93"/>
      <c r="Z602" s="206"/>
      <c r="AA602" s="93"/>
      <c r="AB602" s="93"/>
      <c r="AC602" s="93"/>
      <c r="AD602" s="93"/>
      <c r="AE602" s="199"/>
      <c r="AF602" s="206"/>
      <c r="AG602" s="699"/>
      <c r="AH602" s="93"/>
      <c r="AI602" s="93"/>
      <c r="AJ602" s="206"/>
      <c r="AK602" s="206"/>
      <c r="AL602" s="294"/>
      <c r="AM602" s="294"/>
      <c r="AN602" s="206"/>
      <c r="AO602" s="51"/>
      <c r="AP602" s="51"/>
      <c r="AQ602" s="51"/>
      <c r="AR602" s="92"/>
      <c r="AS602" s="206"/>
      <c r="AT602" s="199"/>
      <c r="AU602" s="206"/>
      <c r="AV602" s="82"/>
      <c r="AW602" s="699"/>
      <c r="AX602" s="303"/>
      <c r="AY602" s="300"/>
      <c r="AZ602" s="296"/>
      <c r="BA602" s="291"/>
      <c r="BB602" s="199"/>
      <c r="BC602" s="206"/>
      <c r="BD602" s="93"/>
      <c r="BE602" s="93"/>
      <c r="BF602" s="93"/>
      <c r="BG602" s="93"/>
      <c r="BH602" s="93"/>
      <c r="BI602" s="93"/>
      <c r="BJ602" s="93"/>
      <c r="BK602" s="201"/>
      <c r="BL602" s="206"/>
      <c r="BM602" s="699"/>
      <c r="BN602" s="201"/>
      <c r="BO602" s="206"/>
      <c r="BP602" s="93"/>
      <c r="BQ602" s="93"/>
      <c r="BR602" s="93"/>
      <c r="BS602" s="201"/>
      <c r="BT602" s="201"/>
      <c r="BU602" s="206"/>
      <c r="BV602" s="291"/>
      <c r="BW602" s="93"/>
      <c r="BX602" s="93"/>
      <c r="BY602" s="93"/>
      <c r="BZ602" s="206"/>
      <c r="CA602" s="291"/>
      <c r="CB602" s="93"/>
      <c r="CC602" s="880"/>
      <c r="CD602" s="878"/>
      <c r="CE602" s="117"/>
      <c r="CF602" s="117"/>
      <c r="CG602" s="117"/>
      <c r="CH602" s="117"/>
      <c r="CI602" s="117"/>
      <c r="CJ602" s="117"/>
      <c r="CK602" s="117"/>
      <c r="CL602" s="880"/>
      <c r="CM602" s="878"/>
      <c r="CN602" s="883"/>
      <c r="CO602" s="883"/>
      <c r="CP602" s="883"/>
      <c r="CQ602" s="883"/>
      <c r="CR602" s="364"/>
      <c r="CS602" s="361"/>
      <c r="CT602" s="880"/>
      <c r="CU602" s="878"/>
      <c r="CV602" s="878"/>
      <c r="CW602" s="117"/>
      <c r="CX602" s="70"/>
      <c r="CY602" s="70"/>
      <c r="CZ602" s="70"/>
      <c r="DA602" s="878"/>
      <c r="DB602" s="885"/>
      <c r="DC602" s="885"/>
      <c r="DD602" s="878"/>
      <c r="DE602" s="878"/>
      <c r="DF602" s="117"/>
      <c r="DG602" s="117"/>
      <c r="DH602" s="364"/>
      <c r="DI602" s="902"/>
      <c r="DJ602" s="878"/>
      <c r="DK602" s="117"/>
      <c r="DL602" s="117"/>
      <c r="DM602" s="117"/>
      <c r="DN602" s="117"/>
      <c r="DO602" s="878"/>
      <c r="DP602" s="117"/>
      <c r="DQ602" s="883"/>
      <c r="DR602" s="878"/>
      <c r="DS602" s="883"/>
      <c r="DT602" s="883"/>
      <c r="DU602" s="882"/>
      <c r="DV602" s="882"/>
      <c r="DW602" s="117"/>
      <c r="DX602" s="364"/>
      <c r="DY602" s="93"/>
    </row>
    <row r="603" spans="1:129">
      <c r="A603" s="864"/>
      <c r="B603" s="291"/>
      <c r="C603" s="93"/>
      <c r="D603" s="93"/>
      <c r="E603" s="93"/>
      <c r="F603" s="296"/>
      <c r="G603" s="303"/>
      <c r="H603" s="296"/>
      <c r="I603" s="292"/>
      <c r="J603" s="292"/>
      <c r="K603" s="296"/>
      <c r="L603" s="93"/>
      <c r="M603" s="93"/>
      <c r="N603" s="93"/>
      <c r="O603" s="291"/>
      <c r="P603" s="746"/>
      <c r="Q603" s="699"/>
      <c r="R603" s="201"/>
      <c r="S603" s="296"/>
      <c r="T603" s="300"/>
      <c r="U603" s="300"/>
      <c r="V603" s="296"/>
      <c r="W603" s="292"/>
      <c r="X603" s="292"/>
      <c r="Y603" s="296"/>
      <c r="Z603" s="206"/>
      <c r="AA603" s="93"/>
      <c r="AB603" s="93"/>
      <c r="AC603" s="93"/>
      <c r="AD603" s="93"/>
      <c r="AE603" s="93"/>
      <c r="AF603" s="746"/>
      <c r="AG603" s="710"/>
      <c r="AH603" s="300"/>
      <c r="AI603" s="303"/>
      <c r="AJ603" s="303"/>
      <c r="AK603" s="300"/>
      <c r="AL603" s="293"/>
      <c r="AM603" s="161"/>
      <c r="AN603" s="293"/>
      <c r="AO603" s="51"/>
      <c r="AP603" s="51"/>
      <c r="AQ603" s="51"/>
      <c r="AR603" s="92"/>
      <c r="AS603" s="201"/>
      <c r="AT603" s="201"/>
      <c r="AU603" s="206"/>
      <c r="AV603" s="82"/>
      <c r="AW603" s="303"/>
      <c r="AX603" s="300"/>
      <c r="AY603" s="296"/>
      <c r="AZ603" s="292"/>
      <c r="BA603" s="292"/>
      <c r="BB603" s="291"/>
      <c r="BC603" s="201"/>
      <c r="BD603" s="206"/>
      <c r="BE603" s="93"/>
      <c r="BF603" s="93"/>
      <c r="BG603" s="93"/>
      <c r="BH603" s="93"/>
      <c r="BI603" s="93"/>
      <c r="BJ603" s="93"/>
      <c r="BK603" s="199"/>
      <c r="BL603" s="206"/>
      <c r="BM603" s="709"/>
      <c r="BN603" s="291"/>
      <c r="BO603" s="206"/>
      <c r="BP603" s="93"/>
      <c r="BQ603" s="93"/>
      <c r="BR603" s="296"/>
      <c r="BS603" s="291"/>
      <c r="BT603" s="297"/>
      <c r="BU603" s="161"/>
      <c r="BV603" s="206"/>
      <c r="BW603" s="296"/>
      <c r="BX603" s="93"/>
      <c r="BY603" s="93"/>
      <c r="BZ603" s="206"/>
      <c r="CA603" s="291"/>
      <c r="CB603" s="291"/>
      <c r="CC603" s="879"/>
      <c r="CD603" s="878"/>
      <c r="CE603" s="117"/>
      <c r="CF603" s="117"/>
      <c r="CG603" s="117"/>
      <c r="CH603" s="117"/>
      <c r="CI603" s="117"/>
      <c r="CJ603" s="117"/>
      <c r="CK603" s="880"/>
      <c r="CL603" s="878"/>
      <c r="CM603" s="303"/>
      <c r="CN603" s="389"/>
      <c r="CO603" s="883"/>
      <c r="CP603" s="883"/>
      <c r="CQ603" s="883"/>
      <c r="CR603" s="883"/>
      <c r="CS603" s="361"/>
      <c r="CT603" s="879"/>
      <c r="CU603" s="878"/>
      <c r="CV603" s="879"/>
      <c r="CW603" s="117"/>
      <c r="CX603" s="70"/>
      <c r="CY603" s="70"/>
      <c r="CZ603" s="70"/>
      <c r="DA603" s="886"/>
      <c r="DB603" s="147"/>
      <c r="DC603" s="886"/>
      <c r="DD603" s="882"/>
      <c r="DE603" s="882"/>
      <c r="DF603" s="882"/>
      <c r="DG603" s="882"/>
      <c r="DH603" s="910"/>
      <c r="DI603" s="902"/>
      <c r="DJ603" s="117"/>
      <c r="DK603" s="117"/>
      <c r="DL603" s="117"/>
      <c r="DM603" s="117"/>
      <c r="DN603" s="117"/>
      <c r="DO603" s="878"/>
      <c r="DP603" s="389"/>
      <c r="DQ603" s="389"/>
      <c r="DR603" s="889"/>
      <c r="DS603" s="389"/>
      <c r="DT603" s="389"/>
      <c r="DU603" s="882"/>
      <c r="DV603" s="389"/>
      <c r="DW603" s="879"/>
      <c r="DX603" s="364"/>
      <c r="DY603" s="93"/>
    </row>
    <row r="604" spans="1:129">
      <c r="A604" s="709"/>
      <c r="B604" s="93"/>
      <c r="C604" s="93"/>
      <c r="D604" s="93"/>
      <c r="E604" s="201"/>
      <c r="F604" s="296"/>
      <c r="G604" s="300"/>
      <c r="H604" s="300"/>
      <c r="I604" s="296"/>
      <c r="J604" s="296"/>
      <c r="K604" s="296"/>
      <c r="L604" s="201"/>
      <c r="M604" s="93"/>
      <c r="N604" s="93"/>
      <c r="O604" s="93"/>
      <c r="P604" s="865"/>
      <c r="Q604" s="864"/>
      <c r="R604" s="291"/>
      <c r="S604" s="201"/>
      <c r="T604" s="201"/>
      <c r="U604" s="205"/>
      <c r="V604" s="300"/>
      <c r="W604" s="296"/>
      <c r="X604" s="296"/>
      <c r="Y604" s="292"/>
      <c r="Z604" s="93"/>
      <c r="AA604" s="93"/>
      <c r="AB604" s="93"/>
      <c r="AC604" s="93"/>
      <c r="AD604" s="93"/>
      <c r="AE604" s="93"/>
      <c r="AF604" s="746"/>
      <c r="AG604" s="876"/>
      <c r="AH604" s="205"/>
      <c r="AI604" s="303"/>
      <c r="AJ604" s="300"/>
      <c r="AK604" s="300"/>
      <c r="AL604" s="296"/>
      <c r="AM604" s="291"/>
      <c r="AN604" s="296"/>
      <c r="AO604" s="93"/>
      <c r="AP604" s="93"/>
      <c r="AQ604" s="93"/>
      <c r="AR604" s="92"/>
      <c r="AS604" s="199"/>
      <c r="AT604" s="201"/>
      <c r="AU604" s="206"/>
      <c r="AV604" s="82"/>
      <c r="AW604" s="864"/>
      <c r="AX604" s="291"/>
      <c r="AY604" s="296"/>
      <c r="AZ604" s="292"/>
      <c r="BA604" s="292"/>
      <c r="BB604" s="292"/>
      <c r="BC604" s="201"/>
      <c r="BD604" s="206"/>
      <c r="BE604" s="864"/>
      <c r="BF604" s="93"/>
      <c r="BG604" s="93"/>
      <c r="BH604" s="93"/>
      <c r="BI604" s="93"/>
      <c r="BJ604" s="93"/>
      <c r="BK604" s="93"/>
      <c r="BL604" s="206"/>
      <c r="BM604" s="864"/>
      <c r="BN604" s="291"/>
      <c r="BO604" s="93"/>
      <c r="BP604" s="93"/>
      <c r="BQ604" s="201"/>
      <c r="BR604" s="296"/>
      <c r="BS604" s="303"/>
      <c r="BT604" s="296"/>
      <c r="BU604" s="292"/>
      <c r="BV604" s="292"/>
      <c r="BW604" s="296"/>
      <c r="BX604" s="201"/>
      <c r="BY604" s="93"/>
      <c r="BZ604" s="93"/>
      <c r="CA604" s="291"/>
      <c r="CB604" s="206"/>
      <c r="CC604" s="879"/>
      <c r="CD604" s="117"/>
      <c r="CE604" s="117"/>
      <c r="CF604" s="117"/>
      <c r="CG604" s="117"/>
      <c r="CH604" s="117"/>
      <c r="CI604" s="117"/>
      <c r="CJ604" s="880"/>
      <c r="CK604" s="880"/>
      <c r="CL604" s="878"/>
      <c r="CM604" s="303"/>
      <c r="CN604" s="300"/>
      <c r="CO604" s="389"/>
      <c r="CP604" s="389"/>
      <c r="CQ604" s="882"/>
      <c r="CR604" s="897"/>
      <c r="CS604" s="361"/>
      <c r="CT604" s="879"/>
      <c r="CU604" s="150"/>
      <c r="CV604" s="880"/>
      <c r="CW604" s="117"/>
      <c r="CX604" s="117"/>
      <c r="CY604" s="117"/>
      <c r="CZ604" s="117"/>
      <c r="DA604" s="892"/>
      <c r="DB604" s="882"/>
      <c r="DC604" s="389"/>
      <c r="DD604" s="882"/>
      <c r="DE604" s="882"/>
      <c r="DF604" s="882"/>
      <c r="DG604" s="881"/>
      <c r="DH604" s="911"/>
      <c r="DI604" s="879"/>
      <c r="DJ604" s="117"/>
      <c r="DK604" s="117"/>
      <c r="DL604" s="117"/>
      <c r="DM604" s="117"/>
      <c r="DN604" s="117"/>
      <c r="DO604" s="117"/>
      <c r="DP604" s="389"/>
      <c r="DQ604" s="889"/>
      <c r="DR604" s="389"/>
      <c r="DS604" s="889"/>
      <c r="DT604" s="881"/>
      <c r="DU604" s="879"/>
      <c r="DV604" s="879"/>
      <c r="DW604" s="882"/>
      <c r="DX604" s="897"/>
      <c r="DY604" s="93"/>
    </row>
    <row r="605" spans="1:129">
      <c r="A605" s="709"/>
      <c r="B605" s="93"/>
      <c r="C605" s="93"/>
      <c r="D605" s="199"/>
      <c r="E605" s="303"/>
      <c r="F605" s="199"/>
      <c r="G605" s="201"/>
      <c r="H605" s="205"/>
      <c r="I605" s="205"/>
      <c r="J605" s="201"/>
      <c r="K605" s="201"/>
      <c r="L605" s="291"/>
      <c r="M605" s="199"/>
      <c r="N605" s="93"/>
      <c r="O605" s="93"/>
      <c r="P605" s="865"/>
      <c r="Q605" s="864"/>
      <c r="R605" s="205"/>
      <c r="S605" s="305"/>
      <c r="T605" s="205"/>
      <c r="U605" s="205"/>
      <c r="V605" s="205"/>
      <c r="W605" s="201"/>
      <c r="X605" s="199"/>
      <c r="Y605" s="296"/>
      <c r="Z605" s="199"/>
      <c r="AA605" s="93"/>
      <c r="AB605" s="93"/>
      <c r="AC605" s="93"/>
      <c r="AD605" s="93"/>
      <c r="AE605" s="93"/>
      <c r="AF605" s="746"/>
      <c r="AG605" s="699"/>
      <c r="AH605" s="291"/>
      <c r="AI605" s="205"/>
      <c r="AJ605" s="205"/>
      <c r="AK605" s="201"/>
      <c r="AL605" s="300"/>
      <c r="AM605" s="296"/>
      <c r="AN605" s="291"/>
      <c r="AO605" s="201"/>
      <c r="AP605" s="93"/>
      <c r="AQ605" s="93"/>
      <c r="AR605" s="92"/>
      <c r="AS605" s="92"/>
      <c r="AT605" s="201"/>
      <c r="AU605" s="199"/>
      <c r="AV605" s="206"/>
      <c r="AW605" s="877"/>
      <c r="AX605" s="292"/>
      <c r="AY605" s="205"/>
      <c r="AZ605" s="201"/>
      <c r="BA605" s="205"/>
      <c r="BB605" s="205"/>
      <c r="BC605" s="199"/>
      <c r="BD605" s="201"/>
      <c r="BE605" s="93"/>
      <c r="BF605" s="93"/>
      <c r="BG605" s="93"/>
      <c r="BH605" s="93"/>
      <c r="BI605" s="93"/>
      <c r="BJ605" s="93"/>
      <c r="BK605" s="93"/>
      <c r="BL605" s="202"/>
      <c r="BM605" s="709"/>
      <c r="BN605" s="291"/>
      <c r="BO605" s="93"/>
      <c r="BP605" s="199"/>
      <c r="BQ605" s="303"/>
      <c r="BR605" s="303"/>
      <c r="BS605" s="300"/>
      <c r="BT605" s="300"/>
      <c r="BU605" s="296"/>
      <c r="BV605" s="296"/>
      <c r="BW605" s="296"/>
      <c r="BX605" s="291"/>
      <c r="BY605" s="199"/>
      <c r="BZ605" s="93"/>
      <c r="CA605" s="864"/>
      <c r="CB605" s="206"/>
      <c r="CC605" s="903"/>
      <c r="CD605" s="117"/>
      <c r="CE605" s="117"/>
      <c r="CF605" s="117"/>
      <c r="CG605" s="117"/>
      <c r="CH605" s="117"/>
      <c r="CI605" s="117"/>
      <c r="CJ605" s="117"/>
      <c r="CK605" s="879"/>
      <c r="CL605" s="878"/>
      <c r="CM605" s="881"/>
      <c r="CN605" s="881"/>
      <c r="CO605" s="879"/>
      <c r="CP605" s="881"/>
      <c r="CQ605" s="883"/>
      <c r="CR605" s="904"/>
      <c r="CS605" s="902"/>
      <c r="CT605" s="880"/>
      <c r="CU605" s="879"/>
      <c r="CV605" s="117"/>
      <c r="CW605" s="117"/>
      <c r="CX605" s="117"/>
      <c r="CY605" s="117"/>
      <c r="CZ605" s="892"/>
      <c r="DA605" s="892"/>
      <c r="DB605" s="389"/>
      <c r="DC605" s="389"/>
      <c r="DD605" s="879"/>
      <c r="DE605" s="881"/>
      <c r="DF605" s="881"/>
      <c r="DG605" s="882"/>
      <c r="DH605" s="364"/>
      <c r="DI605" s="879"/>
      <c r="DJ605" s="117"/>
      <c r="DK605" s="117"/>
      <c r="DL605" s="117"/>
      <c r="DM605" s="117"/>
      <c r="DN605" s="117"/>
      <c r="DO605" s="117"/>
      <c r="DP605" s="889"/>
      <c r="DQ605" s="880"/>
      <c r="DR605" s="879"/>
      <c r="DS605" s="881"/>
      <c r="DT605" s="881"/>
      <c r="DU605" s="881"/>
      <c r="DV605" s="884"/>
      <c r="DW605" s="881"/>
      <c r="DX605" s="897"/>
      <c r="DY605" s="93"/>
    </row>
    <row r="606" spans="1:129">
      <c r="A606" s="699"/>
      <c r="B606" s="206"/>
      <c r="C606" s="93"/>
      <c r="D606" s="305"/>
      <c r="E606" s="205"/>
      <c r="F606" s="305"/>
      <c r="G606" s="205"/>
      <c r="H606" s="292"/>
      <c r="I606" s="205"/>
      <c r="J606" s="205"/>
      <c r="K606" s="305"/>
      <c r="L606" s="205"/>
      <c r="M606" s="199"/>
      <c r="N606" s="93"/>
      <c r="O606" s="291"/>
      <c r="P606" s="79"/>
      <c r="Q606" s="699"/>
      <c r="R606" s="292"/>
      <c r="S606" s="292"/>
      <c r="T606" s="291"/>
      <c r="U606" s="205"/>
      <c r="V606" s="292"/>
      <c r="W606" s="205"/>
      <c r="X606" s="305"/>
      <c r="Y606" s="205"/>
      <c r="Z606" s="305"/>
      <c r="AA606" s="93"/>
      <c r="AB606" s="93"/>
      <c r="AC606" s="93"/>
      <c r="AD606" s="93"/>
      <c r="AE606" s="206"/>
      <c r="AF606" s="79"/>
      <c r="AG606" s="699"/>
      <c r="AH606" s="93"/>
      <c r="AI606" s="201"/>
      <c r="AJ606" s="305"/>
      <c r="AK606" s="205"/>
      <c r="AL606" s="205"/>
      <c r="AM606" s="296"/>
      <c r="AN606" s="296"/>
      <c r="AO606" s="296"/>
      <c r="AP606" s="93"/>
      <c r="AQ606" s="92"/>
      <c r="AR606" s="92"/>
      <c r="AS606" s="201"/>
      <c r="AT606" s="51"/>
      <c r="AU606" s="51"/>
      <c r="AV606" s="202"/>
      <c r="AW606" s="699"/>
      <c r="AX606" s="51"/>
      <c r="AY606" s="292"/>
      <c r="AZ606" s="305"/>
      <c r="BA606" s="292"/>
      <c r="BB606" s="292"/>
      <c r="BC606" s="201"/>
      <c r="BD606" s="199"/>
      <c r="BE606" s="93"/>
      <c r="BF606" s="93"/>
      <c r="BG606" s="93"/>
      <c r="BH606" s="93"/>
      <c r="BI606" s="93"/>
      <c r="BJ606" s="93"/>
      <c r="BK606" s="93"/>
      <c r="BL606" s="206"/>
      <c r="BM606" s="709"/>
      <c r="BN606" s="93"/>
      <c r="BO606" s="93"/>
      <c r="BP606" s="291"/>
      <c r="BQ606" s="93"/>
      <c r="BR606" s="205"/>
      <c r="BS606" s="201"/>
      <c r="BT606" s="205"/>
      <c r="BU606" s="205"/>
      <c r="BV606" s="201"/>
      <c r="BW606" s="205"/>
      <c r="BX606" s="93"/>
      <c r="BY606" s="291"/>
      <c r="BZ606" s="93"/>
      <c r="CA606" s="93"/>
      <c r="CB606" s="291"/>
      <c r="CC606" s="902"/>
      <c r="CD606" s="117"/>
      <c r="CE606" s="117"/>
      <c r="CF606" s="117"/>
      <c r="CG606" s="117"/>
      <c r="CH606" s="117"/>
      <c r="CI606" s="117"/>
      <c r="CJ606" s="117"/>
      <c r="CK606" s="880"/>
      <c r="CL606" s="879"/>
      <c r="CM606" s="883"/>
      <c r="CN606" s="883"/>
      <c r="CO606" s="884"/>
      <c r="CP606" s="883"/>
      <c r="CQ606" s="70"/>
      <c r="CR606" s="364"/>
      <c r="CS606" s="903"/>
      <c r="CT606" s="70"/>
      <c r="CU606" s="70"/>
      <c r="CV606" s="879"/>
      <c r="CW606" s="117"/>
      <c r="CX606" s="117"/>
      <c r="CY606" s="117"/>
      <c r="CZ606" s="892"/>
      <c r="DA606" s="389"/>
      <c r="DB606" s="389"/>
      <c r="DC606" s="881"/>
      <c r="DD606" s="881"/>
      <c r="DE606" s="884"/>
      <c r="DF606" s="879"/>
      <c r="DG606" s="117"/>
      <c r="DH606" s="364"/>
      <c r="DI606" s="363"/>
      <c r="DJ606" s="878"/>
      <c r="DK606" s="117"/>
      <c r="DL606" s="117"/>
      <c r="DM606" s="117"/>
      <c r="DN606" s="117"/>
      <c r="DO606" s="880"/>
      <c r="DP606" s="881"/>
      <c r="DQ606" s="884"/>
      <c r="DR606" s="881"/>
      <c r="DS606" s="883"/>
      <c r="DT606" s="881"/>
      <c r="DU606" s="882"/>
      <c r="DV606" s="883"/>
      <c r="DW606" s="883"/>
      <c r="DX606" s="364"/>
      <c r="DY606" s="93"/>
    </row>
    <row r="607" spans="1:129">
      <c r="A607" s="699"/>
      <c r="B607" s="93"/>
      <c r="C607" s="93"/>
      <c r="D607" s="93"/>
      <c r="E607" s="292"/>
      <c r="F607" s="292"/>
      <c r="G607" s="291"/>
      <c r="H607" s="205"/>
      <c r="I607" s="205"/>
      <c r="J607" s="291"/>
      <c r="K607" s="292"/>
      <c r="L607" s="292"/>
      <c r="M607" s="93"/>
      <c r="N607" s="93"/>
      <c r="O607" s="93"/>
      <c r="P607" s="79"/>
      <c r="Q607" s="699"/>
      <c r="R607" s="93"/>
      <c r="S607" s="93"/>
      <c r="T607" s="292"/>
      <c r="U607" s="93"/>
      <c r="V607" s="205"/>
      <c r="W607" s="291"/>
      <c r="X607" s="292"/>
      <c r="Y607" s="292"/>
      <c r="Z607" s="93"/>
      <c r="AA607" s="93"/>
      <c r="AB607" s="93"/>
      <c r="AC607" s="93"/>
      <c r="AD607" s="93"/>
      <c r="AE607" s="93"/>
      <c r="AF607" s="79"/>
      <c r="AG607" s="699"/>
      <c r="AH607" s="93"/>
      <c r="AI607" s="93"/>
      <c r="AJ607" s="93"/>
      <c r="AK607" s="93"/>
      <c r="AL607" s="292"/>
      <c r="AM607" s="201"/>
      <c r="AN607" s="205"/>
      <c r="AO607" s="205"/>
      <c r="AP607" s="199"/>
      <c r="AQ607" s="92"/>
      <c r="AR607" s="92"/>
      <c r="AS607" s="51"/>
      <c r="AT607" s="51"/>
      <c r="AU607" s="51"/>
      <c r="AV607" s="202"/>
      <c r="AW607" s="699"/>
      <c r="AX607" s="93"/>
      <c r="AY607" s="93"/>
      <c r="AZ607" s="292"/>
      <c r="BA607" s="92"/>
      <c r="BB607" s="92"/>
      <c r="BC607" s="201"/>
      <c r="BD607" s="206"/>
      <c r="BE607" s="92"/>
      <c r="BF607" s="93"/>
      <c r="BG607" s="93"/>
      <c r="BH607" s="93"/>
      <c r="BI607" s="93"/>
      <c r="BJ607" s="93"/>
      <c r="BK607" s="201"/>
      <c r="BL607" s="79"/>
      <c r="BM607" s="709"/>
      <c r="BN607" s="93"/>
      <c r="BO607" s="93"/>
      <c r="BP607" s="93"/>
      <c r="BQ607" s="93"/>
      <c r="BR607" s="93"/>
      <c r="BS607" s="305"/>
      <c r="BT607" s="292"/>
      <c r="BU607" s="93"/>
      <c r="BV607" s="305"/>
      <c r="BW607" s="292"/>
      <c r="BX607" s="93"/>
      <c r="BY607" s="93"/>
      <c r="BZ607" s="93"/>
      <c r="CA607" s="93"/>
      <c r="CB607" s="291"/>
      <c r="CC607" s="363"/>
      <c r="CD607" s="879"/>
      <c r="CE607" s="117"/>
      <c r="CF607" s="117"/>
      <c r="CG607" s="117"/>
      <c r="CH607" s="117"/>
      <c r="CI607" s="117"/>
      <c r="CJ607" s="117"/>
      <c r="CK607" s="878"/>
      <c r="CL607" s="879"/>
      <c r="CM607" s="117"/>
      <c r="CN607" s="117"/>
      <c r="CO607" s="883"/>
      <c r="CP607" s="117"/>
      <c r="CQ607" s="117"/>
      <c r="CR607" s="364"/>
      <c r="CS607" s="903"/>
      <c r="CT607" s="70"/>
      <c r="CU607" s="70"/>
      <c r="CV607" s="70"/>
      <c r="CW607" s="117"/>
      <c r="CX607" s="117"/>
      <c r="CY607" s="880"/>
      <c r="CZ607" s="881"/>
      <c r="DA607" s="881"/>
      <c r="DB607" s="879"/>
      <c r="DC607" s="883"/>
      <c r="DD607" s="117"/>
      <c r="DE607" s="117"/>
      <c r="DF607" s="117"/>
      <c r="DG607" s="117"/>
      <c r="DH607" s="364"/>
      <c r="DI607" s="363"/>
      <c r="DJ607" s="117"/>
      <c r="DK607" s="117"/>
      <c r="DL607" s="117"/>
      <c r="DM607" s="117"/>
      <c r="DN607" s="117"/>
      <c r="DO607" s="884"/>
      <c r="DP607" s="883"/>
      <c r="DQ607" s="883"/>
      <c r="DR607" s="882"/>
      <c r="DS607" s="881"/>
      <c r="DT607" s="117"/>
      <c r="DU607" s="883"/>
      <c r="DV607" s="117"/>
      <c r="DW607" s="117"/>
      <c r="DX607" s="364"/>
      <c r="DY607" s="93"/>
    </row>
    <row r="608" spans="1:129">
      <c r="A608" s="699"/>
      <c r="B608" s="93"/>
      <c r="C608" s="93"/>
      <c r="D608" s="93"/>
      <c r="E608" s="93"/>
      <c r="F608" s="93"/>
      <c r="G608" s="292"/>
      <c r="H608" s="93"/>
      <c r="I608" s="93"/>
      <c r="J608" s="292"/>
      <c r="K608" s="93"/>
      <c r="L608" s="93"/>
      <c r="M608" s="93"/>
      <c r="N608" s="93"/>
      <c r="O608" s="93"/>
      <c r="P608" s="79"/>
      <c r="Q608" s="700"/>
      <c r="R608" s="73"/>
      <c r="S608" s="73"/>
      <c r="T608" s="73"/>
      <c r="U608" s="73"/>
      <c r="V608" s="73"/>
      <c r="W608" s="866"/>
      <c r="X608" s="73"/>
      <c r="Y608" s="73"/>
      <c r="Z608" s="73"/>
      <c r="AA608" s="73"/>
      <c r="AB608" s="73"/>
      <c r="AC608" s="73"/>
      <c r="AD608" s="73"/>
      <c r="AE608" s="73"/>
      <c r="AF608" s="701"/>
      <c r="AG608" s="700"/>
      <c r="AH608" s="73"/>
      <c r="AI608" s="73"/>
      <c r="AJ608" s="73"/>
      <c r="AK608" s="73"/>
      <c r="AL608" s="73"/>
      <c r="AM608" s="339"/>
      <c r="AN608" s="73"/>
      <c r="AO608" s="73"/>
      <c r="AP608" s="305"/>
      <c r="AQ608" s="103"/>
      <c r="AR608" s="73"/>
      <c r="AS608" s="73"/>
      <c r="AT608" s="106"/>
      <c r="AU608" s="211"/>
      <c r="AV608" s="394"/>
      <c r="AW608" s="700"/>
      <c r="AX608" s="73"/>
      <c r="AY608" s="73"/>
      <c r="AZ608" s="73"/>
      <c r="BA608" s="73"/>
      <c r="BB608" s="73"/>
      <c r="BC608" s="73"/>
      <c r="BD608" s="201"/>
      <c r="BE608" s="332"/>
      <c r="BF608" s="206"/>
      <c r="BG608" s="73"/>
      <c r="BH608" s="73"/>
      <c r="BI608" s="73"/>
      <c r="BJ608" s="73"/>
      <c r="BK608" s="73"/>
      <c r="BL608" s="701"/>
      <c r="BM608" s="699"/>
      <c r="BN608" s="206"/>
      <c r="BO608" s="93"/>
      <c r="BP608" s="93"/>
      <c r="BQ608" s="93"/>
      <c r="BR608" s="93"/>
      <c r="BS608" s="93"/>
      <c r="BT608" s="93"/>
      <c r="BU608" s="93"/>
      <c r="BV608" s="93"/>
      <c r="BW608" s="93"/>
      <c r="BX608" s="93"/>
      <c r="BY608" s="93"/>
      <c r="BZ608" s="93"/>
      <c r="CA608" s="291"/>
      <c r="CB608" s="93"/>
      <c r="CC608" s="365"/>
      <c r="CD608" s="367"/>
      <c r="CE608" s="367"/>
      <c r="CF608" s="367"/>
      <c r="CG608" s="367"/>
      <c r="CH608" s="367"/>
      <c r="CI608" s="905"/>
      <c r="CJ608" s="905"/>
      <c r="CK608" s="906"/>
      <c r="CL608" s="367"/>
      <c r="CM608" s="367"/>
      <c r="CN608" s="367"/>
      <c r="CO608" s="367"/>
      <c r="CP608" s="367"/>
      <c r="CQ608" s="367"/>
      <c r="CR608" s="368"/>
      <c r="CS608" s="492"/>
      <c r="CT608" s="906"/>
      <c r="CU608" s="366"/>
      <c r="CV608" s="367"/>
      <c r="CW608" s="367"/>
      <c r="CX608" s="367"/>
      <c r="CY608" s="912"/>
      <c r="CZ608" s="367"/>
      <c r="DA608" s="367"/>
      <c r="DB608" s="912"/>
      <c r="DC608" s="367"/>
      <c r="DD608" s="367"/>
      <c r="DE608" s="367"/>
      <c r="DF608" s="367"/>
      <c r="DG608" s="367"/>
      <c r="DH608" s="368"/>
      <c r="DI608" s="365"/>
      <c r="DJ608" s="367"/>
      <c r="DK608" s="367"/>
      <c r="DL608" s="367"/>
      <c r="DM608" s="367"/>
      <c r="DN608" s="367"/>
      <c r="DO608" s="117"/>
      <c r="DP608" s="367"/>
      <c r="DQ608" s="367"/>
      <c r="DR608" s="913"/>
      <c r="DS608" s="367"/>
      <c r="DT608" s="367"/>
      <c r="DU608" s="367"/>
      <c r="DV608" s="367"/>
      <c r="DW608" s="367"/>
      <c r="DX608" s="368"/>
      <c r="DY608" s="93"/>
    </row>
    <row r="609" spans="1:129">
      <c r="A609" s="753"/>
      <c r="B609" s="711"/>
      <c r="C609" s="711"/>
      <c r="D609" s="711"/>
      <c r="E609" s="711"/>
      <c r="F609" s="711"/>
      <c r="G609" s="711"/>
      <c r="H609" s="711"/>
      <c r="I609" s="711"/>
      <c r="J609" s="711"/>
      <c r="K609" s="711"/>
      <c r="L609" s="711"/>
      <c r="M609" s="711"/>
      <c r="N609" s="711"/>
      <c r="O609" s="711"/>
      <c r="P609" s="711"/>
      <c r="Q609" s="753"/>
      <c r="R609" s="711"/>
      <c r="S609" s="711"/>
      <c r="T609" s="711"/>
      <c r="U609" s="711"/>
      <c r="V609" s="711"/>
      <c r="W609" s="711"/>
      <c r="X609" s="711"/>
      <c r="Y609" s="711"/>
      <c r="Z609" s="711"/>
      <c r="AA609" s="711"/>
      <c r="AB609" s="711"/>
      <c r="AC609" s="711"/>
      <c r="AD609" s="711"/>
      <c r="AE609" s="711"/>
      <c r="AF609" s="530"/>
      <c r="AG609" s="108"/>
      <c r="AH609" s="109"/>
      <c r="AI609" s="109"/>
      <c r="AJ609" s="109"/>
      <c r="AK609" s="109"/>
      <c r="AL609" s="110"/>
      <c r="AM609" s="110"/>
      <c r="AN609" s="109"/>
      <c r="AO609" s="109"/>
      <c r="AP609" s="711"/>
      <c r="AQ609" s="711"/>
      <c r="AR609" s="711"/>
      <c r="AS609" s="711"/>
      <c r="AT609" s="711"/>
      <c r="AU609" s="711"/>
      <c r="AV609" s="530"/>
      <c r="AW609" s="753"/>
      <c r="AX609" s="711"/>
      <c r="AY609" s="711"/>
      <c r="AZ609" s="711"/>
      <c r="BA609" s="711"/>
      <c r="BB609" s="711"/>
      <c r="BC609" s="711"/>
      <c r="BD609" s="711"/>
      <c r="BE609" s="711"/>
      <c r="BF609" s="711"/>
      <c r="BG609" s="711"/>
      <c r="BH609" s="711"/>
      <c r="BI609" s="711"/>
      <c r="BJ609" s="711"/>
      <c r="BK609" s="711"/>
      <c r="BL609" s="530"/>
      <c r="BM609" s="753"/>
      <c r="BN609" s="711"/>
      <c r="BO609" s="711"/>
      <c r="BP609" s="711"/>
      <c r="BQ609" s="711"/>
      <c r="BR609" s="711"/>
      <c r="BS609" s="711"/>
      <c r="BT609" s="711"/>
      <c r="BU609" s="711"/>
      <c r="BV609" s="711"/>
      <c r="BW609" s="711"/>
      <c r="BX609" s="711"/>
      <c r="BY609" s="711"/>
      <c r="BZ609" s="711"/>
      <c r="CA609" s="711"/>
      <c r="CB609" s="711"/>
      <c r="CC609" s="869"/>
      <c r="CD609" s="396"/>
      <c r="CE609" s="396"/>
      <c r="CF609" s="396"/>
      <c r="CG609" s="396"/>
      <c r="CH609" s="396"/>
      <c r="CI609" s="396"/>
      <c r="CJ609" s="396"/>
      <c r="CK609" s="396"/>
      <c r="CL609" s="396"/>
      <c r="CM609" s="396"/>
      <c r="CN609" s="396"/>
      <c r="CO609" s="396"/>
      <c r="CP609" s="396"/>
      <c r="CQ609" s="396"/>
      <c r="CR609" s="896"/>
      <c r="CS609" s="869"/>
      <c r="CT609" s="396"/>
      <c r="CU609" s="396"/>
      <c r="CV609" s="396"/>
      <c r="CW609" s="396"/>
      <c r="CX609" s="396"/>
      <c r="CY609" s="396"/>
      <c r="CZ609" s="908"/>
      <c r="DA609" s="908"/>
      <c r="DB609" s="396"/>
      <c r="DC609" s="396"/>
      <c r="DD609" s="908"/>
      <c r="DE609" s="908"/>
      <c r="DF609" s="908"/>
      <c r="DG609" s="908"/>
      <c r="DH609" s="397"/>
      <c r="DI609" s="869"/>
      <c r="DJ609" s="396"/>
      <c r="DK609" s="396"/>
      <c r="DL609" s="396"/>
      <c r="DM609" s="396"/>
      <c r="DN609" s="396"/>
      <c r="DO609" s="396"/>
      <c r="DP609" s="396"/>
      <c r="DQ609" s="396"/>
      <c r="DR609" s="396"/>
      <c r="DS609" s="396"/>
      <c r="DT609" s="396"/>
      <c r="DU609" s="396"/>
      <c r="DV609" s="396"/>
      <c r="DW609" s="396"/>
      <c r="DX609" s="896"/>
      <c r="DY609" s="93"/>
    </row>
    <row r="610" spans="1:129">
      <c r="A610" s="699"/>
      <c r="B610" s="93"/>
      <c r="C610" s="93"/>
      <c r="D610" s="93"/>
      <c r="E610" s="93"/>
      <c r="F610" s="93"/>
      <c r="G610" s="93"/>
      <c r="H610" s="93"/>
      <c r="I610" s="93"/>
      <c r="J610" s="93"/>
      <c r="K610" s="93"/>
      <c r="L610" s="93"/>
      <c r="M610" s="93"/>
      <c r="N610" s="93"/>
      <c r="O610" s="93"/>
      <c r="P610" s="93"/>
      <c r="Q610" s="699"/>
      <c r="R610" s="93"/>
      <c r="S610" s="93"/>
      <c r="T610" s="93"/>
      <c r="U610" s="93"/>
      <c r="V610" s="93"/>
      <c r="W610" s="93"/>
      <c r="X610" s="93"/>
      <c r="Y610" s="93"/>
      <c r="Z610" s="93"/>
      <c r="AA610" s="93"/>
      <c r="AB610" s="93"/>
      <c r="AC610" s="93"/>
      <c r="AD610" s="93"/>
      <c r="AE610" s="93"/>
      <c r="AF610" s="79"/>
      <c r="AG610" s="114"/>
      <c r="AH610" s="51"/>
      <c r="AI610" s="51"/>
      <c r="AJ610" s="51"/>
      <c r="AK610" s="51"/>
      <c r="AL610" s="92"/>
      <c r="AM610" s="92"/>
      <c r="AN610" s="51"/>
      <c r="AO610" s="51"/>
      <c r="AP610" s="93"/>
      <c r="AQ610" s="93"/>
      <c r="AR610" s="93"/>
      <c r="AS610" s="93"/>
      <c r="AT610" s="93"/>
      <c r="AU610" s="93"/>
      <c r="AV610" s="79"/>
      <c r="AW610" s="699"/>
      <c r="AX610" s="93"/>
      <c r="AY610" s="93"/>
      <c r="AZ610" s="93"/>
      <c r="BA610" s="93"/>
      <c r="BB610" s="93"/>
      <c r="BC610" s="93"/>
      <c r="BD610" s="93"/>
      <c r="BE610" s="93"/>
      <c r="BF610" s="93"/>
      <c r="BG610" s="93"/>
      <c r="BH610" s="93"/>
      <c r="BI610" s="93"/>
      <c r="BJ610" s="93"/>
      <c r="BK610" s="93"/>
      <c r="BL610" s="79"/>
      <c r="BM610" s="699"/>
      <c r="BN610" s="93"/>
      <c r="BO610" s="93"/>
      <c r="BP610" s="93"/>
      <c r="BQ610" s="93"/>
      <c r="BR610" s="93"/>
      <c r="BS610" s="93"/>
      <c r="BT610" s="93"/>
      <c r="BU610" s="93"/>
      <c r="BV610" s="93"/>
      <c r="BW610" s="93"/>
      <c r="BX610" s="93"/>
      <c r="BY610" s="93"/>
      <c r="BZ610" s="93"/>
      <c r="CA610" s="93"/>
      <c r="CB610" s="93"/>
      <c r="CC610" s="363"/>
      <c r="CD610" s="117"/>
      <c r="CE610" s="117"/>
      <c r="CF610" s="117"/>
      <c r="CG610" s="117"/>
      <c r="CH610" s="117"/>
      <c r="CI610" s="117"/>
      <c r="CJ610" s="117"/>
      <c r="CK610" s="117"/>
      <c r="CL610" s="117"/>
      <c r="CM610" s="117"/>
      <c r="CN610" s="117"/>
      <c r="CO610" s="117"/>
      <c r="CP610" s="117"/>
      <c r="CQ610" s="117"/>
      <c r="CR610" s="364"/>
      <c r="CS610" s="363"/>
      <c r="CT610" s="117"/>
      <c r="CU610" s="117"/>
      <c r="CV610" s="117"/>
      <c r="CW610" s="117"/>
      <c r="CX610" s="117"/>
      <c r="CY610" s="117"/>
      <c r="CZ610" s="70"/>
      <c r="DA610" s="70"/>
      <c r="DB610" s="117"/>
      <c r="DC610" s="117"/>
      <c r="DD610" s="70"/>
      <c r="DE610" s="70"/>
      <c r="DF610" s="70"/>
      <c r="DG610" s="70"/>
      <c r="DH610" s="362"/>
      <c r="DI610" s="363"/>
      <c r="DJ610" s="117"/>
      <c r="DK610" s="117"/>
      <c r="DL610" s="117"/>
      <c r="DM610" s="117"/>
      <c r="DN610" s="117"/>
      <c r="DO610" s="117"/>
      <c r="DP610" s="117"/>
      <c r="DQ610" s="117"/>
      <c r="DR610" s="117"/>
      <c r="DS610" s="117"/>
      <c r="DT610" s="117"/>
      <c r="DU610" s="117"/>
      <c r="DV610" s="117"/>
      <c r="DW610" s="117"/>
      <c r="DX610" s="364"/>
      <c r="DY610" s="93"/>
    </row>
    <row r="611" spans="1:129">
      <c r="A611" s="699"/>
      <c r="B611" s="93"/>
      <c r="C611" s="93"/>
      <c r="D611" s="93"/>
      <c r="E611" s="93"/>
      <c r="F611" s="93"/>
      <c r="G611" s="93"/>
      <c r="H611" s="93"/>
      <c r="I611" s="93"/>
      <c r="J611" s="93"/>
      <c r="K611" s="93"/>
      <c r="L611" s="93"/>
      <c r="M611" s="93"/>
      <c r="N611" s="93"/>
      <c r="O611" s="93"/>
      <c r="P611" s="93"/>
      <c r="Q611" s="699"/>
      <c r="R611" s="93"/>
      <c r="S611" s="93"/>
      <c r="T611" s="93"/>
      <c r="U611" s="93"/>
      <c r="V611" s="93"/>
      <c r="W611" s="93"/>
      <c r="X611" s="93"/>
      <c r="Y611" s="93"/>
      <c r="Z611" s="93"/>
      <c r="AA611" s="93"/>
      <c r="AB611" s="93"/>
      <c r="AC611" s="93"/>
      <c r="AD611" s="93"/>
      <c r="AE611" s="93"/>
      <c r="AF611" s="79"/>
      <c r="AG611" s="114"/>
      <c r="AH611" s="51"/>
      <c r="AI611" s="51"/>
      <c r="AJ611" s="51"/>
      <c r="AK611" s="51"/>
      <c r="AL611" s="92"/>
      <c r="AM611" s="92"/>
      <c r="AN611" s="51"/>
      <c r="AO611" s="51"/>
      <c r="AP611" s="93"/>
      <c r="AQ611" s="93"/>
      <c r="AR611" s="93"/>
      <c r="AS611" s="93"/>
      <c r="AT611" s="93"/>
      <c r="AU611" s="93"/>
      <c r="AV611" s="79"/>
      <c r="AW611" s="699"/>
      <c r="AX611" s="93"/>
      <c r="AY611" s="93"/>
      <c r="AZ611" s="93"/>
      <c r="BA611" s="93"/>
      <c r="BB611" s="93"/>
      <c r="BC611" s="93"/>
      <c r="BD611" s="93"/>
      <c r="BE611" s="93"/>
      <c r="BF611" s="93"/>
      <c r="BG611" s="93"/>
      <c r="BH611" s="93"/>
      <c r="BI611" s="93"/>
      <c r="BJ611" s="93"/>
      <c r="BK611" s="93"/>
      <c r="BL611" s="79"/>
      <c r="BM611" s="699"/>
      <c r="BN611" s="93"/>
      <c r="BO611" s="93"/>
      <c r="BP611" s="93"/>
      <c r="BQ611" s="93"/>
      <c r="BR611" s="93"/>
      <c r="BS611" s="93"/>
      <c r="BT611" s="93"/>
      <c r="BU611" s="93"/>
      <c r="BV611" s="93"/>
      <c r="BW611" s="93"/>
      <c r="BX611" s="93"/>
      <c r="BY611" s="93"/>
      <c r="BZ611" s="93"/>
      <c r="CA611" s="93"/>
      <c r="CB611" s="93"/>
      <c r="CC611" s="363"/>
      <c r="CD611" s="117"/>
      <c r="CE611" s="117"/>
      <c r="CF611" s="117"/>
      <c r="CG611" s="117"/>
      <c r="CH611" s="117"/>
      <c r="CI611" s="117"/>
      <c r="CJ611" s="117"/>
      <c r="CK611" s="117"/>
      <c r="CL611" s="117"/>
      <c r="CM611" s="117"/>
      <c r="CN611" s="117"/>
      <c r="CO611" s="117"/>
      <c r="CP611" s="117"/>
      <c r="CQ611" s="117"/>
      <c r="CR611" s="364"/>
      <c r="CS611" s="363"/>
      <c r="CT611" s="117"/>
      <c r="CU611" s="117"/>
      <c r="CV611" s="117"/>
      <c r="CW611" s="117"/>
      <c r="CX611" s="117"/>
      <c r="CY611" s="117"/>
      <c r="CZ611" s="70"/>
      <c r="DA611" s="70"/>
      <c r="DB611" s="117"/>
      <c r="DC611" s="117"/>
      <c r="DD611" s="70"/>
      <c r="DE611" s="70"/>
      <c r="DF611" s="70"/>
      <c r="DG611" s="70"/>
      <c r="DH611" s="362"/>
      <c r="DI611" s="363"/>
      <c r="DJ611" s="117"/>
      <c r="DK611" s="117"/>
      <c r="DL611" s="117"/>
      <c r="DM611" s="117"/>
      <c r="DN611" s="117"/>
      <c r="DO611" s="117"/>
      <c r="DP611" s="117"/>
      <c r="DQ611" s="117"/>
      <c r="DR611" s="117"/>
      <c r="DS611" s="117"/>
      <c r="DT611" s="117"/>
      <c r="DU611" s="117"/>
      <c r="DV611" s="117"/>
      <c r="DW611" s="117"/>
      <c r="DX611" s="364"/>
      <c r="DY611" s="93"/>
    </row>
    <row r="612" spans="1:129">
      <c r="A612" s="699"/>
      <c r="B612" s="93"/>
      <c r="C612" s="93"/>
      <c r="D612" s="93"/>
      <c r="E612" s="93"/>
      <c r="F612" s="93"/>
      <c r="G612" s="93"/>
      <c r="H612" s="93"/>
      <c r="I612" s="93"/>
      <c r="J612" s="93"/>
      <c r="K612" s="93"/>
      <c r="L612" s="93"/>
      <c r="M612" s="93"/>
      <c r="N612" s="93"/>
      <c r="O612" s="93"/>
      <c r="P612" s="93"/>
      <c r="Q612" s="699"/>
      <c r="R612" s="93"/>
      <c r="S612" s="93"/>
      <c r="T612" s="93"/>
      <c r="U612" s="93"/>
      <c r="V612" s="93"/>
      <c r="W612" s="93"/>
      <c r="X612" s="93"/>
      <c r="Y612" s="93"/>
      <c r="Z612" s="93"/>
      <c r="AA612" s="93"/>
      <c r="AB612" s="93"/>
      <c r="AC612" s="93"/>
      <c r="AD612" s="93"/>
      <c r="AE612" s="93"/>
      <c r="AF612" s="79"/>
      <c r="AG612" s="114"/>
      <c r="AH612" s="51"/>
      <c r="AI612" s="51"/>
      <c r="AJ612" s="51"/>
      <c r="AK612" s="51"/>
      <c r="AL612" s="92"/>
      <c r="AM612" s="92"/>
      <c r="AN612" s="51"/>
      <c r="AO612" s="51"/>
      <c r="AP612" s="93"/>
      <c r="AQ612" s="93"/>
      <c r="AR612" s="93"/>
      <c r="AS612" s="93"/>
      <c r="AT612" s="93"/>
      <c r="AU612" s="93"/>
      <c r="AV612" s="79"/>
      <c r="AW612" s="699"/>
      <c r="AX612" s="93"/>
      <c r="AY612" s="93"/>
      <c r="AZ612" s="93"/>
      <c r="BA612" s="93"/>
      <c r="BB612" s="93"/>
      <c r="BC612" s="93"/>
      <c r="BD612" s="93"/>
      <c r="BE612" s="93"/>
      <c r="BF612" s="93"/>
      <c r="BG612" s="93"/>
      <c r="BH612" s="93"/>
      <c r="BI612" s="93"/>
      <c r="BJ612" s="93"/>
      <c r="BK612" s="93"/>
      <c r="BL612" s="79"/>
      <c r="BM612" s="699"/>
      <c r="BN612" s="93"/>
      <c r="BO612" s="93"/>
      <c r="BP612" s="93"/>
      <c r="BQ612" s="93"/>
      <c r="BR612" s="93"/>
      <c r="BS612" s="93"/>
      <c r="BT612" s="93"/>
      <c r="BU612" s="93"/>
      <c r="BV612" s="93"/>
      <c r="BW612" s="93"/>
      <c r="BX612" s="93"/>
      <c r="BY612" s="93"/>
      <c r="BZ612" s="93"/>
      <c r="CA612" s="93"/>
      <c r="CB612" s="93"/>
      <c r="CC612" s="363"/>
      <c r="CD612" s="117"/>
      <c r="CE612" s="117"/>
      <c r="CF612" s="117"/>
      <c r="CG612" s="117"/>
      <c r="CH612" s="117"/>
      <c r="CI612" s="117"/>
      <c r="CJ612" s="117"/>
      <c r="CK612" s="117"/>
      <c r="CL612" s="117"/>
      <c r="CM612" s="117"/>
      <c r="CN612" s="117"/>
      <c r="CO612" s="117"/>
      <c r="CP612" s="117"/>
      <c r="CQ612" s="117"/>
      <c r="CR612" s="364"/>
      <c r="CS612" s="363"/>
      <c r="CT612" s="117"/>
      <c r="CU612" s="117"/>
      <c r="CV612" s="117"/>
      <c r="CW612" s="117"/>
      <c r="CX612" s="117"/>
      <c r="CY612" s="117"/>
      <c r="CZ612" s="70"/>
      <c r="DA612" s="70"/>
      <c r="DB612" s="117"/>
      <c r="DC612" s="117"/>
      <c r="DD612" s="70"/>
      <c r="DE612" s="70"/>
      <c r="DF612" s="70"/>
      <c r="DG612" s="70"/>
      <c r="DH612" s="362"/>
      <c r="DI612" s="363"/>
      <c r="DJ612" s="117"/>
      <c r="DK612" s="117"/>
      <c r="DL612" s="117"/>
      <c r="DM612" s="117"/>
      <c r="DN612" s="117"/>
      <c r="DO612" s="117"/>
      <c r="DP612" s="117"/>
      <c r="DQ612" s="117"/>
      <c r="DR612" s="117"/>
      <c r="DS612" s="117"/>
      <c r="DT612" s="117"/>
      <c r="DU612" s="117"/>
      <c r="DV612" s="117"/>
      <c r="DW612" s="117"/>
      <c r="DX612" s="364"/>
      <c r="DY612" s="93"/>
    </row>
    <row r="613" spans="1:129">
      <c r="A613" s="699"/>
      <c r="B613" s="93"/>
      <c r="C613" s="93"/>
      <c r="D613" s="93"/>
      <c r="E613" s="93"/>
      <c r="F613" s="93"/>
      <c r="G613" s="93"/>
      <c r="H613" s="93"/>
      <c r="I613" s="93"/>
      <c r="J613" s="93"/>
      <c r="K613" s="93"/>
      <c r="L613" s="93"/>
      <c r="M613" s="93"/>
      <c r="N613" s="93"/>
      <c r="O613" s="93"/>
      <c r="P613" s="93"/>
      <c r="Q613" s="699"/>
      <c r="R613" s="93"/>
      <c r="S613" s="93"/>
      <c r="T613" s="93"/>
      <c r="U613" s="93"/>
      <c r="V613" s="93"/>
      <c r="W613" s="93"/>
      <c r="X613" s="93"/>
      <c r="Y613" s="93"/>
      <c r="Z613" s="93"/>
      <c r="AA613" s="93"/>
      <c r="AB613" s="93"/>
      <c r="AC613" s="93"/>
      <c r="AD613" s="93"/>
      <c r="AE613" s="93"/>
      <c r="AF613" s="79"/>
      <c r="AG613" s="114"/>
      <c r="AH613" s="51"/>
      <c r="AI613" s="51"/>
      <c r="AJ613" s="51"/>
      <c r="AK613" s="51"/>
      <c r="AL613" s="51"/>
      <c r="AM613" s="92"/>
      <c r="AN613" s="92"/>
      <c r="AO613" s="51"/>
      <c r="AP613" s="51"/>
      <c r="AQ613" s="93"/>
      <c r="AR613" s="93"/>
      <c r="AS613" s="93"/>
      <c r="AT613" s="93"/>
      <c r="AU613" s="93"/>
      <c r="AV613" s="79"/>
      <c r="AW613" s="699"/>
      <c r="AX613" s="93"/>
      <c r="AY613" s="93"/>
      <c r="AZ613" s="93"/>
      <c r="BA613" s="93"/>
      <c r="BB613" s="93"/>
      <c r="BC613" s="93"/>
      <c r="BD613" s="93"/>
      <c r="BE613" s="93"/>
      <c r="BF613" s="93"/>
      <c r="BG613" s="93"/>
      <c r="BH613" s="93"/>
      <c r="BI613" s="93"/>
      <c r="BJ613" s="93"/>
      <c r="BK613" s="93"/>
      <c r="BL613" s="79"/>
      <c r="BM613" s="699"/>
      <c r="BN613" s="93"/>
      <c r="BO613" s="93"/>
      <c r="BP613" s="93"/>
      <c r="BQ613" s="93"/>
      <c r="BR613" s="93"/>
      <c r="BS613" s="93"/>
      <c r="BT613" s="93"/>
      <c r="BU613" s="93"/>
      <c r="BV613" s="93"/>
      <c r="BW613" s="93"/>
      <c r="BX613" s="93"/>
      <c r="BY613" s="93"/>
      <c r="BZ613" s="93"/>
      <c r="CA613" s="93"/>
      <c r="CB613" s="93"/>
      <c r="CC613" s="363"/>
      <c r="CD613" s="117"/>
      <c r="CE613" s="117"/>
      <c r="CF613" s="117"/>
      <c r="CG613" s="117"/>
      <c r="CH613" s="117"/>
      <c r="CI613" s="117"/>
      <c r="CJ613" s="117"/>
      <c r="CK613" s="117"/>
      <c r="CL613" s="117"/>
      <c r="CM613" s="117"/>
      <c r="CN613" s="117"/>
      <c r="CO613" s="117"/>
      <c r="CP613" s="117"/>
      <c r="CQ613" s="117"/>
      <c r="CR613" s="364"/>
      <c r="CS613" s="363"/>
      <c r="CT613" s="117"/>
      <c r="CU613" s="117"/>
      <c r="CV613" s="117"/>
      <c r="CW613" s="117"/>
      <c r="CX613" s="117"/>
      <c r="CY613" s="70"/>
      <c r="CZ613" s="70"/>
      <c r="DA613" s="117"/>
      <c r="DB613" s="117"/>
      <c r="DC613" s="70"/>
      <c r="DD613" s="70"/>
      <c r="DE613" s="70"/>
      <c r="DF613" s="70"/>
      <c r="DG613" s="70"/>
      <c r="DH613" s="362"/>
      <c r="DI613" s="363"/>
      <c r="DJ613" s="117"/>
      <c r="DK613" s="117"/>
      <c r="DL613" s="117"/>
      <c r="DM613" s="117"/>
      <c r="DN613" s="117"/>
      <c r="DO613" s="117"/>
      <c r="DP613" s="117"/>
      <c r="DQ613" s="117"/>
      <c r="DR613" s="117"/>
      <c r="DS613" s="117"/>
      <c r="DT613" s="117"/>
      <c r="DU613" s="117"/>
      <c r="DV613" s="117"/>
      <c r="DW613" s="117"/>
      <c r="DX613" s="364"/>
      <c r="DY613" s="93"/>
    </row>
    <row r="614" spans="1:129">
      <c r="A614" s="699"/>
      <c r="B614" s="93"/>
      <c r="C614" s="93"/>
      <c r="D614" s="93"/>
      <c r="E614" s="93"/>
      <c r="F614" s="93"/>
      <c r="G614" s="93"/>
      <c r="H614" s="93"/>
      <c r="I614" s="93"/>
      <c r="J614" s="93"/>
      <c r="K614" s="93"/>
      <c r="L614" s="93"/>
      <c r="M614" s="93"/>
      <c r="N614" s="93"/>
      <c r="O614" s="93"/>
      <c r="P614" s="93"/>
      <c r="Q614" s="699"/>
      <c r="R614" s="93"/>
      <c r="S614" s="93"/>
      <c r="T614" s="93"/>
      <c r="U614" s="93"/>
      <c r="V614" s="93"/>
      <c r="W614" s="93"/>
      <c r="X614" s="93"/>
      <c r="Y614" s="93"/>
      <c r="Z614" s="93"/>
      <c r="AA614" s="93"/>
      <c r="AB614" s="93"/>
      <c r="AC614" s="93"/>
      <c r="AD614" s="93"/>
      <c r="AE614" s="93"/>
      <c r="AF614" s="79"/>
      <c r="AG614" s="114"/>
      <c r="AH614" s="51"/>
      <c r="AI614" s="51"/>
      <c r="AJ614" s="51"/>
      <c r="AK614" s="51"/>
      <c r="AL614" s="51"/>
      <c r="AM614" s="51"/>
      <c r="AN614" s="92"/>
      <c r="AO614" s="92"/>
      <c r="AP614" s="92"/>
      <c r="AQ614" s="92"/>
      <c r="AR614" s="93"/>
      <c r="AS614" s="93"/>
      <c r="AT614" s="93"/>
      <c r="AU614" s="93"/>
      <c r="AV614" s="79"/>
      <c r="AW614" s="699"/>
      <c r="AX614" s="93"/>
      <c r="AY614" s="93"/>
      <c r="AZ614" s="93"/>
      <c r="BA614" s="93"/>
      <c r="BB614" s="93"/>
      <c r="BC614" s="93"/>
      <c r="BD614" s="93"/>
      <c r="BE614" s="93"/>
      <c r="BF614" s="93"/>
      <c r="BG614" s="93"/>
      <c r="BH614" s="93"/>
      <c r="BI614" s="93"/>
      <c r="BJ614" s="93"/>
      <c r="BK614" s="93"/>
      <c r="BL614" s="79"/>
      <c r="BM614" s="699"/>
      <c r="BN614" s="93"/>
      <c r="BO614" s="93"/>
      <c r="BP614" s="93"/>
      <c r="BQ614" s="93"/>
      <c r="BR614" s="93"/>
      <c r="BS614" s="93"/>
      <c r="BT614" s="93"/>
      <c r="BU614" s="93"/>
      <c r="BV614" s="93"/>
      <c r="BW614" s="93"/>
      <c r="BX614" s="93"/>
      <c r="BY614" s="93"/>
      <c r="BZ614" s="93"/>
      <c r="CA614" s="93"/>
      <c r="CB614" s="93"/>
      <c r="CC614" s="363"/>
      <c r="CD614" s="117"/>
      <c r="CE614" s="117"/>
      <c r="CF614" s="117"/>
      <c r="CG614" s="117"/>
      <c r="CH614" s="117"/>
      <c r="CI614" s="117"/>
      <c r="CJ614" s="117"/>
      <c r="CK614" s="117"/>
      <c r="CL614" s="117"/>
      <c r="CM614" s="117"/>
      <c r="CN614" s="117"/>
      <c r="CO614" s="117"/>
      <c r="CP614" s="117"/>
      <c r="CQ614" s="117"/>
      <c r="CR614" s="364"/>
      <c r="CS614" s="363"/>
      <c r="CT614" s="117"/>
      <c r="CU614" s="117"/>
      <c r="CV614" s="117"/>
      <c r="CW614" s="117"/>
      <c r="CX614" s="117"/>
      <c r="CY614" s="117"/>
      <c r="CZ614" s="117"/>
      <c r="DA614" s="117"/>
      <c r="DB614" s="70"/>
      <c r="DC614" s="70"/>
      <c r="DD614" s="70"/>
      <c r="DE614" s="70"/>
      <c r="DF614" s="70"/>
      <c r="DG614" s="70"/>
      <c r="DH614" s="362"/>
      <c r="DI614" s="363"/>
      <c r="DJ614" s="117"/>
      <c r="DK614" s="117"/>
      <c r="DL614" s="117"/>
      <c r="DM614" s="117"/>
      <c r="DN614" s="117"/>
      <c r="DO614" s="117"/>
      <c r="DP614" s="117"/>
      <c r="DQ614" s="117"/>
      <c r="DR614" s="117"/>
      <c r="DS614" s="117"/>
      <c r="DT614" s="117"/>
      <c r="DU614" s="117"/>
      <c r="DV614" s="117"/>
      <c r="DW614" s="117"/>
      <c r="DX614" s="364"/>
      <c r="DY614" s="93"/>
    </row>
    <row r="615" spans="1:129">
      <c r="A615" s="699"/>
      <c r="B615" s="93"/>
      <c r="C615" s="93"/>
      <c r="D615" s="93"/>
      <c r="E615" s="93"/>
      <c r="F615" s="93"/>
      <c r="G615" s="93"/>
      <c r="H615" s="93"/>
      <c r="I615" s="93"/>
      <c r="J615" s="93"/>
      <c r="K615" s="93"/>
      <c r="L615" s="93"/>
      <c r="M615" s="93"/>
      <c r="N615" s="93"/>
      <c r="O615" s="93"/>
      <c r="P615" s="93"/>
      <c r="Q615" s="699"/>
      <c r="R615" s="93"/>
      <c r="S615" s="93"/>
      <c r="T615" s="93"/>
      <c r="U615" s="93"/>
      <c r="V615" s="93"/>
      <c r="W615" s="93"/>
      <c r="X615" s="93"/>
      <c r="Y615" s="93"/>
      <c r="Z615" s="93"/>
      <c r="AA615" s="93"/>
      <c r="AB615" s="93"/>
      <c r="AC615" s="93"/>
      <c r="AD615" s="93"/>
      <c r="AE615" s="93"/>
      <c r="AF615" s="79"/>
      <c r="AG615" s="114"/>
      <c r="AH615" s="51"/>
      <c r="AI615" s="51"/>
      <c r="AJ615" s="51"/>
      <c r="AK615" s="51"/>
      <c r="AL615" s="51"/>
      <c r="AM615" s="51"/>
      <c r="AN615" s="92"/>
      <c r="AO615" s="92"/>
      <c r="AP615" s="92"/>
      <c r="AQ615" s="92"/>
      <c r="AR615" s="93"/>
      <c r="AS615" s="93"/>
      <c r="AT615" s="93"/>
      <c r="AU615" s="93"/>
      <c r="AV615" s="79"/>
      <c r="AW615" s="699"/>
      <c r="AX615" s="93"/>
      <c r="AY615" s="93"/>
      <c r="AZ615" s="93"/>
      <c r="BA615" s="93"/>
      <c r="BB615" s="93"/>
      <c r="BC615" s="93"/>
      <c r="BD615" s="93"/>
      <c r="BE615" s="93"/>
      <c r="BF615" s="93"/>
      <c r="BG615" s="93"/>
      <c r="BH615" s="93"/>
      <c r="BI615" s="93"/>
      <c r="BJ615" s="93"/>
      <c r="BK615" s="93"/>
      <c r="BL615" s="79"/>
      <c r="BM615" s="699"/>
      <c r="BN615" s="93"/>
      <c r="BO615" s="93"/>
      <c r="BP615" s="93"/>
      <c r="BQ615" s="93"/>
      <c r="BR615" s="93"/>
      <c r="BS615" s="93"/>
      <c r="BT615" s="93"/>
      <c r="BU615" s="93"/>
      <c r="BV615" s="93"/>
      <c r="BW615" s="93"/>
      <c r="BX615" s="93"/>
      <c r="BY615" s="93"/>
      <c r="BZ615" s="93"/>
      <c r="CA615" s="93"/>
      <c r="CB615" s="93"/>
      <c r="CC615" s="363"/>
      <c r="CD615" s="117"/>
      <c r="CE615" s="117"/>
      <c r="CF615" s="117"/>
      <c r="CG615" s="117"/>
      <c r="CH615" s="117"/>
      <c r="CI615" s="117"/>
      <c r="CJ615" s="117"/>
      <c r="CK615" s="117"/>
      <c r="CL615" s="117"/>
      <c r="CM615" s="117"/>
      <c r="CN615" s="117"/>
      <c r="CO615" s="117"/>
      <c r="CP615" s="117"/>
      <c r="CQ615" s="117"/>
      <c r="CR615" s="364"/>
      <c r="CS615" s="363"/>
      <c r="CT615" s="117"/>
      <c r="CU615" s="117"/>
      <c r="CV615" s="117"/>
      <c r="CW615" s="117"/>
      <c r="CX615" s="117"/>
      <c r="CY615" s="117"/>
      <c r="CZ615" s="117"/>
      <c r="DA615" s="117"/>
      <c r="DB615" s="70"/>
      <c r="DC615" s="70"/>
      <c r="DD615" s="70"/>
      <c r="DE615" s="70"/>
      <c r="DF615" s="70"/>
      <c r="DG615" s="70"/>
      <c r="DH615" s="362"/>
      <c r="DI615" s="363"/>
      <c r="DJ615" s="117"/>
      <c r="DK615" s="117"/>
      <c r="DL615" s="117"/>
      <c r="DM615" s="117"/>
      <c r="DN615" s="117"/>
      <c r="DO615" s="117"/>
      <c r="DP615" s="117"/>
      <c r="DQ615" s="117"/>
      <c r="DR615" s="117"/>
      <c r="DS615" s="117"/>
      <c r="DT615" s="117"/>
      <c r="DU615" s="117"/>
      <c r="DV615" s="117"/>
      <c r="DW615" s="117"/>
      <c r="DX615" s="364"/>
      <c r="DY615" s="93"/>
    </row>
    <row r="616" spans="1:129">
      <c r="A616" s="699"/>
      <c r="B616" s="93"/>
      <c r="C616" s="93"/>
      <c r="D616" s="93"/>
      <c r="E616" s="93"/>
      <c r="F616" s="93"/>
      <c r="G616" s="93"/>
      <c r="H616" s="93"/>
      <c r="I616" s="93"/>
      <c r="J616" s="93"/>
      <c r="K616" s="93"/>
      <c r="L616" s="93"/>
      <c r="M616" s="93"/>
      <c r="N616" s="93"/>
      <c r="O616" s="93"/>
      <c r="P616" s="93"/>
      <c r="Q616" s="699"/>
      <c r="R616" s="93"/>
      <c r="S616" s="93"/>
      <c r="T616" s="93"/>
      <c r="U616" s="206"/>
      <c r="V616" s="93"/>
      <c r="W616" s="93"/>
      <c r="X616" s="93"/>
      <c r="Y616" s="93"/>
      <c r="Z616" s="93"/>
      <c r="AA616" s="93"/>
      <c r="AB616" s="93"/>
      <c r="AC616" s="93"/>
      <c r="AD616" s="93"/>
      <c r="AE616" s="93"/>
      <c r="AF616" s="79"/>
      <c r="AG616" s="114"/>
      <c r="AH616" s="51"/>
      <c r="AI616" s="51"/>
      <c r="AJ616" s="51"/>
      <c r="AK616" s="51"/>
      <c r="AL616" s="51"/>
      <c r="AM616" s="51"/>
      <c r="AN616" s="92"/>
      <c r="AO616" s="92"/>
      <c r="AP616" s="92"/>
      <c r="AQ616" s="92"/>
      <c r="AR616" s="93"/>
      <c r="AS616" s="206"/>
      <c r="AT616" s="93"/>
      <c r="AU616" s="93"/>
      <c r="AV616" s="79"/>
      <c r="AW616" s="699"/>
      <c r="AX616" s="93"/>
      <c r="AY616" s="93"/>
      <c r="AZ616" s="93"/>
      <c r="BA616" s="93"/>
      <c r="BB616" s="93"/>
      <c r="BC616" s="93"/>
      <c r="BD616" s="93"/>
      <c r="BE616" s="93"/>
      <c r="BF616" s="93"/>
      <c r="BG616" s="93"/>
      <c r="BH616" s="93"/>
      <c r="BI616" s="93"/>
      <c r="BJ616" s="93"/>
      <c r="BK616" s="93"/>
      <c r="BL616" s="79"/>
      <c r="BM616" s="699"/>
      <c r="BN616" s="201"/>
      <c r="BO616" s="93"/>
      <c r="BP616" s="93"/>
      <c r="BQ616" s="93"/>
      <c r="BR616" s="93"/>
      <c r="BS616" s="93"/>
      <c r="BT616" s="93"/>
      <c r="BU616" s="93"/>
      <c r="BV616" s="93"/>
      <c r="BW616" s="93"/>
      <c r="BX616" s="93"/>
      <c r="BY616" s="93"/>
      <c r="BZ616" s="93"/>
      <c r="CA616" s="206"/>
      <c r="CB616" s="93"/>
      <c r="CC616" s="363"/>
      <c r="CD616" s="117"/>
      <c r="CE616" s="117"/>
      <c r="CF616" s="117"/>
      <c r="CG616" s="117"/>
      <c r="CH616" s="117"/>
      <c r="CI616" s="117"/>
      <c r="CJ616" s="117"/>
      <c r="CK616" s="117"/>
      <c r="CL616" s="117"/>
      <c r="CM616" s="117"/>
      <c r="CN616" s="117"/>
      <c r="CO616" s="117"/>
      <c r="CP616" s="117"/>
      <c r="CQ616" s="117"/>
      <c r="CR616" s="364"/>
      <c r="CS616" s="363"/>
      <c r="CT616" s="117"/>
      <c r="CU616" s="117"/>
      <c r="CV616" s="878"/>
      <c r="CW616" s="117"/>
      <c r="CX616" s="117"/>
      <c r="CY616" s="117"/>
      <c r="CZ616" s="117"/>
      <c r="DA616" s="117"/>
      <c r="DB616" s="70"/>
      <c r="DC616" s="70"/>
      <c r="DD616" s="70"/>
      <c r="DE616" s="70"/>
      <c r="DF616" s="70"/>
      <c r="DG616" s="70"/>
      <c r="DH616" s="362"/>
      <c r="DI616" s="363"/>
      <c r="DJ616" s="117"/>
      <c r="DK616" s="117"/>
      <c r="DL616" s="117"/>
      <c r="DM616" s="117"/>
      <c r="DN616" s="117"/>
      <c r="DO616" s="117"/>
      <c r="DP616" s="117"/>
      <c r="DQ616" s="117"/>
      <c r="DR616" s="117"/>
      <c r="DS616" s="117"/>
      <c r="DT616" s="878"/>
      <c r="DU616" s="117"/>
      <c r="DV616" s="117"/>
      <c r="DW616" s="117"/>
      <c r="DX616" s="364"/>
      <c r="DY616" s="93"/>
    </row>
    <row r="617" spans="1:129">
      <c r="A617" s="699"/>
      <c r="B617" s="201"/>
      <c r="C617" s="93"/>
      <c r="D617" s="93"/>
      <c r="E617" s="93"/>
      <c r="F617" s="93"/>
      <c r="G617" s="93"/>
      <c r="H617" s="93"/>
      <c r="I617" s="93"/>
      <c r="J617" s="93"/>
      <c r="K617" s="93"/>
      <c r="L617" s="93"/>
      <c r="M617" s="93"/>
      <c r="N617" s="93"/>
      <c r="O617" s="206"/>
      <c r="P617" s="93"/>
      <c r="Q617" s="699"/>
      <c r="R617" s="93"/>
      <c r="S617" s="93"/>
      <c r="T617" s="93"/>
      <c r="U617" s="206"/>
      <c r="V617" s="206"/>
      <c r="W617" s="51"/>
      <c r="X617" s="93"/>
      <c r="Y617" s="93"/>
      <c r="Z617" s="93"/>
      <c r="AA617" s="93"/>
      <c r="AB617" s="93"/>
      <c r="AC617" s="93"/>
      <c r="AD617" s="93"/>
      <c r="AE617" s="93"/>
      <c r="AF617" s="79"/>
      <c r="AG617" s="114"/>
      <c r="AH617" s="51"/>
      <c r="AI617" s="51"/>
      <c r="AJ617" s="51"/>
      <c r="AK617" s="51"/>
      <c r="AL617" s="51"/>
      <c r="AM617" s="92"/>
      <c r="AN617" s="92"/>
      <c r="AO617" s="92"/>
      <c r="AP617" s="92"/>
      <c r="AQ617" s="92"/>
      <c r="AR617" s="201"/>
      <c r="AS617" s="206"/>
      <c r="AT617" s="93"/>
      <c r="AU617" s="93"/>
      <c r="AV617" s="79"/>
      <c r="AW617" s="699"/>
      <c r="AX617" s="93"/>
      <c r="AY617" s="93"/>
      <c r="AZ617" s="93"/>
      <c r="BA617" s="93"/>
      <c r="BB617" s="93"/>
      <c r="BC617" s="93"/>
      <c r="BD617" s="93"/>
      <c r="BE617" s="93"/>
      <c r="BF617" s="93"/>
      <c r="BG617" s="93"/>
      <c r="BH617" s="93"/>
      <c r="BI617" s="93"/>
      <c r="BJ617" s="93"/>
      <c r="BK617" s="206"/>
      <c r="BL617" s="79"/>
      <c r="BM617" s="709"/>
      <c r="BN617" s="206"/>
      <c r="BO617" s="200"/>
      <c r="BP617" s="93"/>
      <c r="BQ617" s="93"/>
      <c r="BR617" s="93"/>
      <c r="BS617" s="93"/>
      <c r="BT617" s="93"/>
      <c r="BU617" s="93"/>
      <c r="BV617" s="93"/>
      <c r="BW617" s="93"/>
      <c r="BX617" s="93"/>
      <c r="BY617" s="93"/>
      <c r="BZ617" s="200"/>
      <c r="CA617" s="206"/>
      <c r="CB617" s="290"/>
      <c r="CC617" s="363"/>
      <c r="CD617" s="878"/>
      <c r="CE617" s="117"/>
      <c r="CF617" s="117"/>
      <c r="CG617" s="117"/>
      <c r="CH617" s="117"/>
      <c r="CI617" s="117"/>
      <c r="CJ617" s="117"/>
      <c r="CK617" s="117"/>
      <c r="CL617" s="117"/>
      <c r="CM617" s="117"/>
      <c r="CN617" s="117"/>
      <c r="CO617" s="117"/>
      <c r="CP617" s="117"/>
      <c r="CQ617" s="117"/>
      <c r="CR617" s="364"/>
      <c r="CS617" s="363"/>
      <c r="CT617" s="117"/>
      <c r="CU617" s="117"/>
      <c r="CV617" s="878"/>
      <c r="CW617" s="879"/>
      <c r="CX617" s="117"/>
      <c r="CY617" s="117"/>
      <c r="CZ617" s="117"/>
      <c r="DA617" s="117"/>
      <c r="DB617" s="117"/>
      <c r="DC617" s="70"/>
      <c r="DD617" s="70"/>
      <c r="DE617" s="70"/>
      <c r="DF617" s="70"/>
      <c r="DG617" s="70"/>
      <c r="DH617" s="362"/>
      <c r="DI617" s="363"/>
      <c r="DJ617" s="117"/>
      <c r="DK617" s="117"/>
      <c r="DL617" s="117"/>
      <c r="DM617" s="117"/>
      <c r="DN617" s="117"/>
      <c r="DO617" s="117"/>
      <c r="DP617" s="117"/>
      <c r="DQ617" s="117"/>
      <c r="DR617" s="70"/>
      <c r="DS617" s="878"/>
      <c r="DT617" s="878"/>
      <c r="DU617" s="117"/>
      <c r="DV617" s="117"/>
      <c r="DW617" s="117"/>
      <c r="DX617" s="364"/>
      <c r="DY617" s="93"/>
    </row>
    <row r="618" spans="1:129">
      <c r="A618" s="765"/>
      <c r="B618" s="206"/>
      <c r="C618" s="199"/>
      <c r="D618" s="93"/>
      <c r="E618" s="93"/>
      <c r="F618" s="93"/>
      <c r="G618" s="160"/>
      <c r="H618" s="206"/>
      <c r="I618" s="206"/>
      <c r="J618" s="160"/>
      <c r="K618" s="93"/>
      <c r="L618" s="93"/>
      <c r="M618" s="93"/>
      <c r="N618" s="290"/>
      <c r="O618" s="206"/>
      <c r="P618" s="290"/>
      <c r="Q618" s="699"/>
      <c r="R618" s="93"/>
      <c r="S618" s="93"/>
      <c r="T618" s="93"/>
      <c r="U618" s="291"/>
      <c r="V618" s="201"/>
      <c r="W618" s="206"/>
      <c r="X618" s="206"/>
      <c r="Y618" s="160"/>
      <c r="Z618" s="160"/>
      <c r="AA618" s="160"/>
      <c r="AB618" s="93"/>
      <c r="AC618" s="92"/>
      <c r="AD618" s="93"/>
      <c r="AE618" s="206"/>
      <c r="AF618" s="79"/>
      <c r="AG618" s="114"/>
      <c r="AH618" s="51"/>
      <c r="AI618" s="51"/>
      <c r="AJ618" s="51"/>
      <c r="AK618" s="51"/>
      <c r="AL618" s="206"/>
      <c r="AM618" s="160"/>
      <c r="AN618" s="160"/>
      <c r="AO618" s="160"/>
      <c r="AP618" s="201"/>
      <c r="AQ618" s="291"/>
      <c r="AR618" s="206"/>
      <c r="AS618" s="206"/>
      <c r="AT618" s="201"/>
      <c r="AU618" s="93"/>
      <c r="AV618" s="79"/>
      <c r="AW618" s="699"/>
      <c r="AX618" s="93"/>
      <c r="AY618" s="93"/>
      <c r="AZ618" s="93"/>
      <c r="BA618" s="93"/>
      <c r="BB618" s="206"/>
      <c r="BC618" s="93"/>
      <c r="BD618" s="93"/>
      <c r="BE618" s="93"/>
      <c r="BF618" s="93"/>
      <c r="BG618" s="93"/>
      <c r="BH618" s="93"/>
      <c r="BI618" s="93"/>
      <c r="BJ618" s="206"/>
      <c r="BK618" s="206"/>
      <c r="BL618" s="497"/>
      <c r="BM618" s="765"/>
      <c r="BN618" s="291"/>
      <c r="BO618" s="206"/>
      <c r="BP618" s="93"/>
      <c r="BQ618" s="93"/>
      <c r="BR618" s="93"/>
      <c r="BS618" s="93"/>
      <c r="BT618" s="93"/>
      <c r="BU618" s="93"/>
      <c r="BV618" s="93"/>
      <c r="BW618" s="93"/>
      <c r="BX618" s="93"/>
      <c r="BY618" s="93"/>
      <c r="BZ618" s="201"/>
      <c r="CA618" s="291"/>
      <c r="CB618" s="291"/>
      <c r="CC618" s="901"/>
      <c r="CD618" s="878"/>
      <c r="CE618" s="878"/>
      <c r="CF618" s="117"/>
      <c r="CG618" s="117"/>
      <c r="CH618" s="117"/>
      <c r="CI618" s="117"/>
      <c r="CJ618" s="117"/>
      <c r="CK618" s="117"/>
      <c r="CL618" s="117"/>
      <c r="CM618" s="878"/>
      <c r="CN618" s="117"/>
      <c r="CO618" s="117"/>
      <c r="CP618" s="117"/>
      <c r="CQ618" s="117"/>
      <c r="CR618" s="364"/>
      <c r="CS618" s="363"/>
      <c r="CT618" s="117"/>
      <c r="CU618" s="879"/>
      <c r="CV618" s="878"/>
      <c r="CW618" s="878"/>
      <c r="CX618" s="882"/>
      <c r="CY618" s="879"/>
      <c r="CZ618" s="150"/>
      <c r="DA618" s="150"/>
      <c r="DB618" s="150"/>
      <c r="DC618" s="878"/>
      <c r="DD618" s="70"/>
      <c r="DE618" s="70"/>
      <c r="DF618" s="70"/>
      <c r="DG618" s="70"/>
      <c r="DH618" s="362"/>
      <c r="DI618" s="363"/>
      <c r="DJ618" s="878"/>
      <c r="DK618" s="117"/>
      <c r="DL618" s="117"/>
      <c r="DM618" s="117"/>
      <c r="DN618" s="150"/>
      <c r="DO618" s="150"/>
      <c r="DP618" s="150"/>
      <c r="DQ618" s="878"/>
      <c r="DR618" s="878"/>
      <c r="DS618" s="879"/>
      <c r="DT618" s="882"/>
      <c r="DU618" s="117"/>
      <c r="DV618" s="117"/>
      <c r="DW618" s="117"/>
      <c r="DX618" s="364"/>
      <c r="DY618" s="93"/>
    </row>
    <row r="619" spans="1:129">
      <c r="A619" s="765"/>
      <c r="B619" s="291"/>
      <c r="C619" s="206"/>
      <c r="D619" s="93"/>
      <c r="E619" s="93"/>
      <c r="F619" s="160"/>
      <c r="G619" s="206"/>
      <c r="H619" s="293"/>
      <c r="I619" s="161"/>
      <c r="J619" s="206"/>
      <c r="K619" s="160"/>
      <c r="L619" s="93"/>
      <c r="M619" s="93"/>
      <c r="N619" s="201"/>
      <c r="O619" s="291"/>
      <c r="P619" s="291"/>
      <c r="Q619" s="699"/>
      <c r="R619" s="93"/>
      <c r="S619" s="93"/>
      <c r="T619" s="206"/>
      <c r="U619" s="291"/>
      <c r="V619" s="206"/>
      <c r="W619" s="297"/>
      <c r="X619" s="297"/>
      <c r="Y619" s="293"/>
      <c r="Z619" s="206"/>
      <c r="AA619" s="206"/>
      <c r="AB619" s="160"/>
      <c r="AC619" s="92"/>
      <c r="AD619" s="206"/>
      <c r="AE619" s="206"/>
      <c r="AF619" s="206"/>
      <c r="AG619" s="114"/>
      <c r="AH619" s="51"/>
      <c r="AI619" s="51"/>
      <c r="AJ619" s="51"/>
      <c r="AK619" s="206"/>
      <c r="AL619" s="293"/>
      <c r="AM619" s="161"/>
      <c r="AN619" s="206"/>
      <c r="AO619" s="160"/>
      <c r="AP619" s="160"/>
      <c r="AQ619" s="201"/>
      <c r="AR619" s="206"/>
      <c r="AS619" s="206"/>
      <c r="AT619" s="206"/>
      <c r="AU619" s="201"/>
      <c r="AV619" s="79"/>
      <c r="AW619" s="699"/>
      <c r="AX619" s="93"/>
      <c r="AY619" s="93"/>
      <c r="AZ619" s="93"/>
      <c r="BA619" s="206"/>
      <c r="BB619" s="201"/>
      <c r="BC619" s="290"/>
      <c r="BD619" s="93"/>
      <c r="BE619" s="206"/>
      <c r="BF619" s="206"/>
      <c r="BG619" s="93"/>
      <c r="BH619" s="206"/>
      <c r="BI619" s="206"/>
      <c r="BJ619" s="201"/>
      <c r="BK619" s="206"/>
      <c r="BL619" s="497"/>
      <c r="BM619" s="709"/>
      <c r="BN619" s="205"/>
      <c r="BO619" s="291"/>
      <c r="BP619" s="200"/>
      <c r="BQ619" s="93"/>
      <c r="BR619" s="93"/>
      <c r="BS619" s="205"/>
      <c r="BT619" s="206"/>
      <c r="BU619" s="206"/>
      <c r="BV619" s="205"/>
      <c r="BW619" s="93"/>
      <c r="BX619" s="93"/>
      <c r="BY619" s="200"/>
      <c r="BZ619" s="206"/>
      <c r="CA619" s="205"/>
      <c r="CB619" s="205"/>
      <c r="CC619" s="901"/>
      <c r="CD619" s="878"/>
      <c r="CE619" s="879"/>
      <c r="CF619" s="878"/>
      <c r="CG619" s="878"/>
      <c r="CH619" s="117"/>
      <c r="CI619" s="878"/>
      <c r="CJ619" s="878"/>
      <c r="CK619" s="117"/>
      <c r="CL619" s="893"/>
      <c r="CM619" s="879"/>
      <c r="CN619" s="878"/>
      <c r="CO619" s="117"/>
      <c r="CP619" s="117"/>
      <c r="CQ619" s="117"/>
      <c r="CR619" s="364"/>
      <c r="CS619" s="363"/>
      <c r="CT619" s="879"/>
      <c r="CU619" s="878"/>
      <c r="CV619" s="878"/>
      <c r="CW619" s="878"/>
      <c r="CX619" s="879"/>
      <c r="CY619" s="150"/>
      <c r="CZ619" s="150"/>
      <c r="DA619" s="878"/>
      <c r="DB619" s="147"/>
      <c r="DC619" s="886"/>
      <c r="DD619" s="878"/>
      <c r="DE619" s="70"/>
      <c r="DF619" s="70"/>
      <c r="DG619" s="70"/>
      <c r="DH619" s="362"/>
      <c r="DI619" s="902"/>
      <c r="DJ619" s="878"/>
      <c r="DK619" s="878"/>
      <c r="DL619" s="117"/>
      <c r="DM619" s="150"/>
      <c r="DN619" s="878"/>
      <c r="DO619" s="878"/>
      <c r="DP619" s="886"/>
      <c r="DQ619" s="390"/>
      <c r="DR619" s="390"/>
      <c r="DS619" s="878"/>
      <c r="DT619" s="882"/>
      <c r="DU619" s="878"/>
      <c r="DV619" s="117"/>
      <c r="DW619" s="117"/>
      <c r="DX619" s="364"/>
      <c r="DY619" s="93"/>
    </row>
    <row r="620" spans="1:129">
      <c r="A620" s="709"/>
      <c r="B620" s="291"/>
      <c r="C620" s="291"/>
      <c r="D620" s="160"/>
      <c r="E620" s="160"/>
      <c r="F620" s="206"/>
      <c r="G620" s="206"/>
      <c r="H620" s="161"/>
      <c r="I620" s="206"/>
      <c r="J620" s="205"/>
      <c r="K620" s="205"/>
      <c r="L620" s="160"/>
      <c r="M620" s="290"/>
      <c r="N620" s="206"/>
      <c r="O620" s="291"/>
      <c r="P620" s="206"/>
      <c r="Q620" s="699"/>
      <c r="R620" s="93"/>
      <c r="S620" s="93"/>
      <c r="T620" s="206"/>
      <c r="U620" s="206"/>
      <c r="V620" s="158"/>
      <c r="W620" s="161"/>
      <c r="X620" s="161"/>
      <c r="Y620" s="162"/>
      <c r="Z620" s="162"/>
      <c r="AA620" s="206"/>
      <c r="AB620" s="206"/>
      <c r="AC620" s="291"/>
      <c r="AD620" s="206"/>
      <c r="AE620" s="206"/>
      <c r="AF620" s="746"/>
      <c r="AG620" s="114"/>
      <c r="AH620" s="51"/>
      <c r="AI620" s="51"/>
      <c r="AJ620" s="51"/>
      <c r="AK620" s="206"/>
      <c r="AL620" s="162"/>
      <c r="AM620" s="162"/>
      <c r="AN620" s="206"/>
      <c r="AO620" s="206"/>
      <c r="AP620" s="160"/>
      <c r="AQ620" s="201"/>
      <c r="AR620" s="206"/>
      <c r="AS620" s="206"/>
      <c r="AT620" s="201"/>
      <c r="AU620" s="201"/>
      <c r="AV620" s="497"/>
      <c r="AW620" s="699"/>
      <c r="AX620" s="93"/>
      <c r="AY620" s="93"/>
      <c r="AZ620" s="93"/>
      <c r="BA620" s="206"/>
      <c r="BB620" s="201"/>
      <c r="BC620" s="291"/>
      <c r="BD620" s="206"/>
      <c r="BE620" s="201"/>
      <c r="BF620" s="201"/>
      <c r="BG620" s="206"/>
      <c r="BH620" s="201"/>
      <c r="BI620" s="206"/>
      <c r="BJ620" s="291"/>
      <c r="BK620" s="291"/>
      <c r="BL620" s="746"/>
      <c r="BM620" s="765"/>
      <c r="BN620" s="206"/>
      <c r="BO620" s="205"/>
      <c r="BP620" s="291"/>
      <c r="BQ620" s="93"/>
      <c r="BR620" s="206"/>
      <c r="BS620" s="201"/>
      <c r="BT620" s="160"/>
      <c r="BU620" s="160"/>
      <c r="BV620" s="201"/>
      <c r="BW620" s="205"/>
      <c r="BX620" s="93"/>
      <c r="BY620" s="290"/>
      <c r="BZ620" s="205"/>
      <c r="CA620" s="205"/>
      <c r="CB620" s="205"/>
      <c r="CC620" s="902"/>
      <c r="CD620" s="882"/>
      <c r="CE620" s="882"/>
      <c r="CF620" s="878"/>
      <c r="CG620" s="879"/>
      <c r="CH620" s="878"/>
      <c r="CI620" s="879"/>
      <c r="CJ620" s="879"/>
      <c r="CK620" s="878"/>
      <c r="CL620" s="882"/>
      <c r="CM620" s="879"/>
      <c r="CN620" s="878"/>
      <c r="CO620" s="117"/>
      <c r="CP620" s="117"/>
      <c r="CQ620" s="117"/>
      <c r="CR620" s="364"/>
      <c r="CS620" s="901"/>
      <c r="CT620" s="879"/>
      <c r="CU620" s="879"/>
      <c r="CV620" s="878"/>
      <c r="CW620" s="878"/>
      <c r="CX620" s="879"/>
      <c r="CY620" s="150"/>
      <c r="CZ620" s="878"/>
      <c r="DA620" s="878"/>
      <c r="DB620" s="146"/>
      <c r="DC620" s="146"/>
      <c r="DD620" s="878"/>
      <c r="DE620" s="70"/>
      <c r="DF620" s="70"/>
      <c r="DG620" s="70"/>
      <c r="DH620" s="362"/>
      <c r="DI620" s="902"/>
      <c r="DJ620" s="878"/>
      <c r="DK620" s="878"/>
      <c r="DL620" s="882"/>
      <c r="DM620" s="878"/>
      <c r="DN620" s="878"/>
      <c r="DO620" s="146"/>
      <c r="DP620" s="146"/>
      <c r="DQ620" s="147"/>
      <c r="DR620" s="147"/>
      <c r="DS620" s="143"/>
      <c r="DT620" s="878"/>
      <c r="DU620" s="878"/>
      <c r="DV620" s="117"/>
      <c r="DW620" s="117"/>
      <c r="DX620" s="364"/>
      <c r="DY620" s="93"/>
    </row>
    <row r="621" spans="1:129">
      <c r="A621" s="864"/>
      <c r="B621" s="291"/>
      <c r="C621" s="201"/>
      <c r="D621" s="291"/>
      <c r="E621" s="206"/>
      <c r="F621" s="159"/>
      <c r="G621" s="159"/>
      <c r="H621" s="161"/>
      <c r="I621" s="206"/>
      <c r="J621" s="162"/>
      <c r="K621" s="162"/>
      <c r="L621" s="205"/>
      <c r="M621" s="291"/>
      <c r="N621" s="206"/>
      <c r="O621" s="201"/>
      <c r="P621" s="206"/>
      <c r="Q621" s="699"/>
      <c r="R621" s="93"/>
      <c r="S621" s="93"/>
      <c r="T621" s="206"/>
      <c r="U621" s="206"/>
      <c r="V621" s="162"/>
      <c r="W621" s="293"/>
      <c r="X621" s="161"/>
      <c r="Y621" s="162"/>
      <c r="Z621" s="162"/>
      <c r="AA621" s="205"/>
      <c r="AB621" s="205"/>
      <c r="AC621" s="160"/>
      <c r="AD621" s="206"/>
      <c r="AE621" s="201"/>
      <c r="AF621" s="746"/>
      <c r="AG621" s="114"/>
      <c r="AH621" s="51"/>
      <c r="AI621" s="51"/>
      <c r="AJ621" s="51"/>
      <c r="AK621" s="161"/>
      <c r="AL621" s="162"/>
      <c r="AM621" s="162"/>
      <c r="AN621" s="206"/>
      <c r="AO621" s="160"/>
      <c r="AP621" s="206"/>
      <c r="AQ621" s="201"/>
      <c r="AR621" s="161"/>
      <c r="AS621" s="206"/>
      <c r="AT621" s="201"/>
      <c r="AU621" s="160"/>
      <c r="AV621" s="497"/>
      <c r="AW621" s="699"/>
      <c r="AX621" s="93"/>
      <c r="AY621" s="93"/>
      <c r="AZ621" s="93"/>
      <c r="BA621" s="206"/>
      <c r="BB621" s="201"/>
      <c r="BC621" s="206"/>
      <c r="BD621" s="292"/>
      <c r="BE621" s="206"/>
      <c r="BF621" s="206"/>
      <c r="BG621" s="206"/>
      <c r="BH621" s="201"/>
      <c r="BI621" s="201"/>
      <c r="BJ621" s="201"/>
      <c r="BK621" s="291"/>
      <c r="BL621" s="746"/>
      <c r="BM621" s="868"/>
      <c r="BN621" s="291"/>
      <c r="BO621" s="205"/>
      <c r="BP621" s="199"/>
      <c r="BQ621" s="206"/>
      <c r="BR621" s="201"/>
      <c r="BS621" s="201"/>
      <c r="BT621" s="201"/>
      <c r="BU621" s="201"/>
      <c r="BV621" s="201"/>
      <c r="BW621" s="201"/>
      <c r="BX621" s="291"/>
      <c r="BY621" s="291"/>
      <c r="BZ621" s="205"/>
      <c r="CA621" s="205"/>
      <c r="CB621" s="205"/>
      <c r="CC621" s="902"/>
      <c r="CD621" s="882"/>
      <c r="CE621" s="879"/>
      <c r="CF621" s="879"/>
      <c r="CG621" s="879"/>
      <c r="CH621" s="878"/>
      <c r="CI621" s="878"/>
      <c r="CJ621" s="878"/>
      <c r="CK621" s="883"/>
      <c r="CL621" s="878"/>
      <c r="CM621" s="879"/>
      <c r="CN621" s="878"/>
      <c r="CO621" s="117"/>
      <c r="CP621" s="117"/>
      <c r="CQ621" s="117"/>
      <c r="CR621" s="364"/>
      <c r="CS621" s="901"/>
      <c r="CT621" s="879"/>
      <c r="CU621" s="879"/>
      <c r="CV621" s="878"/>
      <c r="CW621" s="147"/>
      <c r="CX621" s="879"/>
      <c r="CY621" s="878"/>
      <c r="CZ621" s="150"/>
      <c r="DA621" s="878"/>
      <c r="DB621" s="146"/>
      <c r="DC621" s="146"/>
      <c r="DD621" s="147"/>
      <c r="DE621" s="70"/>
      <c r="DF621" s="70"/>
      <c r="DG621" s="70"/>
      <c r="DH621" s="362"/>
      <c r="DI621" s="902"/>
      <c r="DJ621" s="879"/>
      <c r="DK621" s="878"/>
      <c r="DL621" s="150"/>
      <c r="DM621" s="881"/>
      <c r="DN621" s="881"/>
      <c r="DO621" s="146"/>
      <c r="DP621" s="146"/>
      <c r="DQ621" s="147"/>
      <c r="DR621" s="886"/>
      <c r="DS621" s="146"/>
      <c r="DT621" s="878"/>
      <c r="DU621" s="878"/>
      <c r="DV621" s="117"/>
      <c r="DW621" s="117"/>
      <c r="DX621" s="364"/>
      <c r="DY621" s="93"/>
    </row>
    <row r="622" spans="1:129">
      <c r="A622" s="864"/>
      <c r="B622" s="201"/>
      <c r="C622" s="201"/>
      <c r="D622" s="206"/>
      <c r="E622" s="206"/>
      <c r="F622" s="157"/>
      <c r="G622" s="157"/>
      <c r="H622" s="161"/>
      <c r="I622" s="206"/>
      <c r="J622" s="159"/>
      <c r="K622" s="159"/>
      <c r="L622" s="205"/>
      <c r="M622" s="206"/>
      <c r="N622" s="206"/>
      <c r="O622" s="199"/>
      <c r="P622" s="206"/>
      <c r="Q622" s="699"/>
      <c r="R622" s="93"/>
      <c r="S622" s="93"/>
      <c r="T622" s="206"/>
      <c r="U622" s="206"/>
      <c r="V622" s="163"/>
      <c r="W622" s="297"/>
      <c r="X622" s="161"/>
      <c r="Y622" s="161"/>
      <c r="Z622" s="161"/>
      <c r="AA622" s="205"/>
      <c r="AB622" s="205"/>
      <c r="AC622" s="160"/>
      <c r="AD622" s="201"/>
      <c r="AE622" s="206"/>
      <c r="AF622" s="746"/>
      <c r="AG622" s="114"/>
      <c r="AH622" s="51"/>
      <c r="AI622" s="51"/>
      <c r="AJ622" s="51"/>
      <c r="AK622" s="293"/>
      <c r="AL622" s="161"/>
      <c r="AM622" s="161"/>
      <c r="AN622" s="206"/>
      <c r="AO622" s="160"/>
      <c r="AP622" s="201"/>
      <c r="AQ622" s="206"/>
      <c r="AR622" s="206"/>
      <c r="AS622" s="206"/>
      <c r="AT622" s="160"/>
      <c r="AU622" s="160"/>
      <c r="AV622" s="873"/>
      <c r="AW622" s="699"/>
      <c r="AX622" s="93"/>
      <c r="AY622" s="93"/>
      <c r="AZ622" s="206"/>
      <c r="BA622" s="201"/>
      <c r="BB622" s="206"/>
      <c r="BC622" s="201"/>
      <c r="BD622" s="292"/>
      <c r="BE622" s="292"/>
      <c r="BF622" s="201"/>
      <c r="BG622" s="201"/>
      <c r="BH622" s="201"/>
      <c r="BI622" s="201"/>
      <c r="BJ622" s="201"/>
      <c r="BK622" s="291"/>
      <c r="BL622" s="746"/>
      <c r="BM622" s="868"/>
      <c r="BN622" s="291"/>
      <c r="BO622" s="291"/>
      <c r="BP622" s="205"/>
      <c r="BQ622" s="206"/>
      <c r="BR622" s="201"/>
      <c r="BS622" s="160"/>
      <c r="BT622" s="201"/>
      <c r="BU622" s="201"/>
      <c r="BV622" s="201"/>
      <c r="BW622" s="201"/>
      <c r="BX622" s="205"/>
      <c r="BY622" s="205"/>
      <c r="BZ622" s="205"/>
      <c r="CA622" s="291"/>
      <c r="CB622" s="205"/>
      <c r="CC622" s="902"/>
      <c r="CD622" s="201"/>
      <c r="CE622" s="160"/>
      <c r="CF622" s="201"/>
      <c r="CG622" s="879"/>
      <c r="CH622" s="879"/>
      <c r="CI622" s="879"/>
      <c r="CJ622" s="883"/>
      <c r="CK622" s="883"/>
      <c r="CL622" s="879"/>
      <c r="CM622" s="878"/>
      <c r="CN622" s="879"/>
      <c r="CO622" s="878"/>
      <c r="CP622" s="117"/>
      <c r="CQ622" s="117"/>
      <c r="CR622" s="364"/>
      <c r="CS622" s="878"/>
      <c r="CT622" s="150"/>
      <c r="CU622" s="878"/>
      <c r="CV622" s="878"/>
      <c r="CW622" s="878"/>
      <c r="CX622" s="878"/>
      <c r="CY622" s="879"/>
      <c r="CZ622" s="150"/>
      <c r="DA622" s="878"/>
      <c r="DB622" s="147"/>
      <c r="DC622" s="147"/>
      <c r="DD622" s="886"/>
      <c r="DE622" s="70"/>
      <c r="DF622" s="70"/>
      <c r="DG622" s="70"/>
      <c r="DH622" s="362"/>
      <c r="DI622" s="902"/>
      <c r="DJ622" s="878"/>
      <c r="DK622" s="879"/>
      <c r="DL622" s="150"/>
      <c r="DM622" s="881"/>
      <c r="DN622" s="881"/>
      <c r="DO622" s="147"/>
      <c r="DP622" s="147"/>
      <c r="DQ622" s="147"/>
      <c r="DR622" s="390"/>
      <c r="DS622" s="144"/>
      <c r="DT622" s="878"/>
      <c r="DU622" s="878"/>
      <c r="DV622" s="117"/>
      <c r="DW622" s="117"/>
      <c r="DX622" s="364"/>
      <c r="DY622" s="93"/>
    </row>
    <row r="623" spans="1:129">
      <c r="A623" s="709"/>
      <c r="B623" s="201"/>
      <c r="C623" s="93"/>
      <c r="D623" s="160"/>
      <c r="E623" s="291"/>
      <c r="F623" s="163"/>
      <c r="G623" s="163"/>
      <c r="H623" s="161"/>
      <c r="I623" s="206"/>
      <c r="J623" s="161"/>
      <c r="K623" s="161"/>
      <c r="L623" s="206"/>
      <c r="M623" s="160"/>
      <c r="N623" s="93"/>
      <c r="O623" s="199"/>
      <c r="P623" s="291"/>
      <c r="Q623" s="699"/>
      <c r="R623" s="93"/>
      <c r="S623" s="93"/>
      <c r="T623" s="206"/>
      <c r="U623" s="201"/>
      <c r="V623" s="206"/>
      <c r="W623" s="297"/>
      <c r="X623" s="293"/>
      <c r="Y623" s="206"/>
      <c r="Z623" s="205"/>
      <c r="AA623" s="205"/>
      <c r="AB623" s="160"/>
      <c r="AC623" s="205"/>
      <c r="AD623" s="201"/>
      <c r="AE623" s="206"/>
      <c r="AF623" s="746"/>
      <c r="AG623" s="114"/>
      <c r="AH623" s="51"/>
      <c r="AI623" s="51"/>
      <c r="AJ623" s="51"/>
      <c r="AK623" s="293"/>
      <c r="AL623" s="206"/>
      <c r="AM623" s="206"/>
      <c r="AN623" s="160"/>
      <c r="AO623" s="160"/>
      <c r="AP623" s="201"/>
      <c r="AQ623" s="206"/>
      <c r="AR623" s="161"/>
      <c r="AS623" s="291"/>
      <c r="AT623" s="201"/>
      <c r="AU623" s="160"/>
      <c r="AV623" s="497"/>
      <c r="AW623" s="699"/>
      <c r="AX623" s="93"/>
      <c r="AY623" s="93"/>
      <c r="AZ623" s="206"/>
      <c r="BA623" s="201"/>
      <c r="BB623" s="206"/>
      <c r="BC623" s="201"/>
      <c r="BD623" s="206"/>
      <c r="BE623" s="206"/>
      <c r="BF623" s="201"/>
      <c r="BG623" s="160"/>
      <c r="BH623" s="201"/>
      <c r="BI623" s="160"/>
      <c r="BJ623" s="160"/>
      <c r="BK623" s="291"/>
      <c r="BL623" s="746"/>
      <c r="BM623" s="765"/>
      <c r="BN623" s="201"/>
      <c r="BO623" s="291"/>
      <c r="BP623" s="291"/>
      <c r="BQ623" s="206"/>
      <c r="BR623" s="160"/>
      <c r="BS623" s="160"/>
      <c r="BT623" s="160"/>
      <c r="BU623" s="201"/>
      <c r="BV623" s="160"/>
      <c r="BW623" s="160"/>
      <c r="BX623" s="205"/>
      <c r="BY623" s="291"/>
      <c r="BZ623" s="205"/>
      <c r="CA623" s="206"/>
      <c r="CB623" s="206"/>
      <c r="CC623" s="902"/>
      <c r="CD623" s="206"/>
      <c r="CE623" s="160"/>
      <c r="CF623" s="206"/>
      <c r="CG623" s="879"/>
      <c r="CH623" s="879"/>
      <c r="CI623" s="879"/>
      <c r="CJ623" s="878"/>
      <c r="CK623" s="878"/>
      <c r="CL623" s="879"/>
      <c r="CM623" s="878"/>
      <c r="CN623" s="879"/>
      <c r="CO623" s="878"/>
      <c r="CP623" s="117"/>
      <c r="CQ623" s="117"/>
      <c r="CR623" s="364"/>
      <c r="CS623" s="901"/>
      <c r="CT623" s="879"/>
      <c r="CU623" s="879"/>
      <c r="CV623" s="882"/>
      <c r="CW623" s="147"/>
      <c r="CX623" s="878"/>
      <c r="CY623" s="879"/>
      <c r="CZ623" s="150"/>
      <c r="DA623" s="150"/>
      <c r="DB623" s="878"/>
      <c r="DC623" s="878"/>
      <c r="DD623" s="886"/>
      <c r="DE623" s="70"/>
      <c r="DF623" s="70"/>
      <c r="DG623" s="70"/>
      <c r="DH623" s="362"/>
      <c r="DI623" s="902"/>
      <c r="DJ623" s="878"/>
      <c r="DK623" s="879"/>
      <c r="DL623" s="881"/>
      <c r="DM623" s="150"/>
      <c r="DN623" s="881"/>
      <c r="DO623" s="881"/>
      <c r="DP623" s="878"/>
      <c r="DQ623" s="886"/>
      <c r="DR623" s="390"/>
      <c r="DS623" s="878"/>
      <c r="DT623" s="879"/>
      <c r="DU623" s="878"/>
      <c r="DV623" s="117"/>
      <c r="DW623" s="117"/>
      <c r="DX623" s="364"/>
      <c r="DY623" s="93"/>
    </row>
    <row r="624" spans="1:129">
      <c r="A624" s="864"/>
      <c r="B624" s="291"/>
      <c r="C624" s="93"/>
      <c r="D624" s="201"/>
      <c r="E624" s="160"/>
      <c r="F624" s="206"/>
      <c r="G624" s="206"/>
      <c r="H624" s="293"/>
      <c r="I624" s="291"/>
      <c r="J624" s="205"/>
      <c r="K624" s="160"/>
      <c r="L624" s="160"/>
      <c r="M624" s="206"/>
      <c r="N624" s="93"/>
      <c r="O624" s="199"/>
      <c r="P624" s="291"/>
      <c r="Q624" s="699"/>
      <c r="R624" s="93"/>
      <c r="S624" s="93"/>
      <c r="T624" s="206"/>
      <c r="U624" s="201"/>
      <c r="V624" s="291"/>
      <c r="W624" s="291"/>
      <c r="X624" s="291"/>
      <c r="Y624" s="205"/>
      <c r="Z624" s="205"/>
      <c r="AA624" s="160"/>
      <c r="AB624" s="205"/>
      <c r="AC624" s="206"/>
      <c r="AD624" s="206"/>
      <c r="AE624" s="199"/>
      <c r="AF624" s="746"/>
      <c r="AG624" s="114"/>
      <c r="AH624" s="51"/>
      <c r="AI624" s="51"/>
      <c r="AJ624" s="51"/>
      <c r="AK624" s="161"/>
      <c r="AL624" s="206"/>
      <c r="AM624" s="160"/>
      <c r="AN624" s="160"/>
      <c r="AO624" s="206"/>
      <c r="AP624" s="206"/>
      <c r="AQ624" s="206"/>
      <c r="AR624" s="161"/>
      <c r="AS624" s="291"/>
      <c r="AT624" s="201"/>
      <c r="AU624" s="201"/>
      <c r="AV624" s="497"/>
      <c r="AW624" s="699"/>
      <c r="AX624" s="93"/>
      <c r="AY624" s="93"/>
      <c r="AZ624" s="206"/>
      <c r="BA624" s="201"/>
      <c r="BB624" s="206"/>
      <c r="BC624" s="291"/>
      <c r="BD624" s="292"/>
      <c r="BE624" s="206"/>
      <c r="BF624" s="206"/>
      <c r="BG624" s="160"/>
      <c r="BH624" s="206"/>
      <c r="BI624" s="201"/>
      <c r="BJ624" s="201"/>
      <c r="BK624" s="291"/>
      <c r="BL624" s="746"/>
      <c r="BM624" s="709"/>
      <c r="BN624" s="206"/>
      <c r="BO624" s="93"/>
      <c r="BP624" s="291"/>
      <c r="BQ624" s="291"/>
      <c r="BR624" s="201"/>
      <c r="BS624" s="160"/>
      <c r="BT624" s="201"/>
      <c r="BU624" s="201"/>
      <c r="BV624" s="201"/>
      <c r="BW624" s="201"/>
      <c r="BX624" s="206"/>
      <c r="BY624" s="206"/>
      <c r="BZ624" s="93"/>
      <c r="CA624" s="291"/>
      <c r="CB624" s="201"/>
      <c r="CC624" s="902"/>
      <c r="CD624" s="201"/>
      <c r="CE624" s="160"/>
      <c r="CF624" s="201"/>
      <c r="CG624" s="878"/>
      <c r="CH624" s="150"/>
      <c r="CI624" s="878"/>
      <c r="CJ624" s="878"/>
      <c r="CK624" s="883"/>
      <c r="CL624" s="882"/>
      <c r="CM624" s="878"/>
      <c r="CN624" s="879"/>
      <c r="CO624" s="878"/>
      <c r="CP624" s="117"/>
      <c r="CQ624" s="117"/>
      <c r="CR624" s="364"/>
      <c r="CS624" s="901"/>
      <c r="CT624" s="879"/>
      <c r="CU624" s="879"/>
      <c r="CV624" s="882"/>
      <c r="CW624" s="147"/>
      <c r="CX624" s="878"/>
      <c r="CY624" s="878"/>
      <c r="CZ624" s="878"/>
      <c r="DA624" s="150"/>
      <c r="DB624" s="150"/>
      <c r="DC624" s="878"/>
      <c r="DD624" s="147"/>
      <c r="DE624" s="70"/>
      <c r="DF624" s="70"/>
      <c r="DG624" s="70"/>
      <c r="DH624" s="362"/>
      <c r="DI624" s="902"/>
      <c r="DJ624" s="880"/>
      <c r="DK624" s="878"/>
      <c r="DL624" s="878"/>
      <c r="DM624" s="881"/>
      <c r="DN624" s="150"/>
      <c r="DO624" s="881"/>
      <c r="DP624" s="881"/>
      <c r="DQ624" s="882"/>
      <c r="DR624" s="882"/>
      <c r="DS624" s="882"/>
      <c r="DT624" s="879"/>
      <c r="DU624" s="878"/>
      <c r="DV624" s="117"/>
      <c r="DW624" s="117"/>
      <c r="DX624" s="364"/>
      <c r="DY624" s="93"/>
    </row>
    <row r="625" spans="1:129">
      <c r="A625" s="864"/>
      <c r="B625" s="201"/>
      <c r="C625" s="93"/>
      <c r="D625" s="199"/>
      <c r="E625" s="201"/>
      <c r="F625" s="201"/>
      <c r="G625" s="206"/>
      <c r="H625" s="291"/>
      <c r="I625" s="291"/>
      <c r="J625" s="205"/>
      <c r="K625" s="201"/>
      <c r="L625" s="291"/>
      <c r="M625" s="206"/>
      <c r="N625" s="93"/>
      <c r="O625" s="201"/>
      <c r="P625" s="291"/>
      <c r="Q625" s="699"/>
      <c r="R625" s="93"/>
      <c r="S625" s="93"/>
      <c r="T625" s="206"/>
      <c r="U625" s="201"/>
      <c r="V625" s="291"/>
      <c r="W625" s="206"/>
      <c r="X625" s="206"/>
      <c r="Y625" s="205"/>
      <c r="Z625" s="160"/>
      <c r="AA625" s="205"/>
      <c r="AB625" s="291"/>
      <c r="AC625" s="201"/>
      <c r="AD625" s="160"/>
      <c r="AE625" s="206"/>
      <c r="AF625" s="79"/>
      <c r="AG625" s="114"/>
      <c r="AH625" s="51"/>
      <c r="AI625" s="51"/>
      <c r="AJ625" s="51"/>
      <c r="AK625" s="206"/>
      <c r="AL625" s="206"/>
      <c r="AM625" s="160"/>
      <c r="AN625" s="160"/>
      <c r="AO625" s="201"/>
      <c r="AP625" s="206"/>
      <c r="AQ625" s="161"/>
      <c r="AR625" s="206"/>
      <c r="AS625" s="291"/>
      <c r="AT625" s="206"/>
      <c r="AU625" s="206"/>
      <c r="AV625" s="874"/>
      <c r="AW625" s="699"/>
      <c r="AX625" s="93"/>
      <c r="AY625" s="93"/>
      <c r="AZ625" s="206"/>
      <c r="BA625" s="199"/>
      <c r="BB625" s="93"/>
      <c r="BC625" s="160"/>
      <c r="BD625" s="292"/>
      <c r="BE625" s="206"/>
      <c r="BF625" s="201"/>
      <c r="BG625" s="160"/>
      <c r="BH625" s="201"/>
      <c r="BI625" s="201"/>
      <c r="BJ625" s="201"/>
      <c r="BK625" s="291"/>
      <c r="BL625" s="79"/>
      <c r="BM625" s="864"/>
      <c r="BN625" s="206"/>
      <c r="BO625" s="93"/>
      <c r="BP625" s="291"/>
      <c r="BQ625" s="201"/>
      <c r="BR625" s="201"/>
      <c r="BS625" s="201"/>
      <c r="BT625" s="201"/>
      <c r="BU625" s="201"/>
      <c r="BV625" s="201"/>
      <c r="BW625" s="201"/>
      <c r="BX625" s="291"/>
      <c r="BY625" s="206"/>
      <c r="BZ625" s="93"/>
      <c r="CA625" s="206"/>
      <c r="CB625" s="199"/>
      <c r="CC625" s="363"/>
      <c r="CD625" s="882"/>
      <c r="CE625" s="879"/>
      <c r="CF625" s="879"/>
      <c r="CG625" s="879"/>
      <c r="CH625" s="879"/>
      <c r="CI625" s="879"/>
      <c r="CJ625" s="878"/>
      <c r="CK625" s="883"/>
      <c r="CL625" s="150"/>
      <c r="CM625" s="117"/>
      <c r="CN625" s="880"/>
      <c r="CO625" s="878"/>
      <c r="CP625" s="117"/>
      <c r="CQ625" s="117"/>
      <c r="CR625" s="364"/>
      <c r="CS625" s="919"/>
      <c r="CT625" s="878"/>
      <c r="CU625" s="878"/>
      <c r="CV625" s="882"/>
      <c r="CW625" s="878"/>
      <c r="CX625" s="147"/>
      <c r="CY625" s="878"/>
      <c r="CZ625" s="879"/>
      <c r="DA625" s="150"/>
      <c r="DB625" s="150"/>
      <c r="DC625" s="878"/>
      <c r="DD625" s="878"/>
      <c r="DE625" s="70"/>
      <c r="DF625" s="70"/>
      <c r="DG625" s="70"/>
      <c r="DH625" s="362"/>
      <c r="DI625" s="363"/>
      <c r="DJ625" s="878"/>
      <c r="DK625" s="150"/>
      <c r="DL625" s="879"/>
      <c r="DM625" s="882"/>
      <c r="DN625" s="881"/>
      <c r="DO625" s="150"/>
      <c r="DP625" s="881"/>
      <c r="DQ625" s="878"/>
      <c r="DR625" s="878"/>
      <c r="DS625" s="882"/>
      <c r="DT625" s="879"/>
      <c r="DU625" s="878"/>
      <c r="DV625" s="117"/>
      <c r="DW625" s="117"/>
      <c r="DX625" s="364"/>
      <c r="DY625" s="93"/>
    </row>
    <row r="626" spans="1:129">
      <c r="A626" s="709"/>
      <c r="B626" s="199"/>
      <c r="C626" s="93"/>
      <c r="D626" s="93"/>
      <c r="E626" s="201"/>
      <c r="F626" s="201"/>
      <c r="G626" s="206"/>
      <c r="H626" s="291"/>
      <c r="I626" s="291"/>
      <c r="J626" s="205"/>
      <c r="K626" s="201"/>
      <c r="L626" s="291"/>
      <c r="M626" s="93"/>
      <c r="N626" s="93"/>
      <c r="O626" s="291"/>
      <c r="P626" s="291"/>
      <c r="Q626" s="699"/>
      <c r="R626" s="93"/>
      <c r="S626" s="93"/>
      <c r="T626" s="206"/>
      <c r="U626" s="291"/>
      <c r="V626" s="193"/>
      <c r="W626" s="193"/>
      <c r="X626" s="206"/>
      <c r="Y626" s="205"/>
      <c r="Z626" s="160"/>
      <c r="AA626" s="205"/>
      <c r="AB626" s="291"/>
      <c r="AC626" s="206"/>
      <c r="AD626" s="199"/>
      <c r="AE626" s="206"/>
      <c r="AF626" s="79"/>
      <c r="AG626" s="114"/>
      <c r="AH626" s="51"/>
      <c r="AI626" s="51"/>
      <c r="AJ626" s="51"/>
      <c r="AK626" s="206"/>
      <c r="AL626" s="205"/>
      <c r="AM626" s="160"/>
      <c r="AN626" s="51"/>
      <c r="AO626" s="201"/>
      <c r="AP626" s="206"/>
      <c r="AQ626" s="291"/>
      <c r="AR626" s="206"/>
      <c r="AS626" s="291"/>
      <c r="AT626" s="206"/>
      <c r="AU626" s="206"/>
      <c r="AV626" s="874"/>
      <c r="AW626" s="699"/>
      <c r="AX626" s="93"/>
      <c r="AY626" s="93"/>
      <c r="AZ626" s="206"/>
      <c r="BA626" s="200"/>
      <c r="BB626" s="93"/>
      <c r="BC626" s="160"/>
      <c r="BD626" s="292"/>
      <c r="BE626" s="206"/>
      <c r="BF626" s="201"/>
      <c r="BG626" s="201"/>
      <c r="BH626" s="292"/>
      <c r="BI626" s="292"/>
      <c r="BJ626" s="292"/>
      <c r="BK626" s="206"/>
      <c r="BL626" s="79"/>
      <c r="BM626" s="699"/>
      <c r="BN626" s="201"/>
      <c r="BO626" s="199"/>
      <c r="BP626" s="93"/>
      <c r="BQ626" s="201"/>
      <c r="BR626" s="292"/>
      <c r="BS626" s="292"/>
      <c r="BT626" s="292"/>
      <c r="BU626" s="292"/>
      <c r="BV626" s="292"/>
      <c r="BW626" s="292"/>
      <c r="BX626" s="201"/>
      <c r="BY626" s="93"/>
      <c r="BZ626" s="199"/>
      <c r="CA626" s="206"/>
      <c r="CB626" s="93"/>
      <c r="CC626" s="363"/>
      <c r="CD626" s="878"/>
      <c r="CE626" s="883"/>
      <c r="CF626" s="883"/>
      <c r="CG626" s="883"/>
      <c r="CH626" s="879"/>
      <c r="CI626" s="879"/>
      <c r="CJ626" s="878"/>
      <c r="CK626" s="883"/>
      <c r="CL626" s="150"/>
      <c r="CM626" s="117"/>
      <c r="CN626" s="895"/>
      <c r="CO626" s="878"/>
      <c r="CP626" s="117"/>
      <c r="CQ626" s="117"/>
      <c r="CR626" s="364"/>
      <c r="CS626" s="919"/>
      <c r="CT626" s="878"/>
      <c r="CU626" s="878"/>
      <c r="CV626" s="882"/>
      <c r="CW626" s="878"/>
      <c r="CX626" s="882"/>
      <c r="CY626" s="878"/>
      <c r="CZ626" s="879"/>
      <c r="DA626" s="70"/>
      <c r="DB626" s="150"/>
      <c r="DC626" s="881"/>
      <c r="DD626" s="878"/>
      <c r="DE626" s="70"/>
      <c r="DF626" s="70"/>
      <c r="DG626" s="70"/>
      <c r="DH626" s="362"/>
      <c r="DI626" s="363"/>
      <c r="DJ626" s="878"/>
      <c r="DK626" s="880"/>
      <c r="DL626" s="878"/>
      <c r="DM626" s="882"/>
      <c r="DN626" s="881"/>
      <c r="DO626" s="150"/>
      <c r="DP626" s="881"/>
      <c r="DQ626" s="878"/>
      <c r="DR626" s="887"/>
      <c r="DS626" s="887"/>
      <c r="DT626" s="882"/>
      <c r="DU626" s="878"/>
      <c r="DV626" s="117"/>
      <c r="DW626" s="117"/>
      <c r="DX626" s="364"/>
      <c r="DY626" s="93"/>
    </row>
    <row r="627" spans="1:129">
      <c r="A627" s="765"/>
      <c r="B627" s="199"/>
      <c r="C627" s="201"/>
      <c r="D627" s="93"/>
      <c r="E627" s="291"/>
      <c r="F627" s="201"/>
      <c r="G627" s="160"/>
      <c r="H627" s="206"/>
      <c r="I627" s="205"/>
      <c r="J627" s="160"/>
      <c r="K627" s="205"/>
      <c r="L627" s="291"/>
      <c r="M627" s="93"/>
      <c r="N627" s="201"/>
      <c r="O627" s="206"/>
      <c r="P627" s="206"/>
      <c r="Q627" s="699"/>
      <c r="R627" s="93"/>
      <c r="S627" s="93"/>
      <c r="T627" s="206"/>
      <c r="U627" s="291"/>
      <c r="V627" s="299"/>
      <c r="W627" s="295"/>
      <c r="X627" s="193"/>
      <c r="Y627" s="205"/>
      <c r="Z627" s="205"/>
      <c r="AA627" s="205"/>
      <c r="AB627" s="206"/>
      <c r="AC627" s="160"/>
      <c r="AD627" s="206"/>
      <c r="AE627" s="93"/>
      <c r="AF627" s="79"/>
      <c r="AG627" s="114"/>
      <c r="AH627" s="51"/>
      <c r="AI627" s="51"/>
      <c r="AJ627" s="193"/>
      <c r="AK627" s="193"/>
      <c r="AL627" s="193"/>
      <c r="AM627" s="206"/>
      <c r="AN627" s="201"/>
      <c r="AO627" s="206"/>
      <c r="AP627" s="161"/>
      <c r="AQ627" s="291"/>
      <c r="AR627" s="291"/>
      <c r="AS627" s="291"/>
      <c r="AT627" s="206"/>
      <c r="AU627" s="206"/>
      <c r="AV627" s="874"/>
      <c r="AW627" s="699"/>
      <c r="AX627" s="93"/>
      <c r="AY627" s="206"/>
      <c r="AZ627" s="201"/>
      <c r="BA627" s="93"/>
      <c r="BB627" s="193"/>
      <c r="BC627" s="193"/>
      <c r="BD627" s="292"/>
      <c r="BE627" s="206"/>
      <c r="BF627" s="292"/>
      <c r="BG627" s="292"/>
      <c r="BH627" s="292"/>
      <c r="BI627" s="292"/>
      <c r="BJ627" s="292"/>
      <c r="BK627" s="206"/>
      <c r="BL627" s="79"/>
      <c r="BM627" s="699"/>
      <c r="BN627" s="199"/>
      <c r="BO627" s="291"/>
      <c r="BP627" s="93"/>
      <c r="BQ627" s="291"/>
      <c r="BR627" s="292"/>
      <c r="BS627" s="292"/>
      <c r="BT627" s="292"/>
      <c r="BU627" s="292"/>
      <c r="BV627" s="292"/>
      <c r="BW627" s="292"/>
      <c r="BX627" s="291"/>
      <c r="BY627" s="93"/>
      <c r="BZ627" s="291"/>
      <c r="CA627" s="291"/>
      <c r="CB627" s="93"/>
      <c r="CC627" s="363"/>
      <c r="CD627" s="878"/>
      <c r="CE627" s="883"/>
      <c r="CF627" s="883"/>
      <c r="CG627" s="883"/>
      <c r="CH627" s="883"/>
      <c r="CI627" s="883"/>
      <c r="CJ627" s="878"/>
      <c r="CK627" s="883"/>
      <c r="CL627" s="887"/>
      <c r="CM627" s="887"/>
      <c r="CN627" s="117"/>
      <c r="CO627" s="879"/>
      <c r="CP627" s="878"/>
      <c r="CQ627" s="117"/>
      <c r="CR627" s="364"/>
      <c r="CS627" s="919"/>
      <c r="CT627" s="878"/>
      <c r="CU627" s="878"/>
      <c r="CV627" s="882"/>
      <c r="CW627" s="882"/>
      <c r="CX627" s="882"/>
      <c r="CY627" s="147"/>
      <c r="CZ627" s="878"/>
      <c r="DA627" s="879"/>
      <c r="DB627" s="878"/>
      <c r="DC627" s="887"/>
      <c r="DD627" s="887"/>
      <c r="DE627" s="887"/>
      <c r="DF627" s="70"/>
      <c r="DG627" s="70"/>
      <c r="DH627" s="362"/>
      <c r="DI627" s="363"/>
      <c r="DJ627" s="117"/>
      <c r="DK627" s="878"/>
      <c r="DL627" s="150"/>
      <c r="DM627" s="878"/>
      <c r="DN627" s="881"/>
      <c r="DO627" s="881"/>
      <c r="DP627" s="881"/>
      <c r="DQ627" s="887"/>
      <c r="DR627" s="888"/>
      <c r="DS627" s="891"/>
      <c r="DT627" s="882"/>
      <c r="DU627" s="878"/>
      <c r="DV627" s="117"/>
      <c r="DW627" s="117"/>
      <c r="DX627" s="364"/>
      <c r="DY627" s="93"/>
    </row>
    <row r="628" spans="1:129">
      <c r="A628" s="699"/>
      <c r="B628" s="199"/>
      <c r="C628" s="199"/>
      <c r="D628" s="93"/>
      <c r="E628" s="199"/>
      <c r="F628" s="201"/>
      <c r="G628" s="193"/>
      <c r="H628" s="193"/>
      <c r="I628" s="193"/>
      <c r="J628" s="206"/>
      <c r="K628" s="205"/>
      <c r="L628" s="206"/>
      <c r="M628" s="93"/>
      <c r="N628" s="199"/>
      <c r="O628" s="206"/>
      <c r="P628" s="93"/>
      <c r="Q628" s="699"/>
      <c r="R628" s="93"/>
      <c r="S628" s="206"/>
      <c r="T628" s="206"/>
      <c r="U628" s="291"/>
      <c r="V628" s="206"/>
      <c r="W628" s="206"/>
      <c r="X628" s="295"/>
      <c r="Y628" s="205"/>
      <c r="Z628" s="206"/>
      <c r="AA628" s="205"/>
      <c r="AB628" s="206"/>
      <c r="AC628" s="199"/>
      <c r="AD628" s="206"/>
      <c r="AE628" s="93"/>
      <c r="AF628" s="79"/>
      <c r="AG628" s="114"/>
      <c r="AH628" s="51"/>
      <c r="AI628" s="51"/>
      <c r="AJ628" s="295"/>
      <c r="AK628" s="299"/>
      <c r="AL628" s="295"/>
      <c r="AM628" s="193"/>
      <c r="AN628" s="201"/>
      <c r="AO628" s="206"/>
      <c r="AP628" s="205"/>
      <c r="AQ628" s="294"/>
      <c r="AR628" s="206"/>
      <c r="AS628" s="291"/>
      <c r="AT628" s="206"/>
      <c r="AU628" s="206"/>
      <c r="AV628" s="874"/>
      <c r="AW628" s="699"/>
      <c r="AX628" s="93"/>
      <c r="AY628" s="206"/>
      <c r="AZ628" s="199"/>
      <c r="BA628" s="93"/>
      <c r="BB628" s="299"/>
      <c r="BC628" s="193"/>
      <c r="BD628" s="292"/>
      <c r="BE628" s="206"/>
      <c r="BF628" s="292"/>
      <c r="BG628" s="292"/>
      <c r="BH628" s="292"/>
      <c r="BI628" s="292"/>
      <c r="BJ628" s="292"/>
      <c r="BK628" s="206"/>
      <c r="BL628" s="79"/>
      <c r="BM628" s="699"/>
      <c r="BN628" s="93"/>
      <c r="BO628" s="291"/>
      <c r="BP628" s="93"/>
      <c r="BQ628" s="291"/>
      <c r="BR628" s="292"/>
      <c r="BS628" s="292"/>
      <c r="BT628" s="292"/>
      <c r="BU628" s="292"/>
      <c r="BV628" s="292"/>
      <c r="BW628" s="292"/>
      <c r="BX628" s="206"/>
      <c r="BY628" s="93"/>
      <c r="BZ628" s="291"/>
      <c r="CA628" s="93"/>
      <c r="CB628" s="93"/>
      <c r="CC628" s="363"/>
      <c r="CD628" s="878"/>
      <c r="CE628" s="883"/>
      <c r="CF628" s="883"/>
      <c r="CG628" s="883"/>
      <c r="CH628" s="883"/>
      <c r="CI628" s="883"/>
      <c r="CJ628" s="878"/>
      <c r="CK628" s="883"/>
      <c r="CL628" s="887"/>
      <c r="CM628" s="891"/>
      <c r="CN628" s="117"/>
      <c r="CO628" s="880"/>
      <c r="CP628" s="878"/>
      <c r="CQ628" s="117"/>
      <c r="CR628" s="364"/>
      <c r="CS628" s="919"/>
      <c r="CT628" s="878"/>
      <c r="CU628" s="878"/>
      <c r="CV628" s="882"/>
      <c r="CW628" s="878"/>
      <c r="CX628" s="885"/>
      <c r="CY628" s="881"/>
      <c r="CZ628" s="878"/>
      <c r="DA628" s="879"/>
      <c r="DB628" s="887"/>
      <c r="DC628" s="888"/>
      <c r="DD628" s="891"/>
      <c r="DE628" s="888"/>
      <c r="DF628" s="70"/>
      <c r="DG628" s="70"/>
      <c r="DH628" s="362"/>
      <c r="DI628" s="363"/>
      <c r="DJ628" s="117"/>
      <c r="DK628" s="878"/>
      <c r="DL628" s="880"/>
      <c r="DM628" s="878"/>
      <c r="DN628" s="881"/>
      <c r="DO628" s="878"/>
      <c r="DP628" s="881"/>
      <c r="DQ628" s="888"/>
      <c r="DR628" s="878"/>
      <c r="DS628" s="878"/>
      <c r="DT628" s="882"/>
      <c r="DU628" s="878"/>
      <c r="DV628" s="878"/>
      <c r="DW628" s="117"/>
      <c r="DX628" s="364"/>
      <c r="DY628" s="93"/>
    </row>
    <row r="629" spans="1:129">
      <c r="A629" s="699"/>
      <c r="B629" s="201"/>
      <c r="C629" s="199"/>
      <c r="D629" s="93"/>
      <c r="E629" s="93"/>
      <c r="F629" s="201"/>
      <c r="G629" s="295"/>
      <c r="H629" s="302"/>
      <c r="I629" s="299"/>
      <c r="J629" s="193"/>
      <c r="K629" s="205"/>
      <c r="L629" s="93"/>
      <c r="M629" s="93"/>
      <c r="N629" s="199"/>
      <c r="O629" s="206"/>
      <c r="P629" s="93"/>
      <c r="Q629" s="699"/>
      <c r="R629" s="93"/>
      <c r="S629" s="206"/>
      <c r="T629" s="206"/>
      <c r="U629" s="201"/>
      <c r="V629" s="93"/>
      <c r="W629" s="206"/>
      <c r="X629" s="206"/>
      <c r="Y629" s="206"/>
      <c r="Z629" s="291"/>
      <c r="AA629" s="201"/>
      <c r="AB629" s="206"/>
      <c r="AC629" s="206"/>
      <c r="AD629" s="93"/>
      <c r="AE629" s="93"/>
      <c r="AF629" s="79"/>
      <c r="AG629" s="114"/>
      <c r="AH629" s="51"/>
      <c r="AI629" s="51"/>
      <c r="AJ629" s="206"/>
      <c r="AK629" s="206"/>
      <c r="AL629" s="206"/>
      <c r="AM629" s="206"/>
      <c r="AN629" s="206"/>
      <c r="AO629" s="206"/>
      <c r="AP629" s="298"/>
      <c r="AQ629" s="294"/>
      <c r="AR629" s="206"/>
      <c r="AS629" s="206"/>
      <c r="AT629" s="206"/>
      <c r="AU629" s="206"/>
      <c r="AV629" s="874"/>
      <c r="AW629" s="699"/>
      <c r="AX629" s="93"/>
      <c r="AY629" s="206"/>
      <c r="AZ629" s="200"/>
      <c r="BA629" s="93"/>
      <c r="BB629" s="206"/>
      <c r="BC629" s="206"/>
      <c r="BD629" s="292"/>
      <c r="BE629" s="206"/>
      <c r="BF629" s="292"/>
      <c r="BG629" s="292"/>
      <c r="BH629" s="292"/>
      <c r="BI629" s="292"/>
      <c r="BJ629" s="292"/>
      <c r="BK629" s="206"/>
      <c r="BL629" s="79"/>
      <c r="BM629" s="699"/>
      <c r="BN629" s="93"/>
      <c r="BO629" s="291"/>
      <c r="BP629" s="93"/>
      <c r="BQ629" s="93"/>
      <c r="BR629" s="292"/>
      <c r="BS629" s="292"/>
      <c r="BT629" s="292"/>
      <c r="BU629" s="292"/>
      <c r="BV629" s="292"/>
      <c r="BW629" s="292"/>
      <c r="BX629" s="93"/>
      <c r="BY629" s="93"/>
      <c r="BZ629" s="291"/>
      <c r="CA629" s="93"/>
      <c r="CB629" s="93"/>
      <c r="CC629" s="363"/>
      <c r="CD629" s="878"/>
      <c r="CE629" s="883"/>
      <c r="CF629" s="883"/>
      <c r="CG629" s="883"/>
      <c r="CH629" s="883"/>
      <c r="CI629" s="883"/>
      <c r="CJ629" s="878"/>
      <c r="CK629" s="883"/>
      <c r="CL629" s="878"/>
      <c r="CM629" s="878"/>
      <c r="CN629" s="117"/>
      <c r="CO629" s="895"/>
      <c r="CP629" s="878"/>
      <c r="CQ629" s="117"/>
      <c r="CR629" s="364"/>
      <c r="CS629" s="919"/>
      <c r="CT629" s="878"/>
      <c r="CU629" s="878"/>
      <c r="CV629" s="878"/>
      <c r="CW629" s="878"/>
      <c r="CX629" s="885"/>
      <c r="CY629" s="890"/>
      <c r="CZ629" s="878"/>
      <c r="DA629" s="878"/>
      <c r="DB629" s="878"/>
      <c r="DC629" s="878"/>
      <c r="DD629" s="878"/>
      <c r="DE629" s="878"/>
      <c r="DF629" s="70"/>
      <c r="DG629" s="70"/>
      <c r="DH629" s="362"/>
      <c r="DI629" s="363"/>
      <c r="DJ629" s="117"/>
      <c r="DK629" s="117"/>
      <c r="DL629" s="878"/>
      <c r="DM629" s="878"/>
      <c r="DN629" s="879"/>
      <c r="DO629" s="882"/>
      <c r="DP629" s="878"/>
      <c r="DQ629" s="878"/>
      <c r="DR629" s="878"/>
      <c r="DS629" s="117"/>
      <c r="DT629" s="879"/>
      <c r="DU629" s="878"/>
      <c r="DV629" s="878"/>
      <c r="DW629" s="117"/>
      <c r="DX629" s="364"/>
      <c r="DY629" s="93"/>
    </row>
    <row r="630" spans="1:129">
      <c r="A630" s="699"/>
      <c r="B630" s="206"/>
      <c r="C630" s="199"/>
      <c r="D630" s="206"/>
      <c r="E630" s="93"/>
      <c r="F630" s="298"/>
      <c r="G630" s="206"/>
      <c r="H630" s="206"/>
      <c r="I630" s="206"/>
      <c r="J630" s="206"/>
      <c r="K630" s="298"/>
      <c r="L630" s="93"/>
      <c r="M630" s="206"/>
      <c r="N630" s="199"/>
      <c r="O630" s="206"/>
      <c r="P630" s="93"/>
      <c r="Q630" s="699"/>
      <c r="R630" s="93"/>
      <c r="S630" s="206"/>
      <c r="T630" s="201"/>
      <c r="U630" s="93"/>
      <c r="V630" s="93"/>
      <c r="W630" s="93"/>
      <c r="X630" s="298"/>
      <c r="Y630" s="294"/>
      <c r="Z630" s="291"/>
      <c r="AA630" s="206"/>
      <c r="AB630" s="199"/>
      <c r="AC630" s="206"/>
      <c r="AD630" s="93"/>
      <c r="AE630" s="93"/>
      <c r="AF630" s="79"/>
      <c r="AG630" s="114"/>
      <c r="AH630" s="51"/>
      <c r="AI630" s="51"/>
      <c r="AJ630" s="51"/>
      <c r="AK630" s="51"/>
      <c r="AL630" s="51"/>
      <c r="AM630" s="201"/>
      <c r="AN630" s="206"/>
      <c r="AO630" s="291"/>
      <c r="AP630" s="201"/>
      <c r="AQ630" s="291"/>
      <c r="AR630" s="206"/>
      <c r="AS630" s="206"/>
      <c r="AT630" s="206"/>
      <c r="AU630" s="206"/>
      <c r="AV630" s="746"/>
      <c r="AW630" s="699"/>
      <c r="AX630" s="93"/>
      <c r="AY630" s="206"/>
      <c r="AZ630" s="93"/>
      <c r="BA630" s="93"/>
      <c r="BB630" s="93"/>
      <c r="BC630" s="291"/>
      <c r="BD630" s="292"/>
      <c r="BE630" s="206"/>
      <c r="BF630" s="292"/>
      <c r="BG630" s="292"/>
      <c r="BH630" s="292"/>
      <c r="BI630" s="292"/>
      <c r="BJ630" s="292"/>
      <c r="BK630" s="206"/>
      <c r="BL630" s="79"/>
      <c r="BM630" s="699"/>
      <c r="BN630" s="93"/>
      <c r="BO630" s="291"/>
      <c r="BP630" s="199"/>
      <c r="BQ630" s="93"/>
      <c r="BR630" s="292"/>
      <c r="BS630" s="292"/>
      <c r="BT630" s="292"/>
      <c r="BU630" s="292"/>
      <c r="BV630" s="292"/>
      <c r="BW630" s="292"/>
      <c r="BX630" s="93"/>
      <c r="BY630" s="199"/>
      <c r="BZ630" s="291"/>
      <c r="CA630" s="93"/>
      <c r="CB630" s="93"/>
      <c r="CC630" s="363"/>
      <c r="CD630" s="878"/>
      <c r="CE630" s="883"/>
      <c r="CF630" s="883"/>
      <c r="CG630" s="883"/>
      <c r="CH630" s="883"/>
      <c r="CI630" s="883"/>
      <c r="CJ630" s="878"/>
      <c r="CK630" s="883"/>
      <c r="CL630" s="882"/>
      <c r="CM630" s="117"/>
      <c r="CN630" s="117"/>
      <c r="CO630" s="117"/>
      <c r="CP630" s="878"/>
      <c r="CQ630" s="117"/>
      <c r="CR630" s="364"/>
      <c r="CS630" s="902"/>
      <c r="CT630" s="878"/>
      <c r="CU630" s="878"/>
      <c r="CV630" s="878"/>
      <c r="CW630" s="878"/>
      <c r="CX630" s="882"/>
      <c r="CY630" s="879"/>
      <c r="CZ630" s="882"/>
      <c r="DA630" s="878"/>
      <c r="DB630" s="879"/>
      <c r="DC630" s="70"/>
      <c r="DD630" s="70"/>
      <c r="DE630" s="70"/>
      <c r="DF630" s="70"/>
      <c r="DG630" s="70"/>
      <c r="DH630" s="362"/>
      <c r="DI630" s="363"/>
      <c r="DJ630" s="117"/>
      <c r="DK630" s="117"/>
      <c r="DL630" s="878"/>
      <c r="DM630" s="880"/>
      <c r="DN630" s="878"/>
      <c r="DO630" s="882"/>
      <c r="DP630" s="885"/>
      <c r="DQ630" s="890"/>
      <c r="DR630" s="117"/>
      <c r="DS630" s="117"/>
      <c r="DT630" s="117"/>
      <c r="DU630" s="879"/>
      <c r="DV630" s="878"/>
      <c r="DW630" s="117"/>
      <c r="DX630" s="364"/>
      <c r="DY630" s="93"/>
    </row>
    <row r="631" spans="1:129">
      <c r="A631" s="699"/>
      <c r="B631" s="93"/>
      <c r="C631" s="291"/>
      <c r="D631" s="201"/>
      <c r="E631" s="93"/>
      <c r="F631" s="201"/>
      <c r="G631" s="294"/>
      <c r="H631" s="298"/>
      <c r="I631" s="298"/>
      <c r="J631" s="294"/>
      <c r="K631" s="201"/>
      <c r="L631" s="93"/>
      <c r="M631" s="201"/>
      <c r="N631" s="291"/>
      <c r="O631" s="93"/>
      <c r="P631" s="93"/>
      <c r="Q631" s="699"/>
      <c r="R631" s="93"/>
      <c r="S631" s="206"/>
      <c r="T631" s="201"/>
      <c r="U631" s="93"/>
      <c r="V631" s="93"/>
      <c r="W631" s="93"/>
      <c r="X631" s="201"/>
      <c r="Y631" s="201"/>
      <c r="Z631" s="290"/>
      <c r="AA631" s="199"/>
      <c r="AB631" s="206"/>
      <c r="AC631" s="93"/>
      <c r="AD631" s="93"/>
      <c r="AE631" s="93"/>
      <c r="AF631" s="79"/>
      <c r="AG631" s="114"/>
      <c r="AH631" s="51"/>
      <c r="AI631" s="51"/>
      <c r="AJ631" s="51"/>
      <c r="AK631" s="51"/>
      <c r="AL631" s="200"/>
      <c r="AM631" s="206"/>
      <c r="AN631" s="201"/>
      <c r="AO631" s="291"/>
      <c r="AP631" s="298"/>
      <c r="AQ631" s="294"/>
      <c r="AR631" s="206"/>
      <c r="AS631" s="206"/>
      <c r="AT631" s="93"/>
      <c r="AU631" s="93"/>
      <c r="AV631" s="79"/>
      <c r="AW631" s="699"/>
      <c r="AX631" s="93"/>
      <c r="AY631" s="201"/>
      <c r="AZ631" s="93"/>
      <c r="BA631" s="93"/>
      <c r="BB631" s="93"/>
      <c r="BC631" s="93"/>
      <c r="BD631" s="292"/>
      <c r="BE631" s="206"/>
      <c r="BF631" s="292"/>
      <c r="BG631" s="292"/>
      <c r="BH631" s="206"/>
      <c r="BI631" s="206"/>
      <c r="BJ631" s="205"/>
      <c r="BK631" s="93"/>
      <c r="BL631" s="79"/>
      <c r="BM631" s="699"/>
      <c r="BN631" s="93"/>
      <c r="BO631" s="199"/>
      <c r="BP631" s="291"/>
      <c r="BQ631" s="93"/>
      <c r="BR631" s="201"/>
      <c r="BS631" s="206"/>
      <c r="BT631" s="206"/>
      <c r="BU631" s="206"/>
      <c r="BV631" s="206"/>
      <c r="BW631" s="205"/>
      <c r="BX631" s="93"/>
      <c r="BY631" s="291"/>
      <c r="BZ631" s="201"/>
      <c r="CA631" s="93"/>
      <c r="CB631" s="93"/>
      <c r="CC631" s="363"/>
      <c r="CD631" s="117"/>
      <c r="CE631" s="881"/>
      <c r="CF631" s="878"/>
      <c r="CG631" s="878"/>
      <c r="CH631" s="883"/>
      <c r="CI631" s="883"/>
      <c r="CJ631" s="878"/>
      <c r="CK631" s="883"/>
      <c r="CL631" s="117"/>
      <c r="CM631" s="117"/>
      <c r="CN631" s="117"/>
      <c r="CO631" s="117"/>
      <c r="CP631" s="879"/>
      <c r="CQ631" s="117"/>
      <c r="CR631" s="364"/>
      <c r="CS631" s="363"/>
      <c r="CT631" s="117"/>
      <c r="CU631" s="117"/>
      <c r="CV631" s="878"/>
      <c r="CW631" s="878"/>
      <c r="CX631" s="885"/>
      <c r="CY631" s="890"/>
      <c r="CZ631" s="882"/>
      <c r="DA631" s="879"/>
      <c r="DB631" s="878"/>
      <c r="DC631" s="895"/>
      <c r="DD631" s="70"/>
      <c r="DE631" s="70"/>
      <c r="DF631" s="70"/>
      <c r="DG631" s="70"/>
      <c r="DH631" s="362"/>
      <c r="DI631" s="363"/>
      <c r="DJ631" s="117"/>
      <c r="DK631" s="117"/>
      <c r="DL631" s="117"/>
      <c r="DM631" s="878"/>
      <c r="DN631" s="880"/>
      <c r="DO631" s="893"/>
      <c r="DP631" s="879"/>
      <c r="DQ631" s="879"/>
      <c r="DR631" s="117"/>
      <c r="DS631" s="117"/>
      <c r="DT631" s="117"/>
      <c r="DU631" s="879"/>
      <c r="DV631" s="878"/>
      <c r="DW631" s="117"/>
      <c r="DX631" s="364"/>
      <c r="DY631" s="93"/>
    </row>
    <row r="632" spans="1:129">
      <c r="A632" s="699"/>
      <c r="B632" s="93"/>
      <c r="C632" s="206"/>
      <c r="D632" s="199"/>
      <c r="E632" s="93"/>
      <c r="F632" s="291"/>
      <c r="G632" s="298"/>
      <c r="H632" s="201"/>
      <c r="I632" s="291"/>
      <c r="J632" s="290"/>
      <c r="K632" s="206"/>
      <c r="L632" s="93"/>
      <c r="M632" s="199"/>
      <c r="N632" s="201"/>
      <c r="O632" s="93"/>
      <c r="P632" s="93"/>
      <c r="Q632" s="699"/>
      <c r="R632" s="93"/>
      <c r="S632" s="206"/>
      <c r="T632" s="201"/>
      <c r="U632" s="93"/>
      <c r="V632" s="93"/>
      <c r="W632" s="93"/>
      <c r="X632" s="207"/>
      <c r="Y632" s="298"/>
      <c r="Z632" s="294"/>
      <c r="AA632" s="199"/>
      <c r="AB632" s="206"/>
      <c r="AC632" s="93"/>
      <c r="AD632" s="93"/>
      <c r="AE632" s="93"/>
      <c r="AF632" s="79"/>
      <c r="AG632" s="114"/>
      <c r="AH632" s="51"/>
      <c r="AI632" s="51"/>
      <c r="AJ632" s="51"/>
      <c r="AK632" s="51"/>
      <c r="AL632" s="201"/>
      <c r="AM632" s="206"/>
      <c r="AN632" s="51"/>
      <c r="AO632" s="291"/>
      <c r="AP632" s="201"/>
      <c r="AQ632" s="201"/>
      <c r="AR632" s="206"/>
      <c r="AS632" s="161"/>
      <c r="AT632" s="93"/>
      <c r="AU632" s="93"/>
      <c r="AV632" s="79"/>
      <c r="AW632" s="699"/>
      <c r="AX632" s="206"/>
      <c r="AY632" s="199"/>
      <c r="AZ632" s="93"/>
      <c r="BA632" s="93"/>
      <c r="BB632" s="93"/>
      <c r="BC632" s="200"/>
      <c r="BD632" s="201"/>
      <c r="BE632" s="292"/>
      <c r="BF632" s="297"/>
      <c r="BG632" s="161"/>
      <c r="BH632" s="292"/>
      <c r="BI632" s="93"/>
      <c r="BJ632" s="93"/>
      <c r="BK632" s="93"/>
      <c r="BL632" s="79"/>
      <c r="BM632" s="699"/>
      <c r="BN632" s="93"/>
      <c r="BO632" s="93"/>
      <c r="BP632" s="291"/>
      <c r="BQ632" s="93"/>
      <c r="BR632" s="291"/>
      <c r="BS632" s="199"/>
      <c r="BT632" s="161"/>
      <c r="BU632" s="206"/>
      <c r="BV632" s="290"/>
      <c r="BW632" s="206"/>
      <c r="BX632" s="93"/>
      <c r="BY632" s="201"/>
      <c r="BZ632" s="93"/>
      <c r="CA632" s="93"/>
      <c r="CB632" s="93"/>
      <c r="CC632" s="363"/>
      <c r="CD632" s="117"/>
      <c r="CE632" s="117"/>
      <c r="CF632" s="117"/>
      <c r="CG632" s="883"/>
      <c r="CH632" s="147"/>
      <c r="CI632" s="390"/>
      <c r="CJ632" s="883"/>
      <c r="CK632" s="879"/>
      <c r="CL632" s="895"/>
      <c r="CM632" s="117"/>
      <c r="CN632" s="117"/>
      <c r="CO632" s="117"/>
      <c r="CP632" s="880"/>
      <c r="CQ632" s="878"/>
      <c r="CR632" s="364"/>
      <c r="CS632" s="363"/>
      <c r="CT632" s="117"/>
      <c r="CU632" s="117"/>
      <c r="CV632" s="147"/>
      <c r="CW632" s="878"/>
      <c r="CX632" s="879"/>
      <c r="CY632" s="879"/>
      <c r="CZ632" s="882"/>
      <c r="DA632" s="70"/>
      <c r="DB632" s="878"/>
      <c r="DC632" s="879"/>
      <c r="DD632" s="70"/>
      <c r="DE632" s="70"/>
      <c r="DF632" s="70"/>
      <c r="DG632" s="70"/>
      <c r="DH632" s="362"/>
      <c r="DI632" s="363"/>
      <c r="DJ632" s="117"/>
      <c r="DK632" s="117"/>
      <c r="DL632" s="117"/>
      <c r="DM632" s="878"/>
      <c r="DN632" s="880"/>
      <c r="DO632" s="885"/>
      <c r="DP632" s="890"/>
      <c r="DQ632" s="894"/>
      <c r="DR632" s="117"/>
      <c r="DS632" s="117"/>
      <c r="DT632" s="117"/>
      <c r="DU632" s="879"/>
      <c r="DV632" s="878"/>
      <c r="DW632" s="117"/>
      <c r="DX632" s="364"/>
      <c r="DY632" s="93"/>
    </row>
    <row r="633" spans="1:129">
      <c r="A633" s="699"/>
      <c r="B633" s="93"/>
      <c r="C633" s="206"/>
      <c r="D633" s="199"/>
      <c r="E633" s="93"/>
      <c r="F633" s="199"/>
      <c r="G633" s="199"/>
      <c r="H633" s="298"/>
      <c r="I633" s="294"/>
      <c r="J633" s="290"/>
      <c r="K633" s="206"/>
      <c r="L633" s="93"/>
      <c r="M633" s="199"/>
      <c r="N633" s="201"/>
      <c r="O633" s="93"/>
      <c r="P633" s="93"/>
      <c r="Q633" s="699"/>
      <c r="R633" s="93"/>
      <c r="S633" s="206"/>
      <c r="T633" s="201"/>
      <c r="U633" s="93"/>
      <c r="V633" s="162"/>
      <c r="W633" s="93"/>
      <c r="X633" s="291"/>
      <c r="Y633" s="201"/>
      <c r="Z633" s="199"/>
      <c r="AA633" s="206"/>
      <c r="AB633" s="93"/>
      <c r="AC633" s="93"/>
      <c r="AD633" s="93"/>
      <c r="AE633" s="93"/>
      <c r="AF633" s="79"/>
      <c r="AG633" s="114"/>
      <c r="AH633" s="162"/>
      <c r="AI633" s="51"/>
      <c r="AJ633" s="51"/>
      <c r="AK633" s="200"/>
      <c r="AL633" s="206"/>
      <c r="AM633" s="201"/>
      <c r="AN633" s="51"/>
      <c r="AO633" s="93"/>
      <c r="AP633" s="207"/>
      <c r="AQ633" s="294"/>
      <c r="AR633" s="206"/>
      <c r="AS633" s="206"/>
      <c r="AT633" s="93"/>
      <c r="AU633" s="93"/>
      <c r="AV633" s="79"/>
      <c r="AW633" s="699"/>
      <c r="AX633" s="206"/>
      <c r="AY633" s="200"/>
      <c r="AZ633" s="93"/>
      <c r="BA633" s="93"/>
      <c r="BB633" s="93"/>
      <c r="BC633" s="199"/>
      <c r="BD633" s="201"/>
      <c r="BE633" s="199"/>
      <c r="BF633" s="201"/>
      <c r="BG633" s="206"/>
      <c r="BH633" s="290"/>
      <c r="BI633" s="93"/>
      <c r="BJ633" s="93"/>
      <c r="BK633" s="93"/>
      <c r="BL633" s="79"/>
      <c r="BM633" s="699"/>
      <c r="BN633" s="93"/>
      <c r="BO633" s="93"/>
      <c r="BP633" s="291"/>
      <c r="BQ633" s="93"/>
      <c r="BR633" s="93"/>
      <c r="BS633" s="201"/>
      <c r="BT633" s="201"/>
      <c r="BU633" s="206"/>
      <c r="BV633" s="291"/>
      <c r="BW633" s="93"/>
      <c r="BX633" s="93"/>
      <c r="BY633" s="201"/>
      <c r="BZ633" s="93"/>
      <c r="CA633" s="93"/>
      <c r="CB633" s="93"/>
      <c r="CC633" s="363"/>
      <c r="CD633" s="117"/>
      <c r="CE633" s="117"/>
      <c r="CF633" s="117"/>
      <c r="CG633" s="893"/>
      <c r="CH633" s="878"/>
      <c r="CI633" s="879"/>
      <c r="CJ633" s="880"/>
      <c r="CK633" s="879"/>
      <c r="CL633" s="880"/>
      <c r="CM633" s="117"/>
      <c r="CN633" s="117"/>
      <c r="CO633" s="117"/>
      <c r="CP633" s="895"/>
      <c r="CQ633" s="878"/>
      <c r="CR633" s="364"/>
      <c r="CS633" s="363"/>
      <c r="CT633" s="117"/>
      <c r="CU633" s="117"/>
      <c r="CV633" s="878"/>
      <c r="CW633" s="878"/>
      <c r="CX633" s="885"/>
      <c r="CY633" s="894"/>
      <c r="CZ633" s="117"/>
      <c r="DA633" s="70"/>
      <c r="DB633" s="879"/>
      <c r="DC633" s="878"/>
      <c r="DD633" s="895"/>
      <c r="DE633" s="70"/>
      <c r="DF633" s="70"/>
      <c r="DG633" s="146"/>
      <c r="DH633" s="362"/>
      <c r="DI633" s="363"/>
      <c r="DJ633" s="117"/>
      <c r="DK633" s="117"/>
      <c r="DL633" s="117"/>
      <c r="DM633" s="117"/>
      <c r="DN633" s="878"/>
      <c r="DO633" s="880"/>
      <c r="DP633" s="879"/>
      <c r="DQ633" s="882"/>
      <c r="DR633" s="117"/>
      <c r="DS633" s="146"/>
      <c r="DT633" s="117"/>
      <c r="DU633" s="879"/>
      <c r="DV633" s="878"/>
      <c r="DW633" s="117"/>
      <c r="DX633" s="364"/>
      <c r="DY633" s="93"/>
    </row>
    <row r="634" spans="1:129">
      <c r="A634" s="699"/>
      <c r="B634" s="93"/>
      <c r="C634" s="93"/>
      <c r="D634" s="201"/>
      <c r="E634" s="206"/>
      <c r="F634" s="93"/>
      <c r="G634" s="207"/>
      <c r="H634" s="201"/>
      <c r="I634" s="201"/>
      <c r="J634" s="290"/>
      <c r="K634" s="93"/>
      <c r="L634" s="206"/>
      <c r="M634" s="201"/>
      <c r="N634" s="93"/>
      <c r="O634" s="93"/>
      <c r="P634" s="93"/>
      <c r="Q634" s="749"/>
      <c r="R634" s="93"/>
      <c r="S634" s="201"/>
      <c r="T634" s="201"/>
      <c r="U634" s="93"/>
      <c r="V634" s="159"/>
      <c r="W634" s="93"/>
      <c r="X634" s="298"/>
      <c r="Y634" s="199"/>
      <c r="Z634" s="298"/>
      <c r="AA634" s="206"/>
      <c r="AB634" s="93"/>
      <c r="AC634" s="93"/>
      <c r="AD634" s="93"/>
      <c r="AE634" s="93"/>
      <c r="AF634" s="79"/>
      <c r="AG634" s="114"/>
      <c r="AH634" s="159"/>
      <c r="AI634" s="51"/>
      <c r="AJ634" s="51"/>
      <c r="AK634" s="201"/>
      <c r="AL634" s="206"/>
      <c r="AM634" s="51"/>
      <c r="AN634" s="51"/>
      <c r="AO634" s="93"/>
      <c r="AP634" s="291"/>
      <c r="AQ634" s="201"/>
      <c r="AR634" s="206"/>
      <c r="AS634" s="161"/>
      <c r="AT634" s="93"/>
      <c r="AU634" s="93"/>
      <c r="AV634" s="79"/>
      <c r="AW634" s="699"/>
      <c r="AX634" s="201"/>
      <c r="AY634" s="93"/>
      <c r="AZ634" s="93"/>
      <c r="BA634" s="93"/>
      <c r="BB634" s="200"/>
      <c r="BC634" s="206"/>
      <c r="BD634" s="201"/>
      <c r="BE634" s="201"/>
      <c r="BF634" s="297"/>
      <c r="BG634" s="161"/>
      <c r="BH634" s="292"/>
      <c r="BI634" s="93"/>
      <c r="BJ634" s="93"/>
      <c r="BK634" s="93"/>
      <c r="BL634" s="79"/>
      <c r="BM634" s="699"/>
      <c r="BN634" s="93"/>
      <c r="BO634" s="93"/>
      <c r="BP634" s="201"/>
      <c r="BQ634" s="199"/>
      <c r="BR634" s="162"/>
      <c r="BS634" s="291"/>
      <c r="BT634" s="161"/>
      <c r="BU634" s="206"/>
      <c r="BV634" s="206"/>
      <c r="BW634" s="162"/>
      <c r="BX634" s="199"/>
      <c r="BY634" s="291"/>
      <c r="BZ634" s="93"/>
      <c r="CA634" s="93"/>
      <c r="CB634" s="93"/>
      <c r="CC634" s="363"/>
      <c r="CD634" s="117"/>
      <c r="CE634" s="117"/>
      <c r="CF634" s="117"/>
      <c r="CG634" s="883"/>
      <c r="CH634" s="147"/>
      <c r="CI634" s="390"/>
      <c r="CJ634" s="879"/>
      <c r="CK634" s="879"/>
      <c r="CL634" s="878"/>
      <c r="CM634" s="895"/>
      <c r="CN634" s="117"/>
      <c r="CO634" s="117"/>
      <c r="CP634" s="117"/>
      <c r="CQ634" s="879"/>
      <c r="CR634" s="364"/>
      <c r="CS634" s="363"/>
      <c r="CT634" s="117"/>
      <c r="CU634" s="117"/>
      <c r="CV634" s="147"/>
      <c r="CW634" s="878"/>
      <c r="CX634" s="879"/>
      <c r="CY634" s="882"/>
      <c r="CZ634" s="117"/>
      <c r="DA634" s="70"/>
      <c r="DB634" s="70"/>
      <c r="DC634" s="878"/>
      <c r="DD634" s="879"/>
      <c r="DE634" s="70"/>
      <c r="DF634" s="70"/>
      <c r="DG634" s="145"/>
      <c r="DH634" s="362"/>
      <c r="DI634" s="363"/>
      <c r="DJ634" s="117"/>
      <c r="DK634" s="117"/>
      <c r="DL634" s="117"/>
      <c r="DM634" s="117"/>
      <c r="DN634" s="878"/>
      <c r="DO634" s="890"/>
      <c r="DP634" s="880"/>
      <c r="DQ634" s="890"/>
      <c r="DR634" s="117"/>
      <c r="DS634" s="145"/>
      <c r="DT634" s="117"/>
      <c r="DU634" s="879"/>
      <c r="DV634" s="879"/>
      <c r="DW634" s="117"/>
      <c r="DX634" s="920"/>
      <c r="DY634" s="93"/>
    </row>
    <row r="635" spans="1:129">
      <c r="A635" s="699"/>
      <c r="B635" s="93"/>
      <c r="C635" s="93"/>
      <c r="D635" s="291"/>
      <c r="E635" s="201"/>
      <c r="F635" s="93"/>
      <c r="G635" s="201"/>
      <c r="H635" s="298"/>
      <c r="I635" s="294"/>
      <c r="J635" s="206"/>
      <c r="K635" s="93"/>
      <c r="L635" s="201"/>
      <c r="M635" s="291"/>
      <c r="N635" s="93"/>
      <c r="O635" s="93"/>
      <c r="P635" s="93"/>
      <c r="Q635" s="699"/>
      <c r="R635" s="206"/>
      <c r="S635" s="201"/>
      <c r="T635" s="93"/>
      <c r="U635" s="93"/>
      <c r="V635" s="159"/>
      <c r="W635" s="93"/>
      <c r="X635" s="291"/>
      <c r="Y635" s="199"/>
      <c r="Z635" s="206"/>
      <c r="AA635" s="292"/>
      <c r="AB635" s="162"/>
      <c r="AC635" s="93"/>
      <c r="AD635" s="93"/>
      <c r="AE635" s="93"/>
      <c r="AF635" s="79"/>
      <c r="AG635" s="114"/>
      <c r="AH635" s="159"/>
      <c r="AI635" s="51"/>
      <c r="AJ635" s="200"/>
      <c r="AK635" s="206"/>
      <c r="AL635" s="51"/>
      <c r="AM635" s="51"/>
      <c r="AN635" s="51"/>
      <c r="AO635" s="93"/>
      <c r="AP635" s="291"/>
      <c r="AQ635" s="291"/>
      <c r="AR635" s="206"/>
      <c r="AS635" s="206"/>
      <c r="AT635" s="93"/>
      <c r="AU635" s="93"/>
      <c r="AV635" s="79"/>
      <c r="AW635" s="870"/>
      <c r="AX635" s="199"/>
      <c r="AY635" s="93"/>
      <c r="AZ635" s="93"/>
      <c r="BA635" s="159"/>
      <c r="BB635" s="199"/>
      <c r="BC635" s="93"/>
      <c r="BD635" s="93"/>
      <c r="BE635" s="291"/>
      <c r="BF635" s="201"/>
      <c r="BG635" s="206"/>
      <c r="BH635" s="290"/>
      <c r="BI635" s="93"/>
      <c r="BJ635" s="93"/>
      <c r="BK635" s="93"/>
      <c r="BL635" s="79"/>
      <c r="BM635" s="699"/>
      <c r="BN635" s="93"/>
      <c r="BO635" s="93"/>
      <c r="BP635" s="199"/>
      <c r="BQ635" s="291"/>
      <c r="BR635" s="159"/>
      <c r="BS635" s="291"/>
      <c r="BT635" s="201"/>
      <c r="BU635" s="206"/>
      <c r="BV635" s="291"/>
      <c r="BW635" s="159"/>
      <c r="BX635" s="291"/>
      <c r="BY635" s="93"/>
      <c r="BZ635" s="93"/>
      <c r="CA635" s="93"/>
      <c r="CB635" s="93"/>
      <c r="CC635" s="363"/>
      <c r="CD635" s="117"/>
      <c r="CE635" s="117"/>
      <c r="CF635" s="117"/>
      <c r="CG635" s="893"/>
      <c r="CH635" s="878"/>
      <c r="CI635" s="879"/>
      <c r="CJ635" s="882"/>
      <c r="CK635" s="117"/>
      <c r="CL635" s="117"/>
      <c r="CM635" s="880"/>
      <c r="CN635" s="145"/>
      <c r="CO635" s="117"/>
      <c r="CP635" s="117"/>
      <c r="CQ635" s="880"/>
      <c r="CR635" s="914"/>
      <c r="CS635" s="363"/>
      <c r="CT635" s="117"/>
      <c r="CU635" s="117"/>
      <c r="CV635" s="878"/>
      <c r="CW635" s="878"/>
      <c r="CX635" s="882"/>
      <c r="CY635" s="882"/>
      <c r="CZ635" s="117"/>
      <c r="DA635" s="70"/>
      <c r="DB635" s="70"/>
      <c r="DC635" s="70"/>
      <c r="DD635" s="878"/>
      <c r="DE635" s="895"/>
      <c r="DF635" s="70"/>
      <c r="DG635" s="145"/>
      <c r="DH635" s="362"/>
      <c r="DI635" s="363"/>
      <c r="DJ635" s="117"/>
      <c r="DK635" s="117"/>
      <c r="DL635" s="117"/>
      <c r="DM635" s="146"/>
      <c r="DN635" s="883"/>
      <c r="DO635" s="878"/>
      <c r="DP635" s="880"/>
      <c r="DQ635" s="882"/>
      <c r="DR635" s="117"/>
      <c r="DS635" s="145"/>
      <c r="DT635" s="117"/>
      <c r="DU635" s="117"/>
      <c r="DV635" s="879"/>
      <c r="DW635" s="878"/>
      <c r="DX635" s="364"/>
      <c r="DY635" s="93"/>
    </row>
    <row r="636" spans="1:129">
      <c r="A636" s="699"/>
      <c r="B636" s="93"/>
      <c r="C636" s="201"/>
      <c r="D636" s="199"/>
      <c r="E636" s="159"/>
      <c r="F636" s="93"/>
      <c r="G636" s="291"/>
      <c r="H636" s="199"/>
      <c r="I636" s="201"/>
      <c r="J636" s="206"/>
      <c r="K636" s="93"/>
      <c r="L636" s="159"/>
      <c r="M636" s="291"/>
      <c r="N636" s="201"/>
      <c r="O636" s="93"/>
      <c r="P636" s="93"/>
      <c r="Q636" s="699"/>
      <c r="R636" s="201"/>
      <c r="S636" s="200"/>
      <c r="T636" s="93"/>
      <c r="U636" s="159"/>
      <c r="V636" s="93"/>
      <c r="W636" s="303"/>
      <c r="X636" s="199"/>
      <c r="Y636" s="206"/>
      <c r="Z636" s="303"/>
      <c r="AA636" s="162"/>
      <c r="AB636" s="296"/>
      <c r="AC636" s="93"/>
      <c r="AD636" s="93"/>
      <c r="AE636" s="93"/>
      <c r="AF636" s="79"/>
      <c r="AG636" s="749"/>
      <c r="AH636" s="157"/>
      <c r="AI636" s="51"/>
      <c r="AJ636" s="201"/>
      <c r="AK636" s="201"/>
      <c r="AL636" s="162"/>
      <c r="AM636" s="93"/>
      <c r="AN636" s="93"/>
      <c r="AO636" s="296"/>
      <c r="AP636" s="303"/>
      <c r="AQ636" s="291"/>
      <c r="AR636" s="206"/>
      <c r="AS636" s="161"/>
      <c r="AT636" s="93"/>
      <c r="AU636" s="93"/>
      <c r="AV636" s="79"/>
      <c r="AW636" s="709"/>
      <c r="AX636" s="200"/>
      <c r="AY636" s="93"/>
      <c r="AZ636" s="157"/>
      <c r="BA636" s="200"/>
      <c r="BB636" s="206"/>
      <c r="BC636" s="93"/>
      <c r="BD636" s="93"/>
      <c r="BE636" s="291"/>
      <c r="BF636" s="297"/>
      <c r="BG636" s="161"/>
      <c r="BH636" s="93"/>
      <c r="BI636" s="93"/>
      <c r="BJ636" s="93"/>
      <c r="BK636" s="93"/>
      <c r="BL636" s="79"/>
      <c r="BM636" s="699"/>
      <c r="BN636" s="162"/>
      <c r="BO636" s="93"/>
      <c r="BP636" s="93"/>
      <c r="BQ636" s="291"/>
      <c r="BR636" s="93"/>
      <c r="BS636" s="291"/>
      <c r="BT636" s="161"/>
      <c r="BU636" s="206"/>
      <c r="BV636" s="206"/>
      <c r="BW636" s="93"/>
      <c r="BX636" s="291"/>
      <c r="BY636" s="93"/>
      <c r="BZ636" s="93"/>
      <c r="CA636" s="162"/>
      <c r="CB636" s="93"/>
      <c r="CC636" s="363"/>
      <c r="CD636" s="117"/>
      <c r="CE636" s="117"/>
      <c r="CF636" s="117"/>
      <c r="CG636" s="117"/>
      <c r="CH636" s="147"/>
      <c r="CI636" s="390"/>
      <c r="CJ636" s="882"/>
      <c r="CK636" s="117"/>
      <c r="CL636" s="117"/>
      <c r="CM636" s="878"/>
      <c r="CN636" s="895"/>
      <c r="CO636" s="149"/>
      <c r="CP636" s="117"/>
      <c r="CQ636" s="895"/>
      <c r="CR636" s="898"/>
      <c r="CS636" s="363"/>
      <c r="CT636" s="117"/>
      <c r="CU636" s="117"/>
      <c r="CV636" s="147"/>
      <c r="CW636" s="878"/>
      <c r="CX636" s="882"/>
      <c r="CY636" s="892"/>
      <c r="CZ636" s="389"/>
      <c r="DA636" s="117"/>
      <c r="DB636" s="117"/>
      <c r="DC636" s="146"/>
      <c r="DD636" s="879"/>
      <c r="DE636" s="879"/>
      <c r="DF636" s="70"/>
      <c r="DG636" s="149"/>
      <c r="DH636" s="920"/>
      <c r="DI636" s="363"/>
      <c r="DJ636" s="117"/>
      <c r="DK636" s="117"/>
      <c r="DL636" s="117"/>
      <c r="DM636" s="389"/>
      <c r="DN636" s="146"/>
      <c r="DO636" s="892"/>
      <c r="DP636" s="878"/>
      <c r="DQ636" s="880"/>
      <c r="DR636" s="892"/>
      <c r="DS636" s="117"/>
      <c r="DT636" s="145"/>
      <c r="DU636" s="117"/>
      <c r="DV636" s="895"/>
      <c r="DW636" s="879"/>
      <c r="DX636" s="364"/>
      <c r="DY636" s="93"/>
    </row>
    <row r="637" spans="1:129">
      <c r="A637" s="699"/>
      <c r="B637" s="340"/>
      <c r="C637" s="201"/>
      <c r="D637" s="199"/>
      <c r="E637" s="201"/>
      <c r="F637" s="162"/>
      <c r="G637" s="303"/>
      <c r="H637" s="157"/>
      <c r="I637" s="159"/>
      <c r="J637" s="292"/>
      <c r="K637" s="162"/>
      <c r="L637" s="201"/>
      <c r="M637" s="199"/>
      <c r="N637" s="201"/>
      <c r="O637" s="340"/>
      <c r="P637" s="93"/>
      <c r="Q637" s="870"/>
      <c r="R637" s="201"/>
      <c r="S637" s="93"/>
      <c r="T637" s="157"/>
      <c r="U637" s="157"/>
      <c r="V637" s="303"/>
      <c r="W637" s="159"/>
      <c r="X637" s="305"/>
      <c r="Y637" s="205"/>
      <c r="Z637" s="159"/>
      <c r="AA637" s="296"/>
      <c r="AB637" s="296"/>
      <c r="AC637" s="296"/>
      <c r="AD637" s="93"/>
      <c r="AE637" s="93"/>
      <c r="AF637" s="79"/>
      <c r="AG637" s="872"/>
      <c r="AH637" s="162"/>
      <c r="AI637" s="200"/>
      <c r="AJ637" s="206"/>
      <c r="AK637" s="340"/>
      <c r="AL637" s="51"/>
      <c r="AM637" s="93"/>
      <c r="AN637" s="201"/>
      <c r="AO637" s="303"/>
      <c r="AP637" s="300"/>
      <c r="AQ637" s="291"/>
      <c r="AR637" s="292"/>
      <c r="AS637" s="292"/>
      <c r="AT637" s="292"/>
      <c r="AU637" s="93"/>
      <c r="AV637" s="79"/>
      <c r="AW637" s="864"/>
      <c r="AX637" s="93"/>
      <c r="AY637" s="157"/>
      <c r="AZ637" s="93"/>
      <c r="BA637" s="199"/>
      <c r="BB637" s="93"/>
      <c r="BC637" s="159"/>
      <c r="BD637" s="296"/>
      <c r="BE637" s="303"/>
      <c r="BF637" s="296"/>
      <c r="BG637" s="292"/>
      <c r="BH637" s="292"/>
      <c r="BI637" s="296"/>
      <c r="BJ637" s="93"/>
      <c r="BK637" s="93"/>
      <c r="BL637" s="79"/>
      <c r="BM637" s="699"/>
      <c r="BN637" s="93"/>
      <c r="BO637" s="159"/>
      <c r="BP637" s="93"/>
      <c r="BQ637" s="291"/>
      <c r="BR637" s="296"/>
      <c r="BS637" s="303"/>
      <c r="BT637" s="296"/>
      <c r="BU637" s="292"/>
      <c r="BV637" s="292"/>
      <c r="BW637" s="296"/>
      <c r="BX637" s="291"/>
      <c r="BY637" s="93"/>
      <c r="BZ637" s="159"/>
      <c r="CA637" s="93"/>
      <c r="CB637" s="93"/>
      <c r="CC637" s="363"/>
      <c r="CD637" s="117"/>
      <c r="CE637" s="117"/>
      <c r="CF637" s="389"/>
      <c r="CG637" s="883"/>
      <c r="CH637" s="883"/>
      <c r="CI637" s="389"/>
      <c r="CJ637" s="892"/>
      <c r="CK637" s="389"/>
      <c r="CL637" s="145"/>
      <c r="CM637" s="117"/>
      <c r="CN637" s="880"/>
      <c r="CO637" s="117"/>
      <c r="CP637" s="149"/>
      <c r="CQ637" s="117"/>
      <c r="CR637" s="897"/>
      <c r="CS637" s="363"/>
      <c r="CT637" s="117"/>
      <c r="CU637" s="883"/>
      <c r="CV637" s="883"/>
      <c r="CW637" s="883"/>
      <c r="CX637" s="882"/>
      <c r="CY637" s="889"/>
      <c r="CZ637" s="892"/>
      <c r="DA637" s="879"/>
      <c r="DB637" s="117"/>
      <c r="DC637" s="70"/>
      <c r="DD637" s="145"/>
      <c r="DE637" s="878"/>
      <c r="DF637" s="895"/>
      <c r="DG637" s="146"/>
      <c r="DH637" s="373"/>
      <c r="DI637" s="363"/>
      <c r="DJ637" s="117"/>
      <c r="DK637" s="117"/>
      <c r="DL637" s="389"/>
      <c r="DM637" s="389"/>
      <c r="DN637" s="389"/>
      <c r="DO637" s="145"/>
      <c r="DP637" s="881"/>
      <c r="DQ637" s="884"/>
      <c r="DR637" s="145"/>
      <c r="DS637" s="892"/>
      <c r="DT637" s="149"/>
      <c r="DU637" s="149"/>
      <c r="DV637" s="117"/>
      <c r="DW637" s="879"/>
      <c r="DX637" s="914"/>
      <c r="DY637" s="93"/>
    </row>
    <row r="638" spans="1:129">
      <c r="A638" s="699"/>
      <c r="B638" s="93"/>
      <c r="C638" s="162"/>
      <c r="D638" s="200"/>
      <c r="E638" s="303"/>
      <c r="F638" s="303"/>
      <c r="G638" s="157"/>
      <c r="H638" s="300"/>
      <c r="I638" s="296"/>
      <c r="J638" s="159"/>
      <c r="K638" s="296"/>
      <c r="L638" s="296"/>
      <c r="M638" s="200"/>
      <c r="N638" s="162"/>
      <c r="O638" s="93"/>
      <c r="P638" s="93"/>
      <c r="Q638" s="699"/>
      <c r="R638" s="200"/>
      <c r="S638" s="157"/>
      <c r="T638" s="93"/>
      <c r="U638" s="303"/>
      <c r="V638" s="157"/>
      <c r="W638" s="199"/>
      <c r="X638" s="305"/>
      <c r="Y638" s="205"/>
      <c r="Z638" s="201"/>
      <c r="AA638" s="205"/>
      <c r="AB638" s="291"/>
      <c r="AC638" s="201"/>
      <c r="AD638" s="201"/>
      <c r="AE638" s="93"/>
      <c r="AF638" s="79"/>
      <c r="AG638" s="872"/>
      <c r="AH638" s="159"/>
      <c r="AI638" s="201"/>
      <c r="AJ638" s="206"/>
      <c r="AK638" s="51"/>
      <c r="AL638" s="51"/>
      <c r="AM638" s="199"/>
      <c r="AN638" s="201"/>
      <c r="AO638" s="201"/>
      <c r="AP638" s="205"/>
      <c r="AQ638" s="201"/>
      <c r="AR638" s="201"/>
      <c r="AS638" s="205"/>
      <c r="AT638" s="292"/>
      <c r="AU638" s="291"/>
      <c r="AV638" s="79"/>
      <c r="AW638" s="864"/>
      <c r="AX638" s="157"/>
      <c r="AY638" s="93"/>
      <c r="AZ638" s="157"/>
      <c r="BA638" s="201"/>
      <c r="BB638" s="157"/>
      <c r="BC638" s="201"/>
      <c r="BD638" s="303"/>
      <c r="BE638" s="300"/>
      <c r="BF638" s="300"/>
      <c r="BG638" s="296"/>
      <c r="BH638" s="296"/>
      <c r="BI638" s="296"/>
      <c r="BJ638" s="201"/>
      <c r="BK638" s="93"/>
      <c r="BL638" s="79"/>
      <c r="BM638" s="699"/>
      <c r="BN638" s="93"/>
      <c r="BO638" s="93"/>
      <c r="BP638" s="201"/>
      <c r="BQ638" s="291"/>
      <c r="BR638" s="296"/>
      <c r="BS638" s="303"/>
      <c r="BT638" s="296"/>
      <c r="BU638" s="292"/>
      <c r="BV638" s="292"/>
      <c r="BW638" s="296"/>
      <c r="BX638" s="291"/>
      <c r="BY638" s="201"/>
      <c r="BZ638" s="93"/>
      <c r="CA638" s="93"/>
      <c r="CB638" s="93"/>
      <c r="CC638" s="363"/>
      <c r="CD638" s="117"/>
      <c r="CE638" s="879"/>
      <c r="CF638" s="389"/>
      <c r="CG638" s="389"/>
      <c r="CH638" s="389"/>
      <c r="CI638" s="889"/>
      <c r="CJ638" s="889"/>
      <c r="CK638" s="892"/>
      <c r="CL638" s="879"/>
      <c r="CM638" s="149"/>
      <c r="CN638" s="879"/>
      <c r="CO638" s="149"/>
      <c r="CP638" s="117"/>
      <c r="CQ638" s="149"/>
      <c r="CR638" s="897"/>
      <c r="CS638" s="363"/>
      <c r="CT638" s="882"/>
      <c r="CU638" s="883"/>
      <c r="CV638" s="881"/>
      <c r="CW638" s="879"/>
      <c r="CX638" s="879"/>
      <c r="CY638" s="881"/>
      <c r="CZ638" s="879"/>
      <c r="DA638" s="879"/>
      <c r="DB638" s="880"/>
      <c r="DC638" s="70"/>
      <c r="DD638" s="70"/>
      <c r="DE638" s="878"/>
      <c r="DF638" s="879"/>
      <c r="DG638" s="145"/>
      <c r="DH638" s="373"/>
      <c r="DI638" s="363"/>
      <c r="DJ638" s="117"/>
      <c r="DK638" s="879"/>
      <c r="DL638" s="879"/>
      <c r="DM638" s="882"/>
      <c r="DN638" s="881"/>
      <c r="DO638" s="879"/>
      <c r="DP638" s="881"/>
      <c r="DQ638" s="884"/>
      <c r="DR638" s="880"/>
      <c r="DS638" s="149"/>
      <c r="DT638" s="892"/>
      <c r="DU638" s="117"/>
      <c r="DV638" s="149"/>
      <c r="DW638" s="895"/>
      <c r="DX638" s="364"/>
      <c r="DY638" s="93"/>
    </row>
    <row r="639" spans="1:129">
      <c r="A639" s="699"/>
      <c r="B639" s="93"/>
      <c r="C639" s="291"/>
      <c r="D639" s="162"/>
      <c r="E639" s="200"/>
      <c r="F639" s="305"/>
      <c r="G639" s="201"/>
      <c r="H639" s="292"/>
      <c r="I639" s="296"/>
      <c r="J639" s="201"/>
      <c r="K639" s="305"/>
      <c r="L639" s="200"/>
      <c r="M639" s="162"/>
      <c r="N639" s="291"/>
      <c r="O639" s="93"/>
      <c r="P639" s="93"/>
      <c r="Q639" s="699"/>
      <c r="R639" s="200"/>
      <c r="S639" s="159"/>
      <c r="T639" s="303"/>
      <c r="U639" s="303"/>
      <c r="V639" s="201"/>
      <c r="W639" s="305"/>
      <c r="X639" s="206"/>
      <c r="Y639" s="292"/>
      <c r="Z639" s="305"/>
      <c r="AA639" s="292"/>
      <c r="AB639" s="292"/>
      <c r="AC639" s="292"/>
      <c r="AD639" s="305"/>
      <c r="AE639" s="93"/>
      <c r="AF639" s="79"/>
      <c r="AG639" s="114"/>
      <c r="AH639" s="157"/>
      <c r="AI639" s="201"/>
      <c r="AJ639" s="51"/>
      <c r="AK639" s="51"/>
      <c r="AL639" s="51"/>
      <c r="AM639" s="291"/>
      <c r="AN639" s="305"/>
      <c r="AO639" s="292"/>
      <c r="AP639" s="292"/>
      <c r="AQ639" s="291"/>
      <c r="AR639" s="305"/>
      <c r="AS639" s="292"/>
      <c r="AT639" s="291"/>
      <c r="AU639" s="199"/>
      <c r="AV639" s="79"/>
      <c r="AW639" s="872"/>
      <c r="AX639" s="200"/>
      <c r="AY639" s="93"/>
      <c r="AZ639" s="199"/>
      <c r="BA639" s="93"/>
      <c r="BB639" s="93"/>
      <c r="BC639" s="305"/>
      <c r="BD639" s="205"/>
      <c r="BE639" s="201"/>
      <c r="BF639" s="205"/>
      <c r="BG639" s="205"/>
      <c r="BH639" s="201"/>
      <c r="BI639" s="205"/>
      <c r="BJ639" s="291"/>
      <c r="BK639" s="93"/>
      <c r="BL639" s="79"/>
      <c r="BM639" s="699"/>
      <c r="BN639" s="93"/>
      <c r="BO639" s="93"/>
      <c r="BP639" s="291"/>
      <c r="BQ639" s="201"/>
      <c r="BR639" s="303"/>
      <c r="BS639" s="292"/>
      <c r="BT639" s="292"/>
      <c r="BU639" s="292"/>
      <c r="BV639" s="292"/>
      <c r="BW639" s="292"/>
      <c r="BX639" s="201"/>
      <c r="BY639" s="291"/>
      <c r="BZ639" s="93"/>
      <c r="CA639" s="93"/>
      <c r="CB639" s="93"/>
      <c r="CC639" s="363"/>
      <c r="CD639" s="117"/>
      <c r="CE639" s="882"/>
      <c r="CF639" s="881"/>
      <c r="CG639" s="879"/>
      <c r="CH639" s="881"/>
      <c r="CI639" s="881"/>
      <c r="CJ639" s="879"/>
      <c r="CK639" s="881"/>
      <c r="CL639" s="884"/>
      <c r="CM639" s="117"/>
      <c r="CN639" s="117"/>
      <c r="CO639" s="880"/>
      <c r="CP639" s="117"/>
      <c r="CQ639" s="895"/>
      <c r="CR639" s="373"/>
      <c r="CS639" s="363"/>
      <c r="CT639" s="880"/>
      <c r="CU639" s="882"/>
      <c r="CV639" s="883"/>
      <c r="CW639" s="884"/>
      <c r="CX639" s="882"/>
      <c r="CY639" s="883"/>
      <c r="CZ639" s="883"/>
      <c r="DA639" s="884"/>
      <c r="DB639" s="882"/>
      <c r="DC639" s="70"/>
      <c r="DD639" s="70"/>
      <c r="DE639" s="70"/>
      <c r="DF639" s="879"/>
      <c r="DG639" s="149"/>
      <c r="DH639" s="362"/>
      <c r="DI639" s="363"/>
      <c r="DJ639" s="117"/>
      <c r="DK639" s="884"/>
      <c r="DL639" s="883"/>
      <c r="DM639" s="883"/>
      <c r="DN639" s="883"/>
      <c r="DO639" s="884"/>
      <c r="DP639" s="883"/>
      <c r="DQ639" s="878"/>
      <c r="DR639" s="884"/>
      <c r="DS639" s="879"/>
      <c r="DT639" s="892"/>
      <c r="DU639" s="892"/>
      <c r="DV639" s="145"/>
      <c r="DW639" s="895"/>
      <c r="DX639" s="364"/>
      <c r="DY639" s="93"/>
    </row>
    <row r="640" spans="1:129">
      <c r="A640" s="341"/>
      <c r="B640" s="340"/>
      <c r="C640" s="340"/>
      <c r="D640" s="867"/>
      <c r="E640" s="340"/>
      <c r="F640" s="341"/>
      <c r="G640" s="852"/>
      <c r="H640" s="866"/>
      <c r="I640" s="73"/>
      <c r="J640" s="852"/>
      <c r="K640" s="341"/>
      <c r="L640" s="340"/>
      <c r="M640" s="867"/>
      <c r="N640" s="340"/>
      <c r="O640" s="340"/>
      <c r="P640" s="341"/>
      <c r="Q640" s="871"/>
      <c r="R640" s="341"/>
      <c r="S640" s="211"/>
      <c r="T640" s="340"/>
      <c r="U640" s="339"/>
      <c r="V640" s="339"/>
      <c r="W640" s="332"/>
      <c r="X640" s="341"/>
      <c r="Y640" s="340"/>
      <c r="Z640" s="867"/>
      <c r="AA640" s="340"/>
      <c r="AB640" s="340"/>
      <c r="AC640" s="341"/>
      <c r="AD640" s="81"/>
      <c r="AE640" s="73"/>
      <c r="AF640" s="701"/>
      <c r="AG640" s="875"/>
      <c r="AH640" s="211"/>
      <c r="AI640" s="211"/>
      <c r="AJ640" s="340"/>
      <c r="AK640" s="340"/>
      <c r="AL640" s="341"/>
      <c r="AM640" s="341"/>
      <c r="AN640" s="866"/>
      <c r="AO640" s="866"/>
      <c r="AP640" s="103"/>
      <c r="AQ640" s="81"/>
      <c r="AR640" s="866"/>
      <c r="AS640" s="81"/>
      <c r="AT640" s="106"/>
      <c r="AU640" s="73"/>
      <c r="AV640" s="701"/>
      <c r="AW640" s="749"/>
      <c r="AX640" s="159"/>
      <c r="AY640" s="157"/>
      <c r="AZ640" s="159"/>
      <c r="BA640" s="159"/>
      <c r="BB640" s="159"/>
      <c r="BC640" s="162"/>
      <c r="BD640" s="292"/>
      <c r="BE640" s="305"/>
      <c r="BF640" s="292"/>
      <c r="BG640" s="292"/>
      <c r="BH640" s="305"/>
      <c r="BI640" s="292"/>
      <c r="BJ640" s="292"/>
      <c r="BK640" s="93"/>
      <c r="BL640" s="79"/>
      <c r="BM640" s="749"/>
      <c r="BN640" s="159"/>
      <c r="BO640" s="157"/>
      <c r="BP640" s="199"/>
      <c r="BQ640" s="305"/>
      <c r="BR640" s="205"/>
      <c r="BS640" s="305"/>
      <c r="BT640" s="292"/>
      <c r="BU640" s="292"/>
      <c r="BV640" s="305"/>
      <c r="BW640" s="205"/>
      <c r="BX640" s="291"/>
      <c r="BY640" s="199"/>
      <c r="BZ640" s="157"/>
      <c r="CA640" s="159"/>
      <c r="CB640" s="162"/>
      <c r="CC640" s="365"/>
      <c r="CD640" s="367"/>
      <c r="CE640" s="913"/>
      <c r="CF640" s="913"/>
      <c r="CG640" s="912"/>
      <c r="CH640" s="913"/>
      <c r="CI640" s="913"/>
      <c r="CJ640" s="912"/>
      <c r="CK640" s="913"/>
      <c r="CL640" s="915"/>
      <c r="CM640" s="916"/>
      <c r="CN640" s="916"/>
      <c r="CO640" s="916"/>
      <c r="CP640" s="917"/>
      <c r="CQ640" s="916"/>
      <c r="CR640" s="918"/>
      <c r="CS640" s="365"/>
      <c r="CT640" s="367"/>
      <c r="CU640" s="366"/>
      <c r="CV640" s="921"/>
      <c r="CW640" s="913"/>
      <c r="CX640" s="921"/>
      <c r="CY640" s="367"/>
      <c r="CZ640" s="913"/>
      <c r="DA640" s="913"/>
      <c r="DB640" s="915"/>
      <c r="DC640" s="915"/>
      <c r="DD640" s="916"/>
      <c r="DE640" s="916"/>
      <c r="DF640" s="906"/>
      <c r="DG640" s="906"/>
      <c r="DH640" s="922"/>
      <c r="DI640" s="365"/>
      <c r="DJ640" s="367"/>
      <c r="DK640" s="921"/>
      <c r="DL640" s="915"/>
      <c r="DM640" s="916"/>
      <c r="DN640" s="916"/>
      <c r="DO640" s="917"/>
      <c r="DP640" s="916"/>
      <c r="DQ640" s="915"/>
      <c r="DR640" s="905"/>
      <c r="DS640" s="912"/>
      <c r="DT640" s="912"/>
      <c r="DU640" s="916"/>
      <c r="DV640" s="906"/>
      <c r="DW640" s="915"/>
      <c r="DX640" s="923"/>
      <c r="DY640" s="93"/>
    </row>
    <row r="641" spans="1:129">
      <c r="A641" s="753">
        <v>6</v>
      </c>
      <c r="B641" s="711"/>
      <c r="C641" s="711"/>
      <c r="D641" s="711"/>
      <c r="E641" s="711"/>
      <c r="F641" s="711"/>
      <c r="G641" s="711"/>
      <c r="H641" s="711"/>
      <c r="I641" s="711"/>
      <c r="J641" s="711"/>
      <c r="K641" s="711"/>
      <c r="L641" s="711"/>
      <c r="M641" s="711"/>
      <c r="N641" s="711"/>
      <c r="O641" s="711"/>
      <c r="P641" s="530"/>
      <c r="Q641" s="753"/>
      <c r="R641" s="711"/>
      <c r="S641" s="711"/>
      <c r="T641" s="711"/>
      <c r="U641" s="711"/>
      <c r="V641" s="711"/>
      <c r="W641" s="711"/>
      <c r="X641" s="711"/>
      <c r="Y641" s="711"/>
      <c r="Z641" s="711"/>
      <c r="AA641" s="711"/>
      <c r="AB641" s="711"/>
      <c r="AC641" s="711"/>
      <c r="AD641" s="711"/>
      <c r="AE641" s="711"/>
      <c r="AF641" s="530"/>
      <c r="AG641" s="51"/>
      <c r="AH641" s="51"/>
      <c r="AI641" s="51"/>
      <c r="AJ641" s="51"/>
      <c r="AK641" s="51"/>
      <c r="AL641" s="92"/>
      <c r="AM641" s="92"/>
      <c r="AN641" s="51"/>
      <c r="AO641" s="51"/>
      <c r="AP641" s="711"/>
      <c r="AQ641" s="711"/>
      <c r="AR641" s="711"/>
      <c r="AS641" s="711"/>
      <c r="AT641" s="711"/>
      <c r="AU641" s="711"/>
      <c r="AV641" s="711"/>
      <c r="AW641" s="753"/>
      <c r="AX641" s="711"/>
      <c r="AY641" s="711"/>
      <c r="AZ641" s="711"/>
      <c r="BA641" s="711"/>
      <c r="BB641" s="711"/>
      <c r="BC641" s="711"/>
      <c r="BD641" s="711"/>
      <c r="BE641" s="711"/>
      <c r="BF641" s="711"/>
      <c r="BG641" s="711"/>
      <c r="BH641" s="711"/>
      <c r="BI641" s="711"/>
      <c r="BJ641" s="711"/>
      <c r="BK641" s="711"/>
      <c r="BL641" s="711"/>
      <c r="BM641" s="108"/>
      <c r="BN641" s="711"/>
      <c r="BO641" s="711"/>
      <c r="BP641" s="711"/>
      <c r="BQ641" s="711"/>
      <c r="BR641" s="711"/>
      <c r="BS641" s="711"/>
      <c r="BT641" s="711"/>
      <c r="BU641" s="711"/>
      <c r="BV641" s="711"/>
      <c r="BW641" s="711"/>
      <c r="BX641" s="711"/>
      <c r="BY641" s="711"/>
      <c r="BZ641" s="711"/>
      <c r="CA641" s="711"/>
      <c r="CB641" s="111"/>
      <c r="CC641" s="396"/>
      <c r="CD641" s="396"/>
      <c r="CE641" s="396"/>
      <c r="CF641" s="396"/>
      <c r="CG641" s="396"/>
      <c r="CH641" s="396"/>
      <c r="CI641" s="396"/>
      <c r="CJ641" s="396"/>
      <c r="CK641" s="396"/>
      <c r="CL641" s="396"/>
      <c r="CM641" s="396"/>
      <c r="CN641" s="396"/>
      <c r="CO641" s="396"/>
      <c r="CP641" s="396"/>
      <c r="CQ641" s="396"/>
      <c r="CR641" s="896"/>
      <c r="CS641" s="869"/>
      <c r="CT641" s="396"/>
      <c r="CU641" s="396"/>
      <c r="CV641" s="396"/>
      <c r="CW641" s="396"/>
      <c r="CX641" s="396"/>
      <c r="CY641" s="396"/>
      <c r="CZ641" s="908"/>
      <c r="DA641" s="908"/>
      <c r="DB641" s="396"/>
      <c r="DC641" s="396"/>
      <c r="DD641" s="908"/>
      <c r="DE641" s="908"/>
      <c r="DF641" s="908"/>
      <c r="DG641" s="908"/>
      <c r="DH641" s="397"/>
      <c r="DI641" s="869"/>
      <c r="DJ641" s="396"/>
      <c r="DK641" s="396"/>
      <c r="DL641" s="396"/>
      <c r="DM641" s="396"/>
      <c r="DN641" s="396"/>
      <c r="DO641" s="396"/>
      <c r="DP641" s="396"/>
      <c r="DQ641" s="396"/>
      <c r="DR641" s="396"/>
      <c r="DS641" s="396"/>
      <c r="DT641" s="396"/>
      <c r="DU641" s="396"/>
      <c r="DV641" s="396"/>
      <c r="DW641" s="396"/>
      <c r="DX641" s="896"/>
      <c r="DY641" s="795"/>
    </row>
    <row r="642" spans="1:129">
      <c r="A642" s="699">
        <v>7</v>
      </c>
      <c r="B642" s="93"/>
      <c r="C642" s="93"/>
      <c r="D642" s="93"/>
      <c r="E642" s="93"/>
      <c r="F642" s="93"/>
      <c r="G642" s="93"/>
      <c r="H642" s="93"/>
      <c r="I642" s="93"/>
      <c r="J642" s="93"/>
      <c r="K642" s="93"/>
      <c r="L642" s="93"/>
      <c r="M642" s="93"/>
      <c r="N642" s="93"/>
      <c r="O642" s="93"/>
      <c r="P642" s="79"/>
      <c r="Q642" s="699"/>
      <c r="R642" s="93"/>
      <c r="S642" s="93"/>
      <c r="T642" s="93"/>
      <c r="U642" s="93"/>
      <c r="V642" s="93"/>
      <c r="W642" s="93"/>
      <c r="X642" s="93"/>
      <c r="Y642" s="93"/>
      <c r="Z642" s="93"/>
      <c r="AA642" s="93"/>
      <c r="AB642" s="93"/>
      <c r="AC642" s="93"/>
      <c r="AD642" s="93"/>
      <c r="AE642" s="93"/>
      <c r="AF642" s="79"/>
      <c r="AG642" s="51"/>
      <c r="AH642" s="51"/>
      <c r="AI642" s="51"/>
      <c r="AJ642" s="51"/>
      <c r="AK642" s="51"/>
      <c r="AL642" s="92"/>
      <c r="AM642" s="92"/>
      <c r="AN642" s="51"/>
      <c r="AO642" s="51"/>
      <c r="AP642" s="93"/>
      <c r="AQ642" s="93"/>
      <c r="AR642" s="93"/>
      <c r="AS642" s="93"/>
      <c r="AT642" s="93"/>
      <c r="AU642" s="93"/>
      <c r="AV642" s="93"/>
      <c r="AW642" s="699"/>
      <c r="AX642" s="93"/>
      <c r="AY642" s="93"/>
      <c r="AZ642" s="93"/>
      <c r="BA642" s="93"/>
      <c r="BB642" s="93"/>
      <c r="BC642" s="93"/>
      <c r="BD642" s="93"/>
      <c r="BE642" s="93"/>
      <c r="BF642" s="93"/>
      <c r="BG642" s="93"/>
      <c r="BH642" s="93"/>
      <c r="BI642" s="93"/>
      <c r="BJ642" s="93"/>
      <c r="BK642" s="93"/>
      <c r="BL642" s="93"/>
      <c r="BM642" s="112"/>
      <c r="BN642" s="93"/>
      <c r="BO642" s="93"/>
      <c r="BP642" s="93"/>
      <c r="BQ642" s="93"/>
      <c r="BR642" s="93"/>
      <c r="BS642" s="93"/>
      <c r="BT642" s="93"/>
      <c r="BU642" s="93"/>
      <c r="BV642" s="93"/>
      <c r="BW642" s="93"/>
      <c r="BX642" s="93"/>
      <c r="BY642" s="93"/>
      <c r="BZ642" s="93"/>
      <c r="CA642" s="93"/>
      <c r="CB642" s="113"/>
      <c r="CC642" s="117"/>
      <c r="CD642" s="117"/>
      <c r="CE642" s="117"/>
      <c r="CF642" s="117"/>
      <c r="CG642" s="117"/>
      <c r="CH642" s="117"/>
      <c r="CI642" s="117"/>
      <c r="CJ642" s="117"/>
      <c r="CK642" s="117"/>
      <c r="CL642" s="117"/>
      <c r="CM642" s="117"/>
      <c r="CN642" s="117"/>
      <c r="CO642" s="117"/>
      <c r="CP642" s="117"/>
      <c r="CQ642" s="117"/>
      <c r="CR642" s="364"/>
      <c r="CS642" s="363"/>
      <c r="CT642" s="117"/>
      <c r="CU642" s="117"/>
      <c r="CV642" s="117"/>
      <c r="CW642" s="117"/>
      <c r="CX642" s="117"/>
      <c r="CY642" s="117"/>
      <c r="CZ642" s="70"/>
      <c r="DA642" s="70"/>
      <c r="DB642" s="117"/>
      <c r="DC642" s="117"/>
      <c r="DD642" s="70"/>
      <c r="DE642" s="70"/>
      <c r="DF642" s="70"/>
      <c r="DG642" s="70"/>
      <c r="DH642" s="362"/>
      <c r="DI642" s="363"/>
      <c r="DJ642" s="117"/>
      <c r="DK642" s="117"/>
      <c r="DL642" s="117"/>
      <c r="DM642" s="117"/>
      <c r="DN642" s="117"/>
      <c r="DO642" s="117"/>
      <c r="DP642" s="117"/>
      <c r="DQ642" s="117"/>
      <c r="DR642" s="117"/>
      <c r="DS642" s="117"/>
      <c r="DT642" s="117"/>
      <c r="DU642" s="117"/>
      <c r="DV642" s="117"/>
      <c r="DW642" s="117"/>
      <c r="DX642" s="364"/>
      <c r="DY642" s="52"/>
    </row>
    <row r="643" spans="1:129">
      <c r="A643" s="699">
        <v>10</v>
      </c>
      <c r="B643" s="93"/>
      <c r="C643" s="93"/>
      <c r="D643" s="93"/>
      <c r="E643" s="93"/>
      <c r="F643" s="93"/>
      <c r="G643" s="93"/>
      <c r="H643" s="93"/>
      <c r="I643" s="93"/>
      <c r="J643" s="93"/>
      <c r="K643" s="93"/>
      <c r="L643" s="93"/>
      <c r="M643" s="93"/>
      <c r="N643" s="93"/>
      <c r="O643" s="93"/>
      <c r="P643" s="79"/>
      <c r="Q643" s="699"/>
      <c r="R643" s="93"/>
      <c r="S643" s="93"/>
      <c r="T643" s="93"/>
      <c r="U643" s="93"/>
      <c r="V643" s="93"/>
      <c r="W643" s="93"/>
      <c r="X643" s="93"/>
      <c r="Y643" s="93"/>
      <c r="Z643" s="93"/>
      <c r="AA643" s="93"/>
      <c r="AB643" s="93"/>
      <c r="AC643" s="93"/>
      <c r="AD643" s="93"/>
      <c r="AE643" s="93"/>
      <c r="AF643" s="79"/>
      <c r="AG643" s="51"/>
      <c r="AH643" s="51"/>
      <c r="AI643" s="51"/>
      <c r="AJ643" s="51"/>
      <c r="AK643" s="51"/>
      <c r="AL643" s="92"/>
      <c r="AM643" s="92"/>
      <c r="AN643" s="51"/>
      <c r="AO643" s="51"/>
      <c r="AP643" s="93"/>
      <c r="AQ643" s="93"/>
      <c r="AR643" s="93"/>
      <c r="AS643" s="93"/>
      <c r="AT643" s="93"/>
      <c r="AU643" s="93"/>
      <c r="AV643" s="93"/>
      <c r="AW643" s="699"/>
      <c r="AX643" s="93"/>
      <c r="AY643" s="93"/>
      <c r="AZ643" s="93"/>
      <c r="BA643" s="93"/>
      <c r="BB643" s="93"/>
      <c r="BC643" s="93"/>
      <c r="BD643" s="93"/>
      <c r="BE643" s="93"/>
      <c r="BF643" s="93"/>
      <c r="BG643" s="93"/>
      <c r="BH643" s="93"/>
      <c r="BI643" s="93"/>
      <c r="BJ643" s="93"/>
      <c r="BK643" s="93"/>
      <c r="BL643" s="93"/>
      <c r="BM643" s="114"/>
      <c r="BN643" s="93"/>
      <c r="BO643" s="93"/>
      <c r="BP643" s="93"/>
      <c r="BQ643" s="93"/>
      <c r="BR643" s="93"/>
      <c r="BS643" s="93"/>
      <c r="BT643" s="93"/>
      <c r="BU643" s="93"/>
      <c r="BV643" s="93"/>
      <c r="BW643" s="93"/>
      <c r="BX643" s="93"/>
      <c r="BY643" s="93"/>
      <c r="BZ643" s="93"/>
      <c r="CA643" s="93"/>
      <c r="CB643" s="113"/>
      <c r="CC643" s="117"/>
      <c r="CD643" s="117"/>
      <c r="CE643" s="117"/>
      <c r="CF643" s="117"/>
      <c r="CG643" s="117"/>
      <c r="CH643" s="117"/>
      <c r="CI643" s="117"/>
      <c r="CJ643" s="117"/>
      <c r="CK643" s="117"/>
      <c r="CL643" s="117"/>
      <c r="CM643" s="117"/>
      <c r="CN643" s="117"/>
      <c r="CO643" s="117"/>
      <c r="CP643" s="117"/>
      <c r="CQ643" s="117"/>
      <c r="CR643" s="364"/>
      <c r="CS643" s="363"/>
      <c r="CT643" s="117"/>
      <c r="CU643" s="117"/>
      <c r="CV643" s="117"/>
      <c r="CW643" s="117"/>
      <c r="CX643" s="117"/>
      <c r="CY643" s="117"/>
      <c r="CZ643" s="70"/>
      <c r="DA643" s="70"/>
      <c r="DB643" s="117"/>
      <c r="DC643" s="117"/>
      <c r="DD643" s="70"/>
      <c r="DE643" s="70"/>
      <c r="DF643" s="70"/>
      <c r="DG643" s="70"/>
      <c r="DH643" s="362"/>
      <c r="DI643" s="363"/>
      <c r="DJ643" s="117"/>
      <c r="DK643" s="117"/>
      <c r="DL643" s="117"/>
      <c r="DM643" s="117"/>
      <c r="DN643" s="117"/>
      <c r="DO643" s="117"/>
      <c r="DP643" s="117"/>
      <c r="DQ643" s="117"/>
      <c r="DR643" s="117"/>
      <c r="DS643" s="117"/>
      <c r="DT643" s="117"/>
      <c r="DU643" s="117"/>
      <c r="DV643" s="117"/>
      <c r="DW643" s="117"/>
      <c r="DX643" s="364"/>
      <c r="DY643" s="52"/>
    </row>
    <row r="644" spans="1:129">
      <c r="A644" s="699">
        <v>7</v>
      </c>
      <c r="B644" s="93"/>
      <c r="C644" s="93"/>
      <c r="D644" s="93"/>
      <c r="E644" s="93"/>
      <c r="F644" s="93"/>
      <c r="G644" s="93"/>
      <c r="H644" s="93"/>
      <c r="I644" s="93"/>
      <c r="J644" s="93"/>
      <c r="K644" s="93"/>
      <c r="L644" s="93"/>
      <c r="M644" s="93"/>
      <c r="N644" s="93"/>
      <c r="O644" s="93"/>
      <c r="P644" s="79"/>
      <c r="Q644" s="699"/>
      <c r="R644" s="93"/>
      <c r="S644" s="93"/>
      <c r="T644" s="93"/>
      <c r="U644" s="93"/>
      <c r="V644" s="93"/>
      <c r="W644" s="93"/>
      <c r="X644" s="93"/>
      <c r="Y644" s="93"/>
      <c r="Z644" s="93"/>
      <c r="AA644" s="93"/>
      <c r="AB644" s="93"/>
      <c r="AC644" s="93"/>
      <c r="AD644" s="93"/>
      <c r="AE644" s="93"/>
      <c r="AF644" s="79"/>
      <c r="AG644" s="51"/>
      <c r="AH644" s="51"/>
      <c r="AI644" s="51"/>
      <c r="AJ644" s="51"/>
      <c r="AK644" s="92"/>
      <c r="AL644" s="92"/>
      <c r="AM644" s="51"/>
      <c r="AN644" s="51"/>
      <c r="AO644" s="93"/>
      <c r="AP644" s="93"/>
      <c r="AQ644" s="93"/>
      <c r="AR644" s="93"/>
      <c r="AS644" s="93"/>
      <c r="AT644" s="93"/>
      <c r="AU644" s="93"/>
      <c r="AV644" s="93"/>
      <c r="AW644" s="699"/>
      <c r="AX644" s="93"/>
      <c r="AY644" s="93"/>
      <c r="AZ644" s="93"/>
      <c r="BA644" s="93"/>
      <c r="BB644" s="93"/>
      <c r="BC644" s="93"/>
      <c r="BD644" s="93"/>
      <c r="BE644" s="93"/>
      <c r="BF644" s="93"/>
      <c r="BG644" s="93"/>
      <c r="BH644" s="93"/>
      <c r="BI644" s="93"/>
      <c r="BJ644" s="93"/>
      <c r="BK644" s="93"/>
      <c r="BL644" s="93"/>
      <c r="BM644" s="112"/>
      <c r="BN644" s="93"/>
      <c r="BO644" s="93"/>
      <c r="BP644" s="93"/>
      <c r="BQ644" s="93"/>
      <c r="BR644" s="93"/>
      <c r="BS644" s="93"/>
      <c r="BT644" s="93"/>
      <c r="BU644" s="93"/>
      <c r="BV644" s="93"/>
      <c r="BW644" s="93"/>
      <c r="BX644" s="93"/>
      <c r="BY644" s="93"/>
      <c r="BZ644" s="93"/>
      <c r="CA644" s="93"/>
      <c r="CB644" s="113"/>
      <c r="CC644" s="117"/>
      <c r="CD644" s="117"/>
      <c r="CE644" s="117"/>
      <c r="CF644" s="117"/>
      <c r="CG644" s="117"/>
      <c r="CH644" s="117"/>
      <c r="CI644" s="117"/>
      <c r="CJ644" s="117"/>
      <c r="CK644" s="117"/>
      <c r="CL644" s="117"/>
      <c r="CM644" s="117"/>
      <c r="CN644" s="117"/>
      <c r="CO644" s="117"/>
      <c r="CP644" s="117"/>
      <c r="CQ644" s="117"/>
      <c r="CR644" s="364"/>
      <c r="CS644" s="363"/>
      <c r="CT644" s="117"/>
      <c r="CU644" s="117"/>
      <c r="CV644" s="117"/>
      <c r="CW644" s="117"/>
      <c r="CX644" s="117"/>
      <c r="CY644" s="117"/>
      <c r="CZ644" s="117"/>
      <c r="DA644" s="70"/>
      <c r="DB644" s="70"/>
      <c r="DC644" s="117"/>
      <c r="DD644" s="117"/>
      <c r="DE644" s="70"/>
      <c r="DF644" s="70"/>
      <c r="DG644" s="70"/>
      <c r="DH644" s="362"/>
      <c r="DI644" s="363"/>
      <c r="DJ644" s="117"/>
      <c r="DK644" s="117"/>
      <c r="DL644" s="117"/>
      <c r="DM644" s="117"/>
      <c r="DN644" s="117"/>
      <c r="DO644" s="117"/>
      <c r="DP644" s="117"/>
      <c r="DQ644" s="117"/>
      <c r="DR644" s="117"/>
      <c r="DS644" s="117"/>
      <c r="DT644" s="117"/>
      <c r="DU644" s="117"/>
      <c r="DV644" s="117"/>
      <c r="DW644" s="117"/>
      <c r="DX644" s="364"/>
      <c r="DY644" s="795"/>
    </row>
    <row r="645" spans="1:129">
      <c r="A645" s="699">
        <v>0</v>
      </c>
      <c r="B645" s="93"/>
      <c r="C645" s="93"/>
      <c r="D645" s="93"/>
      <c r="E645" s="93"/>
      <c r="F645" s="93"/>
      <c r="G645" s="93"/>
      <c r="H645" s="93"/>
      <c r="I645" s="93"/>
      <c r="J645" s="93"/>
      <c r="K645" s="93"/>
      <c r="L645" s="93"/>
      <c r="M645" s="93"/>
      <c r="N645" s="93"/>
      <c r="O645" s="93"/>
      <c r="P645" s="79"/>
      <c r="Q645" s="699"/>
      <c r="R645" s="93"/>
      <c r="S645" s="93"/>
      <c r="T645" s="93"/>
      <c r="U645" s="93"/>
      <c r="V645" s="93"/>
      <c r="W645" s="93"/>
      <c r="X645" s="93"/>
      <c r="Y645" s="93"/>
      <c r="Z645" s="93"/>
      <c r="AA645" s="93"/>
      <c r="AB645" s="93"/>
      <c r="AC645" s="93"/>
      <c r="AD645" s="93"/>
      <c r="AE645" s="93"/>
      <c r="AF645" s="79"/>
      <c r="AG645" s="51"/>
      <c r="AH645" s="51"/>
      <c r="AI645" s="51"/>
      <c r="AJ645" s="51"/>
      <c r="AK645" s="92"/>
      <c r="AL645" s="92"/>
      <c r="AM645" s="92"/>
      <c r="AN645" s="51"/>
      <c r="AO645" s="51"/>
      <c r="AP645" s="93"/>
      <c r="AQ645" s="93"/>
      <c r="AR645" s="93"/>
      <c r="AS645" s="93"/>
      <c r="AT645" s="93"/>
      <c r="AU645" s="93"/>
      <c r="AV645" s="93"/>
      <c r="AW645" s="699"/>
      <c r="AX645" s="93"/>
      <c r="AY645" s="93"/>
      <c r="AZ645" s="93"/>
      <c r="BA645" s="93"/>
      <c r="BB645" s="93"/>
      <c r="BC645" s="93"/>
      <c r="BD645" s="93"/>
      <c r="BE645" s="93"/>
      <c r="BF645" s="93"/>
      <c r="BG645" s="93"/>
      <c r="BH645" s="93"/>
      <c r="BI645" s="93"/>
      <c r="BJ645" s="93"/>
      <c r="BK645" s="93"/>
      <c r="BL645" s="93"/>
      <c r="BM645" s="112"/>
      <c r="BN645" s="93"/>
      <c r="BO645" s="93"/>
      <c r="BP645" s="93"/>
      <c r="BQ645" s="93"/>
      <c r="BR645" s="93"/>
      <c r="BS645" s="93"/>
      <c r="BT645" s="93"/>
      <c r="BU645" s="93"/>
      <c r="BV645" s="93"/>
      <c r="BW645" s="93"/>
      <c r="BX645" s="93"/>
      <c r="BY645" s="93"/>
      <c r="BZ645" s="93"/>
      <c r="CA645" s="93"/>
      <c r="CB645" s="113"/>
      <c r="CC645" s="117"/>
      <c r="CD645" s="117"/>
      <c r="CE645" s="117"/>
      <c r="CF645" s="117"/>
      <c r="CG645" s="117"/>
      <c r="CH645" s="117"/>
      <c r="CI645" s="117"/>
      <c r="CJ645" s="117"/>
      <c r="CK645" s="117"/>
      <c r="CL645" s="117"/>
      <c r="CM645" s="117"/>
      <c r="CN645" s="117"/>
      <c r="CO645" s="117"/>
      <c r="CP645" s="117"/>
      <c r="CQ645" s="117"/>
      <c r="CR645" s="364"/>
      <c r="CS645" s="363"/>
      <c r="CT645" s="117"/>
      <c r="CU645" s="117"/>
      <c r="CV645" s="117"/>
      <c r="CW645" s="117"/>
      <c r="CX645" s="117"/>
      <c r="CY645" s="117"/>
      <c r="CZ645" s="70"/>
      <c r="DA645" s="70"/>
      <c r="DB645" s="117"/>
      <c r="DC645" s="117"/>
      <c r="DD645" s="117"/>
      <c r="DE645" s="70"/>
      <c r="DF645" s="70"/>
      <c r="DG645" s="70"/>
      <c r="DH645" s="362"/>
      <c r="DI645" s="363"/>
      <c r="DJ645" s="117"/>
      <c r="DK645" s="117"/>
      <c r="DL645" s="117"/>
      <c r="DM645" s="117"/>
      <c r="DN645" s="117"/>
      <c r="DO645" s="117"/>
      <c r="DP645" s="117"/>
      <c r="DQ645" s="117"/>
      <c r="DR645" s="117"/>
      <c r="DS645" s="117"/>
      <c r="DT645" s="117"/>
      <c r="DU645" s="117"/>
      <c r="DV645" s="117"/>
      <c r="DW645" s="117"/>
      <c r="DX645" s="364"/>
      <c r="DY645" s="798"/>
    </row>
    <row r="646" spans="1:129">
      <c r="A646" s="699">
        <v>128</v>
      </c>
      <c r="B646" s="699"/>
      <c r="C646" s="93"/>
      <c r="D646" s="93"/>
      <c r="E646" s="93"/>
      <c r="F646" s="93"/>
      <c r="G646" s="206"/>
      <c r="H646" s="93"/>
      <c r="I646" s="93"/>
      <c r="J646" s="206"/>
      <c r="K646" s="93"/>
      <c r="L646" s="93"/>
      <c r="M646" s="93"/>
      <c r="N646" s="93"/>
      <c r="O646" s="93"/>
      <c r="P646" s="79"/>
      <c r="Q646" s="699"/>
      <c r="R646" s="93"/>
      <c r="S646" s="93"/>
      <c r="T646" s="93"/>
      <c r="U646" s="93"/>
      <c r="V646" s="93"/>
      <c r="W646" s="206"/>
      <c r="X646" s="93"/>
      <c r="Y646" s="206"/>
      <c r="Z646" s="93"/>
      <c r="AA646" s="93"/>
      <c r="AB646" s="93"/>
      <c r="AC646" s="93"/>
      <c r="AD646" s="93"/>
      <c r="AE646" s="93"/>
      <c r="AF646" s="79"/>
      <c r="AG646" s="51"/>
      <c r="AH646" s="51"/>
      <c r="AI646" s="51"/>
      <c r="AJ646" s="51"/>
      <c r="AK646" s="92"/>
      <c r="AL646" s="92"/>
      <c r="AM646" s="92"/>
      <c r="AN646" s="206"/>
      <c r="AO646" s="51"/>
      <c r="AP646" s="93"/>
      <c r="AQ646" s="93"/>
      <c r="AR646" s="93"/>
      <c r="AS646" s="93"/>
      <c r="AT646" s="93"/>
      <c r="AU646" s="93"/>
      <c r="AV646" s="93"/>
      <c r="AW646" s="699"/>
      <c r="AX646" s="93"/>
      <c r="AY646" s="93"/>
      <c r="AZ646" s="93"/>
      <c r="BA646" s="93"/>
      <c r="BB646" s="93"/>
      <c r="BC646" s="206"/>
      <c r="BD646" s="93"/>
      <c r="BE646" s="206"/>
      <c r="BF646" s="93"/>
      <c r="BG646" s="93"/>
      <c r="BH646" s="93"/>
      <c r="BI646" s="93"/>
      <c r="BJ646" s="93"/>
      <c r="BK646" s="93"/>
      <c r="BL646" s="93"/>
      <c r="BM646" s="112"/>
      <c r="BN646" s="93"/>
      <c r="BO646" s="93"/>
      <c r="BP646" s="93"/>
      <c r="BQ646" s="93"/>
      <c r="BR646" s="93"/>
      <c r="BS646" s="206"/>
      <c r="BT646" s="93"/>
      <c r="BU646" s="93"/>
      <c r="BV646" s="206"/>
      <c r="BW646" s="93"/>
      <c r="BX646" s="93"/>
      <c r="BY646" s="93"/>
      <c r="BZ646" s="93"/>
      <c r="CA646" s="93"/>
      <c r="CB646" s="113"/>
      <c r="CC646" s="117"/>
      <c r="CD646" s="117"/>
      <c r="CE646" s="117"/>
      <c r="CF646" s="117"/>
      <c r="CG646" s="117"/>
      <c r="CH646" s="117"/>
      <c r="CI646" s="117"/>
      <c r="CJ646" s="878"/>
      <c r="CK646" s="117"/>
      <c r="CL646" s="878"/>
      <c r="CM646" s="117"/>
      <c r="CN646" s="117"/>
      <c r="CO646" s="117"/>
      <c r="CP646" s="117"/>
      <c r="CQ646" s="117"/>
      <c r="CR646" s="364"/>
      <c r="CS646" s="363"/>
      <c r="CT646" s="117"/>
      <c r="CU646" s="117"/>
      <c r="CV646" s="117"/>
      <c r="CW646" s="117"/>
      <c r="CX646" s="117"/>
      <c r="CY646" s="117"/>
      <c r="CZ646" s="70"/>
      <c r="DA646" s="878"/>
      <c r="DB646" s="117"/>
      <c r="DC646" s="117"/>
      <c r="DD646" s="117"/>
      <c r="DE646" s="70"/>
      <c r="DF646" s="70"/>
      <c r="DG646" s="70"/>
      <c r="DH646" s="362"/>
      <c r="DI646" s="363"/>
      <c r="DJ646" s="117"/>
      <c r="DK646" s="117"/>
      <c r="DL646" s="117"/>
      <c r="DM646" s="117"/>
      <c r="DN646" s="117"/>
      <c r="DO646" s="117"/>
      <c r="DP646" s="878"/>
      <c r="DQ646" s="117"/>
      <c r="DR646" s="878"/>
      <c r="DS646" s="117"/>
      <c r="DT646" s="117"/>
      <c r="DU646" s="117"/>
      <c r="DV646" s="117"/>
      <c r="DW646" s="117"/>
      <c r="DX646" s="364"/>
      <c r="DY646" s="798"/>
    </row>
    <row r="647" spans="1:129">
      <c r="A647" s="699">
        <v>500</v>
      </c>
      <c r="B647" s="699"/>
      <c r="C647" s="93"/>
      <c r="D647" s="93"/>
      <c r="E647" s="93"/>
      <c r="F647" s="206"/>
      <c r="G647" s="160"/>
      <c r="H647" s="93"/>
      <c r="I647" s="93"/>
      <c r="J647" s="160"/>
      <c r="K647" s="206"/>
      <c r="L647" s="93"/>
      <c r="M647" s="93"/>
      <c r="N647" s="93"/>
      <c r="O647" s="93"/>
      <c r="P647" s="79"/>
      <c r="Q647" s="699"/>
      <c r="R647" s="93"/>
      <c r="S647" s="93"/>
      <c r="T647" s="93"/>
      <c r="U647" s="93"/>
      <c r="V647" s="93"/>
      <c r="W647" s="160"/>
      <c r="X647" s="93"/>
      <c r="Y647" s="160"/>
      <c r="Z647" s="206"/>
      <c r="AA647" s="93"/>
      <c r="AB647" s="93"/>
      <c r="AC647" s="93"/>
      <c r="AD647" s="93"/>
      <c r="AE647" s="93"/>
      <c r="AF647" s="79"/>
      <c r="AG647" s="51"/>
      <c r="AH647" s="51"/>
      <c r="AI647" s="51"/>
      <c r="AJ647" s="51"/>
      <c r="AK647" s="92"/>
      <c r="AL647" s="92"/>
      <c r="AM647" s="92"/>
      <c r="AN647" s="160"/>
      <c r="AO647" s="206"/>
      <c r="AP647" s="93"/>
      <c r="AQ647" s="93"/>
      <c r="AR647" s="93"/>
      <c r="AS647" s="93"/>
      <c r="AT647" s="93"/>
      <c r="AU647" s="93"/>
      <c r="AV647" s="93"/>
      <c r="AW647" s="699"/>
      <c r="AX647" s="93"/>
      <c r="AY647" s="93"/>
      <c r="AZ647" s="93"/>
      <c r="BA647" s="93"/>
      <c r="BB647" s="93"/>
      <c r="BC647" s="160"/>
      <c r="BD647" s="93"/>
      <c r="BE647" s="160"/>
      <c r="BF647" s="206"/>
      <c r="BG647" s="93"/>
      <c r="BH647" s="93"/>
      <c r="BI647" s="93"/>
      <c r="BJ647" s="93"/>
      <c r="BK647" s="93"/>
      <c r="BL647" s="93"/>
      <c r="BM647" s="112"/>
      <c r="BN647" s="93"/>
      <c r="BO647" s="93"/>
      <c r="BP647" s="93"/>
      <c r="BQ647" s="93"/>
      <c r="BR647" s="206"/>
      <c r="BS647" s="160"/>
      <c r="BT647" s="93"/>
      <c r="BU647" s="93"/>
      <c r="BV647" s="160"/>
      <c r="BW647" s="206"/>
      <c r="BX647" s="93"/>
      <c r="BY647" s="93"/>
      <c r="BZ647" s="93"/>
      <c r="CA647" s="93"/>
      <c r="CB647" s="113"/>
      <c r="CC647" s="117"/>
      <c r="CD647" s="117"/>
      <c r="CE647" s="117"/>
      <c r="CF647" s="117"/>
      <c r="CG647" s="117"/>
      <c r="CH647" s="117"/>
      <c r="CI647" s="878"/>
      <c r="CJ647" s="150"/>
      <c r="CK647" s="117"/>
      <c r="CL647" s="150"/>
      <c r="CM647" s="117"/>
      <c r="CN647" s="117"/>
      <c r="CO647" s="117"/>
      <c r="CP647" s="117"/>
      <c r="CQ647" s="117"/>
      <c r="CR647" s="364"/>
      <c r="CS647" s="363"/>
      <c r="CT647" s="117"/>
      <c r="CU647" s="117"/>
      <c r="CV647" s="117"/>
      <c r="CW647" s="117"/>
      <c r="CX647" s="117"/>
      <c r="CY647" s="117"/>
      <c r="CZ647" s="878"/>
      <c r="DA647" s="150"/>
      <c r="DB647" s="117"/>
      <c r="DC647" s="117"/>
      <c r="DD647" s="117"/>
      <c r="DE647" s="70"/>
      <c r="DF647" s="70"/>
      <c r="DG647" s="70"/>
      <c r="DH647" s="362"/>
      <c r="DI647" s="363"/>
      <c r="DJ647" s="117"/>
      <c r="DK647" s="117"/>
      <c r="DL647" s="117"/>
      <c r="DM647" s="117"/>
      <c r="DN647" s="117"/>
      <c r="DO647" s="878"/>
      <c r="DP647" s="150"/>
      <c r="DQ647" s="117"/>
      <c r="DR647" s="150"/>
      <c r="DS647" s="117"/>
      <c r="DT647" s="117"/>
      <c r="DU647" s="117"/>
      <c r="DV647" s="117"/>
      <c r="DW647" s="117"/>
      <c r="DX647" s="364"/>
      <c r="DY647" s="795"/>
    </row>
    <row r="648" spans="1:129">
      <c r="A648" s="699">
        <v>2000</v>
      </c>
      <c r="B648" s="93"/>
      <c r="C648" s="93"/>
      <c r="D648" s="93"/>
      <c r="E648" s="93"/>
      <c r="F648" s="160"/>
      <c r="G648" s="160"/>
      <c r="H648" s="205"/>
      <c r="I648" s="205"/>
      <c r="J648" s="160"/>
      <c r="K648" s="160"/>
      <c r="L648" s="93"/>
      <c r="M648" s="93"/>
      <c r="N648" s="93"/>
      <c r="O648" s="93"/>
      <c r="P648" s="79"/>
      <c r="Q648" s="699"/>
      <c r="R648" s="93"/>
      <c r="S648" s="93"/>
      <c r="T648" s="93"/>
      <c r="U648" s="93"/>
      <c r="V648" s="160"/>
      <c r="W648" s="205"/>
      <c r="X648" s="205"/>
      <c r="Y648" s="160"/>
      <c r="Z648" s="160"/>
      <c r="AA648" s="206"/>
      <c r="AB648" s="93"/>
      <c r="AC648" s="93"/>
      <c r="AD648" s="93"/>
      <c r="AE648" s="93"/>
      <c r="AF648" s="79"/>
      <c r="AG648" s="51"/>
      <c r="AH648" s="51"/>
      <c r="AI648" s="51"/>
      <c r="AJ648" s="51"/>
      <c r="AK648" s="92"/>
      <c r="AL648" s="160"/>
      <c r="AM648" s="205"/>
      <c r="AN648" s="205"/>
      <c r="AO648" s="160"/>
      <c r="AP648" s="93"/>
      <c r="AQ648" s="93"/>
      <c r="AR648" s="93"/>
      <c r="AS648" s="93"/>
      <c r="AT648" s="93"/>
      <c r="AU648" s="93"/>
      <c r="AV648" s="93"/>
      <c r="AW648" s="699"/>
      <c r="AX648" s="93"/>
      <c r="AY648" s="93"/>
      <c r="AZ648" s="93"/>
      <c r="BA648" s="93"/>
      <c r="BB648" s="160"/>
      <c r="BC648" s="160"/>
      <c r="BD648" s="206"/>
      <c r="BE648" s="206"/>
      <c r="BF648" s="160"/>
      <c r="BG648" s="93"/>
      <c r="BH648" s="93"/>
      <c r="BI648" s="93"/>
      <c r="BJ648" s="93"/>
      <c r="BK648" s="93"/>
      <c r="BL648" s="93"/>
      <c r="BM648" s="112"/>
      <c r="BN648" s="93"/>
      <c r="BO648" s="93"/>
      <c r="BP648" s="93"/>
      <c r="BQ648" s="93"/>
      <c r="BR648" s="160"/>
      <c r="BS648" s="160"/>
      <c r="BT648" s="205"/>
      <c r="BU648" s="205"/>
      <c r="BV648" s="160"/>
      <c r="BW648" s="160"/>
      <c r="BX648" s="93"/>
      <c r="BY648" s="93"/>
      <c r="BZ648" s="93"/>
      <c r="CA648" s="93"/>
      <c r="CB648" s="113"/>
      <c r="CC648" s="117"/>
      <c r="CD648" s="117"/>
      <c r="CE648" s="117"/>
      <c r="CF648" s="117"/>
      <c r="CG648" s="117"/>
      <c r="CH648" s="117"/>
      <c r="CI648" s="150"/>
      <c r="CJ648" s="878"/>
      <c r="CK648" s="878"/>
      <c r="CL648" s="150"/>
      <c r="CM648" s="150"/>
      <c r="CN648" s="117"/>
      <c r="CO648" s="117"/>
      <c r="CP648" s="117"/>
      <c r="CQ648" s="117"/>
      <c r="CR648" s="364"/>
      <c r="CS648" s="363"/>
      <c r="CT648" s="117"/>
      <c r="CU648" s="117"/>
      <c r="CV648" s="117"/>
      <c r="CW648" s="117"/>
      <c r="CX648" s="117"/>
      <c r="CY648" s="117"/>
      <c r="CZ648" s="150"/>
      <c r="DA648" s="881"/>
      <c r="DB648" s="881"/>
      <c r="DC648" s="150"/>
      <c r="DD648" s="117"/>
      <c r="DE648" s="70"/>
      <c r="DF648" s="70"/>
      <c r="DG648" s="70"/>
      <c r="DH648" s="362"/>
      <c r="DI648" s="363"/>
      <c r="DJ648" s="117"/>
      <c r="DK648" s="117"/>
      <c r="DL648" s="117"/>
      <c r="DM648" s="117"/>
      <c r="DN648" s="878"/>
      <c r="DO648" s="150"/>
      <c r="DP648" s="150"/>
      <c r="DQ648" s="881"/>
      <c r="DR648" s="881"/>
      <c r="DS648" s="150"/>
      <c r="DT648" s="117"/>
      <c r="DU648" s="117"/>
      <c r="DV648" s="117"/>
      <c r="DW648" s="117"/>
      <c r="DX648" s="364"/>
      <c r="DY648" s="798"/>
    </row>
    <row r="649" spans="1:129">
      <c r="A649" s="699">
        <v>2500</v>
      </c>
      <c r="B649" s="204"/>
      <c r="C649" s="93"/>
      <c r="D649" s="93"/>
      <c r="E649" s="206"/>
      <c r="F649" s="160"/>
      <c r="G649" s="312"/>
      <c r="H649" s="160"/>
      <c r="I649" s="160"/>
      <c r="J649" s="312"/>
      <c r="K649" s="160"/>
      <c r="L649" s="206"/>
      <c r="M649" s="93"/>
      <c r="N649" s="93"/>
      <c r="O649" s="204"/>
      <c r="P649" s="79"/>
      <c r="Q649" s="699"/>
      <c r="R649" s="93"/>
      <c r="S649" s="93"/>
      <c r="T649" s="93"/>
      <c r="U649" s="93"/>
      <c r="V649" s="204"/>
      <c r="W649" s="205"/>
      <c r="X649" s="204"/>
      <c r="Y649" s="206"/>
      <c r="Z649" s="160"/>
      <c r="AA649" s="160"/>
      <c r="AB649" s="206"/>
      <c r="AC649" s="93"/>
      <c r="AD649" s="93"/>
      <c r="AE649" s="93"/>
      <c r="AF649" s="79"/>
      <c r="AG649" s="51"/>
      <c r="AH649" s="51"/>
      <c r="AI649" s="51"/>
      <c r="AJ649" s="51"/>
      <c r="AK649" s="51"/>
      <c r="AL649" s="204"/>
      <c r="AM649" s="206"/>
      <c r="AN649" s="206"/>
      <c r="AO649" s="160"/>
      <c r="AP649" s="206"/>
      <c r="AQ649" s="93"/>
      <c r="AR649" s="93"/>
      <c r="AS649" s="93"/>
      <c r="AT649" s="93"/>
      <c r="AU649" s="93"/>
      <c r="AV649" s="93"/>
      <c r="AW649" s="699"/>
      <c r="AX649" s="93"/>
      <c r="AY649" s="93"/>
      <c r="AZ649" s="93"/>
      <c r="BA649" s="93"/>
      <c r="BB649" s="298"/>
      <c r="BC649" s="160"/>
      <c r="BD649" s="160"/>
      <c r="BE649" s="206"/>
      <c r="BF649" s="160"/>
      <c r="BG649" s="206"/>
      <c r="BH649" s="93"/>
      <c r="BI649" s="93"/>
      <c r="BJ649" s="93"/>
      <c r="BK649" s="93"/>
      <c r="BL649" s="93"/>
      <c r="BM649" s="112"/>
      <c r="BN649" s="204"/>
      <c r="BO649" s="93"/>
      <c r="BP649" s="93"/>
      <c r="BQ649" s="206"/>
      <c r="BR649" s="160"/>
      <c r="BS649" s="205"/>
      <c r="BT649" s="205"/>
      <c r="BU649" s="205"/>
      <c r="BV649" s="205"/>
      <c r="BW649" s="160"/>
      <c r="BX649" s="206"/>
      <c r="BY649" s="93"/>
      <c r="BZ649" s="93"/>
      <c r="CA649" s="204"/>
      <c r="CB649" s="113"/>
      <c r="CC649" s="117"/>
      <c r="CD649" s="117"/>
      <c r="CE649" s="117"/>
      <c r="CF649" s="117"/>
      <c r="CG649" s="117"/>
      <c r="CH649" s="878"/>
      <c r="CI649" s="150"/>
      <c r="CJ649" s="878"/>
      <c r="CK649" s="150"/>
      <c r="CL649" s="150"/>
      <c r="CM649" s="890"/>
      <c r="CN649" s="117"/>
      <c r="CO649" s="117"/>
      <c r="CP649" s="117"/>
      <c r="CQ649" s="117"/>
      <c r="CR649" s="364"/>
      <c r="CS649" s="363"/>
      <c r="CT649" s="117"/>
      <c r="CU649" s="117"/>
      <c r="CV649" s="117"/>
      <c r="CW649" s="117"/>
      <c r="CX649" s="117"/>
      <c r="CY649" s="878"/>
      <c r="CZ649" s="150"/>
      <c r="DA649" s="878"/>
      <c r="DB649" s="878"/>
      <c r="DC649" s="961"/>
      <c r="DD649" s="70"/>
      <c r="DE649" s="70"/>
      <c r="DF649" s="70"/>
      <c r="DG649" s="70"/>
      <c r="DH649" s="362"/>
      <c r="DI649" s="363"/>
      <c r="DJ649" s="117"/>
      <c r="DK649" s="117"/>
      <c r="DL649" s="117"/>
      <c r="DM649" s="878"/>
      <c r="DN649" s="150"/>
      <c r="DO649" s="150"/>
      <c r="DP649" s="878"/>
      <c r="DQ649" s="961"/>
      <c r="DR649" s="881"/>
      <c r="DS649" s="961"/>
      <c r="DT649" s="117"/>
      <c r="DU649" s="117"/>
      <c r="DV649" s="117"/>
      <c r="DW649" s="117"/>
      <c r="DX649" s="364"/>
      <c r="DY649" s="795"/>
    </row>
    <row r="650" spans="1:129">
      <c r="A650" s="699">
        <v>10</v>
      </c>
      <c r="B650" s="298"/>
      <c r="C650" s="204"/>
      <c r="D650" s="93"/>
      <c r="E650" s="206"/>
      <c r="F650" s="298"/>
      <c r="G650" s="298"/>
      <c r="H650" s="160"/>
      <c r="I650" s="160"/>
      <c r="J650" s="298"/>
      <c r="K650" s="298"/>
      <c r="L650" s="206"/>
      <c r="M650" s="93"/>
      <c r="N650" s="204"/>
      <c r="O650" s="298"/>
      <c r="P650" s="79"/>
      <c r="Q650" s="699"/>
      <c r="R650" s="93"/>
      <c r="S650" s="93"/>
      <c r="T650" s="93"/>
      <c r="U650" s="206"/>
      <c r="V650" s="205"/>
      <c r="W650" s="205"/>
      <c r="X650" s="298"/>
      <c r="Y650" s="294"/>
      <c r="Z650" s="160"/>
      <c r="AA650" s="206"/>
      <c r="AB650" s="206"/>
      <c r="AC650" s="93"/>
      <c r="AD650" s="93"/>
      <c r="AE650" s="204"/>
      <c r="AF650" s="79"/>
      <c r="AG650" s="51"/>
      <c r="AH650" s="51"/>
      <c r="AI650" s="93"/>
      <c r="AJ650" s="206"/>
      <c r="AK650" s="294"/>
      <c r="AL650" s="298"/>
      <c r="AM650" s="294"/>
      <c r="AN650" s="160"/>
      <c r="AO650" s="160"/>
      <c r="AP650" s="206"/>
      <c r="AQ650" s="206"/>
      <c r="AR650" s="93"/>
      <c r="AS650" s="93"/>
      <c r="AT650" s="204"/>
      <c r="AU650" s="93"/>
      <c r="AV650" s="93"/>
      <c r="AW650" s="699"/>
      <c r="AX650" s="93"/>
      <c r="AY650" s="93"/>
      <c r="AZ650" s="93"/>
      <c r="BA650" s="206"/>
      <c r="BB650" s="160"/>
      <c r="BC650" s="206"/>
      <c r="BD650" s="160"/>
      <c r="BE650" s="206"/>
      <c r="BF650" s="206"/>
      <c r="BG650" s="160"/>
      <c r="BH650" s="93"/>
      <c r="BI650" s="93"/>
      <c r="BJ650" s="204"/>
      <c r="BK650" s="93"/>
      <c r="BL650" s="93"/>
      <c r="BM650" s="112"/>
      <c r="BN650" s="298"/>
      <c r="BO650" s="204"/>
      <c r="BP650" s="93"/>
      <c r="BQ650" s="206"/>
      <c r="BR650" s="160"/>
      <c r="BS650" s="205"/>
      <c r="BT650" s="205"/>
      <c r="BU650" s="205"/>
      <c r="BV650" s="205"/>
      <c r="BW650" s="160"/>
      <c r="BX650" s="206"/>
      <c r="BY650" s="93"/>
      <c r="BZ650" s="204"/>
      <c r="CA650" s="298"/>
      <c r="CB650" s="113"/>
      <c r="CC650" s="117"/>
      <c r="CD650" s="117"/>
      <c r="CE650" s="961"/>
      <c r="CF650" s="117"/>
      <c r="CG650" s="117"/>
      <c r="CH650" s="150"/>
      <c r="CI650" s="878"/>
      <c r="CJ650" s="878"/>
      <c r="CK650" s="150"/>
      <c r="CL650" s="878"/>
      <c r="CM650" s="150"/>
      <c r="CN650" s="878"/>
      <c r="CO650" s="117"/>
      <c r="CP650" s="117"/>
      <c r="CQ650" s="117"/>
      <c r="CR650" s="364"/>
      <c r="CS650" s="363"/>
      <c r="CT650" s="117"/>
      <c r="CU650" s="961"/>
      <c r="CV650" s="117"/>
      <c r="CW650" s="117"/>
      <c r="CX650" s="878"/>
      <c r="CY650" s="878"/>
      <c r="CZ650" s="150"/>
      <c r="DA650" s="150"/>
      <c r="DB650" s="885"/>
      <c r="DC650" s="890"/>
      <c r="DD650" s="885"/>
      <c r="DE650" s="878"/>
      <c r="DF650" s="117"/>
      <c r="DG650" s="70"/>
      <c r="DH650" s="362"/>
      <c r="DI650" s="363"/>
      <c r="DJ650" s="961"/>
      <c r="DK650" s="117"/>
      <c r="DL650" s="117"/>
      <c r="DM650" s="878"/>
      <c r="DN650" s="878"/>
      <c r="DO650" s="150"/>
      <c r="DP650" s="885"/>
      <c r="DQ650" s="890"/>
      <c r="DR650" s="881"/>
      <c r="DS650" s="881"/>
      <c r="DT650" s="878"/>
      <c r="DU650" s="117"/>
      <c r="DV650" s="117"/>
      <c r="DW650" s="117"/>
      <c r="DX650" s="364"/>
      <c r="DY650" s="795"/>
    </row>
    <row r="651" spans="1:129">
      <c r="A651" s="699">
        <v>10</v>
      </c>
      <c r="B651" s="290"/>
      <c r="C651" s="298"/>
      <c r="D651" s="204"/>
      <c r="E651" s="93"/>
      <c r="F651" s="205"/>
      <c r="G651" s="205"/>
      <c r="H651" s="205"/>
      <c r="I651" s="205"/>
      <c r="J651" s="205"/>
      <c r="K651" s="205"/>
      <c r="L651" s="93"/>
      <c r="M651" s="204"/>
      <c r="N651" s="298"/>
      <c r="O651" s="290"/>
      <c r="P651" s="79"/>
      <c r="Q651" s="699"/>
      <c r="R651" s="93"/>
      <c r="S651" s="93"/>
      <c r="T651" s="93"/>
      <c r="U651" s="205"/>
      <c r="V651" s="205"/>
      <c r="W651" s="205"/>
      <c r="X651" s="205"/>
      <c r="Y651" s="160"/>
      <c r="Z651" s="205"/>
      <c r="AA651" s="206"/>
      <c r="AB651" s="93"/>
      <c r="AC651" s="93"/>
      <c r="AD651" s="204"/>
      <c r="AE651" s="294"/>
      <c r="AF651" s="79"/>
      <c r="AG651" s="51"/>
      <c r="AH651" s="51"/>
      <c r="AI651" s="93"/>
      <c r="AJ651" s="205"/>
      <c r="AK651" s="205"/>
      <c r="AL651" s="205"/>
      <c r="AM651" s="160"/>
      <c r="AN651" s="160"/>
      <c r="AO651" s="206"/>
      <c r="AP651" s="206"/>
      <c r="AQ651" s="206"/>
      <c r="AR651" s="93"/>
      <c r="AS651" s="298"/>
      <c r="AT651" s="207"/>
      <c r="AU651" s="93"/>
      <c r="AV651" s="93"/>
      <c r="AW651" s="699"/>
      <c r="AX651" s="93"/>
      <c r="AY651" s="93"/>
      <c r="AZ651" s="93"/>
      <c r="BA651" s="206"/>
      <c r="BB651" s="160"/>
      <c r="BC651" s="206"/>
      <c r="BD651" s="160"/>
      <c r="BE651" s="206"/>
      <c r="BF651" s="206"/>
      <c r="BG651" s="290"/>
      <c r="BH651" s="93"/>
      <c r="BI651" s="204"/>
      <c r="BJ651" s="298"/>
      <c r="BK651" s="204"/>
      <c r="BL651" s="93"/>
      <c r="BM651" s="112"/>
      <c r="BN651" s="290"/>
      <c r="BO651" s="298"/>
      <c r="BP651" s="204"/>
      <c r="BQ651" s="93"/>
      <c r="BR651" s="205"/>
      <c r="BS651" s="205"/>
      <c r="BT651" s="205"/>
      <c r="BU651" s="205"/>
      <c r="BV651" s="205"/>
      <c r="BW651" s="205"/>
      <c r="BX651" s="93"/>
      <c r="BY651" s="204"/>
      <c r="BZ651" s="298"/>
      <c r="CA651" s="290"/>
      <c r="CB651" s="113"/>
      <c r="CC651" s="117"/>
      <c r="CD651" s="961"/>
      <c r="CE651" s="890"/>
      <c r="CF651" s="961"/>
      <c r="CG651" s="117"/>
      <c r="CH651" s="893"/>
      <c r="CI651" s="878"/>
      <c r="CJ651" s="878"/>
      <c r="CK651" s="150"/>
      <c r="CL651" s="878"/>
      <c r="CM651" s="150"/>
      <c r="CN651" s="878"/>
      <c r="CO651" s="117"/>
      <c r="CP651" s="117"/>
      <c r="CQ651" s="117"/>
      <c r="CR651" s="364"/>
      <c r="CS651" s="363"/>
      <c r="CT651" s="117"/>
      <c r="CU651" s="894"/>
      <c r="CV651" s="890"/>
      <c r="CW651" s="117"/>
      <c r="CX651" s="878"/>
      <c r="CY651" s="878"/>
      <c r="CZ651" s="878"/>
      <c r="DA651" s="150"/>
      <c r="DB651" s="150"/>
      <c r="DC651" s="881"/>
      <c r="DD651" s="881"/>
      <c r="DE651" s="881"/>
      <c r="DF651" s="117"/>
      <c r="DG651" s="70"/>
      <c r="DH651" s="362"/>
      <c r="DI651" s="363"/>
      <c r="DJ651" s="885"/>
      <c r="DK651" s="961"/>
      <c r="DL651" s="117"/>
      <c r="DM651" s="117"/>
      <c r="DN651" s="878"/>
      <c r="DO651" s="881"/>
      <c r="DP651" s="150"/>
      <c r="DQ651" s="881"/>
      <c r="DR651" s="881"/>
      <c r="DS651" s="881"/>
      <c r="DT651" s="881"/>
      <c r="DU651" s="117"/>
      <c r="DV651" s="117"/>
      <c r="DW651" s="117"/>
      <c r="DX651" s="364"/>
      <c r="DY651" s="795"/>
    </row>
    <row r="652" spans="1:129">
      <c r="A652" s="204">
        <v>140</v>
      </c>
      <c r="B652" s="290"/>
      <c r="C652" s="294"/>
      <c r="D652" s="298"/>
      <c r="E652" s="204"/>
      <c r="F652" s="206"/>
      <c r="G652" s="160"/>
      <c r="H652" s="298"/>
      <c r="I652" s="298"/>
      <c r="J652" s="160"/>
      <c r="K652" s="206"/>
      <c r="L652" s="204"/>
      <c r="M652" s="298"/>
      <c r="N652" s="294"/>
      <c r="O652" s="290"/>
      <c r="P652" s="204"/>
      <c r="Q652" s="699"/>
      <c r="R652" s="93"/>
      <c r="S652" s="93"/>
      <c r="T652" s="93"/>
      <c r="U652" s="93"/>
      <c r="V652" s="298"/>
      <c r="W652" s="298"/>
      <c r="X652" s="160"/>
      <c r="Y652" s="205"/>
      <c r="Z652" s="205"/>
      <c r="AA652" s="206"/>
      <c r="AB652" s="93"/>
      <c r="AC652" s="93"/>
      <c r="AD652" s="207"/>
      <c r="AE652" s="298"/>
      <c r="AF652" s="79"/>
      <c r="AG652" s="51"/>
      <c r="AH652" s="51"/>
      <c r="AI652" s="51"/>
      <c r="AJ652" s="51"/>
      <c r="AK652" s="298"/>
      <c r="AL652" s="160"/>
      <c r="AM652" s="206"/>
      <c r="AN652" s="206"/>
      <c r="AO652" s="290"/>
      <c r="AP652" s="206"/>
      <c r="AQ652" s="93"/>
      <c r="AR652" s="298"/>
      <c r="AS652" s="204"/>
      <c r="AT652" s="298"/>
      <c r="AU652" s="93"/>
      <c r="AV652" s="93"/>
      <c r="AW652" s="699"/>
      <c r="AX652" s="93"/>
      <c r="AY652" s="93"/>
      <c r="AZ652" s="93"/>
      <c r="BA652" s="204"/>
      <c r="BB652" s="160"/>
      <c r="BC652" s="206"/>
      <c r="BD652" s="290"/>
      <c r="BE652" s="206"/>
      <c r="BF652" s="290"/>
      <c r="BG652" s="93"/>
      <c r="BH652" s="93"/>
      <c r="BI652" s="298"/>
      <c r="BJ652" s="290"/>
      <c r="BK652" s="207"/>
      <c r="BL652" s="93"/>
      <c r="BM652" s="204"/>
      <c r="BN652" s="290"/>
      <c r="BO652" s="294"/>
      <c r="BP652" s="298"/>
      <c r="BQ652" s="204"/>
      <c r="BR652" s="205"/>
      <c r="BS652" s="160"/>
      <c r="BT652" s="160"/>
      <c r="BU652" s="160"/>
      <c r="BV652" s="205"/>
      <c r="BW652" s="206"/>
      <c r="BX652" s="204"/>
      <c r="BY652" s="298"/>
      <c r="BZ652" s="294"/>
      <c r="CA652" s="294"/>
      <c r="CB652" s="204"/>
      <c r="CC652" s="117"/>
      <c r="CD652" s="894"/>
      <c r="CE652" s="893"/>
      <c r="CF652" s="890"/>
      <c r="CG652" s="117"/>
      <c r="CH652" s="117"/>
      <c r="CI652" s="893"/>
      <c r="CJ652" s="878"/>
      <c r="CK652" s="893"/>
      <c r="CL652" s="878"/>
      <c r="CM652" s="150"/>
      <c r="CN652" s="961"/>
      <c r="CO652" s="117"/>
      <c r="CP652" s="117"/>
      <c r="CQ652" s="117"/>
      <c r="CR652" s="364"/>
      <c r="CS652" s="363"/>
      <c r="CT652" s="117"/>
      <c r="CU652" s="890"/>
      <c r="CV652" s="961"/>
      <c r="CW652" s="890"/>
      <c r="CX652" s="117"/>
      <c r="CY652" s="878"/>
      <c r="CZ652" s="893"/>
      <c r="DA652" s="878"/>
      <c r="DB652" s="878"/>
      <c r="DC652" s="150"/>
      <c r="DD652" s="890"/>
      <c r="DE652" s="70"/>
      <c r="DF652" s="70"/>
      <c r="DG652" s="70"/>
      <c r="DH652" s="362"/>
      <c r="DI652" s="363"/>
      <c r="DJ652" s="890"/>
      <c r="DK652" s="894"/>
      <c r="DL652" s="117"/>
      <c r="DM652" s="117"/>
      <c r="DN652" s="878"/>
      <c r="DO652" s="881"/>
      <c r="DP652" s="881"/>
      <c r="DQ652" s="150"/>
      <c r="DR652" s="890"/>
      <c r="DS652" s="890"/>
      <c r="DT652" s="117"/>
      <c r="DU652" s="117"/>
      <c r="DV652" s="117"/>
      <c r="DW652" s="117"/>
      <c r="DX652" s="364"/>
      <c r="DY652" s="795"/>
    </row>
    <row r="653" spans="1:129">
      <c r="A653" s="298">
        <v>500</v>
      </c>
      <c r="B653" s="294"/>
      <c r="C653" s="290"/>
      <c r="D653" s="290"/>
      <c r="E653" s="290"/>
      <c r="F653" s="206"/>
      <c r="G653" s="160"/>
      <c r="H653" s="160"/>
      <c r="I653" s="160"/>
      <c r="J653" s="160"/>
      <c r="K653" s="206"/>
      <c r="L653" s="290"/>
      <c r="M653" s="290"/>
      <c r="N653" s="290"/>
      <c r="O653" s="294"/>
      <c r="P653" s="298"/>
      <c r="Q653" s="699"/>
      <c r="R653" s="93"/>
      <c r="S653" s="93"/>
      <c r="T653" s="93"/>
      <c r="U653" s="93"/>
      <c r="V653" s="160"/>
      <c r="W653" s="160"/>
      <c r="X653" s="160"/>
      <c r="Y653" s="205"/>
      <c r="Z653" s="290"/>
      <c r="AA653" s="298"/>
      <c r="AB653" s="93"/>
      <c r="AC653" s="204"/>
      <c r="AD653" s="294"/>
      <c r="AE653" s="298"/>
      <c r="AF653" s="204"/>
      <c r="AG653" s="51"/>
      <c r="AH653" s="51"/>
      <c r="AI653" s="51"/>
      <c r="AJ653" s="51"/>
      <c r="AK653" s="160"/>
      <c r="AL653" s="206"/>
      <c r="AM653" s="206"/>
      <c r="AN653" s="290"/>
      <c r="AO653" s="160"/>
      <c r="AP653" s="206"/>
      <c r="AQ653" s="298"/>
      <c r="AR653" s="294"/>
      <c r="AS653" s="207"/>
      <c r="AT653" s="294"/>
      <c r="AU653" s="204"/>
      <c r="AV653" s="93"/>
      <c r="AW653" s="699"/>
      <c r="AX653" s="93"/>
      <c r="AY653" s="93"/>
      <c r="AZ653" s="93"/>
      <c r="BA653" s="298"/>
      <c r="BB653" s="206"/>
      <c r="BC653" s="290"/>
      <c r="BD653" s="206"/>
      <c r="BE653" s="290"/>
      <c r="BF653" s="93"/>
      <c r="BG653" s="93"/>
      <c r="BH653" s="204"/>
      <c r="BI653" s="290"/>
      <c r="BJ653" s="294"/>
      <c r="BK653" s="298"/>
      <c r="BL653" s="93"/>
      <c r="BM653" s="207"/>
      <c r="BN653" s="294"/>
      <c r="BO653" s="290"/>
      <c r="BP653" s="290"/>
      <c r="BQ653" s="290"/>
      <c r="BR653" s="298"/>
      <c r="BS653" s="290"/>
      <c r="BT653" s="205"/>
      <c r="BU653" s="205"/>
      <c r="BV653" s="290"/>
      <c r="BW653" s="298"/>
      <c r="BX653" s="290"/>
      <c r="BY653" s="290"/>
      <c r="BZ653" s="290"/>
      <c r="CA653" s="294"/>
      <c r="CB653" s="207"/>
      <c r="CC653" s="117"/>
      <c r="CD653" s="890"/>
      <c r="CE653" s="885"/>
      <c r="CF653" s="893"/>
      <c r="CG653" s="961"/>
      <c r="CH653" s="117"/>
      <c r="CI653" s="117"/>
      <c r="CJ653" s="893"/>
      <c r="CK653" s="878"/>
      <c r="CL653" s="893"/>
      <c r="CM653" s="878"/>
      <c r="CN653" s="890"/>
      <c r="CO653" s="117"/>
      <c r="CP653" s="117"/>
      <c r="CQ653" s="117"/>
      <c r="CR653" s="364"/>
      <c r="CS653" s="363"/>
      <c r="CT653" s="961"/>
      <c r="CU653" s="885"/>
      <c r="CV653" s="894"/>
      <c r="CW653" s="885"/>
      <c r="CX653" s="890"/>
      <c r="CY653" s="878"/>
      <c r="CZ653" s="150"/>
      <c r="DA653" s="893"/>
      <c r="DB653" s="878"/>
      <c r="DC653" s="878"/>
      <c r="DD653" s="150"/>
      <c r="DE653" s="70"/>
      <c r="DF653" s="70"/>
      <c r="DG653" s="70"/>
      <c r="DH653" s="362"/>
      <c r="DI653" s="962"/>
      <c r="DJ653" s="890"/>
      <c r="DK653" s="885"/>
      <c r="DL653" s="961"/>
      <c r="DM653" s="117"/>
      <c r="DN653" s="890"/>
      <c r="DO653" s="893"/>
      <c r="DP653" s="881"/>
      <c r="DQ653" s="150"/>
      <c r="DR653" s="150"/>
      <c r="DS653" s="150"/>
      <c r="DT653" s="117"/>
      <c r="DU653" s="117"/>
      <c r="DV653" s="117"/>
      <c r="DW653" s="117"/>
      <c r="DX653" s="364"/>
      <c r="DY653" s="798"/>
    </row>
    <row r="654" spans="1:129">
      <c r="A654" s="294">
        <v>88</v>
      </c>
      <c r="B654" s="294"/>
      <c r="C654" s="290"/>
      <c r="D654" s="93"/>
      <c r="E654" s="206"/>
      <c r="F654" s="160"/>
      <c r="G654" s="205"/>
      <c r="H654" s="205"/>
      <c r="I654" s="205"/>
      <c r="J654" s="205"/>
      <c r="K654" s="160"/>
      <c r="L654" s="206"/>
      <c r="M654" s="93"/>
      <c r="N654" s="290"/>
      <c r="O654" s="294"/>
      <c r="P654" s="294"/>
      <c r="Q654" s="699"/>
      <c r="R654" s="93"/>
      <c r="S654" s="93"/>
      <c r="T654" s="93"/>
      <c r="U654" s="206"/>
      <c r="V654" s="93"/>
      <c r="W654" s="205"/>
      <c r="X654" s="290"/>
      <c r="Y654" s="290"/>
      <c r="Z654" s="160"/>
      <c r="AA654" s="298"/>
      <c r="AB654" s="207"/>
      <c r="AC654" s="298"/>
      <c r="AD654" s="294"/>
      <c r="AE654" s="298"/>
      <c r="AF654" s="298"/>
      <c r="AG654" s="51"/>
      <c r="AH654" s="51"/>
      <c r="AI654" s="51"/>
      <c r="AJ654" s="206"/>
      <c r="AK654" s="206"/>
      <c r="AL654" s="206"/>
      <c r="AM654" s="290"/>
      <c r="AN654" s="160"/>
      <c r="AO654" s="160"/>
      <c r="AP654" s="298"/>
      <c r="AQ654" s="294"/>
      <c r="AR654" s="204"/>
      <c r="AS654" s="294"/>
      <c r="AT654" s="298"/>
      <c r="AU654" s="207"/>
      <c r="AV654" s="93"/>
      <c r="AW654" s="699"/>
      <c r="AX654" s="93"/>
      <c r="AY654" s="93"/>
      <c r="AZ654" s="204"/>
      <c r="BA654" s="290"/>
      <c r="BB654" s="298"/>
      <c r="BC654" s="160"/>
      <c r="BD654" s="54"/>
      <c r="BE654" s="291"/>
      <c r="BF654" s="93"/>
      <c r="BG654" s="204"/>
      <c r="BH654" s="298"/>
      <c r="BI654" s="294"/>
      <c r="BJ654" s="298"/>
      <c r="BK654" s="298"/>
      <c r="BL654" s="204"/>
      <c r="BM654" s="298"/>
      <c r="BN654" s="294"/>
      <c r="BO654" s="290"/>
      <c r="BP654" s="93"/>
      <c r="BQ654" s="206"/>
      <c r="BR654" s="290"/>
      <c r="BS654" s="298"/>
      <c r="BT654" s="290"/>
      <c r="BU654" s="290"/>
      <c r="BV654" s="298"/>
      <c r="BW654" s="290"/>
      <c r="BX654" s="206"/>
      <c r="BY654" s="93"/>
      <c r="BZ654" s="290"/>
      <c r="CA654" s="294"/>
      <c r="CB654" s="298"/>
      <c r="CC654" s="961"/>
      <c r="CD654" s="890"/>
      <c r="CE654" s="890"/>
      <c r="CF654" s="885"/>
      <c r="CG654" s="890"/>
      <c r="CH654" s="961"/>
      <c r="CI654" s="117"/>
      <c r="CJ654" s="882"/>
      <c r="CK654" s="120"/>
      <c r="CL654" s="150"/>
      <c r="CM654" s="890"/>
      <c r="CN654" s="893"/>
      <c r="CO654" s="961"/>
      <c r="CP654" s="117"/>
      <c r="CQ654" s="117"/>
      <c r="CR654" s="364"/>
      <c r="CS654" s="363"/>
      <c r="CT654" s="894"/>
      <c r="CU654" s="890"/>
      <c r="CV654" s="885"/>
      <c r="CW654" s="961"/>
      <c r="CX654" s="885"/>
      <c r="CY654" s="890"/>
      <c r="CZ654" s="150"/>
      <c r="DA654" s="150"/>
      <c r="DB654" s="893"/>
      <c r="DC654" s="878"/>
      <c r="DD654" s="878"/>
      <c r="DE654" s="878"/>
      <c r="DF654" s="70"/>
      <c r="DG654" s="70"/>
      <c r="DH654" s="362"/>
      <c r="DI654" s="963"/>
      <c r="DJ654" s="890"/>
      <c r="DK654" s="885"/>
      <c r="DL654" s="890"/>
      <c r="DM654" s="894"/>
      <c r="DN654" s="890"/>
      <c r="DO654" s="150"/>
      <c r="DP654" s="893"/>
      <c r="DQ654" s="893"/>
      <c r="DR654" s="881"/>
      <c r="DS654" s="117"/>
      <c r="DT654" s="878"/>
      <c r="DU654" s="117"/>
      <c r="DV654" s="117"/>
      <c r="DW654" s="117"/>
      <c r="DX654" s="364"/>
      <c r="DY654" s="798"/>
    </row>
    <row r="655" spans="1:129">
      <c r="A655" s="294">
        <v>201</v>
      </c>
      <c r="B655" s="290"/>
      <c r="C655" s="93"/>
      <c r="D655" s="290"/>
      <c r="E655" s="160"/>
      <c r="F655" s="205"/>
      <c r="G655" s="205"/>
      <c r="H655" s="290"/>
      <c r="I655" s="290"/>
      <c r="J655" s="205"/>
      <c r="K655" s="205"/>
      <c r="L655" s="160"/>
      <c r="M655" s="290"/>
      <c r="N655" s="93"/>
      <c r="O655" s="290"/>
      <c r="P655" s="294"/>
      <c r="Q655" s="699"/>
      <c r="R655" s="93"/>
      <c r="S655" s="93"/>
      <c r="T655" s="93"/>
      <c r="U655" s="160"/>
      <c r="V655" s="160"/>
      <c r="W655" s="160"/>
      <c r="X655" s="160"/>
      <c r="Y655" s="160"/>
      <c r="Z655" s="205"/>
      <c r="AA655" s="290"/>
      <c r="AB655" s="290"/>
      <c r="AC655" s="290"/>
      <c r="AD655" s="290"/>
      <c r="AE655" s="294"/>
      <c r="AF655" s="298"/>
      <c r="AG655" s="51"/>
      <c r="AH655" s="51"/>
      <c r="AI655" s="51"/>
      <c r="AJ655" s="51"/>
      <c r="AK655" s="92"/>
      <c r="AL655" s="160"/>
      <c r="AM655" s="160"/>
      <c r="AN655" s="160"/>
      <c r="AO655" s="160"/>
      <c r="AP655" s="290"/>
      <c r="AQ655" s="298"/>
      <c r="AR655" s="290"/>
      <c r="AS655" s="290"/>
      <c r="AT655" s="298"/>
      <c r="AU655" s="298"/>
      <c r="AV655" s="93"/>
      <c r="AW655" s="699"/>
      <c r="AX655" s="93"/>
      <c r="AY655" s="93"/>
      <c r="AZ655" s="204"/>
      <c r="BA655" s="298"/>
      <c r="BB655" s="290"/>
      <c r="BC655" s="298"/>
      <c r="BD655" s="160"/>
      <c r="BE655" s="291"/>
      <c r="BF655" s="204"/>
      <c r="BG655" s="298"/>
      <c r="BH655" s="290"/>
      <c r="BI655" s="290"/>
      <c r="BJ655" s="298"/>
      <c r="BK655" s="298"/>
      <c r="BL655" s="298"/>
      <c r="BM655" s="294"/>
      <c r="BN655" s="290"/>
      <c r="BO655" s="93"/>
      <c r="BP655" s="290"/>
      <c r="BQ655" s="160"/>
      <c r="BR655" s="205"/>
      <c r="BS655" s="290"/>
      <c r="BT655" s="290"/>
      <c r="BU655" s="205"/>
      <c r="BV655" s="290"/>
      <c r="BW655" s="205"/>
      <c r="BX655" s="160"/>
      <c r="BY655" s="290"/>
      <c r="BZ655" s="93"/>
      <c r="CA655" s="290"/>
      <c r="CB655" s="294"/>
      <c r="CC655" s="890"/>
      <c r="CD655" s="890"/>
      <c r="CE655" s="890"/>
      <c r="CF655" s="893"/>
      <c r="CG655" s="893"/>
      <c r="CH655" s="890"/>
      <c r="CI655" s="961"/>
      <c r="CJ655" s="882"/>
      <c r="CK655" s="150"/>
      <c r="CL655" s="890"/>
      <c r="CM655" s="893"/>
      <c r="CN655" s="890"/>
      <c r="CO655" s="961"/>
      <c r="CP655" s="117"/>
      <c r="CQ655" s="117"/>
      <c r="CR655" s="364"/>
      <c r="CS655" s="363"/>
      <c r="CT655" s="890"/>
      <c r="CU655" s="890"/>
      <c r="CV655" s="893"/>
      <c r="CW655" s="893"/>
      <c r="CX655" s="890"/>
      <c r="CY655" s="893"/>
      <c r="CZ655" s="150"/>
      <c r="DA655" s="150"/>
      <c r="DB655" s="150"/>
      <c r="DC655" s="150"/>
      <c r="DD655" s="117"/>
      <c r="DE655" s="70"/>
      <c r="DF655" s="70"/>
      <c r="DG655" s="70"/>
      <c r="DH655" s="362"/>
      <c r="DI655" s="963"/>
      <c r="DJ655" s="885"/>
      <c r="DK655" s="893"/>
      <c r="DL655" s="893"/>
      <c r="DM655" s="893"/>
      <c r="DN655" s="893"/>
      <c r="DO655" s="881"/>
      <c r="DP655" s="150"/>
      <c r="DQ655" s="150"/>
      <c r="DR655" s="150"/>
      <c r="DS655" s="150"/>
      <c r="DT655" s="150"/>
      <c r="DU655" s="117"/>
      <c r="DV655" s="117"/>
      <c r="DW655" s="117"/>
      <c r="DX655" s="364"/>
      <c r="DY655" s="795"/>
    </row>
    <row r="656" spans="1:129">
      <c r="A656" s="294">
        <v>1</v>
      </c>
      <c r="B656" s="93"/>
      <c r="C656" s="93"/>
      <c r="D656" s="160"/>
      <c r="E656" s="205"/>
      <c r="F656" s="205"/>
      <c r="G656" s="290"/>
      <c r="H656" s="294"/>
      <c r="I656" s="294"/>
      <c r="J656" s="290"/>
      <c r="K656" s="205"/>
      <c r="L656" s="205"/>
      <c r="M656" s="160"/>
      <c r="N656" s="93"/>
      <c r="O656" s="93"/>
      <c r="P656" s="294"/>
      <c r="Q656" s="699"/>
      <c r="R656" s="93"/>
      <c r="S656" s="93"/>
      <c r="T656" s="160"/>
      <c r="U656" s="290"/>
      <c r="V656" s="290"/>
      <c r="W656" s="290"/>
      <c r="X656" s="290"/>
      <c r="Y656" s="206"/>
      <c r="Z656" s="160"/>
      <c r="AA656" s="205"/>
      <c r="AB656" s="290"/>
      <c r="AC656" s="93"/>
      <c r="AD656" s="290"/>
      <c r="AE656" s="290"/>
      <c r="AF656" s="298"/>
      <c r="AG656" s="51"/>
      <c r="AH656" s="51"/>
      <c r="AI656" s="51"/>
      <c r="AJ656" s="51"/>
      <c r="AK656" s="51"/>
      <c r="AL656" s="92"/>
      <c r="AM656" s="290"/>
      <c r="AN656" s="160"/>
      <c r="AO656" s="290"/>
      <c r="AP656" s="290"/>
      <c r="AQ656" s="290"/>
      <c r="AR656" s="290"/>
      <c r="AS656" s="290"/>
      <c r="AT656" s="290"/>
      <c r="AU656" s="298"/>
      <c r="AV656" s="204"/>
      <c r="AW656" s="699"/>
      <c r="AX656" s="93"/>
      <c r="AY656" s="93"/>
      <c r="AZ656" s="204"/>
      <c r="BA656" s="298"/>
      <c r="BB656" s="290"/>
      <c r="BC656" s="290"/>
      <c r="BD656" s="298"/>
      <c r="BE656" s="54"/>
      <c r="BF656" s="298"/>
      <c r="BG656" s="160"/>
      <c r="BH656" s="290"/>
      <c r="BI656" s="93"/>
      <c r="BJ656" s="290"/>
      <c r="BK656" s="290"/>
      <c r="BL656" s="298"/>
      <c r="BM656" s="294"/>
      <c r="BN656" s="290"/>
      <c r="BO656" s="93"/>
      <c r="BP656" s="160"/>
      <c r="BQ656" s="205"/>
      <c r="BR656" s="205"/>
      <c r="BS656" s="290"/>
      <c r="BT656" s="64"/>
      <c r="BU656" s="54"/>
      <c r="BV656" s="290"/>
      <c r="BW656" s="205"/>
      <c r="BX656" s="205"/>
      <c r="BY656" s="160"/>
      <c r="BZ656" s="93"/>
      <c r="CA656" s="290"/>
      <c r="CB656" s="294"/>
      <c r="CC656" s="890"/>
      <c r="CD656" s="893"/>
      <c r="CE656" s="893"/>
      <c r="CF656" s="117"/>
      <c r="CG656" s="893"/>
      <c r="CH656" s="150"/>
      <c r="CI656" s="890"/>
      <c r="CJ656" s="120"/>
      <c r="CK656" s="890"/>
      <c r="CL656" s="893"/>
      <c r="CM656" s="893"/>
      <c r="CN656" s="890"/>
      <c r="CO656" s="961"/>
      <c r="CP656" s="117"/>
      <c r="CQ656" s="117"/>
      <c r="CR656" s="364"/>
      <c r="CS656" s="962"/>
      <c r="CT656" s="890"/>
      <c r="CU656" s="893"/>
      <c r="CV656" s="893"/>
      <c r="CW656" s="893"/>
      <c r="CX656" s="893"/>
      <c r="CY656" s="893"/>
      <c r="CZ656" s="893"/>
      <c r="DA656" s="150"/>
      <c r="DB656" s="893"/>
      <c r="DC656" s="117"/>
      <c r="DD656" s="70"/>
      <c r="DE656" s="70"/>
      <c r="DF656" s="70"/>
      <c r="DG656" s="70"/>
      <c r="DH656" s="362"/>
      <c r="DI656" s="963"/>
      <c r="DJ656" s="893"/>
      <c r="DK656" s="893"/>
      <c r="DL656" s="117"/>
      <c r="DM656" s="893"/>
      <c r="DN656" s="881"/>
      <c r="DO656" s="150"/>
      <c r="DP656" s="878"/>
      <c r="DQ656" s="893"/>
      <c r="DR656" s="893"/>
      <c r="DS656" s="893"/>
      <c r="DT656" s="893"/>
      <c r="DU656" s="150"/>
      <c r="DV656" s="117"/>
      <c r="DW656" s="117"/>
      <c r="DX656" s="364"/>
      <c r="DY656" s="795"/>
    </row>
    <row r="657" spans="1:129">
      <c r="A657" s="290">
        <v>6</v>
      </c>
      <c r="B657" s="93"/>
      <c r="C657" s="93"/>
      <c r="D657" s="160"/>
      <c r="E657" s="93"/>
      <c r="F657" s="205"/>
      <c r="G657" s="290"/>
      <c r="H657" s="294"/>
      <c r="I657" s="294"/>
      <c r="J657" s="290"/>
      <c r="K657" s="205"/>
      <c r="L657" s="93"/>
      <c r="M657" s="160"/>
      <c r="N657" s="93"/>
      <c r="O657" s="93"/>
      <c r="P657" s="290"/>
      <c r="Q657" s="699"/>
      <c r="R657" s="93"/>
      <c r="S657" s="93"/>
      <c r="T657" s="160"/>
      <c r="U657" s="290"/>
      <c r="V657" s="298"/>
      <c r="W657" s="294"/>
      <c r="X657" s="290"/>
      <c r="Y657" s="206"/>
      <c r="Z657" s="206"/>
      <c r="AA657" s="205"/>
      <c r="AB657" s="160"/>
      <c r="AC657" s="93"/>
      <c r="AD657" s="93"/>
      <c r="AE657" s="290"/>
      <c r="AF657" s="294"/>
      <c r="AG657" s="51"/>
      <c r="AH657" s="51"/>
      <c r="AI657" s="51"/>
      <c r="AJ657" s="51"/>
      <c r="AK657" s="51"/>
      <c r="AL657" s="294"/>
      <c r="AM657" s="298"/>
      <c r="AN657" s="294"/>
      <c r="AO657" s="290"/>
      <c r="AP657" s="160"/>
      <c r="AQ657" s="160"/>
      <c r="AR657" s="93"/>
      <c r="AS657" s="298"/>
      <c r="AT657" s="290"/>
      <c r="AU657" s="298"/>
      <c r="AV657" s="207"/>
      <c r="AW657" s="699"/>
      <c r="AX657" s="93"/>
      <c r="AY657" s="93"/>
      <c r="AZ657" s="298"/>
      <c r="BA657" s="290"/>
      <c r="BB657" s="290"/>
      <c r="BC657" s="290"/>
      <c r="BD657" s="290"/>
      <c r="BE657" s="291"/>
      <c r="BF657" s="290"/>
      <c r="BG657" s="160"/>
      <c r="BH657" s="93"/>
      <c r="BI657" s="93"/>
      <c r="BJ657" s="93"/>
      <c r="BK657" s="290"/>
      <c r="BL657" s="290"/>
      <c r="BM657" s="290"/>
      <c r="BN657" s="93"/>
      <c r="BO657" s="93"/>
      <c r="BP657" s="160"/>
      <c r="BQ657" s="93"/>
      <c r="BR657" s="205"/>
      <c r="BS657" s="290"/>
      <c r="BT657" s="290"/>
      <c r="BU657" s="205"/>
      <c r="BV657" s="290"/>
      <c r="BW657" s="205"/>
      <c r="BX657" s="93"/>
      <c r="BY657" s="160"/>
      <c r="BZ657" s="93"/>
      <c r="CA657" s="93"/>
      <c r="CB657" s="290"/>
      <c r="CC657" s="893"/>
      <c r="CD657" s="893"/>
      <c r="CE657" s="117"/>
      <c r="CF657" s="117"/>
      <c r="CG657" s="117"/>
      <c r="CH657" s="150"/>
      <c r="CI657" s="893"/>
      <c r="CJ657" s="882"/>
      <c r="CK657" s="893"/>
      <c r="CL657" s="893"/>
      <c r="CM657" s="893"/>
      <c r="CN657" s="893"/>
      <c r="CO657" s="890"/>
      <c r="CP657" s="117"/>
      <c r="CQ657" s="117"/>
      <c r="CR657" s="364"/>
      <c r="CS657" s="964"/>
      <c r="CT657" s="890"/>
      <c r="CU657" s="893"/>
      <c r="CV657" s="890"/>
      <c r="CW657" s="117"/>
      <c r="CX657" s="150"/>
      <c r="CY657" s="150"/>
      <c r="CZ657" s="893"/>
      <c r="DA657" s="885"/>
      <c r="DB657" s="890"/>
      <c r="DC657" s="885"/>
      <c r="DD657" s="70"/>
      <c r="DE657" s="70"/>
      <c r="DF657" s="70"/>
      <c r="DG657" s="70"/>
      <c r="DH657" s="362"/>
      <c r="DI657" s="965"/>
      <c r="DJ657" s="893"/>
      <c r="DK657" s="117"/>
      <c r="DL657" s="117"/>
      <c r="DM657" s="150"/>
      <c r="DN657" s="881"/>
      <c r="DO657" s="878"/>
      <c r="DP657" s="878"/>
      <c r="DQ657" s="893"/>
      <c r="DR657" s="885"/>
      <c r="DS657" s="890"/>
      <c r="DT657" s="893"/>
      <c r="DU657" s="150"/>
      <c r="DV657" s="117"/>
      <c r="DW657" s="117"/>
      <c r="DX657" s="364"/>
      <c r="DY657" s="795"/>
    </row>
    <row r="658" spans="1:129">
      <c r="A658" s="699">
        <v>29</v>
      </c>
      <c r="B658" s="207"/>
      <c r="C658" s="93"/>
      <c r="D658" s="160"/>
      <c r="E658" s="93"/>
      <c r="F658" s="298"/>
      <c r="G658" s="290"/>
      <c r="H658" s="290"/>
      <c r="I658" s="290"/>
      <c r="J658" s="290"/>
      <c r="K658" s="298"/>
      <c r="L658" s="93"/>
      <c r="M658" s="160"/>
      <c r="N658" s="93"/>
      <c r="O658" s="207"/>
      <c r="P658" s="93"/>
      <c r="Q658" s="699"/>
      <c r="R658" s="93"/>
      <c r="S658" s="93"/>
      <c r="T658" s="160"/>
      <c r="U658" s="93"/>
      <c r="V658" s="205"/>
      <c r="W658" s="294"/>
      <c r="X658" s="290"/>
      <c r="Y658" s="298"/>
      <c r="Z658" s="294"/>
      <c r="AA658" s="205"/>
      <c r="AB658" s="160"/>
      <c r="AC658" s="93"/>
      <c r="AD658" s="93"/>
      <c r="AE658" s="290"/>
      <c r="AF658" s="294"/>
      <c r="AG658" s="51"/>
      <c r="AH658" s="51"/>
      <c r="AI658" s="51"/>
      <c r="AJ658" s="51"/>
      <c r="AK658" s="51"/>
      <c r="AL658" s="294"/>
      <c r="AM658" s="294"/>
      <c r="AN658" s="290"/>
      <c r="AO658" s="160"/>
      <c r="AP658" s="290"/>
      <c r="AQ658" s="160"/>
      <c r="AR658" s="290"/>
      <c r="AS658" s="93"/>
      <c r="AT658" s="298"/>
      <c r="AU658" s="290"/>
      <c r="AV658" s="298"/>
      <c r="AW658" s="699"/>
      <c r="AX658" s="93"/>
      <c r="AY658" s="93"/>
      <c r="AZ658" s="298"/>
      <c r="BA658" s="290"/>
      <c r="BB658" s="160"/>
      <c r="BC658" s="290"/>
      <c r="BD658" s="290"/>
      <c r="BE658" s="54"/>
      <c r="BF658" s="294"/>
      <c r="BG658" s="160"/>
      <c r="BH658" s="160"/>
      <c r="BI658" s="93"/>
      <c r="BJ658" s="93"/>
      <c r="BK658" s="93"/>
      <c r="BL658" s="290"/>
      <c r="BM658" s="112"/>
      <c r="BN658" s="207"/>
      <c r="BO658" s="93"/>
      <c r="BP658" s="160"/>
      <c r="BQ658" s="93"/>
      <c r="BR658" s="294"/>
      <c r="BS658" s="290"/>
      <c r="BT658" s="64"/>
      <c r="BU658" s="54"/>
      <c r="BV658" s="205"/>
      <c r="BW658" s="294"/>
      <c r="BX658" s="93"/>
      <c r="BY658" s="160"/>
      <c r="BZ658" s="93"/>
      <c r="CA658" s="207"/>
      <c r="CB658" s="113"/>
      <c r="CC658" s="893"/>
      <c r="CD658" s="117"/>
      <c r="CE658" s="117"/>
      <c r="CF658" s="117"/>
      <c r="CG658" s="150"/>
      <c r="CH658" s="150"/>
      <c r="CI658" s="885"/>
      <c r="CJ658" s="120"/>
      <c r="CK658" s="893"/>
      <c r="CL658" s="893"/>
      <c r="CM658" s="150"/>
      <c r="CN658" s="893"/>
      <c r="CO658" s="890"/>
      <c r="CP658" s="117"/>
      <c r="CQ658" s="117"/>
      <c r="CR658" s="364"/>
      <c r="CS658" s="963"/>
      <c r="CT658" s="893"/>
      <c r="CU658" s="890"/>
      <c r="CV658" s="117"/>
      <c r="CW658" s="893"/>
      <c r="CX658" s="150"/>
      <c r="CY658" s="893"/>
      <c r="CZ658" s="150"/>
      <c r="DA658" s="893"/>
      <c r="DB658" s="885"/>
      <c r="DC658" s="885"/>
      <c r="DD658" s="70"/>
      <c r="DE658" s="70"/>
      <c r="DF658" s="70"/>
      <c r="DG658" s="70"/>
      <c r="DH658" s="362"/>
      <c r="DI658" s="965"/>
      <c r="DJ658" s="893"/>
      <c r="DK658" s="117"/>
      <c r="DL658" s="117"/>
      <c r="DM658" s="150"/>
      <c r="DN658" s="881"/>
      <c r="DO658" s="885"/>
      <c r="DP658" s="890"/>
      <c r="DQ658" s="893"/>
      <c r="DR658" s="885"/>
      <c r="DS658" s="881"/>
      <c r="DT658" s="117"/>
      <c r="DU658" s="150"/>
      <c r="DV658" s="117"/>
      <c r="DW658" s="117"/>
      <c r="DX658" s="364"/>
      <c r="DY658" s="795"/>
    </row>
    <row r="659" spans="1:129">
      <c r="A659" s="699">
        <v>49</v>
      </c>
      <c r="B659" s="298"/>
      <c r="C659" s="290"/>
      <c r="D659" s="160"/>
      <c r="E659" s="93"/>
      <c r="F659" s="93"/>
      <c r="G659" s="298"/>
      <c r="H659" s="290"/>
      <c r="I659" s="205"/>
      <c r="J659" s="298"/>
      <c r="K659" s="93"/>
      <c r="L659" s="93"/>
      <c r="M659" s="160"/>
      <c r="N659" s="290"/>
      <c r="O659" s="298"/>
      <c r="P659" s="93"/>
      <c r="Q659" s="699"/>
      <c r="R659" s="93"/>
      <c r="S659" s="93"/>
      <c r="T659" s="160"/>
      <c r="U659" s="207"/>
      <c r="V659" s="298"/>
      <c r="W659" s="290"/>
      <c r="X659" s="298"/>
      <c r="Y659" s="294"/>
      <c r="Z659" s="206"/>
      <c r="AA659" s="93"/>
      <c r="AB659" s="160"/>
      <c r="AC659" s="290"/>
      <c r="AD659" s="93"/>
      <c r="AE659" s="93"/>
      <c r="AF659" s="290"/>
      <c r="AG659" s="51"/>
      <c r="AH659" s="51"/>
      <c r="AI659" s="51"/>
      <c r="AJ659" s="51"/>
      <c r="AK659" s="51"/>
      <c r="AL659" s="298"/>
      <c r="AM659" s="298"/>
      <c r="AN659" s="298"/>
      <c r="AO659" s="290"/>
      <c r="AP659" s="290"/>
      <c r="AQ659" s="290"/>
      <c r="AR659" s="160"/>
      <c r="AS659" s="93"/>
      <c r="AT659" s="93"/>
      <c r="AU659" s="93"/>
      <c r="AV659" s="290"/>
      <c r="AW659" s="699"/>
      <c r="AX659" s="93"/>
      <c r="AY659" s="93"/>
      <c r="AZ659" s="298"/>
      <c r="BA659" s="160"/>
      <c r="BB659" s="160"/>
      <c r="BC659" s="294"/>
      <c r="BD659" s="290"/>
      <c r="BE659" s="291"/>
      <c r="BF659" s="290"/>
      <c r="BG659" s="206"/>
      <c r="BH659" s="160"/>
      <c r="BI659" s="93"/>
      <c r="BJ659" s="93"/>
      <c r="BK659" s="93"/>
      <c r="BL659" s="93"/>
      <c r="BM659" s="112"/>
      <c r="BN659" s="298"/>
      <c r="BO659" s="294"/>
      <c r="BP659" s="160"/>
      <c r="BQ659" s="93"/>
      <c r="BR659" s="93"/>
      <c r="BS659" s="294"/>
      <c r="BT659" s="290"/>
      <c r="BU659" s="205"/>
      <c r="BV659" s="294"/>
      <c r="BW659" s="93"/>
      <c r="BX659" s="93"/>
      <c r="BY659" s="160"/>
      <c r="BZ659" s="294"/>
      <c r="CA659" s="298"/>
      <c r="CB659" s="113"/>
      <c r="CC659" s="117"/>
      <c r="CD659" s="117"/>
      <c r="CE659" s="117"/>
      <c r="CF659" s="117"/>
      <c r="CG659" s="150"/>
      <c r="CH659" s="878"/>
      <c r="CI659" s="893"/>
      <c r="CJ659" s="882"/>
      <c r="CK659" s="893"/>
      <c r="CL659" s="885"/>
      <c r="CM659" s="150"/>
      <c r="CN659" s="150"/>
      <c r="CO659" s="890"/>
      <c r="CP659" s="117"/>
      <c r="CQ659" s="117"/>
      <c r="CR659" s="364"/>
      <c r="CS659" s="966"/>
      <c r="CT659" s="117"/>
      <c r="CU659" s="117"/>
      <c r="CV659" s="117"/>
      <c r="CW659" s="150"/>
      <c r="CX659" s="893"/>
      <c r="CY659" s="893"/>
      <c r="CZ659" s="893"/>
      <c r="DA659" s="890"/>
      <c r="DB659" s="890"/>
      <c r="DC659" s="890"/>
      <c r="DD659" s="70"/>
      <c r="DE659" s="70"/>
      <c r="DF659" s="70"/>
      <c r="DG659" s="70"/>
      <c r="DH659" s="362"/>
      <c r="DI659" s="966"/>
      <c r="DJ659" s="117"/>
      <c r="DK659" s="117"/>
      <c r="DL659" s="893"/>
      <c r="DM659" s="150"/>
      <c r="DN659" s="117"/>
      <c r="DO659" s="878"/>
      <c r="DP659" s="885"/>
      <c r="DQ659" s="890"/>
      <c r="DR659" s="893"/>
      <c r="DS659" s="890"/>
      <c r="DT659" s="894"/>
      <c r="DU659" s="150"/>
      <c r="DV659" s="117"/>
      <c r="DW659" s="117"/>
      <c r="DX659" s="364"/>
      <c r="DY659" s="795"/>
    </row>
    <row r="660" spans="1:129">
      <c r="A660" s="699">
        <v>50</v>
      </c>
      <c r="B660" s="93"/>
      <c r="C660" s="290"/>
      <c r="D660" s="290"/>
      <c r="E660" s="93"/>
      <c r="F660" s="93"/>
      <c r="G660" s="205"/>
      <c r="H660" s="294"/>
      <c r="I660" s="290"/>
      <c r="J660" s="205"/>
      <c r="K660" s="93"/>
      <c r="L660" s="93"/>
      <c r="M660" s="290"/>
      <c r="N660" s="290"/>
      <c r="O660" s="93"/>
      <c r="P660" s="93"/>
      <c r="Q660" s="699"/>
      <c r="R660" s="93"/>
      <c r="S660" s="93"/>
      <c r="T660" s="160"/>
      <c r="U660" s="290"/>
      <c r="V660" s="205"/>
      <c r="W660" s="290"/>
      <c r="X660" s="294"/>
      <c r="Y660" s="294"/>
      <c r="Z660" s="206"/>
      <c r="AA660" s="93"/>
      <c r="AB660" s="206"/>
      <c r="AC660" s="290"/>
      <c r="AD660" s="207"/>
      <c r="AE660" s="93"/>
      <c r="AF660" s="79"/>
      <c r="AG660" s="51"/>
      <c r="AH660" s="51"/>
      <c r="AI660" s="51"/>
      <c r="AJ660" s="51"/>
      <c r="AK660" s="51"/>
      <c r="AL660" s="294"/>
      <c r="AM660" s="294"/>
      <c r="AN660" s="290"/>
      <c r="AO660" s="160"/>
      <c r="AP660" s="160"/>
      <c r="AQ660" s="93"/>
      <c r="AR660" s="160"/>
      <c r="AS660" s="290"/>
      <c r="AT660" s="207"/>
      <c r="AU660" s="93"/>
      <c r="AV660" s="93"/>
      <c r="AW660" s="699"/>
      <c r="AX660" s="93"/>
      <c r="AY660" s="93"/>
      <c r="AZ660" s="290"/>
      <c r="BA660" s="160"/>
      <c r="BB660" s="160"/>
      <c r="BC660" s="290"/>
      <c r="BD660" s="290"/>
      <c r="BE660" s="54"/>
      <c r="BF660" s="294"/>
      <c r="BG660" s="93"/>
      <c r="BH660" s="160"/>
      <c r="BI660" s="298"/>
      <c r="BJ660" s="207"/>
      <c r="BK660" s="93"/>
      <c r="BL660" s="93"/>
      <c r="BM660" s="112"/>
      <c r="BN660" s="93"/>
      <c r="BO660" s="298"/>
      <c r="BP660" s="290"/>
      <c r="BQ660" s="93"/>
      <c r="BR660" s="93"/>
      <c r="BS660" s="205"/>
      <c r="BT660" s="54"/>
      <c r="BU660" s="291"/>
      <c r="BV660" s="205"/>
      <c r="BW660" s="93"/>
      <c r="BX660" s="93"/>
      <c r="BY660" s="290"/>
      <c r="BZ660" s="298"/>
      <c r="CA660" s="93"/>
      <c r="CB660" s="113"/>
      <c r="CC660" s="117"/>
      <c r="CD660" s="117"/>
      <c r="CE660" s="894"/>
      <c r="CF660" s="890"/>
      <c r="CG660" s="150"/>
      <c r="CH660" s="117"/>
      <c r="CI660" s="885"/>
      <c r="CJ660" s="120"/>
      <c r="CK660" s="893"/>
      <c r="CL660" s="893"/>
      <c r="CM660" s="150"/>
      <c r="CN660" s="150"/>
      <c r="CO660" s="893"/>
      <c r="CP660" s="117"/>
      <c r="CQ660" s="117"/>
      <c r="CR660" s="364"/>
      <c r="CS660" s="363"/>
      <c r="CT660" s="117"/>
      <c r="CU660" s="894"/>
      <c r="CV660" s="893"/>
      <c r="CW660" s="150"/>
      <c r="CX660" s="117"/>
      <c r="CY660" s="150"/>
      <c r="CZ660" s="150"/>
      <c r="DA660" s="893"/>
      <c r="DB660" s="885"/>
      <c r="DC660" s="885"/>
      <c r="DD660" s="70"/>
      <c r="DE660" s="70"/>
      <c r="DF660" s="70"/>
      <c r="DG660" s="70"/>
      <c r="DH660" s="362"/>
      <c r="DI660" s="363"/>
      <c r="DJ660" s="117"/>
      <c r="DK660" s="894"/>
      <c r="DL660" s="893"/>
      <c r="DM660" s="878"/>
      <c r="DN660" s="117"/>
      <c r="DO660" s="878"/>
      <c r="DP660" s="885"/>
      <c r="DQ660" s="885"/>
      <c r="DR660" s="893"/>
      <c r="DS660" s="881"/>
      <c r="DT660" s="893"/>
      <c r="DU660" s="150"/>
      <c r="DV660" s="117"/>
      <c r="DW660" s="117"/>
      <c r="DX660" s="364"/>
      <c r="DY660" s="795"/>
    </row>
    <row r="661" spans="1:129">
      <c r="A661" s="699">
        <v>160</v>
      </c>
      <c r="B661" s="93"/>
      <c r="C661" s="160"/>
      <c r="D661" s="93"/>
      <c r="E661" s="93"/>
      <c r="F661" s="93"/>
      <c r="G661" s="298"/>
      <c r="H661" s="290"/>
      <c r="I661" s="205"/>
      <c r="J661" s="298"/>
      <c r="K661" s="93"/>
      <c r="L661" s="93"/>
      <c r="M661" s="93"/>
      <c r="N661" s="160"/>
      <c r="O661" s="93"/>
      <c r="P661" s="79"/>
      <c r="Q661" s="699"/>
      <c r="R661" s="93"/>
      <c r="S661" s="93"/>
      <c r="T661" s="160"/>
      <c r="U661" s="160"/>
      <c r="V661" s="298"/>
      <c r="W661" s="290"/>
      <c r="X661" s="298"/>
      <c r="Y661" s="294"/>
      <c r="Z661" s="93"/>
      <c r="AA661" s="93"/>
      <c r="AB661" s="93"/>
      <c r="AC661" s="160"/>
      <c r="AD661" s="298"/>
      <c r="AE661" s="93"/>
      <c r="AF661" s="79"/>
      <c r="AG661" s="51"/>
      <c r="AH661" s="51"/>
      <c r="AI661" s="51"/>
      <c r="AJ661" s="51"/>
      <c r="AK661" s="51"/>
      <c r="AL661" s="294"/>
      <c r="AM661" s="298"/>
      <c r="AN661" s="298"/>
      <c r="AO661" s="290"/>
      <c r="AP661" s="290"/>
      <c r="AQ661" s="93"/>
      <c r="AR661" s="160"/>
      <c r="AS661" s="298"/>
      <c r="AT661" s="93"/>
      <c r="AU661" s="93"/>
      <c r="AV661" s="93"/>
      <c r="AW661" s="699"/>
      <c r="AX661" s="93"/>
      <c r="AY661" s="93"/>
      <c r="AZ661" s="206"/>
      <c r="BA661" s="160"/>
      <c r="BB661" s="290"/>
      <c r="BC661" s="207"/>
      <c r="BD661" s="294"/>
      <c r="BE661" s="291"/>
      <c r="BF661" s="93"/>
      <c r="BG661" s="160"/>
      <c r="BH661" s="206"/>
      <c r="BI661" s="290"/>
      <c r="BJ661" s="93"/>
      <c r="BK661" s="93"/>
      <c r="BL661" s="93"/>
      <c r="BM661" s="112"/>
      <c r="BN661" s="93"/>
      <c r="BO661" s="160"/>
      <c r="BP661" s="93"/>
      <c r="BQ661" s="93"/>
      <c r="BR661" s="93"/>
      <c r="BS661" s="294"/>
      <c r="BT661" s="290"/>
      <c r="BU661" s="205"/>
      <c r="BV661" s="294"/>
      <c r="BW661" s="93"/>
      <c r="BX661" s="93"/>
      <c r="BY661" s="93"/>
      <c r="BZ661" s="160"/>
      <c r="CA661" s="93"/>
      <c r="CB661" s="113"/>
      <c r="CC661" s="117"/>
      <c r="CD661" s="117"/>
      <c r="CE661" s="117"/>
      <c r="CF661" s="893"/>
      <c r="CG661" s="878"/>
      <c r="CH661" s="150"/>
      <c r="CI661" s="117"/>
      <c r="CJ661" s="882"/>
      <c r="CK661" s="885"/>
      <c r="CL661" s="894"/>
      <c r="CM661" s="893"/>
      <c r="CN661" s="150"/>
      <c r="CO661" s="878"/>
      <c r="CP661" s="117"/>
      <c r="CQ661" s="117"/>
      <c r="CR661" s="364"/>
      <c r="CS661" s="363"/>
      <c r="CT661" s="117"/>
      <c r="CU661" s="117"/>
      <c r="CV661" s="890"/>
      <c r="CW661" s="150"/>
      <c r="CX661" s="117"/>
      <c r="CY661" s="893"/>
      <c r="CZ661" s="893"/>
      <c r="DA661" s="890"/>
      <c r="DB661" s="890"/>
      <c r="DC661" s="885"/>
      <c r="DD661" s="70"/>
      <c r="DE661" s="70"/>
      <c r="DF661" s="70"/>
      <c r="DG661" s="70"/>
      <c r="DH661" s="362"/>
      <c r="DI661" s="363"/>
      <c r="DJ661" s="117"/>
      <c r="DK661" s="890"/>
      <c r="DL661" s="150"/>
      <c r="DM661" s="117"/>
      <c r="DN661" s="117"/>
      <c r="DO661" s="117"/>
      <c r="DP661" s="885"/>
      <c r="DQ661" s="890"/>
      <c r="DR661" s="893"/>
      <c r="DS661" s="890"/>
      <c r="DT661" s="150"/>
      <c r="DU661" s="150"/>
      <c r="DV661" s="117"/>
      <c r="DW661" s="117"/>
      <c r="DX661" s="364"/>
      <c r="DY661" s="795"/>
    </row>
    <row r="662" spans="1:129">
      <c r="A662" s="699">
        <v>120</v>
      </c>
      <c r="B662" s="93"/>
      <c r="C662" s="160"/>
      <c r="D662" s="290"/>
      <c r="E662" s="93"/>
      <c r="F662" s="93"/>
      <c r="G662" s="294"/>
      <c r="H662" s="290"/>
      <c r="I662" s="205"/>
      <c r="J662" s="294"/>
      <c r="K662" s="93"/>
      <c r="L662" s="93"/>
      <c r="M662" s="290"/>
      <c r="N662" s="160"/>
      <c r="O662" s="93"/>
      <c r="P662" s="79"/>
      <c r="Q662" s="699"/>
      <c r="R662" s="93"/>
      <c r="S662" s="160"/>
      <c r="T662" s="160"/>
      <c r="U662" s="93"/>
      <c r="V662" s="205"/>
      <c r="W662" s="290"/>
      <c r="X662" s="294"/>
      <c r="Y662" s="294"/>
      <c r="Z662" s="93"/>
      <c r="AA662" s="93"/>
      <c r="AB662" s="206"/>
      <c r="AC662" s="160"/>
      <c r="AD662" s="93"/>
      <c r="AE662" s="93"/>
      <c r="AF662" s="79"/>
      <c r="AG662" s="51"/>
      <c r="AH662" s="51"/>
      <c r="AI662" s="51"/>
      <c r="AJ662" s="51"/>
      <c r="AK662" s="51"/>
      <c r="AL662" s="160"/>
      <c r="AM662" s="205"/>
      <c r="AN662" s="290"/>
      <c r="AO662" s="294"/>
      <c r="AP662" s="93"/>
      <c r="AQ662" s="160"/>
      <c r="AR662" s="290"/>
      <c r="AS662" s="93"/>
      <c r="AT662" s="93"/>
      <c r="AU662" s="93"/>
      <c r="AV662" s="93"/>
      <c r="AW662" s="699"/>
      <c r="AX662" s="93"/>
      <c r="AY662" s="93"/>
      <c r="AZ662" s="206"/>
      <c r="BA662" s="160"/>
      <c r="BB662" s="298"/>
      <c r="BC662" s="294"/>
      <c r="BD662" s="294"/>
      <c r="BE662" s="54"/>
      <c r="BF662" s="206"/>
      <c r="BG662" s="206"/>
      <c r="BH662" s="93"/>
      <c r="BI662" s="93"/>
      <c r="BJ662" s="93"/>
      <c r="BK662" s="93"/>
      <c r="BL662" s="93"/>
      <c r="BM662" s="112"/>
      <c r="BN662" s="93"/>
      <c r="BO662" s="160"/>
      <c r="BP662" s="290"/>
      <c r="BQ662" s="93"/>
      <c r="BR662" s="93"/>
      <c r="BS662" s="205"/>
      <c r="BT662" s="54"/>
      <c r="BU662" s="290"/>
      <c r="BV662" s="205"/>
      <c r="BW662" s="93"/>
      <c r="BX662" s="93"/>
      <c r="BY662" s="290"/>
      <c r="BZ662" s="160"/>
      <c r="CA662" s="93"/>
      <c r="CB662" s="113"/>
      <c r="CC662" s="117"/>
      <c r="CD662" s="117"/>
      <c r="CE662" s="117"/>
      <c r="CF662" s="117"/>
      <c r="CG662" s="117"/>
      <c r="CH662" s="878"/>
      <c r="CI662" s="878"/>
      <c r="CJ662" s="120"/>
      <c r="CK662" s="885"/>
      <c r="CL662" s="885"/>
      <c r="CM662" s="890"/>
      <c r="CN662" s="150"/>
      <c r="CO662" s="878"/>
      <c r="CP662" s="117"/>
      <c r="CQ662" s="117"/>
      <c r="CR662" s="364"/>
      <c r="CS662" s="363"/>
      <c r="CT662" s="117"/>
      <c r="CU662" s="117"/>
      <c r="CV662" s="117"/>
      <c r="CW662" s="893"/>
      <c r="CX662" s="150"/>
      <c r="CY662" s="117"/>
      <c r="CZ662" s="885"/>
      <c r="DA662" s="893"/>
      <c r="DB662" s="881"/>
      <c r="DC662" s="150"/>
      <c r="DD662" s="70"/>
      <c r="DE662" s="70"/>
      <c r="DF662" s="70"/>
      <c r="DG662" s="70"/>
      <c r="DH662" s="362"/>
      <c r="DI662" s="363"/>
      <c r="DJ662" s="117"/>
      <c r="DK662" s="117"/>
      <c r="DL662" s="150"/>
      <c r="DM662" s="878"/>
      <c r="DN662" s="117"/>
      <c r="DO662" s="117"/>
      <c r="DP662" s="885"/>
      <c r="DQ662" s="885"/>
      <c r="DR662" s="893"/>
      <c r="DS662" s="881"/>
      <c r="DT662" s="117"/>
      <c r="DU662" s="150"/>
      <c r="DV662" s="150"/>
      <c r="DW662" s="117"/>
      <c r="DX662" s="364"/>
      <c r="DY662" s="795"/>
    </row>
    <row r="663" spans="1:129">
      <c r="A663" s="699">
        <v>19</v>
      </c>
      <c r="B663" s="93"/>
      <c r="C663" s="290"/>
      <c r="D663" s="160"/>
      <c r="E663" s="93"/>
      <c r="F663" s="290"/>
      <c r="G663" s="160"/>
      <c r="H663" s="160"/>
      <c r="I663" s="160"/>
      <c r="J663" s="160"/>
      <c r="K663" s="290"/>
      <c r="L663" s="93"/>
      <c r="M663" s="160"/>
      <c r="N663" s="290"/>
      <c r="O663" s="93"/>
      <c r="P663" s="79"/>
      <c r="Q663" s="699"/>
      <c r="R663" s="93"/>
      <c r="S663" s="160"/>
      <c r="T663" s="93"/>
      <c r="U663" s="93"/>
      <c r="V663" s="160"/>
      <c r="W663" s="160"/>
      <c r="X663" s="160"/>
      <c r="Y663" s="160"/>
      <c r="Z663" s="93"/>
      <c r="AA663" s="93"/>
      <c r="AB663" s="160"/>
      <c r="AC663" s="93"/>
      <c r="AD663" s="93"/>
      <c r="AE663" s="93"/>
      <c r="AF663" s="79"/>
      <c r="AG663" s="51"/>
      <c r="AH663" s="51"/>
      <c r="AI663" s="51"/>
      <c r="AJ663" s="290"/>
      <c r="AK663" s="160"/>
      <c r="AL663" s="160"/>
      <c r="AM663" s="160"/>
      <c r="AN663" s="160"/>
      <c r="AO663" s="160"/>
      <c r="AP663" s="160"/>
      <c r="AQ663" s="160"/>
      <c r="AR663" s="93"/>
      <c r="AS663" s="93"/>
      <c r="AT663" s="93"/>
      <c r="AU663" s="93"/>
      <c r="AV663" s="93"/>
      <c r="AW663" s="699"/>
      <c r="AX663" s="207"/>
      <c r="AY663" s="93"/>
      <c r="AZ663" s="93"/>
      <c r="BA663" s="160"/>
      <c r="BB663" s="290"/>
      <c r="BC663" s="160"/>
      <c r="BD663" s="160"/>
      <c r="BE663" s="160"/>
      <c r="BF663" s="160"/>
      <c r="BG663" s="93"/>
      <c r="BH663" s="93"/>
      <c r="BI663" s="93"/>
      <c r="BJ663" s="93"/>
      <c r="BK663" s="93"/>
      <c r="BL663" s="93"/>
      <c r="BM663" s="112"/>
      <c r="BN663" s="93"/>
      <c r="BO663" s="290"/>
      <c r="BP663" s="160"/>
      <c r="BQ663" s="93"/>
      <c r="BR663" s="290"/>
      <c r="BS663" s="160"/>
      <c r="BT663" s="160"/>
      <c r="BU663" s="160"/>
      <c r="BV663" s="160"/>
      <c r="BW663" s="290"/>
      <c r="BX663" s="93"/>
      <c r="BY663" s="160"/>
      <c r="BZ663" s="290"/>
      <c r="CA663" s="93"/>
      <c r="CB663" s="113"/>
      <c r="CC663" s="117"/>
      <c r="CD663" s="117"/>
      <c r="CE663" s="117"/>
      <c r="CF663" s="117"/>
      <c r="CG663" s="117"/>
      <c r="CH663" s="117"/>
      <c r="CI663" s="150"/>
      <c r="CJ663" s="150"/>
      <c r="CK663" s="150"/>
      <c r="CL663" s="150"/>
      <c r="CM663" s="893"/>
      <c r="CN663" s="150"/>
      <c r="CO663" s="117"/>
      <c r="CP663" s="117"/>
      <c r="CQ663" s="894"/>
      <c r="CR663" s="364"/>
      <c r="CS663" s="363"/>
      <c r="CT663" s="117"/>
      <c r="CU663" s="117"/>
      <c r="CV663" s="117"/>
      <c r="CW663" s="117"/>
      <c r="CX663" s="150"/>
      <c r="CY663" s="150"/>
      <c r="CZ663" s="150"/>
      <c r="DA663" s="150"/>
      <c r="DB663" s="150"/>
      <c r="DC663" s="150"/>
      <c r="DD663" s="150"/>
      <c r="DE663" s="893"/>
      <c r="DF663" s="70"/>
      <c r="DG663" s="70"/>
      <c r="DH663" s="362"/>
      <c r="DI663" s="363"/>
      <c r="DJ663" s="117"/>
      <c r="DK663" s="117"/>
      <c r="DL663" s="117"/>
      <c r="DM663" s="150"/>
      <c r="DN663" s="117"/>
      <c r="DO663" s="117"/>
      <c r="DP663" s="150"/>
      <c r="DQ663" s="150"/>
      <c r="DR663" s="150"/>
      <c r="DS663" s="150"/>
      <c r="DT663" s="117"/>
      <c r="DU663" s="117"/>
      <c r="DV663" s="150"/>
      <c r="DW663" s="117"/>
      <c r="DX663" s="364"/>
      <c r="DY663" s="795"/>
    </row>
    <row r="664" spans="1:129">
      <c r="A664" s="699">
        <v>164</v>
      </c>
      <c r="B664" s="93"/>
      <c r="C664" s="93"/>
      <c r="D664" s="160"/>
      <c r="E664" s="290"/>
      <c r="F664" s="298"/>
      <c r="G664" s="294"/>
      <c r="H664" s="294"/>
      <c r="I664" s="294"/>
      <c r="J664" s="294"/>
      <c r="K664" s="298"/>
      <c r="L664" s="93"/>
      <c r="M664" s="160"/>
      <c r="N664" s="93"/>
      <c r="O664" s="93"/>
      <c r="P664" s="79"/>
      <c r="Q664" s="699"/>
      <c r="R664" s="160"/>
      <c r="S664" s="160"/>
      <c r="T664" s="93"/>
      <c r="U664" s="294"/>
      <c r="V664" s="298"/>
      <c r="W664" s="294"/>
      <c r="X664" s="298"/>
      <c r="Y664" s="294"/>
      <c r="Z664" s="206"/>
      <c r="AA664" s="93"/>
      <c r="AB664" s="160"/>
      <c r="AC664" s="93"/>
      <c r="AD664" s="93"/>
      <c r="AE664" s="93"/>
      <c r="AF664" s="79"/>
      <c r="AG664" s="51"/>
      <c r="AH664" s="51"/>
      <c r="AI664" s="207"/>
      <c r="AJ664" s="51"/>
      <c r="AK664" s="160"/>
      <c r="AL664" s="294"/>
      <c r="AM664" s="298"/>
      <c r="AN664" s="294"/>
      <c r="AO664" s="206"/>
      <c r="AP664" s="160"/>
      <c r="AQ664" s="93"/>
      <c r="AR664" s="93"/>
      <c r="AS664" s="93"/>
      <c r="AT664" s="93"/>
      <c r="AU664" s="93"/>
      <c r="AV664" s="93"/>
      <c r="AW664" s="699"/>
      <c r="AX664" s="160"/>
      <c r="AY664" s="93"/>
      <c r="AZ664" s="160"/>
      <c r="BA664" s="290"/>
      <c r="BB664" s="298"/>
      <c r="BC664" s="204"/>
      <c r="BD664" s="298"/>
      <c r="BE664" s="294"/>
      <c r="BF664" s="294"/>
      <c r="BG664" s="290"/>
      <c r="BH664" s="93"/>
      <c r="BI664" s="93"/>
      <c r="BJ664" s="93"/>
      <c r="BK664" s="93"/>
      <c r="BL664" s="93"/>
      <c r="BM664" s="112"/>
      <c r="BN664" s="93"/>
      <c r="BO664" s="93"/>
      <c r="BP664" s="160"/>
      <c r="BQ664" s="93"/>
      <c r="BR664" s="298"/>
      <c r="BS664" s="294"/>
      <c r="BT664" s="294"/>
      <c r="BU664" s="290"/>
      <c r="BV664" s="294"/>
      <c r="BW664" s="294"/>
      <c r="BX664" s="93"/>
      <c r="BY664" s="160"/>
      <c r="BZ664" s="93"/>
      <c r="CA664" s="93"/>
      <c r="CB664" s="113"/>
      <c r="CC664" s="117"/>
      <c r="CD664" s="117"/>
      <c r="CE664" s="117"/>
      <c r="CF664" s="117"/>
      <c r="CG664" s="117"/>
      <c r="CH664" s="893"/>
      <c r="CI664" s="885"/>
      <c r="CJ664" s="885"/>
      <c r="CK664" s="890"/>
      <c r="CL664" s="961"/>
      <c r="CM664" s="890"/>
      <c r="CN664" s="893"/>
      <c r="CO664" s="150"/>
      <c r="CP664" s="117"/>
      <c r="CQ664" s="150"/>
      <c r="CR664" s="364"/>
      <c r="CS664" s="363"/>
      <c r="CT664" s="117"/>
      <c r="CU664" s="117"/>
      <c r="CV664" s="117"/>
      <c r="CW664" s="117"/>
      <c r="CX664" s="117"/>
      <c r="CY664" s="150"/>
      <c r="CZ664" s="878"/>
      <c r="DA664" s="885"/>
      <c r="DB664" s="890"/>
      <c r="DC664" s="885"/>
      <c r="DD664" s="150"/>
      <c r="DE664" s="70"/>
      <c r="DF664" s="894"/>
      <c r="DG664" s="70"/>
      <c r="DH664" s="362"/>
      <c r="DI664" s="363"/>
      <c r="DJ664" s="117"/>
      <c r="DK664" s="117"/>
      <c r="DL664" s="117"/>
      <c r="DM664" s="150"/>
      <c r="DN664" s="117"/>
      <c r="DO664" s="878"/>
      <c r="DP664" s="885"/>
      <c r="DQ664" s="890"/>
      <c r="DR664" s="885"/>
      <c r="DS664" s="890"/>
      <c r="DT664" s="885"/>
      <c r="DU664" s="117"/>
      <c r="DV664" s="150"/>
      <c r="DW664" s="150"/>
      <c r="DX664" s="364"/>
      <c r="DY664" s="51"/>
    </row>
    <row r="665" spans="1:129">
      <c r="A665" s="699">
        <v>168</v>
      </c>
      <c r="B665" s="93"/>
      <c r="C665" s="93"/>
      <c r="D665" s="160"/>
      <c r="E665" s="298"/>
      <c r="F665" s="294"/>
      <c r="G665" s="294"/>
      <c r="H665" s="290"/>
      <c r="I665" s="290"/>
      <c r="J665" s="294"/>
      <c r="K665" s="294"/>
      <c r="L665" s="290"/>
      <c r="M665" s="160"/>
      <c r="N665" s="93"/>
      <c r="O665" s="93"/>
      <c r="P665" s="79"/>
      <c r="Q665" s="160"/>
      <c r="R665" s="93"/>
      <c r="S665" s="160"/>
      <c r="T665" s="294"/>
      <c r="U665" s="298"/>
      <c r="V665" s="294"/>
      <c r="W665" s="294"/>
      <c r="X665" s="298"/>
      <c r="Y665" s="294"/>
      <c r="Z665" s="294"/>
      <c r="AA665" s="290"/>
      <c r="AB665" s="290"/>
      <c r="AC665" s="93"/>
      <c r="AD665" s="93"/>
      <c r="AE665" s="93"/>
      <c r="AF665" s="79"/>
      <c r="AG665" s="51"/>
      <c r="AH665" s="51"/>
      <c r="AI665" s="51"/>
      <c r="AJ665" s="160"/>
      <c r="AK665" s="298"/>
      <c r="AL665" s="206"/>
      <c r="AM665" s="294"/>
      <c r="AN665" s="160"/>
      <c r="AO665" s="160"/>
      <c r="AP665" s="294"/>
      <c r="AQ665" s="93"/>
      <c r="AR665" s="93"/>
      <c r="AS665" s="93"/>
      <c r="AT665" s="93"/>
      <c r="AU665" s="93"/>
      <c r="AV665" s="93"/>
      <c r="AW665" s="967"/>
      <c r="AX665" s="93"/>
      <c r="AY665" s="160"/>
      <c r="AZ665" s="290"/>
      <c r="BA665" s="298"/>
      <c r="BB665" s="298"/>
      <c r="BC665" s="294"/>
      <c r="BD665" s="290"/>
      <c r="BE665" s="290"/>
      <c r="BF665" s="294"/>
      <c r="BG665" s="206"/>
      <c r="BH665" s="93"/>
      <c r="BI665" s="93"/>
      <c r="BJ665" s="93"/>
      <c r="BK665" s="93"/>
      <c r="BL665" s="93"/>
      <c r="BM665" s="112"/>
      <c r="BN665" s="93"/>
      <c r="BO665" s="160"/>
      <c r="BP665" s="160"/>
      <c r="BQ665" s="298"/>
      <c r="BR665" s="294"/>
      <c r="BS665" s="294"/>
      <c r="BT665" s="290"/>
      <c r="BU665" s="290"/>
      <c r="BV665" s="290"/>
      <c r="BW665" s="294"/>
      <c r="BX665" s="290"/>
      <c r="BY665" s="160"/>
      <c r="BZ665" s="160"/>
      <c r="CA665" s="93"/>
      <c r="CB665" s="113"/>
      <c r="CC665" s="117"/>
      <c r="CD665" s="117"/>
      <c r="CE665" s="117"/>
      <c r="CF665" s="117"/>
      <c r="CG665" s="117"/>
      <c r="CH665" s="878"/>
      <c r="CI665" s="885"/>
      <c r="CJ665" s="893"/>
      <c r="CK665" s="893"/>
      <c r="CL665" s="885"/>
      <c r="CM665" s="890"/>
      <c r="CN665" s="890"/>
      <c r="CO665" s="893"/>
      <c r="CP665" s="150"/>
      <c r="CQ665" s="117"/>
      <c r="CR665" s="968"/>
      <c r="CS665" s="363"/>
      <c r="CT665" s="117"/>
      <c r="CU665" s="117"/>
      <c r="CV665" s="117"/>
      <c r="CW665" s="117"/>
      <c r="CX665" s="117"/>
      <c r="CY665" s="885"/>
      <c r="CZ665" s="150"/>
      <c r="DA665" s="150"/>
      <c r="DB665" s="885"/>
      <c r="DC665" s="878"/>
      <c r="DD665" s="890"/>
      <c r="DE665" s="150"/>
      <c r="DF665" s="70"/>
      <c r="DG665" s="70"/>
      <c r="DH665" s="362"/>
      <c r="DI665" s="363"/>
      <c r="DJ665" s="117"/>
      <c r="DK665" s="117"/>
      <c r="DL665" s="117"/>
      <c r="DM665" s="893"/>
      <c r="DN665" s="893"/>
      <c r="DO665" s="885"/>
      <c r="DP665" s="885"/>
      <c r="DQ665" s="890"/>
      <c r="DR665" s="885"/>
      <c r="DS665" s="885"/>
      <c r="DT665" s="890"/>
      <c r="DU665" s="885"/>
      <c r="DV665" s="150"/>
      <c r="DW665" s="117"/>
      <c r="DX665" s="969"/>
      <c r="DY665" s="51"/>
    </row>
    <row r="666" spans="1:129">
      <c r="A666" s="699">
        <v>2</v>
      </c>
      <c r="B666" s="93"/>
      <c r="C666" s="160"/>
      <c r="D666" s="160"/>
      <c r="E666" s="294"/>
      <c r="F666" s="294"/>
      <c r="G666" s="290"/>
      <c r="H666" s="93"/>
      <c r="I666" s="93"/>
      <c r="J666" s="290"/>
      <c r="K666" s="294"/>
      <c r="L666" s="298"/>
      <c r="M666" s="160"/>
      <c r="N666" s="160"/>
      <c r="O666" s="93"/>
      <c r="P666" s="79"/>
      <c r="Q666" s="298"/>
      <c r="R666" s="93"/>
      <c r="S666" s="160"/>
      <c r="T666" s="298"/>
      <c r="U666" s="294"/>
      <c r="V666" s="290"/>
      <c r="W666" s="298"/>
      <c r="X666" s="298"/>
      <c r="Y666" s="294"/>
      <c r="Z666" s="160"/>
      <c r="AA666" s="160"/>
      <c r="AB666" s="93"/>
      <c r="AC666" s="93"/>
      <c r="AD666" s="93"/>
      <c r="AE666" s="93"/>
      <c r="AF666" s="79"/>
      <c r="AG666" s="51"/>
      <c r="AH666" s="51"/>
      <c r="AI666" s="207"/>
      <c r="AJ666" s="294"/>
      <c r="AK666" s="206"/>
      <c r="AL666" s="298"/>
      <c r="AM666" s="160"/>
      <c r="AN666" s="160"/>
      <c r="AO666" s="294"/>
      <c r="AP666" s="206"/>
      <c r="AQ666" s="93"/>
      <c r="AR666" s="93"/>
      <c r="AS666" s="93"/>
      <c r="AT666" s="93"/>
      <c r="AU666" s="93"/>
      <c r="AV666" s="93"/>
      <c r="AW666" s="970"/>
      <c r="AX666" s="160"/>
      <c r="AY666" s="290"/>
      <c r="AZ666" s="298"/>
      <c r="BA666" s="298"/>
      <c r="BB666" s="294"/>
      <c r="BC666" s="290"/>
      <c r="BD666" s="206"/>
      <c r="BE666" s="294"/>
      <c r="BF666" s="206"/>
      <c r="BG666" s="93"/>
      <c r="BH666" s="93"/>
      <c r="BI666" s="93"/>
      <c r="BJ666" s="93"/>
      <c r="BK666" s="93"/>
      <c r="BL666" s="93"/>
      <c r="BM666" s="112"/>
      <c r="BN666" s="160"/>
      <c r="BO666" s="93"/>
      <c r="BP666" s="290"/>
      <c r="BQ666" s="294"/>
      <c r="BR666" s="294"/>
      <c r="BS666" s="290"/>
      <c r="BT666" s="290"/>
      <c r="BU666" s="160"/>
      <c r="BV666" s="290"/>
      <c r="BW666" s="294"/>
      <c r="BX666" s="294"/>
      <c r="BY666" s="290"/>
      <c r="BZ666" s="93"/>
      <c r="CA666" s="160"/>
      <c r="CB666" s="113"/>
      <c r="CC666" s="117"/>
      <c r="CD666" s="117"/>
      <c r="CE666" s="117"/>
      <c r="CF666" s="117"/>
      <c r="CG666" s="117"/>
      <c r="CH666" s="117"/>
      <c r="CI666" s="878"/>
      <c r="CJ666" s="885"/>
      <c r="CK666" s="878"/>
      <c r="CL666" s="893"/>
      <c r="CM666" s="885"/>
      <c r="CN666" s="890"/>
      <c r="CO666" s="890"/>
      <c r="CP666" s="893"/>
      <c r="CQ666" s="150"/>
      <c r="CR666" s="969"/>
      <c r="CS666" s="363"/>
      <c r="CT666" s="117"/>
      <c r="CU666" s="117"/>
      <c r="CV666" s="117"/>
      <c r="CW666" s="117"/>
      <c r="CX666" s="117"/>
      <c r="CY666" s="878"/>
      <c r="CZ666" s="885"/>
      <c r="DA666" s="150"/>
      <c r="DB666" s="150"/>
      <c r="DC666" s="890"/>
      <c r="DD666" s="878"/>
      <c r="DE666" s="885"/>
      <c r="DF666" s="894"/>
      <c r="DG666" s="70"/>
      <c r="DH666" s="362"/>
      <c r="DI666" s="363"/>
      <c r="DJ666" s="117"/>
      <c r="DK666" s="117"/>
      <c r="DL666" s="117"/>
      <c r="DM666" s="117"/>
      <c r="DN666" s="150"/>
      <c r="DO666" s="150"/>
      <c r="DP666" s="885"/>
      <c r="DQ666" s="890"/>
      <c r="DR666" s="890"/>
      <c r="DS666" s="893"/>
      <c r="DT666" s="885"/>
      <c r="DU666" s="890"/>
      <c r="DV666" s="150"/>
      <c r="DW666" s="117"/>
      <c r="DX666" s="971"/>
      <c r="DY666" s="795"/>
    </row>
    <row r="667" spans="1:129">
      <c r="A667" s="699">
        <v>3</v>
      </c>
      <c r="B667" s="160"/>
      <c r="C667" s="93"/>
      <c r="D667" s="160"/>
      <c r="E667" s="294"/>
      <c r="F667" s="294"/>
      <c r="G667" s="290"/>
      <c r="H667" s="93"/>
      <c r="I667" s="93"/>
      <c r="J667" s="290"/>
      <c r="K667" s="294"/>
      <c r="L667" s="294"/>
      <c r="M667" s="160"/>
      <c r="N667" s="93"/>
      <c r="O667" s="160"/>
      <c r="P667" s="79"/>
      <c r="Q667" s="699"/>
      <c r="R667" s="160"/>
      <c r="S667" s="93"/>
      <c r="T667" s="294"/>
      <c r="U667" s="294"/>
      <c r="V667" s="93"/>
      <c r="W667" s="298"/>
      <c r="X667" s="294"/>
      <c r="Y667" s="160"/>
      <c r="Z667" s="294"/>
      <c r="AA667" s="160"/>
      <c r="AB667" s="93"/>
      <c r="AC667" s="93"/>
      <c r="AD667" s="93"/>
      <c r="AE667" s="93"/>
      <c r="AF667" s="79"/>
      <c r="AG667" s="51"/>
      <c r="AH667" s="51"/>
      <c r="AI667" s="51"/>
      <c r="AJ667" s="204"/>
      <c r="AK667" s="160"/>
      <c r="AL667" s="160"/>
      <c r="AM667" s="294"/>
      <c r="AN667" s="160"/>
      <c r="AO667" s="206"/>
      <c r="AP667" s="93"/>
      <c r="AQ667" s="93"/>
      <c r="AR667" s="93"/>
      <c r="AS667" s="93"/>
      <c r="AT667" s="93"/>
      <c r="AU667" s="93"/>
      <c r="AV667" s="93"/>
      <c r="AW667" s="699"/>
      <c r="AX667" s="93"/>
      <c r="AY667" s="93"/>
      <c r="AZ667" s="298"/>
      <c r="BA667" s="294"/>
      <c r="BB667" s="290"/>
      <c r="BC667" s="206"/>
      <c r="BD667" s="294"/>
      <c r="BE667" s="206"/>
      <c r="BF667" s="93"/>
      <c r="BG667" s="93"/>
      <c r="BH667" s="93"/>
      <c r="BI667" s="93"/>
      <c r="BJ667" s="93"/>
      <c r="BK667" s="93"/>
      <c r="BL667" s="93"/>
      <c r="BM667" s="112"/>
      <c r="BN667" s="160"/>
      <c r="BO667" s="93"/>
      <c r="BP667" s="290"/>
      <c r="BQ667" s="290"/>
      <c r="BR667" s="290"/>
      <c r="BS667" s="290"/>
      <c r="BT667" s="93"/>
      <c r="BU667" s="93"/>
      <c r="BV667" s="290"/>
      <c r="BW667" s="290"/>
      <c r="BX667" s="290"/>
      <c r="BY667" s="290"/>
      <c r="BZ667" s="93"/>
      <c r="CA667" s="160"/>
      <c r="CB667" s="113"/>
      <c r="CC667" s="117"/>
      <c r="CD667" s="117"/>
      <c r="CE667" s="117"/>
      <c r="CF667" s="117"/>
      <c r="CG667" s="117"/>
      <c r="CH667" s="117"/>
      <c r="CI667" s="117"/>
      <c r="CJ667" s="878"/>
      <c r="CK667" s="885"/>
      <c r="CL667" s="878"/>
      <c r="CM667" s="893"/>
      <c r="CN667" s="885"/>
      <c r="CO667" s="890"/>
      <c r="CP667" s="117"/>
      <c r="CQ667" s="117"/>
      <c r="CR667" s="364"/>
      <c r="CS667" s="363"/>
      <c r="CT667" s="117"/>
      <c r="CU667" s="117"/>
      <c r="CV667" s="117"/>
      <c r="CW667" s="117"/>
      <c r="CX667" s="117"/>
      <c r="CY667" s="117"/>
      <c r="CZ667" s="878"/>
      <c r="DA667" s="150"/>
      <c r="DB667" s="885"/>
      <c r="DC667" s="150"/>
      <c r="DD667" s="150"/>
      <c r="DE667" s="961"/>
      <c r="DF667" s="70"/>
      <c r="DG667" s="70"/>
      <c r="DH667" s="362"/>
      <c r="DI667" s="363"/>
      <c r="DJ667" s="117"/>
      <c r="DK667" s="117"/>
      <c r="DL667" s="117"/>
      <c r="DM667" s="117"/>
      <c r="DN667" s="150"/>
      <c r="DO667" s="885"/>
      <c r="DP667" s="150"/>
      <c r="DQ667" s="885"/>
      <c r="DR667" s="890"/>
      <c r="DS667" s="117"/>
      <c r="DT667" s="885"/>
      <c r="DU667" s="885"/>
      <c r="DV667" s="117"/>
      <c r="DW667" s="150"/>
      <c r="DX667" s="364"/>
    </row>
    <row r="668" spans="1:129">
      <c r="A668" s="699">
        <v>2</v>
      </c>
      <c r="B668" s="160"/>
      <c r="C668" s="93"/>
      <c r="D668" s="93"/>
      <c r="E668" s="160"/>
      <c r="F668" s="290"/>
      <c r="G668" s="93"/>
      <c r="H668" s="93"/>
      <c r="I668" s="93"/>
      <c r="J668" s="93"/>
      <c r="K668" s="290"/>
      <c r="L668" s="160"/>
      <c r="M668" s="93"/>
      <c r="N668" s="93"/>
      <c r="O668" s="160"/>
      <c r="P668" s="79"/>
      <c r="Q668" s="699"/>
      <c r="R668" s="298"/>
      <c r="S668" s="93"/>
      <c r="T668" s="93"/>
      <c r="U668" s="294"/>
      <c r="V668" s="290"/>
      <c r="W668" s="93"/>
      <c r="X668" s="207"/>
      <c r="Y668" s="294"/>
      <c r="Z668" s="93"/>
      <c r="AA668" s="160"/>
      <c r="AB668" s="93"/>
      <c r="AC668" s="93"/>
      <c r="AD668" s="93"/>
      <c r="AE668" s="93"/>
      <c r="AF668" s="79"/>
      <c r="AG668" s="51"/>
      <c r="AH668" s="51"/>
      <c r="AI668" s="51"/>
      <c r="AJ668" s="206"/>
      <c r="AK668" s="294"/>
      <c r="AL668" s="298"/>
      <c r="AM668" s="206"/>
      <c r="AN668" s="160"/>
      <c r="AO668" s="93"/>
      <c r="AP668" s="93"/>
      <c r="AQ668" s="93"/>
      <c r="AR668" s="93"/>
      <c r="AS668" s="93"/>
      <c r="AT668" s="93"/>
      <c r="AU668" s="93"/>
      <c r="AV668" s="93"/>
      <c r="AW668" s="699"/>
      <c r="AX668" s="93"/>
      <c r="AY668" s="93"/>
      <c r="AZ668" s="298"/>
      <c r="BA668" s="294"/>
      <c r="BB668" s="206"/>
      <c r="BC668" s="93"/>
      <c r="BD668" s="294"/>
      <c r="BE668" s="294"/>
      <c r="BF668" s="206"/>
      <c r="BG668" s="93"/>
      <c r="BH668" s="93"/>
      <c r="BI668" s="93"/>
      <c r="BJ668" s="93"/>
      <c r="BK668" s="93"/>
      <c r="BL668" s="93"/>
      <c r="BM668" s="112"/>
      <c r="BN668" s="93"/>
      <c r="BO668" s="160"/>
      <c r="BP668" s="93"/>
      <c r="BQ668" s="290"/>
      <c r="BR668" s="290"/>
      <c r="BS668" s="93"/>
      <c r="BT668" s="93"/>
      <c r="BU668" s="93"/>
      <c r="BV668" s="93"/>
      <c r="BW668" s="290"/>
      <c r="BX668" s="290"/>
      <c r="BY668" s="93"/>
      <c r="BZ668" s="160"/>
      <c r="CA668" s="93"/>
      <c r="CB668" s="113"/>
      <c r="CC668" s="117"/>
      <c r="CD668" s="117"/>
      <c r="CE668" s="117"/>
      <c r="CF668" s="117"/>
      <c r="CG668" s="117"/>
      <c r="CH668" s="117"/>
      <c r="CI668" s="878"/>
      <c r="CJ668" s="885"/>
      <c r="CK668" s="885"/>
      <c r="CL668" s="117"/>
      <c r="CM668" s="878"/>
      <c r="CN668" s="885"/>
      <c r="CO668" s="890"/>
      <c r="CP668" s="117"/>
      <c r="CQ668" s="117"/>
      <c r="CR668" s="364"/>
      <c r="CS668" s="363"/>
      <c r="CT668" s="117"/>
      <c r="CU668" s="117"/>
      <c r="CV668" s="117"/>
      <c r="CW668" s="117"/>
      <c r="CX668" s="117"/>
      <c r="CY668" s="117"/>
      <c r="CZ668" s="117"/>
      <c r="DA668" s="150"/>
      <c r="DB668" s="878"/>
      <c r="DC668" s="890"/>
      <c r="DD668" s="885"/>
      <c r="DE668" s="878"/>
      <c r="DF668" s="70"/>
      <c r="DG668" s="70"/>
      <c r="DH668" s="362"/>
      <c r="DI668" s="363"/>
      <c r="DJ668" s="117"/>
      <c r="DK668" s="117"/>
      <c r="DL668" s="117"/>
      <c r="DM668" s="117"/>
      <c r="DN668" s="150"/>
      <c r="DO668" s="117"/>
      <c r="DP668" s="885"/>
      <c r="DQ668" s="894"/>
      <c r="DR668" s="117"/>
      <c r="DS668" s="893"/>
      <c r="DT668" s="885"/>
      <c r="DU668" s="117"/>
      <c r="DV668" s="117"/>
      <c r="DW668" s="890"/>
      <c r="DX668" s="364"/>
    </row>
    <row r="669" spans="1:129">
      <c r="A669" s="699"/>
      <c r="B669" s="93"/>
      <c r="C669" s="160"/>
      <c r="D669" s="93"/>
      <c r="E669" s="298"/>
      <c r="F669" s="294"/>
      <c r="G669" s="290"/>
      <c r="H669" s="93"/>
      <c r="I669" s="93"/>
      <c r="J669" s="290"/>
      <c r="K669" s="294"/>
      <c r="L669" s="298"/>
      <c r="M669" s="93"/>
      <c r="N669" s="160"/>
      <c r="O669" s="93"/>
      <c r="P669" s="79"/>
      <c r="Q669" s="699"/>
      <c r="R669" s="93"/>
      <c r="S669" s="93"/>
      <c r="T669" s="93"/>
      <c r="U669" s="93"/>
      <c r="V669" s="294"/>
      <c r="W669" s="93"/>
      <c r="X669" s="93"/>
      <c r="Y669" s="294"/>
      <c r="Z669" s="160"/>
      <c r="AA669" s="93"/>
      <c r="AB669" s="93"/>
      <c r="AC669" s="93"/>
      <c r="AD669" s="93"/>
      <c r="AE669" s="93"/>
      <c r="AF669" s="79"/>
      <c r="AG669" s="51"/>
      <c r="AH669" s="51"/>
      <c r="AI669" s="51"/>
      <c r="AJ669" s="51"/>
      <c r="AK669" s="204"/>
      <c r="AL669" s="160"/>
      <c r="AM669" s="160"/>
      <c r="AN669" s="206"/>
      <c r="AO669" s="93"/>
      <c r="AP669" s="93"/>
      <c r="AQ669" s="93"/>
      <c r="AR669" s="93"/>
      <c r="AS669" s="93"/>
      <c r="AT669" s="93"/>
      <c r="AU669" s="93"/>
      <c r="AV669" s="93"/>
      <c r="AW669" s="699"/>
      <c r="AX669" s="93"/>
      <c r="AY669" s="93"/>
      <c r="AZ669" s="93"/>
      <c r="BA669" s="294"/>
      <c r="BB669" s="294"/>
      <c r="BC669" s="206"/>
      <c r="BD669" s="93"/>
      <c r="BE669" s="294"/>
      <c r="BF669" s="206"/>
      <c r="BG669" s="206"/>
      <c r="BH669" s="93"/>
      <c r="BI669" s="93"/>
      <c r="BJ669" s="93"/>
      <c r="BK669" s="93"/>
      <c r="BL669" s="93"/>
      <c r="BM669" s="112"/>
      <c r="BN669" s="93"/>
      <c r="BO669" s="298"/>
      <c r="BP669" s="93"/>
      <c r="BQ669" s="294"/>
      <c r="BR669" s="290"/>
      <c r="BS669" s="93"/>
      <c r="BT669" s="93"/>
      <c r="BU669" s="93"/>
      <c r="BV669" s="93"/>
      <c r="BW669" s="290"/>
      <c r="BX669" s="294"/>
      <c r="BY669" s="93"/>
      <c r="BZ669" s="298"/>
      <c r="CA669" s="93"/>
      <c r="CB669" s="113"/>
      <c r="CC669" s="117"/>
      <c r="CD669" s="117"/>
      <c r="CE669" s="117"/>
      <c r="CF669" s="117"/>
      <c r="CG669" s="117"/>
      <c r="CH669" s="878"/>
      <c r="CI669" s="878"/>
      <c r="CJ669" s="885"/>
      <c r="CK669" s="117"/>
      <c r="CL669" s="878"/>
      <c r="CM669" s="885"/>
      <c r="CN669" s="885"/>
      <c r="CO669" s="117"/>
      <c r="CP669" s="117"/>
      <c r="CQ669" s="117"/>
      <c r="CR669" s="364"/>
      <c r="CS669" s="363"/>
      <c r="CT669" s="117"/>
      <c r="CU669" s="117"/>
      <c r="CV669" s="117"/>
      <c r="CW669" s="117"/>
      <c r="CX669" s="117"/>
      <c r="CY669" s="117"/>
      <c r="CZ669" s="117"/>
      <c r="DA669" s="878"/>
      <c r="DB669" s="150"/>
      <c r="DC669" s="150"/>
      <c r="DD669" s="961"/>
      <c r="DE669" s="70"/>
      <c r="DF669" s="70"/>
      <c r="DG669" s="70"/>
      <c r="DH669" s="362"/>
      <c r="DI669" s="363"/>
      <c r="DJ669" s="117"/>
      <c r="DK669" s="117"/>
      <c r="DL669" s="117"/>
      <c r="DM669" s="117"/>
      <c r="DN669" s="117"/>
      <c r="DO669" s="150"/>
      <c r="DP669" s="885"/>
      <c r="DQ669" s="117"/>
      <c r="DR669" s="117"/>
      <c r="DS669" s="885"/>
      <c r="DT669" s="117"/>
      <c r="DU669" s="117"/>
      <c r="DV669" s="117"/>
      <c r="DW669" s="117"/>
      <c r="DX669" s="364"/>
    </row>
    <row r="670" spans="1:129">
      <c r="A670" s="699"/>
      <c r="B670" s="93"/>
      <c r="C670" s="298"/>
      <c r="D670" s="93"/>
      <c r="E670" s="93"/>
      <c r="F670" s="294"/>
      <c r="G670" s="290"/>
      <c r="H670" s="93"/>
      <c r="I670" s="93"/>
      <c r="J670" s="290"/>
      <c r="K670" s="294"/>
      <c r="L670" s="93"/>
      <c r="M670" s="93"/>
      <c r="N670" s="298"/>
      <c r="O670" s="93"/>
      <c r="P670" s="79"/>
      <c r="Q670" s="699"/>
      <c r="R670" s="93"/>
      <c r="S670" s="93"/>
      <c r="T670" s="93"/>
      <c r="U670" s="294"/>
      <c r="V670" s="294"/>
      <c r="W670" s="93"/>
      <c r="X670" s="93"/>
      <c r="Y670" s="207"/>
      <c r="Z670" s="290"/>
      <c r="AA670" s="93"/>
      <c r="AB670" s="93"/>
      <c r="AC670" s="93"/>
      <c r="AD670" s="93"/>
      <c r="AE670" s="93"/>
      <c r="AF670" s="79"/>
      <c r="AG670" s="51"/>
      <c r="AH670" s="51"/>
      <c r="AI670" s="51"/>
      <c r="AJ670" s="51"/>
      <c r="AK670" s="51"/>
      <c r="AL670" s="206"/>
      <c r="AM670" s="294"/>
      <c r="AN670" s="206"/>
      <c r="AO670" s="206"/>
      <c r="AP670" s="51"/>
      <c r="AQ670" s="51"/>
      <c r="AR670" s="93"/>
      <c r="AS670" s="93"/>
      <c r="AT670" s="93"/>
      <c r="AU670" s="93"/>
      <c r="AV670" s="93"/>
      <c r="AW670" s="699"/>
      <c r="AX670" s="93"/>
      <c r="AY670" s="93"/>
      <c r="AZ670" s="93"/>
      <c r="BA670" s="93"/>
      <c r="BB670" s="294"/>
      <c r="BC670" s="294"/>
      <c r="BD670" s="206"/>
      <c r="BE670" s="93"/>
      <c r="BF670" s="93"/>
      <c r="BG670" s="206"/>
      <c r="BH670" s="206"/>
      <c r="BI670" s="93"/>
      <c r="BJ670" s="93"/>
      <c r="BK670" s="93"/>
      <c r="BL670" s="93"/>
      <c r="BM670" s="112"/>
      <c r="BN670" s="93"/>
      <c r="BO670" s="93"/>
      <c r="BP670" s="93"/>
      <c r="BQ670" s="290"/>
      <c r="BR670" s="290"/>
      <c r="BS670" s="93"/>
      <c r="BT670" s="93"/>
      <c r="BU670" s="93"/>
      <c r="BV670" s="93"/>
      <c r="BW670" s="290"/>
      <c r="BX670" s="290"/>
      <c r="BY670" s="93"/>
      <c r="BZ670" s="93"/>
      <c r="CA670" s="93"/>
      <c r="CB670" s="113"/>
      <c r="CC670" s="117"/>
      <c r="CD670" s="117"/>
      <c r="CE670" s="117"/>
      <c r="CF670" s="117"/>
      <c r="CG670" s="878"/>
      <c r="CH670" s="878"/>
      <c r="CI670" s="117"/>
      <c r="CJ670" s="117"/>
      <c r="CK670" s="878"/>
      <c r="CL670" s="885"/>
      <c r="CM670" s="885"/>
      <c r="CN670" s="117"/>
      <c r="CO670" s="117"/>
      <c r="CP670" s="117"/>
      <c r="CQ670" s="117"/>
      <c r="CR670" s="364"/>
      <c r="CS670" s="363"/>
      <c r="CT670" s="117"/>
      <c r="CU670" s="117"/>
      <c r="CV670" s="117"/>
      <c r="CW670" s="117"/>
      <c r="CX670" s="70"/>
      <c r="CY670" s="70"/>
      <c r="CZ670" s="878"/>
      <c r="DA670" s="878"/>
      <c r="DB670" s="885"/>
      <c r="DC670" s="878"/>
      <c r="DD670" s="70"/>
      <c r="DE670" s="70"/>
      <c r="DF670" s="70"/>
      <c r="DG670" s="70"/>
      <c r="DH670" s="362"/>
      <c r="DI670" s="363"/>
      <c r="DJ670" s="117"/>
      <c r="DK670" s="117"/>
      <c r="DL670" s="117"/>
      <c r="DM670" s="117"/>
      <c r="DN670" s="117"/>
      <c r="DO670" s="893"/>
      <c r="DP670" s="894"/>
      <c r="DQ670" s="117"/>
      <c r="DR670" s="117"/>
      <c r="DS670" s="885"/>
      <c r="DT670" s="885"/>
      <c r="DU670" s="117"/>
      <c r="DV670" s="117"/>
      <c r="DW670" s="117"/>
      <c r="DX670" s="364"/>
    </row>
    <row r="671" spans="1:129">
      <c r="A671" s="699"/>
      <c r="B671" s="93"/>
      <c r="C671" s="93"/>
      <c r="D671" s="93"/>
      <c r="E671" s="290"/>
      <c r="F671" s="290"/>
      <c r="G671" s="93"/>
      <c r="H671" s="93"/>
      <c r="I671" s="93"/>
      <c r="J671" s="93"/>
      <c r="K671" s="294"/>
      <c r="L671" s="290"/>
      <c r="M671" s="93"/>
      <c r="N671" s="93"/>
      <c r="O671" s="93"/>
      <c r="P671" s="79"/>
      <c r="Q671" s="699"/>
      <c r="R671" s="93"/>
      <c r="S671" s="93"/>
      <c r="T671" s="160"/>
      <c r="U671" s="160"/>
      <c r="V671" s="93"/>
      <c r="W671" s="93"/>
      <c r="X671" s="93"/>
      <c r="Y671" s="294"/>
      <c r="Z671" s="294"/>
      <c r="AA671" s="93"/>
      <c r="AB671" s="93"/>
      <c r="AC671" s="93"/>
      <c r="AD671" s="93"/>
      <c r="AE671" s="93"/>
      <c r="AF671" s="79"/>
      <c r="AG671" s="51"/>
      <c r="AH671" s="51"/>
      <c r="AI671" s="51"/>
      <c r="AJ671" s="51"/>
      <c r="AK671" s="160"/>
      <c r="AL671" s="160"/>
      <c r="AM671" s="51"/>
      <c r="AN671" s="206"/>
      <c r="AO671" s="206"/>
      <c r="AP671" s="51"/>
      <c r="AQ671" s="51"/>
      <c r="AR671" s="93"/>
      <c r="AS671" s="93"/>
      <c r="AT671" s="93"/>
      <c r="AU671" s="93"/>
      <c r="AV671" s="93"/>
      <c r="AW671" s="699"/>
      <c r="AX671" s="93"/>
      <c r="AY671" s="93"/>
      <c r="AZ671" s="93"/>
      <c r="BA671" s="93"/>
      <c r="BB671" s="93"/>
      <c r="BC671" s="160"/>
      <c r="BD671" s="206"/>
      <c r="BE671" s="93"/>
      <c r="BF671" s="160"/>
      <c r="BG671" s="160"/>
      <c r="BH671" s="93"/>
      <c r="BI671" s="93"/>
      <c r="BJ671" s="93"/>
      <c r="BK671" s="93"/>
      <c r="BL671" s="93"/>
      <c r="BM671" s="114"/>
      <c r="BN671" s="93"/>
      <c r="BO671" s="93"/>
      <c r="BP671" s="290"/>
      <c r="BQ671" s="290"/>
      <c r="BR671" s="93"/>
      <c r="BS671" s="93"/>
      <c r="BT671" s="93"/>
      <c r="BU671" s="93"/>
      <c r="BV671" s="93"/>
      <c r="BW671" s="93"/>
      <c r="BX671" s="290"/>
      <c r="BY671" s="290"/>
      <c r="BZ671" s="93"/>
      <c r="CA671" s="93"/>
      <c r="CB671" s="113"/>
      <c r="CC671" s="117"/>
      <c r="CD671" s="117"/>
      <c r="CE671" s="117"/>
      <c r="CF671" s="117"/>
      <c r="CG671" s="117"/>
      <c r="CH671" s="150"/>
      <c r="CI671" s="150"/>
      <c r="CJ671" s="117"/>
      <c r="CK671" s="878"/>
      <c r="CL671" s="150"/>
      <c r="CM671" s="117"/>
      <c r="CN671" s="117"/>
      <c r="CO671" s="117"/>
      <c r="CP671" s="117"/>
      <c r="CQ671" s="117"/>
      <c r="CR671" s="364"/>
      <c r="CS671" s="363"/>
      <c r="CT671" s="117"/>
      <c r="CU671" s="117"/>
      <c r="CV671" s="117"/>
      <c r="CW671" s="117"/>
      <c r="CX671" s="70"/>
      <c r="CY671" s="70"/>
      <c r="CZ671" s="878"/>
      <c r="DA671" s="878"/>
      <c r="DB671" s="70"/>
      <c r="DC671" s="150"/>
      <c r="DD671" s="150"/>
      <c r="DE671" s="70"/>
      <c r="DF671" s="70"/>
      <c r="DG671" s="70"/>
      <c r="DH671" s="362"/>
      <c r="DI671" s="363"/>
      <c r="DJ671" s="117"/>
      <c r="DK671" s="117"/>
      <c r="DL671" s="117"/>
      <c r="DM671" s="117"/>
      <c r="DN671" s="117"/>
      <c r="DO671" s="885"/>
      <c r="DP671" s="885"/>
      <c r="DQ671" s="117"/>
      <c r="DR671" s="117"/>
      <c r="DS671" s="117"/>
      <c r="DT671" s="150"/>
      <c r="DU671" s="150"/>
      <c r="DV671" s="117"/>
      <c r="DW671" s="117"/>
      <c r="DX671" s="364"/>
    </row>
    <row r="672" spans="1:129">
      <c r="A672" s="699"/>
      <c r="B672" s="93"/>
      <c r="C672" s="93"/>
      <c r="D672" s="160"/>
      <c r="E672" s="160"/>
      <c r="F672" s="93"/>
      <c r="G672" s="93"/>
      <c r="H672" s="93"/>
      <c r="I672" s="93"/>
      <c r="J672" s="93"/>
      <c r="K672" s="93"/>
      <c r="L672" s="160"/>
      <c r="M672" s="160"/>
      <c r="N672" s="93"/>
      <c r="O672" s="93"/>
      <c r="P672" s="79"/>
      <c r="Q672" s="699"/>
      <c r="R672" s="93"/>
      <c r="S672" s="93"/>
      <c r="T672" s="93"/>
      <c r="U672" s="93"/>
      <c r="V672" s="93"/>
      <c r="W672" s="93"/>
      <c r="X672" s="160"/>
      <c r="Y672" s="160"/>
      <c r="Z672" s="93"/>
      <c r="AA672" s="93"/>
      <c r="AB672" s="93"/>
      <c r="AC672" s="93"/>
      <c r="AD672" s="93"/>
      <c r="AE672" s="93"/>
      <c r="AF672" s="79"/>
      <c r="AG672" s="51"/>
      <c r="AH672" s="51"/>
      <c r="AI672" s="51"/>
      <c r="AJ672" s="51"/>
      <c r="AK672" s="51"/>
      <c r="AL672" s="51"/>
      <c r="AM672" s="160"/>
      <c r="AN672" s="160"/>
      <c r="AO672" s="51"/>
      <c r="AP672" s="51"/>
      <c r="AQ672" s="51"/>
      <c r="AR672" s="51"/>
      <c r="AS672" s="51"/>
      <c r="AT672" s="51"/>
      <c r="AU672" s="51"/>
      <c r="AV672" s="51"/>
      <c r="AW672" s="699"/>
      <c r="AX672" s="93"/>
      <c r="AY672" s="93"/>
      <c r="AZ672" s="93"/>
      <c r="BA672" s="93"/>
      <c r="BB672" s="160"/>
      <c r="BC672" s="160"/>
      <c r="BD672" s="51"/>
      <c r="BE672" s="93"/>
      <c r="BF672" s="93"/>
      <c r="BG672" s="93"/>
      <c r="BH672" s="93"/>
      <c r="BI672" s="93"/>
      <c r="BJ672" s="93"/>
      <c r="BK672" s="93"/>
      <c r="BL672" s="93"/>
      <c r="BM672" s="114"/>
      <c r="BN672" s="93"/>
      <c r="BO672" s="93"/>
      <c r="BP672" s="160"/>
      <c r="BQ672" s="160"/>
      <c r="BR672" s="93"/>
      <c r="BS672" s="93"/>
      <c r="BT672" s="93"/>
      <c r="BU672" s="93"/>
      <c r="BV672" s="93"/>
      <c r="BW672" s="93"/>
      <c r="BX672" s="160"/>
      <c r="BY672" s="160"/>
      <c r="BZ672" s="93"/>
      <c r="CA672" s="93"/>
      <c r="CB672" s="113"/>
      <c r="CC672" s="972"/>
      <c r="CD672" s="972"/>
      <c r="CE672" s="972"/>
      <c r="CF672" s="972"/>
      <c r="CG672" s="972"/>
      <c r="CH672" s="972"/>
      <c r="CI672" s="972"/>
      <c r="CJ672" s="972"/>
      <c r="CK672" s="973"/>
      <c r="CL672" s="974"/>
      <c r="CM672" s="974"/>
      <c r="CN672" s="972"/>
      <c r="CO672" s="972"/>
      <c r="CP672" s="972"/>
      <c r="CQ672" s="972"/>
      <c r="CR672" s="975"/>
      <c r="CS672" s="976"/>
      <c r="CT672" s="973"/>
      <c r="CU672" s="973"/>
      <c r="CV672" s="973"/>
      <c r="CW672" s="973"/>
      <c r="CX672" s="973"/>
      <c r="CY672" s="973"/>
      <c r="CZ672" s="973"/>
      <c r="DA672" s="974"/>
      <c r="DB672" s="974"/>
      <c r="DC672" s="973"/>
      <c r="DD672" s="973"/>
      <c r="DE672" s="973"/>
      <c r="DF672" s="973"/>
      <c r="DG672" s="973"/>
      <c r="DH672" s="977"/>
      <c r="DI672" s="978"/>
      <c r="DJ672" s="972"/>
      <c r="DK672" s="972"/>
      <c r="DL672" s="972"/>
      <c r="DM672" s="972"/>
      <c r="DN672" s="972"/>
      <c r="DO672" s="972"/>
      <c r="DP672" s="974"/>
      <c r="DQ672" s="974"/>
      <c r="DR672" s="972"/>
      <c r="DS672" s="972"/>
      <c r="DT672" s="972"/>
      <c r="DU672" s="972"/>
      <c r="DV672" s="972"/>
      <c r="DW672" s="972"/>
      <c r="DX672" s="975"/>
    </row>
    <row r="673" spans="1:129">
      <c r="A673" s="753"/>
      <c r="B673" s="711" t="s">
        <v>762</v>
      </c>
      <c r="C673" s="711"/>
      <c r="D673" s="711"/>
      <c r="E673" s="711"/>
      <c r="F673" s="711"/>
      <c r="G673" s="711"/>
      <c r="H673" s="711"/>
      <c r="I673" s="711"/>
      <c r="J673" s="711"/>
      <c r="K673" s="711"/>
      <c r="L673" s="711"/>
      <c r="M673" s="711"/>
      <c r="N673" s="711"/>
      <c r="O673" s="711"/>
      <c r="P673" s="530"/>
      <c r="Q673" s="711"/>
      <c r="R673" s="711"/>
      <c r="S673" s="711"/>
      <c r="T673" s="711"/>
      <c r="U673" s="711"/>
      <c r="V673" s="711"/>
      <c r="W673" s="711"/>
      <c r="X673" s="711"/>
      <c r="Y673" s="711"/>
      <c r="Z673" s="711"/>
      <c r="AA673" s="711"/>
      <c r="AB673" s="711"/>
      <c r="AC673" s="711"/>
      <c r="AD673" s="711"/>
      <c r="AE673" s="711"/>
      <c r="AF673" s="711"/>
      <c r="AG673" s="108"/>
      <c r="AH673" s="109"/>
      <c r="AI673" s="109"/>
      <c r="AJ673" s="109"/>
      <c r="AK673" s="110"/>
      <c r="AL673" s="110"/>
      <c r="AM673" s="109"/>
      <c r="AN673" s="109"/>
      <c r="AO673" s="711"/>
      <c r="AP673" s="711"/>
      <c r="AQ673" s="711"/>
      <c r="AR673" s="711"/>
      <c r="AS673" s="711"/>
      <c r="AT673" s="711"/>
      <c r="AU673" s="711"/>
      <c r="AV673" s="530"/>
      <c r="AW673" s="711"/>
      <c r="AX673" s="711"/>
      <c r="AY673" s="711"/>
      <c r="AZ673" s="711"/>
      <c r="BA673" s="711"/>
      <c r="BB673" s="711"/>
      <c r="BC673" s="711"/>
      <c r="BD673" s="711"/>
      <c r="BE673" s="711"/>
      <c r="BF673" s="711"/>
      <c r="BG673" s="711"/>
      <c r="BH673" s="711"/>
      <c r="BI673" s="711"/>
      <c r="BJ673" s="711"/>
      <c r="BK673" s="711"/>
      <c r="BL673" s="711"/>
      <c r="BM673" s="979"/>
      <c r="BN673" s="711"/>
      <c r="BO673" s="711"/>
      <c r="BP673" s="711"/>
      <c r="BQ673" s="711"/>
      <c r="BR673" s="711"/>
      <c r="BS673" s="711"/>
      <c r="BT673" s="711"/>
      <c r="BU673" s="711"/>
      <c r="BV673" s="711"/>
      <c r="BW673" s="711"/>
      <c r="BX673" s="711"/>
      <c r="BY673" s="711"/>
      <c r="BZ673" s="711"/>
      <c r="CA673" s="711"/>
      <c r="CB673" s="980"/>
      <c r="CC673" s="981"/>
      <c r="CD673" s="981"/>
      <c r="CE673" s="981"/>
      <c r="CF673" s="981"/>
      <c r="CG673" s="981"/>
      <c r="CH673" s="981"/>
      <c r="CI673" s="981"/>
      <c r="CJ673" s="981"/>
      <c r="CK673" s="981"/>
      <c r="CL673" s="981"/>
      <c r="CM673" s="981"/>
      <c r="CN673" s="981"/>
      <c r="CO673" s="981"/>
      <c r="CP673" s="981"/>
      <c r="CQ673" s="981"/>
      <c r="CR673" s="982"/>
      <c r="CS673" s="983"/>
      <c r="CT673" s="981"/>
      <c r="CU673" s="981"/>
      <c r="CV673" s="981"/>
      <c r="CW673" s="981"/>
      <c r="CX673" s="981"/>
      <c r="CY673" s="981"/>
      <c r="CZ673" s="981"/>
      <c r="DA673" s="984"/>
      <c r="DB673" s="984"/>
      <c r="DC673" s="981"/>
      <c r="DD673" s="981"/>
      <c r="DE673" s="984"/>
      <c r="DF673" s="984"/>
      <c r="DG673" s="984"/>
      <c r="DH673" s="985"/>
      <c r="DI673" s="983"/>
      <c r="DJ673" s="981"/>
      <c r="DK673" s="981"/>
      <c r="DL673" s="981"/>
      <c r="DM673" s="981"/>
      <c r="DN673" s="981"/>
      <c r="DO673" s="981"/>
      <c r="DP673" s="981"/>
      <c r="DQ673" s="981"/>
      <c r="DR673" s="981"/>
      <c r="DS673" s="981"/>
      <c r="DT673" s="981"/>
      <c r="DU673" s="981"/>
      <c r="DV673" s="981"/>
      <c r="DW673" s="981"/>
      <c r="DX673" s="982"/>
    </row>
    <row r="674" spans="1:129">
      <c r="A674" s="699"/>
      <c r="B674" s="93"/>
      <c r="C674" s="93"/>
      <c r="D674" s="93"/>
      <c r="E674" s="93"/>
      <c r="F674" s="93"/>
      <c r="G674" s="93"/>
      <c r="H674" s="93"/>
      <c r="I674" s="93"/>
      <c r="J674" s="93"/>
      <c r="K674" s="93"/>
      <c r="L674" s="93"/>
      <c r="M674" s="93"/>
      <c r="N674" s="93"/>
      <c r="O674" s="93"/>
      <c r="P674" s="79"/>
      <c r="Q674" s="93"/>
      <c r="R674" s="93"/>
      <c r="S674" s="93"/>
      <c r="T674" s="93"/>
      <c r="U674" s="93"/>
      <c r="V674" s="93"/>
      <c r="W674" s="93"/>
      <c r="X674" s="93"/>
      <c r="Y674" s="93"/>
      <c r="Z674" s="93"/>
      <c r="AA674" s="93"/>
      <c r="AB674" s="93"/>
      <c r="AC674" s="93"/>
      <c r="AD674" s="93"/>
      <c r="AE674" s="93"/>
      <c r="AF674" s="93"/>
      <c r="AG674" s="114"/>
      <c r="AH674" s="51"/>
      <c r="AI674" s="51"/>
      <c r="AJ674" s="51"/>
      <c r="AK674" s="92"/>
      <c r="AL674" s="92"/>
      <c r="AM674" s="92"/>
      <c r="AN674" s="51"/>
      <c r="AO674" s="51"/>
      <c r="AP674" s="93"/>
      <c r="AQ674" s="93"/>
      <c r="AR674" s="93"/>
      <c r="AS674" s="93"/>
      <c r="AT674" s="93"/>
      <c r="AU674" s="93"/>
      <c r="AV674" s="79"/>
      <c r="AW674" s="93"/>
      <c r="AX674" s="93"/>
      <c r="AY674" s="93"/>
      <c r="AZ674" s="93"/>
      <c r="BA674" s="93"/>
      <c r="BB674" s="93"/>
      <c r="BC674" s="93"/>
      <c r="BD674" s="93"/>
      <c r="BE674" s="93"/>
      <c r="BF674" s="93"/>
      <c r="BG674" s="93"/>
      <c r="BH674" s="93"/>
      <c r="BI674" s="93"/>
      <c r="BJ674" s="93"/>
      <c r="BK674" s="93"/>
      <c r="BL674" s="93"/>
      <c r="BM674" s="112"/>
      <c r="BN674" s="93"/>
      <c r="BO674" s="93"/>
      <c r="BP674" s="93"/>
      <c r="BQ674" s="93"/>
      <c r="BR674" s="93"/>
      <c r="BS674" s="93"/>
      <c r="BT674" s="93"/>
      <c r="BU674" s="93"/>
      <c r="BV674" s="93"/>
      <c r="BW674" s="93"/>
      <c r="BX674" s="93"/>
      <c r="BY674" s="93"/>
      <c r="BZ674" s="93"/>
      <c r="CA674" s="93"/>
      <c r="CB674" s="113"/>
      <c r="CC674" s="117"/>
      <c r="CD674" s="117"/>
      <c r="CE674" s="117"/>
      <c r="CF674" s="117"/>
      <c r="CG674" s="117"/>
      <c r="CH674" s="117"/>
      <c r="CI674" s="117"/>
      <c r="CJ674" s="117"/>
      <c r="CK674" s="117"/>
      <c r="CL674" s="117"/>
      <c r="CM674" s="117"/>
      <c r="CN674" s="117"/>
      <c r="CO674" s="117"/>
      <c r="CP674" s="117"/>
      <c r="CQ674" s="117"/>
      <c r="CR674" s="364"/>
      <c r="CS674" s="363"/>
      <c r="CT674" s="117"/>
      <c r="CU674" s="117"/>
      <c r="CV674" s="117"/>
      <c r="CW674" s="117"/>
      <c r="CX674" s="117"/>
      <c r="CY674" s="117"/>
      <c r="CZ674" s="70"/>
      <c r="DA674" s="70"/>
      <c r="DB674" s="117"/>
      <c r="DC674" s="117"/>
      <c r="DD674" s="117"/>
      <c r="DE674" s="70"/>
      <c r="DF674" s="70"/>
      <c r="DG674" s="70"/>
      <c r="DH674" s="362"/>
      <c r="DI674" s="363"/>
      <c r="DJ674" s="117"/>
      <c r="DK674" s="117"/>
      <c r="DL674" s="117"/>
      <c r="DM674" s="117"/>
      <c r="DN674" s="117"/>
      <c r="DO674" s="117"/>
      <c r="DP674" s="117"/>
      <c r="DQ674" s="117"/>
      <c r="DR674" s="117"/>
      <c r="DS674" s="117"/>
      <c r="DT674" s="117"/>
      <c r="DU674" s="117"/>
      <c r="DV674" s="117"/>
      <c r="DW674" s="117"/>
      <c r="DX674" s="364"/>
    </row>
    <row r="675" spans="1:129">
      <c r="A675" s="699"/>
      <c r="B675" s="93"/>
      <c r="C675" s="93"/>
      <c r="D675" s="93"/>
      <c r="E675" s="93"/>
      <c r="F675" s="93"/>
      <c r="G675" s="93"/>
      <c r="H675" s="93"/>
      <c r="I675" s="93"/>
      <c r="J675" s="93"/>
      <c r="K675" s="93"/>
      <c r="L675" s="93"/>
      <c r="M675" s="93"/>
      <c r="N675" s="93"/>
      <c r="O675" s="93"/>
      <c r="P675" s="79"/>
      <c r="Q675" s="93"/>
      <c r="R675" s="93"/>
      <c r="S675" s="93"/>
      <c r="T675" s="93"/>
      <c r="U675" s="93"/>
      <c r="V675" s="93"/>
      <c r="W675" s="93"/>
      <c r="X675" s="93"/>
      <c r="Y675" s="93"/>
      <c r="Z675" s="93"/>
      <c r="AA675" s="93"/>
      <c r="AB675" s="93"/>
      <c r="AC675" s="93"/>
      <c r="AD675" s="93"/>
      <c r="AE675" s="93"/>
      <c r="AF675" s="93"/>
      <c r="AG675" s="114"/>
      <c r="AH675" s="51"/>
      <c r="AI675" s="51"/>
      <c r="AJ675" s="51"/>
      <c r="AK675" s="92"/>
      <c r="AL675" s="92"/>
      <c r="AM675" s="92"/>
      <c r="AN675" s="51"/>
      <c r="AO675" s="51"/>
      <c r="AP675" s="93"/>
      <c r="AQ675" s="93"/>
      <c r="AR675" s="93"/>
      <c r="AS675" s="93"/>
      <c r="AT675" s="93"/>
      <c r="AU675" s="93"/>
      <c r="AV675" s="79"/>
      <c r="AW675" s="93"/>
      <c r="AX675" s="93"/>
      <c r="AY675" s="93"/>
      <c r="AZ675" s="93"/>
      <c r="BA675" s="93"/>
      <c r="BB675" s="93"/>
      <c r="BC675" s="93"/>
      <c r="BD675" s="93"/>
      <c r="BE675" s="93"/>
      <c r="BF675" s="93"/>
      <c r="BG675" s="93"/>
      <c r="BH675" s="93"/>
      <c r="BI675" s="93"/>
      <c r="BJ675" s="93"/>
      <c r="BK675" s="93"/>
      <c r="BL675" s="93"/>
      <c r="BM675" s="112"/>
      <c r="BN675" s="93"/>
      <c r="BO675" s="93"/>
      <c r="BP675" s="93"/>
      <c r="BQ675" s="93"/>
      <c r="BR675" s="93"/>
      <c r="BS675" s="93"/>
      <c r="BT675" s="93"/>
      <c r="BU675" s="93"/>
      <c r="BV675" s="93"/>
      <c r="BW675" s="93"/>
      <c r="BX675" s="93"/>
      <c r="BY675" s="93"/>
      <c r="BZ675" s="93"/>
      <c r="CA675" s="93"/>
      <c r="CB675" s="113"/>
      <c r="CC675" s="117"/>
      <c r="CD675" s="117"/>
      <c r="CE675" s="117"/>
      <c r="CF675" s="117"/>
      <c r="CG675" s="117"/>
      <c r="CH675" s="117"/>
      <c r="CI675" s="117"/>
      <c r="CJ675" s="117"/>
      <c r="CK675" s="117"/>
      <c r="CL675" s="117"/>
      <c r="CM675" s="117"/>
      <c r="CN675" s="117"/>
      <c r="CO675" s="117"/>
      <c r="CP675" s="117"/>
      <c r="CQ675" s="117"/>
      <c r="CR675" s="364"/>
      <c r="CS675" s="363"/>
      <c r="CT675" s="117"/>
      <c r="CU675" s="117"/>
      <c r="CV675" s="117"/>
      <c r="CW675" s="117"/>
      <c r="CX675" s="117"/>
      <c r="CY675" s="117"/>
      <c r="CZ675" s="70"/>
      <c r="DA675" s="70"/>
      <c r="DB675" s="117"/>
      <c r="DC675" s="117"/>
      <c r="DD675" s="117"/>
      <c r="DE675" s="70"/>
      <c r="DF675" s="70"/>
      <c r="DG675" s="70"/>
      <c r="DH675" s="362"/>
      <c r="DI675" s="363"/>
      <c r="DJ675" s="117"/>
      <c r="DK675" s="117"/>
      <c r="DL675" s="117"/>
      <c r="DM675" s="117"/>
      <c r="DN675" s="117"/>
      <c r="DO675" s="117"/>
      <c r="DP675" s="117"/>
      <c r="DQ675" s="117"/>
      <c r="DR675" s="117"/>
      <c r="DS675" s="117"/>
      <c r="DT675" s="117"/>
      <c r="DU675" s="117"/>
      <c r="DV675" s="117"/>
      <c r="DW675" s="117"/>
      <c r="DX675" s="364"/>
    </row>
    <row r="676" spans="1:129">
      <c r="A676" s="699"/>
      <c r="DY676">
        <v>646</v>
      </c>
    </row>
    <row r="677" spans="1:129">
      <c r="A677" s="699"/>
      <c r="DY677">
        <v>647</v>
      </c>
    </row>
    <row r="678" spans="1:129">
      <c r="A678" s="699"/>
      <c r="B678" s="93"/>
      <c r="C678" s="93"/>
      <c r="D678" s="93"/>
      <c r="E678" s="93"/>
      <c r="F678" s="160"/>
      <c r="G678" s="160"/>
      <c r="H678" s="205"/>
      <c r="I678" s="205"/>
      <c r="J678" s="160"/>
      <c r="K678" s="160"/>
      <c r="L678" s="93"/>
      <c r="M678" s="93"/>
      <c r="N678" s="93"/>
      <c r="O678" s="93"/>
      <c r="P678" s="79"/>
      <c r="Q678" s="93"/>
      <c r="R678" s="93"/>
      <c r="S678" s="93"/>
      <c r="T678" s="93"/>
      <c r="U678" s="160"/>
      <c r="V678" s="205"/>
      <c r="W678" s="205"/>
      <c r="X678" s="160"/>
      <c r="Y678" s="160"/>
      <c r="Z678" s="206"/>
      <c r="AA678" s="93"/>
      <c r="AB678" s="93"/>
      <c r="AC678" s="93"/>
      <c r="AD678" s="93"/>
      <c r="AE678" s="93"/>
      <c r="AF678" s="93"/>
      <c r="AG678" s="114"/>
      <c r="AH678" s="51"/>
      <c r="AI678" s="51"/>
      <c r="AJ678" s="51"/>
      <c r="AK678" s="92"/>
      <c r="AL678" s="160"/>
      <c r="AM678" s="205"/>
      <c r="AN678" s="205"/>
      <c r="AO678" s="160"/>
      <c r="AP678" s="93"/>
      <c r="AQ678" s="93"/>
      <c r="AR678" s="93"/>
      <c r="AS678" s="93"/>
      <c r="AT678" s="93"/>
      <c r="AU678" s="93"/>
      <c r="AV678" s="79"/>
      <c r="AW678" s="93"/>
      <c r="AX678" s="93"/>
      <c r="AY678" s="93"/>
      <c r="AZ678" s="93"/>
      <c r="BA678" s="93"/>
      <c r="BB678" s="160"/>
      <c r="BC678" s="160"/>
      <c r="BD678" s="206"/>
      <c r="BE678" s="206"/>
      <c r="BF678" s="160"/>
      <c r="BG678" s="93"/>
      <c r="BH678" s="93"/>
      <c r="BI678" s="93"/>
      <c r="BJ678" s="93"/>
      <c r="BK678" s="93"/>
      <c r="BL678" s="93"/>
      <c r="BM678" s="112"/>
      <c r="BN678" s="93"/>
      <c r="BO678" s="93"/>
      <c r="BP678" s="93"/>
      <c r="BQ678" s="93"/>
      <c r="BR678" s="160"/>
      <c r="BS678" s="160"/>
      <c r="BT678" s="205"/>
      <c r="BU678" s="205"/>
      <c r="BV678" s="160"/>
      <c r="BW678" s="160"/>
      <c r="BX678" s="93"/>
      <c r="BY678" s="93"/>
      <c r="BZ678" s="93"/>
      <c r="CA678" s="93"/>
      <c r="CB678" s="113"/>
      <c r="CC678" s="117"/>
      <c r="CD678" s="117"/>
      <c r="CE678" s="117"/>
      <c r="CF678" s="117"/>
      <c r="CG678" s="117"/>
      <c r="CH678" s="117"/>
      <c r="CI678" s="150"/>
      <c r="CJ678" s="878"/>
      <c r="CK678" s="878"/>
      <c r="CL678" s="150"/>
      <c r="CM678" s="150"/>
      <c r="CN678" s="117"/>
      <c r="CO678" s="117"/>
      <c r="CP678" s="117"/>
      <c r="CQ678" s="117"/>
      <c r="CR678" s="364"/>
      <c r="CS678" s="363"/>
      <c r="CT678" s="117"/>
      <c r="CU678" s="117"/>
      <c r="CV678" s="117"/>
      <c r="CW678" s="117"/>
      <c r="CX678" s="117"/>
      <c r="CY678" s="117"/>
      <c r="CZ678" s="150"/>
      <c r="DA678" s="881"/>
      <c r="DB678" s="881"/>
      <c r="DC678" s="150"/>
      <c r="DD678" s="117"/>
      <c r="DE678" s="70"/>
      <c r="DF678" s="70"/>
      <c r="DG678" s="70"/>
      <c r="DH678" s="362"/>
      <c r="DI678" s="363"/>
      <c r="DJ678" s="117"/>
      <c r="DK678" s="117"/>
      <c r="DL678" s="117"/>
      <c r="DM678" s="117"/>
      <c r="DN678" s="117"/>
      <c r="DO678" s="878"/>
      <c r="DP678" s="150"/>
      <c r="DQ678" s="150"/>
      <c r="DR678" s="881"/>
      <c r="DS678" s="881"/>
      <c r="DT678" s="150"/>
      <c r="DU678" s="117"/>
      <c r="DV678" s="117"/>
      <c r="DW678" s="117"/>
      <c r="DX678" s="364"/>
    </row>
    <row r="679" spans="1:129">
      <c r="A679" s="699"/>
      <c r="B679" s="93"/>
      <c r="C679" s="93"/>
      <c r="D679" s="93"/>
      <c r="E679" s="206"/>
      <c r="F679" s="160"/>
      <c r="G679" s="308"/>
      <c r="H679" s="160"/>
      <c r="I679" s="160"/>
      <c r="J679" s="308"/>
      <c r="K679" s="160"/>
      <c r="L679" s="206"/>
      <c r="M679" s="93"/>
      <c r="N679" s="93"/>
      <c r="O679" s="93"/>
      <c r="P679" s="79"/>
      <c r="Q679" s="93"/>
      <c r="R679" s="93"/>
      <c r="S679" s="93"/>
      <c r="T679" s="93"/>
      <c r="U679" s="312"/>
      <c r="V679" s="205"/>
      <c r="W679" s="312"/>
      <c r="X679" s="206"/>
      <c r="Y679" s="160"/>
      <c r="Z679" s="160"/>
      <c r="AA679" s="206"/>
      <c r="AB679" s="93"/>
      <c r="AC679" s="93"/>
      <c r="AD679" s="93"/>
      <c r="AE679" s="93"/>
      <c r="AF679" s="93"/>
      <c r="AG679" s="114"/>
      <c r="AH679" s="51"/>
      <c r="AI679" s="51"/>
      <c r="AJ679" s="51"/>
      <c r="AK679" s="51"/>
      <c r="AL679" s="312"/>
      <c r="AM679" s="206"/>
      <c r="AN679" s="206"/>
      <c r="AO679" s="160"/>
      <c r="AP679" s="206"/>
      <c r="AQ679" s="93"/>
      <c r="AR679" s="93"/>
      <c r="AS679" s="93"/>
      <c r="AT679" s="93"/>
      <c r="AU679" s="93"/>
      <c r="AV679" s="79"/>
      <c r="AW679" s="93"/>
      <c r="AX679" s="93"/>
      <c r="AY679" s="93"/>
      <c r="AZ679" s="93"/>
      <c r="BA679" s="93"/>
      <c r="BB679" s="204"/>
      <c r="BC679" s="160"/>
      <c r="BD679" s="160"/>
      <c r="BE679" s="206"/>
      <c r="BF679" s="160"/>
      <c r="BG679" s="206"/>
      <c r="BH679" s="93"/>
      <c r="BI679" s="93"/>
      <c r="BJ679" s="93"/>
      <c r="BK679" s="93"/>
      <c r="BL679" s="93"/>
      <c r="BM679" s="112"/>
      <c r="BN679" s="93"/>
      <c r="BO679" s="93"/>
      <c r="BP679" s="93"/>
      <c r="BQ679" s="206"/>
      <c r="BR679" s="160"/>
      <c r="BS679" s="205"/>
      <c r="BT679" s="205"/>
      <c r="BU679" s="205"/>
      <c r="BV679" s="205"/>
      <c r="BW679" s="160"/>
      <c r="BX679" s="206"/>
      <c r="BY679" s="93"/>
      <c r="BZ679" s="93"/>
      <c r="CA679" s="93"/>
      <c r="CB679" s="113"/>
      <c r="CC679" s="117"/>
      <c r="CD679" s="117"/>
      <c r="CE679" s="117"/>
      <c r="CF679" s="117"/>
      <c r="CG679" s="117"/>
      <c r="CH679" s="878"/>
      <c r="CI679" s="150"/>
      <c r="CJ679" s="878"/>
      <c r="CK679" s="150"/>
      <c r="CL679" s="150"/>
      <c r="CM679" s="961"/>
      <c r="CN679" s="117"/>
      <c r="CO679" s="117"/>
      <c r="CP679" s="117"/>
      <c r="CQ679" s="117"/>
      <c r="CR679" s="364"/>
      <c r="CS679" s="363"/>
      <c r="CT679" s="117"/>
      <c r="CU679" s="117"/>
      <c r="CV679" s="117"/>
      <c r="CW679" s="117"/>
      <c r="CX679" s="117"/>
      <c r="CY679" s="878"/>
      <c r="CZ679" s="150"/>
      <c r="DA679" s="878"/>
      <c r="DB679" s="878"/>
      <c r="DC679" s="986"/>
      <c r="DD679" s="70"/>
      <c r="DE679" s="70"/>
      <c r="DF679" s="70"/>
      <c r="DG679" s="70"/>
      <c r="DH679" s="362"/>
      <c r="DI679" s="363"/>
      <c r="DJ679" s="117"/>
      <c r="DK679" s="117"/>
      <c r="DL679" s="117"/>
      <c r="DM679" s="117"/>
      <c r="DN679" s="878"/>
      <c r="DO679" s="150"/>
      <c r="DP679" s="150"/>
      <c r="DQ679" s="878"/>
      <c r="DR679" s="986"/>
      <c r="DS679" s="881"/>
      <c r="DT679" s="986"/>
      <c r="DU679" s="117"/>
      <c r="DV679" s="117"/>
      <c r="DW679" s="117"/>
      <c r="DX679" s="364"/>
    </row>
    <row r="680" spans="1:129">
      <c r="A680" s="699"/>
      <c r="B680" s="93"/>
      <c r="C680" s="93"/>
      <c r="D680" s="93"/>
      <c r="E680" s="206"/>
      <c r="F680" s="290"/>
      <c r="G680" s="290"/>
      <c r="H680" s="160"/>
      <c r="I680" s="160"/>
      <c r="J680" s="290"/>
      <c r="K680" s="290"/>
      <c r="L680" s="206"/>
      <c r="M680" s="93"/>
      <c r="N680" s="93"/>
      <c r="O680" s="93"/>
      <c r="P680" s="79"/>
      <c r="Q680" s="93"/>
      <c r="R680" s="93"/>
      <c r="S680" s="93"/>
      <c r="T680" s="206"/>
      <c r="U680" s="205"/>
      <c r="V680" s="205"/>
      <c r="W680" s="298"/>
      <c r="X680" s="294"/>
      <c r="Y680" s="160"/>
      <c r="Z680" s="206"/>
      <c r="AA680" s="206"/>
      <c r="AB680" s="93"/>
      <c r="AC680" s="93"/>
      <c r="AD680" s="93"/>
      <c r="AE680" s="93"/>
      <c r="AF680" s="93"/>
      <c r="AG680" s="114"/>
      <c r="AH680" s="51"/>
      <c r="AI680" s="93"/>
      <c r="AJ680" s="206"/>
      <c r="AK680" s="294"/>
      <c r="AL680" s="298"/>
      <c r="AM680" s="294"/>
      <c r="AN680" s="160"/>
      <c r="AO680" s="160"/>
      <c r="AP680" s="206"/>
      <c r="AQ680" s="206"/>
      <c r="AR680" s="93"/>
      <c r="AS680" s="93"/>
      <c r="AT680" s="93"/>
      <c r="AU680" s="93"/>
      <c r="AV680" s="79"/>
      <c r="AW680" s="93"/>
      <c r="AX680" s="93"/>
      <c r="AY680" s="93"/>
      <c r="AZ680" s="93"/>
      <c r="BA680" s="206"/>
      <c r="BB680" s="160"/>
      <c r="BC680" s="206"/>
      <c r="BD680" s="160"/>
      <c r="BE680" s="206"/>
      <c r="BF680" s="206"/>
      <c r="BG680" s="160"/>
      <c r="BH680" s="93"/>
      <c r="BI680" s="93"/>
      <c r="BJ680" s="93"/>
      <c r="BK680" s="93"/>
      <c r="BL680" s="93"/>
      <c r="BM680" s="112"/>
      <c r="BN680" s="93"/>
      <c r="BO680" s="93"/>
      <c r="BP680" s="93"/>
      <c r="BQ680" s="206"/>
      <c r="BR680" s="160"/>
      <c r="BS680" s="205"/>
      <c r="BT680" s="205"/>
      <c r="BU680" s="205"/>
      <c r="BV680" s="205"/>
      <c r="BW680" s="160"/>
      <c r="BX680" s="206"/>
      <c r="BY680" s="93"/>
      <c r="BZ680" s="93"/>
      <c r="CA680" s="93"/>
      <c r="CB680" s="113"/>
      <c r="CC680" s="117"/>
      <c r="CD680" s="117"/>
      <c r="CE680" s="117"/>
      <c r="CF680" s="117"/>
      <c r="CG680" s="117"/>
      <c r="CH680" s="150"/>
      <c r="CI680" s="878"/>
      <c r="CJ680" s="878"/>
      <c r="CK680" s="150"/>
      <c r="CL680" s="878"/>
      <c r="CM680" s="150"/>
      <c r="CN680" s="878"/>
      <c r="CO680" s="117"/>
      <c r="CP680" s="117"/>
      <c r="CQ680" s="117"/>
      <c r="CR680" s="364"/>
      <c r="CS680" s="363"/>
      <c r="CT680" s="117"/>
      <c r="CU680" s="117"/>
      <c r="CV680" s="117"/>
      <c r="CW680" s="117"/>
      <c r="CX680" s="878"/>
      <c r="CY680" s="878"/>
      <c r="CZ680" s="150"/>
      <c r="DA680" s="150"/>
      <c r="DB680" s="885"/>
      <c r="DC680" s="890"/>
      <c r="DD680" s="885"/>
      <c r="DE680" s="878"/>
      <c r="DF680" s="117"/>
      <c r="DG680" s="70"/>
      <c r="DH680" s="362"/>
      <c r="DI680" s="363"/>
      <c r="DJ680" s="117"/>
      <c r="DK680" s="117"/>
      <c r="DL680" s="117"/>
      <c r="DM680" s="117"/>
      <c r="DN680" s="878"/>
      <c r="DO680" s="878"/>
      <c r="DP680" s="150"/>
      <c r="DQ680" s="885"/>
      <c r="DR680" s="890"/>
      <c r="DS680" s="881"/>
      <c r="DT680" s="881"/>
      <c r="DU680" s="878"/>
      <c r="DV680" s="117"/>
      <c r="DW680" s="117"/>
      <c r="DX680" s="364"/>
    </row>
    <row r="681" spans="1:129">
      <c r="A681" s="699"/>
      <c r="B681" s="204"/>
      <c r="C681" s="204"/>
      <c r="D681" s="93"/>
      <c r="E681" s="93"/>
      <c r="F681" s="205"/>
      <c r="G681" s="160"/>
      <c r="H681" s="205"/>
      <c r="I681" s="205"/>
      <c r="J681" s="160"/>
      <c r="K681" s="205"/>
      <c r="L681" s="93"/>
      <c r="M681" s="93"/>
      <c r="N681" s="204"/>
      <c r="O681" s="204"/>
      <c r="P681" s="79"/>
      <c r="Q681" s="93"/>
      <c r="R681" s="93"/>
      <c r="S681" s="93"/>
      <c r="T681" s="205"/>
      <c r="U681" s="205"/>
      <c r="V681" s="205"/>
      <c r="W681" s="205"/>
      <c r="X681" s="160"/>
      <c r="Y681" s="205"/>
      <c r="Z681" s="206"/>
      <c r="AA681" s="93"/>
      <c r="AB681" s="93"/>
      <c r="AC681" s="93"/>
      <c r="AD681" s="93"/>
      <c r="AE681" s="93"/>
      <c r="AF681" s="93"/>
      <c r="AG681" s="114"/>
      <c r="AH681" s="51"/>
      <c r="AI681" s="93"/>
      <c r="AJ681" s="205"/>
      <c r="AK681" s="205"/>
      <c r="AL681" s="205"/>
      <c r="AM681" s="160"/>
      <c r="AN681" s="160"/>
      <c r="AO681" s="206"/>
      <c r="AP681" s="206"/>
      <c r="AQ681" s="206"/>
      <c r="AR681" s="93"/>
      <c r="AS681" s="93"/>
      <c r="AT681" s="93"/>
      <c r="AU681" s="93"/>
      <c r="AV681" s="79"/>
      <c r="AW681" s="93"/>
      <c r="AX681" s="93"/>
      <c r="AY681" s="93"/>
      <c r="AZ681" s="93"/>
      <c r="BA681" s="206"/>
      <c r="BB681" s="160"/>
      <c r="BC681" s="206"/>
      <c r="BD681" s="160"/>
      <c r="BE681" s="206"/>
      <c r="BF681" s="206"/>
      <c r="BG681" s="290"/>
      <c r="BH681" s="93"/>
      <c r="BI681" s="93"/>
      <c r="BJ681" s="93"/>
      <c r="BK681" s="93"/>
      <c r="BL681" s="93"/>
      <c r="BM681" s="112"/>
      <c r="BN681" s="93"/>
      <c r="BO681" s="93"/>
      <c r="BP681" s="93"/>
      <c r="BQ681" s="93"/>
      <c r="BR681" s="205"/>
      <c r="BS681" s="205"/>
      <c r="BT681" s="160"/>
      <c r="BU681" s="160"/>
      <c r="BV681" s="205"/>
      <c r="BW681" s="205"/>
      <c r="BX681" s="93"/>
      <c r="BY681" s="93"/>
      <c r="BZ681" s="93"/>
      <c r="CA681" s="93"/>
      <c r="CB681" s="113"/>
      <c r="CC681" s="117"/>
      <c r="CD681" s="117"/>
      <c r="CE681" s="117"/>
      <c r="CF681" s="117"/>
      <c r="CG681" s="117"/>
      <c r="CH681" s="893"/>
      <c r="CI681" s="878"/>
      <c r="CJ681" s="878"/>
      <c r="CK681" s="150"/>
      <c r="CL681" s="878"/>
      <c r="CM681" s="150"/>
      <c r="CN681" s="878"/>
      <c r="CO681" s="117"/>
      <c r="CP681" s="117"/>
      <c r="CQ681" s="117"/>
      <c r="CR681" s="364"/>
      <c r="CS681" s="363"/>
      <c r="CT681" s="117"/>
      <c r="CU681" s="117"/>
      <c r="CV681" s="117"/>
      <c r="CW681" s="117"/>
      <c r="CX681" s="878"/>
      <c r="CY681" s="878"/>
      <c r="CZ681" s="878"/>
      <c r="DA681" s="150"/>
      <c r="DB681" s="150"/>
      <c r="DC681" s="881"/>
      <c r="DD681" s="881"/>
      <c r="DE681" s="881"/>
      <c r="DF681" s="117"/>
      <c r="DG681" s="70"/>
      <c r="DH681" s="362"/>
      <c r="DI681" s="363"/>
      <c r="DJ681" s="117"/>
      <c r="DK681" s="117"/>
      <c r="DL681" s="117"/>
      <c r="DM681" s="117"/>
      <c r="DN681" s="117"/>
      <c r="DO681" s="878"/>
      <c r="DP681" s="881"/>
      <c r="DQ681" s="150"/>
      <c r="DR681" s="881"/>
      <c r="DS681" s="881"/>
      <c r="DT681" s="881"/>
      <c r="DU681" s="881"/>
      <c r="DV681" s="117"/>
      <c r="DW681" s="117"/>
      <c r="DX681" s="364"/>
    </row>
    <row r="682" spans="1:129">
      <c r="A682" s="699"/>
      <c r="B682" s="298"/>
      <c r="C682" s="298"/>
      <c r="D682" s="207"/>
      <c r="E682" s="204"/>
      <c r="F682" s="206"/>
      <c r="G682" s="160"/>
      <c r="H682" s="298"/>
      <c r="I682" s="298"/>
      <c r="J682" s="160"/>
      <c r="K682" s="206"/>
      <c r="L682" s="204"/>
      <c r="M682" s="207"/>
      <c r="N682" s="298"/>
      <c r="O682" s="298"/>
      <c r="P682" s="79"/>
      <c r="Q682" s="93"/>
      <c r="R682" s="93"/>
      <c r="S682" s="93"/>
      <c r="T682" s="93"/>
      <c r="U682" s="298"/>
      <c r="V682" s="298"/>
      <c r="W682" s="160"/>
      <c r="X682" s="205"/>
      <c r="Y682" s="205"/>
      <c r="Z682" s="290"/>
      <c r="AA682" s="93"/>
      <c r="AB682" s="93"/>
      <c r="AC682" s="93"/>
      <c r="AD682" s="93"/>
      <c r="AE682" s="93"/>
      <c r="AF682" s="93"/>
      <c r="AG682" s="114"/>
      <c r="AH682" s="51"/>
      <c r="AI682" s="51"/>
      <c r="AJ682" s="51"/>
      <c r="AK682" s="298"/>
      <c r="AL682" s="160"/>
      <c r="AM682" s="206"/>
      <c r="AN682" s="206"/>
      <c r="AO682" s="290"/>
      <c r="AP682" s="206"/>
      <c r="AQ682" s="93"/>
      <c r="AR682" s="93"/>
      <c r="AS682" s="93"/>
      <c r="AT682" s="93"/>
      <c r="AU682" s="93"/>
      <c r="AV682" s="79"/>
      <c r="AW682" s="93"/>
      <c r="AX682" s="93"/>
      <c r="AY682" s="93"/>
      <c r="AZ682" s="93"/>
      <c r="BA682" s="298"/>
      <c r="BB682" s="160"/>
      <c r="BC682" s="206"/>
      <c r="BD682" s="290"/>
      <c r="BE682" s="206"/>
      <c r="BF682" s="290"/>
      <c r="BG682" s="93"/>
      <c r="BH682" s="93"/>
      <c r="BI682" s="93"/>
      <c r="BJ682" s="93"/>
      <c r="BK682" s="93"/>
      <c r="BL682" s="93"/>
      <c r="BM682" s="112"/>
      <c r="BN682" s="93"/>
      <c r="BO682" s="93"/>
      <c r="BP682" s="93"/>
      <c r="BQ682" s="93"/>
      <c r="BR682" s="206"/>
      <c r="BS682" s="205"/>
      <c r="BT682" s="205"/>
      <c r="BU682" s="205"/>
      <c r="BV682" s="205"/>
      <c r="BW682" s="206"/>
      <c r="BX682" s="93"/>
      <c r="BY682" s="93"/>
      <c r="BZ682" s="93"/>
      <c r="CA682" s="93"/>
      <c r="CB682" s="113"/>
      <c r="CC682" s="117"/>
      <c r="CD682" s="117"/>
      <c r="CE682" s="117"/>
      <c r="CF682" s="117"/>
      <c r="CG682" s="117"/>
      <c r="CH682" s="117"/>
      <c r="CI682" s="893"/>
      <c r="CJ682" s="878"/>
      <c r="CK682" s="893"/>
      <c r="CL682" s="878"/>
      <c r="CM682" s="150"/>
      <c r="CN682" s="890"/>
      <c r="CO682" s="117"/>
      <c r="CP682" s="117"/>
      <c r="CQ682" s="117"/>
      <c r="CR682" s="364"/>
      <c r="CS682" s="363"/>
      <c r="CT682" s="117"/>
      <c r="CU682" s="117"/>
      <c r="CV682" s="117"/>
      <c r="CW682" s="117"/>
      <c r="CX682" s="117"/>
      <c r="CY682" s="878"/>
      <c r="CZ682" s="893"/>
      <c r="DA682" s="878"/>
      <c r="DB682" s="878"/>
      <c r="DC682" s="150"/>
      <c r="DD682" s="890"/>
      <c r="DE682" s="70"/>
      <c r="DF682" s="70"/>
      <c r="DG682" s="70"/>
      <c r="DH682" s="362"/>
      <c r="DI682" s="363"/>
      <c r="DJ682" s="117"/>
      <c r="DK682" s="117"/>
      <c r="DL682" s="117"/>
      <c r="DM682" s="117"/>
      <c r="DN682" s="117"/>
      <c r="DO682" s="893"/>
      <c r="DP682" s="881"/>
      <c r="DQ682" s="881"/>
      <c r="DR682" s="150"/>
      <c r="DS682" s="890"/>
      <c r="DT682" s="890"/>
      <c r="DU682" s="117"/>
      <c r="DV682" s="117"/>
      <c r="DW682" s="117"/>
      <c r="DX682" s="364"/>
    </row>
    <row r="683" spans="1:129">
      <c r="A683" s="987"/>
      <c r="B683" s="290"/>
      <c r="C683" s="294"/>
      <c r="D683" s="298"/>
      <c r="E683" s="290"/>
      <c r="F683" s="160"/>
      <c r="G683" s="205"/>
      <c r="H683" s="160"/>
      <c r="I683" s="160"/>
      <c r="J683" s="205"/>
      <c r="K683" s="160"/>
      <c r="L683" s="290"/>
      <c r="M683" s="298"/>
      <c r="N683" s="294"/>
      <c r="O683" s="290"/>
      <c r="P683" s="988"/>
      <c r="Q683" s="93"/>
      <c r="R683" s="93"/>
      <c r="S683" s="93"/>
      <c r="T683" s="93"/>
      <c r="U683" s="160"/>
      <c r="V683" s="160"/>
      <c r="W683" s="160"/>
      <c r="X683" s="205"/>
      <c r="Y683" s="290"/>
      <c r="Z683" s="93"/>
      <c r="AA683" s="93"/>
      <c r="AB683" s="93"/>
      <c r="AC683" s="204"/>
      <c r="AD683" s="207"/>
      <c r="AE683" s="298"/>
      <c r="AF683" s="93"/>
      <c r="AG683" s="114"/>
      <c r="AH683" s="51"/>
      <c r="AI683" s="51"/>
      <c r="AJ683" s="51"/>
      <c r="AK683" s="160"/>
      <c r="AL683" s="206"/>
      <c r="AM683" s="206"/>
      <c r="AN683" s="290"/>
      <c r="AO683" s="160"/>
      <c r="AP683" s="206"/>
      <c r="AQ683" s="93"/>
      <c r="AR683" s="93"/>
      <c r="AS683" s="93"/>
      <c r="AT683" s="93"/>
      <c r="AU683" s="93"/>
      <c r="AV683" s="79"/>
      <c r="AW683" s="93"/>
      <c r="AX683" s="93"/>
      <c r="AY683" s="93"/>
      <c r="AZ683" s="93"/>
      <c r="BA683" s="93"/>
      <c r="BB683" s="206"/>
      <c r="BC683" s="290"/>
      <c r="BD683" s="206"/>
      <c r="BE683" s="290"/>
      <c r="BF683" s="93"/>
      <c r="BG683" s="93"/>
      <c r="BH683" s="93"/>
      <c r="BI683" s="204"/>
      <c r="BJ683" s="204"/>
      <c r="BK683" s="93"/>
      <c r="BL683" s="93"/>
      <c r="BM683" s="112"/>
      <c r="BN683" s="93"/>
      <c r="BO683" s="207"/>
      <c r="BP683" s="204"/>
      <c r="BQ683" s="207"/>
      <c r="BR683" s="93"/>
      <c r="BS683" s="205"/>
      <c r="BT683" s="205"/>
      <c r="BU683" s="205"/>
      <c r="BV683" s="205"/>
      <c r="BW683" s="93"/>
      <c r="BX683" s="207"/>
      <c r="BY683" s="204"/>
      <c r="BZ683" s="207"/>
      <c r="CA683" s="93"/>
      <c r="CB683" s="113"/>
      <c r="CC683" s="117"/>
      <c r="CD683" s="117"/>
      <c r="CE683" s="961"/>
      <c r="CF683" s="961"/>
      <c r="CG683" s="117"/>
      <c r="CH683" s="117"/>
      <c r="CI683" s="117"/>
      <c r="CJ683" s="893"/>
      <c r="CK683" s="878"/>
      <c r="CL683" s="893"/>
      <c r="CM683" s="878"/>
      <c r="CN683" s="117"/>
      <c r="CO683" s="117"/>
      <c r="CP683" s="117"/>
      <c r="CQ683" s="117"/>
      <c r="CR683" s="364"/>
      <c r="CS683" s="363"/>
      <c r="CT683" s="117"/>
      <c r="CU683" s="117"/>
      <c r="CV683" s="117"/>
      <c r="CW683" s="117"/>
      <c r="CX683" s="117"/>
      <c r="CY683" s="878"/>
      <c r="CZ683" s="150"/>
      <c r="DA683" s="893"/>
      <c r="DB683" s="878"/>
      <c r="DC683" s="878"/>
      <c r="DD683" s="150"/>
      <c r="DE683" s="70"/>
      <c r="DF683" s="70"/>
      <c r="DG683" s="70"/>
      <c r="DH683" s="362"/>
      <c r="DI683" s="363"/>
      <c r="DJ683" s="890"/>
      <c r="DK683" s="894"/>
      <c r="DL683" s="961"/>
      <c r="DM683" s="117"/>
      <c r="DN683" s="117"/>
      <c r="DO683" s="117"/>
      <c r="DP683" s="893"/>
      <c r="DQ683" s="881"/>
      <c r="DR683" s="150"/>
      <c r="DS683" s="150"/>
      <c r="DT683" s="150"/>
      <c r="DU683" s="117"/>
      <c r="DV683" s="117"/>
      <c r="DW683" s="117"/>
      <c r="DX683" s="364"/>
    </row>
    <row r="684" spans="1:129">
      <c r="A684" s="763"/>
      <c r="B684" s="294"/>
      <c r="C684" s="290"/>
      <c r="D684" s="93"/>
      <c r="E684" s="160"/>
      <c r="F684" s="160"/>
      <c r="G684" s="205"/>
      <c r="H684" s="205"/>
      <c r="I684" s="205"/>
      <c r="J684" s="205"/>
      <c r="K684" s="160"/>
      <c r="L684" s="160"/>
      <c r="M684" s="93"/>
      <c r="N684" s="290"/>
      <c r="O684" s="294"/>
      <c r="P684" s="764"/>
      <c r="Q684" s="93"/>
      <c r="R684" s="93"/>
      <c r="S684" s="93"/>
      <c r="T684" s="206"/>
      <c r="U684" s="93"/>
      <c r="V684" s="205"/>
      <c r="W684" s="290"/>
      <c r="X684" s="290"/>
      <c r="Y684" s="160"/>
      <c r="Z684" s="93"/>
      <c r="AA684" s="204"/>
      <c r="AB684" s="207"/>
      <c r="AC684" s="298"/>
      <c r="AD684" s="290"/>
      <c r="AE684" s="298"/>
      <c r="AF684" s="93"/>
      <c r="AG684" s="114"/>
      <c r="AH684" s="51"/>
      <c r="AI684" s="51"/>
      <c r="AJ684" s="206"/>
      <c r="AK684" s="206"/>
      <c r="AL684" s="206"/>
      <c r="AM684" s="290"/>
      <c r="AN684" s="160"/>
      <c r="AO684" s="160"/>
      <c r="AP684" s="93"/>
      <c r="AQ684" s="93"/>
      <c r="AR684" s="207"/>
      <c r="AS684" s="204"/>
      <c r="AT684" s="93"/>
      <c r="AU684" s="93"/>
      <c r="AV684" s="79"/>
      <c r="AW684" s="93"/>
      <c r="AX684" s="93"/>
      <c r="AY684" s="93"/>
      <c r="AZ684" s="93"/>
      <c r="BA684" s="206"/>
      <c r="BB684" s="290"/>
      <c r="BC684" s="160"/>
      <c r="BD684" s="54"/>
      <c r="BE684" s="291"/>
      <c r="BF684" s="93"/>
      <c r="BG684" s="204"/>
      <c r="BH684" s="207"/>
      <c r="BI684" s="298"/>
      <c r="BJ684" s="290"/>
      <c r="BK684" s="204"/>
      <c r="BL684" s="93"/>
      <c r="BM684" s="112"/>
      <c r="BN684" s="204"/>
      <c r="BO684" s="207"/>
      <c r="BP684" s="290"/>
      <c r="BQ684" s="294"/>
      <c r="BR684" s="207"/>
      <c r="BS684" s="298"/>
      <c r="BT684" s="54"/>
      <c r="BU684" s="290"/>
      <c r="BV684" s="298"/>
      <c r="BW684" s="207"/>
      <c r="BX684" s="294"/>
      <c r="BY684" s="290"/>
      <c r="BZ684" s="298"/>
      <c r="CA684" s="204"/>
      <c r="CB684" s="113"/>
      <c r="CC684" s="117"/>
      <c r="CD684" s="961"/>
      <c r="CE684" s="893"/>
      <c r="CF684" s="890"/>
      <c r="CG684" s="894"/>
      <c r="CH684" s="961"/>
      <c r="CI684" s="117"/>
      <c r="CJ684" s="882"/>
      <c r="CK684" s="120"/>
      <c r="CL684" s="150"/>
      <c r="CM684" s="893"/>
      <c r="CN684" s="878"/>
      <c r="CO684" s="117"/>
      <c r="CP684" s="117"/>
      <c r="CQ684" s="117"/>
      <c r="CR684" s="364"/>
      <c r="CS684" s="363"/>
      <c r="CT684" s="117"/>
      <c r="CU684" s="117"/>
      <c r="CV684" s="961"/>
      <c r="CW684" s="894"/>
      <c r="CX684" s="117"/>
      <c r="CY684" s="117"/>
      <c r="CZ684" s="150"/>
      <c r="DA684" s="150"/>
      <c r="DB684" s="893"/>
      <c r="DC684" s="878"/>
      <c r="DD684" s="878"/>
      <c r="DE684" s="878"/>
      <c r="DF684" s="70"/>
      <c r="DG684" s="70"/>
      <c r="DH684" s="362"/>
      <c r="DI684" s="363"/>
      <c r="DJ684" s="890"/>
      <c r="DK684" s="893"/>
      <c r="DL684" s="890"/>
      <c r="DM684" s="894"/>
      <c r="DN684" s="961"/>
      <c r="DO684" s="117"/>
      <c r="DP684" s="150"/>
      <c r="DQ684" s="893"/>
      <c r="DR684" s="893"/>
      <c r="DS684" s="881"/>
      <c r="DT684" s="117"/>
      <c r="DU684" s="878"/>
      <c r="DV684" s="117"/>
      <c r="DW684" s="117"/>
      <c r="DX684" s="364"/>
    </row>
    <row r="685" spans="1:129">
      <c r="A685" s="762"/>
      <c r="B685" s="294"/>
      <c r="C685" s="290"/>
      <c r="D685" s="290"/>
      <c r="E685" s="160"/>
      <c r="F685" s="205"/>
      <c r="G685" s="205"/>
      <c r="H685" s="294"/>
      <c r="I685" s="294"/>
      <c r="J685" s="205"/>
      <c r="K685" s="205"/>
      <c r="L685" s="160"/>
      <c r="M685" s="290"/>
      <c r="N685" s="290"/>
      <c r="O685" s="294"/>
      <c r="P685" s="494"/>
      <c r="Q685" s="93"/>
      <c r="R685" s="93"/>
      <c r="S685" s="93"/>
      <c r="T685" s="93"/>
      <c r="U685" s="160"/>
      <c r="V685" s="160"/>
      <c r="W685" s="160"/>
      <c r="X685" s="160"/>
      <c r="Y685" s="160"/>
      <c r="Z685" s="205"/>
      <c r="AA685" s="290"/>
      <c r="AB685" s="298"/>
      <c r="AC685" s="290"/>
      <c r="AD685" s="294"/>
      <c r="AE685" s="298"/>
      <c r="AF685" s="204"/>
      <c r="AG685" s="114"/>
      <c r="AH685" s="51"/>
      <c r="AI685" s="51"/>
      <c r="AJ685" s="51"/>
      <c r="AK685" s="92"/>
      <c r="AL685" s="160"/>
      <c r="AM685" s="160"/>
      <c r="AN685" s="160"/>
      <c r="AO685" s="160"/>
      <c r="AP685" s="290"/>
      <c r="AQ685" s="204"/>
      <c r="AR685" s="298"/>
      <c r="AS685" s="290"/>
      <c r="AT685" s="298"/>
      <c r="AU685" s="204"/>
      <c r="AV685" s="79"/>
      <c r="AW685" s="93"/>
      <c r="AX685" s="93"/>
      <c r="AY685" s="204"/>
      <c r="AZ685" s="204"/>
      <c r="BA685" s="93"/>
      <c r="BB685" s="160"/>
      <c r="BC685" s="160"/>
      <c r="BD685" s="160"/>
      <c r="BE685" s="291"/>
      <c r="BF685" s="204"/>
      <c r="BG685" s="298"/>
      <c r="BH685" s="298"/>
      <c r="BI685" s="290"/>
      <c r="BJ685" s="294"/>
      <c r="BK685" s="298"/>
      <c r="BL685" s="204"/>
      <c r="BM685" s="207"/>
      <c r="BN685" s="298"/>
      <c r="BO685" s="298"/>
      <c r="BP685" s="298"/>
      <c r="BQ685" s="298"/>
      <c r="BR685" s="298"/>
      <c r="BS685" s="298"/>
      <c r="BT685" s="64"/>
      <c r="BU685" s="54"/>
      <c r="BV685" s="298"/>
      <c r="BW685" s="290"/>
      <c r="BX685" s="298"/>
      <c r="BY685" s="298"/>
      <c r="BZ685" s="298"/>
      <c r="CA685" s="298"/>
      <c r="CB685" s="207"/>
      <c r="CC685" s="961"/>
      <c r="CD685" s="890"/>
      <c r="CE685" s="885"/>
      <c r="CF685" s="893"/>
      <c r="CG685" s="890"/>
      <c r="CH685" s="890"/>
      <c r="CI685" s="961"/>
      <c r="CJ685" s="882"/>
      <c r="CK685" s="150"/>
      <c r="CL685" s="150"/>
      <c r="CM685" s="150"/>
      <c r="CN685" s="117"/>
      <c r="CO685" s="961"/>
      <c r="CP685" s="961"/>
      <c r="CQ685" s="117"/>
      <c r="CR685" s="364"/>
      <c r="CS685" s="363"/>
      <c r="CT685" s="961"/>
      <c r="CU685" s="890"/>
      <c r="CV685" s="893"/>
      <c r="CW685" s="890"/>
      <c r="CX685" s="961"/>
      <c r="CY685" s="893"/>
      <c r="CZ685" s="150"/>
      <c r="DA685" s="150"/>
      <c r="DB685" s="150"/>
      <c r="DC685" s="150"/>
      <c r="DD685" s="117"/>
      <c r="DE685" s="70"/>
      <c r="DF685" s="70"/>
      <c r="DG685" s="70"/>
      <c r="DH685" s="362"/>
      <c r="DI685" s="962"/>
      <c r="DJ685" s="890"/>
      <c r="DK685" s="885"/>
      <c r="DL685" s="893"/>
      <c r="DM685" s="890"/>
      <c r="DN685" s="893"/>
      <c r="DO685" s="881"/>
      <c r="DP685" s="150"/>
      <c r="DQ685" s="150"/>
      <c r="DR685" s="150"/>
      <c r="DS685" s="150"/>
      <c r="DT685" s="150"/>
      <c r="DU685" s="117"/>
      <c r="DV685" s="117"/>
      <c r="DW685" s="117"/>
      <c r="DX685" s="364"/>
    </row>
    <row r="686" spans="1:129">
      <c r="A686" s="762"/>
      <c r="B686" s="290"/>
      <c r="C686" s="93"/>
      <c r="D686" s="160"/>
      <c r="E686" s="205"/>
      <c r="F686" s="205"/>
      <c r="G686" s="290"/>
      <c r="H686" s="294"/>
      <c r="I686" s="294"/>
      <c r="J686" s="290"/>
      <c r="K686" s="205"/>
      <c r="L686" s="205"/>
      <c r="M686" s="160"/>
      <c r="N686" s="93"/>
      <c r="O686" s="290"/>
      <c r="P686" s="494"/>
      <c r="Q686" s="93"/>
      <c r="R686" s="93"/>
      <c r="S686" s="93"/>
      <c r="T686" s="160"/>
      <c r="U686" s="290"/>
      <c r="V686" s="298"/>
      <c r="W686" s="294"/>
      <c r="X686" s="290"/>
      <c r="Y686" s="206"/>
      <c r="Z686" s="160"/>
      <c r="AA686" s="205"/>
      <c r="AB686" s="290"/>
      <c r="AC686" s="294"/>
      <c r="AD686" s="298"/>
      <c r="AE686" s="298"/>
      <c r="AF686" s="204"/>
      <c r="AG686" s="114"/>
      <c r="AH686" s="51"/>
      <c r="AI686" s="51"/>
      <c r="AJ686" s="51"/>
      <c r="AK686" s="51"/>
      <c r="AL686" s="92"/>
      <c r="AM686" s="294"/>
      <c r="AN686" s="298"/>
      <c r="AO686" s="290"/>
      <c r="AP686" s="290"/>
      <c r="AQ686" s="290"/>
      <c r="AR686" s="298"/>
      <c r="AS686" s="294"/>
      <c r="AT686" s="294"/>
      <c r="AU686" s="207"/>
      <c r="AV686" s="79"/>
      <c r="AW686" s="93"/>
      <c r="AX686" s="204"/>
      <c r="AY686" s="298"/>
      <c r="AZ686" s="290"/>
      <c r="BA686" s="298"/>
      <c r="BB686" s="298"/>
      <c r="BC686" s="290"/>
      <c r="BD686" s="290"/>
      <c r="BE686" s="54"/>
      <c r="BF686" s="298"/>
      <c r="BG686" s="290"/>
      <c r="BH686" s="290"/>
      <c r="BI686" s="294"/>
      <c r="BJ686" s="298"/>
      <c r="BK686" s="298"/>
      <c r="BL686" s="204"/>
      <c r="BM686" s="204"/>
      <c r="BN686" s="298"/>
      <c r="BO686" s="290"/>
      <c r="BP686" s="160"/>
      <c r="BQ686" s="205"/>
      <c r="BR686" s="205"/>
      <c r="BS686" s="290"/>
      <c r="BT686" s="290"/>
      <c r="BU686" s="205"/>
      <c r="BV686" s="290"/>
      <c r="BW686" s="205"/>
      <c r="BX686" s="205"/>
      <c r="BY686" s="160"/>
      <c r="BZ686" s="290"/>
      <c r="CA686" s="298"/>
      <c r="CB686" s="204"/>
      <c r="CC686" s="961"/>
      <c r="CD686" s="890"/>
      <c r="CE686" s="890"/>
      <c r="CF686" s="885"/>
      <c r="CG686" s="893"/>
      <c r="CH686" s="893"/>
      <c r="CI686" s="890"/>
      <c r="CJ686" s="120"/>
      <c r="CK686" s="893"/>
      <c r="CL686" s="893"/>
      <c r="CM686" s="890"/>
      <c r="CN686" s="890"/>
      <c r="CO686" s="893"/>
      <c r="CP686" s="890"/>
      <c r="CQ686" s="961"/>
      <c r="CR686" s="364"/>
      <c r="CS686" s="363"/>
      <c r="CT686" s="894"/>
      <c r="CU686" s="885"/>
      <c r="CV686" s="885"/>
      <c r="CW686" s="890"/>
      <c r="CX686" s="893"/>
      <c r="CY686" s="893"/>
      <c r="CZ686" s="893"/>
      <c r="DA686" s="890"/>
      <c r="DB686" s="885"/>
      <c r="DC686" s="117"/>
      <c r="DD686" s="70"/>
      <c r="DE686" s="70"/>
      <c r="DF686" s="70"/>
      <c r="DG686" s="70"/>
      <c r="DH686" s="362"/>
      <c r="DI686" s="962"/>
      <c r="DJ686" s="890"/>
      <c r="DK686" s="890"/>
      <c r="DL686" s="885"/>
      <c r="DM686" s="893"/>
      <c r="DN686" s="881"/>
      <c r="DO686" s="150"/>
      <c r="DP686" s="878"/>
      <c r="DQ686" s="893"/>
      <c r="DR686" s="885"/>
      <c r="DS686" s="890"/>
      <c r="DT686" s="893"/>
      <c r="DU686" s="150"/>
      <c r="DV686" s="117"/>
      <c r="DW686" s="117"/>
      <c r="DX686" s="364"/>
    </row>
    <row r="687" spans="1:129">
      <c r="A687" s="989"/>
      <c r="B687" s="93"/>
      <c r="C687" s="160"/>
      <c r="D687" s="205"/>
      <c r="E687" s="93"/>
      <c r="F687" s="205"/>
      <c r="G687" s="290"/>
      <c r="H687" s="290"/>
      <c r="I687" s="290"/>
      <c r="J687" s="290"/>
      <c r="K687" s="205"/>
      <c r="L687" s="93"/>
      <c r="M687" s="205"/>
      <c r="N687" s="160"/>
      <c r="O687" s="93"/>
      <c r="P687" s="863"/>
      <c r="Q687" s="93"/>
      <c r="R687" s="93"/>
      <c r="S687" s="93"/>
      <c r="T687" s="160"/>
      <c r="U687" s="205"/>
      <c r="V687" s="205"/>
      <c r="W687" s="294"/>
      <c r="X687" s="290"/>
      <c r="Y687" s="206"/>
      <c r="Z687" s="206"/>
      <c r="AA687" s="205"/>
      <c r="AB687" s="290"/>
      <c r="AC687" s="93"/>
      <c r="AD687" s="290"/>
      <c r="AE687" s="298"/>
      <c r="AF687" s="207"/>
      <c r="AG687" s="114"/>
      <c r="AH687" s="51"/>
      <c r="AI687" s="51"/>
      <c r="AJ687" s="51"/>
      <c r="AK687" s="51"/>
      <c r="AL687" s="294"/>
      <c r="AM687" s="298"/>
      <c r="AN687" s="294"/>
      <c r="AO687" s="290"/>
      <c r="AP687" s="160"/>
      <c r="AQ687" s="290"/>
      <c r="AR687" s="290"/>
      <c r="AS687" s="298"/>
      <c r="AT687" s="298"/>
      <c r="AU687" s="294"/>
      <c r="AV687" s="204"/>
      <c r="AW687" s="93"/>
      <c r="AX687" s="298"/>
      <c r="AY687" s="298"/>
      <c r="AZ687" s="298"/>
      <c r="BA687" s="290"/>
      <c r="BB687" s="298"/>
      <c r="BC687" s="298"/>
      <c r="BD687" s="298"/>
      <c r="BE687" s="291"/>
      <c r="BF687" s="290"/>
      <c r="BG687" s="160"/>
      <c r="BH687" s="93"/>
      <c r="BI687" s="93"/>
      <c r="BJ687" s="290"/>
      <c r="BK687" s="298"/>
      <c r="BL687" s="298"/>
      <c r="BM687" s="207"/>
      <c r="BN687" s="298"/>
      <c r="BO687" s="93"/>
      <c r="BP687" s="160"/>
      <c r="BQ687" s="93"/>
      <c r="BR687" s="205"/>
      <c r="BS687" s="290"/>
      <c r="BT687" s="64"/>
      <c r="BU687" s="54"/>
      <c r="BV687" s="290"/>
      <c r="BW687" s="205"/>
      <c r="BX687" s="93"/>
      <c r="BY687" s="160"/>
      <c r="BZ687" s="93"/>
      <c r="CA687" s="298"/>
      <c r="CB687" s="207"/>
      <c r="CC687" s="890"/>
      <c r="CD687" s="890"/>
      <c r="CE687" s="893"/>
      <c r="CF687" s="117"/>
      <c r="CG687" s="117"/>
      <c r="CH687" s="150"/>
      <c r="CI687" s="893"/>
      <c r="CJ687" s="882"/>
      <c r="CK687" s="890"/>
      <c r="CL687" s="890"/>
      <c r="CM687" s="890"/>
      <c r="CN687" s="893"/>
      <c r="CO687" s="890"/>
      <c r="CP687" s="890"/>
      <c r="CQ687" s="890"/>
      <c r="CR687" s="364"/>
      <c r="CS687" s="962"/>
      <c r="CT687" s="885"/>
      <c r="CU687" s="890"/>
      <c r="CV687" s="890"/>
      <c r="CW687" s="893"/>
      <c r="CX687" s="893"/>
      <c r="CY687" s="150"/>
      <c r="CZ687" s="893"/>
      <c r="DA687" s="885"/>
      <c r="DB687" s="890"/>
      <c r="DC687" s="885"/>
      <c r="DD687" s="70"/>
      <c r="DE687" s="70"/>
      <c r="DF687" s="70"/>
      <c r="DG687" s="70"/>
      <c r="DH687" s="362"/>
      <c r="DI687" s="964"/>
      <c r="DJ687" s="890"/>
      <c r="DK687" s="893"/>
      <c r="DL687" s="117"/>
      <c r="DM687" s="893"/>
      <c r="DN687" s="881"/>
      <c r="DO687" s="878"/>
      <c r="DP687" s="878"/>
      <c r="DQ687" s="893"/>
      <c r="DR687" s="885"/>
      <c r="DS687" s="881"/>
      <c r="DT687" s="881"/>
      <c r="DU687" s="150"/>
      <c r="DV687" s="117"/>
      <c r="DW687" s="117"/>
      <c r="DX687" s="364"/>
    </row>
    <row r="688" spans="1:129">
      <c r="A688" s="967"/>
      <c r="B688" s="93"/>
      <c r="C688" s="160"/>
      <c r="D688" s="93"/>
      <c r="E688" s="93"/>
      <c r="F688" s="298"/>
      <c r="G688" s="205"/>
      <c r="H688" s="290"/>
      <c r="I688" s="290"/>
      <c r="J688" s="205"/>
      <c r="K688" s="298"/>
      <c r="L688" s="93"/>
      <c r="M688" s="93"/>
      <c r="N688" s="160"/>
      <c r="O688" s="93"/>
      <c r="P688" s="990"/>
      <c r="Q688" s="93"/>
      <c r="R688" s="93"/>
      <c r="S688" s="93"/>
      <c r="T688" s="160"/>
      <c r="U688" s="207"/>
      <c r="V688" s="298"/>
      <c r="W688" s="290"/>
      <c r="X688" s="298"/>
      <c r="Y688" s="298"/>
      <c r="Z688" s="294"/>
      <c r="AA688" s="205"/>
      <c r="AB688" s="160"/>
      <c r="AC688" s="93"/>
      <c r="AD688" s="93"/>
      <c r="AE688" s="298"/>
      <c r="AF688" s="207"/>
      <c r="AG688" s="114"/>
      <c r="AH688" s="51"/>
      <c r="AI688" s="51"/>
      <c r="AJ688" s="51"/>
      <c r="AK688" s="51"/>
      <c r="AL688" s="298"/>
      <c r="AM688" s="298"/>
      <c r="AN688" s="298"/>
      <c r="AO688" s="290"/>
      <c r="AP688" s="160"/>
      <c r="AQ688" s="290"/>
      <c r="AR688" s="93"/>
      <c r="AS688" s="290"/>
      <c r="AT688" s="290"/>
      <c r="AU688" s="298"/>
      <c r="AV688" s="207"/>
      <c r="AW688" s="93"/>
      <c r="AX688" s="93"/>
      <c r="AY688" s="204"/>
      <c r="AZ688" s="298"/>
      <c r="BA688" s="298"/>
      <c r="BB688" s="290"/>
      <c r="BC688" s="290"/>
      <c r="BD688" s="290"/>
      <c r="BE688" s="54"/>
      <c r="BF688" s="294"/>
      <c r="BG688" s="160"/>
      <c r="BH688" s="93"/>
      <c r="BI688" s="93"/>
      <c r="BJ688" s="93"/>
      <c r="BK688" s="290"/>
      <c r="BL688" s="298"/>
      <c r="BM688" s="298"/>
      <c r="BN688" s="290"/>
      <c r="BO688" s="160"/>
      <c r="BP688" s="160"/>
      <c r="BQ688" s="93"/>
      <c r="BR688" s="294"/>
      <c r="BS688" s="290"/>
      <c r="BT688" s="290"/>
      <c r="BU688" s="205"/>
      <c r="BV688" s="205"/>
      <c r="BW688" s="294"/>
      <c r="BX688" s="93"/>
      <c r="BY688" s="160"/>
      <c r="BZ688" s="160"/>
      <c r="CA688" s="290"/>
      <c r="CB688" s="298"/>
      <c r="CC688" s="890"/>
      <c r="CD688" s="893"/>
      <c r="CE688" s="117"/>
      <c r="CF688" s="117"/>
      <c r="CG688" s="117"/>
      <c r="CH688" s="150"/>
      <c r="CI688" s="885"/>
      <c r="CJ688" s="120"/>
      <c r="CK688" s="893"/>
      <c r="CL688" s="893"/>
      <c r="CM688" s="893"/>
      <c r="CN688" s="890"/>
      <c r="CO688" s="890"/>
      <c r="CP688" s="961"/>
      <c r="CQ688" s="117"/>
      <c r="CR688" s="364"/>
      <c r="CS688" s="964"/>
      <c r="CT688" s="890"/>
      <c r="CU688" s="893"/>
      <c r="CV688" s="893"/>
      <c r="CW688" s="117"/>
      <c r="CX688" s="893"/>
      <c r="CY688" s="150"/>
      <c r="CZ688" s="893"/>
      <c r="DA688" s="890"/>
      <c r="DB688" s="890"/>
      <c r="DC688" s="890"/>
      <c r="DD688" s="70"/>
      <c r="DE688" s="70"/>
      <c r="DF688" s="70"/>
      <c r="DG688" s="70"/>
      <c r="DH688" s="362"/>
      <c r="DI688" s="964"/>
      <c r="DJ688" s="890"/>
      <c r="DK688" s="117"/>
      <c r="DL688" s="117"/>
      <c r="DM688" s="150"/>
      <c r="DN688" s="881"/>
      <c r="DO688" s="885"/>
      <c r="DP688" s="890"/>
      <c r="DQ688" s="890"/>
      <c r="DR688" s="893"/>
      <c r="DS688" s="890"/>
      <c r="DT688" s="894"/>
      <c r="DU688" s="150"/>
      <c r="DV688" s="117"/>
      <c r="DW688" s="117"/>
      <c r="DX688" s="364"/>
    </row>
    <row r="689" spans="1:128">
      <c r="A689" s="763"/>
      <c r="B689" s="290"/>
      <c r="C689" s="160"/>
      <c r="D689" s="93"/>
      <c r="E689" s="93"/>
      <c r="F689" s="93"/>
      <c r="G689" s="298"/>
      <c r="H689" s="294"/>
      <c r="I689" s="205"/>
      <c r="J689" s="298"/>
      <c r="K689" s="93"/>
      <c r="L689" s="93"/>
      <c r="M689" s="93"/>
      <c r="N689" s="160"/>
      <c r="O689" s="290"/>
      <c r="P689" s="764"/>
      <c r="Q689" s="93"/>
      <c r="R689" s="93"/>
      <c r="S689" s="93"/>
      <c r="T689" s="160"/>
      <c r="U689" s="290"/>
      <c r="V689" s="205"/>
      <c r="W689" s="290"/>
      <c r="X689" s="294"/>
      <c r="Y689" s="294"/>
      <c r="Z689" s="206"/>
      <c r="AA689" s="205"/>
      <c r="AB689" s="160"/>
      <c r="AC689" s="93"/>
      <c r="AD689" s="93"/>
      <c r="AE689" s="290"/>
      <c r="AF689" s="207"/>
      <c r="AG689" s="114"/>
      <c r="AH689" s="51"/>
      <c r="AI689" s="51"/>
      <c r="AJ689" s="51"/>
      <c r="AK689" s="51"/>
      <c r="AL689" s="294"/>
      <c r="AM689" s="294"/>
      <c r="AN689" s="290"/>
      <c r="AO689" s="160"/>
      <c r="AP689" s="160"/>
      <c r="AQ689" s="290"/>
      <c r="AR689" s="93"/>
      <c r="AS689" s="93"/>
      <c r="AT689" s="290"/>
      <c r="AU689" s="290"/>
      <c r="AV689" s="298"/>
      <c r="AW689" s="93"/>
      <c r="AX689" s="93"/>
      <c r="AY689" s="298"/>
      <c r="AZ689" s="298"/>
      <c r="BA689" s="298"/>
      <c r="BB689" s="160"/>
      <c r="BC689" s="294"/>
      <c r="BD689" s="290"/>
      <c r="BE689" s="291"/>
      <c r="BF689" s="290"/>
      <c r="BG689" s="206"/>
      <c r="BH689" s="160"/>
      <c r="BI689" s="93"/>
      <c r="BJ689" s="93"/>
      <c r="BK689" s="93"/>
      <c r="BL689" s="290"/>
      <c r="BM689" s="290"/>
      <c r="BN689" s="93"/>
      <c r="BO689" s="160"/>
      <c r="BP689" s="93"/>
      <c r="BQ689" s="93"/>
      <c r="BR689" s="93"/>
      <c r="BS689" s="294"/>
      <c r="BT689" s="54"/>
      <c r="BU689" s="291"/>
      <c r="BV689" s="294"/>
      <c r="BW689" s="93"/>
      <c r="BX689" s="93"/>
      <c r="BY689" s="160"/>
      <c r="BZ689" s="160"/>
      <c r="CA689" s="93"/>
      <c r="CB689" s="290"/>
      <c r="CC689" s="893"/>
      <c r="CD689" s="117"/>
      <c r="CE689" s="117"/>
      <c r="CF689" s="117"/>
      <c r="CG689" s="150"/>
      <c r="CH689" s="878"/>
      <c r="CI689" s="893"/>
      <c r="CJ689" s="882"/>
      <c r="CK689" s="893"/>
      <c r="CL689" s="885"/>
      <c r="CM689" s="150"/>
      <c r="CN689" s="890"/>
      <c r="CO689" s="890"/>
      <c r="CP689" s="890"/>
      <c r="CQ689" s="117"/>
      <c r="CR689" s="364"/>
      <c r="CS689" s="963"/>
      <c r="CT689" s="893"/>
      <c r="CU689" s="893"/>
      <c r="CV689" s="117"/>
      <c r="CW689" s="117"/>
      <c r="CX689" s="893"/>
      <c r="CY689" s="150"/>
      <c r="CZ689" s="150"/>
      <c r="DA689" s="893"/>
      <c r="DB689" s="885"/>
      <c r="DC689" s="885"/>
      <c r="DD689" s="70"/>
      <c r="DE689" s="70"/>
      <c r="DF689" s="70"/>
      <c r="DG689" s="70"/>
      <c r="DH689" s="362"/>
      <c r="DI689" s="964"/>
      <c r="DJ689" s="893"/>
      <c r="DK689" s="117"/>
      <c r="DL689" s="117"/>
      <c r="DM689" s="150"/>
      <c r="DN689" s="881"/>
      <c r="DO689" s="878"/>
      <c r="DP689" s="885"/>
      <c r="DQ689" s="885"/>
      <c r="DR689" s="893"/>
      <c r="DS689" s="881"/>
      <c r="DT689" s="893"/>
      <c r="DU689" s="150"/>
      <c r="DV689" s="117"/>
      <c r="DW689" s="117"/>
      <c r="DX689" s="364"/>
    </row>
    <row r="690" spans="1:128">
      <c r="A690" s="699"/>
      <c r="B690" s="290"/>
      <c r="C690" s="290"/>
      <c r="D690" s="93"/>
      <c r="E690" s="93"/>
      <c r="F690" s="93"/>
      <c r="G690" s="205"/>
      <c r="H690" s="290"/>
      <c r="I690" s="205"/>
      <c r="J690" s="290"/>
      <c r="K690" s="93"/>
      <c r="L690" s="93"/>
      <c r="M690" s="93"/>
      <c r="N690" s="290"/>
      <c r="O690" s="290"/>
      <c r="P690" s="79"/>
      <c r="Q690" s="93"/>
      <c r="R690" s="93"/>
      <c r="S690" s="93"/>
      <c r="T690" s="160"/>
      <c r="U690" s="290"/>
      <c r="V690" s="298"/>
      <c r="W690" s="290"/>
      <c r="X690" s="298"/>
      <c r="Y690" s="294"/>
      <c r="Z690" s="206"/>
      <c r="AA690" s="93"/>
      <c r="AB690" s="290"/>
      <c r="AC690" s="93"/>
      <c r="AD690" s="93"/>
      <c r="AE690" s="93"/>
      <c r="AF690" s="290"/>
      <c r="AG690" s="114"/>
      <c r="AH690" s="51"/>
      <c r="AI690" s="51"/>
      <c r="AJ690" s="51"/>
      <c r="AK690" s="51"/>
      <c r="AL690" s="51"/>
      <c r="AM690" s="298"/>
      <c r="AN690" s="298"/>
      <c r="AO690" s="290"/>
      <c r="AP690" s="160"/>
      <c r="AQ690" s="290"/>
      <c r="AR690" s="93"/>
      <c r="AS690" s="93"/>
      <c r="AT690" s="290"/>
      <c r="AU690" s="93"/>
      <c r="AV690" s="298"/>
      <c r="AW690" s="93"/>
      <c r="AX690" s="93"/>
      <c r="AY690" s="93"/>
      <c r="AZ690" s="206"/>
      <c r="BA690" s="298"/>
      <c r="BB690" s="160"/>
      <c r="BC690" s="290"/>
      <c r="BD690" s="290"/>
      <c r="BE690" s="54"/>
      <c r="BF690" s="294"/>
      <c r="BG690" s="93"/>
      <c r="BH690" s="160"/>
      <c r="BI690" s="207"/>
      <c r="BJ690" s="93"/>
      <c r="BK690" s="93"/>
      <c r="BL690" s="93"/>
      <c r="BM690" s="967"/>
      <c r="BN690" s="298"/>
      <c r="BO690" s="290"/>
      <c r="BP690" s="93"/>
      <c r="BQ690" s="93"/>
      <c r="BR690" s="93"/>
      <c r="BS690" s="205"/>
      <c r="BT690" s="290"/>
      <c r="BU690" s="205"/>
      <c r="BV690" s="205"/>
      <c r="BW690" s="93"/>
      <c r="BX690" s="93"/>
      <c r="BY690" s="93"/>
      <c r="BZ690" s="160"/>
      <c r="CA690" s="294"/>
      <c r="CB690" s="967"/>
      <c r="CC690" s="117"/>
      <c r="CD690" s="117"/>
      <c r="CE690" s="117"/>
      <c r="CF690" s="894"/>
      <c r="CG690" s="150"/>
      <c r="CH690" s="117"/>
      <c r="CI690" s="885"/>
      <c r="CJ690" s="120"/>
      <c r="CK690" s="893"/>
      <c r="CL690" s="893"/>
      <c r="CM690" s="150"/>
      <c r="CN690" s="890"/>
      <c r="CO690" s="878"/>
      <c r="CP690" s="117"/>
      <c r="CQ690" s="117"/>
      <c r="CR690" s="364"/>
      <c r="CS690" s="963"/>
      <c r="CT690" s="117"/>
      <c r="CU690" s="893"/>
      <c r="CV690" s="117"/>
      <c r="CW690" s="117"/>
      <c r="CX690" s="893"/>
      <c r="CY690" s="150"/>
      <c r="CZ690" s="893"/>
      <c r="DA690" s="890"/>
      <c r="DB690" s="890"/>
      <c r="DC690" s="70"/>
      <c r="DD690" s="70"/>
      <c r="DE690" s="70"/>
      <c r="DF690" s="70"/>
      <c r="DG690" s="70"/>
      <c r="DH690" s="362"/>
      <c r="DI690" s="966"/>
      <c r="DJ690" s="117"/>
      <c r="DK690" s="117"/>
      <c r="DL690" s="117"/>
      <c r="DM690" s="893"/>
      <c r="DN690" s="117"/>
      <c r="DO690" s="878"/>
      <c r="DP690" s="885"/>
      <c r="DQ690" s="890"/>
      <c r="DR690" s="893"/>
      <c r="DS690" s="890"/>
      <c r="DT690" s="893"/>
      <c r="DU690" s="150"/>
      <c r="DV690" s="117"/>
      <c r="DW690" s="117"/>
      <c r="DX690" s="364"/>
    </row>
    <row r="691" spans="1:128">
      <c r="A691" s="699"/>
      <c r="B691" s="160"/>
      <c r="C691" s="93"/>
      <c r="D691" s="93"/>
      <c r="E691" s="93"/>
      <c r="F691" s="93"/>
      <c r="G691" s="298"/>
      <c r="H691" s="294"/>
      <c r="I691" s="205"/>
      <c r="J691" s="298"/>
      <c r="K691" s="93"/>
      <c r="L691" s="93"/>
      <c r="M691" s="93"/>
      <c r="N691" s="93"/>
      <c r="O691" s="160"/>
      <c r="P691" s="79"/>
      <c r="Q691" s="93"/>
      <c r="R691" s="93"/>
      <c r="S691" s="93"/>
      <c r="T691" s="160"/>
      <c r="U691" s="160"/>
      <c r="V691" s="290"/>
      <c r="W691" s="290"/>
      <c r="X691" s="290"/>
      <c r="Y691" s="294"/>
      <c r="Z691" s="93"/>
      <c r="AA691" s="93"/>
      <c r="AB691" s="290"/>
      <c r="AC691" s="207"/>
      <c r="AD691" s="93"/>
      <c r="AE691" s="93"/>
      <c r="AF691" s="93"/>
      <c r="AG691" s="114"/>
      <c r="AH691" s="51"/>
      <c r="AI691" s="51"/>
      <c r="AJ691" s="51"/>
      <c r="AK691" s="51"/>
      <c r="AL691" s="160"/>
      <c r="AM691" s="205"/>
      <c r="AN691" s="290"/>
      <c r="AO691" s="294"/>
      <c r="AP691" s="160"/>
      <c r="AQ691" s="290"/>
      <c r="AR691" s="207"/>
      <c r="AS691" s="93"/>
      <c r="AT691" s="93"/>
      <c r="AU691" s="93"/>
      <c r="AV691" s="290"/>
      <c r="AW691" s="93"/>
      <c r="AX691" s="93"/>
      <c r="AY691" s="93"/>
      <c r="AZ691" s="298"/>
      <c r="BA691" s="206"/>
      <c r="BB691" s="160"/>
      <c r="BC691" s="207"/>
      <c r="BD691" s="294"/>
      <c r="BE691" s="291"/>
      <c r="BF691" s="294"/>
      <c r="BG691" s="93"/>
      <c r="BH691" s="160"/>
      <c r="BI691" s="298"/>
      <c r="BJ691" s="93"/>
      <c r="BK691" s="93"/>
      <c r="BL691" s="93"/>
      <c r="BM691" s="699"/>
      <c r="BN691" s="160"/>
      <c r="BO691" s="93"/>
      <c r="BP691" s="93"/>
      <c r="BQ691" s="93"/>
      <c r="BR691" s="93"/>
      <c r="BS691" s="294"/>
      <c r="BT691" s="54"/>
      <c r="BU691" s="290"/>
      <c r="BV691" s="294"/>
      <c r="BW691" s="93"/>
      <c r="BX691" s="93"/>
      <c r="BY691" s="93"/>
      <c r="BZ691" s="290"/>
      <c r="CA691" s="298"/>
      <c r="CB691" s="79"/>
      <c r="CC691" s="117"/>
      <c r="CD691" s="117"/>
      <c r="CE691" s="117"/>
      <c r="CF691" s="890"/>
      <c r="CG691" s="150"/>
      <c r="CH691" s="117"/>
      <c r="CI691" s="885"/>
      <c r="CJ691" s="882"/>
      <c r="CK691" s="885"/>
      <c r="CL691" s="894"/>
      <c r="CM691" s="150"/>
      <c r="CN691" s="878"/>
      <c r="CO691" s="890"/>
      <c r="CP691" s="117"/>
      <c r="CQ691" s="117"/>
      <c r="CR691" s="364"/>
      <c r="CS691" s="966"/>
      <c r="CT691" s="117"/>
      <c r="CU691" s="117"/>
      <c r="CV691" s="117"/>
      <c r="CW691" s="894"/>
      <c r="CX691" s="893"/>
      <c r="CY691" s="150"/>
      <c r="CZ691" s="885"/>
      <c r="DA691" s="893"/>
      <c r="DB691" s="881"/>
      <c r="DC691" s="150"/>
      <c r="DD691" s="70"/>
      <c r="DE691" s="70"/>
      <c r="DF691" s="70"/>
      <c r="DG691" s="70"/>
      <c r="DH691" s="362"/>
      <c r="DI691" s="363"/>
      <c r="DJ691" s="117"/>
      <c r="DK691" s="117"/>
      <c r="DL691" s="894"/>
      <c r="DM691" s="893"/>
      <c r="DN691" s="117"/>
      <c r="DO691" s="117"/>
      <c r="DP691" s="885"/>
      <c r="DQ691" s="893"/>
      <c r="DR691" s="893"/>
      <c r="DS691" s="893"/>
      <c r="DT691" s="150"/>
      <c r="DU691" s="150"/>
      <c r="DV691" s="117"/>
      <c r="DW691" s="117"/>
      <c r="DX691" s="364"/>
    </row>
    <row r="692" spans="1:128">
      <c r="A692" s="699"/>
      <c r="B692" s="160"/>
      <c r="C692" s="290"/>
      <c r="D692" s="93"/>
      <c r="E692" s="93"/>
      <c r="F692" s="93"/>
      <c r="G692" s="160"/>
      <c r="H692" s="205"/>
      <c r="I692" s="205"/>
      <c r="J692" s="160"/>
      <c r="K692" s="93"/>
      <c r="L692" s="93"/>
      <c r="M692" s="93"/>
      <c r="N692" s="290"/>
      <c r="O692" s="160"/>
      <c r="P692" s="79"/>
      <c r="Q692" s="93"/>
      <c r="R692" s="93"/>
      <c r="S692" s="160"/>
      <c r="T692" s="160"/>
      <c r="U692" s="93"/>
      <c r="V692" s="160"/>
      <c r="W692" s="160"/>
      <c r="X692" s="160"/>
      <c r="Y692" s="160"/>
      <c r="Z692" s="93"/>
      <c r="AA692" s="93"/>
      <c r="AB692" s="160"/>
      <c r="AC692" s="160"/>
      <c r="AD692" s="93"/>
      <c r="AE692" s="93"/>
      <c r="AF692" s="93"/>
      <c r="AG692" s="114"/>
      <c r="AH692" s="51"/>
      <c r="AI692" s="51"/>
      <c r="AJ692" s="51"/>
      <c r="AK692" s="51"/>
      <c r="AL692" s="160"/>
      <c r="AM692" s="160"/>
      <c r="AN692" s="160"/>
      <c r="AO692" s="160"/>
      <c r="AP692" s="160"/>
      <c r="AQ692" s="298"/>
      <c r="AR692" s="93"/>
      <c r="AS692" s="93"/>
      <c r="AT692" s="93"/>
      <c r="AU692" s="93"/>
      <c r="AV692" s="79"/>
      <c r="AW692" s="93"/>
      <c r="AX692" s="93"/>
      <c r="AY692" s="93"/>
      <c r="AZ692" s="298"/>
      <c r="BA692" s="206"/>
      <c r="BB692" s="290"/>
      <c r="BC692" s="298"/>
      <c r="BD692" s="294"/>
      <c r="BE692" s="54"/>
      <c r="BF692" s="93"/>
      <c r="BG692" s="160"/>
      <c r="BH692" s="206"/>
      <c r="BI692" s="93"/>
      <c r="BJ692" s="93"/>
      <c r="BK692" s="93"/>
      <c r="BL692" s="93"/>
      <c r="BM692" s="699"/>
      <c r="BN692" s="290"/>
      <c r="BO692" s="160"/>
      <c r="BP692" s="93"/>
      <c r="BQ692" s="93"/>
      <c r="BR692" s="290"/>
      <c r="BS692" s="160"/>
      <c r="BT692" s="160"/>
      <c r="BU692" s="160"/>
      <c r="BV692" s="160"/>
      <c r="BW692" s="290"/>
      <c r="BX692" s="93"/>
      <c r="BY692" s="93"/>
      <c r="BZ692" s="290"/>
      <c r="CA692" s="160"/>
      <c r="CB692" s="79"/>
      <c r="CC692" s="117"/>
      <c r="CD692" s="117"/>
      <c r="CE692" s="117"/>
      <c r="CF692" s="117"/>
      <c r="CG692" s="878"/>
      <c r="CH692" s="150"/>
      <c r="CI692" s="117"/>
      <c r="CJ692" s="120"/>
      <c r="CK692" s="885"/>
      <c r="CL692" s="890"/>
      <c r="CM692" s="893"/>
      <c r="CN692" s="878"/>
      <c r="CO692" s="890"/>
      <c r="CP692" s="117"/>
      <c r="CQ692" s="117"/>
      <c r="CR692" s="364"/>
      <c r="CS692" s="363"/>
      <c r="CT692" s="117"/>
      <c r="CU692" s="117"/>
      <c r="CV692" s="117"/>
      <c r="CW692" s="117"/>
      <c r="CX692" s="890"/>
      <c r="CY692" s="150"/>
      <c r="CZ692" s="150"/>
      <c r="DA692" s="150"/>
      <c r="DB692" s="150"/>
      <c r="DC692" s="150"/>
      <c r="DD692" s="70"/>
      <c r="DE692" s="70"/>
      <c r="DF692" s="70"/>
      <c r="DG692" s="70"/>
      <c r="DH692" s="362"/>
      <c r="DI692" s="363"/>
      <c r="DJ692" s="117"/>
      <c r="DK692" s="117"/>
      <c r="DL692" s="150"/>
      <c r="DM692" s="150"/>
      <c r="DN692" s="117"/>
      <c r="DO692" s="117"/>
      <c r="DP692" s="150"/>
      <c r="DQ692" s="150"/>
      <c r="DR692" s="150"/>
      <c r="DS692" s="150"/>
      <c r="DT692" s="117"/>
      <c r="DU692" s="150"/>
      <c r="DV692" s="150"/>
      <c r="DW692" s="117"/>
      <c r="DX692" s="364"/>
    </row>
    <row r="693" spans="1:128">
      <c r="A693" s="699"/>
      <c r="B693" s="290"/>
      <c r="C693" s="160"/>
      <c r="D693" s="93"/>
      <c r="E693" s="93"/>
      <c r="F693" s="290"/>
      <c r="G693" s="294"/>
      <c r="H693" s="294"/>
      <c r="I693" s="294"/>
      <c r="J693" s="294"/>
      <c r="K693" s="290"/>
      <c r="L693" s="93"/>
      <c r="M693" s="93"/>
      <c r="N693" s="160"/>
      <c r="O693" s="290"/>
      <c r="P693" s="79"/>
      <c r="Q693" s="93"/>
      <c r="R693" s="93"/>
      <c r="S693" s="160"/>
      <c r="T693" s="93"/>
      <c r="U693" s="294"/>
      <c r="V693" s="298"/>
      <c r="W693" s="294"/>
      <c r="X693" s="298"/>
      <c r="Y693" s="294"/>
      <c r="Z693" s="206"/>
      <c r="AA693" s="93"/>
      <c r="AB693" s="160"/>
      <c r="AC693" s="160"/>
      <c r="AD693" s="93"/>
      <c r="AE693" s="93"/>
      <c r="AF693" s="93"/>
      <c r="AG693" s="114"/>
      <c r="AH693" s="51"/>
      <c r="AI693" s="51"/>
      <c r="AJ693" s="51"/>
      <c r="AK693" s="160"/>
      <c r="AL693" s="160"/>
      <c r="AM693" s="298"/>
      <c r="AN693" s="294"/>
      <c r="AO693" s="160"/>
      <c r="AP693" s="160"/>
      <c r="AQ693" s="93"/>
      <c r="AR693" s="93"/>
      <c r="AS693" s="93"/>
      <c r="AT693" s="93"/>
      <c r="AU693" s="93"/>
      <c r="AV693" s="79"/>
      <c r="AW693" s="93"/>
      <c r="AX693" s="93"/>
      <c r="AY693" s="93"/>
      <c r="AZ693" s="93"/>
      <c r="BA693" s="160"/>
      <c r="BB693" s="290"/>
      <c r="BC693" s="160"/>
      <c r="BD693" s="160"/>
      <c r="BE693" s="160"/>
      <c r="BF693" s="160"/>
      <c r="BG693" s="206"/>
      <c r="BH693" s="93"/>
      <c r="BI693" s="93"/>
      <c r="BJ693" s="93"/>
      <c r="BK693" s="93"/>
      <c r="BL693" s="93"/>
      <c r="BM693" s="699"/>
      <c r="BN693" s="93"/>
      <c r="BO693" s="160"/>
      <c r="BP693" s="93"/>
      <c r="BQ693" s="93"/>
      <c r="BR693" s="298"/>
      <c r="BS693" s="294"/>
      <c r="BT693" s="294"/>
      <c r="BU693" s="290"/>
      <c r="BV693" s="294"/>
      <c r="BW693" s="294"/>
      <c r="BX693" s="93"/>
      <c r="BY693" s="93"/>
      <c r="BZ693" s="160"/>
      <c r="CA693" s="290"/>
      <c r="CB693" s="79"/>
      <c r="CC693" s="117"/>
      <c r="CD693" s="117"/>
      <c r="CE693" s="117"/>
      <c r="CF693" s="117"/>
      <c r="CG693" s="117"/>
      <c r="CH693" s="878"/>
      <c r="CI693" s="150"/>
      <c r="CJ693" s="150"/>
      <c r="CK693" s="150"/>
      <c r="CL693" s="150"/>
      <c r="CM693" s="893"/>
      <c r="CN693" s="150"/>
      <c r="CO693" s="117"/>
      <c r="CP693" s="117"/>
      <c r="CQ693" s="117"/>
      <c r="CR693" s="364"/>
      <c r="CS693" s="363"/>
      <c r="CT693" s="117"/>
      <c r="CU693" s="117"/>
      <c r="CV693" s="117"/>
      <c r="CW693" s="117"/>
      <c r="CX693" s="117"/>
      <c r="CY693" s="150"/>
      <c r="CZ693" s="150"/>
      <c r="DA693" s="885"/>
      <c r="DB693" s="890"/>
      <c r="DC693" s="150"/>
      <c r="DD693" s="150"/>
      <c r="DE693" s="70"/>
      <c r="DF693" s="70"/>
      <c r="DG693" s="70"/>
      <c r="DH693" s="362"/>
      <c r="DI693" s="363"/>
      <c r="DJ693" s="117"/>
      <c r="DK693" s="117"/>
      <c r="DL693" s="150"/>
      <c r="DM693" s="150"/>
      <c r="DN693" s="117"/>
      <c r="DO693" s="878"/>
      <c r="DP693" s="885"/>
      <c r="DQ693" s="890"/>
      <c r="DR693" s="885"/>
      <c r="DS693" s="890"/>
      <c r="DT693" s="885"/>
      <c r="DU693" s="117"/>
      <c r="DV693" s="150"/>
      <c r="DW693" s="117"/>
      <c r="DX693" s="364"/>
    </row>
    <row r="694" spans="1:128">
      <c r="A694" s="699"/>
      <c r="B694" s="93"/>
      <c r="C694" s="160"/>
      <c r="D694" s="93"/>
      <c r="E694" s="93"/>
      <c r="F694" s="298"/>
      <c r="G694" s="294"/>
      <c r="H694" s="294"/>
      <c r="I694" s="294"/>
      <c r="J694" s="294"/>
      <c r="K694" s="298"/>
      <c r="L694" s="93"/>
      <c r="M694" s="93"/>
      <c r="N694" s="160"/>
      <c r="O694" s="93"/>
      <c r="P694" s="79"/>
      <c r="Q694" s="93"/>
      <c r="R694" s="93"/>
      <c r="S694" s="160"/>
      <c r="T694" s="294"/>
      <c r="U694" s="298"/>
      <c r="V694" s="294"/>
      <c r="W694" s="294"/>
      <c r="X694" s="298"/>
      <c r="Y694" s="294"/>
      <c r="Z694" s="290"/>
      <c r="AA694" s="93"/>
      <c r="AB694" s="160"/>
      <c r="AC694" s="93"/>
      <c r="AD694" s="93"/>
      <c r="AE694" s="93"/>
      <c r="AF694" s="93"/>
      <c r="AG694" s="114"/>
      <c r="AH694" s="51"/>
      <c r="AI694" s="51"/>
      <c r="AJ694" s="160"/>
      <c r="AK694" s="160"/>
      <c r="AL694" s="298"/>
      <c r="AM694" s="294"/>
      <c r="AN694" s="160"/>
      <c r="AO694" s="160"/>
      <c r="AP694" s="290"/>
      <c r="AQ694" s="93"/>
      <c r="AR694" s="93"/>
      <c r="AS694" s="93"/>
      <c r="AT694" s="93"/>
      <c r="AU694" s="93"/>
      <c r="AV694" s="79"/>
      <c r="AW694" s="93"/>
      <c r="AX694" s="93"/>
      <c r="AY694" s="93"/>
      <c r="AZ694" s="160"/>
      <c r="BA694" s="290"/>
      <c r="BB694" s="204"/>
      <c r="BC694" s="204"/>
      <c r="BD694" s="298"/>
      <c r="BE694" s="294"/>
      <c r="BF694" s="294"/>
      <c r="BG694" s="290"/>
      <c r="BH694" s="93"/>
      <c r="BI694" s="93"/>
      <c r="BJ694" s="93"/>
      <c r="BK694" s="93"/>
      <c r="BL694" s="93"/>
      <c r="BM694" s="112"/>
      <c r="BN694" s="93"/>
      <c r="BO694" s="160"/>
      <c r="BP694" s="160"/>
      <c r="BQ694" s="290"/>
      <c r="BR694" s="298"/>
      <c r="BS694" s="294"/>
      <c r="BT694" s="290"/>
      <c r="BU694" s="290"/>
      <c r="BV694" s="294"/>
      <c r="BW694" s="290"/>
      <c r="BX694" s="93"/>
      <c r="BY694" s="93"/>
      <c r="BZ694" s="160"/>
      <c r="CA694" s="93"/>
      <c r="CB694" s="113"/>
      <c r="CC694" s="117"/>
      <c r="CD694" s="117"/>
      <c r="CE694" s="117"/>
      <c r="CF694" s="117"/>
      <c r="CG694" s="117"/>
      <c r="CH694" s="893"/>
      <c r="CI694" s="885"/>
      <c r="CJ694" s="885"/>
      <c r="CK694" s="890"/>
      <c r="CL694" s="961"/>
      <c r="CM694" s="961"/>
      <c r="CN694" s="893"/>
      <c r="CO694" s="150"/>
      <c r="CP694" s="117"/>
      <c r="CQ694" s="117"/>
      <c r="CR694" s="364"/>
      <c r="CS694" s="363"/>
      <c r="CT694" s="117"/>
      <c r="CU694" s="117"/>
      <c r="CV694" s="117"/>
      <c r="CW694" s="117"/>
      <c r="CX694" s="117"/>
      <c r="CY694" s="893"/>
      <c r="CZ694" s="150"/>
      <c r="DA694" s="150"/>
      <c r="DB694" s="885"/>
      <c r="DC694" s="890"/>
      <c r="DD694" s="150"/>
      <c r="DE694" s="150"/>
      <c r="DF694" s="70"/>
      <c r="DG694" s="70"/>
      <c r="DH694" s="362"/>
      <c r="DI694" s="363"/>
      <c r="DJ694" s="117"/>
      <c r="DK694" s="117"/>
      <c r="DL694" s="117"/>
      <c r="DM694" s="150"/>
      <c r="DN694" s="117"/>
      <c r="DO694" s="893"/>
      <c r="DP694" s="885"/>
      <c r="DQ694" s="890"/>
      <c r="DR694" s="885"/>
      <c r="DS694" s="885"/>
      <c r="DT694" s="890"/>
      <c r="DU694" s="885"/>
      <c r="DV694" s="150"/>
      <c r="DW694" s="117"/>
      <c r="DX694" s="364"/>
    </row>
    <row r="695" spans="1:128">
      <c r="A695" s="699"/>
      <c r="B695" s="93"/>
      <c r="C695" s="160"/>
      <c r="D695" s="93"/>
      <c r="E695" s="290"/>
      <c r="F695" s="294"/>
      <c r="G695" s="290"/>
      <c r="H695" s="290"/>
      <c r="I695" s="290"/>
      <c r="J695" s="290"/>
      <c r="K695" s="294"/>
      <c r="L695" s="290"/>
      <c r="M695" s="93"/>
      <c r="N695" s="160"/>
      <c r="O695" s="93"/>
      <c r="P695" s="79"/>
      <c r="Q695" s="93"/>
      <c r="R695" s="160"/>
      <c r="S695" s="160"/>
      <c r="T695" s="294"/>
      <c r="U695" s="298"/>
      <c r="V695" s="294"/>
      <c r="W695" s="290"/>
      <c r="X695" s="298"/>
      <c r="Y695" s="294"/>
      <c r="Z695" s="294"/>
      <c r="AA695" s="93"/>
      <c r="AB695" s="160"/>
      <c r="AC695" s="93"/>
      <c r="AD695" s="93"/>
      <c r="AE695" s="93"/>
      <c r="AF695" s="93"/>
      <c r="AG695" s="114"/>
      <c r="AH695" s="51"/>
      <c r="AI695" s="160"/>
      <c r="AJ695" s="51"/>
      <c r="AK695" s="160"/>
      <c r="AL695" s="298"/>
      <c r="AM695" s="294"/>
      <c r="AN695" s="160"/>
      <c r="AO695" s="290"/>
      <c r="AP695" s="206"/>
      <c r="AQ695" s="93"/>
      <c r="AR695" s="93"/>
      <c r="AS695" s="93"/>
      <c r="AT695" s="93"/>
      <c r="AU695" s="93"/>
      <c r="AV695" s="79"/>
      <c r="AW695" s="207"/>
      <c r="AX695" s="160"/>
      <c r="AY695" s="160"/>
      <c r="AZ695" s="290"/>
      <c r="BA695" s="298"/>
      <c r="BB695" s="298"/>
      <c r="BC695" s="294"/>
      <c r="BD695" s="290"/>
      <c r="BE695" s="290"/>
      <c r="BF695" s="294"/>
      <c r="BG695" s="206"/>
      <c r="BH695" s="93"/>
      <c r="BI695" s="93"/>
      <c r="BJ695" s="93"/>
      <c r="BK695" s="93"/>
      <c r="BL695" s="93"/>
      <c r="BM695" s="112"/>
      <c r="BN695" s="93"/>
      <c r="BO695" s="160"/>
      <c r="BP695" s="93"/>
      <c r="BQ695" s="290"/>
      <c r="BR695" s="294"/>
      <c r="BS695" s="294"/>
      <c r="BT695" s="290"/>
      <c r="BU695" s="160"/>
      <c r="BV695" s="294"/>
      <c r="BW695" s="294"/>
      <c r="BX695" s="294"/>
      <c r="BY695" s="160"/>
      <c r="BZ695" s="160"/>
      <c r="CA695" s="93"/>
      <c r="CB695" s="113"/>
      <c r="CC695" s="117"/>
      <c r="CD695" s="117"/>
      <c r="CE695" s="117"/>
      <c r="CF695" s="117"/>
      <c r="CG695" s="117"/>
      <c r="CH695" s="878"/>
      <c r="CI695" s="885"/>
      <c r="CJ695" s="893"/>
      <c r="CK695" s="893"/>
      <c r="CL695" s="885"/>
      <c r="CM695" s="890"/>
      <c r="CN695" s="890"/>
      <c r="CO695" s="893"/>
      <c r="CP695" s="150"/>
      <c r="CQ695" s="150"/>
      <c r="CR695" s="968"/>
      <c r="CS695" s="363"/>
      <c r="CT695" s="117"/>
      <c r="CU695" s="117"/>
      <c r="CV695" s="117"/>
      <c r="CW695" s="117"/>
      <c r="CX695" s="117"/>
      <c r="CY695" s="878"/>
      <c r="CZ695" s="893"/>
      <c r="DA695" s="150"/>
      <c r="DB695" s="885"/>
      <c r="DC695" s="890"/>
      <c r="DD695" s="150"/>
      <c r="DE695" s="70"/>
      <c r="DF695" s="150"/>
      <c r="DG695" s="70"/>
      <c r="DH695" s="362"/>
      <c r="DI695" s="363"/>
      <c r="DJ695" s="117"/>
      <c r="DK695" s="117"/>
      <c r="DL695" s="117"/>
      <c r="DM695" s="150"/>
      <c r="DN695" s="117"/>
      <c r="DO695" s="885"/>
      <c r="DP695" s="885"/>
      <c r="DQ695" s="890"/>
      <c r="DR695" s="893"/>
      <c r="DS695" s="885"/>
      <c r="DT695" s="890"/>
      <c r="DU695" s="885"/>
      <c r="DV695" s="150"/>
      <c r="DW695" s="150"/>
      <c r="DX695" s="364"/>
    </row>
    <row r="696" spans="1:128">
      <c r="A696" s="699"/>
      <c r="B696" s="160"/>
      <c r="C696" s="160"/>
      <c r="D696" s="93"/>
      <c r="E696" s="298"/>
      <c r="F696" s="294"/>
      <c r="G696" s="290"/>
      <c r="H696" s="290"/>
      <c r="I696" s="290"/>
      <c r="J696" s="290"/>
      <c r="K696" s="294"/>
      <c r="L696" s="298"/>
      <c r="M696" s="93"/>
      <c r="N696" s="160"/>
      <c r="O696" s="160"/>
      <c r="P696" s="79"/>
      <c r="Q696" s="93"/>
      <c r="R696" s="160"/>
      <c r="S696" s="93"/>
      <c r="T696" s="298"/>
      <c r="U696" s="294"/>
      <c r="V696" s="290"/>
      <c r="W696" s="290"/>
      <c r="X696" s="298"/>
      <c r="Y696" s="294"/>
      <c r="Z696" s="290"/>
      <c r="AA696" s="160"/>
      <c r="AB696" s="290"/>
      <c r="AC696" s="93"/>
      <c r="AD696" s="93"/>
      <c r="AE696" s="93"/>
      <c r="AF696" s="93"/>
      <c r="AG696" s="114"/>
      <c r="AH696" s="51"/>
      <c r="AI696" s="207"/>
      <c r="AJ696" s="51"/>
      <c r="AK696" s="207"/>
      <c r="AL696" s="294"/>
      <c r="AM696" s="160"/>
      <c r="AN696" s="290"/>
      <c r="AO696" s="206"/>
      <c r="AP696" s="93"/>
      <c r="AQ696" s="93"/>
      <c r="AR696" s="93"/>
      <c r="AS696" s="93"/>
      <c r="AT696" s="93"/>
      <c r="AU696" s="93"/>
      <c r="AV696" s="79"/>
      <c r="AW696" s="93"/>
      <c r="AX696" s="93"/>
      <c r="AY696" s="290"/>
      <c r="AZ696" s="298"/>
      <c r="BA696" s="298"/>
      <c r="BB696" s="294"/>
      <c r="BC696" s="290"/>
      <c r="BD696" s="206"/>
      <c r="BE696" s="294"/>
      <c r="BF696" s="206"/>
      <c r="BG696" s="93"/>
      <c r="BH696" s="93"/>
      <c r="BI696" s="93"/>
      <c r="BJ696" s="93"/>
      <c r="BK696" s="93"/>
      <c r="BL696" s="93"/>
      <c r="BM696" s="112"/>
      <c r="BN696" s="160"/>
      <c r="BO696" s="93"/>
      <c r="BP696" s="93"/>
      <c r="BQ696" s="294"/>
      <c r="BR696" s="290"/>
      <c r="BS696" s="290"/>
      <c r="BT696" s="93"/>
      <c r="BU696" s="93"/>
      <c r="BV696" s="290"/>
      <c r="BW696" s="290"/>
      <c r="BX696" s="294"/>
      <c r="BY696" s="93"/>
      <c r="BZ696" s="93"/>
      <c r="CA696" s="160"/>
      <c r="CB696" s="113"/>
      <c r="CC696" s="117"/>
      <c r="CD696" s="117"/>
      <c r="CE696" s="117"/>
      <c r="CF696" s="117"/>
      <c r="CG696" s="117"/>
      <c r="CH696" s="117"/>
      <c r="CI696" s="878"/>
      <c r="CJ696" s="885"/>
      <c r="CK696" s="878"/>
      <c r="CL696" s="893"/>
      <c r="CM696" s="885"/>
      <c r="CN696" s="890"/>
      <c r="CO696" s="890"/>
      <c r="CP696" s="893"/>
      <c r="CQ696" s="117"/>
      <c r="CR696" s="364"/>
      <c r="CS696" s="363"/>
      <c r="CT696" s="117"/>
      <c r="CU696" s="117"/>
      <c r="CV696" s="117"/>
      <c r="CW696" s="117"/>
      <c r="CX696" s="117"/>
      <c r="CY696" s="117"/>
      <c r="CZ696" s="878"/>
      <c r="DA696" s="893"/>
      <c r="DB696" s="150"/>
      <c r="DC696" s="885"/>
      <c r="DD696" s="894"/>
      <c r="DE696" s="70"/>
      <c r="DF696" s="894"/>
      <c r="DG696" s="70"/>
      <c r="DH696" s="362"/>
      <c r="DI696" s="363"/>
      <c r="DJ696" s="117"/>
      <c r="DK696" s="117"/>
      <c r="DL696" s="117"/>
      <c r="DM696" s="893"/>
      <c r="DN696" s="150"/>
      <c r="DO696" s="893"/>
      <c r="DP696" s="885"/>
      <c r="DQ696" s="890"/>
      <c r="DR696" s="893"/>
      <c r="DS696" s="893"/>
      <c r="DT696" s="885"/>
      <c r="DU696" s="890"/>
      <c r="DV696" s="117"/>
      <c r="DW696" s="150"/>
      <c r="DX696" s="364"/>
    </row>
    <row r="697" spans="1:128">
      <c r="A697" s="970"/>
      <c r="B697" s="93"/>
      <c r="C697" s="160"/>
      <c r="D697" s="93"/>
      <c r="E697" s="294"/>
      <c r="F697" s="290"/>
      <c r="G697" s="290"/>
      <c r="H697" s="93"/>
      <c r="I697" s="93"/>
      <c r="J697" s="290"/>
      <c r="K697" s="290"/>
      <c r="L697" s="294"/>
      <c r="M697" s="93"/>
      <c r="N697" s="160"/>
      <c r="O697" s="93"/>
      <c r="P697" s="873"/>
      <c r="Q697" s="93"/>
      <c r="R697" s="160"/>
      <c r="S697" s="93"/>
      <c r="T697" s="207"/>
      <c r="U697" s="294"/>
      <c r="V697" s="290"/>
      <c r="W697" s="93"/>
      <c r="X697" s="294"/>
      <c r="Y697" s="294"/>
      <c r="Z697" s="290"/>
      <c r="AA697" s="160"/>
      <c r="AB697" s="93"/>
      <c r="AC697" s="160"/>
      <c r="AD697" s="93"/>
      <c r="AE697" s="93"/>
      <c r="AF697" s="93"/>
      <c r="AG697" s="114"/>
      <c r="AH697" s="51"/>
      <c r="AI697" s="51"/>
      <c r="AJ697" s="51"/>
      <c r="AK697" s="160"/>
      <c r="AL697" s="160"/>
      <c r="AM697" s="290"/>
      <c r="AN697" s="206"/>
      <c r="AO697" s="51"/>
      <c r="AP697" s="93"/>
      <c r="AQ697" s="93"/>
      <c r="AR697" s="93"/>
      <c r="AS697" s="93"/>
      <c r="AT697" s="93"/>
      <c r="AU697" s="93"/>
      <c r="AV697" s="79"/>
      <c r="AW697" s="93"/>
      <c r="AX697" s="93"/>
      <c r="AY697" s="160"/>
      <c r="AZ697" s="298"/>
      <c r="BA697" s="298"/>
      <c r="BB697" s="294"/>
      <c r="BC697" s="290"/>
      <c r="BD697" s="206"/>
      <c r="BE697" s="294"/>
      <c r="BF697" s="206"/>
      <c r="BG697" s="93"/>
      <c r="BH697" s="93"/>
      <c r="BI697" s="93"/>
      <c r="BJ697" s="93"/>
      <c r="BK697" s="93"/>
      <c r="BL697" s="93"/>
      <c r="BM697" s="112"/>
      <c r="BN697" s="160"/>
      <c r="BO697" s="93"/>
      <c r="BP697" s="93"/>
      <c r="BQ697" s="294"/>
      <c r="BR697" s="290"/>
      <c r="BS697" s="290"/>
      <c r="BT697" s="93"/>
      <c r="BU697" s="93"/>
      <c r="BV697" s="290"/>
      <c r="BW697" s="290"/>
      <c r="BX697" s="290"/>
      <c r="BY697" s="93"/>
      <c r="BZ697" s="93"/>
      <c r="CA697" s="160"/>
      <c r="CB697" s="113"/>
      <c r="CC697" s="117"/>
      <c r="CD697" s="117"/>
      <c r="CE697" s="117"/>
      <c r="CF697" s="117"/>
      <c r="CG697" s="117"/>
      <c r="CH697" s="117"/>
      <c r="CI697" s="878"/>
      <c r="CJ697" s="885"/>
      <c r="CK697" s="878"/>
      <c r="CL697" s="893"/>
      <c r="CM697" s="885"/>
      <c r="CN697" s="890"/>
      <c r="CO697" s="890"/>
      <c r="CP697" s="150"/>
      <c r="CQ697" s="117"/>
      <c r="CR697" s="364"/>
      <c r="CS697" s="363"/>
      <c r="CT697" s="117"/>
      <c r="CU697" s="117"/>
      <c r="CV697" s="117"/>
      <c r="CW697" s="117"/>
      <c r="CX697" s="117"/>
      <c r="CY697" s="117"/>
      <c r="CZ697" s="70"/>
      <c r="DA697" s="878"/>
      <c r="DB697" s="893"/>
      <c r="DC697" s="150"/>
      <c r="DD697" s="150"/>
      <c r="DE697" s="70"/>
      <c r="DF697" s="70"/>
      <c r="DG697" s="70"/>
      <c r="DH697" s="362"/>
      <c r="DI697" s="363"/>
      <c r="DJ697" s="117"/>
      <c r="DK697" s="117"/>
      <c r="DL697" s="150"/>
      <c r="DM697" s="117"/>
      <c r="DN697" s="150"/>
      <c r="DO697" s="893"/>
      <c r="DP697" s="885"/>
      <c r="DQ697" s="885"/>
      <c r="DR697" s="117"/>
      <c r="DS697" s="893"/>
      <c r="DT697" s="885"/>
      <c r="DU697" s="894"/>
      <c r="DV697" s="117"/>
      <c r="DW697" s="150"/>
      <c r="DX697" s="364"/>
    </row>
    <row r="698" spans="1:128">
      <c r="A698" s="970"/>
      <c r="B698" s="93"/>
      <c r="C698" s="93"/>
      <c r="D698" s="160"/>
      <c r="E698" s="298"/>
      <c r="F698" s="294"/>
      <c r="G698" s="93"/>
      <c r="H698" s="93"/>
      <c r="I698" s="93"/>
      <c r="J698" s="93"/>
      <c r="K698" s="294"/>
      <c r="L698" s="298"/>
      <c r="M698" s="160"/>
      <c r="N698" s="93"/>
      <c r="O698" s="93"/>
      <c r="P698" s="873"/>
      <c r="Q698" s="93"/>
      <c r="R698" s="298"/>
      <c r="S698" s="93"/>
      <c r="T698" s="290"/>
      <c r="U698" s="294"/>
      <c r="V698" s="93"/>
      <c r="W698" s="93"/>
      <c r="X698" s="207"/>
      <c r="Y698" s="294"/>
      <c r="Z698" s="93"/>
      <c r="AA698" s="160"/>
      <c r="AB698" s="93"/>
      <c r="AC698" s="160"/>
      <c r="AD698" s="93"/>
      <c r="AE698" s="93"/>
      <c r="AF698" s="93"/>
      <c r="AG698" s="114"/>
      <c r="AH698" s="51"/>
      <c r="AI698" s="51"/>
      <c r="AJ698" s="160"/>
      <c r="AK698" s="51"/>
      <c r="AL698" s="294"/>
      <c r="AM698" s="160"/>
      <c r="AN698" s="294"/>
      <c r="AO698" s="51"/>
      <c r="AP698" s="93"/>
      <c r="AQ698" s="93"/>
      <c r="AR698" s="93"/>
      <c r="AS698" s="93"/>
      <c r="AT698" s="93"/>
      <c r="AU698" s="93"/>
      <c r="AV698" s="79"/>
      <c r="AW698" s="207"/>
      <c r="AX698" s="160"/>
      <c r="AY698" s="93"/>
      <c r="AZ698" s="93"/>
      <c r="BA698" s="298"/>
      <c r="BB698" s="294"/>
      <c r="BC698" s="206"/>
      <c r="BD698" s="93"/>
      <c r="BE698" s="294"/>
      <c r="BF698" s="294"/>
      <c r="BG698" s="206"/>
      <c r="BH698" s="93"/>
      <c r="BI698" s="93"/>
      <c r="BJ698" s="93"/>
      <c r="BK698" s="93"/>
      <c r="BL698" s="93"/>
      <c r="BM698" s="112"/>
      <c r="BN698" s="93"/>
      <c r="BO698" s="160"/>
      <c r="BP698" s="93"/>
      <c r="BQ698" s="290"/>
      <c r="BR698" s="294"/>
      <c r="BS698" s="290"/>
      <c r="BT698" s="93"/>
      <c r="BU698" s="93"/>
      <c r="BV698" s="290"/>
      <c r="BW698" s="294"/>
      <c r="BX698" s="290"/>
      <c r="BY698" s="93"/>
      <c r="BZ698" s="160"/>
      <c r="CA698" s="93"/>
      <c r="CB698" s="113"/>
      <c r="CC698" s="117"/>
      <c r="CD698" s="117"/>
      <c r="CE698" s="117"/>
      <c r="CF698" s="117"/>
      <c r="CG698" s="117"/>
      <c r="CH698" s="878"/>
      <c r="CI698" s="885"/>
      <c r="CJ698" s="885"/>
      <c r="CK698" s="117"/>
      <c r="CL698" s="878"/>
      <c r="CM698" s="885"/>
      <c r="CN698" s="890"/>
      <c r="CO698" s="117"/>
      <c r="CP698" s="117"/>
      <c r="CQ698" s="150"/>
      <c r="CR698" s="968"/>
      <c r="CS698" s="363"/>
      <c r="CT698" s="117"/>
      <c r="CU698" s="117"/>
      <c r="CV698" s="117"/>
      <c r="CW698" s="117"/>
      <c r="CX698" s="117"/>
      <c r="CY698" s="117"/>
      <c r="CZ698" s="70"/>
      <c r="DA698" s="885"/>
      <c r="DB698" s="150"/>
      <c r="DC698" s="885"/>
      <c r="DD698" s="70"/>
      <c r="DE698" s="150"/>
      <c r="DF698" s="70"/>
      <c r="DG698" s="70"/>
      <c r="DH698" s="362"/>
      <c r="DI698" s="363"/>
      <c r="DJ698" s="117"/>
      <c r="DK698" s="117"/>
      <c r="DL698" s="150"/>
      <c r="DM698" s="117"/>
      <c r="DN698" s="150"/>
      <c r="DO698" s="117"/>
      <c r="DP698" s="885"/>
      <c r="DQ698" s="894"/>
      <c r="DR698" s="117"/>
      <c r="DS698" s="117"/>
      <c r="DT698" s="885"/>
      <c r="DU698" s="893"/>
      <c r="DV698" s="117"/>
      <c r="DW698" s="890"/>
      <c r="DX698" s="364"/>
    </row>
    <row r="699" spans="1:128">
      <c r="A699" s="699"/>
      <c r="B699" s="160"/>
      <c r="C699" s="93"/>
      <c r="D699" s="93"/>
      <c r="E699" s="93"/>
      <c r="F699" s="294"/>
      <c r="G699" s="290"/>
      <c r="H699" s="93"/>
      <c r="I699" s="93"/>
      <c r="J699" s="290"/>
      <c r="K699" s="294"/>
      <c r="L699" s="93"/>
      <c r="M699" s="93"/>
      <c r="N699" s="93"/>
      <c r="O699" s="160"/>
      <c r="P699" s="79"/>
      <c r="Q699" s="93"/>
      <c r="R699" s="93"/>
      <c r="S699" s="93"/>
      <c r="T699" s="93"/>
      <c r="U699" s="290"/>
      <c r="V699" s="290"/>
      <c r="W699" s="93"/>
      <c r="X699" s="298"/>
      <c r="Y699" s="294"/>
      <c r="Z699" s="160"/>
      <c r="AA699" s="207"/>
      <c r="AB699" s="93"/>
      <c r="AC699" s="160"/>
      <c r="AD699" s="93"/>
      <c r="AE699" s="93"/>
      <c r="AF699" s="93"/>
      <c r="AG699" s="114"/>
      <c r="AH699" s="51"/>
      <c r="AI699" s="207"/>
      <c r="AJ699" s="51"/>
      <c r="AK699" s="51"/>
      <c r="AL699" s="298"/>
      <c r="AM699" s="160"/>
      <c r="AN699" s="294"/>
      <c r="AO699" s="51"/>
      <c r="AP699" s="51"/>
      <c r="AQ699" s="51"/>
      <c r="AR699" s="93"/>
      <c r="AS699" s="93"/>
      <c r="AT699" s="93"/>
      <c r="AU699" s="93"/>
      <c r="AV699" s="79"/>
      <c r="AW699" s="93"/>
      <c r="AX699" s="93"/>
      <c r="AY699" s="93"/>
      <c r="AZ699" s="93"/>
      <c r="BA699" s="294"/>
      <c r="BB699" s="294"/>
      <c r="BC699" s="93"/>
      <c r="BD699" s="93"/>
      <c r="BE699" s="294"/>
      <c r="BF699" s="206"/>
      <c r="BG699" s="206"/>
      <c r="BH699" s="93"/>
      <c r="BI699" s="93"/>
      <c r="BJ699" s="93"/>
      <c r="BK699" s="93"/>
      <c r="BL699" s="93"/>
      <c r="BM699" s="112"/>
      <c r="BN699" s="93"/>
      <c r="BO699" s="298"/>
      <c r="BP699" s="93"/>
      <c r="BQ699" s="93"/>
      <c r="BR699" s="294"/>
      <c r="BS699" s="294"/>
      <c r="BT699" s="93"/>
      <c r="BU699" s="93"/>
      <c r="BV699" s="290"/>
      <c r="BW699" s="290"/>
      <c r="BX699" s="93"/>
      <c r="BY699" s="93"/>
      <c r="BZ699" s="298"/>
      <c r="CA699" s="93"/>
      <c r="CB699" s="113"/>
      <c r="CC699" s="117"/>
      <c r="CD699" s="117"/>
      <c r="CE699" s="117"/>
      <c r="CF699" s="117"/>
      <c r="CG699" s="117"/>
      <c r="CH699" s="878"/>
      <c r="CI699" s="878"/>
      <c r="CJ699" s="885"/>
      <c r="CK699" s="117"/>
      <c r="CL699" s="117"/>
      <c r="CM699" s="885"/>
      <c r="CN699" s="885"/>
      <c r="CO699" s="117"/>
      <c r="CP699" s="117"/>
      <c r="CQ699" s="117"/>
      <c r="CR699" s="364"/>
      <c r="CS699" s="363"/>
      <c r="CT699" s="117"/>
      <c r="CU699" s="117"/>
      <c r="CV699" s="117"/>
      <c r="CW699" s="117"/>
      <c r="CX699" s="70"/>
      <c r="CY699" s="70"/>
      <c r="CZ699" s="70"/>
      <c r="DA699" s="885"/>
      <c r="DB699" s="150"/>
      <c r="DC699" s="890"/>
      <c r="DD699" s="70"/>
      <c r="DE699" s="70"/>
      <c r="DF699" s="894"/>
      <c r="DG699" s="70"/>
      <c r="DH699" s="362"/>
      <c r="DI699" s="363"/>
      <c r="DJ699" s="117"/>
      <c r="DK699" s="117"/>
      <c r="DL699" s="150"/>
      <c r="DM699" s="117"/>
      <c r="DN699" s="894"/>
      <c r="DO699" s="150"/>
      <c r="DP699" s="885"/>
      <c r="DQ699" s="890"/>
      <c r="DR699" s="117"/>
      <c r="DS699" s="893"/>
      <c r="DT699" s="893"/>
      <c r="DU699" s="117"/>
      <c r="DV699" s="117"/>
      <c r="DW699" s="117"/>
      <c r="DX699" s="364"/>
    </row>
    <row r="700" spans="1:128">
      <c r="A700" s="699"/>
      <c r="B700" s="93"/>
      <c r="C700" s="298"/>
      <c r="D700" s="93"/>
      <c r="E700" s="93"/>
      <c r="F700" s="290"/>
      <c r="G700" s="290"/>
      <c r="H700" s="93"/>
      <c r="I700" s="93"/>
      <c r="J700" s="294"/>
      <c r="K700" s="290"/>
      <c r="L700" s="93"/>
      <c r="M700" s="93"/>
      <c r="N700" s="298"/>
      <c r="O700" s="93"/>
      <c r="P700" s="79"/>
      <c r="Q700" s="93"/>
      <c r="R700" s="93"/>
      <c r="S700" s="93"/>
      <c r="T700" s="93"/>
      <c r="U700" s="294"/>
      <c r="V700" s="294"/>
      <c r="W700" s="93"/>
      <c r="X700" s="93"/>
      <c r="Y700" s="298"/>
      <c r="Z700" s="290"/>
      <c r="AA700" s="93"/>
      <c r="AB700" s="93"/>
      <c r="AC700" s="207"/>
      <c r="AD700" s="93"/>
      <c r="AE700" s="93"/>
      <c r="AF700" s="93"/>
      <c r="AG700" s="114"/>
      <c r="AH700" s="51"/>
      <c r="AI700" s="51"/>
      <c r="AJ700" s="51"/>
      <c r="AK700" s="51"/>
      <c r="AL700" s="160"/>
      <c r="AM700" s="294"/>
      <c r="AN700" s="206"/>
      <c r="AO700" s="294"/>
      <c r="AP700" s="51"/>
      <c r="AQ700" s="51"/>
      <c r="AR700" s="93"/>
      <c r="AS700" s="93"/>
      <c r="AT700" s="93"/>
      <c r="AU700" s="93"/>
      <c r="AV700" s="79"/>
      <c r="AW700" s="93"/>
      <c r="AX700" s="93"/>
      <c r="AY700" s="93"/>
      <c r="AZ700" s="93"/>
      <c r="BA700" s="294"/>
      <c r="BB700" s="294"/>
      <c r="BC700" s="206"/>
      <c r="BD700" s="93"/>
      <c r="BE700" s="93"/>
      <c r="BF700" s="206"/>
      <c r="BG700" s="206"/>
      <c r="BH700" s="93"/>
      <c r="BI700" s="93"/>
      <c r="BJ700" s="93"/>
      <c r="BK700" s="93"/>
      <c r="BL700" s="93"/>
      <c r="BM700" s="114"/>
      <c r="BN700" s="93"/>
      <c r="BO700" s="93"/>
      <c r="BP700" s="93"/>
      <c r="BQ700" s="93"/>
      <c r="BR700" s="294"/>
      <c r="BS700" s="294"/>
      <c r="BT700" s="93"/>
      <c r="BU700" s="93"/>
      <c r="BV700" s="290"/>
      <c r="BW700" s="290"/>
      <c r="BX700" s="93"/>
      <c r="BY700" s="93"/>
      <c r="BZ700" s="93"/>
      <c r="CA700" s="93"/>
      <c r="CB700" s="113"/>
      <c r="CC700" s="117"/>
      <c r="CD700" s="117"/>
      <c r="CE700" s="117"/>
      <c r="CF700" s="117"/>
      <c r="CG700" s="117"/>
      <c r="CH700" s="878"/>
      <c r="CI700" s="878"/>
      <c r="CJ700" s="117"/>
      <c r="CK700" s="117"/>
      <c r="CL700" s="878"/>
      <c r="CM700" s="885"/>
      <c r="CN700" s="885"/>
      <c r="CO700" s="117"/>
      <c r="CP700" s="117"/>
      <c r="CQ700" s="117"/>
      <c r="CR700" s="364"/>
      <c r="CS700" s="363"/>
      <c r="CT700" s="117"/>
      <c r="CU700" s="117"/>
      <c r="CV700" s="117"/>
      <c r="CW700" s="117"/>
      <c r="CX700" s="70"/>
      <c r="CY700" s="70"/>
      <c r="CZ700" s="885"/>
      <c r="DA700" s="878"/>
      <c r="DB700" s="885"/>
      <c r="DC700" s="150"/>
      <c r="DD700" s="70"/>
      <c r="DE700" s="70"/>
      <c r="DF700" s="70"/>
      <c r="DG700" s="70"/>
      <c r="DH700" s="362"/>
      <c r="DI700" s="363"/>
      <c r="DJ700" s="117"/>
      <c r="DK700" s="117"/>
      <c r="DL700" s="894"/>
      <c r="DM700" s="117"/>
      <c r="DN700" s="117"/>
      <c r="DO700" s="893"/>
      <c r="DP700" s="890"/>
      <c r="DQ700" s="117"/>
      <c r="DR700" s="117"/>
      <c r="DS700" s="885"/>
      <c r="DT700" s="885"/>
      <c r="DU700" s="117"/>
      <c r="DV700" s="117"/>
      <c r="DW700" s="117"/>
      <c r="DX700" s="364"/>
    </row>
    <row r="701" spans="1:128">
      <c r="A701" s="699"/>
      <c r="B701" s="93"/>
      <c r="C701" s="93"/>
      <c r="D701" s="93"/>
      <c r="E701" s="93"/>
      <c r="F701" s="160"/>
      <c r="G701" s="160"/>
      <c r="H701" s="93"/>
      <c r="I701" s="93"/>
      <c r="J701" s="160"/>
      <c r="K701" s="160"/>
      <c r="L701" s="93"/>
      <c r="M701" s="93"/>
      <c r="N701" s="93"/>
      <c r="O701" s="93"/>
      <c r="P701" s="79"/>
      <c r="Q701" s="93"/>
      <c r="R701" s="93"/>
      <c r="S701" s="93"/>
      <c r="T701" s="93"/>
      <c r="U701" s="160"/>
      <c r="V701" s="160"/>
      <c r="W701" s="93"/>
      <c r="X701" s="93"/>
      <c r="Y701" s="298"/>
      <c r="Z701" s="294"/>
      <c r="AA701" s="93"/>
      <c r="AB701" s="93"/>
      <c r="AC701" s="93"/>
      <c r="AD701" s="93"/>
      <c r="AE701" s="93"/>
      <c r="AF701" s="93"/>
      <c r="AG701" s="114"/>
      <c r="AH701" s="51"/>
      <c r="AI701" s="51"/>
      <c r="AJ701" s="51"/>
      <c r="AK701" s="207"/>
      <c r="AL701" s="51"/>
      <c r="AM701" s="294"/>
      <c r="AN701" s="290"/>
      <c r="AO701" s="294"/>
      <c r="AP701" s="51"/>
      <c r="AQ701" s="51"/>
      <c r="AR701" s="51"/>
      <c r="AS701" s="51"/>
      <c r="AT701" s="51"/>
      <c r="AU701" s="51"/>
      <c r="AV701" s="79"/>
      <c r="AW701" s="93"/>
      <c r="AX701" s="93"/>
      <c r="AY701" s="93"/>
      <c r="AZ701" s="93"/>
      <c r="BA701" s="294"/>
      <c r="BB701" s="294"/>
      <c r="BC701" s="206"/>
      <c r="BD701" s="93"/>
      <c r="BE701" s="93"/>
      <c r="BF701" s="160"/>
      <c r="BG701" s="160"/>
      <c r="BH701" s="93"/>
      <c r="BI701" s="93"/>
      <c r="BJ701" s="93"/>
      <c r="BK701" s="93"/>
      <c r="BL701" s="93"/>
      <c r="BM701" s="114"/>
      <c r="BN701" s="93"/>
      <c r="BO701" s="93"/>
      <c r="BP701" s="93"/>
      <c r="BQ701" s="93"/>
      <c r="BR701" s="160"/>
      <c r="BS701" s="160"/>
      <c r="BT701" s="93"/>
      <c r="BU701" s="93"/>
      <c r="BV701" s="160"/>
      <c r="BW701" s="160"/>
      <c r="BX701" s="93"/>
      <c r="BY701" s="93"/>
      <c r="BZ701" s="93"/>
      <c r="CA701" s="93"/>
      <c r="CB701" s="113"/>
      <c r="CC701" s="117"/>
      <c r="CD701" s="117"/>
      <c r="CE701" s="117"/>
      <c r="CF701" s="117"/>
      <c r="CG701" s="117"/>
      <c r="CH701" s="150"/>
      <c r="CI701" s="150"/>
      <c r="CJ701" s="117"/>
      <c r="CK701" s="117"/>
      <c r="CL701" s="878"/>
      <c r="CM701" s="885"/>
      <c r="CN701" s="885"/>
      <c r="CO701" s="117"/>
      <c r="CP701" s="117"/>
      <c r="CQ701" s="117"/>
      <c r="CR701" s="364"/>
      <c r="CS701" s="363"/>
      <c r="CT701" s="70"/>
      <c r="CU701" s="70"/>
      <c r="CV701" s="70"/>
      <c r="CW701" s="70"/>
      <c r="CX701" s="70"/>
      <c r="CY701" s="70"/>
      <c r="CZ701" s="885"/>
      <c r="DA701" s="893"/>
      <c r="DB701" s="885"/>
      <c r="DC701" s="70"/>
      <c r="DD701" s="894"/>
      <c r="DE701" s="70"/>
      <c r="DF701" s="70"/>
      <c r="DG701" s="70"/>
      <c r="DH701" s="362"/>
      <c r="DI701" s="363"/>
      <c r="DJ701" s="117"/>
      <c r="DK701" s="117"/>
      <c r="DL701" s="117"/>
      <c r="DM701" s="117"/>
      <c r="DN701" s="117"/>
      <c r="DO701" s="885"/>
      <c r="DP701" s="890"/>
      <c r="DQ701" s="117"/>
      <c r="DR701" s="117"/>
      <c r="DS701" s="150"/>
      <c r="DT701" s="150"/>
      <c r="DU701" s="117"/>
      <c r="DV701" s="117"/>
      <c r="DW701" s="117"/>
      <c r="DX701" s="364"/>
    </row>
    <row r="702" spans="1:128">
      <c r="A702" s="699"/>
      <c r="B702" s="93"/>
      <c r="C702" s="93"/>
      <c r="D702" s="93"/>
      <c r="E702" s="93"/>
      <c r="F702" s="160"/>
      <c r="G702" s="93"/>
      <c r="H702" s="93"/>
      <c r="I702" s="93"/>
      <c r="J702" s="93"/>
      <c r="K702" s="160"/>
      <c r="L702" s="93"/>
      <c r="M702" s="93"/>
      <c r="N702" s="93"/>
      <c r="O702" s="93"/>
      <c r="P702" s="79"/>
      <c r="Q702" s="93"/>
      <c r="R702" s="93"/>
      <c r="S702" s="93"/>
      <c r="T702" s="93"/>
      <c r="U702" s="160"/>
      <c r="V702" s="93"/>
      <c r="W702" s="93"/>
      <c r="X702" s="93"/>
      <c r="Y702" s="160"/>
      <c r="Z702" s="160"/>
      <c r="AA702" s="93"/>
      <c r="AB702" s="92"/>
      <c r="AC702" s="93"/>
      <c r="AD702" s="93"/>
      <c r="AE702" s="93"/>
      <c r="AF702" s="51"/>
      <c r="AG702" s="114"/>
      <c r="AH702" s="51"/>
      <c r="AI702" s="51"/>
      <c r="AJ702" s="51"/>
      <c r="AK702" s="51"/>
      <c r="AL702" s="51"/>
      <c r="AM702" s="160"/>
      <c r="AN702" s="160"/>
      <c r="AO702" s="51"/>
      <c r="AP702" s="93"/>
      <c r="AQ702" s="93"/>
      <c r="AR702" s="93"/>
      <c r="AS702" s="93"/>
      <c r="AT702" s="51"/>
      <c r="AU702" s="51"/>
      <c r="AV702" s="82"/>
      <c r="AW702" s="93"/>
      <c r="AX702" s="93"/>
      <c r="AY702" s="93"/>
      <c r="AZ702" s="93"/>
      <c r="BA702" s="160"/>
      <c r="BB702" s="160"/>
      <c r="BC702" s="206"/>
      <c r="BD702" s="93"/>
      <c r="BE702" s="93"/>
      <c r="BF702" s="160"/>
      <c r="BG702" s="93"/>
      <c r="BH702" s="93"/>
      <c r="BI702" s="93"/>
      <c r="BJ702" s="93"/>
      <c r="BK702" s="93"/>
      <c r="BL702" s="93"/>
      <c r="BM702" s="112"/>
      <c r="BN702" s="92"/>
      <c r="BO702" s="92"/>
      <c r="BP702" s="93"/>
      <c r="BQ702" s="93"/>
      <c r="BR702" s="160"/>
      <c r="BS702" s="93"/>
      <c r="BT702" s="93"/>
      <c r="BU702" s="93"/>
      <c r="BV702" s="93"/>
      <c r="BW702" s="160"/>
      <c r="BX702" s="93"/>
      <c r="BY702" s="93"/>
      <c r="BZ702" s="92"/>
      <c r="CA702" s="92"/>
      <c r="CB702" s="364"/>
      <c r="CC702" s="117"/>
      <c r="CD702" s="117"/>
      <c r="CE702" s="117"/>
      <c r="CF702" s="117"/>
      <c r="CG702" s="117"/>
      <c r="CH702" s="117"/>
      <c r="CI702" s="150"/>
      <c r="CJ702" s="117"/>
      <c r="CK702" s="117"/>
      <c r="CL702" s="878"/>
      <c r="CM702" s="150"/>
      <c r="CN702" s="150"/>
      <c r="CO702" s="117"/>
      <c r="CP702" s="117"/>
      <c r="CQ702" s="117"/>
      <c r="CR702" s="364"/>
      <c r="CS702" s="361"/>
      <c r="CT702" s="70"/>
      <c r="CU702" s="70"/>
      <c r="CV702" s="117"/>
      <c r="CW702" s="117"/>
      <c r="CX702" s="117"/>
      <c r="CY702" s="117"/>
      <c r="CZ702" s="70"/>
      <c r="DA702" s="150"/>
      <c r="DB702" s="150"/>
      <c r="DC702" s="70"/>
      <c r="DD702" s="70"/>
      <c r="DE702" s="70"/>
      <c r="DF702" s="70"/>
      <c r="DG702" s="70"/>
      <c r="DH702" s="362"/>
      <c r="DI702" s="361"/>
      <c r="DJ702" s="117"/>
      <c r="DK702" s="117"/>
      <c r="DL702" s="117"/>
      <c r="DM702" s="117"/>
      <c r="DN702" s="117"/>
      <c r="DO702" s="150"/>
      <c r="DP702" s="150"/>
      <c r="DQ702" s="117"/>
      <c r="DR702" s="117"/>
      <c r="DS702" s="117"/>
      <c r="DT702" s="150"/>
      <c r="DU702" s="117"/>
      <c r="DV702" s="117"/>
      <c r="DW702" s="117"/>
      <c r="DX702" s="364"/>
    </row>
    <row r="703" spans="1:128">
      <c r="A703" s="699"/>
      <c r="B703" s="93"/>
      <c r="C703" s="93"/>
      <c r="D703" s="93"/>
      <c r="E703" s="93"/>
      <c r="F703" s="93"/>
      <c r="G703" s="93"/>
      <c r="H703" s="93"/>
      <c r="I703" s="93"/>
      <c r="J703" s="93"/>
      <c r="K703" s="93"/>
      <c r="L703" s="93"/>
      <c r="M703" s="93"/>
      <c r="N703" s="93"/>
      <c r="O703" s="93"/>
      <c r="P703" s="79"/>
      <c r="Q703" s="93"/>
      <c r="R703" s="93"/>
      <c r="S703" s="93"/>
      <c r="T703" s="93"/>
      <c r="U703" s="93"/>
      <c r="V703" s="93"/>
      <c r="W703" s="93"/>
      <c r="X703" s="93"/>
      <c r="Y703" s="160"/>
      <c r="Z703" s="93"/>
      <c r="AA703" s="51"/>
      <c r="AB703" s="92"/>
      <c r="AC703" s="51"/>
      <c r="AD703" s="51"/>
      <c r="AE703" s="51"/>
      <c r="AF703" s="51"/>
      <c r="AG703" s="114"/>
      <c r="AH703" s="51"/>
      <c r="AI703" s="51"/>
      <c r="AJ703" s="51"/>
      <c r="AK703" s="51"/>
      <c r="AL703" s="51"/>
      <c r="AM703" s="160"/>
      <c r="AN703" s="93"/>
      <c r="AO703" s="51"/>
      <c r="AP703" s="93"/>
      <c r="AQ703" s="93"/>
      <c r="AR703" s="93"/>
      <c r="AS703" s="93"/>
      <c r="AT703" s="51"/>
      <c r="AU703" s="51"/>
      <c r="AV703" s="82"/>
      <c r="AW703" s="93"/>
      <c r="AX703" s="93"/>
      <c r="AY703" s="93"/>
      <c r="AZ703" s="93"/>
      <c r="BA703" s="160"/>
      <c r="BB703" s="160"/>
      <c r="BC703" s="51"/>
      <c r="BD703" s="93"/>
      <c r="BE703" s="93"/>
      <c r="BF703" s="93"/>
      <c r="BG703" s="93"/>
      <c r="BH703" s="93"/>
      <c r="BI703" s="93"/>
      <c r="BJ703" s="93"/>
      <c r="BK703" s="93"/>
      <c r="BL703" s="93"/>
      <c r="BM703" s="112"/>
      <c r="BN703" s="92"/>
      <c r="BO703" s="92"/>
      <c r="BP703" s="93"/>
      <c r="BQ703" s="93"/>
      <c r="BR703" s="93"/>
      <c r="BS703" s="93"/>
      <c r="BT703" s="93"/>
      <c r="BU703" s="93"/>
      <c r="BV703" s="93"/>
      <c r="BW703" s="93"/>
      <c r="BX703" s="93"/>
      <c r="BY703" s="93"/>
      <c r="BZ703" s="92"/>
      <c r="CA703" s="92"/>
      <c r="CB703" s="364"/>
      <c r="CC703" s="117"/>
      <c r="CD703" s="117"/>
      <c r="CE703" s="117"/>
      <c r="CF703" s="117"/>
      <c r="CG703" s="117"/>
      <c r="CH703" s="117"/>
      <c r="CI703" s="117"/>
      <c r="CJ703" s="117"/>
      <c r="CK703" s="117"/>
      <c r="CL703" s="70"/>
      <c r="CM703" s="150"/>
      <c r="CN703" s="150"/>
      <c r="CO703" s="117"/>
      <c r="CP703" s="117"/>
      <c r="CQ703" s="117"/>
      <c r="CR703" s="364"/>
      <c r="CS703" s="361"/>
      <c r="CT703" s="70"/>
      <c r="CU703" s="70"/>
      <c r="CV703" s="117"/>
      <c r="CW703" s="117"/>
      <c r="CX703" s="117"/>
      <c r="CY703" s="117"/>
      <c r="CZ703" s="70"/>
      <c r="DA703" s="117"/>
      <c r="DB703" s="150"/>
      <c r="DC703" s="70"/>
      <c r="DD703" s="70"/>
      <c r="DE703" s="70"/>
      <c r="DF703" s="70"/>
      <c r="DG703" s="70"/>
      <c r="DH703" s="362"/>
      <c r="DI703" s="361"/>
      <c r="DJ703" s="70"/>
      <c r="DK703" s="70"/>
      <c r="DL703" s="70"/>
      <c r="DM703" s="117"/>
      <c r="DN703" s="70"/>
      <c r="DO703" s="117"/>
      <c r="DP703" s="150"/>
      <c r="DQ703" s="117"/>
      <c r="DR703" s="117"/>
      <c r="DS703" s="117"/>
      <c r="DT703" s="117"/>
      <c r="DU703" s="117"/>
      <c r="DV703" s="117"/>
      <c r="DW703" s="117"/>
      <c r="DX703" s="364"/>
    </row>
    <row r="704" spans="1:128">
      <c r="A704" s="700"/>
      <c r="B704" s="73"/>
      <c r="C704" s="73"/>
      <c r="D704" s="73"/>
      <c r="E704" s="73"/>
      <c r="F704" s="73"/>
      <c r="G704" s="73"/>
      <c r="H704" s="73"/>
      <c r="I704" s="73"/>
      <c r="J704" s="73"/>
      <c r="K704" s="73"/>
      <c r="L704" s="73"/>
      <c r="M704" s="73"/>
      <c r="N704" s="73"/>
      <c r="O704" s="73"/>
      <c r="P704" s="701"/>
      <c r="Q704" s="93"/>
      <c r="R704" s="93"/>
      <c r="S704" s="93"/>
      <c r="T704" s="93"/>
      <c r="U704" s="93"/>
      <c r="V704" s="93"/>
      <c r="W704" s="93"/>
      <c r="X704" s="93"/>
      <c r="Y704" s="93"/>
      <c r="Z704" s="93"/>
      <c r="AA704" s="51"/>
      <c r="AB704" s="51"/>
      <c r="AC704" s="93"/>
      <c r="AD704" s="93"/>
      <c r="AE704" s="93"/>
      <c r="AF704" s="93"/>
      <c r="AG704" s="114"/>
      <c r="AH704" s="51"/>
      <c r="AI704" s="51"/>
      <c r="AJ704" s="51"/>
      <c r="AK704" s="51"/>
      <c r="AL704" s="51"/>
      <c r="AM704" s="51"/>
      <c r="AN704" s="51"/>
      <c r="AO704" s="51"/>
      <c r="AP704" s="93"/>
      <c r="AQ704" s="93"/>
      <c r="AR704" s="93"/>
      <c r="AS704" s="93"/>
      <c r="AT704" s="51"/>
      <c r="AU704" s="51"/>
      <c r="AV704" s="82"/>
      <c r="AW704" s="93"/>
      <c r="AX704" s="93"/>
      <c r="AY704" s="93"/>
      <c r="AZ704" s="51"/>
      <c r="BA704" s="93"/>
      <c r="BB704" s="93"/>
      <c r="BC704" s="93"/>
      <c r="BD704" s="93"/>
      <c r="BE704" s="93"/>
      <c r="BF704" s="93"/>
      <c r="BG704" s="93"/>
      <c r="BH704" s="93"/>
      <c r="BI704" s="93"/>
      <c r="BJ704" s="92"/>
      <c r="BK704" s="92"/>
      <c r="BL704" s="92"/>
      <c r="BM704" s="699"/>
      <c r="BN704" s="93"/>
      <c r="BO704" s="92"/>
      <c r="BP704" s="93"/>
      <c r="BQ704" s="93"/>
      <c r="BR704" s="93"/>
      <c r="BS704" s="93"/>
      <c r="BT704" s="93"/>
      <c r="BU704" s="93"/>
      <c r="BV704" s="93"/>
      <c r="BW704" s="93"/>
      <c r="BX704" s="93"/>
      <c r="BY704" s="93"/>
      <c r="BZ704" s="93"/>
      <c r="CA704" s="93"/>
      <c r="CB704" s="79"/>
      <c r="CC704" s="972"/>
      <c r="CD704" s="972"/>
      <c r="CE704" s="972"/>
      <c r="CF704" s="972"/>
      <c r="CG704" s="972"/>
      <c r="CH704" s="972"/>
      <c r="CI704" s="972"/>
      <c r="CJ704" s="972"/>
      <c r="CK704" s="972"/>
      <c r="CL704" s="972"/>
      <c r="CM704" s="972"/>
      <c r="CN704" s="972"/>
      <c r="CO704" s="973"/>
      <c r="CP704" s="972"/>
      <c r="CQ704" s="972"/>
      <c r="CR704" s="975"/>
      <c r="CS704" s="976"/>
      <c r="CT704" s="973"/>
      <c r="CU704" s="973"/>
      <c r="CV704" s="972"/>
      <c r="CW704" s="972"/>
      <c r="CX704" s="972"/>
      <c r="CY704" s="972"/>
      <c r="CZ704" s="973"/>
      <c r="DA704" s="973"/>
      <c r="DB704" s="973"/>
      <c r="DC704" s="973"/>
      <c r="DD704" s="973"/>
      <c r="DE704" s="973"/>
      <c r="DF704" s="973"/>
      <c r="DG704" s="973"/>
      <c r="DH704" s="977"/>
      <c r="DI704" s="978"/>
      <c r="DJ704" s="972"/>
      <c r="DK704" s="972"/>
      <c r="DL704" s="972"/>
      <c r="DM704" s="973"/>
      <c r="DN704" s="973"/>
      <c r="DO704" s="972"/>
      <c r="DP704" s="972"/>
      <c r="DQ704" s="972"/>
      <c r="DR704" s="972"/>
      <c r="DS704" s="972"/>
      <c r="DT704" s="972"/>
      <c r="DU704" s="972"/>
      <c r="DV704" s="972"/>
      <c r="DW704" s="972"/>
      <c r="DX704" s="975"/>
    </row>
    <row r="705" spans="1:128">
      <c r="A705" s="699"/>
      <c r="B705" s="93" t="s">
        <v>763</v>
      </c>
      <c r="C705" s="93"/>
      <c r="D705" s="93"/>
      <c r="E705" s="93"/>
      <c r="F705" s="93"/>
      <c r="G705" s="93"/>
      <c r="H705" s="93"/>
      <c r="I705" s="93"/>
      <c r="J705" s="93"/>
      <c r="K705" s="93"/>
      <c r="L705" s="93"/>
      <c r="M705" s="93"/>
      <c r="N705" s="93"/>
      <c r="O705" s="93"/>
      <c r="P705" s="79"/>
      <c r="Q705" s="711"/>
      <c r="R705" s="711"/>
      <c r="S705" s="711"/>
      <c r="T705" s="711"/>
      <c r="U705" s="711"/>
      <c r="V705" s="711"/>
      <c r="W705" s="711"/>
      <c r="X705" s="711"/>
      <c r="Y705" s="711"/>
      <c r="Z705" s="711"/>
      <c r="AA705" s="711"/>
      <c r="AB705" s="711"/>
      <c r="AC705" s="711"/>
      <c r="AD705" s="711"/>
      <c r="AE705" s="711"/>
      <c r="AF705" s="711"/>
      <c r="AG705" s="108"/>
      <c r="AH705" s="109"/>
      <c r="AI705" s="109"/>
      <c r="AJ705" s="109"/>
      <c r="AK705" s="110"/>
      <c r="AL705" s="110"/>
      <c r="AM705" s="109"/>
      <c r="AN705" s="109"/>
      <c r="AO705" s="711"/>
      <c r="AP705" s="711"/>
      <c r="AQ705" s="711"/>
      <c r="AR705" s="711"/>
      <c r="AS705" s="711"/>
      <c r="AT705" s="711"/>
      <c r="AU705" s="711"/>
      <c r="AV705" s="711"/>
      <c r="AW705" s="753"/>
      <c r="AX705" s="711"/>
      <c r="AY705" s="711"/>
      <c r="AZ705" s="711"/>
      <c r="BA705" s="711"/>
      <c r="BB705" s="711"/>
      <c r="BC705" s="711"/>
      <c r="BD705" s="711"/>
      <c r="BE705" s="711"/>
      <c r="BF705" s="711"/>
      <c r="BG705" s="711"/>
      <c r="BH705" s="711"/>
      <c r="BI705" s="711"/>
      <c r="BJ705" s="711"/>
      <c r="BK705" s="711"/>
      <c r="BL705" s="711"/>
      <c r="BM705" s="979"/>
      <c r="BN705" s="711"/>
      <c r="BO705" s="711"/>
      <c r="BP705" s="711"/>
      <c r="BQ705" s="711"/>
      <c r="BR705" s="711"/>
      <c r="BS705" s="711"/>
      <c r="BT705" s="711"/>
      <c r="BU705" s="711"/>
      <c r="BV705" s="711"/>
      <c r="BW705" s="711"/>
      <c r="BX705" s="711"/>
      <c r="BY705" s="711"/>
      <c r="BZ705" s="711"/>
      <c r="CA705" s="711"/>
      <c r="CB705" s="980"/>
      <c r="CC705" s="981"/>
      <c r="CD705" s="981"/>
      <c r="CE705" s="981"/>
      <c r="CF705" s="981"/>
      <c r="CG705" s="981"/>
      <c r="CH705" s="981"/>
      <c r="CI705" s="981"/>
      <c r="CJ705" s="981"/>
      <c r="CK705" s="981"/>
      <c r="CL705" s="981"/>
      <c r="CM705" s="981"/>
      <c r="CN705" s="981"/>
      <c r="CO705" s="981"/>
      <c r="CP705" s="981"/>
      <c r="CQ705" s="981"/>
      <c r="CR705" s="982"/>
      <c r="CS705" s="983"/>
      <c r="CT705" s="981"/>
      <c r="CU705" s="981"/>
      <c r="CV705" s="981"/>
      <c r="CW705" s="981"/>
      <c r="CX705" s="981"/>
      <c r="CY705" s="981"/>
      <c r="CZ705" s="981"/>
      <c r="DA705" s="984"/>
      <c r="DB705" s="984"/>
      <c r="DC705" s="981"/>
      <c r="DD705" s="981"/>
      <c r="DE705" s="984"/>
      <c r="DF705" s="984"/>
      <c r="DG705" s="984"/>
      <c r="DH705" s="985"/>
      <c r="DI705" s="983"/>
      <c r="DJ705" s="981"/>
      <c r="DK705" s="981"/>
      <c r="DL705" s="981"/>
      <c r="DM705" s="981"/>
      <c r="DN705" s="981"/>
      <c r="DO705" s="981"/>
      <c r="DP705" s="981"/>
      <c r="DQ705" s="981"/>
      <c r="DR705" s="981"/>
      <c r="DS705" s="981"/>
      <c r="DT705" s="981"/>
      <c r="DU705" s="981"/>
      <c r="DV705" s="981"/>
      <c r="DW705" s="981"/>
      <c r="DX705" s="982"/>
    </row>
    <row r="706" spans="1:128">
      <c r="A706" s="699"/>
      <c r="B706" s="93"/>
      <c r="C706" s="93"/>
      <c r="D706" s="93"/>
      <c r="E706" s="93"/>
      <c r="F706" s="93"/>
      <c r="G706" s="93"/>
      <c r="H706" s="93"/>
      <c r="I706" s="93"/>
      <c r="J706" s="93"/>
      <c r="K706" s="93"/>
      <c r="L706" s="93"/>
      <c r="M706" s="93"/>
      <c r="N706" s="93"/>
      <c r="O706" s="93"/>
      <c r="P706" s="79"/>
      <c r="Q706" s="93"/>
      <c r="R706" s="93"/>
      <c r="S706" s="93"/>
      <c r="T706" s="93"/>
      <c r="U706" s="93"/>
      <c r="V706" s="93"/>
      <c r="W706" s="93"/>
      <c r="X706" s="93"/>
      <c r="Y706" s="93"/>
      <c r="Z706" s="93"/>
      <c r="AA706" s="93"/>
      <c r="AB706" s="93"/>
      <c r="AC706" s="93"/>
      <c r="AD706" s="93"/>
      <c r="AE706" s="93"/>
      <c r="AF706" s="93"/>
      <c r="AG706" s="114"/>
      <c r="AH706" s="51"/>
      <c r="AI706" s="51"/>
      <c r="AJ706" s="51"/>
      <c r="AK706" s="92"/>
      <c r="AL706" s="92"/>
      <c r="AM706" s="92"/>
      <c r="AN706" s="51"/>
      <c r="AO706" s="51"/>
      <c r="AP706" s="93"/>
      <c r="AQ706" s="93"/>
      <c r="AR706" s="93"/>
      <c r="AS706" s="93"/>
      <c r="AT706" s="93"/>
      <c r="AU706" s="93"/>
      <c r="AV706" s="93"/>
      <c r="AW706" s="699"/>
      <c r="AX706" s="93"/>
      <c r="AY706" s="93"/>
      <c r="AZ706" s="93"/>
      <c r="BA706" s="93"/>
      <c r="BB706" s="93"/>
      <c r="BC706" s="93"/>
      <c r="BD706" s="93"/>
      <c r="BE706" s="93"/>
      <c r="BF706" s="93"/>
      <c r="BG706" s="93"/>
      <c r="BH706" s="93"/>
      <c r="BI706" s="93"/>
      <c r="BJ706" s="93"/>
      <c r="BK706" s="93"/>
      <c r="BL706" s="93"/>
      <c r="BM706" s="112"/>
      <c r="BN706" s="93"/>
      <c r="BO706" s="93"/>
      <c r="BP706" s="93"/>
      <c r="BQ706" s="93"/>
      <c r="BR706" s="93"/>
      <c r="BS706" s="93"/>
      <c r="BT706" s="93"/>
      <c r="BU706" s="93"/>
      <c r="BV706" s="93"/>
      <c r="BW706" s="93"/>
      <c r="BX706" s="93"/>
      <c r="BY706" s="93"/>
      <c r="BZ706" s="93"/>
      <c r="CA706" s="93"/>
      <c r="CB706" s="113"/>
      <c r="CC706" s="117"/>
      <c r="CD706" s="117"/>
      <c r="CE706" s="117"/>
      <c r="CF706" s="117"/>
      <c r="CG706" s="117"/>
      <c r="CH706" s="117"/>
      <c r="CI706" s="117"/>
      <c r="CJ706" s="117"/>
      <c r="CK706" s="117"/>
      <c r="CL706" s="117"/>
      <c r="CM706" s="117"/>
      <c r="CN706" s="117"/>
      <c r="CO706" s="117"/>
      <c r="CP706" s="117"/>
      <c r="CQ706" s="117"/>
      <c r="CR706" s="364"/>
      <c r="CS706" s="363"/>
      <c r="CT706" s="117"/>
      <c r="CU706" s="117"/>
      <c r="CV706" s="117"/>
      <c r="CW706" s="117"/>
      <c r="CX706" s="117"/>
      <c r="CY706" s="117"/>
      <c r="CZ706" s="70"/>
      <c r="DA706" s="70"/>
      <c r="DB706" s="117"/>
      <c r="DC706" s="117"/>
      <c r="DD706" s="117"/>
      <c r="DE706" s="70"/>
      <c r="DF706" s="70"/>
      <c r="DG706" s="70"/>
      <c r="DH706" s="362"/>
      <c r="DI706" s="363"/>
      <c r="DJ706" s="117"/>
      <c r="DK706" s="117"/>
      <c r="DL706" s="117"/>
      <c r="DM706" s="117"/>
      <c r="DN706" s="117"/>
      <c r="DO706" s="117"/>
      <c r="DP706" s="117"/>
      <c r="DQ706" s="117"/>
      <c r="DR706" s="117"/>
      <c r="DS706" s="117"/>
      <c r="DT706" s="117"/>
      <c r="DU706" s="117"/>
      <c r="DV706" s="117"/>
      <c r="DW706" s="117"/>
      <c r="DX706" s="364"/>
    </row>
    <row r="707" spans="1:128">
      <c r="A707" s="699"/>
      <c r="B707" s="93"/>
      <c r="C707" s="93"/>
      <c r="D707" s="93"/>
      <c r="E707" s="93"/>
      <c r="F707" s="93"/>
      <c r="G707" s="93"/>
      <c r="H707" s="93"/>
      <c r="I707" s="93"/>
      <c r="J707" s="93"/>
      <c r="K707" s="93"/>
      <c r="L707" s="93"/>
      <c r="M707" s="93"/>
      <c r="N707" s="93"/>
      <c r="O707" s="93"/>
      <c r="P707" s="79"/>
      <c r="Q707" s="93"/>
      <c r="R707" s="93"/>
      <c r="S707" s="93"/>
      <c r="T707" s="93"/>
      <c r="U707" s="93"/>
      <c r="V707" s="93"/>
      <c r="W707" s="93"/>
      <c r="X707" s="93"/>
      <c r="Y707" s="93"/>
      <c r="Z707" s="93"/>
      <c r="AA707" s="93"/>
      <c r="AB707" s="93"/>
      <c r="AC707" s="93"/>
      <c r="AD707" s="93"/>
      <c r="AE707" s="93"/>
      <c r="AF707" s="93"/>
      <c r="AG707" s="114"/>
      <c r="AH707" s="51"/>
      <c r="AI707" s="51"/>
      <c r="AJ707" s="51"/>
      <c r="AK707" s="93"/>
      <c r="AL707" s="93"/>
      <c r="AM707" s="93"/>
      <c r="AN707" s="93"/>
      <c r="AO707" s="93"/>
      <c r="AP707" s="93"/>
      <c r="AQ707" s="93"/>
      <c r="AR707" s="93"/>
      <c r="AS707" s="93"/>
      <c r="AT707" s="93"/>
      <c r="AU707" s="93"/>
      <c r="AV707" s="93"/>
      <c r="AW707" s="699"/>
      <c r="AX707" s="93"/>
      <c r="AY707" s="93"/>
      <c r="AZ707" s="93"/>
      <c r="BA707" s="93"/>
      <c r="BB707" s="93"/>
      <c r="BC707" s="93"/>
      <c r="BD707" s="93"/>
      <c r="BE707" s="93"/>
      <c r="BF707" s="93"/>
      <c r="BG707" s="93"/>
      <c r="BH707" s="93"/>
      <c r="BI707" s="93"/>
      <c r="BJ707" s="93"/>
      <c r="BK707" s="93"/>
      <c r="BL707" s="93"/>
      <c r="BM707" s="699"/>
      <c r="BN707" s="93"/>
      <c r="BO707" s="93"/>
      <c r="BP707" s="93"/>
      <c r="BQ707" s="93"/>
      <c r="BR707" s="93"/>
      <c r="BS707" s="93"/>
      <c r="BT707" s="93"/>
      <c r="BU707" s="93"/>
      <c r="BV707" s="93"/>
      <c r="BW707" s="93"/>
      <c r="BX707" s="93"/>
      <c r="BY707" s="93"/>
      <c r="BZ707" s="93"/>
      <c r="CA707" s="93"/>
      <c r="CB707" s="113"/>
      <c r="CC707" s="117"/>
      <c r="CD707" s="117"/>
      <c r="CE707" s="117"/>
      <c r="CF707" s="117"/>
      <c r="CG707" s="117"/>
      <c r="CH707" s="117"/>
      <c r="CI707" s="117"/>
      <c r="CJ707" s="117"/>
      <c r="CK707" s="117"/>
      <c r="CL707" s="117"/>
      <c r="CM707" s="117"/>
      <c r="CN707" s="117"/>
      <c r="CO707" s="117"/>
      <c r="CP707" s="117"/>
      <c r="CQ707" s="117"/>
      <c r="CR707" s="364"/>
      <c r="CS707" s="363"/>
      <c r="CT707" s="117"/>
      <c r="CU707" s="117"/>
      <c r="CV707" s="117"/>
      <c r="CW707" s="117"/>
      <c r="CX707" s="117"/>
      <c r="CY707" s="117"/>
      <c r="CZ707" s="117"/>
      <c r="DA707" s="117"/>
      <c r="DB707" s="117"/>
      <c r="DC707" s="117"/>
      <c r="DD707" s="117"/>
      <c r="DE707" s="70"/>
      <c r="DF707" s="70"/>
      <c r="DG707" s="70"/>
      <c r="DH707" s="362"/>
      <c r="DI707" s="363"/>
      <c r="DJ707" s="117"/>
      <c r="DK707" s="117"/>
      <c r="DL707" s="117"/>
      <c r="DM707" s="117"/>
      <c r="DN707" s="117"/>
      <c r="DO707" s="117"/>
      <c r="DP707" s="117"/>
      <c r="DQ707" s="117"/>
      <c r="DR707" s="117"/>
      <c r="DS707" s="117"/>
      <c r="DT707" s="117"/>
      <c r="DU707" s="117"/>
      <c r="DV707" s="117"/>
      <c r="DW707" s="117"/>
      <c r="DX707" s="364"/>
    </row>
    <row r="708" spans="1:128">
      <c r="A708" s="699"/>
      <c r="B708" s="93"/>
      <c r="C708" s="93"/>
      <c r="D708" s="93"/>
      <c r="E708" s="93"/>
      <c r="F708" s="93"/>
      <c r="G708" s="93"/>
      <c r="H708" s="93"/>
      <c r="I708" s="93"/>
      <c r="J708" s="93"/>
      <c r="K708" s="93"/>
      <c r="L708" s="93"/>
      <c r="M708" s="93"/>
      <c r="N708" s="93"/>
      <c r="O708" s="93"/>
      <c r="P708" s="79"/>
      <c r="Q708" s="93"/>
      <c r="R708" s="93"/>
      <c r="S708" s="93"/>
      <c r="T708" s="93"/>
      <c r="U708" s="93"/>
      <c r="V708" s="93"/>
      <c r="W708" s="93"/>
      <c r="X708" s="93"/>
      <c r="Y708" s="93"/>
      <c r="Z708" s="93"/>
      <c r="AA708" s="93"/>
      <c r="AB708" s="93"/>
      <c r="AC708" s="93"/>
      <c r="AD708" s="93"/>
      <c r="AE708" s="93"/>
      <c r="AF708" s="93"/>
      <c r="AG708" s="114"/>
      <c r="AH708" s="51"/>
      <c r="AI708" s="51"/>
      <c r="AJ708" s="51"/>
      <c r="AK708" s="93"/>
      <c r="AL708" s="93"/>
      <c r="AM708" s="93"/>
      <c r="AN708" s="93"/>
      <c r="AO708" s="93"/>
      <c r="AP708" s="93"/>
      <c r="AQ708" s="93"/>
      <c r="AR708" s="93"/>
      <c r="AS708" s="93"/>
      <c r="AT708" s="93"/>
      <c r="AU708" s="93"/>
      <c r="AV708" s="93"/>
      <c r="AW708" s="699"/>
      <c r="AX708" s="93"/>
      <c r="AY708" s="93"/>
      <c r="AZ708" s="93"/>
      <c r="BA708" s="93"/>
      <c r="BB708" s="93"/>
      <c r="BC708" s="93"/>
      <c r="BD708" s="93"/>
      <c r="BE708" s="93"/>
      <c r="BF708" s="93"/>
      <c r="BG708" s="93"/>
      <c r="BH708" s="93"/>
      <c r="BI708" s="93"/>
      <c r="BJ708" s="93"/>
      <c r="BK708" s="93"/>
      <c r="BL708" s="93"/>
      <c r="BM708" s="112"/>
      <c r="BN708" s="93"/>
      <c r="BO708" s="93"/>
      <c r="BP708" s="93"/>
      <c r="BQ708" s="93"/>
      <c r="BR708" s="93"/>
      <c r="BS708" s="93"/>
      <c r="BT708" s="93"/>
      <c r="BU708" s="93"/>
      <c r="BV708" s="93"/>
      <c r="BW708" s="93"/>
      <c r="BX708" s="93"/>
      <c r="BY708" s="93"/>
      <c r="BZ708" s="93"/>
      <c r="CA708" s="93"/>
      <c r="CB708" s="113"/>
      <c r="CC708" s="117"/>
      <c r="CD708" s="117"/>
      <c r="CE708" s="117"/>
      <c r="CF708" s="117"/>
      <c r="CG708" s="117"/>
      <c r="CH708" s="117"/>
      <c r="CI708" s="117"/>
      <c r="CJ708" s="117"/>
      <c r="CK708" s="117"/>
      <c r="CL708" s="117"/>
      <c r="CM708" s="117"/>
      <c r="CN708" s="117"/>
      <c r="CO708" s="117"/>
      <c r="CP708" s="117"/>
      <c r="CQ708" s="117"/>
      <c r="CR708" s="364"/>
      <c r="CS708" s="363"/>
      <c r="CT708" s="117"/>
      <c r="CU708" s="117"/>
      <c r="CV708" s="117"/>
      <c r="CW708" s="117"/>
      <c r="CX708" s="117"/>
      <c r="CY708" s="117"/>
      <c r="CZ708" s="117"/>
      <c r="DA708" s="117"/>
      <c r="DB708" s="117"/>
      <c r="DC708" s="117"/>
      <c r="DD708" s="117"/>
      <c r="DE708" s="70"/>
      <c r="DF708" s="70"/>
      <c r="DG708" s="70"/>
      <c r="DH708" s="362"/>
      <c r="DI708" s="363"/>
      <c r="DJ708" s="117"/>
      <c r="DK708" s="117"/>
      <c r="DL708" s="117"/>
      <c r="DM708" s="117"/>
      <c r="DN708" s="117"/>
      <c r="DO708" s="117"/>
      <c r="DP708" s="117"/>
      <c r="DQ708" s="117"/>
      <c r="DR708" s="117"/>
      <c r="DS708" s="117"/>
      <c r="DT708" s="117"/>
      <c r="DU708" s="117"/>
      <c r="DV708" s="117"/>
      <c r="DW708" s="117"/>
      <c r="DX708" s="364"/>
    </row>
    <row r="709" spans="1:128">
      <c r="A709" s="699"/>
      <c r="B709" s="93"/>
      <c r="C709" s="93"/>
      <c r="D709" s="93"/>
      <c r="E709" s="93"/>
      <c r="F709" s="93"/>
      <c r="G709" s="93"/>
      <c r="H709" s="93"/>
      <c r="I709" s="93"/>
      <c r="J709" s="93"/>
      <c r="K709" s="93"/>
      <c r="L709" s="93"/>
      <c r="M709" s="93"/>
      <c r="N709" s="93"/>
      <c r="O709" s="93"/>
      <c r="P709" s="79"/>
      <c r="Q709" s="93"/>
      <c r="R709" s="93"/>
      <c r="S709" s="93"/>
      <c r="T709" s="93"/>
      <c r="U709" s="93"/>
      <c r="V709" s="93"/>
      <c r="W709" s="93"/>
      <c r="X709" s="93"/>
      <c r="Y709" s="93"/>
      <c r="Z709" s="93"/>
      <c r="AA709" s="93"/>
      <c r="AB709" s="93"/>
      <c r="AC709" s="93"/>
      <c r="AD709" s="93"/>
      <c r="AE709" s="93"/>
      <c r="AF709" s="93"/>
      <c r="AG709" s="114"/>
      <c r="AH709" s="51"/>
      <c r="AI709" s="51"/>
      <c r="AJ709" s="51"/>
      <c r="AK709" s="92"/>
      <c r="AL709" s="92"/>
      <c r="AM709" s="51"/>
      <c r="AN709" s="51"/>
      <c r="AO709" s="93"/>
      <c r="AP709" s="93"/>
      <c r="AQ709" s="93"/>
      <c r="AR709" s="93"/>
      <c r="AS709" s="93"/>
      <c r="AT709" s="93"/>
      <c r="AU709" s="93"/>
      <c r="AV709" s="93"/>
      <c r="AW709" s="699"/>
      <c r="AX709" s="93"/>
      <c r="AY709" s="93"/>
      <c r="AZ709" s="93"/>
      <c r="BA709" s="93"/>
      <c r="BB709" s="93"/>
      <c r="BC709" s="93"/>
      <c r="BD709" s="93"/>
      <c r="BE709" s="93"/>
      <c r="BF709" s="93"/>
      <c r="BG709" s="93"/>
      <c r="BH709" s="93"/>
      <c r="BI709" s="93"/>
      <c r="BJ709" s="93"/>
      <c r="BK709" s="93"/>
      <c r="BL709" s="93"/>
      <c r="BM709" s="112"/>
      <c r="BN709" s="93"/>
      <c r="BO709" s="93"/>
      <c r="BP709" s="93"/>
      <c r="BQ709" s="93"/>
      <c r="BR709" s="93"/>
      <c r="BS709" s="93"/>
      <c r="BT709" s="93"/>
      <c r="BU709" s="93"/>
      <c r="BV709" s="93"/>
      <c r="BW709" s="93"/>
      <c r="BX709" s="93"/>
      <c r="BY709" s="93"/>
      <c r="BZ709" s="93"/>
      <c r="CA709" s="93"/>
      <c r="CB709" s="113"/>
      <c r="CC709" s="117"/>
      <c r="CD709" s="117"/>
      <c r="CE709" s="117"/>
      <c r="CF709" s="117"/>
      <c r="CG709" s="117"/>
      <c r="CH709" s="117"/>
      <c r="CI709" s="117"/>
      <c r="CJ709" s="117"/>
      <c r="CK709" s="117"/>
      <c r="CL709" s="117"/>
      <c r="CM709" s="117"/>
      <c r="CN709" s="117"/>
      <c r="CO709" s="117"/>
      <c r="CP709" s="117"/>
      <c r="CQ709" s="117"/>
      <c r="CR709" s="364"/>
      <c r="CS709" s="363"/>
      <c r="CT709" s="117"/>
      <c r="CU709" s="117"/>
      <c r="CV709" s="117"/>
      <c r="CW709" s="117"/>
      <c r="CX709" s="117"/>
      <c r="CY709" s="117"/>
      <c r="CZ709" s="117"/>
      <c r="DA709" s="70"/>
      <c r="DB709" s="70"/>
      <c r="DC709" s="117"/>
      <c r="DD709" s="117"/>
      <c r="DE709" s="70"/>
      <c r="DF709" s="70"/>
      <c r="DG709" s="70"/>
      <c r="DH709" s="362"/>
      <c r="DI709" s="363"/>
      <c r="DJ709" s="117"/>
      <c r="DK709" s="117"/>
      <c r="DL709" s="117"/>
      <c r="DM709" s="117"/>
      <c r="DN709" s="117"/>
      <c r="DO709" s="117"/>
      <c r="DP709" s="117"/>
      <c r="DQ709" s="117"/>
      <c r="DR709" s="117"/>
      <c r="DS709" s="117"/>
      <c r="DT709" s="117"/>
      <c r="DU709" s="117"/>
      <c r="DV709" s="117"/>
      <c r="DW709" s="117"/>
      <c r="DX709" s="364"/>
    </row>
    <row r="710" spans="1:128">
      <c r="A710" s="699"/>
      <c r="B710" s="93"/>
      <c r="C710" s="93"/>
      <c r="D710" s="93"/>
      <c r="E710" s="93"/>
      <c r="F710" s="93"/>
      <c r="G710" s="93"/>
      <c r="H710" s="93"/>
      <c r="I710" s="93"/>
      <c r="J710" s="93"/>
      <c r="K710" s="93"/>
      <c r="L710" s="93"/>
      <c r="M710" s="93"/>
      <c r="N710" s="93"/>
      <c r="O710" s="93"/>
      <c r="P710" s="79"/>
      <c r="Q710" s="93"/>
      <c r="R710" s="93"/>
      <c r="S710" s="93"/>
      <c r="T710" s="93"/>
      <c r="U710" s="93"/>
      <c r="V710" s="93"/>
      <c r="W710" s="93"/>
      <c r="X710" s="93"/>
      <c r="Y710" s="93"/>
      <c r="Z710" s="93"/>
      <c r="AA710" s="93"/>
      <c r="AB710" s="93"/>
      <c r="AC710" s="93"/>
      <c r="AD710" s="93"/>
      <c r="AE710" s="93"/>
      <c r="AF710" s="93"/>
      <c r="AG710" s="114"/>
      <c r="AH710" s="51"/>
      <c r="AI710" s="51"/>
      <c r="AJ710" s="51"/>
      <c r="AK710" s="92"/>
      <c r="AL710" s="92"/>
      <c r="AM710" s="92"/>
      <c r="AN710" s="51"/>
      <c r="AO710" s="51"/>
      <c r="AP710" s="93"/>
      <c r="AQ710" s="93"/>
      <c r="AR710" s="93"/>
      <c r="AS710" s="93"/>
      <c r="AT710" s="93"/>
      <c r="AU710" s="93"/>
      <c r="AV710" s="93"/>
      <c r="AW710" s="699"/>
      <c r="AX710" s="93"/>
      <c r="AY710" s="93"/>
      <c r="AZ710" s="93"/>
      <c r="BA710" s="93"/>
      <c r="BB710" s="93"/>
      <c r="BC710" s="93"/>
      <c r="BD710" s="93"/>
      <c r="BE710" s="93"/>
      <c r="BF710" s="93"/>
      <c r="BG710" s="93"/>
      <c r="BH710" s="93"/>
      <c r="BI710" s="93"/>
      <c r="BJ710" s="93"/>
      <c r="BK710" s="93"/>
      <c r="BL710" s="93"/>
      <c r="BM710" s="112"/>
      <c r="BN710" s="93"/>
      <c r="BO710" s="93"/>
      <c r="BP710" s="93"/>
      <c r="BQ710" s="93"/>
      <c r="BR710" s="93"/>
      <c r="BS710" s="93"/>
      <c r="BT710" s="93"/>
      <c r="BU710" s="93"/>
      <c r="BV710" s="93"/>
      <c r="BW710" s="93"/>
      <c r="BX710" s="93"/>
      <c r="BY710" s="93"/>
      <c r="BZ710" s="93"/>
      <c r="CA710" s="93"/>
      <c r="CB710" s="113"/>
      <c r="CC710" s="117"/>
      <c r="CD710" s="117"/>
      <c r="CE710" s="117"/>
      <c r="CF710" s="117"/>
      <c r="CG710" s="117"/>
      <c r="CH710" s="117"/>
      <c r="CI710" s="117"/>
      <c r="CJ710" s="117"/>
      <c r="CK710" s="117"/>
      <c r="CL710" s="117"/>
      <c r="CM710" s="117"/>
      <c r="CN710" s="117"/>
      <c r="CO710" s="117"/>
      <c r="CP710" s="117"/>
      <c r="CQ710" s="117"/>
      <c r="CR710" s="364"/>
      <c r="CS710" s="363"/>
      <c r="CT710" s="117"/>
      <c r="CU710" s="117"/>
      <c r="CV710" s="117"/>
      <c r="CW710" s="117"/>
      <c r="CX710" s="117"/>
      <c r="CY710" s="117"/>
      <c r="CZ710" s="70"/>
      <c r="DA710" s="70"/>
      <c r="DB710" s="117"/>
      <c r="DC710" s="117"/>
      <c r="DD710" s="117"/>
      <c r="DE710" s="70"/>
      <c r="DF710" s="70"/>
      <c r="DG710" s="70"/>
      <c r="DH710" s="362"/>
      <c r="DI710" s="363"/>
      <c r="DJ710" s="117"/>
      <c r="DK710" s="117"/>
      <c r="DL710" s="117"/>
      <c r="DM710" s="117"/>
      <c r="DN710" s="117"/>
      <c r="DO710" s="117"/>
      <c r="DP710" s="117"/>
      <c r="DQ710" s="117"/>
      <c r="DR710" s="117"/>
      <c r="DS710" s="117"/>
      <c r="DT710" s="117"/>
      <c r="DU710" s="117"/>
      <c r="DV710" s="117"/>
      <c r="DW710" s="117"/>
      <c r="DX710" s="364"/>
    </row>
    <row r="711" spans="1:128">
      <c r="A711" s="699"/>
      <c r="B711" s="93"/>
      <c r="C711" s="93"/>
      <c r="D711" s="93"/>
      <c r="E711" s="93"/>
      <c r="F711" s="93"/>
      <c r="G711" s="93"/>
      <c r="H711" s="93"/>
      <c r="I711" s="93"/>
      <c r="J711" s="93"/>
      <c r="K711" s="93"/>
      <c r="L711" s="93"/>
      <c r="M711" s="93"/>
      <c r="N711" s="93"/>
      <c r="O711" s="93"/>
      <c r="P711" s="79"/>
      <c r="Q711" s="93"/>
      <c r="R711" s="93"/>
      <c r="S711" s="93"/>
      <c r="T711" s="93"/>
      <c r="U711" s="93"/>
      <c r="V711" s="93"/>
      <c r="W711" s="93"/>
      <c r="X711" s="93"/>
      <c r="Y711" s="93"/>
      <c r="Z711" s="93"/>
      <c r="AA711" s="93"/>
      <c r="AB711" s="93"/>
      <c r="AC711" s="93"/>
      <c r="AD711" s="93"/>
      <c r="AE711" s="93"/>
      <c r="AF711" s="93"/>
      <c r="AG711" s="114"/>
      <c r="AH711" s="51"/>
      <c r="AI711" s="51"/>
      <c r="AJ711" s="92"/>
      <c r="AK711" s="92"/>
      <c r="AL711" s="92"/>
      <c r="AM711" s="51"/>
      <c r="AN711" s="51"/>
      <c r="AO711" s="93"/>
      <c r="AP711" s="93"/>
      <c r="AQ711" s="93"/>
      <c r="AR711" s="93"/>
      <c r="AS711" s="93"/>
      <c r="AT711" s="93"/>
      <c r="AU711" s="93"/>
      <c r="AV711" s="93"/>
      <c r="AW711" s="699"/>
      <c r="AX711" s="93"/>
      <c r="AY711" s="93"/>
      <c r="AZ711" s="93"/>
      <c r="BA711" s="93"/>
      <c r="BB711" s="93"/>
      <c r="BC711" s="93"/>
      <c r="BD711" s="93"/>
      <c r="BE711" s="93"/>
      <c r="BF711" s="93"/>
      <c r="BG711" s="93"/>
      <c r="BH711" s="93"/>
      <c r="BI711" s="93"/>
      <c r="BJ711" s="93"/>
      <c r="BK711" s="93"/>
      <c r="BL711" s="93"/>
      <c r="BM711" s="112"/>
      <c r="BN711" s="93"/>
      <c r="BO711" s="93"/>
      <c r="BP711" s="93"/>
      <c r="BQ711" s="93"/>
      <c r="BR711" s="93"/>
      <c r="BS711" s="93"/>
      <c r="BT711" s="93"/>
      <c r="BU711" s="93"/>
      <c r="BV711" s="93"/>
      <c r="BW711" s="93"/>
      <c r="BX711" s="93"/>
      <c r="BY711" s="93"/>
      <c r="BZ711" s="93"/>
      <c r="CA711" s="93"/>
      <c r="CB711" s="113"/>
      <c r="CC711" s="117"/>
      <c r="CD711" s="117"/>
      <c r="CE711" s="117"/>
      <c r="CF711" s="117"/>
      <c r="CG711" s="117"/>
      <c r="CH711" s="117"/>
      <c r="CI711" s="117"/>
      <c r="CJ711" s="117"/>
      <c r="CK711" s="117"/>
      <c r="CL711" s="117"/>
      <c r="CM711" s="117"/>
      <c r="CN711" s="117"/>
      <c r="CO711" s="117"/>
      <c r="CP711" s="117"/>
      <c r="CQ711" s="117"/>
      <c r="CR711" s="364"/>
      <c r="CS711" s="363"/>
      <c r="CT711" s="117"/>
      <c r="CU711" s="117"/>
      <c r="CV711" s="117"/>
      <c r="CW711" s="117"/>
      <c r="CX711" s="117"/>
      <c r="CY711" s="117"/>
      <c r="CZ711" s="117"/>
      <c r="DA711" s="70"/>
      <c r="DB711" s="70"/>
      <c r="DC711" s="117"/>
      <c r="DD711" s="117"/>
      <c r="DE711" s="117"/>
      <c r="DF711" s="70"/>
      <c r="DG711" s="70"/>
      <c r="DH711" s="362"/>
      <c r="DI711" s="363"/>
      <c r="DJ711" s="117"/>
      <c r="DK711" s="117"/>
      <c r="DL711" s="117"/>
      <c r="DM711" s="117"/>
      <c r="DN711" s="117"/>
      <c r="DO711" s="117"/>
      <c r="DP711" s="117"/>
      <c r="DQ711" s="117"/>
      <c r="DR711" s="117"/>
      <c r="DS711" s="117"/>
      <c r="DT711" s="117"/>
      <c r="DU711" s="117"/>
      <c r="DV711" s="117"/>
      <c r="DW711" s="117"/>
      <c r="DX711" s="364"/>
    </row>
    <row r="712" spans="1:128">
      <c r="A712" s="699"/>
      <c r="B712" s="93"/>
      <c r="C712" s="93"/>
      <c r="D712" s="93"/>
      <c r="E712" s="93"/>
      <c r="F712" s="93"/>
      <c r="G712" s="206"/>
      <c r="H712" s="93"/>
      <c r="I712" s="93"/>
      <c r="J712" s="206"/>
      <c r="K712" s="93"/>
      <c r="L712" s="93"/>
      <c r="M712" s="93"/>
      <c r="N712" s="93"/>
      <c r="O712" s="93"/>
      <c r="P712" s="79"/>
      <c r="Q712" s="93"/>
      <c r="R712" s="93"/>
      <c r="S712" s="93"/>
      <c r="T712" s="93"/>
      <c r="U712" s="206"/>
      <c r="V712" s="93"/>
      <c r="W712" s="206"/>
      <c r="X712" s="93"/>
      <c r="Y712" s="93"/>
      <c r="Z712" s="93"/>
      <c r="AA712" s="93"/>
      <c r="AB712" s="93"/>
      <c r="AC712" s="93"/>
      <c r="AD712" s="93"/>
      <c r="AE712" s="93"/>
      <c r="AF712" s="93"/>
      <c r="AG712" s="114"/>
      <c r="AH712" s="51"/>
      <c r="AI712" s="51"/>
      <c r="AJ712" s="92"/>
      <c r="AK712" s="92"/>
      <c r="AL712" s="92"/>
      <c r="AM712" s="206"/>
      <c r="AN712" s="51"/>
      <c r="AO712" s="93"/>
      <c r="AP712" s="93"/>
      <c r="AQ712" s="93"/>
      <c r="AR712" s="93"/>
      <c r="AS712" s="93"/>
      <c r="AT712" s="93"/>
      <c r="AU712" s="93"/>
      <c r="AV712" s="93"/>
      <c r="AW712" s="699"/>
      <c r="AX712" s="93"/>
      <c r="AY712" s="93"/>
      <c r="AZ712" s="93"/>
      <c r="BA712" s="93"/>
      <c r="BB712" s="206"/>
      <c r="BC712" s="93"/>
      <c r="BD712" s="206"/>
      <c r="BE712" s="93"/>
      <c r="BF712" s="93"/>
      <c r="BG712" s="93"/>
      <c r="BH712" s="93"/>
      <c r="BI712" s="93"/>
      <c r="BJ712" s="93"/>
      <c r="BK712" s="93"/>
      <c r="BL712" s="93"/>
      <c r="BM712" s="112"/>
      <c r="BN712" s="204"/>
      <c r="BO712" s="93"/>
      <c r="BP712" s="93"/>
      <c r="BQ712" s="93"/>
      <c r="BR712" s="93"/>
      <c r="BS712" s="206"/>
      <c r="BT712" s="93"/>
      <c r="BU712" s="93"/>
      <c r="BV712" s="206"/>
      <c r="BW712" s="93"/>
      <c r="BX712" s="93"/>
      <c r="BY712" s="93"/>
      <c r="BZ712" s="93"/>
      <c r="CA712" s="204"/>
      <c r="CB712" s="113"/>
      <c r="CC712" s="117"/>
      <c r="CD712" s="117"/>
      <c r="CE712" s="117"/>
      <c r="CF712" s="117"/>
      <c r="CG712" s="117"/>
      <c r="CH712" s="117"/>
      <c r="CI712" s="117"/>
      <c r="CJ712" s="117"/>
      <c r="CK712" s="878"/>
      <c r="CL712" s="117"/>
      <c r="CM712" s="878"/>
      <c r="CN712" s="117"/>
      <c r="CO712" s="117"/>
      <c r="CP712" s="117"/>
      <c r="CQ712" s="117"/>
      <c r="CR712" s="364"/>
      <c r="CS712" s="363"/>
      <c r="CT712" s="117"/>
      <c r="CU712" s="117"/>
      <c r="CV712" s="117"/>
      <c r="CW712" s="117"/>
      <c r="CX712" s="117"/>
      <c r="CY712" s="117"/>
      <c r="CZ712" s="117"/>
      <c r="DA712" s="70"/>
      <c r="DB712" s="878"/>
      <c r="DC712" s="117"/>
      <c r="DD712" s="117"/>
      <c r="DE712" s="117"/>
      <c r="DF712" s="70"/>
      <c r="DG712" s="70"/>
      <c r="DH712" s="362"/>
      <c r="DI712" s="363"/>
      <c r="DJ712" s="117"/>
      <c r="DK712" s="117"/>
      <c r="DL712" s="117"/>
      <c r="DM712" s="117"/>
      <c r="DN712" s="117"/>
      <c r="DO712" s="117"/>
      <c r="DP712" s="117"/>
      <c r="DQ712" s="117"/>
      <c r="DR712" s="878"/>
      <c r="DS712" s="117"/>
      <c r="DT712" s="878"/>
      <c r="DU712" s="117"/>
      <c r="DV712" s="117"/>
      <c r="DW712" s="117"/>
      <c r="DX712" s="364"/>
    </row>
    <row r="713" spans="1:128">
      <c r="A713" s="699"/>
      <c r="B713" s="93"/>
      <c r="C713" s="93"/>
      <c r="D713" s="93"/>
      <c r="E713" s="93"/>
      <c r="F713" s="206"/>
      <c r="G713" s="160"/>
      <c r="H713" s="93"/>
      <c r="I713" s="93"/>
      <c r="J713" s="160"/>
      <c r="K713" s="206"/>
      <c r="L713" s="93"/>
      <c r="M713" s="93"/>
      <c r="N713" s="93"/>
      <c r="O713" s="93"/>
      <c r="P713" s="79"/>
      <c r="Q713" s="93"/>
      <c r="R713" s="93"/>
      <c r="S713" s="93"/>
      <c r="T713" s="93"/>
      <c r="U713" s="160"/>
      <c r="V713" s="93"/>
      <c r="W713" s="160"/>
      <c r="X713" s="206"/>
      <c r="Y713" s="93"/>
      <c r="Z713" s="93"/>
      <c r="AA713" s="93"/>
      <c r="AB713" s="93"/>
      <c r="AC713" s="93"/>
      <c r="AD713" s="93"/>
      <c r="AE713" s="93"/>
      <c r="AF713" s="93"/>
      <c r="AG713" s="114"/>
      <c r="AH713" s="51"/>
      <c r="AI713" s="51"/>
      <c r="AJ713" s="92"/>
      <c r="AK713" s="92"/>
      <c r="AL713" s="92"/>
      <c r="AM713" s="160"/>
      <c r="AN713" s="206"/>
      <c r="AO713" s="93"/>
      <c r="AP713" s="93"/>
      <c r="AQ713" s="93"/>
      <c r="AR713" s="93"/>
      <c r="AS713" s="93"/>
      <c r="AT713" s="93"/>
      <c r="AU713" s="93"/>
      <c r="AV713" s="93"/>
      <c r="AW713" s="699"/>
      <c r="AX713" s="93"/>
      <c r="AY713" s="93"/>
      <c r="AZ713" s="93"/>
      <c r="BA713" s="93"/>
      <c r="BB713" s="160"/>
      <c r="BC713" s="93"/>
      <c r="BD713" s="160"/>
      <c r="BE713" s="206"/>
      <c r="BF713" s="93"/>
      <c r="BG713" s="93"/>
      <c r="BH713" s="93"/>
      <c r="BI713" s="93"/>
      <c r="BJ713" s="93"/>
      <c r="BK713" s="93"/>
      <c r="BL713" s="93"/>
      <c r="BM713" s="112"/>
      <c r="BN713" s="207"/>
      <c r="BO713" s="93"/>
      <c r="BP713" s="93"/>
      <c r="BQ713" s="93"/>
      <c r="BR713" s="206"/>
      <c r="BS713" s="160"/>
      <c r="BT713" s="93"/>
      <c r="BU713" s="93"/>
      <c r="BV713" s="160"/>
      <c r="BW713" s="206"/>
      <c r="BX713" s="93"/>
      <c r="BY713" s="93"/>
      <c r="BZ713" s="93"/>
      <c r="CA713" s="207"/>
      <c r="CB713" s="113"/>
      <c r="CC713" s="117"/>
      <c r="CD713" s="117"/>
      <c r="CE713" s="117"/>
      <c r="CF713" s="117"/>
      <c r="CG713" s="117"/>
      <c r="CH713" s="117"/>
      <c r="CI713" s="117"/>
      <c r="CJ713" s="878"/>
      <c r="CK713" s="150"/>
      <c r="CL713" s="117"/>
      <c r="CM713" s="150"/>
      <c r="CN713" s="117"/>
      <c r="CO713" s="117"/>
      <c r="CP713" s="117"/>
      <c r="CQ713" s="117"/>
      <c r="CR713" s="364"/>
      <c r="CS713" s="363"/>
      <c r="CT713" s="117"/>
      <c r="CU713" s="117"/>
      <c r="CV713" s="117"/>
      <c r="CW713" s="117"/>
      <c r="CX713" s="117"/>
      <c r="CY713" s="117"/>
      <c r="CZ713" s="117"/>
      <c r="DA713" s="878"/>
      <c r="DB713" s="150"/>
      <c r="DC713" s="117"/>
      <c r="DD713" s="117"/>
      <c r="DE713" s="117"/>
      <c r="DF713" s="70"/>
      <c r="DG713" s="70"/>
      <c r="DH713" s="362"/>
      <c r="DI713" s="363"/>
      <c r="DJ713" s="117"/>
      <c r="DK713" s="117"/>
      <c r="DL713" s="117"/>
      <c r="DM713" s="117"/>
      <c r="DN713" s="117"/>
      <c r="DO713" s="117"/>
      <c r="DP713" s="117"/>
      <c r="DQ713" s="878"/>
      <c r="DR713" s="150"/>
      <c r="DS713" s="117"/>
      <c r="DT713" s="150"/>
      <c r="DU713" s="117"/>
      <c r="DV713" s="117"/>
      <c r="DW713" s="117"/>
      <c r="DX713" s="364"/>
    </row>
    <row r="714" spans="1:128">
      <c r="A714" s="699"/>
      <c r="B714" s="93"/>
      <c r="C714" s="204"/>
      <c r="D714" s="93"/>
      <c r="E714" s="93"/>
      <c r="F714" s="160"/>
      <c r="G714" s="160"/>
      <c r="H714" s="205"/>
      <c r="I714" s="205"/>
      <c r="J714" s="160"/>
      <c r="K714" s="160"/>
      <c r="L714" s="93"/>
      <c r="M714" s="93"/>
      <c r="N714" s="204"/>
      <c r="O714" s="93"/>
      <c r="P714" s="79"/>
      <c r="Q714" s="93"/>
      <c r="R714" s="93"/>
      <c r="S714" s="93"/>
      <c r="T714" s="160"/>
      <c r="U714" s="205"/>
      <c r="V714" s="205"/>
      <c r="W714" s="160"/>
      <c r="X714" s="160"/>
      <c r="Y714" s="206"/>
      <c r="Z714" s="93"/>
      <c r="AA714" s="93"/>
      <c r="AB714" s="204"/>
      <c r="AC714" s="93"/>
      <c r="AD714" s="93"/>
      <c r="AE714" s="93"/>
      <c r="AF714" s="93"/>
      <c r="AG714" s="114"/>
      <c r="AH714" s="51"/>
      <c r="AI714" s="51"/>
      <c r="AJ714" s="92"/>
      <c r="AK714" s="160"/>
      <c r="AL714" s="205"/>
      <c r="AM714" s="205"/>
      <c r="AN714" s="160"/>
      <c r="AO714" s="93"/>
      <c r="AP714" s="93"/>
      <c r="AQ714" s="93"/>
      <c r="AR714" s="298"/>
      <c r="AS714" s="204"/>
      <c r="AT714" s="93"/>
      <c r="AU714" s="93"/>
      <c r="AV714" s="93"/>
      <c r="AW714" s="699"/>
      <c r="AX714" s="93"/>
      <c r="AY714" s="93"/>
      <c r="AZ714" s="93"/>
      <c r="BA714" s="160"/>
      <c r="BB714" s="160"/>
      <c r="BC714" s="206"/>
      <c r="BD714" s="206"/>
      <c r="BE714" s="160"/>
      <c r="BF714" s="93"/>
      <c r="BG714" s="93"/>
      <c r="BH714" s="93"/>
      <c r="BI714" s="204"/>
      <c r="BJ714" s="93"/>
      <c r="BK714" s="93"/>
      <c r="BL714" s="93"/>
      <c r="BM714" s="204"/>
      <c r="BN714" s="298"/>
      <c r="BO714" s="204"/>
      <c r="BP714" s="93"/>
      <c r="BQ714" s="93"/>
      <c r="BR714" s="160"/>
      <c r="BS714" s="160"/>
      <c r="BT714" s="160"/>
      <c r="BU714" s="160"/>
      <c r="BV714" s="160"/>
      <c r="BW714" s="160"/>
      <c r="BX714" s="93"/>
      <c r="BY714" s="93"/>
      <c r="BZ714" s="204"/>
      <c r="CA714" s="298"/>
      <c r="CB714" s="204"/>
      <c r="CC714" s="117"/>
      <c r="CD714" s="117"/>
      <c r="CE714" s="117"/>
      <c r="CF714" s="961"/>
      <c r="CG714" s="117"/>
      <c r="CH714" s="117"/>
      <c r="CI714" s="117"/>
      <c r="CJ714" s="150"/>
      <c r="CK714" s="878"/>
      <c r="CL714" s="878"/>
      <c r="CM714" s="150"/>
      <c r="CN714" s="150"/>
      <c r="CO714" s="117"/>
      <c r="CP714" s="117"/>
      <c r="CQ714" s="117"/>
      <c r="CR714" s="364"/>
      <c r="CS714" s="363"/>
      <c r="CT714" s="117"/>
      <c r="CU714" s="117"/>
      <c r="CV714" s="961"/>
      <c r="CW714" s="890"/>
      <c r="CX714" s="117"/>
      <c r="CY714" s="117"/>
      <c r="CZ714" s="117"/>
      <c r="DA714" s="150"/>
      <c r="DB714" s="881"/>
      <c r="DC714" s="881"/>
      <c r="DD714" s="150"/>
      <c r="DE714" s="117"/>
      <c r="DF714" s="70"/>
      <c r="DG714" s="70"/>
      <c r="DH714" s="362"/>
      <c r="DI714" s="363"/>
      <c r="DJ714" s="117"/>
      <c r="DK714" s="117"/>
      <c r="DL714" s="117"/>
      <c r="DM714" s="961"/>
      <c r="DN714" s="117"/>
      <c r="DO714" s="117"/>
      <c r="DP714" s="878"/>
      <c r="DQ714" s="150"/>
      <c r="DR714" s="150"/>
      <c r="DS714" s="881"/>
      <c r="DT714" s="881"/>
      <c r="DU714" s="150"/>
      <c r="DV714" s="117"/>
      <c r="DW714" s="117"/>
      <c r="DX714" s="364"/>
    </row>
    <row r="715" spans="1:128">
      <c r="A715" s="699"/>
      <c r="B715" s="298"/>
      <c r="C715" s="207"/>
      <c r="D715" s="93"/>
      <c r="E715" s="206"/>
      <c r="F715" s="160"/>
      <c r="G715" s="308"/>
      <c r="H715" s="160"/>
      <c r="I715" s="160"/>
      <c r="J715" s="308"/>
      <c r="K715" s="160"/>
      <c r="L715" s="206"/>
      <c r="M715" s="93"/>
      <c r="N715" s="207"/>
      <c r="O715" s="298"/>
      <c r="P715" s="79"/>
      <c r="Q715" s="93"/>
      <c r="R715" s="93"/>
      <c r="S715" s="93"/>
      <c r="T715" s="204"/>
      <c r="U715" s="205"/>
      <c r="V715" s="204"/>
      <c r="W715" s="206"/>
      <c r="X715" s="160"/>
      <c r="Y715" s="160"/>
      <c r="Z715" s="206"/>
      <c r="AA715" s="93"/>
      <c r="AB715" s="204"/>
      <c r="AC715" s="298"/>
      <c r="AD715" s="93"/>
      <c r="AE715" s="93"/>
      <c r="AF715" s="93"/>
      <c r="AG715" s="114"/>
      <c r="AH715" s="51"/>
      <c r="AI715" s="51"/>
      <c r="AJ715" s="51"/>
      <c r="AK715" s="204"/>
      <c r="AL715" s="206"/>
      <c r="AM715" s="206"/>
      <c r="AN715" s="160"/>
      <c r="AO715" s="206"/>
      <c r="AP715" s="93"/>
      <c r="AQ715" s="298"/>
      <c r="AR715" s="204"/>
      <c r="AS715" s="298"/>
      <c r="AT715" s="204"/>
      <c r="AU715" s="93"/>
      <c r="AV715" s="93"/>
      <c r="AW715" s="699"/>
      <c r="AX715" s="93"/>
      <c r="AY715" s="93"/>
      <c r="AZ715" s="93"/>
      <c r="BA715" s="298"/>
      <c r="BB715" s="160"/>
      <c r="BC715" s="160"/>
      <c r="BD715" s="206"/>
      <c r="BE715" s="160"/>
      <c r="BF715" s="206"/>
      <c r="BG715" s="93"/>
      <c r="BH715" s="93"/>
      <c r="BI715" s="298"/>
      <c r="BJ715" s="204"/>
      <c r="BK715" s="93"/>
      <c r="BL715" s="93"/>
      <c r="BM715" s="204"/>
      <c r="BN715" s="294"/>
      <c r="BO715" s="207"/>
      <c r="BP715" s="93"/>
      <c r="BQ715" s="206"/>
      <c r="BR715" s="160"/>
      <c r="BS715" s="205"/>
      <c r="BT715" s="160"/>
      <c r="BU715" s="160"/>
      <c r="BV715" s="205"/>
      <c r="BW715" s="160"/>
      <c r="BX715" s="206"/>
      <c r="BY715" s="93"/>
      <c r="BZ715" s="207"/>
      <c r="CA715" s="294"/>
      <c r="CB715" s="204"/>
      <c r="CC715" s="117"/>
      <c r="CD715" s="117"/>
      <c r="CE715" s="961"/>
      <c r="CF715" s="890"/>
      <c r="CG715" s="117"/>
      <c r="CH715" s="117"/>
      <c r="CI715" s="878"/>
      <c r="CJ715" s="150"/>
      <c r="CK715" s="878"/>
      <c r="CL715" s="150"/>
      <c r="CM715" s="150"/>
      <c r="CN715" s="890"/>
      <c r="CO715" s="117"/>
      <c r="CP715" s="117"/>
      <c r="CQ715" s="117"/>
      <c r="CR715" s="364"/>
      <c r="CS715" s="363"/>
      <c r="CT715" s="117"/>
      <c r="CU715" s="961"/>
      <c r="CV715" s="890"/>
      <c r="CW715" s="961"/>
      <c r="CX715" s="890"/>
      <c r="CY715" s="117"/>
      <c r="CZ715" s="878"/>
      <c r="DA715" s="150"/>
      <c r="DB715" s="878"/>
      <c r="DC715" s="878"/>
      <c r="DD715" s="961"/>
      <c r="DE715" s="70"/>
      <c r="DF715" s="70"/>
      <c r="DG715" s="70"/>
      <c r="DH715" s="362"/>
      <c r="DI715" s="363"/>
      <c r="DJ715" s="117"/>
      <c r="DK715" s="117"/>
      <c r="DL715" s="890"/>
      <c r="DM715" s="961"/>
      <c r="DN715" s="117"/>
      <c r="DO715" s="878"/>
      <c r="DP715" s="150"/>
      <c r="DQ715" s="150"/>
      <c r="DR715" s="878"/>
      <c r="DS715" s="961"/>
      <c r="DT715" s="881"/>
      <c r="DU715" s="961"/>
      <c r="DV715" s="117"/>
      <c r="DW715" s="117"/>
      <c r="DX715" s="364"/>
    </row>
    <row r="716" spans="1:128">
      <c r="A716" s="699"/>
      <c r="B716" s="290"/>
      <c r="C716" s="298"/>
      <c r="D716" s="204"/>
      <c r="E716" s="206"/>
      <c r="F716" s="290"/>
      <c r="G716" s="290"/>
      <c r="H716" s="160"/>
      <c r="I716" s="160"/>
      <c r="J716" s="290"/>
      <c r="K716" s="290"/>
      <c r="L716" s="206"/>
      <c r="M716" s="204"/>
      <c r="N716" s="298"/>
      <c r="O716" s="290"/>
      <c r="P716" s="79"/>
      <c r="Q716" s="93"/>
      <c r="R716" s="93"/>
      <c r="S716" s="205"/>
      <c r="T716" s="205"/>
      <c r="U716" s="205"/>
      <c r="V716" s="298"/>
      <c r="W716" s="294"/>
      <c r="X716" s="160"/>
      <c r="Y716" s="206"/>
      <c r="Z716" s="206"/>
      <c r="AA716" s="204"/>
      <c r="AB716" s="298"/>
      <c r="AC716" s="298"/>
      <c r="AD716" s="204"/>
      <c r="AE716" s="93"/>
      <c r="AF716" s="93"/>
      <c r="AG716" s="114"/>
      <c r="AH716" s="93"/>
      <c r="AI716" s="206"/>
      <c r="AJ716" s="294"/>
      <c r="AK716" s="298"/>
      <c r="AL716" s="294"/>
      <c r="AM716" s="160"/>
      <c r="AN716" s="160"/>
      <c r="AO716" s="206"/>
      <c r="AP716" s="206"/>
      <c r="AQ716" s="298"/>
      <c r="AR716" s="204"/>
      <c r="AS716" s="298"/>
      <c r="AT716" s="298"/>
      <c r="AU716" s="93"/>
      <c r="AV716" s="93"/>
      <c r="AW716" s="699"/>
      <c r="AX716" s="93"/>
      <c r="AY716" s="204"/>
      <c r="AZ716" s="206"/>
      <c r="BA716" s="160"/>
      <c r="BB716" s="206"/>
      <c r="BC716" s="160"/>
      <c r="BD716" s="206"/>
      <c r="BE716" s="206"/>
      <c r="BF716" s="160"/>
      <c r="BG716" s="93"/>
      <c r="BH716" s="204"/>
      <c r="BI716" s="294"/>
      <c r="BJ716" s="207"/>
      <c r="BK716" s="204"/>
      <c r="BL716" s="93"/>
      <c r="BM716" s="207"/>
      <c r="BN716" s="294"/>
      <c r="BO716" s="298"/>
      <c r="BP716" s="204"/>
      <c r="BQ716" s="206"/>
      <c r="BR716" s="160"/>
      <c r="BS716" s="205"/>
      <c r="BT716" s="205"/>
      <c r="BU716" s="205"/>
      <c r="BV716" s="205"/>
      <c r="BW716" s="160"/>
      <c r="BX716" s="206"/>
      <c r="BY716" s="204"/>
      <c r="BZ716" s="298"/>
      <c r="CA716" s="294"/>
      <c r="CB716" s="207"/>
      <c r="CC716" s="117"/>
      <c r="CD716" s="961"/>
      <c r="CE716" s="894"/>
      <c r="CF716" s="885"/>
      <c r="CG716" s="961"/>
      <c r="CH716" s="117"/>
      <c r="CI716" s="150"/>
      <c r="CJ716" s="878"/>
      <c r="CK716" s="878"/>
      <c r="CL716" s="150"/>
      <c r="CM716" s="878"/>
      <c r="CN716" s="150"/>
      <c r="CO716" s="878"/>
      <c r="CP716" s="961"/>
      <c r="CQ716" s="117"/>
      <c r="CR716" s="364"/>
      <c r="CS716" s="363"/>
      <c r="CT716" s="117"/>
      <c r="CU716" s="890"/>
      <c r="CV716" s="890"/>
      <c r="CW716" s="961"/>
      <c r="CX716" s="890"/>
      <c r="CY716" s="878"/>
      <c r="CZ716" s="878"/>
      <c r="DA716" s="150"/>
      <c r="DB716" s="150"/>
      <c r="DC716" s="885"/>
      <c r="DD716" s="890"/>
      <c r="DE716" s="885"/>
      <c r="DF716" s="878"/>
      <c r="DG716" s="117"/>
      <c r="DH716" s="362"/>
      <c r="DI716" s="363"/>
      <c r="DJ716" s="117"/>
      <c r="DK716" s="961"/>
      <c r="DL716" s="890"/>
      <c r="DM716" s="890"/>
      <c r="DN716" s="961"/>
      <c r="DO716" s="878"/>
      <c r="DP716" s="878"/>
      <c r="DQ716" s="150"/>
      <c r="DR716" s="885"/>
      <c r="DS716" s="890"/>
      <c r="DT716" s="881"/>
      <c r="DU716" s="881"/>
      <c r="DV716" s="881"/>
      <c r="DW716" s="117"/>
      <c r="DX716" s="364"/>
    </row>
    <row r="717" spans="1:128">
      <c r="A717" s="987"/>
      <c r="B717" s="290"/>
      <c r="C717" s="294"/>
      <c r="D717" s="207"/>
      <c r="E717" s="93"/>
      <c r="F717" s="205"/>
      <c r="G717" s="205"/>
      <c r="H717" s="205"/>
      <c r="I717" s="205"/>
      <c r="J717" s="205"/>
      <c r="K717" s="205"/>
      <c r="L717" s="93"/>
      <c r="M717" s="207"/>
      <c r="N717" s="294"/>
      <c r="O717" s="290"/>
      <c r="P717" s="988"/>
      <c r="Q717" s="93"/>
      <c r="R717" s="93"/>
      <c r="S717" s="205"/>
      <c r="T717" s="205"/>
      <c r="U717" s="205"/>
      <c r="V717" s="205"/>
      <c r="W717" s="160"/>
      <c r="X717" s="205"/>
      <c r="Y717" s="206"/>
      <c r="Z717" s="93"/>
      <c r="AA717" s="207"/>
      <c r="AB717" s="298"/>
      <c r="AC717" s="294"/>
      <c r="AD717" s="298"/>
      <c r="AE717" s="204"/>
      <c r="AF717" s="93"/>
      <c r="AG717" s="114"/>
      <c r="AH717" s="93"/>
      <c r="AI717" s="205"/>
      <c r="AJ717" s="205"/>
      <c r="AK717" s="205"/>
      <c r="AL717" s="160"/>
      <c r="AM717" s="160"/>
      <c r="AN717" s="206"/>
      <c r="AO717" s="206"/>
      <c r="AP717" s="206"/>
      <c r="AQ717" s="298"/>
      <c r="AR717" s="207"/>
      <c r="AS717" s="294"/>
      <c r="AT717" s="298"/>
      <c r="AU717" s="204"/>
      <c r="AV717" s="93"/>
      <c r="AW717" s="699"/>
      <c r="AX717" s="93"/>
      <c r="AY717" s="204"/>
      <c r="AZ717" s="294"/>
      <c r="BA717" s="160"/>
      <c r="BB717" s="206"/>
      <c r="BC717" s="160"/>
      <c r="BD717" s="206"/>
      <c r="BE717" s="206"/>
      <c r="BF717" s="290"/>
      <c r="BG717" s="207"/>
      <c r="BH717" s="298"/>
      <c r="BI717" s="294"/>
      <c r="BJ717" s="298"/>
      <c r="BK717" s="207"/>
      <c r="BL717" s="93"/>
      <c r="BM717" s="298"/>
      <c r="BN717" s="294"/>
      <c r="BO717" s="294"/>
      <c r="BP717" s="298"/>
      <c r="BQ717" s="204"/>
      <c r="BR717" s="205"/>
      <c r="BS717" s="160"/>
      <c r="BT717" s="160"/>
      <c r="BU717" s="160"/>
      <c r="BV717" s="160"/>
      <c r="BW717" s="205"/>
      <c r="BX717" s="204"/>
      <c r="BY717" s="298"/>
      <c r="BZ717" s="294"/>
      <c r="CA717" s="294"/>
      <c r="CB717" s="298"/>
      <c r="CC717" s="117"/>
      <c r="CD717" s="894"/>
      <c r="CE717" s="890"/>
      <c r="CF717" s="885"/>
      <c r="CG717" s="890"/>
      <c r="CH717" s="894"/>
      <c r="CI717" s="893"/>
      <c r="CJ717" s="878"/>
      <c r="CK717" s="878"/>
      <c r="CL717" s="150"/>
      <c r="CM717" s="878"/>
      <c r="CN717" s="150"/>
      <c r="CO717" s="885"/>
      <c r="CP717" s="961"/>
      <c r="CQ717" s="117"/>
      <c r="CR717" s="364"/>
      <c r="CS717" s="363"/>
      <c r="CT717" s="961"/>
      <c r="CU717" s="890"/>
      <c r="CV717" s="885"/>
      <c r="CW717" s="894"/>
      <c r="CX717" s="890"/>
      <c r="CY717" s="878"/>
      <c r="CZ717" s="878"/>
      <c r="DA717" s="878"/>
      <c r="DB717" s="150"/>
      <c r="DC717" s="150"/>
      <c r="DD717" s="881"/>
      <c r="DE717" s="881"/>
      <c r="DF717" s="881"/>
      <c r="DG717" s="117"/>
      <c r="DH717" s="362"/>
      <c r="DI717" s="363"/>
      <c r="DJ717" s="961"/>
      <c r="DK717" s="890"/>
      <c r="DL717" s="885"/>
      <c r="DM717" s="890"/>
      <c r="DN717" s="894"/>
      <c r="DO717" s="117"/>
      <c r="DP717" s="878"/>
      <c r="DQ717" s="881"/>
      <c r="DR717" s="150"/>
      <c r="DS717" s="881"/>
      <c r="DT717" s="881"/>
      <c r="DU717" s="881"/>
      <c r="DV717" s="881"/>
      <c r="DW717" s="117"/>
      <c r="DX717" s="364"/>
    </row>
    <row r="718" spans="1:128">
      <c r="A718" s="763"/>
      <c r="B718" s="294"/>
      <c r="C718" s="290"/>
      <c r="D718" s="298"/>
      <c r="E718" s="204"/>
      <c r="F718" s="206"/>
      <c r="G718" s="160"/>
      <c r="H718" s="294"/>
      <c r="I718" s="294"/>
      <c r="J718" s="160"/>
      <c r="K718" s="206"/>
      <c r="L718" s="204"/>
      <c r="M718" s="298"/>
      <c r="N718" s="290"/>
      <c r="O718" s="294"/>
      <c r="P718" s="764"/>
      <c r="Q718" s="93"/>
      <c r="R718" s="93"/>
      <c r="S718" s="93"/>
      <c r="T718" s="298"/>
      <c r="U718" s="298"/>
      <c r="V718" s="160"/>
      <c r="W718" s="205"/>
      <c r="X718" s="205"/>
      <c r="Y718" s="290"/>
      <c r="Z718" s="204"/>
      <c r="AA718" s="298"/>
      <c r="AB718" s="294"/>
      <c r="AC718" s="294"/>
      <c r="AD718" s="294"/>
      <c r="AE718" s="298"/>
      <c r="AF718" s="93"/>
      <c r="AG718" s="114"/>
      <c r="AH718" s="51"/>
      <c r="AI718" s="51"/>
      <c r="AJ718" s="298"/>
      <c r="AK718" s="160"/>
      <c r="AL718" s="206"/>
      <c r="AM718" s="206"/>
      <c r="AN718" s="290"/>
      <c r="AO718" s="206"/>
      <c r="AP718" s="294"/>
      <c r="AQ718" s="204"/>
      <c r="AR718" s="298"/>
      <c r="AS718" s="294"/>
      <c r="AT718" s="294"/>
      <c r="AU718" s="298"/>
      <c r="AV718" s="93"/>
      <c r="AW718" s="699"/>
      <c r="AX718" s="204"/>
      <c r="AY718" s="298"/>
      <c r="AZ718" s="298"/>
      <c r="BA718" s="204"/>
      <c r="BB718" s="206"/>
      <c r="BC718" s="290"/>
      <c r="BD718" s="206"/>
      <c r="BE718" s="290"/>
      <c r="BF718" s="93"/>
      <c r="BG718" s="204"/>
      <c r="BH718" s="294"/>
      <c r="BI718" s="294"/>
      <c r="BJ718" s="298"/>
      <c r="BK718" s="298"/>
      <c r="BL718" s="204"/>
      <c r="BM718" s="298"/>
      <c r="BN718" s="294"/>
      <c r="BO718" s="206"/>
      <c r="BP718" s="294"/>
      <c r="BQ718" s="298"/>
      <c r="BR718" s="204"/>
      <c r="BS718" s="298"/>
      <c r="BT718" s="160"/>
      <c r="BU718" s="160"/>
      <c r="BV718" s="298"/>
      <c r="BW718" s="204"/>
      <c r="BX718" s="298"/>
      <c r="BY718" s="294"/>
      <c r="BZ718" s="206"/>
      <c r="CA718" s="294"/>
      <c r="CB718" s="298"/>
      <c r="CC718" s="961"/>
      <c r="CD718" s="890"/>
      <c r="CE718" s="890"/>
      <c r="CF718" s="885"/>
      <c r="CG718" s="885"/>
      <c r="CH718" s="961"/>
      <c r="CI718" s="117"/>
      <c r="CJ718" s="893"/>
      <c r="CK718" s="878"/>
      <c r="CL718" s="893"/>
      <c r="CM718" s="878"/>
      <c r="CN718" s="961"/>
      <c r="CO718" s="890"/>
      <c r="CP718" s="890"/>
      <c r="CQ718" s="961"/>
      <c r="CR718" s="364"/>
      <c r="CS718" s="363"/>
      <c r="CT718" s="890"/>
      <c r="CU718" s="885"/>
      <c r="CV718" s="885"/>
      <c r="CW718" s="890"/>
      <c r="CX718" s="961"/>
      <c r="CY718" s="885"/>
      <c r="CZ718" s="878"/>
      <c r="DA718" s="893"/>
      <c r="DB718" s="878"/>
      <c r="DC718" s="878"/>
      <c r="DD718" s="150"/>
      <c r="DE718" s="890"/>
      <c r="DF718" s="70"/>
      <c r="DG718" s="70"/>
      <c r="DH718" s="362"/>
      <c r="DI718" s="363"/>
      <c r="DJ718" s="890"/>
      <c r="DK718" s="885"/>
      <c r="DL718" s="885"/>
      <c r="DM718" s="885"/>
      <c r="DN718" s="890"/>
      <c r="DO718" s="961"/>
      <c r="DP718" s="893"/>
      <c r="DQ718" s="881"/>
      <c r="DR718" s="881"/>
      <c r="DS718" s="150"/>
      <c r="DT718" s="890"/>
      <c r="DU718" s="890"/>
      <c r="DV718" s="117"/>
      <c r="DW718" s="117"/>
      <c r="DX718" s="364"/>
    </row>
    <row r="719" spans="1:128">
      <c r="A719" s="762"/>
      <c r="B719" s="294"/>
      <c r="C719" s="290"/>
      <c r="D719" s="294"/>
      <c r="E719" s="290"/>
      <c r="F719" s="206"/>
      <c r="G719" s="160"/>
      <c r="H719" s="160"/>
      <c r="I719" s="160"/>
      <c r="J719" s="160"/>
      <c r="K719" s="206"/>
      <c r="L719" s="290"/>
      <c r="M719" s="294"/>
      <c r="N719" s="290"/>
      <c r="O719" s="294"/>
      <c r="P719" s="494"/>
      <c r="Q719" s="93"/>
      <c r="R719" s="93"/>
      <c r="S719" s="93"/>
      <c r="T719" s="160"/>
      <c r="U719" s="160"/>
      <c r="V719" s="160"/>
      <c r="W719" s="205"/>
      <c r="X719" s="290"/>
      <c r="Y719" s="206"/>
      <c r="Z719" s="207"/>
      <c r="AA719" s="298"/>
      <c r="AB719" s="290"/>
      <c r="AC719" s="290"/>
      <c r="AD719" s="290"/>
      <c r="AE719" s="294"/>
      <c r="AF719" s="204"/>
      <c r="AG719" s="114"/>
      <c r="AH719" s="51"/>
      <c r="AI719" s="51"/>
      <c r="AJ719" s="160"/>
      <c r="AK719" s="206"/>
      <c r="AL719" s="206"/>
      <c r="AM719" s="290"/>
      <c r="AN719" s="290"/>
      <c r="AO719" s="160"/>
      <c r="AP719" s="206"/>
      <c r="AQ719" s="207"/>
      <c r="AR719" s="294"/>
      <c r="AS719" s="290"/>
      <c r="AT719" s="294"/>
      <c r="AU719" s="298"/>
      <c r="AV719" s="204"/>
      <c r="AW719" s="699"/>
      <c r="AX719" s="204"/>
      <c r="AY719" s="298"/>
      <c r="AZ719" s="294"/>
      <c r="BA719" s="298"/>
      <c r="BB719" s="298"/>
      <c r="BC719" s="160"/>
      <c r="BD719" s="54"/>
      <c r="BE719" s="291"/>
      <c r="BF719" s="204"/>
      <c r="BG719" s="294"/>
      <c r="BH719" s="294"/>
      <c r="BI719" s="93"/>
      <c r="BJ719" s="294"/>
      <c r="BK719" s="298"/>
      <c r="BL719" s="298"/>
      <c r="BM719" s="294"/>
      <c r="BN719" s="206"/>
      <c r="BO719" s="93"/>
      <c r="BP719" s="93"/>
      <c r="BQ719" s="206"/>
      <c r="BR719" s="298"/>
      <c r="BS719" s="204"/>
      <c r="BT719" s="54"/>
      <c r="BU719" s="291"/>
      <c r="BV719" s="204"/>
      <c r="BW719" s="298"/>
      <c r="BX719" s="206"/>
      <c r="BY719" s="93"/>
      <c r="BZ719" s="93"/>
      <c r="CA719" s="206"/>
      <c r="CB719" s="294"/>
      <c r="CC719" s="890"/>
      <c r="CD719" s="890"/>
      <c r="CE719" s="885"/>
      <c r="CF719" s="117"/>
      <c r="CG719" s="885"/>
      <c r="CH719" s="885"/>
      <c r="CI719" s="961"/>
      <c r="CJ719" s="882"/>
      <c r="CK719" s="120"/>
      <c r="CL719" s="150"/>
      <c r="CM719" s="890"/>
      <c r="CN719" s="890"/>
      <c r="CO719" s="885"/>
      <c r="CP719" s="890"/>
      <c r="CQ719" s="961"/>
      <c r="CR719" s="364"/>
      <c r="CS719" s="962"/>
      <c r="CT719" s="890"/>
      <c r="CU719" s="885"/>
      <c r="CV719" s="893"/>
      <c r="CW719" s="885"/>
      <c r="CX719" s="894"/>
      <c r="CY719" s="878"/>
      <c r="CZ719" s="150"/>
      <c r="DA719" s="893"/>
      <c r="DB719" s="893"/>
      <c r="DC719" s="878"/>
      <c r="DD719" s="878"/>
      <c r="DE719" s="150"/>
      <c r="DF719" s="70"/>
      <c r="DG719" s="70"/>
      <c r="DH719" s="362"/>
      <c r="DI719" s="962"/>
      <c r="DJ719" s="885"/>
      <c r="DK719" s="893"/>
      <c r="DL719" s="893"/>
      <c r="DM719" s="893"/>
      <c r="DN719" s="890"/>
      <c r="DO719" s="894"/>
      <c r="DP719" s="878"/>
      <c r="DQ719" s="893"/>
      <c r="DR719" s="881"/>
      <c r="DS719" s="150"/>
      <c r="DT719" s="150"/>
      <c r="DU719" s="150"/>
      <c r="DV719" s="117"/>
      <c r="DW719" s="117"/>
      <c r="DX719" s="364"/>
    </row>
    <row r="720" spans="1:128">
      <c r="A720" s="762"/>
      <c r="B720" s="290"/>
      <c r="C720" s="93"/>
      <c r="D720" s="93"/>
      <c r="E720" s="206"/>
      <c r="F720" s="160"/>
      <c r="G720" s="206"/>
      <c r="H720" s="206"/>
      <c r="I720" s="206"/>
      <c r="J720" s="206"/>
      <c r="K720" s="160"/>
      <c r="L720" s="206"/>
      <c r="M720" s="93"/>
      <c r="N720" s="93"/>
      <c r="O720" s="290"/>
      <c r="P720" s="494"/>
      <c r="Q720" s="93"/>
      <c r="R720" s="93"/>
      <c r="S720" s="93"/>
      <c r="T720" s="160"/>
      <c r="U720" s="290"/>
      <c r="V720" s="298"/>
      <c r="W720" s="294"/>
      <c r="X720" s="290"/>
      <c r="Y720" s="206"/>
      <c r="Z720" s="160"/>
      <c r="AA720" s="205"/>
      <c r="AB720" s="93"/>
      <c r="AC720" s="93"/>
      <c r="AD720" s="93"/>
      <c r="AE720" s="290"/>
      <c r="AF720" s="764"/>
      <c r="AG720" s="114"/>
      <c r="AH720" s="51"/>
      <c r="AI720" s="206"/>
      <c r="AJ720" s="206"/>
      <c r="AK720" s="206"/>
      <c r="AL720" s="290"/>
      <c r="AM720" s="290"/>
      <c r="AN720" s="160"/>
      <c r="AO720" s="160"/>
      <c r="AP720" s="160"/>
      <c r="AQ720" s="298"/>
      <c r="AR720" s="290"/>
      <c r="AS720" s="93"/>
      <c r="AT720" s="290"/>
      <c r="AU720" s="294"/>
      <c r="AV720" s="764"/>
      <c r="AW720" s="204"/>
      <c r="AX720" s="298"/>
      <c r="AY720" s="294"/>
      <c r="AZ720" s="206"/>
      <c r="BA720" s="290"/>
      <c r="BB720" s="294"/>
      <c r="BC720" s="298"/>
      <c r="BD720" s="290"/>
      <c r="BE720" s="54"/>
      <c r="BF720" s="298"/>
      <c r="BG720" s="160"/>
      <c r="BH720" s="93"/>
      <c r="BI720" s="93"/>
      <c r="BJ720" s="93"/>
      <c r="BK720" s="294"/>
      <c r="BL720" s="294"/>
      <c r="BM720" s="206"/>
      <c r="BN720" s="93"/>
      <c r="BO720" s="93"/>
      <c r="BP720" s="290"/>
      <c r="BQ720" s="160"/>
      <c r="BR720" s="160"/>
      <c r="BS720" s="205"/>
      <c r="BT720" s="64"/>
      <c r="BU720" s="54"/>
      <c r="BV720" s="205"/>
      <c r="BW720" s="160"/>
      <c r="BX720" s="160"/>
      <c r="BY720" s="290"/>
      <c r="BZ720" s="93"/>
      <c r="CA720" s="93"/>
      <c r="CB720" s="206"/>
      <c r="CC720" s="885"/>
      <c r="CD720" s="885"/>
      <c r="CE720" s="117"/>
      <c r="CF720" s="117"/>
      <c r="CG720" s="117"/>
      <c r="CH720" s="150"/>
      <c r="CI720" s="890"/>
      <c r="CJ720" s="120"/>
      <c r="CK720" s="893"/>
      <c r="CL720" s="890"/>
      <c r="CM720" s="885"/>
      <c r="CN720" s="893"/>
      <c r="CO720" s="878"/>
      <c r="CP720" s="885"/>
      <c r="CQ720" s="890"/>
      <c r="CR720" s="991"/>
      <c r="CS720" s="963"/>
      <c r="CT720" s="885"/>
      <c r="CU720" s="893"/>
      <c r="CV720" s="117"/>
      <c r="CW720" s="893"/>
      <c r="CX720" s="890"/>
      <c r="CY720" s="150"/>
      <c r="CZ720" s="150"/>
      <c r="DA720" s="150"/>
      <c r="DB720" s="893"/>
      <c r="DC720" s="893"/>
      <c r="DD720" s="878"/>
      <c r="DE720" s="878"/>
      <c r="DF720" s="878"/>
      <c r="DG720" s="70"/>
      <c r="DH720" s="362"/>
      <c r="DI720" s="963"/>
      <c r="DJ720" s="893"/>
      <c r="DK720" s="117"/>
      <c r="DL720" s="117"/>
      <c r="DM720" s="117"/>
      <c r="DN720" s="881"/>
      <c r="DO720" s="150"/>
      <c r="DP720" s="878"/>
      <c r="DQ720" s="893"/>
      <c r="DR720" s="885"/>
      <c r="DS720" s="890"/>
      <c r="DT720" s="893"/>
      <c r="DU720" s="150"/>
      <c r="DV720" s="117"/>
      <c r="DW720" s="117"/>
      <c r="DX720" s="364"/>
    </row>
    <row r="721" spans="1:128">
      <c r="A721" s="989"/>
      <c r="B721" s="93"/>
      <c r="C721" s="93"/>
      <c r="D721" s="93"/>
      <c r="E721" s="160"/>
      <c r="F721" s="160"/>
      <c r="G721" s="205"/>
      <c r="H721" s="290"/>
      <c r="I721" s="290"/>
      <c r="J721" s="205"/>
      <c r="K721" s="160"/>
      <c r="L721" s="160"/>
      <c r="M721" s="93"/>
      <c r="N721" s="93"/>
      <c r="O721" s="93"/>
      <c r="P721" s="863"/>
      <c r="Q721" s="93"/>
      <c r="R721" s="93"/>
      <c r="S721" s="93"/>
      <c r="T721" s="160"/>
      <c r="U721" s="205"/>
      <c r="V721" s="205"/>
      <c r="W721" s="294"/>
      <c r="X721" s="290"/>
      <c r="Y721" s="206"/>
      <c r="Z721" s="206"/>
      <c r="AA721" s="205"/>
      <c r="AB721" s="290"/>
      <c r="AC721" s="93"/>
      <c r="AD721" s="93"/>
      <c r="AE721" s="93"/>
      <c r="AF721" s="290"/>
      <c r="AG721" s="114"/>
      <c r="AH721" s="51"/>
      <c r="AI721" s="51"/>
      <c r="AJ721" s="51"/>
      <c r="AK721" s="51"/>
      <c r="AL721" s="294"/>
      <c r="AM721" s="298"/>
      <c r="AN721" s="298"/>
      <c r="AO721" s="294"/>
      <c r="AP721" s="160"/>
      <c r="AQ721" s="290"/>
      <c r="AR721" s="93"/>
      <c r="AS721" s="93"/>
      <c r="AT721" s="93"/>
      <c r="AU721" s="93"/>
      <c r="AV721" s="290"/>
      <c r="AW721" s="298"/>
      <c r="AX721" s="298"/>
      <c r="AY721" s="294"/>
      <c r="AZ721" s="206"/>
      <c r="BA721" s="160"/>
      <c r="BB721" s="290"/>
      <c r="BC721" s="290"/>
      <c r="BD721" s="290"/>
      <c r="BE721" s="291"/>
      <c r="BF721" s="290"/>
      <c r="BG721" s="160"/>
      <c r="BH721" s="93"/>
      <c r="BI721" s="93"/>
      <c r="BJ721" s="93"/>
      <c r="BK721" s="93"/>
      <c r="BL721" s="290"/>
      <c r="BM721" s="112"/>
      <c r="BN721" s="93"/>
      <c r="BO721" s="93"/>
      <c r="BP721" s="160"/>
      <c r="BQ721" s="160"/>
      <c r="BR721" s="205"/>
      <c r="BS721" s="290"/>
      <c r="BT721" s="290"/>
      <c r="BU721" s="205"/>
      <c r="BV721" s="290"/>
      <c r="BW721" s="205"/>
      <c r="BX721" s="160"/>
      <c r="BY721" s="160"/>
      <c r="BZ721" s="93"/>
      <c r="CA721" s="93"/>
      <c r="CB721" s="113"/>
      <c r="CC721" s="893"/>
      <c r="CD721" s="117"/>
      <c r="CE721" s="117"/>
      <c r="CF721" s="117"/>
      <c r="CG721" s="117"/>
      <c r="CH721" s="150"/>
      <c r="CI721" s="893"/>
      <c r="CJ721" s="882"/>
      <c r="CK721" s="893"/>
      <c r="CL721" s="893"/>
      <c r="CM721" s="893"/>
      <c r="CN721" s="150"/>
      <c r="CO721" s="878"/>
      <c r="CP721" s="885"/>
      <c r="CQ721" s="890"/>
      <c r="CR721" s="971"/>
      <c r="CS721" s="966"/>
      <c r="CT721" s="117"/>
      <c r="CU721" s="117"/>
      <c r="CV721" s="117"/>
      <c r="CW721" s="117"/>
      <c r="CX721" s="893"/>
      <c r="CY721" s="150"/>
      <c r="CZ721" s="885"/>
      <c r="DA721" s="890"/>
      <c r="DB721" s="890"/>
      <c r="DC721" s="885"/>
      <c r="DD721" s="70"/>
      <c r="DE721" s="70"/>
      <c r="DF721" s="70"/>
      <c r="DG721" s="70"/>
      <c r="DH721" s="362"/>
      <c r="DI721" s="966"/>
      <c r="DJ721" s="117"/>
      <c r="DK721" s="117"/>
      <c r="DL721" s="117"/>
      <c r="DM721" s="893"/>
      <c r="DN721" s="881"/>
      <c r="DO721" s="878"/>
      <c r="DP721" s="878"/>
      <c r="DQ721" s="893"/>
      <c r="DR721" s="885"/>
      <c r="DS721" s="881"/>
      <c r="DT721" s="881"/>
      <c r="DU721" s="150"/>
      <c r="DV721" s="117"/>
      <c r="DW721" s="117"/>
      <c r="DX721" s="364"/>
    </row>
    <row r="722" spans="1:128">
      <c r="A722" s="699"/>
      <c r="B722" s="93"/>
      <c r="C722" s="93"/>
      <c r="D722" s="290"/>
      <c r="E722" s="160"/>
      <c r="F722" s="205"/>
      <c r="G722" s="290"/>
      <c r="H722" s="294"/>
      <c r="I722" s="294"/>
      <c r="J722" s="290"/>
      <c r="K722" s="205"/>
      <c r="L722" s="160"/>
      <c r="M722" s="160"/>
      <c r="N722" s="93"/>
      <c r="O722" s="93"/>
      <c r="P722" s="79"/>
      <c r="Q722" s="93"/>
      <c r="R722" s="93"/>
      <c r="S722" s="93"/>
      <c r="T722" s="160"/>
      <c r="U722" s="207"/>
      <c r="V722" s="298"/>
      <c r="W722" s="290"/>
      <c r="X722" s="298"/>
      <c r="Y722" s="298"/>
      <c r="Z722" s="294"/>
      <c r="AA722" s="205"/>
      <c r="AB722" s="160"/>
      <c r="AC722" s="93"/>
      <c r="AD722" s="93"/>
      <c r="AE722" s="93"/>
      <c r="AF722" s="93"/>
      <c r="AG722" s="114"/>
      <c r="AH722" s="51"/>
      <c r="AI722" s="51"/>
      <c r="AJ722" s="51"/>
      <c r="AK722" s="51"/>
      <c r="AL722" s="298"/>
      <c r="AM722" s="298"/>
      <c r="AN722" s="298"/>
      <c r="AO722" s="290"/>
      <c r="AP722" s="206"/>
      <c r="AQ722" s="160"/>
      <c r="AR722" s="160"/>
      <c r="AS722" s="93"/>
      <c r="AT722" s="93"/>
      <c r="AU722" s="93"/>
      <c r="AV722" s="93"/>
      <c r="AW722" s="298"/>
      <c r="AX722" s="294"/>
      <c r="AY722" s="93"/>
      <c r="AZ722" s="160"/>
      <c r="BA722" s="160"/>
      <c r="BB722" s="290"/>
      <c r="BC722" s="290"/>
      <c r="BD722" s="290"/>
      <c r="BE722" s="54"/>
      <c r="BF722" s="294"/>
      <c r="BG722" s="160"/>
      <c r="BH722" s="93"/>
      <c r="BI722" s="93"/>
      <c r="BJ722" s="93"/>
      <c r="BK722" s="93"/>
      <c r="BL722" s="93"/>
      <c r="BM722" s="699"/>
      <c r="BN722" s="93"/>
      <c r="BO722" s="93"/>
      <c r="BP722" s="160"/>
      <c r="BQ722" s="290"/>
      <c r="BR722" s="294"/>
      <c r="BS722" s="290"/>
      <c r="BT722" s="64"/>
      <c r="BU722" s="54"/>
      <c r="BV722" s="290"/>
      <c r="BW722" s="294"/>
      <c r="BX722" s="290"/>
      <c r="BY722" s="160"/>
      <c r="BZ722" s="93"/>
      <c r="CA722" s="93"/>
      <c r="CB722" s="79"/>
      <c r="CC722" s="117"/>
      <c r="CD722" s="117"/>
      <c r="CE722" s="117"/>
      <c r="CF722" s="117"/>
      <c r="CG722" s="117"/>
      <c r="CH722" s="150"/>
      <c r="CI722" s="885"/>
      <c r="CJ722" s="120"/>
      <c r="CK722" s="893"/>
      <c r="CL722" s="893"/>
      <c r="CM722" s="893"/>
      <c r="CN722" s="150"/>
      <c r="CO722" s="150"/>
      <c r="CP722" s="117"/>
      <c r="CQ722" s="885"/>
      <c r="CR722" s="971"/>
      <c r="CS722" s="363"/>
      <c r="CT722" s="117"/>
      <c r="CU722" s="117"/>
      <c r="CV722" s="117"/>
      <c r="CW722" s="150"/>
      <c r="CX722" s="150"/>
      <c r="CY722" s="878"/>
      <c r="CZ722" s="893"/>
      <c r="DA722" s="890"/>
      <c r="DB722" s="890"/>
      <c r="DC722" s="890"/>
      <c r="DD722" s="70"/>
      <c r="DE722" s="70"/>
      <c r="DF722" s="70"/>
      <c r="DG722" s="70"/>
      <c r="DH722" s="362"/>
      <c r="DI722" s="363"/>
      <c r="DJ722" s="117"/>
      <c r="DK722" s="117"/>
      <c r="DL722" s="117"/>
      <c r="DM722" s="150"/>
      <c r="DN722" s="881"/>
      <c r="DO722" s="885"/>
      <c r="DP722" s="890"/>
      <c r="DQ722" s="890"/>
      <c r="DR722" s="893"/>
      <c r="DS722" s="890"/>
      <c r="DT722" s="894"/>
      <c r="DU722" s="150"/>
      <c r="DV722" s="117"/>
      <c r="DW722" s="117"/>
      <c r="DX722" s="364"/>
    </row>
    <row r="723" spans="1:128">
      <c r="A723" s="699"/>
      <c r="B723" s="93"/>
      <c r="C723" s="93"/>
      <c r="D723" s="160"/>
      <c r="E723" s="290"/>
      <c r="F723" s="298"/>
      <c r="G723" s="290"/>
      <c r="H723" s="294"/>
      <c r="I723" s="294"/>
      <c r="J723" s="290"/>
      <c r="K723" s="298"/>
      <c r="L723" s="290"/>
      <c r="M723" s="160"/>
      <c r="N723" s="93"/>
      <c r="O723" s="93"/>
      <c r="P723" s="79"/>
      <c r="Q723" s="93"/>
      <c r="R723" s="93"/>
      <c r="S723" s="93"/>
      <c r="T723" s="160"/>
      <c r="U723" s="290"/>
      <c r="V723" s="205"/>
      <c r="W723" s="290"/>
      <c r="X723" s="294"/>
      <c r="Y723" s="294"/>
      <c r="Z723" s="206"/>
      <c r="AA723" s="205"/>
      <c r="AB723" s="160"/>
      <c r="AC723" s="93"/>
      <c r="AD723" s="93"/>
      <c r="AE723" s="93"/>
      <c r="AF723" s="93"/>
      <c r="AG723" s="114"/>
      <c r="AH723" s="51"/>
      <c r="AI723" s="51"/>
      <c r="AJ723" s="51"/>
      <c r="AK723" s="51"/>
      <c r="AL723" s="294"/>
      <c r="AM723" s="294"/>
      <c r="AN723" s="290"/>
      <c r="AO723" s="290"/>
      <c r="AP723" s="206"/>
      <c r="AQ723" s="206"/>
      <c r="AR723" s="160"/>
      <c r="AS723" s="160"/>
      <c r="AT723" s="290"/>
      <c r="AU723" s="298"/>
      <c r="AV723" s="93"/>
      <c r="AW723" s="294"/>
      <c r="AX723" s="93"/>
      <c r="AY723" s="93"/>
      <c r="AZ723" s="206"/>
      <c r="BA723" s="160"/>
      <c r="BB723" s="206"/>
      <c r="BC723" s="294"/>
      <c r="BD723" s="290"/>
      <c r="BE723" s="291"/>
      <c r="BF723" s="290"/>
      <c r="BG723" s="206"/>
      <c r="BH723" s="160"/>
      <c r="BI723" s="93"/>
      <c r="BJ723" s="93"/>
      <c r="BK723" s="93"/>
      <c r="BL723" s="93"/>
      <c r="BM723" s="699"/>
      <c r="BN723" s="207"/>
      <c r="BO723" s="93"/>
      <c r="BP723" s="160"/>
      <c r="BQ723" s="93"/>
      <c r="BR723" s="93"/>
      <c r="BS723" s="290"/>
      <c r="BT723" s="290"/>
      <c r="BU723" s="205"/>
      <c r="BV723" s="205"/>
      <c r="BW723" s="93"/>
      <c r="BX723" s="93"/>
      <c r="BY723" s="160"/>
      <c r="BZ723" s="93"/>
      <c r="CA723" s="207"/>
      <c r="CB723" s="79"/>
      <c r="CC723" s="117"/>
      <c r="CD723" s="117"/>
      <c r="CE723" s="117"/>
      <c r="CF723" s="117"/>
      <c r="CG723" s="150"/>
      <c r="CH723" s="878"/>
      <c r="CI723" s="893"/>
      <c r="CJ723" s="882"/>
      <c r="CK723" s="893"/>
      <c r="CL723" s="885"/>
      <c r="CM723" s="878"/>
      <c r="CN723" s="150"/>
      <c r="CO723" s="878"/>
      <c r="CP723" s="117"/>
      <c r="CQ723" s="117"/>
      <c r="CR723" s="992"/>
      <c r="CS723" s="363"/>
      <c r="CT723" s="890"/>
      <c r="CU723" s="893"/>
      <c r="CV723" s="150"/>
      <c r="CW723" s="150"/>
      <c r="CX723" s="878"/>
      <c r="CY723" s="878"/>
      <c r="CZ723" s="893"/>
      <c r="DA723" s="893"/>
      <c r="DB723" s="885"/>
      <c r="DC723" s="885"/>
      <c r="DD723" s="70"/>
      <c r="DE723" s="70"/>
      <c r="DF723" s="70"/>
      <c r="DG723" s="70"/>
      <c r="DH723" s="362"/>
      <c r="DI723" s="363"/>
      <c r="DJ723" s="117"/>
      <c r="DK723" s="117"/>
      <c r="DL723" s="117"/>
      <c r="DM723" s="150"/>
      <c r="DN723" s="881"/>
      <c r="DO723" s="878"/>
      <c r="DP723" s="885"/>
      <c r="DQ723" s="885"/>
      <c r="DR723" s="893"/>
      <c r="DS723" s="881"/>
      <c r="DT723" s="893"/>
      <c r="DU723" s="150"/>
      <c r="DV723" s="117"/>
      <c r="DW723" s="117"/>
      <c r="DX723" s="364"/>
    </row>
    <row r="724" spans="1:128">
      <c r="A724" s="699"/>
      <c r="B724" s="93"/>
      <c r="C724" s="207"/>
      <c r="D724" s="160"/>
      <c r="E724" s="93"/>
      <c r="F724" s="93"/>
      <c r="G724" s="298"/>
      <c r="H724" s="290"/>
      <c r="I724" s="205"/>
      <c r="J724" s="298"/>
      <c r="K724" s="93"/>
      <c r="L724" s="93"/>
      <c r="M724" s="160"/>
      <c r="N724" s="207"/>
      <c r="O724" s="93"/>
      <c r="P724" s="79"/>
      <c r="Q724" s="93"/>
      <c r="R724" s="93"/>
      <c r="S724" s="93"/>
      <c r="T724" s="160"/>
      <c r="U724" s="290"/>
      <c r="V724" s="298"/>
      <c r="W724" s="290"/>
      <c r="X724" s="298"/>
      <c r="Y724" s="294"/>
      <c r="Z724" s="206"/>
      <c r="AA724" s="93"/>
      <c r="AB724" s="290"/>
      <c r="AC724" s="290"/>
      <c r="AD724" s="207"/>
      <c r="AE724" s="93"/>
      <c r="AF724" s="93"/>
      <c r="AG724" s="114"/>
      <c r="AH724" s="51"/>
      <c r="AI724" s="51"/>
      <c r="AJ724" s="51"/>
      <c r="AK724" s="51"/>
      <c r="AL724" s="51"/>
      <c r="AM724" s="298"/>
      <c r="AN724" s="298"/>
      <c r="AO724" s="290"/>
      <c r="AP724" s="290"/>
      <c r="AQ724" s="294"/>
      <c r="AR724" s="93"/>
      <c r="AS724" s="206"/>
      <c r="AT724" s="298"/>
      <c r="AU724" s="93"/>
      <c r="AV724" s="93"/>
      <c r="AW724" s="699"/>
      <c r="AX724" s="93"/>
      <c r="AY724" s="93"/>
      <c r="AZ724" s="290"/>
      <c r="BA724" s="160"/>
      <c r="BB724" s="160"/>
      <c r="BC724" s="290"/>
      <c r="BD724" s="290"/>
      <c r="BE724" s="54"/>
      <c r="BF724" s="294"/>
      <c r="BG724" s="93"/>
      <c r="BH724" s="160"/>
      <c r="BI724" s="298"/>
      <c r="BJ724" s="207"/>
      <c r="BK724" s="93"/>
      <c r="BL724" s="93"/>
      <c r="BM724" s="699"/>
      <c r="BN724" s="298"/>
      <c r="BO724" s="298"/>
      <c r="BP724" s="290"/>
      <c r="BQ724" s="93"/>
      <c r="BR724" s="93"/>
      <c r="BS724" s="294"/>
      <c r="BT724" s="54"/>
      <c r="BU724" s="291"/>
      <c r="BV724" s="294"/>
      <c r="BW724" s="93"/>
      <c r="BX724" s="93"/>
      <c r="BY724" s="290"/>
      <c r="BZ724" s="298"/>
      <c r="CA724" s="298"/>
      <c r="CB724" s="79"/>
      <c r="CC724" s="117"/>
      <c r="CD724" s="117"/>
      <c r="CE724" s="894"/>
      <c r="CF724" s="890"/>
      <c r="CG724" s="150"/>
      <c r="CH724" s="117"/>
      <c r="CI724" s="885"/>
      <c r="CJ724" s="120"/>
      <c r="CK724" s="893"/>
      <c r="CL724" s="893"/>
      <c r="CM724" s="150"/>
      <c r="CN724" s="150"/>
      <c r="CO724" s="893"/>
      <c r="CP724" s="117"/>
      <c r="CQ724" s="117"/>
      <c r="CR724" s="364"/>
      <c r="CS724" s="363"/>
      <c r="CT724" s="117"/>
      <c r="CU724" s="890"/>
      <c r="CV724" s="878"/>
      <c r="CW724" s="117"/>
      <c r="CX724" s="885"/>
      <c r="CY724" s="893"/>
      <c r="CZ724" s="893"/>
      <c r="DA724" s="890"/>
      <c r="DB724" s="890"/>
      <c r="DC724" s="70"/>
      <c r="DD724" s="70"/>
      <c r="DE724" s="70"/>
      <c r="DF724" s="70"/>
      <c r="DG724" s="70"/>
      <c r="DH724" s="362"/>
      <c r="DI724" s="363"/>
      <c r="DJ724" s="117"/>
      <c r="DK724" s="894"/>
      <c r="DL724" s="893"/>
      <c r="DM724" s="893"/>
      <c r="DN724" s="117"/>
      <c r="DO724" s="878"/>
      <c r="DP724" s="885"/>
      <c r="DQ724" s="890"/>
      <c r="DR724" s="893"/>
      <c r="DS724" s="890"/>
      <c r="DT724" s="893"/>
      <c r="DU724" s="150"/>
      <c r="DV724" s="117"/>
      <c r="DW724" s="117"/>
      <c r="DX724" s="364"/>
    </row>
    <row r="725" spans="1:128">
      <c r="A725" s="699"/>
      <c r="B725" s="93"/>
      <c r="C725" s="298"/>
      <c r="D725" s="290"/>
      <c r="E725" s="93"/>
      <c r="F725" s="93"/>
      <c r="G725" s="205"/>
      <c r="H725" s="290"/>
      <c r="I725" s="290"/>
      <c r="J725" s="205"/>
      <c r="K725" s="93"/>
      <c r="L725" s="93"/>
      <c r="M725" s="290"/>
      <c r="N725" s="298"/>
      <c r="O725" s="93"/>
      <c r="P725" s="79"/>
      <c r="Q725" s="93"/>
      <c r="R725" s="93"/>
      <c r="S725" s="93"/>
      <c r="T725" s="160"/>
      <c r="U725" s="160"/>
      <c r="V725" s="290"/>
      <c r="W725" s="290"/>
      <c r="X725" s="290"/>
      <c r="Y725" s="294"/>
      <c r="Z725" s="93"/>
      <c r="AA725" s="93"/>
      <c r="AB725" s="93"/>
      <c r="AC725" s="290"/>
      <c r="AD725" s="298"/>
      <c r="AE725" s="93"/>
      <c r="AF725" s="93"/>
      <c r="AG725" s="114"/>
      <c r="AH725" s="51"/>
      <c r="AI725" s="51"/>
      <c r="AJ725" s="51"/>
      <c r="AK725" s="51"/>
      <c r="AL725" s="51"/>
      <c r="AM725" s="205"/>
      <c r="AN725" s="290"/>
      <c r="AO725" s="294"/>
      <c r="AP725" s="290"/>
      <c r="AQ725" s="93"/>
      <c r="AR725" s="206"/>
      <c r="AS725" s="160"/>
      <c r="AT725" s="93"/>
      <c r="AU725" s="93"/>
      <c r="AV725" s="93"/>
      <c r="AW725" s="699"/>
      <c r="AX725" s="93"/>
      <c r="AY725" s="93"/>
      <c r="AZ725" s="206"/>
      <c r="BA725" s="206"/>
      <c r="BB725" s="160"/>
      <c r="BC725" s="298"/>
      <c r="BD725" s="207"/>
      <c r="BE725" s="291"/>
      <c r="BF725" s="294"/>
      <c r="BG725" s="93"/>
      <c r="BH725" s="160"/>
      <c r="BI725" s="290"/>
      <c r="BJ725" s="93"/>
      <c r="BK725" s="93"/>
      <c r="BL725" s="93"/>
      <c r="BM725" s="699"/>
      <c r="BN725" s="93"/>
      <c r="BO725" s="160"/>
      <c r="BP725" s="160"/>
      <c r="BQ725" s="93"/>
      <c r="BR725" s="93"/>
      <c r="BS725" s="205"/>
      <c r="BT725" s="290"/>
      <c r="BU725" s="205"/>
      <c r="BV725" s="205"/>
      <c r="BW725" s="93"/>
      <c r="BX725" s="93"/>
      <c r="BY725" s="160"/>
      <c r="BZ725" s="290"/>
      <c r="CA725" s="93"/>
      <c r="CB725" s="79"/>
      <c r="CC725" s="117"/>
      <c r="CD725" s="117"/>
      <c r="CE725" s="117"/>
      <c r="CF725" s="893"/>
      <c r="CG725" s="150"/>
      <c r="CH725" s="117"/>
      <c r="CI725" s="885"/>
      <c r="CJ725" s="882"/>
      <c r="CK725" s="894"/>
      <c r="CL725" s="890"/>
      <c r="CM725" s="150"/>
      <c r="CN725" s="878"/>
      <c r="CO725" s="878"/>
      <c r="CP725" s="117"/>
      <c r="CQ725" s="117"/>
      <c r="CR725" s="364"/>
      <c r="CS725" s="363"/>
      <c r="CT725" s="117"/>
      <c r="CU725" s="117"/>
      <c r="CV725" s="150"/>
      <c r="CW725" s="878"/>
      <c r="CX725" s="117"/>
      <c r="CY725" s="893"/>
      <c r="CZ725" s="885"/>
      <c r="DA725" s="893"/>
      <c r="DB725" s="881"/>
      <c r="DC725" s="70"/>
      <c r="DD725" s="70"/>
      <c r="DE725" s="70"/>
      <c r="DF725" s="70"/>
      <c r="DG725" s="70"/>
      <c r="DH725" s="362"/>
      <c r="DI725" s="363"/>
      <c r="DJ725" s="117"/>
      <c r="DK725" s="890"/>
      <c r="DL725" s="893"/>
      <c r="DM725" s="117"/>
      <c r="DN725" s="117"/>
      <c r="DO725" s="117"/>
      <c r="DP725" s="885"/>
      <c r="DQ725" s="893"/>
      <c r="DR725" s="893"/>
      <c r="DS725" s="893"/>
      <c r="DT725" s="150"/>
      <c r="DU725" s="150"/>
      <c r="DV725" s="117"/>
      <c r="DW725" s="117"/>
      <c r="DX725" s="364"/>
    </row>
    <row r="726" spans="1:128">
      <c r="A726" s="699"/>
      <c r="B726" s="93"/>
      <c r="C726" s="160"/>
      <c r="D726" s="160"/>
      <c r="E726" s="93"/>
      <c r="F726" s="93"/>
      <c r="G726" s="298"/>
      <c r="H726" s="290"/>
      <c r="I726" s="205"/>
      <c r="J726" s="298"/>
      <c r="K726" s="93"/>
      <c r="L726" s="93"/>
      <c r="M726" s="160"/>
      <c r="N726" s="290"/>
      <c r="O726" s="93"/>
      <c r="P726" s="79"/>
      <c r="Q726" s="93"/>
      <c r="R726" s="93"/>
      <c r="S726" s="160"/>
      <c r="T726" s="160"/>
      <c r="U726" s="93"/>
      <c r="V726" s="298"/>
      <c r="W726" s="290"/>
      <c r="X726" s="298"/>
      <c r="Y726" s="294"/>
      <c r="Z726" s="93"/>
      <c r="AA726" s="93"/>
      <c r="AB726" s="93"/>
      <c r="AC726" s="160"/>
      <c r="AD726" s="160"/>
      <c r="AE726" s="93"/>
      <c r="AF726" s="93"/>
      <c r="AG726" s="114"/>
      <c r="AH726" s="51"/>
      <c r="AI726" s="51"/>
      <c r="AJ726" s="51"/>
      <c r="AK726" s="51"/>
      <c r="AL726" s="160"/>
      <c r="AM726" s="160"/>
      <c r="AN726" s="160"/>
      <c r="AO726" s="205"/>
      <c r="AP726" s="160"/>
      <c r="AQ726" s="206"/>
      <c r="AR726" s="160"/>
      <c r="AS726" s="93"/>
      <c r="AT726" s="93"/>
      <c r="AU726" s="93"/>
      <c r="AV726" s="93"/>
      <c r="AW726" s="699"/>
      <c r="AX726" s="93"/>
      <c r="AY726" s="93"/>
      <c r="AZ726" s="206"/>
      <c r="BA726" s="160"/>
      <c r="BB726" s="160"/>
      <c r="BC726" s="290"/>
      <c r="BD726" s="294"/>
      <c r="BE726" s="54"/>
      <c r="BF726" s="93"/>
      <c r="BG726" s="160"/>
      <c r="BH726" s="206"/>
      <c r="BI726" s="93"/>
      <c r="BJ726" s="93"/>
      <c r="BK726" s="93"/>
      <c r="BL726" s="93"/>
      <c r="BM726" s="699"/>
      <c r="BN726" s="93"/>
      <c r="BO726" s="93"/>
      <c r="BP726" s="290"/>
      <c r="BQ726" s="93"/>
      <c r="BR726" s="93"/>
      <c r="BS726" s="294"/>
      <c r="BT726" s="54"/>
      <c r="BU726" s="290"/>
      <c r="BV726" s="294"/>
      <c r="BW726" s="93"/>
      <c r="BX726" s="93"/>
      <c r="BY726" s="290"/>
      <c r="BZ726" s="93"/>
      <c r="CA726" s="93"/>
      <c r="CB726" s="79"/>
      <c r="CC726" s="117"/>
      <c r="CD726" s="117"/>
      <c r="CE726" s="117"/>
      <c r="CF726" s="117"/>
      <c r="CG726" s="878"/>
      <c r="CH726" s="150"/>
      <c r="CI726" s="117"/>
      <c r="CJ726" s="120"/>
      <c r="CK726" s="885"/>
      <c r="CL726" s="893"/>
      <c r="CM726" s="150"/>
      <c r="CN726" s="150"/>
      <c r="CO726" s="878"/>
      <c r="CP726" s="117"/>
      <c r="CQ726" s="117"/>
      <c r="CR726" s="364"/>
      <c r="CS726" s="363"/>
      <c r="CT726" s="117"/>
      <c r="CU726" s="117"/>
      <c r="CV726" s="117"/>
      <c r="CW726" s="150"/>
      <c r="CX726" s="878"/>
      <c r="CY726" s="150"/>
      <c r="CZ726" s="881"/>
      <c r="DA726" s="150"/>
      <c r="DB726" s="150"/>
      <c r="DC726" s="150"/>
      <c r="DD726" s="70"/>
      <c r="DE726" s="70"/>
      <c r="DF726" s="70"/>
      <c r="DG726" s="70"/>
      <c r="DH726" s="362"/>
      <c r="DI726" s="363"/>
      <c r="DJ726" s="117"/>
      <c r="DK726" s="150"/>
      <c r="DL726" s="150"/>
      <c r="DM726" s="117"/>
      <c r="DN726" s="117"/>
      <c r="DO726" s="117"/>
      <c r="DP726" s="885"/>
      <c r="DQ726" s="890"/>
      <c r="DR726" s="893"/>
      <c r="DS726" s="890"/>
      <c r="DT726" s="117"/>
      <c r="DU726" s="150"/>
      <c r="DV726" s="150"/>
      <c r="DW726" s="117"/>
      <c r="DX726" s="364"/>
    </row>
    <row r="727" spans="1:128">
      <c r="A727" s="699"/>
      <c r="B727" s="93"/>
      <c r="C727" s="93"/>
      <c r="D727" s="290"/>
      <c r="E727" s="93"/>
      <c r="F727" s="93"/>
      <c r="G727" s="205"/>
      <c r="H727" s="290"/>
      <c r="I727" s="290"/>
      <c r="J727" s="205"/>
      <c r="K727" s="93"/>
      <c r="L727" s="93"/>
      <c r="M727" s="290"/>
      <c r="N727" s="93"/>
      <c r="O727" s="93"/>
      <c r="P727" s="79"/>
      <c r="Q727" s="93"/>
      <c r="R727" s="93"/>
      <c r="S727" s="160"/>
      <c r="T727" s="93"/>
      <c r="U727" s="93"/>
      <c r="V727" s="290"/>
      <c r="W727" s="290"/>
      <c r="X727" s="290"/>
      <c r="Y727" s="290"/>
      <c r="Z727" s="93"/>
      <c r="AA727" s="93"/>
      <c r="AB727" s="93"/>
      <c r="AC727" s="160"/>
      <c r="AD727" s="160"/>
      <c r="AE727" s="93"/>
      <c r="AF727" s="93"/>
      <c r="AG727" s="114"/>
      <c r="AH727" s="51"/>
      <c r="AI727" s="51"/>
      <c r="AJ727" s="51"/>
      <c r="AK727" s="51"/>
      <c r="AL727" s="160"/>
      <c r="AM727" s="160"/>
      <c r="AN727" s="160"/>
      <c r="AO727" s="205"/>
      <c r="AP727" s="206"/>
      <c r="AQ727" s="160"/>
      <c r="AR727" s="93"/>
      <c r="AS727" s="93"/>
      <c r="AT727" s="93"/>
      <c r="AU727" s="93"/>
      <c r="AV727" s="93"/>
      <c r="AW727" s="699"/>
      <c r="AX727" s="93"/>
      <c r="AY727" s="93"/>
      <c r="AZ727" s="93"/>
      <c r="BA727" s="160"/>
      <c r="BB727" s="290"/>
      <c r="BC727" s="160"/>
      <c r="BD727" s="160"/>
      <c r="BE727" s="160"/>
      <c r="BF727" s="160"/>
      <c r="BG727" s="206"/>
      <c r="BH727" s="93"/>
      <c r="BI727" s="93"/>
      <c r="BJ727" s="93"/>
      <c r="BK727" s="93"/>
      <c r="BL727" s="93"/>
      <c r="BM727" s="699"/>
      <c r="BN727" s="93"/>
      <c r="BO727" s="93"/>
      <c r="BP727" s="160"/>
      <c r="BQ727" s="93"/>
      <c r="BR727" s="290"/>
      <c r="BS727" s="160"/>
      <c r="BT727" s="160"/>
      <c r="BU727" s="160"/>
      <c r="BV727" s="160"/>
      <c r="BW727" s="290"/>
      <c r="BX727" s="93"/>
      <c r="BY727" s="160"/>
      <c r="BZ727" s="93"/>
      <c r="CA727" s="93"/>
      <c r="CB727" s="79"/>
      <c r="CC727" s="117"/>
      <c r="CD727" s="117"/>
      <c r="CE727" s="117"/>
      <c r="CF727" s="117"/>
      <c r="CG727" s="117"/>
      <c r="CH727" s="878"/>
      <c r="CI727" s="150"/>
      <c r="CJ727" s="150"/>
      <c r="CK727" s="150"/>
      <c r="CL727" s="150"/>
      <c r="CM727" s="893"/>
      <c r="CN727" s="150"/>
      <c r="CO727" s="117"/>
      <c r="CP727" s="117"/>
      <c r="CQ727" s="117"/>
      <c r="CR727" s="364"/>
      <c r="CS727" s="363"/>
      <c r="CT727" s="117"/>
      <c r="CU727" s="117"/>
      <c r="CV727" s="117"/>
      <c r="CW727" s="117"/>
      <c r="CX727" s="150"/>
      <c r="CY727" s="878"/>
      <c r="CZ727" s="881"/>
      <c r="DA727" s="150"/>
      <c r="DB727" s="150"/>
      <c r="DC727" s="150"/>
      <c r="DD727" s="70"/>
      <c r="DE727" s="70"/>
      <c r="DF727" s="70"/>
      <c r="DG727" s="70"/>
      <c r="DH727" s="362"/>
      <c r="DI727" s="363"/>
      <c r="DJ727" s="117"/>
      <c r="DK727" s="150"/>
      <c r="DL727" s="150"/>
      <c r="DM727" s="117"/>
      <c r="DN727" s="117"/>
      <c r="DO727" s="117"/>
      <c r="DP727" s="893"/>
      <c r="DQ727" s="893"/>
      <c r="DR727" s="893"/>
      <c r="DS727" s="893"/>
      <c r="DT727" s="117"/>
      <c r="DU727" s="117"/>
      <c r="DV727" s="150"/>
      <c r="DW727" s="117"/>
      <c r="DX727" s="364"/>
    </row>
    <row r="728" spans="1:128">
      <c r="A728" s="699"/>
      <c r="B728" s="93"/>
      <c r="C728" s="93"/>
      <c r="D728" s="160"/>
      <c r="E728" s="93"/>
      <c r="F728" s="290"/>
      <c r="G728" s="160"/>
      <c r="H728" s="160"/>
      <c r="I728" s="160"/>
      <c r="J728" s="160"/>
      <c r="K728" s="290"/>
      <c r="L728" s="93"/>
      <c r="M728" s="160"/>
      <c r="N728" s="93"/>
      <c r="O728" s="93"/>
      <c r="P728" s="79"/>
      <c r="Q728" s="93"/>
      <c r="R728" s="93"/>
      <c r="S728" s="160"/>
      <c r="T728" s="93"/>
      <c r="U728" s="93"/>
      <c r="V728" s="160"/>
      <c r="W728" s="160"/>
      <c r="X728" s="160"/>
      <c r="Y728" s="160"/>
      <c r="Z728" s="93"/>
      <c r="AA728" s="93"/>
      <c r="AB728" s="93"/>
      <c r="AC728" s="160"/>
      <c r="AD728" s="93"/>
      <c r="AE728" s="93"/>
      <c r="AF728" s="93"/>
      <c r="AG728" s="114"/>
      <c r="AH728" s="51"/>
      <c r="AI728" s="51"/>
      <c r="AJ728" s="160"/>
      <c r="AK728" s="160"/>
      <c r="AL728" s="205"/>
      <c r="AM728" s="160"/>
      <c r="AN728" s="205"/>
      <c r="AO728" s="206"/>
      <c r="AP728" s="160"/>
      <c r="AQ728" s="93"/>
      <c r="AR728" s="93"/>
      <c r="AS728" s="93"/>
      <c r="AT728" s="93"/>
      <c r="AU728" s="93"/>
      <c r="AV728" s="93"/>
      <c r="AW728" s="699"/>
      <c r="AX728" s="93"/>
      <c r="AY728" s="93"/>
      <c r="AZ728" s="160"/>
      <c r="BA728" s="290"/>
      <c r="BB728" s="204"/>
      <c r="BC728" s="204"/>
      <c r="BD728" s="298"/>
      <c r="BE728" s="294"/>
      <c r="BF728" s="294"/>
      <c r="BG728" s="290"/>
      <c r="BH728" s="93"/>
      <c r="BI728" s="93"/>
      <c r="BJ728" s="93"/>
      <c r="BK728" s="93"/>
      <c r="BL728" s="93"/>
      <c r="BM728" s="699"/>
      <c r="BN728" s="93"/>
      <c r="BO728" s="93"/>
      <c r="BP728" s="160"/>
      <c r="BQ728" s="290"/>
      <c r="BR728" s="290"/>
      <c r="BS728" s="294"/>
      <c r="BT728" s="294"/>
      <c r="BU728" s="294"/>
      <c r="BV728" s="294"/>
      <c r="BW728" s="290"/>
      <c r="BX728" s="290"/>
      <c r="BY728" s="160"/>
      <c r="BZ728" s="93"/>
      <c r="CA728" s="93"/>
      <c r="CB728" s="79"/>
      <c r="CC728" s="117"/>
      <c r="CD728" s="117"/>
      <c r="CE728" s="117"/>
      <c r="CF728" s="117"/>
      <c r="CG728" s="117"/>
      <c r="CH728" s="893"/>
      <c r="CI728" s="885"/>
      <c r="CJ728" s="885"/>
      <c r="CK728" s="890"/>
      <c r="CL728" s="961"/>
      <c r="CM728" s="961"/>
      <c r="CN728" s="893"/>
      <c r="CO728" s="150"/>
      <c r="CP728" s="117"/>
      <c r="CQ728" s="117"/>
      <c r="CR728" s="364"/>
      <c r="CS728" s="363"/>
      <c r="CT728" s="117"/>
      <c r="CU728" s="117"/>
      <c r="CV728" s="117"/>
      <c r="CW728" s="117"/>
      <c r="CX728" s="117"/>
      <c r="CY728" s="150"/>
      <c r="CZ728" s="878"/>
      <c r="DA728" s="881"/>
      <c r="DB728" s="150"/>
      <c r="DC728" s="881"/>
      <c r="DD728" s="150"/>
      <c r="DE728" s="150"/>
      <c r="DF728" s="70"/>
      <c r="DG728" s="70"/>
      <c r="DH728" s="362"/>
      <c r="DI728" s="363"/>
      <c r="DJ728" s="117"/>
      <c r="DK728" s="117"/>
      <c r="DL728" s="150"/>
      <c r="DM728" s="117"/>
      <c r="DN728" s="117"/>
      <c r="DO728" s="117"/>
      <c r="DP728" s="150"/>
      <c r="DQ728" s="150"/>
      <c r="DR728" s="150"/>
      <c r="DS728" s="150"/>
      <c r="DT728" s="117"/>
      <c r="DU728" s="117"/>
      <c r="DV728" s="150"/>
      <c r="DW728" s="117"/>
      <c r="DX728" s="364"/>
    </row>
    <row r="729" spans="1:128">
      <c r="A729" s="699"/>
      <c r="B729" s="93"/>
      <c r="C729" s="93"/>
      <c r="D729" s="160"/>
      <c r="E729" s="290"/>
      <c r="F729" s="298"/>
      <c r="G729" s="290"/>
      <c r="H729" s="205"/>
      <c r="I729" s="205"/>
      <c r="J729" s="290"/>
      <c r="K729" s="298"/>
      <c r="L729" s="290"/>
      <c r="M729" s="160"/>
      <c r="N729" s="93"/>
      <c r="O729" s="93"/>
      <c r="P729" s="79"/>
      <c r="Q729" s="93"/>
      <c r="R729" s="160"/>
      <c r="S729" s="160"/>
      <c r="T729" s="294"/>
      <c r="U729" s="294"/>
      <c r="V729" s="298"/>
      <c r="W729" s="294"/>
      <c r="X729" s="298"/>
      <c r="Y729" s="294"/>
      <c r="Z729" s="206"/>
      <c r="AA729" s="93"/>
      <c r="AB729" s="160"/>
      <c r="AC729" s="160"/>
      <c r="AD729" s="93"/>
      <c r="AE729" s="93"/>
      <c r="AF729" s="93"/>
      <c r="AG729" s="114"/>
      <c r="AH729" s="51"/>
      <c r="AI729" s="207"/>
      <c r="AJ729" s="51"/>
      <c r="AK729" s="51"/>
      <c r="AL729" s="298"/>
      <c r="AM729" s="294"/>
      <c r="AN729" s="206"/>
      <c r="AO729" s="160"/>
      <c r="AP729" s="290"/>
      <c r="AQ729" s="206"/>
      <c r="AR729" s="93"/>
      <c r="AS729" s="93"/>
      <c r="AT729" s="93"/>
      <c r="AU729" s="93"/>
      <c r="AV729" s="93"/>
      <c r="AW729" s="699"/>
      <c r="AX729" s="160"/>
      <c r="AY729" s="160"/>
      <c r="AZ729" s="290"/>
      <c r="BA729" s="298"/>
      <c r="BB729" s="298"/>
      <c r="BC729" s="294"/>
      <c r="BD729" s="290"/>
      <c r="BE729" s="290"/>
      <c r="BF729" s="294"/>
      <c r="BG729" s="206"/>
      <c r="BH729" s="93"/>
      <c r="BI729" s="93"/>
      <c r="BJ729" s="93"/>
      <c r="BK729" s="93"/>
      <c r="BL729" s="93"/>
      <c r="BM729" s="699"/>
      <c r="BN729" s="93"/>
      <c r="BO729" s="160"/>
      <c r="BP729" s="160"/>
      <c r="BQ729" s="290"/>
      <c r="BR729" s="294"/>
      <c r="BS729" s="294"/>
      <c r="BT729" s="290"/>
      <c r="BU729" s="290"/>
      <c r="BV729" s="294"/>
      <c r="BW729" s="294"/>
      <c r="BX729" s="290"/>
      <c r="BY729" s="290"/>
      <c r="BZ729" s="160"/>
      <c r="CA729" s="93"/>
      <c r="CB729" s="79"/>
      <c r="CC729" s="117"/>
      <c r="CD729" s="117"/>
      <c r="CE729" s="117"/>
      <c r="CF729" s="117"/>
      <c r="CG729" s="117"/>
      <c r="CH729" s="878"/>
      <c r="CI729" s="885"/>
      <c r="CJ729" s="893"/>
      <c r="CK729" s="893"/>
      <c r="CL729" s="885"/>
      <c r="CM729" s="890"/>
      <c r="CN729" s="890"/>
      <c r="CO729" s="893"/>
      <c r="CP729" s="150"/>
      <c r="CQ729" s="150"/>
      <c r="CR729" s="364"/>
      <c r="CS729" s="363"/>
      <c r="CT729" s="117"/>
      <c r="CU729" s="117"/>
      <c r="CV729" s="117"/>
      <c r="CW729" s="117"/>
      <c r="CX729" s="878"/>
      <c r="CY729" s="893"/>
      <c r="CZ729" s="150"/>
      <c r="DA729" s="878"/>
      <c r="DB729" s="885"/>
      <c r="DC729" s="890"/>
      <c r="DD729" s="70"/>
      <c r="DE729" s="70"/>
      <c r="DF729" s="894"/>
      <c r="DG729" s="70"/>
      <c r="DH729" s="362"/>
      <c r="DI729" s="363"/>
      <c r="DJ729" s="117"/>
      <c r="DK729" s="117"/>
      <c r="DL729" s="150"/>
      <c r="DM729" s="150"/>
      <c r="DN729" s="117"/>
      <c r="DO729" s="878"/>
      <c r="DP729" s="885"/>
      <c r="DQ729" s="890"/>
      <c r="DR729" s="885"/>
      <c r="DS729" s="890"/>
      <c r="DT729" s="885"/>
      <c r="DU729" s="885"/>
      <c r="DV729" s="150"/>
      <c r="DW729" s="150"/>
      <c r="DX729" s="364"/>
    </row>
    <row r="730" spans="1:128">
      <c r="A730" s="699"/>
      <c r="B730" s="93"/>
      <c r="C730" s="160"/>
      <c r="D730" s="160"/>
      <c r="E730" s="298"/>
      <c r="F730" s="294"/>
      <c r="G730" s="294"/>
      <c r="H730" s="290"/>
      <c r="I730" s="290"/>
      <c r="J730" s="294"/>
      <c r="K730" s="294"/>
      <c r="L730" s="298"/>
      <c r="M730" s="160"/>
      <c r="N730" s="160"/>
      <c r="O730" s="93"/>
      <c r="P730" s="79"/>
      <c r="Q730" s="93"/>
      <c r="R730" s="160"/>
      <c r="S730" s="93"/>
      <c r="T730" s="294"/>
      <c r="U730" s="298"/>
      <c r="V730" s="294"/>
      <c r="W730" s="294"/>
      <c r="X730" s="298"/>
      <c r="Y730" s="294"/>
      <c r="Z730" s="290"/>
      <c r="AA730" s="160"/>
      <c r="AB730" s="290"/>
      <c r="AC730" s="93"/>
      <c r="AD730" s="93"/>
      <c r="AE730" s="93"/>
      <c r="AF730" s="93"/>
      <c r="AG730" s="114"/>
      <c r="AH730" s="51"/>
      <c r="AI730" s="51"/>
      <c r="AJ730" s="207"/>
      <c r="AK730" s="294"/>
      <c r="AL730" s="160"/>
      <c r="AM730" s="160"/>
      <c r="AN730" s="160"/>
      <c r="AO730" s="290"/>
      <c r="AP730" s="290"/>
      <c r="AQ730" s="294"/>
      <c r="AR730" s="93"/>
      <c r="AS730" s="93"/>
      <c r="AT730" s="93"/>
      <c r="AU730" s="93"/>
      <c r="AV730" s="93"/>
      <c r="AW730" s="967"/>
      <c r="AX730" s="93"/>
      <c r="AY730" s="290"/>
      <c r="AZ730" s="298"/>
      <c r="BA730" s="298"/>
      <c r="BB730" s="294"/>
      <c r="BC730" s="290"/>
      <c r="BD730" s="206"/>
      <c r="BE730" s="294"/>
      <c r="BF730" s="206"/>
      <c r="BG730" s="93"/>
      <c r="BH730" s="93"/>
      <c r="BI730" s="93"/>
      <c r="BJ730" s="93"/>
      <c r="BK730" s="93"/>
      <c r="BL730" s="93"/>
      <c r="BM730" s="699"/>
      <c r="BN730" s="93"/>
      <c r="BO730" s="160"/>
      <c r="BP730" s="290"/>
      <c r="BQ730" s="290"/>
      <c r="BR730" s="290"/>
      <c r="BS730" s="290"/>
      <c r="BT730" s="205"/>
      <c r="BU730" s="205"/>
      <c r="BV730" s="290"/>
      <c r="BW730" s="290"/>
      <c r="BX730" s="290"/>
      <c r="BY730" s="290"/>
      <c r="BZ730" s="160"/>
      <c r="CA730" s="93"/>
      <c r="CB730" s="79"/>
      <c r="CC730" s="117"/>
      <c r="CD730" s="117"/>
      <c r="CE730" s="117"/>
      <c r="CF730" s="117"/>
      <c r="CG730" s="117"/>
      <c r="CH730" s="117"/>
      <c r="CI730" s="878"/>
      <c r="CJ730" s="885"/>
      <c r="CK730" s="878"/>
      <c r="CL730" s="893"/>
      <c r="CM730" s="885"/>
      <c r="CN730" s="890"/>
      <c r="CO730" s="890"/>
      <c r="CP730" s="893"/>
      <c r="CQ730" s="117"/>
      <c r="CR730" s="968"/>
      <c r="CS730" s="363"/>
      <c r="CT730" s="117"/>
      <c r="CU730" s="117"/>
      <c r="CV730" s="117"/>
      <c r="CW730" s="117"/>
      <c r="CX730" s="885"/>
      <c r="CY730" s="893"/>
      <c r="CZ730" s="893"/>
      <c r="DA730" s="150"/>
      <c r="DB730" s="150"/>
      <c r="DC730" s="150"/>
      <c r="DD730" s="885"/>
      <c r="DE730" s="894"/>
      <c r="DF730" s="70"/>
      <c r="DG730" s="70"/>
      <c r="DH730" s="362"/>
      <c r="DI730" s="363"/>
      <c r="DJ730" s="117"/>
      <c r="DK730" s="117"/>
      <c r="DL730" s="117"/>
      <c r="DM730" s="893"/>
      <c r="DN730" s="150"/>
      <c r="DO730" s="893"/>
      <c r="DP730" s="885"/>
      <c r="DQ730" s="890"/>
      <c r="DR730" s="885"/>
      <c r="DS730" s="885"/>
      <c r="DT730" s="890"/>
      <c r="DU730" s="885"/>
      <c r="DV730" s="117"/>
      <c r="DW730" s="150"/>
      <c r="DX730" s="364"/>
    </row>
    <row r="731" spans="1:128">
      <c r="A731" s="699"/>
      <c r="B731" s="93"/>
      <c r="C731" s="160"/>
      <c r="D731" s="294"/>
      <c r="E731" s="160"/>
      <c r="F731" s="294"/>
      <c r="G731" s="290"/>
      <c r="H731" s="205"/>
      <c r="I731" s="205"/>
      <c r="J731" s="290"/>
      <c r="K731" s="294"/>
      <c r="L731" s="160"/>
      <c r="M731" s="294"/>
      <c r="N731" s="160"/>
      <c r="O731" s="93"/>
      <c r="P731" s="79"/>
      <c r="Q731" s="93"/>
      <c r="R731" s="298"/>
      <c r="S731" s="298"/>
      <c r="T731" s="298"/>
      <c r="U731" s="294"/>
      <c r="V731" s="290"/>
      <c r="W731" s="290"/>
      <c r="X731" s="298"/>
      <c r="Y731" s="294"/>
      <c r="Z731" s="290"/>
      <c r="AA731" s="160"/>
      <c r="AB731" s="93"/>
      <c r="AC731" s="160"/>
      <c r="AD731" s="93"/>
      <c r="AE731" s="93"/>
      <c r="AF731" s="93"/>
      <c r="AG731" s="114"/>
      <c r="AH731" s="51"/>
      <c r="AI731" s="51"/>
      <c r="AJ731" s="51"/>
      <c r="AK731" s="160"/>
      <c r="AL731" s="294"/>
      <c r="AM731" s="294"/>
      <c r="AN731" s="160"/>
      <c r="AO731" s="290"/>
      <c r="AP731" s="294"/>
      <c r="AQ731" s="93"/>
      <c r="AR731" s="93"/>
      <c r="AS731" s="93"/>
      <c r="AT731" s="93"/>
      <c r="AU731" s="93"/>
      <c r="AV731" s="93"/>
      <c r="AW731" s="967"/>
      <c r="AX731" s="93"/>
      <c r="AY731" s="160"/>
      <c r="AZ731" s="298"/>
      <c r="BA731" s="298"/>
      <c r="BB731" s="294"/>
      <c r="BC731" s="290"/>
      <c r="BD731" s="206"/>
      <c r="BE731" s="294"/>
      <c r="BF731" s="93"/>
      <c r="BG731" s="93"/>
      <c r="BH731" s="93"/>
      <c r="BI731" s="93"/>
      <c r="BJ731" s="93"/>
      <c r="BK731" s="93"/>
      <c r="BL731" s="93"/>
      <c r="BM731" s="699"/>
      <c r="BN731" s="93"/>
      <c r="BO731" s="160"/>
      <c r="BP731" s="93"/>
      <c r="BQ731" s="294"/>
      <c r="BR731" s="290"/>
      <c r="BS731" s="205"/>
      <c r="BT731" s="93"/>
      <c r="BU731" s="93"/>
      <c r="BV731" s="205"/>
      <c r="BW731" s="290"/>
      <c r="BX731" s="290"/>
      <c r="BY731" s="93"/>
      <c r="BZ731" s="160"/>
      <c r="CA731" s="93"/>
      <c r="CB731" s="79"/>
      <c r="CC731" s="117"/>
      <c r="CD731" s="117"/>
      <c r="CE731" s="117"/>
      <c r="CF731" s="117"/>
      <c r="CG731" s="117"/>
      <c r="CH731" s="117"/>
      <c r="CI731" s="117"/>
      <c r="CJ731" s="885"/>
      <c r="CK731" s="878"/>
      <c r="CL731" s="893"/>
      <c r="CM731" s="885"/>
      <c r="CN731" s="890"/>
      <c r="CO731" s="890"/>
      <c r="CP731" s="150"/>
      <c r="CQ731" s="117"/>
      <c r="CR731" s="968"/>
      <c r="CS731" s="363"/>
      <c r="CT731" s="117"/>
      <c r="CU731" s="117"/>
      <c r="CV731" s="117"/>
      <c r="CW731" s="117"/>
      <c r="CX731" s="117"/>
      <c r="CY731" s="885"/>
      <c r="CZ731" s="893"/>
      <c r="DA731" s="150"/>
      <c r="DB731" s="885"/>
      <c r="DC731" s="885"/>
      <c r="DD731" s="150"/>
      <c r="DE731" s="70"/>
      <c r="DF731" s="70"/>
      <c r="DG731" s="70"/>
      <c r="DH731" s="362"/>
      <c r="DI731" s="363"/>
      <c r="DJ731" s="117"/>
      <c r="DK731" s="117"/>
      <c r="DL731" s="150"/>
      <c r="DM731" s="117"/>
      <c r="DN731" s="150"/>
      <c r="DO731" s="893"/>
      <c r="DP731" s="885"/>
      <c r="DQ731" s="890"/>
      <c r="DR731" s="893"/>
      <c r="DS731" s="893"/>
      <c r="DT731" s="885"/>
      <c r="DU731" s="890"/>
      <c r="DV731" s="890"/>
      <c r="DW731" s="890"/>
      <c r="DX731" s="364"/>
    </row>
    <row r="732" spans="1:128">
      <c r="A732" s="699"/>
      <c r="B732" s="93"/>
      <c r="C732" s="160"/>
      <c r="D732" s="93"/>
      <c r="E732" s="160"/>
      <c r="F732" s="290"/>
      <c r="G732" s="205"/>
      <c r="H732" s="93"/>
      <c r="I732" s="93"/>
      <c r="J732" s="205"/>
      <c r="K732" s="290"/>
      <c r="L732" s="160"/>
      <c r="M732" s="93"/>
      <c r="N732" s="160"/>
      <c r="O732" s="93"/>
      <c r="P732" s="79"/>
      <c r="Q732" s="93"/>
      <c r="R732" s="93"/>
      <c r="S732" s="298"/>
      <c r="T732" s="294"/>
      <c r="U732" s="294"/>
      <c r="V732" s="290"/>
      <c r="W732" s="298"/>
      <c r="X732" s="294"/>
      <c r="Y732" s="294"/>
      <c r="Z732" s="290"/>
      <c r="AA732" s="207"/>
      <c r="AB732" s="93"/>
      <c r="AC732" s="160"/>
      <c r="AD732" s="93"/>
      <c r="AE732" s="93"/>
      <c r="AF732" s="93"/>
      <c r="AG732" s="114"/>
      <c r="AH732" s="51"/>
      <c r="AI732" s="51"/>
      <c r="AJ732" s="51"/>
      <c r="AK732" s="207"/>
      <c r="AL732" s="51"/>
      <c r="AM732" s="290"/>
      <c r="AN732" s="160"/>
      <c r="AO732" s="294"/>
      <c r="AP732" s="93"/>
      <c r="AQ732" s="93"/>
      <c r="AR732" s="93"/>
      <c r="AS732" s="93"/>
      <c r="AT732" s="93"/>
      <c r="AU732" s="93"/>
      <c r="AV732" s="93"/>
      <c r="AW732" s="699"/>
      <c r="AX732" s="160"/>
      <c r="AY732" s="93"/>
      <c r="AZ732" s="298"/>
      <c r="BA732" s="298"/>
      <c r="BB732" s="294"/>
      <c r="BC732" s="93"/>
      <c r="BD732" s="294"/>
      <c r="BE732" s="294"/>
      <c r="BF732" s="294"/>
      <c r="BG732" s="93"/>
      <c r="BH732" s="93"/>
      <c r="BI732" s="93"/>
      <c r="BJ732" s="93"/>
      <c r="BK732" s="93"/>
      <c r="BL732" s="93"/>
      <c r="BM732" s="699"/>
      <c r="BN732" s="93"/>
      <c r="BO732" s="290"/>
      <c r="BP732" s="207"/>
      <c r="BQ732" s="290"/>
      <c r="BR732" s="294"/>
      <c r="BS732" s="93"/>
      <c r="BT732" s="93"/>
      <c r="BU732" s="93"/>
      <c r="BV732" s="93"/>
      <c r="BW732" s="294"/>
      <c r="BX732" s="290"/>
      <c r="BY732" s="207"/>
      <c r="BZ732" s="290"/>
      <c r="CA732" s="93"/>
      <c r="CB732" s="79"/>
      <c r="CC732" s="117"/>
      <c r="CD732" s="117"/>
      <c r="CE732" s="117"/>
      <c r="CF732" s="117"/>
      <c r="CG732" s="117"/>
      <c r="CH732" s="117"/>
      <c r="CI732" s="885"/>
      <c r="CJ732" s="885"/>
      <c r="CK732" s="885"/>
      <c r="CL732" s="117"/>
      <c r="CM732" s="885"/>
      <c r="CN732" s="890"/>
      <c r="CO732" s="890"/>
      <c r="CP732" s="117"/>
      <c r="CQ732" s="150"/>
      <c r="CR732" s="364"/>
      <c r="CS732" s="363"/>
      <c r="CT732" s="117"/>
      <c r="CU732" s="117"/>
      <c r="CV732" s="117"/>
      <c r="CW732" s="117"/>
      <c r="CX732" s="117"/>
      <c r="CY732" s="117"/>
      <c r="CZ732" s="885"/>
      <c r="DA732" s="150"/>
      <c r="DB732" s="893"/>
      <c r="DC732" s="70"/>
      <c r="DD732" s="894"/>
      <c r="DE732" s="70"/>
      <c r="DF732" s="70"/>
      <c r="DG732" s="70"/>
      <c r="DH732" s="362"/>
      <c r="DI732" s="363"/>
      <c r="DJ732" s="117"/>
      <c r="DK732" s="117"/>
      <c r="DL732" s="150"/>
      <c r="DM732" s="117"/>
      <c r="DN732" s="894"/>
      <c r="DO732" s="893"/>
      <c r="DP732" s="885"/>
      <c r="DQ732" s="885"/>
      <c r="DR732" s="890"/>
      <c r="DS732" s="893"/>
      <c r="DT732" s="885"/>
      <c r="DU732" s="885"/>
      <c r="DV732" s="890"/>
      <c r="DW732" s="117"/>
      <c r="DX732" s="364"/>
    </row>
    <row r="733" spans="1:128">
      <c r="A733" s="699"/>
      <c r="B733" s="93"/>
      <c r="C733" s="290"/>
      <c r="D733" s="207"/>
      <c r="E733" s="298"/>
      <c r="F733" s="294"/>
      <c r="G733" s="93"/>
      <c r="H733" s="93"/>
      <c r="I733" s="93"/>
      <c r="J733" s="93"/>
      <c r="K733" s="294"/>
      <c r="L733" s="298"/>
      <c r="M733" s="207"/>
      <c r="N733" s="290"/>
      <c r="O733" s="93"/>
      <c r="P733" s="79"/>
      <c r="Q733" s="93"/>
      <c r="R733" s="93"/>
      <c r="S733" s="290"/>
      <c r="T733" s="290"/>
      <c r="U733" s="294"/>
      <c r="V733" s="93"/>
      <c r="W733" s="207"/>
      <c r="X733" s="298"/>
      <c r="Y733" s="294"/>
      <c r="Z733" s="93"/>
      <c r="AA733" s="93"/>
      <c r="AB733" s="207"/>
      <c r="AC733" s="160"/>
      <c r="AD733" s="93"/>
      <c r="AE733" s="93"/>
      <c r="AF733" s="93"/>
      <c r="AG733" s="114"/>
      <c r="AH733" s="51"/>
      <c r="AI733" s="51"/>
      <c r="AJ733" s="51"/>
      <c r="AK733" s="51"/>
      <c r="AL733" s="207"/>
      <c r="AM733" s="160"/>
      <c r="AN733" s="294"/>
      <c r="AO733" s="294"/>
      <c r="AP733" s="93"/>
      <c r="AQ733" s="51"/>
      <c r="AR733" s="93"/>
      <c r="AS733" s="93"/>
      <c r="AT733" s="93"/>
      <c r="AU733" s="93"/>
      <c r="AV733" s="93"/>
      <c r="AW733" s="699"/>
      <c r="AX733" s="93"/>
      <c r="AY733" s="93"/>
      <c r="AZ733" s="93"/>
      <c r="BA733" s="294"/>
      <c r="BB733" s="294"/>
      <c r="BC733" s="93"/>
      <c r="BD733" s="93"/>
      <c r="BE733" s="294"/>
      <c r="BF733" s="206"/>
      <c r="BG733" s="206"/>
      <c r="BH733" s="93"/>
      <c r="BI733" s="93"/>
      <c r="BJ733" s="93"/>
      <c r="BK733" s="93"/>
      <c r="BL733" s="93"/>
      <c r="BM733" s="699"/>
      <c r="BN733" s="93"/>
      <c r="BO733" s="93"/>
      <c r="BP733" s="93"/>
      <c r="BQ733" s="93"/>
      <c r="BR733" s="290"/>
      <c r="BS733" s="290"/>
      <c r="BT733" s="93"/>
      <c r="BU733" s="93"/>
      <c r="BV733" s="290"/>
      <c r="BW733" s="290"/>
      <c r="BX733" s="93"/>
      <c r="BY733" s="93"/>
      <c r="BZ733" s="93"/>
      <c r="CA733" s="93"/>
      <c r="CB733" s="79"/>
      <c r="CC733" s="117"/>
      <c r="CD733" s="117"/>
      <c r="CE733" s="117"/>
      <c r="CF733" s="117"/>
      <c r="CG733" s="117"/>
      <c r="CH733" s="878"/>
      <c r="CI733" s="878"/>
      <c r="CJ733" s="885"/>
      <c r="CK733" s="117"/>
      <c r="CL733" s="117"/>
      <c r="CM733" s="885"/>
      <c r="CN733" s="885"/>
      <c r="CO733" s="117"/>
      <c r="CP733" s="117"/>
      <c r="CQ733" s="117"/>
      <c r="CR733" s="364"/>
      <c r="CS733" s="363"/>
      <c r="CT733" s="117"/>
      <c r="CU733" s="117"/>
      <c r="CV733" s="117"/>
      <c r="CW733" s="117"/>
      <c r="CX733" s="70"/>
      <c r="CY733" s="117"/>
      <c r="CZ733" s="885"/>
      <c r="DA733" s="885"/>
      <c r="DB733" s="150"/>
      <c r="DC733" s="894"/>
      <c r="DD733" s="70"/>
      <c r="DE733" s="70"/>
      <c r="DF733" s="70"/>
      <c r="DG733" s="70"/>
      <c r="DH733" s="362"/>
      <c r="DI733" s="363"/>
      <c r="DJ733" s="117"/>
      <c r="DK733" s="117"/>
      <c r="DL733" s="150"/>
      <c r="DM733" s="894"/>
      <c r="DN733" s="117"/>
      <c r="DO733" s="117"/>
      <c r="DP733" s="885"/>
      <c r="DQ733" s="890"/>
      <c r="DR733" s="894"/>
      <c r="DS733" s="117"/>
      <c r="DT733" s="885"/>
      <c r="DU733" s="893"/>
      <c r="DV733" s="893"/>
      <c r="DW733" s="117"/>
      <c r="DX733" s="364"/>
    </row>
    <row r="734" spans="1:128">
      <c r="A734" s="699"/>
      <c r="B734" s="93"/>
      <c r="C734" s="93"/>
      <c r="D734" s="93"/>
      <c r="E734" s="93"/>
      <c r="F734" s="294"/>
      <c r="G734" s="290"/>
      <c r="H734" s="93"/>
      <c r="I734" s="93"/>
      <c r="J734" s="290"/>
      <c r="K734" s="294"/>
      <c r="L734" s="93"/>
      <c r="M734" s="93"/>
      <c r="N734" s="93"/>
      <c r="O734" s="93"/>
      <c r="P734" s="79"/>
      <c r="Q734" s="93"/>
      <c r="R734" s="93"/>
      <c r="S734" s="93"/>
      <c r="T734" s="290"/>
      <c r="U734" s="290"/>
      <c r="V734" s="290"/>
      <c r="W734" s="93"/>
      <c r="X734" s="298"/>
      <c r="Y734" s="294"/>
      <c r="Z734" s="160"/>
      <c r="AA734" s="93"/>
      <c r="AB734" s="93"/>
      <c r="AC734" s="93"/>
      <c r="AD734" s="93"/>
      <c r="AE734" s="93"/>
      <c r="AF734" s="93"/>
      <c r="AG734" s="114"/>
      <c r="AH734" s="51"/>
      <c r="AI734" s="51"/>
      <c r="AJ734" s="51"/>
      <c r="AK734" s="51"/>
      <c r="AL734" s="51"/>
      <c r="AM734" s="51"/>
      <c r="AN734" s="51"/>
      <c r="AO734" s="294"/>
      <c r="AP734" s="294"/>
      <c r="AQ734" s="51"/>
      <c r="AR734" s="93"/>
      <c r="AS734" s="93"/>
      <c r="AT734" s="93"/>
      <c r="AU734" s="93"/>
      <c r="AV734" s="93"/>
      <c r="AW734" s="699"/>
      <c r="AX734" s="93"/>
      <c r="AY734" s="93"/>
      <c r="AZ734" s="93"/>
      <c r="BA734" s="294"/>
      <c r="BB734" s="294"/>
      <c r="BC734" s="206"/>
      <c r="BD734" s="93"/>
      <c r="BE734" s="93"/>
      <c r="BF734" s="206"/>
      <c r="BG734" s="206"/>
      <c r="BH734" s="93"/>
      <c r="BI734" s="93"/>
      <c r="BJ734" s="93"/>
      <c r="BK734" s="93"/>
      <c r="BL734" s="93"/>
      <c r="BM734" s="699"/>
      <c r="BN734" s="93"/>
      <c r="BO734" s="93"/>
      <c r="BP734" s="160"/>
      <c r="BQ734" s="290"/>
      <c r="BR734" s="294"/>
      <c r="BS734" s="205"/>
      <c r="BT734" s="93"/>
      <c r="BU734" s="93"/>
      <c r="BV734" s="205"/>
      <c r="BW734" s="294"/>
      <c r="BX734" s="290"/>
      <c r="BY734" s="160"/>
      <c r="BZ734" s="93"/>
      <c r="CA734" s="93"/>
      <c r="CB734" s="79"/>
      <c r="CC734" s="117"/>
      <c r="CD734" s="117"/>
      <c r="CE734" s="117"/>
      <c r="CF734" s="117"/>
      <c r="CG734" s="117"/>
      <c r="CH734" s="878"/>
      <c r="CI734" s="878"/>
      <c r="CJ734" s="117"/>
      <c r="CK734" s="117"/>
      <c r="CL734" s="878"/>
      <c r="CM734" s="885"/>
      <c r="CN734" s="885"/>
      <c r="CO734" s="117"/>
      <c r="CP734" s="117"/>
      <c r="CQ734" s="117"/>
      <c r="CR734" s="364"/>
      <c r="CS734" s="363"/>
      <c r="CT734" s="117"/>
      <c r="CU734" s="117"/>
      <c r="CV734" s="117"/>
      <c r="CW734" s="117"/>
      <c r="CX734" s="70"/>
      <c r="CY734" s="885"/>
      <c r="CZ734" s="885"/>
      <c r="DA734" s="70"/>
      <c r="DB734" s="70"/>
      <c r="DC734" s="70"/>
      <c r="DD734" s="70"/>
      <c r="DE734" s="70"/>
      <c r="DF734" s="70"/>
      <c r="DG734" s="70"/>
      <c r="DH734" s="362"/>
      <c r="DI734" s="363"/>
      <c r="DJ734" s="117"/>
      <c r="DK734" s="117"/>
      <c r="DL734" s="117"/>
      <c r="DM734" s="117"/>
      <c r="DN734" s="117"/>
      <c r="DO734" s="150"/>
      <c r="DP734" s="885"/>
      <c r="DQ734" s="890"/>
      <c r="DR734" s="117"/>
      <c r="DS734" s="893"/>
      <c r="DT734" s="893"/>
      <c r="DU734" s="893"/>
      <c r="DV734" s="117"/>
      <c r="DW734" s="117"/>
      <c r="DX734" s="364"/>
    </row>
    <row r="735" spans="1:128">
      <c r="A735" s="699"/>
      <c r="B735" s="93"/>
      <c r="C735" s="93"/>
      <c r="D735" s="93"/>
      <c r="E735" s="290"/>
      <c r="F735" s="294"/>
      <c r="G735" s="205"/>
      <c r="H735" s="93"/>
      <c r="I735" s="93"/>
      <c r="J735" s="205"/>
      <c r="K735" s="294"/>
      <c r="L735" s="290"/>
      <c r="M735" s="93"/>
      <c r="N735" s="93"/>
      <c r="O735" s="93"/>
      <c r="P735" s="79"/>
      <c r="Q735" s="93"/>
      <c r="R735" s="93"/>
      <c r="S735" s="93"/>
      <c r="T735" s="93"/>
      <c r="U735" s="294"/>
      <c r="V735" s="294"/>
      <c r="W735" s="93"/>
      <c r="X735" s="93"/>
      <c r="Y735" s="298"/>
      <c r="Z735" s="290"/>
      <c r="AA735" s="93"/>
      <c r="AB735" s="93"/>
      <c r="AC735" s="93"/>
      <c r="AD735" s="93"/>
      <c r="AE735" s="93"/>
      <c r="AF735" s="93"/>
      <c r="AG735" s="114"/>
      <c r="AH735" s="51"/>
      <c r="AI735" s="51"/>
      <c r="AJ735" s="51"/>
      <c r="AK735" s="51"/>
      <c r="AL735" s="51"/>
      <c r="AM735" s="51"/>
      <c r="AN735" s="290"/>
      <c r="AO735" s="294"/>
      <c r="AP735" s="51"/>
      <c r="AQ735" s="51"/>
      <c r="AR735" s="51"/>
      <c r="AS735" s="51"/>
      <c r="AT735" s="51"/>
      <c r="AU735" s="51"/>
      <c r="AV735" s="93"/>
      <c r="AW735" s="699"/>
      <c r="AX735" s="93"/>
      <c r="AY735" s="93"/>
      <c r="AZ735" s="93"/>
      <c r="BA735" s="93"/>
      <c r="BB735" s="294"/>
      <c r="BC735" s="206"/>
      <c r="BD735" s="93"/>
      <c r="BE735" s="160"/>
      <c r="BF735" s="160"/>
      <c r="BG735" s="93"/>
      <c r="BH735" s="93"/>
      <c r="BI735" s="93"/>
      <c r="BJ735" s="93"/>
      <c r="BK735" s="93"/>
      <c r="BL735" s="93"/>
      <c r="BM735" s="699"/>
      <c r="BN735" s="93"/>
      <c r="BO735" s="93"/>
      <c r="BP735" s="160"/>
      <c r="BQ735" s="160"/>
      <c r="BR735" s="93"/>
      <c r="BS735" s="93"/>
      <c r="BT735" s="93"/>
      <c r="BU735" s="93"/>
      <c r="BV735" s="93"/>
      <c r="BW735" s="93"/>
      <c r="BX735" s="160"/>
      <c r="BY735" s="160"/>
      <c r="BZ735" s="93"/>
      <c r="CA735" s="93"/>
      <c r="CB735" s="79"/>
      <c r="CC735" s="117"/>
      <c r="CD735" s="117"/>
      <c r="CE735" s="117"/>
      <c r="CF735" s="117"/>
      <c r="CG735" s="117"/>
      <c r="CH735" s="117"/>
      <c r="CI735" s="150"/>
      <c r="CJ735" s="150"/>
      <c r="CK735" s="117"/>
      <c r="CL735" s="878"/>
      <c r="CM735" s="885"/>
      <c r="CN735" s="117"/>
      <c r="CO735" s="117"/>
      <c r="CP735" s="117"/>
      <c r="CQ735" s="117"/>
      <c r="CR735" s="364"/>
      <c r="CS735" s="363"/>
      <c r="CT735" s="70"/>
      <c r="CU735" s="70"/>
      <c r="CV735" s="70"/>
      <c r="CW735" s="70"/>
      <c r="CX735" s="70"/>
      <c r="CY735" s="70"/>
      <c r="CZ735" s="885"/>
      <c r="DA735" s="893"/>
      <c r="DB735" s="70"/>
      <c r="DC735" s="70"/>
      <c r="DD735" s="70"/>
      <c r="DE735" s="70"/>
      <c r="DF735" s="70"/>
      <c r="DG735" s="70"/>
      <c r="DH735" s="362"/>
      <c r="DI735" s="363"/>
      <c r="DJ735" s="117"/>
      <c r="DK735" s="117"/>
      <c r="DL735" s="117"/>
      <c r="DM735" s="117"/>
      <c r="DN735" s="117"/>
      <c r="DO735" s="893"/>
      <c r="DP735" s="890"/>
      <c r="DQ735" s="117"/>
      <c r="DR735" s="117"/>
      <c r="DS735" s="885"/>
      <c r="DT735" s="885"/>
      <c r="DU735" s="117"/>
      <c r="DV735" s="117"/>
      <c r="DW735" s="117"/>
      <c r="DX735" s="364"/>
    </row>
    <row r="736" spans="1:128">
      <c r="A736" s="699"/>
      <c r="B736" s="93"/>
      <c r="C736" s="93"/>
      <c r="D736" s="160"/>
      <c r="E736" s="160"/>
      <c r="F736" s="93"/>
      <c r="G736" s="93"/>
      <c r="H736" s="93"/>
      <c r="I736" s="93"/>
      <c r="J736" s="93"/>
      <c r="K736" s="93"/>
      <c r="L736" s="160"/>
      <c r="M736" s="160"/>
      <c r="N736" s="93"/>
      <c r="O736" s="93"/>
      <c r="P736" s="79"/>
      <c r="Q736" s="93"/>
      <c r="R736" s="93"/>
      <c r="S736" s="93"/>
      <c r="T736" s="160"/>
      <c r="U736" s="160"/>
      <c r="V736" s="93"/>
      <c r="W736" s="93"/>
      <c r="X736" s="160"/>
      <c r="Y736" s="160"/>
      <c r="Z736" s="92"/>
      <c r="AA736" s="93"/>
      <c r="AB736" s="92"/>
      <c r="AC736" s="93"/>
      <c r="AD736" s="93"/>
      <c r="AE736" s="93"/>
      <c r="AF736" s="51"/>
      <c r="AG736" s="115"/>
      <c r="AH736" s="106"/>
      <c r="AI736" s="106"/>
      <c r="AJ736" s="106"/>
      <c r="AK736" s="106"/>
      <c r="AL736" s="106"/>
      <c r="AM736" s="336"/>
      <c r="AN736" s="336"/>
      <c r="AO736" s="106"/>
      <c r="AP736" s="73"/>
      <c r="AQ736" s="73"/>
      <c r="AR736" s="73"/>
      <c r="AS736" s="73"/>
      <c r="AT736" s="106"/>
      <c r="AU736" s="106"/>
      <c r="AV736" s="106"/>
      <c r="AW736" s="699"/>
      <c r="AX736" s="93"/>
      <c r="AY736" s="93"/>
      <c r="AZ736" s="93"/>
      <c r="BA736" s="160"/>
      <c r="BB736" s="160"/>
      <c r="BC736" s="93"/>
      <c r="BD736" s="93"/>
      <c r="BE736" s="93"/>
      <c r="BF736" s="93"/>
      <c r="BG736" s="93"/>
      <c r="BH736" s="93"/>
      <c r="BI736" s="93"/>
      <c r="BJ736" s="93"/>
      <c r="BK736" s="93"/>
      <c r="BL736" s="93"/>
      <c r="BM736" s="476"/>
      <c r="BN736" s="103"/>
      <c r="BO736" s="103"/>
      <c r="BP736" s="103"/>
      <c r="BQ736" s="103"/>
      <c r="BR736" s="103"/>
      <c r="BS736" s="103"/>
      <c r="BT736" s="103"/>
      <c r="BU736" s="103"/>
      <c r="BV736" s="103"/>
      <c r="BW736" s="103"/>
      <c r="BX736" s="103"/>
      <c r="BY736" s="103"/>
      <c r="BZ736" s="103"/>
      <c r="CA736" s="103"/>
      <c r="CB736" s="368"/>
      <c r="CC736" s="117"/>
      <c r="CD736" s="117"/>
      <c r="CE736" s="117"/>
      <c r="CF736" s="117"/>
      <c r="CG736" s="117"/>
      <c r="CH736" s="117"/>
      <c r="CI736" s="117"/>
      <c r="CJ736" s="117"/>
      <c r="CK736" s="117"/>
      <c r="CL736" s="117"/>
      <c r="CM736" s="150"/>
      <c r="CN736" s="150"/>
      <c r="CO736" s="117"/>
      <c r="CP736" s="117"/>
      <c r="CQ736" s="117"/>
      <c r="CR736" s="364"/>
      <c r="CS736" s="976"/>
      <c r="CT736" s="973"/>
      <c r="CU736" s="973"/>
      <c r="CV736" s="972"/>
      <c r="CW736" s="972"/>
      <c r="CX736" s="972"/>
      <c r="CY736" s="972"/>
      <c r="CZ736" s="973"/>
      <c r="DA736" s="974"/>
      <c r="DB736" s="974"/>
      <c r="DC736" s="973"/>
      <c r="DD736" s="973"/>
      <c r="DE736" s="973"/>
      <c r="DF736" s="973"/>
      <c r="DG736" s="973"/>
      <c r="DH736" s="977"/>
      <c r="DI736" s="361"/>
      <c r="DJ736" s="117"/>
      <c r="DK736" s="117"/>
      <c r="DL736" s="117"/>
      <c r="DM736" s="117"/>
      <c r="DN736" s="117"/>
      <c r="DO736" s="117"/>
      <c r="DP736" s="150"/>
      <c r="DQ736" s="150"/>
      <c r="DR736" s="117"/>
      <c r="DS736" s="117"/>
      <c r="DT736" s="150"/>
      <c r="DU736" s="150"/>
      <c r="DV736" s="117"/>
      <c r="DW736" s="117"/>
      <c r="DX736" s="364"/>
    </row>
    <row r="737" spans="1:128">
      <c r="A737" s="108"/>
      <c r="B737" s="109" t="s">
        <v>764</v>
      </c>
      <c r="C737" s="109"/>
      <c r="D737" s="109"/>
      <c r="E737" s="109"/>
      <c r="F737" s="110"/>
      <c r="G737" s="110"/>
      <c r="H737" s="109"/>
      <c r="I737" s="109"/>
      <c r="J737" s="109"/>
      <c r="K737" s="109"/>
      <c r="L737" s="110"/>
      <c r="M737" s="109"/>
      <c r="N737" s="109"/>
      <c r="O737" s="109"/>
      <c r="P737" s="109"/>
      <c r="Q737" s="753"/>
      <c r="R737" s="711"/>
      <c r="S737" s="711"/>
      <c r="T737" s="711"/>
      <c r="U737" s="711"/>
      <c r="V737" s="711"/>
      <c r="W737" s="711"/>
      <c r="X737" s="711"/>
      <c r="Y737" s="711"/>
      <c r="Z737" s="711"/>
      <c r="AA737" s="711"/>
      <c r="AB737" s="711"/>
      <c r="AC737" s="711"/>
      <c r="AD737" s="711"/>
      <c r="AE737" s="711"/>
      <c r="AF737" s="711"/>
      <c r="AG737" s="114"/>
      <c r="AH737" s="51"/>
      <c r="AI737" s="51"/>
      <c r="AJ737" s="51"/>
      <c r="AK737" s="51"/>
      <c r="AL737" s="92"/>
      <c r="AM737" s="92"/>
      <c r="AN737" s="51"/>
      <c r="AO737" s="51"/>
      <c r="AP737" s="93"/>
      <c r="AQ737" s="93"/>
      <c r="AR737" s="93"/>
      <c r="AS737" s="93"/>
      <c r="AT737" s="93"/>
      <c r="AU737" s="93"/>
      <c r="AV737" s="93"/>
      <c r="AW737" s="753"/>
      <c r="AX737" s="711"/>
      <c r="AY737" s="711"/>
      <c r="AZ737" s="711"/>
      <c r="BA737" s="711"/>
      <c r="BB737" s="711"/>
      <c r="BC737" s="711"/>
      <c r="BD737" s="711"/>
      <c r="BE737" s="711"/>
      <c r="BF737" s="711"/>
      <c r="BG737" s="711"/>
      <c r="BH737" s="711"/>
      <c r="BI737" s="711"/>
      <c r="BJ737" s="711"/>
      <c r="BK737" s="711"/>
      <c r="BL737" s="711"/>
      <c r="BM737" s="114"/>
      <c r="BN737" s="93"/>
      <c r="BO737" s="93"/>
      <c r="BP737" s="93"/>
      <c r="BQ737" s="93"/>
      <c r="BR737" s="93"/>
      <c r="BS737" s="93"/>
      <c r="BT737" s="93"/>
      <c r="BU737" s="93"/>
      <c r="BV737" s="93"/>
      <c r="BW737" s="93"/>
      <c r="BX737" s="93"/>
      <c r="BY737" s="93"/>
      <c r="BZ737" s="93"/>
      <c r="CA737" s="93"/>
      <c r="CB737" s="82"/>
      <c r="CC737" s="2314"/>
      <c r="CD737" s="2314"/>
      <c r="CE737" s="2314"/>
      <c r="CF737" s="2314"/>
      <c r="CG737" s="2314"/>
      <c r="CH737" s="2314"/>
      <c r="CI737" s="2314"/>
      <c r="CJ737" s="2314"/>
      <c r="CK737" s="2314"/>
      <c r="CL737" s="2314"/>
      <c r="CM737" s="2314"/>
      <c r="CN737" s="2314"/>
      <c r="CO737" s="2314"/>
      <c r="CP737" s="2314"/>
      <c r="CQ737" s="2314"/>
      <c r="CR737" s="2766"/>
      <c r="CS737" s="2315"/>
      <c r="CT737" s="2315"/>
      <c r="CU737" s="2315"/>
      <c r="CV737" s="2315"/>
      <c r="CW737" s="2315"/>
      <c r="CX737" s="2315"/>
      <c r="CY737" s="2315"/>
      <c r="CZ737" s="70"/>
      <c r="DA737" s="70"/>
      <c r="DB737" s="2315"/>
      <c r="DC737" s="2315"/>
      <c r="DD737" s="70"/>
      <c r="DE737" s="70"/>
      <c r="DF737" s="984"/>
      <c r="DG737" s="984"/>
      <c r="DH737" s="2770"/>
      <c r="DI737" s="2314"/>
      <c r="DJ737" s="2314"/>
      <c r="DK737" s="2314"/>
      <c r="DL737" s="2314"/>
      <c r="DM737" s="2314"/>
      <c r="DN737" s="2314"/>
      <c r="DO737" s="2314"/>
      <c r="DP737" s="2314"/>
      <c r="DQ737" s="2314"/>
      <c r="DR737" s="2314"/>
      <c r="DS737" s="2314"/>
      <c r="DT737" s="2314"/>
      <c r="DU737" s="2314"/>
      <c r="DV737" s="2314"/>
      <c r="DW737" s="2314"/>
      <c r="DX737" s="2766"/>
    </row>
    <row r="738" spans="1:128">
      <c r="A738" s="699"/>
      <c r="B738" s="93"/>
      <c r="C738" s="93"/>
      <c r="D738" s="93"/>
      <c r="E738" s="93"/>
      <c r="F738" s="93"/>
      <c r="G738" s="93"/>
      <c r="H738" s="93"/>
      <c r="I738" s="93"/>
      <c r="J738" s="93"/>
      <c r="K738" s="93"/>
      <c r="L738" s="93"/>
      <c r="M738" s="93"/>
      <c r="N738" s="93"/>
      <c r="O738" s="93"/>
      <c r="P738" s="93"/>
      <c r="Q738" s="699"/>
      <c r="R738" s="93"/>
      <c r="S738" s="93"/>
      <c r="T738" s="93"/>
      <c r="U738" s="93"/>
      <c r="V738" s="93"/>
      <c r="W738" s="93"/>
      <c r="X738" s="93"/>
      <c r="Y738" s="93"/>
      <c r="Z738" s="93"/>
      <c r="AA738" s="93"/>
      <c r="AB738" s="93"/>
      <c r="AC738" s="93"/>
      <c r="AD738" s="93"/>
      <c r="AE738" s="93"/>
      <c r="AF738" s="93"/>
      <c r="AG738" s="114"/>
      <c r="AH738" s="51"/>
      <c r="AI738" s="51"/>
      <c r="AJ738" s="51"/>
      <c r="AK738" s="51"/>
      <c r="AL738" s="92"/>
      <c r="AM738" s="92"/>
      <c r="AN738" s="51"/>
      <c r="AO738" s="51"/>
      <c r="AP738" s="93"/>
      <c r="AQ738" s="93"/>
      <c r="AR738" s="93"/>
      <c r="AS738" s="93"/>
      <c r="AT738" s="93"/>
      <c r="AU738" s="93"/>
      <c r="AV738" s="93"/>
      <c r="AW738" s="699"/>
      <c r="AX738" s="93"/>
      <c r="AY738" s="93"/>
      <c r="AZ738" s="93"/>
      <c r="BA738" s="93"/>
      <c r="BB738" s="93"/>
      <c r="BC738" s="93"/>
      <c r="BD738" s="93"/>
      <c r="BE738" s="93"/>
      <c r="BF738" s="93"/>
      <c r="BG738" s="93"/>
      <c r="BH738" s="93"/>
      <c r="BI738" s="93"/>
      <c r="BJ738" s="93"/>
      <c r="BK738" s="93"/>
      <c r="BL738" s="93"/>
      <c r="BM738" s="112"/>
      <c r="BN738" s="93"/>
      <c r="BO738" s="93"/>
      <c r="BP738" s="93"/>
      <c r="BQ738" s="93"/>
      <c r="BR738" s="93"/>
      <c r="BS738" s="93"/>
      <c r="BT738" s="93"/>
      <c r="BU738" s="93"/>
      <c r="BV738" s="93"/>
      <c r="BW738" s="93"/>
      <c r="BX738" s="93"/>
      <c r="BY738" s="93"/>
      <c r="BZ738" s="93"/>
      <c r="CA738" s="93"/>
      <c r="CB738" s="113"/>
      <c r="CC738" s="2315"/>
      <c r="CD738" s="2315"/>
      <c r="CE738" s="2315"/>
      <c r="CF738" s="2315"/>
      <c r="CG738" s="2315"/>
      <c r="CH738" s="2315"/>
      <c r="CI738" s="2315"/>
      <c r="CJ738" s="2315"/>
      <c r="CK738" s="2315"/>
      <c r="CL738" s="2315"/>
      <c r="CM738" s="2315"/>
      <c r="CN738" s="2315"/>
      <c r="CO738" s="2315"/>
      <c r="CP738" s="2315"/>
      <c r="CQ738" s="2315"/>
      <c r="CR738" s="2767"/>
      <c r="CS738" s="2315"/>
      <c r="CT738" s="2315"/>
      <c r="CU738" s="2315"/>
      <c r="CV738" s="2315"/>
      <c r="CW738" s="2315"/>
      <c r="CX738" s="2315"/>
      <c r="CY738" s="2315"/>
      <c r="CZ738" s="70"/>
      <c r="DA738" s="70"/>
      <c r="DB738" s="2315"/>
      <c r="DC738" s="2315"/>
      <c r="DD738" s="70"/>
      <c r="DE738" s="70"/>
      <c r="DF738" s="70"/>
      <c r="DG738" s="70"/>
      <c r="DH738" s="2771"/>
      <c r="DI738" s="2315"/>
      <c r="DJ738" s="2315"/>
      <c r="DK738" s="2315"/>
      <c r="DL738" s="2315"/>
      <c r="DM738" s="2315"/>
      <c r="DN738" s="2315"/>
      <c r="DO738" s="2315"/>
      <c r="DP738" s="2315"/>
      <c r="DQ738" s="2315"/>
      <c r="DR738" s="2315"/>
      <c r="DS738" s="2315"/>
      <c r="DT738" s="2315"/>
      <c r="DU738" s="2315"/>
      <c r="DV738" s="2315"/>
      <c r="DW738" s="2315"/>
      <c r="DX738" s="2767"/>
    </row>
    <row r="739" spans="1:128">
      <c r="A739" s="699"/>
      <c r="B739" s="93"/>
      <c r="C739" s="93"/>
      <c r="D739" s="93"/>
      <c r="E739" s="93"/>
      <c r="F739" s="93"/>
      <c r="G739" s="93"/>
      <c r="H739" s="93"/>
      <c r="I739" s="93"/>
      <c r="J739" s="93"/>
      <c r="K739" s="93"/>
      <c r="L739" s="93"/>
      <c r="M739" s="93"/>
      <c r="N739" s="93"/>
      <c r="O739" s="93"/>
      <c r="P739" s="93"/>
      <c r="Q739" s="699"/>
      <c r="R739" s="93"/>
      <c r="S739" s="93"/>
      <c r="T739" s="93"/>
      <c r="U739" s="93"/>
      <c r="V739" s="93"/>
      <c r="W739" s="93"/>
      <c r="X739" s="93"/>
      <c r="Y739" s="93"/>
      <c r="Z739" s="93"/>
      <c r="AA739" s="93"/>
      <c r="AB739" s="93"/>
      <c r="AC739" s="93"/>
      <c r="AD739" s="93"/>
      <c r="AE739" s="93"/>
      <c r="AF739" s="93"/>
      <c r="AG739" s="114"/>
      <c r="AH739" s="51"/>
      <c r="AI739" s="51"/>
      <c r="AJ739" s="51"/>
      <c r="AK739" s="51"/>
      <c r="AL739" s="92"/>
      <c r="AM739" s="92"/>
      <c r="AN739" s="51"/>
      <c r="AO739" s="51"/>
      <c r="AP739" s="93"/>
      <c r="AQ739" s="93"/>
      <c r="AR739" s="93"/>
      <c r="AS739" s="93"/>
      <c r="AT739" s="93"/>
      <c r="AU739" s="93"/>
      <c r="AV739" s="93"/>
      <c r="AW739" s="699"/>
      <c r="AX739" s="93"/>
      <c r="AY739" s="93"/>
      <c r="AZ739" s="93"/>
      <c r="BA739" s="93"/>
      <c r="BB739" s="93"/>
      <c r="BC739" s="93"/>
      <c r="BD739" s="93"/>
      <c r="BE739" s="93"/>
      <c r="BF739" s="93"/>
      <c r="BG739" s="93"/>
      <c r="BH739" s="93"/>
      <c r="BI739" s="93"/>
      <c r="BJ739" s="93"/>
      <c r="BK739" s="93"/>
      <c r="BL739" s="93"/>
      <c r="BM739" s="114"/>
      <c r="BN739" s="93"/>
      <c r="BO739" s="93"/>
      <c r="BP739" s="93"/>
      <c r="BQ739" s="93"/>
      <c r="BR739" s="93"/>
      <c r="BS739" s="93"/>
      <c r="BT739" s="93"/>
      <c r="BU739" s="93"/>
      <c r="BV739" s="93"/>
      <c r="BW739" s="93"/>
      <c r="BX739" s="93"/>
      <c r="BY739" s="93"/>
      <c r="BZ739" s="93"/>
      <c r="CA739" s="93"/>
      <c r="CB739" s="113"/>
      <c r="CC739" s="2315"/>
      <c r="CD739" s="2315"/>
      <c r="CE739" s="2315"/>
      <c r="CF739" s="2315"/>
      <c r="CG739" s="2315"/>
      <c r="CH739" s="2315"/>
      <c r="CI739" s="2315"/>
      <c r="CJ739" s="2315"/>
      <c r="CK739" s="2315"/>
      <c r="CL739" s="2315"/>
      <c r="CM739" s="2315"/>
      <c r="CN739" s="2315"/>
      <c r="CO739" s="2315"/>
      <c r="CP739" s="2315"/>
      <c r="CQ739" s="2315"/>
      <c r="CR739" s="2767"/>
      <c r="CS739" s="2315"/>
      <c r="CT739" s="2315"/>
      <c r="CU739" s="2315"/>
      <c r="CV739" s="2315"/>
      <c r="CW739" s="2315"/>
      <c r="CX739" s="2315"/>
      <c r="CY739" s="2315"/>
      <c r="CZ739" s="70"/>
      <c r="DA739" s="70"/>
      <c r="DB739" s="2315"/>
      <c r="DC739" s="2315"/>
      <c r="DD739" s="70"/>
      <c r="DE739" s="70"/>
      <c r="DF739" s="70"/>
      <c r="DG739" s="70"/>
      <c r="DH739" s="2771"/>
      <c r="DI739" s="2315"/>
      <c r="DJ739" s="2315"/>
      <c r="DK739" s="2315"/>
      <c r="DL739" s="2315"/>
      <c r="DM739" s="2315"/>
      <c r="DN739" s="2315"/>
      <c r="DO739" s="2315"/>
      <c r="DP739" s="2315"/>
      <c r="DQ739" s="2315"/>
      <c r="DR739" s="2315"/>
      <c r="DS739" s="2315"/>
      <c r="DT739" s="2315"/>
      <c r="DU739" s="2315"/>
      <c r="DV739" s="2315"/>
      <c r="DW739" s="2315"/>
      <c r="DX739" s="2767"/>
    </row>
    <row r="740" spans="1:128">
      <c r="A740" s="699"/>
      <c r="B740" s="93"/>
      <c r="C740" s="93"/>
      <c r="D740" s="93"/>
      <c r="E740" s="93"/>
      <c r="F740" s="93"/>
      <c r="G740" s="93"/>
      <c r="H740" s="93"/>
      <c r="I740" s="93"/>
      <c r="J740" s="93"/>
      <c r="K740" s="93"/>
      <c r="L740" s="93"/>
      <c r="M740" s="93"/>
      <c r="N740" s="93"/>
      <c r="O740" s="93"/>
      <c r="P740" s="93"/>
      <c r="Q740" s="699"/>
      <c r="R740" s="93"/>
      <c r="S740" s="93"/>
      <c r="T740" s="93"/>
      <c r="U740" s="93"/>
      <c r="V740" s="93"/>
      <c r="W740" s="93"/>
      <c r="X740" s="93"/>
      <c r="Y740" s="93"/>
      <c r="Z740" s="93"/>
      <c r="AA740" s="93"/>
      <c r="AB740" s="93"/>
      <c r="AC740" s="93"/>
      <c r="AD740" s="93"/>
      <c r="AE740" s="93"/>
      <c r="AF740" s="93"/>
      <c r="AG740" s="114"/>
      <c r="AH740" s="51"/>
      <c r="AI740" s="51"/>
      <c r="AJ740" s="51"/>
      <c r="AK740" s="92"/>
      <c r="AL740" s="92"/>
      <c r="AM740" s="51"/>
      <c r="AN740" s="51"/>
      <c r="AO740" s="93"/>
      <c r="AP740" s="93"/>
      <c r="AQ740" s="93"/>
      <c r="AR740" s="93"/>
      <c r="AS740" s="93"/>
      <c r="AT740" s="93"/>
      <c r="AU740" s="93"/>
      <c r="AV740" s="93"/>
      <c r="AW740" s="699"/>
      <c r="AX740" s="93"/>
      <c r="AY740" s="93"/>
      <c r="AZ740" s="93"/>
      <c r="BA740" s="93"/>
      <c r="BB740" s="93"/>
      <c r="BC740" s="93"/>
      <c r="BD740" s="93"/>
      <c r="BE740" s="93"/>
      <c r="BF740" s="93"/>
      <c r="BG740" s="93"/>
      <c r="BH740" s="93"/>
      <c r="BI740" s="93"/>
      <c r="BJ740" s="93"/>
      <c r="BK740" s="93"/>
      <c r="BL740" s="93"/>
      <c r="BM740" s="112"/>
      <c r="BN740" s="93"/>
      <c r="BO740" s="93"/>
      <c r="BP740" s="93"/>
      <c r="BQ740" s="93"/>
      <c r="BR740" s="93"/>
      <c r="BS740" s="93"/>
      <c r="BT740" s="93"/>
      <c r="BU740" s="93"/>
      <c r="BV740" s="93"/>
      <c r="BW740" s="93"/>
      <c r="BX740" s="93"/>
      <c r="BY740" s="93"/>
      <c r="BZ740" s="93"/>
      <c r="CA740" s="93"/>
      <c r="CB740" s="113"/>
      <c r="CC740" s="2315"/>
      <c r="CD740" s="2315"/>
      <c r="CE740" s="2315"/>
      <c r="CF740" s="2315"/>
      <c r="CG740" s="2315"/>
      <c r="CH740" s="2315"/>
      <c r="CI740" s="2315"/>
      <c r="CJ740" s="2315"/>
      <c r="CK740" s="2315"/>
      <c r="CL740" s="2315"/>
      <c r="CM740" s="2315"/>
      <c r="CN740" s="2315"/>
      <c r="CO740" s="2315"/>
      <c r="CP740" s="2315"/>
      <c r="CQ740" s="2315"/>
      <c r="CR740" s="2767"/>
      <c r="CS740" s="2315"/>
      <c r="CT740" s="2315"/>
      <c r="CU740" s="2315"/>
      <c r="CV740" s="2315"/>
      <c r="CW740" s="2315"/>
      <c r="CX740" s="2315"/>
      <c r="CY740" s="2315"/>
      <c r="CZ740" s="2315"/>
      <c r="DA740" s="70"/>
      <c r="DB740" s="70"/>
      <c r="DC740" s="2315"/>
      <c r="DD740" s="2315"/>
      <c r="DE740" s="70"/>
      <c r="DF740" s="70"/>
      <c r="DG740" s="70"/>
      <c r="DH740" s="2771"/>
      <c r="DI740" s="2315"/>
      <c r="DJ740" s="2315"/>
      <c r="DK740" s="2315"/>
      <c r="DL740" s="2315"/>
      <c r="DM740" s="2315"/>
      <c r="DN740" s="2315"/>
      <c r="DO740" s="2315"/>
      <c r="DP740" s="2315"/>
      <c r="DQ740" s="2315"/>
      <c r="DR740" s="2315"/>
      <c r="DS740" s="2315"/>
      <c r="DT740" s="2315"/>
      <c r="DU740" s="2315"/>
      <c r="DV740" s="2315"/>
      <c r="DW740" s="2315"/>
      <c r="DX740" s="2767"/>
    </row>
    <row r="741" spans="1:128">
      <c r="A741" s="699"/>
      <c r="B741" s="93"/>
      <c r="C741" s="93"/>
      <c r="D741" s="93"/>
      <c r="E741" s="93"/>
      <c r="F741" s="93"/>
      <c r="G741" s="93"/>
      <c r="H741" s="93"/>
      <c r="I741" s="93"/>
      <c r="J741" s="93"/>
      <c r="K741" s="93"/>
      <c r="L741" s="93"/>
      <c r="M741" s="93"/>
      <c r="N741" s="93"/>
      <c r="O741" s="93"/>
      <c r="P741" s="93"/>
      <c r="Q741" s="699"/>
      <c r="R741" s="93"/>
      <c r="S741" s="93"/>
      <c r="T741" s="93"/>
      <c r="U741" s="93"/>
      <c r="V741" s="93"/>
      <c r="W741" s="93"/>
      <c r="X741" s="93"/>
      <c r="Y741" s="93"/>
      <c r="Z741" s="93"/>
      <c r="AA741" s="93"/>
      <c r="AB741" s="93"/>
      <c r="AC741" s="93"/>
      <c r="AD741" s="93"/>
      <c r="AE741" s="93"/>
      <c r="AF741" s="93"/>
      <c r="AG741" s="114"/>
      <c r="AH741" s="51"/>
      <c r="AI741" s="51"/>
      <c r="AJ741" s="51"/>
      <c r="AK741" s="92"/>
      <c r="AL741" s="92"/>
      <c r="AM741" s="51"/>
      <c r="AN741" s="51"/>
      <c r="AO741" s="93"/>
      <c r="AP741" s="93"/>
      <c r="AQ741" s="93"/>
      <c r="AR741" s="93"/>
      <c r="AS741" s="93"/>
      <c r="AT741" s="93"/>
      <c r="AU741" s="93"/>
      <c r="AV741" s="93"/>
      <c r="AW741" s="699"/>
      <c r="AX741" s="93"/>
      <c r="AY741" s="93"/>
      <c r="AZ741" s="93"/>
      <c r="BA741" s="93"/>
      <c r="BB741" s="93"/>
      <c r="BC741" s="93"/>
      <c r="BD741" s="93"/>
      <c r="BE741" s="93"/>
      <c r="BF741" s="93"/>
      <c r="BG741" s="93"/>
      <c r="BH741" s="93"/>
      <c r="BI741" s="93"/>
      <c r="BJ741" s="93"/>
      <c r="BK741" s="93"/>
      <c r="BL741" s="93"/>
      <c r="BM741" s="112"/>
      <c r="BN741" s="93"/>
      <c r="BO741" s="93"/>
      <c r="BP741" s="93"/>
      <c r="BQ741" s="93"/>
      <c r="BR741" s="93"/>
      <c r="BS741" s="93"/>
      <c r="BT741" s="93"/>
      <c r="BU741" s="93"/>
      <c r="BV741" s="93"/>
      <c r="BW741" s="93"/>
      <c r="BX741" s="93"/>
      <c r="BY741" s="93"/>
      <c r="BZ741" s="93"/>
      <c r="CA741" s="93"/>
      <c r="CB741" s="113"/>
      <c r="CC741" s="2315"/>
      <c r="CD741" s="2315"/>
      <c r="CE741" s="2315"/>
      <c r="CF741" s="2315"/>
      <c r="CG741" s="2315"/>
      <c r="CH741" s="2315"/>
      <c r="CI741" s="2315"/>
      <c r="CJ741" s="2315"/>
      <c r="CK741" s="2315"/>
      <c r="CL741" s="2315"/>
      <c r="CM741" s="2315"/>
      <c r="CN741" s="2315"/>
      <c r="CO741" s="2315"/>
      <c r="CP741" s="2315"/>
      <c r="CQ741" s="2315"/>
      <c r="CR741" s="2767"/>
      <c r="CS741" s="2315"/>
      <c r="CT741" s="2315"/>
      <c r="CU741" s="2315"/>
      <c r="CV741" s="2315"/>
      <c r="CW741" s="2315"/>
      <c r="CX741" s="2315"/>
      <c r="CY741" s="2315"/>
      <c r="CZ741" s="2315"/>
      <c r="DA741" s="70"/>
      <c r="DB741" s="70"/>
      <c r="DC741" s="2315"/>
      <c r="DD741" s="2315"/>
      <c r="DE741" s="70"/>
      <c r="DF741" s="70"/>
      <c r="DG741" s="70"/>
      <c r="DH741" s="2771"/>
      <c r="DI741" s="2315"/>
      <c r="DJ741" s="2315"/>
      <c r="DK741" s="2315"/>
      <c r="DL741" s="2315"/>
      <c r="DM741" s="2315"/>
      <c r="DN741" s="2315"/>
      <c r="DO741" s="2315"/>
      <c r="DP741" s="2315"/>
      <c r="DQ741" s="2315"/>
      <c r="DR741" s="2315"/>
      <c r="DS741" s="2315"/>
      <c r="DT741" s="2315"/>
      <c r="DU741" s="2315"/>
      <c r="DV741" s="2315"/>
      <c r="DW741" s="2315"/>
      <c r="DX741" s="2767"/>
    </row>
    <row r="742" spans="1:128">
      <c r="A742" s="699"/>
      <c r="B742" s="93"/>
      <c r="C742" s="93"/>
      <c r="D742" s="93"/>
      <c r="E742" s="93"/>
      <c r="F742" s="93"/>
      <c r="G742" s="93"/>
      <c r="H742" s="93"/>
      <c r="I742" s="93"/>
      <c r="J742" s="93"/>
      <c r="K742" s="93"/>
      <c r="L742" s="93"/>
      <c r="M742" s="93"/>
      <c r="N742" s="93"/>
      <c r="O742" s="93"/>
      <c r="P742" s="93"/>
      <c r="Q742" s="699"/>
      <c r="R742" s="93"/>
      <c r="S742" s="93"/>
      <c r="T742" s="93"/>
      <c r="U742" s="93"/>
      <c r="V742" s="93"/>
      <c r="W742" s="93"/>
      <c r="X742" s="93"/>
      <c r="Y742" s="93"/>
      <c r="Z742" s="93"/>
      <c r="AA742" s="93"/>
      <c r="AB742" s="93"/>
      <c r="AC742" s="93"/>
      <c r="AD742" s="93"/>
      <c r="AE742" s="93"/>
      <c r="AF742" s="93"/>
      <c r="AG742" s="114"/>
      <c r="AH742" s="51"/>
      <c r="AI742" s="51"/>
      <c r="AJ742" s="51"/>
      <c r="AK742" s="92"/>
      <c r="AL742" s="92"/>
      <c r="AM742" s="92"/>
      <c r="AN742" s="51"/>
      <c r="AO742" s="51"/>
      <c r="AP742" s="93"/>
      <c r="AQ742" s="93"/>
      <c r="AR742" s="93"/>
      <c r="AS742" s="93"/>
      <c r="AT742" s="93"/>
      <c r="AU742" s="93"/>
      <c r="AV742" s="93"/>
      <c r="AW742" s="699"/>
      <c r="AX742" s="93"/>
      <c r="AY742" s="93"/>
      <c r="AZ742" s="93"/>
      <c r="BA742" s="93"/>
      <c r="BB742" s="93"/>
      <c r="BC742" s="93"/>
      <c r="BD742" s="93"/>
      <c r="BE742" s="93"/>
      <c r="BF742" s="93"/>
      <c r="BG742" s="93"/>
      <c r="BH742" s="93"/>
      <c r="BI742" s="93"/>
      <c r="BJ742" s="93"/>
      <c r="BK742" s="93"/>
      <c r="BL742" s="93"/>
      <c r="BM742" s="112"/>
      <c r="BN742" s="93"/>
      <c r="BO742" s="93"/>
      <c r="BP742" s="93"/>
      <c r="BQ742" s="93"/>
      <c r="BR742" s="93"/>
      <c r="BS742" s="93"/>
      <c r="BT742" s="93"/>
      <c r="BU742" s="93"/>
      <c r="BV742" s="93"/>
      <c r="BW742" s="93"/>
      <c r="BX742" s="93"/>
      <c r="BY742" s="93"/>
      <c r="BZ742" s="93"/>
      <c r="CA742" s="93"/>
      <c r="CB742" s="113"/>
      <c r="CC742" s="2315"/>
      <c r="CD742" s="2315"/>
      <c r="CE742" s="2315"/>
      <c r="CF742" s="2315"/>
      <c r="CG742" s="2315"/>
      <c r="CH742" s="2315"/>
      <c r="CI742" s="2315"/>
      <c r="CJ742" s="2315"/>
      <c r="CK742" s="2315"/>
      <c r="CL742" s="2315"/>
      <c r="CM742" s="2315"/>
      <c r="CN742" s="2315"/>
      <c r="CO742" s="2315"/>
      <c r="CP742" s="2315"/>
      <c r="CQ742" s="2315"/>
      <c r="CR742" s="2767"/>
      <c r="CS742" s="2315"/>
      <c r="CT742" s="2315"/>
      <c r="CU742" s="2315"/>
      <c r="CV742" s="2315"/>
      <c r="CW742" s="2315"/>
      <c r="CX742" s="2315"/>
      <c r="CY742" s="2315"/>
      <c r="CZ742" s="70"/>
      <c r="DA742" s="70"/>
      <c r="DB742" s="2315"/>
      <c r="DC742" s="2315"/>
      <c r="DD742" s="2315"/>
      <c r="DE742" s="70"/>
      <c r="DF742" s="70"/>
      <c r="DG742" s="70"/>
      <c r="DH742" s="2771"/>
      <c r="DI742" s="2315"/>
      <c r="DJ742" s="2315"/>
      <c r="DK742" s="2315"/>
      <c r="DL742" s="2315"/>
      <c r="DM742" s="2315"/>
      <c r="DN742" s="2315"/>
      <c r="DO742" s="2315"/>
      <c r="DP742" s="2315"/>
      <c r="DQ742" s="2315"/>
      <c r="DR742" s="2315"/>
      <c r="DS742" s="2315"/>
      <c r="DT742" s="2315"/>
      <c r="DU742" s="2315"/>
      <c r="DV742" s="2315"/>
      <c r="DW742" s="2315"/>
      <c r="DX742" s="2767"/>
    </row>
    <row r="743" spans="1:128">
      <c r="A743" s="699"/>
      <c r="B743" s="93"/>
      <c r="C743" s="93"/>
      <c r="D743" s="93"/>
      <c r="E743" s="93"/>
      <c r="F743" s="93"/>
      <c r="G743" s="93"/>
      <c r="H743" s="93"/>
      <c r="I743" s="93"/>
      <c r="J743" s="93"/>
      <c r="K743" s="93"/>
      <c r="L743" s="93"/>
      <c r="M743" s="93"/>
      <c r="N743" s="93"/>
      <c r="O743" s="93"/>
      <c r="P743" s="93"/>
      <c r="Q743" s="699"/>
      <c r="R743" s="93"/>
      <c r="S743" s="93"/>
      <c r="T743" s="93"/>
      <c r="U743" s="93"/>
      <c r="V743" s="93"/>
      <c r="W743" s="93"/>
      <c r="X743" s="93"/>
      <c r="Y743" s="93"/>
      <c r="Z743" s="93"/>
      <c r="AA743" s="93"/>
      <c r="AB743" s="93"/>
      <c r="AC743" s="93"/>
      <c r="AD743" s="93"/>
      <c r="AE743" s="93"/>
      <c r="AF743" s="93"/>
      <c r="AG743" s="114"/>
      <c r="AH743" s="51"/>
      <c r="AI743" s="51"/>
      <c r="AJ743" s="92"/>
      <c r="AK743" s="92"/>
      <c r="AL743" s="92"/>
      <c r="AM743" s="51"/>
      <c r="AN743" s="51"/>
      <c r="AO743" s="93"/>
      <c r="AP743" s="93"/>
      <c r="AQ743" s="93"/>
      <c r="AR743" s="93"/>
      <c r="AS743" s="93"/>
      <c r="AT743" s="93"/>
      <c r="AU743" s="93"/>
      <c r="AV743" s="93"/>
      <c r="AW743" s="699"/>
      <c r="AX743" s="93"/>
      <c r="AY743" s="93"/>
      <c r="AZ743" s="93"/>
      <c r="BA743" s="93"/>
      <c r="BB743" s="93"/>
      <c r="BC743" s="93"/>
      <c r="BD743" s="93"/>
      <c r="BE743" s="93"/>
      <c r="BF743" s="93"/>
      <c r="BG743" s="93"/>
      <c r="BH743" s="93"/>
      <c r="BI743" s="93"/>
      <c r="BJ743" s="93"/>
      <c r="BK743" s="93"/>
      <c r="BL743" s="93"/>
      <c r="BM743" s="112"/>
      <c r="BN743" s="93"/>
      <c r="BO743" s="93"/>
      <c r="BP743" s="93"/>
      <c r="BQ743" s="93"/>
      <c r="BR743" s="93"/>
      <c r="BS743" s="93"/>
      <c r="BT743" s="93"/>
      <c r="BU743" s="93"/>
      <c r="BV743" s="93"/>
      <c r="BW743" s="93"/>
      <c r="BX743" s="93"/>
      <c r="BY743" s="93"/>
      <c r="BZ743" s="93"/>
      <c r="CA743" s="93"/>
      <c r="CB743" s="113"/>
      <c r="CC743" s="2315"/>
      <c r="CD743" s="2315"/>
      <c r="CE743" s="2315"/>
      <c r="CF743" s="2315"/>
      <c r="CG743" s="2315"/>
      <c r="CH743" s="2315"/>
      <c r="CI743" s="2315"/>
      <c r="CJ743" s="2315"/>
      <c r="CK743" s="2315"/>
      <c r="CL743" s="2315"/>
      <c r="CM743" s="2315"/>
      <c r="CN743" s="2315"/>
      <c r="CO743" s="2315"/>
      <c r="CP743" s="2315"/>
      <c r="CQ743" s="2315"/>
      <c r="CR743" s="2767"/>
      <c r="CS743" s="2315"/>
      <c r="CT743" s="2315"/>
      <c r="CU743" s="2315"/>
      <c r="CV743" s="2315"/>
      <c r="CW743" s="2315"/>
      <c r="CX743" s="2315"/>
      <c r="CY743" s="2315"/>
      <c r="CZ743" s="2315"/>
      <c r="DA743" s="70"/>
      <c r="DB743" s="70"/>
      <c r="DC743" s="2315"/>
      <c r="DD743" s="2315"/>
      <c r="DE743" s="2315"/>
      <c r="DF743" s="70"/>
      <c r="DG743" s="70"/>
      <c r="DH743" s="2771"/>
      <c r="DI743" s="2315"/>
      <c r="DJ743" s="2315"/>
      <c r="DK743" s="2315"/>
      <c r="DL743" s="2315"/>
      <c r="DM743" s="2315"/>
      <c r="DN743" s="2315"/>
      <c r="DO743" s="2315"/>
      <c r="DP743" s="2315"/>
      <c r="DQ743" s="2315"/>
      <c r="DR743" s="2315"/>
      <c r="DS743" s="2315"/>
      <c r="DT743" s="2315"/>
      <c r="DU743" s="2315"/>
      <c r="DV743" s="2315"/>
      <c r="DW743" s="2315"/>
      <c r="DX743" s="2767"/>
    </row>
    <row r="744" spans="1:128">
      <c r="A744" s="699"/>
      <c r="B744" s="93"/>
      <c r="C744" s="93"/>
      <c r="D744" s="93"/>
      <c r="E744" s="93"/>
      <c r="F744" s="93"/>
      <c r="G744" s="298"/>
      <c r="H744" s="93"/>
      <c r="I744" s="93"/>
      <c r="J744" s="298"/>
      <c r="K744" s="93"/>
      <c r="L744" s="93"/>
      <c r="M744" s="93"/>
      <c r="N744" s="93"/>
      <c r="O744" s="93"/>
      <c r="P744" s="93"/>
      <c r="Q744" s="699"/>
      <c r="R744" s="93"/>
      <c r="S744" s="93"/>
      <c r="T744" s="93"/>
      <c r="U744" s="298"/>
      <c r="V744" s="93"/>
      <c r="W744" s="298"/>
      <c r="X744" s="93"/>
      <c r="Y744" s="93"/>
      <c r="Z744" s="93"/>
      <c r="AA744" s="93"/>
      <c r="AB744" s="93"/>
      <c r="AC744" s="93"/>
      <c r="AD744" s="93"/>
      <c r="AE744" s="93"/>
      <c r="AF744" s="93"/>
      <c r="AG744" s="114"/>
      <c r="AH744" s="51"/>
      <c r="AI744" s="51"/>
      <c r="AJ744" s="92"/>
      <c r="AK744" s="92"/>
      <c r="AL744" s="92"/>
      <c r="AM744" s="298"/>
      <c r="AN744" s="51"/>
      <c r="AO744" s="93"/>
      <c r="AP744" s="93"/>
      <c r="AQ744" s="93"/>
      <c r="AR744" s="93"/>
      <c r="AS744" s="93"/>
      <c r="AT744" s="93"/>
      <c r="AU744" s="93"/>
      <c r="AV744" s="93"/>
      <c r="AW744" s="699"/>
      <c r="AX744" s="93"/>
      <c r="AY744" s="93"/>
      <c r="AZ744" s="93"/>
      <c r="BA744" s="93"/>
      <c r="BB744" s="294"/>
      <c r="BC744" s="93"/>
      <c r="BD744" s="294"/>
      <c r="BE744" s="93"/>
      <c r="BF744" s="93"/>
      <c r="BG744" s="93"/>
      <c r="BH744" s="93"/>
      <c r="BI744" s="93"/>
      <c r="BJ744" s="93"/>
      <c r="BK744" s="93"/>
      <c r="BL744" s="93"/>
      <c r="BM744" s="112"/>
      <c r="BN744" s="93"/>
      <c r="BO744" s="93"/>
      <c r="BP744" s="93"/>
      <c r="BQ744" s="93"/>
      <c r="BR744" s="93"/>
      <c r="BS744" s="93"/>
      <c r="BT744" s="93"/>
      <c r="BU744" s="93"/>
      <c r="BV744" s="93"/>
      <c r="BW744" s="93"/>
      <c r="BX744" s="93"/>
      <c r="BY744" s="93"/>
      <c r="BZ744" s="93"/>
      <c r="CA744" s="93"/>
      <c r="CB744" s="113"/>
      <c r="CC744" s="2315"/>
      <c r="CD744" s="2315"/>
      <c r="CE744" s="2315"/>
      <c r="CF744" s="2315"/>
      <c r="CG744" s="2315"/>
      <c r="CH744" s="2315"/>
      <c r="CI744" s="2315"/>
      <c r="CJ744" s="2315"/>
      <c r="CK744" s="2317"/>
      <c r="CL744" s="2315"/>
      <c r="CM744" s="2317"/>
      <c r="CN744" s="2315"/>
      <c r="CO744" s="2315"/>
      <c r="CP744" s="2315"/>
      <c r="CQ744" s="2315"/>
      <c r="CR744" s="2767"/>
      <c r="CS744" s="2315"/>
      <c r="CT744" s="2315"/>
      <c r="CU744" s="2315"/>
      <c r="CV744" s="2315"/>
      <c r="CW744" s="2315"/>
      <c r="CX744" s="2315"/>
      <c r="CY744" s="2315"/>
      <c r="CZ744" s="2315"/>
      <c r="DA744" s="70"/>
      <c r="DB744" s="2320"/>
      <c r="DC744" s="2315"/>
      <c r="DD744" s="2315"/>
      <c r="DE744" s="2315"/>
      <c r="DF744" s="70"/>
      <c r="DG744" s="70"/>
      <c r="DH744" s="2771"/>
      <c r="DI744" s="2315"/>
      <c r="DJ744" s="2315"/>
      <c r="DK744" s="2315"/>
      <c r="DL744" s="2315"/>
      <c r="DM744" s="2315"/>
      <c r="DN744" s="2315"/>
      <c r="DO744" s="2315"/>
      <c r="DP744" s="2315"/>
      <c r="DQ744" s="2315"/>
      <c r="DR744" s="2320"/>
      <c r="DS744" s="2315"/>
      <c r="DT744" s="2320"/>
      <c r="DU744" s="2315"/>
      <c r="DV744" s="2315"/>
      <c r="DW744" s="2315"/>
      <c r="DX744" s="2767"/>
    </row>
    <row r="745" spans="1:128">
      <c r="A745" s="699"/>
      <c r="B745" s="93"/>
      <c r="C745" s="93"/>
      <c r="D745" s="93"/>
      <c r="E745" s="93"/>
      <c r="F745" s="290"/>
      <c r="G745" s="298"/>
      <c r="H745" s="93"/>
      <c r="I745" s="93"/>
      <c r="J745" s="298"/>
      <c r="K745" s="290"/>
      <c r="L745" s="93"/>
      <c r="M745" s="93"/>
      <c r="N745" s="93"/>
      <c r="O745" s="93"/>
      <c r="P745" s="93"/>
      <c r="Q745" s="699"/>
      <c r="R745" s="93"/>
      <c r="S745" s="93"/>
      <c r="T745" s="93"/>
      <c r="U745" s="298"/>
      <c r="V745" s="93"/>
      <c r="W745" s="298"/>
      <c r="X745" s="290"/>
      <c r="Y745" s="93"/>
      <c r="Z745" s="204"/>
      <c r="AA745" s="93"/>
      <c r="AB745" s="93"/>
      <c r="AC745" s="93"/>
      <c r="AD745" s="93"/>
      <c r="AE745" s="93"/>
      <c r="AF745" s="93"/>
      <c r="AG745" s="114"/>
      <c r="AH745" s="51"/>
      <c r="AI745" s="51"/>
      <c r="AJ745" s="92"/>
      <c r="AK745" s="92"/>
      <c r="AL745" s="92"/>
      <c r="AM745" s="298"/>
      <c r="AN745" s="290"/>
      <c r="AO745" s="93"/>
      <c r="AP745" s="93"/>
      <c r="AQ745" s="93"/>
      <c r="AR745" s="93"/>
      <c r="AS745" s="93"/>
      <c r="AT745" s="93"/>
      <c r="AU745" s="93"/>
      <c r="AV745" s="93"/>
      <c r="AW745" s="699"/>
      <c r="AX745" s="93"/>
      <c r="AY745" s="93"/>
      <c r="AZ745" s="93"/>
      <c r="BA745" s="93"/>
      <c r="BB745" s="294"/>
      <c r="BC745" s="93"/>
      <c r="BD745" s="294"/>
      <c r="BE745" s="206"/>
      <c r="BF745" s="93"/>
      <c r="BG745" s="93"/>
      <c r="BH745" s="93"/>
      <c r="BI745" s="93"/>
      <c r="BJ745" s="93"/>
      <c r="BK745" s="93"/>
      <c r="BL745" s="93"/>
      <c r="BM745" s="112"/>
      <c r="BN745" s="93"/>
      <c r="BO745" s="93"/>
      <c r="BP745" s="93"/>
      <c r="BQ745" s="93"/>
      <c r="BR745" s="93"/>
      <c r="BS745" s="294"/>
      <c r="BT745" s="93"/>
      <c r="BU745" s="93"/>
      <c r="BV745" s="294"/>
      <c r="BW745" s="93"/>
      <c r="BX745" s="93"/>
      <c r="BY745" s="93"/>
      <c r="BZ745" s="93"/>
      <c r="CA745" s="93"/>
      <c r="CB745" s="113"/>
      <c r="CC745" s="2315"/>
      <c r="CD745" s="2315"/>
      <c r="CE745" s="2315"/>
      <c r="CF745" s="2315"/>
      <c r="CG745" s="2315"/>
      <c r="CH745" s="2315"/>
      <c r="CI745" s="2315"/>
      <c r="CJ745" s="2325"/>
      <c r="CK745" s="2317"/>
      <c r="CL745" s="2315"/>
      <c r="CM745" s="2317"/>
      <c r="CN745" s="2315"/>
      <c r="CO745" s="2315"/>
      <c r="CP745" s="2315"/>
      <c r="CQ745" s="2315"/>
      <c r="CR745" s="2767"/>
      <c r="CS745" s="2315"/>
      <c r="CT745" s="2315"/>
      <c r="CU745" s="2315"/>
      <c r="CV745" s="2315"/>
      <c r="CW745" s="2315"/>
      <c r="CX745" s="2315"/>
      <c r="CY745" s="2315"/>
      <c r="CZ745" s="2315"/>
      <c r="DA745" s="2321"/>
      <c r="DB745" s="2320"/>
      <c r="DC745" s="2315"/>
      <c r="DD745" s="2315"/>
      <c r="DE745" s="2315"/>
      <c r="DF745" s="70"/>
      <c r="DG745" s="70"/>
      <c r="DH745" s="2771"/>
      <c r="DI745" s="2315"/>
      <c r="DJ745" s="2315"/>
      <c r="DK745" s="2315"/>
      <c r="DL745" s="2315"/>
      <c r="DM745" s="2315"/>
      <c r="DN745" s="2315"/>
      <c r="DO745" s="2316"/>
      <c r="DP745" s="2315"/>
      <c r="DQ745" s="2321"/>
      <c r="DR745" s="2320"/>
      <c r="DS745" s="2315"/>
      <c r="DT745" s="2320"/>
      <c r="DU745" s="2315"/>
      <c r="DV745" s="2315"/>
      <c r="DW745" s="2315"/>
      <c r="DX745" s="2767"/>
    </row>
    <row r="746" spans="1:128">
      <c r="A746" s="699"/>
      <c r="B746" s="93"/>
      <c r="C746" s="204"/>
      <c r="D746" s="93"/>
      <c r="E746" s="93"/>
      <c r="F746" s="160"/>
      <c r="G746" s="160"/>
      <c r="H746" s="205"/>
      <c r="I746" s="205"/>
      <c r="J746" s="160"/>
      <c r="K746" s="160"/>
      <c r="L746" s="93"/>
      <c r="M746" s="93"/>
      <c r="N746" s="204"/>
      <c r="O746" s="93"/>
      <c r="P746" s="93"/>
      <c r="Q746" s="699"/>
      <c r="R746" s="93"/>
      <c r="S746" s="93"/>
      <c r="T746" s="160"/>
      <c r="U746" s="205"/>
      <c r="V746" s="205"/>
      <c r="W746" s="160"/>
      <c r="X746" s="160"/>
      <c r="Y746" s="206"/>
      <c r="Z746" s="204"/>
      <c r="AA746" s="93"/>
      <c r="AB746" s="93"/>
      <c r="AC746" s="204"/>
      <c r="AD746" s="93"/>
      <c r="AE746" s="93"/>
      <c r="AF746" s="93"/>
      <c r="AG746" s="114"/>
      <c r="AH746" s="51"/>
      <c r="AI746" s="51"/>
      <c r="AJ746" s="92"/>
      <c r="AK746" s="160"/>
      <c r="AL746" s="205"/>
      <c r="AM746" s="205"/>
      <c r="AN746" s="160"/>
      <c r="AO746" s="93"/>
      <c r="AP746" s="93"/>
      <c r="AQ746" s="93"/>
      <c r="AR746" s="294"/>
      <c r="AS746" s="204"/>
      <c r="AT746" s="93"/>
      <c r="AU746" s="93"/>
      <c r="AV746" s="93"/>
      <c r="AW746" s="699"/>
      <c r="AX746" s="93"/>
      <c r="AY746" s="93"/>
      <c r="AZ746" s="93"/>
      <c r="BA746" s="294"/>
      <c r="BB746" s="160"/>
      <c r="BC746" s="206"/>
      <c r="BD746" s="206"/>
      <c r="BE746" s="160"/>
      <c r="BF746" s="93"/>
      <c r="BG746" s="93"/>
      <c r="BH746" s="93"/>
      <c r="BI746" s="204"/>
      <c r="BJ746" s="93"/>
      <c r="BK746" s="93"/>
      <c r="BL746" s="93"/>
      <c r="BM746" s="112"/>
      <c r="BN746" s="93"/>
      <c r="BO746" s="93"/>
      <c r="BP746" s="93"/>
      <c r="BQ746" s="93"/>
      <c r="BR746" s="294"/>
      <c r="BS746" s="160"/>
      <c r="BT746" s="93"/>
      <c r="BU746" s="93"/>
      <c r="BV746" s="160"/>
      <c r="BW746" s="294"/>
      <c r="BX746" s="93"/>
      <c r="BY746" s="93"/>
      <c r="BZ746" s="93"/>
      <c r="CA746" s="93"/>
      <c r="CB746" s="113"/>
      <c r="CC746" s="2315"/>
      <c r="CD746" s="2315"/>
      <c r="CE746" s="2315"/>
      <c r="CF746" s="2316"/>
      <c r="CG746" s="2315"/>
      <c r="CH746" s="2315"/>
      <c r="CI746" s="2315"/>
      <c r="CJ746" s="2322"/>
      <c r="CK746" s="2325"/>
      <c r="CL746" s="2325"/>
      <c r="CM746" s="2322"/>
      <c r="CN746" s="2317"/>
      <c r="CO746" s="2315"/>
      <c r="CP746" s="2315"/>
      <c r="CQ746" s="2315"/>
      <c r="CR746" s="2767"/>
      <c r="CS746" s="2315"/>
      <c r="CT746" s="2315"/>
      <c r="CU746" s="2315"/>
      <c r="CV746" s="2316"/>
      <c r="CW746" s="2317"/>
      <c r="CX746" s="2315"/>
      <c r="CY746" s="2315"/>
      <c r="CZ746" s="2315"/>
      <c r="DA746" s="2322"/>
      <c r="DB746" s="2324"/>
      <c r="DC746" s="2324"/>
      <c r="DD746" s="2322"/>
      <c r="DE746" s="2315"/>
      <c r="DF746" s="70"/>
      <c r="DG746" s="70"/>
      <c r="DH746" s="2771"/>
      <c r="DI746" s="2315"/>
      <c r="DJ746" s="2315"/>
      <c r="DK746" s="2315"/>
      <c r="DL746" s="2316"/>
      <c r="DM746" s="2315"/>
      <c r="DN746" s="2315"/>
      <c r="DO746" s="2316"/>
      <c r="DP746" s="2325"/>
      <c r="DQ746" s="2322"/>
      <c r="DR746" s="2322"/>
      <c r="DS746" s="2324"/>
      <c r="DT746" s="2324"/>
      <c r="DU746" s="2322"/>
      <c r="DV746" s="2315"/>
      <c r="DW746" s="2315"/>
      <c r="DX746" s="2767"/>
    </row>
    <row r="747" spans="1:128">
      <c r="A747" s="699"/>
      <c r="B747" s="93"/>
      <c r="C747" s="298"/>
      <c r="D747" s="93"/>
      <c r="E747" s="206"/>
      <c r="F747" s="160"/>
      <c r="G747" s="316"/>
      <c r="H747" s="160"/>
      <c r="I747" s="160"/>
      <c r="J747" s="316"/>
      <c r="K747" s="160"/>
      <c r="L747" s="206"/>
      <c r="M747" s="93"/>
      <c r="N747" s="207"/>
      <c r="O747" s="93"/>
      <c r="P747" s="93"/>
      <c r="Q747" s="699"/>
      <c r="R747" s="93"/>
      <c r="S747" s="93"/>
      <c r="T747" s="316"/>
      <c r="U747" s="205"/>
      <c r="V747" s="316"/>
      <c r="W747" s="206"/>
      <c r="X747" s="160"/>
      <c r="Y747" s="160"/>
      <c r="Z747" s="206"/>
      <c r="AA747" s="298"/>
      <c r="AB747" s="93"/>
      <c r="AC747" s="207"/>
      <c r="AD747" s="93"/>
      <c r="AE747" s="93"/>
      <c r="AF747" s="93"/>
      <c r="AG747" s="114"/>
      <c r="AH747" s="51"/>
      <c r="AI747" s="51"/>
      <c r="AJ747" s="51"/>
      <c r="AK747" s="316"/>
      <c r="AL747" s="206"/>
      <c r="AM747" s="206"/>
      <c r="AN747" s="160"/>
      <c r="AO747" s="206"/>
      <c r="AP747" s="93"/>
      <c r="AQ747" s="93"/>
      <c r="AR747" s="294"/>
      <c r="AS747" s="207"/>
      <c r="AT747" s="93"/>
      <c r="AU747" s="93"/>
      <c r="AV747" s="93"/>
      <c r="AW747" s="699"/>
      <c r="AX747" s="93"/>
      <c r="AY747" s="93"/>
      <c r="AZ747" s="93"/>
      <c r="BA747" s="204"/>
      <c r="BB747" s="160"/>
      <c r="BC747" s="160"/>
      <c r="BD747" s="206"/>
      <c r="BE747" s="160"/>
      <c r="BF747" s="206"/>
      <c r="BG747" s="93"/>
      <c r="BH747" s="93"/>
      <c r="BI747" s="207"/>
      <c r="BJ747" s="93"/>
      <c r="BK747" s="93"/>
      <c r="BL747" s="93"/>
      <c r="BM747" s="112"/>
      <c r="BN747" s="93"/>
      <c r="BO747" s="93"/>
      <c r="BP747" s="93"/>
      <c r="BQ747" s="204"/>
      <c r="BR747" s="160"/>
      <c r="BS747" s="160"/>
      <c r="BT747" s="160"/>
      <c r="BU747" s="160"/>
      <c r="BV747" s="160"/>
      <c r="BW747" s="160"/>
      <c r="BX747" s="204"/>
      <c r="BY747" s="93"/>
      <c r="BZ747" s="93"/>
      <c r="CA747" s="93"/>
      <c r="CB747" s="113"/>
      <c r="CC747" s="2315"/>
      <c r="CD747" s="2315"/>
      <c r="CE747" s="2315"/>
      <c r="CF747" s="2319"/>
      <c r="CG747" s="2315"/>
      <c r="CH747" s="2315"/>
      <c r="CI747" s="2325"/>
      <c r="CJ747" s="2322"/>
      <c r="CK747" s="2325"/>
      <c r="CL747" s="2322"/>
      <c r="CM747" s="2322"/>
      <c r="CN747" s="2316"/>
      <c r="CO747" s="2315"/>
      <c r="CP747" s="2315"/>
      <c r="CQ747" s="2315"/>
      <c r="CR747" s="2767"/>
      <c r="CS747" s="2315"/>
      <c r="CT747" s="2315"/>
      <c r="CU747" s="2315"/>
      <c r="CV747" s="2319"/>
      <c r="CW747" s="2317"/>
      <c r="CX747" s="2315"/>
      <c r="CY747" s="2315"/>
      <c r="CZ747" s="2325"/>
      <c r="DA747" s="2322"/>
      <c r="DB747" s="2325"/>
      <c r="DC747" s="2325"/>
      <c r="DD747" s="2327"/>
      <c r="DE747" s="70"/>
      <c r="DF747" s="70"/>
      <c r="DG747" s="70"/>
      <c r="DH747" s="2771"/>
      <c r="DI747" s="2315"/>
      <c r="DJ747" s="2315"/>
      <c r="DK747" s="2315"/>
      <c r="DL747" s="2319"/>
      <c r="DM747" s="2315"/>
      <c r="DN747" s="2320"/>
      <c r="DO747" s="2325"/>
      <c r="DP747" s="2322"/>
      <c r="DQ747" s="2322"/>
      <c r="DR747" s="2325"/>
      <c r="DS747" s="2327"/>
      <c r="DT747" s="2324"/>
      <c r="DU747" s="2327"/>
      <c r="DV747" s="2315"/>
      <c r="DW747" s="2315"/>
      <c r="DX747" s="2767"/>
    </row>
    <row r="748" spans="1:128">
      <c r="A748" s="699"/>
      <c r="B748" s="93"/>
      <c r="C748" s="298"/>
      <c r="D748" s="204"/>
      <c r="E748" s="206"/>
      <c r="F748" s="298"/>
      <c r="G748" s="204"/>
      <c r="H748" s="160"/>
      <c r="I748" s="160"/>
      <c r="J748" s="204"/>
      <c r="K748" s="298"/>
      <c r="L748" s="206"/>
      <c r="M748" s="204"/>
      <c r="N748" s="298"/>
      <c r="O748" s="93"/>
      <c r="P748" s="93"/>
      <c r="Q748" s="699"/>
      <c r="R748" s="93"/>
      <c r="S748" s="294"/>
      <c r="T748" s="298"/>
      <c r="U748" s="205"/>
      <c r="V748" s="204"/>
      <c r="W748" s="294"/>
      <c r="X748" s="160"/>
      <c r="Y748" s="206"/>
      <c r="Z748" s="206"/>
      <c r="AA748" s="298"/>
      <c r="AB748" s="204"/>
      <c r="AC748" s="298"/>
      <c r="AD748" s="204"/>
      <c r="AE748" s="93"/>
      <c r="AF748" s="93"/>
      <c r="AG748" s="114"/>
      <c r="AH748" s="93"/>
      <c r="AI748" s="294"/>
      <c r="AJ748" s="294"/>
      <c r="AK748" s="204"/>
      <c r="AL748" s="294"/>
      <c r="AM748" s="160"/>
      <c r="AN748" s="160"/>
      <c r="AO748" s="206"/>
      <c r="AP748" s="206"/>
      <c r="AQ748" s="294"/>
      <c r="AR748" s="204"/>
      <c r="AS748" s="298"/>
      <c r="AT748" s="207"/>
      <c r="AU748" s="93"/>
      <c r="AV748" s="93"/>
      <c r="AW748" s="699"/>
      <c r="AX748" s="93"/>
      <c r="AY748" s="93"/>
      <c r="AZ748" s="294"/>
      <c r="BA748" s="160"/>
      <c r="BB748" s="206"/>
      <c r="BC748" s="207"/>
      <c r="BD748" s="206"/>
      <c r="BE748" s="206"/>
      <c r="BF748" s="160"/>
      <c r="BG748" s="93"/>
      <c r="BH748" s="204"/>
      <c r="BI748" s="298"/>
      <c r="BJ748" s="204"/>
      <c r="BK748" s="93"/>
      <c r="BL748" s="93"/>
      <c r="BM748" s="112"/>
      <c r="BN748" s="93"/>
      <c r="BO748" s="93"/>
      <c r="BP748" s="93"/>
      <c r="BQ748" s="207"/>
      <c r="BR748" s="160"/>
      <c r="BS748" s="205"/>
      <c r="BT748" s="160"/>
      <c r="BU748" s="160"/>
      <c r="BV748" s="205"/>
      <c r="BW748" s="160"/>
      <c r="BX748" s="207"/>
      <c r="BY748" s="93"/>
      <c r="BZ748" s="93"/>
      <c r="CA748" s="93"/>
      <c r="CB748" s="113"/>
      <c r="CC748" s="2315"/>
      <c r="CD748" s="2315"/>
      <c r="CE748" s="2316"/>
      <c r="CF748" s="2320"/>
      <c r="CG748" s="2316"/>
      <c r="CH748" s="2315"/>
      <c r="CI748" s="2322"/>
      <c r="CJ748" s="2325"/>
      <c r="CK748" s="2325"/>
      <c r="CL748" s="2319"/>
      <c r="CM748" s="2325"/>
      <c r="CN748" s="2322"/>
      <c r="CO748" s="2317"/>
      <c r="CP748" s="2315"/>
      <c r="CQ748" s="2315"/>
      <c r="CR748" s="2767"/>
      <c r="CS748" s="2315"/>
      <c r="CT748" s="2315"/>
      <c r="CU748" s="2319"/>
      <c r="CV748" s="2320"/>
      <c r="CW748" s="2316"/>
      <c r="CX748" s="2317"/>
      <c r="CY748" s="2325"/>
      <c r="CZ748" s="2325"/>
      <c r="DA748" s="2322"/>
      <c r="DB748" s="2322"/>
      <c r="DC748" s="2317"/>
      <c r="DD748" s="2316"/>
      <c r="DE748" s="2317"/>
      <c r="DF748" s="2317"/>
      <c r="DG748" s="2315"/>
      <c r="DH748" s="2771"/>
      <c r="DI748" s="2315"/>
      <c r="DJ748" s="2315"/>
      <c r="DK748" s="2316"/>
      <c r="DL748" s="2320"/>
      <c r="DM748" s="2316"/>
      <c r="DN748" s="2320"/>
      <c r="DO748" s="2325"/>
      <c r="DP748" s="2325"/>
      <c r="DQ748" s="2322"/>
      <c r="DR748" s="2317"/>
      <c r="DS748" s="2316"/>
      <c r="DT748" s="2324"/>
      <c r="DU748" s="2320"/>
      <c r="DV748" s="2317"/>
      <c r="DW748" s="2315"/>
      <c r="DX748" s="2767"/>
    </row>
    <row r="749" spans="1:128">
      <c r="A749" s="699"/>
      <c r="B749" s="204"/>
      <c r="C749" s="290"/>
      <c r="D749" s="207"/>
      <c r="E749" s="93"/>
      <c r="F749" s="205"/>
      <c r="G749" s="205"/>
      <c r="H749" s="205"/>
      <c r="I749" s="205"/>
      <c r="J749" s="205"/>
      <c r="K749" s="205"/>
      <c r="L749" s="93"/>
      <c r="M749" s="207"/>
      <c r="N749" s="290"/>
      <c r="O749" s="204"/>
      <c r="P749" s="93"/>
      <c r="Q749" s="699"/>
      <c r="R749" s="93"/>
      <c r="S749" s="205"/>
      <c r="T749" s="205"/>
      <c r="U749" s="205"/>
      <c r="V749" s="205"/>
      <c r="W749" s="160"/>
      <c r="X749" s="205"/>
      <c r="Y749" s="206"/>
      <c r="Z749" s="298"/>
      <c r="AA749" s="204"/>
      <c r="AB749" s="298"/>
      <c r="AC749" s="294"/>
      <c r="AD749" s="207"/>
      <c r="AE749" s="93"/>
      <c r="AF749" s="93"/>
      <c r="AG749" s="114"/>
      <c r="AH749" s="93"/>
      <c r="AI749" s="205"/>
      <c r="AJ749" s="205"/>
      <c r="AK749" s="205"/>
      <c r="AL749" s="160"/>
      <c r="AM749" s="160"/>
      <c r="AN749" s="206"/>
      <c r="AO749" s="206"/>
      <c r="AP749" s="206"/>
      <c r="AQ749" s="294"/>
      <c r="AR749" s="207"/>
      <c r="AS749" s="298"/>
      <c r="AT749" s="204"/>
      <c r="AU749" s="93"/>
      <c r="AV749" s="93"/>
      <c r="AW749" s="699"/>
      <c r="AX749" s="93"/>
      <c r="AY749" s="93"/>
      <c r="AZ749" s="206"/>
      <c r="BA749" s="160"/>
      <c r="BB749" s="206"/>
      <c r="BC749" s="204"/>
      <c r="BD749" s="206"/>
      <c r="BE749" s="206"/>
      <c r="BF749" s="290"/>
      <c r="BG749" s="207"/>
      <c r="BH749" s="207"/>
      <c r="BI749" s="294"/>
      <c r="BJ749" s="207"/>
      <c r="BK749" s="93"/>
      <c r="BL749" s="93"/>
      <c r="BM749" s="112"/>
      <c r="BN749" s="93"/>
      <c r="BO749" s="93"/>
      <c r="BP749" s="204"/>
      <c r="BQ749" s="298"/>
      <c r="BR749" s="160"/>
      <c r="BS749" s="205"/>
      <c r="BT749" s="205"/>
      <c r="BU749" s="205"/>
      <c r="BV749" s="205"/>
      <c r="BW749" s="160"/>
      <c r="BX749" s="298"/>
      <c r="BY749" s="204"/>
      <c r="BZ749" s="93"/>
      <c r="CA749" s="93"/>
      <c r="CB749" s="113"/>
      <c r="CC749" s="2315"/>
      <c r="CD749" s="2315"/>
      <c r="CE749" s="2319"/>
      <c r="CF749" s="2317"/>
      <c r="CG749" s="2319"/>
      <c r="CH749" s="2319"/>
      <c r="CI749" s="2321"/>
      <c r="CJ749" s="2325"/>
      <c r="CK749" s="2325"/>
      <c r="CL749" s="2316"/>
      <c r="CM749" s="2325"/>
      <c r="CN749" s="2322"/>
      <c r="CO749" s="2325"/>
      <c r="CP749" s="2315"/>
      <c r="CQ749" s="2315"/>
      <c r="CR749" s="2767"/>
      <c r="CS749" s="2315"/>
      <c r="CT749" s="2315"/>
      <c r="CU749" s="2316"/>
      <c r="CV749" s="2320"/>
      <c r="CW749" s="2319"/>
      <c r="CX749" s="2317"/>
      <c r="CY749" s="2325"/>
      <c r="CZ749" s="2325"/>
      <c r="DA749" s="2325"/>
      <c r="DB749" s="2322"/>
      <c r="DC749" s="2322"/>
      <c r="DD749" s="2324"/>
      <c r="DE749" s="2324"/>
      <c r="DF749" s="2324"/>
      <c r="DG749" s="2315"/>
      <c r="DH749" s="2771"/>
      <c r="DI749" s="2315"/>
      <c r="DJ749" s="2315"/>
      <c r="DK749" s="2319"/>
      <c r="DL749" s="2317"/>
      <c r="DM749" s="2320"/>
      <c r="DN749" s="2316"/>
      <c r="DO749" s="2320"/>
      <c r="DP749" s="2325"/>
      <c r="DQ749" s="2324"/>
      <c r="DR749" s="2322"/>
      <c r="DS749" s="2324"/>
      <c r="DT749" s="2324"/>
      <c r="DU749" s="2324"/>
      <c r="DV749" s="2324"/>
      <c r="DW749" s="2315"/>
      <c r="DX749" s="2767"/>
    </row>
    <row r="750" spans="1:128">
      <c r="A750" s="699"/>
      <c r="B750" s="298"/>
      <c r="C750" s="290"/>
      <c r="D750" s="298"/>
      <c r="E750" s="204"/>
      <c r="F750" s="206"/>
      <c r="G750" s="160"/>
      <c r="H750" s="204"/>
      <c r="I750" s="204"/>
      <c r="J750" s="160"/>
      <c r="K750" s="206"/>
      <c r="L750" s="204"/>
      <c r="M750" s="298"/>
      <c r="N750" s="290"/>
      <c r="O750" s="298"/>
      <c r="P750" s="93"/>
      <c r="Q750" s="699"/>
      <c r="R750" s="93"/>
      <c r="S750" s="93"/>
      <c r="T750" s="204"/>
      <c r="U750" s="204"/>
      <c r="V750" s="160"/>
      <c r="W750" s="205"/>
      <c r="X750" s="205"/>
      <c r="Y750" s="290"/>
      <c r="Z750" s="294"/>
      <c r="AA750" s="207"/>
      <c r="AB750" s="294"/>
      <c r="AC750" s="294"/>
      <c r="AD750" s="298"/>
      <c r="AE750" s="93"/>
      <c r="AF750" s="93"/>
      <c r="AG750" s="114"/>
      <c r="AH750" s="51"/>
      <c r="AI750" s="51"/>
      <c r="AJ750" s="204"/>
      <c r="AK750" s="160"/>
      <c r="AL750" s="206"/>
      <c r="AM750" s="206"/>
      <c r="AN750" s="290"/>
      <c r="AO750" s="206"/>
      <c r="AP750" s="93"/>
      <c r="AQ750" s="204"/>
      <c r="AR750" s="298"/>
      <c r="AS750" s="294"/>
      <c r="AT750" s="298"/>
      <c r="AU750" s="93"/>
      <c r="AV750" s="93"/>
      <c r="AW750" s="699"/>
      <c r="AX750" s="93"/>
      <c r="AY750" s="93"/>
      <c r="AZ750" s="298"/>
      <c r="BA750" s="160"/>
      <c r="BB750" s="207"/>
      <c r="BC750" s="298"/>
      <c r="BD750" s="206"/>
      <c r="BE750" s="290"/>
      <c r="BF750" s="93"/>
      <c r="BG750" s="204"/>
      <c r="BH750" s="298"/>
      <c r="BI750" s="294"/>
      <c r="BJ750" s="298"/>
      <c r="BK750" s="298"/>
      <c r="BL750" s="93"/>
      <c r="BM750" s="112"/>
      <c r="BN750" s="93"/>
      <c r="BO750" s="93"/>
      <c r="BP750" s="207"/>
      <c r="BQ750" s="294"/>
      <c r="BR750" s="204"/>
      <c r="BS750" s="160"/>
      <c r="BT750" s="160"/>
      <c r="BU750" s="160"/>
      <c r="BV750" s="160"/>
      <c r="BW750" s="204"/>
      <c r="BX750" s="294"/>
      <c r="BY750" s="207"/>
      <c r="BZ750" s="93"/>
      <c r="CA750" s="93"/>
      <c r="CB750" s="113"/>
      <c r="CC750" s="2315"/>
      <c r="CD750" s="2320"/>
      <c r="CE750" s="2320"/>
      <c r="CF750" s="2317"/>
      <c r="CG750" s="2320"/>
      <c r="CH750" s="2316"/>
      <c r="CI750" s="2315"/>
      <c r="CJ750" s="2321"/>
      <c r="CK750" s="2325"/>
      <c r="CL750" s="2320"/>
      <c r="CM750" s="2319"/>
      <c r="CN750" s="2322"/>
      <c r="CO750" s="2320"/>
      <c r="CP750" s="2315"/>
      <c r="CQ750" s="2315"/>
      <c r="CR750" s="2767"/>
      <c r="CS750" s="2315"/>
      <c r="CT750" s="2315"/>
      <c r="CU750" s="2320"/>
      <c r="CV750" s="2317"/>
      <c r="CW750" s="2320"/>
      <c r="CX750" s="2316"/>
      <c r="CY750" s="2315"/>
      <c r="CZ750" s="2325"/>
      <c r="DA750" s="2321"/>
      <c r="DB750" s="2325"/>
      <c r="DC750" s="2325"/>
      <c r="DD750" s="2322"/>
      <c r="DE750" s="2316"/>
      <c r="DF750" s="70"/>
      <c r="DG750" s="70"/>
      <c r="DH750" s="2771"/>
      <c r="DI750" s="2315"/>
      <c r="DJ750" s="2315"/>
      <c r="DK750" s="2320"/>
      <c r="DL750" s="2317"/>
      <c r="DM750" s="2317"/>
      <c r="DN750" s="2319"/>
      <c r="DO750" s="2317"/>
      <c r="DP750" s="2321"/>
      <c r="DQ750" s="2324"/>
      <c r="DR750" s="2324"/>
      <c r="DS750" s="2322"/>
      <c r="DT750" s="2316"/>
      <c r="DU750" s="2316"/>
      <c r="DV750" s="2315"/>
      <c r="DW750" s="2315"/>
      <c r="DX750" s="2767"/>
    </row>
    <row r="751" spans="1:128">
      <c r="A751" s="699"/>
      <c r="B751" s="294"/>
      <c r="C751" s="290"/>
      <c r="D751" s="294"/>
      <c r="E751" s="290"/>
      <c r="F751" s="206"/>
      <c r="G751" s="160"/>
      <c r="H751" s="206"/>
      <c r="I751" s="206"/>
      <c r="J751" s="160"/>
      <c r="K751" s="206"/>
      <c r="L751" s="290"/>
      <c r="M751" s="294"/>
      <c r="N751" s="290"/>
      <c r="O751" s="294"/>
      <c r="P751" s="93"/>
      <c r="Q751" s="699"/>
      <c r="R751" s="93"/>
      <c r="S751" s="93"/>
      <c r="T751" s="206"/>
      <c r="U751" s="206"/>
      <c r="V751" s="160"/>
      <c r="W751" s="205"/>
      <c r="X751" s="290"/>
      <c r="Y751" s="206"/>
      <c r="Z751" s="204"/>
      <c r="AA751" s="298"/>
      <c r="AB751" s="290"/>
      <c r="AC751" s="294"/>
      <c r="AD751" s="298"/>
      <c r="AE751" s="93"/>
      <c r="AF751" s="93"/>
      <c r="AG751" s="114"/>
      <c r="AH751" s="51"/>
      <c r="AI751" s="51"/>
      <c r="AJ751" s="160"/>
      <c r="AK751" s="206"/>
      <c r="AL751" s="206"/>
      <c r="AM751" s="290"/>
      <c r="AN751" s="160"/>
      <c r="AO751" s="206"/>
      <c r="AP751" s="294"/>
      <c r="AQ751" s="207"/>
      <c r="AR751" s="294"/>
      <c r="AS751" s="294"/>
      <c r="AT751" s="298"/>
      <c r="AU751" s="298"/>
      <c r="AV751" s="93"/>
      <c r="AW751" s="699"/>
      <c r="AX751" s="93"/>
      <c r="AY751" s="93"/>
      <c r="AZ751" s="93"/>
      <c r="BA751" s="206"/>
      <c r="BB751" s="204"/>
      <c r="BC751" s="294"/>
      <c r="BD751" s="54"/>
      <c r="BE751" s="291"/>
      <c r="BF751" s="204"/>
      <c r="BG751" s="298"/>
      <c r="BH751" s="294"/>
      <c r="BI751" s="298"/>
      <c r="BJ751" s="294"/>
      <c r="BK751" s="204"/>
      <c r="BL751" s="93"/>
      <c r="BM751" s="112"/>
      <c r="BN751" s="93"/>
      <c r="BO751" s="93"/>
      <c r="BP751" s="207"/>
      <c r="BQ751" s="294"/>
      <c r="BR751" s="207"/>
      <c r="BS751" s="205"/>
      <c r="BT751" s="160"/>
      <c r="BU751" s="160"/>
      <c r="BV751" s="205"/>
      <c r="BW751" s="207"/>
      <c r="BX751" s="294"/>
      <c r="BY751" s="207"/>
      <c r="BZ751" s="93"/>
      <c r="CA751" s="93"/>
      <c r="CB751" s="113"/>
      <c r="CC751" s="2315"/>
      <c r="CD751" s="2316"/>
      <c r="CE751" s="2317"/>
      <c r="CF751" s="2320"/>
      <c r="CG751" s="2317"/>
      <c r="CH751" s="2320"/>
      <c r="CI751" s="2316"/>
      <c r="CJ751" s="2328"/>
      <c r="CK751" s="120"/>
      <c r="CL751" s="2317"/>
      <c r="CM751" s="2316"/>
      <c r="CN751" s="2325"/>
      <c r="CO751" s="2315"/>
      <c r="CP751" s="2315"/>
      <c r="CQ751" s="2315"/>
      <c r="CR751" s="2767"/>
      <c r="CS751" s="2315"/>
      <c r="CT751" s="2320"/>
      <c r="CU751" s="2320"/>
      <c r="CV751" s="2317"/>
      <c r="CW751" s="2317"/>
      <c r="CX751" s="2319"/>
      <c r="CY751" s="2317"/>
      <c r="CZ751" s="2325"/>
      <c r="DA751" s="2322"/>
      <c r="DB751" s="2321"/>
      <c r="DC751" s="2325"/>
      <c r="DD751" s="2325"/>
      <c r="DE751" s="2322"/>
      <c r="DF751" s="70"/>
      <c r="DG751" s="70"/>
      <c r="DH751" s="2771"/>
      <c r="DI751" s="2315"/>
      <c r="DJ751" s="2315"/>
      <c r="DK751" s="2320"/>
      <c r="DL751" s="2317"/>
      <c r="DM751" s="2321"/>
      <c r="DN751" s="2320"/>
      <c r="DO751" s="2316"/>
      <c r="DP751" s="2325"/>
      <c r="DQ751" s="2321"/>
      <c r="DR751" s="2324"/>
      <c r="DS751" s="2322"/>
      <c r="DT751" s="2325"/>
      <c r="DU751" s="2325"/>
      <c r="DV751" s="2315"/>
      <c r="DW751" s="2315"/>
      <c r="DX751" s="2767"/>
    </row>
    <row r="752" spans="1:128">
      <c r="A752" s="699"/>
      <c r="B752" s="294"/>
      <c r="C752" s="290"/>
      <c r="D752" s="93"/>
      <c r="E752" s="206"/>
      <c r="F752" s="206"/>
      <c r="G752" s="160"/>
      <c r="H752" s="160"/>
      <c r="I752" s="160"/>
      <c r="J752" s="160"/>
      <c r="K752" s="206"/>
      <c r="L752" s="206"/>
      <c r="M752" s="93"/>
      <c r="N752" s="290"/>
      <c r="O752" s="294"/>
      <c r="P752" s="93"/>
      <c r="Q752" s="699"/>
      <c r="R752" s="93"/>
      <c r="S752" s="93"/>
      <c r="T752" s="93"/>
      <c r="U752" s="290"/>
      <c r="V752" s="298"/>
      <c r="W752" s="294"/>
      <c r="X752" s="290"/>
      <c r="Y752" s="206"/>
      <c r="Z752" s="160"/>
      <c r="AA752" s="205"/>
      <c r="AB752" s="93"/>
      <c r="AC752" s="294"/>
      <c r="AD752" s="294"/>
      <c r="AE752" s="93"/>
      <c r="AF752" s="93"/>
      <c r="AG752" s="114"/>
      <c r="AH752" s="51"/>
      <c r="AI752" s="294"/>
      <c r="AJ752" s="206"/>
      <c r="AK752" s="206"/>
      <c r="AL752" s="290"/>
      <c r="AM752" s="160"/>
      <c r="AN752" s="160"/>
      <c r="AO752" s="290"/>
      <c r="AP752" s="290"/>
      <c r="AQ752" s="298"/>
      <c r="AR752" s="294"/>
      <c r="AS752" s="290"/>
      <c r="AT752" s="298"/>
      <c r="AU752" s="204"/>
      <c r="AV752" s="93"/>
      <c r="AW752" s="699"/>
      <c r="AX752" s="93"/>
      <c r="AY752" s="93"/>
      <c r="AZ752" s="204"/>
      <c r="BA752" s="290"/>
      <c r="BB752" s="204"/>
      <c r="BC752" s="294"/>
      <c r="BD752" s="204"/>
      <c r="BE752" s="54"/>
      <c r="BF752" s="298"/>
      <c r="BG752" s="294"/>
      <c r="BH752" s="93"/>
      <c r="BI752" s="93"/>
      <c r="BJ752" s="298"/>
      <c r="BK752" s="298"/>
      <c r="BL752" s="93"/>
      <c r="BM752" s="112"/>
      <c r="BN752" s="93"/>
      <c r="BO752" s="207"/>
      <c r="BP752" s="298"/>
      <c r="BQ752" s="294"/>
      <c r="BR752" s="298"/>
      <c r="BS752" s="204"/>
      <c r="BT752" s="54"/>
      <c r="BU752" s="291"/>
      <c r="BV752" s="204"/>
      <c r="BW752" s="298"/>
      <c r="BX752" s="294"/>
      <c r="BY752" s="298"/>
      <c r="BZ752" s="207"/>
      <c r="CA752" s="93"/>
      <c r="CB752" s="113"/>
      <c r="CC752" s="2315"/>
      <c r="CD752" s="2320"/>
      <c r="CE752" s="2320"/>
      <c r="CF752" s="2315"/>
      <c r="CG752" s="2315"/>
      <c r="CH752" s="2317"/>
      <c r="CI752" s="2320"/>
      <c r="CJ752" s="120"/>
      <c r="CK752" s="2316"/>
      <c r="CL752" s="2317"/>
      <c r="CM752" s="2316"/>
      <c r="CN752" s="2321"/>
      <c r="CO752" s="2316"/>
      <c r="CP752" s="2315"/>
      <c r="CQ752" s="2315"/>
      <c r="CR752" s="2767"/>
      <c r="CS752" s="2315"/>
      <c r="CT752" s="2316"/>
      <c r="CU752" s="2320"/>
      <c r="CV752" s="2321"/>
      <c r="CW752" s="2317"/>
      <c r="CX752" s="2320"/>
      <c r="CY752" s="2321"/>
      <c r="CZ752" s="2321"/>
      <c r="DA752" s="2322"/>
      <c r="DB752" s="2322"/>
      <c r="DC752" s="2321"/>
      <c r="DD752" s="2325"/>
      <c r="DE752" s="2325"/>
      <c r="DF752" s="2317"/>
      <c r="DG752" s="70"/>
      <c r="DH752" s="2771"/>
      <c r="DI752" s="2315"/>
      <c r="DJ752" s="2315"/>
      <c r="DK752" s="2317"/>
      <c r="DL752" s="2317"/>
      <c r="DM752" s="2315"/>
      <c r="DN752" s="2324"/>
      <c r="DO752" s="2322"/>
      <c r="DP752" s="2325"/>
      <c r="DQ752" s="2321"/>
      <c r="DR752" s="2317"/>
      <c r="DS752" s="2320"/>
      <c r="DT752" s="2321"/>
      <c r="DU752" s="2315"/>
      <c r="DV752" s="2315"/>
      <c r="DW752" s="2315"/>
      <c r="DX752" s="2767"/>
    </row>
    <row r="753" spans="1:128">
      <c r="A753" s="699"/>
      <c r="B753" s="294"/>
      <c r="C753" s="290"/>
      <c r="D753" s="290"/>
      <c r="E753" s="160"/>
      <c r="F753" s="160"/>
      <c r="G753" s="206"/>
      <c r="H753" s="160"/>
      <c r="I753" s="160"/>
      <c r="J753" s="206"/>
      <c r="K753" s="160"/>
      <c r="L753" s="160"/>
      <c r="M753" s="290"/>
      <c r="N753" s="290"/>
      <c r="O753" s="294"/>
      <c r="P753" s="93"/>
      <c r="Q753" s="699"/>
      <c r="R753" s="93"/>
      <c r="S753" s="93"/>
      <c r="T753" s="294"/>
      <c r="U753" s="205"/>
      <c r="V753" s="205"/>
      <c r="W753" s="294"/>
      <c r="X753" s="290"/>
      <c r="Y753" s="206"/>
      <c r="Z753" s="206"/>
      <c r="AA753" s="205"/>
      <c r="AB753" s="290"/>
      <c r="AC753" s="294"/>
      <c r="AD753" s="290"/>
      <c r="AE753" s="93"/>
      <c r="AF753" s="93"/>
      <c r="AG753" s="114"/>
      <c r="AH753" s="51"/>
      <c r="AI753" s="51"/>
      <c r="AJ753" s="51"/>
      <c r="AK753" s="51"/>
      <c r="AL753" s="294"/>
      <c r="AM753" s="298"/>
      <c r="AN753" s="294"/>
      <c r="AO753" s="290"/>
      <c r="AP753" s="160"/>
      <c r="AQ753" s="290"/>
      <c r="AR753" s="290"/>
      <c r="AS753" s="93"/>
      <c r="AT753" s="294"/>
      <c r="AU753" s="298"/>
      <c r="AV753" s="93"/>
      <c r="AW753" s="699"/>
      <c r="AX753" s="93"/>
      <c r="AY753" s="93"/>
      <c r="AZ753" s="298"/>
      <c r="BA753" s="160"/>
      <c r="BB753" s="207"/>
      <c r="BC753" s="294"/>
      <c r="BD753" s="298"/>
      <c r="BE753" s="291"/>
      <c r="BF753" s="294"/>
      <c r="BG753" s="160"/>
      <c r="BH753" s="93"/>
      <c r="BI753" s="93"/>
      <c r="BJ753" s="93"/>
      <c r="BK753" s="294"/>
      <c r="BL753" s="93"/>
      <c r="BM753" s="112"/>
      <c r="BN753" s="93"/>
      <c r="BO753" s="204"/>
      <c r="BP753" s="294"/>
      <c r="BQ753" s="205"/>
      <c r="BR753" s="294"/>
      <c r="BS753" s="207"/>
      <c r="BT753" s="64"/>
      <c r="BU753" s="54"/>
      <c r="BV753" s="207"/>
      <c r="BW753" s="294"/>
      <c r="BX753" s="205"/>
      <c r="BY753" s="294"/>
      <c r="BZ753" s="204"/>
      <c r="CA753" s="93"/>
      <c r="CB753" s="113"/>
      <c r="CC753" s="2315"/>
      <c r="CD753" s="2317"/>
      <c r="CE753" s="2315"/>
      <c r="CF753" s="2315"/>
      <c r="CG753" s="2315"/>
      <c r="CH753" s="2322"/>
      <c r="CI753" s="2317"/>
      <c r="CJ753" s="2328"/>
      <c r="CK753" s="2320"/>
      <c r="CL753" s="2317"/>
      <c r="CM753" s="2319"/>
      <c r="CN753" s="2322"/>
      <c r="CO753" s="2320"/>
      <c r="CP753" s="2315"/>
      <c r="CQ753" s="2315"/>
      <c r="CR753" s="2767"/>
      <c r="CS753" s="2315"/>
      <c r="CT753" s="2320"/>
      <c r="CU753" s="2317"/>
      <c r="CV753" s="2315"/>
      <c r="CW753" s="2321"/>
      <c r="CX753" s="2321"/>
      <c r="CY753" s="2322"/>
      <c r="CZ753" s="2321"/>
      <c r="DA753" s="2317"/>
      <c r="DB753" s="2320"/>
      <c r="DC753" s="2317"/>
      <c r="DD753" s="70"/>
      <c r="DE753" s="70"/>
      <c r="DF753" s="70"/>
      <c r="DG753" s="70"/>
      <c r="DH753" s="2771"/>
      <c r="DI753" s="2315"/>
      <c r="DJ753" s="2315"/>
      <c r="DK753" s="2321"/>
      <c r="DL753" s="2317"/>
      <c r="DM753" s="2321"/>
      <c r="DN753" s="2324"/>
      <c r="DO753" s="2325"/>
      <c r="DP753" s="2325"/>
      <c r="DQ753" s="2321"/>
      <c r="DR753" s="2317"/>
      <c r="DS753" s="2324"/>
      <c r="DT753" s="2324"/>
      <c r="DU753" s="2317"/>
      <c r="DV753" s="2315"/>
      <c r="DW753" s="2315"/>
      <c r="DX753" s="2767"/>
    </row>
    <row r="754" spans="1:128">
      <c r="A754" s="699"/>
      <c r="B754" s="294"/>
      <c r="C754" s="93"/>
      <c r="D754" s="160"/>
      <c r="E754" s="160"/>
      <c r="F754" s="205"/>
      <c r="G754" s="160"/>
      <c r="H754" s="160"/>
      <c r="I754" s="160"/>
      <c r="J754" s="160"/>
      <c r="K754" s="205"/>
      <c r="L754" s="160"/>
      <c r="M754" s="160"/>
      <c r="N754" s="93"/>
      <c r="O754" s="294"/>
      <c r="P754" s="93"/>
      <c r="Q754" s="699"/>
      <c r="R754" s="93"/>
      <c r="S754" s="93"/>
      <c r="T754" s="160"/>
      <c r="U754" s="204"/>
      <c r="V754" s="298"/>
      <c r="W754" s="290"/>
      <c r="X754" s="298"/>
      <c r="Y754" s="204"/>
      <c r="Z754" s="294"/>
      <c r="AA754" s="205"/>
      <c r="AB754" s="294"/>
      <c r="AC754" s="93"/>
      <c r="AD754" s="290"/>
      <c r="AE754" s="93"/>
      <c r="AF754" s="93"/>
      <c r="AG754" s="114"/>
      <c r="AH754" s="51"/>
      <c r="AI754" s="51"/>
      <c r="AJ754" s="51"/>
      <c r="AK754" s="51"/>
      <c r="AL754" s="204"/>
      <c r="AM754" s="298"/>
      <c r="AN754" s="298"/>
      <c r="AO754" s="290"/>
      <c r="AP754" s="160"/>
      <c r="AQ754" s="290"/>
      <c r="AR754" s="93"/>
      <c r="AS754" s="93"/>
      <c r="AT754" s="290"/>
      <c r="AU754" s="294"/>
      <c r="AV754" s="93"/>
      <c r="AW754" s="699"/>
      <c r="AX754" s="93"/>
      <c r="AY754" s="93"/>
      <c r="AZ754" s="160"/>
      <c r="BA754" s="160"/>
      <c r="BB754" s="298"/>
      <c r="BC754" s="298"/>
      <c r="BD754" s="290"/>
      <c r="BE754" s="54"/>
      <c r="BF754" s="290"/>
      <c r="BG754" s="160"/>
      <c r="BH754" s="93"/>
      <c r="BI754" s="93"/>
      <c r="BJ754" s="93"/>
      <c r="BK754" s="290"/>
      <c r="BL754" s="93"/>
      <c r="BM754" s="112"/>
      <c r="BN754" s="93"/>
      <c r="BO754" s="298"/>
      <c r="BP754" s="205"/>
      <c r="BQ754" s="160"/>
      <c r="BR754" s="205"/>
      <c r="BS754" s="290"/>
      <c r="BT754" s="290"/>
      <c r="BU754" s="205"/>
      <c r="BV754" s="290"/>
      <c r="BW754" s="205"/>
      <c r="BX754" s="160"/>
      <c r="BY754" s="205"/>
      <c r="BZ754" s="298"/>
      <c r="CA754" s="93"/>
      <c r="CB754" s="113"/>
      <c r="CC754" s="2315"/>
      <c r="CD754" s="2321"/>
      <c r="CE754" s="2315"/>
      <c r="CF754" s="2315"/>
      <c r="CG754" s="2315"/>
      <c r="CH754" s="2322"/>
      <c r="CI754" s="2321"/>
      <c r="CJ754" s="120"/>
      <c r="CK754" s="2321"/>
      <c r="CL754" s="2320"/>
      <c r="CM754" s="2320"/>
      <c r="CN754" s="2322"/>
      <c r="CO754" s="2322"/>
      <c r="CP754" s="2315"/>
      <c r="CQ754" s="2315"/>
      <c r="CR754" s="2767"/>
      <c r="CS754" s="2315"/>
      <c r="CT754" s="2317"/>
      <c r="CU754" s="2321"/>
      <c r="CV754" s="2315"/>
      <c r="CW754" s="2315"/>
      <c r="CX754" s="2321"/>
      <c r="CY754" s="2322"/>
      <c r="CZ754" s="2321"/>
      <c r="DA754" s="2320"/>
      <c r="DB754" s="2320"/>
      <c r="DC754" s="2316"/>
      <c r="DD754" s="70"/>
      <c r="DE754" s="70"/>
      <c r="DF754" s="70"/>
      <c r="DG754" s="70"/>
      <c r="DH754" s="2771"/>
      <c r="DI754" s="2315"/>
      <c r="DJ754" s="2315"/>
      <c r="DK754" s="2321"/>
      <c r="DL754" s="2315"/>
      <c r="DM754" s="2317"/>
      <c r="DN754" s="2324"/>
      <c r="DO754" s="2317"/>
      <c r="DP754" s="2316"/>
      <c r="DQ754" s="2320"/>
      <c r="DR754" s="2321"/>
      <c r="DS754" s="2320"/>
      <c r="DT754" s="2316"/>
      <c r="DU754" s="2322"/>
      <c r="DV754" s="2315"/>
      <c r="DW754" s="2315"/>
      <c r="DX754" s="2767"/>
    </row>
    <row r="755" spans="1:128">
      <c r="A755" s="699"/>
      <c r="B755" s="294"/>
      <c r="C755" s="93"/>
      <c r="D755" s="160"/>
      <c r="E755" s="93"/>
      <c r="F755" s="204"/>
      <c r="G755" s="160"/>
      <c r="H755" s="160"/>
      <c r="I755" s="160"/>
      <c r="J755" s="160"/>
      <c r="K755" s="204"/>
      <c r="L755" s="93"/>
      <c r="M755" s="160"/>
      <c r="N755" s="93"/>
      <c r="O755" s="294"/>
      <c r="P755" s="93"/>
      <c r="Q755" s="699"/>
      <c r="R755" s="93"/>
      <c r="S755" s="93"/>
      <c r="T755" s="160"/>
      <c r="U755" s="290"/>
      <c r="V755" s="205"/>
      <c r="W755" s="290"/>
      <c r="X755" s="294"/>
      <c r="Y755" s="294"/>
      <c r="Z755" s="206"/>
      <c r="AA755" s="205"/>
      <c r="AB755" s="160"/>
      <c r="AC755" s="93"/>
      <c r="AD755" s="290"/>
      <c r="AE755" s="93"/>
      <c r="AF755" s="93"/>
      <c r="AG755" s="114"/>
      <c r="AH755" s="51"/>
      <c r="AI755" s="51"/>
      <c r="AJ755" s="51"/>
      <c r="AK755" s="51"/>
      <c r="AL755" s="294"/>
      <c r="AM755" s="294"/>
      <c r="AN755" s="290"/>
      <c r="AO755" s="160"/>
      <c r="AP755" s="160"/>
      <c r="AQ755" s="290"/>
      <c r="AR755" s="93"/>
      <c r="AS755" s="93"/>
      <c r="AT755" s="93"/>
      <c r="AU755" s="290"/>
      <c r="AV755" s="93"/>
      <c r="AW755" s="699"/>
      <c r="AX755" s="93"/>
      <c r="AY755" s="93"/>
      <c r="AZ755" s="290"/>
      <c r="BA755" s="160"/>
      <c r="BB755" s="207"/>
      <c r="BC755" s="294"/>
      <c r="BD755" s="290"/>
      <c r="BE755" s="291"/>
      <c r="BF755" s="290"/>
      <c r="BG755" s="206"/>
      <c r="BH755" s="160"/>
      <c r="BI755" s="93"/>
      <c r="BJ755" s="93"/>
      <c r="BK755" s="93"/>
      <c r="BL755" s="93"/>
      <c r="BM755" s="699"/>
      <c r="BN755" s="207"/>
      <c r="BO755" s="294"/>
      <c r="BP755" s="205"/>
      <c r="BQ755" s="290"/>
      <c r="BR755" s="294"/>
      <c r="BS755" s="290"/>
      <c r="BT755" s="64"/>
      <c r="BU755" s="54"/>
      <c r="BV755" s="290"/>
      <c r="BW755" s="294"/>
      <c r="BX755" s="290"/>
      <c r="BY755" s="205"/>
      <c r="BZ755" s="294"/>
      <c r="CA755" s="207"/>
      <c r="CB755" s="79"/>
      <c r="CC755" s="2315"/>
      <c r="CD755" s="2315"/>
      <c r="CE755" s="2315"/>
      <c r="CF755" s="2315"/>
      <c r="CG755" s="2322"/>
      <c r="CH755" s="2325"/>
      <c r="CI755" s="2321"/>
      <c r="CJ755" s="2328"/>
      <c r="CK755" s="2321"/>
      <c r="CL755" s="2317"/>
      <c r="CM755" s="2319"/>
      <c r="CN755" s="2322"/>
      <c r="CO755" s="2321"/>
      <c r="CP755" s="2315"/>
      <c r="CQ755" s="2315"/>
      <c r="CR755" s="2767"/>
      <c r="CS755" s="2315"/>
      <c r="CT755" s="2321"/>
      <c r="CU755" s="2315"/>
      <c r="CV755" s="2315"/>
      <c r="CW755" s="2315"/>
      <c r="CX755" s="2321"/>
      <c r="CY755" s="2322"/>
      <c r="CZ755" s="2322"/>
      <c r="DA755" s="2321"/>
      <c r="DB755" s="2317"/>
      <c r="DC755" s="2317"/>
      <c r="DD755" s="70"/>
      <c r="DE755" s="70"/>
      <c r="DF755" s="70"/>
      <c r="DG755" s="70"/>
      <c r="DH755" s="2771"/>
      <c r="DI755" s="2315"/>
      <c r="DJ755" s="2315"/>
      <c r="DK755" s="2321"/>
      <c r="DL755" s="2315"/>
      <c r="DM755" s="2322"/>
      <c r="DN755" s="2324"/>
      <c r="DO755" s="2325"/>
      <c r="DP755" s="2317"/>
      <c r="DQ755" s="2317"/>
      <c r="DR755" s="2321"/>
      <c r="DS755" s="2324"/>
      <c r="DT755" s="2321"/>
      <c r="DU755" s="2322"/>
      <c r="DV755" s="2315"/>
      <c r="DW755" s="2315"/>
      <c r="DX755" s="2767"/>
    </row>
    <row r="756" spans="1:128">
      <c r="A756" s="699"/>
      <c r="B756" s="290"/>
      <c r="C756" s="93"/>
      <c r="D756" s="290"/>
      <c r="E756" s="160"/>
      <c r="F756" s="93"/>
      <c r="G756" s="204"/>
      <c r="H756" s="160"/>
      <c r="I756" s="205"/>
      <c r="J756" s="204"/>
      <c r="K756" s="93"/>
      <c r="L756" s="160"/>
      <c r="M756" s="290"/>
      <c r="N756" s="93"/>
      <c r="O756" s="290"/>
      <c r="P756" s="93"/>
      <c r="Q756" s="699"/>
      <c r="R756" s="93"/>
      <c r="S756" s="207"/>
      <c r="T756" s="160"/>
      <c r="U756" s="290"/>
      <c r="V756" s="204"/>
      <c r="W756" s="290"/>
      <c r="X756" s="204"/>
      <c r="Y756" s="298"/>
      <c r="Z756" s="206"/>
      <c r="AA756" s="93"/>
      <c r="AB756" s="290"/>
      <c r="AC756" s="290"/>
      <c r="AD756" s="93"/>
      <c r="AE756" s="204"/>
      <c r="AF756" s="93"/>
      <c r="AG756" s="114"/>
      <c r="AH756" s="51"/>
      <c r="AI756" s="51"/>
      <c r="AJ756" s="51"/>
      <c r="AK756" s="51"/>
      <c r="AL756" s="51"/>
      <c r="AM756" s="204"/>
      <c r="AN756" s="298"/>
      <c r="AO756" s="290"/>
      <c r="AP756" s="290"/>
      <c r="AQ756" s="160"/>
      <c r="AR756" s="290"/>
      <c r="AS756" s="207"/>
      <c r="AT756" s="93"/>
      <c r="AU756" s="93"/>
      <c r="AV756" s="93"/>
      <c r="AW756" s="699"/>
      <c r="AX756" s="93"/>
      <c r="AY756" s="93"/>
      <c r="AZ756" s="93"/>
      <c r="BA756" s="290"/>
      <c r="BB756" s="298"/>
      <c r="BC756" s="204"/>
      <c r="BD756" s="290"/>
      <c r="BE756" s="54"/>
      <c r="BF756" s="294"/>
      <c r="BG756" s="206"/>
      <c r="BH756" s="160"/>
      <c r="BI756" s="93"/>
      <c r="BJ756" s="298"/>
      <c r="BK756" s="93"/>
      <c r="BL756" s="93"/>
      <c r="BM756" s="699"/>
      <c r="BN756" s="204"/>
      <c r="BO756" s="205"/>
      <c r="BP756" s="290"/>
      <c r="BQ756" s="93"/>
      <c r="BR756" s="298"/>
      <c r="BS756" s="290"/>
      <c r="BT756" s="290"/>
      <c r="BU756" s="205"/>
      <c r="BV756" s="205"/>
      <c r="BW756" s="298"/>
      <c r="BX756" s="93"/>
      <c r="BY756" s="290"/>
      <c r="BZ756" s="205"/>
      <c r="CA756" s="204"/>
      <c r="CB756" s="79"/>
      <c r="CC756" s="2315"/>
      <c r="CD756" s="2315"/>
      <c r="CE756" s="2320"/>
      <c r="CF756" s="2315"/>
      <c r="CG756" s="2322"/>
      <c r="CH756" s="2325"/>
      <c r="CI756" s="2317"/>
      <c r="CJ756" s="120"/>
      <c r="CK756" s="2321"/>
      <c r="CL756" s="2316"/>
      <c r="CM756" s="2320"/>
      <c r="CN756" s="2321"/>
      <c r="CO756" s="2315"/>
      <c r="CP756" s="2315"/>
      <c r="CQ756" s="2315"/>
      <c r="CR756" s="2767"/>
      <c r="CS756" s="2315"/>
      <c r="CT756" s="2315"/>
      <c r="CU756" s="2315"/>
      <c r="CV756" s="2319"/>
      <c r="CW756" s="2321"/>
      <c r="CX756" s="2322"/>
      <c r="CY756" s="2321"/>
      <c r="CZ756" s="2321"/>
      <c r="DA756" s="2320"/>
      <c r="DB756" s="2316"/>
      <c r="DC756" s="70"/>
      <c r="DD756" s="70"/>
      <c r="DE756" s="70"/>
      <c r="DF756" s="70"/>
      <c r="DG756" s="70"/>
      <c r="DH756" s="2771"/>
      <c r="DI756" s="2315"/>
      <c r="DJ756" s="2316"/>
      <c r="DK756" s="2315"/>
      <c r="DL756" s="2321"/>
      <c r="DM756" s="2321"/>
      <c r="DN756" s="2315"/>
      <c r="DO756" s="2325"/>
      <c r="DP756" s="2320"/>
      <c r="DQ756" s="2316"/>
      <c r="DR756" s="2321"/>
      <c r="DS756" s="2316"/>
      <c r="DT756" s="2321"/>
      <c r="DU756" s="2322"/>
      <c r="DV756" s="2319"/>
      <c r="DW756" s="2315"/>
      <c r="DX756" s="2767"/>
    </row>
    <row r="757" spans="1:128">
      <c r="A757" s="699"/>
      <c r="B757" s="93"/>
      <c r="C757" s="93"/>
      <c r="D757" s="290"/>
      <c r="E757" s="290"/>
      <c r="F757" s="93"/>
      <c r="G757" s="160"/>
      <c r="H757" s="160"/>
      <c r="I757" s="160"/>
      <c r="J757" s="160"/>
      <c r="K757" s="93"/>
      <c r="L757" s="290"/>
      <c r="M757" s="290"/>
      <c r="N757" s="93"/>
      <c r="O757" s="93"/>
      <c r="P757" s="93"/>
      <c r="Q757" s="699"/>
      <c r="R757" s="93"/>
      <c r="S757" s="160"/>
      <c r="T757" s="160"/>
      <c r="U757" s="93"/>
      <c r="V757" s="290"/>
      <c r="W757" s="290"/>
      <c r="X757" s="290"/>
      <c r="Y757" s="294"/>
      <c r="Z757" s="93"/>
      <c r="AA757" s="93"/>
      <c r="AB757" s="160"/>
      <c r="AC757" s="290"/>
      <c r="AD757" s="207"/>
      <c r="AE757" s="294"/>
      <c r="AF757" s="93"/>
      <c r="AG757" s="114"/>
      <c r="AH757" s="51"/>
      <c r="AI757" s="51"/>
      <c r="AJ757" s="51"/>
      <c r="AK757" s="51"/>
      <c r="AL757" s="160"/>
      <c r="AM757" s="205"/>
      <c r="AN757" s="290"/>
      <c r="AO757" s="294"/>
      <c r="AP757" s="290"/>
      <c r="AQ757" s="160"/>
      <c r="AR757" s="298"/>
      <c r="AS757" s="93"/>
      <c r="AT757" s="93"/>
      <c r="AU757" s="93"/>
      <c r="AV757" s="93"/>
      <c r="AW757" s="699"/>
      <c r="AX757" s="93"/>
      <c r="AY757" s="93"/>
      <c r="AZ757" s="298"/>
      <c r="BA757" s="160"/>
      <c r="BB757" s="294"/>
      <c r="BC757" s="298"/>
      <c r="BD757" s="294"/>
      <c r="BE757" s="291"/>
      <c r="BF757" s="294"/>
      <c r="BG757" s="93"/>
      <c r="BH757" s="160"/>
      <c r="BI757" s="298"/>
      <c r="BJ757" s="93"/>
      <c r="BK757" s="93"/>
      <c r="BL757" s="93"/>
      <c r="BM757" s="699"/>
      <c r="BN757" s="207"/>
      <c r="BO757" s="93"/>
      <c r="BP757" s="290"/>
      <c r="BQ757" s="93"/>
      <c r="BR757" s="93"/>
      <c r="BS757" s="294"/>
      <c r="BT757" s="54"/>
      <c r="BU757" s="291"/>
      <c r="BV757" s="294"/>
      <c r="BW757" s="93"/>
      <c r="BX757" s="93"/>
      <c r="BY757" s="290"/>
      <c r="BZ757" s="93"/>
      <c r="CA757" s="207"/>
      <c r="CB757" s="79"/>
      <c r="CC757" s="2315"/>
      <c r="CD757" s="2315"/>
      <c r="CE757" s="2315"/>
      <c r="CF757" s="2320"/>
      <c r="CG757" s="2322"/>
      <c r="CH757" s="2315"/>
      <c r="CI757" s="2317"/>
      <c r="CJ757" s="2328"/>
      <c r="CK757" s="2317"/>
      <c r="CL757" s="2320"/>
      <c r="CM757" s="2317"/>
      <c r="CN757" s="2322"/>
      <c r="CO757" s="2320"/>
      <c r="CP757" s="2315"/>
      <c r="CQ757" s="2315"/>
      <c r="CR757" s="2767"/>
      <c r="CS757" s="2315"/>
      <c r="CT757" s="2315"/>
      <c r="CU757" s="2315"/>
      <c r="CV757" s="2315"/>
      <c r="CW757" s="2320"/>
      <c r="CX757" s="2322"/>
      <c r="CY757" s="2321"/>
      <c r="CZ757" s="2317"/>
      <c r="DA757" s="2321"/>
      <c r="DB757" s="2324"/>
      <c r="DC757" s="2322"/>
      <c r="DD757" s="70"/>
      <c r="DE757" s="70"/>
      <c r="DF757" s="70"/>
      <c r="DG757" s="70"/>
      <c r="DH757" s="2771"/>
      <c r="DI757" s="2315"/>
      <c r="DJ757" s="2317"/>
      <c r="DK757" s="2319"/>
      <c r="DL757" s="2321"/>
      <c r="DM757" s="2322"/>
      <c r="DN757" s="2315"/>
      <c r="DO757" s="2315"/>
      <c r="DP757" s="2317"/>
      <c r="DQ757" s="2321"/>
      <c r="DR757" s="2321"/>
      <c r="DS757" s="2321"/>
      <c r="DT757" s="2315"/>
      <c r="DU757" s="2322"/>
      <c r="DV757" s="2322"/>
      <c r="DW757" s="2315"/>
      <c r="DX757" s="2767"/>
    </row>
    <row r="758" spans="1:128">
      <c r="A758" s="699"/>
      <c r="B758" s="93"/>
      <c r="C758" s="93"/>
      <c r="D758" s="160"/>
      <c r="E758" s="93"/>
      <c r="F758" s="93"/>
      <c r="G758" s="204"/>
      <c r="H758" s="160"/>
      <c r="I758" s="205"/>
      <c r="J758" s="204"/>
      <c r="K758" s="93"/>
      <c r="L758" s="93"/>
      <c r="M758" s="160"/>
      <c r="N758" s="93"/>
      <c r="O758" s="93"/>
      <c r="P758" s="93"/>
      <c r="Q758" s="699"/>
      <c r="R758" s="93"/>
      <c r="S758" s="160"/>
      <c r="T758" s="93"/>
      <c r="U758" s="93"/>
      <c r="V758" s="204"/>
      <c r="W758" s="290"/>
      <c r="X758" s="204"/>
      <c r="Y758" s="298"/>
      <c r="Z758" s="93"/>
      <c r="AA758" s="93"/>
      <c r="AB758" s="93"/>
      <c r="AC758" s="160"/>
      <c r="AD758" s="294"/>
      <c r="AE758" s="93"/>
      <c r="AF758" s="93"/>
      <c r="AG758" s="114"/>
      <c r="AH758" s="51"/>
      <c r="AI758" s="51"/>
      <c r="AJ758" s="51"/>
      <c r="AK758" s="51"/>
      <c r="AL758" s="160"/>
      <c r="AM758" s="298"/>
      <c r="AN758" s="294"/>
      <c r="AO758" s="294"/>
      <c r="AP758" s="160"/>
      <c r="AQ758" s="290"/>
      <c r="AR758" s="93"/>
      <c r="AS758" s="93"/>
      <c r="AT758" s="93"/>
      <c r="AU758" s="93"/>
      <c r="AV758" s="93"/>
      <c r="AW758" s="699"/>
      <c r="AX758" s="93"/>
      <c r="AY758" s="93"/>
      <c r="AZ758" s="294"/>
      <c r="BA758" s="160"/>
      <c r="BB758" s="298"/>
      <c r="BC758" s="294"/>
      <c r="BD758" s="294"/>
      <c r="BE758" s="54"/>
      <c r="BF758" s="93"/>
      <c r="BG758" s="93"/>
      <c r="BH758" s="160"/>
      <c r="BI758" s="298"/>
      <c r="BJ758" s="93"/>
      <c r="BK758" s="93"/>
      <c r="BL758" s="93"/>
      <c r="BM758" s="699"/>
      <c r="BN758" s="93"/>
      <c r="BO758" s="160"/>
      <c r="BP758" s="294"/>
      <c r="BQ758" s="207"/>
      <c r="BR758" s="93"/>
      <c r="BS758" s="205"/>
      <c r="BT758" s="290"/>
      <c r="BU758" s="205"/>
      <c r="BV758" s="205"/>
      <c r="BW758" s="93"/>
      <c r="BX758" s="207"/>
      <c r="BY758" s="294"/>
      <c r="BZ758" s="160"/>
      <c r="CA758" s="93"/>
      <c r="CB758" s="79"/>
      <c r="CC758" s="2315"/>
      <c r="CD758" s="2315"/>
      <c r="CE758" s="2315"/>
      <c r="CF758" s="2320"/>
      <c r="CG758" s="2322"/>
      <c r="CH758" s="2315"/>
      <c r="CI758" s="2315"/>
      <c r="CJ758" s="120"/>
      <c r="CK758" s="2317"/>
      <c r="CL758" s="2317"/>
      <c r="CM758" s="2320"/>
      <c r="CN758" s="2322"/>
      <c r="CO758" s="2317"/>
      <c r="CP758" s="2315"/>
      <c r="CQ758" s="2315"/>
      <c r="CR758" s="2767"/>
      <c r="CS758" s="2315"/>
      <c r="CT758" s="2315"/>
      <c r="CU758" s="2315"/>
      <c r="CV758" s="2315"/>
      <c r="CW758" s="2315"/>
      <c r="CX758" s="2321"/>
      <c r="CY758" s="2322"/>
      <c r="CZ758" s="2317"/>
      <c r="DA758" s="2317"/>
      <c r="DB758" s="2320"/>
      <c r="DC758" s="2322"/>
      <c r="DD758" s="70"/>
      <c r="DE758" s="70"/>
      <c r="DF758" s="70"/>
      <c r="DG758" s="70"/>
      <c r="DH758" s="2771"/>
      <c r="DI758" s="2315"/>
      <c r="DJ758" s="2315"/>
      <c r="DK758" s="2317"/>
      <c r="DL758" s="2322"/>
      <c r="DM758" s="2315"/>
      <c r="DN758" s="2315"/>
      <c r="DO758" s="2315"/>
      <c r="DP758" s="2320"/>
      <c r="DQ758" s="2316"/>
      <c r="DR758" s="2321"/>
      <c r="DS758" s="2316"/>
      <c r="DT758" s="2315"/>
      <c r="DU758" s="2315"/>
      <c r="DV758" s="2322"/>
      <c r="DW758" s="2315"/>
      <c r="DX758" s="2767"/>
    </row>
    <row r="759" spans="1:128">
      <c r="A759" s="699"/>
      <c r="B759" s="93"/>
      <c r="C759" s="290"/>
      <c r="D759" s="290"/>
      <c r="E759" s="93"/>
      <c r="F759" s="93"/>
      <c r="G759" s="298"/>
      <c r="H759" s="160"/>
      <c r="I759" s="205"/>
      <c r="J759" s="298"/>
      <c r="K759" s="93"/>
      <c r="L759" s="93"/>
      <c r="M759" s="290"/>
      <c r="N759" s="290"/>
      <c r="O759" s="93"/>
      <c r="P759" s="93"/>
      <c r="Q759" s="699"/>
      <c r="R759" s="93"/>
      <c r="S759" s="160"/>
      <c r="T759" s="93"/>
      <c r="U759" s="93"/>
      <c r="V759" s="290"/>
      <c r="W759" s="290"/>
      <c r="X759" s="290"/>
      <c r="Y759" s="290"/>
      <c r="Z759" s="93"/>
      <c r="AA759" s="93"/>
      <c r="AB759" s="93"/>
      <c r="AC759" s="160"/>
      <c r="AD759" s="160"/>
      <c r="AE759" s="93"/>
      <c r="AF759" s="93"/>
      <c r="AG759" s="114"/>
      <c r="AH759" s="51"/>
      <c r="AI759" s="51"/>
      <c r="AJ759" s="51"/>
      <c r="AK759" s="160"/>
      <c r="AL759" s="160"/>
      <c r="AM759" s="290"/>
      <c r="AN759" s="290"/>
      <c r="AO759" s="160"/>
      <c r="AP759" s="290"/>
      <c r="AQ759" s="93"/>
      <c r="AR759" s="93"/>
      <c r="AS759" s="93"/>
      <c r="AT759" s="93"/>
      <c r="AU759" s="93"/>
      <c r="AV759" s="93"/>
      <c r="AW759" s="699"/>
      <c r="AX759" s="93"/>
      <c r="AY759" s="93"/>
      <c r="AZ759" s="160"/>
      <c r="BA759" s="160"/>
      <c r="BB759" s="298"/>
      <c r="BC759" s="160"/>
      <c r="BD759" s="160"/>
      <c r="BE759" s="160"/>
      <c r="BF759" s="160"/>
      <c r="BG759" s="93"/>
      <c r="BH759" s="206"/>
      <c r="BI759" s="93"/>
      <c r="BJ759" s="93"/>
      <c r="BK759" s="93"/>
      <c r="BL759" s="93"/>
      <c r="BM759" s="699"/>
      <c r="BN759" s="93"/>
      <c r="BO759" s="160"/>
      <c r="BP759" s="298"/>
      <c r="BQ759" s="93"/>
      <c r="BR759" s="93"/>
      <c r="BS759" s="294"/>
      <c r="BT759" s="54"/>
      <c r="BU759" s="290"/>
      <c r="BV759" s="294"/>
      <c r="BW759" s="93"/>
      <c r="BX759" s="93"/>
      <c r="BY759" s="298"/>
      <c r="BZ759" s="160"/>
      <c r="CA759" s="93"/>
      <c r="CB759" s="79"/>
      <c r="CC759" s="2315"/>
      <c r="CD759" s="2315"/>
      <c r="CE759" s="2315"/>
      <c r="CF759" s="2315"/>
      <c r="CG759" s="2325"/>
      <c r="CH759" s="2315"/>
      <c r="CI759" s="2322"/>
      <c r="CJ759" s="2322"/>
      <c r="CK759" s="2322"/>
      <c r="CL759" s="2322"/>
      <c r="CM759" s="2320"/>
      <c r="CN759" s="2322"/>
      <c r="CO759" s="2322"/>
      <c r="CP759" s="2315"/>
      <c r="CQ759" s="2315"/>
      <c r="CR759" s="2767"/>
      <c r="CS759" s="2315"/>
      <c r="CT759" s="2315"/>
      <c r="CU759" s="2315"/>
      <c r="CV759" s="2315"/>
      <c r="CW759" s="2315"/>
      <c r="CX759" s="2315"/>
      <c r="CY759" s="2321"/>
      <c r="CZ759" s="2322"/>
      <c r="DA759" s="2321"/>
      <c r="DB759" s="2321"/>
      <c r="DC759" s="2322"/>
      <c r="DD759" s="2322"/>
      <c r="DE759" s="70"/>
      <c r="DF759" s="70"/>
      <c r="DG759" s="70"/>
      <c r="DH759" s="2771"/>
      <c r="DI759" s="2315"/>
      <c r="DJ759" s="2315"/>
      <c r="DK759" s="2322"/>
      <c r="DL759" s="2322"/>
      <c r="DM759" s="2315"/>
      <c r="DN759" s="2315"/>
      <c r="DO759" s="2315"/>
      <c r="DP759" s="2321"/>
      <c r="DQ759" s="2321"/>
      <c r="DR759" s="2321"/>
      <c r="DS759" s="2321"/>
      <c r="DT759" s="2315"/>
      <c r="DU759" s="2315"/>
      <c r="DV759" s="2322"/>
      <c r="DW759" s="2315"/>
      <c r="DX759" s="2767"/>
    </row>
    <row r="760" spans="1:128">
      <c r="A760" s="989"/>
      <c r="B760" s="290"/>
      <c r="C760" s="290"/>
      <c r="D760" s="93"/>
      <c r="E760" s="93"/>
      <c r="F760" s="290"/>
      <c r="G760" s="160"/>
      <c r="H760" s="160"/>
      <c r="I760" s="160"/>
      <c r="J760" s="160"/>
      <c r="K760" s="290"/>
      <c r="L760" s="93"/>
      <c r="M760" s="93"/>
      <c r="N760" s="290"/>
      <c r="O760" s="290"/>
      <c r="P760" s="290"/>
      <c r="Q760" s="699"/>
      <c r="R760" s="160"/>
      <c r="S760" s="160"/>
      <c r="T760" s="93"/>
      <c r="U760" s="93"/>
      <c r="V760" s="160"/>
      <c r="W760" s="160"/>
      <c r="X760" s="160"/>
      <c r="Y760" s="160"/>
      <c r="Z760" s="93"/>
      <c r="AA760" s="93"/>
      <c r="AB760" s="93"/>
      <c r="AC760" s="160"/>
      <c r="AD760" s="93"/>
      <c r="AE760" s="93"/>
      <c r="AF760" s="93"/>
      <c r="AG760" s="114"/>
      <c r="AH760" s="308"/>
      <c r="AI760" s="160"/>
      <c r="AJ760" s="160"/>
      <c r="AK760" s="160"/>
      <c r="AL760" s="294"/>
      <c r="AM760" s="298"/>
      <c r="AN760" s="298"/>
      <c r="AO760" s="160"/>
      <c r="AP760" s="290"/>
      <c r="AQ760" s="93"/>
      <c r="AR760" s="93"/>
      <c r="AS760" s="93"/>
      <c r="AT760" s="93"/>
      <c r="AU760" s="93"/>
      <c r="AV760" s="93"/>
      <c r="AW760" s="699"/>
      <c r="AX760" s="93"/>
      <c r="AY760" s="294"/>
      <c r="AZ760" s="160"/>
      <c r="BA760" s="294"/>
      <c r="BB760" s="298"/>
      <c r="BC760" s="298"/>
      <c r="BD760" s="298"/>
      <c r="BE760" s="294"/>
      <c r="BF760" s="294"/>
      <c r="BG760" s="290"/>
      <c r="BH760" s="290"/>
      <c r="BI760" s="93"/>
      <c r="BJ760" s="93"/>
      <c r="BK760" s="93"/>
      <c r="BL760" s="93"/>
      <c r="BM760" s="699"/>
      <c r="BN760" s="93"/>
      <c r="BO760" s="160"/>
      <c r="BP760" s="93"/>
      <c r="BQ760" s="93"/>
      <c r="BR760" s="207"/>
      <c r="BS760" s="160"/>
      <c r="BT760" s="160"/>
      <c r="BU760" s="160"/>
      <c r="BV760" s="160"/>
      <c r="BW760" s="207"/>
      <c r="BX760" s="93"/>
      <c r="BY760" s="93"/>
      <c r="BZ760" s="160"/>
      <c r="CA760" s="93"/>
      <c r="CB760" s="79"/>
      <c r="CC760" s="2315"/>
      <c r="CD760" s="2315"/>
      <c r="CE760" s="2315"/>
      <c r="CF760" s="2315"/>
      <c r="CG760" s="2321"/>
      <c r="CH760" s="2321"/>
      <c r="CI760" s="2317"/>
      <c r="CJ760" s="2317"/>
      <c r="CK760" s="2320"/>
      <c r="CL760" s="2320"/>
      <c r="CM760" s="2320"/>
      <c r="CN760" s="2317"/>
      <c r="CO760" s="2322"/>
      <c r="CP760" s="2317"/>
      <c r="CQ760" s="2315"/>
      <c r="CR760" s="2767"/>
      <c r="CS760" s="2315"/>
      <c r="CT760" s="2315"/>
      <c r="CU760" s="2315"/>
      <c r="CV760" s="2315"/>
      <c r="CW760" s="2315"/>
      <c r="CX760" s="2315"/>
      <c r="CY760" s="2321"/>
      <c r="CZ760" s="2322"/>
      <c r="DA760" s="2320"/>
      <c r="DB760" s="2320"/>
      <c r="DC760" s="2317"/>
      <c r="DD760" s="2322"/>
      <c r="DE760" s="2322"/>
      <c r="DF760" s="2322"/>
      <c r="DG760" s="2323"/>
      <c r="DH760" s="2771"/>
      <c r="DI760" s="2315"/>
      <c r="DJ760" s="2315"/>
      <c r="DK760" s="2315"/>
      <c r="DL760" s="2322"/>
      <c r="DM760" s="2315"/>
      <c r="DN760" s="2315"/>
      <c r="DO760" s="2315"/>
      <c r="DP760" s="2322"/>
      <c r="DQ760" s="2322"/>
      <c r="DR760" s="2322"/>
      <c r="DS760" s="2322"/>
      <c r="DT760" s="2315"/>
      <c r="DU760" s="2315"/>
      <c r="DV760" s="2322"/>
      <c r="DW760" s="2322"/>
      <c r="DX760" s="2767"/>
    </row>
    <row r="761" spans="1:128">
      <c r="A761" s="989"/>
      <c r="B761" s="93"/>
      <c r="C761" s="290"/>
      <c r="D761" s="93"/>
      <c r="E761" s="290"/>
      <c r="F761" s="298"/>
      <c r="G761" s="290"/>
      <c r="H761" s="205"/>
      <c r="I761" s="205"/>
      <c r="J761" s="290"/>
      <c r="K761" s="298"/>
      <c r="L761" s="290"/>
      <c r="M761" s="93"/>
      <c r="N761" s="290"/>
      <c r="O761" s="93"/>
      <c r="P761" s="290"/>
      <c r="Q761" s="993"/>
      <c r="R761" s="93"/>
      <c r="S761" s="160"/>
      <c r="T761" s="294"/>
      <c r="U761" s="294"/>
      <c r="V761" s="298"/>
      <c r="W761" s="294"/>
      <c r="X761" s="298"/>
      <c r="Y761" s="294"/>
      <c r="Z761" s="206"/>
      <c r="AA761" s="93"/>
      <c r="AB761" s="160"/>
      <c r="AC761" s="290"/>
      <c r="AD761" s="93"/>
      <c r="AE761" s="93"/>
      <c r="AF761" s="93"/>
      <c r="AG761" s="114"/>
      <c r="AH761" s="51"/>
      <c r="AI761" s="51"/>
      <c r="AJ761" s="51"/>
      <c r="AK761" s="160"/>
      <c r="AL761" s="204"/>
      <c r="AM761" s="298"/>
      <c r="AN761" s="160"/>
      <c r="AO761" s="206"/>
      <c r="AP761" s="206"/>
      <c r="AQ761" s="93"/>
      <c r="AR761" s="93"/>
      <c r="AS761" s="93"/>
      <c r="AT761" s="93"/>
      <c r="AU761" s="93"/>
      <c r="AV761" s="93"/>
      <c r="AW761" s="993"/>
      <c r="AX761" s="294"/>
      <c r="AY761" s="160"/>
      <c r="AZ761" s="294"/>
      <c r="BA761" s="298"/>
      <c r="BB761" s="298"/>
      <c r="BC761" s="294"/>
      <c r="BD761" s="290"/>
      <c r="BE761" s="290"/>
      <c r="BF761" s="294"/>
      <c r="BG761" s="93"/>
      <c r="BH761" s="206"/>
      <c r="BI761" s="93"/>
      <c r="BJ761" s="93"/>
      <c r="BK761" s="93"/>
      <c r="BL761" s="93"/>
      <c r="BM761" s="699"/>
      <c r="BN761" s="160"/>
      <c r="BO761" s="160"/>
      <c r="BP761" s="93"/>
      <c r="BQ761" s="207"/>
      <c r="BR761" s="290"/>
      <c r="BS761" s="205"/>
      <c r="BT761" s="205"/>
      <c r="BU761" s="205"/>
      <c r="BV761" s="205"/>
      <c r="BW761" s="290"/>
      <c r="BX761" s="207"/>
      <c r="BY761" s="93"/>
      <c r="BZ761" s="160"/>
      <c r="CA761" s="160"/>
      <c r="CB761" s="79"/>
      <c r="CC761" s="2315"/>
      <c r="CD761" s="2315"/>
      <c r="CE761" s="2315"/>
      <c r="CF761" s="2315"/>
      <c r="CG761" s="2325"/>
      <c r="CH761" s="2315"/>
      <c r="CI761" s="2317"/>
      <c r="CJ761" s="2321"/>
      <c r="CK761" s="2321"/>
      <c r="CL761" s="2317"/>
      <c r="CM761" s="2320"/>
      <c r="CN761" s="2320"/>
      <c r="CO761" s="2317"/>
      <c r="CP761" s="2322"/>
      <c r="CQ761" s="2317"/>
      <c r="CR761" s="2768"/>
      <c r="CS761" s="2315"/>
      <c r="CT761" s="2315"/>
      <c r="CU761" s="2315"/>
      <c r="CV761" s="2315"/>
      <c r="CW761" s="2315"/>
      <c r="CX761" s="2315"/>
      <c r="CY761" s="2325"/>
      <c r="CZ761" s="2325"/>
      <c r="DA761" s="2322"/>
      <c r="DB761" s="2320"/>
      <c r="DC761" s="2316"/>
      <c r="DD761" s="2322"/>
      <c r="DE761" s="70"/>
      <c r="DF761" s="70"/>
      <c r="DG761" s="70"/>
      <c r="DH761" s="2771"/>
      <c r="DI761" s="2315"/>
      <c r="DJ761" s="2315"/>
      <c r="DK761" s="2315"/>
      <c r="DL761" s="2321"/>
      <c r="DM761" s="2322"/>
      <c r="DN761" s="2315"/>
      <c r="DO761" s="2325"/>
      <c r="DP761" s="2317"/>
      <c r="DQ761" s="2320"/>
      <c r="DR761" s="2317"/>
      <c r="DS761" s="2320"/>
      <c r="DT761" s="2317"/>
      <c r="DU761" s="2317"/>
      <c r="DV761" s="2322"/>
      <c r="DW761" s="2315"/>
      <c r="DX761" s="2768"/>
    </row>
    <row r="762" spans="1:128">
      <c r="A762" s="993"/>
      <c r="B762" s="93"/>
      <c r="C762" s="290"/>
      <c r="D762" s="294"/>
      <c r="E762" s="298"/>
      <c r="F762" s="204"/>
      <c r="G762" s="298"/>
      <c r="H762" s="290"/>
      <c r="I762" s="290"/>
      <c r="J762" s="298"/>
      <c r="K762" s="204"/>
      <c r="L762" s="298"/>
      <c r="M762" s="93"/>
      <c r="N762" s="290"/>
      <c r="O762" s="93"/>
      <c r="P762" s="308"/>
      <c r="Q762" s="699"/>
      <c r="R762" s="93"/>
      <c r="S762" s="160"/>
      <c r="T762" s="294"/>
      <c r="U762" s="204"/>
      <c r="V762" s="298"/>
      <c r="W762" s="294"/>
      <c r="X762" s="204"/>
      <c r="Y762" s="298"/>
      <c r="Z762" s="290"/>
      <c r="AA762" s="160"/>
      <c r="AB762" s="160"/>
      <c r="AC762" s="93"/>
      <c r="AD762" s="160"/>
      <c r="AE762" s="93"/>
      <c r="AF762" s="93"/>
      <c r="AG762" s="114"/>
      <c r="AH762" s="308"/>
      <c r="AI762" s="160"/>
      <c r="AJ762" s="160"/>
      <c r="AK762" s="308"/>
      <c r="AL762" s="160"/>
      <c r="AM762" s="160"/>
      <c r="AN762" s="160"/>
      <c r="AO762" s="206"/>
      <c r="AP762" s="298"/>
      <c r="AQ762" s="93"/>
      <c r="AR762" s="93"/>
      <c r="AS762" s="93"/>
      <c r="AT762" s="93"/>
      <c r="AU762" s="93"/>
      <c r="AV762" s="93"/>
      <c r="AW762" s="699"/>
      <c r="AX762" s="93"/>
      <c r="AY762" s="160"/>
      <c r="AZ762" s="298"/>
      <c r="BA762" s="298"/>
      <c r="BB762" s="294"/>
      <c r="BC762" s="290"/>
      <c r="BD762" s="206"/>
      <c r="BE762" s="294"/>
      <c r="BF762" s="206"/>
      <c r="BG762" s="206"/>
      <c r="BH762" s="93"/>
      <c r="BI762" s="93"/>
      <c r="BJ762" s="93"/>
      <c r="BK762" s="93"/>
      <c r="BL762" s="93"/>
      <c r="BM762" s="204"/>
      <c r="BN762" s="160"/>
      <c r="BO762" s="93"/>
      <c r="BP762" s="298"/>
      <c r="BQ762" s="290"/>
      <c r="BR762" s="205"/>
      <c r="BS762" s="205"/>
      <c r="BT762" s="290"/>
      <c r="BU762" s="290"/>
      <c r="BV762" s="205"/>
      <c r="BW762" s="205"/>
      <c r="BX762" s="290"/>
      <c r="BY762" s="298"/>
      <c r="BZ762" s="93"/>
      <c r="CA762" s="160"/>
      <c r="CB762" s="204"/>
      <c r="CC762" s="2315"/>
      <c r="CD762" s="2315"/>
      <c r="CE762" s="2315"/>
      <c r="CF762" s="2315"/>
      <c r="CG762" s="2315"/>
      <c r="CH762" s="2325"/>
      <c r="CI762" s="2325"/>
      <c r="CJ762" s="2317"/>
      <c r="CK762" s="2325"/>
      <c r="CL762" s="2321"/>
      <c r="CM762" s="2317"/>
      <c r="CN762" s="2320"/>
      <c r="CO762" s="2320"/>
      <c r="CP762" s="2322"/>
      <c r="CQ762" s="2315"/>
      <c r="CR762" s="2767"/>
      <c r="CS762" s="2315"/>
      <c r="CT762" s="2315"/>
      <c r="CU762" s="2315"/>
      <c r="CV762" s="2315"/>
      <c r="CW762" s="2315"/>
      <c r="CX762" s="2315"/>
      <c r="CY762" s="2320"/>
      <c r="CZ762" s="2325"/>
      <c r="DA762" s="2322"/>
      <c r="DB762" s="2322"/>
      <c r="DC762" s="2322"/>
      <c r="DD762" s="2323"/>
      <c r="DE762" s="2322"/>
      <c r="DF762" s="2322"/>
      <c r="DG762" s="2323"/>
      <c r="DH762" s="2771"/>
      <c r="DI762" s="2315"/>
      <c r="DJ762" s="2315"/>
      <c r="DK762" s="2322"/>
      <c r="DL762" s="2315"/>
      <c r="DM762" s="2322"/>
      <c r="DN762" s="2322"/>
      <c r="DO762" s="2321"/>
      <c r="DP762" s="2320"/>
      <c r="DQ762" s="2316"/>
      <c r="DR762" s="2317"/>
      <c r="DS762" s="2320"/>
      <c r="DT762" s="2316"/>
      <c r="DU762" s="2317"/>
      <c r="DV762" s="2322"/>
      <c r="DW762" s="2315"/>
      <c r="DX762" s="2767"/>
    </row>
    <row r="763" spans="1:128">
      <c r="A763" s="699"/>
      <c r="B763" s="93"/>
      <c r="C763" s="290"/>
      <c r="D763" s="298"/>
      <c r="E763" s="204"/>
      <c r="F763" s="298"/>
      <c r="G763" s="290"/>
      <c r="H763" s="205"/>
      <c r="I763" s="205"/>
      <c r="J763" s="290"/>
      <c r="K763" s="298"/>
      <c r="L763" s="204"/>
      <c r="M763" s="290"/>
      <c r="N763" s="290"/>
      <c r="O763" s="93"/>
      <c r="P763" s="93"/>
      <c r="Q763" s="993"/>
      <c r="R763" s="160"/>
      <c r="S763" s="298"/>
      <c r="T763" s="204"/>
      <c r="U763" s="298"/>
      <c r="V763" s="290"/>
      <c r="W763" s="204"/>
      <c r="X763" s="298"/>
      <c r="Y763" s="294"/>
      <c r="Z763" s="290"/>
      <c r="AA763" s="308"/>
      <c r="AB763" s="93"/>
      <c r="AC763" s="93"/>
      <c r="AD763" s="160"/>
      <c r="AE763" s="93"/>
      <c r="AF763" s="93"/>
      <c r="AG763" s="114"/>
      <c r="AH763" s="51"/>
      <c r="AI763" s="51"/>
      <c r="AJ763" s="51"/>
      <c r="AK763" s="160"/>
      <c r="AL763" s="204"/>
      <c r="AM763" s="298"/>
      <c r="AN763" s="160"/>
      <c r="AO763" s="294"/>
      <c r="AP763" s="93"/>
      <c r="AQ763" s="93"/>
      <c r="AR763" s="93"/>
      <c r="AS763" s="93"/>
      <c r="AT763" s="93"/>
      <c r="AU763" s="93"/>
      <c r="AV763" s="93"/>
      <c r="AW763" s="699"/>
      <c r="AX763" s="93"/>
      <c r="AY763" s="160"/>
      <c r="AZ763" s="204"/>
      <c r="BA763" s="298"/>
      <c r="BB763" s="294"/>
      <c r="BC763" s="290"/>
      <c r="BD763" s="294"/>
      <c r="BE763" s="93"/>
      <c r="BF763" s="93"/>
      <c r="BG763" s="93"/>
      <c r="BH763" s="93"/>
      <c r="BI763" s="93"/>
      <c r="BJ763" s="93"/>
      <c r="BK763" s="93"/>
      <c r="BL763" s="93"/>
      <c r="BM763" s="699"/>
      <c r="BN763" s="160"/>
      <c r="BO763" s="93"/>
      <c r="BP763" s="290"/>
      <c r="BQ763" s="205"/>
      <c r="BR763" s="205"/>
      <c r="BS763" s="290"/>
      <c r="BT763" s="294"/>
      <c r="BU763" s="294"/>
      <c r="BV763" s="290"/>
      <c r="BW763" s="205"/>
      <c r="BX763" s="205"/>
      <c r="BY763" s="290"/>
      <c r="BZ763" s="93"/>
      <c r="CA763" s="160"/>
      <c r="CB763" s="79"/>
      <c r="CC763" s="2315"/>
      <c r="CD763" s="2315"/>
      <c r="CE763" s="2315"/>
      <c r="CF763" s="2315"/>
      <c r="CG763" s="2315"/>
      <c r="CH763" s="2315"/>
      <c r="CI763" s="2315"/>
      <c r="CJ763" s="2317"/>
      <c r="CK763" s="2325"/>
      <c r="CL763" s="2321"/>
      <c r="CM763" s="2317"/>
      <c r="CN763" s="2320"/>
      <c r="CO763" s="2316"/>
      <c r="CP763" s="2322"/>
      <c r="CQ763" s="2315"/>
      <c r="CR763" s="2767"/>
      <c r="CS763" s="2315"/>
      <c r="CT763" s="2315"/>
      <c r="CU763" s="2315"/>
      <c r="CV763" s="2315"/>
      <c r="CW763" s="2315"/>
      <c r="CX763" s="2315"/>
      <c r="CY763" s="93"/>
      <c r="CZ763" s="294"/>
      <c r="DA763" s="160"/>
      <c r="DB763" s="298"/>
      <c r="DC763" s="204"/>
      <c r="DD763" s="160"/>
      <c r="DE763" s="51"/>
      <c r="DF763" s="70"/>
      <c r="DG763" s="70"/>
      <c r="DH763" s="2771"/>
      <c r="DI763" s="2315"/>
      <c r="DJ763" s="2315"/>
      <c r="DK763" s="2322"/>
      <c r="DL763" s="2315"/>
      <c r="DM763" s="2315"/>
      <c r="DN763" s="2323"/>
      <c r="DO763" s="2321"/>
      <c r="DP763" s="2317"/>
      <c r="DQ763" s="2320"/>
      <c r="DR763" s="2316"/>
      <c r="DS763" s="2321"/>
      <c r="DT763" s="2320"/>
      <c r="DU763" s="2316"/>
      <c r="DV763" s="2320"/>
      <c r="DW763" s="2322"/>
      <c r="DX763" s="2768"/>
    </row>
    <row r="764" spans="1:128">
      <c r="A764" s="699"/>
      <c r="B764" s="93"/>
      <c r="C764" s="204"/>
      <c r="D764" s="294"/>
      <c r="E764" s="298"/>
      <c r="F764" s="290"/>
      <c r="G764" s="160"/>
      <c r="H764" s="93"/>
      <c r="I764" s="93"/>
      <c r="J764" s="160"/>
      <c r="K764" s="294"/>
      <c r="L764" s="298"/>
      <c r="M764" s="290"/>
      <c r="N764" s="204"/>
      <c r="O764" s="93"/>
      <c r="P764" s="93"/>
      <c r="Q764" s="699"/>
      <c r="R764" s="93"/>
      <c r="S764" s="204"/>
      <c r="T764" s="298"/>
      <c r="U764" s="294"/>
      <c r="V764" s="290"/>
      <c r="W764" s="204"/>
      <c r="X764" s="298"/>
      <c r="Y764" s="294"/>
      <c r="Z764" s="290"/>
      <c r="AA764" s="93"/>
      <c r="AB764" s="93"/>
      <c r="AC764" s="160"/>
      <c r="AD764" s="160"/>
      <c r="AE764" s="93"/>
      <c r="AF764" s="93"/>
      <c r="AG764" s="114"/>
      <c r="AH764" s="51"/>
      <c r="AI764" s="51"/>
      <c r="AJ764" s="308"/>
      <c r="AK764" s="160"/>
      <c r="AL764" s="160"/>
      <c r="AM764" s="160"/>
      <c r="AN764" s="298"/>
      <c r="AO764" s="290"/>
      <c r="AP764" s="93"/>
      <c r="AQ764" s="93"/>
      <c r="AR764" s="93"/>
      <c r="AS764" s="93"/>
      <c r="AT764" s="93"/>
      <c r="AU764" s="93"/>
      <c r="AV764" s="93"/>
      <c r="AW764" s="308"/>
      <c r="AX764" s="160"/>
      <c r="AY764" s="93"/>
      <c r="AZ764" s="204"/>
      <c r="BA764" s="298"/>
      <c r="BB764" s="294"/>
      <c r="BC764" s="298"/>
      <c r="BD764" s="294"/>
      <c r="BE764" s="294"/>
      <c r="BF764" s="93"/>
      <c r="BG764" s="93"/>
      <c r="BH764" s="93"/>
      <c r="BI764" s="93"/>
      <c r="BJ764" s="93"/>
      <c r="BK764" s="93"/>
      <c r="BL764" s="93"/>
      <c r="BM764" s="699"/>
      <c r="BN764" s="160"/>
      <c r="BO764" s="93"/>
      <c r="BP764" s="294"/>
      <c r="BQ764" s="205"/>
      <c r="BR764" s="290"/>
      <c r="BS764" s="298"/>
      <c r="BT764" s="93"/>
      <c r="BU764" s="93"/>
      <c r="BV764" s="298"/>
      <c r="BW764" s="290"/>
      <c r="BX764" s="205"/>
      <c r="BY764" s="294"/>
      <c r="BZ764" s="93"/>
      <c r="CA764" s="160"/>
      <c r="CB764" s="79"/>
      <c r="CC764" s="2315"/>
      <c r="CD764" s="2315"/>
      <c r="CE764" s="2315"/>
      <c r="CF764" s="2315"/>
      <c r="CG764" s="2315"/>
      <c r="CH764" s="2315"/>
      <c r="CI764" s="2317"/>
      <c r="CJ764" s="2317"/>
      <c r="CK764" s="2316"/>
      <c r="CL764" s="2315"/>
      <c r="CM764" s="2317"/>
      <c r="CN764" s="2320"/>
      <c r="CO764" s="2320"/>
      <c r="CP764" s="2315"/>
      <c r="CQ764" s="2322"/>
      <c r="CR764" s="2768"/>
      <c r="CS764" s="2315"/>
      <c r="CT764" s="2315"/>
      <c r="CU764" s="2315"/>
      <c r="CV764" s="2315"/>
      <c r="CW764" s="2315"/>
      <c r="CX764" s="2315"/>
      <c r="CY764" s="93"/>
      <c r="CZ764" s="290"/>
      <c r="DA764" s="290"/>
      <c r="DB764" s="160"/>
      <c r="DC764" s="160"/>
      <c r="DD764" s="160"/>
      <c r="DE764" s="308"/>
      <c r="DF764" s="70"/>
      <c r="DG764" s="70"/>
      <c r="DH764" s="2771"/>
      <c r="DI764" s="2315"/>
      <c r="DJ764" s="2315"/>
      <c r="DK764" s="2322"/>
      <c r="DL764" s="2322"/>
      <c r="DM764" s="2315"/>
      <c r="DN764" s="2315"/>
      <c r="DO764" s="2321"/>
      <c r="DP764" s="2317"/>
      <c r="DQ764" s="2320"/>
      <c r="DR764" s="2316"/>
      <c r="DS764" s="2321"/>
      <c r="DT764" s="2317"/>
      <c r="DU764" s="2320"/>
      <c r="DV764" s="2316"/>
      <c r="DW764" s="2315"/>
      <c r="DX764" s="2767"/>
    </row>
    <row r="765" spans="1:128">
      <c r="A765" s="699"/>
      <c r="B765" s="93"/>
      <c r="C765" s="93"/>
      <c r="D765" s="294"/>
      <c r="E765" s="298"/>
      <c r="F765" s="93"/>
      <c r="G765" s="93"/>
      <c r="H765" s="93"/>
      <c r="I765" s="93"/>
      <c r="J765" s="93"/>
      <c r="K765" s="294"/>
      <c r="L765" s="294"/>
      <c r="M765" s="93"/>
      <c r="N765" s="93"/>
      <c r="O765" s="93"/>
      <c r="P765" s="93"/>
      <c r="Q765" s="699"/>
      <c r="R765" s="93"/>
      <c r="S765" s="298"/>
      <c r="T765" s="290"/>
      <c r="U765" s="294"/>
      <c r="V765" s="93"/>
      <c r="W765" s="207"/>
      <c r="X765" s="298"/>
      <c r="Y765" s="294"/>
      <c r="Z765" s="93"/>
      <c r="AA765" s="93"/>
      <c r="AB765" s="93"/>
      <c r="AC765" s="308"/>
      <c r="AD765" s="93"/>
      <c r="AE765" s="93"/>
      <c r="AF765" s="93"/>
      <c r="AG765" s="114"/>
      <c r="AH765" s="51"/>
      <c r="AI765" s="51"/>
      <c r="AJ765" s="51"/>
      <c r="AK765" s="51"/>
      <c r="AL765" s="204"/>
      <c r="AM765" s="204"/>
      <c r="AN765" s="298"/>
      <c r="AO765" s="298"/>
      <c r="AP765" s="290"/>
      <c r="AQ765" s="51"/>
      <c r="AR765" s="93"/>
      <c r="AS765" s="93"/>
      <c r="AT765" s="93"/>
      <c r="AU765" s="93"/>
      <c r="AV765" s="93"/>
      <c r="AW765" s="699"/>
      <c r="AX765" s="93"/>
      <c r="AY765" s="93"/>
      <c r="AZ765" s="93"/>
      <c r="BA765" s="294"/>
      <c r="BB765" s="294"/>
      <c r="BC765" s="93"/>
      <c r="BD765" s="204"/>
      <c r="BE765" s="206"/>
      <c r="BF765" s="206"/>
      <c r="BG765" s="93"/>
      <c r="BH765" s="93"/>
      <c r="BI765" s="93"/>
      <c r="BJ765" s="93"/>
      <c r="BK765" s="93"/>
      <c r="BL765" s="93"/>
      <c r="BM765" s="204"/>
      <c r="BN765" s="160"/>
      <c r="BO765" s="93"/>
      <c r="BP765" s="93"/>
      <c r="BQ765" s="298"/>
      <c r="BR765" s="205"/>
      <c r="BS765" s="93"/>
      <c r="BT765" s="93"/>
      <c r="BU765" s="93"/>
      <c r="BV765" s="93"/>
      <c r="BW765" s="290"/>
      <c r="BX765" s="298"/>
      <c r="BY765" s="93"/>
      <c r="BZ765" s="93"/>
      <c r="CA765" s="160"/>
      <c r="CB765" s="204"/>
      <c r="CC765" s="2315"/>
      <c r="CD765" s="2315"/>
      <c r="CE765" s="2315"/>
      <c r="CF765" s="2315"/>
      <c r="CG765" s="2315"/>
      <c r="CH765" s="2325"/>
      <c r="CI765" s="2325"/>
      <c r="CJ765" s="2316"/>
      <c r="CK765" s="2315"/>
      <c r="CL765" s="2315"/>
      <c r="CM765" s="2315"/>
      <c r="CN765" s="2317"/>
      <c r="CO765" s="2317"/>
      <c r="CP765" s="2316"/>
      <c r="CQ765" s="2315"/>
      <c r="CR765" s="2767"/>
      <c r="CS765" s="2315"/>
      <c r="CT765" s="2315"/>
      <c r="CU765" s="2315"/>
      <c r="CV765" s="2315"/>
      <c r="CW765" s="2315"/>
      <c r="CX765" s="70"/>
      <c r="CY765" s="290"/>
      <c r="CZ765" s="290"/>
      <c r="DA765" s="298"/>
      <c r="DB765" s="298"/>
      <c r="DC765" s="204"/>
      <c r="DD765" s="51"/>
      <c r="DE765" s="51"/>
      <c r="DF765" s="70"/>
      <c r="DG765" s="70"/>
      <c r="DH765" s="2771"/>
      <c r="DI765" s="2315"/>
      <c r="DJ765" s="2315"/>
      <c r="DK765" s="2315"/>
      <c r="DL765" s="2323"/>
      <c r="DM765" s="2315"/>
      <c r="DN765" s="2315"/>
      <c r="DO765" s="2315"/>
      <c r="DP765" s="2317"/>
      <c r="DQ765" s="2320"/>
      <c r="DR765" s="2319"/>
      <c r="DS765" s="2315"/>
      <c r="DT765" s="2317"/>
      <c r="DU765" s="2321"/>
      <c r="DV765" s="2320"/>
      <c r="DW765" s="2315"/>
      <c r="DX765" s="2767"/>
    </row>
    <row r="766" spans="1:128">
      <c r="A766" s="699"/>
      <c r="B766" s="93"/>
      <c r="C766" s="93"/>
      <c r="D766" s="298"/>
      <c r="E766" s="290"/>
      <c r="F766" s="93"/>
      <c r="G766" s="93"/>
      <c r="H766" s="93"/>
      <c r="I766" s="93"/>
      <c r="J766" s="294"/>
      <c r="K766" s="298"/>
      <c r="L766" s="93"/>
      <c r="M766" s="93"/>
      <c r="N766" s="93"/>
      <c r="O766" s="93"/>
      <c r="P766" s="93"/>
      <c r="Q766" s="699"/>
      <c r="R766" s="93"/>
      <c r="S766" s="290"/>
      <c r="T766" s="290"/>
      <c r="U766" s="290"/>
      <c r="V766" s="93"/>
      <c r="W766" s="93"/>
      <c r="X766" s="298"/>
      <c r="Y766" s="294"/>
      <c r="Z766" s="160"/>
      <c r="AA766" s="93"/>
      <c r="AB766" s="93"/>
      <c r="AC766" s="93"/>
      <c r="AD766" s="93"/>
      <c r="AE766" s="93"/>
      <c r="AF766" s="93"/>
      <c r="AG766" s="114"/>
      <c r="AH766" s="51"/>
      <c r="AI766" s="51"/>
      <c r="AJ766" s="51"/>
      <c r="AK766" s="51"/>
      <c r="AL766" s="298"/>
      <c r="AM766" s="294"/>
      <c r="AN766" s="51"/>
      <c r="AO766" s="298"/>
      <c r="AP766" s="294"/>
      <c r="AQ766" s="51"/>
      <c r="AR766" s="93"/>
      <c r="AS766" s="93"/>
      <c r="AT766" s="93"/>
      <c r="AU766" s="93"/>
      <c r="AV766" s="93"/>
      <c r="AW766" s="699"/>
      <c r="AX766" s="93"/>
      <c r="AY766" s="93"/>
      <c r="AZ766" s="93"/>
      <c r="BA766" s="204"/>
      <c r="BB766" s="294"/>
      <c r="BC766" s="206"/>
      <c r="BD766" s="336"/>
      <c r="BE766" s="160"/>
      <c r="BF766" s="206"/>
      <c r="BG766" s="93"/>
      <c r="BH766" s="93"/>
      <c r="BI766" s="93"/>
      <c r="BJ766" s="93"/>
      <c r="BK766" s="93"/>
      <c r="BL766" s="93"/>
      <c r="BM766" s="699"/>
      <c r="BN766" s="93"/>
      <c r="BO766" s="93"/>
      <c r="BP766" s="93"/>
      <c r="BQ766" s="93"/>
      <c r="BR766" s="290"/>
      <c r="BS766" s="290"/>
      <c r="BT766" s="93"/>
      <c r="BU766" s="93"/>
      <c r="BV766" s="93"/>
      <c r="BW766" s="205"/>
      <c r="BX766" s="294"/>
      <c r="BY766" s="298"/>
      <c r="BZ766" s="160"/>
      <c r="CA766" s="93"/>
      <c r="CB766" s="79"/>
      <c r="CC766" s="2315"/>
      <c r="CD766" s="2315"/>
      <c r="CE766" s="2315"/>
      <c r="CF766" s="2315"/>
      <c r="CG766" s="2315"/>
      <c r="CH766" s="2325"/>
      <c r="CI766" s="2325"/>
      <c r="CJ766" s="2315"/>
      <c r="CK766" s="2315"/>
      <c r="CL766" s="2315"/>
      <c r="CM766" s="2325"/>
      <c r="CN766" s="2317"/>
      <c r="CO766" s="2320"/>
      <c r="CP766" s="2315"/>
      <c r="CQ766" s="2315"/>
      <c r="CR766" s="2767"/>
      <c r="CS766" s="2315"/>
      <c r="CT766" s="2315"/>
      <c r="CU766" s="2315"/>
      <c r="CV766" s="2315"/>
      <c r="CW766" s="2315"/>
      <c r="CX766" s="70"/>
      <c r="CY766" s="294"/>
      <c r="CZ766" s="298"/>
      <c r="DA766" s="51"/>
      <c r="DB766" s="294"/>
      <c r="DC766" s="298"/>
      <c r="DD766" s="51"/>
      <c r="DE766" s="51"/>
      <c r="DF766" s="70"/>
      <c r="DG766" s="70"/>
      <c r="DH766" s="2771"/>
      <c r="DI766" s="2315"/>
      <c r="DJ766" s="2315"/>
      <c r="DK766" s="2315"/>
      <c r="DL766" s="2315"/>
      <c r="DM766" s="2315"/>
      <c r="DN766" s="2315"/>
      <c r="DO766" s="2322"/>
      <c r="DP766" s="2317"/>
      <c r="DQ766" s="2320"/>
      <c r="DR766" s="2315"/>
      <c r="DS766" s="2321"/>
      <c r="DT766" s="2321"/>
      <c r="DU766" s="2321"/>
      <c r="DV766" s="2315"/>
      <c r="DW766" s="2315"/>
      <c r="DX766" s="2767"/>
    </row>
    <row r="767" spans="1:128">
      <c r="A767" s="699"/>
      <c r="B767" s="93"/>
      <c r="C767" s="93"/>
      <c r="D767" s="204"/>
      <c r="E767" s="205"/>
      <c r="F767" s="93"/>
      <c r="G767" s="93"/>
      <c r="H767" s="93"/>
      <c r="I767" s="93"/>
      <c r="J767" s="294"/>
      <c r="K767" s="205"/>
      <c r="L767" s="204"/>
      <c r="M767" s="93"/>
      <c r="N767" s="93"/>
      <c r="O767" s="93"/>
      <c r="P767" s="93"/>
      <c r="Q767" s="699"/>
      <c r="R767" s="93"/>
      <c r="S767" s="93"/>
      <c r="T767" s="294"/>
      <c r="U767" s="294"/>
      <c r="V767" s="93"/>
      <c r="W767" s="93"/>
      <c r="X767" s="93"/>
      <c r="Y767" s="298"/>
      <c r="Z767" s="290"/>
      <c r="AA767" s="93"/>
      <c r="AB767" s="93"/>
      <c r="AC767" s="93"/>
      <c r="AD767" s="93"/>
      <c r="AE767" s="93"/>
      <c r="AF767" s="93"/>
      <c r="AG767" s="114"/>
      <c r="AH767" s="51"/>
      <c r="AI767" s="51"/>
      <c r="AJ767" s="51"/>
      <c r="AK767" s="298"/>
      <c r="AL767" s="294"/>
      <c r="AM767" s="51"/>
      <c r="AN767" s="298"/>
      <c r="AO767" s="294"/>
      <c r="AP767" s="51"/>
      <c r="AQ767" s="51"/>
      <c r="AR767" s="51"/>
      <c r="AS767" s="51"/>
      <c r="AT767" s="51"/>
      <c r="AU767" s="51"/>
      <c r="AV767" s="93"/>
      <c r="AW767" s="699"/>
      <c r="AX767" s="93"/>
      <c r="AY767" s="93"/>
      <c r="AZ767" s="93"/>
      <c r="BA767" s="93"/>
      <c r="BB767" s="294"/>
      <c r="BC767" s="206"/>
      <c r="BD767" s="160"/>
      <c r="BE767" s="93"/>
      <c r="BF767" s="93"/>
      <c r="BG767" s="93"/>
      <c r="BH767" s="93"/>
      <c r="BI767" s="93"/>
      <c r="BJ767" s="93"/>
      <c r="BK767" s="93"/>
      <c r="BL767" s="93"/>
      <c r="BM767" s="699"/>
      <c r="BN767" s="93"/>
      <c r="BO767" s="93"/>
      <c r="BP767" s="160"/>
      <c r="BQ767" s="298"/>
      <c r="BR767" s="294"/>
      <c r="BS767" s="205"/>
      <c r="BT767" s="93"/>
      <c r="BU767" s="93"/>
      <c r="BV767" s="93"/>
      <c r="BW767" s="93"/>
      <c r="BX767" s="93"/>
      <c r="BY767" s="160"/>
      <c r="BZ767" s="160"/>
      <c r="CA767" s="93"/>
      <c r="CB767" s="79"/>
      <c r="CC767" s="2315"/>
      <c r="CD767" s="2315"/>
      <c r="CE767" s="2315"/>
      <c r="CF767" s="2315"/>
      <c r="CG767" s="2315"/>
      <c r="CH767" s="2315"/>
      <c r="CI767" s="2322"/>
      <c r="CJ767" s="2322"/>
      <c r="CK767" s="2315"/>
      <c r="CL767" s="2315"/>
      <c r="CM767" s="2325"/>
      <c r="CN767" s="2317"/>
      <c r="CO767" s="2315"/>
      <c r="CP767" s="2315"/>
      <c r="CQ767" s="2315"/>
      <c r="CR767" s="2767"/>
      <c r="CS767" s="2315"/>
      <c r="CT767" s="70"/>
      <c r="CU767" s="70"/>
      <c r="CV767" s="70"/>
      <c r="CW767" s="70"/>
      <c r="CX767" s="70"/>
      <c r="CY767" s="51"/>
      <c r="CZ767" s="294"/>
      <c r="DA767" s="298"/>
      <c r="DB767" s="51"/>
      <c r="DC767" s="294"/>
      <c r="DD767" s="298"/>
      <c r="DE767" s="51"/>
      <c r="DF767" s="70"/>
      <c r="DG767" s="70"/>
      <c r="DH767" s="2771"/>
      <c r="DI767" s="2315"/>
      <c r="DJ767" s="2315"/>
      <c r="DK767" s="2315"/>
      <c r="DL767" s="2315"/>
      <c r="DM767" s="2315"/>
      <c r="DN767" s="2315"/>
      <c r="DO767" s="2321"/>
      <c r="DP767" s="2320"/>
      <c r="DQ767" s="2315"/>
      <c r="DR767" s="2315"/>
      <c r="DS767" s="2317"/>
      <c r="DT767" s="2317"/>
      <c r="DU767" s="2315"/>
      <c r="DV767" s="2315"/>
      <c r="DW767" s="2315"/>
      <c r="DX767" s="2767"/>
    </row>
    <row r="768" spans="1:128">
      <c r="A768" s="700"/>
      <c r="B768" s="73"/>
      <c r="C768" s="336"/>
      <c r="D768" s="336"/>
      <c r="E768" s="336"/>
      <c r="F768" s="73"/>
      <c r="G768" s="73"/>
      <c r="H768" s="73"/>
      <c r="I768" s="73"/>
      <c r="J768" s="73"/>
      <c r="K768" s="336"/>
      <c r="L768" s="336"/>
      <c r="M768" s="336"/>
      <c r="N768" s="73"/>
      <c r="O768" s="73"/>
      <c r="P768" s="73"/>
      <c r="Q768" s="700"/>
      <c r="R768" s="73"/>
      <c r="S768" s="336"/>
      <c r="T768" s="336"/>
      <c r="U768" s="73"/>
      <c r="V768" s="73"/>
      <c r="W768" s="73"/>
      <c r="X768" s="336"/>
      <c r="Y768" s="336"/>
      <c r="Z768" s="103"/>
      <c r="AA768" s="73"/>
      <c r="AB768" s="103"/>
      <c r="AC768" s="73"/>
      <c r="AD768" s="73"/>
      <c r="AE768" s="73"/>
      <c r="AF768" s="106"/>
      <c r="AG768" s="115"/>
      <c r="AH768" s="106"/>
      <c r="AI768" s="106"/>
      <c r="AJ768" s="336"/>
      <c r="AK768" s="336"/>
      <c r="AL768" s="106"/>
      <c r="AM768" s="336"/>
      <c r="AN768" s="336"/>
      <c r="AO768" s="106"/>
      <c r="AP768" s="73"/>
      <c r="AQ768" s="73"/>
      <c r="AR768" s="73"/>
      <c r="AS768" s="73"/>
      <c r="AT768" s="106"/>
      <c r="AU768" s="106"/>
      <c r="AV768" s="106"/>
      <c r="AW768" s="700"/>
      <c r="AX768" s="73"/>
      <c r="AY768" s="73"/>
      <c r="AZ768" s="73"/>
      <c r="BA768" s="336"/>
      <c r="BB768" s="160"/>
      <c r="BC768" s="73"/>
      <c r="BD768" s="73"/>
      <c r="BE768" s="73"/>
      <c r="BF768" s="73"/>
      <c r="BG768" s="73"/>
      <c r="BH768" s="73"/>
      <c r="BI768" s="73"/>
      <c r="BJ768" s="73"/>
      <c r="BK768" s="73"/>
      <c r="BL768" s="73"/>
      <c r="BM768" s="700"/>
      <c r="BN768" s="73"/>
      <c r="BO768" s="73"/>
      <c r="BP768" s="336"/>
      <c r="BQ768" s="336"/>
      <c r="BR768" s="73"/>
      <c r="BS768" s="73"/>
      <c r="BT768" s="73"/>
      <c r="BU768" s="73"/>
      <c r="BV768" s="73"/>
      <c r="BW768" s="103"/>
      <c r="BX768" s="103"/>
      <c r="BY768" s="103"/>
      <c r="BZ768" s="103"/>
      <c r="CA768" s="73"/>
      <c r="CB768" s="701"/>
      <c r="CC768" s="2318"/>
      <c r="CD768" s="2318"/>
      <c r="CE768" s="2318"/>
      <c r="CF768" s="2318"/>
      <c r="CG768" s="2318"/>
      <c r="CH768" s="2318"/>
      <c r="CI768" s="2318"/>
      <c r="CJ768" s="2318"/>
      <c r="CK768" s="2318"/>
      <c r="CL768" s="2318"/>
      <c r="CM768" s="2318"/>
      <c r="CN768" s="2326"/>
      <c r="CO768" s="2326"/>
      <c r="CP768" s="2318"/>
      <c r="CQ768" s="2318"/>
      <c r="CR768" s="2769"/>
      <c r="CS768" s="366"/>
      <c r="CT768" s="366"/>
      <c r="CU768" s="366"/>
      <c r="CV768" s="2318"/>
      <c r="CW768" s="2318"/>
      <c r="CX768" s="2318"/>
      <c r="CY768" s="73"/>
      <c r="CZ768" s="106"/>
      <c r="DA768" s="336"/>
      <c r="DB768" s="336"/>
      <c r="DC768" s="106"/>
      <c r="DD768" s="336"/>
      <c r="DE768" s="336"/>
      <c r="DF768" s="366"/>
      <c r="DG768" s="366"/>
      <c r="DH768" s="2772"/>
      <c r="DI768" s="366"/>
      <c r="DJ768" s="2318"/>
      <c r="DK768" s="2318"/>
      <c r="DL768" s="2318"/>
      <c r="DM768" s="2318"/>
      <c r="DN768" s="2318"/>
      <c r="DO768" s="2318"/>
      <c r="DP768" s="2326"/>
      <c r="DQ768" s="2326"/>
      <c r="DR768" s="2318"/>
      <c r="DS768" s="2318"/>
      <c r="DT768" s="2326"/>
      <c r="DU768" s="2326"/>
      <c r="DV768" s="2318"/>
      <c r="DW768" s="2318"/>
      <c r="DX768" s="2769"/>
    </row>
    <row r="769" spans="1:11">
      <c r="A769" s="108">
        <v>4</v>
      </c>
      <c r="B769">
        <v>7</v>
      </c>
      <c r="C769" t="s">
        <v>120</v>
      </c>
      <c r="K769" s="795"/>
    </row>
    <row r="770" spans="1:11">
      <c r="A770">
        <v>4</v>
      </c>
    </row>
    <row r="771" spans="1:11">
      <c r="A771">
        <v>6</v>
      </c>
    </row>
    <row r="772" spans="1:11">
      <c r="A772">
        <v>7</v>
      </c>
    </row>
    <row r="773" spans="1:11">
      <c r="A773">
        <v>0</v>
      </c>
    </row>
    <row r="775" spans="1:11">
      <c r="A775">
        <v>250</v>
      </c>
    </row>
    <row r="777" spans="1:11">
      <c r="A777">
        <v>3000</v>
      </c>
    </row>
    <row r="778" spans="1:11">
      <c r="A778">
        <v>10</v>
      </c>
    </row>
    <row r="779" spans="1:11">
      <c r="A779">
        <v>2</v>
      </c>
    </row>
    <row r="780" spans="1:11">
      <c r="A780">
        <v>200</v>
      </c>
    </row>
    <row r="781" spans="1:11">
      <c r="A781">
        <v>160</v>
      </c>
    </row>
    <row r="782" spans="1:11">
      <c r="A782">
        <v>88</v>
      </c>
    </row>
    <row r="783" spans="1:11">
      <c r="A783">
        <v>223</v>
      </c>
    </row>
    <row r="784" spans="1:11">
      <c r="A784">
        <v>1</v>
      </c>
    </row>
    <row r="785" spans="1:1">
      <c r="A785">
        <v>16</v>
      </c>
    </row>
    <row r="786" spans="1:1">
      <c r="A786">
        <v>24</v>
      </c>
    </row>
    <row r="787" spans="1:1">
      <c r="A787">
        <v>46</v>
      </c>
    </row>
    <row r="788" spans="1:1">
      <c r="A788">
        <v>36</v>
      </c>
    </row>
    <row r="789" spans="1:1">
      <c r="A789">
        <v>150</v>
      </c>
    </row>
    <row r="790" spans="1:1">
      <c r="A790">
        <v>250</v>
      </c>
    </row>
    <row r="791" spans="1:1">
      <c r="A791">
        <v>306</v>
      </c>
    </row>
    <row r="792" spans="1:1">
      <c r="A792">
        <v>164</v>
      </c>
    </row>
    <row r="793" spans="1:1">
      <c r="A793">
        <v>168</v>
      </c>
    </row>
    <row r="794" spans="1:1">
      <c r="A794">
        <v>1</v>
      </c>
    </row>
    <row r="795" spans="1:1">
      <c r="A795">
        <v>1</v>
      </c>
    </row>
    <row r="796" spans="1:1">
      <c r="A796">
        <v>7</v>
      </c>
    </row>
    <row r="801" spans="1:3">
      <c r="A801">
        <v>3</v>
      </c>
      <c r="B801">
        <v>8</v>
      </c>
      <c r="C801" t="s">
        <v>904</v>
      </c>
    </row>
    <row r="802" spans="1:3">
      <c r="A802">
        <v>6</v>
      </c>
    </row>
    <row r="803" spans="1:3">
      <c r="A803">
        <v>7</v>
      </c>
    </row>
    <row r="804" spans="1:3">
      <c r="A804">
        <v>7</v>
      </c>
    </row>
    <row r="805" spans="1:3">
      <c r="A805">
        <v>0</v>
      </c>
    </row>
    <row r="812" spans="1:3">
      <c r="A812">
        <v>100</v>
      </c>
    </row>
    <row r="813" spans="1:3">
      <c r="A813">
        <v>100</v>
      </c>
    </row>
    <row r="814" spans="1:3">
      <c r="A814">
        <v>88</v>
      </c>
    </row>
    <row r="815" spans="1:3">
      <c r="A815">
        <v>138</v>
      </c>
    </row>
    <row r="816" spans="1:3">
      <c r="A816">
        <v>7</v>
      </c>
    </row>
    <row r="817" spans="1:1">
      <c r="A817">
        <v>96</v>
      </c>
    </row>
    <row r="818" spans="1:1">
      <c r="A818">
        <v>24</v>
      </c>
    </row>
    <row r="819" spans="1:1">
      <c r="A819">
        <v>38</v>
      </c>
    </row>
    <row r="820" spans="1:1">
      <c r="A820">
        <v>35</v>
      </c>
    </row>
    <row r="821" spans="1:1">
      <c r="A821">
        <v>150</v>
      </c>
    </row>
    <row r="822" spans="1:1">
      <c r="A822">
        <v>220</v>
      </c>
    </row>
    <row r="823" spans="1:1">
      <c r="A823">
        <f>256+15</f>
        <v>271</v>
      </c>
    </row>
    <row r="824" spans="1:1">
      <c r="A824">
        <v>164</v>
      </c>
    </row>
    <row r="825" spans="1:1">
      <c r="A825">
        <v>168</v>
      </c>
    </row>
    <row r="828" spans="1:1">
      <c r="A828">
        <v>5</v>
      </c>
    </row>
    <row r="833" spans="1:3">
      <c r="A833">
        <v>3</v>
      </c>
      <c r="B833">
        <v>9</v>
      </c>
      <c r="C833" t="s">
        <v>285</v>
      </c>
    </row>
    <row r="834" spans="1:3">
      <c r="A834">
        <v>7</v>
      </c>
    </row>
    <row r="835" spans="1:3">
      <c r="A835">
        <v>7</v>
      </c>
    </row>
    <row r="836" spans="1:3">
      <c r="A836">
        <v>5</v>
      </c>
    </row>
    <row r="837" spans="1:3">
      <c r="A837">
        <v>0</v>
      </c>
    </row>
    <row r="838" spans="1:3">
      <c r="A838">
        <v>48</v>
      </c>
    </row>
    <row r="840" spans="1:3">
      <c r="A840">
        <v>200</v>
      </c>
    </row>
    <row r="841" spans="1:3">
      <c r="A841">
        <v>16000</v>
      </c>
    </row>
    <row r="842" spans="1:3">
      <c r="A842">
        <v>24</v>
      </c>
    </row>
    <row r="843" spans="1:3">
      <c r="A843">
        <v>8</v>
      </c>
    </row>
    <row r="844" spans="1:3">
      <c r="A844">
        <v>100</v>
      </c>
    </row>
    <row r="845" spans="1:3">
      <c r="A845">
        <v>40</v>
      </c>
    </row>
    <row r="846" spans="1:3">
      <c r="A846">
        <v>88</v>
      </c>
    </row>
    <row r="847" spans="1:3">
      <c r="A847">
        <v>138</v>
      </c>
    </row>
    <row r="848" spans="1:3">
      <c r="A848">
        <v>1</v>
      </c>
    </row>
    <row r="849" spans="1:1">
      <c r="A849">
        <v>96</v>
      </c>
    </row>
    <row r="850" spans="1:1">
      <c r="A850">
        <v>24</v>
      </c>
    </row>
    <row r="851" spans="1:1">
      <c r="A851">
        <v>54</v>
      </c>
    </row>
    <row r="852" spans="1:1">
      <c r="A852">
        <v>35</v>
      </c>
    </row>
    <row r="853" spans="1:1">
      <c r="A853">
        <v>150</v>
      </c>
    </row>
    <row r="854" spans="1:1">
      <c r="A854">
        <v>220</v>
      </c>
    </row>
    <row r="856" spans="1:1">
      <c r="A856">
        <v>164</v>
      </c>
    </row>
    <row r="857" spans="1:1">
      <c r="A857">
        <v>168</v>
      </c>
    </row>
    <row r="860" spans="1:1">
      <c r="A860">
        <v>4</v>
      </c>
    </row>
    <row r="865" spans="1:3">
      <c r="A865">
        <v>2</v>
      </c>
      <c r="B865">
        <v>10</v>
      </c>
      <c r="C865" t="s">
        <v>898</v>
      </c>
    </row>
    <row r="866" spans="1:3">
      <c r="A866">
        <v>9</v>
      </c>
    </row>
    <row r="867" spans="1:3">
      <c r="A867">
        <v>10</v>
      </c>
    </row>
    <row r="868" spans="1:3">
      <c r="A868">
        <v>7</v>
      </c>
    </row>
    <row r="869" spans="1:3">
      <c r="A869">
        <v>0</v>
      </c>
    </row>
    <row r="870" spans="1:3">
      <c r="A870">
        <v>96</v>
      </c>
    </row>
    <row r="871" spans="1:3">
      <c r="A871">
        <v>140</v>
      </c>
    </row>
    <row r="872" spans="1:3">
      <c r="A872">
        <v>800</v>
      </c>
    </row>
    <row r="873" spans="1:3">
      <c r="A873">
        <v>800</v>
      </c>
    </row>
    <row r="874" spans="1:3">
      <c r="A874">
        <v>14</v>
      </c>
    </row>
    <row r="875" spans="1:3">
      <c r="A875">
        <v>8</v>
      </c>
    </row>
    <row r="876" spans="1:3">
      <c r="A876">
        <v>200</v>
      </c>
    </row>
    <row r="877" spans="1:3">
      <c r="A877">
        <v>300</v>
      </c>
    </row>
    <row r="878" spans="1:3">
      <c r="A878">
        <v>88</v>
      </c>
    </row>
    <row r="879" spans="1:3">
      <c r="A879">
        <v>127</v>
      </c>
    </row>
    <row r="880" spans="1:3">
      <c r="A880">
        <v>1</v>
      </c>
    </row>
    <row r="881" spans="1:1">
      <c r="A881">
        <v>12</v>
      </c>
    </row>
    <row r="882" spans="1:1">
      <c r="A882">
        <v>30</v>
      </c>
    </row>
    <row r="883" spans="1:1">
      <c r="A883">
        <v>55</v>
      </c>
    </row>
    <row r="884" spans="1:1">
      <c r="A884">
        <v>36</v>
      </c>
    </row>
    <row r="885" spans="1:1">
      <c r="A885">
        <v>160</v>
      </c>
    </row>
    <row r="886" spans="1:1">
      <c r="A886">
        <v>120</v>
      </c>
    </row>
    <row r="887" spans="1:1">
      <c r="A887">
        <v>257</v>
      </c>
    </row>
    <row r="888" spans="1:1">
      <c r="A888">
        <v>164</v>
      </c>
    </row>
    <row r="889" spans="1:1">
      <c r="A889">
        <v>168</v>
      </c>
    </row>
    <row r="891" spans="1:1">
      <c r="A891">
        <v>2</v>
      </c>
    </row>
    <row r="892" spans="1:1">
      <c r="A892">
        <v>2</v>
      </c>
    </row>
    <row r="897" spans="1:3">
      <c r="A897">
        <v>2</v>
      </c>
      <c r="B897">
        <v>11</v>
      </c>
      <c r="C897" t="s">
        <v>876</v>
      </c>
    </row>
    <row r="898" spans="1:3">
      <c r="A898">
        <v>6</v>
      </c>
    </row>
    <row r="899" spans="1:3">
      <c r="A899">
        <v>8</v>
      </c>
    </row>
    <row r="900" spans="1:3">
      <c r="A900">
        <v>5</v>
      </c>
    </row>
    <row r="901" spans="1:3">
      <c r="A901">
        <v>0</v>
      </c>
    </row>
    <row r="902" spans="1:3">
      <c r="A902">
        <v>32</v>
      </c>
    </row>
    <row r="903" spans="1:3">
      <c r="A903">
        <v>200</v>
      </c>
    </row>
    <row r="905" spans="1:3">
      <c r="A905">
        <v>400</v>
      </c>
    </row>
    <row r="906" spans="1:3">
      <c r="A906">
        <v>16</v>
      </c>
    </row>
    <row r="907" spans="1:3">
      <c r="A907">
        <v>14</v>
      </c>
    </row>
    <row r="908" spans="1:3">
      <c r="A908">
        <v>140</v>
      </c>
    </row>
    <row r="909" spans="1:3">
      <c r="A909">
        <v>80</v>
      </c>
    </row>
    <row r="910" spans="1:3">
      <c r="A910">
        <v>88</v>
      </c>
    </row>
    <row r="911" spans="1:3">
      <c r="A911">
        <v>84</v>
      </c>
    </row>
    <row r="912" spans="1:3">
      <c r="A912">
        <v>2</v>
      </c>
    </row>
    <row r="913" spans="1:1">
      <c r="A913">
        <v>10</v>
      </c>
    </row>
    <row r="914" spans="1:1">
      <c r="A914">
        <v>29</v>
      </c>
    </row>
    <row r="915" spans="1:1">
      <c r="A915">
        <v>56</v>
      </c>
    </row>
    <row r="916" spans="1:1">
      <c r="A916">
        <v>48</v>
      </c>
    </row>
    <row r="917" spans="1:1">
      <c r="A917">
        <v>160</v>
      </c>
    </row>
    <row r="918" spans="1:1">
      <c r="A918">
        <v>64</v>
      </c>
    </row>
    <row r="919" spans="1:1">
      <c r="A919">
        <v>9</v>
      </c>
    </row>
    <row r="920" spans="1:1">
      <c r="A920">
        <v>164</v>
      </c>
    </row>
    <row r="921" spans="1:1">
      <c r="A921">
        <v>168</v>
      </c>
    </row>
    <row r="923" spans="1:1">
      <c r="A923">
        <v>1</v>
      </c>
    </row>
    <row r="924" spans="1:1">
      <c r="A924">
        <v>3</v>
      </c>
    </row>
    <row r="929" spans="1:3">
      <c r="A929">
        <v>6</v>
      </c>
      <c r="B929">
        <v>12</v>
      </c>
      <c r="C929" t="s">
        <v>877</v>
      </c>
    </row>
    <row r="930" spans="1:3">
      <c r="A930">
        <v>6</v>
      </c>
    </row>
    <row r="931" spans="1:3">
      <c r="A931">
        <v>8</v>
      </c>
    </row>
    <row r="932" spans="1:3">
      <c r="A932">
        <v>4</v>
      </c>
    </row>
    <row r="933" spans="1:3">
      <c r="A933">
        <v>0</v>
      </c>
    </row>
    <row r="934" spans="1:3">
      <c r="A934">
        <v>32</v>
      </c>
    </row>
    <row r="935" spans="1:3">
      <c r="A935">
        <v>200</v>
      </c>
    </row>
    <row r="936" spans="1:3">
      <c r="A936">
        <v>300</v>
      </c>
    </row>
    <row r="937" spans="1:3">
      <c r="A937">
        <v>600</v>
      </c>
    </row>
    <row r="938" spans="1:3">
      <c r="A938">
        <v>16</v>
      </c>
    </row>
    <row r="939" spans="1:3">
      <c r="A939">
        <v>12</v>
      </c>
    </row>
    <row r="940" spans="1:3">
      <c r="A940">
        <v>160</v>
      </c>
    </row>
    <row r="941" spans="1:3">
      <c r="A941">
        <v>90</v>
      </c>
    </row>
    <row r="942" spans="1:3">
      <c r="A942">
        <v>88</v>
      </c>
    </row>
    <row r="943" spans="1:3">
      <c r="A943">
        <v>71</v>
      </c>
    </row>
    <row r="944" spans="1:3">
      <c r="A944">
        <v>2</v>
      </c>
    </row>
    <row r="945" spans="1:1">
      <c r="A945">
        <v>10</v>
      </c>
    </row>
    <row r="946" spans="1:1">
      <c r="A946">
        <v>28</v>
      </c>
    </row>
    <row r="947" spans="1:1">
      <c r="A947">
        <v>57</v>
      </c>
    </row>
    <row r="948" spans="1:1">
      <c r="A948">
        <v>58</v>
      </c>
    </row>
    <row r="949" spans="1:1">
      <c r="A949">
        <v>150</v>
      </c>
    </row>
    <row r="950" spans="1:1">
      <c r="A950">
        <v>56</v>
      </c>
    </row>
    <row r="951" spans="1:1">
      <c r="A951">
        <v>19</v>
      </c>
    </row>
    <row r="952" spans="1:1">
      <c r="A952">
        <v>164</v>
      </c>
    </row>
    <row r="953" spans="1:1">
      <c r="A953">
        <v>168</v>
      </c>
    </row>
    <row r="955" spans="1:1">
      <c r="A955">
        <v>1</v>
      </c>
    </row>
    <row r="956" spans="1:1">
      <c r="A956">
        <v>3</v>
      </c>
    </row>
  </sheetData>
  <sheetProtection password="DF7C" sheet="1"/>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E192"/>
  <sheetViews>
    <sheetView topLeftCell="A121" zoomScale="62" zoomScaleNormal="62" workbookViewId="0">
      <selection activeCell="AV151" sqref="AV151"/>
    </sheetView>
  </sheetViews>
  <sheetFormatPr defaultRowHeight="12.75"/>
  <cols>
    <col min="1" max="161" width="2.5703125" customWidth="1"/>
  </cols>
  <sheetData>
    <row r="1" spans="1:161">
      <c r="A1" s="680">
        <v>1</v>
      </c>
      <c r="B1" s="360"/>
      <c r="C1" s="360"/>
      <c r="D1" s="360"/>
      <c r="E1" s="360"/>
      <c r="F1" s="360"/>
      <c r="G1" s="360"/>
      <c r="H1" s="360"/>
      <c r="I1" s="360"/>
      <c r="J1" s="360"/>
      <c r="K1" s="360"/>
      <c r="L1" s="360"/>
      <c r="M1" s="360"/>
      <c r="N1" s="360"/>
      <c r="O1" s="360"/>
      <c r="P1" s="360"/>
      <c r="Q1" s="360"/>
      <c r="R1" s="360"/>
      <c r="S1" s="360"/>
      <c r="T1" s="681"/>
      <c r="U1" s="680">
        <v>1</v>
      </c>
      <c r="V1" s="360"/>
      <c r="W1" s="360"/>
      <c r="X1" s="360"/>
      <c r="Y1" s="360"/>
      <c r="Z1" s="360"/>
      <c r="AA1" s="360"/>
      <c r="AB1" s="360"/>
      <c r="AC1" s="360"/>
      <c r="AD1" s="360"/>
      <c r="AE1" s="360"/>
      <c r="AF1" s="360"/>
      <c r="AG1" s="360"/>
      <c r="AH1" s="360"/>
      <c r="AI1" s="360"/>
      <c r="AJ1" s="360"/>
      <c r="AK1" s="360"/>
      <c r="AL1" s="360"/>
      <c r="AM1" s="360"/>
      <c r="AN1" s="681"/>
      <c r="AO1" s="680">
        <v>1</v>
      </c>
      <c r="AP1" s="360"/>
      <c r="AQ1" s="360"/>
      <c r="AR1" s="360"/>
      <c r="AS1" s="360"/>
      <c r="AT1" s="360"/>
      <c r="AU1" s="360"/>
      <c r="AV1" s="360"/>
      <c r="AW1" s="360"/>
      <c r="AX1" s="360"/>
      <c r="AY1" s="360"/>
      <c r="AZ1" s="360"/>
      <c r="BA1" s="360"/>
      <c r="BB1" s="360"/>
      <c r="BC1" s="360"/>
      <c r="BD1" s="360"/>
      <c r="BE1" s="360"/>
      <c r="BF1" s="360"/>
      <c r="BG1" s="360"/>
      <c r="BH1" s="681"/>
      <c r="BI1" s="680">
        <v>1</v>
      </c>
      <c r="BJ1" s="360"/>
      <c r="BK1" s="360"/>
      <c r="BL1" s="360"/>
      <c r="BM1" s="360"/>
      <c r="BN1" s="360"/>
      <c r="BO1" s="360"/>
      <c r="BP1" s="360"/>
      <c r="BQ1" s="360"/>
      <c r="BR1" s="360"/>
      <c r="BS1" s="360"/>
      <c r="BT1" s="360"/>
      <c r="BU1" s="360"/>
      <c r="BV1" s="360"/>
      <c r="BW1" s="360"/>
      <c r="BX1" s="360"/>
      <c r="BY1" s="360"/>
      <c r="BZ1" s="360"/>
      <c r="CA1" s="360"/>
      <c r="CB1" s="681"/>
      <c r="CC1" s="680">
        <v>1</v>
      </c>
      <c r="CD1" s="360"/>
      <c r="CE1" s="360"/>
      <c r="CF1" s="360"/>
      <c r="CG1" s="360"/>
      <c r="CH1" s="360"/>
      <c r="CI1" s="360"/>
      <c r="CJ1" s="360"/>
      <c r="CK1" s="360"/>
      <c r="CL1" s="360"/>
      <c r="CM1" s="360"/>
      <c r="CN1" s="360"/>
      <c r="CO1" s="360"/>
      <c r="CP1" s="360"/>
      <c r="CQ1" s="360"/>
      <c r="CR1" s="360"/>
      <c r="CS1" s="360"/>
      <c r="CT1" s="360"/>
      <c r="CU1" s="360"/>
      <c r="CV1" s="681"/>
      <c r="CW1" s="680">
        <v>1</v>
      </c>
      <c r="CX1" s="360"/>
      <c r="CY1" s="360"/>
      <c r="CZ1" s="360"/>
      <c r="DA1" s="360"/>
      <c r="DB1" s="360"/>
      <c r="DC1" s="360"/>
      <c r="DD1" s="360"/>
      <c r="DE1" s="360"/>
      <c r="DF1" s="360"/>
      <c r="DG1" s="360"/>
      <c r="DH1" s="360"/>
      <c r="DI1" s="360"/>
      <c r="DJ1" s="360"/>
      <c r="DK1" s="360"/>
      <c r="DL1" s="360"/>
      <c r="DM1" s="360"/>
      <c r="DN1" s="360"/>
      <c r="DO1" s="360"/>
      <c r="DP1" s="330"/>
      <c r="DQ1" s="680">
        <v>1</v>
      </c>
      <c r="DR1" s="360"/>
      <c r="DS1" s="360"/>
      <c r="DT1" s="360"/>
      <c r="DU1" s="360"/>
      <c r="DV1" s="360"/>
      <c r="DW1" s="360"/>
      <c r="DX1" s="360"/>
      <c r="DY1" s="360"/>
      <c r="DZ1" s="360"/>
      <c r="EA1" s="360"/>
      <c r="EB1" s="360"/>
      <c r="EC1" s="360"/>
      <c r="ED1" s="360"/>
      <c r="EE1" s="360"/>
      <c r="EF1" s="360"/>
      <c r="EG1" s="360"/>
      <c r="EH1" s="360"/>
      <c r="EI1" s="360"/>
      <c r="EJ1" s="681"/>
      <c r="EK1" s="680">
        <v>1</v>
      </c>
      <c r="EL1" s="1"/>
      <c r="EM1" s="360"/>
      <c r="EN1" s="360"/>
      <c r="EO1" s="360"/>
      <c r="EP1" s="360"/>
      <c r="EQ1" s="360"/>
      <c r="ER1" s="360"/>
      <c r="ES1" s="360"/>
      <c r="ET1" s="360"/>
      <c r="EU1" s="360"/>
      <c r="EV1" s="360"/>
      <c r="EW1" s="360"/>
      <c r="EX1" s="360"/>
      <c r="EY1" s="360"/>
      <c r="EZ1" s="360"/>
      <c r="FA1" s="360"/>
      <c r="FB1" s="360"/>
      <c r="FC1" s="360"/>
      <c r="FD1" s="695"/>
      <c r="FE1" s="1" t="s">
        <v>756</v>
      </c>
    </row>
    <row r="2" spans="1:161">
      <c r="A2" s="52"/>
      <c r="B2" s="52"/>
      <c r="C2" s="52"/>
      <c r="D2" s="52"/>
      <c r="E2" s="52"/>
      <c r="F2" s="52"/>
      <c r="G2" s="52"/>
      <c r="H2" s="52"/>
      <c r="I2" s="52"/>
      <c r="J2" s="52"/>
      <c r="K2" s="52"/>
      <c r="L2" s="52"/>
      <c r="M2" s="52"/>
      <c r="N2" s="52"/>
      <c r="O2" s="52"/>
      <c r="P2" s="52"/>
      <c r="Q2" s="52"/>
      <c r="R2" s="52"/>
      <c r="S2" s="52"/>
      <c r="T2" s="330"/>
      <c r="U2" s="52"/>
      <c r="V2" s="52"/>
      <c r="W2" s="52"/>
      <c r="X2" s="52"/>
      <c r="Y2" s="52"/>
      <c r="Z2" s="52"/>
      <c r="AA2" s="52"/>
      <c r="AB2" s="52"/>
      <c r="AC2" s="52"/>
      <c r="AD2" s="52"/>
      <c r="AE2" s="52"/>
      <c r="AF2" s="52"/>
      <c r="AG2" s="52"/>
      <c r="AH2" s="52"/>
      <c r="AI2" s="52"/>
      <c r="AJ2" s="52"/>
      <c r="AK2" s="52"/>
      <c r="AL2" s="52"/>
      <c r="AM2" s="52"/>
      <c r="AN2" s="330"/>
      <c r="AO2" s="52"/>
      <c r="AP2" s="52"/>
      <c r="AQ2" s="52"/>
      <c r="AR2" s="52"/>
      <c r="AS2" s="52"/>
      <c r="AT2" s="52"/>
      <c r="AU2" s="52"/>
      <c r="AV2" s="52"/>
      <c r="AW2" s="52"/>
      <c r="AX2" s="52"/>
      <c r="AY2" s="52"/>
      <c r="AZ2" s="52"/>
      <c r="BA2" s="52"/>
      <c r="BB2" s="52"/>
      <c r="BC2" s="52"/>
      <c r="BD2" s="52"/>
      <c r="BE2" s="52"/>
      <c r="BF2" s="52"/>
      <c r="BG2" s="52"/>
      <c r="BH2" s="330"/>
      <c r="BI2" s="52"/>
      <c r="BJ2" s="52"/>
      <c r="BK2" s="52"/>
      <c r="BL2" s="52"/>
      <c r="BM2" s="52"/>
      <c r="BN2" s="52"/>
      <c r="BO2" s="52"/>
      <c r="BP2" s="52"/>
      <c r="BQ2" s="52"/>
      <c r="BR2" s="52"/>
      <c r="BS2" s="52"/>
      <c r="BT2" s="52"/>
      <c r="BU2" s="52"/>
      <c r="BV2" s="52"/>
      <c r="BW2" s="52"/>
      <c r="BX2" s="52"/>
      <c r="BY2" s="52"/>
      <c r="BZ2" s="52"/>
      <c r="CA2" s="52"/>
      <c r="CB2" s="330"/>
      <c r="CC2" s="52"/>
      <c r="CD2" s="52"/>
      <c r="CE2" s="52"/>
      <c r="CF2" s="52"/>
      <c r="CG2" s="52"/>
      <c r="CH2" s="52"/>
      <c r="CI2" s="52"/>
      <c r="CJ2" s="52"/>
      <c r="CK2" s="52"/>
      <c r="CL2" s="52"/>
      <c r="CM2" s="52"/>
      <c r="CN2" s="52"/>
      <c r="CO2" s="682"/>
      <c r="CP2" s="473"/>
      <c r="CQ2" s="52"/>
      <c r="CR2" s="52"/>
      <c r="CS2" s="52"/>
      <c r="CT2" s="52"/>
      <c r="CU2" s="52"/>
      <c r="CV2" s="330"/>
      <c r="CW2" s="52"/>
      <c r="CX2" s="52"/>
      <c r="CY2" s="52"/>
      <c r="CZ2" s="52"/>
      <c r="DA2" s="52"/>
      <c r="DB2" s="52"/>
      <c r="DC2" s="52"/>
      <c r="DD2" s="52"/>
      <c r="DE2" s="52"/>
      <c r="DF2" s="52"/>
      <c r="DG2" s="52"/>
      <c r="DH2" s="52"/>
      <c r="DI2" s="52"/>
      <c r="DJ2" s="52"/>
      <c r="DK2" s="52"/>
      <c r="DL2" s="52"/>
      <c r="DM2" s="52"/>
      <c r="DN2" s="52"/>
      <c r="DO2" s="52"/>
      <c r="DP2" s="330"/>
      <c r="DQ2" s="52"/>
      <c r="DR2" s="52"/>
      <c r="DS2" s="52"/>
      <c r="DT2" s="52"/>
      <c r="DU2" s="52"/>
      <c r="DV2" s="52"/>
      <c r="DW2" s="52"/>
      <c r="DX2" s="52"/>
      <c r="DY2" s="52"/>
      <c r="DZ2" s="52"/>
      <c r="EA2" s="52"/>
      <c r="EB2" s="52"/>
      <c r="EC2" s="52"/>
      <c r="ED2" s="52"/>
      <c r="EE2" s="52"/>
      <c r="EF2" s="52"/>
      <c r="EG2" s="52"/>
      <c r="EH2" s="52"/>
      <c r="EI2" s="52"/>
      <c r="EJ2" s="330"/>
      <c r="EK2" s="52"/>
      <c r="EL2" s="1"/>
      <c r="EM2" s="52"/>
      <c r="EN2" s="52"/>
      <c r="EO2" s="52"/>
      <c r="EP2" s="52"/>
      <c r="EQ2" s="52"/>
      <c r="ER2" s="52"/>
      <c r="ES2" s="52"/>
      <c r="ET2" s="52"/>
      <c r="EU2" s="52"/>
      <c r="EV2" s="52"/>
      <c r="EW2" s="52"/>
      <c r="EX2" s="52"/>
      <c r="EY2" s="52"/>
      <c r="EZ2" s="52"/>
      <c r="FA2" s="52"/>
      <c r="FB2" s="52"/>
      <c r="FC2" s="52"/>
      <c r="FD2" s="695"/>
      <c r="FE2" s="1" t="s">
        <v>970</v>
      </c>
    </row>
    <row r="3" spans="1:161">
      <c r="A3" s="52">
        <v>60</v>
      </c>
      <c r="B3" s="52"/>
      <c r="C3" s="52"/>
      <c r="D3" s="52"/>
      <c r="E3" s="52"/>
      <c r="F3" s="52"/>
      <c r="G3" s="52"/>
      <c r="H3" s="52"/>
      <c r="I3" s="52"/>
      <c r="J3" s="52"/>
      <c r="K3" s="52"/>
      <c r="L3" s="52"/>
      <c r="M3" s="52"/>
      <c r="N3" s="52"/>
      <c r="O3" s="52"/>
      <c r="P3" s="52"/>
      <c r="Q3" s="52"/>
      <c r="R3" s="52"/>
      <c r="S3" s="52"/>
      <c r="T3" s="330"/>
      <c r="U3" s="52">
        <v>60</v>
      </c>
      <c r="V3" s="52"/>
      <c r="W3" s="52"/>
      <c r="X3" s="52"/>
      <c r="Y3" s="52"/>
      <c r="Z3" s="52"/>
      <c r="AA3" s="52"/>
      <c r="AB3" s="52"/>
      <c r="AC3" s="52"/>
      <c r="AD3" s="52"/>
      <c r="AE3" s="52"/>
      <c r="AF3" s="52"/>
      <c r="AG3" s="52"/>
      <c r="AH3" s="52"/>
      <c r="AI3" s="52"/>
      <c r="AJ3" s="52"/>
      <c r="AK3" s="52"/>
      <c r="AL3" s="52"/>
      <c r="AM3" s="52"/>
      <c r="AN3" s="330"/>
      <c r="AO3" s="52">
        <v>60</v>
      </c>
      <c r="AP3" s="52"/>
      <c r="AQ3" s="52"/>
      <c r="AR3" s="52"/>
      <c r="AS3" s="52"/>
      <c r="AT3" s="52"/>
      <c r="AU3" s="52"/>
      <c r="AV3" s="52"/>
      <c r="AW3" s="52"/>
      <c r="AX3" s="52"/>
      <c r="AY3" s="52"/>
      <c r="AZ3" s="52"/>
      <c r="BA3" s="52"/>
      <c r="BB3" s="52"/>
      <c r="BC3" s="52"/>
      <c r="BD3" s="52"/>
      <c r="BE3" s="52"/>
      <c r="BF3" s="52"/>
      <c r="BG3" s="52"/>
      <c r="BH3" s="330"/>
      <c r="BI3" s="52">
        <v>60</v>
      </c>
      <c r="BJ3" s="52"/>
      <c r="BK3" s="52"/>
      <c r="BL3" s="52"/>
      <c r="BM3" s="52"/>
      <c r="BN3" s="52"/>
      <c r="BO3" s="52"/>
      <c r="BP3" s="52"/>
      <c r="BQ3" s="52"/>
      <c r="BR3" s="683"/>
      <c r="BS3" s="52"/>
      <c r="BT3" s="52"/>
      <c r="BU3" s="52"/>
      <c r="BV3" s="52"/>
      <c r="BW3" s="52"/>
      <c r="BX3" s="52"/>
      <c r="BY3" s="52"/>
      <c r="BZ3" s="52"/>
      <c r="CA3" s="52"/>
      <c r="CB3" s="330"/>
      <c r="CC3" s="52">
        <v>60</v>
      </c>
      <c r="CD3" s="52"/>
      <c r="CE3" s="52"/>
      <c r="CF3" s="52"/>
      <c r="CG3" s="52"/>
      <c r="CH3" s="52"/>
      <c r="CI3" s="52"/>
      <c r="CJ3" s="52"/>
      <c r="CK3" s="52"/>
      <c r="CL3" s="52"/>
      <c r="CM3" s="52"/>
      <c r="CN3" s="684"/>
      <c r="CO3" s="682"/>
      <c r="CP3" s="473"/>
      <c r="CQ3" s="52"/>
      <c r="CR3" s="52"/>
      <c r="CS3" s="52"/>
      <c r="CT3" s="52"/>
      <c r="CU3" s="52"/>
      <c r="CV3" s="330"/>
      <c r="CW3" s="52">
        <v>60</v>
      </c>
      <c r="CX3" s="52"/>
      <c r="CY3" s="52"/>
      <c r="CZ3" s="52"/>
      <c r="DA3" s="52"/>
      <c r="DB3" s="52"/>
      <c r="DC3" s="52"/>
      <c r="DD3" s="52"/>
      <c r="DE3" s="52"/>
      <c r="DF3" s="52"/>
      <c r="DG3" s="52"/>
      <c r="DH3" s="52"/>
      <c r="DI3" s="52"/>
      <c r="DJ3" s="52"/>
      <c r="DK3" s="52"/>
      <c r="DL3" s="52"/>
      <c r="DM3" s="52"/>
      <c r="DN3" s="52"/>
      <c r="DO3" s="52"/>
      <c r="DP3" s="330"/>
      <c r="DQ3" s="52">
        <v>60</v>
      </c>
      <c r="DR3" s="52"/>
      <c r="DS3" s="52"/>
      <c r="DT3" s="52"/>
      <c r="DU3" s="52"/>
      <c r="DV3" s="52"/>
      <c r="DW3" s="52"/>
      <c r="DX3" s="52"/>
      <c r="DY3" s="52"/>
      <c r="DZ3" s="52"/>
      <c r="EA3" s="52"/>
      <c r="EB3" s="52"/>
      <c r="EC3" s="52"/>
      <c r="ED3" s="52"/>
      <c r="EE3" s="52"/>
      <c r="EF3" s="52"/>
      <c r="EG3" s="52"/>
      <c r="EH3" s="52"/>
      <c r="EI3" s="52"/>
      <c r="EJ3" s="330"/>
      <c r="EK3" s="52">
        <v>60</v>
      </c>
      <c r="EL3" s="1"/>
      <c r="EM3" s="52"/>
      <c r="EN3" s="52"/>
      <c r="EO3" s="52"/>
      <c r="EP3" s="52"/>
      <c r="EQ3" s="52"/>
      <c r="ER3" s="52"/>
      <c r="ES3" s="52"/>
      <c r="ET3" s="52"/>
      <c r="EU3" s="52"/>
      <c r="EV3" s="52"/>
      <c r="EW3" s="52"/>
      <c r="EX3" s="52"/>
      <c r="EY3" s="52"/>
      <c r="EZ3" s="52"/>
      <c r="FA3" s="52"/>
      <c r="FB3" s="52"/>
      <c r="FC3" s="52"/>
      <c r="FD3" s="695"/>
      <c r="FE3" s="1" t="s">
        <v>757</v>
      </c>
    </row>
    <row r="4" spans="1:161">
      <c r="A4" s="398"/>
      <c r="B4" s="52"/>
      <c r="C4" s="52"/>
      <c r="D4" s="52"/>
      <c r="E4" s="52"/>
      <c r="F4" s="52"/>
      <c r="G4" s="52"/>
      <c r="H4" s="52"/>
      <c r="I4" s="52"/>
      <c r="J4" s="52"/>
      <c r="K4" s="52"/>
      <c r="L4" s="52"/>
      <c r="M4" s="52"/>
      <c r="N4" s="52"/>
      <c r="O4" s="52"/>
      <c r="P4" s="52"/>
      <c r="Q4" s="52"/>
      <c r="R4" s="52"/>
      <c r="S4" s="52"/>
      <c r="T4" s="330"/>
      <c r="U4" s="398"/>
      <c r="V4" s="52"/>
      <c r="W4" s="52"/>
      <c r="X4" s="52"/>
      <c r="Y4" s="52"/>
      <c r="Z4" s="52"/>
      <c r="AA4" s="52"/>
      <c r="AB4" s="52"/>
      <c r="AC4" s="52"/>
      <c r="AD4" s="52"/>
      <c r="AE4" s="52"/>
      <c r="AF4" s="52"/>
      <c r="AG4" s="52"/>
      <c r="AH4" s="52"/>
      <c r="AI4" s="52"/>
      <c r="AJ4" s="52"/>
      <c r="AK4" s="52"/>
      <c r="AL4" s="52"/>
      <c r="AM4" s="52"/>
      <c r="AN4" s="330"/>
      <c r="AO4" s="398"/>
      <c r="AP4" s="52"/>
      <c r="AQ4" s="52"/>
      <c r="AR4" s="52"/>
      <c r="AS4" s="52"/>
      <c r="AT4" s="52"/>
      <c r="AU4" s="52"/>
      <c r="AV4" s="52"/>
      <c r="AW4" s="52"/>
      <c r="AX4" s="52"/>
      <c r="AY4" s="52"/>
      <c r="AZ4" s="52"/>
      <c r="BA4" s="52"/>
      <c r="BB4" s="52"/>
      <c r="BC4" s="52"/>
      <c r="BD4" s="52"/>
      <c r="BE4" s="52"/>
      <c r="BF4" s="52"/>
      <c r="BG4" s="52"/>
      <c r="BH4" s="330"/>
      <c r="BI4" s="398"/>
      <c r="BJ4" s="52"/>
      <c r="BK4" s="52"/>
      <c r="BL4" s="52"/>
      <c r="BM4" s="682"/>
      <c r="BN4" s="52"/>
      <c r="BO4" s="52"/>
      <c r="BP4" s="52"/>
      <c r="BQ4" s="684"/>
      <c r="BR4" s="683"/>
      <c r="BS4" s="473"/>
      <c r="BT4" s="52"/>
      <c r="BU4" s="52"/>
      <c r="BV4" s="52"/>
      <c r="BW4" s="52"/>
      <c r="BX4" s="52"/>
      <c r="BY4" s="52"/>
      <c r="BZ4" s="52"/>
      <c r="CA4" s="52"/>
      <c r="CB4" s="330"/>
      <c r="CC4" s="398"/>
      <c r="CD4" s="52"/>
      <c r="CE4" s="52"/>
      <c r="CF4" s="52"/>
      <c r="CG4" s="52"/>
      <c r="CH4" s="52"/>
      <c r="CI4" s="52"/>
      <c r="CJ4" s="52"/>
      <c r="CK4" s="52"/>
      <c r="CL4" s="52"/>
      <c r="CM4" s="52"/>
      <c r="CN4" s="682"/>
      <c r="CO4" s="684"/>
      <c r="CP4" s="682"/>
      <c r="CQ4" s="52"/>
      <c r="CR4" s="684"/>
      <c r="CS4" s="473"/>
      <c r="CT4" s="52"/>
      <c r="CU4" s="52"/>
      <c r="CV4" s="330"/>
      <c r="CW4" s="398"/>
      <c r="CX4" s="52"/>
      <c r="CY4" s="52"/>
      <c r="CZ4" s="71"/>
      <c r="DA4" s="71"/>
      <c r="DB4" s="52"/>
      <c r="DC4" s="52"/>
      <c r="DD4" s="52"/>
      <c r="DE4" s="52"/>
      <c r="DF4" s="52"/>
      <c r="DG4" s="52"/>
      <c r="DH4" s="52"/>
      <c r="DI4" s="52"/>
      <c r="DJ4" s="52"/>
      <c r="DK4" s="683"/>
      <c r="DL4" s="683"/>
      <c r="DM4" s="683"/>
      <c r="DN4" s="52"/>
      <c r="DO4" s="52"/>
      <c r="DP4" s="52"/>
      <c r="DQ4" s="398"/>
      <c r="DR4" s="52"/>
      <c r="DS4" s="52"/>
      <c r="DT4" s="52"/>
      <c r="DU4" s="52"/>
      <c r="DV4" s="52"/>
      <c r="DW4" s="52"/>
      <c r="DX4" s="52"/>
      <c r="DY4" s="52"/>
      <c r="DZ4" s="52"/>
      <c r="EA4" s="52"/>
      <c r="EB4" s="52"/>
      <c r="EC4" s="52"/>
      <c r="ED4" s="52"/>
      <c r="EE4" s="52"/>
      <c r="EF4" s="52"/>
      <c r="EG4" s="52"/>
      <c r="EH4" s="52"/>
      <c r="EI4" s="52"/>
      <c r="EJ4" s="330"/>
      <c r="EK4" s="398"/>
      <c r="EL4" s="1"/>
      <c r="EM4" s="52"/>
      <c r="EN4" s="52"/>
      <c r="EO4" s="52"/>
      <c r="EP4" s="52"/>
      <c r="EQ4" s="52"/>
      <c r="ER4" s="52"/>
      <c r="ES4" s="52"/>
      <c r="ET4" s="52"/>
      <c r="EU4" s="52"/>
      <c r="EV4" s="52"/>
      <c r="EW4" s="52"/>
      <c r="EX4" s="52"/>
      <c r="EY4" s="52"/>
      <c r="EZ4" s="52"/>
      <c r="FA4" s="52"/>
      <c r="FB4" s="52"/>
      <c r="FC4" s="52"/>
      <c r="FD4" s="695"/>
      <c r="FE4" s="1" t="s">
        <v>758</v>
      </c>
    </row>
    <row r="5" spans="1:161">
      <c r="A5" s="685"/>
      <c r="B5" s="52"/>
      <c r="C5" s="52"/>
      <c r="D5" s="52"/>
      <c r="E5" s="52"/>
      <c r="F5" s="52"/>
      <c r="G5" s="52"/>
      <c r="H5" s="52"/>
      <c r="I5" s="52"/>
      <c r="J5" s="52"/>
      <c r="K5" s="52"/>
      <c r="L5" s="52"/>
      <c r="M5" s="52"/>
      <c r="N5" s="52"/>
      <c r="O5" s="52"/>
      <c r="P5" s="52"/>
      <c r="Q5" s="52"/>
      <c r="R5" s="52"/>
      <c r="S5" s="52"/>
      <c r="T5" s="330"/>
      <c r="U5" s="685"/>
      <c r="V5" s="52"/>
      <c r="W5" s="52"/>
      <c r="X5" s="52"/>
      <c r="Y5" s="52"/>
      <c r="Z5" s="52"/>
      <c r="AA5" s="52"/>
      <c r="AB5" s="52"/>
      <c r="AC5" s="52"/>
      <c r="AD5" s="52"/>
      <c r="AE5" s="52"/>
      <c r="AF5" s="52"/>
      <c r="AG5" s="52"/>
      <c r="AH5" s="52"/>
      <c r="AI5" s="52"/>
      <c r="AJ5" s="52"/>
      <c r="AK5" s="52"/>
      <c r="AL5" s="52"/>
      <c r="AM5" s="52"/>
      <c r="AN5" s="330"/>
      <c r="AO5" s="685"/>
      <c r="AP5" s="52"/>
      <c r="AQ5" s="52"/>
      <c r="AR5" s="52"/>
      <c r="AS5" s="52"/>
      <c r="AT5" s="52"/>
      <c r="AU5" s="52"/>
      <c r="AV5" s="52"/>
      <c r="AW5" s="52"/>
      <c r="AX5" s="52"/>
      <c r="AY5" s="52"/>
      <c r="AZ5" s="52"/>
      <c r="BA5" s="52"/>
      <c r="BB5" s="52"/>
      <c r="BC5" s="52"/>
      <c r="BD5" s="52"/>
      <c r="BE5" s="52"/>
      <c r="BF5" s="52"/>
      <c r="BG5" s="52"/>
      <c r="BH5" s="330"/>
      <c r="BI5" s="685"/>
      <c r="BJ5" s="52"/>
      <c r="BK5" s="52"/>
      <c r="BL5" s="683"/>
      <c r="BM5" s="682"/>
      <c r="BN5" s="52"/>
      <c r="BO5" s="52"/>
      <c r="BP5" s="52"/>
      <c r="BQ5" s="683"/>
      <c r="BR5" s="684"/>
      <c r="BS5" s="683"/>
      <c r="BT5" s="473"/>
      <c r="BU5" s="52"/>
      <c r="BV5" s="52"/>
      <c r="BW5" s="52"/>
      <c r="BX5" s="52"/>
      <c r="BY5" s="52"/>
      <c r="BZ5" s="52"/>
      <c r="CA5" s="52"/>
      <c r="CB5" s="330"/>
      <c r="CC5" s="685"/>
      <c r="CD5" s="52"/>
      <c r="CE5" s="52"/>
      <c r="CF5" s="52"/>
      <c r="CG5" s="52"/>
      <c r="CH5" s="52"/>
      <c r="CI5" s="52"/>
      <c r="CJ5" s="52"/>
      <c r="CK5" s="52"/>
      <c r="CL5" s="52"/>
      <c r="CM5" s="52"/>
      <c r="CN5" s="684"/>
      <c r="CO5" s="684"/>
      <c r="CP5" s="473"/>
      <c r="CQ5" s="52"/>
      <c r="CR5" s="683"/>
      <c r="CS5" s="684"/>
      <c r="CT5" s="473"/>
      <c r="CU5" s="52"/>
      <c r="CV5" s="330"/>
      <c r="CW5" s="685">
        <v>10</v>
      </c>
      <c r="CX5" s="52"/>
      <c r="CY5" s="52"/>
      <c r="CZ5" s="71"/>
      <c r="DA5" s="71"/>
      <c r="DB5" s="52"/>
      <c r="DC5" s="52"/>
      <c r="DD5" s="52"/>
      <c r="DE5" s="52"/>
      <c r="DF5" s="52"/>
      <c r="DG5" s="52"/>
      <c r="DH5" s="52"/>
      <c r="DI5" s="52"/>
      <c r="DJ5" s="684"/>
      <c r="DK5" s="684"/>
      <c r="DL5" s="683"/>
      <c r="DM5" s="683"/>
      <c r="DN5" s="52"/>
      <c r="DO5" s="52"/>
      <c r="DP5" s="52"/>
      <c r="DQ5" s="685"/>
      <c r="DR5" s="52"/>
      <c r="DS5" s="52"/>
      <c r="DT5" s="52"/>
      <c r="DU5" s="52"/>
      <c r="DV5" s="52"/>
      <c r="DW5" s="52"/>
      <c r="DX5" s="52"/>
      <c r="DY5" s="52"/>
      <c r="DZ5" s="52"/>
      <c r="EA5" s="52"/>
      <c r="EB5" s="52"/>
      <c r="EC5" s="52"/>
      <c r="ED5" s="52"/>
      <c r="EE5" s="52"/>
      <c r="EF5" s="52"/>
      <c r="EG5" s="52"/>
      <c r="EH5" s="52"/>
      <c r="EI5" s="52"/>
      <c r="EJ5" s="330"/>
      <c r="EK5" s="685"/>
      <c r="EL5" s="1"/>
      <c r="EM5" s="52"/>
      <c r="EN5" s="52"/>
      <c r="EO5" s="52"/>
      <c r="EP5" s="52"/>
      <c r="EQ5" s="52"/>
      <c r="ER5" s="52"/>
      <c r="ES5" s="52"/>
      <c r="ET5" s="52"/>
      <c r="EU5" s="52"/>
      <c r="EV5" s="52"/>
      <c r="EW5" s="52"/>
      <c r="EX5" s="52"/>
      <c r="EY5" s="52"/>
      <c r="EZ5" s="52"/>
      <c r="FA5" s="52"/>
      <c r="FB5" s="52"/>
      <c r="FC5" s="52"/>
      <c r="FD5" s="695"/>
      <c r="FE5" s="1" t="s">
        <v>759</v>
      </c>
    </row>
    <row r="6" spans="1:161">
      <c r="A6" s="398"/>
      <c r="B6" s="52"/>
      <c r="C6" s="52"/>
      <c r="D6" s="52"/>
      <c r="E6" s="52"/>
      <c r="F6" s="52"/>
      <c r="G6" s="52"/>
      <c r="H6" s="52"/>
      <c r="I6" s="52"/>
      <c r="J6" s="52"/>
      <c r="K6" s="52"/>
      <c r="L6" s="52"/>
      <c r="M6" s="52"/>
      <c r="N6" s="52"/>
      <c r="O6" s="52"/>
      <c r="P6" s="52"/>
      <c r="Q6" s="52"/>
      <c r="R6" s="52"/>
      <c r="S6" s="52"/>
      <c r="T6" s="330"/>
      <c r="U6" s="398"/>
      <c r="V6" s="52"/>
      <c r="W6" s="52"/>
      <c r="X6" s="52"/>
      <c r="Y6" s="52"/>
      <c r="Z6" s="52"/>
      <c r="AA6" s="52"/>
      <c r="AB6" s="52"/>
      <c r="AC6" s="52"/>
      <c r="AD6" s="52"/>
      <c r="AE6" s="52"/>
      <c r="AF6" s="52"/>
      <c r="AG6" s="52"/>
      <c r="AH6" s="52"/>
      <c r="AI6" s="52"/>
      <c r="AJ6" s="52"/>
      <c r="AK6" s="71"/>
      <c r="AL6" s="52"/>
      <c r="AM6" s="52"/>
      <c r="AN6" s="330"/>
      <c r="AO6" s="398"/>
      <c r="AP6" s="52"/>
      <c r="AQ6" s="52"/>
      <c r="AR6" s="52"/>
      <c r="AS6" s="52"/>
      <c r="AT6" s="52"/>
      <c r="AU6" s="52"/>
      <c r="AV6" s="52"/>
      <c r="AW6" s="52"/>
      <c r="AX6" s="52"/>
      <c r="AY6" s="52"/>
      <c r="AZ6" s="52"/>
      <c r="BA6" s="52"/>
      <c r="BB6" s="52"/>
      <c r="BC6" s="52"/>
      <c r="BD6" s="52"/>
      <c r="BE6" s="52"/>
      <c r="BF6" s="52"/>
      <c r="BG6" s="52"/>
      <c r="BH6" s="330"/>
      <c r="BI6" s="398"/>
      <c r="BJ6" s="52"/>
      <c r="BK6" s="52"/>
      <c r="BL6" s="684"/>
      <c r="BM6" s="682"/>
      <c r="BN6" s="52"/>
      <c r="BO6" s="52"/>
      <c r="BP6" s="52"/>
      <c r="BQ6" s="52"/>
      <c r="BR6" s="683"/>
      <c r="BS6" s="684"/>
      <c r="BT6" s="473"/>
      <c r="BU6" s="471"/>
      <c r="BV6" s="52"/>
      <c r="BW6" s="52"/>
      <c r="BX6" s="52"/>
      <c r="BY6" s="52"/>
      <c r="BZ6" s="52"/>
      <c r="CA6" s="52"/>
      <c r="CB6" s="330"/>
      <c r="CC6" s="398"/>
      <c r="CD6" s="52"/>
      <c r="CE6" s="52"/>
      <c r="CF6" s="52"/>
      <c r="CG6" s="52"/>
      <c r="CH6" s="52"/>
      <c r="CI6" s="52"/>
      <c r="CJ6" s="52"/>
      <c r="CK6" s="52"/>
      <c r="CL6" s="52"/>
      <c r="CM6" s="52"/>
      <c r="CN6" s="684"/>
      <c r="CO6" s="684"/>
      <c r="CP6" s="473"/>
      <c r="CQ6" s="52"/>
      <c r="CR6" s="683"/>
      <c r="CS6" s="684"/>
      <c r="CT6" s="473"/>
      <c r="CU6" s="52"/>
      <c r="CV6" s="330"/>
      <c r="CW6" s="398">
        <v>17</v>
      </c>
      <c r="CX6" s="52"/>
      <c r="CY6" s="52"/>
      <c r="CZ6" s="71"/>
      <c r="DA6" s="71"/>
      <c r="DB6" s="52"/>
      <c r="DC6" s="52"/>
      <c r="DD6" s="52"/>
      <c r="DE6" s="52"/>
      <c r="DF6" s="52"/>
      <c r="DG6" s="52"/>
      <c r="DH6" s="52"/>
      <c r="DI6" s="52"/>
      <c r="DJ6" s="683"/>
      <c r="DK6" s="683"/>
      <c r="DL6" s="473"/>
      <c r="DM6" s="52"/>
      <c r="DN6" s="52"/>
      <c r="DO6" s="52"/>
      <c r="DP6" s="52"/>
      <c r="DQ6" s="398"/>
      <c r="DR6" s="52"/>
      <c r="DS6" s="52"/>
      <c r="DT6" s="52"/>
      <c r="DU6" s="52"/>
      <c r="DV6" s="52"/>
      <c r="DW6" s="52"/>
      <c r="DX6" s="52"/>
      <c r="DY6" s="52"/>
      <c r="DZ6" s="52"/>
      <c r="EA6" s="52"/>
      <c r="EB6" s="52"/>
      <c r="EC6" s="52"/>
      <c r="ED6" s="52"/>
      <c r="EE6" s="52"/>
      <c r="EF6" s="52"/>
      <c r="EG6" s="52"/>
      <c r="EH6" s="52"/>
      <c r="EI6" s="52"/>
      <c r="EJ6" s="330"/>
      <c r="EK6" s="398"/>
      <c r="EL6" s="1"/>
      <c r="EM6" s="52"/>
      <c r="EN6" s="52"/>
      <c r="EO6" s="52"/>
      <c r="EP6" s="52"/>
      <c r="EQ6" s="52"/>
      <c r="ER6" s="52"/>
      <c r="ES6" s="52"/>
      <c r="ET6" s="52"/>
      <c r="EU6" s="52"/>
      <c r="EV6" s="52"/>
      <c r="EW6" s="52"/>
      <c r="EX6" s="52"/>
      <c r="EY6" s="52"/>
      <c r="EZ6" s="52"/>
      <c r="FA6" s="52"/>
      <c r="FB6" s="52"/>
      <c r="FC6" s="52"/>
      <c r="FD6" s="695"/>
      <c r="FE6" s="1" t="s">
        <v>760</v>
      </c>
    </row>
    <row r="7" spans="1:161">
      <c r="A7" s="398"/>
      <c r="B7" s="52"/>
      <c r="C7" s="52"/>
      <c r="D7" s="52"/>
      <c r="E7" s="52"/>
      <c r="F7" s="52"/>
      <c r="G7" s="52"/>
      <c r="H7" s="52"/>
      <c r="I7" s="52"/>
      <c r="J7" s="52"/>
      <c r="K7" s="52"/>
      <c r="L7" s="52"/>
      <c r="M7" s="52"/>
      <c r="N7" s="52"/>
      <c r="O7" s="52"/>
      <c r="P7" s="52"/>
      <c r="Q7" s="52"/>
      <c r="R7" s="52"/>
      <c r="S7" s="52"/>
      <c r="T7" s="330"/>
      <c r="U7" s="398"/>
      <c r="V7" s="52"/>
      <c r="W7" s="52"/>
      <c r="X7" s="52"/>
      <c r="Y7" s="52"/>
      <c r="Z7" s="52"/>
      <c r="AA7" s="52"/>
      <c r="AB7" s="52"/>
      <c r="AC7" s="52"/>
      <c r="AD7" s="52"/>
      <c r="AE7" s="52"/>
      <c r="AF7" s="52"/>
      <c r="AG7" s="52"/>
      <c r="AH7" s="52"/>
      <c r="AI7" s="52"/>
      <c r="AJ7" s="52"/>
      <c r="AK7" s="52"/>
      <c r="AL7" s="52"/>
      <c r="AM7" s="52"/>
      <c r="AN7" s="330"/>
      <c r="AO7" s="398"/>
      <c r="AP7" s="52"/>
      <c r="AQ7" s="52"/>
      <c r="AR7" s="52"/>
      <c r="AS7" s="52"/>
      <c r="AT7" s="52"/>
      <c r="AU7" s="52"/>
      <c r="AV7" s="52"/>
      <c r="AW7" s="52"/>
      <c r="AX7" s="52"/>
      <c r="AY7" s="52"/>
      <c r="AZ7" s="52"/>
      <c r="BA7" s="52"/>
      <c r="BB7" s="52"/>
      <c r="BC7" s="52"/>
      <c r="BD7" s="52"/>
      <c r="BE7" s="52"/>
      <c r="BF7" s="52"/>
      <c r="BG7" s="52"/>
      <c r="BH7" s="330"/>
      <c r="BI7" s="398"/>
      <c r="BJ7" s="52"/>
      <c r="BK7" s="52"/>
      <c r="BL7" s="684"/>
      <c r="BM7" s="682"/>
      <c r="BN7" s="473"/>
      <c r="BO7" s="473"/>
      <c r="BP7" s="52"/>
      <c r="BQ7" s="682"/>
      <c r="BR7" s="683"/>
      <c r="BS7" s="473"/>
      <c r="BT7" s="473"/>
      <c r="BU7" s="473"/>
      <c r="BV7" s="52"/>
      <c r="BW7" s="52"/>
      <c r="BX7" s="52"/>
      <c r="BY7" s="52"/>
      <c r="BZ7" s="52"/>
      <c r="CA7" s="52"/>
      <c r="CB7" s="330"/>
      <c r="CC7" s="398"/>
      <c r="CD7" s="52"/>
      <c r="CE7" s="71"/>
      <c r="CF7" s="71"/>
      <c r="CG7" s="52"/>
      <c r="CH7" s="52"/>
      <c r="CI7" s="52"/>
      <c r="CJ7" s="52"/>
      <c r="CK7" s="52"/>
      <c r="CL7" s="52"/>
      <c r="CM7" s="52"/>
      <c r="CN7" s="683"/>
      <c r="CO7" s="683"/>
      <c r="CP7" s="473"/>
      <c r="CQ7" s="471"/>
      <c r="CR7" s="682"/>
      <c r="CS7" s="683"/>
      <c r="CT7" s="473"/>
      <c r="CU7" s="52"/>
      <c r="CV7" s="330"/>
      <c r="CW7" s="398">
        <v>40</v>
      </c>
      <c r="CX7" s="52"/>
      <c r="CY7" s="52"/>
      <c r="CZ7" s="52"/>
      <c r="DA7" s="52"/>
      <c r="DB7" s="52"/>
      <c r="DC7" s="52"/>
      <c r="DD7" s="52"/>
      <c r="DE7" s="52"/>
      <c r="DF7" s="52"/>
      <c r="DG7" s="52"/>
      <c r="DH7" s="52"/>
      <c r="DI7" s="52"/>
      <c r="DJ7" s="684"/>
      <c r="DK7" s="683"/>
      <c r="DL7" s="473"/>
      <c r="DM7" s="52"/>
      <c r="DN7" s="52"/>
      <c r="DO7" s="683"/>
      <c r="DP7" s="52"/>
      <c r="DQ7" s="398"/>
      <c r="DR7" s="52"/>
      <c r="DS7" s="52"/>
      <c r="DT7" s="52"/>
      <c r="DU7" s="52"/>
      <c r="DV7" s="52"/>
      <c r="DW7" s="52"/>
      <c r="DX7" s="52"/>
      <c r="DY7" s="52"/>
      <c r="DZ7" s="52"/>
      <c r="EA7" s="52"/>
      <c r="EB7" s="52"/>
      <c r="EC7" s="52"/>
      <c r="ED7" s="52"/>
      <c r="EE7" s="52"/>
      <c r="EF7" s="52"/>
      <c r="EG7" s="71"/>
      <c r="EH7" s="52"/>
      <c r="EI7" s="52"/>
      <c r="EJ7" s="330"/>
      <c r="EK7" s="398"/>
      <c r="EL7" s="1"/>
      <c r="EM7" s="52"/>
      <c r="EN7" s="52"/>
      <c r="EO7" s="52"/>
      <c r="EP7" s="52"/>
      <c r="EQ7" s="52"/>
      <c r="ER7" s="52"/>
      <c r="ES7" s="52"/>
      <c r="ET7" s="52"/>
      <c r="EU7" s="52"/>
      <c r="EV7" s="52"/>
      <c r="EW7" s="52"/>
      <c r="EX7" s="52"/>
      <c r="EY7" s="52"/>
      <c r="EZ7" s="52"/>
      <c r="FA7" s="52"/>
      <c r="FB7" s="52"/>
      <c r="FC7" s="52"/>
      <c r="FD7" s="695"/>
      <c r="FE7" s="1" t="s">
        <v>620</v>
      </c>
    </row>
    <row r="8" spans="1:161">
      <c r="A8" s="685"/>
      <c r="B8" s="52"/>
      <c r="C8" s="52"/>
      <c r="D8" s="52"/>
      <c r="E8" s="52"/>
      <c r="F8" s="52"/>
      <c r="G8" s="52"/>
      <c r="H8" s="52"/>
      <c r="I8" s="52"/>
      <c r="J8" s="52"/>
      <c r="K8" s="52"/>
      <c r="L8" s="52"/>
      <c r="M8" s="52"/>
      <c r="N8" s="52"/>
      <c r="O8" s="52"/>
      <c r="P8" s="52"/>
      <c r="Q8" s="71"/>
      <c r="R8" s="52"/>
      <c r="S8" s="52"/>
      <c r="T8" s="330"/>
      <c r="U8" s="685"/>
      <c r="V8" s="52"/>
      <c r="W8" s="52"/>
      <c r="X8" s="52"/>
      <c r="Y8" s="52"/>
      <c r="Z8" s="52"/>
      <c r="AA8" s="52"/>
      <c r="AB8" s="52"/>
      <c r="AC8" s="52"/>
      <c r="AD8" s="52"/>
      <c r="AE8" s="52"/>
      <c r="AF8" s="52"/>
      <c r="AG8" s="52"/>
      <c r="AH8" s="52"/>
      <c r="AI8" s="52"/>
      <c r="AJ8" s="52"/>
      <c r="AK8" s="71"/>
      <c r="AL8" s="52"/>
      <c r="AM8" s="52"/>
      <c r="AN8" s="330"/>
      <c r="AO8" s="685"/>
      <c r="AP8" s="52"/>
      <c r="AQ8" s="52"/>
      <c r="AR8" s="52"/>
      <c r="AS8" s="52"/>
      <c r="AT8" s="52"/>
      <c r="AU8" s="52"/>
      <c r="AV8" s="52"/>
      <c r="AW8" s="52"/>
      <c r="AX8" s="52"/>
      <c r="AY8" s="52"/>
      <c r="AZ8" s="52"/>
      <c r="BA8" s="52"/>
      <c r="BB8" s="52"/>
      <c r="BC8" s="52"/>
      <c r="BD8" s="52"/>
      <c r="BE8" s="52"/>
      <c r="BF8" s="52"/>
      <c r="BG8" s="52"/>
      <c r="BH8" s="330"/>
      <c r="BI8" s="685"/>
      <c r="BJ8" s="52"/>
      <c r="BK8" s="52"/>
      <c r="BL8" s="683"/>
      <c r="BM8" s="683"/>
      <c r="BN8" s="471"/>
      <c r="BO8" s="473"/>
      <c r="BP8" s="682"/>
      <c r="BQ8" s="473"/>
      <c r="BR8" s="473"/>
      <c r="BS8" s="473"/>
      <c r="BT8" s="473"/>
      <c r="BU8" s="471"/>
      <c r="BV8" s="52"/>
      <c r="BW8" s="52"/>
      <c r="BX8" s="52"/>
      <c r="BY8" s="52"/>
      <c r="BZ8" s="52"/>
      <c r="CA8" s="52"/>
      <c r="CB8" s="330"/>
      <c r="CC8" s="685"/>
      <c r="CD8" s="52"/>
      <c r="CE8" s="71"/>
      <c r="CF8" s="71"/>
      <c r="CG8" s="52"/>
      <c r="CH8" s="52"/>
      <c r="CI8" s="52"/>
      <c r="CJ8" s="52"/>
      <c r="CK8" s="52"/>
      <c r="CL8" s="52"/>
      <c r="CM8" s="52"/>
      <c r="CN8" s="682"/>
      <c r="CO8" s="682"/>
      <c r="CP8" s="473"/>
      <c r="CQ8" s="473"/>
      <c r="CR8" s="471"/>
      <c r="CS8" s="471"/>
      <c r="CT8" s="473"/>
      <c r="CU8" s="52"/>
      <c r="CV8" s="330"/>
      <c r="CW8" s="685">
        <v>16</v>
      </c>
      <c r="CX8" s="52"/>
      <c r="CY8" s="52"/>
      <c r="CZ8" s="52"/>
      <c r="DA8" s="52"/>
      <c r="DB8" s="52"/>
      <c r="DC8" s="52"/>
      <c r="DD8" s="52"/>
      <c r="DE8" s="52"/>
      <c r="DF8" s="52"/>
      <c r="DG8" s="52"/>
      <c r="DH8" s="52"/>
      <c r="DI8" s="52"/>
      <c r="DJ8" s="684"/>
      <c r="DK8" s="683"/>
      <c r="DL8" s="683"/>
      <c r="DM8" s="52"/>
      <c r="DN8" s="683"/>
      <c r="DO8" s="684"/>
      <c r="DP8" s="473"/>
      <c r="DQ8" s="685"/>
      <c r="DR8" s="52"/>
      <c r="DS8" s="52"/>
      <c r="DT8" s="52"/>
      <c r="DU8" s="52"/>
      <c r="DV8" s="52" t="s">
        <v>674</v>
      </c>
      <c r="DW8" s="52"/>
      <c r="DX8" s="52"/>
      <c r="DY8" s="682"/>
      <c r="DZ8" s="473"/>
      <c r="EA8" s="52"/>
      <c r="EB8" s="52"/>
      <c r="EC8" s="52"/>
      <c r="ED8" s="52"/>
      <c r="EE8" s="52"/>
      <c r="EF8" s="52"/>
      <c r="EG8" s="71"/>
      <c r="EH8" s="52"/>
      <c r="EI8" s="52"/>
      <c r="EJ8" s="330"/>
      <c r="EK8" s="685"/>
      <c r="EL8" s="1"/>
      <c r="EM8" s="52"/>
      <c r="EN8" s="52"/>
      <c r="EO8" s="52"/>
      <c r="EP8" s="52"/>
      <c r="EQ8" s="52"/>
      <c r="ER8" s="52"/>
      <c r="ES8" s="52"/>
      <c r="ET8" s="52"/>
      <c r="EU8" s="52"/>
      <c r="EV8" s="52"/>
      <c r="EW8" s="52"/>
      <c r="EX8" s="52"/>
      <c r="EY8" s="52"/>
      <c r="EZ8" s="52"/>
      <c r="FA8" s="52"/>
      <c r="FB8" s="52"/>
      <c r="FC8" s="71"/>
      <c r="FD8" s="695"/>
      <c r="FE8" s="1" t="s">
        <v>761</v>
      </c>
    </row>
    <row r="9" spans="1:161">
      <c r="A9" s="398"/>
      <c r="B9" s="52"/>
      <c r="C9" s="52"/>
      <c r="D9" s="52"/>
      <c r="E9" s="52"/>
      <c r="F9" s="52"/>
      <c r="G9" s="52"/>
      <c r="H9" s="52"/>
      <c r="I9" s="52"/>
      <c r="J9" s="52"/>
      <c r="K9" s="52"/>
      <c r="L9" s="52"/>
      <c r="M9" s="52"/>
      <c r="N9" s="52"/>
      <c r="O9" s="52"/>
      <c r="P9" s="52"/>
      <c r="Q9" s="71"/>
      <c r="R9" s="52"/>
      <c r="S9" s="52"/>
      <c r="T9" s="330"/>
      <c r="U9" s="685"/>
      <c r="V9" s="52"/>
      <c r="W9" s="52"/>
      <c r="X9" s="52"/>
      <c r="Y9" s="52"/>
      <c r="Z9" s="52"/>
      <c r="AA9" s="52"/>
      <c r="AB9" s="52"/>
      <c r="AC9" s="52"/>
      <c r="AD9" s="52"/>
      <c r="AE9" s="52"/>
      <c r="AF9" s="52"/>
      <c r="AG9" s="52"/>
      <c r="AH9" s="52"/>
      <c r="AI9" s="52"/>
      <c r="AJ9" s="52"/>
      <c r="AK9" s="71"/>
      <c r="AL9" s="52"/>
      <c r="AM9" s="52"/>
      <c r="AN9" s="330"/>
      <c r="AO9" s="685"/>
      <c r="AP9" s="71"/>
      <c r="AQ9" s="52"/>
      <c r="AR9" s="52"/>
      <c r="AS9" s="52"/>
      <c r="AT9" s="52"/>
      <c r="AU9" s="52"/>
      <c r="AV9" s="52"/>
      <c r="AW9" s="52"/>
      <c r="AX9" s="52"/>
      <c r="AY9" s="52"/>
      <c r="AZ9" s="52"/>
      <c r="BA9" s="52"/>
      <c r="BB9" s="52"/>
      <c r="BC9" s="52"/>
      <c r="BD9" s="52"/>
      <c r="BE9" s="52"/>
      <c r="BF9" s="52"/>
      <c r="BG9" s="52"/>
      <c r="BH9" s="330"/>
      <c r="BI9" s="398"/>
      <c r="BJ9" s="52"/>
      <c r="BK9" s="52"/>
      <c r="BL9" s="52"/>
      <c r="BM9" s="683"/>
      <c r="BN9" s="473"/>
      <c r="BO9" s="473"/>
      <c r="BP9" s="473"/>
      <c r="BQ9" s="473"/>
      <c r="BR9" s="473"/>
      <c r="BS9" s="682"/>
      <c r="BT9" s="471"/>
      <c r="BU9" s="52"/>
      <c r="BV9" s="52"/>
      <c r="BW9" s="52"/>
      <c r="BX9" s="52"/>
      <c r="BY9" s="52"/>
      <c r="BZ9" s="52"/>
      <c r="CA9" s="52"/>
      <c r="CB9" s="330"/>
      <c r="CC9" s="685"/>
      <c r="CD9" s="52"/>
      <c r="CE9" s="71"/>
      <c r="CF9" s="71"/>
      <c r="CG9" s="52"/>
      <c r="CH9" s="52"/>
      <c r="CI9" s="52"/>
      <c r="CJ9" s="52"/>
      <c r="CK9" s="52"/>
      <c r="CL9" s="52"/>
      <c r="CM9" s="52"/>
      <c r="CN9" s="52"/>
      <c r="CO9" s="682"/>
      <c r="CP9" s="473"/>
      <c r="CQ9" s="473"/>
      <c r="CR9" s="682"/>
      <c r="CS9" s="473"/>
      <c r="CT9" s="471"/>
      <c r="CU9" s="52"/>
      <c r="CV9" s="330"/>
      <c r="CW9" s="52">
        <v>171</v>
      </c>
      <c r="CX9" s="52"/>
      <c r="CY9" s="52"/>
      <c r="CZ9" s="52"/>
      <c r="DA9" s="52"/>
      <c r="DB9" s="52"/>
      <c r="DC9" s="52"/>
      <c r="DD9" s="52"/>
      <c r="DE9" s="52"/>
      <c r="DF9" s="52"/>
      <c r="DG9" s="52"/>
      <c r="DH9" s="52"/>
      <c r="DI9" s="52"/>
      <c r="DJ9" s="682"/>
      <c r="DK9" s="683"/>
      <c r="DL9" s="471"/>
      <c r="DM9" s="471"/>
      <c r="DN9" s="683"/>
      <c r="DO9" s="684"/>
      <c r="DP9" s="473"/>
      <c r="DQ9" s="398"/>
      <c r="DR9" s="52"/>
      <c r="DS9" s="52"/>
      <c r="DT9" s="52"/>
      <c r="DU9" s="52"/>
      <c r="DV9" s="52"/>
      <c r="DW9" s="52"/>
      <c r="DX9" s="52"/>
      <c r="DY9" s="682"/>
      <c r="DZ9" s="473"/>
      <c r="EA9" s="52"/>
      <c r="EB9" s="52"/>
      <c r="EC9" s="52"/>
      <c r="ED9" s="473"/>
      <c r="EE9" s="52"/>
      <c r="EF9" s="52"/>
      <c r="EG9" s="71"/>
      <c r="EH9" s="52"/>
      <c r="EI9" s="52"/>
      <c r="EJ9" s="330"/>
      <c r="EK9" s="685"/>
      <c r="EL9" s="52"/>
      <c r="EM9" s="52"/>
      <c r="EN9" s="52"/>
      <c r="EO9" s="52"/>
      <c r="EP9" s="52"/>
      <c r="EQ9" s="52"/>
      <c r="ER9" s="52"/>
      <c r="ES9" s="52"/>
      <c r="ET9" s="52"/>
      <c r="EU9" s="52"/>
      <c r="EV9" s="52"/>
      <c r="EW9" s="52"/>
      <c r="EX9" s="52"/>
      <c r="EY9" s="52"/>
      <c r="EZ9" s="52"/>
      <c r="FA9" s="52"/>
      <c r="FB9" s="52"/>
      <c r="FC9" s="71"/>
      <c r="FD9" s="695"/>
      <c r="FE9" s="71" t="s">
        <v>781</v>
      </c>
    </row>
    <row r="10" spans="1:161">
      <c r="A10" s="398"/>
      <c r="B10" s="52"/>
      <c r="C10" s="52"/>
      <c r="D10" s="52"/>
      <c r="E10" s="52"/>
      <c r="F10" s="52"/>
      <c r="G10" s="52"/>
      <c r="H10" s="52"/>
      <c r="I10" s="52"/>
      <c r="J10" s="52"/>
      <c r="K10" s="52"/>
      <c r="L10" s="52"/>
      <c r="M10" s="52"/>
      <c r="N10" s="52"/>
      <c r="O10" s="52"/>
      <c r="P10" s="52"/>
      <c r="Q10" s="71"/>
      <c r="R10" s="52"/>
      <c r="S10" s="52"/>
      <c r="T10" s="330"/>
      <c r="U10" s="685"/>
      <c r="V10" s="52"/>
      <c r="W10" s="52"/>
      <c r="X10" s="52"/>
      <c r="Y10" s="52"/>
      <c r="Z10" s="52"/>
      <c r="AA10" s="52"/>
      <c r="AB10" s="52"/>
      <c r="AC10" s="52"/>
      <c r="AD10" s="52"/>
      <c r="AE10" s="52"/>
      <c r="AF10" s="52"/>
      <c r="AG10" s="52"/>
      <c r="AH10" s="52"/>
      <c r="AI10" s="52"/>
      <c r="AJ10" s="52"/>
      <c r="AK10" s="71"/>
      <c r="AL10" s="52"/>
      <c r="AM10" s="52"/>
      <c r="AN10" s="330"/>
      <c r="AO10" s="685"/>
      <c r="AP10" s="71"/>
      <c r="AQ10" s="52"/>
      <c r="AR10" s="52"/>
      <c r="AS10" s="473"/>
      <c r="AT10" s="473"/>
      <c r="AU10" s="682"/>
      <c r="AV10" s="52"/>
      <c r="AW10" s="52"/>
      <c r="AX10" s="52"/>
      <c r="AY10" s="52"/>
      <c r="AZ10" s="52"/>
      <c r="BA10" s="52"/>
      <c r="BB10" s="52"/>
      <c r="BC10" s="52"/>
      <c r="BD10" s="52"/>
      <c r="BE10" s="52"/>
      <c r="BF10" s="52"/>
      <c r="BG10" s="52"/>
      <c r="BH10" s="330"/>
      <c r="BI10" s="398"/>
      <c r="BJ10" s="52"/>
      <c r="BK10" s="52"/>
      <c r="BL10" s="52"/>
      <c r="BM10" s="682"/>
      <c r="BN10" s="473"/>
      <c r="BO10" s="473"/>
      <c r="BP10" s="471"/>
      <c r="BQ10" s="683"/>
      <c r="BR10" s="473"/>
      <c r="BS10" s="682"/>
      <c r="BT10" s="52"/>
      <c r="BU10" s="52"/>
      <c r="BV10" s="52"/>
      <c r="BW10" s="52"/>
      <c r="BX10" s="52"/>
      <c r="BY10" s="52"/>
      <c r="BZ10" s="52"/>
      <c r="CA10" s="52"/>
      <c r="CB10" s="330"/>
      <c r="CC10" s="685"/>
      <c r="CD10" s="52"/>
      <c r="CE10" s="71"/>
      <c r="CF10" s="71"/>
      <c r="CG10" s="52"/>
      <c r="CH10" s="52"/>
      <c r="CI10" s="52"/>
      <c r="CJ10" s="52"/>
      <c r="CK10" s="52"/>
      <c r="CL10" s="52"/>
      <c r="CM10" s="52"/>
      <c r="CN10" s="52"/>
      <c r="CO10" s="52"/>
      <c r="CP10" s="682"/>
      <c r="CQ10" s="682"/>
      <c r="CR10" s="473"/>
      <c r="CS10" s="473"/>
      <c r="CT10" s="52"/>
      <c r="CU10" s="52"/>
      <c r="CV10" s="330"/>
      <c r="CW10" s="398">
        <v>172</v>
      </c>
      <c r="CX10" s="52"/>
      <c r="CY10" s="52"/>
      <c r="CZ10" s="52"/>
      <c r="DA10" s="52"/>
      <c r="DB10" s="52"/>
      <c r="DC10" s="52"/>
      <c r="DD10" s="52"/>
      <c r="DE10" s="52"/>
      <c r="DF10" s="52"/>
      <c r="DG10" s="52"/>
      <c r="DH10" s="52"/>
      <c r="DI10" s="52"/>
      <c r="DJ10" s="473"/>
      <c r="DK10" s="682"/>
      <c r="DL10" s="473"/>
      <c r="DM10" s="471"/>
      <c r="DN10" s="683"/>
      <c r="DO10" s="684"/>
      <c r="DP10" s="473"/>
      <c r="DQ10" s="685"/>
      <c r="DR10" s="52"/>
      <c r="DS10" s="52"/>
      <c r="DT10" s="52"/>
      <c r="DU10" s="52"/>
      <c r="DV10" s="52"/>
      <c r="DW10" s="52"/>
      <c r="DX10" s="682"/>
      <c r="DY10" s="682"/>
      <c r="DZ10" s="682"/>
      <c r="EA10" s="52"/>
      <c r="EB10" s="52"/>
      <c r="EC10" s="52"/>
      <c r="ED10" s="473"/>
      <c r="EE10" s="473"/>
      <c r="EF10" s="52"/>
      <c r="EG10" s="71"/>
      <c r="EH10" s="52"/>
      <c r="EI10" s="52"/>
      <c r="EJ10" s="330"/>
      <c r="EK10" s="685"/>
      <c r="EL10" s="52"/>
      <c r="EM10" s="52"/>
      <c r="EN10" s="52"/>
      <c r="EO10" s="52"/>
      <c r="EP10" s="52"/>
      <c r="EQ10" s="52"/>
      <c r="ER10" s="52"/>
      <c r="ES10" s="52"/>
      <c r="ET10" s="52"/>
      <c r="EU10" s="52"/>
      <c r="EV10" s="52"/>
      <c r="EW10" s="52"/>
      <c r="EX10" s="52"/>
      <c r="EY10" s="52"/>
      <c r="EZ10" s="52"/>
      <c r="FA10" s="52"/>
      <c r="FB10" s="52"/>
      <c r="FC10" s="71"/>
      <c r="FD10" s="695"/>
      <c r="FE10" s="71" t="s">
        <v>962</v>
      </c>
    </row>
    <row r="11" spans="1:161">
      <c r="A11" s="398"/>
      <c r="B11" s="52"/>
      <c r="C11" s="52"/>
      <c r="D11" s="52"/>
      <c r="E11" s="52"/>
      <c r="F11" s="52"/>
      <c r="G11" s="52"/>
      <c r="H11" s="52"/>
      <c r="I11" s="52"/>
      <c r="J11" s="52"/>
      <c r="K11" s="52"/>
      <c r="L11" s="52"/>
      <c r="M11" s="52"/>
      <c r="N11" s="52"/>
      <c r="O11" s="52"/>
      <c r="P11" s="52"/>
      <c r="Q11" s="71"/>
      <c r="R11" s="52"/>
      <c r="S11" s="52"/>
      <c r="T11" s="330"/>
      <c r="U11" s="685"/>
      <c r="V11" s="52"/>
      <c r="W11" s="52"/>
      <c r="X11" s="52"/>
      <c r="Y11" s="52"/>
      <c r="Z11" s="52"/>
      <c r="AA11" s="52"/>
      <c r="AB11" s="52"/>
      <c r="AC11" s="52"/>
      <c r="AD11" s="52"/>
      <c r="AE11" s="52"/>
      <c r="AF11" s="52"/>
      <c r="AG11" s="52"/>
      <c r="AH11" s="52"/>
      <c r="AI11" s="52"/>
      <c r="AJ11" s="52"/>
      <c r="AK11" s="71"/>
      <c r="AL11" s="52"/>
      <c r="AM11" s="52"/>
      <c r="AN11" s="330"/>
      <c r="AO11" s="685"/>
      <c r="AP11" s="71"/>
      <c r="AQ11" s="52"/>
      <c r="AR11" s="52"/>
      <c r="AS11" s="52"/>
      <c r="AT11" s="683"/>
      <c r="AU11" s="473"/>
      <c r="AV11" s="473"/>
      <c r="AW11" s="52"/>
      <c r="AX11" s="52"/>
      <c r="AY11" s="52"/>
      <c r="AZ11" s="52"/>
      <c r="BA11" s="52"/>
      <c r="BB11" s="52"/>
      <c r="BC11" s="52"/>
      <c r="BD11" s="52"/>
      <c r="BE11" s="52"/>
      <c r="BF11" s="52"/>
      <c r="BG11" s="52"/>
      <c r="BH11" s="330"/>
      <c r="BI11" s="398"/>
      <c r="BJ11" s="52"/>
      <c r="BK11" s="52"/>
      <c r="BL11" s="52"/>
      <c r="BM11" s="52"/>
      <c r="BN11" s="52"/>
      <c r="BO11" s="52"/>
      <c r="BP11" s="682"/>
      <c r="BQ11" s="682"/>
      <c r="BR11" s="682"/>
      <c r="BS11" s="683"/>
      <c r="BT11" s="473"/>
      <c r="BU11" s="52"/>
      <c r="BV11" s="52"/>
      <c r="BW11" s="52"/>
      <c r="BX11" s="52"/>
      <c r="BY11" s="52"/>
      <c r="BZ11" s="52"/>
      <c r="CA11" s="52"/>
      <c r="CB11" s="330"/>
      <c r="CC11" s="685"/>
      <c r="CD11" s="52"/>
      <c r="CE11" s="71"/>
      <c r="CF11" s="71"/>
      <c r="CG11" s="52"/>
      <c r="CH11" s="52"/>
      <c r="CI11" s="52"/>
      <c r="CJ11" s="52"/>
      <c r="CK11" s="52"/>
      <c r="CL11" s="52"/>
      <c r="CM11" s="52"/>
      <c r="CN11" s="52"/>
      <c r="CO11" s="52"/>
      <c r="CP11" s="682"/>
      <c r="CQ11" s="473"/>
      <c r="CR11" s="473"/>
      <c r="CS11" s="52"/>
      <c r="CT11" s="52"/>
      <c r="CU11" s="52"/>
      <c r="CV11" s="330"/>
      <c r="CW11" s="398">
        <v>24</v>
      </c>
      <c r="CX11" s="52"/>
      <c r="CY11" s="52"/>
      <c r="CZ11" s="52"/>
      <c r="DA11" s="52"/>
      <c r="DB11" s="52"/>
      <c r="DC11" s="52"/>
      <c r="DD11" s="52"/>
      <c r="DE11" s="52"/>
      <c r="DF11" s="52"/>
      <c r="DG11" s="52"/>
      <c r="DH11" s="52"/>
      <c r="DI11" s="52"/>
      <c r="DJ11" s="52"/>
      <c r="DK11" s="682"/>
      <c r="DL11" s="473"/>
      <c r="DM11" s="473"/>
      <c r="DN11" s="471"/>
      <c r="DO11" s="683"/>
      <c r="DP11" s="473"/>
      <c r="DQ11" s="685"/>
      <c r="DR11" s="52"/>
      <c r="DS11" s="52"/>
      <c r="DT11" s="52"/>
      <c r="DU11" s="52"/>
      <c r="DV11" s="52"/>
      <c r="DW11" s="52"/>
      <c r="DX11" s="684"/>
      <c r="DY11" s="683"/>
      <c r="DZ11" s="473"/>
      <c r="EA11" s="52"/>
      <c r="EB11" s="52"/>
      <c r="EC11" s="52"/>
      <c r="ED11" s="683"/>
      <c r="EE11" s="473"/>
      <c r="EF11" s="52"/>
      <c r="EG11" s="71"/>
      <c r="EH11" s="52"/>
      <c r="EI11" s="52"/>
      <c r="EJ11" s="330"/>
      <c r="EK11" s="685"/>
      <c r="EL11" s="52"/>
      <c r="EM11" s="52"/>
      <c r="EN11" s="52"/>
      <c r="EO11" s="52"/>
      <c r="EP11" s="52"/>
      <c r="EQ11" s="52"/>
      <c r="ER11" s="52"/>
      <c r="ES11" s="52"/>
      <c r="ET11" s="52"/>
      <c r="EU11" s="52"/>
      <c r="EV11" s="52"/>
      <c r="EW11" s="52"/>
      <c r="EX11" s="52"/>
      <c r="EY11" s="52"/>
      <c r="EZ11" s="52"/>
      <c r="FA11" s="52"/>
      <c r="FB11" s="52"/>
      <c r="FC11" s="71"/>
      <c r="FD11" s="695"/>
      <c r="FE11" s="1" t="s">
        <v>972</v>
      </c>
    </row>
    <row r="12" spans="1:161">
      <c r="A12" s="398">
        <v>999</v>
      </c>
      <c r="B12" s="52"/>
      <c r="C12" s="52"/>
      <c r="D12" s="52"/>
      <c r="E12" s="52"/>
      <c r="F12" s="52"/>
      <c r="G12" s="52"/>
      <c r="H12" s="52"/>
      <c r="I12" s="52"/>
      <c r="J12" s="52"/>
      <c r="K12" s="52"/>
      <c r="L12" s="52"/>
      <c r="M12" s="52"/>
      <c r="N12" s="52"/>
      <c r="O12" s="52"/>
      <c r="P12" s="52"/>
      <c r="Q12" s="71"/>
      <c r="R12" s="52"/>
      <c r="S12" s="52"/>
      <c r="T12" s="330"/>
      <c r="U12" s="685"/>
      <c r="V12" s="52"/>
      <c r="W12" s="52"/>
      <c r="X12" s="52"/>
      <c r="Y12" s="52"/>
      <c r="Z12" s="52"/>
      <c r="AA12" s="52"/>
      <c r="AB12" s="52"/>
      <c r="AC12" s="52"/>
      <c r="AD12" s="52"/>
      <c r="AE12" s="52"/>
      <c r="AF12" s="52"/>
      <c r="AG12" s="52"/>
      <c r="AH12" s="52"/>
      <c r="AI12" s="52"/>
      <c r="AJ12" s="52"/>
      <c r="AK12" s="71"/>
      <c r="AL12" s="52"/>
      <c r="AM12" s="52"/>
      <c r="AN12" s="330"/>
      <c r="AO12" s="685"/>
      <c r="AP12" s="71"/>
      <c r="AQ12" s="52"/>
      <c r="AR12" s="52"/>
      <c r="AS12" s="52"/>
      <c r="AT12" s="682"/>
      <c r="AU12" s="683"/>
      <c r="AV12" s="471"/>
      <c r="AW12" s="471"/>
      <c r="AX12" s="52"/>
      <c r="AY12" s="52"/>
      <c r="AZ12" s="52"/>
      <c r="BA12" s="52"/>
      <c r="BB12" s="52"/>
      <c r="BC12" s="52"/>
      <c r="BD12" s="52"/>
      <c r="BE12" s="52"/>
      <c r="BF12" s="52"/>
      <c r="BG12" s="52"/>
      <c r="BH12" s="330"/>
      <c r="BI12" s="398"/>
      <c r="BJ12" s="52"/>
      <c r="BK12" s="52"/>
      <c r="BL12" s="52"/>
      <c r="BM12" s="52"/>
      <c r="BN12" s="52"/>
      <c r="BO12" s="52"/>
      <c r="BP12" s="52"/>
      <c r="BQ12" s="682"/>
      <c r="BR12" s="683"/>
      <c r="BS12" s="683"/>
      <c r="BT12" s="473"/>
      <c r="BU12" s="52"/>
      <c r="BV12" s="52"/>
      <c r="BW12" s="52"/>
      <c r="BX12" s="52"/>
      <c r="BY12" s="52"/>
      <c r="BZ12" s="52"/>
      <c r="CA12" s="52"/>
      <c r="CB12" s="330"/>
      <c r="CC12" s="685"/>
      <c r="CD12" s="52"/>
      <c r="CE12" s="71"/>
      <c r="CF12" s="71"/>
      <c r="CG12" s="52"/>
      <c r="CH12" s="52"/>
      <c r="CI12" s="52"/>
      <c r="CJ12" s="52"/>
      <c r="CK12" s="52"/>
      <c r="CL12" s="52"/>
      <c r="CM12" s="52"/>
      <c r="CN12" s="52"/>
      <c r="CO12" s="52"/>
      <c r="CP12" s="682"/>
      <c r="CQ12" s="683"/>
      <c r="CR12" s="473"/>
      <c r="CS12" s="52"/>
      <c r="CT12" s="52"/>
      <c r="CU12" s="52"/>
      <c r="CV12" s="330"/>
      <c r="CW12" s="398"/>
      <c r="CX12" s="52"/>
      <c r="CY12" s="52"/>
      <c r="CZ12" s="52"/>
      <c r="DA12" s="52"/>
      <c r="DB12" s="52"/>
      <c r="DC12" s="52"/>
      <c r="DD12" s="52"/>
      <c r="DE12" s="52"/>
      <c r="DF12" s="52"/>
      <c r="DG12" s="52"/>
      <c r="DH12" s="52"/>
      <c r="DI12" s="52"/>
      <c r="DJ12" s="52"/>
      <c r="DK12" s="683"/>
      <c r="DL12" s="471"/>
      <c r="DM12" s="682"/>
      <c r="DN12" s="473"/>
      <c r="DO12" s="473"/>
      <c r="DP12" s="471"/>
      <c r="DQ12" s="685"/>
      <c r="DR12" s="52"/>
      <c r="DS12" s="52"/>
      <c r="DT12" s="52"/>
      <c r="DU12" s="52"/>
      <c r="DV12" s="52"/>
      <c r="DW12" s="52"/>
      <c r="DX12" s="683"/>
      <c r="DY12" s="683"/>
      <c r="DZ12" s="473"/>
      <c r="EA12" s="52"/>
      <c r="EB12" s="52"/>
      <c r="EC12" s="52"/>
      <c r="ED12" s="683"/>
      <c r="EE12" s="473"/>
      <c r="EF12" s="52"/>
      <c r="EG12" s="71"/>
      <c r="EH12" s="52"/>
      <c r="EI12" s="52"/>
      <c r="EJ12" s="330"/>
      <c r="EK12" s="685"/>
      <c r="EL12" s="52"/>
      <c r="EM12" s="52"/>
      <c r="EN12" s="52"/>
      <c r="EO12" s="52"/>
      <c r="EP12" s="52"/>
      <c r="EQ12" s="52"/>
      <c r="ER12" s="52"/>
      <c r="ES12" s="52"/>
      <c r="ET12" s="52"/>
      <c r="EU12" s="52"/>
      <c r="EV12" s="52"/>
      <c r="EW12" s="52"/>
      <c r="EX12" s="52"/>
      <c r="EY12" s="52"/>
      <c r="EZ12" s="52"/>
      <c r="FA12" s="52"/>
      <c r="FB12" s="52"/>
      <c r="FC12" s="71"/>
      <c r="FD12" s="695"/>
      <c r="FE12" s="52" t="s">
        <v>872</v>
      </c>
    </row>
    <row r="13" spans="1:161">
      <c r="A13" s="398"/>
      <c r="B13" s="52"/>
      <c r="C13" s="52"/>
      <c r="D13" s="52"/>
      <c r="E13" s="52"/>
      <c r="F13" s="52"/>
      <c r="G13" s="52"/>
      <c r="H13" s="52"/>
      <c r="I13" s="52"/>
      <c r="J13" s="52"/>
      <c r="K13" s="52"/>
      <c r="L13" s="52"/>
      <c r="M13" s="52"/>
      <c r="N13" s="52"/>
      <c r="O13" s="52"/>
      <c r="P13" s="52"/>
      <c r="Q13" s="71"/>
      <c r="R13" s="52"/>
      <c r="S13" s="52"/>
      <c r="T13" s="330"/>
      <c r="U13" s="685"/>
      <c r="V13" s="52"/>
      <c r="W13" s="52"/>
      <c r="X13" s="52"/>
      <c r="Y13" s="52"/>
      <c r="Z13" s="52"/>
      <c r="AA13" s="52"/>
      <c r="AB13" s="52"/>
      <c r="AC13" s="52"/>
      <c r="AD13" s="52"/>
      <c r="AE13" s="52"/>
      <c r="AF13" s="52"/>
      <c r="AG13" s="52"/>
      <c r="AH13" s="52"/>
      <c r="AI13" s="52"/>
      <c r="AJ13" s="52"/>
      <c r="AK13" s="71"/>
      <c r="AL13" s="52"/>
      <c r="AM13" s="52"/>
      <c r="AN13" s="330"/>
      <c r="AO13" s="685"/>
      <c r="AP13" s="71"/>
      <c r="AQ13" s="52"/>
      <c r="AR13" s="52"/>
      <c r="AS13" s="52"/>
      <c r="AT13" s="52"/>
      <c r="AU13" s="683"/>
      <c r="AV13" s="473"/>
      <c r="AW13" s="682"/>
      <c r="AX13" s="471"/>
      <c r="AY13" s="52"/>
      <c r="AZ13" s="52"/>
      <c r="BA13" s="52"/>
      <c r="BB13" s="52"/>
      <c r="BC13" s="52"/>
      <c r="BD13" s="52"/>
      <c r="BE13" s="52"/>
      <c r="BF13" s="52"/>
      <c r="BG13" s="52"/>
      <c r="BH13" s="330"/>
      <c r="BI13" s="398"/>
      <c r="BJ13" s="52"/>
      <c r="BK13" s="52"/>
      <c r="BL13" s="52"/>
      <c r="BM13" s="52"/>
      <c r="BN13" s="52"/>
      <c r="BO13" s="52"/>
      <c r="BP13" s="52"/>
      <c r="BQ13" s="682"/>
      <c r="BR13" s="682"/>
      <c r="BS13" s="684"/>
      <c r="BT13" s="683"/>
      <c r="BU13" s="473"/>
      <c r="BV13" s="52"/>
      <c r="BW13" s="52"/>
      <c r="BX13" s="52"/>
      <c r="BY13" s="52"/>
      <c r="BZ13" s="52"/>
      <c r="CA13" s="52"/>
      <c r="CB13" s="330"/>
      <c r="CC13" s="398"/>
      <c r="CD13" s="695"/>
      <c r="CE13" s="695"/>
      <c r="CF13" s="695"/>
      <c r="CG13" s="695"/>
      <c r="CH13" s="695"/>
      <c r="CI13" s="695"/>
      <c r="CJ13" s="695"/>
      <c r="CK13" s="695"/>
      <c r="CL13" s="695"/>
      <c r="CM13" s="695"/>
      <c r="CN13" s="695"/>
      <c r="CO13" s="695"/>
      <c r="CP13" s="695"/>
      <c r="CQ13" s="695"/>
      <c r="CR13" s="695"/>
      <c r="CS13" s="695"/>
      <c r="CT13" s="695"/>
      <c r="CU13" s="695"/>
      <c r="CV13" s="330">
        <v>140</v>
      </c>
      <c r="CW13" s="398">
        <v>179</v>
      </c>
      <c r="CX13" s="52"/>
      <c r="CY13" s="52"/>
      <c r="CZ13" s="52"/>
      <c r="DA13" s="52"/>
      <c r="DB13" s="52"/>
      <c r="DC13" s="52"/>
      <c r="DD13" s="52"/>
      <c r="DE13" s="52"/>
      <c r="DF13" s="52"/>
      <c r="DG13" s="52"/>
      <c r="DH13" s="52"/>
      <c r="DI13" s="52"/>
      <c r="DJ13" s="52"/>
      <c r="DK13" s="683"/>
      <c r="DL13" s="473"/>
      <c r="DM13" s="682"/>
      <c r="DN13" s="471"/>
      <c r="DO13" s="471"/>
      <c r="DP13" s="52"/>
      <c r="DQ13" s="685"/>
      <c r="DR13" s="52"/>
      <c r="DS13" s="52"/>
      <c r="DT13" s="52"/>
      <c r="DU13" s="52"/>
      <c r="DV13" s="52"/>
      <c r="DW13" s="52"/>
      <c r="DX13" s="682"/>
      <c r="DY13" s="683"/>
      <c r="DZ13" s="473"/>
      <c r="EA13" s="473"/>
      <c r="EB13" s="682"/>
      <c r="EC13" s="682"/>
      <c r="ED13" s="683"/>
      <c r="EE13" s="682"/>
      <c r="EF13" s="52"/>
      <c r="EG13" s="71"/>
      <c r="EH13" s="52"/>
      <c r="EI13" s="52"/>
      <c r="EJ13" s="330"/>
      <c r="EK13" s="52"/>
      <c r="EL13" s="71"/>
      <c r="EM13" s="52"/>
      <c r="EN13" s="683"/>
      <c r="EO13" s="473"/>
      <c r="EP13" s="46"/>
      <c r="EQ13" s="52"/>
      <c r="ER13" s="52"/>
      <c r="ES13" s="52"/>
      <c r="ET13" s="52"/>
      <c r="EU13" s="52"/>
      <c r="EV13" s="52"/>
      <c r="EW13" s="52"/>
      <c r="EX13" s="52"/>
      <c r="EY13" s="52"/>
      <c r="EZ13" s="52"/>
      <c r="FA13" s="52"/>
      <c r="FB13" s="52"/>
      <c r="FC13" s="71"/>
      <c r="FD13" s="695"/>
      <c r="FE13" s="71" t="s">
        <v>615</v>
      </c>
    </row>
    <row r="14" spans="1:161">
      <c r="A14" s="398"/>
      <c r="B14" s="52"/>
      <c r="C14" s="52"/>
      <c r="D14" s="52"/>
      <c r="E14" s="52"/>
      <c r="F14" s="52"/>
      <c r="G14" s="52"/>
      <c r="H14" s="52"/>
      <c r="I14" s="52"/>
      <c r="J14" s="52"/>
      <c r="K14" s="52"/>
      <c r="L14" s="52"/>
      <c r="M14" s="52"/>
      <c r="N14" s="52"/>
      <c r="O14" s="52"/>
      <c r="P14" s="52"/>
      <c r="Q14" s="52"/>
      <c r="R14" s="52"/>
      <c r="S14" s="52"/>
      <c r="T14" s="330"/>
      <c r="U14" s="398"/>
      <c r="V14" s="52"/>
      <c r="W14" s="52"/>
      <c r="X14" s="52"/>
      <c r="Y14" s="52"/>
      <c r="Z14" s="52"/>
      <c r="AA14" s="52"/>
      <c r="AB14" s="52"/>
      <c r="AC14" s="52"/>
      <c r="AD14" s="52"/>
      <c r="AE14" s="52"/>
      <c r="AF14" s="52"/>
      <c r="AG14" s="52"/>
      <c r="AH14" s="52"/>
      <c r="AI14" s="52"/>
      <c r="AJ14" s="52"/>
      <c r="AK14" s="71"/>
      <c r="AL14" s="52"/>
      <c r="AM14" s="52"/>
      <c r="AN14" s="330"/>
      <c r="AO14" s="685"/>
      <c r="AP14" s="71"/>
      <c r="AQ14" s="52"/>
      <c r="AR14" s="52" t="s">
        <v>674</v>
      </c>
      <c r="AS14" s="52"/>
      <c r="AT14" s="683"/>
      <c r="AU14" s="684"/>
      <c r="AV14" s="683"/>
      <c r="AW14" s="471"/>
      <c r="AX14" s="473"/>
      <c r="AY14" s="52"/>
      <c r="AZ14" s="52"/>
      <c r="BA14" s="52"/>
      <c r="BB14" s="52"/>
      <c r="BC14" s="52"/>
      <c r="BD14" s="52"/>
      <c r="BE14" s="52"/>
      <c r="BF14" s="52"/>
      <c r="BG14" s="52"/>
      <c r="BH14" s="330"/>
      <c r="BI14" s="398"/>
      <c r="BJ14" s="52"/>
      <c r="BK14" s="52"/>
      <c r="BL14" s="52"/>
      <c r="BM14" s="52"/>
      <c r="BN14" s="52"/>
      <c r="BO14" s="52"/>
      <c r="BP14" s="52"/>
      <c r="BQ14" s="52"/>
      <c r="BR14" s="683"/>
      <c r="BS14" s="682"/>
      <c r="BT14" s="684"/>
      <c r="BU14" s="473"/>
      <c r="BV14" s="52"/>
      <c r="BW14" s="52"/>
      <c r="BX14" s="52"/>
      <c r="BY14" s="52"/>
      <c r="BZ14" s="52"/>
      <c r="CA14" s="52"/>
      <c r="CB14" s="330"/>
      <c r="CC14" s="398"/>
      <c r="CD14" s="52"/>
      <c r="CE14" s="52"/>
      <c r="CF14" s="52"/>
      <c r="CG14" s="52"/>
      <c r="CH14" s="52"/>
      <c r="CI14" s="52"/>
      <c r="CJ14" s="52"/>
      <c r="CK14" s="52"/>
      <c r="CL14" s="52"/>
      <c r="CM14" s="52"/>
      <c r="CN14" s="52"/>
      <c r="CO14" s="52"/>
      <c r="CP14" s="683"/>
      <c r="CQ14" s="684"/>
      <c r="CR14" s="473"/>
      <c r="CS14" s="52"/>
      <c r="CT14" s="52"/>
      <c r="CU14" s="52"/>
      <c r="CV14" s="330"/>
      <c r="CW14" s="685">
        <v>0</v>
      </c>
      <c r="CX14" s="52"/>
      <c r="CY14" s="52"/>
      <c r="CZ14" s="71"/>
      <c r="DA14" s="71"/>
      <c r="DB14" s="52"/>
      <c r="DC14" s="52"/>
      <c r="DD14" s="52"/>
      <c r="DE14" s="52"/>
      <c r="DF14" s="52"/>
      <c r="DG14" s="52"/>
      <c r="DH14" s="52"/>
      <c r="DI14" s="52"/>
      <c r="DJ14" s="684"/>
      <c r="DK14" s="683"/>
      <c r="DL14" s="683"/>
      <c r="DM14" s="473"/>
      <c r="DN14" s="52"/>
      <c r="DO14" s="52"/>
      <c r="DP14" s="52"/>
      <c r="DQ14" s="685"/>
      <c r="DR14" s="52"/>
      <c r="DS14" s="52"/>
      <c r="DT14" s="52"/>
      <c r="DU14" s="52"/>
      <c r="DV14" s="52"/>
      <c r="DW14" s="52"/>
      <c r="DX14" s="682"/>
      <c r="DY14" s="682"/>
      <c r="DZ14" s="473"/>
      <c r="EA14" s="473"/>
      <c r="EB14" s="473"/>
      <c r="EC14" s="473"/>
      <c r="ED14" s="473"/>
      <c r="EE14" s="473"/>
      <c r="EF14" s="52"/>
      <c r="EG14" s="71"/>
      <c r="EH14" s="52"/>
      <c r="EI14" s="52"/>
      <c r="EJ14" s="330"/>
      <c r="EK14" s="52"/>
      <c r="EL14" s="71"/>
      <c r="EM14" s="52"/>
      <c r="EN14" s="52"/>
      <c r="EO14" s="683"/>
      <c r="EP14" s="473"/>
      <c r="EQ14" s="473"/>
      <c r="ER14" s="52"/>
      <c r="ES14" s="52"/>
      <c r="ET14" s="52"/>
      <c r="EU14" s="52"/>
      <c r="EV14" s="52"/>
      <c r="EW14" s="52"/>
      <c r="EX14" s="52"/>
      <c r="EY14" s="52"/>
      <c r="EZ14" s="52"/>
      <c r="FA14" s="52"/>
      <c r="FB14" s="52"/>
      <c r="FC14" s="52"/>
      <c r="FD14" s="695"/>
      <c r="FE14" s="52" t="s">
        <v>616</v>
      </c>
    </row>
    <row r="15" spans="1:161">
      <c r="A15" s="398"/>
      <c r="B15" s="52"/>
      <c r="C15" s="52"/>
      <c r="D15" s="52"/>
      <c r="E15" s="52"/>
      <c r="F15" s="52"/>
      <c r="G15" s="52"/>
      <c r="H15" s="52"/>
      <c r="I15" s="52"/>
      <c r="J15" s="52"/>
      <c r="K15" s="52"/>
      <c r="L15" s="52"/>
      <c r="M15" s="52"/>
      <c r="N15" s="52"/>
      <c r="O15" s="52"/>
      <c r="P15" s="52"/>
      <c r="Q15" s="52"/>
      <c r="R15" s="52"/>
      <c r="S15" s="52"/>
      <c r="T15" s="330"/>
      <c r="U15" s="398"/>
      <c r="V15" s="52"/>
      <c r="W15" s="52"/>
      <c r="X15" s="52"/>
      <c r="Y15" s="52"/>
      <c r="Z15" s="52"/>
      <c r="AA15" s="52"/>
      <c r="AB15" s="52"/>
      <c r="AC15" s="52"/>
      <c r="AD15" s="52"/>
      <c r="AE15" s="52"/>
      <c r="AF15" s="52"/>
      <c r="AG15" s="52"/>
      <c r="AH15" s="52"/>
      <c r="AI15" s="52"/>
      <c r="AJ15" s="52"/>
      <c r="AK15" s="52"/>
      <c r="AL15" s="52"/>
      <c r="AM15" s="52"/>
      <c r="AN15" s="330"/>
      <c r="AO15" s="686"/>
      <c r="AP15" s="52"/>
      <c r="AQ15" s="52"/>
      <c r="AR15" s="52"/>
      <c r="AS15" s="683"/>
      <c r="AT15" s="683"/>
      <c r="AU15" s="684"/>
      <c r="AV15" s="473"/>
      <c r="AW15" s="682"/>
      <c r="AX15" s="46"/>
      <c r="AY15" s="52"/>
      <c r="AZ15" s="52"/>
      <c r="BA15" s="52"/>
      <c r="BB15" s="52"/>
      <c r="BC15" s="52"/>
      <c r="BD15" s="52"/>
      <c r="BE15" s="52"/>
      <c r="BF15" s="52"/>
      <c r="BG15" s="52"/>
      <c r="BH15" s="330"/>
      <c r="BI15" s="398"/>
      <c r="BJ15" s="52"/>
      <c r="BK15" s="52"/>
      <c r="BL15" s="71"/>
      <c r="BM15" s="52"/>
      <c r="BN15" s="52"/>
      <c r="BO15" s="52"/>
      <c r="BP15" s="52"/>
      <c r="BQ15" s="52"/>
      <c r="BR15" s="683"/>
      <c r="BS15" s="682"/>
      <c r="BT15" s="682"/>
      <c r="BU15" s="473"/>
      <c r="BV15" s="60"/>
      <c r="BW15" s="60"/>
      <c r="BX15" s="64"/>
      <c r="BY15" s="52"/>
      <c r="BZ15" s="52"/>
      <c r="CA15" s="52"/>
      <c r="CB15" s="330"/>
      <c r="CC15" s="398"/>
      <c r="CD15" s="695"/>
      <c r="CE15" s="695"/>
      <c r="CF15" s="695"/>
      <c r="CG15" s="695"/>
      <c r="CH15" s="695"/>
      <c r="CI15" s="695"/>
      <c r="CJ15" s="695"/>
      <c r="CK15" s="695"/>
      <c r="CL15" s="695"/>
      <c r="CM15" s="695"/>
      <c r="CN15" s="695"/>
      <c r="CO15" s="695"/>
      <c r="CP15" s="695"/>
      <c r="CQ15" s="695"/>
      <c r="CR15" s="695"/>
      <c r="CS15" s="695"/>
      <c r="CT15" s="695"/>
      <c r="CU15" s="695"/>
      <c r="CV15" s="330">
        <v>142</v>
      </c>
      <c r="CW15" s="685"/>
      <c r="CX15" s="695"/>
      <c r="CY15" s="695"/>
      <c r="CZ15" s="695"/>
      <c r="DA15" s="695"/>
      <c r="DB15" s="695"/>
      <c r="DC15" s="695"/>
      <c r="DD15" s="695"/>
      <c r="DE15" s="695"/>
      <c r="DF15" s="695"/>
      <c r="DG15" s="695"/>
      <c r="DH15" s="695"/>
      <c r="DI15" s="695"/>
      <c r="DJ15" s="695"/>
      <c r="DK15" s="695"/>
      <c r="DL15" s="695"/>
      <c r="DM15" s="695"/>
      <c r="DN15" s="695"/>
      <c r="DO15" s="695"/>
      <c r="DP15" s="52">
        <v>174</v>
      </c>
      <c r="DQ15" s="685"/>
      <c r="DR15" s="52"/>
      <c r="DS15" s="52"/>
      <c r="DT15" s="52"/>
      <c r="DU15" s="52"/>
      <c r="DV15" s="52"/>
      <c r="DW15" s="52"/>
      <c r="DX15" s="52"/>
      <c r="DY15" s="473"/>
      <c r="DZ15" s="682"/>
      <c r="EA15" s="682"/>
      <c r="EB15" s="682"/>
      <c r="EC15" s="473"/>
      <c r="ED15" s="473"/>
      <c r="EE15" s="46"/>
      <c r="EF15" s="52"/>
      <c r="EG15" s="71"/>
      <c r="EH15" s="52"/>
      <c r="EI15" s="52"/>
      <c r="EJ15" s="330"/>
      <c r="EK15" s="52"/>
      <c r="EL15" s="71"/>
      <c r="EM15" s="52"/>
      <c r="EN15" s="52"/>
      <c r="EO15" s="52"/>
      <c r="EP15" s="683"/>
      <c r="EQ15" s="473"/>
      <c r="ER15" s="471"/>
      <c r="ES15" s="52"/>
      <c r="ET15" s="52"/>
      <c r="EU15" s="52"/>
      <c r="EV15" s="52"/>
      <c r="EW15" s="52"/>
      <c r="EX15" s="52"/>
      <c r="EY15" s="52"/>
      <c r="EZ15" s="52"/>
      <c r="FA15" s="52"/>
      <c r="FB15" s="52"/>
      <c r="FC15" s="52"/>
      <c r="FD15" s="695"/>
      <c r="FE15" s="52" t="s">
        <v>969</v>
      </c>
    </row>
    <row r="16" spans="1:161">
      <c r="A16" s="398"/>
      <c r="B16" s="52"/>
      <c r="C16" s="52"/>
      <c r="D16" s="52"/>
      <c r="E16" s="52"/>
      <c r="F16" s="52"/>
      <c r="G16" s="52"/>
      <c r="H16" s="52"/>
      <c r="I16" s="52"/>
      <c r="J16" s="52"/>
      <c r="K16" s="52"/>
      <c r="L16" s="52"/>
      <c r="M16" s="52"/>
      <c r="N16" s="52"/>
      <c r="O16" s="52"/>
      <c r="P16" s="52"/>
      <c r="Q16" s="52"/>
      <c r="R16" s="52"/>
      <c r="S16" s="52"/>
      <c r="T16" s="330"/>
      <c r="U16" s="398"/>
      <c r="V16" s="52"/>
      <c r="W16" s="52"/>
      <c r="X16" s="52"/>
      <c r="Y16" s="52"/>
      <c r="Z16" s="52"/>
      <c r="AA16" s="52"/>
      <c r="AB16" s="52"/>
      <c r="AC16" s="52"/>
      <c r="AD16" s="52"/>
      <c r="AE16" s="52"/>
      <c r="AF16" s="52"/>
      <c r="AG16" s="52"/>
      <c r="AH16" s="52"/>
      <c r="AI16" s="52"/>
      <c r="AJ16" s="52"/>
      <c r="AK16" s="52"/>
      <c r="AL16" s="52"/>
      <c r="AM16" s="52"/>
      <c r="AN16" s="330"/>
      <c r="AO16" s="687"/>
      <c r="AP16" s="473"/>
      <c r="AQ16" s="682"/>
      <c r="AR16" s="683" t="s">
        <v>674</v>
      </c>
      <c r="AS16" s="683" t="s">
        <v>674</v>
      </c>
      <c r="AT16" s="684"/>
      <c r="AU16" s="684"/>
      <c r="AV16" s="682"/>
      <c r="AW16" s="473"/>
      <c r="AX16" s="473"/>
      <c r="AY16" s="52"/>
      <c r="AZ16" s="52"/>
      <c r="BA16" s="52"/>
      <c r="BB16" s="52"/>
      <c r="BC16" s="52"/>
      <c r="BD16" s="52"/>
      <c r="BE16" s="52"/>
      <c r="BF16" s="52"/>
      <c r="BG16" s="52"/>
      <c r="BH16" s="330"/>
      <c r="BI16" s="398"/>
      <c r="BJ16" s="52"/>
      <c r="BK16" s="52"/>
      <c r="BL16" s="71"/>
      <c r="BM16" s="52"/>
      <c r="BN16" s="52"/>
      <c r="BO16" s="52"/>
      <c r="BP16" s="52"/>
      <c r="BQ16" s="52"/>
      <c r="BR16" s="683"/>
      <c r="BS16" s="682"/>
      <c r="BT16" s="59"/>
      <c r="BU16" s="64"/>
      <c r="BV16" s="64"/>
      <c r="BW16" s="64"/>
      <c r="BX16" s="61"/>
      <c r="BY16" s="52"/>
      <c r="BZ16" s="52"/>
      <c r="CA16" s="52"/>
      <c r="CB16" s="330"/>
      <c r="CC16" s="398"/>
      <c r="CD16" s="52"/>
      <c r="CE16" s="52"/>
      <c r="CF16" s="52"/>
      <c r="CG16" s="52"/>
      <c r="CH16" s="52"/>
      <c r="CI16" s="52"/>
      <c r="CJ16" s="52"/>
      <c r="CK16" s="52"/>
      <c r="CL16" s="52"/>
      <c r="CM16" s="52"/>
      <c r="CN16" s="52"/>
      <c r="CO16" s="52"/>
      <c r="CP16" s="60"/>
      <c r="CQ16" s="60"/>
      <c r="CR16" s="64"/>
      <c r="CS16" s="64"/>
      <c r="CT16" s="52"/>
      <c r="CU16" s="52"/>
      <c r="CV16" s="330"/>
      <c r="CW16" s="685"/>
      <c r="CX16" s="52"/>
      <c r="CY16" s="52"/>
      <c r="CZ16" s="71"/>
      <c r="DA16" s="71"/>
      <c r="DB16" s="52"/>
      <c r="DC16" s="52"/>
      <c r="DD16" s="52"/>
      <c r="DE16" s="52"/>
      <c r="DF16" s="52"/>
      <c r="DG16" s="52"/>
      <c r="DH16" s="52"/>
      <c r="DI16" s="684"/>
      <c r="DJ16" s="682"/>
      <c r="DK16" s="683"/>
      <c r="DL16" s="473"/>
      <c r="DM16" s="52"/>
      <c r="DN16" s="52"/>
      <c r="DO16" s="52"/>
      <c r="DP16" s="52"/>
      <c r="DQ16" s="398"/>
      <c r="DR16" s="52"/>
      <c r="DS16" s="52"/>
      <c r="DT16" s="52"/>
      <c r="DU16" s="52"/>
      <c r="DV16" s="52"/>
      <c r="DW16" s="52"/>
      <c r="DX16" s="52"/>
      <c r="DY16" s="52"/>
      <c r="DZ16" s="682"/>
      <c r="EA16" s="683"/>
      <c r="EB16" s="473"/>
      <c r="EC16" s="473"/>
      <c r="ED16" s="46"/>
      <c r="EE16" s="52"/>
      <c r="EF16" s="52"/>
      <c r="EG16" s="71"/>
      <c r="EH16" s="52"/>
      <c r="EI16" s="52"/>
      <c r="EJ16" s="330"/>
      <c r="EK16" s="471"/>
      <c r="EL16" s="71"/>
      <c r="EM16" s="52"/>
      <c r="EN16" s="52"/>
      <c r="EO16" s="52"/>
      <c r="EP16" s="473"/>
      <c r="EQ16" s="682"/>
      <c r="ER16" s="471"/>
      <c r="ES16" s="52"/>
      <c r="ET16" s="52"/>
      <c r="EU16" s="52"/>
      <c r="EV16" s="52"/>
      <c r="EW16" s="52"/>
      <c r="EX16" s="52"/>
      <c r="EY16" s="52"/>
      <c r="EZ16" s="52"/>
      <c r="FA16" s="52"/>
      <c r="FB16" s="52"/>
      <c r="FC16" s="52"/>
      <c r="FD16" s="695"/>
      <c r="FE16" s="70" t="s">
        <v>621</v>
      </c>
    </row>
    <row r="17" spans="1:161">
      <c r="A17" s="398">
        <v>7</v>
      </c>
      <c r="B17" s="52"/>
      <c r="C17" s="52"/>
      <c r="D17" s="52"/>
      <c r="E17" s="52"/>
      <c r="F17" s="52"/>
      <c r="G17" s="52"/>
      <c r="H17" s="52"/>
      <c r="I17" s="52"/>
      <c r="J17" s="52"/>
      <c r="K17" s="52"/>
      <c r="L17" s="52"/>
      <c r="M17" s="52"/>
      <c r="N17" s="52"/>
      <c r="O17" s="52"/>
      <c r="P17" s="52"/>
      <c r="Q17" s="52"/>
      <c r="R17" s="52"/>
      <c r="S17" s="52"/>
      <c r="T17" s="330"/>
      <c r="U17" s="398"/>
      <c r="V17" s="52"/>
      <c r="W17" s="52"/>
      <c r="X17" s="52"/>
      <c r="Y17" s="52"/>
      <c r="Z17" s="52"/>
      <c r="AA17" s="52"/>
      <c r="AB17" s="52"/>
      <c r="AC17" s="52"/>
      <c r="AD17" s="52"/>
      <c r="AE17" s="52"/>
      <c r="AF17" s="52"/>
      <c r="AG17" s="52"/>
      <c r="AH17" s="52"/>
      <c r="AI17" s="52"/>
      <c r="AJ17" s="52"/>
      <c r="AK17" s="52"/>
      <c r="AL17" s="52"/>
      <c r="AM17" s="52"/>
      <c r="AN17" s="330"/>
      <c r="AO17" s="683"/>
      <c r="AP17" s="682"/>
      <c r="AQ17" s="473"/>
      <c r="AR17" s="683"/>
      <c r="AS17" s="683"/>
      <c r="AT17" s="684"/>
      <c r="AU17" s="471"/>
      <c r="AV17" s="473"/>
      <c r="AW17" s="683"/>
      <c r="AX17" s="682"/>
      <c r="AY17" s="473"/>
      <c r="AZ17" s="52"/>
      <c r="BA17" s="52"/>
      <c r="BB17" s="52"/>
      <c r="BC17" s="52"/>
      <c r="BD17" s="52"/>
      <c r="BE17" s="52"/>
      <c r="BF17" s="52"/>
      <c r="BG17" s="52"/>
      <c r="BH17" s="330"/>
      <c r="BI17" s="398"/>
      <c r="BJ17" s="52"/>
      <c r="BK17" s="52"/>
      <c r="BL17" s="71"/>
      <c r="BM17" s="52"/>
      <c r="BN17" s="52"/>
      <c r="BO17" s="52"/>
      <c r="BP17" s="52"/>
      <c r="BQ17" s="52"/>
      <c r="BR17" s="683"/>
      <c r="BS17" s="684"/>
      <c r="BT17" s="60"/>
      <c r="BU17" s="60"/>
      <c r="BV17" s="61"/>
      <c r="BW17" s="61"/>
      <c r="BX17" s="64"/>
      <c r="BY17" s="64"/>
      <c r="BZ17" s="52"/>
      <c r="CA17" s="52"/>
      <c r="CB17" s="330"/>
      <c r="CC17" s="398"/>
      <c r="CD17" s="52"/>
      <c r="CE17" s="52"/>
      <c r="CF17" s="52"/>
      <c r="CG17" s="52"/>
      <c r="CH17" s="52"/>
      <c r="CI17" s="52"/>
      <c r="CJ17" s="52"/>
      <c r="CK17" s="52"/>
      <c r="CL17" s="52"/>
      <c r="CM17" s="52"/>
      <c r="CN17" s="52"/>
      <c r="CO17" s="60"/>
      <c r="CP17" s="59"/>
      <c r="CQ17" s="64"/>
      <c r="CR17" s="64"/>
      <c r="CS17" s="61"/>
      <c r="CT17" s="64"/>
      <c r="CU17" s="52"/>
      <c r="CV17" s="330"/>
      <c r="CW17" s="398"/>
      <c r="CX17" s="52"/>
      <c r="CY17" s="52"/>
      <c r="CZ17" s="52"/>
      <c r="DA17" s="52"/>
      <c r="DB17" s="52"/>
      <c r="DC17" s="52"/>
      <c r="DD17" s="52"/>
      <c r="DE17" s="52"/>
      <c r="DF17" s="52"/>
      <c r="DG17" s="52"/>
      <c r="DH17" s="52"/>
      <c r="DI17" s="684"/>
      <c r="DJ17" s="60"/>
      <c r="DK17" s="683"/>
      <c r="DL17" s="473"/>
      <c r="DM17" s="52"/>
      <c r="DN17" s="52"/>
      <c r="DO17" s="52"/>
      <c r="DP17" s="52"/>
      <c r="DQ17" s="398"/>
      <c r="DR17" s="52"/>
      <c r="DS17" s="52"/>
      <c r="DT17" s="52"/>
      <c r="DU17" s="52"/>
      <c r="DV17" s="52"/>
      <c r="DW17" s="52"/>
      <c r="DX17" s="52"/>
      <c r="DY17" s="52"/>
      <c r="DZ17" s="682"/>
      <c r="EA17" s="682"/>
      <c r="EB17" s="683"/>
      <c r="EC17" s="473"/>
      <c r="ED17" s="52"/>
      <c r="EE17" s="52"/>
      <c r="EF17" s="52"/>
      <c r="EG17" s="71"/>
      <c r="EH17" s="52"/>
      <c r="EI17" s="52"/>
      <c r="EJ17" s="330"/>
      <c r="EK17" s="471"/>
      <c r="EL17" s="473"/>
      <c r="EM17" s="52"/>
      <c r="EN17" s="52"/>
      <c r="EO17" s="52"/>
      <c r="EP17" s="682"/>
      <c r="EQ17" s="682"/>
      <c r="ER17" s="471"/>
      <c r="ES17" s="52"/>
      <c r="ET17" s="52"/>
      <c r="EU17" s="52"/>
      <c r="EV17" s="52"/>
      <c r="EW17" s="52"/>
      <c r="EX17" s="52"/>
      <c r="EY17" s="52"/>
      <c r="EZ17" s="52"/>
      <c r="FA17" s="52"/>
      <c r="FB17" s="52"/>
      <c r="FC17" s="52"/>
      <c r="FD17" s="695"/>
      <c r="FE17" s="70" t="s">
        <v>910</v>
      </c>
    </row>
    <row r="18" spans="1:161">
      <c r="A18" s="398"/>
      <c r="B18" s="52"/>
      <c r="C18" s="52"/>
      <c r="D18" s="52"/>
      <c r="E18" s="52"/>
      <c r="F18" s="52"/>
      <c r="G18" s="52"/>
      <c r="H18" s="52"/>
      <c r="I18" s="52"/>
      <c r="J18" s="52"/>
      <c r="K18" s="52"/>
      <c r="L18" s="52"/>
      <c r="M18" s="52"/>
      <c r="N18" s="52"/>
      <c r="O18" s="52"/>
      <c r="P18" s="52"/>
      <c r="Q18" s="52"/>
      <c r="R18" s="52"/>
      <c r="S18" s="52"/>
      <c r="T18" s="330"/>
      <c r="U18" s="398"/>
      <c r="V18" s="52"/>
      <c r="W18" s="52"/>
      <c r="X18" s="52"/>
      <c r="Y18" s="52"/>
      <c r="Z18" s="52"/>
      <c r="AA18" s="52"/>
      <c r="AB18" s="52"/>
      <c r="AC18" s="52"/>
      <c r="AD18" s="52"/>
      <c r="AE18" s="52"/>
      <c r="AF18" s="52"/>
      <c r="AG18" s="52"/>
      <c r="AH18" s="52"/>
      <c r="AI18" s="52"/>
      <c r="AJ18" s="52"/>
      <c r="AK18" s="52"/>
      <c r="AL18" s="52"/>
      <c r="AM18" s="52"/>
      <c r="AN18" s="330"/>
      <c r="AO18" s="398"/>
      <c r="AP18" s="684"/>
      <c r="AQ18" s="682"/>
      <c r="AR18" s="473"/>
      <c r="AS18" s="683"/>
      <c r="AT18" s="471"/>
      <c r="AU18" s="473"/>
      <c r="AV18" s="682"/>
      <c r="AW18" s="682"/>
      <c r="AX18" s="683"/>
      <c r="AY18" s="473"/>
      <c r="AZ18" s="64"/>
      <c r="BA18" s="61"/>
      <c r="BB18" s="61"/>
      <c r="BC18" s="52"/>
      <c r="BD18" s="52"/>
      <c r="BE18" s="52"/>
      <c r="BF18" s="52"/>
      <c r="BG18" s="52"/>
      <c r="BH18" s="330"/>
      <c r="BI18" s="398"/>
      <c r="BJ18" s="52"/>
      <c r="BK18" s="52"/>
      <c r="BL18" s="71"/>
      <c r="BM18" s="52"/>
      <c r="BN18" s="52"/>
      <c r="BO18" s="52"/>
      <c r="BP18" s="52"/>
      <c r="BQ18" s="52"/>
      <c r="BR18" s="60"/>
      <c r="BS18" s="59"/>
      <c r="BT18" s="60"/>
      <c r="BU18" s="64"/>
      <c r="BV18" s="61"/>
      <c r="BW18" s="58"/>
      <c r="BX18" s="61"/>
      <c r="BY18" s="61"/>
      <c r="BZ18" s="61"/>
      <c r="CA18" s="52"/>
      <c r="CB18" s="330"/>
      <c r="CC18" s="398"/>
      <c r="CD18" s="52"/>
      <c r="CE18" s="52"/>
      <c r="CF18" s="52"/>
      <c r="CG18" s="52"/>
      <c r="CH18" s="52"/>
      <c r="CI18" s="52"/>
      <c r="CJ18" s="52"/>
      <c r="CK18" s="52"/>
      <c r="CL18" s="52"/>
      <c r="CM18" s="52"/>
      <c r="CN18" s="60"/>
      <c r="CO18" s="59"/>
      <c r="CP18" s="60"/>
      <c r="CQ18" s="64"/>
      <c r="CR18" s="58"/>
      <c r="CS18" s="64"/>
      <c r="CT18" s="61"/>
      <c r="CU18" s="52"/>
      <c r="CV18" s="330"/>
      <c r="CW18" s="685"/>
      <c r="CX18" s="52"/>
      <c r="CY18" s="52"/>
      <c r="CZ18" s="71"/>
      <c r="DA18" s="71"/>
      <c r="DB18" s="52"/>
      <c r="DC18" s="52"/>
      <c r="DD18" s="52"/>
      <c r="DE18" s="52"/>
      <c r="DF18" s="52"/>
      <c r="DG18" s="52"/>
      <c r="DH18" s="60"/>
      <c r="DI18" s="60"/>
      <c r="DJ18" s="59"/>
      <c r="DK18" s="60"/>
      <c r="DL18" s="61"/>
      <c r="DM18" s="52"/>
      <c r="DN18" s="52"/>
      <c r="DO18" s="52"/>
      <c r="DP18" s="52"/>
      <c r="DQ18" s="398"/>
      <c r="DR18" s="52"/>
      <c r="DS18" s="52"/>
      <c r="DT18" s="52"/>
      <c r="DU18" s="52"/>
      <c r="DV18" s="52"/>
      <c r="DW18" s="52"/>
      <c r="DX18" s="52"/>
      <c r="DY18" s="52"/>
      <c r="DZ18" s="52"/>
      <c r="EA18" s="684"/>
      <c r="EB18" s="683"/>
      <c r="EC18" s="473"/>
      <c r="ED18" s="52"/>
      <c r="EE18" s="52"/>
      <c r="EF18" s="52"/>
      <c r="EG18" s="52"/>
      <c r="EH18" s="52"/>
      <c r="EI18" s="52"/>
      <c r="EJ18" s="330"/>
      <c r="EK18" s="473"/>
      <c r="EL18" s="473"/>
      <c r="EM18" s="471"/>
      <c r="EN18" s="52"/>
      <c r="EO18" s="473"/>
      <c r="EP18" s="473"/>
      <c r="EQ18" s="683"/>
      <c r="ER18" s="473"/>
      <c r="ES18" s="52"/>
      <c r="ET18" s="52"/>
      <c r="EU18" s="52"/>
      <c r="EV18" s="52"/>
      <c r="EW18" s="52"/>
      <c r="EX18" s="52"/>
      <c r="EY18" s="52"/>
      <c r="EZ18" s="52"/>
      <c r="FA18" s="52"/>
      <c r="FB18" s="52"/>
      <c r="FC18" s="52"/>
      <c r="FD18" s="695"/>
      <c r="FE18" s="699"/>
    </row>
    <row r="19" spans="1:161">
      <c r="A19" s="52"/>
      <c r="B19" s="52"/>
      <c r="C19" s="52"/>
      <c r="D19" s="52"/>
      <c r="E19" s="52"/>
      <c r="F19" s="52"/>
      <c r="G19" s="52"/>
      <c r="H19" s="52"/>
      <c r="I19" s="52"/>
      <c r="J19" s="52"/>
      <c r="K19" s="52"/>
      <c r="L19" s="52"/>
      <c r="M19" s="52"/>
      <c r="N19" s="52"/>
      <c r="O19" s="52"/>
      <c r="P19" s="52"/>
      <c r="Q19" s="52"/>
      <c r="R19" s="52"/>
      <c r="S19" s="52"/>
      <c r="T19" s="330"/>
      <c r="U19" s="398"/>
      <c r="V19" s="52"/>
      <c r="W19" s="52"/>
      <c r="X19" s="52"/>
      <c r="Y19" s="52"/>
      <c r="Z19" s="52"/>
      <c r="AA19" s="52"/>
      <c r="AB19" s="52"/>
      <c r="AC19" s="52"/>
      <c r="AD19" s="52"/>
      <c r="AE19" s="52"/>
      <c r="AF19" s="52"/>
      <c r="AG19" s="52"/>
      <c r="AH19" s="52"/>
      <c r="AI19" s="52"/>
      <c r="AJ19" s="52"/>
      <c r="AK19" s="52"/>
      <c r="AL19" s="52"/>
      <c r="AM19" s="52"/>
      <c r="AN19" s="330"/>
      <c r="AO19" s="398"/>
      <c r="AP19" s="52"/>
      <c r="AQ19" s="684"/>
      <c r="AR19" s="682"/>
      <c r="AS19" s="682"/>
      <c r="AT19" s="473"/>
      <c r="AU19" s="682"/>
      <c r="AV19" s="683"/>
      <c r="AW19" s="682"/>
      <c r="AX19" s="682"/>
      <c r="AY19" s="683"/>
      <c r="AZ19" s="473"/>
      <c r="BA19" s="64"/>
      <c r="BB19" s="61"/>
      <c r="BC19" s="61"/>
      <c r="BD19" s="52"/>
      <c r="BE19" s="52"/>
      <c r="BF19" s="52"/>
      <c r="BG19" s="52"/>
      <c r="BH19" s="330"/>
      <c r="BI19" s="398"/>
      <c r="BJ19" s="52"/>
      <c r="BK19" s="52"/>
      <c r="BL19" s="71"/>
      <c r="BM19" s="52"/>
      <c r="BN19" s="52"/>
      <c r="BO19" s="52"/>
      <c r="BP19" s="52"/>
      <c r="BQ19" s="52"/>
      <c r="BR19" s="59"/>
      <c r="BS19" s="60"/>
      <c r="BT19" s="60"/>
      <c r="BU19" s="61"/>
      <c r="BV19" s="58"/>
      <c r="BW19" s="58"/>
      <c r="BX19" s="64"/>
      <c r="BY19" s="64"/>
      <c r="BZ19" s="64"/>
      <c r="CA19" s="52"/>
      <c r="CB19" s="330"/>
      <c r="CC19" s="398"/>
      <c r="CD19" s="52"/>
      <c r="CE19" s="52"/>
      <c r="CF19" s="52"/>
      <c r="CG19" s="52"/>
      <c r="CH19" s="52"/>
      <c r="CI19" s="52"/>
      <c r="CJ19" s="52"/>
      <c r="CK19" s="52"/>
      <c r="CL19" s="52"/>
      <c r="CM19" s="52"/>
      <c r="CN19" s="60"/>
      <c r="CO19" s="59"/>
      <c r="CP19" s="60"/>
      <c r="CQ19" s="61"/>
      <c r="CR19" s="473"/>
      <c r="CS19" s="61"/>
      <c r="CT19" s="64"/>
      <c r="CU19" s="52"/>
      <c r="CV19" s="330"/>
      <c r="CW19" s="685"/>
      <c r="CX19" s="52"/>
      <c r="CY19" s="52"/>
      <c r="CZ19" s="71"/>
      <c r="DA19" s="71"/>
      <c r="DB19" s="52"/>
      <c r="DC19" s="52"/>
      <c r="DD19" s="52"/>
      <c r="DE19" s="52"/>
      <c r="DF19" s="52"/>
      <c r="DG19" s="60"/>
      <c r="DH19" s="59"/>
      <c r="DI19" s="59"/>
      <c r="DJ19" s="60"/>
      <c r="DK19" s="61"/>
      <c r="DL19" s="64"/>
      <c r="DM19" s="52"/>
      <c r="DN19" s="52"/>
      <c r="DO19" s="52"/>
      <c r="DP19" s="52"/>
      <c r="DQ19" s="398"/>
      <c r="DR19" s="695"/>
      <c r="DS19" s="695"/>
      <c r="DT19" s="695"/>
      <c r="DU19" s="695"/>
      <c r="DV19" s="695"/>
      <c r="DW19" s="695"/>
      <c r="DX19" s="695"/>
      <c r="DY19" s="695"/>
      <c r="DZ19" s="695"/>
      <c r="EA19" s="695"/>
      <c r="EB19" s="695"/>
      <c r="EC19" s="695"/>
      <c r="ED19" s="695"/>
      <c r="EE19" s="695"/>
      <c r="EF19" s="695"/>
      <c r="EG19" s="695"/>
      <c r="EH19" s="695"/>
      <c r="EI19" s="695"/>
      <c r="EJ19" s="330">
        <v>210</v>
      </c>
      <c r="EK19" s="683"/>
      <c r="EL19" s="683"/>
      <c r="EM19" s="471"/>
      <c r="EN19" s="473"/>
      <c r="EO19" s="473"/>
      <c r="EP19" s="682"/>
      <c r="EQ19" s="684"/>
      <c r="ER19" s="683"/>
      <c r="ES19" s="473"/>
      <c r="ET19" s="52"/>
      <c r="EU19" s="52"/>
      <c r="EV19" s="52"/>
      <c r="EW19" s="52"/>
      <c r="EX19" s="52"/>
      <c r="EY19" s="52"/>
      <c r="EZ19" s="52"/>
      <c r="FA19" s="52"/>
      <c r="FB19" s="52"/>
      <c r="FC19" s="52"/>
      <c r="FD19" s="695"/>
      <c r="FE19" s="699"/>
    </row>
    <row r="20" spans="1:161">
      <c r="A20" s="71"/>
      <c r="B20" s="71"/>
      <c r="C20" s="71"/>
      <c r="D20" s="52"/>
      <c r="E20" s="52"/>
      <c r="F20" s="52"/>
      <c r="G20" s="52"/>
      <c r="H20" s="52"/>
      <c r="I20" s="52"/>
      <c r="J20" s="52"/>
      <c r="K20" s="52"/>
      <c r="L20" s="52"/>
      <c r="M20" s="52"/>
      <c r="N20" s="52"/>
      <c r="O20" s="52"/>
      <c r="P20" s="52"/>
      <c r="Q20" s="52"/>
      <c r="R20" s="52"/>
      <c r="S20" s="52"/>
      <c r="T20" s="330"/>
      <c r="U20" s="685"/>
      <c r="V20" s="52"/>
      <c r="W20" s="52"/>
      <c r="X20" s="52"/>
      <c r="Y20" s="52"/>
      <c r="Z20" s="52"/>
      <c r="AA20" s="52"/>
      <c r="AB20" s="52"/>
      <c r="AC20" s="52"/>
      <c r="AD20" s="52"/>
      <c r="AE20" s="52"/>
      <c r="AF20" s="52"/>
      <c r="AG20" s="52"/>
      <c r="AH20" s="52"/>
      <c r="AI20" s="52"/>
      <c r="AJ20" s="52"/>
      <c r="AK20" s="52"/>
      <c r="AL20" s="52"/>
      <c r="AM20" s="52"/>
      <c r="AN20" s="330"/>
      <c r="AO20" s="398"/>
      <c r="AP20" s="52"/>
      <c r="AQ20" s="52"/>
      <c r="AR20" s="473"/>
      <c r="AS20" s="473"/>
      <c r="AT20" s="471"/>
      <c r="AU20" s="473"/>
      <c r="AV20" s="684"/>
      <c r="AW20" s="683"/>
      <c r="AX20" s="682"/>
      <c r="AY20" s="682"/>
      <c r="AZ20" s="683"/>
      <c r="BA20" s="64"/>
      <c r="BB20" s="64"/>
      <c r="BC20" s="61"/>
      <c r="BD20" s="61"/>
      <c r="BE20" s="52"/>
      <c r="BF20" s="52"/>
      <c r="BG20" s="52"/>
      <c r="BH20" s="330"/>
      <c r="BI20" s="398"/>
      <c r="BJ20" s="52"/>
      <c r="BK20" s="52"/>
      <c r="BL20" s="71"/>
      <c r="BM20" s="52"/>
      <c r="BN20" s="52"/>
      <c r="BO20" s="52"/>
      <c r="BP20" s="52"/>
      <c r="BQ20" s="52"/>
      <c r="BR20" s="59"/>
      <c r="BS20" s="64"/>
      <c r="BT20" s="61"/>
      <c r="BU20" s="58"/>
      <c r="BV20" s="682"/>
      <c r="BW20" s="683"/>
      <c r="BX20" s="471"/>
      <c r="BY20" s="61"/>
      <c r="BZ20" s="61"/>
      <c r="CA20" s="60"/>
      <c r="CB20" s="330"/>
      <c r="CC20" s="685"/>
      <c r="CD20" s="52"/>
      <c r="CE20" s="71"/>
      <c r="CF20" s="71"/>
      <c r="CG20" s="52"/>
      <c r="CH20" s="52"/>
      <c r="CI20" s="52"/>
      <c r="CJ20" s="52"/>
      <c r="CK20" s="52"/>
      <c r="CL20" s="52"/>
      <c r="CM20" s="52"/>
      <c r="CN20" s="60"/>
      <c r="CO20" s="59"/>
      <c r="CP20" s="60"/>
      <c r="CQ20" s="473"/>
      <c r="CR20" s="58"/>
      <c r="CS20" s="64"/>
      <c r="CT20" s="64"/>
      <c r="CU20" s="61"/>
      <c r="CV20" s="330"/>
      <c r="CW20" s="685"/>
      <c r="CX20" s="52"/>
      <c r="CY20" s="52"/>
      <c r="CZ20" s="71"/>
      <c r="DA20" s="71"/>
      <c r="DB20" s="52"/>
      <c r="DC20" s="52"/>
      <c r="DD20" s="52"/>
      <c r="DE20" s="52"/>
      <c r="DF20" s="60"/>
      <c r="DG20" s="59"/>
      <c r="DH20" s="59"/>
      <c r="DI20" s="60"/>
      <c r="DJ20" s="61"/>
      <c r="DK20" s="471"/>
      <c r="DL20" s="60"/>
      <c r="DM20" s="61"/>
      <c r="DN20" s="52"/>
      <c r="DO20" s="52"/>
      <c r="DP20" s="52"/>
      <c r="DQ20" s="398"/>
      <c r="DR20" s="695"/>
      <c r="DS20" s="695"/>
      <c r="DT20" s="695"/>
      <c r="DU20" s="695"/>
      <c r="DV20" s="695"/>
      <c r="DW20" s="695"/>
      <c r="DX20" s="695"/>
      <c r="DY20" s="695"/>
      <c r="DZ20" s="695"/>
      <c r="EA20" s="695"/>
      <c r="EB20" s="695"/>
      <c r="EC20" s="695"/>
      <c r="ED20" s="695"/>
      <c r="EE20" s="695"/>
      <c r="EF20" s="695"/>
      <c r="EG20" s="695"/>
      <c r="EH20" s="695"/>
      <c r="EI20" s="695"/>
      <c r="EJ20" s="330">
        <v>210</v>
      </c>
      <c r="EK20" s="52"/>
      <c r="EL20" s="683"/>
      <c r="EM20" s="473"/>
      <c r="EN20" s="473"/>
      <c r="EO20" s="473"/>
      <c r="EP20" s="682"/>
      <c r="EQ20" s="683"/>
      <c r="ER20" s="684"/>
      <c r="ES20" s="683"/>
      <c r="ET20" s="473"/>
      <c r="EU20" s="52"/>
      <c r="EV20" s="52"/>
      <c r="EW20" s="52"/>
      <c r="EX20" s="52"/>
      <c r="EY20" s="52"/>
      <c r="EZ20" s="52"/>
      <c r="FA20" s="52"/>
      <c r="FB20" s="52"/>
      <c r="FC20" s="52"/>
      <c r="FD20" s="695"/>
      <c r="FE20" s="699"/>
    </row>
    <row r="21" spans="1:161">
      <c r="A21" s="71"/>
      <c r="B21" s="71"/>
      <c r="C21" s="71"/>
      <c r="D21" s="52"/>
      <c r="E21" s="52"/>
      <c r="F21" s="683"/>
      <c r="G21" s="473"/>
      <c r="H21" s="46"/>
      <c r="I21" s="52"/>
      <c r="J21" s="52"/>
      <c r="K21" s="52"/>
      <c r="L21" s="52"/>
      <c r="M21" s="52"/>
      <c r="N21" s="52"/>
      <c r="O21" s="52"/>
      <c r="P21" s="52"/>
      <c r="Q21" s="52"/>
      <c r="R21" s="52"/>
      <c r="S21" s="52"/>
      <c r="T21" s="330"/>
      <c r="U21" s="685"/>
      <c r="V21" s="682"/>
      <c r="W21" s="682"/>
      <c r="X21" s="682"/>
      <c r="Y21" s="473"/>
      <c r="Z21" s="52"/>
      <c r="AA21" s="52"/>
      <c r="AB21" s="52"/>
      <c r="AC21" s="52"/>
      <c r="AD21" s="52"/>
      <c r="AE21" s="52"/>
      <c r="AF21" s="52"/>
      <c r="AG21" s="52"/>
      <c r="AH21" s="52"/>
      <c r="AI21" s="52"/>
      <c r="AJ21" s="71"/>
      <c r="AK21" s="52"/>
      <c r="AL21" s="52"/>
      <c r="AM21" s="52"/>
      <c r="AN21" s="330"/>
      <c r="AO21" s="398"/>
      <c r="AP21" s="52"/>
      <c r="AQ21" s="52"/>
      <c r="AR21" s="52"/>
      <c r="AS21" s="52"/>
      <c r="AT21" s="52"/>
      <c r="AU21" s="52"/>
      <c r="AV21" s="473"/>
      <c r="AW21" s="684"/>
      <c r="AX21" s="684"/>
      <c r="AY21" s="682"/>
      <c r="AZ21" s="682"/>
      <c r="BA21" s="60"/>
      <c r="BB21" s="64"/>
      <c r="BC21" s="471"/>
      <c r="BD21" s="61"/>
      <c r="BE21" s="61"/>
      <c r="BF21" s="52"/>
      <c r="BG21" s="52"/>
      <c r="BH21" s="330"/>
      <c r="BI21" s="398"/>
      <c r="BJ21" s="52"/>
      <c r="BK21" s="52"/>
      <c r="BL21" s="71"/>
      <c r="BM21" s="52"/>
      <c r="BN21" s="52"/>
      <c r="BO21" s="52"/>
      <c r="BP21" s="52"/>
      <c r="BQ21" s="59"/>
      <c r="BR21" s="60"/>
      <c r="BS21" s="61"/>
      <c r="BT21" s="61"/>
      <c r="BU21" s="61"/>
      <c r="BV21" s="58"/>
      <c r="BW21" s="683"/>
      <c r="BX21" s="471"/>
      <c r="BY21" s="471"/>
      <c r="BZ21" s="64"/>
      <c r="CA21" s="64"/>
      <c r="CB21" s="330"/>
      <c r="CC21" s="685"/>
      <c r="CD21" s="52"/>
      <c r="CE21" s="71"/>
      <c r="CF21" s="71"/>
      <c r="CG21" s="52"/>
      <c r="CH21" s="52"/>
      <c r="CI21" s="52"/>
      <c r="CJ21" s="52"/>
      <c r="CK21" s="52"/>
      <c r="CL21" s="52"/>
      <c r="CM21" s="52"/>
      <c r="CN21" s="60"/>
      <c r="CO21" s="60"/>
      <c r="CP21" s="61"/>
      <c r="CQ21" s="473"/>
      <c r="CR21" s="61"/>
      <c r="CS21" s="61"/>
      <c r="CT21" s="61"/>
      <c r="CU21" s="64"/>
      <c r="CV21" s="330"/>
      <c r="CW21" s="685"/>
      <c r="CX21" s="52"/>
      <c r="CY21" s="52"/>
      <c r="CZ21" s="71"/>
      <c r="DA21" s="71"/>
      <c r="DB21" s="52"/>
      <c r="DC21" s="52"/>
      <c r="DD21" s="52"/>
      <c r="DE21" s="52"/>
      <c r="DF21" s="60"/>
      <c r="DG21" s="59"/>
      <c r="DH21" s="60"/>
      <c r="DI21" s="473"/>
      <c r="DJ21" s="473"/>
      <c r="DK21" s="64"/>
      <c r="DL21" s="64"/>
      <c r="DM21" s="61"/>
      <c r="DN21" s="52"/>
      <c r="DO21" s="52"/>
      <c r="DP21" s="52"/>
      <c r="DQ21" s="398"/>
      <c r="DR21" s="695"/>
      <c r="DS21" s="695"/>
      <c r="DT21" s="695"/>
      <c r="DU21" s="695"/>
      <c r="DV21" s="695"/>
      <c r="DW21" s="695"/>
      <c r="DX21" s="695"/>
      <c r="DY21" s="695"/>
      <c r="DZ21" s="695"/>
      <c r="EA21" s="695"/>
      <c r="EB21" s="695"/>
      <c r="EC21" s="695"/>
      <c r="ED21" s="695"/>
      <c r="EE21" s="695"/>
      <c r="EF21" s="695"/>
      <c r="EG21" s="695"/>
      <c r="EH21" s="695"/>
      <c r="EI21" s="695"/>
      <c r="EJ21" s="330">
        <v>210</v>
      </c>
      <c r="EK21" s="52"/>
      <c r="EL21" s="52"/>
      <c r="EM21" s="683"/>
      <c r="EN21" s="683"/>
      <c r="EO21" s="473"/>
      <c r="EP21" s="682"/>
      <c r="EQ21" s="682"/>
      <c r="ER21" s="684"/>
      <c r="ES21" s="684"/>
      <c r="ET21" s="683"/>
      <c r="EU21" s="473"/>
      <c r="EV21" s="52"/>
      <c r="EW21" s="52"/>
      <c r="EX21" s="52"/>
      <c r="EY21" s="52"/>
      <c r="EZ21" s="52"/>
      <c r="FA21" s="52"/>
      <c r="FB21" s="52"/>
      <c r="FC21" s="52"/>
      <c r="FD21" s="695"/>
      <c r="FE21" s="699"/>
    </row>
    <row r="22" spans="1:161">
      <c r="A22" s="71"/>
      <c r="B22" s="71"/>
      <c r="C22" s="71"/>
      <c r="D22" s="52"/>
      <c r="E22" s="52"/>
      <c r="F22" s="52"/>
      <c r="G22" s="683"/>
      <c r="H22" s="473"/>
      <c r="I22" s="471"/>
      <c r="J22" s="52"/>
      <c r="K22" s="52"/>
      <c r="L22" s="52"/>
      <c r="M22" s="52"/>
      <c r="N22" s="52"/>
      <c r="O22" s="52"/>
      <c r="P22" s="52"/>
      <c r="Q22" s="52"/>
      <c r="R22" s="52"/>
      <c r="S22" s="52"/>
      <c r="T22" s="330"/>
      <c r="U22" s="686"/>
      <c r="V22" s="683"/>
      <c r="W22" s="683"/>
      <c r="X22" s="683"/>
      <c r="Y22" s="683"/>
      <c r="Z22" s="473"/>
      <c r="AA22" s="52"/>
      <c r="AB22" s="52"/>
      <c r="AC22" s="52"/>
      <c r="AD22" s="52"/>
      <c r="AE22" s="52"/>
      <c r="AF22" s="61"/>
      <c r="AG22" s="64"/>
      <c r="AH22" s="61"/>
      <c r="AI22" s="52"/>
      <c r="AJ22" s="71"/>
      <c r="AK22" s="52"/>
      <c r="AL22" s="52"/>
      <c r="AM22" s="52"/>
      <c r="AN22" s="330"/>
      <c r="AO22" s="398"/>
      <c r="AP22" s="52"/>
      <c r="AQ22" s="52"/>
      <c r="AR22" s="52"/>
      <c r="AS22" s="52"/>
      <c r="AT22" s="52"/>
      <c r="AU22" s="52"/>
      <c r="AV22" s="52"/>
      <c r="AW22" s="473"/>
      <c r="AX22" s="473"/>
      <c r="AY22" s="683"/>
      <c r="AZ22" s="473"/>
      <c r="BA22" s="60"/>
      <c r="BB22" s="64"/>
      <c r="BC22" s="61"/>
      <c r="BD22" s="471"/>
      <c r="BE22" s="61"/>
      <c r="BF22" s="52"/>
      <c r="BG22" s="52"/>
      <c r="BH22" s="330"/>
      <c r="BI22" s="398"/>
      <c r="BJ22" s="52"/>
      <c r="BK22" s="52"/>
      <c r="BL22" s="71"/>
      <c r="BM22" s="52"/>
      <c r="BN22" s="52"/>
      <c r="BO22" s="52"/>
      <c r="BP22" s="52"/>
      <c r="BQ22" s="59"/>
      <c r="BR22" s="60"/>
      <c r="BS22" s="61"/>
      <c r="BT22" s="61"/>
      <c r="BU22" s="61"/>
      <c r="BV22" s="473"/>
      <c r="BW22" s="683"/>
      <c r="BX22" s="473"/>
      <c r="BY22" s="61"/>
      <c r="BZ22" s="64"/>
      <c r="CA22" s="61"/>
      <c r="CB22" s="330"/>
      <c r="CC22" s="685"/>
      <c r="CD22" s="52"/>
      <c r="CE22" s="71"/>
      <c r="CF22" s="71"/>
      <c r="CG22" s="52"/>
      <c r="CH22" s="52"/>
      <c r="CI22" s="52"/>
      <c r="CJ22" s="52"/>
      <c r="CK22" s="52"/>
      <c r="CL22" s="52"/>
      <c r="CM22" s="52"/>
      <c r="CN22" s="60"/>
      <c r="CO22" s="60"/>
      <c r="CP22" s="61"/>
      <c r="CQ22" s="473"/>
      <c r="CR22" s="61"/>
      <c r="CS22" s="61"/>
      <c r="CT22" s="64"/>
      <c r="CU22" s="64"/>
      <c r="CV22" s="330"/>
      <c r="CW22" s="685"/>
      <c r="CX22" s="52"/>
      <c r="CY22" s="52"/>
      <c r="CZ22" s="71"/>
      <c r="DA22" s="71"/>
      <c r="DB22" s="52"/>
      <c r="DC22" s="52"/>
      <c r="DD22" s="52"/>
      <c r="DE22" s="60"/>
      <c r="DF22" s="59"/>
      <c r="DG22" s="60"/>
      <c r="DH22" s="64"/>
      <c r="DI22" s="682"/>
      <c r="DJ22" s="473"/>
      <c r="DK22" s="61"/>
      <c r="DL22" s="60"/>
      <c r="DM22" s="61"/>
      <c r="DN22" s="52"/>
      <c r="DO22" s="52"/>
      <c r="DP22" s="52"/>
      <c r="DQ22" s="398"/>
      <c r="DR22" s="52"/>
      <c r="DS22" s="52"/>
      <c r="DT22" s="52"/>
      <c r="DU22" s="52"/>
      <c r="DV22" s="52"/>
      <c r="DW22" s="52"/>
      <c r="DX22" s="52"/>
      <c r="DY22" s="52"/>
      <c r="DZ22" s="52"/>
      <c r="EA22" s="684"/>
      <c r="EB22" s="683"/>
      <c r="EC22" s="64"/>
      <c r="ED22" s="52"/>
      <c r="EE22" s="52"/>
      <c r="EF22" s="52"/>
      <c r="EG22" s="52"/>
      <c r="EH22" s="52"/>
      <c r="EI22" s="52"/>
      <c r="EJ22" s="330"/>
      <c r="EK22" s="52"/>
      <c r="EL22" s="71"/>
      <c r="EM22" s="52"/>
      <c r="EN22" s="52"/>
      <c r="EO22" s="52"/>
      <c r="EP22" s="52"/>
      <c r="EQ22" s="683"/>
      <c r="ER22" s="682"/>
      <c r="ES22" s="684"/>
      <c r="ET22" s="684"/>
      <c r="EU22" s="683"/>
      <c r="EV22" s="473"/>
      <c r="EW22" s="52"/>
      <c r="EX22" s="52"/>
      <c r="EY22" s="52"/>
      <c r="EZ22" s="52"/>
      <c r="FA22" s="52"/>
      <c r="FB22" s="52"/>
      <c r="FC22" s="71"/>
      <c r="FD22" s="695"/>
      <c r="FE22" s="699"/>
    </row>
    <row r="23" spans="1:161">
      <c r="A23" s="71"/>
      <c r="B23" s="71"/>
      <c r="C23" s="71"/>
      <c r="D23" s="52"/>
      <c r="E23" s="52"/>
      <c r="F23" s="52"/>
      <c r="G23" s="52"/>
      <c r="H23" s="683"/>
      <c r="I23" s="473"/>
      <c r="J23" s="46"/>
      <c r="K23" s="52"/>
      <c r="L23" s="52"/>
      <c r="M23" s="52"/>
      <c r="N23" s="52"/>
      <c r="O23" s="52"/>
      <c r="P23" s="52"/>
      <c r="Q23" s="52"/>
      <c r="R23" s="52"/>
      <c r="S23" s="52"/>
      <c r="T23" s="330"/>
      <c r="U23" s="398"/>
      <c r="V23" s="52"/>
      <c r="W23" s="684"/>
      <c r="X23" s="684"/>
      <c r="Y23" s="473"/>
      <c r="Z23" s="682"/>
      <c r="AA23" s="471"/>
      <c r="AB23" s="682"/>
      <c r="AC23" s="52"/>
      <c r="AD23" s="61"/>
      <c r="AE23" s="61"/>
      <c r="AF23" s="64"/>
      <c r="AG23" s="61"/>
      <c r="AH23" s="61"/>
      <c r="AI23" s="61"/>
      <c r="AJ23" s="71"/>
      <c r="AK23" s="52"/>
      <c r="AL23" s="52"/>
      <c r="AM23" s="52"/>
      <c r="AN23" s="330"/>
      <c r="AO23" s="398"/>
      <c r="AP23" s="52"/>
      <c r="AQ23" s="52"/>
      <c r="AR23" s="52"/>
      <c r="AS23" s="52"/>
      <c r="AT23" s="52"/>
      <c r="AU23" s="52"/>
      <c r="AV23" s="52"/>
      <c r="AW23" s="64"/>
      <c r="AX23" s="64"/>
      <c r="AY23" s="473"/>
      <c r="AZ23" s="64"/>
      <c r="BA23" s="60"/>
      <c r="BB23" s="64"/>
      <c r="BC23" s="61"/>
      <c r="BD23" s="473"/>
      <c r="BE23" s="471"/>
      <c r="BF23" s="52"/>
      <c r="BG23" s="52"/>
      <c r="BH23" s="330"/>
      <c r="BI23" s="398"/>
      <c r="BJ23" s="52"/>
      <c r="BK23" s="52"/>
      <c r="BL23" s="71"/>
      <c r="BM23" s="52"/>
      <c r="BN23" s="52"/>
      <c r="BO23" s="52"/>
      <c r="BP23" s="52"/>
      <c r="BQ23" s="59"/>
      <c r="BR23" s="60"/>
      <c r="BS23" s="64"/>
      <c r="BT23" s="61"/>
      <c r="BU23" s="471"/>
      <c r="BV23" s="682"/>
      <c r="BW23" s="684"/>
      <c r="BX23" s="683"/>
      <c r="BY23" s="473"/>
      <c r="BZ23" s="471"/>
      <c r="CA23" s="71"/>
      <c r="CB23" s="330"/>
      <c r="CC23" s="685"/>
      <c r="CD23" s="52"/>
      <c r="CE23" s="71"/>
      <c r="CF23" s="71"/>
      <c r="CG23" s="52"/>
      <c r="CH23" s="52"/>
      <c r="CI23" s="52"/>
      <c r="CJ23" s="52"/>
      <c r="CK23" s="52"/>
      <c r="CL23" s="52"/>
      <c r="CM23" s="60"/>
      <c r="CN23" s="59"/>
      <c r="CO23" s="61"/>
      <c r="CP23" s="58"/>
      <c r="CQ23" s="473"/>
      <c r="CR23" s="473"/>
      <c r="CS23" s="46"/>
      <c r="CT23" s="64"/>
      <c r="CU23" s="59"/>
      <c r="CV23" s="330"/>
      <c r="CW23" s="685"/>
      <c r="CX23" s="52"/>
      <c r="CY23" s="52"/>
      <c r="CZ23" s="71"/>
      <c r="DA23" s="71"/>
      <c r="DB23" s="52"/>
      <c r="DC23" s="52"/>
      <c r="DD23" s="52"/>
      <c r="DE23" s="60"/>
      <c r="DF23" s="59"/>
      <c r="DG23" s="64"/>
      <c r="DH23" s="473"/>
      <c r="DI23" s="473"/>
      <c r="DJ23" s="473"/>
      <c r="DK23" s="64"/>
      <c r="DL23" s="64"/>
      <c r="DM23" s="61"/>
      <c r="DN23" s="52"/>
      <c r="DO23" s="52"/>
      <c r="DP23" s="52"/>
      <c r="DQ23" s="685"/>
      <c r="DR23" s="52"/>
      <c r="DS23" s="52"/>
      <c r="DT23" s="52"/>
      <c r="DU23" s="52"/>
      <c r="DV23" s="52"/>
      <c r="DW23" s="52"/>
      <c r="DX23" s="52"/>
      <c r="DY23" s="52"/>
      <c r="DZ23" s="52"/>
      <c r="EA23" s="60"/>
      <c r="EB23" s="60"/>
      <c r="EC23" s="64"/>
      <c r="ED23" s="64"/>
      <c r="EE23" s="64"/>
      <c r="EF23" s="52"/>
      <c r="EG23" s="52"/>
      <c r="EH23" s="52"/>
      <c r="EI23" s="52"/>
      <c r="EJ23" s="330"/>
      <c r="EK23" s="685"/>
      <c r="EL23" s="52"/>
      <c r="EM23" s="71"/>
      <c r="EN23" s="52"/>
      <c r="EO23" s="52"/>
      <c r="EP23" s="52"/>
      <c r="EQ23" s="52"/>
      <c r="ER23" s="683"/>
      <c r="ES23" s="682"/>
      <c r="ET23" s="684"/>
      <c r="EU23" s="684"/>
      <c r="EV23" s="683"/>
      <c r="EW23" s="473"/>
      <c r="EX23" s="60"/>
      <c r="EY23" s="61"/>
      <c r="EZ23" s="61"/>
      <c r="FA23" s="52"/>
      <c r="FB23" s="52"/>
      <c r="FC23" s="71"/>
      <c r="FD23" s="695"/>
      <c r="FE23" s="699"/>
    </row>
    <row r="24" spans="1:161">
      <c r="A24" s="71"/>
      <c r="B24" s="71"/>
      <c r="C24" s="71"/>
      <c r="D24" s="52"/>
      <c r="E24" s="52"/>
      <c r="F24" s="52"/>
      <c r="G24" s="683"/>
      <c r="H24" s="46"/>
      <c r="I24" s="46"/>
      <c r="J24" s="46"/>
      <c r="K24" s="52"/>
      <c r="L24" s="52"/>
      <c r="M24" s="52"/>
      <c r="N24" s="52"/>
      <c r="O24" s="52"/>
      <c r="P24" s="52"/>
      <c r="Q24" s="52"/>
      <c r="R24" s="52"/>
      <c r="S24" s="52"/>
      <c r="T24" s="330"/>
      <c r="U24" s="685"/>
      <c r="V24" s="52"/>
      <c r="W24" s="683"/>
      <c r="X24" s="684"/>
      <c r="Y24" s="473"/>
      <c r="Z24" s="683"/>
      <c r="AA24" s="682"/>
      <c r="AB24" s="683"/>
      <c r="AC24" s="683"/>
      <c r="AD24" s="682"/>
      <c r="AE24" s="61"/>
      <c r="AF24" s="64"/>
      <c r="AG24" s="64"/>
      <c r="AH24" s="61"/>
      <c r="AI24" s="61"/>
      <c r="AJ24" s="61"/>
      <c r="AK24" s="52"/>
      <c r="AL24" s="52"/>
      <c r="AM24" s="52"/>
      <c r="AN24" s="330"/>
      <c r="AO24" s="398"/>
      <c r="AP24" s="52"/>
      <c r="AQ24" s="52"/>
      <c r="AR24" s="52"/>
      <c r="AS24" s="52"/>
      <c r="AT24" s="52"/>
      <c r="AU24" s="52"/>
      <c r="AV24" s="52"/>
      <c r="AW24" s="60"/>
      <c r="AX24" s="59"/>
      <c r="AY24" s="59"/>
      <c r="AZ24" s="64"/>
      <c r="BA24" s="59"/>
      <c r="BB24" s="64"/>
      <c r="BC24" s="61"/>
      <c r="BD24" s="682"/>
      <c r="BE24" s="471"/>
      <c r="BF24" s="52"/>
      <c r="BG24" s="52"/>
      <c r="BH24" s="330"/>
      <c r="BI24" s="398"/>
      <c r="BJ24" s="52"/>
      <c r="BK24" s="52"/>
      <c r="BL24" s="71"/>
      <c r="BM24" s="52"/>
      <c r="BN24" s="52"/>
      <c r="BO24" s="52"/>
      <c r="BP24" s="52"/>
      <c r="BQ24" s="60"/>
      <c r="BR24" s="60"/>
      <c r="BS24" s="64"/>
      <c r="BT24" s="61"/>
      <c r="BU24" s="471"/>
      <c r="BV24" s="683"/>
      <c r="BW24" s="682"/>
      <c r="BX24" s="683"/>
      <c r="BY24" s="683"/>
      <c r="BZ24" s="473"/>
      <c r="CA24" s="71"/>
      <c r="CB24" s="330"/>
      <c r="CC24" s="685"/>
      <c r="CD24" s="52"/>
      <c r="CE24" s="71"/>
      <c r="CF24" s="71"/>
      <c r="CG24" s="52"/>
      <c r="CH24" s="52"/>
      <c r="CI24" s="52"/>
      <c r="CJ24" s="52"/>
      <c r="CK24" s="52"/>
      <c r="CL24" s="52"/>
      <c r="CM24" s="60"/>
      <c r="CN24" s="59"/>
      <c r="CO24" s="61"/>
      <c r="CP24" s="473"/>
      <c r="CQ24" s="473"/>
      <c r="CR24" s="683"/>
      <c r="CS24" s="473"/>
      <c r="CT24" s="61"/>
      <c r="CU24" s="52"/>
      <c r="CV24" s="330"/>
      <c r="CW24" s="685"/>
      <c r="CX24" s="52"/>
      <c r="CY24" s="52"/>
      <c r="CZ24" s="71"/>
      <c r="DA24" s="71"/>
      <c r="DB24" s="52"/>
      <c r="DC24" s="52"/>
      <c r="DD24" s="52"/>
      <c r="DE24" s="60"/>
      <c r="DF24" s="59"/>
      <c r="DG24" s="64"/>
      <c r="DH24" s="682"/>
      <c r="DI24" s="683"/>
      <c r="DJ24" s="473"/>
      <c r="DK24" s="61"/>
      <c r="DL24" s="60"/>
      <c r="DM24" s="61"/>
      <c r="DN24" s="52"/>
      <c r="DO24" s="52"/>
      <c r="DP24" s="52"/>
      <c r="DQ24" s="685"/>
      <c r="DR24" s="52"/>
      <c r="DS24" s="52"/>
      <c r="DT24" s="52"/>
      <c r="DU24" s="52"/>
      <c r="DV24" s="52"/>
      <c r="DW24" s="52"/>
      <c r="DX24" s="52"/>
      <c r="DY24" s="52"/>
      <c r="DZ24" s="60"/>
      <c r="EA24" s="59"/>
      <c r="EB24" s="64"/>
      <c r="EC24" s="64"/>
      <c r="ED24" s="61"/>
      <c r="EE24" s="61"/>
      <c r="EF24" s="52"/>
      <c r="EG24" s="71"/>
      <c r="EH24" s="52"/>
      <c r="EI24" s="52"/>
      <c r="EJ24" s="330"/>
      <c r="EK24" s="685"/>
      <c r="EL24" s="52"/>
      <c r="EM24" s="52"/>
      <c r="EN24" s="71"/>
      <c r="EO24" s="52"/>
      <c r="EP24" s="52"/>
      <c r="EQ24" s="52"/>
      <c r="ER24" s="52"/>
      <c r="ES24" s="683"/>
      <c r="ET24" s="682"/>
      <c r="EU24" s="684"/>
      <c r="EV24" s="684"/>
      <c r="EW24" s="60"/>
      <c r="EX24" s="64"/>
      <c r="EY24" s="64"/>
      <c r="EZ24" s="59"/>
      <c r="FA24" s="64"/>
      <c r="FB24" s="52"/>
      <c r="FC24" s="71"/>
      <c r="FD24" s="695"/>
      <c r="FE24" s="699"/>
    </row>
    <row r="25" spans="1:161">
      <c r="A25" s="71"/>
      <c r="B25" s="473" t="s">
        <v>674</v>
      </c>
      <c r="C25" s="71"/>
      <c r="D25" s="52"/>
      <c r="E25" s="52"/>
      <c r="F25" s="683"/>
      <c r="G25" s="473"/>
      <c r="H25" s="46"/>
      <c r="I25" s="682"/>
      <c r="J25" s="46"/>
      <c r="K25" s="52"/>
      <c r="L25" s="52"/>
      <c r="M25" s="52"/>
      <c r="N25" s="52"/>
      <c r="O25" s="52"/>
      <c r="P25" s="52"/>
      <c r="Q25" s="52"/>
      <c r="R25" s="52"/>
      <c r="S25" s="52"/>
      <c r="T25" s="330"/>
      <c r="U25" s="685"/>
      <c r="V25" s="52"/>
      <c r="W25" s="683"/>
      <c r="X25" s="684"/>
      <c r="Y25" s="473"/>
      <c r="Z25" s="683"/>
      <c r="AA25" s="682"/>
      <c r="AB25" s="683"/>
      <c r="AC25" s="683"/>
      <c r="AD25" s="682"/>
      <c r="AE25" s="473"/>
      <c r="AF25" s="60"/>
      <c r="AG25" s="64"/>
      <c r="AH25" s="473"/>
      <c r="AI25" s="61"/>
      <c r="AJ25" s="473"/>
      <c r="AK25" s="52"/>
      <c r="AL25" s="52"/>
      <c r="AM25" s="52"/>
      <c r="AN25" s="330"/>
      <c r="AO25" s="398"/>
      <c r="AP25" s="52"/>
      <c r="AQ25" s="52"/>
      <c r="AR25" s="52"/>
      <c r="AS25" s="52"/>
      <c r="AT25" s="52"/>
      <c r="AU25" s="52"/>
      <c r="AV25" s="60"/>
      <c r="AW25" s="60"/>
      <c r="AX25" s="60"/>
      <c r="AY25" s="59"/>
      <c r="AZ25" s="59"/>
      <c r="BA25" s="59"/>
      <c r="BB25" s="61"/>
      <c r="BC25" s="61"/>
      <c r="BD25" s="682"/>
      <c r="BE25" s="682"/>
      <c r="BF25" s="471"/>
      <c r="BG25" s="52"/>
      <c r="BH25" s="330"/>
      <c r="BI25" s="398"/>
      <c r="BJ25" s="52"/>
      <c r="BK25" s="52"/>
      <c r="BL25" s="52"/>
      <c r="BM25" s="52"/>
      <c r="BN25" s="52"/>
      <c r="BO25" s="52"/>
      <c r="BP25" s="60"/>
      <c r="BQ25" s="60"/>
      <c r="BR25" s="60"/>
      <c r="BS25" s="60"/>
      <c r="BT25" s="61"/>
      <c r="BU25" s="61"/>
      <c r="BV25" s="46"/>
      <c r="BW25" s="683"/>
      <c r="BX25" s="684"/>
      <c r="BY25" s="683"/>
      <c r="BZ25" s="473"/>
      <c r="CA25" s="71"/>
      <c r="CB25" s="330"/>
      <c r="CC25" s="685"/>
      <c r="CD25" s="52"/>
      <c r="CE25" s="71"/>
      <c r="CF25" s="71"/>
      <c r="CG25" s="52"/>
      <c r="CH25" s="52"/>
      <c r="CI25" s="52"/>
      <c r="CJ25" s="52"/>
      <c r="CK25" s="52"/>
      <c r="CL25" s="60"/>
      <c r="CM25" s="59"/>
      <c r="CN25" s="59"/>
      <c r="CO25" s="473"/>
      <c r="CP25" s="684"/>
      <c r="CQ25" s="683"/>
      <c r="CR25" s="683"/>
      <c r="CS25" s="473"/>
      <c r="CT25" s="60"/>
      <c r="CU25" s="52"/>
      <c r="CV25" s="330"/>
      <c r="CW25" s="685"/>
      <c r="CX25" s="52"/>
      <c r="CY25" s="52"/>
      <c r="CZ25" s="71"/>
      <c r="DA25" s="71"/>
      <c r="DB25" s="52"/>
      <c r="DC25" s="52"/>
      <c r="DD25" s="52"/>
      <c r="DE25" s="60"/>
      <c r="DF25" s="59"/>
      <c r="DG25" s="682"/>
      <c r="DH25" s="683"/>
      <c r="DI25" s="683"/>
      <c r="DJ25" s="60"/>
      <c r="DK25" s="64"/>
      <c r="DL25" s="64"/>
      <c r="DM25" s="64"/>
      <c r="DN25" s="52"/>
      <c r="DO25" s="52"/>
      <c r="DP25" s="52"/>
      <c r="DQ25" s="685"/>
      <c r="DR25" s="52"/>
      <c r="DS25" s="52"/>
      <c r="DT25" s="52"/>
      <c r="DU25" s="52"/>
      <c r="DV25" s="52"/>
      <c r="DW25" s="52"/>
      <c r="DX25" s="52"/>
      <c r="DY25" s="60"/>
      <c r="DZ25" s="59"/>
      <c r="EA25" s="60"/>
      <c r="EB25" s="64"/>
      <c r="EC25" s="473"/>
      <c r="ED25" s="64"/>
      <c r="EE25" s="64"/>
      <c r="EF25" s="61"/>
      <c r="EG25" s="71"/>
      <c r="EH25" s="52"/>
      <c r="EI25" s="52"/>
      <c r="EJ25" s="330"/>
      <c r="EK25" s="685"/>
      <c r="EL25" s="52"/>
      <c r="EM25" s="52"/>
      <c r="EN25" s="71"/>
      <c r="EO25" s="52"/>
      <c r="EP25" s="52"/>
      <c r="EQ25" s="52"/>
      <c r="ER25" s="52"/>
      <c r="ES25" s="52"/>
      <c r="ET25" s="683"/>
      <c r="EU25" s="682"/>
      <c r="EV25" s="60"/>
      <c r="EW25" s="59"/>
      <c r="EX25" s="61"/>
      <c r="EY25" s="60"/>
      <c r="EZ25" s="64"/>
      <c r="FA25" s="60"/>
      <c r="FB25" s="64"/>
      <c r="FC25" s="71"/>
      <c r="FD25" s="695"/>
      <c r="FE25" s="699"/>
    </row>
    <row r="26" spans="1:161">
      <c r="A26" s="71"/>
      <c r="B26" s="683" t="s">
        <v>674</v>
      </c>
      <c r="C26" s="473"/>
      <c r="D26" s="71"/>
      <c r="E26" s="683"/>
      <c r="F26" s="682"/>
      <c r="G26" s="473"/>
      <c r="H26" s="688"/>
      <c r="I26" s="683"/>
      <c r="J26" s="473"/>
      <c r="K26" s="52"/>
      <c r="L26" s="52"/>
      <c r="M26" s="52"/>
      <c r="N26" s="52"/>
      <c r="O26" s="52"/>
      <c r="P26" s="52"/>
      <c r="Q26" s="52"/>
      <c r="R26" s="52"/>
      <c r="S26" s="52"/>
      <c r="T26" s="330"/>
      <c r="U26" s="398"/>
      <c r="V26" s="52"/>
      <c r="W26" s="683"/>
      <c r="X26" s="684"/>
      <c r="Y26" s="473"/>
      <c r="Z26" s="682"/>
      <c r="AA26" s="683"/>
      <c r="AB26" s="684"/>
      <c r="AC26" s="684"/>
      <c r="AD26" s="684"/>
      <c r="AE26" s="683"/>
      <c r="AF26" s="60"/>
      <c r="AG26" s="64"/>
      <c r="AH26" s="61"/>
      <c r="AI26" s="683"/>
      <c r="AJ26" s="473"/>
      <c r="AK26" s="52"/>
      <c r="AL26" s="52"/>
      <c r="AM26" s="52"/>
      <c r="AN26" s="330"/>
      <c r="AO26" s="398"/>
      <c r="AP26" s="52"/>
      <c r="AQ26" s="52"/>
      <c r="AR26" s="52"/>
      <c r="AS26" s="52"/>
      <c r="AT26" s="52"/>
      <c r="AU26" s="52"/>
      <c r="AV26" s="60"/>
      <c r="AW26" s="60"/>
      <c r="AX26" s="59"/>
      <c r="AY26" s="59"/>
      <c r="AZ26" s="59"/>
      <c r="BA26" s="64"/>
      <c r="BB26" s="64"/>
      <c r="BC26" s="471"/>
      <c r="BD26" s="473"/>
      <c r="BE26" s="473"/>
      <c r="BF26" s="471"/>
      <c r="BG26" s="52"/>
      <c r="BH26" s="330"/>
      <c r="BI26" s="398"/>
      <c r="BJ26" s="52"/>
      <c r="BK26" s="52"/>
      <c r="BL26" s="52"/>
      <c r="BM26" s="52"/>
      <c r="BN26" s="52"/>
      <c r="BO26" s="52"/>
      <c r="BP26" s="60"/>
      <c r="BQ26" s="59"/>
      <c r="BR26" s="60"/>
      <c r="BS26" s="61"/>
      <c r="BT26" s="64"/>
      <c r="BU26" s="64"/>
      <c r="BV26" s="473"/>
      <c r="BW26" s="682"/>
      <c r="BX26" s="473"/>
      <c r="BY26" s="473"/>
      <c r="BZ26" s="52"/>
      <c r="CA26" s="71"/>
      <c r="CB26" s="330"/>
      <c r="CC26" s="685"/>
      <c r="CD26" s="52"/>
      <c r="CE26" s="71"/>
      <c r="CF26" s="71"/>
      <c r="CG26" s="52"/>
      <c r="CH26" s="52"/>
      <c r="CI26" s="52"/>
      <c r="CJ26" s="52"/>
      <c r="CK26" s="52"/>
      <c r="CL26" s="60"/>
      <c r="CM26" s="59"/>
      <c r="CN26" s="59"/>
      <c r="CO26" s="64"/>
      <c r="CP26" s="473"/>
      <c r="CQ26" s="473"/>
      <c r="CR26" s="683"/>
      <c r="CS26" s="473"/>
      <c r="CT26" s="52"/>
      <c r="CU26" s="52"/>
      <c r="CV26" s="330"/>
      <c r="CW26" s="685"/>
      <c r="CX26" s="52"/>
      <c r="CY26" s="52"/>
      <c r="CZ26" s="71"/>
      <c r="DA26" s="71"/>
      <c r="DB26" s="52"/>
      <c r="DC26" s="52"/>
      <c r="DD26" s="52"/>
      <c r="DE26" s="60"/>
      <c r="DF26" s="60"/>
      <c r="DG26" s="684"/>
      <c r="DH26" s="682"/>
      <c r="DI26" s="683"/>
      <c r="DJ26" s="682"/>
      <c r="DK26" s="473"/>
      <c r="DL26" s="64"/>
      <c r="DM26" s="52"/>
      <c r="DN26" s="52"/>
      <c r="DO26" s="52"/>
      <c r="DP26" s="52"/>
      <c r="DQ26" s="685"/>
      <c r="DR26" s="52"/>
      <c r="DS26" s="52"/>
      <c r="DT26" s="52"/>
      <c r="DU26" s="52"/>
      <c r="DV26" s="52"/>
      <c r="DW26" s="52"/>
      <c r="DX26" s="52"/>
      <c r="DY26" s="60"/>
      <c r="DZ26" s="59"/>
      <c r="EA26" s="60"/>
      <c r="EB26" s="61"/>
      <c r="EC26" s="473"/>
      <c r="ED26" s="61"/>
      <c r="EE26" s="61"/>
      <c r="EF26" s="64"/>
      <c r="EG26" s="71"/>
      <c r="EH26" s="52"/>
      <c r="EI26" s="52"/>
      <c r="EJ26" s="330"/>
      <c r="EK26" s="685"/>
      <c r="EL26" s="52"/>
      <c r="EM26" s="52"/>
      <c r="EN26" s="71"/>
      <c r="EO26" s="52"/>
      <c r="EP26" s="52"/>
      <c r="EQ26" s="52"/>
      <c r="ER26" s="52"/>
      <c r="ES26" s="52"/>
      <c r="ET26" s="52"/>
      <c r="EU26" s="683"/>
      <c r="EV26" s="60"/>
      <c r="EW26" s="64"/>
      <c r="EX26" s="473"/>
      <c r="EY26" s="473"/>
      <c r="EZ26" s="61"/>
      <c r="FA26" s="64"/>
      <c r="FB26" s="60"/>
      <c r="FC26" s="64"/>
      <c r="FD26" s="695"/>
      <c r="FE26" s="699"/>
    </row>
    <row r="27" spans="1:161">
      <c r="A27" s="71"/>
      <c r="B27" s="473"/>
      <c r="C27" s="682"/>
      <c r="D27" s="46"/>
      <c r="E27" s="683"/>
      <c r="F27" s="473"/>
      <c r="G27" s="688"/>
      <c r="H27" s="683"/>
      <c r="I27" s="473"/>
      <c r="J27" s="46"/>
      <c r="K27" s="52"/>
      <c r="L27" s="52"/>
      <c r="M27" s="52"/>
      <c r="N27" s="52"/>
      <c r="O27" s="52"/>
      <c r="P27" s="52"/>
      <c r="Q27" s="52"/>
      <c r="R27" s="52"/>
      <c r="S27" s="52"/>
      <c r="T27" s="330"/>
      <c r="U27" s="398"/>
      <c r="V27" s="52"/>
      <c r="W27" s="682"/>
      <c r="X27" s="682"/>
      <c r="Y27" s="682"/>
      <c r="Z27" s="683"/>
      <c r="AA27" s="682"/>
      <c r="AB27" s="683"/>
      <c r="AC27" s="683"/>
      <c r="AD27" s="682"/>
      <c r="AE27" s="473"/>
      <c r="AF27" s="60"/>
      <c r="AG27" s="64"/>
      <c r="AH27" s="64"/>
      <c r="AI27" s="682"/>
      <c r="AJ27" s="71"/>
      <c r="AK27" s="52"/>
      <c r="AL27" s="52"/>
      <c r="AM27" s="52"/>
      <c r="AN27" s="330"/>
      <c r="AO27" s="398"/>
      <c r="AP27" s="52"/>
      <c r="AQ27" s="52"/>
      <c r="AR27" s="52"/>
      <c r="AS27" s="52"/>
      <c r="AT27" s="52"/>
      <c r="AU27" s="60"/>
      <c r="AV27" s="60"/>
      <c r="AW27" s="59"/>
      <c r="AX27" s="59"/>
      <c r="AY27" s="59"/>
      <c r="AZ27" s="64"/>
      <c r="BA27" s="60"/>
      <c r="BB27" s="64"/>
      <c r="BC27" s="61"/>
      <c r="BD27" s="471"/>
      <c r="BE27" s="471"/>
      <c r="BF27" s="52"/>
      <c r="BG27" s="52"/>
      <c r="BH27" s="330"/>
      <c r="BI27" s="398"/>
      <c r="BJ27" s="52"/>
      <c r="BK27" s="52"/>
      <c r="BL27" s="52"/>
      <c r="BM27" s="52"/>
      <c r="BN27" s="52"/>
      <c r="BO27" s="60"/>
      <c r="BP27" s="59"/>
      <c r="BQ27" s="59"/>
      <c r="BR27" s="59"/>
      <c r="BS27" s="59"/>
      <c r="BT27" s="60"/>
      <c r="BU27" s="64"/>
      <c r="BV27" s="61"/>
      <c r="BW27" s="473"/>
      <c r="BX27" s="52"/>
      <c r="BY27" s="52"/>
      <c r="BZ27" s="52"/>
      <c r="CA27" s="71"/>
      <c r="CB27" s="330"/>
      <c r="CC27" s="685"/>
      <c r="CD27" s="52"/>
      <c r="CE27" s="71"/>
      <c r="CF27" s="71"/>
      <c r="CG27" s="52"/>
      <c r="CH27" s="52"/>
      <c r="CI27" s="52"/>
      <c r="CJ27" s="52"/>
      <c r="CK27" s="60"/>
      <c r="CL27" s="59"/>
      <c r="CM27" s="59"/>
      <c r="CN27" s="60"/>
      <c r="CO27" s="64"/>
      <c r="CP27" s="61"/>
      <c r="CQ27" s="46"/>
      <c r="CR27" s="473"/>
      <c r="CS27" s="52"/>
      <c r="CT27" s="52"/>
      <c r="CU27" s="52"/>
      <c r="CV27" s="330"/>
      <c r="CW27" s="398"/>
      <c r="CX27" s="52"/>
      <c r="CY27" s="52"/>
      <c r="CZ27" s="71"/>
      <c r="DA27" s="71"/>
      <c r="DB27" s="52"/>
      <c r="DC27" s="52"/>
      <c r="DD27" s="60" t="s">
        <v>674</v>
      </c>
      <c r="DE27" s="59"/>
      <c r="DF27" s="60" t="s">
        <v>674</v>
      </c>
      <c r="DG27" s="473"/>
      <c r="DH27" s="473"/>
      <c r="DI27" s="682"/>
      <c r="DJ27" s="471"/>
      <c r="DK27" s="471"/>
      <c r="DL27" s="64"/>
      <c r="DM27" s="52"/>
      <c r="DN27" s="52"/>
      <c r="DO27" s="52"/>
      <c r="DP27" s="52"/>
      <c r="DQ27" s="685"/>
      <c r="DR27" s="52"/>
      <c r="DS27" s="52"/>
      <c r="DT27" s="52"/>
      <c r="DU27" s="52"/>
      <c r="DV27" s="52"/>
      <c r="DW27" s="52"/>
      <c r="DX27" s="52"/>
      <c r="DY27" s="60"/>
      <c r="DZ27" s="59"/>
      <c r="EA27" s="60"/>
      <c r="EB27" s="473"/>
      <c r="EC27" s="58"/>
      <c r="ED27" s="64"/>
      <c r="EE27" s="64"/>
      <c r="EF27" s="61"/>
      <c r="EG27" s="71"/>
      <c r="EH27" s="52"/>
      <c r="EI27" s="52"/>
      <c r="EJ27" s="330"/>
      <c r="EK27" s="685"/>
      <c r="EL27" s="52"/>
      <c r="EM27" s="52"/>
      <c r="EN27" s="71"/>
      <c r="EO27" s="52"/>
      <c r="EP27" s="52"/>
      <c r="EQ27" s="52"/>
      <c r="ER27" s="52"/>
      <c r="ES27" s="52"/>
      <c r="ET27" s="52"/>
      <c r="EU27" s="52"/>
      <c r="EV27" s="60"/>
      <c r="EW27" s="64"/>
      <c r="EX27" s="61"/>
      <c r="EY27" s="682"/>
      <c r="EZ27" s="473"/>
      <c r="FA27" s="61"/>
      <c r="FB27" s="64"/>
      <c r="FC27" s="64"/>
      <c r="FD27" s="695"/>
      <c r="FE27" s="699"/>
    </row>
    <row r="28" spans="1:161">
      <c r="A28" s="71"/>
      <c r="B28" s="71"/>
      <c r="C28" s="473"/>
      <c r="D28" s="682"/>
      <c r="E28" s="473"/>
      <c r="F28" s="688"/>
      <c r="G28" s="682"/>
      <c r="H28" s="684"/>
      <c r="I28" s="683"/>
      <c r="J28" s="683"/>
      <c r="K28" s="473"/>
      <c r="L28" s="52"/>
      <c r="M28" s="52"/>
      <c r="N28" s="52"/>
      <c r="O28" s="52"/>
      <c r="P28" s="52"/>
      <c r="Q28" s="52"/>
      <c r="R28" s="52"/>
      <c r="S28" s="52"/>
      <c r="T28" s="330"/>
      <c r="U28" s="398"/>
      <c r="V28" s="52"/>
      <c r="W28" s="682"/>
      <c r="X28" s="682"/>
      <c r="Y28" s="682"/>
      <c r="Z28" s="683"/>
      <c r="AA28" s="682"/>
      <c r="AB28" s="682"/>
      <c r="AC28" s="682"/>
      <c r="AD28" s="59"/>
      <c r="AE28" s="64"/>
      <c r="AF28" s="59"/>
      <c r="AG28" s="64"/>
      <c r="AH28" s="64"/>
      <c r="AI28" s="64"/>
      <c r="AJ28" s="71"/>
      <c r="AK28" s="52"/>
      <c r="AL28" s="52"/>
      <c r="AM28" s="52"/>
      <c r="AN28" s="330"/>
      <c r="AO28" s="398"/>
      <c r="AP28" s="52"/>
      <c r="AQ28" s="52"/>
      <c r="AR28" s="52"/>
      <c r="AS28" s="52"/>
      <c r="AT28" s="52"/>
      <c r="AU28" s="60"/>
      <c r="AV28" s="59"/>
      <c r="AW28" s="59"/>
      <c r="AX28" s="59"/>
      <c r="AY28" s="60"/>
      <c r="AZ28" s="60"/>
      <c r="BA28" s="64"/>
      <c r="BB28" s="61"/>
      <c r="BC28" s="52"/>
      <c r="BD28" s="52"/>
      <c r="BE28" s="52"/>
      <c r="BF28" s="52"/>
      <c r="BG28" s="52"/>
      <c r="BH28" s="330"/>
      <c r="BI28" s="398"/>
      <c r="BJ28" s="52"/>
      <c r="BK28" s="52"/>
      <c r="BL28" s="52"/>
      <c r="BM28" s="52"/>
      <c r="BN28" s="60"/>
      <c r="BO28" s="60"/>
      <c r="BP28" s="59"/>
      <c r="BQ28" s="59"/>
      <c r="BR28" s="59"/>
      <c r="BS28" s="60"/>
      <c r="BT28" s="64"/>
      <c r="BU28" s="61"/>
      <c r="BV28" s="52"/>
      <c r="BW28" s="52"/>
      <c r="BX28" s="52"/>
      <c r="BY28" s="52"/>
      <c r="BZ28" s="52"/>
      <c r="CA28" s="71"/>
      <c r="CB28" s="330"/>
      <c r="CC28" s="685"/>
      <c r="CD28" s="52"/>
      <c r="CE28" s="71"/>
      <c r="CF28" s="71"/>
      <c r="CG28" s="52"/>
      <c r="CH28" s="52"/>
      <c r="CI28" s="52"/>
      <c r="CJ28" s="60"/>
      <c r="CK28" s="59"/>
      <c r="CL28" s="59"/>
      <c r="CM28" s="60"/>
      <c r="CN28" s="60"/>
      <c r="CO28" s="61"/>
      <c r="CP28" s="60"/>
      <c r="CQ28" s="64"/>
      <c r="CR28" s="52"/>
      <c r="CS28" s="52"/>
      <c r="CT28" s="52"/>
      <c r="CU28" s="52"/>
      <c r="CV28" s="330"/>
      <c r="CW28" s="398"/>
      <c r="CX28" s="52"/>
      <c r="CY28" s="52"/>
      <c r="CZ28" s="52"/>
      <c r="DA28" s="52"/>
      <c r="DB28" s="52"/>
      <c r="DC28" s="52"/>
      <c r="DD28" s="60" t="s">
        <v>674</v>
      </c>
      <c r="DE28" s="59"/>
      <c r="DF28" s="64"/>
      <c r="DG28" s="64"/>
      <c r="DH28" s="471"/>
      <c r="DI28" s="46"/>
      <c r="DJ28" s="61"/>
      <c r="DK28" s="61"/>
      <c r="DL28" s="52"/>
      <c r="DM28" s="52"/>
      <c r="DN28" s="52"/>
      <c r="DO28" s="52"/>
      <c r="DP28" s="52"/>
      <c r="DQ28" s="685"/>
      <c r="DR28" s="52"/>
      <c r="DS28" s="52"/>
      <c r="DT28" s="52"/>
      <c r="DU28" s="52"/>
      <c r="DV28" s="52"/>
      <c r="DW28" s="52"/>
      <c r="DX28" s="60"/>
      <c r="DY28" s="60"/>
      <c r="DZ28" s="60"/>
      <c r="EA28" s="61"/>
      <c r="EB28" s="473"/>
      <c r="EC28" s="61"/>
      <c r="ED28" s="64"/>
      <c r="EE28" s="61"/>
      <c r="EF28" s="64"/>
      <c r="EG28" s="71"/>
      <c r="EH28" s="52"/>
      <c r="EI28" s="52"/>
      <c r="EJ28" s="330"/>
      <c r="EK28" s="685"/>
      <c r="EL28" s="52"/>
      <c r="EM28" s="52"/>
      <c r="EN28" s="71"/>
      <c r="EO28" s="52"/>
      <c r="EP28" s="52"/>
      <c r="EQ28" s="52"/>
      <c r="ER28" s="52"/>
      <c r="ES28" s="52"/>
      <c r="ET28" s="52"/>
      <c r="EU28" s="60"/>
      <c r="EV28" s="60"/>
      <c r="EW28" s="60"/>
      <c r="EX28" s="473"/>
      <c r="EY28" s="473"/>
      <c r="EZ28" s="682"/>
      <c r="FA28" s="473"/>
      <c r="FB28" s="473"/>
      <c r="FC28" s="61"/>
      <c r="FD28" s="695"/>
      <c r="FE28" s="699"/>
    </row>
    <row r="29" spans="1:161">
      <c r="A29" s="71"/>
      <c r="B29" s="71"/>
      <c r="C29" s="71"/>
      <c r="D29" s="46"/>
      <c r="E29" s="682"/>
      <c r="F29" s="683"/>
      <c r="G29" s="473"/>
      <c r="H29" s="682"/>
      <c r="I29" s="683"/>
      <c r="J29" s="684"/>
      <c r="K29" s="683"/>
      <c r="L29" s="471"/>
      <c r="M29" s="52"/>
      <c r="N29" s="52"/>
      <c r="O29" s="52"/>
      <c r="P29" s="52"/>
      <c r="Q29" s="52"/>
      <c r="R29" s="52"/>
      <c r="S29" s="52"/>
      <c r="T29" s="330"/>
      <c r="U29" s="686"/>
      <c r="V29" s="683"/>
      <c r="W29" s="683"/>
      <c r="X29" s="683"/>
      <c r="Y29" s="683"/>
      <c r="Z29" s="473"/>
      <c r="AA29" s="471"/>
      <c r="AB29" s="52"/>
      <c r="AC29" s="60"/>
      <c r="AD29" s="59"/>
      <c r="AE29" s="59"/>
      <c r="AF29" s="59"/>
      <c r="AG29" s="64"/>
      <c r="AH29" s="61"/>
      <c r="AI29" s="52"/>
      <c r="AJ29" s="71"/>
      <c r="AK29" s="52"/>
      <c r="AL29" s="52"/>
      <c r="AM29" s="52"/>
      <c r="AN29" s="330"/>
      <c r="AO29" s="398"/>
      <c r="AP29" s="52"/>
      <c r="AQ29" s="52"/>
      <c r="AR29" s="52"/>
      <c r="AS29" s="52"/>
      <c r="AT29" s="60"/>
      <c r="AU29" s="59"/>
      <c r="AV29" s="59"/>
      <c r="AW29" s="59"/>
      <c r="AX29" s="59"/>
      <c r="AY29" s="60"/>
      <c r="AZ29" s="60"/>
      <c r="BA29" s="61"/>
      <c r="BB29" s="52"/>
      <c r="BC29" s="52"/>
      <c r="BD29" s="52"/>
      <c r="BE29" s="52"/>
      <c r="BF29" s="52"/>
      <c r="BG29" s="52"/>
      <c r="BH29" s="330"/>
      <c r="BI29" s="398"/>
      <c r="BJ29" s="52"/>
      <c r="BK29" s="52"/>
      <c r="BL29" s="52"/>
      <c r="BM29" s="52"/>
      <c r="BN29" s="60"/>
      <c r="BO29" s="59"/>
      <c r="BP29" s="59"/>
      <c r="BQ29" s="59"/>
      <c r="BR29" s="59"/>
      <c r="BS29" s="60"/>
      <c r="BT29" s="64"/>
      <c r="BU29" s="61"/>
      <c r="BV29" s="52"/>
      <c r="BW29" s="52"/>
      <c r="BX29" s="52"/>
      <c r="BY29" s="52"/>
      <c r="BZ29" s="52"/>
      <c r="CA29" s="71"/>
      <c r="CB29" s="330"/>
      <c r="CC29" s="685"/>
      <c r="CD29" s="52"/>
      <c r="CE29" s="71"/>
      <c r="CF29" s="71"/>
      <c r="CG29" s="52"/>
      <c r="CH29" s="52"/>
      <c r="CI29" s="60"/>
      <c r="CJ29" s="59"/>
      <c r="CK29" s="59"/>
      <c r="CL29" s="60"/>
      <c r="CM29" s="60"/>
      <c r="CN29" s="64"/>
      <c r="CO29" s="64"/>
      <c r="CP29" s="60"/>
      <c r="CQ29" s="61"/>
      <c r="CR29" s="52"/>
      <c r="CS29" s="52"/>
      <c r="CT29" s="52"/>
      <c r="CU29" s="52"/>
      <c r="CV29" s="330"/>
      <c r="CW29" s="398"/>
      <c r="CX29" s="52" t="s">
        <v>674</v>
      </c>
      <c r="CY29" s="52"/>
      <c r="CZ29" s="71" t="s">
        <v>674</v>
      </c>
      <c r="DA29" s="71" t="s">
        <v>674</v>
      </c>
      <c r="DB29" s="52"/>
      <c r="DC29" s="60"/>
      <c r="DD29" s="60"/>
      <c r="DE29" s="59" t="s">
        <v>674</v>
      </c>
      <c r="DF29" s="59" t="s">
        <v>674</v>
      </c>
      <c r="DG29" s="60"/>
      <c r="DH29" s="64"/>
      <c r="DI29" s="61"/>
      <c r="DJ29" s="61"/>
      <c r="DK29" s="52"/>
      <c r="DL29" s="52"/>
      <c r="DM29" s="52"/>
      <c r="DN29" s="52"/>
      <c r="DO29" s="52"/>
      <c r="DP29" s="52"/>
      <c r="DQ29" s="685"/>
      <c r="DR29" s="52"/>
      <c r="DS29" s="52"/>
      <c r="DT29" s="52"/>
      <c r="DU29" s="52"/>
      <c r="DV29" s="52"/>
      <c r="DW29" s="52"/>
      <c r="DX29" s="60"/>
      <c r="DY29" s="59"/>
      <c r="DZ29" s="61"/>
      <c r="EA29" s="61"/>
      <c r="EB29" s="58"/>
      <c r="EC29" s="683"/>
      <c r="ED29" s="473"/>
      <c r="EE29" s="64"/>
      <c r="EF29" s="61"/>
      <c r="EG29" s="71"/>
      <c r="EH29" s="52"/>
      <c r="EI29" s="52"/>
      <c r="EJ29" s="330"/>
      <c r="EK29" s="685"/>
      <c r="EL29" s="52"/>
      <c r="EM29" s="52"/>
      <c r="EN29" s="71"/>
      <c r="EO29" s="52"/>
      <c r="EP29" s="52"/>
      <c r="EQ29" s="52"/>
      <c r="ER29" s="52"/>
      <c r="ES29" s="52"/>
      <c r="ET29" s="52"/>
      <c r="EU29" s="60"/>
      <c r="EV29" s="60"/>
      <c r="EW29" s="59"/>
      <c r="EX29" s="61"/>
      <c r="EY29" s="473"/>
      <c r="EZ29" s="683"/>
      <c r="FA29" s="684"/>
      <c r="FB29" s="683"/>
      <c r="FC29" s="473"/>
      <c r="FD29" s="695"/>
      <c r="FE29" s="699"/>
    </row>
    <row r="30" spans="1:161">
      <c r="A30" s="71"/>
      <c r="B30" s="71"/>
      <c r="C30" s="71"/>
      <c r="D30" s="52"/>
      <c r="E30" s="471"/>
      <c r="F30" s="473"/>
      <c r="G30" s="46"/>
      <c r="H30" s="684"/>
      <c r="I30" s="682"/>
      <c r="J30" s="683"/>
      <c r="K30" s="684"/>
      <c r="L30" s="683"/>
      <c r="M30" s="471"/>
      <c r="N30" s="64"/>
      <c r="O30" s="61"/>
      <c r="P30" s="61"/>
      <c r="Q30" s="52"/>
      <c r="R30" s="52"/>
      <c r="S30" s="52"/>
      <c r="T30" s="330"/>
      <c r="U30" s="398"/>
      <c r="V30" s="473"/>
      <c r="W30" s="473"/>
      <c r="X30" s="473"/>
      <c r="Y30" s="473"/>
      <c r="Z30" s="52"/>
      <c r="AA30" s="52"/>
      <c r="AB30" s="60"/>
      <c r="AC30" s="59"/>
      <c r="AD30" s="60"/>
      <c r="AE30" s="59"/>
      <c r="AF30" s="64"/>
      <c r="AG30" s="64"/>
      <c r="AH30" s="61"/>
      <c r="AI30" s="52"/>
      <c r="AJ30" s="71"/>
      <c r="AK30" s="52"/>
      <c r="AL30" s="52"/>
      <c r="AM30" s="52"/>
      <c r="AN30" s="330"/>
      <c r="AO30" s="398"/>
      <c r="AP30" s="52"/>
      <c r="AQ30" s="52"/>
      <c r="AR30" s="52"/>
      <c r="AS30" s="60"/>
      <c r="AT30" s="60"/>
      <c r="AU30" s="59"/>
      <c r="AV30" s="59"/>
      <c r="AW30" s="59"/>
      <c r="AX30" s="60"/>
      <c r="AY30" s="60"/>
      <c r="AZ30" s="64"/>
      <c r="BA30" s="52"/>
      <c r="BB30" s="52"/>
      <c r="BC30" s="52"/>
      <c r="BD30" s="52"/>
      <c r="BE30" s="52"/>
      <c r="BF30" s="71"/>
      <c r="BG30" s="52"/>
      <c r="BH30" s="330"/>
      <c r="BI30" s="398"/>
      <c r="BJ30" s="52"/>
      <c r="BK30" s="52"/>
      <c r="BL30" s="52"/>
      <c r="BM30" s="60"/>
      <c r="BN30" s="60"/>
      <c r="BO30" s="59"/>
      <c r="BP30" s="59"/>
      <c r="BQ30" s="59"/>
      <c r="BR30" s="59"/>
      <c r="BS30" s="60"/>
      <c r="BT30" s="61"/>
      <c r="BU30" s="52"/>
      <c r="BV30" s="52"/>
      <c r="BW30" s="52"/>
      <c r="BX30" s="52"/>
      <c r="BY30" s="52"/>
      <c r="BZ30" s="52"/>
      <c r="CA30" s="71"/>
      <c r="CB30" s="330"/>
      <c r="CC30" s="685"/>
      <c r="CD30" s="52"/>
      <c r="CE30" s="71"/>
      <c r="CF30" s="71"/>
      <c r="CG30" s="52"/>
      <c r="CH30" s="60"/>
      <c r="CI30" s="60"/>
      <c r="CJ30" s="59"/>
      <c r="CK30" s="59"/>
      <c r="CL30" s="60"/>
      <c r="CM30" s="64"/>
      <c r="CN30" s="64"/>
      <c r="CO30" s="64"/>
      <c r="CP30" s="61"/>
      <c r="CQ30" s="52"/>
      <c r="CR30" s="52"/>
      <c r="CS30" s="52"/>
      <c r="CT30" s="52"/>
      <c r="CU30" s="71"/>
      <c r="CV30" s="330"/>
      <c r="CW30" s="398"/>
      <c r="CX30" s="52"/>
      <c r="CY30" s="52"/>
      <c r="CZ30" s="52"/>
      <c r="DA30" s="71"/>
      <c r="DB30" s="60"/>
      <c r="DC30" s="59" t="s">
        <v>674</v>
      </c>
      <c r="DD30" s="59" t="s">
        <v>674</v>
      </c>
      <c r="DE30" s="59"/>
      <c r="DF30" s="59"/>
      <c r="DG30" s="60"/>
      <c r="DH30" s="60"/>
      <c r="DI30" s="64" t="s">
        <v>674</v>
      </c>
      <c r="DJ30" s="52"/>
      <c r="DK30" s="52"/>
      <c r="DL30" s="52"/>
      <c r="DM30" s="52"/>
      <c r="DN30" s="52"/>
      <c r="DO30" s="52"/>
      <c r="DP30" s="71"/>
      <c r="DQ30" s="685"/>
      <c r="DR30" s="52"/>
      <c r="DS30" s="52"/>
      <c r="DT30" s="52"/>
      <c r="DU30" s="52"/>
      <c r="DV30" s="52"/>
      <c r="DW30" s="60"/>
      <c r="DX30" s="60"/>
      <c r="DY30" s="59"/>
      <c r="DZ30" s="61"/>
      <c r="EA30" s="61"/>
      <c r="EB30" s="473"/>
      <c r="EC30" s="684"/>
      <c r="ED30" s="473"/>
      <c r="EE30" s="64"/>
      <c r="EF30" s="61"/>
      <c r="EG30" s="71"/>
      <c r="EH30" s="52"/>
      <c r="EI30" s="52"/>
      <c r="EJ30" s="330"/>
      <c r="EK30" s="685"/>
      <c r="EL30" s="52"/>
      <c r="EM30" s="52"/>
      <c r="EN30" s="71"/>
      <c r="EO30" s="52"/>
      <c r="EP30" s="52"/>
      <c r="EQ30" s="52"/>
      <c r="ER30" s="52"/>
      <c r="ES30" s="52"/>
      <c r="ET30" s="52"/>
      <c r="EU30" s="60"/>
      <c r="EV30" s="60"/>
      <c r="EW30" s="59"/>
      <c r="EX30" s="60"/>
      <c r="EY30" s="64"/>
      <c r="EZ30" s="473"/>
      <c r="FA30" s="473"/>
      <c r="FB30" s="683"/>
      <c r="FC30" s="473"/>
      <c r="FD30" s="695"/>
      <c r="FE30" s="699"/>
    </row>
    <row r="31" spans="1:161">
      <c r="A31" s="71"/>
      <c r="B31" s="71"/>
      <c r="C31" s="71"/>
      <c r="D31" s="52"/>
      <c r="E31" s="52"/>
      <c r="F31" s="52"/>
      <c r="G31" s="52"/>
      <c r="H31" s="682"/>
      <c r="I31" s="684"/>
      <c r="J31" s="682"/>
      <c r="K31" s="683"/>
      <c r="L31" s="684"/>
      <c r="M31" s="473"/>
      <c r="N31" s="61"/>
      <c r="O31" s="64"/>
      <c r="P31" s="64"/>
      <c r="Q31" s="61"/>
      <c r="R31" s="52"/>
      <c r="S31" s="52"/>
      <c r="T31" s="330"/>
      <c r="U31" s="685"/>
      <c r="V31" s="52"/>
      <c r="W31" s="52"/>
      <c r="X31" s="52"/>
      <c r="Y31" s="52"/>
      <c r="Z31" s="52"/>
      <c r="AA31" s="60"/>
      <c r="AB31" s="59"/>
      <c r="AC31" s="59"/>
      <c r="AD31" s="59"/>
      <c r="AE31" s="60"/>
      <c r="AF31" s="64"/>
      <c r="AG31" s="61"/>
      <c r="AH31" s="52"/>
      <c r="AI31" s="52"/>
      <c r="AJ31" s="71"/>
      <c r="AK31" s="52"/>
      <c r="AL31" s="52"/>
      <c r="AM31" s="52"/>
      <c r="AN31" s="330"/>
      <c r="AO31" s="398"/>
      <c r="AP31" s="52"/>
      <c r="AQ31" s="52"/>
      <c r="AR31" s="60"/>
      <c r="AS31" s="59"/>
      <c r="AT31" s="59"/>
      <c r="AU31" s="59"/>
      <c r="AV31" s="60"/>
      <c r="AW31" s="59"/>
      <c r="AX31" s="60"/>
      <c r="AY31" s="64"/>
      <c r="AZ31" s="61"/>
      <c r="BA31" s="52"/>
      <c r="BB31" s="52"/>
      <c r="BC31" s="52"/>
      <c r="BD31" s="52"/>
      <c r="BE31" s="52"/>
      <c r="BF31" s="52"/>
      <c r="BG31" s="52"/>
      <c r="BH31" s="330"/>
      <c r="BI31" s="398"/>
      <c r="BJ31" s="52"/>
      <c r="BK31" s="52"/>
      <c r="BL31" s="52"/>
      <c r="BM31" s="60"/>
      <c r="BN31" s="59"/>
      <c r="BO31" s="59"/>
      <c r="BP31" s="59"/>
      <c r="BQ31" s="59"/>
      <c r="BR31" s="60"/>
      <c r="BS31" s="64"/>
      <c r="BT31" s="61"/>
      <c r="BU31" s="52"/>
      <c r="BV31" s="52"/>
      <c r="BW31" s="52"/>
      <c r="BX31" s="52"/>
      <c r="BY31" s="52"/>
      <c r="BZ31" s="52"/>
      <c r="CA31" s="71"/>
      <c r="CB31" s="330"/>
      <c r="CC31" s="685"/>
      <c r="CD31" s="52"/>
      <c r="CE31" s="71" t="s">
        <v>674</v>
      </c>
      <c r="CF31" s="71" t="s">
        <v>674</v>
      </c>
      <c r="CG31" s="60"/>
      <c r="CH31" s="59"/>
      <c r="CI31" s="59"/>
      <c r="CJ31" s="60"/>
      <c r="CK31" s="60"/>
      <c r="CL31" s="60"/>
      <c r="CM31" s="64"/>
      <c r="CN31" s="64"/>
      <c r="CO31" s="61"/>
      <c r="CP31" s="52"/>
      <c r="CQ31" s="52"/>
      <c r="CR31" s="52"/>
      <c r="CS31" s="52"/>
      <c r="CT31" s="52"/>
      <c r="CU31" s="71"/>
      <c r="CV31" s="330"/>
      <c r="CW31" s="398"/>
      <c r="CX31" s="52"/>
      <c r="CY31" s="52"/>
      <c r="CZ31" s="52"/>
      <c r="DA31" s="60"/>
      <c r="DB31" s="60" t="s">
        <v>674</v>
      </c>
      <c r="DC31" s="59"/>
      <c r="DD31" s="59"/>
      <c r="DE31" s="59" t="s">
        <v>674</v>
      </c>
      <c r="DF31" s="59" t="s">
        <v>674</v>
      </c>
      <c r="DG31" s="60"/>
      <c r="DH31" s="64"/>
      <c r="DI31" s="52"/>
      <c r="DJ31" s="52"/>
      <c r="DK31" s="52"/>
      <c r="DL31" s="52"/>
      <c r="DM31" s="52"/>
      <c r="DN31" s="52"/>
      <c r="DO31" s="52"/>
      <c r="DP31" s="71"/>
      <c r="DQ31" s="685"/>
      <c r="DR31" s="52"/>
      <c r="DS31" s="52"/>
      <c r="DT31" s="52"/>
      <c r="DU31" s="52"/>
      <c r="DV31" s="60" t="s">
        <v>674</v>
      </c>
      <c r="DW31" s="60"/>
      <c r="DX31" s="59"/>
      <c r="DY31" s="59" t="s">
        <v>674</v>
      </c>
      <c r="DZ31" s="61"/>
      <c r="EA31" s="473"/>
      <c r="EB31" s="683"/>
      <c r="EC31" s="684"/>
      <c r="ED31" s="473"/>
      <c r="EE31" s="61"/>
      <c r="EF31" s="52"/>
      <c r="EG31" s="71"/>
      <c r="EH31" s="52"/>
      <c r="EI31" s="52"/>
      <c r="EJ31" s="330"/>
      <c r="EK31" s="685"/>
      <c r="EL31" s="52"/>
      <c r="EM31" s="52"/>
      <c r="EN31" s="71"/>
      <c r="EO31" s="52"/>
      <c r="EP31" s="52"/>
      <c r="EQ31" s="52"/>
      <c r="ER31" s="52"/>
      <c r="ES31" s="52"/>
      <c r="ET31" s="60"/>
      <c r="EU31" s="59"/>
      <c r="EV31" s="59"/>
      <c r="EW31" s="60"/>
      <c r="EX31" s="64"/>
      <c r="EY31" s="64"/>
      <c r="EZ31" s="61"/>
      <c r="FA31" s="473"/>
      <c r="FB31" s="473"/>
      <c r="FC31" s="71"/>
      <c r="FD31" s="695"/>
      <c r="FE31" s="699"/>
    </row>
    <row r="32" spans="1:161">
      <c r="A32" s="399"/>
      <c r="B32" s="399"/>
      <c r="C32" s="399"/>
      <c r="D32" s="74"/>
      <c r="E32" s="74"/>
      <c r="F32" s="74"/>
      <c r="G32" s="74"/>
      <c r="H32" s="74"/>
      <c r="I32" s="689"/>
      <c r="J32" s="690"/>
      <c r="K32" s="689"/>
      <c r="L32" s="691"/>
      <c r="M32" s="691"/>
      <c r="N32" s="692"/>
      <c r="O32" s="78"/>
      <c r="P32" s="75"/>
      <c r="Q32" s="77"/>
      <c r="R32" s="74"/>
      <c r="S32" s="74"/>
      <c r="T32" s="369"/>
      <c r="U32" s="693"/>
      <c r="V32" s="74"/>
      <c r="W32" s="74"/>
      <c r="X32" s="74"/>
      <c r="Y32" s="74"/>
      <c r="Z32" s="78"/>
      <c r="AA32" s="76"/>
      <c r="AB32" s="78"/>
      <c r="AC32" s="76"/>
      <c r="AD32" s="78"/>
      <c r="AE32" s="75"/>
      <c r="AF32" s="77"/>
      <c r="AG32" s="74"/>
      <c r="AH32" s="74"/>
      <c r="AI32" s="74"/>
      <c r="AJ32" s="399"/>
      <c r="AK32" s="74"/>
      <c r="AL32" s="74"/>
      <c r="AM32" s="74"/>
      <c r="AN32" s="369"/>
      <c r="AO32" s="475"/>
      <c r="AP32" s="74"/>
      <c r="AQ32" s="78"/>
      <c r="AR32" s="78"/>
      <c r="AS32" s="76"/>
      <c r="AT32" s="76"/>
      <c r="AU32" s="76"/>
      <c r="AV32" s="78"/>
      <c r="AW32" s="78"/>
      <c r="AX32" s="75"/>
      <c r="AY32" s="77"/>
      <c r="AZ32" s="74"/>
      <c r="BA32" s="74"/>
      <c r="BB32" s="74"/>
      <c r="BC32" s="74"/>
      <c r="BD32" s="74"/>
      <c r="BE32" s="74"/>
      <c r="BF32" s="74"/>
      <c r="BG32" s="74"/>
      <c r="BH32" s="369"/>
      <c r="BI32" s="475"/>
      <c r="BJ32" s="74"/>
      <c r="BK32" s="74"/>
      <c r="BL32" s="78"/>
      <c r="BM32" s="76"/>
      <c r="BN32" s="76"/>
      <c r="BO32" s="76"/>
      <c r="BP32" s="76"/>
      <c r="BQ32" s="76"/>
      <c r="BR32" s="78"/>
      <c r="BS32" s="75"/>
      <c r="BT32" s="61"/>
      <c r="BU32" s="74"/>
      <c r="BV32" s="74"/>
      <c r="BW32" s="74"/>
      <c r="BX32" s="74"/>
      <c r="BY32" s="74"/>
      <c r="BZ32" s="74"/>
      <c r="CA32" s="399"/>
      <c r="CB32" s="369"/>
      <c r="CC32" s="693"/>
      <c r="CD32" s="74"/>
      <c r="CE32" s="74"/>
      <c r="CF32" s="78"/>
      <c r="CG32" s="78"/>
      <c r="CH32" s="76"/>
      <c r="CI32" s="60"/>
      <c r="CJ32" s="78"/>
      <c r="CK32" s="60"/>
      <c r="CL32" s="75"/>
      <c r="CM32" s="75"/>
      <c r="CN32" s="75"/>
      <c r="CO32" s="77"/>
      <c r="CP32" s="52"/>
      <c r="CQ32" s="74"/>
      <c r="CR32" s="74"/>
      <c r="CS32" s="74"/>
      <c r="CT32" s="74"/>
      <c r="CU32" s="399"/>
      <c r="CV32" s="369"/>
      <c r="CW32" s="475"/>
      <c r="CX32" s="52"/>
      <c r="CY32" s="52"/>
      <c r="CZ32" s="60"/>
      <c r="DA32" s="59" t="s">
        <v>674</v>
      </c>
      <c r="DB32" s="59"/>
      <c r="DC32" s="59"/>
      <c r="DD32" s="59"/>
      <c r="DE32" s="59"/>
      <c r="DF32" s="78"/>
      <c r="DG32" s="75"/>
      <c r="DH32" s="77"/>
      <c r="DI32" s="74"/>
      <c r="DJ32" s="74"/>
      <c r="DK32" s="74"/>
      <c r="DL32" s="74"/>
      <c r="DM32" s="74"/>
      <c r="DN32" s="74"/>
      <c r="DO32" s="74"/>
      <c r="DP32" s="399"/>
      <c r="DQ32" s="693" t="s">
        <v>674</v>
      </c>
      <c r="DR32" s="74"/>
      <c r="DS32" s="74"/>
      <c r="DT32" s="74"/>
      <c r="DU32" s="78"/>
      <c r="DV32" s="78" t="s">
        <v>674</v>
      </c>
      <c r="DW32" s="76"/>
      <c r="DX32" s="76"/>
      <c r="DY32" s="76"/>
      <c r="DZ32" s="75"/>
      <c r="EA32" s="75"/>
      <c r="EB32" s="692"/>
      <c r="EC32" s="692"/>
      <c r="ED32" s="77"/>
      <c r="EE32" s="74"/>
      <c r="EF32" s="74"/>
      <c r="EG32" s="74"/>
      <c r="EH32" s="74"/>
      <c r="EI32" s="74"/>
      <c r="EJ32" s="369"/>
      <c r="EK32" s="475"/>
      <c r="EL32" s="74"/>
      <c r="EM32" s="74"/>
      <c r="EN32" s="74"/>
      <c r="EO32" s="74"/>
      <c r="EP32" s="74"/>
      <c r="EQ32" s="74"/>
      <c r="ER32" s="74"/>
      <c r="ES32" s="78"/>
      <c r="ET32" s="76"/>
      <c r="EU32" s="76"/>
      <c r="EV32" s="78"/>
      <c r="EW32" s="75"/>
      <c r="EX32" s="75"/>
      <c r="EY32" s="77"/>
      <c r="EZ32" s="77"/>
      <c r="FA32" s="399"/>
      <c r="FB32" s="399"/>
      <c r="FC32" s="399"/>
      <c r="FD32" s="695"/>
      <c r="FE32" s="699"/>
    </row>
    <row r="33" spans="1:161">
      <c r="A33" s="680">
        <v>2</v>
      </c>
      <c r="B33" s="360"/>
      <c r="C33" s="360"/>
      <c r="D33" s="360"/>
      <c r="E33" s="360"/>
      <c r="F33" s="360"/>
      <c r="G33" s="360"/>
      <c r="H33" s="360"/>
      <c r="I33" s="360"/>
      <c r="J33" s="360"/>
      <c r="K33" s="360"/>
      <c r="L33" s="360"/>
      <c r="M33" s="360"/>
      <c r="N33" s="360"/>
      <c r="O33" s="360"/>
      <c r="P33" s="360"/>
      <c r="Q33" s="360"/>
      <c r="R33" s="360"/>
      <c r="S33" s="360"/>
      <c r="T33" s="681"/>
      <c r="U33" s="680">
        <v>2</v>
      </c>
      <c r="V33" s="360"/>
      <c r="W33" s="360"/>
      <c r="X33" s="360"/>
      <c r="Y33" s="360"/>
      <c r="Z33" s="360"/>
      <c r="AA33" s="360"/>
      <c r="AB33" s="360"/>
      <c r="AC33" s="360"/>
      <c r="AD33" s="360"/>
      <c r="AE33" s="360"/>
      <c r="AF33" s="360"/>
      <c r="AG33" s="360"/>
      <c r="AH33" s="360"/>
      <c r="AI33" s="360"/>
      <c r="AJ33" s="360"/>
      <c r="AK33" s="360"/>
      <c r="AL33" s="360"/>
      <c r="AM33" s="360"/>
      <c r="AN33" s="681"/>
      <c r="AO33" s="360">
        <v>2</v>
      </c>
      <c r="AP33" s="360"/>
      <c r="AQ33" s="360"/>
      <c r="AR33" s="360"/>
      <c r="AS33" s="360"/>
      <c r="AT33" s="360"/>
      <c r="AU33" s="360"/>
      <c r="AV33" s="360"/>
      <c r="AW33" s="360"/>
      <c r="AX33" s="360"/>
      <c r="AY33" s="360"/>
      <c r="AZ33" s="360"/>
      <c r="BA33" s="360"/>
      <c r="BB33" s="360"/>
      <c r="BC33" s="360"/>
      <c r="BD33" s="360"/>
      <c r="BE33" s="360"/>
      <c r="BF33" s="360"/>
      <c r="BG33" s="360"/>
      <c r="BH33" s="360"/>
      <c r="BI33" s="680">
        <v>2</v>
      </c>
      <c r="BJ33" s="360"/>
      <c r="BK33" s="360" t="s">
        <v>674</v>
      </c>
      <c r="BL33" s="360"/>
      <c r="BM33" s="360"/>
      <c r="BN33" s="360"/>
      <c r="BO33" s="360"/>
      <c r="BP33" s="360"/>
      <c r="BQ33" s="360"/>
      <c r="BR33" s="360"/>
      <c r="BS33" s="360"/>
      <c r="BT33" s="360"/>
      <c r="BU33" s="360"/>
      <c r="BV33" s="360"/>
      <c r="BW33" s="360"/>
      <c r="BX33" s="360"/>
      <c r="BY33" s="360"/>
      <c r="BZ33" s="360"/>
      <c r="CA33" s="360"/>
      <c r="CB33" s="681"/>
      <c r="CC33" s="680">
        <v>2</v>
      </c>
      <c r="CD33" s="360"/>
      <c r="CE33" s="360"/>
      <c r="CF33" s="360"/>
      <c r="CG33" s="360"/>
      <c r="CH33" s="360"/>
      <c r="CI33" s="360"/>
      <c r="CJ33" s="360"/>
      <c r="CK33" s="360"/>
      <c r="CL33" s="360"/>
      <c r="CM33" s="360"/>
      <c r="CN33" s="360"/>
      <c r="CO33" s="360"/>
      <c r="CP33" s="360"/>
      <c r="CQ33" s="360"/>
      <c r="CR33" s="360"/>
      <c r="CS33" s="360"/>
      <c r="CT33" s="360"/>
      <c r="CU33" s="360"/>
      <c r="CV33" s="681"/>
      <c r="CW33" s="680">
        <v>2</v>
      </c>
      <c r="CX33" s="360"/>
      <c r="CY33" s="360"/>
      <c r="CZ33" s="360"/>
      <c r="DA33" s="360"/>
      <c r="DB33" s="360"/>
      <c r="DC33" s="360"/>
      <c r="DD33" s="360"/>
      <c r="DE33" s="360"/>
      <c r="DF33" s="360"/>
      <c r="DG33" s="360"/>
      <c r="DH33" s="360"/>
      <c r="DI33" s="360"/>
      <c r="DJ33" s="360"/>
      <c r="DK33" s="360"/>
      <c r="DL33" s="360"/>
      <c r="DM33" s="360"/>
      <c r="DN33" s="360"/>
      <c r="DO33" s="360"/>
      <c r="DP33" s="681"/>
      <c r="DQ33" s="680">
        <v>2</v>
      </c>
      <c r="DR33" s="360"/>
      <c r="DS33" s="360"/>
      <c r="DT33" s="360"/>
      <c r="DU33" s="360"/>
      <c r="DV33" s="360"/>
      <c r="DW33" s="360"/>
      <c r="DX33" s="360"/>
      <c r="DY33" s="360"/>
      <c r="DZ33" s="360"/>
      <c r="EA33" s="360"/>
      <c r="EB33" s="360"/>
      <c r="EC33" s="360"/>
      <c r="ED33" s="360"/>
      <c r="EE33" s="360"/>
      <c r="EF33" s="360"/>
      <c r="EG33" s="360"/>
      <c r="EH33" s="360"/>
      <c r="EI33" s="360"/>
      <c r="EJ33" s="681"/>
      <c r="EK33" s="680">
        <v>2</v>
      </c>
      <c r="EL33" s="360"/>
      <c r="EM33" s="360"/>
      <c r="EN33" s="360"/>
      <c r="EO33" s="360"/>
      <c r="EP33" s="360"/>
      <c r="EQ33" s="360"/>
      <c r="ER33" s="360"/>
      <c r="ES33" s="360"/>
      <c r="ET33" s="360"/>
      <c r="EU33" s="360"/>
      <c r="EV33" s="360"/>
      <c r="EW33" s="360"/>
      <c r="EX33" s="360"/>
      <c r="EY33" s="360"/>
      <c r="EZ33" s="360"/>
      <c r="FA33" s="360"/>
      <c r="FB33" s="360"/>
      <c r="FC33" s="360"/>
      <c r="FD33" s="360"/>
      <c r="FE33" s="699"/>
    </row>
    <row r="34" spans="1:161">
      <c r="A34" s="398"/>
      <c r="B34" s="52"/>
      <c r="C34" s="52"/>
      <c r="D34" s="52"/>
      <c r="E34" s="52"/>
      <c r="F34" s="52"/>
      <c r="G34" s="52"/>
      <c r="H34" s="52"/>
      <c r="I34" s="52"/>
      <c r="J34" s="52"/>
      <c r="K34" s="52"/>
      <c r="L34" s="52"/>
      <c r="M34" s="52"/>
      <c r="N34" s="52"/>
      <c r="O34" s="52"/>
      <c r="P34" s="52"/>
      <c r="Q34" s="52"/>
      <c r="R34" s="52"/>
      <c r="S34" s="52"/>
      <c r="T34" s="330"/>
      <c r="U34" s="398">
        <v>1</v>
      </c>
      <c r="V34" s="52"/>
      <c r="W34" s="52"/>
      <c r="X34" s="52"/>
      <c r="Y34" s="52"/>
      <c r="Z34" s="52"/>
      <c r="AA34" s="52"/>
      <c r="AB34" s="52"/>
      <c r="AC34" s="52"/>
      <c r="AD34" s="52"/>
      <c r="AE34" s="52"/>
      <c r="AF34" s="52"/>
      <c r="AG34" s="52"/>
      <c r="AH34" s="52"/>
      <c r="AI34" s="52"/>
      <c r="AJ34" s="52"/>
      <c r="AK34" s="52"/>
      <c r="AL34" s="52"/>
      <c r="AM34" s="52"/>
      <c r="AN34" s="330"/>
      <c r="AO34" s="52"/>
      <c r="AP34" s="52"/>
      <c r="AQ34" s="52"/>
      <c r="AR34" s="52"/>
      <c r="AS34" s="52"/>
      <c r="AT34" s="52"/>
      <c r="AU34" s="52"/>
      <c r="AV34" s="52"/>
      <c r="AW34" s="52"/>
      <c r="AX34" s="52"/>
      <c r="AY34" s="52"/>
      <c r="AZ34" s="52"/>
      <c r="BA34" s="52"/>
      <c r="BB34" s="52"/>
      <c r="BC34" s="52"/>
      <c r="BD34" s="52"/>
      <c r="BE34" s="52"/>
      <c r="BF34" s="52"/>
      <c r="BG34" s="52"/>
      <c r="BH34" s="330"/>
      <c r="BI34" s="52"/>
      <c r="BJ34" s="52"/>
      <c r="BK34" s="52"/>
      <c r="BL34" s="52"/>
      <c r="BM34" s="52"/>
      <c r="BN34" s="52"/>
      <c r="BO34" s="52"/>
      <c r="BP34" s="52"/>
      <c r="BQ34" s="52"/>
      <c r="BR34" s="52"/>
      <c r="BS34" s="52"/>
      <c r="BT34" s="52"/>
      <c r="BU34" s="52"/>
      <c r="BV34" s="52"/>
      <c r="BW34" s="52"/>
      <c r="BX34" s="52"/>
      <c r="BY34" s="52"/>
      <c r="BZ34" s="52"/>
      <c r="CA34" s="52"/>
      <c r="CB34" s="330"/>
      <c r="CC34" s="398"/>
      <c r="CD34" s="52"/>
      <c r="CE34" s="52"/>
      <c r="CF34" s="52"/>
      <c r="CG34" s="52"/>
      <c r="CH34" s="52"/>
      <c r="CI34" s="52"/>
      <c r="CJ34" s="52"/>
      <c r="CK34" s="52"/>
      <c r="CL34" s="52"/>
      <c r="CM34" s="52"/>
      <c r="CN34" s="52"/>
      <c r="CO34" s="52"/>
      <c r="CP34" s="52"/>
      <c r="CQ34" s="52"/>
      <c r="CR34" s="52"/>
      <c r="CS34" s="52"/>
      <c r="CT34" s="52"/>
      <c r="CU34" s="52"/>
      <c r="CV34" s="330"/>
      <c r="CW34" s="398"/>
      <c r="CX34" s="52"/>
      <c r="CY34" s="52"/>
      <c r="CZ34" s="52"/>
      <c r="DA34" s="52"/>
      <c r="DB34" s="52"/>
      <c r="DC34" s="52"/>
      <c r="DD34" s="52"/>
      <c r="DE34" s="52"/>
      <c r="DF34" s="52"/>
      <c r="DG34" s="52"/>
      <c r="DH34" s="52"/>
      <c r="DI34" s="52"/>
      <c r="DJ34" s="52"/>
      <c r="DK34" s="52"/>
      <c r="DL34" s="52"/>
      <c r="DM34" s="52"/>
      <c r="DN34" s="52"/>
      <c r="DO34" s="52"/>
      <c r="DP34" s="330"/>
      <c r="DQ34" s="398"/>
      <c r="DR34" s="52"/>
      <c r="DS34" s="52"/>
      <c r="DT34" s="52"/>
      <c r="DU34" s="52"/>
      <c r="DV34" s="52"/>
      <c r="DW34" s="52"/>
      <c r="DX34" s="52"/>
      <c r="DY34" s="52"/>
      <c r="DZ34" s="52"/>
      <c r="EA34" s="52"/>
      <c r="EB34" s="52"/>
      <c r="EC34" s="52"/>
      <c r="ED34" s="52"/>
      <c r="EE34" s="52"/>
      <c r="EF34" s="52"/>
      <c r="EG34" s="52"/>
      <c r="EH34" s="52"/>
      <c r="EI34" s="52"/>
      <c r="EJ34" s="330"/>
      <c r="EK34" s="398"/>
      <c r="EL34" s="52"/>
      <c r="EM34" s="52"/>
      <c r="EN34" s="52"/>
      <c r="EO34" s="52"/>
      <c r="EP34" s="52"/>
      <c r="EQ34" s="52"/>
      <c r="ER34" s="52"/>
      <c r="ES34" s="52"/>
      <c r="ET34" s="52"/>
      <c r="EU34" s="52"/>
      <c r="EV34" s="52"/>
      <c r="EW34" s="52"/>
      <c r="EX34" s="52"/>
      <c r="EY34" s="52"/>
      <c r="EZ34" s="52"/>
      <c r="FA34" s="52"/>
      <c r="FB34" s="52"/>
      <c r="FC34" s="52"/>
      <c r="FD34" s="52"/>
      <c r="FE34" s="699"/>
    </row>
    <row r="35" spans="1:161">
      <c r="A35" s="398">
        <v>60</v>
      </c>
      <c r="B35" s="52"/>
      <c r="C35" s="52"/>
      <c r="D35" s="52"/>
      <c r="E35" s="695"/>
      <c r="F35" s="695"/>
      <c r="G35" s="695"/>
      <c r="H35" s="695"/>
      <c r="I35" s="695"/>
      <c r="J35" s="695"/>
      <c r="K35" s="695"/>
      <c r="L35" s="52"/>
      <c r="M35" s="52"/>
      <c r="N35" s="52"/>
      <c r="O35" s="52"/>
      <c r="P35" s="52"/>
      <c r="Q35" s="52"/>
      <c r="R35" s="52"/>
      <c r="S35" s="52"/>
      <c r="T35" s="330"/>
      <c r="U35" s="398">
        <v>80</v>
      </c>
      <c r="V35" s="52"/>
      <c r="W35" s="52"/>
      <c r="X35" s="52"/>
      <c r="Y35" s="52"/>
      <c r="Z35" s="52"/>
      <c r="AA35" s="52"/>
      <c r="AB35" s="52"/>
      <c r="AC35" s="52"/>
      <c r="AD35" s="52"/>
      <c r="AE35" s="52"/>
      <c r="AF35" s="52"/>
      <c r="AG35" s="52"/>
      <c r="AH35" s="52"/>
      <c r="AI35" s="52"/>
      <c r="AJ35" s="52"/>
      <c r="AK35" s="52"/>
      <c r="AL35" s="52"/>
      <c r="AM35" s="52"/>
      <c r="AN35" s="330"/>
      <c r="AO35" s="52">
        <v>40</v>
      </c>
      <c r="AP35" s="52"/>
      <c r="AQ35" s="52"/>
      <c r="AR35" s="52"/>
      <c r="AS35" s="52"/>
      <c r="AT35" s="52"/>
      <c r="AU35" s="52"/>
      <c r="AV35" s="52"/>
      <c r="AW35" s="52"/>
      <c r="AX35" s="52"/>
      <c r="AY35" s="52"/>
      <c r="AZ35" s="52"/>
      <c r="BA35" s="52"/>
      <c r="BB35" s="52"/>
      <c r="BC35" s="52"/>
      <c r="BD35" s="52"/>
      <c r="BE35" s="52"/>
      <c r="BF35" s="52"/>
      <c r="BG35" s="52"/>
      <c r="BH35" s="330"/>
      <c r="BI35" s="52">
        <v>120</v>
      </c>
      <c r="BJ35" s="52"/>
      <c r="BK35" s="52"/>
      <c r="BL35" s="52"/>
      <c r="BM35" s="52"/>
      <c r="BN35" s="52"/>
      <c r="BO35" s="52"/>
      <c r="BP35" s="52"/>
      <c r="BQ35" s="52"/>
      <c r="BR35" s="52"/>
      <c r="BS35" s="52"/>
      <c r="BT35" s="52"/>
      <c r="BU35" s="52"/>
      <c r="BV35" s="52"/>
      <c r="BW35" s="52"/>
      <c r="BX35" s="52"/>
      <c r="BY35" s="52"/>
      <c r="BZ35" s="52"/>
      <c r="CA35" s="52"/>
      <c r="CB35" s="330"/>
      <c r="CC35" s="398">
        <v>140</v>
      </c>
      <c r="CD35" s="52"/>
      <c r="CE35" s="52"/>
      <c r="CF35" s="52"/>
      <c r="CG35" s="52"/>
      <c r="CH35" s="52"/>
      <c r="CI35" s="52"/>
      <c r="CJ35" s="52"/>
      <c r="CK35" s="52"/>
      <c r="CL35" s="52"/>
      <c r="CM35" s="52"/>
      <c r="CN35" s="52"/>
      <c r="CO35" s="52"/>
      <c r="CP35" s="52"/>
      <c r="CQ35" s="52"/>
      <c r="CR35" s="52"/>
      <c r="CS35" s="52"/>
      <c r="CT35" s="52"/>
      <c r="CU35" s="52"/>
      <c r="CV35" s="330"/>
      <c r="CW35" s="398">
        <v>100</v>
      </c>
      <c r="CX35" s="52"/>
      <c r="CY35" s="52"/>
      <c r="CZ35" s="52"/>
      <c r="DA35" s="52"/>
      <c r="DB35" s="52"/>
      <c r="DC35" s="52"/>
      <c r="DD35" s="52"/>
      <c r="DE35" s="52"/>
      <c r="DF35" s="52"/>
      <c r="DG35" s="52"/>
      <c r="DH35" s="52"/>
      <c r="DI35" s="52"/>
      <c r="DJ35" s="52"/>
      <c r="DK35" s="52"/>
      <c r="DL35" s="52"/>
      <c r="DM35" s="52"/>
      <c r="DN35" s="52"/>
      <c r="DO35" s="52"/>
      <c r="DP35" s="330"/>
      <c r="DQ35" s="398">
        <v>120</v>
      </c>
      <c r="DR35" s="52"/>
      <c r="DS35" s="52"/>
      <c r="DT35" s="52"/>
      <c r="DU35" s="52"/>
      <c r="DV35" s="52"/>
      <c r="DW35" s="52"/>
      <c r="DX35" s="52"/>
      <c r="DY35" s="52"/>
      <c r="DZ35" s="52"/>
      <c r="EA35" s="52"/>
      <c r="EB35" s="52"/>
      <c r="EC35" s="52"/>
      <c r="ED35" s="52"/>
      <c r="EE35" s="52"/>
      <c r="EF35" s="52"/>
      <c r="EG35" s="52"/>
      <c r="EH35" s="52"/>
      <c r="EI35" s="52"/>
      <c r="EJ35" s="330"/>
      <c r="EK35" s="398">
        <v>100</v>
      </c>
      <c r="EL35" s="52"/>
      <c r="EM35" s="52"/>
      <c r="EN35" s="52"/>
      <c r="EO35" s="52"/>
      <c r="EP35" s="52"/>
      <c r="EQ35" s="52"/>
      <c r="ER35" s="52"/>
      <c r="ES35" s="52"/>
      <c r="ET35" s="52"/>
      <c r="EU35" s="52"/>
      <c r="EV35" s="52"/>
      <c r="EW35" s="52"/>
      <c r="EX35" s="52"/>
      <c r="EY35" s="52"/>
      <c r="EZ35" s="52"/>
      <c r="FA35" s="52"/>
      <c r="FB35" s="52"/>
      <c r="FC35" s="52"/>
      <c r="FD35" s="52"/>
      <c r="FE35" s="699"/>
    </row>
    <row r="36" spans="1:161">
      <c r="A36" s="398"/>
      <c r="B36" s="52"/>
      <c r="C36" s="52"/>
      <c r="D36" s="52"/>
      <c r="E36" s="695"/>
      <c r="F36" s="695"/>
      <c r="G36" s="695"/>
      <c r="H36" s="695"/>
      <c r="I36" s="695"/>
      <c r="J36" s="695"/>
      <c r="K36" s="695"/>
      <c r="L36" s="52"/>
      <c r="M36" s="52"/>
      <c r="N36" s="52"/>
      <c r="O36" s="52"/>
      <c r="P36" s="52"/>
      <c r="Q36" s="52"/>
      <c r="R36" s="52"/>
      <c r="S36" s="52"/>
      <c r="T36" s="330"/>
      <c r="U36" s="398"/>
      <c r="V36" s="52"/>
      <c r="W36" s="52"/>
      <c r="X36" s="52"/>
      <c r="Y36" s="52"/>
      <c r="Z36" s="52"/>
      <c r="AA36" s="52"/>
      <c r="AB36" s="52"/>
      <c r="AC36" s="52"/>
      <c r="AD36" s="52"/>
      <c r="AE36" s="52"/>
      <c r="AF36" s="52"/>
      <c r="AG36" s="52"/>
      <c r="AH36" s="52"/>
      <c r="AI36" s="52"/>
      <c r="AJ36" s="52"/>
      <c r="AK36" s="52"/>
      <c r="AL36" s="52"/>
      <c r="AM36" s="52"/>
      <c r="AN36" s="330"/>
      <c r="AO36" s="398"/>
      <c r="AP36" s="52"/>
      <c r="AQ36" s="52"/>
      <c r="AR36" s="52"/>
      <c r="AS36" s="52"/>
      <c r="AT36" s="52"/>
      <c r="AU36" s="52"/>
      <c r="AV36" s="52"/>
      <c r="AW36" s="52"/>
      <c r="AX36" s="52"/>
      <c r="AY36" s="52"/>
      <c r="AZ36" s="52"/>
      <c r="BA36" s="52"/>
      <c r="BB36" s="52"/>
      <c r="BC36" s="52"/>
      <c r="BD36" s="52"/>
      <c r="BE36" s="52"/>
      <c r="BF36" s="52"/>
      <c r="BG36" s="52"/>
      <c r="BH36" s="330"/>
      <c r="BI36" s="398"/>
      <c r="BJ36" s="52"/>
      <c r="BK36" s="52"/>
      <c r="BL36" s="52"/>
      <c r="BM36" s="52"/>
      <c r="BN36" s="52"/>
      <c r="BO36" s="52"/>
      <c r="BP36" s="52"/>
      <c r="BQ36" s="52"/>
      <c r="BR36" s="52"/>
      <c r="BS36" s="52"/>
      <c r="BT36" s="52"/>
      <c r="BU36" s="52"/>
      <c r="BV36" s="52"/>
      <c r="BW36" s="52"/>
      <c r="BX36" s="52"/>
      <c r="BY36" s="52"/>
      <c r="BZ36" s="52"/>
      <c r="CA36" s="52"/>
      <c r="CB36" s="330"/>
      <c r="CC36" s="398">
        <v>1</v>
      </c>
      <c r="CD36" s="52"/>
      <c r="CE36" s="52"/>
      <c r="CF36" s="52"/>
      <c r="CG36" s="52"/>
      <c r="CH36" s="52"/>
      <c r="CI36" s="52"/>
      <c r="CJ36" s="52"/>
      <c r="CK36" s="52"/>
      <c r="CL36" s="52"/>
      <c r="CM36" s="52"/>
      <c r="CN36" s="52"/>
      <c r="CO36" s="52"/>
      <c r="CP36" s="52"/>
      <c r="CQ36" s="52"/>
      <c r="CR36" s="52"/>
      <c r="CS36" s="52"/>
      <c r="CT36" s="52"/>
      <c r="CU36" s="52"/>
      <c r="CV36" s="330"/>
      <c r="CW36" s="398"/>
      <c r="CX36" s="52"/>
      <c r="CY36" s="52"/>
      <c r="CZ36" s="52"/>
      <c r="DA36" s="52"/>
      <c r="DB36" s="52"/>
      <c r="DC36" s="52"/>
      <c r="DD36" s="52"/>
      <c r="DE36" s="52"/>
      <c r="DF36" s="52"/>
      <c r="DG36" s="52"/>
      <c r="DH36" s="52"/>
      <c r="DI36" s="52"/>
      <c r="DJ36" s="52"/>
      <c r="DK36" s="52"/>
      <c r="DL36" s="52"/>
      <c r="DM36" s="52"/>
      <c r="DN36" s="52"/>
      <c r="DO36" s="52"/>
      <c r="DP36" s="330"/>
      <c r="DQ36" s="398"/>
      <c r="DR36" s="52"/>
      <c r="DS36" s="52"/>
      <c r="DT36" s="52"/>
      <c r="DU36" s="52"/>
      <c r="DV36" s="52"/>
      <c r="DW36" s="52"/>
      <c r="DX36" s="52"/>
      <c r="DY36" s="52"/>
      <c r="DZ36" s="52"/>
      <c r="EA36" s="52"/>
      <c r="EB36" s="52"/>
      <c r="EC36" s="52"/>
      <c r="ED36" s="52"/>
      <c r="EE36" s="52"/>
      <c r="EF36" s="52"/>
      <c r="EG36" s="52"/>
      <c r="EH36" s="52"/>
      <c r="EI36" s="52"/>
      <c r="EJ36" s="330"/>
      <c r="EK36" s="398"/>
      <c r="EL36" s="52"/>
      <c r="EM36" s="52"/>
      <c r="EN36" s="52"/>
      <c r="EO36" s="52"/>
      <c r="EP36" s="52"/>
      <c r="EQ36" s="52"/>
      <c r="ER36" s="52"/>
      <c r="ES36" s="52"/>
      <c r="ET36" s="52"/>
      <c r="EU36" s="52"/>
      <c r="EV36" s="52"/>
      <c r="EW36" s="52"/>
      <c r="EX36" s="52"/>
      <c r="EY36" s="52"/>
      <c r="EZ36" s="52"/>
      <c r="FA36" s="52"/>
      <c r="FB36" s="52"/>
      <c r="FC36" s="52"/>
      <c r="FD36" s="52"/>
      <c r="FE36" s="699"/>
    </row>
    <row r="37" spans="1:161">
      <c r="A37" s="685"/>
      <c r="B37" s="52"/>
      <c r="C37" s="52"/>
      <c r="D37" s="52"/>
      <c r="E37" s="695"/>
      <c r="F37" s="695"/>
      <c r="G37" s="695"/>
      <c r="H37" s="695"/>
      <c r="I37" s="695"/>
      <c r="J37" s="695"/>
      <c r="K37" s="695"/>
      <c r="L37" s="52"/>
      <c r="M37" s="52"/>
      <c r="N37" s="52"/>
      <c r="O37" s="52"/>
      <c r="P37" s="52"/>
      <c r="Q37" s="52"/>
      <c r="R37" s="52"/>
      <c r="S37" s="52"/>
      <c r="T37" s="330"/>
      <c r="U37" s="685"/>
      <c r="V37" s="52"/>
      <c r="W37" s="52"/>
      <c r="X37" s="52"/>
      <c r="Y37" s="52"/>
      <c r="Z37" s="52"/>
      <c r="AA37" s="52"/>
      <c r="AB37" s="52"/>
      <c r="AC37" s="52"/>
      <c r="AD37" s="52"/>
      <c r="AE37" s="52"/>
      <c r="AF37" s="52"/>
      <c r="AG37" s="52"/>
      <c r="AH37" s="52"/>
      <c r="AI37" s="52"/>
      <c r="AJ37" s="52"/>
      <c r="AK37" s="52"/>
      <c r="AL37" s="52"/>
      <c r="AM37" s="52"/>
      <c r="AN37" s="330"/>
      <c r="AO37" s="685">
        <v>30</v>
      </c>
      <c r="AP37" s="52"/>
      <c r="AQ37" s="52"/>
      <c r="AR37" s="52"/>
      <c r="AS37" s="52"/>
      <c r="AT37" s="52"/>
      <c r="AU37" s="52"/>
      <c r="AV37" s="52"/>
      <c r="AW37" s="52"/>
      <c r="AX37" s="52"/>
      <c r="AY37" s="52"/>
      <c r="AZ37" s="52"/>
      <c r="BA37" s="52" t="s">
        <v>674</v>
      </c>
      <c r="BB37" s="52"/>
      <c r="BC37" s="52"/>
      <c r="BD37" s="52"/>
      <c r="BE37" s="52"/>
      <c r="BF37" s="52"/>
      <c r="BG37" s="52"/>
      <c r="BH37" s="330"/>
      <c r="BI37" s="685"/>
      <c r="BJ37" s="52"/>
      <c r="BK37" s="52"/>
      <c r="BL37" s="52"/>
      <c r="BM37" s="52"/>
      <c r="BN37" s="52"/>
      <c r="BO37" s="52"/>
      <c r="BP37" s="52"/>
      <c r="BQ37" s="52"/>
      <c r="BR37" s="52"/>
      <c r="BS37" s="52"/>
      <c r="BT37" s="52"/>
      <c r="BU37" s="52"/>
      <c r="BV37" s="52"/>
      <c r="BW37" s="52"/>
      <c r="BX37" s="52"/>
      <c r="BY37" s="52"/>
      <c r="BZ37" s="52"/>
      <c r="CA37" s="52"/>
      <c r="CB37" s="330"/>
      <c r="CC37" s="685"/>
      <c r="CD37" s="52"/>
      <c r="CE37" s="52"/>
      <c r="CF37" s="52"/>
      <c r="CG37" s="52"/>
      <c r="CH37" s="52"/>
      <c r="CI37" s="52"/>
      <c r="CJ37" s="52"/>
      <c r="CK37" s="52"/>
      <c r="CL37" s="52"/>
      <c r="CM37" s="52"/>
      <c r="CN37" s="52"/>
      <c r="CO37" s="52"/>
      <c r="CP37" s="52"/>
      <c r="CQ37" s="52"/>
      <c r="CR37" s="52"/>
      <c r="CS37" s="52"/>
      <c r="CT37" s="52"/>
      <c r="CU37" s="52"/>
      <c r="CV37" s="330"/>
      <c r="CW37" s="685"/>
      <c r="CX37" s="52"/>
      <c r="CY37" s="52"/>
      <c r="CZ37" s="52"/>
      <c r="DA37" s="52"/>
      <c r="DB37" s="52"/>
      <c r="DC37" s="52"/>
      <c r="DD37" s="52"/>
      <c r="DE37" s="52"/>
      <c r="DF37" s="52"/>
      <c r="DG37" s="52"/>
      <c r="DH37" s="52"/>
      <c r="DI37" s="52"/>
      <c r="DJ37" s="52"/>
      <c r="DK37" s="52"/>
      <c r="DL37" s="52"/>
      <c r="DM37" s="52"/>
      <c r="DN37" s="52"/>
      <c r="DO37" s="52"/>
      <c r="DP37" s="330"/>
      <c r="DQ37" s="685"/>
      <c r="DR37" s="52"/>
      <c r="DS37" s="52"/>
      <c r="DT37" s="52"/>
      <c r="DU37" s="52"/>
      <c r="DV37" s="52"/>
      <c r="DW37" s="52"/>
      <c r="DX37" s="52"/>
      <c r="DY37" s="52"/>
      <c r="DZ37" s="52"/>
      <c r="EA37" s="52"/>
      <c r="EB37" s="52"/>
      <c r="EC37" s="52"/>
      <c r="ED37" s="52"/>
      <c r="EE37" s="52"/>
      <c r="EF37" s="52"/>
      <c r="EG37" s="52"/>
      <c r="EH37" s="52"/>
      <c r="EI37" s="52"/>
      <c r="EJ37" s="330"/>
      <c r="EK37" s="685"/>
      <c r="EL37" s="52"/>
      <c r="EM37" s="52"/>
      <c r="EN37" s="52"/>
      <c r="EO37" s="52"/>
      <c r="EP37" s="52"/>
      <c r="EQ37" s="52"/>
      <c r="ER37" s="52"/>
      <c r="ES37" s="52"/>
      <c r="ET37" s="52"/>
      <c r="EU37" s="52"/>
      <c r="EV37" s="52"/>
      <c r="EW37" s="52"/>
      <c r="EX37" s="52"/>
      <c r="EY37" s="52"/>
      <c r="EZ37" s="52"/>
      <c r="FA37" s="52"/>
      <c r="FB37" s="52"/>
      <c r="FC37" s="52"/>
      <c r="FD37" s="52"/>
      <c r="FE37" s="699"/>
    </row>
    <row r="38" spans="1:161">
      <c r="A38" s="398"/>
      <c r="B38" s="52"/>
      <c r="C38" s="52"/>
      <c r="D38" s="52"/>
      <c r="E38" s="695"/>
      <c r="F38" s="695"/>
      <c r="G38" s="695"/>
      <c r="H38" s="695"/>
      <c r="I38" s="695"/>
      <c r="J38" s="695"/>
      <c r="K38" s="695"/>
      <c r="L38" s="52"/>
      <c r="M38" s="52"/>
      <c r="N38" s="52"/>
      <c r="O38" s="52"/>
      <c r="P38" s="52"/>
      <c r="Q38" s="52"/>
      <c r="R38" s="52"/>
      <c r="S38" s="52"/>
      <c r="T38" s="330"/>
      <c r="U38" s="398"/>
      <c r="V38" s="52"/>
      <c r="W38" s="52"/>
      <c r="X38" s="52"/>
      <c r="Y38" s="52"/>
      <c r="Z38" s="52"/>
      <c r="AA38" s="52"/>
      <c r="AB38" s="52"/>
      <c r="AC38" s="52"/>
      <c r="AD38" s="52"/>
      <c r="AE38" s="52"/>
      <c r="AF38" s="52"/>
      <c r="AG38" s="52"/>
      <c r="AH38" s="52"/>
      <c r="AI38" s="52"/>
      <c r="AJ38" s="52"/>
      <c r="AK38" s="52"/>
      <c r="AL38" s="52"/>
      <c r="AM38" s="52"/>
      <c r="AN38" s="330"/>
      <c r="AO38" s="398">
        <v>400</v>
      </c>
      <c r="AP38" s="52"/>
      <c r="AQ38" s="52"/>
      <c r="AR38" s="52"/>
      <c r="AS38" s="52"/>
      <c r="AT38" s="52"/>
      <c r="AU38" s="52"/>
      <c r="AV38" s="52"/>
      <c r="AW38" s="52"/>
      <c r="AX38" s="52"/>
      <c r="AY38" s="52"/>
      <c r="AZ38" s="52"/>
      <c r="BA38" s="52"/>
      <c r="BB38" s="52"/>
      <c r="BC38" s="52"/>
      <c r="BD38" s="52"/>
      <c r="BE38" s="52"/>
      <c r="BF38" s="52"/>
      <c r="BG38" s="52"/>
      <c r="BH38" s="52"/>
      <c r="BI38" s="398"/>
      <c r="BJ38" s="52"/>
      <c r="BK38" s="52"/>
      <c r="BL38" s="52"/>
      <c r="BM38" s="52"/>
      <c r="BN38" s="52"/>
      <c r="BO38" s="52"/>
      <c r="BP38" s="52"/>
      <c r="BQ38" s="52"/>
      <c r="BR38" s="52"/>
      <c r="BS38" s="52"/>
      <c r="BT38" s="52"/>
      <c r="BU38" s="52"/>
      <c r="BV38" s="52"/>
      <c r="BW38" s="52"/>
      <c r="BX38" s="52"/>
      <c r="BY38" s="52"/>
      <c r="BZ38" s="52"/>
      <c r="CA38" s="52"/>
      <c r="CB38" s="330"/>
      <c r="CC38" s="398"/>
      <c r="CD38" s="52"/>
      <c r="CE38" s="52"/>
      <c r="CF38" s="52"/>
      <c r="CG38" s="52"/>
      <c r="CH38" s="52"/>
      <c r="CI38" s="52"/>
      <c r="CJ38" s="52"/>
      <c r="CK38" s="52"/>
      <c r="CL38" s="52"/>
      <c r="CM38" s="52"/>
      <c r="CN38" s="52"/>
      <c r="CO38" s="52"/>
      <c r="CP38" s="52"/>
      <c r="CQ38" s="52"/>
      <c r="CR38" s="52"/>
      <c r="CS38" s="52"/>
      <c r="CT38" s="52"/>
      <c r="CU38" s="52"/>
      <c r="CV38" s="330"/>
      <c r="CW38" s="398"/>
      <c r="CX38" s="52"/>
      <c r="CY38" s="52"/>
      <c r="CZ38" s="52"/>
      <c r="DA38" s="52"/>
      <c r="DB38" s="52"/>
      <c r="DC38" s="52"/>
      <c r="DD38" s="52"/>
      <c r="DE38" s="52"/>
      <c r="DF38" s="52"/>
      <c r="DG38" s="52"/>
      <c r="DH38" s="52"/>
      <c r="DI38" s="52"/>
      <c r="DJ38" s="52"/>
      <c r="DK38" s="52"/>
      <c r="DL38" s="52"/>
      <c r="DM38" s="52"/>
      <c r="DN38" s="52"/>
      <c r="DO38" s="52"/>
      <c r="DP38" s="330"/>
      <c r="DQ38" s="398"/>
      <c r="DR38" s="52"/>
      <c r="DS38" s="52"/>
      <c r="DT38" s="52"/>
      <c r="DU38" s="52"/>
      <c r="DV38" s="52"/>
      <c r="DW38" s="52"/>
      <c r="DX38" s="52"/>
      <c r="DY38" s="52"/>
      <c r="DZ38" s="52"/>
      <c r="EA38" s="52"/>
      <c r="EB38" s="52"/>
      <c r="EC38" s="52"/>
      <c r="ED38" s="52"/>
      <c r="EE38" s="52"/>
      <c r="EF38" s="52"/>
      <c r="EG38" s="52"/>
      <c r="EH38" s="52"/>
      <c r="EI38" s="52"/>
      <c r="EJ38" s="330"/>
      <c r="EK38" s="398"/>
      <c r="EL38" s="52"/>
      <c r="EM38" s="52"/>
      <c r="EN38" s="52"/>
      <c r="EO38" s="52"/>
      <c r="EP38" s="52"/>
      <c r="EQ38" s="52"/>
      <c r="ER38" s="52"/>
      <c r="ES38" s="52"/>
      <c r="ET38" s="52"/>
      <c r="EU38" s="52"/>
      <c r="EV38" s="52"/>
      <c r="EW38" s="52"/>
      <c r="EX38" s="52"/>
      <c r="EY38" s="52"/>
      <c r="EZ38" s="52"/>
      <c r="FA38" s="52"/>
      <c r="FB38" s="52"/>
      <c r="FC38" s="52"/>
      <c r="FD38" s="52"/>
      <c r="FE38" s="699"/>
    </row>
    <row r="39" spans="1:161">
      <c r="A39" s="398"/>
      <c r="B39" s="52"/>
      <c r="C39" s="52"/>
      <c r="D39" s="52"/>
      <c r="E39" s="695"/>
      <c r="F39" s="695"/>
      <c r="G39" s="695"/>
      <c r="H39" s="695"/>
      <c r="I39" s="695"/>
      <c r="J39" s="695"/>
      <c r="K39" s="695"/>
      <c r="L39" s="52"/>
      <c r="M39" s="52"/>
      <c r="N39" s="52"/>
      <c r="O39" s="52"/>
      <c r="P39" s="52"/>
      <c r="Q39" s="52"/>
      <c r="R39" s="52"/>
      <c r="S39" s="52"/>
      <c r="T39" s="330"/>
      <c r="U39" s="398"/>
      <c r="V39" s="52"/>
      <c r="W39" s="52"/>
      <c r="X39" s="52"/>
      <c r="Y39" s="52"/>
      <c r="Z39" s="52"/>
      <c r="AA39" s="52"/>
      <c r="AB39" s="52"/>
      <c r="AC39" s="52"/>
      <c r="AD39" s="52"/>
      <c r="AE39" s="52"/>
      <c r="AF39" s="52"/>
      <c r="AG39" s="52"/>
      <c r="AH39" s="52"/>
      <c r="AI39" s="52"/>
      <c r="AJ39" s="52"/>
      <c r="AK39" s="52"/>
      <c r="AL39" s="52"/>
      <c r="AM39" s="52"/>
      <c r="AN39" s="330"/>
      <c r="AO39" s="398">
        <v>16</v>
      </c>
      <c r="AP39" s="52"/>
      <c r="AQ39" s="52"/>
      <c r="AR39" s="52"/>
      <c r="AS39" s="52"/>
      <c r="AT39" s="52"/>
      <c r="AU39" s="52"/>
      <c r="AV39" s="52"/>
      <c r="AW39" s="52"/>
      <c r="AX39" s="52"/>
      <c r="AY39" s="52"/>
      <c r="AZ39" s="52"/>
      <c r="BA39" s="52"/>
      <c r="BB39" s="52"/>
      <c r="BC39" s="52"/>
      <c r="BD39" s="52"/>
      <c r="BE39" s="52"/>
      <c r="BF39" s="52"/>
      <c r="BG39" s="52"/>
      <c r="BH39" s="330"/>
      <c r="BI39" s="398"/>
      <c r="BJ39" s="52"/>
      <c r="BK39" s="52"/>
      <c r="BL39" s="52"/>
      <c r="BM39" s="52"/>
      <c r="BN39" s="52"/>
      <c r="BO39" s="52"/>
      <c r="BP39" s="52"/>
      <c r="BQ39" s="52"/>
      <c r="BR39" s="52"/>
      <c r="BS39" s="52"/>
      <c r="BT39" s="52"/>
      <c r="BU39" s="52"/>
      <c r="BV39" s="52"/>
      <c r="BW39" s="52"/>
      <c r="BX39" s="52"/>
      <c r="BY39" s="52"/>
      <c r="BZ39" s="52"/>
      <c r="CA39" s="52"/>
      <c r="CB39" s="330"/>
      <c r="CC39" s="398"/>
      <c r="CD39" s="52"/>
      <c r="CE39" s="52"/>
      <c r="CF39" s="52"/>
      <c r="CG39" s="52"/>
      <c r="CH39" s="52"/>
      <c r="CI39" s="52"/>
      <c r="CJ39" s="52"/>
      <c r="CK39" s="52"/>
      <c r="CL39" s="52"/>
      <c r="CM39" s="52"/>
      <c r="CN39" s="52"/>
      <c r="CO39" s="52"/>
      <c r="CP39" s="52"/>
      <c r="CQ39" s="52"/>
      <c r="CR39" s="52"/>
      <c r="CS39" s="52"/>
      <c r="CT39" s="52"/>
      <c r="CU39" s="52"/>
      <c r="CV39" s="330"/>
      <c r="CW39" s="398"/>
      <c r="CX39" s="52"/>
      <c r="CY39" s="52"/>
      <c r="CZ39" s="52"/>
      <c r="DA39" s="52"/>
      <c r="DB39" s="52"/>
      <c r="DC39" s="52"/>
      <c r="DD39" s="52"/>
      <c r="DE39" s="52"/>
      <c r="DF39" s="52"/>
      <c r="DG39" s="52"/>
      <c r="DH39" s="52"/>
      <c r="DI39" s="52"/>
      <c r="DJ39" s="52"/>
      <c r="DK39" s="52"/>
      <c r="DL39" s="52"/>
      <c r="DM39" s="52"/>
      <c r="DN39" s="52"/>
      <c r="DO39" s="52"/>
      <c r="DP39" s="330"/>
      <c r="DQ39" s="398"/>
      <c r="DR39" s="52"/>
      <c r="DS39" s="52"/>
      <c r="DT39" s="52"/>
      <c r="DU39" s="52"/>
      <c r="DV39" s="52"/>
      <c r="DW39" s="52"/>
      <c r="DX39" s="52"/>
      <c r="DY39" s="52"/>
      <c r="DZ39" s="52"/>
      <c r="EA39" s="52"/>
      <c r="EB39" s="52"/>
      <c r="EC39" s="52"/>
      <c r="ED39" s="52"/>
      <c r="EE39" s="52"/>
      <c r="EF39" s="52"/>
      <c r="EG39" s="52"/>
      <c r="EH39" s="52"/>
      <c r="EI39" s="52"/>
      <c r="EJ39" s="330"/>
      <c r="EK39" s="398"/>
      <c r="EL39" s="52"/>
      <c r="EM39" s="52"/>
      <c r="EN39" s="52"/>
      <c r="EO39" s="52"/>
      <c r="EP39" s="52"/>
      <c r="EQ39" s="52"/>
      <c r="ER39" s="52"/>
      <c r="ES39" s="52"/>
      <c r="ET39" s="52"/>
      <c r="EU39" s="52"/>
      <c r="EV39" s="52"/>
      <c r="EW39" s="52"/>
      <c r="EX39" s="52"/>
      <c r="EY39" s="52"/>
      <c r="EZ39" s="52"/>
      <c r="FA39" s="52"/>
      <c r="FB39" s="52"/>
      <c r="FC39" s="52"/>
      <c r="FD39" s="52"/>
      <c r="FE39" s="699"/>
    </row>
    <row r="40" spans="1:161">
      <c r="A40" s="685"/>
      <c r="B40" s="52"/>
      <c r="C40" s="52"/>
      <c r="D40" s="52"/>
      <c r="E40" s="695"/>
      <c r="F40" s="695"/>
      <c r="G40" s="695"/>
      <c r="H40" s="695"/>
      <c r="I40" s="695"/>
      <c r="J40" s="695"/>
      <c r="K40" s="695"/>
      <c r="L40" s="52"/>
      <c r="M40" s="52"/>
      <c r="N40" s="52"/>
      <c r="O40" s="52"/>
      <c r="P40" s="52"/>
      <c r="Q40" s="71"/>
      <c r="R40" s="52"/>
      <c r="S40" s="52"/>
      <c r="T40" s="330"/>
      <c r="U40" s="685">
        <v>17</v>
      </c>
      <c r="V40" s="52"/>
      <c r="W40" s="52"/>
      <c r="X40" s="52"/>
      <c r="Y40" s="52"/>
      <c r="Z40" s="52"/>
      <c r="AA40" s="52"/>
      <c r="AB40" s="52"/>
      <c r="AC40" s="52"/>
      <c r="AD40" s="52"/>
      <c r="AE40" s="52"/>
      <c r="AF40" s="52"/>
      <c r="AG40" s="52"/>
      <c r="AH40" s="52"/>
      <c r="AI40" s="52"/>
      <c r="AJ40" s="52"/>
      <c r="AK40" s="63"/>
      <c r="AL40" s="52"/>
      <c r="AM40" s="52"/>
      <c r="AN40" s="330"/>
      <c r="AO40" s="685"/>
      <c r="AP40" s="52"/>
      <c r="AQ40" s="52"/>
      <c r="AR40" s="52"/>
      <c r="AS40" s="52"/>
      <c r="AT40" s="52"/>
      <c r="AU40" s="52"/>
      <c r="AV40" s="52"/>
      <c r="AW40" s="52"/>
      <c r="AX40" s="52"/>
      <c r="AY40" s="52"/>
      <c r="AZ40" s="52"/>
      <c r="BA40" s="52"/>
      <c r="BB40" s="52"/>
      <c r="BC40" s="52"/>
      <c r="BD40" s="52"/>
      <c r="BE40" s="52"/>
      <c r="BF40" s="52"/>
      <c r="BG40" s="52"/>
      <c r="BH40" s="330"/>
      <c r="BI40" s="685"/>
      <c r="BJ40" s="52"/>
      <c r="BK40" s="52"/>
      <c r="BL40" s="52"/>
      <c r="BM40" s="52"/>
      <c r="BN40" s="52"/>
      <c r="BO40" s="52"/>
      <c r="BP40" s="52"/>
      <c r="BQ40" s="52"/>
      <c r="BR40" s="52"/>
      <c r="BS40" s="52"/>
      <c r="BT40" s="52"/>
      <c r="BU40" s="52"/>
      <c r="BV40" s="52"/>
      <c r="BW40" s="52"/>
      <c r="BX40" s="52"/>
      <c r="BY40" s="71"/>
      <c r="BZ40" s="52"/>
      <c r="CA40" s="52"/>
      <c r="CB40" s="330"/>
      <c r="CC40" s="685"/>
      <c r="CD40" s="52"/>
      <c r="CE40" s="52"/>
      <c r="CF40" s="52"/>
      <c r="CG40" s="52"/>
      <c r="CH40" s="52"/>
      <c r="CI40" s="52"/>
      <c r="CJ40" s="52"/>
      <c r="CK40" s="52"/>
      <c r="CL40" s="52"/>
      <c r="CM40" s="52"/>
      <c r="CN40" s="52"/>
      <c r="CO40" s="52"/>
      <c r="CP40" s="52"/>
      <c r="CQ40" s="52"/>
      <c r="CR40" s="52"/>
      <c r="CS40" s="52"/>
      <c r="CT40" s="52"/>
      <c r="CU40" s="52"/>
      <c r="CV40" s="330"/>
      <c r="CW40" s="685"/>
      <c r="CX40" s="52"/>
      <c r="CY40" s="52"/>
      <c r="CZ40" s="52"/>
      <c r="DA40" s="52"/>
      <c r="DB40" s="52"/>
      <c r="DC40" s="52"/>
      <c r="DD40" s="52"/>
      <c r="DE40" s="52"/>
      <c r="DF40" s="52"/>
      <c r="DG40" s="52"/>
      <c r="DH40" s="52"/>
      <c r="DI40" s="52"/>
      <c r="DJ40" s="52"/>
      <c r="DK40" s="52"/>
      <c r="DL40" s="52"/>
      <c r="DM40" s="71"/>
      <c r="DN40" s="52"/>
      <c r="DO40" s="52"/>
      <c r="DP40" s="330"/>
      <c r="DQ40" s="685">
        <v>18</v>
      </c>
      <c r="DR40" s="52"/>
      <c r="DS40" s="52"/>
      <c r="DT40" s="52"/>
      <c r="DU40" s="52"/>
      <c r="DV40" s="52"/>
      <c r="DW40" s="52"/>
      <c r="DX40" s="52"/>
      <c r="DY40" s="52"/>
      <c r="DZ40" s="52"/>
      <c r="EA40" s="52"/>
      <c r="EB40" s="52"/>
      <c r="EC40" s="52"/>
      <c r="ED40" s="52"/>
      <c r="EE40" s="52"/>
      <c r="EF40" s="52"/>
      <c r="EG40" s="71"/>
      <c r="EH40" s="52"/>
      <c r="EI40" s="52"/>
      <c r="EJ40" s="330"/>
      <c r="EK40" s="685">
        <v>27</v>
      </c>
      <c r="EL40" s="52"/>
      <c r="EM40" s="52"/>
      <c r="EN40" s="52"/>
      <c r="EO40" s="52"/>
      <c r="EP40" s="52"/>
      <c r="EQ40" s="52"/>
      <c r="ER40" s="52"/>
      <c r="ES40" s="52"/>
      <c r="ET40" s="52"/>
      <c r="EU40" s="52"/>
      <c r="EV40" s="52"/>
      <c r="EW40" s="52"/>
      <c r="EX40" s="52"/>
      <c r="EY40" s="52"/>
      <c r="EZ40" s="52"/>
      <c r="FA40" s="71"/>
      <c r="FB40" s="52"/>
      <c r="FC40" s="52"/>
      <c r="FD40" s="52"/>
      <c r="FE40" s="699"/>
    </row>
    <row r="41" spans="1:161">
      <c r="A41" s="398"/>
      <c r="B41" s="52"/>
      <c r="C41" s="52"/>
      <c r="D41" s="52"/>
      <c r="E41" s="695"/>
      <c r="F41" s="695"/>
      <c r="G41" s="695"/>
      <c r="H41" s="695"/>
      <c r="I41" s="695"/>
      <c r="J41" s="695"/>
      <c r="K41" s="695"/>
      <c r="L41" s="52"/>
      <c r="M41" s="52"/>
      <c r="N41" s="52"/>
      <c r="O41" s="52"/>
      <c r="P41" s="52"/>
      <c r="Q41" s="71"/>
      <c r="R41" s="52"/>
      <c r="S41" s="52"/>
      <c r="T41" s="330"/>
      <c r="U41" s="398"/>
      <c r="V41" s="52"/>
      <c r="W41" s="52"/>
      <c r="X41" s="52"/>
      <c r="Y41" s="52"/>
      <c r="Z41" s="52"/>
      <c r="AA41" s="52"/>
      <c r="AB41" s="52"/>
      <c r="AC41" s="52"/>
      <c r="AD41" s="52"/>
      <c r="AE41" s="52"/>
      <c r="AF41" s="52"/>
      <c r="AG41" s="52"/>
      <c r="AH41" s="52"/>
      <c r="AI41" s="52"/>
      <c r="AJ41" s="52"/>
      <c r="AK41" s="52"/>
      <c r="AL41" s="52"/>
      <c r="AM41" s="52"/>
      <c r="AN41" s="330"/>
      <c r="AO41" s="52">
        <v>71</v>
      </c>
      <c r="AP41" s="52"/>
      <c r="AQ41" s="52"/>
      <c r="AR41" s="52"/>
      <c r="AS41" s="52"/>
      <c r="AT41" s="52"/>
      <c r="AU41" s="52"/>
      <c r="AV41" s="52"/>
      <c r="AW41" s="52"/>
      <c r="AX41" s="52"/>
      <c r="AY41" s="52"/>
      <c r="AZ41" s="52"/>
      <c r="BA41" s="52"/>
      <c r="BB41" s="52"/>
      <c r="BC41" s="52"/>
      <c r="BD41" s="52"/>
      <c r="BE41" s="52"/>
      <c r="BF41" s="52"/>
      <c r="BG41" s="52"/>
      <c r="BH41" s="330"/>
      <c r="BI41" s="398"/>
      <c r="BJ41" s="52" t="s">
        <v>674</v>
      </c>
      <c r="BK41" s="52"/>
      <c r="BL41" s="52"/>
      <c r="BM41" s="52"/>
      <c r="BN41" s="52"/>
      <c r="BO41" s="52"/>
      <c r="BP41" s="52"/>
      <c r="BQ41" s="52"/>
      <c r="BR41" s="52"/>
      <c r="BS41" s="52"/>
      <c r="BT41" s="52"/>
      <c r="BU41" s="52"/>
      <c r="BV41" s="52"/>
      <c r="BW41" s="52"/>
      <c r="BX41" s="52"/>
      <c r="BY41" s="52"/>
      <c r="BZ41" s="52"/>
      <c r="CA41" s="52"/>
      <c r="CB41" s="330"/>
      <c r="CC41" s="398"/>
      <c r="CD41" s="52"/>
      <c r="CE41" s="52"/>
      <c r="CF41" s="52"/>
      <c r="CG41" s="52"/>
      <c r="CH41" s="52"/>
      <c r="CI41" s="52"/>
      <c r="CJ41" s="52"/>
      <c r="CK41" s="52"/>
      <c r="CL41" s="52"/>
      <c r="CM41" s="52"/>
      <c r="CN41" s="52"/>
      <c r="CO41" s="52"/>
      <c r="CP41" s="52"/>
      <c r="CQ41" s="52"/>
      <c r="CR41" s="52"/>
      <c r="CS41" s="71"/>
      <c r="CT41" s="52"/>
      <c r="CU41" s="52"/>
      <c r="CV41" s="330"/>
      <c r="CW41" s="398"/>
      <c r="CX41" s="52"/>
      <c r="CY41" s="52"/>
      <c r="CZ41" s="52"/>
      <c r="DA41" s="52"/>
      <c r="DB41" s="52"/>
      <c r="DC41" s="52"/>
      <c r="DD41" s="52"/>
      <c r="DE41" s="52"/>
      <c r="DF41" s="52"/>
      <c r="DG41" s="52"/>
      <c r="DH41" s="52"/>
      <c r="DI41" s="52"/>
      <c r="DJ41" s="52"/>
      <c r="DK41" s="52"/>
      <c r="DL41" s="71"/>
      <c r="DM41" s="52"/>
      <c r="DN41" s="52"/>
      <c r="DO41" s="52"/>
      <c r="DP41" s="330"/>
      <c r="DQ41" s="398"/>
      <c r="DR41" s="52"/>
      <c r="DS41" s="52"/>
      <c r="DT41" s="52"/>
      <c r="DU41" s="52"/>
      <c r="DV41" s="52"/>
      <c r="DW41" s="52"/>
      <c r="DX41" s="52"/>
      <c r="DY41" s="52"/>
      <c r="DZ41" s="52"/>
      <c r="EA41" s="52"/>
      <c r="EB41" s="52"/>
      <c r="EC41" s="52"/>
      <c r="ED41" s="52"/>
      <c r="EE41" s="52"/>
      <c r="EF41" s="52"/>
      <c r="EG41" s="71"/>
      <c r="EH41" s="52"/>
      <c r="EI41" s="52"/>
      <c r="EJ41" s="330"/>
      <c r="EK41" s="398"/>
      <c r="EL41" s="52"/>
      <c r="EM41" s="52"/>
      <c r="EN41" s="52"/>
      <c r="EO41" s="52"/>
      <c r="EP41" s="52"/>
      <c r="EQ41" s="52"/>
      <c r="ER41" s="52"/>
      <c r="ES41" s="52"/>
      <c r="ET41" s="52"/>
      <c r="EU41" s="52"/>
      <c r="EV41" s="52"/>
      <c r="EW41" s="52"/>
      <c r="EX41" s="52"/>
      <c r="EY41" s="52"/>
      <c r="EZ41" s="52"/>
      <c r="FA41" s="71"/>
      <c r="FB41" s="52"/>
      <c r="FC41" s="52"/>
      <c r="FD41" s="52"/>
      <c r="FE41" s="699"/>
    </row>
    <row r="42" spans="1:161">
      <c r="A42" s="398"/>
      <c r="B42" s="52"/>
      <c r="C42" s="52"/>
      <c r="D42" s="52"/>
      <c r="E42" s="695"/>
      <c r="F42" s="695"/>
      <c r="G42" s="695"/>
      <c r="H42" s="695"/>
      <c r="I42" s="695"/>
      <c r="J42" s="695"/>
      <c r="K42" s="695"/>
      <c r="L42" s="52"/>
      <c r="M42" s="52"/>
      <c r="N42" s="52"/>
      <c r="O42" s="52"/>
      <c r="P42" s="52"/>
      <c r="Q42" s="71"/>
      <c r="R42" s="52"/>
      <c r="S42" s="52"/>
      <c r="T42" s="330"/>
      <c r="U42" s="398"/>
      <c r="V42" s="52"/>
      <c r="W42" s="52"/>
      <c r="X42" s="52"/>
      <c r="Y42" s="52"/>
      <c r="Z42" s="52"/>
      <c r="AA42" s="52"/>
      <c r="AB42" s="52"/>
      <c r="AC42" s="52"/>
      <c r="AD42" s="52"/>
      <c r="AE42" s="52"/>
      <c r="AF42" s="52"/>
      <c r="AG42" s="52"/>
      <c r="AH42" s="52"/>
      <c r="AI42" s="52"/>
      <c r="AJ42" s="59"/>
      <c r="AK42" s="52"/>
      <c r="AL42" s="52"/>
      <c r="AM42" s="52"/>
      <c r="AN42" s="330"/>
      <c r="AO42" s="52">
        <v>84</v>
      </c>
      <c r="AP42" s="52"/>
      <c r="AQ42" s="52"/>
      <c r="AR42" s="52"/>
      <c r="AS42" s="52"/>
      <c r="AT42" s="52"/>
      <c r="AU42" s="52"/>
      <c r="AV42" s="52"/>
      <c r="AW42" s="52"/>
      <c r="AX42" s="52"/>
      <c r="AY42" s="52"/>
      <c r="AZ42" s="64"/>
      <c r="BA42" s="52"/>
      <c r="BB42" s="52"/>
      <c r="BC42" s="52"/>
      <c r="BD42" s="52"/>
      <c r="BE42" s="52"/>
      <c r="BF42" s="52"/>
      <c r="BG42" s="52"/>
      <c r="BH42" s="330"/>
      <c r="BI42" s="398"/>
      <c r="BJ42" s="52"/>
      <c r="BK42" s="52"/>
      <c r="BL42" s="52"/>
      <c r="BM42" s="52"/>
      <c r="BN42" s="52"/>
      <c r="BO42" s="52"/>
      <c r="BP42" s="52"/>
      <c r="BQ42" s="52"/>
      <c r="BR42" s="52"/>
      <c r="BS42" s="52"/>
      <c r="BT42" s="52"/>
      <c r="BU42" s="52"/>
      <c r="BV42" s="52"/>
      <c r="BW42" s="52"/>
      <c r="BX42" s="52"/>
      <c r="BY42" s="52"/>
      <c r="BZ42" s="52"/>
      <c r="CA42" s="52"/>
      <c r="CB42" s="330"/>
      <c r="CC42" s="398"/>
      <c r="CD42" s="52"/>
      <c r="CE42" s="52"/>
      <c r="CF42" s="52"/>
      <c r="CG42" s="52"/>
      <c r="CH42" s="52"/>
      <c r="CI42" s="52"/>
      <c r="CJ42" s="52"/>
      <c r="CK42" s="52"/>
      <c r="CL42" s="52"/>
      <c r="CM42" s="52"/>
      <c r="CN42" s="52"/>
      <c r="CO42" s="52"/>
      <c r="CP42" s="52"/>
      <c r="CQ42" s="52"/>
      <c r="CR42" s="52"/>
      <c r="CS42" s="52"/>
      <c r="CT42" s="52"/>
      <c r="CU42" s="52"/>
      <c r="CV42" s="330"/>
      <c r="CW42" s="398"/>
      <c r="CX42" s="52"/>
      <c r="CY42" s="52"/>
      <c r="CZ42" s="52"/>
      <c r="DA42" s="52"/>
      <c r="DB42" s="52"/>
      <c r="DC42" s="52"/>
      <c r="DD42" s="52"/>
      <c r="DE42" s="52"/>
      <c r="DF42" s="52"/>
      <c r="DG42" s="52"/>
      <c r="DH42" s="52"/>
      <c r="DI42" s="52"/>
      <c r="DJ42" s="52"/>
      <c r="DK42" s="52"/>
      <c r="DL42" s="71"/>
      <c r="DM42" s="52"/>
      <c r="DN42" s="52"/>
      <c r="DO42" s="52"/>
      <c r="DP42" s="330"/>
      <c r="DQ42" s="398"/>
      <c r="DR42" s="52"/>
      <c r="DS42" s="52"/>
      <c r="DT42" s="52"/>
      <c r="DU42" s="52"/>
      <c r="DV42" s="52"/>
      <c r="DW42" s="52"/>
      <c r="DX42" s="52"/>
      <c r="DY42" s="52"/>
      <c r="DZ42" s="52"/>
      <c r="EA42" s="52"/>
      <c r="EB42" s="52"/>
      <c r="EC42" s="52"/>
      <c r="ED42" s="52"/>
      <c r="EE42" s="52"/>
      <c r="EF42" s="52"/>
      <c r="EG42" s="71"/>
      <c r="EH42" s="52"/>
      <c r="EI42" s="52"/>
      <c r="EJ42" s="330"/>
      <c r="EK42" s="398"/>
      <c r="EL42" s="52"/>
      <c r="EM42" s="52"/>
      <c r="EN42" s="52"/>
      <c r="EO42" s="52"/>
      <c r="EP42" s="52"/>
      <c r="EQ42" s="52"/>
      <c r="ER42" s="52"/>
      <c r="ES42" s="52"/>
      <c r="ET42" s="52"/>
      <c r="EU42" s="52"/>
      <c r="EV42" s="52"/>
      <c r="EW42" s="52"/>
      <c r="EX42" s="52"/>
      <c r="EY42" s="52"/>
      <c r="EZ42" s="52"/>
      <c r="FA42" s="71"/>
      <c r="FB42" s="52"/>
      <c r="FC42" s="52"/>
      <c r="FD42" s="52"/>
      <c r="FE42" s="699"/>
    </row>
    <row r="43" spans="1:161">
      <c r="A43" s="398"/>
      <c r="B43" s="52"/>
      <c r="C43" s="52"/>
      <c r="D43" s="52"/>
      <c r="E43" s="695"/>
      <c r="F43" s="695"/>
      <c r="G43" s="695"/>
      <c r="H43" s="695"/>
      <c r="I43" s="695"/>
      <c r="J43" s="695"/>
      <c r="K43" s="695"/>
      <c r="L43" s="52"/>
      <c r="M43" s="52"/>
      <c r="N43" s="52"/>
      <c r="O43" s="52"/>
      <c r="P43" s="52"/>
      <c r="Q43" s="52"/>
      <c r="R43" s="52"/>
      <c r="S43" s="52"/>
      <c r="T43" s="330"/>
      <c r="U43" s="398"/>
      <c r="V43" s="52"/>
      <c r="W43" s="52"/>
      <c r="X43" s="52"/>
      <c r="Y43" s="52"/>
      <c r="Z43" s="52"/>
      <c r="AA43" s="52"/>
      <c r="AB43" s="52"/>
      <c r="AC43" s="52"/>
      <c r="AD43" s="52"/>
      <c r="AE43" s="52"/>
      <c r="AF43" s="52"/>
      <c r="AG43" s="52"/>
      <c r="AH43" s="52"/>
      <c r="AI43" s="63"/>
      <c r="AJ43" s="52"/>
      <c r="AK43" s="52"/>
      <c r="AL43" s="52"/>
      <c r="AM43" s="52"/>
      <c r="AN43" s="330"/>
      <c r="AO43" s="52">
        <v>160</v>
      </c>
      <c r="AP43" s="52"/>
      <c r="AQ43" s="52"/>
      <c r="AR43" s="52"/>
      <c r="AS43" s="52"/>
      <c r="AT43" s="52"/>
      <c r="AU43" s="52"/>
      <c r="AV43" s="52"/>
      <c r="AW43" s="52"/>
      <c r="AX43" s="52"/>
      <c r="AY43" s="59"/>
      <c r="AZ43" s="60"/>
      <c r="BA43" s="52"/>
      <c r="BB43" s="71"/>
      <c r="BC43" s="71"/>
      <c r="BD43" s="52"/>
      <c r="BE43" s="52"/>
      <c r="BF43" s="52"/>
      <c r="BG43" s="52"/>
      <c r="BH43" s="330"/>
      <c r="BI43" s="398"/>
      <c r="BJ43" s="52"/>
      <c r="BK43" s="52"/>
      <c r="BL43" s="52"/>
      <c r="BM43" s="52"/>
      <c r="BN43" s="52"/>
      <c r="BO43" s="52"/>
      <c r="BP43" s="52"/>
      <c r="BQ43" s="52"/>
      <c r="BR43" s="52"/>
      <c r="BS43" s="50"/>
      <c r="BT43" s="52"/>
      <c r="BU43" s="52"/>
      <c r="BV43" s="52"/>
      <c r="BW43" s="52"/>
      <c r="BX43" s="52"/>
      <c r="BY43" s="52"/>
      <c r="BZ43" s="52"/>
      <c r="CA43" s="52"/>
      <c r="CB43" s="330"/>
      <c r="CC43" s="398"/>
      <c r="CD43" s="52"/>
      <c r="CE43" s="52"/>
      <c r="CF43" s="52"/>
      <c r="CG43" s="52"/>
      <c r="CH43" s="52"/>
      <c r="CI43" s="52"/>
      <c r="CJ43" s="52"/>
      <c r="CK43" s="52"/>
      <c r="CL43" s="52"/>
      <c r="CM43" s="52"/>
      <c r="CN43" s="52"/>
      <c r="CO43" s="50"/>
      <c r="CP43" s="52"/>
      <c r="CQ43" s="52"/>
      <c r="CR43" s="52"/>
      <c r="CS43" s="71"/>
      <c r="CT43" s="52"/>
      <c r="CU43" s="52"/>
      <c r="CV43" s="330"/>
      <c r="CW43" s="398"/>
      <c r="CX43" s="52"/>
      <c r="CY43" s="52"/>
      <c r="CZ43" s="52"/>
      <c r="DA43" s="52"/>
      <c r="DB43" s="52"/>
      <c r="DC43" s="52"/>
      <c r="DD43" s="52"/>
      <c r="DE43" s="52"/>
      <c r="DF43" s="52"/>
      <c r="DG43" s="52"/>
      <c r="DH43" s="52"/>
      <c r="DI43" s="52"/>
      <c r="DJ43" s="52"/>
      <c r="DK43" s="52"/>
      <c r="DL43" s="71"/>
      <c r="DM43" s="471"/>
      <c r="DN43" s="52"/>
      <c r="DO43" s="52"/>
      <c r="DP43" s="330"/>
      <c r="DQ43" s="398"/>
      <c r="DR43" s="52"/>
      <c r="DS43" s="52"/>
      <c r="DT43" s="52"/>
      <c r="DU43" s="52"/>
      <c r="DV43" s="52"/>
      <c r="DW43" s="52"/>
      <c r="DX43" s="52"/>
      <c r="DY43" s="52"/>
      <c r="DZ43" s="52"/>
      <c r="EA43" s="52"/>
      <c r="EB43" s="52"/>
      <c r="EC43" s="52"/>
      <c r="ED43" s="52"/>
      <c r="EE43" s="52"/>
      <c r="EF43" s="52"/>
      <c r="EG43" s="52"/>
      <c r="EH43" s="52"/>
      <c r="EI43" s="52"/>
      <c r="EJ43" s="330"/>
      <c r="EK43" s="398"/>
      <c r="EL43" s="52"/>
      <c r="EM43" s="52"/>
      <c r="EN43" s="52"/>
      <c r="EO43" s="52"/>
      <c r="EP43" s="52"/>
      <c r="EQ43" s="52"/>
      <c r="ER43" s="52"/>
      <c r="ES43" s="52"/>
      <c r="ET43" s="52"/>
      <c r="EU43" s="52"/>
      <c r="EV43" s="52"/>
      <c r="EW43" s="52"/>
      <c r="EX43" s="52"/>
      <c r="EY43" s="52"/>
      <c r="EZ43" s="52"/>
      <c r="FA43" s="52"/>
      <c r="FB43" s="52"/>
      <c r="FC43" s="52"/>
      <c r="FD43" s="52"/>
      <c r="FE43" s="699"/>
    </row>
    <row r="44" spans="1:161">
      <c r="A44" s="398">
        <v>100</v>
      </c>
      <c r="B44" s="52"/>
      <c r="C44" s="52"/>
      <c r="D44" s="52"/>
      <c r="E44" s="695"/>
      <c r="F44" s="695"/>
      <c r="G44" s="695"/>
      <c r="H44" s="695"/>
      <c r="I44" s="695"/>
      <c r="J44" s="695"/>
      <c r="K44" s="695"/>
      <c r="L44" s="52"/>
      <c r="M44" s="52"/>
      <c r="N44" s="52"/>
      <c r="O44" s="52"/>
      <c r="P44" s="52"/>
      <c r="Q44" s="52"/>
      <c r="R44" s="52"/>
      <c r="S44" s="52"/>
      <c r="T44" s="330"/>
      <c r="U44" s="398"/>
      <c r="V44" s="52"/>
      <c r="W44" s="52"/>
      <c r="X44" s="52"/>
      <c r="Y44" s="52"/>
      <c r="Z44" s="52"/>
      <c r="AA44" s="52"/>
      <c r="AB44" s="52"/>
      <c r="AC44" s="52"/>
      <c r="AD44" s="52"/>
      <c r="AE44" s="52"/>
      <c r="AF44" s="52"/>
      <c r="AG44" s="63"/>
      <c r="AH44" s="38"/>
      <c r="AI44" s="59"/>
      <c r="AJ44" s="52"/>
      <c r="AK44" s="52"/>
      <c r="AL44" s="52"/>
      <c r="AM44" s="52"/>
      <c r="AN44" s="330"/>
      <c r="AO44" s="52"/>
      <c r="AP44" s="52"/>
      <c r="AQ44" s="52"/>
      <c r="AR44" s="52"/>
      <c r="AS44" s="52"/>
      <c r="AT44" s="52"/>
      <c r="AU44" s="52"/>
      <c r="AV44" s="52"/>
      <c r="AW44" s="52"/>
      <c r="AX44" s="59"/>
      <c r="AY44" s="68"/>
      <c r="AZ44" s="60"/>
      <c r="BA44" s="52"/>
      <c r="BB44" s="52"/>
      <c r="BC44" s="52"/>
      <c r="BD44" s="71"/>
      <c r="BE44" s="71"/>
      <c r="BF44" s="71"/>
      <c r="BG44" s="52"/>
      <c r="BH44" s="52"/>
      <c r="BI44" s="398"/>
      <c r="BJ44" s="52"/>
      <c r="BK44" s="52"/>
      <c r="BL44" s="52"/>
      <c r="BM44" s="52"/>
      <c r="BN44" s="52"/>
      <c r="BO44" s="52"/>
      <c r="BP44" s="52"/>
      <c r="BQ44" s="52"/>
      <c r="BR44" s="47"/>
      <c r="BS44" s="50"/>
      <c r="BT44" s="45"/>
      <c r="BU44" s="52"/>
      <c r="BV44" s="52"/>
      <c r="BW44" s="52"/>
      <c r="BX44" s="52"/>
      <c r="BY44" s="52"/>
      <c r="BZ44" s="52"/>
      <c r="CA44" s="52"/>
      <c r="CB44" s="330"/>
      <c r="CC44" s="398"/>
      <c r="CD44" s="52"/>
      <c r="CE44" s="52"/>
      <c r="CF44" s="52"/>
      <c r="CG44" s="52"/>
      <c r="CH44" s="52"/>
      <c r="CI44" s="52"/>
      <c r="CJ44" s="52"/>
      <c r="CK44" s="52"/>
      <c r="CL44" s="52"/>
      <c r="CM44" s="52"/>
      <c r="CN44" s="45"/>
      <c r="CO44" s="50"/>
      <c r="CP44" s="473"/>
      <c r="CQ44" s="52"/>
      <c r="CR44" s="71"/>
      <c r="CS44" s="71"/>
      <c r="CT44" s="52"/>
      <c r="CU44" s="52"/>
      <c r="CV44" s="330"/>
      <c r="CW44" s="398"/>
      <c r="CX44" s="52"/>
      <c r="CY44" s="52"/>
      <c r="CZ44" s="52"/>
      <c r="DA44" s="52"/>
      <c r="DB44" s="52"/>
      <c r="DC44" s="52"/>
      <c r="DD44" s="52"/>
      <c r="DE44" s="52"/>
      <c r="DF44" s="52"/>
      <c r="DG44" s="52"/>
      <c r="DH44" s="52"/>
      <c r="DI44" s="52"/>
      <c r="DJ44" s="52"/>
      <c r="DK44" s="52"/>
      <c r="DL44" s="52"/>
      <c r="DM44" s="471"/>
      <c r="DN44" s="471"/>
      <c r="DO44" s="52"/>
      <c r="DP44" s="330"/>
      <c r="DQ44" s="398"/>
      <c r="DR44" s="52"/>
      <c r="DS44" s="52"/>
      <c r="DT44" s="52"/>
      <c r="DU44" s="52"/>
      <c r="DV44" s="52"/>
      <c r="DW44" s="52"/>
      <c r="DX44" s="52"/>
      <c r="DY44" s="52"/>
      <c r="DZ44" s="52"/>
      <c r="EA44" s="52"/>
      <c r="EB44" s="52"/>
      <c r="EC44" s="52"/>
      <c r="ED44" s="52"/>
      <c r="EE44" s="52"/>
      <c r="EF44" s="52"/>
      <c r="EG44" s="52"/>
      <c r="EH44" s="52"/>
      <c r="EI44" s="52"/>
      <c r="EJ44" s="330"/>
      <c r="EK44" s="398"/>
      <c r="EL44" s="52"/>
      <c r="EM44" s="52"/>
      <c r="EN44" s="52"/>
      <c r="EO44" s="52"/>
      <c r="EP44" s="52"/>
      <c r="EQ44" s="52"/>
      <c r="ER44" s="52"/>
      <c r="ES44" s="52"/>
      <c r="ET44" s="52"/>
      <c r="EU44" s="52"/>
      <c r="EV44" s="52"/>
      <c r="EW44" s="52"/>
      <c r="EX44" s="52"/>
      <c r="EY44" s="52"/>
      <c r="EZ44" s="52"/>
      <c r="FA44" s="52"/>
      <c r="FB44" s="52"/>
      <c r="FC44" s="52"/>
      <c r="FD44" s="52"/>
      <c r="FE44" s="699"/>
    </row>
    <row r="45" spans="1:161">
      <c r="A45" s="398"/>
      <c r="B45" s="52"/>
      <c r="C45" s="52"/>
      <c r="D45" s="52"/>
      <c r="E45" s="695"/>
      <c r="F45" s="695"/>
      <c r="G45" s="695"/>
      <c r="H45" s="695"/>
      <c r="I45" s="695"/>
      <c r="J45" s="695"/>
      <c r="K45" s="695"/>
      <c r="L45" s="52"/>
      <c r="M45" s="52"/>
      <c r="N45" s="52"/>
      <c r="O45" s="52"/>
      <c r="P45" s="52"/>
      <c r="Q45" s="52"/>
      <c r="R45" s="52"/>
      <c r="S45" s="52"/>
      <c r="T45" s="330"/>
      <c r="U45" s="398"/>
      <c r="V45" s="52"/>
      <c r="W45" s="52"/>
      <c r="X45" s="52"/>
      <c r="Y45" s="52"/>
      <c r="Z45" s="52"/>
      <c r="AA45" s="52"/>
      <c r="AB45" s="52"/>
      <c r="AC45" s="52"/>
      <c r="AD45" s="52"/>
      <c r="AE45" s="52"/>
      <c r="AF45" s="62"/>
      <c r="AG45" s="38"/>
      <c r="AH45" s="91"/>
      <c r="AI45" s="63"/>
      <c r="AJ45" s="52"/>
      <c r="AK45" s="52"/>
      <c r="AL45" s="52"/>
      <c r="AM45" s="52"/>
      <c r="AN45" s="330"/>
      <c r="AO45" s="52"/>
      <c r="AP45" s="52"/>
      <c r="AQ45" s="52"/>
      <c r="AR45" s="52"/>
      <c r="AS45" s="52"/>
      <c r="AT45" s="52"/>
      <c r="AU45" s="52"/>
      <c r="AV45" s="52"/>
      <c r="AW45" s="63"/>
      <c r="AX45" s="69"/>
      <c r="AY45" s="50"/>
      <c r="AZ45" s="59"/>
      <c r="BA45" s="71"/>
      <c r="BB45" s="52"/>
      <c r="BC45" s="52"/>
      <c r="BD45" s="52"/>
      <c r="BE45" s="52"/>
      <c r="BF45" s="52"/>
      <c r="BG45" s="52"/>
      <c r="BH45" s="52"/>
      <c r="BI45" s="398"/>
      <c r="BJ45" s="52"/>
      <c r="BK45" s="52"/>
      <c r="BL45" s="52"/>
      <c r="BM45" s="52"/>
      <c r="BN45" s="52"/>
      <c r="BO45" s="52"/>
      <c r="BP45" s="52"/>
      <c r="BQ45" s="52"/>
      <c r="BR45" s="45"/>
      <c r="BS45" s="47"/>
      <c r="BT45" s="471"/>
      <c r="BU45" s="52"/>
      <c r="BV45" s="52"/>
      <c r="BW45" s="52"/>
      <c r="BX45" s="71"/>
      <c r="BY45" s="52"/>
      <c r="BZ45" s="52"/>
      <c r="CA45" s="52"/>
      <c r="CB45" s="330"/>
      <c r="CC45" s="398"/>
      <c r="CD45" s="52"/>
      <c r="CE45" s="52"/>
      <c r="CF45" s="52"/>
      <c r="CG45" s="52"/>
      <c r="CH45" s="52"/>
      <c r="CI45" s="52"/>
      <c r="CJ45" s="52"/>
      <c r="CK45" s="52"/>
      <c r="CL45" s="52"/>
      <c r="CM45" s="52"/>
      <c r="CN45" s="47"/>
      <c r="CO45" s="45"/>
      <c r="CP45" s="50"/>
      <c r="CQ45" s="71"/>
      <c r="CR45" s="71"/>
      <c r="CS45" s="52"/>
      <c r="CT45" s="52"/>
      <c r="CU45" s="52"/>
      <c r="CV45" s="330"/>
      <c r="CW45" s="398"/>
      <c r="CX45" s="52"/>
      <c r="CY45" s="52"/>
      <c r="CZ45" s="52"/>
      <c r="DA45" s="52"/>
      <c r="DB45" s="52"/>
      <c r="DC45" s="52"/>
      <c r="DD45" s="52"/>
      <c r="DE45" s="52"/>
      <c r="DF45" s="52"/>
      <c r="DG45" s="52"/>
      <c r="DH45" s="52"/>
      <c r="DI45" s="52"/>
      <c r="DJ45" s="52"/>
      <c r="DK45" s="52"/>
      <c r="DL45" s="471"/>
      <c r="DM45" s="47"/>
      <c r="DN45" s="471"/>
      <c r="DO45" s="52"/>
      <c r="DP45" s="330"/>
      <c r="DQ45" s="398"/>
      <c r="DR45" s="52"/>
      <c r="DS45" s="52"/>
      <c r="DT45" s="52"/>
      <c r="DU45" s="52"/>
      <c r="DV45" s="52"/>
      <c r="DW45" s="52"/>
      <c r="DX45" s="52"/>
      <c r="DY45" s="52"/>
      <c r="DZ45" s="52"/>
      <c r="EA45" s="52"/>
      <c r="EB45" s="52"/>
      <c r="EC45" s="52"/>
      <c r="ED45" s="52"/>
      <c r="EE45" s="52"/>
      <c r="EF45" s="52"/>
      <c r="EG45" s="52"/>
      <c r="EH45" s="471"/>
      <c r="EI45" s="52"/>
      <c r="EJ45" s="52"/>
      <c r="EK45" s="398"/>
      <c r="EL45" s="52"/>
      <c r="EM45" s="52"/>
      <c r="EN45" s="52"/>
      <c r="EO45" s="52"/>
      <c r="EP45" s="52"/>
      <c r="EQ45" s="52"/>
      <c r="ER45" s="52"/>
      <c r="ES45" s="52"/>
      <c r="ET45" s="52"/>
      <c r="EU45" s="52"/>
      <c r="EV45" s="52"/>
      <c r="EW45" s="52"/>
      <c r="EX45" s="52"/>
      <c r="EY45" s="52"/>
      <c r="EZ45" s="52"/>
      <c r="FA45" s="52"/>
      <c r="FB45" s="52"/>
      <c r="FC45" s="52"/>
      <c r="FD45" s="52"/>
      <c r="FE45" s="699"/>
    </row>
    <row r="46" spans="1:161">
      <c r="A46" s="398"/>
      <c r="B46" s="52"/>
      <c r="C46" s="52"/>
      <c r="D46" s="52"/>
      <c r="E46" s="52"/>
      <c r="F46" s="52"/>
      <c r="G46" s="52"/>
      <c r="H46" s="52"/>
      <c r="I46" s="52"/>
      <c r="J46" s="52"/>
      <c r="K46" s="52"/>
      <c r="L46" s="52"/>
      <c r="M46" s="52"/>
      <c r="N46" s="52"/>
      <c r="O46" s="52"/>
      <c r="P46" s="52"/>
      <c r="Q46" s="52"/>
      <c r="R46" s="52"/>
      <c r="S46" s="52"/>
      <c r="T46" s="330"/>
      <c r="U46" s="398"/>
      <c r="V46" s="52"/>
      <c r="W46" s="52"/>
      <c r="X46" s="52"/>
      <c r="Y46" s="52"/>
      <c r="Z46" s="52"/>
      <c r="AA46" s="52"/>
      <c r="AB46" s="52"/>
      <c r="AC46" s="52"/>
      <c r="AD46" s="52"/>
      <c r="AE46" s="52"/>
      <c r="AF46" s="62"/>
      <c r="AG46" s="91"/>
      <c r="AH46" s="91"/>
      <c r="AI46" s="38"/>
      <c r="AJ46" s="52"/>
      <c r="AK46" s="52"/>
      <c r="AL46" s="52"/>
      <c r="AM46" s="52"/>
      <c r="AN46" s="330"/>
      <c r="AO46" s="52"/>
      <c r="AP46" s="52"/>
      <c r="AQ46" s="52"/>
      <c r="AR46" s="52"/>
      <c r="AS46" s="52"/>
      <c r="AT46" s="52"/>
      <c r="AU46" s="52"/>
      <c r="AV46" s="52"/>
      <c r="AW46" s="52"/>
      <c r="AX46" s="471"/>
      <c r="AY46" s="50"/>
      <c r="AZ46" s="47"/>
      <c r="BA46" s="52"/>
      <c r="BB46" s="52"/>
      <c r="BC46" s="71"/>
      <c r="BD46" s="52"/>
      <c r="BE46" s="52"/>
      <c r="BF46" s="52"/>
      <c r="BG46" s="52"/>
      <c r="BH46" s="52"/>
      <c r="BI46" s="398"/>
      <c r="BJ46" s="52"/>
      <c r="BK46" s="52"/>
      <c r="BL46" s="52"/>
      <c r="BM46" s="52"/>
      <c r="BN46" s="52"/>
      <c r="BO46" s="52"/>
      <c r="BP46" s="52"/>
      <c r="BQ46" s="52"/>
      <c r="BR46" s="50"/>
      <c r="BS46" s="3738"/>
      <c r="BT46" s="473"/>
      <c r="BU46" s="52"/>
      <c r="BV46" s="52"/>
      <c r="BW46" s="52"/>
      <c r="BX46" s="52"/>
      <c r="BY46" s="52"/>
      <c r="BZ46" s="52"/>
      <c r="CA46" s="52"/>
      <c r="CB46" s="330"/>
      <c r="CC46" s="398"/>
      <c r="CD46" s="52"/>
      <c r="CE46" s="52"/>
      <c r="CF46" s="52"/>
      <c r="CG46" s="52"/>
      <c r="CH46" s="52"/>
      <c r="CI46" s="52"/>
      <c r="CJ46" s="52"/>
      <c r="CK46" s="52"/>
      <c r="CL46" s="3739"/>
      <c r="CM46" s="50"/>
      <c r="CN46" s="44"/>
      <c r="CO46" s="473"/>
      <c r="CP46" s="3740"/>
      <c r="CQ46" s="52"/>
      <c r="CR46" s="52"/>
      <c r="CS46" s="52"/>
      <c r="CT46" s="52"/>
      <c r="CU46" s="52"/>
      <c r="CV46" s="330"/>
      <c r="CW46" s="398"/>
      <c r="CX46" s="52"/>
      <c r="CY46" s="52"/>
      <c r="CZ46" s="52"/>
      <c r="DA46" s="52"/>
      <c r="DB46" s="52"/>
      <c r="DC46" s="52"/>
      <c r="DD46" s="52"/>
      <c r="DE46" s="52"/>
      <c r="DF46" s="52"/>
      <c r="DG46" s="52"/>
      <c r="DH46" s="52"/>
      <c r="DI46" s="52"/>
      <c r="DJ46" s="52"/>
      <c r="DK46" s="471"/>
      <c r="DL46" s="47"/>
      <c r="DM46" s="3741"/>
      <c r="DN46" s="471"/>
      <c r="DO46" s="52"/>
      <c r="DP46" s="330"/>
      <c r="DQ46" s="398"/>
      <c r="DR46" s="52"/>
      <c r="DS46" s="52"/>
      <c r="DT46" s="52"/>
      <c r="DU46" s="52"/>
      <c r="DV46" s="52"/>
      <c r="DW46" s="52"/>
      <c r="DX46" s="52"/>
      <c r="DY46" s="52"/>
      <c r="DZ46" s="52"/>
      <c r="EA46" s="52"/>
      <c r="EB46" s="52"/>
      <c r="EC46" s="52"/>
      <c r="ED46" s="52"/>
      <c r="EE46" s="52"/>
      <c r="EF46" s="52"/>
      <c r="EG46" s="52"/>
      <c r="EH46" s="471"/>
      <c r="EI46" s="45"/>
      <c r="EJ46" s="52"/>
      <c r="EK46" s="52"/>
      <c r="EL46" s="52"/>
      <c r="EM46" s="52"/>
      <c r="EN46" s="52"/>
      <c r="EO46" s="52"/>
      <c r="EP46" s="52"/>
      <c r="EQ46" s="52"/>
      <c r="ER46" s="52"/>
      <c r="ES46" s="52"/>
      <c r="ET46" s="52"/>
      <c r="EU46" s="52"/>
      <c r="EV46" s="52"/>
      <c r="EW46" s="52"/>
      <c r="EX46" s="52"/>
      <c r="EY46" s="52"/>
      <c r="EZ46" s="52"/>
      <c r="FA46" s="52"/>
      <c r="FB46" s="52"/>
      <c r="FC46" s="52"/>
      <c r="FD46" s="52"/>
      <c r="FE46" s="699"/>
    </row>
    <row r="47" spans="1:161">
      <c r="A47" s="52"/>
      <c r="B47" s="52"/>
      <c r="C47" s="52"/>
      <c r="D47" s="52"/>
      <c r="E47" s="52"/>
      <c r="F47" s="52"/>
      <c r="G47" s="52"/>
      <c r="H47" s="52"/>
      <c r="I47" s="52"/>
      <c r="J47" s="52"/>
      <c r="K47" s="52"/>
      <c r="L47" s="52"/>
      <c r="M47" s="52"/>
      <c r="N47" s="52"/>
      <c r="O47" s="52"/>
      <c r="P47" s="52"/>
      <c r="Q47" s="52"/>
      <c r="R47" s="52"/>
      <c r="S47" s="52"/>
      <c r="T47" s="330"/>
      <c r="U47" s="398"/>
      <c r="V47" s="52"/>
      <c r="W47" s="52"/>
      <c r="X47" s="52"/>
      <c r="Y47" s="52"/>
      <c r="Z47" s="52"/>
      <c r="AA47" s="52"/>
      <c r="AB47" s="52"/>
      <c r="AC47" s="52"/>
      <c r="AD47" s="52"/>
      <c r="AE47" s="3742"/>
      <c r="AF47" s="64"/>
      <c r="AG47" s="38"/>
      <c r="AH47" s="91"/>
      <c r="AI47" s="62"/>
      <c r="AJ47" s="52"/>
      <c r="AK47" s="52"/>
      <c r="AL47" s="52"/>
      <c r="AM47" s="52"/>
      <c r="AN47" s="330"/>
      <c r="AO47" s="52"/>
      <c r="AP47" s="52"/>
      <c r="AQ47" s="52"/>
      <c r="AR47" s="52"/>
      <c r="AS47" s="52"/>
      <c r="AT47" s="52"/>
      <c r="AU47" s="52"/>
      <c r="AV47" s="52"/>
      <c r="AW47" s="45"/>
      <c r="AX47" s="3743"/>
      <c r="AY47" s="45"/>
      <c r="AZ47" s="471"/>
      <c r="BA47" s="52"/>
      <c r="BB47" s="52"/>
      <c r="BC47" s="71"/>
      <c r="BD47" s="71"/>
      <c r="BE47" s="71"/>
      <c r="BF47" s="71"/>
      <c r="BG47" s="52"/>
      <c r="BH47" s="52"/>
      <c r="BI47" s="398"/>
      <c r="BJ47" s="52"/>
      <c r="BK47" s="52"/>
      <c r="BL47" s="52"/>
      <c r="BM47" s="52"/>
      <c r="BN47" s="52"/>
      <c r="BO47" s="52"/>
      <c r="BP47" s="52"/>
      <c r="BQ47" s="45"/>
      <c r="BR47" s="47"/>
      <c r="BS47" s="45"/>
      <c r="BT47" s="3740"/>
      <c r="BU47" s="52"/>
      <c r="BV47" s="52"/>
      <c r="BW47" s="52"/>
      <c r="BX47" s="52"/>
      <c r="BY47" s="52"/>
      <c r="BZ47" s="52"/>
      <c r="CA47" s="52"/>
      <c r="CB47" s="330"/>
      <c r="CC47" s="398"/>
      <c r="CD47" s="52"/>
      <c r="CE47" s="52"/>
      <c r="CF47" s="52"/>
      <c r="CG47" s="52"/>
      <c r="CH47" s="52"/>
      <c r="CI47" s="52"/>
      <c r="CJ47" s="52"/>
      <c r="CK47" s="3739"/>
      <c r="CL47" s="3744"/>
      <c r="CM47" s="47"/>
      <c r="CN47" s="50"/>
      <c r="CO47" s="473"/>
      <c r="CP47" s="3740"/>
      <c r="CQ47" s="52"/>
      <c r="CR47" s="52"/>
      <c r="CS47" s="52"/>
      <c r="CT47" s="52"/>
      <c r="CU47" s="52"/>
      <c r="CV47" s="330"/>
      <c r="CW47" s="398"/>
      <c r="CX47" s="52"/>
      <c r="CY47" s="52"/>
      <c r="CZ47" s="52"/>
      <c r="DA47" s="52"/>
      <c r="DB47" s="52"/>
      <c r="DC47" s="52"/>
      <c r="DD47" s="52"/>
      <c r="DE47" s="52"/>
      <c r="DF47" s="52"/>
      <c r="DG47" s="52"/>
      <c r="DH47" s="52"/>
      <c r="DI47" s="52"/>
      <c r="DJ47" s="471"/>
      <c r="DK47" s="47"/>
      <c r="DL47" s="45"/>
      <c r="DM47" s="473"/>
      <c r="DN47" s="3745"/>
      <c r="DO47" s="52"/>
      <c r="DP47" s="330"/>
      <c r="DQ47" s="398"/>
      <c r="DR47" s="52"/>
      <c r="DS47" s="52"/>
      <c r="DT47" s="52"/>
      <c r="DU47" s="52"/>
      <c r="DV47" s="52"/>
      <c r="DW47" s="52"/>
      <c r="DX47" s="52"/>
      <c r="DY47" s="52"/>
      <c r="DZ47" s="52"/>
      <c r="EA47" s="52"/>
      <c r="EB47" s="52"/>
      <c r="EC47" s="52"/>
      <c r="ED47" s="52"/>
      <c r="EE47" s="52"/>
      <c r="EF47" s="52"/>
      <c r="EG47" s="44"/>
      <c r="EH47" s="47"/>
      <c r="EI47" s="50"/>
      <c r="EJ47" s="52"/>
      <c r="EK47" s="52"/>
      <c r="EL47" s="52"/>
      <c r="EM47" s="52"/>
      <c r="EN47" s="52"/>
      <c r="EO47" s="52"/>
      <c r="EP47" s="52"/>
      <c r="EQ47" s="52"/>
      <c r="ER47" s="52"/>
      <c r="ES47" s="52"/>
      <c r="ET47" s="52"/>
      <c r="EU47" s="52"/>
      <c r="EV47" s="52"/>
      <c r="EW47" s="52"/>
      <c r="EX47" s="52"/>
      <c r="EY47" s="52"/>
      <c r="EZ47" s="52"/>
      <c r="FA47" s="52"/>
      <c r="FB47" s="52"/>
      <c r="FC47" s="52"/>
      <c r="FD47" s="52"/>
      <c r="FE47" s="699"/>
    </row>
    <row r="48" spans="1:161">
      <c r="A48" s="52">
        <v>1</v>
      </c>
      <c r="B48" s="52"/>
      <c r="C48" s="52"/>
      <c r="D48" s="52"/>
      <c r="E48" s="52"/>
      <c r="F48" s="52"/>
      <c r="G48" s="52"/>
      <c r="H48" s="52"/>
      <c r="I48" s="52"/>
      <c r="J48" s="52"/>
      <c r="K48" s="52"/>
      <c r="L48" s="52"/>
      <c r="M48" s="3746"/>
      <c r="N48" s="3746"/>
      <c r="O48" s="3746"/>
      <c r="P48" s="3746"/>
      <c r="Q48" s="52"/>
      <c r="R48" s="52"/>
      <c r="S48" s="52"/>
      <c r="T48" s="330"/>
      <c r="U48" s="398"/>
      <c r="V48" s="52"/>
      <c r="W48" s="52"/>
      <c r="X48" s="52"/>
      <c r="Y48" s="52"/>
      <c r="Z48" s="52"/>
      <c r="AA48" s="52"/>
      <c r="AB48" s="52"/>
      <c r="AC48" s="52"/>
      <c r="AD48" s="52"/>
      <c r="AE48" s="3739"/>
      <c r="AF48" s="3747"/>
      <c r="AG48" s="3742"/>
      <c r="AH48" s="481"/>
      <c r="AI48" s="3746"/>
      <c r="AJ48" s="3746"/>
      <c r="AK48" s="3746"/>
      <c r="AL48" s="3746"/>
      <c r="AM48" s="52"/>
      <c r="AN48" s="330"/>
      <c r="AO48" s="52"/>
      <c r="AP48" s="52"/>
      <c r="AQ48" s="52"/>
      <c r="AR48" s="52"/>
      <c r="AS48" s="52"/>
      <c r="AT48" s="52"/>
      <c r="AU48" s="52"/>
      <c r="AV48" s="52"/>
      <c r="AW48" s="3748"/>
      <c r="AX48" s="3738"/>
      <c r="AY48" s="3741"/>
      <c r="AZ48" s="3740"/>
      <c r="BA48" s="3746"/>
      <c r="BB48" s="3746"/>
      <c r="BC48" s="3746"/>
      <c r="BD48" s="71"/>
      <c r="BE48" s="71"/>
      <c r="BF48" s="71"/>
      <c r="BG48" s="3746"/>
      <c r="BH48" s="3746"/>
      <c r="BI48" s="3749"/>
      <c r="BJ48" s="52"/>
      <c r="BK48" s="52"/>
      <c r="BL48" s="52"/>
      <c r="BM48" s="52"/>
      <c r="BN48" s="52"/>
      <c r="BO48" s="52"/>
      <c r="BP48" s="52"/>
      <c r="BQ48" s="3741"/>
      <c r="BR48" s="3738"/>
      <c r="BS48" s="3750"/>
      <c r="BT48" s="3740"/>
      <c r="BU48" s="52"/>
      <c r="BV48" s="3746"/>
      <c r="BW48" s="3746"/>
      <c r="BX48" s="52"/>
      <c r="BY48" s="52"/>
      <c r="BZ48" s="52"/>
      <c r="CA48" s="52"/>
      <c r="CB48" s="330"/>
      <c r="CC48" s="3749"/>
      <c r="CD48" s="3746"/>
      <c r="CE48" s="52"/>
      <c r="CF48" s="52"/>
      <c r="CG48" s="52"/>
      <c r="CH48" s="52"/>
      <c r="CI48" s="52"/>
      <c r="CJ48" s="52"/>
      <c r="CK48" s="3744"/>
      <c r="CL48" s="3741"/>
      <c r="CM48" s="3738"/>
      <c r="CN48" s="3750"/>
      <c r="CO48" s="3751"/>
      <c r="CP48" s="3752"/>
      <c r="CQ48" s="3746"/>
      <c r="CR48" s="3746"/>
      <c r="CS48" s="3746"/>
      <c r="CT48" s="3746"/>
      <c r="CU48" s="52"/>
      <c r="CV48" s="330"/>
      <c r="CW48" s="3749"/>
      <c r="CX48" s="52"/>
      <c r="CY48" s="52"/>
      <c r="CZ48" s="3746"/>
      <c r="DA48" s="52"/>
      <c r="DB48" s="52"/>
      <c r="DC48" s="52"/>
      <c r="DD48" s="52"/>
      <c r="DE48" s="52"/>
      <c r="DF48" s="52"/>
      <c r="DG48" s="52"/>
      <c r="DH48" s="52"/>
      <c r="DI48" s="471"/>
      <c r="DJ48" s="3743"/>
      <c r="DK48" s="3753"/>
      <c r="DL48" s="3754"/>
      <c r="DM48" s="3745"/>
      <c r="DN48" s="3746"/>
      <c r="DO48" s="52"/>
      <c r="DP48" s="330"/>
      <c r="DQ48" s="398"/>
      <c r="DR48" s="52"/>
      <c r="DS48" s="52"/>
      <c r="DT48" s="52"/>
      <c r="DU48" s="52"/>
      <c r="DV48" s="52"/>
      <c r="DW48" s="52"/>
      <c r="DX48" s="52"/>
      <c r="DY48" s="52"/>
      <c r="DZ48" s="52"/>
      <c r="EA48" s="52"/>
      <c r="EB48" s="52"/>
      <c r="EC48" s="52"/>
      <c r="ED48" s="52"/>
      <c r="EE48" s="52"/>
      <c r="EF48" s="3741"/>
      <c r="EG48" s="3743"/>
      <c r="EH48" s="3753"/>
      <c r="EI48" s="3750"/>
      <c r="EJ48" s="52"/>
      <c r="EK48" s="52"/>
      <c r="EL48" s="52"/>
      <c r="EM48" s="52"/>
      <c r="EN48" s="52"/>
      <c r="EO48" s="52"/>
      <c r="EP48" s="52"/>
      <c r="EQ48" s="52"/>
      <c r="ER48" s="52"/>
      <c r="ES48" s="52"/>
      <c r="ET48" s="52"/>
      <c r="EU48" s="52"/>
      <c r="EV48" s="52"/>
      <c r="EW48" s="52"/>
      <c r="EX48" s="52"/>
      <c r="EY48" s="52"/>
      <c r="EZ48" s="52"/>
      <c r="FA48" s="471"/>
      <c r="FB48" s="52"/>
      <c r="FC48" s="52"/>
      <c r="FD48" s="52"/>
      <c r="FE48" s="699"/>
    </row>
    <row r="49" spans="1:161">
      <c r="A49" s="52">
        <v>1</v>
      </c>
      <c r="B49" s="52"/>
      <c r="C49" s="52"/>
      <c r="D49" s="52"/>
      <c r="E49" s="52"/>
      <c r="F49" s="52"/>
      <c r="G49" s="52"/>
      <c r="H49" s="52"/>
      <c r="I49" s="52"/>
      <c r="J49" s="52"/>
      <c r="K49" s="52"/>
      <c r="L49" s="52"/>
      <c r="M49" s="52"/>
      <c r="N49" s="52"/>
      <c r="O49" s="52"/>
      <c r="P49" s="3746"/>
      <c r="Q49" s="3746"/>
      <c r="R49" s="52"/>
      <c r="S49" s="52"/>
      <c r="T49" s="330"/>
      <c r="U49" s="398"/>
      <c r="V49" s="52"/>
      <c r="W49" s="52"/>
      <c r="X49" s="52"/>
      <c r="Y49" s="52"/>
      <c r="Z49" s="52"/>
      <c r="AA49" s="52"/>
      <c r="AB49" s="52"/>
      <c r="AC49" s="52"/>
      <c r="AD49" s="3741"/>
      <c r="AE49" s="481"/>
      <c r="AF49" s="3739"/>
      <c r="AG49" s="3742"/>
      <c r="AH49" s="3746"/>
      <c r="AI49" s="3746"/>
      <c r="AJ49" s="3746"/>
      <c r="AK49" s="3746"/>
      <c r="AL49" s="3746"/>
      <c r="AM49" s="52"/>
      <c r="AN49" s="330"/>
      <c r="AO49" s="52"/>
      <c r="AP49" s="52"/>
      <c r="AQ49" s="52"/>
      <c r="AR49" s="52"/>
      <c r="AS49" s="52"/>
      <c r="AT49" s="52"/>
      <c r="AU49" s="52"/>
      <c r="AV49" s="45"/>
      <c r="AW49" s="3743"/>
      <c r="AX49" s="3750"/>
      <c r="AY49" s="3754"/>
      <c r="AZ49" s="3746"/>
      <c r="BA49" s="3746"/>
      <c r="BB49" s="3746"/>
      <c r="BC49" s="3746"/>
      <c r="BD49" s="3746"/>
      <c r="BE49" s="3746"/>
      <c r="BF49" s="3746"/>
      <c r="BG49" s="3746"/>
      <c r="BH49" s="3746"/>
      <c r="BI49" s="3749"/>
      <c r="BJ49" s="52"/>
      <c r="BK49" s="52"/>
      <c r="BL49" s="52"/>
      <c r="BM49" s="52"/>
      <c r="BN49" s="52"/>
      <c r="BO49" s="52"/>
      <c r="BP49" s="3753"/>
      <c r="BQ49" s="3743"/>
      <c r="BR49" s="3753"/>
      <c r="BS49" s="3754"/>
      <c r="BT49" s="3740"/>
      <c r="BU49" s="3746"/>
      <c r="BV49" s="3746"/>
      <c r="BW49" s="3746"/>
      <c r="BX49" s="3746"/>
      <c r="BY49" s="3746"/>
      <c r="BZ49" s="52"/>
      <c r="CA49" s="52"/>
      <c r="CB49" s="330"/>
      <c r="CC49" s="3749"/>
      <c r="CD49" s="3746"/>
      <c r="CE49" s="52"/>
      <c r="CF49" s="52"/>
      <c r="CG49" s="52"/>
      <c r="CH49" s="52"/>
      <c r="CI49" s="52"/>
      <c r="CJ49" s="3739"/>
      <c r="CK49" s="3744"/>
      <c r="CL49" s="3743"/>
      <c r="CM49" s="3753"/>
      <c r="CN49" s="3754"/>
      <c r="CO49" s="3744"/>
      <c r="CP49" s="3739"/>
      <c r="CQ49" s="3746"/>
      <c r="CR49" s="3746"/>
      <c r="CS49" s="52"/>
      <c r="CT49" s="3746"/>
      <c r="CU49" s="3746"/>
      <c r="CV49" s="330"/>
      <c r="CW49" s="3749"/>
      <c r="CX49" s="3746"/>
      <c r="CY49" s="3746"/>
      <c r="CZ49" s="52"/>
      <c r="DA49" s="52"/>
      <c r="DB49" s="52"/>
      <c r="DC49" s="52"/>
      <c r="DD49" s="52"/>
      <c r="DE49" s="52"/>
      <c r="DF49" s="52"/>
      <c r="DG49" s="52"/>
      <c r="DH49" s="471"/>
      <c r="DI49" s="3743"/>
      <c r="DJ49" s="3753"/>
      <c r="DK49" s="473"/>
      <c r="DL49" s="3745"/>
      <c r="DM49" s="3746"/>
      <c r="DN49" s="52"/>
      <c r="DO49" s="3746"/>
      <c r="DP49" s="330"/>
      <c r="DQ49" s="398"/>
      <c r="DR49" s="52"/>
      <c r="DS49" s="52"/>
      <c r="DT49" s="52"/>
      <c r="DU49" s="52"/>
      <c r="DV49" s="52"/>
      <c r="DW49" s="52"/>
      <c r="DX49" s="52"/>
      <c r="DY49" s="52"/>
      <c r="DZ49" s="52"/>
      <c r="EA49" s="52"/>
      <c r="EB49" s="52"/>
      <c r="EC49" s="52"/>
      <c r="ED49" s="52"/>
      <c r="EE49" s="3741"/>
      <c r="EF49" s="3743"/>
      <c r="EG49" s="3753"/>
      <c r="EH49" s="3750"/>
      <c r="EI49" s="3740"/>
      <c r="EJ49" s="52"/>
      <c r="EK49" s="52"/>
      <c r="EL49" s="52"/>
      <c r="EM49" s="52"/>
      <c r="EN49" s="52"/>
      <c r="EO49" s="52"/>
      <c r="EP49" s="52"/>
      <c r="EQ49" s="52"/>
      <c r="ER49" s="52"/>
      <c r="ES49" s="52"/>
      <c r="ET49" s="52"/>
      <c r="EU49" s="52"/>
      <c r="EV49" s="52"/>
      <c r="EW49" s="52"/>
      <c r="EX49" s="52"/>
      <c r="EY49" s="52"/>
      <c r="EZ49" s="3741"/>
      <c r="FA49" s="471"/>
      <c r="FB49" s="3741"/>
      <c r="FC49" s="52"/>
      <c r="FD49" s="52"/>
      <c r="FE49" s="699"/>
    </row>
    <row r="50" spans="1:161">
      <c r="A50" s="52"/>
      <c r="B50" s="52"/>
      <c r="C50" s="52"/>
      <c r="D50" s="52"/>
      <c r="E50" s="52"/>
      <c r="F50" s="52"/>
      <c r="G50" s="52"/>
      <c r="H50" s="52"/>
      <c r="I50" s="52"/>
      <c r="J50" s="52"/>
      <c r="K50" s="52"/>
      <c r="L50" s="52"/>
      <c r="M50" s="52"/>
      <c r="N50" s="3754"/>
      <c r="O50" s="52"/>
      <c r="P50" s="3746"/>
      <c r="Q50" s="3746"/>
      <c r="R50" s="52"/>
      <c r="S50" s="52"/>
      <c r="T50" s="330"/>
      <c r="U50" s="398"/>
      <c r="V50" s="52"/>
      <c r="W50" s="52"/>
      <c r="X50" s="52"/>
      <c r="Y50" s="52"/>
      <c r="Z50" s="52"/>
      <c r="AA50" s="52"/>
      <c r="AB50" s="52"/>
      <c r="AC50" s="3744"/>
      <c r="AD50" s="481"/>
      <c r="AE50" s="3738"/>
      <c r="AF50" s="3755"/>
      <c r="AG50" s="52"/>
      <c r="AH50" s="3746"/>
      <c r="AI50" s="52"/>
      <c r="AJ50" s="52"/>
      <c r="AK50" s="52"/>
      <c r="AL50" s="52"/>
      <c r="AM50" s="52"/>
      <c r="AN50" s="330"/>
      <c r="AO50" s="52"/>
      <c r="AP50" s="52"/>
      <c r="AQ50" s="52"/>
      <c r="AR50" s="52"/>
      <c r="AS50" s="52"/>
      <c r="AT50" s="52"/>
      <c r="AU50" s="52"/>
      <c r="AV50" s="3741"/>
      <c r="AW50" s="3738"/>
      <c r="AX50" s="3741"/>
      <c r="AY50" s="3740"/>
      <c r="AZ50" s="3746"/>
      <c r="BA50" s="52"/>
      <c r="BB50" s="3746"/>
      <c r="BC50" s="3746"/>
      <c r="BD50" s="3746"/>
      <c r="BE50" s="3746"/>
      <c r="BF50" s="3746"/>
      <c r="BG50" s="52"/>
      <c r="BH50" s="52"/>
      <c r="BI50" s="3749"/>
      <c r="BJ50" s="52"/>
      <c r="BK50" s="52"/>
      <c r="BL50" s="52"/>
      <c r="BM50" s="52"/>
      <c r="BN50" s="52"/>
      <c r="BO50" s="52"/>
      <c r="BP50" s="3741"/>
      <c r="BQ50" s="3738"/>
      <c r="BR50" s="3741"/>
      <c r="BS50" s="3740"/>
      <c r="BT50" s="52"/>
      <c r="BU50" s="52"/>
      <c r="BV50" s="3746"/>
      <c r="BW50" s="3746"/>
      <c r="BX50" s="3746"/>
      <c r="BY50" s="3746"/>
      <c r="BZ50" s="52"/>
      <c r="CA50" s="52"/>
      <c r="CB50" s="330"/>
      <c r="CC50" s="3749"/>
      <c r="CD50" s="3746"/>
      <c r="CE50" s="52"/>
      <c r="CF50" s="52"/>
      <c r="CG50" s="52"/>
      <c r="CH50" s="52"/>
      <c r="CI50" s="52"/>
      <c r="CJ50" s="3744"/>
      <c r="CK50" s="3741"/>
      <c r="CL50" s="3738"/>
      <c r="CM50" s="3750"/>
      <c r="CN50" s="3754"/>
      <c r="CO50" s="3744"/>
      <c r="CP50" s="3752"/>
      <c r="CQ50" s="52"/>
      <c r="CR50" s="3746"/>
      <c r="CS50" s="3746"/>
      <c r="CT50" s="3746"/>
      <c r="CU50" s="3746"/>
      <c r="CV50" s="330"/>
      <c r="CW50" s="398"/>
      <c r="CX50" s="3746"/>
      <c r="CY50" s="3746"/>
      <c r="CZ50" s="3746"/>
      <c r="DA50" s="52"/>
      <c r="DB50" s="52"/>
      <c r="DC50" s="52"/>
      <c r="DD50" s="52"/>
      <c r="DE50" s="52"/>
      <c r="DF50" s="3747"/>
      <c r="DG50" s="3744"/>
      <c r="DH50" s="3753"/>
      <c r="DI50" s="3753"/>
      <c r="DJ50" s="3754"/>
      <c r="DK50" s="3745"/>
      <c r="DL50" s="3746"/>
      <c r="DM50" s="52"/>
      <c r="DN50" s="3746"/>
      <c r="DO50" s="3746"/>
      <c r="DP50" s="330"/>
      <c r="DQ50" s="3749"/>
      <c r="DR50" s="3746"/>
      <c r="DS50" s="3746"/>
      <c r="DT50" s="3746"/>
      <c r="DU50" s="52"/>
      <c r="DV50" s="52"/>
      <c r="DW50" s="52"/>
      <c r="DX50" s="52"/>
      <c r="DY50" s="52"/>
      <c r="DZ50" s="52"/>
      <c r="EA50" s="52"/>
      <c r="EB50" s="52"/>
      <c r="EC50" s="52"/>
      <c r="ED50" s="3741"/>
      <c r="EE50" s="3743"/>
      <c r="EF50" s="3753"/>
      <c r="EG50" s="3750"/>
      <c r="EH50" s="3740"/>
      <c r="EI50" s="52"/>
      <c r="EJ50" s="330"/>
      <c r="EK50" s="52"/>
      <c r="EL50" s="52"/>
      <c r="EM50" s="52"/>
      <c r="EN50" s="52"/>
      <c r="EO50" s="52"/>
      <c r="EP50" s="52"/>
      <c r="EQ50" s="52"/>
      <c r="ER50" s="52"/>
      <c r="ES50" s="52"/>
      <c r="ET50" s="52"/>
      <c r="EU50" s="52"/>
      <c r="EV50" s="52"/>
      <c r="EW50" s="52"/>
      <c r="EX50" s="52"/>
      <c r="EY50" s="3753"/>
      <c r="EZ50" s="3738"/>
      <c r="FA50" s="3741"/>
      <c r="FB50" s="3740"/>
      <c r="FC50" s="52"/>
      <c r="FD50" s="52"/>
      <c r="FE50" s="699"/>
    </row>
    <row r="51" spans="1:161">
      <c r="A51" s="52"/>
      <c r="B51" s="52"/>
      <c r="C51" s="52"/>
      <c r="D51" s="52"/>
      <c r="E51" s="52"/>
      <c r="F51" s="52"/>
      <c r="G51" s="52"/>
      <c r="H51" s="52"/>
      <c r="I51" s="52"/>
      <c r="J51" s="52"/>
      <c r="K51" s="52"/>
      <c r="L51" s="52"/>
      <c r="M51" s="3753"/>
      <c r="N51" s="3754"/>
      <c r="O51" s="3753"/>
      <c r="P51" s="3746"/>
      <c r="Q51" s="3746"/>
      <c r="R51" s="52"/>
      <c r="S51" s="52"/>
      <c r="T51" s="330"/>
      <c r="U51" s="398"/>
      <c r="V51" s="52"/>
      <c r="W51" s="52"/>
      <c r="X51" s="52"/>
      <c r="Y51" s="52"/>
      <c r="Z51" s="52"/>
      <c r="AA51" s="52"/>
      <c r="AB51" s="3747"/>
      <c r="AC51" s="3741"/>
      <c r="AD51" s="3748"/>
      <c r="AE51" s="3742"/>
      <c r="AF51" s="3740"/>
      <c r="AG51" s="52"/>
      <c r="AH51" s="52"/>
      <c r="AI51" s="3746"/>
      <c r="AJ51" s="52"/>
      <c r="AK51" s="52"/>
      <c r="AL51" s="52"/>
      <c r="AM51" s="52"/>
      <c r="AN51" s="330"/>
      <c r="AO51" s="52"/>
      <c r="AP51" s="52"/>
      <c r="AQ51" s="52"/>
      <c r="AR51" s="52"/>
      <c r="AS51" s="52"/>
      <c r="AT51" s="3739"/>
      <c r="AU51" s="3752"/>
      <c r="AV51" s="3743"/>
      <c r="AW51" s="3753"/>
      <c r="AX51" s="3754"/>
      <c r="AY51" s="3740"/>
      <c r="AZ51" s="3752"/>
      <c r="BA51" s="3746"/>
      <c r="BB51" s="52"/>
      <c r="BC51" s="52"/>
      <c r="BD51" s="52"/>
      <c r="BE51" s="52"/>
      <c r="BF51" s="52"/>
      <c r="BG51" s="52"/>
      <c r="BH51" s="52"/>
      <c r="BI51" s="3749"/>
      <c r="BJ51" s="52"/>
      <c r="BK51" s="52"/>
      <c r="BL51" s="52"/>
      <c r="BM51" s="52"/>
      <c r="BN51" s="52"/>
      <c r="BO51" s="3753"/>
      <c r="BP51" s="3743"/>
      <c r="BQ51" s="3753"/>
      <c r="BR51" s="3750"/>
      <c r="BS51" s="3740"/>
      <c r="BT51" s="52"/>
      <c r="BU51" s="52"/>
      <c r="BV51" s="3746"/>
      <c r="BW51" s="3746"/>
      <c r="BX51" s="3746"/>
      <c r="BY51" s="3746"/>
      <c r="BZ51" s="52"/>
      <c r="CA51" s="52"/>
      <c r="CB51" s="330"/>
      <c r="CC51" s="398"/>
      <c r="CD51" s="52"/>
      <c r="CE51" s="52"/>
      <c r="CF51" s="52"/>
      <c r="CG51" s="52"/>
      <c r="CH51" s="52"/>
      <c r="CI51" s="3739"/>
      <c r="CJ51" s="3744"/>
      <c r="CK51" s="3743"/>
      <c r="CL51" s="3753"/>
      <c r="CM51" s="3754"/>
      <c r="CN51" s="3740"/>
      <c r="CO51" s="3744"/>
      <c r="CP51" s="3752"/>
      <c r="CQ51" s="3744"/>
      <c r="CR51" s="3746"/>
      <c r="CS51" s="3746"/>
      <c r="CT51" s="3746"/>
      <c r="CU51" s="3746"/>
      <c r="CV51" s="330"/>
      <c r="CW51" s="3749"/>
      <c r="CX51" s="52"/>
      <c r="CY51" s="52"/>
      <c r="CZ51" s="3746"/>
      <c r="DA51" s="52"/>
      <c r="DB51" s="52"/>
      <c r="DC51" s="52"/>
      <c r="DD51" s="52"/>
      <c r="DE51" s="3739"/>
      <c r="DF51" s="3744"/>
      <c r="DG51" s="3741"/>
      <c r="DH51" s="3743"/>
      <c r="DI51" s="3741"/>
      <c r="DJ51" s="473"/>
      <c r="DK51" s="3751"/>
      <c r="DL51" s="3752"/>
      <c r="DM51" s="3746"/>
      <c r="DN51" s="3746"/>
      <c r="DO51" s="3746"/>
      <c r="DP51" s="330"/>
      <c r="DQ51" s="398"/>
      <c r="DR51" s="52"/>
      <c r="DS51" s="52"/>
      <c r="DT51" s="52"/>
      <c r="DU51" s="52"/>
      <c r="DV51" s="52"/>
      <c r="DW51" s="52"/>
      <c r="DX51" s="52"/>
      <c r="DY51" s="52"/>
      <c r="DZ51" s="52"/>
      <c r="EA51" s="52"/>
      <c r="EB51" s="3739"/>
      <c r="EC51" s="3744"/>
      <c r="ED51" s="3743"/>
      <c r="EE51" s="3753"/>
      <c r="EF51" s="3750"/>
      <c r="EG51" s="3740"/>
      <c r="EH51" s="3746"/>
      <c r="EI51" s="52"/>
      <c r="EJ51" s="330"/>
      <c r="EK51" s="3746"/>
      <c r="EL51" s="3746"/>
      <c r="EM51" s="3746"/>
      <c r="EN51" s="3746"/>
      <c r="EO51" s="52"/>
      <c r="EP51" s="52"/>
      <c r="EQ51" s="52"/>
      <c r="ER51" s="52"/>
      <c r="ES51" s="52"/>
      <c r="ET51" s="52"/>
      <c r="EU51" s="52"/>
      <c r="EV51" s="52"/>
      <c r="EW51" s="52"/>
      <c r="EX51" s="3741"/>
      <c r="EY51" s="3743"/>
      <c r="EZ51" s="3750"/>
      <c r="FA51" s="3754"/>
      <c r="FB51" s="3740"/>
      <c r="FC51" s="52"/>
      <c r="FD51" s="52"/>
      <c r="FE51" s="699"/>
    </row>
    <row r="52" spans="1:161">
      <c r="A52" s="3746"/>
      <c r="B52" s="3746"/>
      <c r="C52" s="52"/>
      <c r="D52" s="52"/>
      <c r="E52" s="52"/>
      <c r="F52" s="52"/>
      <c r="G52" s="52"/>
      <c r="H52" s="52"/>
      <c r="I52" s="52"/>
      <c r="J52" s="52"/>
      <c r="K52" s="52"/>
      <c r="L52" s="3753"/>
      <c r="M52" s="3743"/>
      <c r="N52" s="3753"/>
      <c r="O52" s="3754"/>
      <c r="P52" s="3746"/>
      <c r="Q52" s="3746"/>
      <c r="R52" s="52"/>
      <c r="S52" s="52"/>
      <c r="T52" s="330"/>
      <c r="U52" s="3749"/>
      <c r="V52" s="52"/>
      <c r="W52" s="52"/>
      <c r="X52" s="52"/>
      <c r="Y52" s="52"/>
      <c r="Z52" s="52"/>
      <c r="AA52" s="3747"/>
      <c r="AB52" s="3744"/>
      <c r="AC52" s="3748"/>
      <c r="AD52" s="3738"/>
      <c r="AE52" s="3754"/>
      <c r="AF52" s="3751"/>
      <c r="AG52" s="52"/>
      <c r="AH52" s="3746"/>
      <c r="AI52" s="3746"/>
      <c r="AJ52" s="3746"/>
      <c r="AK52" s="52"/>
      <c r="AL52" s="52"/>
      <c r="AM52" s="52"/>
      <c r="AN52" s="330"/>
      <c r="AO52" s="52"/>
      <c r="AP52" s="52"/>
      <c r="AQ52" s="52"/>
      <c r="AR52" s="52"/>
      <c r="AS52" s="52"/>
      <c r="AT52" s="3744"/>
      <c r="AU52" s="3744"/>
      <c r="AV52" s="3743"/>
      <c r="AW52" s="3750"/>
      <c r="AX52" s="3740"/>
      <c r="AY52" s="3744"/>
      <c r="AZ52" s="3739"/>
      <c r="BA52" s="3746"/>
      <c r="BB52" s="3746"/>
      <c r="BC52" s="3746"/>
      <c r="BD52" s="3746"/>
      <c r="BE52" s="3746"/>
      <c r="BF52" s="3746"/>
      <c r="BG52" s="52"/>
      <c r="BH52" s="52"/>
      <c r="BI52" s="398"/>
      <c r="BJ52" s="52"/>
      <c r="BK52" s="52"/>
      <c r="BL52" s="52"/>
      <c r="BM52" s="52"/>
      <c r="BN52" s="3744"/>
      <c r="BO52" s="3744"/>
      <c r="BP52" s="3738"/>
      <c r="BQ52" s="3741"/>
      <c r="BR52" s="3754"/>
      <c r="BS52" s="3751"/>
      <c r="BT52" s="3752"/>
      <c r="BU52" s="3746"/>
      <c r="BV52" s="3746"/>
      <c r="BW52" s="3746"/>
      <c r="BX52" s="3746"/>
      <c r="BY52" s="3746"/>
      <c r="BZ52" s="52"/>
      <c r="CA52" s="52"/>
      <c r="CB52" s="330"/>
      <c r="CC52" s="3749"/>
      <c r="CD52" s="3746"/>
      <c r="CE52" s="52"/>
      <c r="CF52" s="52"/>
      <c r="CG52" s="52"/>
      <c r="CH52" s="52"/>
      <c r="CI52" s="3744"/>
      <c r="CJ52" s="3741"/>
      <c r="CK52" s="3738"/>
      <c r="CL52" s="3750"/>
      <c r="CM52" s="3754"/>
      <c r="CN52" s="3751"/>
      <c r="CO52" s="3744"/>
      <c r="CP52" s="3744"/>
      <c r="CQ52" s="3742"/>
      <c r="CR52" s="3746"/>
      <c r="CS52" s="3746"/>
      <c r="CT52" s="3746"/>
      <c r="CU52" s="71"/>
      <c r="CV52" s="330"/>
      <c r="CW52" s="3749"/>
      <c r="CX52" s="3746"/>
      <c r="CY52" s="3746"/>
      <c r="CZ52" s="52"/>
      <c r="DA52" s="52"/>
      <c r="DB52" s="52"/>
      <c r="DC52" s="52"/>
      <c r="DD52" s="3747"/>
      <c r="DE52" s="3744"/>
      <c r="DF52" s="3741"/>
      <c r="DG52" s="3743"/>
      <c r="DH52" s="3741"/>
      <c r="DI52" s="473"/>
      <c r="DJ52" s="3745"/>
      <c r="DK52" s="3744"/>
      <c r="DL52" s="3739"/>
      <c r="DM52" s="3746"/>
      <c r="DN52" s="3746"/>
      <c r="DO52" s="3746"/>
      <c r="DP52" s="330"/>
      <c r="DQ52" s="3749"/>
      <c r="DR52" s="3746"/>
      <c r="DS52" s="3746"/>
      <c r="DT52" s="3746"/>
      <c r="DU52" s="52"/>
      <c r="DV52" s="52"/>
      <c r="DW52" s="52"/>
      <c r="DX52" s="52"/>
      <c r="DY52" s="52"/>
      <c r="DZ52" s="52"/>
      <c r="EA52" s="3747"/>
      <c r="EB52" s="3744"/>
      <c r="EC52" s="3743"/>
      <c r="ED52" s="3753"/>
      <c r="EE52" s="3754"/>
      <c r="EF52" s="3751"/>
      <c r="EG52" s="3752"/>
      <c r="EH52" s="3746"/>
      <c r="EI52" s="52"/>
      <c r="EJ52" s="330"/>
      <c r="EK52" s="52"/>
      <c r="EL52" s="52"/>
      <c r="EM52" s="52"/>
      <c r="EN52" s="52"/>
      <c r="EO52" s="52"/>
      <c r="EP52" s="52"/>
      <c r="EQ52" s="52"/>
      <c r="ER52" s="52"/>
      <c r="ES52" s="52"/>
      <c r="ET52" s="52"/>
      <c r="EU52" s="52"/>
      <c r="EV52" s="52"/>
      <c r="EW52" s="3741"/>
      <c r="EX52" s="3743"/>
      <c r="EY52" s="3750"/>
      <c r="EZ52" s="3754"/>
      <c r="FA52" s="3740"/>
      <c r="FB52" s="52"/>
      <c r="FC52" s="52"/>
      <c r="FD52" s="52"/>
      <c r="FE52" s="699"/>
    </row>
    <row r="53" spans="1:161">
      <c r="A53" s="52"/>
      <c r="B53" s="52"/>
      <c r="C53" s="52"/>
      <c r="D53" s="52"/>
      <c r="E53" s="52"/>
      <c r="F53" s="52"/>
      <c r="G53" s="52"/>
      <c r="H53" s="52"/>
      <c r="I53" s="52"/>
      <c r="J53" s="52"/>
      <c r="K53" s="3753"/>
      <c r="L53" s="3743"/>
      <c r="M53" s="3753"/>
      <c r="N53" s="3754"/>
      <c r="O53" s="3755"/>
      <c r="P53" s="3746"/>
      <c r="Q53" s="3746"/>
      <c r="R53" s="52"/>
      <c r="S53" s="52"/>
      <c r="T53" s="330"/>
      <c r="U53" s="3749"/>
      <c r="V53" s="52"/>
      <c r="W53" s="52"/>
      <c r="X53" s="52"/>
      <c r="Y53" s="52"/>
      <c r="Z53" s="52"/>
      <c r="AA53" s="3739"/>
      <c r="AB53" s="3741"/>
      <c r="AC53" s="3748"/>
      <c r="AD53" s="3741"/>
      <c r="AE53" s="3740"/>
      <c r="AF53" s="3751"/>
      <c r="AG53" s="3747"/>
      <c r="AH53" s="3746"/>
      <c r="AI53" s="3746"/>
      <c r="AJ53" s="3746"/>
      <c r="AK53" s="52"/>
      <c r="AL53" s="52"/>
      <c r="AM53" s="52"/>
      <c r="AN53" s="330"/>
      <c r="AO53" s="52"/>
      <c r="AP53" s="52"/>
      <c r="AQ53" s="52"/>
      <c r="AR53" s="52"/>
      <c r="AS53" s="3739"/>
      <c r="AT53" s="3752"/>
      <c r="AU53" s="3741"/>
      <c r="AV53" s="3743"/>
      <c r="AW53" s="3750"/>
      <c r="AX53" s="3751"/>
      <c r="AY53" s="3744"/>
      <c r="AZ53" s="3739"/>
      <c r="BA53" s="3746"/>
      <c r="BB53" s="3746"/>
      <c r="BC53" s="3746"/>
      <c r="BD53" s="3746"/>
      <c r="BE53" s="3746"/>
      <c r="BF53" s="3746"/>
      <c r="BG53" s="52"/>
      <c r="BH53" s="52"/>
      <c r="BI53" s="3749"/>
      <c r="BJ53" s="52"/>
      <c r="BK53" s="52"/>
      <c r="BL53" s="52"/>
      <c r="BM53" s="3739"/>
      <c r="BN53" s="3752"/>
      <c r="BO53" s="3738"/>
      <c r="BP53" s="3753"/>
      <c r="BQ53" s="3750"/>
      <c r="BR53" s="3740"/>
      <c r="BS53" s="3744"/>
      <c r="BT53" s="3739"/>
      <c r="BU53" s="3746"/>
      <c r="BV53" s="3746"/>
      <c r="BW53" s="3746"/>
      <c r="BX53" s="52"/>
      <c r="BY53" s="52"/>
      <c r="BZ53" s="52"/>
      <c r="CA53" s="52"/>
      <c r="CB53" s="330"/>
      <c r="CC53" s="398"/>
      <c r="CD53" s="52"/>
      <c r="CE53" s="52"/>
      <c r="CF53" s="52"/>
      <c r="CG53" s="52"/>
      <c r="CH53" s="52"/>
      <c r="CI53" s="3744"/>
      <c r="CJ53" s="3743"/>
      <c r="CK53" s="3753"/>
      <c r="CL53" s="3754"/>
      <c r="CM53" s="3740"/>
      <c r="CN53" s="3742"/>
      <c r="CO53" s="3752"/>
      <c r="CP53" s="3744"/>
      <c r="CQ53" s="3742"/>
      <c r="CR53" s="71"/>
      <c r="CS53" s="3746"/>
      <c r="CT53" s="3746"/>
      <c r="CU53" s="52"/>
      <c r="CV53" s="330"/>
      <c r="CW53" s="685"/>
      <c r="CX53" s="71"/>
      <c r="CY53" s="71"/>
      <c r="CZ53" s="52"/>
      <c r="DA53" s="52"/>
      <c r="DB53" s="52"/>
      <c r="DC53" s="3739"/>
      <c r="DD53" s="3744"/>
      <c r="DE53" s="3741"/>
      <c r="DF53" s="3743"/>
      <c r="DG53" s="3753"/>
      <c r="DH53" s="473"/>
      <c r="DI53" s="3745"/>
      <c r="DJ53" s="3751"/>
      <c r="DK53" s="3744"/>
      <c r="DL53" s="3752"/>
      <c r="DM53" s="52"/>
      <c r="DN53" s="3746"/>
      <c r="DO53" s="71"/>
      <c r="DP53" s="3756"/>
      <c r="DQ53" s="3749"/>
      <c r="DR53" s="3746"/>
      <c r="DS53" s="3746"/>
      <c r="DT53" s="3746"/>
      <c r="DU53" s="52"/>
      <c r="DV53" s="52"/>
      <c r="DW53" s="52"/>
      <c r="DX53" s="52"/>
      <c r="DY53" s="52"/>
      <c r="DZ53" s="3739"/>
      <c r="EA53" s="3744"/>
      <c r="EB53" s="3743"/>
      <c r="EC53" s="3741"/>
      <c r="ED53" s="3754"/>
      <c r="EE53" s="3740"/>
      <c r="EF53" s="3744"/>
      <c r="EG53" s="3739"/>
      <c r="EH53" s="3746"/>
      <c r="EI53" s="52"/>
      <c r="EJ53" s="330"/>
      <c r="EK53" s="3746"/>
      <c r="EL53" s="3746"/>
      <c r="EM53" s="3746"/>
      <c r="EN53" s="3746"/>
      <c r="EO53" s="52"/>
      <c r="EP53" s="52"/>
      <c r="EQ53" s="52"/>
      <c r="ER53" s="52"/>
      <c r="ES53" s="52"/>
      <c r="ET53" s="52"/>
      <c r="EU53" s="3752"/>
      <c r="EV53" s="3741"/>
      <c r="EW53" s="3738"/>
      <c r="EX53" s="3750"/>
      <c r="EY53" s="3754"/>
      <c r="EZ53" s="3740"/>
      <c r="FA53" s="3746"/>
      <c r="FB53" s="52"/>
      <c r="FC53" s="52"/>
      <c r="FD53" s="52"/>
      <c r="FE53" s="699"/>
    </row>
    <row r="54" spans="1:161">
      <c r="A54" s="3746"/>
      <c r="B54" s="3746"/>
      <c r="C54" s="52"/>
      <c r="D54" s="52"/>
      <c r="E54" s="52"/>
      <c r="F54" s="52"/>
      <c r="G54" s="52"/>
      <c r="H54" s="52"/>
      <c r="I54" s="3739"/>
      <c r="J54" s="3753"/>
      <c r="K54" s="3743"/>
      <c r="L54" s="3753"/>
      <c r="M54" s="3754"/>
      <c r="N54" s="3755"/>
      <c r="O54" s="52"/>
      <c r="P54" s="3746"/>
      <c r="Q54" s="3746"/>
      <c r="R54" s="52"/>
      <c r="S54" s="52"/>
      <c r="T54" s="330"/>
      <c r="U54" s="398"/>
      <c r="V54" s="52"/>
      <c r="W54" s="52"/>
      <c r="X54" s="52"/>
      <c r="Y54" s="52"/>
      <c r="Z54" s="3747"/>
      <c r="AA54" s="3741"/>
      <c r="AB54" s="3748"/>
      <c r="AC54" s="3738"/>
      <c r="AD54" s="3754"/>
      <c r="AE54" s="3751"/>
      <c r="AF54" s="3747"/>
      <c r="AG54" s="3739"/>
      <c r="AH54" s="52"/>
      <c r="AI54" s="52"/>
      <c r="AJ54" s="3746"/>
      <c r="AK54" s="52"/>
      <c r="AL54" s="52"/>
      <c r="AM54" s="52"/>
      <c r="AN54" s="330"/>
      <c r="AO54" s="52"/>
      <c r="AP54" s="52"/>
      <c r="AQ54" s="52"/>
      <c r="AR54" s="52"/>
      <c r="AS54" s="3752"/>
      <c r="AT54" s="3744"/>
      <c r="AU54" s="3743"/>
      <c r="AV54" s="3738"/>
      <c r="AW54" s="3750"/>
      <c r="AX54" s="3751"/>
      <c r="AY54" s="3752"/>
      <c r="AZ54" s="3752"/>
      <c r="BA54" s="52"/>
      <c r="BB54" s="3746"/>
      <c r="BC54" s="3746"/>
      <c r="BD54" s="52"/>
      <c r="BE54" s="52"/>
      <c r="BF54" s="52"/>
      <c r="BG54" s="52"/>
      <c r="BH54" s="52"/>
      <c r="BI54" s="398"/>
      <c r="BJ54" s="52"/>
      <c r="BK54" s="52"/>
      <c r="BL54" s="52"/>
      <c r="BM54" s="3744"/>
      <c r="BN54" s="3744"/>
      <c r="BO54" s="3743"/>
      <c r="BP54" s="3741"/>
      <c r="BQ54" s="3754"/>
      <c r="BR54" s="3751"/>
      <c r="BS54" s="3752"/>
      <c r="BT54" s="3752"/>
      <c r="BU54" s="3746"/>
      <c r="BV54" s="3746"/>
      <c r="BW54" s="3746"/>
      <c r="BX54" s="3746"/>
      <c r="BY54" s="3746"/>
      <c r="BZ54" s="52"/>
      <c r="CA54" s="52"/>
      <c r="CB54" s="330"/>
      <c r="CC54" s="398"/>
      <c r="CD54" s="52"/>
      <c r="CE54" s="52"/>
      <c r="CF54" s="52"/>
      <c r="CG54" s="52"/>
      <c r="CH54" s="52"/>
      <c r="CI54" s="3741"/>
      <c r="CJ54" s="3743"/>
      <c r="CK54" s="3750"/>
      <c r="CL54" s="3754"/>
      <c r="CM54" s="3751"/>
      <c r="CN54" s="3742"/>
      <c r="CO54" s="3752"/>
      <c r="CP54" s="3744"/>
      <c r="CQ54" s="3742"/>
      <c r="CR54" s="71"/>
      <c r="CS54" s="71"/>
      <c r="CT54" s="3746"/>
      <c r="CU54" s="52"/>
      <c r="CV54" s="330"/>
      <c r="CW54" s="363"/>
      <c r="CX54" s="117"/>
      <c r="CY54" s="117"/>
      <c r="CZ54" s="52"/>
      <c r="DA54" s="52"/>
      <c r="DB54" s="52"/>
      <c r="DC54" s="3744"/>
      <c r="DD54" s="3744"/>
      <c r="DE54" s="3743"/>
      <c r="DF54" s="3753"/>
      <c r="DG54" s="473"/>
      <c r="DH54" s="3745"/>
      <c r="DI54" s="3751"/>
      <c r="DJ54" s="3742"/>
      <c r="DK54" s="3744"/>
      <c r="DL54" s="3752"/>
      <c r="DM54" s="3746"/>
      <c r="DN54" s="71"/>
      <c r="DO54" s="117"/>
      <c r="DP54" s="330"/>
      <c r="DQ54" s="398"/>
      <c r="DR54" s="52"/>
      <c r="DS54" s="52"/>
      <c r="DT54" s="52"/>
      <c r="DU54" s="52"/>
      <c r="DV54" s="52"/>
      <c r="DW54" s="52"/>
      <c r="DX54" s="52"/>
      <c r="DY54" s="3747"/>
      <c r="DZ54" s="3744"/>
      <c r="EA54" s="3743"/>
      <c r="EB54" s="3741"/>
      <c r="EC54" s="3754"/>
      <c r="ED54" s="3740"/>
      <c r="EE54" s="3751"/>
      <c r="EF54" s="3744"/>
      <c r="EG54" s="3752"/>
      <c r="EH54" s="3746"/>
      <c r="EI54" s="52"/>
      <c r="EJ54" s="330"/>
      <c r="EK54" s="3746"/>
      <c r="EL54" s="3746"/>
      <c r="EM54" s="3746"/>
      <c r="EN54" s="3746"/>
      <c r="EO54" s="52"/>
      <c r="EP54" s="52"/>
      <c r="EQ54" s="52"/>
      <c r="ER54" s="52"/>
      <c r="ES54" s="52"/>
      <c r="ET54" s="3752"/>
      <c r="EU54" s="3741"/>
      <c r="EV54" s="3738"/>
      <c r="EW54" s="3750"/>
      <c r="EX54" s="3754"/>
      <c r="EY54" s="3740"/>
      <c r="EZ54" s="3752"/>
      <c r="FA54" s="3746"/>
      <c r="FB54" s="3746"/>
      <c r="FC54" s="3746"/>
      <c r="FD54" s="52"/>
      <c r="FE54" s="699"/>
    </row>
    <row r="55" spans="1:161">
      <c r="A55" s="3746"/>
      <c r="B55" s="3746"/>
      <c r="C55" s="52"/>
      <c r="D55" s="52"/>
      <c r="E55" s="52"/>
      <c r="F55" s="52"/>
      <c r="G55" s="52"/>
      <c r="H55" s="3747"/>
      <c r="I55" s="3753"/>
      <c r="J55" s="3743"/>
      <c r="K55" s="3753"/>
      <c r="L55" s="3754"/>
      <c r="M55" s="3751"/>
      <c r="N55" s="3752"/>
      <c r="O55" s="3746"/>
      <c r="P55" s="52"/>
      <c r="Q55" s="52"/>
      <c r="R55" s="52"/>
      <c r="S55" s="52"/>
      <c r="T55" s="330"/>
      <c r="U55" s="398"/>
      <c r="V55" s="52"/>
      <c r="W55" s="52"/>
      <c r="X55" s="52"/>
      <c r="Y55" s="52"/>
      <c r="Z55" s="3744"/>
      <c r="AA55" s="3741"/>
      <c r="AB55" s="3743"/>
      <c r="AC55" s="3741"/>
      <c r="AD55" s="3740"/>
      <c r="AE55" s="3742"/>
      <c r="AF55" s="3739"/>
      <c r="AG55" s="3744"/>
      <c r="AH55" s="3746"/>
      <c r="AI55" s="3746"/>
      <c r="AJ55" s="71"/>
      <c r="AK55" s="3746"/>
      <c r="AL55" s="3746"/>
      <c r="AM55" s="3746"/>
      <c r="AN55" s="3756"/>
      <c r="AO55" s="52"/>
      <c r="AP55" s="52"/>
      <c r="AQ55" s="52"/>
      <c r="AR55" s="52"/>
      <c r="AS55" s="3744"/>
      <c r="AT55" s="3741"/>
      <c r="AU55" s="3748"/>
      <c r="AV55" s="3750"/>
      <c r="AW55" s="3754"/>
      <c r="AX55" s="3751"/>
      <c r="AY55" s="3744"/>
      <c r="AZ55" s="3752"/>
      <c r="BA55" s="3744"/>
      <c r="BB55" s="3746"/>
      <c r="BC55" s="3746"/>
      <c r="BD55" s="3746"/>
      <c r="BE55" s="3746"/>
      <c r="BF55" s="3746"/>
      <c r="BG55" s="52"/>
      <c r="BH55" s="52"/>
      <c r="BI55" s="398"/>
      <c r="BJ55" s="52"/>
      <c r="BK55" s="52"/>
      <c r="BL55" s="3739"/>
      <c r="BM55" s="3752"/>
      <c r="BN55" s="3738"/>
      <c r="BO55" s="3753"/>
      <c r="BP55" s="3750"/>
      <c r="BQ55" s="3740"/>
      <c r="BR55" s="3751"/>
      <c r="BS55" s="3744"/>
      <c r="BT55" s="3752"/>
      <c r="BU55" s="3746"/>
      <c r="BV55" s="3746"/>
      <c r="BW55" s="3746"/>
      <c r="BX55" s="3746"/>
      <c r="BY55" s="52"/>
      <c r="BZ55" s="52"/>
      <c r="CA55" s="52"/>
      <c r="CB55" s="330"/>
      <c r="CC55" s="398"/>
      <c r="CD55" s="52"/>
      <c r="CE55" s="52"/>
      <c r="CF55" s="52"/>
      <c r="CG55" s="52"/>
      <c r="CH55" s="3741"/>
      <c r="CI55" s="3748"/>
      <c r="CJ55" s="3748"/>
      <c r="CK55" s="3741"/>
      <c r="CL55" s="3740"/>
      <c r="CM55" s="3751"/>
      <c r="CN55" s="3742"/>
      <c r="CO55" s="3739"/>
      <c r="CP55" s="3744"/>
      <c r="CQ55" s="3744"/>
      <c r="CR55" s="3742"/>
      <c r="CS55" s="71"/>
      <c r="CT55" s="71"/>
      <c r="CU55" s="52"/>
      <c r="CV55" s="330"/>
      <c r="CW55" s="685"/>
      <c r="CX55" s="71"/>
      <c r="CY55" s="71"/>
      <c r="CZ55" s="52"/>
      <c r="DA55" s="3746"/>
      <c r="DB55" s="3746"/>
      <c r="DC55" s="3741"/>
      <c r="DD55" s="3748"/>
      <c r="DE55" s="3738"/>
      <c r="DF55" s="473"/>
      <c r="DG55" s="3745"/>
      <c r="DH55" s="3751"/>
      <c r="DI55" s="3742"/>
      <c r="DJ55" s="3742"/>
      <c r="DK55" s="3744"/>
      <c r="DL55" s="3742"/>
      <c r="DM55" s="52"/>
      <c r="DN55" s="117"/>
      <c r="DO55" s="3746"/>
      <c r="DP55" s="330"/>
      <c r="DQ55" s="3749"/>
      <c r="DR55" s="52"/>
      <c r="DS55" s="3746"/>
      <c r="DT55" s="52"/>
      <c r="DU55" s="52"/>
      <c r="DV55" s="52"/>
      <c r="DW55" s="52"/>
      <c r="DX55" s="3739"/>
      <c r="DY55" s="3744"/>
      <c r="DZ55" s="3743"/>
      <c r="EA55" s="3753"/>
      <c r="EB55" s="3754"/>
      <c r="EC55" s="3740"/>
      <c r="ED55" s="3751"/>
      <c r="EE55" s="3742"/>
      <c r="EF55" s="3752"/>
      <c r="EG55" s="3752"/>
      <c r="EH55" s="3746"/>
      <c r="EI55" s="52"/>
      <c r="EJ55" s="330"/>
      <c r="EK55" s="52"/>
      <c r="EL55" s="52"/>
      <c r="EM55" s="52"/>
      <c r="EN55" s="52"/>
      <c r="EO55" s="52"/>
      <c r="EP55" s="52"/>
      <c r="EQ55" s="52"/>
      <c r="ER55" s="52"/>
      <c r="ES55" s="3747"/>
      <c r="ET55" s="3744"/>
      <c r="EU55" s="3738"/>
      <c r="EV55" s="3741"/>
      <c r="EW55" s="3754"/>
      <c r="EX55" s="3740"/>
      <c r="EY55" s="3744"/>
      <c r="EZ55" s="3739"/>
      <c r="FA55" s="3746"/>
      <c r="FB55" s="3746"/>
      <c r="FC55" s="3746"/>
      <c r="FD55" s="52"/>
      <c r="FE55" s="699"/>
    </row>
    <row r="56" spans="1:161">
      <c r="A56" s="52"/>
      <c r="B56" s="52"/>
      <c r="C56" s="52"/>
      <c r="D56" s="52"/>
      <c r="E56" s="52"/>
      <c r="F56" s="52"/>
      <c r="G56" s="3747"/>
      <c r="H56" s="3741"/>
      <c r="I56" s="3743"/>
      <c r="J56" s="3753"/>
      <c r="K56" s="3741"/>
      <c r="L56" s="3740"/>
      <c r="M56" s="3742"/>
      <c r="N56" s="3739"/>
      <c r="O56" s="52"/>
      <c r="P56" s="52"/>
      <c r="Q56" s="52"/>
      <c r="R56" s="52"/>
      <c r="S56" s="52"/>
      <c r="T56" s="330"/>
      <c r="U56" s="363"/>
      <c r="V56" s="52"/>
      <c r="W56" s="52"/>
      <c r="X56" s="52"/>
      <c r="Y56" s="52"/>
      <c r="Z56" s="3741"/>
      <c r="AA56" s="3748"/>
      <c r="AB56" s="3753"/>
      <c r="AC56" s="3754"/>
      <c r="AD56" s="3751"/>
      <c r="AE56" s="3742"/>
      <c r="AF56" s="3752"/>
      <c r="AG56" s="3742"/>
      <c r="AH56" s="3746"/>
      <c r="AI56" s="52"/>
      <c r="AJ56" s="71"/>
      <c r="AK56" s="71"/>
      <c r="AL56" s="52"/>
      <c r="AM56" s="3746"/>
      <c r="AN56" s="3756"/>
      <c r="AO56" s="52"/>
      <c r="AP56" s="52"/>
      <c r="AQ56" s="52"/>
      <c r="AR56" s="3739"/>
      <c r="AS56" s="3752"/>
      <c r="AT56" s="3741"/>
      <c r="AU56" s="3743"/>
      <c r="AV56" s="3750"/>
      <c r="AW56" s="3740"/>
      <c r="AX56" s="3751"/>
      <c r="AY56" s="3744"/>
      <c r="AZ56" s="3752"/>
      <c r="BA56" s="3744"/>
      <c r="BB56" s="3746"/>
      <c r="BC56" s="3746"/>
      <c r="BD56" s="71"/>
      <c r="BE56" s="3746"/>
      <c r="BF56" s="3746"/>
      <c r="BG56" s="52"/>
      <c r="BH56" s="52"/>
      <c r="BI56" s="398"/>
      <c r="BJ56" s="52"/>
      <c r="BK56" s="52"/>
      <c r="BL56" s="3744"/>
      <c r="BM56" s="3744"/>
      <c r="BN56" s="3748"/>
      <c r="BO56" s="3753"/>
      <c r="BP56" s="3754"/>
      <c r="BQ56" s="3751"/>
      <c r="BR56" s="3751"/>
      <c r="BS56" s="3744"/>
      <c r="BT56" s="3752"/>
      <c r="BU56" s="3746"/>
      <c r="BV56" s="3746"/>
      <c r="BW56" s="52"/>
      <c r="BX56" s="3746"/>
      <c r="BY56" s="52"/>
      <c r="BZ56" s="52"/>
      <c r="CA56" s="52"/>
      <c r="CB56" s="3756"/>
      <c r="CC56" s="398"/>
      <c r="CD56" s="52"/>
      <c r="CE56" s="52"/>
      <c r="CF56" s="52"/>
      <c r="CG56" s="52"/>
      <c r="CH56" s="3741"/>
      <c r="CI56" s="3748"/>
      <c r="CJ56" s="3738"/>
      <c r="CK56" s="3754"/>
      <c r="CL56" s="3751"/>
      <c r="CM56" s="3742"/>
      <c r="CN56" s="3742"/>
      <c r="CO56" s="3739"/>
      <c r="CP56" s="3744"/>
      <c r="CQ56" s="3744"/>
      <c r="CR56" s="3742"/>
      <c r="CS56" s="117"/>
      <c r="CT56" s="71"/>
      <c r="CU56" s="52"/>
      <c r="CV56" s="330"/>
      <c r="CW56" s="685"/>
      <c r="CX56" s="71"/>
      <c r="CY56" s="71"/>
      <c r="CZ56" s="52"/>
      <c r="DA56" s="52"/>
      <c r="DB56" s="3741"/>
      <c r="DC56" s="3743"/>
      <c r="DD56" s="3743"/>
      <c r="DE56" s="3753"/>
      <c r="DF56" s="3754"/>
      <c r="DG56" s="3751"/>
      <c r="DH56" s="3751"/>
      <c r="DI56" s="3742"/>
      <c r="DJ56" s="3742"/>
      <c r="DK56" s="3752"/>
      <c r="DL56" s="3742"/>
      <c r="DM56" s="52"/>
      <c r="DN56" s="3746"/>
      <c r="DO56" s="71"/>
      <c r="DP56" s="3756"/>
      <c r="DQ56" s="685"/>
      <c r="DR56" s="52"/>
      <c r="DS56" s="71"/>
      <c r="DT56" s="52"/>
      <c r="DU56" s="52"/>
      <c r="DV56" s="52"/>
      <c r="DW56" s="52"/>
      <c r="DX56" s="3741"/>
      <c r="DY56" s="3748"/>
      <c r="DZ56" s="3741"/>
      <c r="EA56" s="3741"/>
      <c r="EB56" s="3740"/>
      <c r="EC56" s="3751"/>
      <c r="ED56" s="3742"/>
      <c r="EE56" s="3742"/>
      <c r="EF56" s="3739"/>
      <c r="EG56" s="3744"/>
      <c r="EH56" s="71"/>
      <c r="EI56" s="3746"/>
      <c r="EJ56" s="3756"/>
      <c r="EK56" s="3746"/>
      <c r="EL56" s="52"/>
      <c r="EM56" s="3746"/>
      <c r="EN56" s="52"/>
      <c r="EO56" s="52"/>
      <c r="EP56" s="52"/>
      <c r="EQ56" s="52"/>
      <c r="ER56" s="3747"/>
      <c r="ES56" s="3744"/>
      <c r="ET56" s="3738"/>
      <c r="EU56" s="3753"/>
      <c r="EV56" s="3754"/>
      <c r="EW56" s="3740"/>
      <c r="EX56" s="3751"/>
      <c r="EY56" s="3739"/>
      <c r="EZ56" s="3752"/>
      <c r="FA56" s="3746"/>
      <c r="FB56" s="3746"/>
      <c r="FC56" s="71"/>
      <c r="FD56" s="3746"/>
      <c r="FE56" s="699"/>
    </row>
    <row r="57" spans="1:161">
      <c r="A57" s="3746"/>
      <c r="B57" s="52"/>
      <c r="C57" s="52"/>
      <c r="D57" s="52"/>
      <c r="E57" s="52"/>
      <c r="F57" s="3739"/>
      <c r="G57" s="3741"/>
      <c r="H57" s="3748"/>
      <c r="I57" s="3753"/>
      <c r="J57" s="3754"/>
      <c r="K57" s="3740"/>
      <c r="L57" s="3740"/>
      <c r="M57" s="3744"/>
      <c r="N57" s="3752"/>
      <c r="O57" s="52"/>
      <c r="P57" s="52"/>
      <c r="Q57" s="52"/>
      <c r="R57" s="52"/>
      <c r="S57" s="3746"/>
      <c r="T57" s="3756"/>
      <c r="U57" s="685"/>
      <c r="V57" s="52"/>
      <c r="W57" s="3746"/>
      <c r="X57" s="3746"/>
      <c r="Y57" s="3741"/>
      <c r="Z57" s="3748"/>
      <c r="AA57" s="3738"/>
      <c r="AB57" s="3741"/>
      <c r="AC57" s="3740"/>
      <c r="AD57" s="3742"/>
      <c r="AE57" s="3744"/>
      <c r="AF57" s="3752"/>
      <c r="AG57" s="3742"/>
      <c r="AH57" s="3746"/>
      <c r="AI57" s="52"/>
      <c r="AJ57" s="71"/>
      <c r="AK57" s="3746"/>
      <c r="AL57" s="3746"/>
      <c r="AM57" s="3746"/>
      <c r="AN57" s="3756"/>
      <c r="AO57" s="52"/>
      <c r="AP57" s="52"/>
      <c r="AQ57" s="52"/>
      <c r="AR57" s="3752"/>
      <c r="AS57" s="3741"/>
      <c r="AT57" s="3748"/>
      <c r="AU57" s="3738"/>
      <c r="AV57" s="3741"/>
      <c r="AW57" s="3757"/>
      <c r="AX57" s="3751"/>
      <c r="AY57" s="3742"/>
      <c r="AZ57" s="3752"/>
      <c r="BA57" s="3744"/>
      <c r="BB57" s="3746"/>
      <c r="BC57" s="52"/>
      <c r="BD57" s="71"/>
      <c r="BE57" s="71"/>
      <c r="BF57" s="71"/>
      <c r="BG57" s="52"/>
      <c r="BH57" s="52"/>
      <c r="BI57" s="398"/>
      <c r="BJ57" s="52"/>
      <c r="BK57" s="3752"/>
      <c r="BL57" s="3739"/>
      <c r="BM57" s="3741"/>
      <c r="BN57" s="3743"/>
      <c r="BO57" s="3750"/>
      <c r="BP57" s="3740"/>
      <c r="BQ57" s="3751"/>
      <c r="BR57" s="3742"/>
      <c r="BS57" s="3742"/>
      <c r="BT57" s="3744"/>
      <c r="BU57" s="3746"/>
      <c r="BV57" s="3758"/>
      <c r="BW57" s="71"/>
      <c r="BX57" s="71"/>
      <c r="BY57" s="52"/>
      <c r="BZ57" s="52"/>
      <c r="CA57" s="52"/>
      <c r="CB57" s="3756"/>
      <c r="CC57" s="398"/>
      <c r="CD57" s="52"/>
      <c r="CE57" s="3746"/>
      <c r="CF57" s="3746"/>
      <c r="CG57" s="3741"/>
      <c r="CH57" s="3748"/>
      <c r="CI57" s="3743"/>
      <c r="CJ57" s="3750"/>
      <c r="CK57" s="3740"/>
      <c r="CL57" s="3751"/>
      <c r="CM57" s="3742"/>
      <c r="CN57" s="3744"/>
      <c r="CO57" s="3739"/>
      <c r="CP57" s="3752"/>
      <c r="CQ57" s="3744"/>
      <c r="CR57" s="3744"/>
      <c r="CS57" s="3742"/>
      <c r="CT57" s="117"/>
      <c r="CU57" s="71"/>
      <c r="CV57" s="52"/>
      <c r="CW57" s="3749"/>
      <c r="CX57" s="3746"/>
      <c r="CY57" s="3746"/>
      <c r="CZ57" s="52"/>
      <c r="DA57" s="3741"/>
      <c r="DB57" s="3753"/>
      <c r="DC57" s="3748"/>
      <c r="DD57" s="3753"/>
      <c r="DE57" s="473"/>
      <c r="DF57" s="3745"/>
      <c r="DG57" s="3751"/>
      <c r="DH57" s="3742"/>
      <c r="DI57" s="3742"/>
      <c r="DJ57" s="3744"/>
      <c r="DK57" s="59"/>
      <c r="DL57" s="3742"/>
      <c r="DM57" s="3746"/>
      <c r="DN57" s="71"/>
      <c r="DO57" s="117"/>
      <c r="DP57" s="3756"/>
      <c r="DQ57" s="685"/>
      <c r="DR57" s="52"/>
      <c r="DS57" s="71"/>
      <c r="DT57" s="52"/>
      <c r="DU57" s="3746"/>
      <c r="DV57" s="3746"/>
      <c r="DW57" s="3741"/>
      <c r="DX57" s="3738"/>
      <c r="DY57" s="3738"/>
      <c r="DZ57" s="3753"/>
      <c r="EA57" s="3754"/>
      <c r="EB57" s="3751"/>
      <c r="EC57" s="3751"/>
      <c r="ED57" s="3742"/>
      <c r="EE57" s="3744"/>
      <c r="EF57" s="3739"/>
      <c r="EG57" s="3744"/>
      <c r="EH57" s="117"/>
      <c r="EI57" s="52"/>
      <c r="EJ57" s="3756"/>
      <c r="EK57" s="71"/>
      <c r="EL57" s="52"/>
      <c r="EM57" s="71"/>
      <c r="EN57" s="52"/>
      <c r="EO57" s="52"/>
      <c r="EP57" s="52"/>
      <c r="EQ57" s="3746"/>
      <c r="ER57" s="3741"/>
      <c r="ES57" s="3738"/>
      <c r="ET57" s="3741"/>
      <c r="EU57" s="3754"/>
      <c r="EV57" s="3740"/>
      <c r="EW57" s="3751"/>
      <c r="EX57" s="3742"/>
      <c r="EY57" s="3752"/>
      <c r="EZ57" s="3744"/>
      <c r="FA57" s="3746"/>
      <c r="FB57" s="71"/>
      <c r="FC57" s="117"/>
      <c r="FD57" s="117"/>
      <c r="FE57" s="699"/>
    </row>
    <row r="58" spans="1:161">
      <c r="A58" s="71"/>
      <c r="B58" s="52"/>
      <c r="C58" s="52"/>
      <c r="D58" s="52"/>
      <c r="E58" s="52"/>
      <c r="F58" s="3741"/>
      <c r="G58" s="3743"/>
      <c r="H58" s="3753"/>
      <c r="I58" s="3741"/>
      <c r="J58" s="3740"/>
      <c r="K58" s="3740"/>
      <c r="L58" s="3751"/>
      <c r="M58" s="3752"/>
      <c r="N58" s="3744"/>
      <c r="O58" s="3746"/>
      <c r="P58" s="52"/>
      <c r="Q58" s="52"/>
      <c r="R58" s="3746"/>
      <c r="S58" s="3746"/>
      <c r="T58" s="3756"/>
      <c r="U58" s="685"/>
      <c r="V58" s="52"/>
      <c r="W58" s="52"/>
      <c r="X58" s="3741"/>
      <c r="Y58" s="3753"/>
      <c r="Z58" s="3743"/>
      <c r="AA58" s="3753"/>
      <c r="AB58" s="3754"/>
      <c r="AC58" s="3751"/>
      <c r="AD58" s="3744"/>
      <c r="AE58" s="3747"/>
      <c r="AF58" s="3752"/>
      <c r="AG58" s="3744"/>
      <c r="AH58" s="3744"/>
      <c r="AI58" s="52"/>
      <c r="AJ58" s="71"/>
      <c r="AK58" s="3746"/>
      <c r="AL58" s="3746"/>
      <c r="AM58" s="3746"/>
      <c r="AN58" s="3756"/>
      <c r="AO58" s="52"/>
      <c r="AP58" s="52"/>
      <c r="AQ58" s="52"/>
      <c r="AR58" s="3741"/>
      <c r="AS58" s="3738"/>
      <c r="AT58" s="3743"/>
      <c r="AU58" s="3750"/>
      <c r="AV58" s="3755"/>
      <c r="AW58" s="3751"/>
      <c r="AX58" s="3751"/>
      <c r="AY58" s="3742"/>
      <c r="AZ58" s="3739"/>
      <c r="BA58" s="3752"/>
      <c r="BB58" s="3744"/>
      <c r="BC58" s="3746"/>
      <c r="BD58" s="117"/>
      <c r="BE58" s="71"/>
      <c r="BF58" s="71"/>
      <c r="BG58" s="52"/>
      <c r="BH58" s="52"/>
      <c r="BI58" s="398"/>
      <c r="BJ58" s="3746"/>
      <c r="BK58" s="3744"/>
      <c r="BL58" s="3744"/>
      <c r="BM58" s="3748"/>
      <c r="BN58" s="3738"/>
      <c r="BO58" s="3750"/>
      <c r="BP58" s="3740"/>
      <c r="BQ58" s="3751"/>
      <c r="BR58" s="3742"/>
      <c r="BS58" s="3744"/>
      <c r="BT58" s="3744"/>
      <c r="BU58" s="3759"/>
      <c r="BV58" s="731"/>
      <c r="BW58" s="3751"/>
      <c r="BX58" s="71"/>
      <c r="BY58" s="117"/>
      <c r="BZ58" s="52"/>
      <c r="CA58" s="3746"/>
      <c r="CB58" s="3756"/>
      <c r="CC58" s="398"/>
      <c r="CD58" s="52"/>
      <c r="CE58" s="52"/>
      <c r="CF58" s="52"/>
      <c r="CG58" s="3753"/>
      <c r="CH58" s="3748"/>
      <c r="CI58" s="3753"/>
      <c r="CJ58" s="3741"/>
      <c r="CK58" s="3740"/>
      <c r="CL58" s="3746"/>
      <c r="CM58" s="3744"/>
      <c r="CN58" s="3752"/>
      <c r="CO58" s="59"/>
      <c r="CP58" s="3739"/>
      <c r="CQ58" s="3744"/>
      <c r="CR58" s="3744"/>
      <c r="CS58" s="3742"/>
      <c r="CT58" s="117"/>
      <c r="CU58" s="71"/>
      <c r="CV58" s="52"/>
      <c r="CW58" s="3749"/>
      <c r="CX58" s="3746"/>
      <c r="CY58" s="3746"/>
      <c r="CZ58" s="3741"/>
      <c r="DA58" s="3753"/>
      <c r="DB58" s="3748"/>
      <c r="DC58" s="3738"/>
      <c r="DD58" s="473"/>
      <c r="DE58" s="3745"/>
      <c r="DF58" s="3745"/>
      <c r="DG58" s="3742"/>
      <c r="DH58" s="3744"/>
      <c r="DI58" s="3744"/>
      <c r="DJ58" s="3752"/>
      <c r="DK58" s="59"/>
      <c r="DL58" s="3744"/>
      <c r="DM58" s="3746"/>
      <c r="DN58" s="117"/>
      <c r="DO58" s="52"/>
      <c r="DP58" s="3756"/>
      <c r="DQ58" s="685"/>
      <c r="DR58" s="52"/>
      <c r="DS58" s="71"/>
      <c r="DT58" s="52"/>
      <c r="DU58" s="3746"/>
      <c r="DV58" s="3753"/>
      <c r="DW58" s="3748"/>
      <c r="DX58" s="3743"/>
      <c r="DY58" s="3745"/>
      <c r="DZ58" s="3754"/>
      <c r="EA58" s="3751"/>
      <c r="EB58" s="3751"/>
      <c r="EC58" s="3742"/>
      <c r="ED58" s="3744"/>
      <c r="EE58" s="3752"/>
      <c r="EF58" s="3752"/>
      <c r="EG58" s="3744"/>
      <c r="EH58" s="117"/>
      <c r="EI58" s="52"/>
      <c r="EJ58" s="3756"/>
      <c r="EK58" s="71"/>
      <c r="EL58" s="52"/>
      <c r="EM58" s="71"/>
      <c r="EN58" s="52"/>
      <c r="EO58" s="3746"/>
      <c r="EP58" s="3746"/>
      <c r="EQ58" s="3741"/>
      <c r="ER58" s="3743"/>
      <c r="ES58" s="3753"/>
      <c r="ET58" s="3754"/>
      <c r="EU58" s="3740"/>
      <c r="EV58" s="3751"/>
      <c r="EW58" s="3751"/>
      <c r="EX58" s="3742"/>
      <c r="EY58" s="3744"/>
      <c r="EZ58" s="3742"/>
      <c r="FA58" s="3746"/>
      <c r="FB58" s="117"/>
      <c r="FC58" s="117"/>
      <c r="FD58" s="117"/>
      <c r="FE58" s="699"/>
    </row>
    <row r="59" spans="1:161">
      <c r="A59" s="71"/>
      <c r="B59" s="52"/>
      <c r="C59" s="3746"/>
      <c r="D59" s="3746"/>
      <c r="E59" s="3741"/>
      <c r="F59" s="3738"/>
      <c r="G59" s="3748"/>
      <c r="H59" s="3753"/>
      <c r="I59" s="3754"/>
      <c r="J59" s="3740"/>
      <c r="K59" s="3751"/>
      <c r="L59" s="3742"/>
      <c r="M59" s="3744"/>
      <c r="N59" s="3744"/>
      <c r="O59" s="3746"/>
      <c r="P59" s="71"/>
      <c r="Q59" s="3746"/>
      <c r="R59" s="3746"/>
      <c r="S59" s="3746"/>
      <c r="T59" s="3756"/>
      <c r="U59" s="685"/>
      <c r="V59" s="52"/>
      <c r="W59" s="52"/>
      <c r="X59" s="3753"/>
      <c r="Y59" s="3748"/>
      <c r="Z59" s="3738"/>
      <c r="AA59" s="3741"/>
      <c r="AB59" s="3740"/>
      <c r="AC59" s="3751"/>
      <c r="AD59" s="3744"/>
      <c r="AE59" s="3739"/>
      <c r="AF59" s="3739"/>
      <c r="AG59" s="3752"/>
      <c r="AH59" s="3752"/>
      <c r="AI59" s="3746"/>
      <c r="AJ59" s="117"/>
      <c r="AK59" s="117"/>
      <c r="AL59" s="3746"/>
      <c r="AM59" s="3746"/>
      <c r="AN59" s="3756"/>
      <c r="AO59" s="3746"/>
      <c r="AP59" s="3746"/>
      <c r="AQ59" s="52"/>
      <c r="AR59" s="3753"/>
      <c r="AS59" s="3743"/>
      <c r="AT59" s="3743"/>
      <c r="AU59" s="3750"/>
      <c r="AV59" s="3740"/>
      <c r="AW59" s="3751"/>
      <c r="AX59" s="3742"/>
      <c r="AY59" s="3744"/>
      <c r="AZ59" s="3752"/>
      <c r="BA59" s="3752"/>
      <c r="BB59" s="3742"/>
      <c r="BC59" s="3746"/>
      <c r="BD59" s="71"/>
      <c r="BE59" s="71"/>
      <c r="BF59" s="71"/>
      <c r="BG59" s="3746"/>
      <c r="BH59" s="3746"/>
      <c r="BI59" s="398"/>
      <c r="BJ59" s="52"/>
      <c r="BK59" s="3741"/>
      <c r="BL59" s="3743"/>
      <c r="BM59" s="3748"/>
      <c r="BN59" s="3753"/>
      <c r="BO59" s="3754"/>
      <c r="BP59" s="3740"/>
      <c r="BQ59" s="3751"/>
      <c r="BR59" s="3742"/>
      <c r="BS59" s="3744"/>
      <c r="BT59" s="3759"/>
      <c r="BU59" s="731"/>
      <c r="BV59" s="3751"/>
      <c r="BW59" s="3758"/>
      <c r="BX59" s="117"/>
      <c r="BY59" s="71"/>
      <c r="BZ59" s="3746"/>
      <c r="CA59" s="3746"/>
      <c r="CB59" s="3756"/>
      <c r="CC59" s="398"/>
      <c r="CD59" s="52"/>
      <c r="CE59" s="52"/>
      <c r="CF59" s="3753"/>
      <c r="CG59" s="3743"/>
      <c r="CH59" s="3748"/>
      <c r="CI59" s="3741"/>
      <c r="CJ59" s="3754"/>
      <c r="CK59" s="3745"/>
      <c r="CL59" s="3746"/>
      <c r="CM59" s="3746"/>
      <c r="CN59" s="3752"/>
      <c r="CO59" s="59"/>
      <c r="CP59" s="3739"/>
      <c r="CQ59" s="3752"/>
      <c r="CR59" s="3744"/>
      <c r="CS59" s="3744"/>
      <c r="CT59" s="3759"/>
      <c r="CU59" s="731"/>
      <c r="CV59" s="52"/>
      <c r="CW59" s="3749"/>
      <c r="CX59" s="3746"/>
      <c r="CY59" s="3741"/>
      <c r="CZ59" s="3753"/>
      <c r="DA59" s="3748"/>
      <c r="DB59" s="3738"/>
      <c r="DC59" s="3754"/>
      <c r="DD59" s="3745"/>
      <c r="DE59" s="3745"/>
      <c r="DF59" s="3754"/>
      <c r="DG59" s="3742"/>
      <c r="DH59" s="3752"/>
      <c r="DI59" s="59"/>
      <c r="DJ59" s="3752"/>
      <c r="DK59" s="59"/>
      <c r="DL59" s="3744"/>
      <c r="DM59" s="3742"/>
      <c r="DN59" s="52"/>
      <c r="DO59" s="52"/>
      <c r="DP59" s="3756"/>
      <c r="DQ59" s="685"/>
      <c r="DR59" s="52"/>
      <c r="DS59" s="71"/>
      <c r="DT59" s="52"/>
      <c r="DU59" s="3753"/>
      <c r="DV59" s="3738"/>
      <c r="DW59" s="3743"/>
      <c r="DX59" s="3745"/>
      <c r="DY59" s="3758"/>
      <c r="DZ59" s="3745"/>
      <c r="EA59" s="3740"/>
      <c r="EB59" s="3742"/>
      <c r="EC59" s="3744"/>
      <c r="ED59" s="3752"/>
      <c r="EE59" s="3739"/>
      <c r="EF59" s="3752"/>
      <c r="EG59" s="3742"/>
      <c r="EH59" s="52"/>
      <c r="EI59" s="3746"/>
      <c r="EJ59" s="3756"/>
      <c r="EK59" s="71"/>
      <c r="EL59" s="52"/>
      <c r="EM59" s="71"/>
      <c r="EN59" s="52"/>
      <c r="EO59" s="3746"/>
      <c r="EP59" s="3753"/>
      <c r="EQ59" s="3748"/>
      <c r="ER59" s="3741"/>
      <c r="ES59" s="3745"/>
      <c r="ET59" s="3754"/>
      <c r="EU59" s="3751"/>
      <c r="EV59" s="3751"/>
      <c r="EW59" s="3742"/>
      <c r="EX59" s="3744"/>
      <c r="EY59" s="3752"/>
      <c r="EZ59" s="3742"/>
      <c r="FA59" s="3746"/>
      <c r="FB59" s="117"/>
      <c r="FC59" s="117"/>
      <c r="FD59" s="117"/>
      <c r="FE59" s="699"/>
    </row>
    <row r="60" spans="1:161">
      <c r="A60" s="71"/>
      <c r="B60" s="52"/>
      <c r="C60" s="3746"/>
      <c r="D60" s="3741"/>
      <c r="E60" s="3753"/>
      <c r="F60" s="3748"/>
      <c r="G60" s="3753"/>
      <c r="H60" s="3754"/>
      <c r="I60" s="3740"/>
      <c r="J60" s="3751"/>
      <c r="K60" s="3742"/>
      <c r="L60" s="3744"/>
      <c r="M60" s="3744"/>
      <c r="N60" s="3742"/>
      <c r="O60" s="52"/>
      <c r="P60" s="117"/>
      <c r="Q60" s="52"/>
      <c r="R60" s="3746"/>
      <c r="S60" s="3746"/>
      <c r="T60" s="3756"/>
      <c r="U60" s="3749"/>
      <c r="V60" s="52"/>
      <c r="W60" s="3741"/>
      <c r="X60" s="3748"/>
      <c r="Y60" s="3743"/>
      <c r="Z60" s="3753"/>
      <c r="AA60" s="3754"/>
      <c r="AB60" s="3755"/>
      <c r="AC60" s="3740"/>
      <c r="AD60" s="3742"/>
      <c r="AE60" s="3744"/>
      <c r="AF60" s="3739"/>
      <c r="AG60" s="3752"/>
      <c r="AH60" s="3744"/>
      <c r="AI60" s="3747"/>
      <c r="AJ60" s="52"/>
      <c r="AK60" s="117"/>
      <c r="AL60" s="3746"/>
      <c r="AM60" s="3746"/>
      <c r="AN60" s="3756"/>
      <c r="AO60" s="3746"/>
      <c r="AP60" s="52"/>
      <c r="AQ60" s="3741"/>
      <c r="AR60" s="3753"/>
      <c r="AS60" s="3748"/>
      <c r="AT60" s="3738"/>
      <c r="AU60" s="3754"/>
      <c r="AV60" s="3755"/>
      <c r="AW60" s="3757"/>
      <c r="AX60" s="3742"/>
      <c r="AY60" s="3744"/>
      <c r="AZ60" s="3744"/>
      <c r="BA60" s="3739"/>
      <c r="BB60" s="3752"/>
      <c r="BC60" s="3744"/>
      <c r="BD60" s="3746"/>
      <c r="BE60" s="52"/>
      <c r="BF60" s="71"/>
      <c r="BG60" s="52"/>
      <c r="BH60" s="52"/>
      <c r="BI60" s="398"/>
      <c r="BJ60" s="52"/>
      <c r="BK60" s="3753"/>
      <c r="BL60" s="3748"/>
      <c r="BM60" s="3743"/>
      <c r="BN60" s="3750"/>
      <c r="BO60" s="3740"/>
      <c r="BP60" s="3740"/>
      <c r="BQ60" s="3742"/>
      <c r="BR60" s="3742"/>
      <c r="BS60" s="3759"/>
      <c r="BT60" s="731"/>
      <c r="BU60" s="3751"/>
      <c r="BV60" s="3758"/>
      <c r="BW60" s="71"/>
      <c r="BX60" s="71"/>
      <c r="BY60" s="71"/>
      <c r="BZ60" s="52"/>
      <c r="CA60" s="3746"/>
      <c r="CB60" s="3756"/>
      <c r="CC60" s="398"/>
      <c r="CD60" s="52"/>
      <c r="CE60" s="52"/>
      <c r="CF60" s="3741"/>
      <c r="CG60" s="3748"/>
      <c r="CH60" s="3743"/>
      <c r="CI60" s="3754"/>
      <c r="CJ60" s="3745"/>
      <c r="CK60" s="3746"/>
      <c r="CL60" s="3746"/>
      <c r="CM60" s="3746"/>
      <c r="CN60" s="3752"/>
      <c r="CO60" s="3752"/>
      <c r="CP60" s="59"/>
      <c r="CQ60" s="3739"/>
      <c r="CR60" s="3744"/>
      <c r="CS60" s="3759"/>
      <c r="CT60" s="731"/>
      <c r="CU60" s="3751"/>
      <c r="CV60" s="3758"/>
      <c r="CW60" s="398"/>
      <c r="CX60" s="3741"/>
      <c r="CY60" s="3753"/>
      <c r="CZ60" s="3748"/>
      <c r="DA60" s="3743"/>
      <c r="DB60" s="3741"/>
      <c r="DC60" s="3745"/>
      <c r="DD60" s="3745"/>
      <c r="DE60" s="3745"/>
      <c r="DF60" s="3742"/>
      <c r="DG60" s="3742"/>
      <c r="DH60" s="3744"/>
      <c r="DI60" s="3752"/>
      <c r="DJ60" s="59"/>
      <c r="DK60" s="59"/>
      <c r="DL60" s="3752"/>
      <c r="DM60" s="3744"/>
      <c r="DN60" s="52"/>
      <c r="DO60" s="117"/>
      <c r="DP60" s="3756"/>
      <c r="DQ60" s="685"/>
      <c r="DR60" s="52"/>
      <c r="DS60" s="3746"/>
      <c r="DT60" s="3741"/>
      <c r="DU60" s="3748"/>
      <c r="DV60" s="3741"/>
      <c r="DW60" s="3745"/>
      <c r="DX60" s="3758"/>
      <c r="DY60" s="3760"/>
      <c r="DZ60" s="3758"/>
      <c r="EA60" s="3740"/>
      <c r="EB60" s="3742"/>
      <c r="EC60" s="3752"/>
      <c r="ED60" s="3752"/>
      <c r="EE60" s="3739"/>
      <c r="EF60" s="3744"/>
      <c r="EG60" s="3742"/>
      <c r="EH60" s="52"/>
      <c r="EI60" s="3746"/>
      <c r="EJ60" s="3756"/>
      <c r="EK60" s="71"/>
      <c r="EL60" s="52"/>
      <c r="EM60" s="3746"/>
      <c r="EN60" s="52"/>
      <c r="EO60" s="3753"/>
      <c r="EP60" s="3743"/>
      <c r="EQ60" s="3753"/>
      <c r="ER60" s="3745"/>
      <c r="ES60" s="3758"/>
      <c r="ET60" s="3745"/>
      <c r="EU60" s="3740"/>
      <c r="EV60" s="3742"/>
      <c r="EW60" s="3744"/>
      <c r="EX60" s="3752"/>
      <c r="EY60" s="3747"/>
      <c r="EZ60" s="3744"/>
      <c r="FA60" s="3742"/>
      <c r="FB60" s="117"/>
      <c r="FC60" s="117"/>
      <c r="FD60" s="117"/>
      <c r="FE60" s="699"/>
    </row>
    <row r="61" spans="1:161">
      <c r="A61" s="52"/>
      <c r="B61" s="3746"/>
      <c r="C61" s="3741"/>
      <c r="D61" s="3753"/>
      <c r="E61" s="3748"/>
      <c r="F61" s="3753"/>
      <c r="G61" s="3741"/>
      <c r="H61" s="3740"/>
      <c r="I61" s="3751"/>
      <c r="J61" s="3742"/>
      <c r="K61" s="3744"/>
      <c r="L61" s="3739"/>
      <c r="M61" s="3752"/>
      <c r="N61" s="3744"/>
      <c r="O61" s="3744"/>
      <c r="P61" s="3746"/>
      <c r="Q61" s="117"/>
      <c r="R61" s="3746"/>
      <c r="S61" s="3746"/>
      <c r="T61" s="3756"/>
      <c r="U61" s="3749"/>
      <c r="V61" s="3744"/>
      <c r="W61" s="3738"/>
      <c r="X61" s="3748"/>
      <c r="Y61" s="3738"/>
      <c r="Z61" s="3754"/>
      <c r="AA61" s="3740"/>
      <c r="AB61" s="3742"/>
      <c r="AC61" s="3740"/>
      <c r="AD61" s="3742"/>
      <c r="AE61" s="3744"/>
      <c r="AF61" s="3752"/>
      <c r="AG61" s="3752"/>
      <c r="AH61" s="3739"/>
      <c r="AI61" s="3739"/>
      <c r="AJ61" s="52"/>
      <c r="AK61" s="117"/>
      <c r="AL61" s="3746"/>
      <c r="AM61" s="3746"/>
      <c r="AN61" s="3756"/>
      <c r="AO61" s="3746"/>
      <c r="AP61" s="52"/>
      <c r="AQ61" s="3741"/>
      <c r="AR61" s="3738"/>
      <c r="AS61" s="3748"/>
      <c r="AT61" s="3750"/>
      <c r="AU61" s="3754"/>
      <c r="AV61" s="3744"/>
      <c r="AW61" s="3740"/>
      <c r="AX61" s="3744"/>
      <c r="AY61" s="3752"/>
      <c r="AZ61" s="3752"/>
      <c r="BA61" s="3739"/>
      <c r="BB61" s="3739"/>
      <c r="BC61" s="3752"/>
      <c r="BD61" s="3744"/>
      <c r="BE61" s="3746"/>
      <c r="BF61" s="52"/>
      <c r="BG61" s="3746"/>
      <c r="BH61" s="3746"/>
      <c r="BI61" s="398"/>
      <c r="BJ61" s="3741"/>
      <c r="BK61" s="3743"/>
      <c r="BL61" s="3748"/>
      <c r="BM61" s="3743"/>
      <c r="BN61" s="3740"/>
      <c r="BO61" s="3740"/>
      <c r="BP61" s="3740"/>
      <c r="BQ61" s="3742"/>
      <c r="BR61" s="3744"/>
      <c r="BS61" s="3739"/>
      <c r="BT61" s="3751"/>
      <c r="BU61" s="3758"/>
      <c r="BV61" s="3744"/>
      <c r="BW61" s="71"/>
      <c r="BX61" s="52"/>
      <c r="BY61" s="71"/>
      <c r="BZ61" s="52"/>
      <c r="CA61" s="3746"/>
      <c r="CB61" s="3756"/>
      <c r="CC61" s="3749"/>
      <c r="CD61" s="52"/>
      <c r="CE61" s="3741"/>
      <c r="CF61" s="3748"/>
      <c r="CG61" s="3748"/>
      <c r="CH61" s="3753"/>
      <c r="CI61" s="3754"/>
      <c r="CJ61" s="3745"/>
      <c r="CK61" s="3740"/>
      <c r="CL61" s="3746"/>
      <c r="CM61" s="3746"/>
      <c r="CN61" s="3744"/>
      <c r="CO61" s="3752"/>
      <c r="CP61" s="59"/>
      <c r="CQ61" s="59"/>
      <c r="CR61" s="3759"/>
      <c r="CS61" s="731"/>
      <c r="CT61" s="3751"/>
      <c r="CU61" s="3758"/>
      <c r="CV61" s="3746"/>
      <c r="CW61" s="3741"/>
      <c r="CX61" s="3753"/>
      <c r="CY61" s="3748"/>
      <c r="CZ61" s="3743"/>
      <c r="DA61" s="3741"/>
      <c r="DB61" s="3745"/>
      <c r="DC61" s="3745"/>
      <c r="DD61" s="3746"/>
      <c r="DE61" s="3745"/>
      <c r="DF61" s="3746"/>
      <c r="DG61" s="3742"/>
      <c r="DH61" s="3744"/>
      <c r="DI61" s="3744"/>
      <c r="DJ61" s="3752"/>
      <c r="DK61" s="59"/>
      <c r="DL61" s="59"/>
      <c r="DM61" s="3744"/>
      <c r="DN61" s="3742"/>
      <c r="DO61" s="117"/>
      <c r="DP61" s="3756"/>
      <c r="DQ61" s="685"/>
      <c r="DR61" s="52"/>
      <c r="DS61" s="3741"/>
      <c r="DT61" s="3753"/>
      <c r="DU61" s="3741"/>
      <c r="DV61" s="3745"/>
      <c r="DW61" s="3744"/>
      <c r="DX61" s="3759"/>
      <c r="DY61" s="3760"/>
      <c r="DZ61" s="3758"/>
      <c r="EA61" s="3740"/>
      <c r="EB61" s="3744"/>
      <c r="EC61" s="3739"/>
      <c r="ED61" s="3747"/>
      <c r="EE61" s="3739"/>
      <c r="EF61" s="3744"/>
      <c r="EG61" s="3752"/>
      <c r="EH61" s="3742"/>
      <c r="EI61" s="3746"/>
      <c r="EJ61" s="3756"/>
      <c r="EK61" s="71"/>
      <c r="EL61" s="52"/>
      <c r="EM61" s="3746"/>
      <c r="EN61" s="3741"/>
      <c r="EO61" s="3748"/>
      <c r="EP61" s="3741"/>
      <c r="EQ61" s="3745"/>
      <c r="ER61" s="3760"/>
      <c r="ES61" s="3758"/>
      <c r="ET61" s="3745"/>
      <c r="EU61" s="3754"/>
      <c r="EV61" s="3742"/>
      <c r="EW61" s="3752"/>
      <c r="EX61" s="3747"/>
      <c r="EY61" s="3739"/>
      <c r="EZ61" s="3744"/>
      <c r="FA61" s="3744"/>
      <c r="FB61" s="117"/>
      <c r="FC61" s="117"/>
      <c r="FD61" s="117"/>
      <c r="FE61" s="699"/>
    </row>
    <row r="62" spans="1:161">
      <c r="A62" s="52"/>
      <c r="B62" s="3741"/>
      <c r="C62" s="3750"/>
      <c r="D62" s="3748"/>
      <c r="E62" s="3743"/>
      <c r="F62" s="3741"/>
      <c r="G62" s="3740"/>
      <c r="H62" s="3754"/>
      <c r="I62" s="3742"/>
      <c r="J62" s="3742"/>
      <c r="K62" s="3752"/>
      <c r="L62" s="3739"/>
      <c r="M62" s="3739"/>
      <c r="N62" s="3752"/>
      <c r="O62" s="3752"/>
      <c r="P62" s="3746"/>
      <c r="Q62" s="52"/>
      <c r="R62" s="3746"/>
      <c r="S62" s="3746"/>
      <c r="T62" s="3756"/>
      <c r="U62" s="3744"/>
      <c r="V62" s="3741"/>
      <c r="W62" s="3748"/>
      <c r="X62" s="3743"/>
      <c r="Y62" s="3753"/>
      <c r="Z62" s="3740"/>
      <c r="AA62" s="3754"/>
      <c r="AB62" s="3744"/>
      <c r="AC62" s="3754"/>
      <c r="AD62" s="3742"/>
      <c r="AE62" s="3742"/>
      <c r="AF62" s="3744"/>
      <c r="AG62" s="3752"/>
      <c r="AH62" s="3752"/>
      <c r="AI62" s="3739"/>
      <c r="AJ62" s="3747"/>
      <c r="AK62" s="52"/>
      <c r="AL62" s="117"/>
      <c r="AM62" s="3746"/>
      <c r="AN62" s="3756"/>
      <c r="AO62" s="3746"/>
      <c r="AP62" s="3744"/>
      <c r="AQ62" s="3753"/>
      <c r="AR62" s="3743"/>
      <c r="AS62" s="3743"/>
      <c r="AT62" s="3750"/>
      <c r="AU62" s="3754"/>
      <c r="AV62" s="3742"/>
      <c r="AW62" s="3755"/>
      <c r="AX62" s="3742"/>
      <c r="AY62" s="3744"/>
      <c r="AZ62" s="3739"/>
      <c r="BA62" s="3752"/>
      <c r="BB62" s="3739"/>
      <c r="BC62" s="3739"/>
      <c r="BD62" s="3752"/>
      <c r="BE62" s="3742"/>
      <c r="BF62" s="52"/>
      <c r="BG62" s="3746"/>
      <c r="BH62" s="3746"/>
      <c r="BI62" s="3749"/>
      <c r="BJ62" s="3753"/>
      <c r="BK62" s="3748"/>
      <c r="BL62" s="3743"/>
      <c r="BM62" s="3750"/>
      <c r="BN62" s="3740"/>
      <c r="BO62" s="3742"/>
      <c r="BP62" s="3740"/>
      <c r="BQ62" s="3742"/>
      <c r="BR62" s="3739"/>
      <c r="BS62" s="481"/>
      <c r="BT62" s="3752"/>
      <c r="BU62" s="3744"/>
      <c r="BV62" s="3752"/>
      <c r="BW62" s="3744"/>
      <c r="BX62" s="52"/>
      <c r="BY62" s="3746"/>
      <c r="BZ62" s="3746"/>
      <c r="CA62" s="3746"/>
      <c r="CB62" s="3756"/>
      <c r="CC62" s="398"/>
      <c r="CD62" s="52"/>
      <c r="CE62" s="3753"/>
      <c r="CF62" s="3748"/>
      <c r="CG62" s="3743"/>
      <c r="CH62" s="3753"/>
      <c r="CI62" s="3745"/>
      <c r="CJ62" s="3745"/>
      <c r="CK62" s="3754"/>
      <c r="CL62" s="3746"/>
      <c r="CM62" s="3746"/>
      <c r="CN62" s="3746"/>
      <c r="CO62" s="3752"/>
      <c r="CP62" s="3752"/>
      <c r="CQ62" s="3747"/>
      <c r="CR62" s="3747"/>
      <c r="CS62" s="3744"/>
      <c r="CT62" s="3758"/>
      <c r="CU62" s="3744"/>
      <c r="CV62" s="3744"/>
      <c r="CW62" s="3741"/>
      <c r="CX62" s="3753"/>
      <c r="CY62" s="3741"/>
      <c r="CZ62" s="3741"/>
      <c r="DA62" s="3754"/>
      <c r="DB62" s="3754"/>
      <c r="DC62" s="3754"/>
      <c r="DD62" s="731"/>
      <c r="DE62" s="3758"/>
      <c r="DF62" s="3758"/>
      <c r="DG62" s="3746"/>
      <c r="DH62" s="3742"/>
      <c r="DI62" s="3744"/>
      <c r="DJ62" s="3744"/>
      <c r="DK62" s="3752"/>
      <c r="DL62" s="59"/>
      <c r="DM62" s="3752"/>
      <c r="DN62" s="3744"/>
      <c r="DO62" s="3761"/>
      <c r="DP62" s="3761"/>
      <c r="DQ62" s="685"/>
      <c r="DR62" s="3741"/>
      <c r="DS62" s="3753"/>
      <c r="DT62" s="3738"/>
      <c r="DU62" s="3754"/>
      <c r="DV62" s="3739"/>
      <c r="DW62" s="3752"/>
      <c r="DX62" s="481"/>
      <c r="DY62" s="3739"/>
      <c r="DZ62" s="3758"/>
      <c r="EA62" s="3744"/>
      <c r="EB62" s="3744"/>
      <c r="EC62" s="3752"/>
      <c r="ED62" s="3752"/>
      <c r="EE62" s="3747"/>
      <c r="EF62" s="3739"/>
      <c r="EG62" s="3752"/>
      <c r="EH62" s="3744"/>
      <c r="EI62" s="3746"/>
      <c r="EJ62" s="3756"/>
      <c r="EK62" s="3739"/>
      <c r="EL62" s="3742"/>
      <c r="EM62" s="3741"/>
      <c r="EN62" s="3743"/>
      <c r="EO62" s="3741"/>
      <c r="EP62" s="3739"/>
      <c r="EQ62" s="3744"/>
      <c r="ER62" s="3758"/>
      <c r="ES62" s="3745"/>
      <c r="ET62" s="3754"/>
      <c r="EU62" s="3742"/>
      <c r="EV62" s="3744"/>
      <c r="EW62" s="3752"/>
      <c r="EX62" s="3739"/>
      <c r="EY62" s="3752"/>
      <c r="EZ62" s="3752"/>
      <c r="FA62" s="3744"/>
      <c r="FB62" s="3742"/>
      <c r="FC62" s="117"/>
      <c r="FD62" s="117"/>
      <c r="FE62" s="699"/>
    </row>
    <row r="63" spans="1:161">
      <c r="A63" s="3741"/>
      <c r="B63" s="3750"/>
      <c r="C63" s="3748"/>
      <c r="D63" s="3743"/>
      <c r="E63" s="3753"/>
      <c r="F63" s="3757"/>
      <c r="G63" s="3755"/>
      <c r="H63" s="3754"/>
      <c r="I63" s="3742"/>
      <c r="J63" s="3744"/>
      <c r="K63" s="3752"/>
      <c r="L63" s="3739"/>
      <c r="M63" s="3747"/>
      <c r="N63" s="3739"/>
      <c r="O63" s="3752"/>
      <c r="P63" s="3744"/>
      <c r="Q63" s="52"/>
      <c r="R63" s="3746"/>
      <c r="S63" s="3746"/>
      <c r="T63" s="3756"/>
      <c r="U63" s="3742"/>
      <c r="V63" s="3753"/>
      <c r="W63" s="3753"/>
      <c r="X63" s="3738"/>
      <c r="Y63" s="3740"/>
      <c r="Z63" s="3740"/>
      <c r="AA63" s="3740"/>
      <c r="AB63" s="3754"/>
      <c r="AC63" s="3740"/>
      <c r="AD63" s="3744"/>
      <c r="AE63" s="3742"/>
      <c r="AF63" s="3742"/>
      <c r="AG63" s="3744"/>
      <c r="AH63" s="3744"/>
      <c r="AI63" s="3752"/>
      <c r="AJ63" s="3739"/>
      <c r="AK63" s="3747"/>
      <c r="AL63" s="71"/>
      <c r="AM63" s="3746"/>
      <c r="AN63" s="3756"/>
      <c r="AO63" s="3744"/>
      <c r="AP63" s="3741"/>
      <c r="AQ63" s="3753"/>
      <c r="AR63" s="3743"/>
      <c r="AS63" s="3738"/>
      <c r="AT63" s="3741"/>
      <c r="AU63" s="3740"/>
      <c r="AV63" s="3757"/>
      <c r="AW63" s="3746"/>
      <c r="AX63" s="3744"/>
      <c r="AY63" s="3742"/>
      <c r="AZ63" s="3752"/>
      <c r="BA63" s="3739"/>
      <c r="BB63" s="3752"/>
      <c r="BC63" s="3739"/>
      <c r="BD63" s="3739"/>
      <c r="BE63" s="3752"/>
      <c r="BF63" s="3744"/>
      <c r="BG63" s="52"/>
      <c r="BH63" s="330"/>
      <c r="BI63" s="3741"/>
      <c r="BJ63" s="3753"/>
      <c r="BK63" s="3753"/>
      <c r="BL63" s="3738"/>
      <c r="BM63" s="3740"/>
      <c r="BN63" s="3740"/>
      <c r="BO63" s="3746"/>
      <c r="BP63" s="3740"/>
      <c r="BQ63" s="3742"/>
      <c r="BR63" s="3744"/>
      <c r="BS63" s="3739"/>
      <c r="BT63" s="3744"/>
      <c r="BU63" s="3752"/>
      <c r="BV63" s="3739"/>
      <c r="BW63" s="3752"/>
      <c r="BX63" s="3742"/>
      <c r="BY63" s="3746"/>
      <c r="BZ63" s="3746"/>
      <c r="CA63" s="3746"/>
      <c r="CB63" s="3756"/>
      <c r="CC63" s="398"/>
      <c r="CD63" s="3741"/>
      <c r="CE63" s="3738"/>
      <c r="CF63" s="3738"/>
      <c r="CG63" s="3741"/>
      <c r="CH63" s="3754"/>
      <c r="CI63" s="3745"/>
      <c r="CJ63" s="3745"/>
      <c r="CK63" s="3754"/>
      <c r="CL63" s="3746"/>
      <c r="CM63" s="3746"/>
      <c r="CN63" s="3746"/>
      <c r="CO63" s="3752"/>
      <c r="CP63" s="3752"/>
      <c r="CQ63" s="3747"/>
      <c r="CR63" s="481"/>
      <c r="CS63" s="3747"/>
      <c r="CT63" s="3744"/>
      <c r="CU63" s="3752"/>
      <c r="CV63" s="3762"/>
      <c r="CW63" s="3754"/>
      <c r="CX63" s="3741"/>
      <c r="CY63" s="3741"/>
      <c r="CZ63" s="3754"/>
      <c r="DA63" s="3751"/>
      <c r="DB63" s="3751"/>
      <c r="DC63" s="3740"/>
      <c r="DD63" s="3760"/>
      <c r="DE63" s="3759"/>
      <c r="DF63" s="3758"/>
      <c r="DG63" s="3746"/>
      <c r="DH63" s="3746"/>
      <c r="DI63" s="3744"/>
      <c r="DJ63" s="3744"/>
      <c r="DK63" s="3752"/>
      <c r="DL63" s="3752"/>
      <c r="DM63" s="3752"/>
      <c r="DN63" s="3759"/>
      <c r="DO63" s="731"/>
      <c r="DP63" s="3751"/>
      <c r="DQ63" s="3763"/>
      <c r="DR63" s="3744"/>
      <c r="DS63" s="3738"/>
      <c r="DT63" s="3754"/>
      <c r="DU63" s="3752"/>
      <c r="DV63" s="3739"/>
      <c r="DW63" s="3752"/>
      <c r="DX63" s="3747"/>
      <c r="DY63" s="3747"/>
      <c r="DZ63" s="3752"/>
      <c r="EA63" s="3746"/>
      <c r="EB63" s="3744"/>
      <c r="EC63" s="3744"/>
      <c r="ED63" s="3739"/>
      <c r="EE63" s="3747"/>
      <c r="EF63" s="3747"/>
      <c r="EG63" s="3752"/>
      <c r="EH63" s="3744"/>
      <c r="EI63" s="3744"/>
      <c r="EJ63" s="3756"/>
      <c r="EK63" s="3747"/>
      <c r="EL63" s="3742"/>
      <c r="EM63" s="3754"/>
      <c r="EN63" s="3754"/>
      <c r="EO63" s="3754"/>
      <c r="EP63" s="3742"/>
      <c r="EQ63" s="3739"/>
      <c r="ER63" s="3747"/>
      <c r="ES63" s="3745"/>
      <c r="ET63" s="52"/>
      <c r="EU63" s="3742"/>
      <c r="EV63" s="3742"/>
      <c r="EW63" s="3744"/>
      <c r="EX63" s="3752"/>
      <c r="EY63" s="3752"/>
      <c r="EZ63" s="3739"/>
      <c r="FA63" s="3752"/>
      <c r="FB63" s="3744"/>
      <c r="FC63" s="3742"/>
      <c r="FD63" s="117"/>
      <c r="FE63" s="699"/>
    </row>
    <row r="64" spans="1:161">
      <c r="A64" s="3741"/>
      <c r="B64" s="3743"/>
      <c r="C64" s="3741"/>
      <c r="D64" s="3753"/>
      <c r="E64" s="3741"/>
      <c r="F64" s="3751"/>
      <c r="G64" s="3751"/>
      <c r="H64" s="3742"/>
      <c r="I64" s="3746"/>
      <c r="J64" s="3742"/>
      <c r="K64" s="3744"/>
      <c r="L64" s="3739"/>
      <c r="M64" s="3747"/>
      <c r="N64" s="3747"/>
      <c r="O64" s="3739"/>
      <c r="P64" s="3752"/>
      <c r="Q64" s="3744"/>
      <c r="R64" s="3746"/>
      <c r="S64" s="3746"/>
      <c r="T64" s="3756"/>
      <c r="U64" s="3763"/>
      <c r="V64" s="3743"/>
      <c r="W64" s="3743"/>
      <c r="X64" s="3753"/>
      <c r="Y64" s="3740"/>
      <c r="Z64" s="3754"/>
      <c r="AA64" s="3751"/>
      <c r="AB64" s="3755"/>
      <c r="AC64" s="3746"/>
      <c r="AD64" s="3746"/>
      <c r="AE64" s="3744"/>
      <c r="AF64" s="3742"/>
      <c r="AG64" s="3742"/>
      <c r="AH64" s="3744"/>
      <c r="AI64" s="3752"/>
      <c r="AJ64" s="3739"/>
      <c r="AK64" s="3752"/>
      <c r="AL64" s="3747"/>
      <c r="AM64" s="3746"/>
      <c r="AN64" s="3756"/>
      <c r="AO64" s="3744"/>
      <c r="AP64" s="3741"/>
      <c r="AQ64" s="3753"/>
      <c r="AR64" s="3753"/>
      <c r="AS64" s="3753"/>
      <c r="AT64" s="3754"/>
      <c r="AU64" s="3751"/>
      <c r="AV64" s="3758"/>
      <c r="AW64" s="3754"/>
      <c r="AX64" s="3746"/>
      <c r="AY64" s="3744"/>
      <c r="AZ64" s="3744"/>
      <c r="BA64" s="3752"/>
      <c r="BB64" s="3739"/>
      <c r="BC64" s="3752"/>
      <c r="BD64" s="3739"/>
      <c r="BE64" s="3739"/>
      <c r="BF64" s="3752"/>
      <c r="BG64" s="3742"/>
      <c r="BH64" s="3742"/>
      <c r="BI64" s="3764"/>
      <c r="BJ64" s="3741"/>
      <c r="BK64" s="3741"/>
      <c r="BL64" s="3754"/>
      <c r="BM64" s="3741"/>
      <c r="BN64" s="3740"/>
      <c r="BO64" s="3745"/>
      <c r="BP64" s="52"/>
      <c r="BQ64" s="3742"/>
      <c r="BR64" s="3744"/>
      <c r="BS64" s="3739"/>
      <c r="BT64" s="3739"/>
      <c r="BU64" s="3752"/>
      <c r="BV64" s="3752"/>
      <c r="BW64" s="3739"/>
      <c r="BX64" s="3752"/>
      <c r="BY64" s="3752"/>
      <c r="BZ64" s="3742"/>
      <c r="CA64" s="52"/>
      <c r="CB64" s="3756"/>
      <c r="CC64" s="3765"/>
      <c r="CD64" s="3741"/>
      <c r="CE64" s="3741"/>
      <c r="CF64" s="3741"/>
      <c r="CG64" s="3754"/>
      <c r="CH64" s="3754"/>
      <c r="CI64" s="731"/>
      <c r="CJ64" s="731"/>
      <c r="CK64" s="3758"/>
      <c r="CL64" s="3746"/>
      <c r="CM64" s="3746"/>
      <c r="CN64" s="3746"/>
      <c r="CO64" s="3744"/>
      <c r="CP64" s="3752"/>
      <c r="CQ64" s="3744"/>
      <c r="CR64" s="3747"/>
      <c r="CS64" s="3747"/>
      <c r="CT64" s="3752"/>
      <c r="CU64" s="3752"/>
      <c r="CV64" s="3762"/>
      <c r="CW64" s="3766"/>
      <c r="CX64" s="3751"/>
      <c r="CY64" s="3751"/>
      <c r="CZ64" s="3751"/>
      <c r="DA64" s="3751"/>
      <c r="DB64" s="3740"/>
      <c r="DC64" s="3740"/>
      <c r="DD64" s="3760"/>
      <c r="DE64" s="3759"/>
      <c r="DF64" s="3758"/>
      <c r="DG64" s="3746"/>
      <c r="DH64" s="3746"/>
      <c r="DI64" s="3742"/>
      <c r="DJ64" s="3744"/>
      <c r="DK64" s="3744"/>
      <c r="DL64" s="3747"/>
      <c r="DM64" s="3759"/>
      <c r="DN64" s="731"/>
      <c r="DO64" s="3751"/>
      <c r="DP64" s="3758"/>
      <c r="DQ64" s="3744"/>
      <c r="DR64" s="3739"/>
      <c r="DS64" s="3752"/>
      <c r="DT64" s="3754"/>
      <c r="DU64" s="3744"/>
      <c r="DV64" s="3752"/>
      <c r="DW64" s="3742"/>
      <c r="DX64" s="3744"/>
      <c r="DY64" s="3752"/>
      <c r="DZ64" s="3742"/>
      <c r="EA64" s="3746"/>
      <c r="EB64" s="3746"/>
      <c r="EC64" s="3744"/>
      <c r="ED64" s="3752"/>
      <c r="EE64" s="3739"/>
      <c r="EF64" s="3747"/>
      <c r="EG64" s="3739"/>
      <c r="EH64" s="3752"/>
      <c r="EI64" s="3752"/>
      <c r="EJ64" s="3767"/>
      <c r="EK64" s="3739"/>
      <c r="EL64" s="3739"/>
      <c r="EM64" s="3752"/>
      <c r="EN64" s="3742"/>
      <c r="EO64" s="3754"/>
      <c r="EP64" s="3739"/>
      <c r="EQ64" s="3747"/>
      <c r="ER64" s="3744"/>
      <c r="ES64" s="3742"/>
      <c r="ET64" s="52"/>
      <c r="EU64" s="52"/>
      <c r="EV64" s="52"/>
      <c r="EW64" s="3742"/>
      <c r="EX64" s="3744"/>
      <c r="EY64" s="3739"/>
      <c r="EZ64" s="3747"/>
      <c r="FA64" s="3752"/>
      <c r="FB64" s="3752"/>
      <c r="FC64" s="3744"/>
      <c r="FD64" s="3742"/>
      <c r="FE64" s="699"/>
    </row>
    <row r="65" spans="1:161">
      <c r="A65" s="680">
        <v>3</v>
      </c>
      <c r="B65" s="360"/>
      <c r="C65" s="360"/>
      <c r="D65" s="360"/>
      <c r="E65" s="360"/>
      <c r="F65" s="360"/>
      <c r="G65" s="360"/>
      <c r="H65" s="360"/>
      <c r="I65" s="360"/>
      <c r="J65" s="360"/>
      <c r="K65" s="360"/>
      <c r="L65" s="360"/>
      <c r="M65" s="360"/>
      <c r="N65" s="360"/>
      <c r="O65" s="360"/>
      <c r="P65" s="360"/>
      <c r="Q65" s="360"/>
      <c r="R65" s="360"/>
      <c r="S65" s="360"/>
      <c r="T65" s="360"/>
      <c r="U65" s="680">
        <v>3</v>
      </c>
      <c r="V65" s="360"/>
      <c r="W65" s="360"/>
      <c r="X65" s="360"/>
      <c r="Y65" s="360"/>
      <c r="Z65" s="360"/>
      <c r="AA65" s="360"/>
      <c r="AB65" s="360"/>
      <c r="AC65" s="360"/>
      <c r="AD65" s="360"/>
      <c r="AE65" s="360"/>
      <c r="AF65" s="360"/>
      <c r="AG65" s="360"/>
      <c r="AH65" s="360"/>
      <c r="AI65" s="360"/>
      <c r="AJ65" s="360"/>
      <c r="AK65" s="360"/>
      <c r="AL65" s="360"/>
      <c r="AM65" s="360"/>
      <c r="AN65" s="681"/>
      <c r="AO65" s="680">
        <v>3</v>
      </c>
      <c r="AP65" s="360"/>
      <c r="AQ65" s="360"/>
      <c r="AR65" s="360"/>
      <c r="AS65" s="360"/>
      <c r="AT65" s="360"/>
      <c r="AU65" s="360"/>
      <c r="AV65" s="360"/>
      <c r="AW65" s="360"/>
      <c r="AX65" s="360"/>
      <c r="AY65" s="360"/>
      <c r="AZ65" s="360"/>
      <c r="BA65" s="360"/>
      <c r="BB65" s="360"/>
      <c r="BC65" s="360"/>
      <c r="BD65" s="360"/>
      <c r="BE65" s="360"/>
      <c r="BF65" s="360"/>
      <c r="BG65" s="360"/>
      <c r="BH65" s="360"/>
      <c r="BI65" s="680">
        <v>3</v>
      </c>
      <c r="BJ65" s="360"/>
      <c r="BK65" s="360"/>
      <c r="BL65" s="360"/>
      <c r="BM65" s="360"/>
      <c r="BN65" s="360"/>
      <c r="BO65" s="360"/>
      <c r="BP65" s="360"/>
      <c r="BQ65" s="360"/>
      <c r="BR65" s="360"/>
      <c r="BS65" s="360"/>
      <c r="BT65" s="360"/>
      <c r="BU65" s="360"/>
      <c r="BV65" s="360"/>
      <c r="BW65" s="360"/>
      <c r="BX65" s="360"/>
      <c r="BY65" s="360"/>
      <c r="BZ65" s="360"/>
      <c r="CA65" s="360"/>
      <c r="CB65" s="681"/>
      <c r="CC65" s="680">
        <v>3</v>
      </c>
      <c r="CD65" s="360"/>
      <c r="CE65" s="360"/>
      <c r="CF65" s="360"/>
      <c r="CG65" s="360"/>
      <c r="CH65" s="360"/>
      <c r="CI65" s="360"/>
      <c r="CJ65" s="360"/>
      <c r="CK65" s="360"/>
      <c r="CL65" s="360"/>
      <c r="CM65" s="360"/>
      <c r="CN65" s="360"/>
      <c r="CO65" s="360"/>
      <c r="CP65" s="360"/>
      <c r="CQ65" s="360"/>
      <c r="CR65" s="360"/>
      <c r="CS65" s="360"/>
      <c r="CT65" s="360"/>
      <c r="CU65" s="360"/>
      <c r="CV65" s="360"/>
      <c r="CW65" s="680">
        <v>3</v>
      </c>
      <c r="CX65" s="360"/>
      <c r="CY65" s="360"/>
      <c r="CZ65" s="360"/>
      <c r="DA65" s="360"/>
      <c r="DB65" s="360"/>
      <c r="DC65" s="360"/>
      <c r="DD65" s="360"/>
      <c r="DE65" s="360"/>
      <c r="DF65" s="360"/>
      <c r="DG65" s="360"/>
      <c r="DH65" s="360"/>
      <c r="DI65" s="360"/>
      <c r="DJ65" s="360"/>
      <c r="DK65" s="360"/>
      <c r="DL65" s="360"/>
      <c r="DM65" s="360"/>
      <c r="DN65" s="360"/>
      <c r="DO65" s="360"/>
      <c r="DP65" s="681"/>
      <c r="DQ65" s="680">
        <v>3</v>
      </c>
      <c r="DR65" s="360"/>
      <c r="DS65" s="360"/>
      <c r="DT65" s="360"/>
      <c r="DU65" s="360"/>
      <c r="DV65" s="360"/>
      <c r="DW65" s="360"/>
      <c r="DX65" s="360"/>
      <c r="DY65" s="360"/>
      <c r="DZ65" s="360"/>
      <c r="EA65" s="360"/>
      <c r="EB65" s="3741"/>
      <c r="EC65" s="360"/>
      <c r="ED65" s="360"/>
      <c r="EE65" s="360"/>
      <c r="EF65" s="360"/>
      <c r="EG65" s="360"/>
      <c r="EH65" s="360"/>
      <c r="EI65" s="360"/>
      <c r="EJ65" s="360"/>
      <c r="EK65" s="680">
        <v>3</v>
      </c>
      <c r="EL65" s="360"/>
      <c r="EM65" s="360"/>
      <c r="EN65" s="360"/>
      <c r="EO65" s="360"/>
      <c r="EP65" s="360"/>
      <c r="EQ65" s="360"/>
      <c r="ER65" s="360"/>
      <c r="ES65" s="360"/>
      <c r="ET65" s="360"/>
      <c r="EU65" s="360"/>
      <c r="EV65" s="360"/>
      <c r="EW65" s="360"/>
      <c r="EX65" s="360"/>
      <c r="EY65" s="360"/>
      <c r="EZ65" s="360"/>
      <c r="FA65" s="360"/>
      <c r="FB65" s="360"/>
      <c r="FC65" s="360"/>
      <c r="FD65" s="360"/>
      <c r="FE65" s="699"/>
    </row>
    <row r="66" spans="1:161">
      <c r="A66" s="398"/>
      <c r="B66" s="52"/>
      <c r="C66" s="695"/>
      <c r="D66" s="695"/>
      <c r="E66" s="695"/>
      <c r="F66" s="695"/>
      <c r="G66" s="695"/>
      <c r="H66" s="695"/>
      <c r="I66" s="695"/>
      <c r="J66" s="695"/>
      <c r="K66" s="695"/>
      <c r="L66" s="695"/>
      <c r="M66" s="695"/>
      <c r="N66" s="695"/>
      <c r="O66" s="695"/>
      <c r="P66" s="695"/>
      <c r="Q66" s="695"/>
      <c r="R66" s="695"/>
      <c r="S66" s="52"/>
      <c r="T66" s="52"/>
      <c r="U66" s="398">
        <v>1</v>
      </c>
      <c r="V66" s="52"/>
      <c r="W66" s="52"/>
      <c r="X66" s="52"/>
      <c r="Y66" s="52"/>
      <c r="Z66" s="52"/>
      <c r="AA66" s="52"/>
      <c r="AB66" s="52"/>
      <c r="AC66" s="52"/>
      <c r="AD66" s="52"/>
      <c r="AE66" s="52"/>
      <c r="AF66" s="52"/>
      <c r="AG66" s="52"/>
      <c r="AH66" s="52"/>
      <c r="AI66" s="52"/>
      <c r="AJ66" s="52"/>
      <c r="AK66" s="52"/>
      <c r="AL66" s="52"/>
      <c r="AM66" s="52"/>
      <c r="AN66" s="330"/>
      <c r="AO66" s="398"/>
      <c r="AP66" s="52"/>
      <c r="AQ66" s="52"/>
      <c r="AR66" s="52"/>
      <c r="AS66" s="52"/>
      <c r="AT66" s="52"/>
      <c r="AU66" s="52"/>
      <c r="AV66" s="52"/>
      <c r="AW66" s="52"/>
      <c r="AX66" s="52"/>
      <c r="AY66" s="52"/>
      <c r="AZ66" s="52"/>
      <c r="BA66" s="52"/>
      <c r="BB66" s="52"/>
      <c r="BC66" s="52"/>
      <c r="BD66" s="52"/>
      <c r="BE66" s="52"/>
      <c r="BF66" s="52"/>
      <c r="BG66" s="52"/>
      <c r="BH66" s="52"/>
      <c r="BI66" s="398">
        <v>1</v>
      </c>
      <c r="BJ66" s="52"/>
      <c r="BK66" s="52"/>
      <c r="BL66" s="52"/>
      <c r="BM66" s="52"/>
      <c r="BN66" s="52"/>
      <c r="BO66" s="52"/>
      <c r="BP66" s="52"/>
      <c r="BQ66" s="52"/>
      <c r="BR66" s="52"/>
      <c r="BS66" s="52"/>
      <c r="BT66" s="52"/>
      <c r="BU66" s="52"/>
      <c r="BV66" s="52"/>
      <c r="BW66" s="52"/>
      <c r="BX66" s="52"/>
      <c r="BY66" s="52"/>
      <c r="BZ66" s="52"/>
      <c r="CA66" s="52"/>
      <c r="CB66" s="330"/>
      <c r="CC66" s="398"/>
      <c r="CD66" s="52"/>
      <c r="CE66" s="52"/>
      <c r="CF66" s="52"/>
      <c r="CG66" s="52"/>
      <c r="CH66" s="52"/>
      <c r="CI66" s="52"/>
      <c r="CJ66" s="52"/>
      <c r="CK66" s="52"/>
      <c r="CL66" s="52"/>
      <c r="CM66" s="52"/>
      <c r="CN66" s="52"/>
      <c r="CO66" s="52"/>
      <c r="CP66" s="52"/>
      <c r="CQ66" s="52"/>
      <c r="CR66" s="52"/>
      <c r="CS66" s="52"/>
      <c r="CT66" s="52"/>
      <c r="CU66" s="52"/>
      <c r="CV66" s="52"/>
      <c r="CW66" s="398">
        <v>1</v>
      </c>
      <c r="CX66" s="52"/>
      <c r="CY66" s="52"/>
      <c r="CZ66" s="52"/>
      <c r="DA66" s="52"/>
      <c r="DB66" s="52"/>
      <c r="DC66" s="52"/>
      <c r="DD66" s="52"/>
      <c r="DE66" s="52"/>
      <c r="DF66" s="52"/>
      <c r="DG66" s="52"/>
      <c r="DH66" s="52"/>
      <c r="DI66" s="52"/>
      <c r="DJ66" s="52"/>
      <c r="DK66" s="52"/>
      <c r="DL66" s="52"/>
      <c r="DM66" s="52"/>
      <c r="DN66" s="52"/>
      <c r="DO66" s="52"/>
      <c r="DP66" s="330"/>
      <c r="DQ66" s="398"/>
      <c r="DR66" s="52"/>
      <c r="DS66" s="52"/>
      <c r="DT66" s="52"/>
      <c r="DU66" s="52"/>
      <c r="DV66" s="52"/>
      <c r="DW66" s="52"/>
      <c r="DX66" s="52"/>
      <c r="DY66" s="52"/>
      <c r="DZ66" s="52"/>
      <c r="EA66" s="52"/>
      <c r="EB66" s="52"/>
      <c r="EC66" s="52"/>
      <c r="ED66" s="52"/>
      <c r="EE66" s="52"/>
      <c r="EF66" s="52"/>
      <c r="EG66" s="52"/>
      <c r="EH66" s="52"/>
      <c r="EI66" s="52"/>
      <c r="EJ66" s="52"/>
      <c r="EK66" s="398">
        <v>1</v>
      </c>
      <c r="EL66" s="52"/>
      <c r="EM66" s="52"/>
      <c r="EN66" s="52"/>
      <c r="EO66" s="52"/>
      <c r="EP66" s="52"/>
      <c r="EQ66" s="52"/>
      <c r="ER66" s="52"/>
      <c r="ES66" s="52"/>
      <c r="ET66" s="52"/>
      <c r="EU66" s="52"/>
      <c r="EV66" s="52"/>
      <c r="EW66" s="1373"/>
      <c r="EX66" s="52"/>
      <c r="EY66" s="52"/>
      <c r="EZ66" s="52"/>
      <c r="FA66" s="52"/>
      <c r="FB66" s="52"/>
      <c r="FC66" s="52"/>
      <c r="FD66" s="52"/>
      <c r="FE66" s="699"/>
    </row>
    <row r="67" spans="1:161">
      <c r="A67" s="398">
        <v>40</v>
      </c>
      <c r="B67" s="52"/>
      <c r="C67" s="695"/>
      <c r="D67" s="695"/>
      <c r="E67" s="695"/>
      <c r="F67" s="695"/>
      <c r="G67" s="695"/>
      <c r="H67" s="695"/>
      <c r="I67" s="695"/>
      <c r="J67" s="695"/>
      <c r="K67" s="695"/>
      <c r="L67" s="695"/>
      <c r="M67" s="695"/>
      <c r="N67" s="695"/>
      <c r="O67" s="695"/>
      <c r="P67" s="695"/>
      <c r="Q67" s="695"/>
      <c r="R67" s="695"/>
      <c r="S67" s="52"/>
      <c r="T67" s="52"/>
      <c r="U67" s="398">
        <v>40</v>
      </c>
      <c r="V67" s="52"/>
      <c r="W67" s="52"/>
      <c r="X67" s="52"/>
      <c r="Y67" s="52"/>
      <c r="Z67" s="52"/>
      <c r="AA67" s="52"/>
      <c r="AB67" s="52"/>
      <c r="AC67" s="52"/>
      <c r="AD67" s="52"/>
      <c r="AE67" s="52"/>
      <c r="AF67" s="52"/>
      <c r="AG67" s="52"/>
      <c r="AH67" s="52"/>
      <c r="AI67" s="52"/>
      <c r="AJ67" s="52"/>
      <c r="AK67" s="52"/>
      <c r="AL67" s="52"/>
      <c r="AM67" s="52"/>
      <c r="AN67" s="330"/>
      <c r="AO67" s="398">
        <v>40</v>
      </c>
      <c r="AP67" s="52"/>
      <c r="AQ67" s="52"/>
      <c r="AR67" s="52"/>
      <c r="AS67" s="52"/>
      <c r="AT67" s="52"/>
      <c r="AU67" s="52"/>
      <c r="AV67" s="52"/>
      <c r="AW67" s="52"/>
      <c r="AX67" s="52"/>
      <c r="AY67" s="52"/>
      <c r="AZ67" s="52"/>
      <c r="BA67" s="52"/>
      <c r="BB67" s="52"/>
      <c r="BC67" s="52"/>
      <c r="BD67" s="52"/>
      <c r="BE67" s="52"/>
      <c r="BF67" s="52"/>
      <c r="BG67" s="52"/>
      <c r="BH67" s="52"/>
      <c r="BI67" s="398">
        <v>40</v>
      </c>
      <c r="BJ67" s="52"/>
      <c r="BK67" s="52"/>
      <c r="BL67" s="52"/>
      <c r="BM67" s="52"/>
      <c r="BN67" s="52"/>
      <c r="BO67" s="52"/>
      <c r="BP67" s="52"/>
      <c r="BQ67" s="52"/>
      <c r="BR67" s="52"/>
      <c r="BS67" s="52"/>
      <c r="BT67" s="52"/>
      <c r="BU67" s="52"/>
      <c r="BV67" s="52"/>
      <c r="BW67" s="52"/>
      <c r="BX67" s="52"/>
      <c r="BY67" s="52"/>
      <c r="BZ67" s="52"/>
      <c r="CA67" s="52"/>
      <c r="CB67" s="330"/>
      <c r="CC67" s="398">
        <v>40</v>
      </c>
      <c r="CD67" s="52"/>
      <c r="CE67" s="52"/>
      <c r="CF67" s="52"/>
      <c r="CG67" s="52"/>
      <c r="CH67" s="52"/>
      <c r="CI67" s="52"/>
      <c r="CJ67" s="52"/>
      <c r="CK67" s="52"/>
      <c r="CL67" s="52"/>
      <c r="CM67" s="52"/>
      <c r="CN67" s="52"/>
      <c r="CO67" s="52"/>
      <c r="CP67" s="52"/>
      <c r="CQ67" s="52"/>
      <c r="CR67" s="52"/>
      <c r="CS67" s="52"/>
      <c r="CT67" s="52"/>
      <c r="CU67" s="52"/>
      <c r="CV67" s="52"/>
      <c r="CW67" s="398">
        <v>40</v>
      </c>
      <c r="CX67" s="52"/>
      <c r="CY67" s="52"/>
      <c r="CZ67" s="52"/>
      <c r="DA67" s="52"/>
      <c r="DB67" s="52"/>
      <c r="DC67" s="52"/>
      <c r="DD67" s="52"/>
      <c r="DE67" s="52"/>
      <c r="DF67" s="52"/>
      <c r="DG67" s="52"/>
      <c r="DH67" s="52"/>
      <c r="DI67" s="52"/>
      <c r="DJ67" s="52"/>
      <c r="DK67" s="52"/>
      <c r="DL67" s="52"/>
      <c r="DM67" s="52"/>
      <c r="DN67" s="52"/>
      <c r="DO67" s="52"/>
      <c r="DP67" s="330"/>
      <c r="DQ67" s="398">
        <v>40</v>
      </c>
      <c r="DR67" s="52"/>
      <c r="DS67" s="52"/>
      <c r="DT67" s="52"/>
      <c r="DU67" s="52"/>
      <c r="DV67" s="52"/>
      <c r="DW67" s="52"/>
      <c r="DX67" s="52"/>
      <c r="DY67" s="52"/>
      <c r="DZ67" s="52"/>
      <c r="EA67" s="52"/>
      <c r="EB67" s="52"/>
      <c r="EC67" s="52"/>
      <c r="ED67" s="52"/>
      <c r="EE67" s="52"/>
      <c r="EF67" s="52"/>
      <c r="EG67" s="52"/>
      <c r="EH67" s="52"/>
      <c r="EI67" s="52"/>
      <c r="EJ67" s="52"/>
      <c r="EK67" s="398">
        <v>40</v>
      </c>
      <c r="EL67" s="52"/>
      <c r="EM67" s="1373"/>
      <c r="EN67" s="1373"/>
      <c r="EO67" s="1373"/>
      <c r="EP67" s="1373"/>
      <c r="EQ67" s="1373"/>
      <c r="ER67" s="1373"/>
      <c r="ES67" s="1373"/>
      <c r="ET67" s="1373"/>
      <c r="EU67" s="1373"/>
      <c r="EV67" s="1373"/>
      <c r="EW67" s="52"/>
      <c r="EX67" s="52"/>
      <c r="EY67" s="52"/>
      <c r="EZ67" s="52"/>
      <c r="FA67" s="52"/>
      <c r="FB67" s="52"/>
      <c r="FC67" s="52"/>
      <c r="FD67" s="52"/>
      <c r="FE67" s="699"/>
    </row>
    <row r="68" spans="1:161">
      <c r="A68" s="398"/>
      <c r="B68" s="52"/>
      <c r="C68" s="695"/>
      <c r="D68" s="695"/>
      <c r="E68" s="695"/>
      <c r="F68" s="695"/>
      <c r="G68" s="695"/>
      <c r="H68" s="695"/>
      <c r="I68" s="695"/>
      <c r="J68" s="695"/>
      <c r="K68" s="695"/>
      <c r="L68" s="695"/>
      <c r="M68" s="695"/>
      <c r="N68" s="695"/>
      <c r="O68" s="695"/>
      <c r="P68" s="695"/>
      <c r="Q68" s="695"/>
      <c r="R68" s="695"/>
      <c r="S68" s="52"/>
      <c r="T68" s="52"/>
      <c r="U68" s="398"/>
      <c r="V68" s="52"/>
      <c r="W68" s="52"/>
      <c r="X68" s="52"/>
      <c r="Y68" s="52"/>
      <c r="Z68" s="52"/>
      <c r="AA68" s="52"/>
      <c r="AB68" s="52"/>
      <c r="AC68" s="52"/>
      <c r="AD68" s="52"/>
      <c r="AE68" s="52"/>
      <c r="AF68" s="52"/>
      <c r="AG68" s="52"/>
      <c r="AH68" s="52"/>
      <c r="AI68" s="52"/>
      <c r="AJ68" s="52"/>
      <c r="AK68" s="52"/>
      <c r="AL68" s="52"/>
      <c r="AM68" s="52"/>
      <c r="AN68" s="330"/>
      <c r="AO68" s="398"/>
      <c r="AP68" s="52"/>
      <c r="AQ68" s="52"/>
      <c r="AR68" s="52"/>
      <c r="AS68" s="52"/>
      <c r="AT68" s="52"/>
      <c r="AU68" s="52"/>
      <c r="AV68" s="52"/>
      <c r="AW68" s="52"/>
      <c r="AX68" s="52"/>
      <c r="AY68" s="52"/>
      <c r="AZ68" s="52"/>
      <c r="BA68" s="52"/>
      <c r="BB68" s="52"/>
      <c r="BC68" s="52"/>
      <c r="BD68" s="52"/>
      <c r="BE68" s="52"/>
      <c r="BF68" s="52"/>
      <c r="BG68" s="52"/>
      <c r="BH68" s="52"/>
      <c r="BI68" s="398"/>
      <c r="BJ68" s="52"/>
      <c r="BK68" s="52"/>
      <c r="BL68" s="52"/>
      <c r="BM68" s="52"/>
      <c r="BN68" s="52"/>
      <c r="BO68" s="52"/>
      <c r="BP68" s="52"/>
      <c r="BQ68" s="52"/>
      <c r="BR68" s="52"/>
      <c r="BS68" s="52"/>
      <c r="BT68" s="52"/>
      <c r="BU68" s="52"/>
      <c r="BV68" s="52"/>
      <c r="BW68" s="52"/>
      <c r="BX68" s="52"/>
      <c r="BY68" s="52"/>
      <c r="BZ68" s="52"/>
      <c r="CA68" s="52"/>
      <c r="CB68" s="330"/>
      <c r="CC68" s="398"/>
      <c r="CD68" s="52"/>
      <c r="CE68" s="52"/>
      <c r="CF68" s="52"/>
      <c r="CG68" s="52"/>
      <c r="CH68" s="52"/>
      <c r="CI68" s="52"/>
      <c r="CJ68" s="52"/>
      <c r="CK68" s="52"/>
      <c r="CL68" s="52"/>
      <c r="CM68" s="52"/>
      <c r="CN68" s="52"/>
      <c r="CO68" s="52"/>
      <c r="CP68" s="52"/>
      <c r="CQ68" s="52"/>
      <c r="CR68" s="52"/>
      <c r="CS68" s="52"/>
      <c r="CT68" s="52"/>
      <c r="CU68" s="52"/>
      <c r="CV68" s="52"/>
      <c r="CW68" s="398"/>
      <c r="CX68" s="52"/>
      <c r="CY68" s="52"/>
      <c r="CZ68" s="52"/>
      <c r="DA68" s="52"/>
      <c r="DB68" s="52"/>
      <c r="DC68" s="52"/>
      <c r="DD68" s="52"/>
      <c r="DE68" s="52"/>
      <c r="DF68" s="52"/>
      <c r="DG68" s="52"/>
      <c r="DH68" s="3741"/>
      <c r="DI68" s="52"/>
      <c r="DJ68" s="52"/>
      <c r="DK68" s="52"/>
      <c r="DL68" s="52"/>
      <c r="DM68" s="52"/>
      <c r="DN68" s="52"/>
      <c r="DO68" s="52"/>
      <c r="DP68" s="330"/>
      <c r="DQ68" s="398"/>
      <c r="DR68" s="52"/>
      <c r="DS68" s="52"/>
      <c r="DT68" s="52"/>
      <c r="DU68" s="52"/>
      <c r="DV68" s="52"/>
      <c r="DW68" s="52"/>
      <c r="DX68" s="52"/>
      <c r="DY68" s="52"/>
      <c r="DZ68" s="52"/>
      <c r="EA68" s="52"/>
      <c r="EB68" s="52"/>
      <c r="EC68" s="52"/>
      <c r="ED68" s="52"/>
      <c r="EE68" s="52"/>
      <c r="EF68" s="52"/>
      <c r="EG68" s="52"/>
      <c r="EH68" s="52"/>
      <c r="EI68" s="52"/>
      <c r="EJ68" s="52"/>
      <c r="EK68" s="398">
        <v>1</v>
      </c>
      <c r="EL68" s="52"/>
      <c r="EM68" s="52"/>
      <c r="EN68" s="52"/>
      <c r="EO68" s="52"/>
      <c r="EP68" s="52"/>
      <c r="EQ68" s="52"/>
      <c r="ER68" s="52"/>
      <c r="ES68" s="52"/>
      <c r="ET68" s="52"/>
      <c r="EU68" s="52"/>
      <c r="EV68" s="52"/>
      <c r="EW68" s="52"/>
      <c r="EX68" s="52"/>
      <c r="EY68" s="52"/>
      <c r="EZ68" s="52"/>
      <c r="FA68" s="52"/>
      <c r="FB68" s="52"/>
      <c r="FC68" s="52"/>
      <c r="FD68" s="52"/>
      <c r="FE68" s="699"/>
    </row>
    <row r="69" spans="1:161">
      <c r="A69" s="685"/>
      <c r="B69" s="52"/>
      <c r="C69" s="695"/>
      <c r="D69" s="695"/>
      <c r="E69" s="695"/>
      <c r="F69" s="695"/>
      <c r="G69" s="695"/>
      <c r="H69" s="695"/>
      <c r="I69" s="695"/>
      <c r="J69" s="695"/>
      <c r="K69" s="695"/>
      <c r="L69" s="695"/>
      <c r="M69" s="695"/>
      <c r="N69" s="695"/>
      <c r="O69" s="695"/>
      <c r="P69" s="695"/>
      <c r="Q69" s="695"/>
      <c r="R69" s="695"/>
      <c r="S69" s="52"/>
      <c r="T69" s="52"/>
      <c r="U69" s="685">
        <v>15</v>
      </c>
      <c r="V69" s="52"/>
      <c r="W69" s="52"/>
      <c r="X69" s="52"/>
      <c r="Y69" s="52"/>
      <c r="Z69" s="52"/>
      <c r="AA69" s="52"/>
      <c r="AB69" s="52"/>
      <c r="AC69" s="52"/>
      <c r="AD69" s="52"/>
      <c r="AE69" s="52"/>
      <c r="AF69" s="52"/>
      <c r="AG69" s="52" t="s">
        <v>674</v>
      </c>
      <c r="AH69" s="52"/>
      <c r="AI69" s="52"/>
      <c r="AJ69" s="52"/>
      <c r="AK69" s="52"/>
      <c r="AL69" s="52"/>
      <c r="AM69" s="52"/>
      <c r="AN69" s="330"/>
      <c r="AO69" s="685"/>
      <c r="AP69" s="52"/>
      <c r="AQ69" s="52"/>
      <c r="AR69" s="52"/>
      <c r="AS69" s="52"/>
      <c r="AT69" s="52"/>
      <c r="AU69" s="52"/>
      <c r="AV69" s="52"/>
      <c r="AW69" s="52"/>
      <c r="AX69" s="52"/>
      <c r="AY69" s="52"/>
      <c r="AZ69" s="52"/>
      <c r="BA69" s="52"/>
      <c r="BB69" s="52"/>
      <c r="BC69" s="52"/>
      <c r="BD69" s="52"/>
      <c r="BE69" s="52"/>
      <c r="BF69" s="52"/>
      <c r="BG69" s="52"/>
      <c r="BH69" s="52"/>
      <c r="BI69" s="685">
        <v>15</v>
      </c>
      <c r="BJ69" s="52"/>
      <c r="BK69" s="52"/>
      <c r="BL69" s="52"/>
      <c r="BM69" s="52"/>
      <c r="BN69" s="52"/>
      <c r="BO69" s="52"/>
      <c r="BP69" s="52"/>
      <c r="BQ69" s="52"/>
      <c r="BR69" s="52"/>
      <c r="BS69" s="52"/>
      <c r="BT69" s="52"/>
      <c r="BU69" s="52" t="s">
        <v>674</v>
      </c>
      <c r="BV69" s="52"/>
      <c r="BW69" s="52"/>
      <c r="BX69" s="52"/>
      <c r="BY69" s="52"/>
      <c r="BZ69" s="52"/>
      <c r="CA69" s="52"/>
      <c r="CB69" s="330"/>
      <c r="CC69" s="685"/>
      <c r="CD69" s="52"/>
      <c r="CE69" s="52"/>
      <c r="CF69" s="52"/>
      <c r="CG69" s="52"/>
      <c r="CH69" s="52"/>
      <c r="CI69" s="52"/>
      <c r="CJ69" s="52"/>
      <c r="CK69" s="52"/>
      <c r="CL69" s="52"/>
      <c r="CM69" s="52"/>
      <c r="CN69" s="52"/>
      <c r="CO69" s="52"/>
      <c r="CP69" s="52"/>
      <c r="CQ69" s="52"/>
      <c r="CR69" s="52"/>
      <c r="CS69" s="52"/>
      <c r="CT69" s="52"/>
      <c r="CU69" s="52"/>
      <c r="CV69" s="52"/>
      <c r="CW69" s="685">
        <v>15</v>
      </c>
      <c r="CX69" s="52"/>
      <c r="CY69" s="52"/>
      <c r="CZ69" s="52"/>
      <c r="DA69" s="52"/>
      <c r="DB69" s="52"/>
      <c r="DC69" s="52"/>
      <c r="DD69" s="52"/>
      <c r="DE69" s="52"/>
      <c r="DF69" s="52"/>
      <c r="DG69" s="52"/>
      <c r="DH69" s="52"/>
      <c r="DI69" s="52" t="s">
        <v>674</v>
      </c>
      <c r="DJ69" s="52"/>
      <c r="DK69" s="52"/>
      <c r="DL69" s="52"/>
      <c r="DM69" s="52"/>
      <c r="DN69" s="52"/>
      <c r="DO69" s="52"/>
      <c r="DP69" s="330"/>
      <c r="DQ69" s="685"/>
      <c r="DR69" s="52"/>
      <c r="DS69" s="1373"/>
      <c r="DT69" s="1373"/>
      <c r="DU69" s="1373"/>
      <c r="DV69" s="1373"/>
      <c r="DW69" s="1373"/>
      <c r="DX69" s="1373"/>
      <c r="DY69" s="1373"/>
      <c r="DZ69" s="1373"/>
      <c r="EA69" s="1373"/>
      <c r="EB69" s="1373"/>
      <c r="EC69" s="52"/>
      <c r="ED69" s="52"/>
      <c r="EE69" s="52"/>
      <c r="EF69" s="52"/>
      <c r="EG69" s="52"/>
      <c r="EH69" s="52"/>
      <c r="EI69" s="52"/>
      <c r="EJ69" s="52"/>
      <c r="EK69" s="685">
        <v>15</v>
      </c>
      <c r="EL69" s="52"/>
      <c r="EM69" s="52"/>
      <c r="EN69" s="52"/>
      <c r="EO69" s="52"/>
      <c r="EP69" s="52"/>
      <c r="EQ69" s="52"/>
      <c r="ER69" s="52"/>
      <c r="ES69" s="52"/>
      <c r="ET69" s="52"/>
      <c r="EU69" s="52"/>
      <c r="EV69" s="52"/>
      <c r="EW69" s="52" t="s">
        <v>674</v>
      </c>
      <c r="EX69" s="3744"/>
      <c r="EY69" s="52"/>
      <c r="EZ69" s="52"/>
      <c r="FA69" s="52"/>
      <c r="FB69" s="52"/>
      <c r="FC69" s="52"/>
      <c r="FD69" s="52"/>
      <c r="FE69" s="699"/>
    </row>
    <row r="70" spans="1:161">
      <c r="A70" s="398"/>
      <c r="B70" s="52"/>
      <c r="C70" s="695"/>
      <c r="D70" s="695"/>
      <c r="E70" s="695"/>
      <c r="F70" s="695"/>
      <c r="G70" s="695"/>
      <c r="H70" s="695"/>
      <c r="I70" s="695"/>
      <c r="J70" s="695"/>
      <c r="K70" s="695"/>
      <c r="L70" s="695"/>
      <c r="M70" s="695"/>
      <c r="N70" s="695"/>
      <c r="O70" s="695"/>
      <c r="P70" s="695"/>
      <c r="Q70" s="695"/>
      <c r="R70" s="695"/>
      <c r="S70" s="52"/>
      <c r="T70" s="52"/>
      <c r="U70" s="398">
        <v>500</v>
      </c>
      <c r="V70" s="52"/>
      <c r="W70" s="52"/>
      <c r="X70" s="52"/>
      <c r="Y70" s="52"/>
      <c r="Z70" s="52"/>
      <c r="AA70" s="52"/>
      <c r="AB70" s="52"/>
      <c r="AC70" s="52"/>
      <c r="AD70" s="52"/>
      <c r="AE70" s="52"/>
      <c r="AF70" s="52"/>
      <c r="AG70" s="52"/>
      <c r="AH70" s="52"/>
      <c r="AI70" s="52"/>
      <c r="AJ70" s="52"/>
      <c r="AK70" s="52"/>
      <c r="AL70" s="52"/>
      <c r="AM70" s="52"/>
      <c r="AN70" s="330"/>
      <c r="AO70" s="398"/>
      <c r="AP70" s="52"/>
      <c r="AQ70" s="52"/>
      <c r="AR70" s="52"/>
      <c r="AS70" s="52"/>
      <c r="AT70" s="52"/>
      <c r="AU70" s="52"/>
      <c r="AV70" s="52"/>
      <c r="AW70" s="52"/>
      <c r="AX70" s="52"/>
      <c r="AY70" s="52"/>
      <c r="AZ70" s="52"/>
      <c r="BA70" s="52"/>
      <c r="BB70" s="52"/>
      <c r="BC70" s="52"/>
      <c r="BD70" s="52"/>
      <c r="BE70" s="52"/>
      <c r="BF70" s="52"/>
      <c r="BG70" s="52"/>
      <c r="BH70" s="52"/>
      <c r="BI70" s="398">
        <v>500</v>
      </c>
      <c r="BJ70" s="52"/>
      <c r="BK70" s="52"/>
      <c r="BL70" s="52"/>
      <c r="BM70" s="52"/>
      <c r="BN70" s="52"/>
      <c r="BO70" s="52"/>
      <c r="BP70" s="52"/>
      <c r="BQ70" s="52"/>
      <c r="BR70" s="52"/>
      <c r="BS70" s="52"/>
      <c r="BT70" s="52"/>
      <c r="BU70" s="52"/>
      <c r="BV70" s="52"/>
      <c r="BW70" s="52"/>
      <c r="BX70" s="52"/>
      <c r="BY70" s="52"/>
      <c r="BZ70" s="52"/>
      <c r="CA70" s="52"/>
      <c r="CB70" s="330"/>
      <c r="CC70" s="398"/>
      <c r="CD70" s="52"/>
      <c r="CE70" s="52"/>
      <c r="CF70" s="52"/>
      <c r="CG70" s="52"/>
      <c r="CH70" s="52"/>
      <c r="CI70" s="52"/>
      <c r="CJ70" s="52"/>
      <c r="CK70" s="52"/>
      <c r="CL70" s="52"/>
      <c r="CM70" s="52"/>
      <c r="CN70" s="52"/>
      <c r="CO70" s="52"/>
      <c r="CP70" s="52"/>
      <c r="CQ70" s="52"/>
      <c r="CR70" s="52"/>
      <c r="CS70" s="52"/>
      <c r="CT70" s="52"/>
      <c r="CU70" s="52"/>
      <c r="CV70" s="52"/>
      <c r="CW70" s="398">
        <v>500</v>
      </c>
      <c r="CX70" s="52"/>
      <c r="CY70" s="52"/>
      <c r="CZ70" s="52"/>
      <c r="DA70" s="52"/>
      <c r="DB70" s="52"/>
      <c r="DC70" s="52"/>
      <c r="DD70" s="52"/>
      <c r="DE70" s="52"/>
      <c r="DF70" s="52"/>
      <c r="DG70" s="52"/>
      <c r="DH70" s="52"/>
      <c r="DI70" s="52"/>
      <c r="DJ70" s="52"/>
      <c r="DK70" s="52"/>
      <c r="DL70" s="52"/>
      <c r="DM70" s="52"/>
      <c r="DN70" s="52"/>
      <c r="DO70" s="52"/>
      <c r="DP70" s="330"/>
      <c r="DQ70" s="398"/>
      <c r="DR70" s="52"/>
      <c r="DS70" s="52"/>
      <c r="DT70" s="52"/>
      <c r="DU70" s="52"/>
      <c r="DV70" s="52"/>
      <c r="DW70" s="52"/>
      <c r="DX70" s="52"/>
      <c r="DY70" s="52"/>
      <c r="DZ70" s="52"/>
      <c r="EA70" s="52"/>
      <c r="EB70" s="52"/>
      <c r="EC70" s="52"/>
      <c r="ED70" s="52"/>
      <c r="EE70" s="52"/>
      <c r="EF70" s="52"/>
      <c r="EG70" s="52"/>
      <c r="EH70" s="52"/>
      <c r="EI70" s="52"/>
      <c r="EJ70" s="52"/>
      <c r="EK70" s="398">
        <v>500</v>
      </c>
      <c r="EL70" s="52"/>
      <c r="EM70" s="52"/>
      <c r="EN70" s="52"/>
      <c r="EO70" s="52"/>
      <c r="EP70" s="52"/>
      <c r="EQ70" s="52"/>
      <c r="ER70" s="52"/>
      <c r="ES70" s="52"/>
      <c r="ET70" s="52"/>
      <c r="EU70" s="52"/>
      <c r="EV70" s="52"/>
      <c r="EW70" s="52"/>
      <c r="EX70" s="52"/>
      <c r="EY70" s="52"/>
      <c r="EZ70" s="52"/>
      <c r="FA70" s="52"/>
      <c r="FB70" s="52"/>
      <c r="FC70" s="52"/>
      <c r="FD70" s="52"/>
      <c r="FE70" s="699"/>
    </row>
    <row r="71" spans="1:161">
      <c r="A71" s="398"/>
      <c r="B71" s="52"/>
      <c r="C71" s="695"/>
      <c r="D71" s="695"/>
      <c r="E71" s="695"/>
      <c r="F71" s="695"/>
      <c r="G71" s="695"/>
      <c r="H71" s="695"/>
      <c r="I71" s="695"/>
      <c r="J71" s="695"/>
      <c r="K71" s="695"/>
      <c r="L71" s="695"/>
      <c r="M71" s="695"/>
      <c r="N71" s="695"/>
      <c r="O71" s="695"/>
      <c r="P71" s="695"/>
      <c r="Q71" s="695"/>
      <c r="R71" s="695"/>
      <c r="S71" s="52"/>
      <c r="T71" s="52"/>
      <c r="U71" s="398">
        <v>20</v>
      </c>
      <c r="V71" s="52"/>
      <c r="W71" s="52"/>
      <c r="X71" s="52"/>
      <c r="Y71" s="52"/>
      <c r="Z71" s="52"/>
      <c r="AA71" s="52"/>
      <c r="AB71" s="52"/>
      <c r="AC71" s="52"/>
      <c r="AD71" s="52"/>
      <c r="AE71" s="52"/>
      <c r="AF71" s="52"/>
      <c r="AG71" s="52"/>
      <c r="AH71" s="52"/>
      <c r="AI71" s="52"/>
      <c r="AJ71" s="52"/>
      <c r="AK71" s="52"/>
      <c r="AL71" s="52"/>
      <c r="AM71" s="52"/>
      <c r="AN71" s="330"/>
      <c r="AO71" s="398"/>
      <c r="AP71" s="52"/>
      <c r="AQ71" s="52"/>
      <c r="AR71" s="52"/>
      <c r="AS71" s="52"/>
      <c r="AT71" s="52"/>
      <c r="AU71" s="52"/>
      <c r="AV71" s="52"/>
      <c r="AW71" s="52"/>
      <c r="AX71" s="52"/>
      <c r="AY71" s="52"/>
      <c r="AZ71" s="52"/>
      <c r="BA71" s="52"/>
      <c r="BB71" s="52"/>
      <c r="BC71" s="52"/>
      <c r="BD71" s="52"/>
      <c r="BE71" s="52"/>
      <c r="BF71" s="52"/>
      <c r="BG71" s="52"/>
      <c r="BH71" s="52"/>
      <c r="BI71" s="398">
        <v>20</v>
      </c>
      <c r="BJ71" s="52"/>
      <c r="BK71" s="52"/>
      <c r="BL71" s="52"/>
      <c r="BM71" s="52"/>
      <c r="BN71" s="52"/>
      <c r="BO71" s="52"/>
      <c r="BP71" s="52"/>
      <c r="BQ71" s="52"/>
      <c r="BR71" s="52"/>
      <c r="BS71" s="52"/>
      <c r="BT71" s="52"/>
      <c r="BU71" s="52"/>
      <c r="BV71" s="52"/>
      <c r="BW71" s="52"/>
      <c r="BX71" s="52"/>
      <c r="BY71" s="52"/>
      <c r="BZ71" s="52"/>
      <c r="CA71" s="52"/>
      <c r="CB71" s="330"/>
      <c r="CC71" s="398"/>
      <c r="CV71" s="52">
        <v>618</v>
      </c>
      <c r="CW71" s="398">
        <v>20</v>
      </c>
      <c r="CX71" s="52"/>
      <c r="CY71" s="1373"/>
      <c r="CZ71" s="1373"/>
      <c r="DA71" s="1373"/>
      <c r="DB71" s="1373"/>
      <c r="DC71" s="1373"/>
      <c r="DD71" s="1373"/>
      <c r="DE71" s="1373"/>
      <c r="DF71" s="1373"/>
      <c r="DG71" s="1373"/>
      <c r="DH71" s="1373"/>
      <c r="DI71" s="52"/>
      <c r="DJ71" s="52"/>
      <c r="DK71" s="52"/>
      <c r="DL71" s="52"/>
      <c r="DM71" s="52"/>
      <c r="DN71" s="52"/>
      <c r="DO71" s="52"/>
      <c r="DP71" s="330"/>
      <c r="DQ71" s="398"/>
      <c r="DR71" s="52"/>
      <c r="DS71" s="52"/>
      <c r="DT71" s="52"/>
      <c r="DU71" s="52"/>
      <c r="DV71" s="52"/>
      <c r="DW71" s="52"/>
      <c r="DX71" s="52"/>
      <c r="DY71" s="52"/>
      <c r="DZ71" s="52"/>
      <c r="EA71" s="52"/>
      <c r="EB71" s="52"/>
      <c r="EC71" s="52"/>
      <c r="ED71" s="52"/>
      <c r="EE71" s="52"/>
      <c r="EF71" s="52"/>
      <c r="EG71" s="52"/>
      <c r="EH71" s="52"/>
      <c r="EI71" s="52"/>
      <c r="EJ71" s="52"/>
      <c r="EK71" s="398">
        <v>20</v>
      </c>
      <c r="EL71" s="52"/>
      <c r="EM71" s="52"/>
      <c r="EN71" s="52"/>
      <c r="EO71" s="52"/>
      <c r="EP71" s="52"/>
      <c r="EQ71" s="52"/>
      <c r="ER71" s="52"/>
      <c r="ES71" s="52"/>
      <c r="ET71" s="52"/>
      <c r="EU71" s="52"/>
      <c r="EV71" s="52"/>
      <c r="EW71" s="52"/>
      <c r="EX71" s="52"/>
      <c r="EY71" s="52"/>
      <c r="EZ71" s="52"/>
      <c r="FA71" s="52"/>
      <c r="FB71" s="52"/>
      <c r="FC71" s="52"/>
      <c r="FD71" s="52"/>
      <c r="FE71" s="699"/>
    </row>
    <row r="72" spans="1:161">
      <c r="A72" s="685"/>
      <c r="B72" s="52"/>
      <c r="C72" s="695"/>
      <c r="D72" s="695"/>
      <c r="E72" s="695"/>
      <c r="F72" s="695"/>
      <c r="G72" s="695"/>
      <c r="H72" s="695"/>
      <c r="I72" s="695"/>
      <c r="J72" s="695"/>
      <c r="K72" s="695"/>
      <c r="L72" s="695"/>
      <c r="M72" s="695"/>
      <c r="N72" s="695"/>
      <c r="O72" s="695"/>
      <c r="P72" s="695"/>
      <c r="Q72" s="695"/>
      <c r="R72" s="695"/>
      <c r="S72" s="52"/>
      <c r="T72" s="52"/>
      <c r="U72" s="685">
        <v>35</v>
      </c>
      <c r="V72" s="52"/>
      <c r="W72" s="1373"/>
      <c r="X72" s="1373"/>
      <c r="Y72" s="1373"/>
      <c r="Z72" s="1373"/>
      <c r="AA72" s="1373"/>
      <c r="AB72" s="1373"/>
      <c r="AC72" s="1373"/>
      <c r="AD72" s="1373"/>
      <c r="AE72" s="1373"/>
      <c r="AF72" s="1373"/>
      <c r="AG72" s="1373"/>
      <c r="AH72" s="1373"/>
      <c r="AI72" s="1373"/>
      <c r="AJ72" s="1373"/>
      <c r="AK72" s="1373"/>
      <c r="AL72" s="1373"/>
      <c r="AM72" s="1373"/>
      <c r="AN72" s="3768"/>
      <c r="AO72" s="685">
        <v>21</v>
      </c>
      <c r="AP72" s="52"/>
      <c r="AQ72" s="52"/>
      <c r="AR72" s="52"/>
      <c r="AS72" s="52"/>
      <c r="AT72" s="52"/>
      <c r="AU72" s="52"/>
      <c r="AV72" s="52"/>
      <c r="AW72" s="52"/>
      <c r="AX72" s="52"/>
      <c r="AY72" s="52"/>
      <c r="AZ72" s="52"/>
      <c r="BA72" s="52"/>
      <c r="BB72" s="52"/>
      <c r="BC72" s="52"/>
      <c r="BD72" s="52"/>
      <c r="BE72" s="71"/>
      <c r="BF72" s="52"/>
      <c r="BG72" s="52"/>
      <c r="BH72" s="52"/>
      <c r="BI72" s="685">
        <v>35</v>
      </c>
      <c r="BJ72" s="52"/>
      <c r="BK72" s="1373"/>
      <c r="BL72" s="1373"/>
      <c r="BM72" s="1373"/>
      <c r="BN72" s="1373"/>
      <c r="BO72" s="1373"/>
      <c r="BP72" s="1373"/>
      <c r="BQ72" s="1373"/>
      <c r="BR72" s="1373"/>
      <c r="BS72" s="1373"/>
      <c r="BT72" s="1373"/>
      <c r="BU72" s="1373"/>
      <c r="BV72" s="1373"/>
      <c r="BW72" s="1373"/>
      <c r="BX72" s="1373"/>
      <c r="BY72" s="1373"/>
      <c r="BZ72" s="1373"/>
      <c r="CA72" s="1373"/>
      <c r="CB72" s="3768"/>
      <c r="CC72" s="685"/>
      <c r="CD72" s="52"/>
      <c r="CE72" s="52"/>
      <c r="CF72" s="52"/>
      <c r="CG72" s="52"/>
      <c r="CH72" s="52"/>
      <c r="CI72" s="52"/>
      <c r="CJ72" s="52"/>
      <c r="CK72" s="52"/>
      <c r="CL72" s="52"/>
      <c r="CM72" s="52"/>
      <c r="CN72" s="52"/>
      <c r="CO72" s="52"/>
      <c r="CP72" s="52"/>
      <c r="CQ72" s="52"/>
      <c r="CR72" s="52"/>
      <c r="CS72" s="71"/>
      <c r="CT72" s="52"/>
      <c r="CU72" s="52"/>
      <c r="CV72" s="52"/>
      <c r="CW72" s="685">
        <v>35</v>
      </c>
      <c r="CX72" s="52"/>
      <c r="CY72" s="1373"/>
      <c r="CZ72" s="1373"/>
      <c r="DA72" s="1373"/>
      <c r="DB72" s="1373"/>
      <c r="DC72" s="1373"/>
      <c r="DD72" s="1373"/>
      <c r="DE72" s="1373"/>
      <c r="DF72" s="1373"/>
      <c r="DG72" s="1373"/>
      <c r="DH72" s="1373"/>
      <c r="DI72" s="1373"/>
      <c r="DJ72" s="1373"/>
      <c r="DK72" s="1373"/>
      <c r="DL72" s="1373"/>
      <c r="DM72" s="1373"/>
      <c r="DN72" s="1373"/>
      <c r="DO72" s="1373"/>
      <c r="DP72" s="3768"/>
      <c r="DQ72" s="685"/>
      <c r="DR72" s="52"/>
      <c r="DS72" s="52"/>
      <c r="DT72" s="52"/>
      <c r="DU72" s="52"/>
      <c r="DV72" s="52"/>
      <c r="DW72" s="52"/>
      <c r="DX72" s="52"/>
      <c r="DY72" s="52"/>
      <c r="DZ72" s="52"/>
      <c r="EA72" s="52"/>
      <c r="EB72" s="52"/>
      <c r="EC72" s="52"/>
      <c r="ED72" s="3752"/>
      <c r="EE72" s="52"/>
      <c r="EF72" s="52"/>
      <c r="EG72" s="71"/>
      <c r="EH72" s="52"/>
      <c r="EI72" s="52"/>
      <c r="EJ72" s="52"/>
      <c r="EK72" s="685">
        <v>35</v>
      </c>
      <c r="EL72" s="52"/>
      <c r="EM72" s="1373"/>
      <c r="EN72" s="1373"/>
      <c r="EO72" s="1373"/>
      <c r="EP72" s="1373"/>
      <c r="EQ72" s="1373"/>
      <c r="ER72" s="1373"/>
      <c r="ES72" s="1373"/>
      <c r="ET72" s="1373"/>
      <c r="EU72" s="1373"/>
      <c r="EV72" s="1373"/>
      <c r="EW72" s="1373"/>
      <c r="EX72" s="1373"/>
      <c r="EY72" s="1373"/>
      <c r="EZ72" s="1373"/>
      <c r="FA72" s="1373"/>
      <c r="FB72" s="1373"/>
      <c r="FC72" s="1373"/>
      <c r="FD72" s="1373"/>
      <c r="FE72" s="699"/>
    </row>
    <row r="73" spans="1:161">
      <c r="A73" s="398"/>
      <c r="B73" s="52"/>
      <c r="C73" s="695"/>
      <c r="D73" s="695"/>
      <c r="E73" s="695"/>
      <c r="F73" s="695"/>
      <c r="G73" s="695"/>
      <c r="H73" s="695"/>
      <c r="I73" s="695"/>
      <c r="J73" s="695"/>
      <c r="K73" s="695"/>
      <c r="L73" s="695"/>
      <c r="M73" s="695"/>
      <c r="N73" s="695"/>
      <c r="O73" s="695"/>
      <c r="P73" s="695"/>
      <c r="Q73" s="695"/>
      <c r="R73" s="695"/>
      <c r="S73" s="52"/>
      <c r="T73" s="52"/>
      <c r="U73" s="398">
        <v>71</v>
      </c>
      <c r="V73" s="52"/>
      <c r="W73" s="1373"/>
      <c r="X73" s="1373"/>
      <c r="Y73" s="1373"/>
      <c r="Z73" s="1373"/>
      <c r="AA73" s="1373"/>
      <c r="AB73" s="1373"/>
      <c r="AC73" s="1373"/>
      <c r="AD73" s="1373"/>
      <c r="AE73" s="1373"/>
      <c r="AF73" s="1373"/>
      <c r="AG73" s="1373"/>
      <c r="AH73" s="1373"/>
      <c r="AI73" s="1373"/>
      <c r="AJ73" s="1373"/>
      <c r="AK73" s="1373"/>
      <c r="AL73" s="1373"/>
      <c r="AM73" s="1373"/>
      <c r="AN73" s="3768"/>
      <c r="AO73" s="398"/>
      <c r="AP73" s="52"/>
      <c r="AQ73" s="52"/>
      <c r="AR73" s="52"/>
      <c r="AS73" s="52"/>
      <c r="AT73" s="52"/>
      <c r="AU73" s="52"/>
      <c r="AV73" s="52"/>
      <c r="AW73" s="52"/>
      <c r="AX73" s="52"/>
      <c r="AY73" s="52"/>
      <c r="AZ73" s="52"/>
      <c r="BA73" s="52"/>
      <c r="BB73" s="52"/>
      <c r="BC73" s="52"/>
      <c r="BD73" s="52"/>
      <c r="BE73" s="71"/>
      <c r="BF73" s="52"/>
      <c r="BG73" s="52"/>
      <c r="BH73" s="52"/>
      <c r="BI73" s="398">
        <v>71</v>
      </c>
      <c r="BJ73" s="52"/>
      <c r="BK73" s="1373"/>
      <c r="BL73" s="1373"/>
      <c r="BM73" s="1373"/>
      <c r="BN73" s="1373"/>
      <c r="BO73" s="1373"/>
      <c r="BP73" s="1373"/>
      <c r="BQ73" s="1373"/>
      <c r="BR73" s="1373"/>
      <c r="BS73" s="1373"/>
      <c r="BT73" s="1373"/>
      <c r="BU73" s="1373"/>
      <c r="BV73" s="1373"/>
      <c r="BW73" s="1373"/>
      <c r="BX73" s="1373"/>
      <c r="BY73" s="1373"/>
      <c r="BZ73" s="1373"/>
      <c r="CA73" s="1373"/>
      <c r="CB73" s="3768"/>
      <c r="CC73" s="398"/>
      <c r="CD73" s="52"/>
      <c r="CE73" s="1373"/>
      <c r="CF73" s="1373"/>
      <c r="CG73" s="1373"/>
      <c r="CH73" s="1373"/>
      <c r="CI73" s="1373"/>
      <c r="CJ73" s="1373"/>
      <c r="CK73" s="1373"/>
      <c r="CL73" s="1373"/>
      <c r="CM73" s="1373"/>
      <c r="CN73" s="1373"/>
      <c r="CO73" s="1373"/>
      <c r="CP73" s="52"/>
      <c r="CQ73" s="52"/>
      <c r="CR73" s="52"/>
      <c r="CS73" s="71"/>
      <c r="CT73" s="52"/>
      <c r="CU73" s="52"/>
      <c r="CV73" s="52"/>
      <c r="CW73" s="398">
        <v>71</v>
      </c>
      <c r="CX73" s="52"/>
      <c r="CY73" s="1373"/>
      <c r="CZ73" s="1373"/>
      <c r="DA73" s="1373"/>
      <c r="DB73" s="1373"/>
      <c r="DC73" s="1373"/>
      <c r="DD73" s="1373"/>
      <c r="DE73" s="1373"/>
      <c r="DF73" s="1373"/>
      <c r="DG73" s="1373"/>
      <c r="DH73" s="1373"/>
      <c r="DI73" s="1373"/>
      <c r="DJ73" s="1373"/>
      <c r="DK73" s="1373"/>
      <c r="DL73" s="1373"/>
      <c r="DM73" s="1373"/>
      <c r="DN73" s="1373"/>
      <c r="DO73" s="1373"/>
      <c r="DP73" s="3768"/>
      <c r="DQ73" s="398"/>
      <c r="DR73" s="52"/>
      <c r="DS73" s="52"/>
      <c r="DT73" s="52"/>
      <c r="DU73" s="52"/>
      <c r="DV73" s="52"/>
      <c r="DW73" s="52"/>
      <c r="DX73" s="52"/>
      <c r="DY73" s="52"/>
      <c r="DZ73" s="52"/>
      <c r="EA73" s="52"/>
      <c r="EB73" s="52"/>
      <c r="EC73" s="52"/>
      <c r="ED73" s="52"/>
      <c r="EE73" s="52"/>
      <c r="EF73" s="52"/>
      <c r="EG73" s="71"/>
      <c r="EH73" s="52"/>
      <c r="EI73" s="52"/>
      <c r="EJ73" s="52"/>
      <c r="EK73" s="398">
        <v>71</v>
      </c>
      <c r="EL73" s="52"/>
      <c r="EM73" s="1373"/>
      <c r="EN73" s="1373"/>
      <c r="EO73" s="1373"/>
      <c r="EP73" s="1373"/>
      <c r="EQ73" s="1373"/>
      <c r="ER73" s="1373"/>
      <c r="ES73" s="1373"/>
      <c r="ET73" s="1373"/>
      <c r="EU73" s="1373"/>
      <c r="EV73" s="1373"/>
      <c r="EW73" s="1373"/>
      <c r="EX73" s="1373"/>
      <c r="EY73" s="1373"/>
      <c r="EZ73" s="1373"/>
      <c r="FA73" s="1373"/>
      <c r="FB73" s="1373"/>
      <c r="FC73" s="1373"/>
      <c r="FD73" s="1373"/>
      <c r="FE73" s="699"/>
    </row>
    <row r="74" spans="1:161">
      <c r="A74" s="398"/>
      <c r="B74" s="52"/>
      <c r="C74" s="695"/>
      <c r="D74" s="695"/>
      <c r="E74" s="695"/>
      <c r="F74" s="695"/>
      <c r="G74" s="695"/>
      <c r="H74" s="695"/>
      <c r="I74" s="695"/>
      <c r="J74" s="695"/>
      <c r="K74" s="695"/>
      <c r="L74" s="695"/>
      <c r="M74" s="695"/>
      <c r="N74" s="695"/>
      <c r="O74" s="695"/>
      <c r="P74" s="695"/>
      <c r="Q74" s="695"/>
      <c r="R74" s="695"/>
      <c r="S74" s="52"/>
      <c r="T74" s="52"/>
      <c r="U74" s="398">
        <v>84</v>
      </c>
      <c r="V74" s="52"/>
      <c r="W74" s="1373"/>
      <c r="X74" s="1373"/>
      <c r="Y74" s="1373"/>
      <c r="Z74" s="1373"/>
      <c r="AA74" s="1373"/>
      <c r="AB74" s="1373"/>
      <c r="AC74" s="1373"/>
      <c r="AD74" s="1373"/>
      <c r="AE74" s="1373"/>
      <c r="AF74" s="1373"/>
      <c r="AG74" s="1373"/>
      <c r="AH74" s="1373"/>
      <c r="AI74" s="1373"/>
      <c r="AJ74" s="1373"/>
      <c r="AK74" s="1373"/>
      <c r="AL74" s="1373"/>
      <c r="AM74" s="1373"/>
      <c r="AN74" s="3768"/>
      <c r="AO74" s="398"/>
      <c r="AP74" s="52"/>
      <c r="AQ74" s="52"/>
      <c r="AR74" s="52"/>
      <c r="AS74" s="52"/>
      <c r="AT74" s="52"/>
      <c r="AU74" s="52"/>
      <c r="AV74" s="52"/>
      <c r="AW74" s="52"/>
      <c r="AX74" s="52"/>
      <c r="AY74" s="52"/>
      <c r="AZ74" s="52"/>
      <c r="BA74" s="52"/>
      <c r="BB74" s="52"/>
      <c r="BC74" s="52"/>
      <c r="BD74" s="52"/>
      <c r="BE74" s="71"/>
      <c r="BF74" s="52"/>
      <c r="BG74" s="52"/>
      <c r="BH74" s="52"/>
      <c r="BI74" s="398">
        <v>84</v>
      </c>
      <c r="BJ74" s="52"/>
      <c r="BK74" s="1373"/>
      <c r="BL74" s="1373"/>
      <c r="BM74" s="1373"/>
      <c r="BN74" s="1373"/>
      <c r="BO74" s="1373"/>
      <c r="BP74" s="1373"/>
      <c r="BQ74" s="1373"/>
      <c r="BR74" s="1373"/>
      <c r="BS74" s="1373"/>
      <c r="BT74" s="1373"/>
      <c r="BU74" s="3753"/>
      <c r="BV74" s="1373"/>
      <c r="BW74" s="1373"/>
      <c r="BX74" s="1373"/>
      <c r="BY74" s="1373"/>
      <c r="BZ74" s="1373"/>
      <c r="CA74" s="1373"/>
      <c r="CB74" s="3768"/>
      <c r="CC74" s="398"/>
      <c r="CD74" s="52"/>
      <c r="CE74" s="52"/>
      <c r="CF74" s="52"/>
      <c r="CG74" s="52"/>
      <c r="CH74" s="52"/>
      <c r="CI74" s="52"/>
      <c r="CJ74" s="52"/>
      <c r="CK74" s="52"/>
      <c r="CL74" s="52"/>
      <c r="CM74" s="52"/>
      <c r="CN74" s="52"/>
      <c r="CO74" s="52"/>
      <c r="CP74" s="52"/>
      <c r="CQ74" s="52"/>
      <c r="CR74" s="52"/>
      <c r="CS74" s="71"/>
      <c r="CT74" s="52"/>
      <c r="CU74" s="52"/>
      <c r="CV74" s="52"/>
      <c r="CW74" s="398">
        <v>84</v>
      </c>
      <c r="CX74" s="52"/>
      <c r="CY74" s="1373"/>
      <c r="CZ74" s="1373"/>
      <c r="DA74" s="1373"/>
      <c r="DB74" s="1373"/>
      <c r="DC74" s="1373"/>
      <c r="DD74" s="1373"/>
      <c r="DE74" s="1373"/>
      <c r="DF74" s="1373"/>
      <c r="DG74" s="1373"/>
      <c r="DH74" s="1373"/>
      <c r="DI74" s="1373"/>
      <c r="DJ74" s="3739"/>
      <c r="DK74" s="1373"/>
      <c r="DL74" s="1373"/>
      <c r="DM74" s="1373"/>
      <c r="DN74" s="1373"/>
      <c r="DO74" s="1373"/>
      <c r="DP74" s="3768"/>
      <c r="DQ74" s="398"/>
      <c r="DR74" s="52"/>
      <c r="DS74" s="52"/>
      <c r="DT74" s="52"/>
      <c r="DU74" s="52"/>
      <c r="DV74" s="52"/>
      <c r="DW74" s="52"/>
      <c r="DX74" s="52"/>
      <c r="DY74" s="52"/>
      <c r="DZ74" s="52"/>
      <c r="EA74" s="52"/>
      <c r="EB74" s="52"/>
      <c r="EC74" s="52"/>
      <c r="ED74" s="52"/>
      <c r="EE74" s="52"/>
      <c r="EF74" s="52"/>
      <c r="EG74" s="71"/>
      <c r="EH74" s="52"/>
      <c r="EI74" s="52"/>
      <c r="EJ74" s="52"/>
      <c r="EK74" s="398">
        <v>84</v>
      </c>
      <c r="EL74" s="52"/>
      <c r="EM74" s="1373"/>
      <c r="EN74" s="1373"/>
      <c r="EO74" s="1373"/>
      <c r="EP74" s="1373"/>
      <c r="EQ74" s="1373"/>
      <c r="ER74" s="1373"/>
      <c r="ES74" s="1373"/>
      <c r="ET74" s="1373"/>
      <c r="EU74" s="1373"/>
      <c r="EV74" s="1373"/>
      <c r="EW74" s="1373"/>
      <c r="EX74" s="1373"/>
      <c r="EY74" s="1373"/>
      <c r="EZ74" s="1373"/>
      <c r="FA74" s="1373"/>
      <c r="FB74" s="1373"/>
      <c r="FC74" s="1373"/>
      <c r="FD74" s="1373"/>
      <c r="FE74" s="699"/>
    </row>
    <row r="75" spans="1:161">
      <c r="A75" s="398"/>
      <c r="B75" s="52"/>
      <c r="C75" s="695"/>
      <c r="D75" s="695"/>
      <c r="E75" s="695"/>
      <c r="F75" s="695"/>
      <c r="G75" s="695"/>
      <c r="H75" s="695"/>
      <c r="I75" s="695"/>
      <c r="J75" s="695"/>
      <c r="K75" s="695"/>
      <c r="L75" s="695"/>
      <c r="M75" s="695"/>
      <c r="N75" s="695"/>
      <c r="O75" s="695"/>
      <c r="P75" s="695"/>
      <c r="Q75" s="695"/>
      <c r="R75" s="695"/>
      <c r="S75" s="52"/>
      <c r="T75" s="52"/>
      <c r="U75" s="398">
        <v>130</v>
      </c>
      <c r="V75" s="52"/>
      <c r="W75" s="1373"/>
      <c r="X75" s="1373"/>
      <c r="Y75" s="1373"/>
      <c r="Z75" s="1373"/>
      <c r="AA75" s="1373"/>
      <c r="AB75" s="1373"/>
      <c r="AC75" s="1373"/>
      <c r="AD75" s="1373"/>
      <c r="AE75" s="1373"/>
      <c r="AF75" s="1373"/>
      <c r="AG75" s="1373"/>
      <c r="AH75" s="1373"/>
      <c r="AI75" s="1373"/>
      <c r="AJ75" s="1373"/>
      <c r="AK75" s="1373"/>
      <c r="AL75" s="1373"/>
      <c r="AM75" s="1373"/>
      <c r="AN75" s="3768"/>
      <c r="AO75" s="398"/>
      <c r="AP75" s="52"/>
      <c r="AQ75" s="52"/>
      <c r="AR75" s="52"/>
      <c r="AS75" s="52"/>
      <c r="AT75" s="52"/>
      <c r="AU75" s="52"/>
      <c r="AV75" s="52"/>
      <c r="AW75" s="52"/>
      <c r="AX75" s="52"/>
      <c r="AY75" s="52"/>
      <c r="AZ75" s="52"/>
      <c r="BA75" s="52"/>
      <c r="BB75" s="52"/>
      <c r="BC75" s="52"/>
      <c r="BD75" s="52"/>
      <c r="BE75" s="52"/>
      <c r="BF75" s="52"/>
      <c r="BG75" s="52"/>
      <c r="BH75" s="52"/>
      <c r="BI75" s="398">
        <v>130</v>
      </c>
      <c r="BJ75" s="52"/>
      <c r="BK75" s="1373"/>
      <c r="BL75" s="1373"/>
      <c r="BM75" s="1373"/>
      <c r="BN75" s="1373"/>
      <c r="BO75" s="1373"/>
      <c r="BP75" s="1373"/>
      <c r="BQ75" s="1373"/>
      <c r="BR75" s="1373"/>
      <c r="BS75" s="1373"/>
      <c r="BT75" s="1373"/>
      <c r="BU75" s="1373"/>
      <c r="BV75" s="1373"/>
      <c r="BW75" s="1373"/>
      <c r="BX75" s="1373"/>
      <c r="BY75" s="1373"/>
      <c r="BZ75" s="1373"/>
      <c r="CA75" s="1373"/>
      <c r="CB75" s="3768"/>
      <c r="CC75" s="398"/>
      <c r="CD75" s="52"/>
      <c r="CE75" s="52"/>
      <c r="CF75" s="52"/>
      <c r="CG75" s="52"/>
      <c r="CH75" s="52"/>
      <c r="CI75" s="52"/>
      <c r="CJ75" s="52"/>
      <c r="CK75" s="52"/>
      <c r="CL75" s="52"/>
      <c r="CM75" s="52"/>
      <c r="CN75" s="52"/>
      <c r="CO75" s="52"/>
      <c r="CP75" s="52"/>
      <c r="CQ75" s="52"/>
      <c r="CR75" s="52"/>
      <c r="CS75" s="52"/>
      <c r="CT75" s="52"/>
      <c r="CU75" s="52"/>
      <c r="CV75" s="52"/>
      <c r="CW75" s="398">
        <v>130</v>
      </c>
      <c r="CX75" s="52"/>
      <c r="CY75" s="1373"/>
      <c r="CZ75" s="1373"/>
      <c r="DA75" s="1373"/>
      <c r="DB75" s="1373"/>
      <c r="DC75" s="1373"/>
      <c r="DD75" s="1373"/>
      <c r="DE75" s="1373"/>
      <c r="DF75" s="1373"/>
      <c r="DG75" s="1373"/>
      <c r="DH75" s="1373"/>
      <c r="DI75" s="1373"/>
      <c r="DJ75" s="1373"/>
      <c r="DK75" s="1373"/>
      <c r="DL75" s="1373"/>
      <c r="DM75" s="1373"/>
      <c r="DN75" s="1373"/>
      <c r="DO75" s="1373"/>
      <c r="DP75" s="3768"/>
      <c r="DQ75" s="398"/>
      <c r="DR75" s="52"/>
      <c r="DS75" s="52"/>
      <c r="DT75" s="52"/>
      <c r="DU75" s="52"/>
      <c r="DV75" s="52"/>
      <c r="DW75" s="52"/>
      <c r="DX75" s="52"/>
      <c r="DY75" s="52"/>
      <c r="DZ75" s="52"/>
      <c r="EA75" s="52"/>
      <c r="EB75" s="52"/>
      <c r="EC75" s="52"/>
      <c r="ED75" s="52"/>
      <c r="EE75" s="52"/>
      <c r="EF75" s="52"/>
      <c r="EG75" s="52"/>
      <c r="EH75" s="52"/>
      <c r="EI75" s="52"/>
      <c r="EJ75" s="52"/>
      <c r="EK75" s="398">
        <v>130</v>
      </c>
      <c r="EL75" s="52"/>
      <c r="EM75" s="1373"/>
      <c r="EN75" s="1373"/>
      <c r="EO75" s="1373"/>
      <c r="EP75" s="1373"/>
      <c r="EQ75" s="1373"/>
      <c r="ER75" s="1373"/>
      <c r="ES75" s="1373"/>
      <c r="ET75" s="1373"/>
      <c r="EU75" s="1373"/>
      <c r="EV75" s="1373"/>
      <c r="EW75" s="1373"/>
      <c r="EX75" s="1373"/>
      <c r="EY75" s="1373"/>
      <c r="EZ75" s="1373"/>
      <c r="FA75" s="1373"/>
      <c r="FB75" s="1373"/>
      <c r="FC75" s="1373"/>
      <c r="FD75" s="1373"/>
      <c r="FE75" s="699"/>
    </row>
    <row r="76" spans="1:161">
      <c r="A76" s="398">
        <v>200</v>
      </c>
      <c r="B76" s="52"/>
      <c r="C76" s="695"/>
      <c r="D76" s="695"/>
      <c r="E76" s="695"/>
      <c r="F76" s="695"/>
      <c r="G76" s="695"/>
      <c r="H76" s="695"/>
      <c r="I76" s="695"/>
      <c r="J76" s="695"/>
      <c r="K76" s="695"/>
      <c r="L76" s="695"/>
      <c r="M76" s="695"/>
      <c r="N76" s="695"/>
      <c r="O76" s="695"/>
      <c r="P76" s="695"/>
      <c r="Q76" s="695"/>
      <c r="R76" s="695"/>
      <c r="S76" s="52"/>
      <c r="T76" s="52"/>
      <c r="U76" s="398"/>
      <c r="V76" s="52"/>
      <c r="W76" s="1373"/>
      <c r="X76" s="1373"/>
      <c r="Y76" s="1373"/>
      <c r="Z76" s="1373"/>
      <c r="AA76" s="1373"/>
      <c r="AB76" s="1373"/>
      <c r="AC76" s="1373"/>
      <c r="AD76" s="1373"/>
      <c r="AE76" s="1373"/>
      <c r="AF76" s="1373"/>
      <c r="AG76" s="1373"/>
      <c r="AH76" s="1373"/>
      <c r="AI76" s="1373"/>
      <c r="AJ76" s="1373"/>
      <c r="AK76" s="1373"/>
      <c r="AL76" s="1373"/>
      <c r="AM76" s="1373"/>
      <c r="AN76" s="3768"/>
      <c r="AO76" s="398">
        <v>200</v>
      </c>
      <c r="AP76" s="52"/>
      <c r="AQ76" s="52"/>
      <c r="AR76" s="52"/>
      <c r="AS76" s="52"/>
      <c r="AT76" s="52"/>
      <c r="AU76" s="52"/>
      <c r="AV76" s="52"/>
      <c r="AW76" s="52"/>
      <c r="AX76" s="52"/>
      <c r="AY76" s="52"/>
      <c r="AZ76" s="52"/>
      <c r="BA76" s="52"/>
      <c r="BB76" s="52"/>
      <c r="BC76" s="52"/>
      <c r="BD76" s="52"/>
      <c r="BE76" s="52"/>
      <c r="BF76" s="52"/>
      <c r="BG76" s="52"/>
      <c r="BH76" s="52"/>
      <c r="BI76" s="398"/>
      <c r="BJ76" s="52"/>
      <c r="BK76" s="1373"/>
      <c r="BL76" s="1373"/>
      <c r="BM76" s="1373"/>
      <c r="BN76" s="1373"/>
      <c r="BO76" s="1373"/>
      <c r="BP76" s="1373"/>
      <c r="BQ76" s="1373"/>
      <c r="BR76" s="1373"/>
      <c r="BS76" s="1373"/>
      <c r="BT76" s="1373"/>
      <c r="BU76" s="1373"/>
      <c r="BV76" s="1373"/>
      <c r="BW76" s="1373"/>
      <c r="BX76" s="1373"/>
      <c r="BY76" s="1373"/>
      <c r="BZ76" s="1373"/>
      <c r="CA76" s="1373"/>
      <c r="CB76" s="3768"/>
      <c r="CC76" s="398">
        <v>200</v>
      </c>
      <c r="CD76" s="52"/>
      <c r="CE76" s="52"/>
      <c r="CF76" s="52"/>
      <c r="CG76" s="52"/>
      <c r="CH76" s="52"/>
      <c r="CI76" s="52"/>
      <c r="CJ76" s="52"/>
      <c r="CK76" s="52"/>
      <c r="CL76" s="52"/>
      <c r="CM76" s="52"/>
      <c r="CN76" s="52"/>
      <c r="CO76" s="52"/>
      <c r="CP76" s="3747"/>
      <c r="CQ76" s="52"/>
      <c r="CR76" s="52"/>
      <c r="CS76" s="52"/>
      <c r="CT76" s="52"/>
      <c r="CU76" s="52"/>
      <c r="CV76" s="52"/>
      <c r="CW76" s="398"/>
      <c r="CX76" s="52"/>
      <c r="CY76" s="1373"/>
      <c r="CZ76" s="1373"/>
      <c r="DA76" s="1373"/>
      <c r="DB76" s="1373"/>
      <c r="DC76" s="1373"/>
      <c r="DD76" s="1373"/>
      <c r="DE76" s="1373"/>
      <c r="DF76" s="1373"/>
      <c r="DG76" s="1373"/>
      <c r="DH76" s="1373"/>
      <c r="DI76" s="1373"/>
      <c r="DJ76" s="1373"/>
      <c r="DK76" s="1373"/>
      <c r="DL76" s="1373"/>
      <c r="DM76" s="1373"/>
      <c r="DN76" s="1373"/>
      <c r="DO76" s="1373"/>
      <c r="DP76" s="3768"/>
      <c r="DQ76" s="398">
        <v>200</v>
      </c>
      <c r="DR76" s="52"/>
      <c r="DS76" s="52"/>
      <c r="DT76" s="52"/>
      <c r="DU76" s="52"/>
      <c r="DV76" s="52"/>
      <c r="DW76" s="52"/>
      <c r="DX76" s="52"/>
      <c r="DY76" s="52"/>
      <c r="DZ76" s="52"/>
      <c r="EA76" s="52"/>
      <c r="EB76" s="52"/>
      <c r="EC76" s="52"/>
      <c r="ED76" s="52"/>
      <c r="EE76" s="52"/>
      <c r="EF76" s="52"/>
      <c r="EG76" s="52"/>
      <c r="EH76" s="52"/>
      <c r="EI76" s="52"/>
      <c r="EJ76" s="52"/>
      <c r="EK76" s="398"/>
      <c r="EL76" s="52"/>
      <c r="EM76" s="1373"/>
      <c r="EN76" s="1373"/>
      <c r="EO76" s="1373"/>
      <c r="EP76" s="1373"/>
      <c r="EQ76" s="1373"/>
      <c r="ER76" s="1373"/>
      <c r="ES76" s="1373"/>
      <c r="ET76" s="1373"/>
      <c r="EU76" s="1373"/>
      <c r="EV76" s="1373"/>
      <c r="EW76" s="1373"/>
      <c r="EX76" s="1373"/>
      <c r="EY76" s="1373"/>
      <c r="EZ76" s="1373"/>
      <c r="FA76" s="1373"/>
      <c r="FB76" s="1373"/>
      <c r="FC76" s="1373"/>
      <c r="FD76" s="1373"/>
      <c r="FE76" s="699"/>
    </row>
    <row r="77" spans="1:161">
      <c r="A77" s="398"/>
      <c r="B77" s="52"/>
      <c r="C77" s="695"/>
      <c r="D77" s="695"/>
      <c r="E77" s="695"/>
      <c r="F77" s="695"/>
      <c r="G77" s="695"/>
      <c r="H77" s="695"/>
      <c r="I77" s="695"/>
      <c r="J77" s="695"/>
      <c r="K77" s="695"/>
      <c r="L77" s="695"/>
      <c r="M77" s="695"/>
      <c r="N77" s="695"/>
      <c r="O77" s="695"/>
      <c r="P77" s="695"/>
      <c r="Q77" s="695"/>
      <c r="R77" s="695"/>
      <c r="S77" s="52"/>
      <c r="T77" s="52"/>
      <c r="U77" s="398"/>
      <c r="V77" s="52"/>
      <c r="W77" s="1373"/>
      <c r="X77" s="1373"/>
      <c r="Y77" s="1373"/>
      <c r="Z77" s="1373"/>
      <c r="AA77" s="1373"/>
      <c r="AB77" s="1373"/>
      <c r="AC77" s="1373"/>
      <c r="AD77" s="1373"/>
      <c r="AE77" s="1373"/>
      <c r="AF77" s="1373"/>
      <c r="AG77" s="1373"/>
      <c r="AH77" s="1373"/>
      <c r="AI77" s="1373"/>
      <c r="AJ77" s="1373"/>
      <c r="AK77" s="1373"/>
      <c r="AL77" s="1373"/>
      <c r="AM77" s="1373"/>
      <c r="AN77" s="3768"/>
      <c r="AO77" s="398"/>
      <c r="AP77" s="52"/>
      <c r="AQ77" s="1373"/>
      <c r="AR77" s="1373"/>
      <c r="AS77" s="1373"/>
      <c r="AT77" s="1373"/>
      <c r="AU77" s="1373"/>
      <c r="AV77" s="1373"/>
      <c r="AW77" s="1373"/>
      <c r="AX77" s="1373"/>
      <c r="AY77" s="1373"/>
      <c r="AZ77" s="3738"/>
      <c r="BA77" s="52"/>
      <c r="BB77" s="52"/>
      <c r="BC77" s="52"/>
      <c r="BD77" s="52"/>
      <c r="BE77" s="52"/>
      <c r="BF77" s="52"/>
      <c r="BG77" s="52"/>
      <c r="BH77" s="52"/>
      <c r="BI77" s="398"/>
      <c r="BJ77" s="52"/>
      <c r="BK77" s="1373"/>
      <c r="BL77" s="1373"/>
      <c r="BM77" s="1373"/>
      <c r="BN77" s="1373"/>
      <c r="BO77" s="1373"/>
      <c r="BP77" s="1373"/>
      <c r="BQ77" s="1373"/>
      <c r="BR77" s="1373"/>
      <c r="BS77" s="1373"/>
      <c r="BT77" s="1373"/>
      <c r="BU77" s="1373"/>
      <c r="BV77" s="1373"/>
      <c r="BW77" s="1373"/>
      <c r="BX77" s="1373"/>
      <c r="BY77" s="1373"/>
      <c r="BZ77" s="1373"/>
      <c r="CA77" s="1373"/>
      <c r="CB77" s="3768"/>
      <c r="CC77" s="398"/>
      <c r="CD77" s="52"/>
      <c r="CE77" s="52"/>
      <c r="CF77" s="52"/>
      <c r="CG77" s="52"/>
      <c r="CH77" s="52"/>
      <c r="CI77" s="52"/>
      <c r="CJ77" s="52"/>
      <c r="CK77" s="52"/>
      <c r="CL77" s="52"/>
      <c r="CM77" s="52"/>
      <c r="CN77" s="52"/>
      <c r="CO77" s="52"/>
      <c r="CP77" s="52"/>
      <c r="CQ77" s="52"/>
      <c r="CR77" s="52"/>
      <c r="CS77" s="52"/>
      <c r="CT77" s="52"/>
      <c r="CU77" s="52"/>
      <c r="CV77" s="52"/>
      <c r="CW77" s="398"/>
      <c r="CX77" s="52"/>
      <c r="CY77" s="1373"/>
      <c r="CZ77" s="1373"/>
      <c r="DA77" s="1373"/>
      <c r="DB77" s="1373"/>
      <c r="DC77" s="1373"/>
      <c r="DD77" s="1373"/>
      <c r="DE77" s="1373"/>
      <c r="DF77" s="1373"/>
      <c r="DG77" s="1373"/>
      <c r="DH77" s="1373"/>
      <c r="DI77" s="1373"/>
      <c r="DJ77" s="1373"/>
      <c r="DK77" s="1373"/>
      <c r="DL77" s="1373"/>
      <c r="DM77" s="1373"/>
      <c r="DN77" s="1373"/>
      <c r="DO77" s="1373"/>
      <c r="DP77" s="3768"/>
      <c r="DQ77" s="398"/>
      <c r="DR77" s="52"/>
      <c r="DS77" s="52"/>
      <c r="DT77" s="52"/>
      <c r="DU77" s="52"/>
      <c r="DV77" s="52"/>
      <c r="DW77" s="52"/>
      <c r="DX77" s="52"/>
      <c r="DY77" s="52"/>
      <c r="DZ77" s="52"/>
      <c r="EA77" s="52"/>
      <c r="EB77" s="52"/>
      <c r="EC77" s="52"/>
      <c r="ED77" s="52"/>
      <c r="EE77" s="52"/>
      <c r="EF77" s="52"/>
      <c r="EG77" s="52"/>
      <c r="EH77" s="52"/>
      <c r="EI77" s="52"/>
      <c r="EJ77" s="52"/>
      <c r="EK77" s="398"/>
      <c r="EL77" s="52"/>
      <c r="EM77" s="1373"/>
      <c r="EN77" s="1373"/>
      <c r="EO77" s="1373"/>
      <c r="EP77" s="1373"/>
      <c r="EQ77" s="1373"/>
      <c r="ER77" s="1373"/>
      <c r="ES77" s="1373"/>
      <c r="ET77" s="1373"/>
      <c r="EU77" s="1373"/>
      <c r="EV77" s="1373"/>
      <c r="EW77" s="1373"/>
      <c r="EX77" s="1373"/>
      <c r="EY77" s="1373"/>
      <c r="EZ77" s="1373"/>
      <c r="FA77" s="1373"/>
      <c r="FB77" s="1373"/>
      <c r="FC77" s="1373"/>
      <c r="FD77" s="1373"/>
      <c r="FE77" s="699"/>
    </row>
    <row r="78" spans="1:161">
      <c r="A78" s="398"/>
      <c r="B78" s="52"/>
      <c r="C78" s="695"/>
      <c r="D78" s="695"/>
      <c r="E78" s="695"/>
      <c r="F78" s="695"/>
      <c r="G78" s="695"/>
      <c r="H78" s="695"/>
      <c r="I78" s="695"/>
      <c r="J78" s="695"/>
      <c r="K78" s="695"/>
      <c r="L78" s="695"/>
      <c r="M78" s="695"/>
      <c r="N78" s="695"/>
      <c r="O78" s="695"/>
      <c r="P78" s="695"/>
      <c r="Q78" s="695"/>
      <c r="R78" s="695"/>
      <c r="S78" s="52"/>
      <c r="T78" s="52"/>
      <c r="U78" s="398"/>
      <c r="V78" s="52"/>
      <c r="W78" s="1373"/>
      <c r="X78" s="1373"/>
      <c r="Y78" s="1373"/>
      <c r="Z78" s="1373"/>
      <c r="AA78" s="1373"/>
      <c r="AB78" s="1373"/>
      <c r="AC78" s="1373"/>
      <c r="AD78" s="1373"/>
      <c r="AE78" s="1373"/>
      <c r="AF78" s="1373"/>
      <c r="AG78" s="1373"/>
      <c r="AH78" s="1373"/>
      <c r="AI78" s="1373"/>
      <c r="AJ78" s="1373"/>
      <c r="AK78" s="1373"/>
      <c r="AL78" s="3769"/>
      <c r="AM78" s="1373"/>
      <c r="AN78" s="3768"/>
      <c r="AO78" s="398"/>
      <c r="AP78" s="52"/>
      <c r="AQ78" s="52"/>
      <c r="AR78" s="52"/>
      <c r="AS78" s="52"/>
      <c r="AT78" s="52"/>
      <c r="AU78" s="52"/>
      <c r="AV78" s="52"/>
      <c r="AW78" s="52"/>
      <c r="AX78" s="52"/>
      <c r="AY78" s="52"/>
      <c r="AZ78" s="52"/>
      <c r="BA78" s="52"/>
      <c r="BB78" s="52"/>
      <c r="BC78" s="52"/>
      <c r="BD78" s="52"/>
      <c r="BE78" s="52"/>
      <c r="BF78" s="52"/>
      <c r="BG78" s="52"/>
      <c r="BH78" s="52"/>
      <c r="BI78" s="398"/>
      <c r="BJ78" s="52"/>
      <c r="BK78" s="1373"/>
      <c r="BL78" s="1373"/>
      <c r="BM78" s="1373"/>
      <c r="BN78" s="1373"/>
      <c r="BO78" s="1373"/>
      <c r="BP78" s="1373"/>
      <c r="BQ78" s="1373"/>
      <c r="BR78" s="1373"/>
      <c r="BS78" s="1373"/>
      <c r="BT78" s="1373"/>
      <c r="BU78" s="1373"/>
      <c r="BV78" s="3769"/>
      <c r="BW78" s="1373"/>
      <c r="BX78" s="1373"/>
      <c r="BY78" s="1373"/>
      <c r="BZ78" s="481"/>
      <c r="CA78" s="1373"/>
      <c r="CB78" s="3768"/>
      <c r="CC78" s="398"/>
      <c r="CD78" s="52"/>
      <c r="CE78" s="52"/>
      <c r="CF78" s="52"/>
      <c r="CG78" s="52"/>
      <c r="CH78" s="52"/>
      <c r="CI78" s="52"/>
      <c r="CJ78" s="52"/>
      <c r="CK78" s="52"/>
      <c r="CL78" s="52"/>
      <c r="CM78" s="52"/>
      <c r="CN78" s="52"/>
      <c r="CO78" s="52"/>
      <c r="CP78" s="52"/>
      <c r="CQ78" s="52"/>
      <c r="CR78" s="52"/>
      <c r="CS78" s="52"/>
      <c r="CT78" s="52"/>
      <c r="CU78" s="52"/>
      <c r="CV78" s="52"/>
      <c r="CW78" s="398"/>
      <c r="CX78" s="52"/>
      <c r="CY78" s="1373"/>
      <c r="CZ78" s="1373"/>
      <c r="DA78" s="1373"/>
      <c r="DB78" s="1373"/>
      <c r="DC78" s="1373"/>
      <c r="DD78" s="1373"/>
      <c r="DE78" s="1373"/>
      <c r="DF78" s="1373"/>
      <c r="DG78" s="1373"/>
      <c r="DH78" s="1373"/>
      <c r="DI78" s="1373"/>
      <c r="DJ78" s="1373"/>
      <c r="DK78" s="1373"/>
      <c r="DL78" s="1373"/>
      <c r="DM78" s="1373"/>
      <c r="DN78" s="3769"/>
      <c r="DO78" s="1373"/>
      <c r="DP78" s="3768"/>
      <c r="DQ78" s="398"/>
      <c r="DR78" s="52"/>
      <c r="DS78" s="52"/>
      <c r="DT78" s="52"/>
      <c r="DU78" s="52"/>
      <c r="DV78" s="52"/>
      <c r="DW78" s="52"/>
      <c r="DX78" s="52"/>
      <c r="DY78" s="52"/>
      <c r="DZ78" s="52"/>
      <c r="EA78" s="52"/>
      <c r="EB78" s="52"/>
      <c r="EC78" s="52"/>
      <c r="ED78" s="52"/>
      <c r="EE78" s="52"/>
      <c r="EF78" s="52"/>
      <c r="EG78" s="52"/>
      <c r="EH78" s="52"/>
      <c r="EI78" s="52"/>
      <c r="EJ78" s="52"/>
      <c r="EK78" s="398"/>
      <c r="EL78" s="52"/>
      <c r="EM78" s="1373"/>
      <c r="EN78" s="1373"/>
      <c r="EO78" s="1373"/>
      <c r="EP78" s="1373"/>
      <c r="EQ78" s="1373"/>
      <c r="ER78" s="1373"/>
      <c r="ES78" s="1373"/>
      <c r="ET78" s="1373"/>
      <c r="EU78" s="1373"/>
      <c r="EV78" s="1373"/>
      <c r="EW78" s="1373"/>
      <c r="EX78" s="1373"/>
      <c r="EY78" s="1373"/>
      <c r="EZ78" s="1373"/>
      <c r="FA78" s="1373"/>
      <c r="FB78" s="1373"/>
      <c r="FC78" s="1373"/>
      <c r="FD78" s="1373"/>
      <c r="FE78" s="699"/>
    </row>
    <row r="79" spans="1:161">
      <c r="A79" s="398"/>
      <c r="B79" s="52"/>
      <c r="C79" s="695"/>
      <c r="D79" s="695"/>
      <c r="E79" s="695"/>
      <c r="F79" s="695"/>
      <c r="G79" s="695"/>
      <c r="H79" s="695"/>
      <c r="I79" s="695"/>
      <c r="J79" s="695"/>
      <c r="K79" s="695"/>
      <c r="L79" s="695"/>
      <c r="M79" s="695"/>
      <c r="N79" s="695"/>
      <c r="O79" s="695"/>
      <c r="P79" s="695"/>
      <c r="Q79" s="695"/>
      <c r="R79" s="695"/>
      <c r="S79" s="52"/>
      <c r="T79" s="52"/>
      <c r="U79" s="398"/>
      <c r="V79" s="52"/>
      <c r="W79" s="1373"/>
      <c r="X79" s="1373"/>
      <c r="Y79" s="1373"/>
      <c r="Z79" s="1373"/>
      <c r="AA79" s="1373"/>
      <c r="AB79" s="1373"/>
      <c r="AC79" s="1373"/>
      <c r="AD79" s="1373"/>
      <c r="AE79" s="1373"/>
      <c r="AF79" s="1373"/>
      <c r="AG79" s="1373"/>
      <c r="AH79" s="1373"/>
      <c r="AI79" s="1373"/>
      <c r="AJ79" s="3769"/>
      <c r="AK79" s="481"/>
      <c r="AL79" s="1373"/>
      <c r="AM79" s="1373"/>
      <c r="AN79" s="3768"/>
      <c r="AO79" s="398"/>
      <c r="AP79" s="52"/>
      <c r="AQ79" s="52"/>
      <c r="AR79" s="52"/>
      <c r="AS79" s="52"/>
      <c r="AT79" s="52"/>
      <c r="AU79" s="52"/>
      <c r="AV79" s="52"/>
      <c r="AW79" s="52"/>
      <c r="AX79" s="52"/>
      <c r="AY79" s="52"/>
      <c r="AZ79" s="52"/>
      <c r="BA79" s="52"/>
      <c r="BB79" s="52"/>
      <c r="BC79" s="52"/>
      <c r="BD79" s="52"/>
      <c r="BE79" s="52"/>
      <c r="BF79" s="52"/>
      <c r="BG79" s="52"/>
      <c r="BH79" s="52"/>
      <c r="BI79" s="398"/>
      <c r="BJ79" s="52"/>
      <c r="BK79" s="1373"/>
      <c r="BL79" s="1373"/>
      <c r="BM79" s="1373"/>
      <c r="BN79" s="1373"/>
      <c r="BO79" s="1373"/>
      <c r="BP79" s="1373"/>
      <c r="BQ79" s="1373"/>
      <c r="BR79" s="1373"/>
      <c r="BS79" s="1373"/>
      <c r="BT79" s="1373"/>
      <c r="BU79" s="1373"/>
      <c r="BV79" s="1373"/>
      <c r="BW79" s="1373"/>
      <c r="BX79" s="481"/>
      <c r="BY79" s="481"/>
      <c r="BZ79" s="1373"/>
      <c r="CA79" s="1373"/>
      <c r="CB79" s="3768"/>
      <c r="CC79" s="398"/>
      <c r="CD79" s="52"/>
      <c r="CE79" s="52"/>
      <c r="CF79" s="52"/>
      <c r="CG79" s="52"/>
      <c r="CH79" s="52"/>
      <c r="CI79" s="52"/>
      <c r="CJ79" s="52"/>
      <c r="CK79" s="52"/>
      <c r="CL79" s="52"/>
      <c r="CM79" s="52"/>
      <c r="CN79" s="52"/>
      <c r="CO79" s="52"/>
      <c r="CP79" s="52"/>
      <c r="CQ79" s="52"/>
      <c r="CR79" s="52"/>
      <c r="CS79" s="52"/>
      <c r="CT79" s="52"/>
      <c r="CU79" s="52"/>
      <c r="CV79" s="52"/>
      <c r="CW79" s="398"/>
      <c r="DP79" s="3768">
        <v>623</v>
      </c>
      <c r="DQ79" s="398"/>
      <c r="DR79" s="52"/>
      <c r="DS79" s="52"/>
      <c r="DT79" s="52"/>
      <c r="DU79" s="52"/>
      <c r="DV79" s="52"/>
      <c r="DW79" s="52"/>
      <c r="DX79" s="52"/>
      <c r="DY79" s="52"/>
      <c r="DZ79" s="52"/>
      <c r="EA79" s="52"/>
      <c r="EB79" s="52"/>
      <c r="EC79" s="52"/>
      <c r="ED79" s="52"/>
      <c r="EE79" s="52"/>
      <c r="EF79" s="52"/>
      <c r="EG79" s="52"/>
      <c r="EH79" s="52"/>
      <c r="EI79" s="52"/>
      <c r="EJ79" s="52"/>
      <c r="EK79" s="398"/>
      <c r="EL79" s="52"/>
      <c r="EM79" s="1373"/>
      <c r="EN79" s="1373"/>
      <c r="EO79" s="1373"/>
      <c r="EP79" s="1373"/>
      <c r="EQ79" s="1373"/>
      <c r="ER79" s="1373"/>
      <c r="ES79" s="1373"/>
      <c r="ET79" s="1373"/>
      <c r="EU79" s="1373"/>
      <c r="EV79" s="1373"/>
      <c r="EW79" s="1373"/>
      <c r="EX79" s="1373"/>
      <c r="EY79" s="1373"/>
      <c r="EZ79" s="1373"/>
      <c r="FA79" s="1373"/>
      <c r="FB79" s="3747"/>
      <c r="FC79" s="1373"/>
      <c r="FD79" s="1373"/>
      <c r="FE79" s="699"/>
    </row>
    <row r="80" spans="1:161">
      <c r="A80" s="398">
        <v>1</v>
      </c>
      <c r="B80" s="52"/>
      <c r="C80" s="695"/>
      <c r="D80" s="695"/>
      <c r="E80" s="695"/>
      <c r="F80" s="695"/>
      <c r="G80" s="695"/>
      <c r="H80" s="695"/>
      <c r="I80" s="695"/>
      <c r="J80" s="695"/>
      <c r="K80" s="695"/>
      <c r="L80" s="695"/>
      <c r="M80" s="695"/>
      <c r="N80" s="695"/>
      <c r="O80" s="695"/>
      <c r="P80" s="695"/>
      <c r="Q80" s="695"/>
      <c r="R80" s="695"/>
      <c r="S80" s="52"/>
      <c r="T80" s="52"/>
      <c r="U80" s="398"/>
      <c r="V80" s="52"/>
      <c r="W80" s="1373"/>
      <c r="X80" s="1373"/>
      <c r="Y80" s="1373"/>
      <c r="Z80" s="1373"/>
      <c r="AA80" s="1373"/>
      <c r="AB80" s="1373"/>
      <c r="AC80" s="1373"/>
      <c r="AD80" s="1373"/>
      <c r="AE80" s="1373"/>
      <c r="AF80" s="3743"/>
      <c r="AG80" s="1373"/>
      <c r="AH80" s="1373"/>
      <c r="AI80" s="3769"/>
      <c r="AJ80" s="3748"/>
      <c r="AK80" s="481"/>
      <c r="AL80" s="1373"/>
      <c r="AM80" s="1373"/>
      <c r="AN80" s="3768"/>
      <c r="AO80" s="398">
        <v>1</v>
      </c>
      <c r="AP80" s="52"/>
      <c r="AQ80" s="52"/>
      <c r="AR80" s="52"/>
      <c r="AS80" s="52"/>
      <c r="AT80" s="52"/>
      <c r="AU80" s="52"/>
      <c r="AV80" s="52"/>
      <c r="AW80" s="52"/>
      <c r="AX80" s="52"/>
      <c r="AY80" s="52"/>
      <c r="AZ80" s="52"/>
      <c r="BA80" s="52"/>
      <c r="BB80" s="52"/>
      <c r="BC80" s="52"/>
      <c r="BD80" s="52"/>
      <c r="BE80" s="52"/>
      <c r="BF80" s="52"/>
      <c r="BG80" s="52"/>
      <c r="BH80" s="52"/>
      <c r="BI80" s="398"/>
      <c r="BJ80" s="52"/>
      <c r="BK80" s="1373"/>
      <c r="BL80" s="1373"/>
      <c r="BM80" s="1373"/>
      <c r="BN80" s="1373"/>
      <c r="BO80" s="1373"/>
      <c r="BP80" s="1373"/>
      <c r="BQ80" s="1373"/>
      <c r="BR80" s="1373"/>
      <c r="BS80" s="1373"/>
      <c r="BT80" s="1373"/>
      <c r="BU80" s="1373"/>
      <c r="BV80" s="1373"/>
      <c r="BW80" s="481"/>
      <c r="BX80" s="3748"/>
      <c r="BY80" s="481"/>
      <c r="BZ80" s="1373"/>
      <c r="CA80" s="1373"/>
      <c r="CB80" s="3768"/>
      <c r="CC80" s="398">
        <v>1</v>
      </c>
      <c r="CD80" s="52"/>
      <c r="CE80" s="52"/>
      <c r="CF80" s="52"/>
      <c r="CG80" s="52"/>
      <c r="CH80" s="52"/>
      <c r="CI80" s="52"/>
      <c r="CJ80" s="52"/>
      <c r="CK80" s="52"/>
      <c r="CL80" s="52"/>
      <c r="CM80" s="52"/>
      <c r="CN80" s="52"/>
      <c r="CO80" s="52"/>
      <c r="CP80" s="52"/>
      <c r="CQ80" s="52"/>
      <c r="CR80" s="52"/>
      <c r="CS80" s="52"/>
      <c r="CT80" s="52"/>
      <c r="CU80" s="52"/>
      <c r="CV80" s="52"/>
      <c r="CW80" s="398"/>
      <c r="CX80" s="52"/>
      <c r="CY80" s="1373"/>
      <c r="CZ80" s="1373"/>
      <c r="DA80" s="1373"/>
      <c r="DB80" s="1373"/>
      <c r="DC80" s="1373"/>
      <c r="DD80" s="1373"/>
      <c r="DE80" s="1373"/>
      <c r="DF80" s="1373"/>
      <c r="DG80" s="1373"/>
      <c r="DH80" s="1373"/>
      <c r="DI80" s="1373"/>
      <c r="DJ80" s="1373"/>
      <c r="DK80" s="481"/>
      <c r="DL80" s="3748"/>
      <c r="DM80" s="3769"/>
      <c r="DN80" s="1373"/>
      <c r="DO80" s="1373"/>
      <c r="DP80" s="3768"/>
      <c r="DQ80" s="398">
        <v>1</v>
      </c>
      <c r="DR80" s="52"/>
      <c r="DS80" s="52"/>
      <c r="DT80" s="52"/>
      <c r="DU80" s="52"/>
      <c r="DV80" s="52"/>
      <c r="DW80" s="52"/>
      <c r="DX80" s="52"/>
      <c r="DY80" s="52"/>
      <c r="DZ80" s="52"/>
      <c r="EA80" s="52"/>
      <c r="EB80" s="52"/>
      <c r="EC80" s="52"/>
      <c r="ED80" s="52"/>
      <c r="EE80" s="52"/>
      <c r="EF80" s="52"/>
      <c r="EG80" s="52"/>
      <c r="EH80" s="52"/>
      <c r="EI80" s="52"/>
      <c r="EJ80" s="52"/>
      <c r="EK80" s="398"/>
      <c r="EL80" s="52"/>
      <c r="EM80" s="1373"/>
      <c r="EN80" s="1373"/>
      <c r="EO80" s="1373"/>
      <c r="EP80" s="1373"/>
      <c r="EQ80" s="1373"/>
      <c r="ER80" s="1373"/>
      <c r="ES80" s="1373"/>
      <c r="ET80" s="1373"/>
      <c r="EU80" s="1373"/>
      <c r="EV80" s="1373"/>
      <c r="EW80" s="1373"/>
      <c r="EX80" s="1373"/>
      <c r="EY80" s="1373"/>
      <c r="EZ80" s="3769"/>
      <c r="FA80" s="3747"/>
      <c r="FB80" s="1373"/>
      <c r="FC80" s="1373"/>
      <c r="FD80" s="1373"/>
      <c r="FE80" s="699"/>
    </row>
    <row r="81" spans="1:161">
      <c r="A81" s="52">
        <v>7</v>
      </c>
      <c r="B81" s="52"/>
      <c r="C81" s="52"/>
      <c r="D81" s="52"/>
      <c r="E81" s="52"/>
      <c r="F81" s="52"/>
      <c r="G81" s="52"/>
      <c r="H81" s="52"/>
      <c r="I81" s="52"/>
      <c r="J81" s="52"/>
      <c r="K81" s="52"/>
      <c r="L81" s="52"/>
      <c r="M81" s="52"/>
      <c r="N81" s="52"/>
      <c r="O81" s="52"/>
      <c r="P81" s="52"/>
      <c r="Q81" s="52"/>
      <c r="R81" s="52"/>
      <c r="S81" s="52"/>
      <c r="T81" s="3746"/>
      <c r="U81" s="398"/>
      <c r="V81" s="52"/>
      <c r="W81" s="1373"/>
      <c r="X81" s="1373"/>
      <c r="Y81" s="1373"/>
      <c r="Z81" s="1373"/>
      <c r="AA81" s="1373"/>
      <c r="AB81" s="1373"/>
      <c r="AC81" s="1373"/>
      <c r="AD81" s="1373"/>
      <c r="AE81" s="1373"/>
      <c r="AF81" s="1373"/>
      <c r="AG81" s="1373"/>
      <c r="AH81" s="481"/>
      <c r="AI81" s="3748"/>
      <c r="AJ81" s="481"/>
      <c r="AK81" s="1373"/>
      <c r="AL81" s="1373"/>
      <c r="AM81" s="1373"/>
      <c r="AN81" s="3768"/>
      <c r="AO81" s="52"/>
      <c r="AP81" s="52"/>
      <c r="AQ81" s="52"/>
      <c r="AR81" s="52"/>
      <c r="AS81" s="52"/>
      <c r="AT81" s="52"/>
      <c r="AU81" s="52"/>
      <c r="AV81" s="52"/>
      <c r="AW81" s="52"/>
      <c r="AX81" s="52"/>
      <c r="AY81" s="52"/>
      <c r="AZ81" s="52"/>
      <c r="BA81" s="52"/>
      <c r="BB81" s="3769"/>
      <c r="BC81" s="52"/>
      <c r="BD81" s="52"/>
      <c r="BE81" s="52"/>
      <c r="BF81" s="52"/>
      <c r="BG81" s="52"/>
      <c r="BH81" s="3746"/>
      <c r="BI81" s="398"/>
      <c r="CB81" s="3768">
        <v>561</v>
      </c>
      <c r="CC81" s="52"/>
      <c r="CD81" s="52"/>
      <c r="CE81" s="52"/>
      <c r="CF81" s="52"/>
      <c r="CG81" s="52"/>
      <c r="CH81" s="52"/>
      <c r="CI81" s="52"/>
      <c r="CJ81" s="52"/>
      <c r="CK81" s="52"/>
      <c r="CL81" s="52"/>
      <c r="CM81" s="52"/>
      <c r="CN81" s="52"/>
      <c r="CO81" s="52"/>
      <c r="CP81" s="52"/>
      <c r="CQ81" s="52"/>
      <c r="CR81" s="52"/>
      <c r="CS81" s="52"/>
      <c r="CT81" s="52"/>
      <c r="CU81" s="52"/>
      <c r="CV81" s="3746"/>
      <c r="CW81" s="398"/>
      <c r="CX81" s="52"/>
      <c r="CY81" s="1373"/>
      <c r="CZ81" s="1373"/>
      <c r="DA81" s="1373"/>
      <c r="DB81" s="1373"/>
      <c r="DC81" s="1373"/>
      <c r="DD81" s="1373"/>
      <c r="DE81" s="1373"/>
      <c r="DF81" s="1373"/>
      <c r="DG81" s="1373"/>
      <c r="DH81" s="1373"/>
      <c r="DI81" s="1373"/>
      <c r="DJ81" s="481"/>
      <c r="DK81" s="3748"/>
      <c r="DL81" s="3769"/>
      <c r="DM81" s="1373"/>
      <c r="DN81" s="1373"/>
      <c r="DO81" s="1373"/>
      <c r="DP81" s="3768"/>
      <c r="DQ81" s="52"/>
      <c r="DR81" s="52"/>
      <c r="DS81" s="52"/>
      <c r="DT81" s="52"/>
      <c r="DU81" s="52"/>
      <c r="DV81" s="52"/>
      <c r="DW81" s="52"/>
      <c r="DX81" s="52"/>
      <c r="DY81" s="52"/>
      <c r="DZ81" s="52"/>
      <c r="EA81" s="52"/>
      <c r="EB81" s="52"/>
      <c r="EC81" s="52"/>
      <c r="ED81" s="52"/>
      <c r="EE81" s="52"/>
      <c r="EF81" s="52"/>
      <c r="EG81" s="52"/>
      <c r="EH81" s="52"/>
      <c r="EI81" s="52"/>
      <c r="EJ81" s="3746"/>
      <c r="EK81" s="398"/>
      <c r="EL81" s="52"/>
      <c r="EM81" s="1373"/>
      <c r="EN81" s="1373"/>
      <c r="EO81" s="1373"/>
      <c r="EP81" s="1373"/>
      <c r="EQ81" s="1373"/>
      <c r="ER81" s="1373"/>
      <c r="ES81" s="1373"/>
      <c r="ET81" s="1373"/>
      <c r="EU81" s="1373"/>
      <c r="EV81" s="1373"/>
      <c r="EW81" s="1373"/>
      <c r="EX81" s="1373"/>
      <c r="EY81" s="3769"/>
      <c r="EZ81" s="3748"/>
      <c r="FA81" s="3769"/>
      <c r="FB81" s="1373"/>
      <c r="FC81" s="1373"/>
      <c r="FD81" s="1373"/>
      <c r="FE81" s="699"/>
    </row>
    <row r="82" spans="1:161">
      <c r="A82" s="52"/>
      <c r="B82" s="52"/>
      <c r="C82" s="52"/>
      <c r="D82" s="52"/>
      <c r="E82" s="52"/>
      <c r="F82" s="52"/>
      <c r="G82" s="52"/>
      <c r="H82" s="52"/>
      <c r="I82" s="52"/>
      <c r="J82" s="52"/>
      <c r="K82" s="52"/>
      <c r="L82" s="52"/>
      <c r="M82" s="52"/>
      <c r="N82" s="52"/>
      <c r="O82" s="52"/>
      <c r="P82" s="52"/>
      <c r="Q82" s="52"/>
      <c r="R82" s="52"/>
      <c r="S82" s="52"/>
      <c r="T82" s="3746"/>
      <c r="U82" s="398"/>
      <c r="V82" s="52"/>
      <c r="W82" s="52"/>
      <c r="X82" s="52"/>
      <c r="Y82" s="52"/>
      <c r="Z82" s="52"/>
      <c r="AA82" s="52"/>
      <c r="AB82" s="52"/>
      <c r="AC82" s="52"/>
      <c r="AD82" s="52"/>
      <c r="AE82" s="52"/>
      <c r="AF82" s="52"/>
      <c r="AG82" s="52"/>
      <c r="AH82" s="52"/>
      <c r="AI82" s="481"/>
      <c r="AJ82" s="52"/>
      <c r="AK82" s="52"/>
      <c r="AL82" s="52"/>
      <c r="AM82" s="3746"/>
      <c r="AN82" s="3768"/>
      <c r="AO82" s="52"/>
      <c r="BH82" s="3746">
        <v>531</v>
      </c>
      <c r="BI82" s="398"/>
      <c r="CB82" s="3768">
        <v>562</v>
      </c>
      <c r="CC82" s="695"/>
      <c r="CD82" s="695"/>
      <c r="CE82" s="695"/>
      <c r="CF82" s="695"/>
      <c r="CG82" s="695"/>
      <c r="CH82" s="695"/>
      <c r="CI82" s="695"/>
      <c r="CJ82" s="695"/>
      <c r="CK82" s="695"/>
      <c r="CL82" s="695"/>
      <c r="CM82" s="695"/>
      <c r="CN82" s="695"/>
      <c r="CO82" s="695"/>
      <c r="CP82" s="695"/>
      <c r="CQ82" s="695"/>
      <c r="CR82" s="695"/>
      <c r="CS82" s="695"/>
      <c r="CT82" s="695"/>
      <c r="CU82" s="695"/>
      <c r="CV82" s="3746">
        <v>531</v>
      </c>
      <c r="CW82" s="699"/>
      <c r="CX82" s="93"/>
      <c r="CY82" s="93"/>
      <c r="CZ82" s="93"/>
      <c r="DA82" s="93"/>
      <c r="DB82" s="93"/>
      <c r="DC82" s="93"/>
      <c r="DD82" s="93"/>
      <c r="DE82" s="93"/>
      <c r="DF82" s="93"/>
      <c r="DG82" s="93"/>
      <c r="DH82" s="93"/>
      <c r="DI82" s="93"/>
      <c r="DJ82" s="93"/>
      <c r="DK82" s="93"/>
      <c r="DL82" s="93"/>
      <c r="DM82" s="93"/>
      <c r="DN82" s="93"/>
      <c r="DO82" s="93"/>
      <c r="DP82" s="3768">
        <v>562</v>
      </c>
      <c r="DQ82" s="52"/>
      <c r="DR82" s="695"/>
      <c r="DS82" s="695"/>
      <c r="DT82" s="695"/>
      <c r="DU82" s="695"/>
      <c r="DV82" s="695"/>
      <c r="DW82" s="695"/>
      <c r="DX82" s="695"/>
      <c r="DY82" s="695"/>
      <c r="DZ82" s="695"/>
      <c r="EA82" s="695"/>
      <c r="EB82" s="695"/>
      <c r="EC82" s="695"/>
      <c r="ED82" s="695"/>
      <c r="EE82" s="695"/>
      <c r="EF82" s="695"/>
      <c r="EG82" s="695"/>
      <c r="EH82" s="695"/>
      <c r="EI82" s="695"/>
      <c r="EJ82" s="3746">
        <v>531</v>
      </c>
      <c r="EK82" s="398"/>
      <c r="FD82" s="1373">
        <v>689</v>
      </c>
      <c r="FE82" s="699"/>
    </row>
    <row r="83" spans="1:161">
      <c r="A83" s="52"/>
      <c r="B83" s="52"/>
      <c r="C83" s="52"/>
      <c r="D83" s="52"/>
      <c r="E83" s="52"/>
      <c r="F83" s="52"/>
      <c r="G83" s="52"/>
      <c r="H83" s="52"/>
      <c r="I83" s="52"/>
      <c r="J83" s="52"/>
      <c r="K83" s="52"/>
      <c r="L83" s="52"/>
      <c r="M83" s="52"/>
      <c r="N83" s="52"/>
      <c r="O83" s="3743"/>
      <c r="P83" s="3743"/>
      <c r="Q83" s="52"/>
      <c r="R83" s="52"/>
      <c r="S83" s="3746"/>
      <c r="T83" s="3746"/>
      <c r="U83" s="398"/>
      <c r="V83" s="52"/>
      <c r="W83" s="52"/>
      <c r="X83" s="52"/>
      <c r="Y83" s="52"/>
      <c r="Z83" s="52"/>
      <c r="AA83" s="52"/>
      <c r="AB83" s="52"/>
      <c r="AC83" s="52"/>
      <c r="AD83" s="52"/>
      <c r="AE83" s="52"/>
      <c r="AF83" s="3747"/>
      <c r="AG83" s="3743"/>
      <c r="AH83" s="52"/>
      <c r="AI83" s="52"/>
      <c r="AJ83" s="3743"/>
      <c r="AK83" s="3747"/>
      <c r="AL83" s="52"/>
      <c r="AM83" s="52"/>
      <c r="AN83" s="3768"/>
      <c r="AO83" s="52"/>
      <c r="BH83" s="3746">
        <v>532</v>
      </c>
      <c r="BI83" s="398"/>
      <c r="CB83" s="3768">
        <v>563</v>
      </c>
      <c r="CC83" s="695"/>
      <c r="CD83" s="695"/>
      <c r="CE83" s="695"/>
      <c r="CF83" s="695"/>
      <c r="CG83" s="695"/>
      <c r="CH83" s="695"/>
      <c r="CI83" s="695"/>
      <c r="CJ83" s="695"/>
      <c r="CK83" s="695"/>
      <c r="CL83" s="695"/>
      <c r="CM83" s="695"/>
      <c r="CN83" s="695"/>
      <c r="CO83" s="695"/>
      <c r="CP83" s="695"/>
      <c r="CQ83" s="695"/>
      <c r="CR83" s="695"/>
      <c r="CS83" s="695"/>
      <c r="CT83" s="695"/>
      <c r="CU83" s="695"/>
      <c r="CV83" s="3746">
        <v>532</v>
      </c>
      <c r="CW83" s="699"/>
      <c r="CX83" s="93"/>
      <c r="CY83" s="93"/>
      <c r="CZ83" s="93"/>
      <c r="DA83" s="93"/>
      <c r="DB83" s="93"/>
      <c r="DC83" s="93"/>
      <c r="DD83" s="93"/>
      <c r="DE83" s="93"/>
      <c r="DF83" s="93"/>
      <c r="DG83" s="93"/>
      <c r="DH83" s="93"/>
      <c r="DI83" s="93"/>
      <c r="DJ83" s="93"/>
      <c r="DK83" s="93"/>
      <c r="DL83" s="93"/>
      <c r="DM83" s="93"/>
      <c r="DN83" s="93"/>
      <c r="DO83" s="93"/>
      <c r="DP83" s="3768">
        <v>563</v>
      </c>
      <c r="DQ83" s="52"/>
      <c r="DR83" s="695"/>
      <c r="DS83" s="695"/>
      <c r="DT83" s="695"/>
      <c r="DU83" s="695"/>
      <c r="DV83" s="695"/>
      <c r="DW83" s="695"/>
      <c r="DX83" s="695"/>
      <c r="DY83" s="695"/>
      <c r="DZ83" s="695"/>
      <c r="EA83" s="695"/>
      <c r="EB83" s="695"/>
      <c r="EC83" s="695"/>
      <c r="ED83" s="695"/>
      <c r="EE83" s="695"/>
      <c r="EF83" s="695"/>
      <c r="EG83" s="695"/>
      <c r="EH83" s="695"/>
      <c r="EI83" s="695"/>
      <c r="EJ83" s="3746">
        <v>532</v>
      </c>
      <c r="EK83" s="398"/>
      <c r="FD83" s="3768">
        <v>562</v>
      </c>
      <c r="FE83" s="699"/>
    </row>
    <row r="84" spans="1:161">
      <c r="A84" s="52"/>
      <c r="B84" s="52"/>
      <c r="C84" s="52"/>
      <c r="D84" s="52"/>
      <c r="E84" s="52"/>
      <c r="F84" s="52"/>
      <c r="G84" s="52"/>
      <c r="H84" s="52"/>
      <c r="I84" s="52"/>
      <c r="J84" s="52"/>
      <c r="K84" s="52"/>
      <c r="L84" s="52"/>
      <c r="M84" s="52"/>
      <c r="N84" s="3753"/>
      <c r="O84" s="3748"/>
      <c r="P84" s="3753"/>
      <c r="Q84" s="52"/>
      <c r="R84" s="52"/>
      <c r="S84" s="3746"/>
      <c r="T84" s="3746"/>
      <c r="U84" s="398"/>
      <c r="V84" s="52"/>
      <c r="W84" s="52"/>
      <c r="X84" s="52"/>
      <c r="Y84" s="52"/>
      <c r="Z84" s="52"/>
      <c r="AA84" s="52"/>
      <c r="AB84" s="52"/>
      <c r="AC84" s="52"/>
      <c r="AD84" s="52"/>
      <c r="AE84" s="3769"/>
      <c r="AF84" s="52"/>
      <c r="AG84" s="3753"/>
      <c r="AH84" s="3740"/>
      <c r="AI84" s="3753"/>
      <c r="AJ84" s="481"/>
      <c r="AK84" s="3753"/>
      <c r="AL84" s="52"/>
      <c r="AM84" s="52"/>
      <c r="AN84" s="3768"/>
      <c r="AO84" s="52"/>
      <c r="BH84" s="3746">
        <v>533</v>
      </c>
      <c r="BI84" s="398"/>
      <c r="CB84" s="3768">
        <v>564</v>
      </c>
      <c r="CC84" s="695"/>
      <c r="CD84" s="695"/>
      <c r="CE84" s="695"/>
      <c r="CF84" s="695"/>
      <c r="CG84" s="695"/>
      <c r="CH84" s="695"/>
      <c r="CI84" s="695"/>
      <c r="CJ84" s="695"/>
      <c r="CK84" s="695"/>
      <c r="CL84" s="695"/>
      <c r="CM84" s="695"/>
      <c r="CN84" s="695"/>
      <c r="CO84" s="695"/>
      <c r="CP84" s="695"/>
      <c r="CQ84" s="695"/>
      <c r="CR84" s="695"/>
      <c r="CS84" s="695"/>
      <c r="CT84" s="695"/>
      <c r="CU84" s="695"/>
      <c r="CV84" s="3746">
        <v>533</v>
      </c>
      <c r="CW84" s="699"/>
      <c r="CX84" s="93"/>
      <c r="CY84" s="93"/>
      <c r="CZ84" s="93"/>
      <c r="DA84" s="93"/>
      <c r="DB84" s="93"/>
      <c r="DC84" s="93"/>
      <c r="DD84" s="93"/>
      <c r="DE84" s="93"/>
      <c r="DF84" s="93"/>
      <c r="DG84" s="93"/>
      <c r="DH84" s="93"/>
      <c r="DI84" s="93"/>
      <c r="DJ84" s="93"/>
      <c r="DK84" s="93"/>
      <c r="DL84" s="93"/>
      <c r="DM84" s="93"/>
      <c r="DN84" s="93"/>
      <c r="DO84" s="93"/>
      <c r="DP84" s="3768">
        <v>564</v>
      </c>
      <c r="DQ84" s="52"/>
      <c r="DR84" s="695"/>
      <c r="DS84" s="695"/>
      <c r="DT84" s="695"/>
      <c r="DU84" s="695"/>
      <c r="DV84" s="695"/>
      <c r="DW84" s="695"/>
      <c r="DX84" s="695"/>
      <c r="DY84" s="695"/>
      <c r="DZ84" s="695"/>
      <c r="EA84" s="695"/>
      <c r="EB84" s="695"/>
      <c r="EC84" s="695"/>
      <c r="ED84" s="695"/>
      <c r="EE84" s="695"/>
      <c r="EF84" s="695"/>
      <c r="EG84" s="695"/>
      <c r="EH84" s="695"/>
      <c r="EI84" s="695"/>
      <c r="EJ84" s="3746">
        <v>533</v>
      </c>
      <c r="EK84" s="398"/>
      <c r="FD84" s="3768">
        <v>563</v>
      </c>
      <c r="FE84" s="699"/>
    </row>
    <row r="85" spans="1:161">
      <c r="A85" s="52"/>
      <c r="B85" s="52"/>
      <c r="C85" s="52"/>
      <c r="D85" s="52"/>
      <c r="E85" s="52"/>
      <c r="F85" s="52"/>
      <c r="G85" s="52"/>
      <c r="H85" s="52"/>
      <c r="I85" s="52"/>
      <c r="J85" s="52"/>
      <c r="K85" s="52"/>
      <c r="L85" s="52"/>
      <c r="M85" s="3753"/>
      <c r="N85" s="3743"/>
      <c r="O85" s="3753"/>
      <c r="P85" s="3741"/>
      <c r="Q85" s="52"/>
      <c r="R85" s="52"/>
      <c r="S85" s="3746"/>
      <c r="T85" s="3746"/>
      <c r="U85" s="398"/>
      <c r="V85" s="3746"/>
      <c r="W85" s="52"/>
      <c r="X85" s="52"/>
      <c r="Y85" s="52"/>
      <c r="Z85" s="52"/>
      <c r="AA85" s="52"/>
      <c r="AB85" s="52"/>
      <c r="AC85" s="52"/>
      <c r="AD85" s="3747"/>
      <c r="AE85" s="3743"/>
      <c r="AF85" s="3753"/>
      <c r="AG85" s="3754"/>
      <c r="AH85" s="3753"/>
      <c r="AI85" s="3747"/>
      <c r="AJ85" s="3753"/>
      <c r="AK85" s="3741"/>
      <c r="AL85" s="52"/>
      <c r="AM85" s="52"/>
      <c r="AN85" s="3768"/>
      <c r="AO85" s="52"/>
      <c r="BH85" s="3746">
        <v>534</v>
      </c>
      <c r="BI85" s="398"/>
      <c r="CB85" s="3768">
        <v>565</v>
      </c>
      <c r="CC85" s="695"/>
      <c r="CD85" s="695"/>
      <c r="CE85" s="695"/>
      <c r="CF85" s="695"/>
      <c r="CG85" s="695"/>
      <c r="CH85" s="695"/>
      <c r="CI85" s="695"/>
      <c r="CJ85" s="695"/>
      <c r="CK85" s="695"/>
      <c r="CL85" s="695"/>
      <c r="CM85" s="695"/>
      <c r="CN85" s="695"/>
      <c r="CO85" s="695"/>
      <c r="CP85" s="695"/>
      <c r="CQ85" s="695"/>
      <c r="CR85" s="695"/>
      <c r="CS85" s="695"/>
      <c r="CT85" s="695"/>
      <c r="CU85" s="695"/>
      <c r="CV85" s="3746">
        <v>534</v>
      </c>
      <c r="CW85" s="699"/>
      <c r="CX85" s="93"/>
      <c r="CY85" s="93"/>
      <c r="CZ85" s="93"/>
      <c r="DA85" s="93"/>
      <c r="DB85" s="93"/>
      <c r="DC85" s="93"/>
      <c r="DD85" s="93"/>
      <c r="DE85" s="93"/>
      <c r="DF85" s="93"/>
      <c r="DG85" s="93"/>
      <c r="DH85" s="93"/>
      <c r="DI85" s="93"/>
      <c r="DJ85" s="93"/>
      <c r="DK85" s="93"/>
      <c r="DL85" s="93"/>
      <c r="DM85" s="93"/>
      <c r="DN85" s="93"/>
      <c r="DO85" s="93"/>
      <c r="DP85" s="3768">
        <v>565</v>
      </c>
      <c r="DQ85" s="52"/>
      <c r="DR85" s="695"/>
      <c r="DS85" s="695"/>
      <c r="DT85" s="695"/>
      <c r="DU85" s="695"/>
      <c r="DV85" s="695"/>
      <c r="DW85" s="695"/>
      <c r="DX85" s="695"/>
      <c r="DY85" s="695"/>
      <c r="DZ85" s="695"/>
      <c r="EA85" s="695"/>
      <c r="EB85" s="695"/>
      <c r="EC85" s="695"/>
      <c r="ED85" s="695"/>
      <c r="EE85" s="695"/>
      <c r="EF85" s="695"/>
      <c r="EG85" s="695"/>
      <c r="EH85" s="695"/>
      <c r="EI85" s="695"/>
      <c r="EJ85" s="3746">
        <v>534</v>
      </c>
      <c r="EK85" s="398"/>
      <c r="FD85" s="3768">
        <v>564</v>
      </c>
      <c r="FE85" s="699"/>
    </row>
    <row r="86" spans="1:161">
      <c r="A86" s="52"/>
      <c r="B86" s="3746"/>
      <c r="C86" s="52"/>
      <c r="D86" s="3746"/>
      <c r="E86" s="3746"/>
      <c r="F86" s="52"/>
      <c r="G86" s="52"/>
      <c r="H86" s="52"/>
      <c r="I86" s="52"/>
      <c r="J86" s="52"/>
      <c r="K86" s="3743"/>
      <c r="L86" s="3753"/>
      <c r="M86" s="3743"/>
      <c r="N86" s="3753"/>
      <c r="O86" s="3741"/>
      <c r="P86" s="3740"/>
      <c r="Q86" s="3754"/>
      <c r="R86" s="3741"/>
      <c r="S86" s="3738"/>
      <c r="T86" s="3746"/>
      <c r="U86" s="3749"/>
      <c r="V86" s="52"/>
      <c r="W86" s="3746"/>
      <c r="X86" s="52"/>
      <c r="Y86" s="52"/>
      <c r="Z86" s="52"/>
      <c r="AA86" s="52"/>
      <c r="AB86" s="52"/>
      <c r="AC86" s="3753"/>
      <c r="AD86" s="3743"/>
      <c r="AE86" s="3753"/>
      <c r="AF86" s="3754"/>
      <c r="AG86" s="3753"/>
      <c r="AH86" s="3743"/>
      <c r="AI86" s="3753"/>
      <c r="AJ86" s="3741"/>
      <c r="AK86" s="52"/>
      <c r="AL86" s="52"/>
      <c r="AM86" s="52"/>
      <c r="AN86" s="3768"/>
      <c r="AO86" s="3746"/>
      <c r="BH86" s="3746">
        <v>535</v>
      </c>
      <c r="BI86" s="3749"/>
      <c r="BJ86" s="3739"/>
      <c r="BK86" s="3744"/>
      <c r="BL86" s="3744"/>
      <c r="BM86" s="3744"/>
      <c r="BN86" s="52"/>
      <c r="BO86" s="52"/>
      <c r="BP86" s="52"/>
      <c r="BQ86" s="3753"/>
      <c r="BR86" s="3743"/>
      <c r="BS86" s="3753"/>
      <c r="BT86" s="3754"/>
      <c r="BU86" s="3753"/>
      <c r="BV86" s="3743"/>
      <c r="BW86" s="3753"/>
      <c r="BX86" s="3741"/>
      <c r="BY86" s="52"/>
      <c r="BZ86" s="52"/>
      <c r="CA86" s="52"/>
      <c r="CB86" s="3768"/>
      <c r="CC86" s="695"/>
      <c r="CD86" s="695"/>
      <c r="CE86" s="695"/>
      <c r="CF86" s="695"/>
      <c r="CG86" s="695"/>
      <c r="CH86" s="695"/>
      <c r="CI86" s="695"/>
      <c r="CJ86" s="695"/>
      <c r="CK86" s="695"/>
      <c r="CL86" s="695"/>
      <c r="CM86" s="695"/>
      <c r="CN86" s="695"/>
      <c r="CO86" s="695"/>
      <c r="CP86" s="695"/>
      <c r="CQ86" s="695"/>
      <c r="CR86" s="695"/>
      <c r="CS86" s="695"/>
      <c r="CT86" s="695"/>
      <c r="CU86" s="695"/>
      <c r="CV86" s="3746">
        <v>535</v>
      </c>
      <c r="CW86" s="3749"/>
      <c r="CX86" s="52"/>
      <c r="CY86" s="3746"/>
      <c r="CZ86" s="3744"/>
      <c r="DA86" s="52"/>
      <c r="DB86" s="52"/>
      <c r="DC86" s="52"/>
      <c r="DD86" s="52"/>
      <c r="DE86" s="3753"/>
      <c r="DF86" s="3743"/>
      <c r="DG86" s="3753"/>
      <c r="DH86" s="3754"/>
      <c r="DI86" s="3753"/>
      <c r="DJ86" s="3743"/>
      <c r="DK86" s="3753"/>
      <c r="DL86" s="3741"/>
      <c r="DM86" s="52"/>
      <c r="DN86" s="52"/>
      <c r="DO86" s="52"/>
      <c r="DP86" s="3768"/>
      <c r="DQ86" s="3746"/>
      <c r="DR86" s="695"/>
      <c r="DS86" s="695"/>
      <c r="DT86" s="695"/>
      <c r="DU86" s="695"/>
      <c r="DV86" s="695"/>
      <c r="DW86" s="695"/>
      <c r="DX86" s="695"/>
      <c r="DY86" s="695"/>
      <c r="DZ86" s="695"/>
      <c r="EA86" s="695"/>
      <c r="EB86" s="695"/>
      <c r="EC86" s="695"/>
      <c r="ED86" s="695"/>
      <c r="EE86" s="695"/>
      <c r="EF86" s="695"/>
      <c r="EG86" s="695"/>
      <c r="EH86" s="695"/>
      <c r="EI86" s="695"/>
      <c r="EJ86" s="3746">
        <v>535</v>
      </c>
      <c r="EK86" s="398"/>
      <c r="FD86" s="3768">
        <v>565</v>
      </c>
      <c r="FE86" s="699"/>
    </row>
    <row r="87" spans="1:161">
      <c r="A87" s="3746"/>
      <c r="B87" s="52"/>
      <c r="C87" s="3746"/>
      <c r="D87" s="52"/>
      <c r="E87" s="52"/>
      <c r="F87" s="52"/>
      <c r="G87" s="52"/>
      <c r="H87" s="52"/>
      <c r="I87" s="52"/>
      <c r="J87" s="3743"/>
      <c r="K87" s="3753"/>
      <c r="L87" s="3743"/>
      <c r="M87" s="3753"/>
      <c r="N87" s="3741"/>
      <c r="O87" s="3740"/>
      <c r="P87" s="3740"/>
      <c r="Q87" s="3741"/>
      <c r="R87" s="3738"/>
      <c r="S87" s="3753"/>
      <c r="T87" s="3746"/>
      <c r="U87" s="398"/>
      <c r="V87" s="3746"/>
      <c r="W87" s="52"/>
      <c r="X87" s="52"/>
      <c r="Y87" s="52"/>
      <c r="Z87" s="52"/>
      <c r="AA87" s="52"/>
      <c r="AB87" s="3753"/>
      <c r="AC87" s="3748"/>
      <c r="AD87" s="3753"/>
      <c r="AE87" s="3740"/>
      <c r="AF87" s="3753"/>
      <c r="AG87" s="52"/>
      <c r="AH87" s="3753"/>
      <c r="AI87" s="3754"/>
      <c r="AJ87" s="3740"/>
      <c r="AK87" s="52"/>
      <c r="AL87" s="52"/>
      <c r="AM87" s="52"/>
      <c r="AN87" s="3768"/>
      <c r="AO87" s="52"/>
      <c r="BH87" s="3746">
        <v>536</v>
      </c>
      <c r="BI87" s="398"/>
      <c r="BJ87" s="3746"/>
      <c r="BK87" s="3746"/>
      <c r="BL87" s="52"/>
      <c r="BM87" s="52"/>
      <c r="BN87" s="52"/>
      <c r="BO87" s="52"/>
      <c r="BP87" s="3753"/>
      <c r="BQ87" s="3748"/>
      <c r="BR87" s="3741"/>
      <c r="BS87" s="3740"/>
      <c r="BT87" s="3753"/>
      <c r="BU87" s="52"/>
      <c r="BV87" s="3741"/>
      <c r="BW87" s="3754"/>
      <c r="BX87" s="3740"/>
      <c r="BY87" s="52"/>
      <c r="BZ87" s="52"/>
      <c r="CA87" s="52"/>
      <c r="CB87" s="3768"/>
      <c r="CC87" s="52"/>
      <c r="CD87" s="3746"/>
      <c r="CE87" s="52"/>
      <c r="CF87" s="3744"/>
      <c r="CG87" s="3746"/>
      <c r="CH87" s="52"/>
      <c r="CI87" s="52"/>
      <c r="CJ87" s="52"/>
      <c r="CK87" s="3743"/>
      <c r="CL87" s="3753"/>
      <c r="CM87" s="3748"/>
      <c r="CN87" s="3753"/>
      <c r="CO87" s="3741"/>
      <c r="CP87" s="52"/>
      <c r="CQ87" s="3754"/>
      <c r="CR87" s="3753"/>
      <c r="CS87" s="3738"/>
      <c r="CT87" s="3754"/>
      <c r="CU87" s="3741"/>
      <c r="CV87" s="3746"/>
      <c r="CW87" s="398"/>
      <c r="CX87" s="3746"/>
      <c r="CY87" s="3744"/>
      <c r="CZ87" s="52"/>
      <c r="DA87" s="52"/>
      <c r="DB87" s="52"/>
      <c r="DC87" s="52"/>
      <c r="DD87" s="3753"/>
      <c r="DE87" s="3748"/>
      <c r="DF87" s="3753"/>
      <c r="DG87" s="3740"/>
      <c r="DH87" s="3753"/>
      <c r="DI87" s="52"/>
      <c r="DJ87" s="3753"/>
      <c r="DK87" s="3754"/>
      <c r="DL87" s="3740"/>
      <c r="DM87" s="52"/>
      <c r="DN87" s="52"/>
      <c r="DO87" s="52"/>
      <c r="DP87" s="3768"/>
      <c r="DQ87" s="52"/>
      <c r="DR87" s="3746"/>
      <c r="DS87" s="52"/>
      <c r="DT87" s="3746"/>
      <c r="DU87" s="3744"/>
      <c r="DV87" s="3744"/>
      <c r="DW87" s="3744"/>
      <c r="DX87" s="52"/>
      <c r="DY87" s="3743"/>
      <c r="DZ87" s="3753"/>
      <c r="EA87" s="3748"/>
      <c r="EB87" s="3753"/>
      <c r="EC87" s="3741"/>
      <c r="ED87" s="52"/>
      <c r="EE87" s="3754"/>
      <c r="EF87" s="3753"/>
      <c r="EG87" s="3738"/>
      <c r="EH87" s="3754"/>
      <c r="EI87" s="3741"/>
      <c r="EJ87" s="3746"/>
      <c r="EK87" s="3749"/>
      <c r="FD87" s="3756">
        <v>566</v>
      </c>
      <c r="FE87" s="699"/>
    </row>
    <row r="88" spans="1:161">
      <c r="A88" s="52"/>
      <c r="B88" s="3746"/>
      <c r="C88" s="52"/>
      <c r="D88" s="3746"/>
      <c r="E88" s="3746"/>
      <c r="F88" s="52"/>
      <c r="G88" s="52"/>
      <c r="H88" s="52"/>
      <c r="I88" s="3743"/>
      <c r="J88" s="3753"/>
      <c r="K88" s="3748"/>
      <c r="L88" s="3753"/>
      <c r="M88" s="3741"/>
      <c r="N88" s="52"/>
      <c r="O88" s="3754"/>
      <c r="P88" s="3753"/>
      <c r="Q88" s="3738"/>
      <c r="R88" s="3754"/>
      <c r="S88" s="3741"/>
      <c r="T88" s="3746"/>
      <c r="U88" s="3749"/>
      <c r="V88" s="3746"/>
      <c r="W88" s="3746"/>
      <c r="X88" s="52"/>
      <c r="Y88" s="52"/>
      <c r="Z88" s="52"/>
      <c r="AA88" s="3741"/>
      <c r="AB88" s="3748"/>
      <c r="AC88" s="3753"/>
      <c r="AD88" s="3740"/>
      <c r="AE88" s="3753"/>
      <c r="AF88" s="3743"/>
      <c r="AG88" s="3741"/>
      <c r="AH88" s="3754"/>
      <c r="AI88" s="3740"/>
      <c r="AJ88" s="3741"/>
      <c r="AK88" s="3752"/>
      <c r="AL88" s="52"/>
      <c r="AM88" s="52"/>
      <c r="AN88" s="3768"/>
      <c r="AO88" s="3746"/>
      <c r="AP88" s="3746"/>
      <c r="AQ88" s="3746"/>
      <c r="AR88" s="3744"/>
      <c r="AS88" s="3746"/>
      <c r="AT88" s="52"/>
      <c r="AU88" s="52"/>
      <c r="AV88" s="3743"/>
      <c r="AW88" s="3741"/>
      <c r="AX88" s="3748"/>
      <c r="AY88" s="3753"/>
      <c r="AZ88" s="3741"/>
      <c r="BA88" s="52"/>
      <c r="BB88" s="3738"/>
      <c r="BC88" s="3741"/>
      <c r="BD88" s="3738"/>
      <c r="BE88" s="3750"/>
      <c r="BF88" s="3740"/>
      <c r="BG88" s="52"/>
      <c r="BH88" s="3746"/>
      <c r="BI88" s="3749"/>
      <c r="BJ88" s="3746"/>
      <c r="BK88" s="3746"/>
      <c r="BL88" s="52"/>
      <c r="BM88" s="52"/>
      <c r="BN88" s="52"/>
      <c r="BO88" s="3753"/>
      <c r="BP88" s="3748"/>
      <c r="BQ88" s="3741"/>
      <c r="BR88" s="3740"/>
      <c r="BS88" s="3753"/>
      <c r="BT88" s="3743"/>
      <c r="BU88" s="3741"/>
      <c r="BV88" s="3754"/>
      <c r="BW88" s="3740"/>
      <c r="BX88" s="3741"/>
      <c r="BY88" s="3752"/>
      <c r="BZ88" s="52"/>
      <c r="CA88" s="52"/>
      <c r="CB88" s="3768"/>
      <c r="CC88" s="3746"/>
      <c r="CD88" s="3746"/>
      <c r="CE88" s="3746"/>
      <c r="CF88" s="3746"/>
      <c r="CG88" s="3744"/>
      <c r="CH88" s="3744"/>
      <c r="CI88" s="52"/>
      <c r="CJ88" s="3743"/>
      <c r="CK88" s="3741"/>
      <c r="CL88" s="3748"/>
      <c r="CM88" s="3753"/>
      <c r="CN88" s="3741"/>
      <c r="CO88" s="52"/>
      <c r="CP88" s="3738"/>
      <c r="CQ88" s="3741"/>
      <c r="CR88" s="3738"/>
      <c r="CS88" s="3750"/>
      <c r="CT88" s="3740"/>
      <c r="CU88" s="52"/>
      <c r="CV88" s="3746"/>
      <c r="CW88" s="3749"/>
      <c r="CX88" s="3739"/>
      <c r="CY88" s="3746"/>
      <c r="CZ88" s="52"/>
      <c r="DA88" s="52"/>
      <c r="DB88" s="52"/>
      <c r="DC88" s="3753"/>
      <c r="DD88" s="3748"/>
      <c r="DE88" s="3753"/>
      <c r="DF88" s="3740"/>
      <c r="DG88" s="3753"/>
      <c r="DH88" s="3743"/>
      <c r="DI88" s="3753"/>
      <c r="DJ88" s="3754"/>
      <c r="DK88" s="3740"/>
      <c r="DL88" s="3741"/>
      <c r="DM88" s="3752"/>
      <c r="DN88" s="52"/>
      <c r="DO88" s="52"/>
      <c r="DP88" s="3768"/>
      <c r="DQ88" s="3746"/>
      <c r="EJ88" s="3746">
        <v>537</v>
      </c>
      <c r="EK88" s="398"/>
      <c r="FD88" s="3756">
        <v>567</v>
      </c>
      <c r="FE88" s="699"/>
    </row>
    <row r="89" spans="1:161">
      <c r="A89" s="3746"/>
      <c r="B89" s="3746"/>
      <c r="C89" s="3746"/>
      <c r="D89" s="3746"/>
      <c r="E89" s="3746"/>
      <c r="F89" s="52"/>
      <c r="G89" s="52"/>
      <c r="H89" s="3743"/>
      <c r="I89" s="3753"/>
      <c r="J89" s="3748"/>
      <c r="K89" s="3753"/>
      <c r="L89" s="3741"/>
      <c r="M89" s="52"/>
      <c r="N89" s="3738"/>
      <c r="O89" s="3741"/>
      <c r="P89" s="3738"/>
      <c r="Q89" s="3750"/>
      <c r="R89" s="3740"/>
      <c r="S89" s="52"/>
      <c r="T89" s="52"/>
      <c r="U89" s="3749"/>
      <c r="V89" s="52"/>
      <c r="W89" s="3746"/>
      <c r="X89" s="52"/>
      <c r="Y89" s="52"/>
      <c r="Z89" s="3741"/>
      <c r="AA89" s="3748"/>
      <c r="AB89" s="3753"/>
      <c r="AC89" s="3740"/>
      <c r="AD89" s="3753"/>
      <c r="AE89" s="52"/>
      <c r="AF89" s="3741"/>
      <c r="AG89" s="3750"/>
      <c r="AH89" s="3754"/>
      <c r="AI89" s="3741"/>
      <c r="AJ89" s="3744"/>
      <c r="AK89" s="3750"/>
      <c r="AL89" s="52"/>
      <c r="AM89" s="52"/>
      <c r="AN89" s="3768"/>
      <c r="AO89" s="3746"/>
      <c r="AP89" s="52"/>
      <c r="AQ89" s="3744"/>
      <c r="AR89" s="52"/>
      <c r="AS89" s="52"/>
      <c r="AT89" s="52"/>
      <c r="AU89" s="3743"/>
      <c r="AV89" s="3741"/>
      <c r="AW89" s="3748"/>
      <c r="AX89" s="3753"/>
      <c r="AY89" s="3754"/>
      <c r="AZ89" s="52"/>
      <c r="BA89" s="3738"/>
      <c r="BB89" s="3741"/>
      <c r="BC89" s="3753"/>
      <c r="BD89" s="3750"/>
      <c r="BE89" s="3740"/>
      <c r="BF89" s="52"/>
      <c r="BG89" s="52"/>
      <c r="BH89" s="52"/>
      <c r="BI89" s="3749"/>
      <c r="BJ89" s="52"/>
      <c r="BK89" s="3746"/>
      <c r="BL89" s="52"/>
      <c r="BM89" s="52"/>
      <c r="BN89" s="3753"/>
      <c r="BO89" s="3748"/>
      <c r="BP89" s="3741"/>
      <c r="BQ89" s="3740"/>
      <c r="BR89" s="3753"/>
      <c r="BS89" s="3743"/>
      <c r="BT89" s="3741"/>
      <c r="BU89" s="3750"/>
      <c r="BV89" s="3754"/>
      <c r="BW89" s="3741"/>
      <c r="BX89" s="3744"/>
      <c r="BY89" s="3750"/>
      <c r="BZ89" s="52"/>
      <c r="CA89" s="52"/>
      <c r="CB89" s="3768"/>
      <c r="CC89" s="695"/>
      <c r="CD89" s="695"/>
      <c r="CE89" s="695"/>
      <c r="CF89" s="695"/>
      <c r="CG89" s="695"/>
      <c r="CH89" s="695"/>
      <c r="CI89" s="695"/>
      <c r="CJ89" s="695"/>
      <c r="CK89" s="695"/>
      <c r="CL89" s="695"/>
      <c r="CM89" s="695"/>
      <c r="CN89" s="695"/>
      <c r="CO89" s="695"/>
      <c r="CP89" s="695"/>
      <c r="CQ89" s="695"/>
      <c r="CR89" s="695"/>
      <c r="CS89" s="695"/>
      <c r="CT89" s="695"/>
      <c r="CU89" s="695"/>
      <c r="CV89" s="52">
        <v>538</v>
      </c>
      <c r="CW89" s="3749"/>
      <c r="DP89" s="3768">
        <v>569</v>
      </c>
      <c r="DQ89" s="3739"/>
      <c r="DR89" s="3744"/>
      <c r="DS89" s="3744"/>
      <c r="DT89" s="52"/>
      <c r="DU89" s="52"/>
      <c r="DV89" s="52"/>
      <c r="DW89" s="3743"/>
      <c r="DX89" s="3741"/>
      <c r="DY89" s="3748"/>
      <c r="DZ89" s="3753"/>
      <c r="EA89" s="3754"/>
      <c r="EB89" s="52"/>
      <c r="EC89" s="3738"/>
      <c r="ED89" s="3741"/>
      <c r="EE89" s="3738"/>
      <c r="EF89" s="3750"/>
      <c r="EG89" s="3740"/>
      <c r="EH89" s="52"/>
      <c r="EI89" s="52"/>
      <c r="EJ89" s="52"/>
      <c r="EK89" s="3749"/>
      <c r="FD89" s="3756">
        <v>568</v>
      </c>
      <c r="FE89" s="699"/>
    </row>
    <row r="90" spans="1:161">
      <c r="A90" s="3746"/>
      <c r="B90" s="52"/>
      <c r="C90" s="3746"/>
      <c r="D90" s="52"/>
      <c r="E90" s="52"/>
      <c r="F90" s="52"/>
      <c r="G90" s="3743"/>
      <c r="H90" s="3741"/>
      <c r="I90" s="3748"/>
      <c r="J90" s="3753"/>
      <c r="K90" s="3754"/>
      <c r="L90" s="52"/>
      <c r="M90" s="3738"/>
      <c r="N90" s="3741"/>
      <c r="O90" s="3738"/>
      <c r="P90" s="3750"/>
      <c r="Q90" s="3740"/>
      <c r="R90" s="52"/>
      <c r="S90" s="52"/>
      <c r="T90" s="52"/>
      <c r="U90" s="3749"/>
      <c r="V90" s="3746"/>
      <c r="W90" s="52"/>
      <c r="X90" s="52"/>
      <c r="Y90" s="3741"/>
      <c r="Z90" s="3748"/>
      <c r="AA90" s="3741"/>
      <c r="AB90" s="3754"/>
      <c r="AC90" s="3753"/>
      <c r="AD90" s="3743"/>
      <c r="AE90" s="3741"/>
      <c r="AF90" s="3750"/>
      <c r="AG90" s="52"/>
      <c r="AH90" s="3741"/>
      <c r="AI90" s="3738"/>
      <c r="AJ90" s="3750"/>
      <c r="AK90" s="3754"/>
      <c r="AL90" s="52"/>
      <c r="AM90" s="52"/>
      <c r="AN90" s="3768"/>
      <c r="AO90" s="3746"/>
      <c r="AP90" s="3739"/>
      <c r="AQ90" s="52"/>
      <c r="AR90" s="3746"/>
      <c r="AS90" s="52"/>
      <c r="AT90" s="3743"/>
      <c r="AU90" s="3741"/>
      <c r="AV90" s="3748"/>
      <c r="AW90" s="3753"/>
      <c r="AX90" s="3754"/>
      <c r="AY90" s="52"/>
      <c r="AZ90" s="3738"/>
      <c r="BA90" s="3741"/>
      <c r="BB90" s="3753"/>
      <c r="BC90" s="3750"/>
      <c r="BD90" s="3750"/>
      <c r="BE90" s="3741"/>
      <c r="BF90" s="52"/>
      <c r="BG90" s="52"/>
      <c r="BH90" s="52"/>
      <c r="BI90" s="3749"/>
      <c r="CB90" s="3768">
        <v>570</v>
      </c>
      <c r="CC90" s="3746"/>
      <c r="CD90" s="3746"/>
      <c r="CE90" s="3744"/>
      <c r="CF90" s="3746"/>
      <c r="CG90" s="52"/>
      <c r="CH90" s="3743"/>
      <c r="CI90" s="3741"/>
      <c r="CJ90" s="3748"/>
      <c r="CK90" s="3753"/>
      <c r="CL90" s="3754"/>
      <c r="CM90" s="52"/>
      <c r="CN90" s="3738"/>
      <c r="CO90" s="3741"/>
      <c r="CP90" s="3743"/>
      <c r="CQ90" s="3750"/>
      <c r="CR90" s="3741"/>
      <c r="CS90" s="3753"/>
      <c r="CT90" s="52"/>
      <c r="CU90" s="52"/>
      <c r="CV90" s="52"/>
      <c r="CW90" s="3749"/>
      <c r="DP90" s="3768">
        <v>570</v>
      </c>
      <c r="EJ90" s="52">
        <v>539</v>
      </c>
      <c r="EK90" s="3749"/>
      <c r="FD90" s="3756">
        <v>569</v>
      </c>
      <c r="FE90" s="699"/>
    </row>
    <row r="91" spans="1:161">
      <c r="A91" s="3746"/>
      <c r="B91" s="3746"/>
      <c r="C91" s="52"/>
      <c r="D91" s="3746"/>
      <c r="E91" s="52"/>
      <c r="F91" s="3743"/>
      <c r="G91" s="3741"/>
      <c r="H91" s="3748"/>
      <c r="I91" s="3753"/>
      <c r="J91" s="3754"/>
      <c r="K91" s="52"/>
      <c r="L91" s="3738"/>
      <c r="M91" s="3741"/>
      <c r="N91" s="3743"/>
      <c r="O91" s="3750"/>
      <c r="P91" s="3741"/>
      <c r="Q91" s="3754"/>
      <c r="R91" s="52"/>
      <c r="S91" s="52"/>
      <c r="T91" s="52"/>
      <c r="U91" s="3749"/>
      <c r="V91" s="3746"/>
      <c r="W91" s="3744"/>
      <c r="X91" s="3740"/>
      <c r="Y91" s="3743"/>
      <c r="Z91" s="3741"/>
      <c r="AA91" s="3740"/>
      <c r="AB91" s="3753"/>
      <c r="AC91" s="52"/>
      <c r="AD91" s="3741"/>
      <c r="AE91" s="3750"/>
      <c r="AF91" s="52"/>
      <c r="AG91" s="3741"/>
      <c r="AH91" s="3738"/>
      <c r="AI91" s="3770"/>
      <c r="AJ91" s="3754"/>
      <c r="AK91" s="52"/>
      <c r="AL91" s="52"/>
      <c r="AM91" s="52"/>
      <c r="AN91" s="3768"/>
      <c r="AO91" s="3746"/>
      <c r="BH91" s="52">
        <v>540</v>
      </c>
      <c r="BI91" s="699"/>
      <c r="CB91" s="3768">
        <v>571</v>
      </c>
      <c r="CC91" s="3746"/>
      <c r="CD91" s="3744"/>
      <c r="CE91" s="3746"/>
      <c r="CF91" s="3740"/>
      <c r="CG91" s="3743"/>
      <c r="CH91" s="3741"/>
      <c r="CI91" s="3743"/>
      <c r="CJ91" s="3753"/>
      <c r="CK91" s="3754"/>
      <c r="CL91" s="52"/>
      <c r="CM91" s="3738"/>
      <c r="CN91" s="3741"/>
      <c r="CO91" s="3743"/>
      <c r="CP91" s="3770"/>
      <c r="CQ91" s="3741"/>
      <c r="CR91" s="3753"/>
      <c r="CS91" s="52"/>
      <c r="CT91" s="52"/>
      <c r="CU91" s="52"/>
      <c r="CV91" s="52"/>
      <c r="CW91" s="3749"/>
      <c r="CX91" s="3746"/>
      <c r="CY91" s="3746"/>
      <c r="CZ91" s="3740"/>
      <c r="DA91" s="3743"/>
      <c r="DB91" s="3741"/>
      <c r="DC91" s="3740"/>
      <c r="DD91" s="3753"/>
      <c r="DE91" s="52"/>
      <c r="DF91" s="3741"/>
      <c r="DG91" s="3750"/>
      <c r="DH91" s="52"/>
      <c r="DI91" s="3741"/>
      <c r="DJ91" s="3738"/>
      <c r="DK91" s="3770"/>
      <c r="DL91" s="3754"/>
      <c r="DM91" s="52"/>
      <c r="DN91" s="52"/>
      <c r="DO91" s="52"/>
      <c r="DP91" s="3768"/>
      <c r="EJ91" s="52">
        <v>540</v>
      </c>
      <c r="EK91" s="3749"/>
      <c r="EL91" s="3739"/>
      <c r="EM91" s="3744"/>
      <c r="EN91" s="3744"/>
      <c r="EO91" s="3741"/>
      <c r="EP91" s="3743"/>
      <c r="EQ91" s="3753"/>
      <c r="ER91" s="3754"/>
      <c r="ES91" s="3753"/>
      <c r="ET91" s="3743"/>
      <c r="EU91" s="3741"/>
      <c r="EV91" s="3750"/>
      <c r="EW91" s="52"/>
      <c r="EX91" s="3741"/>
      <c r="EY91" s="3738"/>
      <c r="EZ91" s="3750"/>
      <c r="FA91" s="3754"/>
      <c r="FB91" s="52"/>
      <c r="FC91" s="52"/>
      <c r="FD91" s="1373"/>
      <c r="FE91" s="699"/>
    </row>
    <row r="92" spans="1:161">
      <c r="A92" s="3746"/>
      <c r="B92" s="3746"/>
      <c r="C92" s="3746"/>
      <c r="D92" s="3740"/>
      <c r="E92" s="3743"/>
      <c r="F92" s="3741"/>
      <c r="G92" s="3743"/>
      <c r="H92" s="3753"/>
      <c r="I92" s="3754"/>
      <c r="J92" s="52"/>
      <c r="K92" s="3738"/>
      <c r="L92" s="3741"/>
      <c r="M92" s="3743"/>
      <c r="N92" s="3770"/>
      <c r="O92" s="3741"/>
      <c r="P92" s="3771"/>
      <c r="Q92" s="52"/>
      <c r="R92" s="52"/>
      <c r="S92" s="52"/>
      <c r="T92" s="52"/>
      <c r="U92" s="3749"/>
      <c r="V92" s="3744"/>
      <c r="W92" s="3740"/>
      <c r="X92" s="3770"/>
      <c r="Y92" s="3754"/>
      <c r="Z92" s="3754"/>
      <c r="AA92" s="3754"/>
      <c r="AB92" s="3740"/>
      <c r="AC92" s="3741"/>
      <c r="AD92" s="3754"/>
      <c r="AE92" s="52"/>
      <c r="AF92" s="3741"/>
      <c r="AG92" s="3753"/>
      <c r="AH92" s="3770"/>
      <c r="AI92" s="3754"/>
      <c r="AJ92" s="52"/>
      <c r="AK92" s="52"/>
      <c r="AL92" s="52"/>
      <c r="AM92" s="52"/>
      <c r="AN92" s="3768"/>
      <c r="AO92" s="3746"/>
      <c r="AP92" s="3746"/>
      <c r="AQ92" s="3740"/>
      <c r="AR92" s="3770"/>
      <c r="AS92" s="3750"/>
      <c r="AT92" s="3750"/>
      <c r="AU92" s="3754"/>
      <c r="AV92" s="3740"/>
      <c r="AW92" s="52"/>
      <c r="AX92" s="3738"/>
      <c r="AY92" s="3741"/>
      <c r="AZ92" s="3743"/>
      <c r="BA92" s="3770"/>
      <c r="BB92" s="3750"/>
      <c r="BC92" s="3740"/>
      <c r="BD92" s="52"/>
      <c r="BE92" s="52"/>
      <c r="BF92" s="52"/>
      <c r="BG92" s="52"/>
      <c r="BH92" s="52"/>
      <c r="BI92" s="699"/>
      <c r="CB92" s="3768">
        <v>572</v>
      </c>
      <c r="CC92" s="3739"/>
      <c r="CD92" s="3746"/>
      <c r="CE92" s="3740"/>
      <c r="CF92" s="3772"/>
      <c r="CG92" s="3750"/>
      <c r="CH92" s="3750"/>
      <c r="CI92" s="3754"/>
      <c r="CJ92" s="3740"/>
      <c r="CK92" s="52"/>
      <c r="CL92" s="3738"/>
      <c r="CM92" s="3741"/>
      <c r="CN92" s="3743"/>
      <c r="CO92" s="3770"/>
      <c r="CP92" s="3750"/>
      <c r="CQ92" s="3753"/>
      <c r="CR92" s="52"/>
      <c r="CS92" s="52"/>
      <c r="CT92" s="52"/>
      <c r="CU92" s="52"/>
      <c r="CV92" s="52"/>
      <c r="CW92" s="3749"/>
      <c r="CX92" s="3746"/>
      <c r="CY92" s="3740"/>
      <c r="CZ92" s="3770"/>
      <c r="DA92" s="3754"/>
      <c r="DB92" s="3754"/>
      <c r="DC92" s="3754"/>
      <c r="DD92" s="3740"/>
      <c r="DE92" s="3741"/>
      <c r="DF92" s="3754"/>
      <c r="DG92" s="52"/>
      <c r="DH92" s="3741"/>
      <c r="DI92" s="3753"/>
      <c r="DJ92" s="3770"/>
      <c r="DK92" s="3754"/>
      <c r="DL92" s="52"/>
      <c r="DM92" s="52"/>
      <c r="DN92" s="52"/>
      <c r="DO92" s="52"/>
      <c r="DP92" s="3768"/>
      <c r="EJ92" s="52">
        <v>541</v>
      </c>
      <c r="EK92" s="699"/>
      <c r="FD92" s="3746">
        <v>699</v>
      </c>
      <c r="FE92" s="699"/>
    </row>
    <row r="93" spans="1:161">
      <c r="A93" s="3746"/>
      <c r="B93" s="3746"/>
      <c r="C93" s="3740"/>
      <c r="D93" s="3772"/>
      <c r="E93" s="3750"/>
      <c r="F93" s="3750"/>
      <c r="G93" s="3754"/>
      <c r="H93" s="3740"/>
      <c r="I93" s="52"/>
      <c r="J93" s="3738"/>
      <c r="K93" s="3741"/>
      <c r="L93" s="3743"/>
      <c r="M93" s="3770"/>
      <c r="N93" s="3750"/>
      <c r="O93" s="3754"/>
      <c r="P93" s="52"/>
      <c r="Q93" s="52"/>
      <c r="R93" s="52"/>
      <c r="S93" s="52"/>
      <c r="T93" s="52"/>
      <c r="U93" s="3739"/>
      <c r="V93" s="3740"/>
      <c r="W93" s="3770"/>
      <c r="X93" s="3750"/>
      <c r="Y93" s="3750"/>
      <c r="Z93" s="3770"/>
      <c r="AA93" s="3750"/>
      <c r="AB93" s="3754"/>
      <c r="AC93" s="3740"/>
      <c r="AD93" s="3754"/>
      <c r="AE93" s="3754"/>
      <c r="AF93" s="3753"/>
      <c r="AG93" s="3750"/>
      <c r="AH93" s="3754"/>
      <c r="AI93" s="52"/>
      <c r="AJ93" s="52"/>
      <c r="AK93" s="52"/>
      <c r="AL93" s="52"/>
      <c r="AM93" s="52"/>
      <c r="AN93" s="3768"/>
      <c r="AO93" s="3746"/>
      <c r="AP93" s="3740"/>
      <c r="AQ93" s="3770"/>
      <c r="AR93" s="3750"/>
      <c r="AS93" s="3750"/>
      <c r="AT93" s="3770"/>
      <c r="AU93" s="3750"/>
      <c r="AV93" s="3750"/>
      <c r="AW93" s="3740"/>
      <c r="AX93" s="3754"/>
      <c r="AY93" s="3754"/>
      <c r="AZ93" s="3770"/>
      <c r="BA93" s="3750"/>
      <c r="BB93" s="3753"/>
      <c r="BC93" s="3740"/>
      <c r="BD93" s="52"/>
      <c r="BE93" s="52"/>
      <c r="BF93" s="52"/>
      <c r="BG93" s="52"/>
      <c r="BH93" s="52"/>
      <c r="BI93" s="699"/>
      <c r="CB93" s="3768">
        <v>573</v>
      </c>
      <c r="CC93" s="695"/>
      <c r="CD93" s="695"/>
      <c r="CE93" s="695"/>
      <c r="CF93" s="695"/>
      <c r="CG93" s="695"/>
      <c r="CH93" s="695"/>
      <c r="CI93" s="695"/>
      <c r="CJ93" s="695"/>
      <c r="CK93" s="695"/>
      <c r="CL93" s="695"/>
      <c r="CM93" s="695"/>
      <c r="CN93" s="695"/>
      <c r="CO93" s="695"/>
      <c r="CP93" s="695"/>
      <c r="CQ93" s="695"/>
      <c r="CR93" s="695"/>
      <c r="CS93" s="695"/>
      <c r="CT93" s="695"/>
      <c r="CU93" s="695"/>
      <c r="CV93" s="52">
        <v>542</v>
      </c>
      <c r="CW93" s="3749"/>
      <c r="CX93" s="3740"/>
      <c r="CY93" s="3770"/>
      <c r="CZ93" s="3750"/>
      <c r="DA93" s="3750"/>
      <c r="DB93" s="3770"/>
      <c r="DC93" s="3750"/>
      <c r="DD93" s="3754"/>
      <c r="DE93" s="3740"/>
      <c r="DF93" s="3754"/>
      <c r="DG93" s="3754"/>
      <c r="DH93" s="3753"/>
      <c r="DI93" s="3750"/>
      <c r="DJ93" s="3754"/>
      <c r="DK93" s="52"/>
      <c r="DL93" s="52"/>
      <c r="DM93" s="52"/>
      <c r="DN93" s="52"/>
      <c r="DO93" s="52"/>
      <c r="DP93" s="3768"/>
      <c r="EJ93" s="52">
        <v>542</v>
      </c>
      <c r="EK93" s="699"/>
      <c r="FD93" s="3746">
        <v>700</v>
      </c>
      <c r="FE93" s="699"/>
    </row>
    <row r="94" spans="1:161">
      <c r="A94" s="3746"/>
      <c r="B94" s="3740"/>
      <c r="C94" s="3772"/>
      <c r="D94" s="3750"/>
      <c r="E94" s="3750"/>
      <c r="F94" s="3770"/>
      <c r="G94" s="3750"/>
      <c r="H94" s="3750"/>
      <c r="I94" s="3740"/>
      <c r="J94" s="3754"/>
      <c r="K94" s="3754"/>
      <c r="L94" s="3770"/>
      <c r="M94" s="3750"/>
      <c r="N94" s="3741"/>
      <c r="O94" s="52"/>
      <c r="P94" s="52"/>
      <c r="Q94" s="52"/>
      <c r="R94" s="52"/>
      <c r="S94" s="52"/>
      <c r="T94" s="52"/>
      <c r="U94" s="3773"/>
      <c r="V94" s="3754"/>
      <c r="W94" s="3750"/>
      <c r="X94" s="3750"/>
      <c r="Y94" s="3770"/>
      <c r="Z94" s="3750"/>
      <c r="AA94" s="3754"/>
      <c r="AB94" s="3740"/>
      <c r="AC94" s="3745"/>
      <c r="AD94" s="3744"/>
      <c r="AE94" s="3742"/>
      <c r="AF94" s="3740"/>
      <c r="AG94" s="3750"/>
      <c r="AH94" s="3754"/>
      <c r="AI94" s="52"/>
      <c r="AJ94" s="52"/>
      <c r="AK94" s="52"/>
      <c r="AL94" s="52"/>
      <c r="AM94" s="52"/>
      <c r="AN94" s="3768"/>
      <c r="AO94" s="3740"/>
      <c r="AP94" s="3754"/>
      <c r="AQ94" s="3750"/>
      <c r="AR94" s="3750"/>
      <c r="AS94" s="3750"/>
      <c r="AT94" s="3750"/>
      <c r="AU94" s="3750"/>
      <c r="AV94" s="3740"/>
      <c r="AW94" s="3745"/>
      <c r="AX94" s="3742"/>
      <c r="AY94" s="3739"/>
      <c r="AZ94" s="3742"/>
      <c r="BA94" s="3753"/>
      <c r="BB94" s="3754"/>
      <c r="BC94" s="52"/>
      <c r="BD94" s="52"/>
      <c r="BE94" s="52"/>
      <c r="BF94" s="52"/>
      <c r="BG94" s="52"/>
      <c r="BH94" s="52"/>
      <c r="BI94" s="699"/>
      <c r="CB94" s="3768">
        <v>574</v>
      </c>
      <c r="CC94" s="695"/>
      <c r="CD94" s="695"/>
      <c r="CE94" s="695"/>
      <c r="CF94" s="695"/>
      <c r="CG94" s="695"/>
      <c r="CH94" s="695"/>
      <c r="CI94" s="695"/>
      <c r="CJ94" s="695"/>
      <c r="CK94" s="695"/>
      <c r="CL94" s="695"/>
      <c r="CM94" s="695"/>
      <c r="CN94" s="695"/>
      <c r="CO94" s="695"/>
      <c r="CP94" s="695"/>
      <c r="CQ94" s="695"/>
      <c r="CR94" s="695"/>
      <c r="CS94" s="695"/>
      <c r="CT94" s="695"/>
      <c r="CU94" s="695"/>
      <c r="CV94" s="52">
        <v>543</v>
      </c>
      <c r="CW94" s="699"/>
      <c r="CX94" s="93"/>
      <c r="CY94" s="93"/>
      <c r="CZ94" s="93"/>
      <c r="DA94" s="93"/>
      <c r="DB94" s="93"/>
      <c r="DC94" s="93"/>
      <c r="DD94" s="93"/>
      <c r="DE94" s="93"/>
      <c r="DF94" s="93"/>
      <c r="DG94" s="93"/>
      <c r="DH94" s="93"/>
      <c r="DI94" s="93"/>
      <c r="DJ94" s="93"/>
      <c r="DK94" s="93"/>
      <c r="DL94" s="93"/>
      <c r="DM94" s="93"/>
      <c r="DN94" s="93"/>
      <c r="DO94" s="93"/>
      <c r="DP94" s="1373">
        <v>574</v>
      </c>
      <c r="DQ94" s="699"/>
      <c r="DR94" s="93"/>
      <c r="DS94" s="93"/>
      <c r="DT94" s="93"/>
      <c r="DU94" s="93"/>
      <c r="DV94" s="93"/>
      <c r="DW94" s="93"/>
      <c r="DX94" s="93"/>
      <c r="DY94" s="93"/>
      <c r="DZ94" s="93"/>
      <c r="EA94" s="93"/>
      <c r="EB94" s="93"/>
      <c r="EC94" s="93"/>
      <c r="ED94" s="93"/>
      <c r="EE94" s="93"/>
      <c r="EF94" s="93"/>
      <c r="EG94" s="93"/>
      <c r="EH94" s="93"/>
      <c r="EI94" s="93"/>
      <c r="EJ94" s="52">
        <v>606</v>
      </c>
      <c r="EK94" s="699"/>
      <c r="FD94" s="3746">
        <v>701</v>
      </c>
      <c r="FE94" s="699"/>
    </row>
    <row r="95" spans="1:161">
      <c r="A95" s="3740"/>
      <c r="B95" s="3754"/>
      <c r="C95" s="3750"/>
      <c r="D95" s="3750"/>
      <c r="E95" s="3770"/>
      <c r="F95" s="3750"/>
      <c r="G95" s="3750"/>
      <c r="H95" s="3740"/>
      <c r="I95" s="3745"/>
      <c r="J95" s="3742"/>
      <c r="K95" s="3747"/>
      <c r="L95" s="3742"/>
      <c r="M95" s="3741"/>
      <c r="N95" s="3754"/>
      <c r="O95" s="52"/>
      <c r="P95" s="52"/>
      <c r="Q95" s="52"/>
      <c r="R95" s="52"/>
      <c r="S95" s="52"/>
      <c r="T95" s="52"/>
      <c r="U95" s="3740"/>
      <c r="V95" s="3750"/>
      <c r="W95" s="3754"/>
      <c r="X95" s="3770"/>
      <c r="Y95" s="3750"/>
      <c r="Z95" s="3754"/>
      <c r="AA95" s="3754"/>
      <c r="AB95" s="3745"/>
      <c r="AC95" s="3744"/>
      <c r="AD95" s="3742"/>
      <c r="AE95" s="3744"/>
      <c r="AF95" s="3747"/>
      <c r="AG95" s="3744"/>
      <c r="AH95" s="3742"/>
      <c r="AI95" s="52"/>
      <c r="AJ95" s="52"/>
      <c r="AK95" s="52"/>
      <c r="AL95" s="52"/>
      <c r="AM95" s="52"/>
      <c r="AN95" s="3768"/>
      <c r="AO95" s="3740"/>
      <c r="AP95" s="3754"/>
      <c r="AQ95" s="3754"/>
      <c r="AR95" s="3754"/>
      <c r="AS95" s="3750"/>
      <c r="AT95" s="3750"/>
      <c r="AU95" s="3754"/>
      <c r="AV95" s="3745"/>
      <c r="AW95" s="3742"/>
      <c r="AX95" s="3747"/>
      <c r="AY95" s="3744"/>
      <c r="AZ95" s="3742"/>
      <c r="BA95" s="3740"/>
      <c r="BB95" s="52"/>
      <c r="BC95" s="52"/>
      <c r="BD95" s="52"/>
      <c r="BE95" s="52"/>
      <c r="BF95" s="52"/>
      <c r="BG95" s="52"/>
      <c r="BH95" s="52"/>
      <c r="BI95" s="3740"/>
      <c r="BJ95" s="3770"/>
      <c r="BK95" s="3750"/>
      <c r="BL95" s="3750"/>
      <c r="BM95" s="3750"/>
      <c r="BN95" s="3754"/>
      <c r="BO95" s="3754"/>
      <c r="BP95" s="3745"/>
      <c r="BQ95" s="3744"/>
      <c r="BR95" s="3742"/>
      <c r="BS95" s="3744"/>
      <c r="BT95" s="3747"/>
      <c r="BU95" s="3744"/>
      <c r="BV95" s="3742"/>
      <c r="BW95" s="52"/>
      <c r="BX95" s="52"/>
      <c r="BY95" s="52"/>
      <c r="BZ95" s="52"/>
      <c r="CA95" s="52"/>
      <c r="CB95" s="3768"/>
      <c r="CC95" s="695"/>
      <c r="CD95" s="695"/>
      <c r="CE95" s="695"/>
      <c r="CF95" s="695"/>
      <c r="CG95" s="695"/>
      <c r="CH95" s="695"/>
      <c r="CI95" s="695"/>
      <c r="CJ95" s="695"/>
      <c r="CK95" s="695"/>
      <c r="CL95" s="695"/>
      <c r="CM95" s="695"/>
      <c r="CN95" s="695"/>
      <c r="CO95" s="695"/>
      <c r="CP95" s="695"/>
      <c r="CQ95" s="695"/>
      <c r="CR95" s="695"/>
      <c r="CS95" s="695"/>
      <c r="CT95" s="695"/>
      <c r="CU95" s="695"/>
      <c r="CV95" s="52">
        <v>544</v>
      </c>
      <c r="CW95" s="699"/>
      <c r="CX95" s="93"/>
      <c r="CY95" s="93"/>
      <c r="CZ95" s="93"/>
      <c r="DA95" s="93"/>
      <c r="DB95" s="93"/>
      <c r="DC95" s="93"/>
      <c r="DD95" s="93"/>
      <c r="DE95" s="93"/>
      <c r="DF95" s="93"/>
      <c r="DG95" s="93"/>
      <c r="DH95" s="93"/>
      <c r="DI95" s="93"/>
      <c r="DJ95" s="93"/>
      <c r="DK95" s="93"/>
      <c r="DL95" s="93"/>
      <c r="DM95" s="93"/>
      <c r="DN95" s="93"/>
      <c r="DO95" s="93"/>
      <c r="DP95" s="1373">
        <v>575</v>
      </c>
      <c r="DQ95" s="699"/>
      <c r="DR95" s="93"/>
      <c r="DS95" s="93"/>
      <c r="DT95" s="93"/>
      <c r="DU95" s="93"/>
      <c r="DV95" s="93"/>
      <c r="DW95" s="93"/>
      <c r="DX95" s="93"/>
      <c r="DY95" s="93"/>
      <c r="DZ95" s="93"/>
      <c r="EA95" s="93"/>
      <c r="EB95" s="93"/>
      <c r="EC95" s="93"/>
      <c r="ED95" s="93"/>
      <c r="EE95" s="93"/>
      <c r="EF95" s="93"/>
      <c r="EG95" s="93"/>
      <c r="EH95" s="93"/>
      <c r="EI95" s="93"/>
      <c r="EJ95" s="52">
        <v>607</v>
      </c>
      <c r="EK95" s="699"/>
      <c r="EL95" s="93"/>
      <c r="EM95" s="93"/>
      <c r="EN95" s="93"/>
      <c r="EO95" s="93"/>
      <c r="EP95" s="93"/>
      <c r="EQ95" s="93"/>
      <c r="ER95" s="93"/>
      <c r="ES95" s="93"/>
      <c r="ET95" s="93"/>
      <c r="EU95" s="93"/>
      <c r="EV95" s="93"/>
      <c r="EW95" s="93"/>
      <c r="EX95" s="93"/>
      <c r="EY95" s="93"/>
      <c r="EZ95" s="93"/>
      <c r="FA95" s="93"/>
      <c r="FB95" s="93"/>
      <c r="FC95" s="93"/>
      <c r="FD95" s="3746">
        <v>574</v>
      </c>
      <c r="FE95" s="699"/>
    </row>
    <row r="96" spans="1:161">
      <c r="A96" s="3771"/>
      <c r="B96" s="3774"/>
      <c r="C96" s="3775"/>
      <c r="D96" s="3774"/>
      <c r="E96" s="3775"/>
      <c r="F96" s="3775"/>
      <c r="G96" s="3776"/>
      <c r="H96" s="3777"/>
      <c r="I96" s="3778"/>
      <c r="J96" s="3779"/>
      <c r="K96" s="3780"/>
      <c r="L96" s="3778"/>
      <c r="M96" s="3771"/>
      <c r="N96" s="74"/>
      <c r="O96" s="74"/>
      <c r="P96" s="74"/>
      <c r="Q96" s="74"/>
      <c r="R96" s="74"/>
      <c r="S96" s="74"/>
      <c r="T96" s="369"/>
      <c r="U96" s="3781"/>
      <c r="V96" s="3776"/>
      <c r="W96" s="3776"/>
      <c r="X96" s="3776"/>
      <c r="Y96" s="3776"/>
      <c r="Z96" s="3776"/>
      <c r="AA96" s="3777"/>
      <c r="AB96" s="3780"/>
      <c r="AC96" s="3778"/>
      <c r="AD96" s="3780"/>
      <c r="AE96" s="3739"/>
      <c r="AF96" s="3780"/>
      <c r="AG96" s="3778"/>
      <c r="AH96" s="3779"/>
      <c r="AI96" s="3780"/>
      <c r="AJ96" s="74"/>
      <c r="AK96" s="74"/>
      <c r="AL96" s="74"/>
      <c r="AM96" s="74"/>
      <c r="AN96" s="3782"/>
      <c r="AO96" s="3776"/>
      <c r="AP96" s="3776"/>
      <c r="AQ96" s="3776"/>
      <c r="AR96" s="3776"/>
      <c r="AS96" s="3776"/>
      <c r="AT96" s="3776"/>
      <c r="AU96" s="3777"/>
      <c r="AV96" s="3778"/>
      <c r="AW96" s="3747"/>
      <c r="AX96" s="3780"/>
      <c r="AY96" s="3778"/>
      <c r="AZ96" s="3780"/>
      <c r="BA96" s="3783"/>
      <c r="BB96" s="3780"/>
      <c r="BC96" s="74"/>
      <c r="BD96" s="74"/>
      <c r="BE96" s="74"/>
      <c r="BF96" s="74"/>
      <c r="BG96" s="74"/>
      <c r="BH96" s="74"/>
      <c r="BI96" s="700"/>
      <c r="BJ96" s="73"/>
      <c r="BK96" s="73"/>
      <c r="BL96" s="73"/>
      <c r="BM96" s="73"/>
      <c r="BN96" s="73"/>
      <c r="BO96" s="73"/>
      <c r="BP96" s="73"/>
      <c r="BQ96" s="73"/>
      <c r="BR96" s="73"/>
      <c r="BS96" s="73"/>
      <c r="BT96" s="73"/>
      <c r="BU96" s="73"/>
      <c r="BV96" s="73"/>
      <c r="BW96" s="73"/>
      <c r="BX96" s="73"/>
      <c r="BY96" s="73"/>
      <c r="BZ96" s="73"/>
      <c r="CA96" s="73"/>
      <c r="CB96" s="3782">
        <v>576</v>
      </c>
      <c r="CC96" s="3776"/>
      <c r="CD96" s="3776"/>
      <c r="CE96" s="3776"/>
      <c r="CF96" s="3775"/>
      <c r="CG96" s="3775"/>
      <c r="CH96" s="3776"/>
      <c r="CI96" s="3777"/>
      <c r="CJ96" s="3778"/>
      <c r="CK96" s="3739"/>
      <c r="CL96" s="3780"/>
      <c r="CM96" s="3778"/>
      <c r="CN96" s="3780"/>
      <c r="CO96" s="3783"/>
      <c r="CP96" s="3780"/>
      <c r="CQ96" s="74"/>
      <c r="CR96" s="74"/>
      <c r="CS96" s="74"/>
      <c r="CT96" s="74"/>
      <c r="CU96" s="74"/>
      <c r="CV96" s="74"/>
      <c r="CW96" s="700"/>
      <c r="CX96" s="73"/>
      <c r="CY96" s="73"/>
      <c r="CZ96" s="73"/>
      <c r="DA96" s="73"/>
      <c r="DB96" s="73"/>
      <c r="DC96" s="73"/>
      <c r="DD96" s="73"/>
      <c r="DE96" s="73"/>
      <c r="DF96" s="73"/>
      <c r="DG96" s="73"/>
      <c r="DH96" s="73"/>
      <c r="DI96" s="73"/>
      <c r="DJ96" s="73"/>
      <c r="DK96" s="73"/>
      <c r="DL96" s="73"/>
      <c r="DM96" s="73"/>
      <c r="DN96" s="73"/>
      <c r="DO96" s="73"/>
      <c r="DP96" s="3784">
        <v>576</v>
      </c>
      <c r="DQ96" s="700"/>
      <c r="DR96" s="73"/>
      <c r="DS96" s="73"/>
      <c r="DT96" s="73"/>
      <c r="DU96" s="73"/>
      <c r="DV96" s="73"/>
      <c r="DW96" s="73"/>
      <c r="DX96" s="73"/>
      <c r="DY96" s="73"/>
      <c r="DZ96" s="73"/>
      <c r="EA96" s="73"/>
      <c r="EB96" s="73"/>
      <c r="EC96" s="73"/>
      <c r="ED96" s="73"/>
      <c r="EE96" s="73"/>
      <c r="EF96" s="73"/>
      <c r="EG96" s="73"/>
      <c r="EH96" s="73"/>
      <c r="EI96" s="73"/>
      <c r="EJ96" s="74">
        <v>608</v>
      </c>
      <c r="EK96" s="3771"/>
      <c r="EL96" s="3774"/>
      <c r="EM96" s="3775"/>
      <c r="EN96" s="3775"/>
      <c r="EO96" s="3775"/>
      <c r="EP96" s="3776"/>
      <c r="EQ96" s="3776"/>
      <c r="ER96" s="3777"/>
      <c r="ES96" s="3780"/>
      <c r="ET96" s="3778"/>
      <c r="EU96" s="3780"/>
      <c r="EV96" s="3783"/>
      <c r="EW96" s="3780"/>
      <c r="EX96" s="3778"/>
      <c r="EY96" s="3783"/>
      <c r="EZ96" s="74"/>
      <c r="FA96" s="74"/>
      <c r="FB96" s="74"/>
      <c r="FC96" s="74"/>
      <c r="FD96" s="3784"/>
      <c r="FE96" s="699"/>
    </row>
    <row r="97" spans="1:161">
      <c r="A97" s="680">
        <v>4</v>
      </c>
      <c r="B97" s="360"/>
      <c r="C97" s="360"/>
      <c r="D97" s="360"/>
      <c r="E97" s="360"/>
      <c r="F97" s="360"/>
      <c r="G97" s="360"/>
      <c r="H97" s="360"/>
      <c r="I97" s="360"/>
      <c r="J97" s="360"/>
      <c r="K97" s="360"/>
      <c r="L97" s="360"/>
      <c r="M97" s="360"/>
      <c r="N97" s="360"/>
      <c r="O97" s="360"/>
      <c r="P97" s="360"/>
      <c r="Q97" s="360"/>
      <c r="R97" s="360"/>
      <c r="S97" s="360"/>
      <c r="T97" s="681"/>
      <c r="U97" s="680">
        <v>4</v>
      </c>
      <c r="V97" s="360"/>
      <c r="W97" s="360"/>
      <c r="X97" s="360"/>
      <c r="Y97" s="360"/>
      <c r="Z97" s="360"/>
      <c r="AA97" s="360"/>
      <c r="AB97" s="360"/>
      <c r="AC97" s="360"/>
      <c r="AD97" s="360"/>
      <c r="AE97" s="360"/>
      <c r="AF97" s="360"/>
      <c r="AG97" s="360"/>
      <c r="AH97" s="360"/>
      <c r="AI97" s="360"/>
      <c r="AJ97" s="360"/>
      <c r="AK97" s="360"/>
      <c r="AL97" s="360"/>
      <c r="AM97" s="360"/>
      <c r="AN97" s="681"/>
      <c r="AO97" s="680">
        <v>4</v>
      </c>
      <c r="AP97" s="360"/>
      <c r="AQ97" s="360"/>
      <c r="AR97" s="360"/>
      <c r="AS97" s="360"/>
      <c r="AT97" s="360"/>
      <c r="AU97" s="360"/>
      <c r="AV97" s="360"/>
      <c r="AW97" s="360"/>
      <c r="AX97" s="360"/>
      <c r="AY97" s="360"/>
      <c r="AZ97" s="360"/>
      <c r="BA97" s="360"/>
      <c r="BB97" s="360"/>
      <c r="BC97" s="360"/>
      <c r="BD97" s="360"/>
      <c r="BE97" s="360"/>
      <c r="BF97" s="360"/>
      <c r="BG97" s="360"/>
      <c r="BH97" s="681"/>
      <c r="BI97" s="680">
        <v>4</v>
      </c>
      <c r="BJ97" s="360"/>
      <c r="BK97" s="360"/>
      <c r="BL97" s="360"/>
      <c r="BM97" s="360"/>
      <c r="BN97" s="360"/>
      <c r="BO97" s="360"/>
      <c r="BP97" s="360"/>
      <c r="BQ97" s="360"/>
      <c r="BR97" s="360"/>
      <c r="BS97" s="360"/>
      <c r="BT97" s="360"/>
      <c r="BU97" s="360"/>
      <c r="BV97" s="360"/>
      <c r="BW97" s="360"/>
      <c r="BX97" s="360"/>
      <c r="BY97" s="360"/>
      <c r="BZ97" s="360"/>
      <c r="CA97" s="360"/>
      <c r="CB97" s="360"/>
      <c r="CC97" s="680">
        <v>4</v>
      </c>
      <c r="CD97" s="360"/>
      <c r="CE97" s="360"/>
      <c r="CF97" s="360"/>
      <c r="CG97" s="360"/>
      <c r="CH97" s="360"/>
      <c r="CI97" s="360"/>
      <c r="CJ97" s="360"/>
      <c r="CK97" s="360"/>
      <c r="CL97" s="360"/>
      <c r="CM97" s="360"/>
      <c r="CN97" s="360"/>
      <c r="CO97" s="360"/>
      <c r="CP97" s="360"/>
      <c r="CQ97" s="360"/>
      <c r="CR97" s="360"/>
      <c r="CS97" s="360"/>
      <c r="CT97" s="360"/>
      <c r="CU97" s="360"/>
      <c r="CV97" s="681"/>
      <c r="CW97" s="360">
        <v>4</v>
      </c>
      <c r="CX97" s="360"/>
      <c r="CY97" s="360"/>
      <c r="CZ97" s="360"/>
      <c r="DA97" s="360"/>
      <c r="DB97" s="360"/>
      <c r="DC97" s="360"/>
      <c r="DD97" s="360"/>
      <c r="DE97" s="360"/>
      <c r="DF97" s="360"/>
      <c r="DG97" s="360"/>
      <c r="DH97" s="360"/>
      <c r="DI97" s="360"/>
      <c r="DJ97" s="360"/>
      <c r="DK97" s="360"/>
      <c r="DL97" s="360"/>
      <c r="DM97" s="360"/>
      <c r="DN97" s="360"/>
      <c r="DO97" s="360"/>
      <c r="DP97" s="681"/>
      <c r="DQ97" s="360">
        <v>4</v>
      </c>
      <c r="DR97" s="360"/>
      <c r="DS97" s="360"/>
      <c r="DT97" s="360"/>
      <c r="DU97" s="360"/>
      <c r="DV97" s="360"/>
      <c r="DW97" s="360"/>
      <c r="DX97" s="360"/>
      <c r="DY97" s="360"/>
      <c r="DZ97" s="360"/>
      <c r="EA97" s="360"/>
      <c r="EB97" s="360"/>
      <c r="EC97" s="360"/>
      <c r="ED97" s="360"/>
      <c r="EE97" s="360"/>
      <c r="EF97" s="360"/>
      <c r="EG97" s="360"/>
      <c r="EH97" s="360"/>
      <c r="EI97" s="360"/>
      <c r="EJ97" s="3785"/>
      <c r="EK97" s="360">
        <v>4</v>
      </c>
      <c r="EL97" s="737"/>
      <c r="EM97" s="360"/>
      <c r="EN97" s="1244"/>
      <c r="EO97" s="1244"/>
      <c r="EP97" s="1244"/>
      <c r="EQ97" s="1244"/>
      <c r="ER97" s="1244"/>
      <c r="ES97" s="1244"/>
      <c r="ET97" s="1244"/>
      <c r="EU97" s="1244"/>
      <c r="EV97" s="1244"/>
      <c r="EW97" s="1244"/>
      <c r="EX97" s="1244"/>
      <c r="EY97" s="1244"/>
      <c r="EZ97" s="1244"/>
      <c r="FA97" s="1244"/>
      <c r="FB97" s="1244"/>
      <c r="FC97" s="1244"/>
      <c r="FD97" s="1244"/>
      <c r="FE97" s="699"/>
    </row>
    <row r="98" spans="1:161">
      <c r="A98" s="52"/>
      <c r="B98" s="52"/>
      <c r="C98" s="52"/>
      <c r="D98" s="52"/>
      <c r="E98" s="52"/>
      <c r="F98" s="52"/>
      <c r="G98" s="52"/>
      <c r="H98" s="52"/>
      <c r="I98" s="52"/>
      <c r="J98" s="52"/>
      <c r="K98" s="52"/>
      <c r="L98" s="52"/>
      <c r="M98" s="52"/>
      <c r="N98" s="52"/>
      <c r="O98" s="52"/>
      <c r="P98" s="52"/>
      <c r="Q98" s="52"/>
      <c r="R98" s="52"/>
      <c r="S98" s="52"/>
      <c r="T98" s="330"/>
      <c r="U98" s="52"/>
      <c r="V98" s="52"/>
      <c r="W98" s="52"/>
      <c r="X98" s="52"/>
      <c r="Y98" s="52"/>
      <c r="Z98" s="52"/>
      <c r="AA98" s="52"/>
      <c r="AB98" s="52"/>
      <c r="AC98" s="52"/>
      <c r="AD98" s="52"/>
      <c r="AE98" s="52"/>
      <c r="AF98" s="52"/>
      <c r="AG98" s="52"/>
      <c r="AH98" s="52"/>
      <c r="AI98" s="52"/>
      <c r="AJ98" s="52"/>
      <c r="AK98" s="52"/>
      <c r="AL98" s="52"/>
      <c r="AM98" s="52"/>
      <c r="AN98" s="330"/>
      <c r="AO98" s="52"/>
      <c r="AP98" s="52"/>
      <c r="AQ98" s="52"/>
      <c r="AR98" s="52"/>
      <c r="AS98" s="52"/>
      <c r="AT98" s="52"/>
      <c r="AU98" s="52"/>
      <c r="AV98" s="52"/>
      <c r="AW98" s="52"/>
      <c r="AX98" s="52"/>
      <c r="AY98" s="52"/>
      <c r="AZ98" s="52"/>
      <c r="BA98" s="52"/>
      <c r="BB98" s="52"/>
      <c r="BC98" s="52"/>
      <c r="BD98" s="52"/>
      <c r="BE98" s="52"/>
      <c r="BF98" s="52"/>
      <c r="BG98" s="52"/>
      <c r="BH98" s="330"/>
      <c r="BI98" s="52"/>
      <c r="BJ98" s="52"/>
      <c r="BK98" s="52"/>
      <c r="BL98" s="52"/>
      <c r="BM98" s="52"/>
      <c r="BN98" s="52"/>
      <c r="BO98" s="52"/>
      <c r="BP98" s="52"/>
      <c r="BQ98" s="52"/>
      <c r="BR98" s="52"/>
      <c r="BS98" s="52"/>
      <c r="BT98" s="52"/>
      <c r="BU98" s="52"/>
      <c r="BV98" s="52"/>
      <c r="BW98" s="52"/>
      <c r="BX98" s="52"/>
      <c r="BY98" s="52"/>
      <c r="BZ98" s="52"/>
      <c r="CA98" s="52"/>
      <c r="CB98" s="52"/>
      <c r="CC98" s="398"/>
      <c r="CD98" s="52"/>
      <c r="CE98" s="52"/>
      <c r="CF98" s="52"/>
      <c r="CG98" s="52"/>
      <c r="CH98" s="52"/>
      <c r="CI98" s="52"/>
      <c r="CJ98" s="52"/>
      <c r="CK98" s="52"/>
      <c r="CL98" s="52"/>
      <c r="CM98" s="52"/>
      <c r="CN98" s="52"/>
      <c r="CO98" s="52"/>
      <c r="CP98" s="52"/>
      <c r="CQ98" s="52"/>
      <c r="CR98" s="52"/>
      <c r="CS98" s="52"/>
      <c r="CT98" s="52"/>
      <c r="CU98" s="52"/>
      <c r="CV98" s="330"/>
      <c r="CW98" s="52"/>
      <c r="CX98" s="52"/>
      <c r="CY98" s="52"/>
      <c r="CZ98" s="52"/>
      <c r="DA98" s="52"/>
      <c r="DB98" s="52"/>
      <c r="DC98" s="52"/>
      <c r="DD98" s="52"/>
      <c r="DE98" s="52"/>
      <c r="DF98" s="52"/>
      <c r="DG98" s="52"/>
      <c r="DH98" s="52"/>
      <c r="DI98" s="52"/>
      <c r="DJ98" s="52"/>
      <c r="DK98" s="52"/>
      <c r="DL98" s="52"/>
      <c r="DM98" s="52"/>
      <c r="DN98" s="52"/>
      <c r="DO98" s="52"/>
      <c r="DP98" s="330"/>
      <c r="DQ98" s="52"/>
      <c r="DR98" s="52"/>
      <c r="DS98" s="52"/>
      <c r="DT98" s="52"/>
      <c r="DU98" s="52"/>
      <c r="DV98" s="52"/>
      <c r="DW98" s="52"/>
      <c r="DX98" s="52"/>
      <c r="DY98" s="52"/>
      <c r="DZ98" s="52"/>
      <c r="EA98" s="52"/>
      <c r="EB98" s="52"/>
      <c r="EC98" s="52"/>
      <c r="ED98" s="52"/>
      <c r="EE98" s="52"/>
      <c r="EF98" s="52"/>
      <c r="EG98" s="52"/>
      <c r="EH98" s="52"/>
      <c r="EI98" s="52"/>
      <c r="EJ98" s="3768"/>
      <c r="EK98" s="52">
        <v>1</v>
      </c>
      <c r="FD98" s="1373"/>
      <c r="FE98" s="699"/>
    </row>
    <row r="99" spans="1:161">
      <c r="A99" s="52">
        <v>200</v>
      </c>
      <c r="B99" s="52"/>
      <c r="C99" s="52"/>
      <c r="D99" s="52"/>
      <c r="E99" s="52"/>
      <c r="F99" s="52"/>
      <c r="G99" s="52"/>
      <c r="H99" s="52"/>
      <c r="I99" s="52"/>
      <c r="J99" s="52"/>
      <c r="K99" s="52"/>
      <c r="L99" s="52"/>
      <c r="M99" s="52"/>
      <c r="N99" s="52"/>
      <c r="O99" s="52"/>
      <c r="P99" s="52"/>
      <c r="Q99" s="52"/>
      <c r="R99" s="52"/>
      <c r="S99" s="52"/>
      <c r="T99" s="330"/>
      <c r="U99" s="52">
        <v>200</v>
      </c>
      <c r="V99" s="52"/>
      <c r="W99" s="52"/>
      <c r="X99" s="52"/>
      <c r="Y99" s="52"/>
      <c r="Z99" s="52"/>
      <c r="AA99" s="52"/>
      <c r="AB99" s="52"/>
      <c r="AC99" s="52"/>
      <c r="AD99" s="52"/>
      <c r="AE99" s="52"/>
      <c r="AF99" s="52"/>
      <c r="AG99" s="52"/>
      <c r="AH99" s="52"/>
      <c r="AI99" s="52"/>
      <c r="AJ99" s="52"/>
      <c r="AK99" s="52"/>
      <c r="AL99" s="52"/>
      <c r="AM99" s="52"/>
      <c r="AN99" s="330"/>
      <c r="AO99" s="52">
        <v>300</v>
      </c>
      <c r="AP99" s="52"/>
      <c r="AQ99" s="52"/>
      <c r="AR99" s="52"/>
      <c r="AS99" s="52"/>
      <c r="AT99" s="52"/>
      <c r="AU99" s="52"/>
      <c r="AV99" s="52"/>
      <c r="AW99" s="52"/>
      <c r="AX99" s="52"/>
      <c r="AY99" s="52"/>
      <c r="AZ99" s="52"/>
      <c r="BA99" s="52"/>
      <c r="BB99" s="52"/>
      <c r="BC99" s="52"/>
      <c r="BD99" s="52"/>
      <c r="BE99" s="52"/>
      <c r="BF99" s="52"/>
      <c r="BG99" s="52"/>
      <c r="BH99" s="330"/>
      <c r="BI99" s="52">
        <v>250</v>
      </c>
      <c r="BJ99" s="52"/>
      <c r="BK99" s="52"/>
      <c r="BL99" s="52"/>
      <c r="BM99" s="52"/>
      <c r="BN99" s="52"/>
      <c r="BO99" s="52"/>
      <c r="BP99" s="52"/>
      <c r="BQ99" s="52"/>
      <c r="BR99" s="52"/>
      <c r="BS99" s="52"/>
      <c r="BT99" s="52"/>
      <c r="BU99" s="52"/>
      <c r="BV99" s="52"/>
      <c r="BW99" s="52"/>
      <c r="BX99" s="52"/>
      <c r="BY99" s="52"/>
      <c r="BZ99" s="52"/>
      <c r="CA99" s="52"/>
      <c r="CB99" s="52"/>
      <c r="CC99" s="398">
        <v>200</v>
      </c>
      <c r="CD99" s="52"/>
      <c r="CE99" s="52"/>
      <c r="CF99" s="52"/>
      <c r="CG99" s="52"/>
      <c r="CH99" s="52"/>
      <c r="CI99" s="52"/>
      <c r="CJ99" s="52"/>
      <c r="CK99" s="52"/>
      <c r="CL99" s="52"/>
      <c r="CM99" s="52"/>
      <c r="CN99" s="52"/>
      <c r="CO99" s="52"/>
      <c r="CP99" s="52"/>
      <c r="CQ99" s="52"/>
      <c r="CR99" s="52"/>
      <c r="CS99" s="52"/>
      <c r="CT99" s="52"/>
      <c r="CU99" s="52"/>
      <c r="CV99" s="330"/>
      <c r="CW99" s="52">
        <v>150</v>
      </c>
      <c r="CX99" s="52"/>
      <c r="CY99" s="52"/>
      <c r="CZ99" s="52"/>
      <c r="DA99" s="52"/>
      <c r="DB99" s="52"/>
      <c r="DC99" s="52"/>
      <c r="DD99" s="52"/>
      <c r="DE99" s="52"/>
      <c r="DF99" s="52"/>
      <c r="DG99" s="52"/>
      <c r="DH99" s="52"/>
      <c r="DI99" s="52"/>
      <c r="DJ99" s="52"/>
      <c r="DK99" s="52"/>
      <c r="DL99" s="52"/>
      <c r="DM99" s="52"/>
      <c r="DN99" s="52"/>
      <c r="DO99" s="52"/>
      <c r="DP99" s="330"/>
      <c r="DQ99" s="52">
        <v>100</v>
      </c>
      <c r="DR99" s="52"/>
      <c r="DS99" s="52"/>
      <c r="DT99" s="52"/>
      <c r="DU99" s="52"/>
      <c r="DV99" s="52"/>
      <c r="DW99" s="52"/>
      <c r="DX99" s="52"/>
      <c r="DY99" s="52"/>
      <c r="DZ99" s="52"/>
      <c r="EA99" s="52"/>
      <c r="EB99" s="52"/>
      <c r="EC99" s="52"/>
      <c r="ED99" s="52"/>
      <c r="EE99" s="52"/>
      <c r="EF99" s="52"/>
      <c r="EG99" s="3752"/>
      <c r="EH99" s="52"/>
      <c r="EI99" s="52"/>
      <c r="EJ99" s="3768"/>
      <c r="EK99" s="52">
        <v>100</v>
      </c>
      <c r="FD99" s="1373"/>
      <c r="FE99" s="699"/>
    </row>
    <row r="100" spans="1:161">
      <c r="A100" s="398"/>
      <c r="B100" s="52"/>
      <c r="C100" s="52"/>
      <c r="D100" s="52"/>
      <c r="E100" s="52"/>
      <c r="F100" s="52"/>
      <c r="G100" s="52"/>
      <c r="H100" s="52"/>
      <c r="I100" s="52"/>
      <c r="J100" s="52"/>
      <c r="K100" s="52"/>
      <c r="L100" s="52"/>
      <c r="M100" s="52"/>
      <c r="N100" s="52"/>
      <c r="O100" s="52"/>
      <c r="P100" s="52"/>
      <c r="Q100" s="52"/>
      <c r="R100" s="52"/>
      <c r="S100" s="52"/>
      <c r="T100" s="330"/>
      <c r="U100" s="398"/>
      <c r="V100" s="52"/>
      <c r="W100" s="52"/>
      <c r="X100" s="52"/>
      <c r="Y100" s="52"/>
      <c r="Z100" s="52"/>
      <c r="AA100" s="52"/>
      <c r="AB100" s="52"/>
      <c r="AC100" s="52"/>
      <c r="AD100" s="52"/>
      <c r="AE100" s="52"/>
      <c r="AF100" s="52"/>
      <c r="AG100" s="52"/>
      <c r="AH100" s="52"/>
      <c r="AI100" s="52"/>
      <c r="AJ100" s="52"/>
      <c r="AK100" s="52"/>
      <c r="AL100" s="52"/>
      <c r="AM100" s="52"/>
      <c r="AN100" s="330"/>
      <c r="AO100" s="398"/>
      <c r="AP100" s="52"/>
      <c r="AQ100" s="52"/>
      <c r="AR100" s="52"/>
      <c r="AS100" s="52"/>
      <c r="AT100" s="52"/>
      <c r="AU100" s="52"/>
      <c r="AV100" s="52"/>
      <c r="AW100" s="52"/>
      <c r="AX100" s="52"/>
      <c r="AY100" s="52"/>
      <c r="AZ100" s="52"/>
      <c r="BA100" s="52"/>
      <c r="BB100" s="52"/>
      <c r="BC100" s="52"/>
      <c r="BD100" s="52"/>
      <c r="BE100" s="52"/>
      <c r="BF100" s="52"/>
      <c r="BG100" s="52"/>
      <c r="BH100" s="330"/>
      <c r="BI100" s="398"/>
      <c r="BJ100" s="52"/>
      <c r="BK100" s="52"/>
      <c r="BL100" s="52"/>
      <c r="BM100" s="52"/>
      <c r="BN100" s="52"/>
      <c r="BO100" s="52"/>
      <c r="BP100" s="52"/>
      <c r="BQ100" s="52"/>
      <c r="BR100" s="52"/>
      <c r="BS100" s="52"/>
      <c r="BT100" s="52"/>
      <c r="BU100" s="52"/>
      <c r="BV100" s="52"/>
      <c r="BW100" s="52"/>
      <c r="BX100" s="52"/>
      <c r="BY100" s="52"/>
      <c r="BZ100" s="52"/>
      <c r="CA100" s="52"/>
      <c r="CB100" s="52"/>
      <c r="CC100" s="398"/>
      <c r="CD100" s="52"/>
      <c r="CE100" s="52"/>
      <c r="CF100" s="52"/>
      <c r="CG100" s="52"/>
      <c r="CH100" s="52"/>
      <c r="CI100" s="52"/>
      <c r="CJ100" s="52"/>
      <c r="CK100" s="52"/>
      <c r="CL100" s="52"/>
      <c r="CM100" s="52"/>
      <c r="CN100" s="52"/>
      <c r="CO100" s="52"/>
      <c r="CP100" s="52"/>
      <c r="CQ100" s="52"/>
      <c r="CR100" s="52"/>
      <c r="CS100" s="52"/>
      <c r="CT100" s="52"/>
      <c r="CU100" s="52"/>
      <c r="CV100" s="330"/>
      <c r="CW100" s="52"/>
      <c r="CX100" s="52"/>
      <c r="CY100" s="52"/>
      <c r="CZ100" s="52"/>
      <c r="DA100" s="52"/>
      <c r="DB100" s="52"/>
      <c r="DC100" s="52"/>
      <c r="DD100" s="52"/>
      <c r="DE100" s="52"/>
      <c r="DF100" s="52"/>
      <c r="DG100" s="52"/>
      <c r="DH100" s="52"/>
      <c r="DI100" s="52"/>
      <c r="DJ100" s="52"/>
      <c r="DK100" s="52"/>
      <c r="DL100" s="52"/>
      <c r="DM100" s="52"/>
      <c r="DN100" s="52"/>
      <c r="DO100" s="52"/>
      <c r="DP100" s="330"/>
      <c r="DQ100" s="52"/>
      <c r="DR100" s="52"/>
      <c r="DS100" s="52"/>
      <c r="DT100" s="52"/>
      <c r="DU100" s="52"/>
      <c r="DV100" s="52"/>
      <c r="DW100" s="52"/>
      <c r="DX100" s="52"/>
      <c r="DY100" s="52"/>
      <c r="DZ100" s="52"/>
      <c r="EA100" s="52"/>
      <c r="EB100" s="52"/>
      <c r="EC100" s="52"/>
      <c r="ED100" s="52"/>
      <c r="EE100" s="52"/>
      <c r="EF100" s="52"/>
      <c r="EG100" s="52"/>
      <c r="EH100" s="52"/>
      <c r="EI100" s="52"/>
      <c r="EJ100" s="3768"/>
      <c r="EK100" s="52">
        <v>1</v>
      </c>
      <c r="FD100" s="1373"/>
      <c r="FE100" s="699"/>
    </row>
    <row r="101" spans="1:161">
      <c r="A101" s="685"/>
      <c r="B101" s="52"/>
      <c r="C101" s="52"/>
      <c r="D101" s="52"/>
      <c r="E101" s="52"/>
      <c r="F101" s="52"/>
      <c r="G101" s="52"/>
      <c r="H101" s="52"/>
      <c r="I101" s="52"/>
      <c r="J101" s="52"/>
      <c r="K101" s="52"/>
      <c r="L101" s="52"/>
      <c r="M101" s="52"/>
      <c r="N101" s="52"/>
      <c r="O101" s="52"/>
      <c r="P101" s="52"/>
      <c r="Q101" s="52"/>
      <c r="R101" s="52"/>
      <c r="S101" s="52"/>
      <c r="T101" s="330"/>
      <c r="U101" s="685"/>
      <c r="V101" s="52"/>
      <c r="W101" s="52"/>
      <c r="X101" s="52"/>
      <c r="Y101" s="52"/>
      <c r="Z101" s="52"/>
      <c r="AA101" s="52"/>
      <c r="AB101" s="52"/>
      <c r="AC101" s="52"/>
      <c r="AD101" s="52"/>
      <c r="AE101" s="52"/>
      <c r="AF101" s="52"/>
      <c r="AG101" s="52"/>
      <c r="AH101" s="52"/>
      <c r="AI101" s="52"/>
      <c r="AJ101" s="52"/>
      <c r="AK101" s="52"/>
      <c r="AL101" s="52"/>
      <c r="AM101" s="52"/>
      <c r="AN101" s="330"/>
      <c r="AO101" s="685"/>
      <c r="AP101" s="52"/>
      <c r="AQ101" s="52"/>
      <c r="AR101" s="52"/>
      <c r="AS101" s="52"/>
      <c r="AT101" s="52"/>
      <c r="AU101" s="52"/>
      <c r="AV101" s="52"/>
      <c r="AW101" s="52"/>
      <c r="AX101" s="52"/>
      <c r="AY101" s="52"/>
      <c r="AZ101" s="52"/>
      <c r="BA101" s="52"/>
      <c r="BB101" s="52"/>
      <c r="BC101" s="52"/>
      <c r="BD101" s="52"/>
      <c r="BE101" s="52"/>
      <c r="BF101" s="52"/>
      <c r="BG101" s="52"/>
      <c r="BH101" s="330"/>
      <c r="BI101" s="685"/>
      <c r="BJ101" s="52"/>
      <c r="BK101" s="52"/>
      <c r="BL101" s="52"/>
      <c r="BM101" s="52"/>
      <c r="BN101" s="52"/>
      <c r="BO101" s="52"/>
      <c r="BP101" s="52"/>
      <c r="BQ101" s="52"/>
      <c r="BR101" s="52"/>
      <c r="BS101" s="52"/>
      <c r="BT101" s="52"/>
      <c r="BU101" s="52"/>
      <c r="BV101" s="52"/>
      <c r="BW101" s="52"/>
      <c r="BX101" s="52"/>
      <c r="BY101" s="52"/>
      <c r="BZ101" s="52"/>
      <c r="CA101" s="52"/>
      <c r="CB101" s="52"/>
      <c r="CC101" s="685"/>
      <c r="CD101" s="52"/>
      <c r="CE101" s="52"/>
      <c r="CF101" s="52"/>
      <c r="CG101" s="52"/>
      <c r="CH101" s="52"/>
      <c r="CI101" s="52"/>
      <c r="CJ101" s="52"/>
      <c r="CK101" s="52"/>
      <c r="CL101" s="52"/>
      <c r="CM101" s="52"/>
      <c r="CN101" s="52"/>
      <c r="CO101" s="52"/>
      <c r="CP101" s="52"/>
      <c r="CQ101" s="52"/>
      <c r="CR101" s="52"/>
      <c r="CS101" s="52"/>
      <c r="CT101" s="52"/>
      <c r="CU101" s="52"/>
      <c r="CV101" s="330"/>
      <c r="CW101" s="71"/>
      <c r="CX101" s="52"/>
      <c r="CY101" s="52"/>
      <c r="CZ101" s="52"/>
      <c r="DA101" s="52"/>
      <c r="DB101" s="52"/>
      <c r="DC101" s="52"/>
      <c r="DD101" s="52"/>
      <c r="DE101" s="52"/>
      <c r="DF101" s="52"/>
      <c r="DG101" s="52"/>
      <c r="DH101" s="52"/>
      <c r="DI101" s="52"/>
      <c r="DJ101" s="52"/>
      <c r="DK101" s="52"/>
      <c r="DL101" s="52"/>
      <c r="DM101" s="52"/>
      <c r="DN101" s="52"/>
      <c r="DO101" s="52"/>
      <c r="DP101" s="330"/>
      <c r="DQ101" s="71"/>
      <c r="DR101" s="52"/>
      <c r="DS101" s="52"/>
      <c r="DT101" s="52"/>
      <c r="DU101" s="52"/>
      <c r="DV101" s="52"/>
      <c r="DW101" s="52"/>
      <c r="DX101" s="52"/>
      <c r="DY101" s="52"/>
      <c r="DZ101" s="52"/>
      <c r="EA101" s="52"/>
      <c r="EB101" s="52"/>
      <c r="EC101" s="52"/>
      <c r="ED101" s="52"/>
      <c r="EE101" s="52"/>
      <c r="EF101" s="52"/>
      <c r="EG101" s="52"/>
      <c r="EH101" s="52"/>
      <c r="EI101" s="52"/>
      <c r="EJ101" s="3768"/>
      <c r="EK101" s="71"/>
      <c r="FD101" s="1373"/>
      <c r="FE101" s="699"/>
    </row>
    <row r="102" spans="1:161">
      <c r="A102" s="398"/>
      <c r="B102" s="52"/>
      <c r="C102" s="52"/>
      <c r="D102" s="52"/>
      <c r="E102" s="52"/>
      <c r="F102" s="52"/>
      <c r="G102" s="52"/>
      <c r="H102" s="52"/>
      <c r="I102" s="52"/>
      <c r="J102" s="52"/>
      <c r="K102" s="52"/>
      <c r="L102" s="52"/>
      <c r="M102" s="52"/>
      <c r="N102" s="52"/>
      <c r="O102" s="52"/>
      <c r="P102" s="52"/>
      <c r="Q102" s="52"/>
      <c r="R102" s="52"/>
      <c r="S102" s="52"/>
      <c r="T102" s="330"/>
      <c r="U102" s="398"/>
      <c r="V102" s="52"/>
      <c r="W102" s="52"/>
      <c r="X102" s="52"/>
      <c r="Y102" s="52"/>
      <c r="Z102" s="52"/>
      <c r="AA102" s="52"/>
      <c r="AB102" s="52"/>
      <c r="AC102" s="52"/>
      <c r="AD102" s="52"/>
      <c r="AE102" s="52"/>
      <c r="AF102" s="52"/>
      <c r="AG102" s="52"/>
      <c r="AH102" s="52"/>
      <c r="AI102" s="52"/>
      <c r="AJ102" s="52"/>
      <c r="AK102" s="71"/>
      <c r="AL102" s="52"/>
      <c r="AM102" s="52"/>
      <c r="AN102" s="330"/>
      <c r="AO102" s="398"/>
      <c r="AP102" s="52"/>
      <c r="AQ102" s="52"/>
      <c r="AR102" s="52"/>
      <c r="AS102" s="52"/>
      <c r="AT102" s="52"/>
      <c r="AU102" s="52"/>
      <c r="AV102" s="52"/>
      <c r="AW102" s="52"/>
      <c r="AX102" s="52"/>
      <c r="AY102" s="52"/>
      <c r="AZ102" s="52"/>
      <c r="BA102" s="52"/>
      <c r="BB102" s="52"/>
      <c r="BC102" s="52"/>
      <c r="BD102" s="52"/>
      <c r="BE102" s="52"/>
      <c r="BF102" s="52"/>
      <c r="BG102" s="52"/>
      <c r="BH102" s="330"/>
      <c r="BI102" s="398"/>
      <c r="BJ102" s="52"/>
      <c r="BK102" s="52"/>
      <c r="BL102" s="52"/>
      <c r="BM102" s="52"/>
      <c r="BN102" s="52"/>
      <c r="BO102" s="52"/>
      <c r="BP102" s="52"/>
      <c r="BQ102" s="52"/>
      <c r="BR102" s="52"/>
      <c r="BS102" s="52"/>
      <c r="BT102" s="52"/>
      <c r="BU102" s="52"/>
      <c r="BV102" s="52"/>
      <c r="BW102" s="52"/>
      <c r="BX102" s="52"/>
      <c r="BY102" s="52"/>
      <c r="BZ102" s="52"/>
      <c r="CA102" s="52"/>
      <c r="CB102" s="52"/>
      <c r="CC102" s="398"/>
      <c r="CD102" s="52"/>
      <c r="CE102" s="52"/>
      <c r="CF102" s="52"/>
      <c r="CG102" s="52"/>
      <c r="CH102" s="52"/>
      <c r="CI102" s="52"/>
      <c r="CJ102" s="52"/>
      <c r="CK102" s="52"/>
      <c r="CL102" s="52"/>
      <c r="CM102" s="52"/>
      <c r="CN102" s="52"/>
      <c r="CO102" s="52"/>
      <c r="CP102" s="52"/>
      <c r="CQ102" s="52"/>
      <c r="CR102" s="52"/>
      <c r="CS102" s="52"/>
      <c r="CT102" s="52"/>
      <c r="CU102" s="52"/>
      <c r="CV102" s="330"/>
      <c r="CW102" s="52"/>
      <c r="CX102" s="52"/>
      <c r="CY102" s="52"/>
      <c r="CZ102" s="52"/>
      <c r="DA102" s="52"/>
      <c r="DB102" s="52"/>
      <c r="DC102" s="52"/>
      <c r="DD102" s="52"/>
      <c r="DE102" s="52"/>
      <c r="DF102" s="52"/>
      <c r="DG102" s="52"/>
      <c r="DH102" s="52"/>
      <c r="DI102" s="52"/>
      <c r="DJ102" s="52"/>
      <c r="DK102" s="52"/>
      <c r="DL102" s="52"/>
      <c r="DM102" s="52"/>
      <c r="DN102" s="52"/>
      <c r="DO102" s="52"/>
      <c r="DP102" s="330"/>
      <c r="DQ102" s="52"/>
      <c r="DR102" s="52"/>
      <c r="DS102" s="52"/>
      <c r="DT102" s="52"/>
      <c r="DU102" s="52"/>
      <c r="DV102" s="52"/>
      <c r="DW102" s="52"/>
      <c r="DX102" s="52"/>
      <c r="DY102" s="52"/>
      <c r="DZ102" s="52"/>
      <c r="EA102" s="52"/>
      <c r="EB102" s="52"/>
      <c r="EC102" s="52"/>
      <c r="ED102" s="52"/>
      <c r="EE102" s="52"/>
      <c r="EF102" s="52"/>
      <c r="EG102" s="52"/>
      <c r="EH102" s="52"/>
      <c r="EI102" s="52"/>
      <c r="EJ102" s="3768"/>
      <c r="EK102" s="52"/>
      <c r="FD102" s="1373">
        <v>963</v>
      </c>
      <c r="FE102" s="699"/>
    </row>
    <row r="103" spans="1:161">
      <c r="A103" s="398"/>
      <c r="B103" s="52"/>
      <c r="C103" s="52"/>
      <c r="D103" s="52"/>
      <c r="E103" s="52"/>
      <c r="F103" s="52"/>
      <c r="G103" s="52"/>
      <c r="H103" s="52"/>
      <c r="I103" s="52"/>
      <c r="J103" s="52"/>
      <c r="K103" s="52"/>
      <c r="L103" s="52"/>
      <c r="M103" s="52"/>
      <c r="N103" s="52"/>
      <c r="O103" s="52"/>
      <c r="P103" s="52"/>
      <c r="Q103" s="52"/>
      <c r="R103" s="52"/>
      <c r="S103" s="52"/>
      <c r="T103" s="330"/>
      <c r="U103" s="398"/>
      <c r="V103" s="52"/>
      <c r="W103" s="52"/>
      <c r="X103" s="52"/>
      <c r="Y103" s="52"/>
      <c r="Z103" s="52"/>
      <c r="AA103" s="52"/>
      <c r="AB103" s="52"/>
      <c r="AC103" s="52"/>
      <c r="AD103" s="52"/>
      <c r="AE103" s="52"/>
      <c r="AF103" s="52"/>
      <c r="AG103" s="52"/>
      <c r="AH103" s="52"/>
      <c r="AI103" s="52"/>
      <c r="AJ103" s="52"/>
      <c r="AK103" s="52"/>
      <c r="AL103" s="52"/>
      <c r="AM103" s="52"/>
      <c r="AN103" s="330"/>
      <c r="AO103" s="695"/>
      <c r="AP103" s="695"/>
      <c r="AQ103" s="695"/>
      <c r="AR103" s="695"/>
      <c r="AS103" s="695"/>
      <c r="AT103" s="695"/>
      <c r="AU103" s="695"/>
      <c r="AV103" s="695"/>
      <c r="AW103" s="695"/>
      <c r="AX103" s="695"/>
      <c r="AY103" s="695"/>
      <c r="AZ103" s="695"/>
      <c r="BA103" s="695"/>
      <c r="BB103" s="695"/>
      <c r="BC103" s="695"/>
      <c r="BD103" s="695"/>
      <c r="BE103" s="695"/>
      <c r="BF103" s="695"/>
      <c r="BG103" s="695"/>
      <c r="BH103" s="695"/>
      <c r="BI103" s="398"/>
      <c r="BJ103" s="52"/>
      <c r="BK103" s="52"/>
      <c r="BL103" s="52"/>
      <c r="BM103" s="52"/>
      <c r="BN103" s="52"/>
      <c r="BO103" s="52"/>
      <c r="BP103" s="52"/>
      <c r="BQ103" s="52"/>
      <c r="BR103" s="52"/>
      <c r="BS103" s="52"/>
      <c r="BT103" s="52"/>
      <c r="BU103" s="52"/>
      <c r="BV103" s="52"/>
      <c r="BW103" s="52"/>
      <c r="BX103" s="52"/>
      <c r="BY103" s="52"/>
      <c r="BZ103" s="52"/>
      <c r="CA103" s="52"/>
      <c r="CB103" s="52"/>
      <c r="CC103" s="398"/>
      <c r="CD103" s="52"/>
      <c r="CE103" s="52"/>
      <c r="CF103" s="52"/>
      <c r="CG103" s="52"/>
      <c r="CH103" s="52"/>
      <c r="CI103" s="52"/>
      <c r="CJ103" s="52"/>
      <c r="CK103" s="52"/>
      <c r="CL103" s="52"/>
      <c r="CM103" s="52"/>
      <c r="CN103" s="52"/>
      <c r="CO103" s="52"/>
      <c r="CP103" s="52"/>
      <c r="CQ103" s="52"/>
      <c r="CR103" s="52"/>
      <c r="CS103" s="52"/>
      <c r="CT103" s="52"/>
      <c r="CU103" s="52"/>
      <c r="CV103" s="330"/>
      <c r="CW103" s="52"/>
      <c r="CX103" s="52"/>
      <c r="CY103" s="52"/>
      <c r="CZ103" s="52"/>
      <c r="DA103" s="52"/>
      <c r="DB103" s="52"/>
      <c r="DC103" s="52"/>
      <c r="DD103" s="52"/>
      <c r="DE103" s="52"/>
      <c r="DF103" s="52"/>
      <c r="DG103" s="52"/>
      <c r="DH103" s="52"/>
      <c r="DI103" s="52"/>
      <c r="DJ103" s="52"/>
      <c r="DK103" s="52"/>
      <c r="DL103" s="52"/>
      <c r="DM103" s="52"/>
      <c r="DN103" s="52"/>
      <c r="DO103" s="52"/>
      <c r="DP103" s="330"/>
      <c r="DQ103" s="52"/>
      <c r="DR103" s="52"/>
      <c r="DS103" s="52"/>
      <c r="DT103" s="52"/>
      <c r="DU103" s="52"/>
      <c r="DV103" s="52"/>
      <c r="DW103" s="52"/>
      <c r="DX103" s="52"/>
      <c r="DY103" s="52"/>
      <c r="DZ103" s="52"/>
      <c r="EA103" s="52"/>
      <c r="EB103" s="52"/>
      <c r="EC103" s="52"/>
      <c r="ED103" s="52"/>
      <c r="EE103" s="52"/>
      <c r="EF103" s="52"/>
      <c r="EG103" s="52"/>
      <c r="EH103" s="52"/>
      <c r="EI103" s="52"/>
      <c r="EJ103" s="3768"/>
      <c r="EK103" s="52"/>
      <c r="FD103" s="1373"/>
      <c r="FE103" s="699"/>
    </row>
    <row r="104" spans="1:161">
      <c r="A104" s="685"/>
      <c r="B104" s="52"/>
      <c r="C104" s="52"/>
      <c r="D104" s="52"/>
      <c r="E104" s="52"/>
      <c r="F104" s="52"/>
      <c r="G104" s="52"/>
      <c r="H104" s="52"/>
      <c r="I104" s="52"/>
      <c r="J104" s="52"/>
      <c r="K104" s="52"/>
      <c r="L104" s="52"/>
      <c r="M104" s="52"/>
      <c r="N104" s="52"/>
      <c r="O104" s="52"/>
      <c r="P104" s="52"/>
      <c r="Q104" s="71"/>
      <c r="R104" s="52"/>
      <c r="S104" s="52"/>
      <c r="T104" s="330"/>
      <c r="U104" s="685"/>
      <c r="V104" s="52"/>
      <c r="W104" s="52"/>
      <c r="X104" s="52"/>
      <c r="Y104" s="52"/>
      <c r="Z104" s="52"/>
      <c r="AA104" s="52"/>
      <c r="AB104" s="52"/>
      <c r="AC104" s="52"/>
      <c r="AD104" s="52"/>
      <c r="AE104" s="52"/>
      <c r="AF104" s="52"/>
      <c r="AG104" s="52"/>
      <c r="AH104" s="52"/>
      <c r="AI104" s="52"/>
      <c r="AJ104" s="52"/>
      <c r="AK104" s="71"/>
      <c r="AL104" s="52"/>
      <c r="AM104" s="52"/>
      <c r="AN104" s="330"/>
      <c r="AO104" s="1">
        <v>20</v>
      </c>
      <c r="AP104" s="695"/>
      <c r="AQ104" s="695"/>
      <c r="AR104" s="695"/>
      <c r="AS104" s="695"/>
      <c r="AT104" s="695"/>
      <c r="AU104" s="695"/>
      <c r="AV104" s="695"/>
      <c r="AW104" s="695"/>
      <c r="AX104" s="695"/>
      <c r="AY104" s="695"/>
      <c r="AZ104" s="695"/>
      <c r="BA104" s="695"/>
      <c r="BB104" s="695"/>
      <c r="BC104" s="695"/>
      <c r="BD104" s="695"/>
      <c r="BE104" s="695"/>
      <c r="BF104" s="695"/>
      <c r="BG104" s="695"/>
      <c r="BH104" s="695"/>
      <c r="BI104" s="685"/>
      <c r="BJ104" s="52"/>
      <c r="BK104" s="52"/>
      <c r="BL104" s="52"/>
      <c r="BM104" s="52"/>
      <c r="BN104" s="52"/>
      <c r="BO104" s="52"/>
      <c r="BP104" s="52"/>
      <c r="BQ104" s="52"/>
      <c r="BR104" s="52"/>
      <c r="BS104" s="52"/>
      <c r="BT104" s="52"/>
      <c r="BU104" s="52"/>
      <c r="BV104" s="52"/>
      <c r="BW104" s="52"/>
      <c r="BX104" s="52"/>
      <c r="BY104" s="52"/>
      <c r="BZ104" s="52"/>
      <c r="CA104" s="52"/>
      <c r="CB104" s="52"/>
      <c r="CC104" s="685"/>
      <c r="CD104" s="52"/>
      <c r="CE104" s="52"/>
      <c r="CF104" s="52"/>
      <c r="CG104" s="52"/>
      <c r="CH104" s="52"/>
      <c r="CI104" s="52"/>
      <c r="CJ104" s="52"/>
      <c r="CK104" s="52"/>
      <c r="CL104" s="52"/>
      <c r="CM104" s="52"/>
      <c r="CN104" s="52"/>
      <c r="CO104" s="52"/>
      <c r="CP104" s="52"/>
      <c r="CQ104" s="52"/>
      <c r="CR104" s="52"/>
      <c r="CS104" s="52"/>
      <c r="CT104" s="52"/>
      <c r="CU104" s="52"/>
      <c r="CV104" s="330"/>
      <c r="CW104" s="71"/>
      <c r="CX104" s="52"/>
      <c r="CY104" s="52"/>
      <c r="CZ104" s="52"/>
      <c r="DA104" s="52"/>
      <c r="DB104" s="52"/>
      <c r="DC104" s="52"/>
      <c r="DD104" s="52"/>
      <c r="DE104" s="52"/>
      <c r="DF104" s="52"/>
      <c r="DG104" s="52"/>
      <c r="DH104" s="52"/>
      <c r="DI104" s="52"/>
      <c r="DJ104" s="52"/>
      <c r="DK104" s="52"/>
      <c r="DL104" s="52"/>
      <c r="DM104" s="52"/>
      <c r="DN104" s="52"/>
      <c r="DO104" s="52"/>
      <c r="DP104" s="330"/>
      <c r="DQ104" s="71"/>
      <c r="DR104" s="52"/>
      <c r="DS104" s="52"/>
      <c r="DT104" s="52"/>
      <c r="DU104" s="52"/>
      <c r="DV104" s="52"/>
      <c r="DW104" s="52"/>
      <c r="DX104" s="52"/>
      <c r="DY104" s="52"/>
      <c r="DZ104" s="52"/>
      <c r="EA104" s="52"/>
      <c r="EB104" s="52"/>
      <c r="EC104" s="52"/>
      <c r="ED104" s="52"/>
      <c r="EE104" s="52"/>
      <c r="EF104" s="52"/>
      <c r="EG104" s="52"/>
      <c r="EH104" s="52"/>
      <c r="EI104" s="71"/>
      <c r="EJ104" s="3768"/>
      <c r="EK104" s="71">
        <v>20</v>
      </c>
      <c r="FD104" s="1373"/>
      <c r="FE104" s="699"/>
    </row>
    <row r="105" spans="1:161">
      <c r="A105" s="398"/>
      <c r="B105" s="52"/>
      <c r="C105" s="52"/>
      <c r="D105" s="52"/>
      <c r="E105" s="52"/>
      <c r="F105" s="52"/>
      <c r="G105" s="52"/>
      <c r="H105" s="52"/>
      <c r="I105" s="52"/>
      <c r="J105" s="52"/>
      <c r="K105" s="52"/>
      <c r="L105" s="52"/>
      <c r="M105" s="52"/>
      <c r="N105" s="52"/>
      <c r="O105" s="52"/>
      <c r="P105" s="52"/>
      <c r="Q105" s="71"/>
      <c r="R105" s="52"/>
      <c r="S105" s="52"/>
      <c r="T105" s="330"/>
      <c r="U105" s="685"/>
      <c r="V105" s="52"/>
      <c r="W105" s="52"/>
      <c r="X105" s="52"/>
      <c r="Y105" s="52"/>
      <c r="Z105" s="52"/>
      <c r="AA105" s="52"/>
      <c r="AB105" s="52"/>
      <c r="AC105" s="52"/>
      <c r="AD105" s="52"/>
      <c r="AE105" s="52"/>
      <c r="AF105" s="52"/>
      <c r="AG105" s="52"/>
      <c r="AH105" s="52"/>
      <c r="AI105" s="52"/>
      <c r="AJ105" s="52"/>
      <c r="AK105" s="71"/>
      <c r="AL105" s="52"/>
      <c r="AM105" s="52"/>
      <c r="AN105" s="330"/>
      <c r="AO105" s="695"/>
      <c r="AP105" s="695"/>
      <c r="AQ105" s="695"/>
      <c r="AR105" s="695"/>
      <c r="AS105" s="695"/>
      <c r="AT105" s="695"/>
      <c r="AU105" s="695"/>
      <c r="AV105" s="695"/>
      <c r="AW105" s="695"/>
      <c r="AX105" s="695"/>
      <c r="AY105" s="695"/>
      <c r="AZ105" s="695"/>
      <c r="BA105" s="695"/>
      <c r="BB105" s="695"/>
      <c r="BC105" s="695"/>
      <c r="BD105" s="695"/>
      <c r="BE105" s="695"/>
      <c r="BF105" s="695"/>
      <c r="BG105" s="695"/>
      <c r="BH105" s="695"/>
      <c r="BI105" s="685"/>
      <c r="BJ105" s="52"/>
      <c r="BK105" s="52"/>
      <c r="BL105" s="52"/>
      <c r="BM105" s="52"/>
      <c r="BN105" s="52"/>
      <c r="BO105" s="52"/>
      <c r="BP105" s="52"/>
      <c r="BQ105" s="52"/>
      <c r="BR105" s="52"/>
      <c r="BS105" s="52"/>
      <c r="BT105" s="52"/>
      <c r="BU105" s="52"/>
      <c r="BV105" s="52"/>
      <c r="BW105" s="52"/>
      <c r="BX105" s="52"/>
      <c r="BY105" s="71"/>
      <c r="BZ105" s="52"/>
      <c r="CA105" s="52"/>
      <c r="CB105" s="52"/>
      <c r="CC105" s="398"/>
      <c r="CD105" s="52"/>
      <c r="CE105" s="52"/>
      <c r="CF105" s="52"/>
      <c r="CG105" s="52"/>
      <c r="CH105" s="52"/>
      <c r="CI105" s="52"/>
      <c r="CJ105" s="52"/>
      <c r="CK105" s="52"/>
      <c r="CL105" s="52"/>
      <c r="CM105" s="52"/>
      <c r="CN105" s="52"/>
      <c r="CO105" s="52"/>
      <c r="CP105" s="52"/>
      <c r="CQ105" s="52"/>
      <c r="CR105" s="52"/>
      <c r="CS105" s="52"/>
      <c r="CT105" s="52"/>
      <c r="CU105" s="52"/>
      <c r="CV105" s="330"/>
      <c r="CW105" s="52"/>
      <c r="CX105" s="52"/>
      <c r="CY105" s="52"/>
      <c r="CZ105" s="52"/>
      <c r="DA105" s="52"/>
      <c r="DB105" s="52"/>
      <c r="DC105" s="52"/>
      <c r="DD105" s="52"/>
      <c r="DE105" s="52"/>
      <c r="DF105" s="52"/>
      <c r="DG105" s="52"/>
      <c r="DH105" s="52"/>
      <c r="DI105" s="52"/>
      <c r="DJ105" s="52"/>
      <c r="DK105" s="52"/>
      <c r="DL105" s="52"/>
      <c r="DM105" s="52"/>
      <c r="DN105" s="52"/>
      <c r="DO105" s="52"/>
      <c r="DP105" s="330"/>
      <c r="DQ105" s="52"/>
      <c r="DR105" s="52"/>
      <c r="DS105" s="540"/>
      <c r="DT105" s="540"/>
      <c r="DU105" s="540"/>
      <c r="DV105" s="540"/>
      <c r="DW105" s="540"/>
      <c r="DX105" s="540"/>
      <c r="DY105" s="540"/>
      <c r="DZ105" s="540"/>
      <c r="EA105" s="540"/>
      <c r="EB105" s="540"/>
      <c r="EC105" s="540"/>
      <c r="ED105" s="540"/>
      <c r="EE105" s="540"/>
      <c r="EF105" s="540"/>
      <c r="EG105" s="540"/>
      <c r="EH105" s="540"/>
      <c r="EI105" s="540"/>
      <c r="EJ105" s="738"/>
      <c r="EK105" s="540"/>
      <c r="FD105" s="1373"/>
      <c r="FE105" s="699"/>
    </row>
    <row r="106" spans="1:161">
      <c r="A106" s="398"/>
      <c r="B106" s="52"/>
      <c r="C106" s="52"/>
      <c r="D106" s="52"/>
      <c r="E106" s="52"/>
      <c r="F106" s="52"/>
      <c r="G106" s="52"/>
      <c r="H106" s="52"/>
      <c r="I106" s="52"/>
      <c r="J106" s="52"/>
      <c r="K106" s="52"/>
      <c r="L106" s="52"/>
      <c r="M106" s="52"/>
      <c r="N106" s="52"/>
      <c r="O106" s="52"/>
      <c r="P106" s="52"/>
      <c r="Q106" s="71"/>
      <c r="R106" s="52"/>
      <c r="S106" s="52"/>
      <c r="T106" s="330"/>
      <c r="U106" s="685"/>
      <c r="V106" s="52"/>
      <c r="W106" s="52"/>
      <c r="X106" s="52"/>
      <c r="Y106" s="52"/>
      <c r="Z106" s="52"/>
      <c r="AA106" s="52"/>
      <c r="AB106" s="52"/>
      <c r="AC106" s="52"/>
      <c r="AD106" s="52"/>
      <c r="AE106" s="52"/>
      <c r="AF106" s="52"/>
      <c r="AG106" s="52"/>
      <c r="AH106" s="52"/>
      <c r="AI106" s="52"/>
      <c r="AJ106" s="52"/>
      <c r="AK106" s="71"/>
      <c r="AL106" s="52"/>
      <c r="AM106" s="52"/>
      <c r="AN106" s="330"/>
      <c r="AO106" s="695"/>
      <c r="AP106" s="695"/>
      <c r="AQ106" s="695"/>
      <c r="AR106" s="695"/>
      <c r="AS106" s="695"/>
      <c r="AT106" s="695"/>
      <c r="AU106" s="695"/>
      <c r="AV106" s="695"/>
      <c r="AW106" s="695"/>
      <c r="AX106" s="695"/>
      <c r="AY106" s="695"/>
      <c r="AZ106" s="695"/>
      <c r="BA106" s="695"/>
      <c r="BB106" s="695"/>
      <c r="BC106" s="695"/>
      <c r="BD106" s="695"/>
      <c r="BE106" s="695"/>
      <c r="BF106" s="695"/>
      <c r="BG106" s="695"/>
      <c r="BH106" s="695"/>
      <c r="BI106" s="685"/>
      <c r="BJ106" s="52"/>
      <c r="BK106" s="52"/>
      <c r="BL106" s="52"/>
      <c r="BM106" s="52"/>
      <c r="BN106" s="52"/>
      <c r="BO106" s="52"/>
      <c r="BP106" s="52"/>
      <c r="BQ106" s="52"/>
      <c r="BR106" s="52"/>
      <c r="BS106" s="52"/>
      <c r="BT106" s="52"/>
      <c r="BU106" s="52"/>
      <c r="BV106" s="52"/>
      <c r="BW106" s="52"/>
      <c r="BX106" s="52"/>
      <c r="BY106" s="71"/>
      <c r="BZ106" s="52"/>
      <c r="CA106" s="52"/>
      <c r="CB106" s="52"/>
      <c r="CC106" s="398"/>
      <c r="CD106" s="52"/>
      <c r="CE106" s="52"/>
      <c r="CF106" s="52"/>
      <c r="CG106" s="52"/>
      <c r="CH106" s="52"/>
      <c r="CI106" s="52"/>
      <c r="CJ106" s="52"/>
      <c r="CK106" s="52"/>
      <c r="CL106" s="52"/>
      <c r="CM106" s="52"/>
      <c r="CN106" s="52"/>
      <c r="CO106" s="52"/>
      <c r="CP106" s="52"/>
      <c r="CQ106" s="52"/>
      <c r="CR106" s="52"/>
      <c r="CS106" s="52"/>
      <c r="CT106" s="52"/>
      <c r="CU106" s="52"/>
      <c r="CV106" s="330"/>
      <c r="CW106" s="52"/>
      <c r="CX106" s="52"/>
      <c r="CY106" s="52"/>
      <c r="CZ106" s="52"/>
      <c r="DA106" s="52"/>
      <c r="DB106" s="52"/>
      <c r="DC106" s="52"/>
      <c r="DD106" s="52"/>
      <c r="DE106" s="52"/>
      <c r="DF106" s="52"/>
      <c r="DG106" s="52"/>
      <c r="DH106" s="52"/>
      <c r="DI106" s="52"/>
      <c r="DJ106" s="52"/>
      <c r="DK106" s="52"/>
      <c r="DL106" s="52"/>
      <c r="DM106" s="52"/>
      <c r="DN106" s="52"/>
      <c r="DO106" s="52"/>
      <c r="DP106" s="330"/>
      <c r="DQ106" s="71"/>
      <c r="DR106" s="52"/>
      <c r="DS106" s="540"/>
      <c r="DT106" s="540"/>
      <c r="DU106" s="540"/>
      <c r="DV106" s="540"/>
      <c r="DW106" s="540"/>
      <c r="DX106" s="540"/>
      <c r="DY106" s="540"/>
      <c r="DZ106" s="540"/>
      <c r="EA106" s="540"/>
      <c r="EB106" s="540"/>
      <c r="EC106" s="540"/>
      <c r="ED106" s="540"/>
      <c r="EE106" s="540"/>
      <c r="EF106" s="540"/>
      <c r="EG106" s="540"/>
      <c r="EH106" s="540"/>
      <c r="EI106" s="540"/>
      <c r="EJ106" s="738"/>
      <c r="EK106" s="540"/>
      <c r="FD106" s="1373"/>
      <c r="FE106" s="699"/>
    </row>
    <row r="107" spans="1:161">
      <c r="A107" s="398"/>
      <c r="B107" s="52"/>
      <c r="C107" s="52"/>
      <c r="D107" s="52"/>
      <c r="E107" s="52"/>
      <c r="F107" s="52"/>
      <c r="G107" s="52"/>
      <c r="H107" s="52"/>
      <c r="I107" s="52"/>
      <c r="J107" s="52"/>
      <c r="K107" s="52"/>
      <c r="L107" s="52"/>
      <c r="M107" s="52"/>
      <c r="N107" s="52"/>
      <c r="O107" s="52"/>
      <c r="P107" s="52"/>
      <c r="Q107" s="71"/>
      <c r="R107" s="52"/>
      <c r="S107" s="52"/>
      <c r="T107" s="330"/>
      <c r="U107" s="685"/>
      <c r="V107" s="52"/>
      <c r="W107" s="52"/>
      <c r="X107" s="52"/>
      <c r="Y107" s="52"/>
      <c r="Z107" s="52"/>
      <c r="AA107" s="52"/>
      <c r="AB107" s="52"/>
      <c r="AC107" s="52"/>
      <c r="AD107" s="52"/>
      <c r="AE107" s="52"/>
      <c r="AF107" s="52"/>
      <c r="AG107" s="52"/>
      <c r="AH107" s="52"/>
      <c r="AI107" s="52"/>
      <c r="AJ107" s="52"/>
      <c r="AK107" s="71"/>
      <c r="AL107" s="52"/>
      <c r="AM107" s="52"/>
      <c r="AN107" s="330"/>
      <c r="AO107" s="695"/>
      <c r="AP107" s="695"/>
      <c r="AQ107" s="695"/>
      <c r="AR107" s="695"/>
      <c r="AS107" s="695"/>
      <c r="AT107" s="695"/>
      <c r="AU107" s="695"/>
      <c r="AV107" s="695"/>
      <c r="AW107" s="695"/>
      <c r="AX107" s="695"/>
      <c r="AY107" s="695"/>
      <c r="AZ107" s="695"/>
      <c r="BA107" s="695"/>
      <c r="BB107" s="695"/>
      <c r="BC107" s="695"/>
      <c r="BD107" s="695"/>
      <c r="BE107" s="695"/>
      <c r="BF107" s="695"/>
      <c r="BG107" s="695"/>
      <c r="BH107" s="695"/>
      <c r="BI107" s="685"/>
      <c r="BJ107" s="52"/>
      <c r="BK107" s="52"/>
      <c r="BL107" s="52"/>
      <c r="BM107" s="52"/>
      <c r="BN107" s="52"/>
      <c r="BO107" s="52"/>
      <c r="BP107" s="52"/>
      <c r="BQ107" s="52"/>
      <c r="BR107" s="52"/>
      <c r="BS107" s="52"/>
      <c r="BT107" s="52"/>
      <c r="BU107" s="52"/>
      <c r="BV107" s="52"/>
      <c r="BW107" s="52"/>
      <c r="BX107" s="52"/>
      <c r="BY107" s="71"/>
      <c r="BZ107" s="52"/>
      <c r="CA107" s="52"/>
      <c r="CB107" s="52"/>
      <c r="CC107" s="398"/>
      <c r="CD107" s="52"/>
      <c r="CE107" s="52"/>
      <c r="CF107" s="52"/>
      <c r="CG107" s="52"/>
      <c r="CH107" s="52"/>
      <c r="CI107" s="52"/>
      <c r="CJ107" s="52"/>
      <c r="CK107" s="52"/>
      <c r="CL107" s="52"/>
      <c r="CM107" s="52"/>
      <c r="CN107" s="52"/>
      <c r="CO107" s="52"/>
      <c r="CP107" s="52"/>
      <c r="CQ107" s="52"/>
      <c r="CR107" s="52"/>
      <c r="CS107" s="52"/>
      <c r="CT107" s="52"/>
      <c r="CU107" s="52"/>
      <c r="CV107" s="330"/>
      <c r="CW107" s="52"/>
      <c r="DP107" s="330">
        <v>912</v>
      </c>
      <c r="DQ107" s="71"/>
      <c r="DR107" s="52"/>
      <c r="DS107" s="540"/>
      <c r="DT107" s="540"/>
      <c r="DU107" s="540"/>
      <c r="DV107" s="540"/>
      <c r="DW107" s="540"/>
      <c r="DX107" s="540"/>
      <c r="DY107" s="540"/>
      <c r="DZ107" s="540"/>
      <c r="EA107" s="540"/>
      <c r="EB107" s="540"/>
      <c r="EC107" s="540"/>
      <c r="ED107" s="540"/>
      <c r="EE107" s="540"/>
      <c r="EF107" s="540"/>
      <c r="EG107" s="540"/>
      <c r="EH107" s="540"/>
      <c r="EI107" s="540"/>
      <c r="EJ107" s="738"/>
      <c r="EK107" s="540"/>
      <c r="FD107" s="1373"/>
      <c r="FE107" s="699"/>
    </row>
    <row r="108" spans="1:161">
      <c r="A108" s="398">
        <v>50</v>
      </c>
      <c r="B108" s="52"/>
      <c r="C108" s="52"/>
      <c r="D108" s="52"/>
      <c r="E108" s="52"/>
      <c r="F108" s="52"/>
      <c r="G108" s="52"/>
      <c r="H108" s="52"/>
      <c r="I108" s="52"/>
      <c r="J108" s="52"/>
      <c r="K108" s="52"/>
      <c r="L108" s="52"/>
      <c r="M108" s="52"/>
      <c r="N108" s="52"/>
      <c r="O108" s="52"/>
      <c r="P108" s="52"/>
      <c r="Q108" s="71"/>
      <c r="R108" s="52"/>
      <c r="S108" s="52"/>
      <c r="T108" s="330"/>
      <c r="U108" s="685"/>
      <c r="V108" s="52"/>
      <c r="W108" s="52"/>
      <c r="X108" s="52"/>
      <c r="Y108" s="52"/>
      <c r="Z108" s="52"/>
      <c r="AA108" s="52"/>
      <c r="AB108" s="52"/>
      <c r="AC108" s="52"/>
      <c r="AD108" s="52"/>
      <c r="AE108" s="52"/>
      <c r="AF108" s="52"/>
      <c r="AG108" s="52"/>
      <c r="AH108" s="52"/>
      <c r="AI108" s="52"/>
      <c r="AJ108" s="52"/>
      <c r="AK108" s="71"/>
      <c r="AL108" s="52"/>
      <c r="AM108" s="52"/>
      <c r="AN108" s="330"/>
      <c r="AO108" s="695"/>
      <c r="AP108" s="695"/>
      <c r="AQ108" s="695"/>
      <c r="AR108" s="695"/>
      <c r="AS108" s="695"/>
      <c r="AT108" s="695"/>
      <c r="AU108" s="695"/>
      <c r="AV108" s="695"/>
      <c r="AW108" s="695"/>
      <c r="AX108" s="695"/>
      <c r="AY108" s="695"/>
      <c r="AZ108" s="695"/>
      <c r="BA108" s="695"/>
      <c r="BB108" s="695"/>
      <c r="BC108" s="695"/>
      <c r="BD108" s="695"/>
      <c r="BE108" s="695"/>
      <c r="BF108" s="695"/>
      <c r="BG108" s="695"/>
      <c r="BH108" s="695"/>
      <c r="BI108" s="398"/>
      <c r="BJ108" s="52"/>
      <c r="BK108" s="52"/>
      <c r="BL108" s="52"/>
      <c r="BM108" s="52"/>
      <c r="BN108" s="52"/>
      <c r="BO108" s="52"/>
      <c r="BP108" s="52"/>
      <c r="BQ108" s="52"/>
      <c r="BR108" s="52"/>
      <c r="BS108" s="52"/>
      <c r="BT108" s="52"/>
      <c r="BU108" s="52"/>
      <c r="BV108" s="52"/>
      <c r="BW108" s="71"/>
      <c r="BX108" s="52"/>
      <c r="BY108" s="71"/>
      <c r="BZ108" s="52"/>
      <c r="CA108" s="52"/>
      <c r="CB108" s="52"/>
      <c r="CC108" s="398"/>
      <c r="CD108" s="52"/>
      <c r="CE108" s="52"/>
      <c r="CF108" s="52"/>
      <c r="CG108" s="52"/>
      <c r="CH108" s="52"/>
      <c r="CI108" s="52"/>
      <c r="CJ108" s="52"/>
      <c r="CK108" s="52"/>
      <c r="CL108" s="52"/>
      <c r="CM108" s="52"/>
      <c r="CN108" s="52"/>
      <c r="CO108" s="52"/>
      <c r="CP108" s="52"/>
      <c r="CQ108" s="52"/>
      <c r="CR108" s="52"/>
      <c r="CS108" s="52"/>
      <c r="CT108" s="52"/>
      <c r="CU108" s="52"/>
      <c r="CV108" s="330"/>
      <c r="CW108" s="52"/>
      <c r="CX108" s="52"/>
      <c r="CY108" s="52"/>
      <c r="CZ108" s="52"/>
      <c r="DA108" s="52"/>
      <c r="DB108" s="52"/>
      <c r="DC108" s="52"/>
      <c r="DD108" s="52"/>
      <c r="DE108" s="52"/>
      <c r="DF108" s="52"/>
      <c r="DG108" s="52"/>
      <c r="DH108" s="52"/>
      <c r="DI108" s="52"/>
      <c r="DJ108" s="52"/>
      <c r="DK108" s="52"/>
      <c r="DL108" s="52"/>
      <c r="DM108" s="52"/>
      <c r="DN108" s="52"/>
      <c r="DO108" s="52"/>
      <c r="DP108" s="330"/>
      <c r="DQ108" s="71"/>
      <c r="DR108" s="52"/>
      <c r="DS108" s="540"/>
      <c r="DT108" s="540"/>
      <c r="DU108" s="540"/>
      <c r="DV108" s="540"/>
      <c r="DW108" s="540"/>
      <c r="DX108" s="540"/>
      <c r="DY108" s="540"/>
      <c r="DZ108" s="540"/>
      <c r="EA108" s="540"/>
      <c r="EB108" s="540"/>
      <c r="EC108" s="540"/>
      <c r="ED108" s="540"/>
      <c r="EE108" s="540"/>
      <c r="EF108" s="540"/>
      <c r="EG108" s="540"/>
      <c r="EH108" s="540"/>
      <c r="EI108" s="540"/>
      <c r="EJ108" s="738"/>
      <c r="EK108" s="540"/>
      <c r="FD108" s="1373"/>
      <c r="FE108" s="699"/>
    </row>
    <row r="109" spans="1:161">
      <c r="A109" s="398"/>
      <c r="B109" s="52"/>
      <c r="C109" s="52"/>
      <c r="D109" s="52"/>
      <c r="E109" s="52"/>
      <c r="F109" s="52"/>
      <c r="G109" s="52"/>
      <c r="H109" s="52"/>
      <c r="I109" s="52"/>
      <c r="J109" s="52"/>
      <c r="K109" s="52"/>
      <c r="L109" s="52"/>
      <c r="M109" s="52"/>
      <c r="N109" s="52"/>
      <c r="O109" s="52"/>
      <c r="P109" s="52"/>
      <c r="Q109" s="71"/>
      <c r="R109" s="52"/>
      <c r="S109" s="52"/>
      <c r="T109" s="330"/>
      <c r="U109" s="685"/>
      <c r="V109" s="52"/>
      <c r="W109" s="52"/>
      <c r="X109" s="52"/>
      <c r="Y109" s="52"/>
      <c r="Z109" s="52"/>
      <c r="AA109" s="52"/>
      <c r="AB109" s="52"/>
      <c r="AC109" s="52"/>
      <c r="AD109" s="52"/>
      <c r="AE109" s="52"/>
      <c r="AF109" s="52"/>
      <c r="AG109" s="52"/>
      <c r="AH109" s="52"/>
      <c r="AI109" s="52"/>
      <c r="AJ109" s="52"/>
      <c r="AK109" s="71"/>
      <c r="AL109" s="52"/>
      <c r="AM109" s="52"/>
      <c r="AN109" s="330"/>
      <c r="AO109" s="695"/>
      <c r="AP109" s="695"/>
      <c r="AQ109" s="695"/>
      <c r="AR109" s="695"/>
      <c r="AS109" s="695"/>
      <c r="AT109" s="695"/>
      <c r="AU109" s="695"/>
      <c r="AV109" s="695"/>
      <c r="AW109" s="695"/>
      <c r="AX109" s="695"/>
      <c r="AY109" s="695"/>
      <c r="AZ109" s="695"/>
      <c r="BA109" s="695"/>
      <c r="BB109" s="695"/>
      <c r="BC109" s="695"/>
      <c r="BD109" s="695"/>
      <c r="BE109" s="695"/>
      <c r="BF109" s="695"/>
      <c r="BG109" s="695"/>
      <c r="BH109" s="695"/>
      <c r="BI109" s="398"/>
      <c r="BJ109" s="52"/>
      <c r="BK109" s="52"/>
      <c r="BL109" s="52"/>
      <c r="BM109" s="52"/>
      <c r="BN109" s="52"/>
      <c r="BO109" s="52"/>
      <c r="BP109" s="52"/>
      <c r="BQ109" s="52"/>
      <c r="BR109" s="52"/>
      <c r="BS109" s="52"/>
      <c r="BT109" s="52"/>
      <c r="BU109" s="52"/>
      <c r="BV109" s="52"/>
      <c r="BW109" s="52"/>
      <c r="BX109" s="52"/>
      <c r="BY109" s="52"/>
      <c r="BZ109" s="52"/>
      <c r="CA109" s="52"/>
      <c r="CB109" s="52"/>
      <c r="CC109" s="398"/>
      <c r="CD109" s="52"/>
      <c r="CE109" s="52"/>
      <c r="CF109" s="52"/>
      <c r="CG109" s="52"/>
      <c r="CH109" s="52"/>
      <c r="CI109" s="52"/>
      <c r="CJ109" s="52"/>
      <c r="CK109" s="52"/>
      <c r="CL109" s="52"/>
      <c r="CM109" s="52"/>
      <c r="CN109" s="52"/>
      <c r="CO109" s="52"/>
      <c r="CP109" s="52"/>
      <c r="CQ109" s="52"/>
      <c r="CR109" s="52"/>
      <c r="CS109" s="52"/>
      <c r="CT109" s="52"/>
      <c r="CU109" s="52"/>
      <c r="CV109" s="330"/>
      <c r="CW109" s="52"/>
      <c r="CX109" s="52"/>
      <c r="CY109" s="52"/>
      <c r="CZ109" s="52"/>
      <c r="DA109" s="52"/>
      <c r="DB109" s="52"/>
      <c r="DC109" s="52"/>
      <c r="DD109" s="52"/>
      <c r="DE109" s="52"/>
      <c r="DF109" s="52"/>
      <c r="DG109" s="52"/>
      <c r="DH109" s="52"/>
      <c r="DI109" s="52"/>
      <c r="DJ109" s="52"/>
      <c r="DK109" s="52"/>
      <c r="DL109" s="52"/>
      <c r="DM109" s="52"/>
      <c r="DN109" s="52"/>
      <c r="DO109" s="52"/>
      <c r="DP109" s="330"/>
      <c r="DQ109" s="71"/>
      <c r="DR109" s="52"/>
      <c r="DS109" s="540"/>
      <c r="DT109" s="540"/>
      <c r="DU109" s="540"/>
      <c r="DV109" s="540"/>
      <c r="DW109" s="540"/>
      <c r="DX109" s="540"/>
      <c r="DY109" s="540"/>
      <c r="DZ109" s="540"/>
      <c r="EA109" s="540"/>
      <c r="EB109" s="540"/>
      <c r="EC109" s="540"/>
      <c r="ED109" s="540"/>
      <c r="EE109" s="540"/>
      <c r="EF109" s="540"/>
      <c r="EG109" s="540"/>
      <c r="EH109" s="3739"/>
      <c r="EI109" s="540"/>
      <c r="EJ109" s="738"/>
      <c r="EK109" s="540">
        <v>12</v>
      </c>
      <c r="FD109" s="1373"/>
      <c r="FE109" s="699"/>
    </row>
    <row r="110" spans="1:161">
      <c r="A110" s="398"/>
      <c r="B110" s="52"/>
      <c r="C110" s="52"/>
      <c r="D110" s="52"/>
      <c r="E110" s="52"/>
      <c r="F110" s="52"/>
      <c r="G110" s="52"/>
      <c r="H110" s="52"/>
      <c r="I110" s="52"/>
      <c r="J110" s="52"/>
      <c r="K110" s="52"/>
      <c r="L110" s="52"/>
      <c r="M110" s="52"/>
      <c r="N110" s="52"/>
      <c r="O110" s="52"/>
      <c r="P110" s="52"/>
      <c r="Q110" s="52"/>
      <c r="R110" s="52"/>
      <c r="S110" s="52"/>
      <c r="T110" s="330"/>
      <c r="U110" s="398"/>
      <c r="V110" s="52"/>
      <c r="W110" s="52"/>
      <c r="X110" s="52"/>
      <c r="Y110" s="52"/>
      <c r="Z110" s="52"/>
      <c r="AA110" s="52"/>
      <c r="AB110" s="52"/>
      <c r="AC110" s="52"/>
      <c r="AD110" s="52"/>
      <c r="AE110" s="52"/>
      <c r="AF110" s="52"/>
      <c r="AG110" s="52"/>
      <c r="AH110" s="52"/>
      <c r="AI110" s="71"/>
      <c r="AJ110" s="52"/>
      <c r="AK110" s="71"/>
      <c r="AL110" s="52"/>
      <c r="AM110" s="52"/>
      <c r="AN110" s="330"/>
      <c r="AO110" s="695"/>
      <c r="AP110" s="695"/>
      <c r="AQ110" s="695"/>
      <c r="AR110" s="695"/>
      <c r="AS110" s="695"/>
      <c r="AT110" s="695"/>
      <c r="AU110" s="695"/>
      <c r="AV110" s="695"/>
      <c r="AW110" s="695"/>
      <c r="AX110" s="695"/>
      <c r="AY110" s="695"/>
      <c r="AZ110" s="695"/>
      <c r="BA110" s="695"/>
      <c r="BB110" s="695"/>
      <c r="BC110" s="695"/>
      <c r="BD110" s="695"/>
      <c r="BE110" s="695"/>
      <c r="BF110" s="695"/>
      <c r="BG110" s="695"/>
      <c r="BH110" s="3768"/>
      <c r="BI110" s="52"/>
      <c r="BJ110" s="52"/>
      <c r="BK110" s="321"/>
      <c r="BL110" s="321"/>
      <c r="BM110" s="321"/>
      <c r="BN110" s="321"/>
      <c r="BO110" s="321"/>
      <c r="BP110" s="321"/>
      <c r="BQ110" s="321"/>
      <c r="BR110" s="321"/>
      <c r="BS110" s="321"/>
      <c r="BT110" s="52"/>
      <c r="BU110" s="52"/>
      <c r="BV110" s="52"/>
      <c r="BW110" s="52"/>
      <c r="BX110" s="52"/>
      <c r="BY110" s="52"/>
      <c r="BZ110" s="52"/>
      <c r="CA110" s="52"/>
      <c r="CB110" s="52"/>
      <c r="CC110" s="398"/>
      <c r="CD110" s="52"/>
      <c r="CE110" s="52"/>
      <c r="CF110" s="52"/>
      <c r="CG110" s="52"/>
      <c r="CH110" s="52"/>
      <c r="CI110" s="52"/>
      <c r="CJ110" s="52"/>
      <c r="CK110" s="52"/>
      <c r="CL110" s="52"/>
      <c r="CM110" s="52"/>
      <c r="CN110" s="52"/>
      <c r="CO110" s="52"/>
      <c r="CP110" s="52"/>
      <c r="CQ110" s="52"/>
      <c r="CR110" s="52"/>
      <c r="CS110" s="52"/>
      <c r="CT110" s="52"/>
      <c r="CU110" s="52"/>
      <c r="CV110" s="330"/>
      <c r="CW110" s="52"/>
      <c r="CX110" s="52"/>
      <c r="CY110" s="52"/>
      <c r="CZ110" s="52"/>
      <c r="DA110" s="52"/>
      <c r="DB110" s="52"/>
      <c r="DC110" s="52"/>
      <c r="DD110" s="52"/>
      <c r="DE110" s="52"/>
      <c r="DF110" s="52"/>
      <c r="DG110" s="52"/>
      <c r="DH110" s="52"/>
      <c r="DI110" s="52"/>
      <c r="DJ110" s="52"/>
      <c r="DK110" s="52"/>
      <c r="DL110" s="52"/>
      <c r="DM110" s="52"/>
      <c r="DN110" s="52"/>
      <c r="DO110" s="52"/>
      <c r="DP110" s="330"/>
      <c r="DQ110" s="71"/>
      <c r="DR110" s="52"/>
      <c r="DS110" s="540"/>
      <c r="DT110" s="540"/>
      <c r="DU110" s="540"/>
      <c r="DV110" s="540"/>
      <c r="DW110" s="540"/>
      <c r="DX110" s="540"/>
      <c r="DY110" s="540"/>
      <c r="DZ110" s="540"/>
      <c r="EA110" s="540"/>
      <c r="EB110" s="540"/>
      <c r="EC110" s="540"/>
      <c r="ED110" s="540"/>
      <c r="EE110" s="540"/>
      <c r="EF110" s="540"/>
      <c r="EG110" s="540"/>
      <c r="EH110" s="540"/>
      <c r="EI110" s="540"/>
      <c r="EJ110" s="738"/>
      <c r="EK110" s="52">
        <v>0</v>
      </c>
      <c r="FD110" s="1373"/>
      <c r="FE110" s="699"/>
    </row>
    <row r="111" spans="1:161">
      <c r="A111" s="398">
        <v>1</v>
      </c>
      <c r="B111" s="52"/>
      <c r="C111" s="52"/>
      <c r="D111" s="52"/>
      <c r="E111" s="52"/>
      <c r="F111" s="52"/>
      <c r="G111" s="52"/>
      <c r="H111" s="52"/>
      <c r="I111" s="52"/>
      <c r="J111" s="52"/>
      <c r="K111" s="52"/>
      <c r="L111" s="52"/>
      <c r="M111" s="52"/>
      <c r="N111" s="52"/>
      <c r="O111" s="52"/>
      <c r="P111" s="52"/>
      <c r="Q111" s="52"/>
      <c r="R111" s="52"/>
      <c r="S111" s="52"/>
      <c r="T111" s="330"/>
      <c r="U111" s="398"/>
      <c r="V111" s="52"/>
      <c r="W111" s="52"/>
      <c r="X111" s="321"/>
      <c r="Y111" s="321"/>
      <c r="Z111" s="321"/>
      <c r="AA111" s="321"/>
      <c r="AB111" s="321"/>
      <c r="AC111" s="321"/>
      <c r="AD111" s="321"/>
      <c r="AE111" s="321"/>
      <c r="AF111" s="52"/>
      <c r="AG111" s="3740"/>
      <c r="AH111" s="52"/>
      <c r="AI111" s="52"/>
      <c r="AJ111" s="52"/>
      <c r="AK111" s="52"/>
      <c r="AL111" s="52"/>
      <c r="AM111" s="52"/>
      <c r="AN111" s="330"/>
      <c r="AO111" s="52"/>
      <c r="AP111" s="52"/>
      <c r="AQ111" s="52"/>
      <c r="AR111" s="52"/>
      <c r="AS111" s="52"/>
      <c r="AT111" s="52"/>
      <c r="AU111" s="52"/>
      <c r="AV111" s="52"/>
      <c r="AW111" s="695"/>
      <c r="AX111" s="695"/>
      <c r="AY111" s="695"/>
      <c r="AZ111" s="695"/>
      <c r="BA111" s="695"/>
      <c r="BB111" s="695"/>
      <c r="BC111" s="695"/>
      <c r="BD111" s="695"/>
      <c r="BE111" s="695"/>
      <c r="BF111" s="695"/>
      <c r="BG111" s="695"/>
      <c r="BH111" s="3768"/>
      <c r="BI111" s="52"/>
      <c r="BJ111" s="52"/>
      <c r="BK111" s="321"/>
      <c r="BL111" s="321"/>
      <c r="BM111" s="321"/>
      <c r="BN111" s="321"/>
      <c r="BO111" s="321"/>
      <c r="BP111" s="321"/>
      <c r="BQ111" s="321"/>
      <c r="BR111" s="3740"/>
      <c r="BS111" s="3740"/>
      <c r="BT111" s="3740"/>
      <c r="BU111" s="52"/>
      <c r="BV111" s="3769"/>
      <c r="BW111" s="52"/>
      <c r="BX111" s="52"/>
      <c r="BY111" s="52"/>
      <c r="BZ111" s="52"/>
      <c r="CA111" s="52"/>
      <c r="CB111" s="52"/>
      <c r="CC111" s="398"/>
      <c r="CD111" s="52"/>
      <c r="CE111" s="52"/>
      <c r="CF111" s="52"/>
      <c r="CG111" s="52"/>
      <c r="CH111" s="52"/>
      <c r="CI111" s="52"/>
      <c r="CJ111" s="52"/>
      <c r="CK111" s="52"/>
      <c r="CL111" s="52"/>
      <c r="CM111" s="52"/>
      <c r="CN111" s="52"/>
      <c r="CO111" s="52"/>
      <c r="CP111" s="52"/>
      <c r="CQ111" s="52"/>
      <c r="CR111" s="52"/>
      <c r="CS111" s="52"/>
      <c r="CT111" s="52"/>
      <c r="CU111" s="52"/>
      <c r="CV111" s="330"/>
      <c r="CW111" s="52"/>
      <c r="CX111" s="52"/>
      <c r="CY111" s="52"/>
      <c r="CZ111" s="52"/>
      <c r="DA111" s="52"/>
      <c r="DB111" s="52"/>
      <c r="DC111" s="52"/>
      <c r="DD111" s="52"/>
      <c r="DE111" s="52"/>
      <c r="DF111" s="52"/>
      <c r="DG111" s="52"/>
      <c r="DH111" s="52"/>
      <c r="DI111" s="52"/>
      <c r="DJ111" s="52"/>
      <c r="DK111" s="52"/>
      <c r="DL111" s="52"/>
      <c r="DM111" s="52"/>
      <c r="DN111" s="52"/>
      <c r="DO111" s="52"/>
      <c r="DP111" s="330"/>
      <c r="DQ111" s="71"/>
      <c r="DR111" s="52"/>
      <c r="DS111" s="540"/>
      <c r="DT111" s="540"/>
      <c r="DU111" s="540"/>
      <c r="DV111" s="540"/>
      <c r="DW111" s="540"/>
      <c r="DX111" s="540"/>
      <c r="DY111" s="540"/>
      <c r="DZ111" s="540"/>
      <c r="EA111" s="540"/>
      <c r="EB111" s="540"/>
      <c r="EC111" s="540"/>
      <c r="ED111" s="540"/>
      <c r="EE111" s="540"/>
      <c r="EF111" s="540"/>
      <c r="EG111" s="540"/>
      <c r="EH111" s="540"/>
      <c r="EI111" s="540"/>
      <c r="EJ111" s="738"/>
      <c r="EK111" s="52"/>
      <c r="FD111" s="1373"/>
      <c r="FE111" s="699"/>
    </row>
    <row r="112" spans="1:161">
      <c r="A112" s="52"/>
      <c r="B112" s="52"/>
      <c r="C112" s="52"/>
      <c r="D112" s="52"/>
      <c r="E112" s="52"/>
      <c r="F112" s="3740"/>
      <c r="G112" s="52"/>
      <c r="H112" s="52"/>
      <c r="I112" s="52"/>
      <c r="J112" s="52"/>
      <c r="K112" s="52"/>
      <c r="L112" s="52"/>
      <c r="M112" s="52"/>
      <c r="N112" s="52"/>
      <c r="O112" s="52"/>
      <c r="P112" s="52"/>
      <c r="Q112" s="52"/>
      <c r="R112" s="52"/>
      <c r="S112" s="52"/>
      <c r="T112" s="330"/>
      <c r="U112" s="398"/>
      <c r="V112" s="52"/>
      <c r="W112" s="52"/>
      <c r="X112" s="321"/>
      <c r="Y112" s="321"/>
      <c r="Z112" s="321"/>
      <c r="AA112" s="321"/>
      <c r="AB112" s="321"/>
      <c r="AC112" s="321"/>
      <c r="AD112" s="3740"/>
      <c r="AE112" s="3740"/>
      <c r="AF112" s="3740"/>
      <c r="AG112" s="52"/>
      <c r="AH112" s="52"/>
      <c r="AI112" s="52"/>
      <c r="AJ112" s="52"/>
      <c r="AK112" s="52"/>
      <c r="AL112" s="52"/>
      <c r="AM112" s="52"/>
      <c r="AN112" s="330"/>
      <c r="AO112" s="52"/>
      <c r="AP112" s="52"/>
      <c r="AQ112" s="52"/>
      <c r="AR112" s="52"/>
      <c r="AS112" s="52"/>
      <c r="AT112" s="52"/>
      <c r="AU112" s="52"/>
      <c r="AV112" s="52"/>
      <c r="AW112" s="695"/>
      <c r="AX112" s="695"/>
      <c r="AY112" s="695"/>
      <c r="AZ112" s="695"/>
      <c r="BA112" s="695"/>
      <c r="BB112" s="695"/>
      <c r="BC112" s="695"/>
      <c r="BD112" s="695"/>
      <c r="BE112" s="695"/>
      <c r="BF112" s="695"/>
      <c r="BG112" s="695"/>
      <c r="BH112" s="3768"/>
      <c r="BI112" s="52"/>
      <c r="BJ112" s="52"/>
      <c r="BK112" s="321"/>
      <c r="BL112" s="321"/>
      <c r="BM112" s="321"/>
      <c r="BN112" s="321"/>
      <c r="BO112" s="321"/>
      <c r="BP112" s="321"/>
      <c r="BQ112" s="3740"/>
      <c r="BR112" s="321"/>
      <c r="BS112" s="321"/>
      <c r="BT112" s="52"/>
      <c r="BU112" s="3740"/>
      <c r="BV112" s="3786"/>
      <c r="BW112" s="481"/>
      <c r="BX112" s="52"/>
      <c r="BY112" s="71"/>
      <c r="BZ112" s="52"/>
      <c r="CA112" s="52"/>
      <c r="CB112" s="52"/>
      <c r="CC112" s="398"/>
      <c r="CD112" s="52"/>
      <c r="CE112" s="52"/>
      <c r="CF112" s="52"/>
      <c r="CG112" s="52"/>
      <c r="CH112" s="52"/>
      <c r="CI112" s="52"/>
      <c r="CJ112" s="52"/>
      <c r="CK112" s="52"/>
      <c r="CL112" s="52"/>
      <c r="CM112" s="52"/>
      <c r="CN112" s="52"/>
      <c r="CO112" s="52"/>
      <c r="CP112" s="52"/>
      <c r="CQ112" s="52"/>
      <c r="CR112" s="52"/>
      <c r="CS112" s="3739"/>
      <c r="CT112" s="52"/>
      <c r="CU112" s="52"/>
      <c r="CV112" s="330"/>
      <c r="CW112" s="52"/>
      <c r="CX112" s="52"/>
      <c r="CY112" s="52"/>
      <c r="CZ112" s="52"/>
      <c r="DA112" s="52"/>
      <c r="DB112" s="52"/>
      <c r="DC112" s="52"/>
      <c r="DD112" s="52"/>
      <c r="DE112" s="52"/>
      <c r="DF112" s="52"/>
      <c r="DG112" s="52"/>
      <c r="DH112" s="52"/>
      <c r="DI112" s="52"/>
      <c r="DJ112" s="52"/>
      <c r="DK112" s="52"/>
      <c r="DL112" s="52"/>
      <c r="DM112" s="52"/>
      <c r="DN112" s="52"/>
      <c r="DO112" s="52"/>
      <c r="DP112" s="330"/>
      <c r="DQ112" s="52"/>
      <c r="DR112" s="52"/>
      <c r="DS112" s="540"/>
      <c r="DT112" s="540"/>
      <c r="DU112" s="540"/>
      <c r="DV112" s="540"/>
      <c r="DW112" s="540"/>
      <c r="DX112" s="540"/>
      <c r="DY112" s="540"/>
      <c r="DZ112" s="540"/>
      <c r="EA112" s="540"/>
      <c r="EB112" s="540"/>
      <c r="EC112" s="540"/>
      <c r="ED112" s="540"/>
      <c r="EE112" s="540"/>
      <c r="EF112" s="540"/>
      <c r="EG112" s="540"/>
      <c r="EH112" s="540"/>
      <c r="EI112" s="540"/>
      <c r="EJ112" s="738"/>
      <c r="EK112" s="540"/>
      <c r="FD112" s="1373"/>
      <c r="FE112" s="699"/>
    </row>
    <row r="113" spans="1:161">
      <c r="A113" s="52">
        <v>2</v>
      </c>
      <c r="B113" s="52"/>
      <c r="C113" s="52"/>
      <c r="D113" s="3740"/>
      <c r="E113" s="3740"/>
      <c r="F113" s="52"/>
      <c r="G113" s="52"/>
      <c r="H113" s="52"/>
      <c r="I113" s="52"/>
      <c r="J113" s="52"/>
      <c r="K113" s="52"/>
      <c r="L113" s="52"/>
      <c r="M113" s="52"/>
      <c r="N113" s="52"/>
      <c r="O113" s="52"/>
      <c r="P113" s="52"/>
      <c r="Q113" s="52"/>
      <c r="R113" s="52"/>
      <c r="S113" s="52"/>
      <c r="T113" s="330"/>
      <c r="U113" s="398"/>
      <c r="V113" s="52"/>
      <c r="W113" s="52"/>
      <c r="X113" s="321"/>
      <c r="Y113" s="321"/>
      <c r="Z113" s="321"/>
      <c r="AA113" s="321"/>
      <c r="AB113" s="321"/>
      <c r="AC113" s="3740"/>
      <c r="AD113" s="321"/>
      <c r="AE113" s="321"/>
      <c r="AF113" s="52"/>
      <c r="AG113" s="52"/>
      <c r="AH113" s="52"/>
      <c r="AI113" s="52"/>
      <c r="AJ113" s="52"/>
      <c r="AK113" s="52"/>
      <c r="AL113" s="52"/>
      <c r="AM113" s="52"/>
      <c r="AN113" s="330"/>
      <c r="AO113" s="52"/>
      <c r="AP113" s="52"/>
      <c r="AQ113" s="52"/>
      <c r="AR113" s="52"/>
      <c r="AS113" s="52"/>
      <c r="AT113" s="52"/>
      <c r="AU113" s="52"/>
      <c r="AV113" s="52"/>
      <c r="AW113" s="695"/>
      <c r="AX113" s="695"/>
      <c r="AY113" s="695"/>
      <c r="AZ113" s="695"/>
      <c r="BA113" s="695"/>
      <c r="BB113" s="695"/>
      <c r="BC113" s="695"/>
      <c r="BD113" s="695"/>
      <c r="BE113" s="695"/>
      <c r="BF113" s="695"/>
      <c r="BG113" s="695"/>
      <c r="BH113" s="3768"/>
      <c r="BI113" s="52"/>
      <c r="BJ113" s="52"/>
      <c r="BK113" s="321"/>
      <c r="BL113" s="321"/>
      <c r="BM113" s="321"/>
      <c r="BN113" s="321"/>
      <c r="BO113" s="321"/>
      <c r="BP113" s="3740"/>
      <c r="BQ113" s="321"/>
      <c r="BR113" s="321"/>
      <c r="BS113" s="321"/>
      <c r="BT113" s="52"/>
      <c r="BU113" s="52"/>
      <c r="BV113" s="3769"/>
      <c r="BW113" s="52"/>
      <c r="BX113" s="52"/>
      <c r="BY113" s="52"/>
      <c r="BZ113" s="52"/>
      <c r="CA113" s="52"/>
      <c r="CB113" s="52"/>
      <c r="CC113" s="398"/>
      <c r="CD113" s="52"/>
      <c r="CE113" s="52"/>
      <c r="CF113" s="52"/>
      <c r="CG113" s="52"/>
      <c r="CH113" s="52"/>
      <c r="CI113" s="52"/>
      <c r="CJ113" s="52"/>
      <c r="CK113" s="52"/>
      <c r="CL113" s="52"/>
      <c r="CM113" s="52"/>
      <c r="CN113" s="52"/>
      <c r="CO113" s="52"/>
      <c r="CP113" s="52"/>
      <c r="CQ113" s="52"/>
      <c r="CR113" s="52"/>
      <c r="CS113" s="52"/>
      <c r="CT113" s="52"/>
      <c r="CU113" s="52"/>
      <c r="CV113" s="330"/>
      <c r="CW113" s="52"/>
      <c r="CX113" s="52"/>
      <c r="CY113" s="52"/>
      <c r="CZ113" s="52"/>
      <c r="DA113" s="52"/>
      <c r="DB113" s="52"/>
      <c r="DC113" s="52"/>
      <c r="DD113" s="52"/>
      <c r="DE113" s="52"/>
      <c r="DF113" s="52"/>
      <c r="DG113" s="52"/>
      <c r="DH113" s="52"/>
      <c r="DI113" s="52"/>
      <c r="DJ113" s="52"/>
      <c r="DK113" s="52"/>
      <c r="DL113" s="52"/>
      <c r="DM113" s="52"/>
      <c r="DN113" s="52"/>
      <c r="DO113" s="52"/>
      <c r="DP113" s="330"/>
      <c r="DQ113" s="52"/>
      <c r="DR113" s="52"/>
      <c r="DS113" s="540"/>
      <c r="DT113" s="540"/>
      <c r="DU113" s="540"/>
      <c r="DV113" s="540"/>
      <c r="DW113" s="540"/>
      <c r="DX113" s="540"/>
      <c r="DY113" s="540"/>
      <c r="DZ113" s="540"/>
      <c r="EA113" s="540"/>
      <c r="EB113" s="540"/>
      <c r="EC113" s="540"/>
      <c r="ED113" s="540"/>
      <c r="EE113" s="540"/>
      <c r="EF113" s="540"/>
      <c r="EG113" s="540"/>
      <c r="EH113" s="540"/>
      <c r="EI113" s="540"/>
      <c r="EJ113" s="738"/>
      <c r="EK113" s="540"/>
      <c r="FD113" s="1373"/>
      <c r="FE113" s="699"/>
    </row>
    <row r="114" spans="1:161">
      <c r="A114" s="52"/>
      <c r="B114" s="52"/>
      <c r="C114" s="3740"/>
      <c r="D114" s="52"/>
      <c r="E114" s="52"/>
      <c r="F114" s="52"/>
      <c r="G114" s="52"/>
      <c r="H114" s="52"/>
      <c r="I114" s="52"/>
      <c r="J114" s="52"/>
      <c r="K114" s="52"/>
      <c r="L114" s="52"/>
      <c r="M114" s="52"/>
      <c r="N114" s="52"/>
      <c r="O114" s="52"/>
      <c r="P114" s="52"/>
      <c r="Q114" s="52"/>
      <c r="R114" s="52"/>
      <c r="S114" s="52"/>
      <c r="T114" s="330"/>
      <c r="U114" s="398"/>
      <c r="AN114" s="330">
        <v>817</v>
      </c>
      <c r="AO114" s="52"/>
      <c r="AP114" s="52"/>
      <c r="AQ114" s="52"/>
      <c r="AR114" s="52"/>
      <c r="AS114" s="52"/>
      <c r="AT114" s="52"/>
      <c r="AU114" s="52"/>
      <c r="AV114" s="695"/>
      <c r="AW114" s="695"/>
      <c r="AX114" s="695" t="s">
        <v>627</v>
      </c>
      <c r="AY114" s="695"/>
      <c r="AZ114" s="695"/>
      <c r="BA114" s="695"/>
      <c r="BB114" s="695"/>
      <c r="BC114" s="695"/>
      <c r="BD114" s="695"/>
      <c r="BE114" s="695"/>
      <c r="BF114" s="695"/>
      <c r="BG114" s="695"/>
      <c r="BH114" s="3768"/>
      <c r="BI114" s="52"/>
      <c r="BJ114" s="52"/>
      <c r="BK114" s="321"/>
      <c r="BL114" s="321"/>
      <c r="BM114" s="321"/>
      <c r="BN114" s="321"/>
      <c r="BO114" s="3740"/>
      <c r="BP114" s="3740"/>
      <c r="BQ114" s="321"/>
      <c r="BR114" s="321"/>
      <c r="BS114" s="321"/>
      <c r="BT114" s="52"/>
      <c r="BU114" s="52"/>
      <c r="BV114" s="52"/>
      <c r="BW114" s="52"/>
      <c r="BX114" s="52"/>
      <c r="BY114" s="71"/>
      <c r="BZ114" s="52"/>
      <c r="CA114" s="52"/>
      <c r="CB114" s="52"/>
      <c r="CC114" s="398"/>
      <c r="CD114" s="52"/>
      <c r="CE114" s="52"/>
      <c r="CF114" s="52"/>
      <c r="CG114" s="52"/>
      <c r="CH114" s="52"/>
      <c r="CI114" s="52"/>
      <c r="CJ114" s="52"/>
      <c r="CK114" s="52"/>
      <c r="CL114" s="52"/>
      <c r="CM114" s="52"/>
      <c r="CN114" s="52"/>
      <c r="CO114" s="52"/>
      <c r="CP114" s="52"/>
      <c r="CQ114" s="52"/>
      <c r="CR114" s="52"/>
      <c r="CS114" s="52"/>
      <c r="CT114" s="52"/>
      <c r="CU114" s="52"/>
      <c r="CV114" s="330"/>
      <c r="CW114" s="52"/>
      <c r="CX114" s="52"/>
      <c r="CY114" s="52"/>
      <c r="CZ114" s="52"/>
      <c r="DA114" s="52"/>
      <c r="DB114" s="52"/>
      <c r="DC114" s="52"/>
      <c r="DD114" s="52"/>
      <c r="DE114" s="52"/>
      <c r="DF114" s="52"/>
      <c r="DG114" s="52"/>
      <c r="DH114" s="52"/>
      <c r="DI114" s="52"/>
      <c r="DJ114" s="321"/>
      <c r="DK114" s="321"/>
      <c r="DL114" s="52"/>
      <c r="DM114" s="52"/>
      <c r="DN114" s="52"/>
      <c r="DO114" s="52"/>
      <c r="DP114" s="330"/>
      <c r="DQ114" s="52"/>
      <c r="DR114" s="52"/>
      <c r="DS114" s="540"/>
      <c r="DT114" s="540"/>
      <c r="DU114" s="540"/>
      <c r="DV114" s="540"/>
      <c r="DW114" s="540"/>
      <c r="DX114" s="540"/>
      <c r="DY114" s="540"/>
      <c r="DZ114" s="540"/>
      <c r="EA114" s="540"/>
      <c r="EB114" s="540"/>
      <c r="EC114" s="540"/>
      <c r="ED114" s="540"/>
      <c r="EE114" s="540"/>
      <c r="EF114" s="540"/>
      <c r="EG114" s="540"/>
      <c r="EH114" s="540"/>
      <c r="EI114" s="540"/>
      <c r="EJ114" s="738"/>
      <c r="EK114" s="540"/>
      <c r="FD114" s="1373"/>
      <c r="FE114" s="699"/>
    </row>
    <row r="115" spans="1:161">
      <c r="A115" s="52"/>
      <c r="B115" s="3740"/>
      <c r="C115" s="52"/>
      <c r="D115" s="52"/>
      <c r="E115" s="52"/>
      <c r="F115" s="52"/>
      <c r="G115" s="52"/>
      <c r="H115" s="52"/>
      <c r="I115" s="52"/>
      <c r="J115" s="52"/>
      <c r="K115" s="52"/>
      <c r="L115" s="52"/>
      <c r="M115" s="52"/>
      <c r="N115" s="52"/>
      <c r="O115" s="52"/>
      <c r="P115" s="52"/>
      <c r="Q115" s="52"/>
      <c r="R115" s="52"/>
      <c r="S115" s="52"/>
      <c r="T115" s="330"/>
      <c r="U115" s="398"/>
      <c r="V115" s="52"/>
      <c r="W115" s="52"/>
      <c r="X115" s="321"/>
      <c r="Y115" s="321"/>
      <c r="Z115" s="321"/>
      <c r="AA115" s="321"/>
      <c r="AB115" s="3740"/>
      <c r="AC115" s="3740"/>
      <c r="AD115" s="321"/>
      <c r="AE115" s="321"/>
      <c r="AF115" s="321"/>
      <c r="AG115" s="52"/>
      <c r="AH115" s="52"/>
      <c r="AI115" s="52"/>
      <c r="AJ115" s="52"/>
      <c r="AK115" s="52"/>
      <c r="AL115" s="52"/>
      <c r="AM115" s="52"/>
      <c r="AN115" s="330"/>
      <c r="AO115" s="52"/>
      <c r="AP115" s="52"/>
      <c r="AQ115" s="52"/>
      <c r="AR115" s="52"/>
      <c r="AS115" s="52"/>
      <c r="AT115" s="52"/>
      <c r="AU115" s="52"/>
      <c r="AV115" s="695"/>
      <c r="AW115" s="695"/>
      <c r="AX115" s="695"/>
      <c r="AY115" s="695"/>
      <c r="AZ115" s="695"/>
      <c r="BA115" s="695"/>
      <c r="BB115" s="695"/>
      <c r="BC115" s="695"/>
      <c r="BD115" s="695"/>
      <c r="BE115" s="695"/>
      <c r="BF115" s="695"/>
      <c r="BG115" s="695"/>
      <c r="BH115" s="3768"/>
      <c r="BI115" s="52"/>
      <c r="BJ115" s="52"/>
      <c r="BK115" s="321"/>
      <c r="BL115" s="321"/>
      <c r="BM115" s="321"/>
      <c r="BN115" s="3740"/>
      <c r="BO115" s="321"/>
      <c r="BP115" s="3740"/>
      <c r="BQ115" s="321"/>
      <c r="BR115" s="321"/>
      <c r="BS115" s="321"/>
      <c r="BT115" s="52"/>
      <c r="BU115" s="52"/>
      <c r="BV115" s="52"/>
      <c r="BW115" s="71"/>
      <c r="BX115" s="52"/>
      <c r="BY115" s="71"/>
      <c r="BZ115" s="52"/>
      <c r="CA115" s="52"/>
      <c r="CB115" s="52"/>
      <c r="CC115" s="398"/>
      <c r="CD115" s="52"/>
      <c r="CE115" s="52"/>
      <c r="CF115" s="52"/>
      <c r="CG115" s="52"/>
      <c r="CH115" s="52"/>
      <c r="CI115" s="52"/>
      <c r="CJ115" s="52"/>
      <c r="CK115" s="52"/>
      <c r="CL115" s="52"/>
      <c r="CM115" s="52"/>
      <c r="CN115" s="52"/>
      <c r="CO115" s="52"/>
      <c r="CP115" s="52"/>
      <c r="CQ115" s="52"/>
      <c r="CR115" s="52"/>
      <c r="CS115" s="52"/>
      <c r="CT115" s="52"/>
      <c r="CU115" s="52"/>
      <c r="CV115" s="330"/>
      <c r="CW115" s="52"/>
      <c r="CX115" s="52"/>
      <c r="CY115" s="52"/>
      <c r="CZ115" s="52"/>
      <c r="DA115" s="52"/>
      <c r="DB115" s="52"/>
      <c r="DC115" s="52"/>
      <c r="DD115" s="52"/>
      <c r="DE115" s="52"/>
      <c r="DF115" s="52"/>
      <c r="DG115" s="321"/>
      <c r="DH115" s="321"/>
      <c r="DI115" s="321"/>
      <c r="DJ115" s="321"/>
      <c r="DK115" s="321"/>
      <c r="DL115" s="52"/>
      <c r="DM115" s="52"/>
      <c r="DN115" s="3747"/>
      <c r="DO115" s="52"/>
      <c r="DP115" s="330"/>
      <c r="DQ115" s="52"/>
      <c r="DR115" s="52"/>
      <c r="DS115" s="52"/>
      <c r="DT115" s="52"/>
      <c r="DU115" s="52"/>
      <c r="DV115" s="52"/>
      <c r="DW115" s="52"/>
      <c r="DX115" s="52"/>
      <c r="DY115" s="52"/>
      <c r="DZ115" s="52"/>
      <c r="EA115" s="52"/>
      <c r="EB115" s="52"/>
      <c r="EC115" s="52"/>
      <c r="ED115" s="52"/>
      <c r="EE115" s="52"/>
      <c r="EF115" s="52"/>
      <c r="EG115" s="52"/>
      <c r="EH115" s="540"/>
      <c r="EI115" s="540"/>
      <c r="EJ115" s="738"/>
      <c r="EK115" s="52"/>
      <c r="FD115" s="1373"/>
      <c r="FE115" s="699"/>
    </row>
    <row r="116" spans="1:161">
      <c r="T116" s="330">
        <v>787</v>
      </c>
      <c r="U116" s="685"/>
      <c r="V116" s="52"/>
      <c r="W116" s="52"/>
      <c r="X116" s="321"/>
      <c r="Y116" s="321"/>
      <c r="Z116" s="321"/>
      <c r="AA116" s="3740"/>
      <c r="AB116" s="321"/>
      <c r="AC116" s="3740"/>
      <c r="AD116" s="3740"/>
      <c r="AE116" s="321"/>
      <c r="AF116" s="321"/>
      <c r="AG116" s="52"/>
      <c r="AH116" s="52"/>
      <c r="AI116" s="71"/>
      <c r="AJ116" s="52"/>
      <c r="AK116" s="71"/>
      <c r="AL116" s="52"/>
      <c r="AM116" s="52"/>
      <c r="AN116" s="330"/>
      <c r="AO116" s="52"/>
      <c r="AP116" s="52"/>
      <c r="AQ116" s="52"/>
      <c r="AR116" s="52"/>
      <c r="AS116" s="52"/>
      <c r="AT116" s="52"/>
      <c r="AU116" s="52"/>
      <c r="AV116" s="695"/>
      <c r="AW116" s="695"/>
      <c r="AX116" s="695"/>
      <c r="AY116" s="695"/>
      <c r="AZ116" s="695"/>
      <c r="BA116" s="695"/>
      <c r="BB116" s="695"/>
      <c r="BC116" s="695"/>
      <c r="BD116" s="695"/>
      <c r="BE116" s="695"/>
      <c r="BF116" s="695"/>
      <c r="BG116" s="695"/>
      <c r="BH116" s="3768"/>
      <c r="BI116" s="52"/>
      <c r="BJ116" s="52"/>
      <c r="BK116" s="321"/>
      <c r="BL116" s="321"/>
      <c r="BM116" s="719"/>
      <c r="BN116" s="3740"/>
      <c r="BO116" s="3740"/>
      <c r="BP116" s="3740"/>
      <c r="BQ116" s="3740"/>
      <c r="BR116" s="719"/>
      <c r="BS116" s="321"/>
      <c r="BT116" s="321"/>
      <c r="BU116" s="52"/>
      <c r="BV116" s="52"/>
      <c r="BW116" s="71"/>
      <c r="BX116" s="3747"/>
      <c r="BY116" s="71"/>
      <c r="BZ116" s="52"/>
      <c r="CA116" s="52"/>
      <c r="CB116" s="52"/>
      <c r="CC116" s="398"/>
      <c r="CD116" s="52"/>
      <c r="CE116" s="52"/>
      <c r="CF116" s="52"/>
      <c r="CG116" s="52"/>
      <c r="CH116" s="52"/>
      <c r="CI116" s="52"/>
      <c r="CJ116" s="52"/>
      <c r="CK116" s="52"/>
      <c r="CL116" s="52"/>
      <c r="CM116" s="52"/>
      <c r="CN116" s="52"/>
      <c r="CO116" s="52"/>
      <c r="CP116" s="52"/>
      <c r="CQ116" s="52"/>
      <c r="CR116" s="52"/>
      <c r="CS116" s="52"/>
      <c r="CT116" s="52"/>
      <c r="CU116" s="52"/>
      <c r="CV116" s="330"/>
      <c r="CW116" s="52"/>
      <c r="CX116" s="52"/>
      <c r="CY116" s="52"/>
      <c r="CZ116" s="52"/>
      <c r="DA116" s="52"/>
      <c r="DB116" s="321"/>
      <c r="DC116" s="321"/>
      <c r="DD116" s="321"/>
      <c r="DE116" s="321"/>
      <c r="DF116" s="321"/>
      <c r="DG116" s="321"/>
      <c r="DH116" s="321"/>
      <c r="DI116" s="321"/>
      <c r="DJ116" s="321"/>
      <c r="DK116" s="321"/>
      <c r="DL116" s="52"/>
      <c r="DM116" s="52"/>
      <c r="DN116" s="52"/>
      <c r="DO116" s="52"/>
      <c r="DP116" s="330"/>
      <c r="DQ116" s="52"/>
      <c r="DR116" s="52"/>
      <c r="DS116" s="52"/>
      <c r="DT116" s="52"/>
      <c r="DU116" s="52"/>
      <c r="DV116" s="52"/>
      <c r="DW116" s="52"/>
      <c r="DX116" s="52"/>
      <c r="DY116" s="52"/>
      <c r="DZ116" s="52"/>
      <c r="EA116" s="52"/>
      <c r="EB116" s="52"/>
      <c r="EC116" s="52"/>
      <c r="ED116" s="52"/>
      <c r="EE116" s="52"/>
      <c r="EF116" s="52"/>
      <c r="EG116" s="52"/>
      <c r="EH116" s="52"/>
      <c r="EI116" s="52"/>
      <c r="EJ116" s="330"/>
      <c r="EK116" s="52"/>
      <c r="FD116" s="1373"/>
      <c r="FE116" s="699"/>
    </row>
    <row r="117" spans="1:161">
      <c r="T117" s="330">
        <v>787</v>
      </c>
      <c r="U117" s="685"/>
      <c r="V117" s="52"/>
      <c r="W117" s="52"/>
      <c r="X117" s="321"/>
      <c r="Y117" s="321"/>
      <c r="Z117" s="719"/>
      <c r="AA117" s="3740"/>
      <c r="AB117" s="3740"/>
      <c r="AC117" s="3740"/>
      <c r="AD117" s="3740"/>
      <c r="AE117" s="719"/>
      <c r="AF117" s="321"/>
      <c r="AG117" s="321"/>
      <c r="AH117" s="52"/>
      <c r="AI117" s="71"/>
      <c r="AJ117" s="52"/>
      <c r="AK117" s="71"/>
      <c r="AL117" s="52"/>
      <c r="AM117" s="52"/>
      <c r="AN117" s="330"/>
      <c r="AO117" s="52"/>
      <c r="AP117" s="52"/>
      <c r="AQ117" s="52"/>
      <c r="AR117" s="52"/>
      <c r="AS117" s="52"/>
      <c r="AT117" s="52"/>
      <c r="AU117" s="52"/>
      <c r="AV117" s="52"/>
      <c r="AW117" s="52"/>
      <c r="AX117" s="52"/>
      <c r="AY117" s="695"/>
      <c r="AZ117" s="695"/>
      <c r="BA117" s="695"/>
      <c r="BB117" s="695"/>
      <c r="BC117" s="695"/>
      <c r="BD117" s="695"/>
      <c r="BE117" s="695"/>
      <c r="BF117" s="695"/>
      <c r="BG117" s="695"/>
      <c r="BH117" s="3768"/>
      <c r="BI117" s="52"/>
      <c r="BJ117" s="52"/>
      <c r="BK117" s="321"/>
      <c r="BL117" s="718"/>
      <c r="BM117" s="3740"/>
      <c r="BN117" s="718"/>
      <c r="BO117" s="3740"/>
      <c r="BP117" s="718"/>
      <c r="BQ117" s="3740"/>
      <c r="BR117" s="3740"/>
      <c r="BS117" s="3758"/>
      <c r="BT117" s="321"/>
      <c r="BU117" s="52"/>
      <c r="BV117" s="52"/>
      <c r="BW117" s="71"/>
      <c r="BX117" s="52"/>
      <c r="BY117" s="71"/>
      <c r="BZ117" s="52"/>
      <c r="CA117" s="52"/>
      <c r="CB117" s="52"/>
      <c r="CC117" s="398"/>
      <c r="CD117" s="52"/>
      <c r="CE117" s="52"/>
      <c r="CF117" s="52"/>
      <c r="CG117" s="52"/>
      <c r="CH117" s="52"/>
      <c r="CI117" s="52"/>
      <c r="CJ117" s="52"/>
      <c r="CK117" s="52"/>
      <c r="CL117" s="52"/>
      <c r="CM117" s="52"/>
      <c r="CN117" s="52"/>
      <c r="CO117" s="52"/>
      <c r="CP117" s="52"/>
      <c r="CQ117" s="52"/>
      <c r="CR117" s="52"/>
      <c r="CS117" s="3740"/>
      <c r="CT117" s="3740"/>
      <c r="CU117" s="52"/>
      <c r="CV117" s="330"/>
      <c r="CW117" s="52"/>
      <c r="CX117" s="52"/>
      <c r="CY117" s="52"/>
      <c r="CZ117" s="52"/>
      <c r="DA117" s="52"/>
      <c r="DB117" s="321"/>
      <c r="DC117" s="321"/>
      <c r="DD117" s="321"/>
      <c r="DE117" s="321"/>
      <c r="DF117" s="321"/>
      <c r="DG117" s="321"/>
      <c r="DH117" s="321"/>
      <c r="DI117" s="321"/>
      <c r="DJ117" s="321"/>
      <c r="DK117" s="321"/>
      <c r="DL117" s="321"/>
      <c r="DM117" s="52"/>
      <c r="DN117" s="52"/>
      <c r="DO117" s="52"/>
      <c r="DP117" s="330"/>
      <c r="DQ117" s="52"/>
      <c r="DR117" s="52"/>
      <c r="DS117" s="52"/>
      <c r="DT117" s="52"/>
      <c r="DU117" s="52"/>
      <c r="DV117" s="321"/>
      <c r="DW117" s="321"/>
      <c r="DX117" s="52"/>
      <c r="DY117" s="52"/>
      <c r="DZ117" s="321"/>
      <c r="EA117" s="321"/>
      <c r="EB117" s="321"/>
      <c r="EC117" s="321"/>
      <c r="ED117" s="321"/>
      <c r="EE117" s="321"/>
      <c r="EF117" s="3740"/>
      <c r="EG117" s="3740"/>
      <c r="EH117" s="3740"/>
      <c r="EI117" s="52"/>
      <c r="EJ117" s="739"/>
      <c r="EK117" s="52"/>
      <c r="FD117" s="1373"/>
      <c r="FE117" s="699"/>
    </row>
    <row r="118" spans="1:161">
      <c r="A118" s="695"/>
      <c r="B118" s="3745"/>
      <c r="C118" s="695"/>
      <c r="D118" s="695"/>
      <c r="E118" s="3787"/>
      <c r="F118" s="3759"/>
      <c r="G118" s="3758"/>
      <c r="H118" s="695"/>
      <c r="I118" s="695"/>
      <c r="J118" s="695"/>
      <c r="K118" s="695"/>
      <c r="L118" s="695"/>
      <c r="M118" s="52"/>
      <c r="N118" s="52"/>
      <c r="O118" s="52"/>
      <c r="P118" s="52"/>
      <c r="Q118" s="52"/>
      <c r="R118" s="52"/>
      <c r="S118" s="52"/>
      <c r="T118" s="330"/>
      <c r="U118" s="685"/>
      <c r="V118" s="52"/>
      <c r="W118" s="52"/>
      <c r="X118" s="321"/>
      <c r="Y118" s="718"/>
      <c r="Z118" s="3740"/>
      <c r="AA118" s="718"/>
      <c r="AB118" s="3740"/>
      <c r="AC118" s="718"/>
      <c r="AD118" s="3740"/>
      <c r="AE118" s="3740"/>
      <c r="AF118" s="3758"/>
      <c r="AG118" s="321"/>
      <c r="AH118" s="52"/>
      <c r="AI118" s="71"/>
      <c r="AJ118" s="52"/>
      <c r="AK118" s="71"/>
      <c r="AL118" s="52"/>
      <c r="AM118" s="52"/>
      <c r="AN118" s="330"/>
      <c r="AO118" s="52"/>
      <c r="AP118" s="52"/>
      <c r="AQ118" s="695"/>
      <c r="AR118" s="695"/>
      <c r="AS118" s="695"/>
      <c r="AT118" s="695"/>
      <c r="AU118" s="695"/>
      <c r="AV118" s="695"/>
      <c r="AW118" s="695"/>
      <c r="AX118" s="52"/>
      <c r="AY118" s="695"/>
      <c r="AZ118" s="695"/>
      <c r="BA118" s="695"/>
      <c r="BB118" s="695"/>
      <c r="BC118" s="695"/>
      <c r="BD118" s="695"/>
      <c r="BE118" s="695"/>
      <c r="BF118" s="695"/>
      <c r="BG118" s="695"/>
      <c r="BH118" s="3768"/>
      <c r="BI118" s="52"/>
      <c r="BJ118" s="52"/>
      <c r="BK118" s="321"/>
      <c r="BL118" s="718"/>
      <c r="BM118" s="719"/>
      <c r="BN118" s="720"/>
      <c r="BO118" s="3758"/>
      <c r="BP118" s="719"/>
      <c r="BQ118" s="721"/>
      <c r="BR118" s="3758"/>
      <c r="BS118" s="720"/>
      <c r="BT118" s="321"/>
      <c r="BU118" s="52"/>
      <c r="BV118" s="52"/>
      <c r="BW118" s="71"/>
      <c r="BX118" s="52"/>
      <c r="BY118" s="71"/>
      <c r="BZ118" s="52"/>
      <c r="CA118" s="52"/>
      <c r="CB118" s="52"/>
      <c r="CC118" s="398"/>
      <c r="CD118" s="52"/>
      <c r="CE118" s="52"/>
      <c r="CF118" s="52"/>
      <c r="CG118" s="52"/>
      <c r="CH118" s="52"/>
      <c r="CI118" s="52"/>
      <c r="CJ118" s="52"/>
      <c r="CK118" s="52"/>
      <c r="CL118" s="52"/>
      <c r="CM118" s="52"/>
      <c r="CN118" s="3760"/>
      <c r="CO118" s="3760"/>
      <c r="CP118" s="52"/>
      <c r="CQ118" s="52"/>
      <c r="CR118" s="3740"/>
      <c r="CS118" s="52"/>
      <c r="CT118" s="52"/>
      <c r="CU118" s="3740"/>
      <c r="CV118" s="330"/>
      <c r="CW118" s="52"/>
      <c r="CX118" s="52"/>
      <c r="CY118" s="52"/>
      <c r="CZ118" s="52"/>
      <c r="DA118" s="52"/>
      <c r="DB118" s="321"/>
      <c r="DC118" s="321"/>
      <c r="DD118" s="321"/>
      <c r="DE118" s="321"/>
      <c r="DF118" s="321"/>
      <c r="DG118" s="321"/>
      <c r="DH118" s="321"/>
      <c r="DI118" s="321"/>
      <c r="DJ118" s="321"/>
      <c r="DK118" s="321"/>
      <c r="DL118" s="321"/>
      <c r="DM118" s="3740"/>
      <c r="DN118" s="3740"/>
      <c r="DO118" s="3740"/>
      <c r="DP118" s="330"/>
      <c r="DQ118" s="52"/>
      <c r="DR118" s="52"/>
      <c r="DS118" s="52"/>
      <c r="DT118" s="52"/>
      <c r="DU118" s="52"/>
      <c r="DV118" s="321"/>
      <c r="DW118" s="321"/>
      <c r="DX118" s="52"/>
      <c r="DY118" s="52"/>
      <c r="DZ118" s="321"/>
      <c r="EA118" s="321"/>
      <c r="EB118" s="321"/>
      <c r="EC118" s="321"/>
      <c r="ED118" s="321"/>
      <c r="EE118" s="321"/>
      <c r="EF118" s="3740"/>
      <c r="EG118" s="321"/>
      <c r="EH118" s="52"/>
      <c r="EI118" s="3740"/>
      <c r="EJ118" s="3788"/>
      <c r="EK118" s="52"/>
      <c r="FD118" s="1373"/>
      <c r="FE118" s="699"/>
    </row>
    <row r="119" spans="1:161">
      <c r="A119" s="695"/>
      <c r="B119" s="695"/>
      <c r="C119" s="3745"/>
      <c r="D119" s="3740"/>
      <c r="E119" s="3745"/>
      <c r="F119" s="3745"/>
      <c r="G119" s="3759"/>
      <c r="H119" s="695"/>
      <c r="I119" s="695"/>
      <c r="J119" s="695"/>
      <c r="K119" s="695"/>
      <c r="L119" s="695"/>
      <c r="M119" s="52"/>
      <c r="N119" s="52"/>
      <c r="O119" s="52"/>
      <c r="P119" s="52"/>
      <c r="Q119" s="52"/>
      <c r="R119" s="52"/>
      <c r="S119" s="52"/>
      <c r="T119" s="330"/>
      <c r="U119" s="685"/>
      <c r="V119" s="52"/>
      <c r="W119" s="52"/>
      <c r="X119" s="321"/>
      <c r="Y119" s="718"/>
      <c r="Z119" s="3758"/>
      <c r="AA119" s="718"/>
      <c r="AB119" s="718"/>
      <c r="AC119" s="718"/>
      <c r="AD119" s="3758"/>
      <c r="AE119" s="3758"/>
      <c r="AF119" s="718"/>
      <c r="AG119" s="321"/>
      <c r="AH119" s="52"/>
      <c r="AI119" s="71"/>
      <c r="AJ119" s="52"/>
      <c r="AK119" s="71"/>
      <c r="AL119" s="52"/>
      <c r="AM119" s="52"/>
      <c r="AN119" s="330"/>
      <c r="AO119" s="52"/>
      <c r="AP119" s="52"/>
      <c r="AQ119" s="695"/>
      <c r="AR119" s="695"/>
      <c r="AS119" s="695"/>
      <c r="AT119" s="695"/>
      <c r="AU119" s="695"/>
      <c r="AV119" s="695"/>
      <c r="AW119" s="3758"/>
      <c r="AX119" s="3759"/>
      <c r="AY119" s="3758"/>
      <c r="AZ119" s="695"/>
      <c r="BA119" s="695"/>
      <c r="BB119" s="695"/>
      <c r="BC119" s="3740"/>
      <c r="BD119" s="3740"/>
      <c r="BE119" s="695"/>
      <c r="BF119" s="695"/>
      <c r="BG119" s="3747"/>
      <c r="BH119" s="3768"/>
      <c r="BI119" s="52"/>
      <c r="CB119" s="52">
        <v>886</v>
      </c>
      <c r="CC119" s="685"/>
      <c r="CD119" s="71"/>
      <c r="CE119" s="52"/>
      <c r="CF119" s="52"/>
      <c r="CG119" s="52"/>
      <c r="CH119" s="52"/>
      <c r="CI119" s="1373"/>
      <c r="CJ119" s="1373"/>
      <c r="CK119" s="1373"/>
      <c r="CL119" s="1373"/>
      <c r="CM119" s="3758"/>
      <c r="CN119" s="3759"/>
      <c r="CO119" s="3760"/>
      <c r="CP119" s="3758"/>
      <c r="CQ119" s="3755"/>
      <c r="CR119" s="1373"/>
      <c r="CS119" s="52"/>
      <c r="CT119" s="52"/>
      <c r="CU119" s="3740"/>
      <c r="CV119" s="3789"/>
      <c r="CW119" s="71"/>
      <c r="CX119" s="52"/>
      <c r="CY119" s="52"/>
      <c r="CZ119" s="52"/>
      <c r="DA119" s="52"/>
      <c r="DB119" s="321"/>
      <c r="DC119" s="321"/>
      <c r="DD119" s="321"/>
      <c r="DE119" s="321"/>
      <c r="DF119" s="321"/>
      <c r="DG119" s="321"/>
      <c r="DH119" s="321"/>
      <c r="DI119" s="321"/>
      <c r="DJ119" s="321"/>
      <c r="DK119" s="321"/>
      <c r="DL119" s="321"/>
      <c r="DM119" s="3745"/>
      <c r="DN119" s="52"/>
      <c r="DO119" s="52"/>
      <c r="DP119" s="3790"/>
      <c r="DQ119" s="71"/>
      <c r="DR119" s="52"/>
      <c r="DS119" s="52"/>
      <c r="DT119" s="52"/>
      <c r="DU119" s="52"/>
      <c r="DV119" s="321"/>
      <c r="DW119" s="321"/>
      <c r="DX119" s="52"/>
      <c r="DY119" s="52"/>
      <c r="DZ119" s="321"/>
      <c r="EA119" s="321"/>
      <c r="EB119" s="321"/>
      <c r="EC119" s="321"/>
      <c r="ED119" s="321"/>
      <c r="EE119" s="3740"/>
      <c r="EF119" s="321"/>
      <c r="EG119" s="321"/>
      <c r="EH119" s="52"/>
      <c r="EI119" s="52"/>
      <c r="EJ119" s="3789"/>
      <c r="EK119" s="52"/>
      <c r="FD119" s="1373"/>
      <c r="FE119" s="699"/>
    </row>
    <row r="120" spans="1:161">
      <c r="A120" s="695"/>
      <c r="B120" s="3787"/>
      <c r="C120" s="3740"/>
      <c r="D120" s="3745"/>
      <c r="E120" s="3759"/>
      <c r="F120" s="3760"/>
      <c r="G120" s="3791"/>
      <c r="H120" s="3760"/>
      <c r="I120" s="695"/>
      <c r="J120" s="695"/>
      <c r="K120" s="695"/>
      <c r="L120" s="695"/>
      <c r="M120" s="52"/>
      <c r="N120" s="52"/>
      <c r="O120" s="52"/>
      <c r="P120" s="52"/>
      <c r="Q120" s="52"/>
      <c r="R120" s="52"/>
      <c r="S120" s="52"/>
      <c r="T120" s="330"/>
      <c r="U120" s="685"/>
      <c r="V120" s="52"/>
      <c r="W120" s="52"/>
      <c r="X120" s="321"/>
      <c r="Y120" s="718"/>
      <c r="Z120" s="720"/>
      <c r="AA120" s="721"/>
      <c r="AB120" s="3758"/>
      <c r="AC120" s="719"/>
      <c r="AD120" s="720"/>
      <c r="AE120" s="3758"/>
      <c r="AF120" s="718"/>
      <c r="AG120" s="321"/>
      <c r="AH120" s="52"/>
      <c r="AI120" s="71"/>
      <c r="AJ120" s="52"/>
      <c r="AK120" s="71"/>
      <c r="AL120" s="52"/>
      <c r="AM120" s="52"/>
      <c r="AN120" s="330"/>
      <c r="AO120" s="52"/>
      <c r="AP120" s="52"/>
      <c r="AQ120" s="695"/>
      <c r="AR120" s="695"/>
      <c r="AS120" s="695"/>
      <c r="AT120" s="695"/>
      <c r="AU120" s="695"/>
      <c r="AV120" s="3758"/>
      <c r="AW120" s="3759"/>
      <c r="AX120" s="3745"/>
      <c r="AY120" s="3740"/>
      <c r="AZ120" s="3745"/>
      <c r="BA120" s="3740"/>
      <c r="BB120" s="3740"/>
      <c r="BC120" s="695"/>
      <c r="BD120" s="695"/>
      <c r="BE120" s="3740"/>
      <c r="BF120" s="695"/>
      <c r="BG120" s="695"/>
      <c r="BH120" s="3768"/>
      <c r="BI120" s="52"/>
      <c r="CB120" s="52">
        <v>886</v>
      </c>
      <c r="CC120" s="685"/>
      <c r="CD120" s="71"/>
      <c r="CE120" s="52"/>
      <c r="CF120" s="52"/>
      <c r="CG120" s="52"/>
      <c r="CH120" s="52"/>
      <c r="CI120" s="1373"/>
      <c r="CJ120" s="1373"/>
      <c r="CK120" s="1373"/>
      <c r="CL120" s="3758"/>
      <c r="CM120" s="3791"/>
      <c r="CN120" s="3760"/>
      <c r="CO120" s="3758"/>
      <c r="CP120" s="3760"/>
      <c r="CQ120" s="3791"/>
      <c r="CR120" s="52"/>
      <c r="CS120" s="52"/>
      <c r="CT120" s="52"/>
      <c r="CU120" s="52"/>
      <c r="CV120" s="3788"/>
      <c r="CW120" s="71"/>
      <c r="CX120" s="52"/>
      <c r="CY120" s="52"/>
      <c r="CZ120" s="52"/>
      <c r="DA120" s="52"/>
      <c r="DB120" s="52"/>
      <c r="DC120" s="321"/>
      <c r="DD120" s="321"/>
      <c r="DE120" s="321"/>
      <c r="DF120" s="321"/>
      <c r="DG120" s="731"/>
      <c r="DH120" s="731"/>
      <c r="DI120" s="321"/>
      <c r="DJ120" s="3745"/>
      <c r="DK120" s="3745"/>
      <c r="DL120" s="3745"/>
      <c r="DM120" s="52"/>
      <c r="DN120" s="52"/>
      <c r="DO120" s="52"/>
      <c r="DP120" s="3790"/>
      <c r="DQ120" s="71"/>
      <c r="DR120" s="52"/>
      <c r="DS120" s="52"/>
      <c r="DT120" s="52"/>
      <c r="DU120" s="52"/>
      <c r="DV120" s="321"/>
      <c r="DW120" s="321"/>
      <c r="DX120" s="52"/>
      <c r="DY120" s="52"/>
      <c r="DZ120" s="321"/>
      <c r="EA120" s="321"/>
      <c r="EB120" s="321"/>
      <c r="EC120" s="321"/>
      <c r="ED120" s="321"/>
      <c r="EE120" s="3740"/>
      <c r="EF120" s="321"/>
      <c r="EG120" s="321"/>
      <c r="EH120" s="52"/>
      <c r="EI120" s="52"/>
      <c r="EJ120" s="330"/>
      <c r="EK120" s="52"/>
      <c r="FD120" s="1373"/>
      <c r="FE120" s="699"/>
    </row>
    <row r="121" spans="1:161">
      <c r="A121" s="3787"/>
      <c r="B121" s="3745"/>
      <c r="C121" s="3758"/>
      <c r="D121" s="3740"/>
      <c r="E121" s="3745"/>
      <c r="F121" s="3758"/>
      <c r="G121" s="3787"/>
      <c r="H121" s="3791"/>
      <c r="I121" s="3760"/>
      <c r="J121" s="695"/>
      <c r="K121" s="695"/>
      <c r="L121" s="695"/>
      <c r="M121" s="52"/>
      <c r="N121" s="52"/>
      <c r="O121" s="52"/>
      <c r="P121" s="52"/>
      <c r="Q121" s="52"/>
      <c r="R121" s="52"/>
      <c r="S121" s="52"/>
      <c r="T121" s="330"/>
      <c r="U121" s="685"/>
      <c r="AN121" s="330">
        <v>824</v>
      </c>
      <c r="AO121" s="52"/>
      <c r="AP121" s="52"/>
      <c r="AQ121" s="695"/>
      <c r="AR121" s="695"/>
      <c r="AS121" s="695"/>
      <c r="AT121" s="695"/>
      <c r="AU121" s="3760"/>
      <c r="AV121" s="3791"/>
      <c r="AW121" s="3760"/>
      <c r="AX121" s="3759"/>
      <c r="AY121" s="3760"/>
      <c r="AZ121" s="3740"/>
      <c r="BA121" s="3740"/>
      <c r="BB121" s="3740"/>
      <c r="BC121" s="695"/>
      <c r="BD121" s="695"/>
      <c r="BE121" s="695"/>
      <c r="BF121" s="3740"/>
      <c r="BG121" s="3769"/>
      <c r="BH121" s="330"/>
      <c r="BI121" s="52"/>
      <c r="CB121" s="52">
        <v>886</v>
      </c>
      <c r="CC121" s="685"/>
      <c r="CD121" s="71"/>
      <c r="CE121" s="52"/>
      <c r="CF121" s="52"/>
      <c r="CG121" s="52"/>
      <c r="CH121" s="52"/>
      <c r="CI121" s="52"/>
      <c r="CJ121" s="52"/>
      <c r="CK121" s="3758"/>
      <c r="CL121" s="3759"/>
      <c r="CM121" s="3760"/>
      <c r="CN121" s="3758"/>
      <c r="CO121" s="3760"/>
      <c r="CP121" s="3791"/>
      <c r="CQ121" s="3787"/>
      <c r="CR121" s="3760"/>
      <c r="CS121" s="52"/>
      <c r="CT121" s="3747"/>
      <c r="CU121" s="52"/>
      <c r="CV121" s="3789"/>
      <c r="CW121" s="71"/>
      <c r="CX121" s="52"/>
      <c r="CY121" s="52"/>
      <c r="CZ121" s="52"/>
      <c r="DA121" s="52"/>
      <c r="DB121" s="52"/>
      <c r="DC121" s="321"/>
      <c r="DD121" s="321"/>
      <c r="DE121" s="321"/>
      <c r="DF121" s="731"/>
      <c r="DG121" s="732"/>
      <c r="DH121" s="732"/>
      <c r="DI121" s="731"/>
      <c r="DJ121" s="731"/>
      <c r="DK121" s="3758"/>
      <c r="DL121" s="3745"/>
      <c r="DM121" s="52"/>
      <c r="DN121" s="52"/>
      <c r="DO121" s="3769"/>
      <c r="DP121" s="3788"/>
      <c r="DQ121" s="71"/>
      <c r="DR121" s="52"/>
      <c r="DS121" s="52"/>
      <c r="DT121" s="52"/>
      <c r="DU121" s="52"/>
      <c r="DV121" s="321"/>
      <c r="DW121" s="321"/>
      <c r="DX121" s="52"/>
      <c r="DY121" s="52"/>
      <c r="DZ121" s="321"/>
      <c r="EA121" s="321"/>
      <c r="EB121" s="321"/>
      <c r="EC121" s="321"/>
      <c r="ED121" s="3740"/>
      <c r="EE121" s="3740"/>
      <c r="EF121" s="321"/>
      <c r="EG121" s="321"/>
      <c r="EH121" s="52"/>
      <c r="EI121" s="52"/>
      <c r="EJ121" s="330"/>
      <c r="EK121" s="52"/>
      <c r="EL121" s="52"/>
      <c r="EM121" s="52"/>
      <c r="EN121" s="1373"/>
      <c r="EO121" s="1373"/>
      <c r="EP121" s="1373"/>
      <c r="EQ121" s="1373"/>
      <c r="ER121" s="1373"/>
      <c r="ES121" s="1373"/>
      <c r="ET121" s="1373"/>
      <c r="EU121" s="1373"/>
      <c r="EV121" s="1373"/>
      <c r="EW121" s="1373"/>
      <c r="EX121" s="1373"/>
      <c r="EY121" s="1373"/>
      <c r="EZ121" s="3755"/>
      <c r="FA121" s="3755"/>
      <c r="FB121" s="1373"/>
      <c r="FC121" s="1373"/>
      <c r="FD121" s="1373"/>
      <c r="FE121" s="699"/>
    </row>
    <row r="122" spans="1:161">
      <c r="A122" s="3760"/>
      <c r="B122" s="3758"/>
      <c r="C122" s="3758"/>
      <c r="D122" s="3758"/>
      <c r="E122" s="3787"/>
      <c r="F122" s="3760"/>
      <c r="G122" s="3760"/>
      <c r="H122" s="3791"/>
      <c r="I122" s="3759"/>
      <c r="J122" s="695"/>
      <c r="K122" s="695"/>
      <c r="L122" s="695"/>
      <c r="M122" s="52"/>
      <c r="N122" s="52"/>
      <c r="O122" s="52"/>
      <c r="P122" s="52"/>
      <c r="Q122" s="52"/>
      <c r="R122" s="52"/>
      <c r="S122" s="52"/>
      <c r="T122" s="330"/>
      <c r="U122" s="398"/>
      <c r="AN122" s="330">
        <v>824</v>
      </c>
      <c r="AO122" s="52"/>
      <c r="AP122" s="52"/>
      <c r="AQ122" s="695"/>
      <c r="AR122" s="695"/>
      <c r="AS122" s="695"/>
      <c r="AT122" s="3760"/>
      <c r="AU122" s="3791"/>
      <c r="AV122" s="3791"/>
      <c r="AW122" s="3758"/>
      <c r="AX122" s="3760"/>
      <c r="AY122" s="3758"/>
      <c r="AZ122" s="3740"/>
      <c r="BA122" s="3760"/>
      <c r="BB122" s="3740"/>
      <c r="BC122" s="695"/>
      <c r="BD122" s="695"/>
      <c r="BE122" s="695"/>
      <c r="BF122" s="3740"/>
      <c r="BG122" s="3787"/>
      <c r="BH122" s="3789"/>
      <c r="BI122" s="52"/>
      <c r="BJ122" s="52"/>
      <c r="BK122" s="64"/>
      <c r="BL122" s="715"/>
      <c r="BM122" s="719"/>
      <c r="BN122" s="720"/>
      <c r="BO122" s="3758"/>
      <c r="BP122" s="719"/>
      <c r="BQ122" s="721"/>
      <c r="BR122" s="3758"/>
      <c r="BS122" s="715"/>
      <c r="BT122" s="321"/>
      <c r="BU122" s="3769"/>
      <c r="BV122" s="3769"/>
      <c r="BW122" s="3769"/>
      <c r="BX122" s="52"/>
      <c r="BY122" s="52"/>
      <c r="BZ122" s="3739"/>
      <c r="CA122" s="3739"/>
      <c r="CB122" s="3754"/>
      <c r="CC122" s="685"/>
      <c r="CD122" s="71"/>
      <c r="CE122" s="52"/>
      <c r="CF122" s="52"/>
      <c r="CG122" s="52"/>
      <c r="CH122" s="52"/>
      <c r="CI122" s="52"/>
      <c r="CJ122" s="3758"/>
      <c r="CK122" s="3751"/>
      <c r="CL122" s="3758"/>
      <c r="CM122" s="3751"/>
      <c r="CN122" s="3760"/>
      <c r="CO122" s="3791"/>
      <c r="CP122" s="3787"/>
      <c r="CQ122" s="3758"/>
      <c r="CR122" s="3791"/>
      <c r="CS122" s="52"/>
      <c r="CT122" s="52"/>
      <c r="CU122" s="52"/>
      <c r="CV122" s="330"/>
      <c r="CW122" s="71"/>
      <c r="CX122" s="52"/>
      <c r="CY122" s="52"/>
      <c r="CZ122" s="52"/>
      <c r="DA122" s="52"/>
      <c r="DB122" s="52"/>
      <c r="DC122" s="321"/>
      <c r="DD122" s="321"/>
      <c r="DE122" s="732"/>
      <c r="DF122" s="731"/>
      <c r="DG122" s="733"/>
      <c r="DH122" s="733"/>
      <c r="DI122" s="731"/>
      <c r="DJ122" s="732"/>
      <c r="DK122" s="732"/>
      <c r="DL122" s="3758"/>
      <c r="DM122" s="52"/>
      <c r="DN122" s="52"/>
      <c r="DO122" s="52"/>
      <c r="DP122" s="3789"/>
      <c r="DQ122" s="71"/>
      <c r="DR122" s="52"/>
      <c r="DS122" s="52"/>
      <c r="DT122" s="52"/>
      <c r="DU122" s="52"/>
      <c r="DV122" s="321"/>
      <c r="DW122" s="321"/>
      <c r="DX122" s="52"/>
      <c r="DY122" s="52"/>
      <c r="DZ122" s="321"/>
      <c r="EA122" s="321"/>
      <c r="EB122" s="321"/>
      <c r="EC122" s="3740"/>
      <c r="ED122" s="321"/>
      <c r="EE122" s="3740"/>
      <c r="EF122" s="3740"/>
      <c r="EG122" s="321"/>
      <c r="EH122" s="321"/>
      <c r="EI122" s="321"/>
      <c r="EJ122" s="330"/>
      <c r="EK122" s="52"/>
      <c r="EL122" s="52"/>
      <c r="EM122" s="52"/>
      <c r="EN122" s="1373"/>
      <c r="EO122" s="1373"/>
      <c r="EP122" s="1373"/>
      <c r="EQ122" s="1373"/>
      <c r="ER122" s="1373"/>
      <c r="ES122" s="1373"/>
      <c r="ET122" s="1373"/>
      <c r="EU122" s="1373"/>
      <c r="EV122" s="1373"/>
      <c r="EW122" s="1373"/>
      <c r="EX122" s="1373"/>
      <c r="EY122" s="3755"/>
      <c r="EZ122" s="1373"/>
      <c r="FA122" s="1373"/>
      <c r="FB122" s="3755"/>
      <c r="FC122" s="3769"/>
      <c r="FD122" s="52"/>
      <c r="FE122" s="699"/>
    </row>
    <row r="123" spans="1:161">
      <c r="A123" s="3760"/>
      <c r="B123" s="3787"/>
      <c r="C123" s="3760"/>
      <c r="D123" s="3758"/>
      <c r="E123" s="3787"/>
      <c r="F123" s="3791"/>
      <c r="G123" s="3758"/>
      <c r="H123" s="3787"/>
      <c r="I123" s="3758"/>
      <c r="J123" s="3751"/>
      <c r="K123" s="59"/>
      <c r="L123" s="64"/>
      <c r="M123" s="52"/>
      <c r="N123" s="52"/>
      <c r="O123" s="52"/>
      <c r="P123" s="52"/>
      <c r="Q123" s="52"/>
      <c r="R123" s="52"/>
      <c r="S123" s="52"/>
      <c r="T123" s="330"/>
      <c r="U123" s="398"/>
      <c r="V123" s="52"/>
      <c r="W123" s="52"/>
      <c r="X123" s="64"/>
      <c r="Y123" s="715"/>
      <c r="Z123" s="720"/>
      <c r="AA123" s="721"/>
      <c r="AB123" s="3758"/>
      <c r="AC123" s="719"/>
      <c r="AD123" s="720"/>
      <c r="AE123" s="3758"/>
      <c r="AF123" s="715"/>
      <c r="AG123" s="61"/>
      <c r="AH123" s="52"/>
      <c r="AI123" s="71"/>
      <c r="AJ123" s="52"/>
      <c r="AK123" s="71"/>
      <c r="AL123" s="52"/>
      <c r="AM123" s="52"/>
      <c r="AN123" s="330"/>
      <c r="AO123" s="52"/>
      <c r="AP123" s="52"/>
      <c r="AQ123" s="695"/>
      <c r="AR123" s="695"/>
      <c r="AS123" s="3758"/>
      <c r="AT123" s="3759"/>
      <c r="AU123" s="3791"/>
      <c r="AV123" s="3758"/>
      <c r="AW123" s="3760"/>
      <c r="AX123" s="3787"/>
      <c r="AY123" s="3787"/>
      <c r="AZ123" s="3758"/>
      <c r="BA123" s="3759"/>
      <c r="BB123" s="3740"/>
      <c r="BC123" s="3791"/>
      <c r="BD123" s="695"/>
      <c r="BE123" s="695"/>
      <c r="BF123" s="3747"/>
      <c r="BG123" s="481"/>
      <c r="BH123" s="3769"/>
      <c r="BI123" s="398"/>
      <c r="BJ123" s="52"/>
      <c r="BK123" s="60"/>
      <c r="BL123" s="729"/>
      <c r="BM123" s="728"/>
      <c r="BN123" s="728"/>
      <c r="BO123" s="730"/>
      <c r="BP123" s="730"/>
      <c r="BQ123" s="728"/>
      <c r="BR123" s="728"/>
      <c r="BS123" s="729"/>
      <c r="BT123" s="321"/>
      <c r="BU123" s="71"/>
      <c r="BV123" s="3769"/>
      <c r="BW123" s="481"/>
      <c r="BX123" s="3769"/>
      <c r="BY123" s="3769"/>
      <c r="BZ123" s="3739"/>
      <c r="CA123" s="3743"/>
      <c r="CB123" s="3741"/>
      <c r="CC123" s="685"/>
      <c r="CD123" s="71"/>
      <c r="CE123" s="52"/>
      <c r="CF123" s="61"/>
      <c r="CG123" s="64"/>
      <c r="CH123" s="64"/>
      <c r="CI123" s="64"/>
      <c r="CJ123" s="60"/>
      <c r="CK123" s="64"/>
      <c r="CL123" s="3751"/>
      <c r="CM123" s="3758"/>
      <c r="CN123" s="3751"/>
      <c r="CO123" s="3787"/>
      <c r="CP123" s="3760"/>
      <c r="CQ123" s="3791"/>
      <c r="CR123" s="3760"/>
      <c r="CS123" s="52"/>
      <c r="CT123" s="52"/>
      <c r="CU123" s="52"/>
      <c r="CV123" s="330"/>
      <c r="CW123" s="71"/>
      <c r="CX123" s="52"/>
      <c r="CY123" s="52"/>
      <c r="CZ123" s="52"/>
      <c r="DA123" s="52"/>
      <c r="DB123" s="52"/>
      <c r="DC123" s="321"/>
      <c r="DD123" s="52"/>
      <c r="DE123" s="731"/>
      <c r="DF123" s="732"/>
      <c r="DG123" s="733"/>
      <c r="DH123" s="731"/>
      <c r="DI123" s="733"/>
      <c r="DJ123" s="733"/>
      <c r="DK123" s="3758"/>
      <c r="DL123" s="3758"/>
      <c r="DM123" s="3758"/>
      <c r="DN123" s="52"/>
      <c r="DO123" s="52"/>
      <c r="DP123" s="330"/>
      <c r="DQ123" s="71"/>
      <c r="DR123" s="52"/>
      <c r="DS123" s="52"/>
      <c r="DT123" s="52"/>
      <c r="DU123" s="52"/>
      <c r="DV123" s="52"/>
      <c r="DW123" s="52"/>
      <c r="DX123" s="52"/>
      <c r="DY123" s="52"/>
      <c r="DZ123" s="321"/>
      <c r="EA123" s="321"/>
      <c r="EB123" s="732"/>
      <c r="EC123" s="3740"/>
      <c r="ED123" s="3740"/>
      <c r="EE123" s="3740"/>
      <c r="EF123" s="3740"/>
      <c r="EG123" s="3740"/>
      <c r="EH123" s="321"/>
      <c r="EI123" s="321"/>
      <c r="EJ123" s="564"/>
      <c r="EK123" s="52"/>
      <c r="EL123" s="52"/>
      <c r="EM123" s="52"/>
      <c r="EN123" s="1373"/>
      <c r="EO123" s="1373"/>
      <c r="EP123" s="1373"/>
      <c r="EQ123" s="1373"/>
      <c r="ER123" s="1373"/>
      <c r="ES123" s="1373"/>
      <c r="ET123" s="1373"/>
      <c r="EU123" s="1373"/>
      <c r="EV123" s="1373"/>
      <c r="EW123" s="1373"/>
      <c r="EX123" s="3755"/>
      <c r="EY123" s="3755"/>
      <c r="EZ123" s="1373"/>
      <c r="FA123" s="1373"/>
      <c r="FB123" s="1373"/>
      <c r="FC123" s="3786"/>
      <c r="FD123" s="481"/>
      <c r="FE123" s="699"/>
    </row>
    <row r="124" spans="1:161">
      <c r="A124" s="695"/>
      <c r="B124" s="3759"/>
      <c r="C124" s="3791"/>
      <c r="D124" s="3760"/>
      <c r="E124" s="3759"/>
      <c r="F124" s="3787"/>
      <c r="G124" s="3759"/>
      <c r="H124" s="3758"/>
      <c r="I124" s="3751"/>
      <c r="J124" s="3758"/>
      <c r="K124" s="3742"/>
      <c r="L124" s="78"/>
      <c r="M124" s="61"/>
      <c r="N124" s="52"/>
      <c r="O124" s="52"/>
      <c r="P124" s="52"/>
      <c r="Q124" s="52"/>
      <c r="R124" s="52"/>
      <c r="S124" s="52"/>
      <c r="T124" s="330"/>
      <c r="U124" s="398"/>
      <c r="V124" s="52"/>
      <c r="W124" s="52"/>
      <c r="X124" s="60"/>
      <c r="Y124" s="715"/>
      <c r="Z124" s="717"/>
      <c r="AA124" s="717"/>
      <c r="AB124" s="716"/>
      <c r="AC124" s="716"/>
      <c r="AD124" s="717"/>
      <c r="AE124" s="717"/>
      <c r="AF124" s="715"/>
      <c r="AG124" s="64"/>
      <c r="AH124" s="52"/>
      <c r="AI124" s="52"/>
      <c r="AJ124" s="52"/>
      <c r="AK124" s="3747"/>
      <c r="AL124" s="52"/>
      <c r="AM124" s="3753"/>
      <c r="AN124" s="3792"/>
      <c r="AO124" s="52"/>
      <c r="AP124" s="52"/>
      <c r="AQ124" s="3742"/>
      <c r="AR124" s="64"/>
      <c r="AS124" s="3751"/>
      <c r="AT124" s="3758"/>
      <c r="AU124" s="3758"/>
      <c r="AV124" s="3760"/>
      <c r="AW124" s="3791"/>
      <c r="AX124" s="3787"/>
      <c r="AY124" s="3758"/>
      <c r="AZ124" s="3791"/>
      <c r="BA124" s="3787"/>
      <c r="BB124" s="3791"/>
      <c r="BC124" s="3760"/>
      <c r="BD124" s="695"/>
      <c r="BE124" s="695"/>
      <c r="BF124" s="3747"/>
      <c r="BG124" s="481"/>
      <c r="BH124" s="3747"/>
      <c r="BI124" s="398"/>
      <c r="BJ124" s="64"/>
      <c r="BK124" s="60"/>
      <c r="BL124" s="729"/>
      <c r="BM124" s="728"/>
      <c r="BN124" s="728"/>
      <c r="BO124" s="730"/>
      <c r="BP124" s="730"/>
      <c r="BQ124" s="728"/>
      <c r="BR124" s="728"/>
      <c r="BS124" s="729"/>
      <c r="BT124" s="321"/>
      <c r="BU124" s="52"/>
      <c r="BV124" s="52"/>
      <c r="BW124" s="3769"/>
      <c r="BX124" s="481"/>
      <c r="BY124" s="3747"/>
      <c r="BZ124" s="3743"/>
      <c r="CA124" s="3754"/>
      <c r="CB124" s="3741"/>
      <c r="CC124" s="685"/>
      <c r="CD124" s="71"/>
      <c r="CE124" s="61"/>
      <c r="CF124" s="60"/>
      <c r="CG124" s="60"/>
      <c r="CH124" s="61"/>
      <c r="CI124" s="60"/>
      <c r="CJ124" s="64"/>
      <c r="CK124" s="3751"/>
      <c r="CL124" s="3758"/>
      <c r="CM124" s="3751"/>
      <c r="CN124" s="3751"/>
      <c r="CO124" s="3751"/>
      <c r="CP124" s="3791"/>
      <c r="CQ124" s="3758"/>
      <c r="CR124" s="1373"/>
      <c r="CS124" s="52"/>
      <c r="CT124" s="52"/>
      <c r="CU124" s="52"/>
      <c r="CV124" s="330"/>
      <c r="CW124" s="71"/>
      <c r="CX124" s="71"/>
      <c r="CY124" s="52"/>
      <c r="CZ124" s="52"/>
      <c r="DA124" s="52"/>
      <c r="DB124" s="52"/>
      <c r="DC124" s="321"/>
      <c r="DD124" s="731"/>
      <c r="DE124" s="732"/>
      <c r="DF124" s="733"/>
      <c r="DG124" s="731"/>
      <c r="DH124" s="731"/>
      <c r="DI124" s="733"/>
      <c r="DJ124" s="731"/>
      <c r="DK124" s="731"/>
      <c r="DL124" s="731"/>
      <c r="DM124" s="732"/>
      <c r="DN124" s="3758"/>
      <c r="DO124" s="52"/>
      <c r="DP124" s="330"/>
      <c r="DQ124" s="71"/>
      <c r="DR124" s="52"/>
      <c r="DS124" s="52"/>
      <c r="DT124" s="52"/>
      <c r="DU124" s="52"/>
      <c r="DV124" s="52"/>
      <c r="DW124" s="52"/>
      <c r="DX124" s="52"/>
      <c r="DY124" s="321"/>
      <c r="DZ124" s="731"/>
      <c r="EA124" s="3740"/>
      <c r="EB124" s="3740"/>
      <c r="EC124" s="731"/>
      <c r="ED124" s="3740"/>
      <c r="EE124" s="731"/>
      <c r="EF124" s="3740"/>
      <c r="EG124" s="3740"/>
      <c r="EH124" s="3740"/>
      <c r="EI124" s="3758"/>
      <c r="EJ124" s="564"/>
      <c r="EK124" s="52"/>
      <c r="EL124" s="52"/>
      <c r="EM124" s="52"/>
      <c r="EN124" s="1373"/>
      <c r="EO124" s="1373"/>
      <c r="EP124" s="1373"/>
      <c r="EQ124" s="52"/>
      <c r="ER124" s="52"/>
      <c r="ES124" s="52"/>
      <c r="ET124" s="52"/>
      <c r="EU124" s="52"/>
      <c r="EV124" s="52"/>
      <c r="EW124" s="3755"/>
      <c r="EX124" s="3755"/>
      <c r="EY124" s="52"/>
      <c r="EZ124" s="52"/>
      <c r="FA124" s="52"/>
      <c r="FB124" s="52"/>
      <c r="FC124" s="3769"/>
      <c r="FD124" s="52"/>
      <c r="FE124" s="699"/>
    </row>
    <row r="125" spans="1:161">
      <c r="A125" s="695"/>
      <c r="B125" s="3760"/>
      <c r="C125" s="3787"/>
      <c r="D125" s="3791"/>
      <c r="E125" s="3758"/>
      <c r="F125" s="3787"/>
      <c r="G125" s="3791"/>
      <c r="H125" s="3760"/>
      <c r="I125" s="3751"/>
      <c r="J125" s="3751"/>
      <c r="K125" s="3758"/>
      <c r="L125" s="61"/>
      <c r="M125" s="61"/>
      <c r="N125" s="64"/>
      <c r="O125" s="52"/>
      <c r="P125" s="52"/>
      <c r="Q125" s="52"/>
      <c r="R125" s="52"/>
      <c r="S125" s="52"/>
      <c r="T125" s="330"/>
      <c r="U125" s="398"/>
      <c r="V125" s="52"/>
      <c r="W125" s="64"/>
      <c r="X125" s="60"/>
      <c r="Y125" s="715"/>
      <c r="Z125" s="717"/>
      <c r="AA125" s="717"/>
      <c r="AB125" s="716"/>
      <c r="AC125" s="716"/>
      <c r="AD125" s="717"/>
      <c r="AE125" s="717"/>
      <c r="AF125" s="715"/>
      <c r="AG125" s="61"/>
      <c r="AH125" s="52"/>
      <c r="AI125" s="52"/>
      <c r="AJ125" s="52"/>
      <c r="AK125" s="3739"/>
      <c r="AL125" s="52"/>
      <c r="AM125" s="3753"/>
      <c r="AN125" s="3741"/>
      <c r="AO125" s="398"/>
      <c r="AP125" s="3742"/>
      <c r="AQ125" s="64"/>
      <c r="AR125" s="3742"/>
      <c r="AS125" s="3758"/>
      <c r="AT125" s="3751"/>
      <c r="AU125" s="3760"/>
      <c r="AV125" s="3791"/>
      <c r="AW125" s="3787"/>
      <c r="AX125" s="3758"/>
      <c r="AY125" s="3791"/>
      <c r="AZ125" s="3787"/>
      <c r="BA125" s="3791"/>
      <c r="BB125" s="3760"/>
      <c r="BC125" s="1373"/>
      <c r="BD125" s="1373"/>
      <c r="BE125" s="1373"/>
      <c r="BF125" s="481"/>
      <c r="BG125" s="3769"/>
      <c r="BH125" s="1373"/>
      <c r="BI125" s="398"/>
      <c r="BJ125" s="64"/>
      <c r="BK125" s="59"/>
      <c r="BL125" s="729"/>
      <c r="BM125" s="64"/>
      <c r="BN125" s="60"/>
      <c r="BO125" s="64"/>
      <c r="BP125" s="60"/>
      <c r="BQ125" s="728"/>
      <c r="BR125" s="728"/>
      <c r="BS125" s="729"/>
      <c r="BT125" s="321"/>
      <c r="BU125" s="52"/>
      <c r="BV125" s="52"/>
      <c r="BW125" s="52"/>
      <c r="BX125" s="3769"/>
      <c r="BY125" s="3769"/>
      <c r="BZ125" s="3738"/>
      <c r="CA125" s="3741"/>
      <c r="CB125" s="3754"/>
      <c r="CC125" s="685"/>
      <c r="CD125" s="61"/>
      <c r="CE125" s="60"/>
      <c r="CF125" s="64"/>
      <c r="CG125" s="61"/>
      <c r="CH125" s="3751"/>
      <c r="CI125" s="3760"/>
      <c r="CJ125" s="3791"/>
      <c r="CK125" s="3760"/>
      <c r="CL125" s="3758"/>
      <c r="CM125" s="3751"/>
      <c r="CN125" s="3751"/>
      <c r="CO125" s="3751"/>
      <c r="CP125" s="3751"/>
      <c r="CQ125" s="3747"/>
      <c r="CR125" s="481"/>
      <c r="CS125" s="3753"/>
      <c r="CT125" s="52"/>
      <c r="CU125" s="52"/>
      <c r="CV125" s="330"/>
      <c r="CW125" s="71"/>
      <c r="CX125" s="71"/>
      <c r="CY125" s="52"/>
      <c r="CZ125" s="52"/>
      <c r="DA125" s="52"/>
      <c r="DB125" s="61"/>
      <c r="DC125" s="61"/>
      <c r="DD125" s="731"/>
      <c r="DE125" s="732"/>
      <c r="DF125" s="3758"/>
      <c r="DG125" s="732"/>
      <c r="DH125" s="733"/>
      <c r="DI125" s="731"/>
      <c r="DJ125" s="3758"/>
      <c r="DK125" s="731"/>
      <c r="DL125" s="732"/>
      <c r="DM125" s="731"/>
      <c r="DN125" s="52"/>
      <c r="DO125" s="52"/>
      <c r="DP125" s="330"/>
      <c r="DQ125" s="71"/>
      <c r="DR125" s="52"/>
      <c r="DS125" s="52"/>
      <c r="DT125" s="52"/>
      <c r="DU125" s="52"/>
      <c r="DV125" s="52"/>
      <c r="DW125" s="52"/>
      <c r="DX125" s="52"/>
      <c r="DY125" s="321"/>
      <c r="DZ125" s="731"/>
      <c r="EA125" s="732"/>
      <c r="EB125" s="732"/>
      <c r="EC125" s="733"/>
      <c r="ED125" s="3758"/>
      <c r="EE125" s="732"/>
      <c r="EF125" s="736"/>
      <c r="EG125" s="733"/>
      <c r="EH125" s="3758"/>
      <c r="EI125" s="733"/>
      <c r="EJ125" s="742"/>
      <c r="EK125" s="52"/>
      <c r="EL125" s="52"/>
      <c r="EM125" s="52"/>
      <c r="EN125" s="52"/>
      <c r="EO125" s="52"/>
      <c r="EP125" s="52"/>
      <c r="EQ125" s="52"/>
      <c r="ER125" s="52"/>
      <c r="ES125" s="52"/>
      <c r="ET125" s="52"/>
      <c r="EU125" s="52"/>
      <c r="EV125" s="3755"/>
      <c r="EW125" s="52"/>
      <c r="EX125" s="3755"/>
      <c r="EY125" s="3740"/>
      <c r="EZ125" s="52"/>
      <c r="FA125" s="52"/>
      <c r="FB125" s="52"/>
      <c r="FC125" s="52"/>
      <c r="FD125" s="1373"/>
      <c r="FE125" s="699"/>
    </row>
    <row r="126" spans="1:161">
      <c r="A126" s="695"/>
      <c r="B126" s="695"/>
      <c r="C126" s="3760"/>
      <c r="D126" s="3791"/>
      <c r="E126" s="3760"/>
      <c r="F126" s="3758"/>
      <c r="G126" s="3751"/>
      <c r="H126" s="3751"/>
      <c r="I126" s="3758"/>
      <c r="J126" s="3751"/>
      <c r="K126" s="3740"/>
      <c r="L126" s="61"/>
      <c r="M126" s="64"/>
      <c r="N126" s="61"/>
      <c r="O126" s="64"/>
      <c r="P126" s="52"/>
      <c r="Q126" s="52"/>
      <c r="R126" s="52"/>
      <c r="S126" s="52"/>
      <c r="T126" s="330"/>
      <c r="U126" s="398"/>
      <c r="V126" s="52"/>
      <c r="W126" s="64"/>
      <c r="X126" s="59"/>
      <c r="Y126" s="715"/>
      <c r="Z126" s="64"/>
      <c r="AA126" s="60"/>
      <c r="AB126" s="64"/>
      <c r="AC126" s="716"/>
      <c r="AD126" s="717"/>
      <c r="AE126" s="717"/>
      <c r="AF126" s="715"/>
      <c r="AG126" s="61"/>
      <c r="AH126" s="52"/>
      <c r="AI126" s="52"/>
      <c r="AJ126" s="52"/>
      <c r="AK126" s="3769"/>
      <c r="AL126" s="52"/>
      <c r="AM126" s="3753"/>
      <c r="AN126" s="3741"/>
      <c r="AO126" s="3766"/>
      <c r="AP126" s="64"/>
      <c r="AQ126" s="61"/>
      <c r="AR126" s="3758"/>
      <c r="AS126" s="3751"/>
      <c r="AT126" s="3751"/>
      <c r="AU126" s="3759"/>
      <c r="AV126" s="3791"/>
      <c r="AW126" s="3760"/>
      <c r="AX126" s="3759"/>
      <c r="AY126" s="3787"/>
      <c r="AZ126" s="3791"/>
      <c r="BA126" s="3760"/>
      <c r="BB126" s="1373"/>
      <c r="BC126" s="1373"/>
      <c r="BD126" s="3741"/>
      <c r="BE126" s="3741"/>
      <c r="BF126" s="3753"/>
      <c r="BG126" s="1373"/>
      <c r="BH126" s="1373"/>
      <c r="BI126" s="734"/>
      <c r="BJ126" s="59"/>
      <c r="BK126" s="60"/>
      <c r="BL126" s="60"/>
      <c r="BM126" s="64"/>
      <c r="BN126" s="61"/>
      <c r="BO126" s="61"/>
      <c r="BP126" s="730"/>
      <c r="BQ126" s="3751"/>
      <c r="BR126" s="3751"/>
      <c r="BS126" s="728"/>
      <c r="BT126" s="321"/>
      <c r="BU126" s="52"/>
      <c r="BV126" s="52"/>
      <c r="BW126" s="3744"/>
      <c r="BX126" s="3744"/>
      <c r="BY126" s="3747"/>
      <c r="BZ126" s="3744"/>
      <c r="CA126" s="3741"/>
      <c r="CB126" s="52"/>
      <c r="CC126" s="685"/>
      <c r="CD126" s="60"/>
      <c r="CE126" s="60"/>
      <c r="CF126" s="61"/>
      <c r="CG126" s="3751"/>
      <c r="CH126" s="3760"/>
      <c r="CI126" s="732"/>
      <c r="CJ126" s="3760"/>
      <c r="CK126" s="3760"/>
      <c r="CL126" s="732"/>
      <c r="CM126" s="3751"/>
      <c r="CN126" s="3751"/>
      <c r="CO126" s="3751"/>
      <c r="CP126" s="3758"/>
      <c r="CQ126" s="52"/>
      <c r="CR126" s="3747"/>
      <c r="CS126" s="481"/>
      <c r="CT126" s="3741"/>
      <c r="CU126" s="3741"/>
      <c r="CV126" s="330"/>
      <c r="CW126" s="71"/>
      <c r="CX126" s="71"/>
      <c r="CY126" s="52"/>
      <c r="CZ126" s="52"/>
      <c r="DA126" s="61"/>
      <c r="DB126" s="60"/>
      <c r="DC126" s="60"/>
      <c r="DD126" s="61"/>
      <c r="DE126" s="61"/>
      <c r="DF126" s="61"/>
      <c r="DG126" s="732"/>
      <c r="DH126" s="733"/>
      <c r="DI126" s="3758"/>
      <c r="DJ126" s="731"/>
      <c r="DK126" s="732"/>
      <c r="DL126" s="732"/>
      <c r="DM126" s="3758"/>
      <c r="DN126" s="52"/>
      <c r="DO126" s="52"/>
      <c r="DP126" s="330"/>
      <c r="EJ126">
        <v>989</v>
      </c>
      <c r="EK126" s="398"/>
      <c r="EL126" s="52"/>
      <c r="EM126" s="52"/>
      <c r="EN126" s="52"/>
      <c r="EO126" s="52"/>
      <c r="EP126" s="52"/>
      <c r="EQ126" s="52"/>
      <c r="ER126" s="52"/>
      <c r="ES126" s="52"/>
      <c r="ET126" s="732"/>
      <c r="EU126" s="3740"/>
      <c r="EV126" s="732"/>
      <c r="EW126" s="3740"/>
      <c r="EX126" s="3755"/>
      <c r="EY126" s="3755"/>
      <c r="EZ126" s="3758"/>
      <c r="FA126" s="52"/>
      <c r="FB126" s="52"/>
      <c r="FC126" s="52"/>
      <c r="FD126" s="52"/>
      <c r="FE126" s="699"/>
    </row>
    <row r="127" spans="1:161">
      <c r="A127" s="1373"/>
      <c r="B127" s="1373"/>
      <c r="C127" s="3751"/>
      <c r="D127" s="3760"/>
      <c r="E127" s="3751"/>
      <c r="F127" s="3751"/>
      <c r="G127" s="3758"/>
      <c r="H127" s="3751"/>
      <c r="I127" s="3751"/>
      <c r="J127" s="3758"/>
      <c r="K127" s="3740"/>
      <c r="L127" s="3755"/>
      <c r="M127" s="3755"/>
      <c r="N127" s="64"/>
      <c r="O127" s="61"/>
      <c r="P127" s="52"/>
      <c r="Q127" s="3738"/>
      <c r="R127" s="3753"/>
      <c r="S127" s="3753"/>
      <c r="T127" s="330"/>
      <c r="U127" s="52"/>
      <c r="V127" s="64"/>
      <c r="W127" s="59"/>
      <c r="X127" s="60"/>
      <c r="Y127" s="60"/>
      <c r="Z127" s="64"/>
      <c r="AA127" s="61"/>
      <c r="AB127" s="716"/>
      <c r="AC127" s="716"/>
      <c r="AD127" s="3751"/>
      <c r="AE127" s="3751"/>
      <c r="AF127" s="717"/>
      <c r="AG127" s="64"/>
      <c r="AH127" s="52"/>
      <c r="AI127" s="52"/>
      <c r="AJ127" s="3747"/>
      <c r="AK127" s="481"/>
      <c r="AL127" s="3747"/>
      <c r="AM127" s="3753"/>
      <c r="AN127" s="3754"/>
      <c r="AO127" s="3766"/>
      <c r="AP127" s="64"/>
      <c r="AQ127" s="3755"/>
      <c r="AR127" s="3740"/>
      <c r="AS127" s="3751"/>
      <c r="AT127" s="3758"/>
      <c r="AU127" s="3751"/>
      <c r="AV127" s="3751"/>
      <c r="AW127" s="3758"/>
      <c r="AX127" s="3751"/>
      <c r="AY127" s="3760"/>
      <c r="AZ127" s="3751"/>
      <c r="BA127" s="1373"/>
      <c r="BB127" s="3744"/>
      <c r="BC127" s="3739"/>
      <c r="BD127" s="3741"/>
      <c r="BE127" s="3753"/>
      <c r="BF127" s="3744"/>
      <c r="BG127" s="3769"/>
      <c r="BH127" s="1373"/>
      <c r="BI127" s="734"/>
      <c r="BJ127" s="60"/>
      <c r="BK127" s="64"/>
      <c r="BL127" s="64"/>
      <c r="BM127" s="61"/>
      <c r="BN127" s="61"/>
      <c r="BO127" s="731"/>
      <c r="BP127" s="731"/>
      <c r="BQ127" s="732"/>
      <c r="BR127" s="731"/>
      <c r="BS127" s="728"/>
      <c r="BT127" s="321"/>
      <c r="BU127" s="52"/>
      <c r="BV127" s="3741"/>
      <c r="BW127" s="3741"/>
      <c r="BX127" s="3741"/>
      <c r="BY127" s="3741"/>
      <c r="BZ127" s="3744"/>
      <c r="CA127" s="3754"/>
      <c r="CB127" s="52"/>
      <c r="CC127" s="734"/>
      <c r="CD127" s="64"/>
      <c r="CE127" s="64"/>
      <c r="CF127" s="3760"/>
      <c r="CG127" s="3758"/>
      <c r="CH127" s="3758"/>
      <c r="CI127" s="3760"/>
      <c r="CJ127" s="3760"/>
      <c r="CK127" s="732"/>
      <c r="CL127" s="3791"/>
      <c r="CM127" s="3760"/>
      <c r="CN127" s="3751"/>
      <c r="CO127" s="3758"/>
      <c r="CP127" s="52"/>
      <c r="CQ127" s="52"/>
      <c r="CR127" s="3741"/>
      <c r="CS127" s="3747"/>
      <c r="CT127" s="3747"/>
      <c r="CU127" s="3741"/>
      <c r="CV127" s="3793"/>
      <c r="CW127" s="71"/>
      <c r="CX127" s="71"/>
      <c r="CY127" s="71"/>
      <c r="CZ127" s="61"/>
      <c r="DA127" s="60"/>
      <c r="DB127" s="64"/>
      <c r="DC127" s="64"/>
      <c r="DD127" s="64"/>
      <c r="DE127" s="60"/>
      <c r="DF127" s="728"/>
      <c r="DG127" s="728"/>
      <c r="DH127" s="731"/>
      <c r="DI127" s="3758"/>
      <c r="DJ127" s="732"/>
      <c r="DK127" s="732"/>
      <c r="DL127" s="731"/>
      <c r="DM127" s="3753"/>
      <c r="DN127" s="3753"/>
      <c r="DO127" s="52"/>
      <c r="DP127" s="330"/>
      <c r="DQ127" s="71"/>
      <c r="DR127" s="52"/>
      <c r="DS127" s="52"/>
      <c r="DT127" s="52"/>
      <c r="DU127" s="52"/>
      <c r="DV127" s="52"/>
      <c r="DW127" s="52"/>
      <c r="DX127" s="52"/>
      <c r="DY127" s="64"/>
      <c r="DZ127" s="729"/>
      <c r="EA127" s="732"/>
      <c r="EB127" s="732"/>
      <c r="EC127" s="733"/>
      <c r="ED127" s="3758"/>
      <c r="EE127" s="732"/>
      <c r="EF127" s="736"/>
      <c r="EG127" s="733"/>
      <c r="EH127" s="3758"/>
      <c r="EI127" s="732"/>
      <c r="EJ127" s="743"/>
      <c r="EK127" s="52"/>
      <c r="EL127" s="52"/>
      <c r="EM127" s="52"/>
      <c r="EN127" s="52"/>
      <c r="EO127" s="52"/>
      <c r="EP127" s="52"/>
      <c r="EQ127" s="52"/>
      <c r="ER127" s="731"/>
      <c r="ES127" s="731"/>
      <c r="ET127" s="731"/>
      <c r="EU127" s="731"/>
      <c r="EV127" s="736"/>
      <c r="EW127" s="731"/>
      <c r="EX127" s="731"/>
      <c r="EY127" s="731"/>
      <c r="EZ127" s="3758"/>
      <c r="FA127" s="732"/>
      <c r="FB127" s="52"/>
      <c r="FC127" s="52"/>
      <c r="FD127" s="52"/>
      <c r="FE127" s="699"/>
    </row>
    <row r="128" spans="1:161">
      <c r="A128" s="1373"/>
      <c r="B128" s="1373"/>
      <c r="C128" s="1373"/>
      <c r="D128" s="3751"/>
      <c r="E128" s="3751"/>
      <c r="F128" s="3751"/>
      <c r="G128" s="64"/>
      <c r="H128" s="61"/>
      <c r="I128" s="3751"/>
      <c r="J128" s="3740"/>
      <c r="K128" s="3758"/>
      <c r="L128" s="3760"/>
      <c r="M128" s="728"/>
      <c r="N128" s="61"/>
      <c r="O128" s="3755"/>
      <c r="P128" s="52"/>
      <c r="Q128" s="3753"/>
      <c r="R128" s="3741"/>
      <c r="S128" s="3741"/>
      <c r="T128" s="3793"/>
      <c r="U128" s="52"/>
      <c r="V128" s="64"/>
      <c r="W128" s="60"/>
      <c r="X128" s="64"/>
      <c r="Y128" s="64"/>
      <c r="Z128" s="61"/>
      <c r="AA128" s="61"/>
      <c r="AB128" s="731"/>
      <c r="AC128" s="731"/>
      <c r="AD128" s="732"/>
      <c r="AE128" s="731"/>
      <c r="AF128" s="728"/>
      <c r="AG128" s="321"/>
      <c r="AH128" s="52"/>
      <c r="AI128" s="52"/>
      <c r="AJ128" s="3769"/>
      <c r="AK128" s="481"/>
      <c r="AL128" s="3769"/>
      <c r="AM128" s="3753"/>
      <c r="AN128" s="3754"/>
      <c r="AO128" s="727"/>
      <c r="AP128" s="77"/>
      <c r="AQ128" s="77"/>
      <c r="AR128" s="77"/>
      <c r="AS128" s="75"/>
      <c r="AT128" s="78"/>
      <c r="AU128" s="3794"/>
      <c r="AV128" s="3795"/>
      <c r="AW128" s="3794"/>
      <c r="AX128" s="3796"/>
      <c r="AY128" s="3794"/>
      <c r="AZ128" s="3784"/>
      <c r="BA128" s="3778"/>
      <c r="BB128" s="3780"/>
      <c r="BC128" s="3797"/>
      <c r="BD128" s="3783"/>
      <c r="BE128" s="3798"/>
      <c r="BF128" s="3799"/>
      <c r="BG128" s="3780"/>
      <c r="BH128" s="3800"/>
      <c r="BI128" s="3801"/>
      <c r="BJ128" s="78"/>
      <c r="BK128" s="75"/>
      <c r="BL128" s="75"/>
      <c r="BM128" s="3778"/>
      <c r="BN128" s="723"/>
      <c r="BO128" s="722"/>
      <c r="BP128" s="722"/>
      <c r="BQ128" s="724"/>
      <c r="BR128" s="722"/>
      <c r="BS128" s="725"/>
      <c r="BT128" s="569"/>
      <c r="BU128" s="74"/>
      <c r="BV128" s="3802"/>
      <c r="BW128" s="3802"/>
      <c r="BX128" s="3802"/>
      <c r="BY128" s="3798"/>
      <c r="BZ128" s="3802"/>
      <c r="CA128" s="3776"/>
      <c r="CB128" s="74"/>
      <c r="CC128" s="747"/>
      <c r="CD128" s="77"/>
      <c r="CE128" s="77"/>
      <c r="CF128" s="724"/>
      <c r="CG128" s="3795"/>
      <c r="CH128" s="724"/>
      <c r="CI128" s="724"/>
      <c r="CJ128" s="3795"/>
      <c r="CK128" s="3803"/>
      <c r="CL128" s="3796"/>
      <c r="CM128" s="3796"/>
      <c r="CN128" s="3795"/>
      <c r="CO128" s="3794"/>
      <c r="CP128" s="74"/>
      <c r="CQ128" s="3798"/>
      <c r="CR128" s="3798"/>
      <c r="CS128" s="3802"/>
      <c r="CT128" s="3802"/>
      <c r="CU128" s="3802"/>
      <c r="CV128" s="3804"/>
      <c r="CW128" s="399"/>
      <c r="CX128" s="399"/>
      <c r="CY128" s="77"/>
      <c r="CZ128" s="78"/>
      <c r="DA128" s="78"/>
      <c r="DB128" s="77"/>
      <c r="DC128" s="77"/>
      <c r="DD128" s="725"/>
      <c r="DE128" s="725"/>
      <c r="DF128" s="725"/>
      <c r="DG128" s="741"/>
      <c r="DH128" s="741"/>
      <c r="DI128" s="725"/>
      <c r="DJ128" s="731"/>
      <c r="DK128" s="3795"/>
      <c r="DL128" s="3753"/>
      <c r="DM128" s="3802"/>
      <c r="DN128" s="3802"/>
      <c r="DO128" s="3802"/>
      <c r="DP128" s="3804"/>
      <c r="DQ128" s="399" t="s">
        <v>674</v>
      </c>
      <c r="DR128" s="74"/>
      <c r="DS128" s="74"/>
      <c r="DT128" s="74"/>
      <c r="DU128" s="74"/>
      <c r="DV128" s="74"/>
      <c r="DW128" s="74"/>
      <c r="DX128" s="75"/>
      <c r="DY128" s="78"/>
      <c r="DZ128" s="740"/>
      <c r="EA128" s="724"/>
      <c r="EB128" s="724"/>
      <c r="EC128" s="723"/>
      <c r="ED128" s="741"/>
      <c r="EE128" s="724"/>
      <c r="EF128" s="744"/>
      <c r="EG128" s="723"/>
      <c r="EH128" s="725"/>
      <c r="EI128" s="724"/>
      <c r="EJ128" s="745"/>
      <c r="EK128" s="74"/>
      <c r="EL128" s="74"/>
      <c r="EM128" s="74"/>
      <c r="EN128" s="74"/>
      <c r="EO128" s="74"/>
      <c r="EP128" s="74"/>
      <c r="EQ128" s="74"/>
      <c r="ER128" s="731"/>
      <c r="ES128" s="732"/>
      <c r="ET128" s="732"/>
      <c r="EU128" s="731"/>
      <c r="EV128" s="736"/>
      <c r="EW128" s="731"/>
      <c r="EX128" s="732"/>
      <c r="EY128" s="732"/>
      <c r="EZ128" s="3758"/>
      <c r="FA128" s="732"/>
      <c r="FB128" s="3758"/>
      <c r="FC128" s="52"/>
      <c r="FD128" s="52"/>
      <c r="FE128" s="699"/>
    </row>
    <row r="129" spans="1:161">
      <c r="A129" s="680">
        <v>5</v>
      </c>
      <c r="B129" s="360"/>
      <c r="C129" s="360"/>
      <c r="D129" s="360"/>
      <c r="E129" s="360"/>
      <c r="F129" s="1244"/>
      <c r="G129" s="1244"/>
      <c r="H129" s="1244"/>
      <c r="I129" s="1244"/>
      <c r="J129" s="1244"/>
      <c r="K129" s="1244"/>
      <c r="L129" s="1244"/>
      <c r="M129" s="1244"/>
      <c r="N129" s="1244"/>
      <c r="O129" s="1244"/>
      <c r="P129" s="1244"/>
      <c r="Q129" s="360"/>
      <c r="R129" s="360"/>
      <c r="S129" s="360"/>
      <c r="T129" s="681"/>
      <c r="U129" s="360">
        <v>5</v>
      </c>
      <c r="V129" s="360"/>
      <c r="W129" s="360"/>
      <c r="X129" s="360"/>
      <c r="Y129" s="360"/>
      <c r="Z129" s="360"/>
      <c r="AA129" s="360"/>
      <c r="AB129" s="360"/>
      <c r="AC129" s="360"/>
      <c r="AD129" s="360"/>
      <c r="AE129" s="360"/>
      <c r="AF129" s="360"/>
      <c r="AG129" s="360"/>
      <c r="AH129" s="360"/>
      <c r="AI129" s="360"/>
      <c r="AJ129" s="360"/>
      <c r="AK129" s="360"/>
      <c r="AL129" s="360"/>
      <c r="AM129" s="360"/>
      <c r="AN129" s="681"/>
      <c r="AO129" s="360">
        <v>5</v>
      </c>
      <c r="AP129" s="360"/>
      <c r="AQ129" s="360"/>
      <c r="AR129" s="360"/>
      <c r="AS129" s="360"/>
      <c r="AT129" s="360"/>
      <c r="AU129" s="360"/>
      <c r="AV129" s="360"/>
      <c r="AW129" s="360"/>
      <c r="AX129" s="360"/>
      <c r="AY129" s="360"/>
      <c r="AZ129" s="360"/>
      <c r="BA129" s="360"/>
      <c r="BB129" s="360"/>
      <c r="BC129" s="360"/>
      <c r="BD129" s="360"/>
      <c r="BE129" s="360"/>
      <c r="BF129" s="360"/>
      <c r="BG129" s="360"/>
      <c r="BH129" s="681"/>
      <c r="BI129" s="360">
        <v>5</v>
      </c>
      <c r="BJ129" s="360"/>
      <c r="BK129" s="360"/>
      <c r="BL129" s="360"/>
      <c r="BM129" s="360"/>
      <c r="BN129" s="360"/>
      <c r="BO129" s="360"/>
      <c r="BP129" s="360"/>
      <c r="BQ129" s="360"/>
      <c r="BR129" s="360"/>
      <c r="BS129" s="360"/>
      <c r="BT129" s="360"/>
      <c r="BU129" s="360"/>
      <c r="BV129" s="360"/>
      <c r="BW129" s="360"/>
      <c r="BX129" s="360"/>
      <c r="BY129" s="360"/>
      <c r="BZ129" s="360"/>
      <c r="CA129" s="360"/>
      <c r="CB129" s="681"/>
      <c r="CC129" s="360">
        <v>5</v>
      </c>
      <c r="CD129" s="360"/>
      <c r="CE129" s="360"/>
      <c r="CF129" s="360"/>
      <c r="CG129" s="360"/>
      <c r="CH129" s="360"/>
      <c r="CI129" s="360"/>
      <c r="CJ129" s="360"/>
      <c r="CK129" s="360"/>
      <c r="CL129" s="360"/>
      <c r="CM129" s="360"/>
      <c r="CN129" s="360"/>
      <c r="CO129" s="360"/>
      <c r="CP129" s="360"/>
      <c r="CQ129" s="360"/>
      <c r="CR129" s="360"/>
      <c r="CS129" s="360"/>
      <c r="CT129" s="360"/>
      <c r="CU129" s="360"/>
      <c r="CV129" s="681"/>
      <c r="CW129" s="360">
        <v>5</v>
      </c>
      <c r="CX129" s="360"/>
      <c r="CY129" s="360"/>
      <c r="CZ129" s="360"/>
      <c r="DA129" s="360"/>
      <c r="DB129" s="360"/>
      <c r="DC129" s="360"/>
      <c r="DD129" s="360"/>
      <c r="DE129" s="360"/>
      <c r="DF129" s="360"/>
      <c r="DG129" s="360"/>
      <c r="DH129" s="360"/>
      <c r="DI129" s="360"/>
      <c r="DJ129" s="360"/>
      <c r="DK129" s="360"/>
      <c r="DL129" s="360"/>
      <c r="DM129" s="360"/>
      <c r="DN129" s="360"/>
      <c r="DO129" s="360"/>
      <c r="DP129" s="681"/>
      <c r="DQ129" s="360">
        <v>5</v>
      </c>
      <c r="DR129" s="360"/>
      <c r="DS129" s="360" t="s">
        <v>674</v>
      </c>
      <c r="DT129" s="360"/>
      <c r="DU129" s="360"/>
      <c r="DV129" s="360"/>
      <c r="DW129" s="360"/>
      <c r="DX129" s="360"/>
      <c r="DY129" s="360"/>
      <c r="DZ129" s="360"/>
      <c r="EA129" s="360"/>
      <c r="EB129" s="360"/>
      <c r="EC129" s="360"/>
      <c r="ED129" s="360"/>
      <c r="EE129" s="360"/>
      <c r="EF129" s="360"/>
      <c r="EG129" s="360"/>
      <c r="EH129" s="360"/>
      <c r="EI129" s="360"/>
      <c r="EJ129" s="681"/>
      <c r="EK129" s="360">
        <v>5</v>
      </c>
      <c r="EL129" s="360"/>
      <c r="EM129" s="360"/>
      <c r="EN129" s="360"/>
      <c r="EO129" s="360"/>
      <c r="EP129" s="360"/>
      <c r="EQ129" s="360"/>
      <c r="ER129" s="360"/>
      <c r="ES129" s="360"/>
      <c r="ET129" s="360"/>
      <c r="EU129" s="360"/>
      <c r="EV129" s="360"/>
      <c r="EW129" s="360"/>
      <c r="EX129" s="360"/>
      <c r="EY129" s="360"/>
      <c r="EZ129" s="360"/>
      <c r="FA129" s="360"/>
      <c r="FB129" s="360"/>
      <c r="FC129" s="360"/>
      <c r="FD129" s="360"/>
      <c r="FE129" s="699"/>
    </row>
    <row r="130" spans="1:161">
      <c r="A130" s="398"/>
      <c r="B130" s="52"/>
      <c r="C130" s="52"/>
      <c r="D130" s="52"/>
      <c r="E130" s="52"/>
      <c r="F130" s="1373"/>
      <c r="G130" s="1373"/>
      <c r="H130" s="1373"/>
      <c r="I130" s="1373"/>
      <c r="J130" s="1373"/>
      <c r="K130" s="1373"/>
      <c r="L130" s="1373"/>
      <c r="M130" s="1373"/>
      <c r="N130" s="1373"/>
      <c r="O130" s="1373"/>
      <c r="P130" s="1373"/>
      <c r="Q130" s="52"/>
      <c r="R130" s="52"/>
      <c r="S130" s="52"/>
      <c r="T130" s="330"/>
      <c r="U130" s="52"/>
      <c r="V130" s="52"/>
      <c r="W130" s="52"/>
      <c r="X130" s="52"/>
      <c r="Y130" s="52"/>
      <c r="Z130" s="52"/>
      <c r="AA130" s="52"/>
      <c r="AB130" s="52"/>
      <c r="AC130" s="52"/>
      <c r="AD130" s="52"/>
      <c r="AE130" s="52"/>
      <c r="AF130" s="52"/>
      <c r="AG130" s="52"/>
      <c r="AH130" s="52"/>
      <c r="AI130" s="52"/>
      <c r="AJ130" s="52"/>
      <c r="AK130" s="52"/>
      <c r="AL130" s="52"/>
      <c r="AM130" s="52"/>
      <c r="AN130" s="330"/>
      <c r="AO130" s="52"/>
      <c r="AP130" s="52"/>
      <c r="AQ130" s="52"/>
      <c r="AR130" s="52"/>
      <c r="AS130" s="52"/>
      <c r="AT130" s="52"/>
      <c r="AU130" s="52"/>
      <c r="AV130" s="52"/>
      <c r="AW130" s="52"/>
      <c r="AX130" s="52"/>
      <c r="AY130" s="52"/>
      <c r="AZ130" s="52"/>
      <c r="BA130" s="52"/>
      <c r="BB130" s="52"/>
      <c r="BC130" s="52"/>
      <c r="BD130" s="52"/>
      <c r="BE130" s="52"/>
      <c r="BF130" s="52"/>
      <c r="BG130" s="52"/>
      <c r="BH130" s="330"/>
      <c r="BI130" s="52">
        <v>1</v>
      </c>
      <c r="BJ130" s="52"/>
      <c r="BK130" s="52"/>
      <c r="BL130" s="52"/>
      <c r="BM130" s="52"/>
      <c r="BN130" s="52"/>
      <c r="BO130" s="52"/>
      <c r="BP130" s="52"/>
      <c r="BQ130" s="52"/>
      <c r="BR130" s="52"/>
      <c r="BS130" s="52"/>
      <c r="BT130" s="52"/>
      <c r="BU130" s="52"/>
      <c r="BV130" s="52"/>
      <c r="BW130" s="52"/>
      <c r="BX130" s="52"/>
      <c r="BY130" s="52"/>
      <c r="BZ130" s="52"/>
      <c r="CA130" s="52"/>
      <c r="CB130" s="330"/>
      <c r="CC130" s="52"/>
      <c r="CD130" s="52"/>
      <c r="CE130" s="52"/>
      <c r="CF130" s="52"/>
      <c r="CG130" s="52"/>
      <c r="CH130" s="52"/>
      <c r="CI130" s="52"/>
      <c r="CJ130" s="52"/>
      <c r="CK130" s="52"/>
      <c r="CL130" s="52"/>
      <c r="CM130" s="52"/>
      <c r="CN130" s="52"/>
      <c r="CO130" s="52"/>
      <c r="CP130" s="52"/>
      <c r="CQ130" s="52"/>
      <c r="CR130" s="52"/>
      <c r="CS130" s="52"/>
      <c r="CT130" s="52"/>
      <c r="CU130" s="52"/>
      <c r="CV130" s="330"/>
      <c r="CW130" s="52"/>
      <c r="CX130" s="52"/>
      <c r="CY130" s="52"/>
      <c r="CZ130" s="52"/>
      <c r="DA130" s="52"/>
      <c r="DB130" s="52"/>
      <c r="DC130" s="52"/>
      <c r="DD130" s="52"/>
      <c r="DE130" s="52"/>
      <c r="DF130" s="52"/>
      <c r="DG130" s="52"/>
      <c r="DH130" s="52"/>
      <c r="DI130" s="52"/>
      <c r="DJ130" s="52"/>
      <c r="DK130" s="52"/>
      <c r="DL130" s="52"/>
      <c r="DM130" s="52"/>
      <c r="DN130" s="52"/>
      <c r="DO130" s="52"/>
      <c r="DP130" s="330"/>
      <c r="DQ130" s="52">
        <v>1</v>
      </c>
      <c r="DR130" s="52"/>
      <c r="DS130" s="52"/>
      <c r="DT130" s="52"/>
      <c r="DU130" s="52"/>
      <c r="DV130" s="52"/>
      <c r="DW130" s="52"/>
      <c r="DX130" s="52"/>
      <c r="DY130" s="52"/>
      <c r="DZ130" s="52"/>
      <c r="EA130" s="52"/>
      <c r="EB130" s="52"/>
      <c r="EC130" s="52"/>
      <c r="ED130" s="52"/>
      <c r="EE130" s="52"/>
      <c r="EF130" s="52"/>
      <c r="EG130" s="52"/>
      <c r="EH130" s="52"/>
      <c r="EI130" s="52"/>
      <c r="EJ130" s="330"/>
      <c r="EK130" s="52"/>
      <c r="EL130" s="52"/>
      <c r="EM130" s="52"/>
      <c r="EN130" s="52"/>
      <c r="EO130" s="52"/>
      <c r="EP130" s="52"/>
      <c r="EQ130" s="52"/>
      <c r="ER130" s="52"/>
      <c r="ES130" s="52"/>
      <c r="ET130" s="52"/>
      <c r="EU130" s="52"/>
      <c r="EV130" s="52"/>
      <c r="EW130" s="52"/>
      <c r="EX130" s="52"/>
      <c r="EY130" s="52"/>
      <c r="EZ130" s="52"/>
      <c r="FA130" s="52"/>
      <c r="FB130" s="52"/>
      <c r="FC130" s="52"/>
      <c r="FD130" s="52"/>
      <c r="FE130" s="699"/>
    </row>
    <row r="131" spans="1:161">
      <c r="A131" s="398">
        <v>60</v>
      </c>
      <c r="B131" s="52"/>
      <c r="C131" s="52"/>
      <c r="D131" s="52"/>
      <c r="E131" s="52"/>
      <c r="F131" s="1373"/>
      <c r="G131" s="1373"/>
      <c r="H131" s="1373"/>
      <c r="I131" s="1373"/>
      <c r="J131" s="1373"/>
      <c r="K131" s="1373"/>
      <c r="L131" s="1373"/>
      <c r="M131" s="1373"/>
      <c r="N131" s="1373"/>
      <c r="O131" s="1373"/>
      <c r="P131" s="1373"/>
      <c r="Q131" s="52"/>
      <c r="R131" s="52"/>
      <c r="S131" s="52"/>
      <c r="T131" s="330"/>
      <c r="U131" s="52">
        <v>60</v>
      </c>
      <c r="V131" s="52"/>
      <c r="W131" s="52"/>
      <c r="X131" s="52"/>
      <c r="Y131" s="52"/>
      <c r="Z131" s="52"/>
      <c r="AA131" s="52"/>
      <c r="AB131" s="52"/>
      <c r="AC131" s="52"/>
      <c r="AD131" s="52"/>
      <c r="AE131" s="52"/>
      <c r="AF131" s="52"/>
      <c r="AG131" s="52"/>
      <c r="AH131" s="52"/>
      <c r="AI131" s="52"/>
      <c r="AJ131" s="52"/>
      <c r="AK131" s="52"/>
      <c r="AL131" s="52"/>
      <c r="AM131" s="52"/>
      <c r="AN131" s="330"/>
      <c r="AO131" s="52">
        <v>40</v>
      </c>
      <c r="AP131" s="52"/>
      <c r="AQ131" s="52"/>
      <c r="AR131" s="52"/>
      <c r="AS131" s="52"/>
      <c r="AT131" s="52"/>
      <c r="AU131" s="52"/>
      <c r="AV131" s="52"/>
      <c r="AW131" s="52"/>
      <c r="AX131" s="52"/>
      <c r="AY131" s="52"/>
      <c r="AZ131" s="52"/>
      <c r="BA131" s="52"/>
      <c r="BB131" s="52"/>
      <c r="BC131" s="52"/>
      <c r="BD131" s="52"/>
      <c r="BE131" s="52"/>
      <c r="BF131" s="52"/>
      <c r="BG131" s="52"/>
      <c r="BH131" s="330"/>
      <c r="BI131" s="52">
        <v>80</v>
      </c>
      <c r="BJ131" s="52"/>
      <c r="BK131" s="52"/>
      <c r="BL131" s="52"/>
      <c r="BM131" s="52"/>
      <c r="BN131" s="52"/>
      <c r="BO131" s="52"/>
      <c r="BP131" s="52"/>
      <c r="BQ131" s="52"/>
      <c r="BR131" s="52"/>
      <c r="BS131" s="52"/>
      <c r="BT131" s="52"/>
      <c r="BU131" s="52"/>
      <c r="BV131" s="52"/>
      <c r="BW131" s="52"/>
      <c r="BX131" s="52"/>
      <c r="BY131" s="52"/>
      <c r="BZ131" s="52"/>
      <c r="CA131" s="52"/>
      <c r="CB131" s="330"/>
      <c r="CC131" s="52">
        <v>40</v>
      </c>
      <c r="CD131" s="52"/>
      <c r="CE131" s="52"/>
      <c r="CF131" s="52"/>
      <c r="CG131" s="52"/>
      <c r="CH131" s="52"/>
      <c r="CI131" s="52"/>
      <c r="CJ131" s="52"/>
      <c r="CK131" s="52"/>
      <c r="CL131" s="52"/>
      <c r="CM131" s="52"/>
      <c r="CN131" s="52"/>
      <c r="CO131" s="52"/>
      <c r="CP131" s="52"/>
      <c r="CQ131" s="52"/>
      <c r="CR131" s="52"/>
      <c r="CS131" s="52"/>
      <c r="CT131" s="52"/>
      <c r="CU131" s="52"/>
      <c r="CV131" s="330"/>
      <c r="CW131" s="52">
        <v>40</v>
      </c>
      <c r="CX131" s="52"/>
      <c r="CY131" s="52"/>
      <c r="CZ131" s="52"/>
      <c r="DA131" s="52"/>
      <c r="DB131" s="52"/>
      <c r="DC131" s="52"/>
      <c r="DD131" s="52"/>
      <c r="DE131" s="52"/>
      <c r="DF131" s="52"/>
      <c r="DG131" s="52"/>
      <c r="DH131" s="52"/>
      <c r="DI131" s="52"/>
      <c r="DJ131" s="52"/>
      <c r="DK131" s="52"/>
      <c r="DL131" s="52"/>
      <c r="DM131" s="52"/>
      <c r="DN131" s="52"/>
      <c r="DO131" s="52"/>
      <c r="DP131" s="330"/>
      <c r="DQ131" s="52">
        <v>100</v>
      </c>
      <c r="DR131" s="52"/>
      <c r="DS131" s="52"/>
      <c r="DT131" s="52"/>
      <c r="DU131" s="52"/>
      <c r="DV131" s="52"/>
      <c r="DW131" s="52"/>
      <c r="DX131" s="52"/>
      <c r="DY131" s="52"/>
      <c r="DZ131" s="52"/>
      <c r="EA131" s="52"/>
      <c r="EB131" s="52"/>
      <c r="EC131" s="52"/>
      <c r="ED131" s="52"/>
      <c r="EE131" s="52"/>
      <c r="EF131" s="52"/>
      <c r="EG131" s="52"/>
      <c r="EH131" s="52"/>
      <c r="EI131" s="52"/>
      <c r="EJ131" s="330"/>
      <c r="EK131" s="52">
        <v>60</v>
      </c>
      <c r="EL131" s="52"/>
      <c r="EM131" s="52"/>
      <c r="EN131" s="52"/>
      <c r="EO131" s="52"/>
      <c r="EP131" s="52"/>
      <c r="EQ131" s="52"/>
      <c r="ER131" s="52"/>
      <c r="ES131" s="52"/>
      <c r="ET131" s="52"/>
      <c r="EU131" s="52"/>
      <c r="EV131" s="52"/>
      <c r="EW131" s="52"/>
      <c r="EX131" s="52"/>
      <c r="EY131" s="52"/>
      <c r="EZ131" s="52"/>
      <c r="FA131" s="52"/>
      <c r="FB131" s="52"/>
      <c r="FC131" s="52"/>
      <c r="FD131" s="52"/>
      <c r="FE131" s="699"/>
    </row>
    <row r="132" spans="1:161">
      <c r="A132" s="398"/>
      <c r="B132" s="52"/>
      <c r="C132" s="52"/>
      <c r="D132" s="52"/>
      <c r="E132" s="52"/>
      <c r="F132" s="1373"/>
      <c r="G132" s="1373"/>
      <c r="H132" s="1373"/>
      <c r="I132" s="1373"/>
      <c r="J132" s="1373"/>
      <c r="K132" s="1373"/>
      <c r="L132" s="1373"/>
      <c r="M132" s="1373"/>
      <c r="N132" s="1373"/>
      <c r="O132" s="1373"/>
      <c r="P132" s="1373"/>
      <c r="Q132" s="52"/>
      <c r="R132" s="52"/>
      <c r="S132" s="52"/>
      <c r="T132" s="330"/>
      <c r="U132" s="52"/>
      <c r="V132" s="52"/>
      <c r="W132" s="52"/>
      <c r="X132" s="52"/>
      <c r="Y132" s="52"/>
      <c r="Z132" s="52"/>
      <c r="AA132" s="52"/>
      <c r="AB132" s="52"/>
      <c r="AC132" s="52"/>
      <c r="AD132" s="52"/>
      <c r="AE132" s="52"/>
      <c r="AF132" s="52"/>
      <c r="AG132" s="52"/>
      <c r="AH132" s="52"/>
      <c r="AI132" s="52"/>
      <c r="AJ132" s="52"/>
      <c r="AK132" s="52"/>
      <c r="AL132" s="52"/>
      <c r="AM132" s="52"/>
      <c r="AN132" s="330"/>
      <c r="AO132" s="52"/>
      <c r="AP132" s="52"/>
      <c r="AQ132" s="52"/>
      <c r="AR132" s="52"/>
      <c r="AS132" s="52"/>
      <c r="AT132" s="52"/>
      <c r="AU132" s="52"/>
      <c r="AV132" s="52"/>
      <c r="AW132" s="52"/>
      <c r="AX132" s="52"/>
      <c r="AY132" s="52"/>
      <c r="AZ132" s="52"/>
      <c r="BA132" s="52"/>
      <c r="BB132" s="52"/>
      <c r="BC132" s="52"/>
      <c r="BD132" s="52"/>
      <c r="BE132" s="52"/>
      <c r="BF132" s="52"/>
      <c r="BG132" s="52"/>
      <c r="BH132" s="330"/>
      <c r="BI132" s="52"/>
      <c r="BJ132" s="52"/>
      <c r="BK132" s="52"/>
      <c r="BL132" s="52"/>
      <c r="BM132" s="52"/>
      <c r="BN132" s="52"/>
      <c r="BO132" s="52"/>
      <c r="BP132" s="52"/>
      <c r="BQ132" s="52"/>
      <c r="BR132" s="52"/>
      <c r="BS132" s="52"/>
      <c r="BT132" s="52"/>
      <c r="BU132" s="52"/>
      <c r="BV132" s="52"/>
      <c r="BW132" s="52"/>
      <c r="BX132" s="52"/>
      <c r="BY132" s="52"/>
      <c r="BZ132" s="52"/>
      <c r="CA132" s="52"/>
      <c r="CB132" s="330"/>
      <c r="CC132" s="52"/>
      <c r="CD132" s="52"/>
      <c r="CE132" s="52"/>
      <c r="CF132" s="52"/>
      <c r="CG132" s="52"/>
      <c r="CH132" s="52"/>
      <c r="CI132" s="52"/>
      <c r="CJ132" s="52"/>
      <c r="CK132" s="52"/>
      <c r="CL132" s="52"/>
      <c r="CM132" s="52"/>
      <c r="CN132" s="52"/>
      <c r="CO132" s="52"/>
      <c r="CP132" s="52"/>
      <c r="CQ132" s="52"/>
      <c r="CR132" s="52"/>
      <c r="CS132" s="52"/>
      <c r="CT132" s="52"/>
      <c r="CU132" s="52"/>
      <c r="CV132" s="330"/>
      <c r="CW132" s="52"/>
      <c r="CX132" s="52"/>
      <c r="CY132" s="52"/>
      <c r="CZ132" s="52"/>
      <c r="DA132" s="52"/>
      <c r="DB132" s="52"/>
      <c r="DC132" s="52"/>
      <c r="DD132" s="52"/>
      <c r="DE132" s="52"/>
      <c r="DF132" s="52"/>
      <c r="DG132" s="52"/>
      <c r="DH132" s="52"/>
      <c r="DI132" s="52"/>
      <c r="DJ132" s="52"/>
      <c r="DK132" s="52"/>
      <c r="DL132" s="52"/>
      <c r="DM132" s="52"/>
      <c r="DN132" s="52"/>
      <c r="DO132" s="52"/>
      <c r="DP132" s="330"/>
      <c r="DQ132" s="52"/>
      <c r="DR132" s="52"/>
      <c r="DS132" s="52"/>
      <c r="DT132" s="52"/>
      <c r="DU132" s="52"/>
      <c r="DV132" s="52"/>
      <c r="DW132" s="52"/>
      <c r="DX132" s="52"/>
      <c r="DY132" s="52"/>
      <c r="DZ132" s="52"/>
      <c r="EA132" s="52"/>
      <c r="EB132" s="52"/>
      <c r="EC132" s="52"/>
      <c r="ED132" s="52"/>
      <c r="EE132" s="52"/>
      <c r="EF132" s="52"/>
      <c r="EG132" s="52"/>
      <c r="EH132" s="52"/>
      <c r="EI132" s="52"/>
      <c r="EJ132" s="330"/>
      <c r="EK132" s="52">
        <v>1</v>
      </c>
      <c r="EL132" s="52"/>
      <c r="EM132" s="52"/>
      <c r="EN132" s="52"/>
      <c r="EO132" s="52"/>
      <c r="EP132" s="52"/>
      <c r="EQ132" s="52"/>
      <c r="ER132" s="52"/>
      <c r="ES132" s="52"/>
      <c r="ET132" s="52"/>
      <c r="EU132" s="52"/>
      <c r="EV132" s="52"/>
      <c r="EW132" s="52"/>
      <c r="EX132" s="52"/>
      <c r="EY132" s="52"/>
      <c r="EZ132" s="52"/>
      <c r="FA132" s="52"/>
      <c r="FB132" s="52"/>
      <c r="FC132" s="52"/>
      <c r="FD132" s="52"/>
      <c r="FE132" s="699"/>
    </row>
    <row r="133" spans="1:161">
      <c r="A133" s="685"/>
      <c r="B133" s="52"/>
      <c r="C133" s="52"/>
      <c r="D133" s="52"/>
      <c r="E133" s="52"/>
      <c r="F133" s="1373"/>
      <c r="G133" s="1373"/>
      <c r="H133" s="1373"/>
      <c r="I133" s="1373"/>
      <c r="J133" s="1373"/>
      <c r="K133" s="1373"/>
      <c r="L133" s="1373"/>
      <c r="M133" s="1373"/>
      <c r="N133" s="1373"/>
      <c r="O133" s="1373"/>
      <c r="P133" s="1373"/>
      <c r="Q133" s="52"/>
      <c r="R133" s="52"/>
      <c r="S133" s="52"/>
      <c r="T133" s="330"/>
      <c r="U133" s="71"/>
      <c r="V133" s="52"/>
      <c r="W133" s="52"/>
      <c r="X133" s="52"/>
      <c r="Y133" s="52"/>
      <c r="Z133" s="52"/>
      <c r="AA133" s="52"/>
      <c r="AB133" s="52"/>
      <c r="AC133" s="52"/>
      <c r="AD133" s="52"/>
      <c r="AE133" s="52"/>
      <c r="AF133" s="52"/>
      <c r="AG133" s="52"/>
      <c r="AH133" s="52"/>
      <c r="AI133" s="52"/>
      <c r="AJ133" s="52"/>
      <c r="AK133" s="52"/>
      <c r="AL133" s="52"/>
      <c r="AM133" s="52"/>
      <c r="AN133" s="330"/>
      <c r="AO133" s="71"/>
      <c r="AP133" s="52"/>
      <c r="AQ133" s="52"/>
      <c r="AR133" s="52"/>
      <c r="AS133" s="52"/>
      <c r="AT133" s="52"/>
      <c r="AU133" s="52"/>
      <c r="AV133" s="52"/>
      <c r="AW133" s="52"/>
      <c r="AX133" s="52"/>
      <c r="AY133" s="52"/>
      <c r="AZ133" s="52"/>
      <c r="BA133" s="52"/>
      <c r="BB133" s="52"/>
      <c r="BC133" s="52"/>
      <c r="BD133" s="52"/>
      <c r="BE133" s="52"/>
      <c r="BF133" s="52"/>
      <c r="BG133" s="52"/>
      <c r="BH133" s="330"/>
      <c r="BI133" s="71"/>
      <c r="BJ133" s="52"/>
      <c r="BK133" s="52"/>
      <c r="BL133" s="52"/>
      <c r="BM133" s="52"/>
      <c r="BN133" s="52"/>
      <c r="BO133" s="52"/>
      <c r="BP133" s="52"/>
      <c r="BQ133" s="52"/>
      <c r="BR133" s="52"/>
      <c r="BS133" s="52"/>
      <c r="BT133" s="52"/>
      <c r="BU133" s="52"/>
      <c r="BV133" s="52"/>
      <c r="BW133" s="52"/>
      <c r="BX133" s="52"/>
      <c r="BY133" s="52"/>
      <c r="BZ133" s="52"/>
      <c r="CA133" s="52"/>
      <c r="CB133" s="330"/>
      <c r="CC133" s="71"/>
      <c r="CD133" s="52"/>
      <c r="CE133" s="52"/>
      <c r="CF133" s="52"/>
      <c r="CG133" s="52"/>
      <c r="CH133" s="52"/>
      <c r="CI133" s="52"/>
      <c r="CJ133" s="52"/>
      <c r="CK133" s="52"/>
      <c r="CL133" s="52"/>
      <c r="CM133" s="52"/>
      <c r="CN133" s="52"/>
      <c r="CO133" s="52"/>
      <c r="CP133" s="52"/>
      <c r="CQ133" s="52"/>
      <c r="CR133" s="52"/>
      <c r="CS133" s="52"/>
      <c r="CT133" s="52"/>
      <c r="CU133" s="52"/>
      <c r="CV133" s="330"/>
      <c r="CW133" s="71"/>
      <c r="CX133" s="52"/>
      <c r="CY133" s="52"/>
      <c r="CZ133" s="52"/>
      <c r="DA133" s="52"/>
      <c r="DB133" s="52"/>
      <c r="DC133" s="52"/>
      <c r="DD133" s="52"/>
      <c r="DE133" s="52"/>
      <c r="DF133" s="52"/>
      <c r="DG133" s="52"/>
      <c r="DH133" s="52"/>
      <c r="DI133" s="52"/>
      <c r="DJ133" s="52"/>
      <c r="DK133" s="52"/>
      <c r="DL133" s="52"/>
      <c r="DM133" s="52"/>
      <c r="DN133" s="52"/>
      <c r="DO133" s="52"/>
      <c r="DP133" s="330"/>
      <c r="DQ133" s="71"/>
      <c r="DR133" s="52"/>
      <c r="DS133" s="52"/>
      <c r="DT133" s="52"/>
      <c r="DU133" s="52"/>
      <c r="DV133" s="52"/>
      <c r="DW133" s="52"/>
      <c r="DX133" s="52"/>
      <c r="DY133" s="52"/>
      <c r="DZ133" s="52"/>
      <c r="EA133" s="52"/>
      <c r="EB133" s="52"/>
      <c r="EC133" s="52"/>
      <c r="ED133" s="52"/>
      <c r="EE133" s="52"/>
      <c r="EF133" s="52"/>
      <c r="EG133" s="52"/>
      <c r="EH133" s="52"/>
      <c r="EI133" s="52"/>
      <c r="EJ133" s="330"/>
      <c r="EK133" s="71"/>
      <c r="EL133" s="52"/>
      <c r="EM133" s="52"/>
      <c r="EN133" s="52"/>
      <c r="EO133" s="52"/>
      <c r="EP133" s="52"/>
      <c r="EQ133" s="52"/>
      <c r="ER133" s="52"/>
      <c r="ES133" s="52"/>
      <c r="ET133" s="52"/>
      <c r="EU133" s="52"/>
      <c r="EV133" s="52"/>
      <c r="EW133" s="52"/>
      <c r="EX133" s="52"/>
      <c r="EY133" s="52"/>
      <c r="EZ133" s="52"/>
      <c r="FA133" s="52"/>
      <c r="FB133" s="52"/>
      <c r="FC133" s="52"/>
      <c r="FD133" s="52"/>
      <c r="FE133" s="699"/>
    </row>
    <row r="134" spans="1:161">
      <c r="A134" s="398"/>
      <c r="B134" s="52"/>
      <c r="C134" s="52"/>
      <c r="D134" s="52"/>
      <c r="E134" s="52"/>
      <c r="F134" s="1373"/>
      <c r="G134" s="1373"/>
      <c r="H134" s="1373"/>
      <c r="I134" s="1373"/>
      <c r="J134" s="1373"/>
      <c r="K134" s="1373"/>
      <c r="L134" s="1373"/>
      <c r="M134" s="1373"/>
      <c r="N134" s="1373"/>
      <c r="O134" s="1373"/>
      <c r="P134" s="1373"/>
      <c r="Q134" s="52"/>
      <c r="R134" s="52"/>
      <c r="S134" s="52"/>
      <c r="T134" s="330"/>
      <c r="U134" s="52"/>
      <c r="V134" s="52"/>
      <c r="W134" s="52"/>
      <c r="X134" s="52"/>
      <c r="Y134" s="52"/>
      <c r="Z134" s="52"/>
      <c r="AA134" s="52"/>
      <c r="AB134" s="52"/>
      <c r="AC134" s="52"/>
      <c r="AD134" s="52"/>
      <c r="AE134" s="52"/>
      <c r="AF134" s="52"/>
      <c r="AG134" s="52"/>
      <c r="AH134" s="52"/>
      <c r="AI134" s="52"/>
      <c r="AJ134" s="52"/>
      <c r="AK134" s="52"/>
      <c r="AL134" s="52"/>
      <c r="AM134" s="52"/>
      <c r="AN134" s="330"/>
      <c r="AO134" s="52"/>
      <c r="AP134" s="52"/>
      <c r="AQ134" s="52"/>
      <c r="AR134" s="52"/>
      <c r="AS134" s="52"/>
      <c r="AT134" s="52"/>
      <c r="AU134" s="52"/>
      <c r="AV134" s="52"/>
      <c r="AW134" s="52"/>
      <c r="AX134" s="52"/>
      <c r="AY134" s="52"/>
      <c r="AZ134" s="52"/>
      <c r="BA134" s="52"/>
      <c r="BB134" s="52"/>
      <c r="BC134" s="52"/>
      <c r="BD134" s="52"/>
      <c r="BE134" s="52"/>
      <c r="BF134" s="52"/>
      <c r="BG134" s="52"/>
      <c r="BH134" s="330"/>
      <c r="BI134" s="52"/>
      <c r="BJ134" s="52"/>
      <c r="BK134" s="52"/>
      <c r="BL134" s="52"/>
      <c r="BM134" s="52"/>
      <c r="BN134" s="52"/>
      <c r="BO134" s="52"/>
      <c r="BP134" s="52"/>
      <c r="BQ134" s="52"/>
      <c r="BR134" s="52"/>
      <c r="BS134" s="52"/>
      <c r="BT134" s="52"/>
      <c r="BU134" s="52"/>
      <c r="BV134" s="52"/>
      <c r="BW134" s="52"/>
      <c r="BX134" s="52"/>
      <c r="BY134" s="52"/>
      <c r="BZ134" s="52"/>
      <c r="CA134" s="52"/>
      <c r="CB134" s="330"/>
      <c r="CC134" s="52"/>
      <c r="CD134" s="52"/>
      <c r="CE134" s="52"/>
      <c r="CF134" s="52"/>
      <c r="CG134" s="52"/>
      <c r="CH134" s="52"/>
      <c r="CI134" s="52"/>
      <c r="CJ134" s="52"/>
      <c r="CK134" s="52"/>
      <c r="CL134" s="52"/>
      <c r="CM134" s="52"/>
      <c r="CN134" s="52"/>
      <c r="CO134" s="52"/>
      <c r="CP134" s="52"/>
      <c r="CQ134" s="52"/>
      <c r="CR134" s="52"/>
      <c r="CS134" s="52"/>
      <c r="CT134" s="52"/>
      <c r="CU134" s="52"/>
      <c r="CV134" s="330"/>
      <c r="CW134" s="52"/>
      <c r="CX134" s="52"/>
      <c r="CY134" s="52"/>
      <c r="CZ134" s="52"/>
      <c r="DA134" s="52"/>
      <c r="DB134" s="52"/>
      <c r="DC134" s="52"/>
      <c r="DD134" s="52"/>
      <c r="DE134" s="52"/>
      <c r="DF134" s="52"/>
      <c r="DG134" s="52"/>
      <c r="DH134" s="52"/>
      <c r="DI134" s="52"/>
      <c r="DJ134" s="52"/>
      <c r="DK134" s="52"/>
      <c r="DL134" s="52"/>
      <c r="DM134" s="52"/>
      <c r="DN134" s="52"/>
      <c r="DO134" s="52"/>
      <c r="DP134" s="330"/>
      <c r="DQ134" s="52"/>
      <c r="DR134" s="52"/>
      <c r="DS134" s="52"/>
      <c r="DT134" s="52"/>
      <c r="DU134" s="52"/>
      <c r="DV134" s="52"/>
      <c r="DW134" s="52"/>
      <c r="DX134" s="52"/>
      <c r="DY134" s="52"/>
      <c r="DZ134" s="52"/>
      <c r="EA134" s="52"/>
      <c r="EB134" s="52"/>
      <c r="EC134" s="52"/>
      <c r="ED134" s="52"/>
      <c r="EE134" s="52"/>
      <c r="EF134" s="52"/>
      <c r="EG134" s="52"/>
      <c r="EH134" s="52"/>
      <c r="EI134" s="52"/>
      <c r="EJ134" s="330"/>
      <c r="EK134" s="52"/>
      <c r="EL134" s="52"/>
      <c r="EM134" s="52"/>
      <c r="EN134" s="52"/>
      <c r="EO134" s="52"/>
      <c r="EP134" s="52"/>
      <c r="EQ134" s="52"/>
      <c r="ER134" s="52"/>
      <c r="ES134" s="52"/>
      <c r="ET134" s="52"/>
      <c r="EU134" s="52"/>
      <c r="EV134" s="52"/>
      <c r="EW134" s="52"/>
      <c r="EX134" s="52"/>
      <c r="EY134" s="52"/>
      <c r="EZ134" s="52"/>
      <c r="FA134" s="52"/>
      <c r="FB134" s="52"/>
      <c r="FC134" s="52"/>
      <c r="FD134" s="52"/>
      <c r="FE134" s="699"/>
    </row>
    <row r="135" spans="1:161">
      <c r="A135" s="398"/>
      <c r="B135" s="52"/>
      <c r="C135" s="52"/>
      <c r="D135" s="52"/>
      <c r="E135" s="52"/>
      <c r="F135" s="1373"/>
      <c r="G135" s="1373"/>
      <c r="H135" s="1373"/>
      <c r="I135" s="1373"/>
      <c r="J135" s="1373"/>
      <c r="K135" s="1373"/>
      <c r="L135" s="1373"/>
      <c r="M135" s="1373"/>
      <c r="N135" s="1373"/>
      <c r="O135" s="1373"/>
      <c r="P135" s="1373"/>
      <c r="Q135" s="52"/>
      <c r="R135" s="52"/>
      <c r="S135" s="52"/>
      <c r="T135" s="330"/>
      <c r="U135" s="52"/>
      <c r="V135" s="52"/>
      <c r="W135" s="52"/>
      <c r="X135" s="52"/>
      <c r="Y135" s="52"/>
      <c r="Z135" s="52"/>
      <c r="AA135" s="52"/>
      <c r="AB135" s="52"/>
      <c r="AC135" s="52"/>
      <c r="AD135" s="52"/>
      <c r="AE135" s="52"/>
      <c r="AF135" s="52"/>
      <c r="AG135" s="52"/>
      <c r="AH135" s="52"/>
      <c r="AI135" s="52"/>
      <c r="AJ135" s="52"/>
      <c r="AK135" s="52"/>
      <c r="AL135" s="52"/>
      <c r="AM135" s="52"/>
      <c r="AN135" s="330"/>
      <c r="AO135" s="52"/>
      <c r="AP135" s="52"/>
      <c r="AQ135" s="52"/>
      <c r="AR135" s="52"/>
      <c r="AS135" s="52"/>
      <c r="AT135" s="52"/>
      <c r="AU135" s="52"/>
      <c r="AV135" s="52"/>
      <c r="AW135" s="52"/>
      <c r="AX135" s="52"/>
      <c r="AY135" s="52"/>
      <c r="AZ135" s="52"/>
      <c r="BA135" s="52"/>
      <c r="BB135" s="52"/>
      <c r="BC135" s="52"/>
      <c r="BD135" s="52"/>
      <c r="BE135" s="52"/>
      <c r="BF135" s="52"/>
      <c r="BG135" s="52"/>
      <c r="BH135" s="330"/>
      <c r="BI135" s="52"/>
      <c r="BJ135" s="52"/>
      <c r="BK135" s="52"/>
      <c r="BL135" s="52"/>
      <c r="BM135" s="52"/>
      <c r="BN135" s="52"/>
      <c r="BO135" s="52"/>
      <c r="BP135" s="52"/>
      <c r="BQ135" s="52"/>
      <c r="BR135" s="52"/>
      <c r="BS135" s="52"/>
      <c r="BT135" s="52"/>
      <c r="BU135" s="52"/>
      <c r="BV135" s="52"/>
      <c r="BW135" s="52"/>
      <c r="BX135" s="52"/>
      <c r="BY135" s="52"/>
      <c r="BZ135" s="52"/>
      <c r="CA135" s="52"/>
      <c r="CB135" s="330"/>
      <c r="CC135" s="52"/>
      <c r="CD135" s="52"/>
      <c r="CE135" s="52"/>
      <c r="CF135" s="52"/>
      <c r="CG135" s="52"/>
      <c r="CH135" s="52"/>
      <c r="CI135" s="52"/>
      <c r="CJ135" s="52"/>
      <c r="CK135" s="52"/>
      <c r="CL135" s="52"/>
      <c r="CM135" s="52"/>
      <c r="CN135" s="52"/>
      <c r="CO135" s="52"/>
      <c r="CP135" s="52"/>
      <c r="CQ135" s="52"/>
      <c r="CR135" s="52"/>
      <c r="CS135" s="52"/>
      <c r="CT135" s="52"/>
      <c r="CU135" s="52"/>
      <c r="CV135" s="330"/>
      <c r="CW135" s="52"/>
      <c r="CX135" s="52"/>
      <c r="CY135" s="52"/>
      <c r="CZ135" s="52"/>
      <c r="DA135" s="52"/>
      <c r="DB135" s="52"/>
      <c r="DC135" s="52"/>
      <c r="DD135" s="52"/>
      <c r="DE135" s="52"/>
      <c r="DF135" s="52"/>
      <c r="DG135" s="52"/>
      <c r="DH135" s="52"/>
      <c r="DI135" s="52"/>
      <c r="DJ135" s="52"/>
      <c r="DK135" s="52"/>
      <c r="DL135" s="52"/>
      <c r="DM135" s="52"/>
      <c r="DN135" s="52"/>
      <c r="DO135" s="52"/>
      <c r="DP135" s="330"/>
      <c r="DQ135" s="52"/>
      <c r="DR135" s="52"/>
      <c r="DS135" s="52"/>
      <c r="DT135" s="52"/>
      <c r="DU135" s="52"/>
      <c r="DV135" s="52"/>
      <c r="DW135" s="52"/>
      <c r="DX135" s="52"/>
      <c r="DY135" s="52"/>
      <c r="DZ135" s="52"/>
      <c r="EA135" s="52"/>
      <c r="EB135" s="52"/>
      <c r="EC135" s="52"/>
      <c r="ED135" s="52"/>
      <c r="EE135" s="52"/>
      <c r="EF135" s="52"/>
      <c r="EG135" s="52"/>
      <c r="EH135" s="52"/>
      <c r="EI135" s="52"/>
      <c r="EJ135" s="330"/>
      <c r="EK135" s="52"/>
      <c r="EL135" s="52"/>
      <c r="EM135" s="52"/>
      <c r="EN135" s="52"/>
      <c r="EO135" s="52"/>
      <c r="EP135" s="52"/>
      <c r="EQ135" s="52"/>
      <c r="ER135" s="52"/>
      <c r="ES135" s="52"/>
      <c r="ET135" s="52"/>
      <c r="EU135" s="52"/>
      <c r="EV135" s="52"/>
      <c r="EW135" s="52"/>
      <c r="EX135" s="52"/>
      <c r="EY135" s="52"/>
      <c r="EZ135" s="52"/>
      <c r="FA135" s="52"/>
      <c r="FB135" s="52"/>
      <c r="FC135" s="52"/>
      <c r="FD135" s="52"/>
      <c r="FE135" s="699"/>
    </row>
    <row r="136" spans="1:161">
      <c r="A136" s="685"/>
      <c r="B136" s="52"/>
      <c r="C136" s="52"/>
      <c r="D136" s="52"/>
      <c r="E136" s="52"/>
      <c r="F136" s="1373"/>
      <c r="G136" s="1373"/>
      <c r="H136" s="1373"/>
      <c r="I136" s="1373"/>
      <c r="J136" s="1373"/>
      <c r="K136" s="1373"/>
      <c r="L136" s="1373"/>
      <c r="M136" s="1373"/>
      <c r="N136" s="1373"/>
      <c r="O136" s="1373"/>
      <c r="P136" s="1373"/>
      <c r="Q136" s="71"/>
      <c r="R136" s="52"/>
      <c r="S136" s="52"/>
      <c r="T136" s="330"/>
      <c r="U136" s="71">
        <v>1</v>
      </c>
      <c r="V136" s="52"/>
      <c r="W136" s="52"/>
      <c r="X136" s="52"/>
      <c r="Y136" s="52"/>
      <c r="Z136" s="52"/>
      <c r="AA136" s="52"/>
      <c r="AB136" s="52"/>
      <c r="AC136" s="52"/>
      <c r="AD136" s="52"/>
      <c r="AE136" s="52"/>
      <c r="AF136" s="52"/>
      <c r="AG136" s="52"/>
      <c r="AH136" s="52"/>
      <c r="AI136" s="52"/>
      <c r="AJ136" s="52"/>
      <c r="AK136" s="71"/>
      <c r="AL136" s="52"/>
      <c r="AM136" s="52"/>
      <c r="AN136" s="330"/>
      <c r="AO136" s="71"/>
      <c r="AP136" s="52"/>
      <c r="AQ136" s="52"/>
      <c r="AR136" s="52"/>
      <c r="AS136" s="52"/>
      <c r="AT136" s="52"/>
      <c r="AU136" s="52"/>
      <c r="AV136" s="52"/>
      <c r="AW136" s="52"/>
      <c r="AX136" s="52"/>
      <c r="AY136" s="52"/>
      <c r="AZ136" s="52"/>
      <c r="BA136" s="52"/>
      <c r="BB136" s="52"/>
      <c r="BC136" s="52"/>
      <c r="BD136" s="52"/>
      <c r="BE136" s="71"/>
      <c r="BF136" s="52"/>
      <c r="BG136" s="52"/>
      <c r="BH136" s="330"/>
      <c r="BI136" s="71">
        <v>23</v>
      </c>
      <c r="BJ136" s="52"/>
      <c r="BK136" s="52"/>
      <c r="BL136" s="52"/>
      <c r="BM136" s="52"/>
      <c r="BN136" s="52"/>
      <c r="BO136" s="52"/>
      <c r="BP136" s="52"/>
      <c r="BQ136" s="52"/>
      <c r="BR136" s="52"/>
      <c r="BS136" s="52"/>
      <c r="BT136" s="52"/>
      <c r="BU136" s="52"/>
      <c r="BV136" s="52"/>
      <c r="BW136" s="52"/>
      <c r="BX136" s="52"/>
      <c r="BY136" s="52"/>
      <c r="BZ136" s="52"/>
      <c r="CA136" s="52"/>
      <c r="CB136" s="330"/>
      <c r="CC136" s="71"/>
      <c r="CD136" s="52"/>
      <c r="CE136" s="52"/>
      <c r="CF136" s="52"/>
      <c r="CG136" s="52"/>
      <c r="CH136" s="52"/>
      <c r="CI136" s="52"/>
      <c r="CJ136" s="52"/>
      <c r="CK136" s="52"/>
      <c r="CL136" s="52"/>
      <c r="CM136" s="52"/>
      <c r="CN136" s="52"/>
      <c r="CO136" s="52"/>
      <c r="CP136" s="52"/>
      <c r="CQ136" s="52"/>
      <c r="CR136" s="52"/>
      <c r="CS136" s="52"/>
      <c r="CT136" s="52"/>
      <c r="CU136" s="52"/>
      <c r="CV136" s="330"/>
      <c r="CW136" s="71">
        <v>1</v>
      </c>
      <c r="CX136" s="52"/>
      <c r="CY136" s="52"/>
      <c r="CZ136" s="52"/>
      <c r="DA136" s="52"/>
      <c r="DB136" s="52"/>
      <c r="DC136" s="52"/>
      <c r="DD136" s="52"/>
      <c r="DE136" s="52"/>
      <c r="DF136" s="52"/>
      <c r="DG136" s="52"/>
      <c r="DH136" s="52"/>
      <c r="DI136" s="52"/>
      <c r="DJ136" s="52"/>
      <c r="DK136" s="52"/>
      <c r="DL136" s="52"/>
      <c r="DM136" s="52"/>
      <c r="DN136" s="52"/>
      <c r="DO136" s="52"/>
      <c r="DP136" s="330"/>
      <c r="DQ136" s="71">
        <v>23</v>
      </c>
      <c r="DR136" s="52"/>
      <c r="DS136" s="52"/>
      <c r="DT136" s="52"/>
      <c r="DU136" s="52"/>
      <c r="DV136" s="52"/>
      <c r="DW136" s="52"/>
      <c r="DX136" s="52"/>
      <c r="DY136" s="52"/>
      <c r="DZ136" s="52"/>
      <c r="EA136" s="52"/>
      <c r="EB136" s="52"/>
      <c r="EC136" s="52"/>
      <c r="ED136" s="52"/>
      <c r="EE136" s="52"/>
      <c r="EF136" s="52"/>
      <c r="EG136" s="71"/>
      <c r="EH136" s="52"/>
      <c r="EI136" s="52"/>
      <c r="EJ136" s="330"/>
      <c r="EK136" s="71"/>
      <c r="EL136" s="52"/>
      <c r="EM136" s="52"/>
      <c r="EN136" s="52"/>
      <c r="EO136" s="52"/>
      <c r="EP136" s="52"/>
      <c r="EQ136" s="52"/>
      <c r="ER136" s="52"/>
      <c r="ES136" s="52"/>
      <c r="ET136" s="52"/>
      <c r="EU136" s="52"/>
      <c r="EV136" s="52"/>
      <c r="EW136" s="52"/>
      <c r="EX136" s="52"/>
      <c r="EY136" s="52"/>
      <c r="EZ136" s="52"/>
      <c r="FA136" s="71"/>
      <c r="FB136" s="52"/>
      <c r="FC136" s="52"/>
      <c r="FD136" s="52"/>
      <c r="FE136" s="699"/>
    </row>
    <row r="137" spans="1:161">
      <c r="A137" s="398"/>
      <c r="B137" s="52"/>
      <c r="C137" s="52"/>
      <c r="D137" s="52"/>
      <c r="E137" s="52"/>
      <c r="F137" s="1373"/>
      <c r="G137" s="1373"/>
      <c r="H137" s="1373"/>
      <c r="I137" s="1373"/>
      <c r="J137" s="1373"/>
      <c r="K137" s="1373"/>
      <c r="L137" s="1373"/>
      <c r="M137" s="1373"/>
      <c r="N137" s="1373"/>
      <c r="O137" s="1373"/>
      <c r="P137" s="1373"/>
      <c r="Q137" s="71"/>
      <c r="R137" s="52"/>
      <c r="S137" s="52"/>
      <c r="T137" s="330"/>
      <c r="U137" s="52"/>
      <c r="V137" s="52"/>
      <c r="W137" s="52"/>
      <c r="X137" s="52"/>
      <c r="Y137" s="52"/>
      <c r="Z137" s="52"/>
      <c r="AA137" s="52"/>
      <c r="AB137" s="52"/>
      <c r="AC137" s="52"/>
      <c r="AD137" s="52"/>
      <c r="AE137" s="52"/>
      <c r="AF137" s="52"/>
      <c r="AG137" s="52"/>
      <c r="AH137" s="52"/>
      <c r="AI137" s="52"/>
      <c r="AJ137" s="52"/>
      <c r="AK137" s="71"/>
      <c r="AL137" s="52"/>
      <c r="AM137" s="52"/>
      <c r="AN137" s="330"/>
      <c r="AO137" s="52"/>
      <c r="AP137" s="52"/>
      <c r="AQ137" s="52"/>
      <c r="AR137" s="52"/>
      <c r="AS137" s="52"/>
      <c r="AT137" s="52"/>
      <c r="AU137" s="52"/>
      <c r="AV137" s="52"/>
      <c r="AW137" s="52"/>
      <c r="AX137" s="52"/>
      <c r="AY137" s="52"/>
      <c r="AZ137" s="52"/>
      <c r="BA137" s="52"/>
      <c r="BB137" s="52"/>
      <c r="BC137" s="52"/>
      <c r="BD137" s="52"/>
      <c r="BE137" s="71"/>
      <c r="BF137" s="52"/>
      <c r="BG137" s="52"/>
      <c r="BH137" s="330"/>
      <c r="BI137" s="52"/>
      <c r="BJ137" s="52"/>
      <c r="BK137" s="52"/>
      <c r="BL137" s="52"/>
      <c r="BM137" s="52"/>
      <c r="BN137" s="52"/>
      <c r="BO137" s="52"/>
      <c r="BP137" s="52"/>
      <c r="BQ137" s="52"/>
      <c r="BR137" s="52"/>
      <c r="BS137" s="52"/>
      <c r="BT137" s="52"/>
      <c r="BU137" s="52"/>
      <c r="BV137" s="52"/>
      <c r="BW137" s="52"/>
      <c r="BX137" s="52"/>
      <c r="BY137" s="52"/>
      <c r="BZ137" s="52"/>
      <c r="CA137" s="52"/>
      <c r="CB137" s="330"/>
      <c r="CC137" s="52"/>
      <c r="CD137" s="52"/>
      <c r="CE137" s="52"/>
      <c r="CF137" s="52"/>
      <c r="CG137" s="52"/>
      <c r="CH137" s="52"/>
      <c r="CI137" s="52"/>
      <c r="CJ137" s="52"/>
      <c r="CK137" s="52"/>
      <c r="CL137" s="52"/>
      <c r="CM137" s="52"/>
      <c r="CN137" s="52"/>
      <c r="CO137" s="52"/>
      <c r="CP137" s="52"/>
      <c r="CQ137" s="52"/>
      <c r="CR137" s="52"/>
      <c r="CS137" s="52"/>
      <c r="CT137" s="52"/>
      <c r="CU137" s="52"/>
      <c r="CV137" s="330"/>
      <c r="CW137" s="52"/>
      <c r="CX137" s="52"/>
      <c r="CY137" s="52"/>
      <c r="CZ137" s="52"/>
      <c r="DA137" s="52"/>
      <c r="DB137" s="52"/>
      <c r="DC137" s="52"/>
      <c r="DD137" s="52"/>
      <c r="DE137" s="52"/>
      <c r="DF137" s="52"/>
      <c r="DG137" s="52"/>
      <c r="DH137" s="52"/>
      <c r="DI137" s="52"/>
      <c r="DJ137" s="52"/>
      <c r="DK137" s="52"/>
      <c r="DL137" s="52"/>
      <c r="DM137" s="71"/>
      <c r="DN137" s="52"/>
      <c r="DO137" s="52"/>
      <c r="DP137" s="330"/>
      <c r="DQ137" s="52"/>
      <c r="DR137" s="52"/>
      <c r="DS137" s="52"/>
      <c r="DT137" s="52"/>
      <c r="DU137" s="52"/>
      <c r="DV137" s="52"/>
      <c r="DW137" s="52"/>
      <c r="DX137" s="52"/>
      <c r="DY137" s="52"/>
      <c r="DZ137" s="52"/>
      <c r="EA137" s="52"/>
      <c r="EB137" s="52"/>
      <c r="EC137" s="52"/>
      <c r="ED137" s="52"/>
      <c r="EE137" s="52"/>
      <c r="EF137" s="52"/>
      <c r="EG137" s="52"/>
      <c r="EH137" s="52"/>
      <c r="EI137" s="52"/>
      <c r="EJ137" s="330"/>
      <c r="EK137" s="52"/>
      <c r="EL137" s="52"/>
      <c r="EM137" s="52"/>
      <c r="EN137" s="52"/>
      <c r="EO137" s="52"/>
      <c r="EP137" s="52"/>
      <c r="EQ137" s="52"/>
      <c r="ER137" s="52"/>
      <c r="ES137" s="52"/>
      <c r="ET137" s="52"/>
      <c r="EU137" s="52"/>
      <c r="EV137" s="52"/>
      <c r="EW137" s="52"/>
      <c r="EX137" s="52"/>
      <c r="EY137" s="52"/>
      <c r="EZ137" s="52"/>
      <c r="FA137" s="71"/>
      <c r="FB137" s="52"/>
      <c r="FC137" s="52"/>
      <c r="FD137" s="52"/>
      <c r="FE137" s="699"/>
    </row>
    <row r="138" spans="1:161">
      <c r="A138" s="398"/>
      <c r="B138" s="52"/>
      <c r="C138" s="52"/>
      <c r="D138" s="52"/>
      <c r="E138" s="52"/>
      <c r="F138" s="1373"/>
      <c r="G138" s="1373"/>
      <c r="H138" s="1373"/>
      <c r="I138" s="1373"/>
      <c r="J138" s="1373"/>
      <c r="K138" s="1373"/>
      <c r="L138" s="1373"/>
      <c r="M138" s="1373"/>
      <c r="N138" s="1373"/>
      <c r="O138" s="1373"/>
      <c r="P138" s="1373"/>
      <c r="Q138" s="71"/>
      <c r="R138" s="52"/>
      <c r="S138" s="52"/>
      <c r="T138" s="330"/>
      <c r="U138" s="52"/>
      <c r="V138" s="52"/>
      <c r="W138" s="52"/>
      <c r="X138" s="52"/>
      <c r="Y138" s="52"/>
      <c r="Z138" s="52"/>
      <c r="AA138" s="52"/>
      <c r="AB138" s="52"/>
      <c r="AC138" s="52"/>
      <c r="AD138" s="52"/>
      <c r="AE138" s="52"/>
      <c r="AF138" s="52"/>
      <c r="AG138" s="52"/>
      <c r="AH138" s="52"/>
      <c r="AI138" s="52"/>
      <c r="AJ138" s="52"/>
      <c r="AK138" s="71"/>
      <c r="AL138" s="52"/>
      <c r="AM138" s="52"/>
      <c r="AN138" s="330"/>
      <c r="AO138" s="52"/>
      <c r="AP138" s="52"/>
      <c r="AQ138" s="52"/>
      <c r="AR138" s="52"/>
      <c r="AS138" s="52"/>
      <c r="AT138" s="52"/>
      <c r="AU138" s="52"/>
      <c r="AV138" s="52"/>
      <c r="AW138" s="52"/>
      <c r="AX138" s="52"/>
      <c r="AY138" s="52"/>
      <c r="AZ138" s="52"/>
      <c r="BA138" s="52"/>
      <c r="BB138" s="52"/>
      <c r="BC138" s="52"/>
      <c r="BD138" s="52"/>
      <c r="BE138" s="71"/>
      <c r="BF138" s="52"/>
      <c r="BG138" s="52"/>
      <c r="BH138" s="330"/>
      <c r="BI138" s="52"/>
      <c r="BJ138" s="52"/>
      <c r="BK138" s="52"/>
      <c r="BL138" s="52"/>
      <c r="BM138" s="52"/>
      <c r="BN138" s="52"/>
      <c r="BO138" s="52"/>
      <c r="BP138" s="52"/>
      <c r="BQ138" s="52"/>
      <c r="BR138" s="52"/>
      <c r="BS138" s="52"/>
      <c r="BT138" s="52"/>
      <c r="BU138" s="52"/>
      <c r="BV138" s="52"/>
      <c r="BW138" s="52"/>
      <c r="BX138" s="52"/>
      <c r="BY138" s="52"/>
      <c r="BZ138" s="52"/>
      <c r="CA138" s="52"/>
      <c r="CB138" s="330"/>
      <c r="CC138" s="52"/>
      <c r="CD138" s="52"/>
      <c r="CE138" s="52"/>
      <c r="CF138" s="52"/>
      <c r="CG138" s="52"/>
      <c r="CH138" s="52"/>
      <c r="CI138" s="52"/>
      <c r="CJ138" s="52"/>
      <c r="CK138" s="52"/>
      <c r="CL138" s="52"/>
      <c r="CM138" s="52"/>
      <c r="CN138" s="52"/>
      <c r="CO138" s="52"/>
      <c r="CP138" s="52"/>
      <c r="CQ138" s="52"/>
      <c r="CR138" s="52"/>
      <c r="CS138" s="52"/>
      <c r="CT138" s="52"/>
      <c r="CU138" s="52"/>
      <c r="CV138" s="330"/>
      <c r="CW138" s="52"/>
      <c r="CX138" s="52"/>
      <c r="CY138" s="52"/>
      <c r="CZ138" s="52"/>
      <c r="DA138" s="52"/>
      <c r="DB138" s="52"/>
      <c r="DC138" s="52"/>
      <c r="DD138" s="52"/>
      <c r="DE138" s="52"/>
      <c r="DF138" s="52"/>
      <c r="DG138" s="52"/>
      <c r="DH138" s="52"/>
      <c r="DI138" s="52"/>
      <c r="DJ138" s="52"/>
      <c r="DK138" s="52"/>
      <c r="DL138" s="52"/>
      <c r="DM138" s="52"/>
      <c r="DN138" s="52"/>
      <c r="DO138" s="52"/>
      <c r="DP138" s="330"/>
      <c r="DQ138" s="52"/>
      <c r="DR138" s="52"/>
      <c r="DS138" s="52"/>
      <c r="DT138" s="52"/>
      <c r="DU138" s="52"/>
      <c r="DV138" s="52"/>
      <c r="DW138" s="52"/>
      <c r="DX138" s="52"/>
      <c r="DY138" s="52"/>
      <c r="DZ138" s="52"/>
      <c r="EA138" s="52"/>
      <c r="EB138" s="52"/>
      <c r="EC138" s="52"/>
      <c r="ED138" s="52"/>
      <c r="EE138" s="52"/>
      <c r="EF138" s="52"/>
      <c r="EG138" s="52"/>
      <c r="EH138" s="52"/>
      <c r="EI138" s="52"/>
      <c r="EJ138" s="330"/>
      <c r="EK138" s="52"/>
      <c r="EL138" s="52"/>
      <c r="EM138" s="52"/>
      <c r="EN138" s="52"/>
      <c r="EO138" s="52"/>
      <c r="EP138" s="52"/>
      <c r="EQ138" s="52"/>
      <c r="ER138" s="52"/>
      <c r="ES138" s="52"/>
      <c r="ET138" s="52"/>
      <c r="EU138" s="52"/>
      <c r="EV138" s="52"/>
      <c r="EW138" s="52"/>
      <c r="EX138" s="52"/>
      <c r="EY138" s="52"/>
      <c r="EZ138" s="52"/>
      <c r="FA138" s="71"/>
      <c r="FB138" s="52"/>
      <c r="FC138" s="52"/>
      <c r="FD138" s="52"/>
      <c r="FE138" s="699"/>
    </row>
    <row r="139" spans="1:161">
      <c r="A139" s="398"/>
      <c r="B139" s="52"/>
      <c r="C139" s="52"/>
      <c r="D139" s="52"/>
      <c r="E139" s="52"/>
      <c r="F139" s="1373"/>
      <c r="G139" s="1373"/>
      <c r="H139" s="1373"/>
      <c r="I139" s="1373"/>
      <c r="J139" s="1373"/>
      <c r="K139" s="1373"/>
      <c r="L139" s="1373"/>
      <c r="M139" s="1373"/>
      <c r="N139" s="1373"/>
      <c r="O139" s="1373"/>
      <c r="P139" s="1373"/>
      <c r="Q139" s="52"/>
      <c r="R139" s="52"/>
      <c r="S139" s="52"/>
      <c r="T139" s="330"/>
      <c r="U139" s="52">
        <v>16</v>
      </c>
      <c r="V139" s="52"/>
      <c r="W139" s="52"/>
      <c r="X139" s="52"/>
      <c r="Y139" s="52"/>
      <c r="Z139" s="52"/>
      <c r="AA139" s="52"/>
      <c r="AB139" s="52"/>
      <c r="AC139" s="52"/>
      <c r="AD139" s="52"/>
      <c r="AE139" s="52"/>
      <c r="AF139" s="52"/>
      <c r="AG139" s="52"/>
      <c r="AH139" s="52"/>
      <c r="AI139" s="52"/>
      <c r="AJ139" s="52"/>
      <c r="AK139" s="52"/>
      <c r="AL139" s="52"/>
      <c r="AM139" s="52"/>
      <c r="AN139" s="330"/>
      <c r="AO139" s="52"/>
      <c r="AP139" s="52"/>
      <c r="AQ139" s="52"/>
      <c r="AR139" s="52"/>
      <c r="AS139" s="52"/>
      <c r="AT139" s="52"/>
      <c r="AU139" s="52"/>
      <c r="AV139" s="52"/>
      <c r="AW139" s="52"/>
      <c r="AX139" s="52"/>
      <c r="AY139" s="52"/>
      <c r="AZ139" s="52"/>
      <c r="BA139" s="52"/>
      <c r="BB139" s="52"/>
      <c r="BC139" s="52"/>
      <c r="BD139" s="52"/>
      <c r="BE139" s="52"/>
      <c r="BF139" s="52"/>
      <c r="BG139" s="52"/>
      <c r="BH139" s="330"/>
      <c r="BI139" s="52">
        <v>32</v>
      </c>
      <c r="BJ139" s="52"/>
      <c r="BK139" s="52"/>
      <c r="BL139" s="52"/>
      <c r="BM139" s="52"/>
      <c r="BN139" s="52"/>
      <c r="BO139" s="52"/>
      <c r="BP139" s="52"/>
      <c r="BQ139" s="52"/>
      <c r="BR139" s="52"/>
      <c r="BS139" s="52"/>
      <c r="BT139" s="52"/>
      <c r="BU139" s="52"/>
      <c r="BV139" s="52"/>
      <c r="BW139" s="52"/>
      <c r="BX139" s="52"/>
      <c r="BY139" s="52"/>
      <c r="BZ139" s="52"/>
      <c r="CA139" s="52"/>
      <c r="CB139" s="330"/>
      <c r="CC139" s="52"/>
      <c r="CD139" s="52"/>
      <c r="CE139" s="52"/>
      <c r="CF139" s="52"/>
      <c r="CG139" s="52"/>
      <c r="CH139" s="52"/>
      <c r="CI139" s="52"/>
      <c r="CJ139" s="52"/>
      <c r="CK139" s="52"/>
      <c r="CL139" s="52"/>
      <c r="CM139" s="52"/>
      <c r="CN139" s="52"/>
      <c r="CO139" s="52"/>
      <c r="CP139" s="71"/>
      <c r="CQ139" s="71"/>
      <c r="CR139" s="52"/>
      <c r="CS139" s="52"/>
      <c r="CT139" s="52"/>
      <c r="CU139" s="52"/>
      <c r="CV139" s="330"/>
      <c r="CW139" s="52">
        <v>24</v>
      </c>
      <c r="CX139" s="52"/>
      <c r="CY139" s="52"/>
      <c r="CZ139" s="52"/>
      <c r="DA139" s="52"/>
      <c r="DB139" s="52"/>
      <c r="DC139" s="52"/>
      <c r="DD139" s="52"/>
      <c r="DE139" s="52"/>
      <c r="DF139" s="52"/>
      <c r="DG139" s="52"/>
      <c r="DH139" s="52"/>
      <c r="DI139" s="52"/>
      <c r="DJ139" s="71"/>
      <c r="DK139" s="71"/>
      <c r="DL139" s="52"/>
      <c r="DM139" s="52"/>
      <c r="DN139" s="52"/>
      <c r="DO139" s="52"/>
      <c r="DP139" s="330"/>
      <c r="DQ139" s="52">
        <v>64</v>
      </c>
      <c r="DR139" s="52"/>
      <c r="DS139" s="52"/>
      <c r="DT139" s="52"/>
      <c r="DU139" s="52"/>
      <c r="DV139" s="52"/>
      <c r="DW139" s="52"/>
      <c r="DX139" s="52"/>
      <c r="DY139" s="52"/>
      <c r="DZ139" s="52"/>
      <c r="EA139" s="52"/>
      <c r="EB139" s="52"/>
      <c r="EC139" s="52"/>
      <c r="ED139" s="52"/>
      <c r="EE139" s="52"/>
      <c r="EF139" s="52"/>
      <c r="EG139" s="52"/>
      <c r="EH139" s="52"/>
      <c r="EI139" s="52"/>
      <c r="EJ139" s="330"/>
      <c r="EK139" s="52"/>
      <c r="EL139" s="52"/>
      <c r="EM139" s="52"/>
      <c r="EN139" s="52"/>
      <c r="EO139" s="52"/>
      <c r="EP139" s="52"/>
      <c r="EQ139" s="52"/>
      <c r="ER139" s="52"/>
      <c r="ES139" s="52"/>
      <c r="ET139" s="52"/>
      <c r="EU139" s="52"/>
      <c r="EV139" s="52"/>
      <c r="EW139" s="52"/>
      <c r="EX139" s="52"/>
      <c r="EY139" s="52"/>
      <c r="EZ139" s="52"/>
      <c r="FA139" s="52"/>
      <c r="FB139" s="52"/>
      <c r="FC139" s="52"/>
      <c r="FD139" s="52"/>
      <c r="FE139" s="699"/>
    </row>
    <row r="140" spans="1:161">
      <c r="A140" s="398">
        <v>150</v>
      </c>
      <c r="B140" s="52"/>
      <c r="C140" s="52"/>
      <c r="D140" s="52"/>
      <c r="E140" s="52"/>
      <c r="F140" s="1373"/>
      <c r="G140" s="1373"/>
      <c r="H140" s="1373"/>
      <c r="I140" s="1373"/>
      <c r="J140" s="1373"/>
      <c r="K140" s="1373"/>
      <c r="L140" s="1373"/>
      <c r="M140" s="1373"/>
      <c r="N140" s="1373"/>
      <c r="O140" s="1373"/>
      <c r="P140" s="1373"/>
      <c r="Q140" s="52"/>
      <c r="R140" s="52"/>
      <c r="S140" s="52"/>
      <c r="T140" s="330"/>
      <c r="U140" s="52"/>
      <c r="V140" s="52"/>
      <c r="W140" s="52"/>
      <c r="X140" s="52"/>
      <c r="Y140" s="52"/>
      <c r="Z140" s="52"/>
      <c r="AA140" s="52"/>
      <c r="AB140" s="52"/>
      <c r="AC140" s="52"/>
      <c r="AD140" s="52"/>
      <c r="AE140" s="52"/>
      <c r="AF140" s="52"/>
      <c r="AG140" s="52"/>
      <c r="AH140" s="52"/>
      <c r="AI140" s="52"/>
      <c r="AJ140" s="52"/>
      <c r="AK140" s="52"/>
      <c r="AL140" s="52"/>
      <c r="AM140" s="52"/>
      <c r="AN140" s="330"/>
      <c r="AO140" s="52"/>
      <c r="AP140" s="52"/>
      <c r="AQ140" s="52"/>
      <c r="AR140" s="52"/>
      <c r="AS140" s="52"/>
      <c r="AT140" s="52"/>
      <c r="AU140" s="52"/>
      <c r="AV140" s="52"/>
      <c r="AW140" s="52"/>
      <c r="AX140" s="52"/>
      <c r="AY140" s="52"/>
      <c r="AZ140" s="52"/>
      <c r="BA140" s="52"/>
      <c r="BB140" s="52"/>
      <c r="BC140" s="52"/>
      <c r="BD140" s="52"/>
      <c r="BE140" s="52"/>
      <c r="BF140" s="52"/>
      <c r="BG140" s="52"/>
      <c r="BH140" s="330"/>
      <c r="BI140" s="52"/>
      <c r="BJ140" s="52"/>
      <c r="BK140" s="52"/>
      <c r="BL140" s="52"/>
      <c r="BM140" s="52"/>
      <c r="BN140" s="52"/>
      <c r="BO140" s="52"/>
      <c r="BP140" s="52"/>
      <c r="BQ140" s="52"/>
      <c r="BR140" s="52"/>
      <c r="BS140" s="52"/>
      <c r="BT140" s="52"/>
      <c r="BU140" s="52"/>
      <c r="BV140" s="52"/>
      <c r="BW140" s="52"/>
      <c r="BX140" s="52"/>
      <c r="BY140" s="52"/>
      <c r="BZ140" s="52"/>
      <c r="CA140" s="52"/>
      <c r="CB140" s="330"/>
      <c r="CC140" s="52"/>
      <c r="CD140" s="52"/>
      <c r="CE140" s="52"/>
      <c r="CF140" s="52"/>
      <c r="CG140" s="52"/>
      <c r="CH140" s="52"/>
      <c r="CI140" s="52"/>
      <c r="CJ140" s="52"/>
      <c r="CK140" s="52"/>
      <c r="CL140" s="52"/>
      <c r="CM140" s="52"/>
      <c r="CN140" s="52"/>
      <c r="CO140" s="52"/>
      <c r="CP140" s="52"/>
      <c r="CQ140" s="52"/>
      <c r="CR140" s="52"/>
      <c r="CS140" s="52"/>
      <c r="CT140" s="52"/>
      <c r="CU140" s="52"/>
      <c r="CV140" s="330"/>
      <c r="CW140" s="52"/>
      <c r="CX140" s="52"/>
      <c r="CY140" s="52"/>
      <c r="CZ140" s="52"/>
      <c r="DA140" s="52"/>
      <c r="DB140" s="52"/>
      <c r="DC140" s="52"/>
      <c r="DD140" s="52"/>
      <c r="DE140" s="52"/>
      <c r="DF140" s="52"/>
      <c r="DG140" s="52"/>
      <c r="DH140" s="52"/>
      <c r="DI140" s="52"/>
      <c r="DJ140" s="52"/>
      <c r="DK140" s="52"/>
      <c r="DL140" s="52"/>
      <c r="DM140" s="52"/>
      <c r="DN140" s="52"/>
      <c r="DO140" s="52"/>
      <c r="DP140" s="330"/>
      <c r="DQ140" s="52"/>
      <c r="DR140" s="52"/>
      <c r="DS140" s="52"/>
      <c r="DT140" s="52"/>
      <c r="DU140" s="52"/>
      <c r="DV140" s="52"/>
      <c r="DW140" s="52"/>
      <c r="DX140" s="52"/>
      <c r="DY140" s="52"/>
      <c r="DZ140" s="52"/>
      <c r="EA140" s="52"/>
      <c r="EB140" s="52"/>
      <c r="EC140" s="52"/>
      <c r="ED140" s="52"/>
      <c r="EE140" s="52"/>
      <c r="EF140" s="52"/>
      <c r="EG140" s="52"/>
      <c r="EH140" s="52"/>
      <c r="EI140" s="52"/>
      <c r="EJ140" s="330"/>
      <c r="EK140" s="52"/>
      <c r="EL140" s="52"/>
      <c r="EM140" s="52"/>
      <c r="EN140" s="52"/>
      <c r="EO140" s="52"/>
      <c r="EP140" s="52"/>
      <c r="EQ140" s="52"/>
      <c r="ER140" s="52"/>
      <c r="ES140" s="52"/>
      <c r="ET140" s="52"/>
      <c r="EU140" s="52"/>
      <c r="EV140" s="52"/>
      <c r="EW140" s="52"/>
      <c r="EX140" s="52"/>
      <c r="EY140" s="52"/>
      <c r="EZ140" s="52"/>
      <c r="FA140" s="52"/>
      <c r="FB140" s="52"/>
      <c r="FC140" s="52"/>
      <c r="FD140" s="52"/>
      <c r="FE140" s="699"/>
    </row>
    <row r="141" spans="1:161">
      <c r="A141" s="398"/>
      <c r="B141" s="52"/>
      <c r="C141" s="52"/>
      <c r="D141" s="52"/>
      <c r="E141" s="52"/>
      <c r="F141" s="1373"/>
      <c r="G141" s="1373"/>
      <c r="H141" s="1373"/>
      <c r="I141" s="1373"/>
      <c r="J141" s="1373"/>
      <c r="K141" s="1373"/>
      <c r="L141" s="1373"/>
      <c r="M141" s="1373"/>
      <c r="N141" s="1373"/>
      <c r="O141" s="1373"/>
      <c r="P141" s="1373"/>
      <c r="Q141" s="52"/>
      <c r="R141" s="52"/>
      <c r="S141" s="52"/>
      <c r="T141" s="330"/>
      <c r="U141" s="52"/>
      <c r="V141" s="52"/>
      <c r="W141" s="52"/>
      <c r="X141" s="52"/>
      <c r="Y141" s="52"/>
      <c r="Z141" s="52"/>
      <c r="AA141" s="52"/>
      <c r="AB141" s="52"/>
      <c r="AC141" s="52"/>
      <c r="AD141" s="52"/>
      <c r="AE141" s="52"/>
      <c r="AF141" s="52"/>
      <c r="AG141" s="52"/>
      <c r="AH141" s="52"/>
      <c r="AI141" s="52"/>
      <c r="AJ141" s="52"/>
      <c r="AK141" s="52"/>
      <c r="AL141" s="52"/>
      <c r="AM141" s="52"/>
      <c r="AN141" s="330"/>
      <c r="AO141" s="52"/>
      <c r="AP141" s="52"/>
      <c r="AQ141" s="52"/>
      <c r="AR141" s="52"/>
      <c r="AS141" s="52"/>
      <c r="AT141" s="52"/>
      <c r="AU141" s="52"/>
      <c r="AV141" s="52"/>
      <c r="AW141" s="52"/>
      <c r="AX141" s="52"/>
      <c r="AY141" s="52"/>
      <c r="AZ141" s="52"/>
      <c r="BA141" s="52"/>
      <c r="BB141" s="52"/>
      <c r="BC141" s="52"/>
      <c r="BD141" s="52"/>
      <c r="BE141" s="52"/>
      <c r="BF141" s="52"/>
      <c r="BG141" s="52"/>
      <c r="BH141" s="330"/>
      <c r="BI141" s="52">
        <v>100</v>
      </c>
      <c r="BJ141" s="52"/>
      <c r="BK141" s="52"/>
      <c r="BL141" s="52"/>
      <c r="BM141" s="52"/>
      <c r="BN141" s="52"/>
      <c r="BO141" s="52"/>
      <c r="BP141" s="52"/>
      <c r="BQ141" s="52"/>
      <c r="BR141" s="52"/>
      <c r="BS141" s="52"/>
      <c r="BT141" s="52"/>
      <c r="BU141" s="52"/>
      <c r="BV141" s="52"/>
      <c r="BW141" s="52"/>
      <c r="BX141" s="52"/>
      <c r="BY141" s="52"/>
      <c r="BZ141" s="52"/>
      <c r="CA141" s="52"/>
      <c r="CB141" s="330"/>
      <c r="CC141" s="52"/>
      <c r="CD141" s="52"/>
      <c r="CE141" s="52"/>
      <c r="CF141" s="52"/>
      <c r="CG141" s="52"/>
      <c r="CH141" s="52"/>
      <c r="CI141" s="52"/>
      <c r="CJ141" s="52"/>
      <c r="CK141" s="52"/>
      <c r="CL141" s="52"/>
      <c r="CM141" s="52"/>
      <c r="CN141" s="52"/>
      <c r="CO141" s="52"/>
      <c r="CP141" s="52"/>
      <c r="CQ141" s="52"/>
      <c r="CR141" s="52"/>
      <c r="CS141" s="52"/>
      <c r="CT141" s="52"/>
      <c r="CU141" s="52"/>
      <c r="CV141" s="330"/>
      <c r="CW141" s="52"/>
      <c r="CX141" s="52"/>
      <c r="CY141" s="52"/>
      <c r="CZ141" s="52"/>
      <c r="DA141" s="52"/>
      <c r="DB141" s="52"/>
      <c r="DC141" s="52"/>
      <c r="DD141" s="52"/>
      <c r="DE141" s="52"/>
      <c r="DF141" s="52"/>
      <c r="DG141" s="52"/>
      <c r="DH141" s="52"/>
      <c r="DI141" s="52"/>
      <c r="DJ141" s="52"/>
      <c r="DK141" s="52"/>
      <c r="DL141" s="52"/>
      <c r="DM141" s="52"/>
      <c r="DN141" s="52"/>
      <c r="DO141" s="52"/>
      <c r="DP141" s="330"/>
      <c r="DQ141" s="52">
        <v>100</v>
      </c>
      <c r="DR141" s="52"/>
      <c r="DS141" s="52"/>
      <c r="DT141" s="52"/>
      <c r="DU141" s="52"/>
      <c r="DV141" s="52"/>
      <c r="DW141" s="52"/>
      <c r="DX141" s="52"/>
      <c r="DY141" s="52"/>
      <c r="DZ141" s="52"/>
      <c r="EA141" s="52"/>
      <c r="EB141" s="52"/>
      <c r="EC141" s="52"/>
      <c r="ED141" s="52"/>
      <c r="EE141" s="52"/>
      <c r="EF141" s="52"/>
      <c r="EG141" s="52"/>
      <c r="EH141" s="52"/>
      <c r="EI141" s="52"/>
      <c r="EJ141" s="330"/>
      <c r="EK141" s="52"/>
      <c r="EL141" s="52"/>
      <c r="EM141" s="52"/>
      <c r="EN141" s="52"/>
      <c r="EO141" s="52"/>
      <c r="EP141" s="52"/>
      <c r="EQ141" s="52"/>
      <c r="ER141" s="52"/>
      <c r="ES141" s="52"/>
      <c r="ET141" s="52"/>
      <c r="EU141" s="52"/>
      <c r="EV141" s="52"/>
      <c r="EW141" s="52"/>
      <c r="EX141" s="52"/>
      <c r="EY141" s="52"/>
      <c r="EZ141" s="52"/>
      <c r="FA141" s="52"/>
      <c r="FB141" s="52"/>
      <c r="FC141" s="52"/>
      <c r="FD141" s="52"/>
      <c r="FE141" s="699"/>
    </row>
    <row r="142" spans="1:161">
      <c r="A142" s="398"/>
      <c r="B142" s="52"/>
      <c r="C142" s="52"/>
      <c r="D142" s="52"/>
      <c r="E142" s="52"/>
      <c r="F142" s="52"/>
      <c r="G142" s="52"/>
      <c r="H142" s="52"/>
      <c r="I142" s="52"/>
      <c r="J142" s="52"/>
      <c r="K142" s="52"/>
      <c r="L142" s="52"/>
      <c r="M142" s="52"/>
      <c r="N142" s="52"/>
      <c r="O142" s="52"/>
      <c r="P142" s="52"/>
      <c r="Q142" s="52"/>
      <c r="R142" s="52"/>
      <c r="S142" s="52"/>
      <c r="T142" s="330"/>
      <c r="U142" s="52"/>
      <c r="V142" s="52"/>
      <c r="W142" s="52"/>
      <c r="X142" s="52"/>
      <c r="Y142" s="52"/>
      <c r="Z142" s="52"/>
      <c r="AA142" s="52"/>
      <c r="AB142" s="52"/>
      <c r="AC142" s="52"/>
      <c r="AD142" s="52"/>
      <c r="AE142" s="52"/>
      <c r="AF142" s="52"/>
      <c r="AG142" s="52"/>
      <c r="AH142" s="52"/>
      <c r="AI142" s="52"/>
      <c r="AJ142" s="52"/>
      <c r="AK142" s="52"/>
      <c r="AL142" s="52"/>
      <c r="AM142" s="52"/>
      <c r="AN142" s="330"/>
      <c r="AO142" s="52"/>
      <c r="AP142" s="52"/>
      <c r="AQ142" s="52"/>
      <c r="AR142" s="52"/>
      <c r="AS142" s="52"/>
      <c r="AT142" s="52"/>
      <c r="AU142" s="52"/>
      <c r="AV142" s="52"/>
      <c r="AW142" s="52"/>
      <c r="AX142" s="52"/>
      <c r="AY142" s="52"/>
      <c r="AZ142" s="52"/>
      <c r="BA142" s="52"/>
      <c r="BB142" s="52"/>
      <c r="BC142" s="52"/>
      <c r="BD142" s="52"/>
      <c r="BE142" s="52"/>
      <c r="BF142" s="52"/>
      <c r="BG142" s="52"/>
      <c r="BH142" s="330"/>
      <c r="BI142" s="52">
        <v>14</v>
      </c>
      <c r="BJ142" s="52"/>
      <c r="BK142" s="52"/>
      <c r="BL142" s="52"/>
      <c r="BM142" s="52"/>
      <c r="BN142" s="52"/>
      <c r="BO142" s="52"/>
      <c r="BP142" s="52"/>
      <c r="BQ142" s="52"/>
      <c r="BR142" s="52"/>
      <c r="BS142" s="52"/>
      <c r="BT142" s="52"/>
      <c r="BU142" s="52"/>
      <c r="BV142" s="52"/>
      <c r="BW142" s="52"/>
      <c r="BX142" s="52"/>
      <c r="BY142" s="52"/>
      <c r="BZ142" s="52"/>
      <c r="CA142" s="52"/>
      <c r="CB142" s="330"/>
      <c r="CC142" s="52"/>
      <c r="CD142" s="52"/>
      <c r="CE142" s="52"/>
      <c r="CF142" s="52"/>
      <c r="CG142" s="52"/>
      <c r="CH142" s="52"/>
      <c r="CI142" s="52"/>
      <c r="CJ142" s="52"/>
      <c r="CK142" s="52"/>
      <c r="CL142" s="52"/>
      <c r="CM142" s="52"/>
      <c r="CN142" s="52"/>
      <c r="CO142" s="52"/>
      <c r="CP142" s="52"/>
      <c r="CQ142" s="52"/>
      <c r="CR142" s="52"/>
      <c r="CS142" s="52"/>
      <c r="CT142" s="52"/>
      <c r="CU142" s="52"/>
      <c r="CV142" s="330"/>
      <c r="CW142" s="52"/>
      <c r="CX142" s="52"/>
      <c r="CY142" s="52"/>
      <c r="CZ142" s="52"/>
      <c r="DA142" s="52"/>
      <c r="DB142" s="52"/>
      <c r="DC142" s="52"/>
      <c r="DD142" s="52"/>
      <c r="DE142" s="52"/>
      <c r="DF142" s="52"/>
      <c r="DG142" s="52"/>
      <c r="DH142" s="52"/>
      <c r="DI142" s="52"/>
      <c r="DJ142" s="52"/>
      <c r="DK142" s="52"/>
      <c r="DL142" s="52"/>
      <c r="DM142" s="52"/>
      <c r="DN142" s="52"/>
      <c r="DO142" s="52"/>
      <c r="DP142" s="330"/>
      <c r="DQ142" s="52">
        <v>14</v>
      </c>
      <c r="DR142" s="52"/>
      <c r="DS142" s="52"/>
      <c r="DT142" s="52"/>
      <c r="DU142" s="52"/>
      <c r="DV142" s="52"/>
      <c r="DW142" s="52"/>
      <c r="DX142" s="52"/>
      <c r="DY142" s="52"/>
      <c r="DZ142" s="52"/>
      <c r="EA142" s="52"/>
      <c r="EB142" s="52"/>
      <c r="EC142" s="52"/>
      <c r="ED142" s="52"/>
      <c r="EE142" s="52"/>
      <c r="EF142" s="52"/>
      <c r="EG142" s="52"/>
      <c r="EH142" s="52"/>
      <c r="EI142" s="52"/>
      <c r="EJ142" s="330"/>
      <c r="EK142" s="52"/>
      <c r="EL142" s="52"/>
      <c r="EM142" s="52"/>
      <c r="EN142" s="52"/>
      <c r="EO142" s="52"/>
      <c r="EP142" s="52"/>
      <c r="EQ142" s="52"/>
      <c r="ER142" s="52"/>
      <c r="ES142" s="52"/>
      <c r="ET142" s="52"/>
      <c r="EU142" s="52"/>
      <c r="EV142" s="52"/>
      <c r="EW142" s="52"/>
      <c r="EX142" s="52"/>
      <c r="EY142" s="52"/>
      <c r="EZ142" s="52"/>
      <c r="FA142" s="52"/>
      <c r="FB142" s="52"/>
      <c r="FC142" s="52"/>
      <c r="FD142" s="52"/>
      <c r="FE142" s="699"/>
    </row>
    <row r="143" spans="1:161">
      <c r="A143" s="398"/>
      <c r="B143" s="52"/>
      <c r="C143" s="52"/>
      <c r="D143" s="52"/>
      <c r="E143" s="52"/>
      <c r="F143" s="52"/>
      <c r="G143" s="52"/>
      <c r="H143" s="52"/>
      <c r="I143" s="52"/>
      <c r="J143" s="52"/>
      <c r="K143" s="52"/>
      <c r="L143" s="52"/>
      <c r="M143" s="3746"/>
      <c r="N143" s="3746"/>
      <c r="O143" s="3746"/>
      <c r="P143" s="3746"/>
      <c r="Q143" s="52"/>
      <c r="R143" s="52"/>
      <c r="S143" s="52"/>
      <c r="T143" s="330"/>
      <c r="U143" s="52"/>
      <c r="V143" s="52"/>
      <c r="W143" s="52"/>
      <c r="X143" s="52"/>
      <c r="Y143" s="52"/>
      <c r="Z143" s="52"/>
      <c r="AA143" s="52"/>
      <c r="AB143" s="52"/>
      <c r="AC143" s="52"/>
      <c r="AD143" s="52"/>
      <c r="AE143" s="52"/>
      <c r="AF143" s="52"/>
      <c r="AG143" s="3746"/>
      <c r="AH143" s="3746"/>
      <c r="AI143" s="3746"/>
      <c r="AJ143" s="3746"/>
      <c r="AK143" s="52"/>
      <c r="AL143" s="52"/>
      <c r="AM143" s="52"/>
      <c r="AN143" s="330"/>
      <c r="AO143" s="52"/>
      <c r="AP143" s="52"/>
      <c r="AQ143" s="52"/>
      <c r="AR143" s="52"/>
      <c r="AS143" s="52"/>
      <c r="AT143" s="52"/>
      <c r="AU143" s="52"/>
      <c r="AV143" s="52"/>
      <c r="AW143" s="52"/>
      <c r="AX143" s="52"/>
      <c r="AY143" s="52"/>
      <c r="AZ143" s="52"/>
      <c r="BA143" s="3746"/>
      <c r="BB143" s="3746"/>
      <c r="BC143" s="3746"/>
      <c r="BD143" s="3746"/>
      <c r="BE143" s="52"/>
      <c r="BF143" s="52"/>
      <c r="BG143" s="52"/>
      <c r="BH143" s="330"/>
      <c r="BI143" s="52"/>
      <c r="BJ143" s="52"/>
      <c r="BK143" s="52"/>
      <c r="BL143" s="52"/>
      <c r="BM143" s="52"/>
      <c r="BN143" s="52"/>
      <c r="BO143" s="52"/>
      <c r="BP143" s="52"/>
      <c r="BQ143" s="52"/>
      <c r="BR143" s="52"/>
      <c r="BS143" s="52"/>
      <c r="BT143" s="52"/>
      <c r="BU143" s="52"/>
      <c r="BV143" s="52"/>
      <c r="BW143" s="52"/>
      <c r="BX143" s="52"/>
      <c r="BY143" s="52"/>
      <c r="BZ143" s="52"/>
      <c r="CA143" s="52"/>
      <c r="CB143" s="330"/>
      <c r="CC143" s="52"/>
      <c r="CD143" s="52"/>
      <c r="CE143" s="52"/>
      <c r="CF143" s="52"/>
      <c r="CG143" s="52"/>
      <c r="CH143" s="52"/>
      <c r="CI143" s="52"/>
      <c r="CJ143" s="52"/>
      <c r="CK143" s="52"/>
      <c r="CL143" s="52"/>
      <c r="CM143" s="52"/>
      <c r="CN143" s="52"/>
      <c r="CO143" s="52"/>
      <c r="CP143" s="52"/>
      <c r="CQ143" s="52"/>
      <c r="CR143" s="52"/>
      <c r="CS143" s="52"/>
      <c r="CT143" s="52"/>
      <c r="CU143" s="52"/>
      <c r="CV143" s="330"/>
      <c r="CW143" s="52"/>
      <c r="CX143" s="52"/>
      <c r="CY143" s="52"/>
      <c r="CZ143" s="52"/>
      <c r="DA143" s="52"/>
      <c r="DB143" s="52"/>
      <c r="DC143" s="52"/>
      <c r="DD143" s="52"/>
      <c r="DE143" s="52"/>
      <c r="DF143" s="52"/>
      <c r="DG143" s="52"/>
      <c r="DH143" s="52"/>
      <c r="DI143" s="3746"/>
      <c r="DJ143" s="3746"/>
      <c r="DK143" s="3746"/>
      <c r="DL143" s="3746"/>
      <c r="DM143" s="52"/>
      <c r="DN143" s="52"/>
      <c r="DO143" s="52"/>
      <c r="DP143" s="330"/>
      <c r="DQ143" s="52"/>
      <c r="DR143" s="52"/>
      <c r="DS143" s="52"/>
      <c r="DT143" s="52"/>
      <c r="DU143" s="52"/>
      <c r="DV143" s="52"/>
      <c r="DW143" s="52"/>
      <c r="DX143" s="52"/>
      <c r="DY143" s="52"/>
      <c r="DZ143" s="52"/>
      <c r="EA143" s="52"/>
      <c r="EB143" s="52"/>
      <c r="EC143" s="52"/>
      <c r="ED143" s="52"/>
      <c r="EE143" s="52"/>
      <c r="EF143" s="52"/>
      <c r="EG143" s="52"/>
      <c r="EH143" s="52"/>
      <c r="EI143" s="52"/>
      <c r="EJ143" s="330"/>
      <c r="EK143" s="52"/>
      <c r="EL143" s="52"/>
      <c r="EM143" s="52"/>
      <c r="EN143" s="52"/>
      <c r="EO143" s="52"/>
      <c r="EP143" s="52"/>
      <c r="EQ143" s="52"/>
      <c r="ER143" s="52"/>
      <c r="ES143" s="52"/>
      <c r="ET143" s="52"/>
      <c r="EU143" s="52"/>
      <c r="EV143" s="52"/>
      <c r="EW143" s="3746"/>
      <c r="EX143" s="3746"/>
      <c r="EY143" s="3746"/>
      <c r="EZ143" s="3746"/>
      <c r="FA143" s="52"/>
      <c r="FB143" s="52"/>
      <c r="FC143" s="52"/>
      <c r="FD143" s="52"/>
      <c r="FE143" s="699"/>
    </row>
    <row r="144" spans="1:161">
      <c r="A144" s="398">
        <v>1</v>
      </c>
      <c r="B144" s="52"/>
      <c r="C144" s="52"/>
      <c r="D144" s="52"/>
      <c r="E144" s="52"/>
      <c r="F144" s="52"/>
      <c r="G144" s="52"/>
      <c r="H144" s="52"/>
      <c r="I144" s="52"/>
      <c r="J144" s="52"/>
      <c r="K144" s="52"/>
      <c r="L144" s="52"/>
      <c r="M144" s="52"/>
      <c r="N144" s="52"/>
      <c r="O144" s="52"/>
      <c r="P144" s="3746"/>
      <c r="Q144" s="3746"/>
      <c r="R144" s="52"/>
      <c r="S144" s="52"/>
      <c r="T144" s="330"/>
      <c r="U144" s="52"/>
      <c r="V144" s="52"/>
      <c r="W144" s="52"/>
      <c r="X144" s="52"/>
      <c r="Y144" s="52"/>
      <c r="Z144" s="52"/>
      <c r="AA144" s="52"/>
      <c r="AB144" s="52"/>
      <c r="AC144" s="52"/>
      <c r="AD144" s="52"/>
      <c r="AE144" s="52"/>
      <c r="AF144" s="52"/>
      <c r="AG144" s="52"/>
      <c r="AH144" s="52"/>
      <c r="AI144" s="52"/>
      <c r="AJ144" s="3746"/>
      <c r="AK144" s="3746"/>
      <c r="AL144" s="52"/>
      <c r="AM144" s="52"/>
      <c r="AN144" s="330"/>
      <c r="AO144" s="52"/>
      <c r="AP144" s="52"/>
      <c r="AQ144" s="52"/>
      <c r="AR144" s="52"/>
      <c r="AS144" s="52"/>
      <c r="AT144" s="52"/>
      <c r="AU144" s="52"/>
      <c r="AV144" s="52"/>
      <c r="AW144" s="52"/>
      <c r="AX144" s="52"/>
      <c r="AY144" s="52"/>
      <c r="AZ144" s="52"/>
      <c r="BA144" s="52"/>
      <c r="BB144" s="52"/>
      <c r="BC144" s="52"/>
      <c r="BD144" s="52"/>
      <c r="BE144" s="3746"/>
      <c r="BF144" s="52"/>
      <c r="BG144" s="52"/>
      <c r="BH144" s="330"/>
      <c r="BI144" s="52"/>
      <c r="BJ144" s="52"/>
      <c r="BK144" s="52"/>
      <c r="BL144" s="52"/>
      <c r="BM144" s="52"/>
      <c r="BN144" s="52"/>
      <c r="BO144" s="52"/>
      <c r="BP144" s="52"/>
      <c r="BQ144" s="52"/>
      <c r="BR144" s="52"/>
      <c r="BS144" s="52"/>
      <c r="BT144" s="52"/>
      <c r="BU144" s="52"/>
      <c r="BV144" s="52"/>
      <c r="BW144" s="52"/>
      <c r="BX144" s="52"/>
      <c r="BY144" s="52"/>
      <c r="BZ144" s="3746"/>
      <c r="CA144" s="52"/>
      <c r="CB144" s="330"/>
      <c r="CC144" s="52"/>
      <c r="CD144" s="52"/>
      <c r="CE144" s="52"/>
      <c r="CF144" s="52"/>
      <c r="CG144" s="52"/>
      <c r="CH144" s="52"/>
      <c r="CI144" s="52"/>
      <c r="CJ144" s="52"/>
      <c r="CK144" s="52"/>
      <c r="CL144" s="52"/>
      <c r="CM144" s="52"/>
      <c r="CN144" s="52"/>
      <c r="CO144" s="52"/>
      <c r="CP144" s="52"/>
      <c r="CQ144" s="52"/>
      <c r="CR144" s="52"/>
      <c r="CS144" s="52"/>
      <c r="CT144" s="52"/>
      <c r="CU144" s="52"/>
      <c r="CV144" s="330"/>
      <c r="CW144" s="52"/>
      <c r="CX144" s="52"/>
      <c r="CY144" s="52"/>
      <c r="CZ144" s="52"/>
      <c r="DA144" s="52"/>
      <c r="DB144" s="52"/>
      <c r="DC144" s="52"/>
      <c r="DD144" s="52"/>
      <c r="DE144" s="52"/>
      <c r="DF144" s="52"/>
      <c r="DG144" s="52"/>
      <c r="DH144" s="52"/>
      <c r="DI144" s="52"/>
      <c r="DJ144" s="52"/>
      <c r="DK144" s="52"/>
      <c r="DL144" s="52"/>
      <c r="DM144" s="3746"/>
      <c r="DN144" s="52"/>
      <c r="DO144" s="52"/>
      <c r="DP144" s="330"/>
      <c r="DQ144" s="3746"/>
      <c r="DR144" s="52"/>
      <c r="DS144" s="52"/>
      <c r="DT144" s="52"/>
      <c r="DU144" s="52"/>
      <c r="DV144" s="52"/>
      <c r="DW144" s="52"/>
      <c r="DX144" s="52"/>
      <c r="DY144" s="52"/>
      <c r="DZ144" s="52"/>
      <c r="EA144" s="52"/>
      <c r="EB144" s="52"/>
      <c r="EC144" s="52"/>
      <c r="ED144" s="52"/>
      <c r="EE144" s="52"/>
      <c r="EF144" s="52"/>
      <c r="EG144" s="52"/>
      <c r="EH144" s="52"/>
      <c r="EI144" s="52"/>
      <c r="EJ144" s="330"/>
      <c r="EK144" s="52"/>
      <c r="EL144" s="52"/>
      <c r="EM144" s="52"/>
      <c r="EN144" s="52"/>
      <c r="EO144" s="52"/>
      <c r="EP144" s="52"/>
      <c r="EQ144" s="52"/>
      <c r="ER144" s="52"/>
      <c r="ES144" s="52"/>
      <c r="ET144" s="52"/>
      <c r="EU144" s="52"/>
      <c r="EV144" s="52"/>
      <c r="EW144" s="52"/>
      <c r="EX144" s="52"/>
      <c r="EY144" s="52"/>
      <c r="EZ144" s="3746"/>
      <c r="FA144" s="3746"/>
      <c r="FB144" s="52"/>
      <c r="FC144" s="52"/>
      <c r="FD144" s="52"/>
      <c r="FE144" s="699"/>
    </row>
    <row r="145" spans="1:161">
      <c r="A145" s="398">
        <v>6</v>
      </c>
      <c r="B145" s="52"/>
      <c r="C145" s="52"/>
      <c r="D145" s="52"/>
      <c r="E145" s="52"/>
      <c r="F145" s="52"/>
      <c r="G145" s="52"/>
      <c r="H145" s="52"/>
      <c r="I145" s="52"/>
      <c r="J145" s="52"/>
      <c r="K145" s="52"/>
      <c r="L145" s="52"/>
      <c r="M145" s="52"/>
      <c r="N145" s="52"/>
      <c r="O145" s="52"/>
      <c r="P145" s="52"/>
      <c r="Q145" s="3746"/>
      <c r="R145" s="3746"/>
      <c r="S145" s="52"/>
      <c r="T145" s="330"/>
      <c r="U145" s="52"/>
      <c r="V145" s="52"/>
      <c r="W145" s="52"/>
      <c r="X145" s="52"/>
      <c r="Y145" s="52"/>
      <c r="Z145" s="52"/>
      <c r="AA145" s="52"/>
      <c r="AB145" s="52"/>
      <c r="AC145" s="52"/>
      <c r="AD145" s="52"/>
      <c r="AE145" s="52"/>
      <c r="AF145" s="52"/>
      <c r="AG145" s="52"/>
      <c r="AH145" s="52"/>
      <c r="AI145" s="52"/>
      <c r="AJ145" s="3746"/>
      <c r="AK145" s="3746"/>
      <c r="AL145" s="52"/>
      <c r="AM145" s="52"/>
      <c r="AN145" s="330"/>
      <c r="AO145" s="52"/>
      <c r="AP145" s="52"/>
      <c r="AQ145" s="52"/>
      <c r="AR145" s="52"/>
      <c r="AS145" s="52"/>
      <c r="AT145" s="52"/>
      <c r="AU145" s="52"/>
      <c r="AV145" s="52"/>
      <c r="AW145" s="52"/>
      <c r="AX145" s="52"/>
      <c r="AY145" s="3805"/>
      <c r="AZ145" s="3805"/>
      <c r="BA145" s="3805"/>
      <c r="BB145" s="3806"/>
      <c r="BC145" s="3806"/>
      <c r="BD145" s="3807"/>
      <c r="BE145" s="52"/>
      <c r="BF145" s="3746"/>
      <c r="BG145" s="52"/>
      <c r="BH145" s="330"/>
      <c r="BI145" s="52"/>
      <c r="BJ145" s="52"/>
      <c r="BK145" s="52"/>
      <c r="BL145" s="52"/>
      <c r="BM145" s="52"/>
      <c r="BN145" s="52"/>
      <c r="BO145" s="52"/>
      <c r="BP145" s="52"/>
      <c r="BQ145" s="52"/>
      <c r="BR145" s="52"/>
      <c r="BS145" s="52"/>
      <c r="BT145" s="52"/>
      <c r="BU145" s="52"/>
      <c r="BV145" s="52"/>
      <c r="BW145" s="52"/>
      <c r="BX145" s="52"/>
      <c r="BY145" s="52"/>
      <c r="BZ145" s="52"/>
      <c r="CA145" s="52"/>
      <c r="CB145" s="330"/>
      <c r="CC145" s="52"/>
      <c r="CD145" s="52"/>
      <c r="CE145" s="52"/>
      <c r="CF145" s="52"/>
      <c r="CG145" s="52"/>
      <c r="CH145" s="52"/>
      <c r="CI145" s="52"/>
      <c r="CJ145" s="52"/>
      <c r="CK145" s="52"/>
      <c r="CL145" s="52"/>
      <c r="CM145" s="52"/>
      <c r="CN145" s="52"/>
      <c r="CO145" s="52"/>
      <c r="CP145" s="52"/>
      <c r="CQ145" s="52"/>
      <c r="CR145" s="52"/>
      <c r="CS145" s="3746"/>
      <c r="CT145" s="3746"/>
      <c r="CU145" s="52"/>
      <c r="CV145" s="330"/>
      <c r="CW145" s="52"/>
      <c r="DP145" s="330">
        <v>1105</v>
      </c>
      <c r="DQ145" s="52"/>
      <c r="DR145" s="52"/>
      <c r="DS145" s="52"/>
      <c r="DT145" s="52"/>
      <c r="DU145" s="52"/>
      <c r="DV145" s="52"/>
      <c r="DW145" s="52"/>
      <c r="DX145" s="52"/>
      <c r="DY145" s="52"/>
      <c r="DZ145" s="52"/>
      <c r="EA145" s="52"/>
      <c r="EB145" s="52"/>
      <c r="EC145" s="52"/>
      <c r="ED145" s="52"/>
      <c r="EE145" s="52"/>
      <c r="EF145" s="52"/>
      <c r="EG145" s="52"/>
      <c r="EH145" s="52"/>
      <c r="EI145" s="52"/>
      <c r="EJ145" s="330"/>
      <c r="EK145" s="52"/>
      <c r="EL145" s="52"/>
      <c r="EM145" s="52"/>
      <c r="EN145" s="52"/>
      <c r="EO145" s="52"/>
      <c r="EP145" s="52"/>
      <c r="EQ145" s="52"/>
      <c r="ER145" s="52"/>
      <c r="ES145" s="52"/>
      <c r="ET145" s="52"/>
      <c r="EU145" s="52"/>
      <c r="EV145" s="52"/>
      <c r="EW145" s="52"/>
      <c r="EX145" s="52"/>
      <c r="EY145" s="52"/>
      <c r="EZ145" s="3746"/>
      <c r="FA145" s="3746"/>
      <c r="FB145" s="52"/>
      <c r="FC145" s="52"/>
      <c r="FD145" s="52"/>
      <c r="FE145" s="699"/>
    </row>
    <row r="146" spans="1:161">
      <c r="A146" s="398"/>
      <c r="B146" s="52"/>
      <c r="C146" s="52"/>
      <c r="D146" s="52"/>
      <c r="E146" s="52"/>
      <c r="F146" s="52"/>
      <c r="G146" s="52"/>
      <c r="H146" s="52"/>
      <c r="I146" s="52"/>
      <c r="J146" s="52"/>
      <c r="K146" s="52"/>
      <c r="L146" s="52"/>
      <c r="M146" s="52"/>
      <c r="N146" s="52"/>
      <c r="O146" s="52"/>
      <c r="P146" s="52"/>
      <c r="Q146" s="3746"/>
      <c r="R146" s="3746"/>
      <c r="S146" s="52"/>
      <c r="T146" s="330"/>
      <c r="U146" s="52"/>
      <c r="V146" s="52"/>
      <c r="W146" s="52"/>
      <c r="X146" s="52"/>
      <c r="Y146" s="52"/>
      <c r="Z146" s="52"/>
      <c r="AA146" s="52"/>
      <c r="AB146" s="52"/>
      <c r="AC146" s="52"/>
      <c r="AD146" s="52"/>
      <c r="AE146" s="3805"/>
      <c r="AF146" s="3805"/>
      <c r="AG146" s="3805"/>
      <c r="AH146" s="3805"/>
      <c r="AI146" s="3805"/>
      <c r="AJ146" s="3807"/>
      <c r="AK146" s="52"/>
      <c r="AL146" s="3746"/>
      <c r="AM146" s="52"/>
      <c r="AN146" s="330"/>
      <c r="AO146" s="52"/>
      <c r="AP146" s="52"/>
      <c r="AQ146" s="52"/>
      <c r="AR146" s="52"/>
      <c r="AS146" s="52"/>
      <c r="AT146" s="52"/>
      <c r="AU146" s="52"/>
      <c r="AV146" s="52"/>
      <c r="AW146" s="52"/>
      <c r="AX146" s="3806"/>
      <c r="AY146" s="3808"/>
      <c r="AZ146" s="3806"/>
      <c r="BA146" s="3809"/>
      <c r="BB146" s="3809"/>
      <c r="BC146" s="3807"/>
      <c r="BD146" s="3805"/>
      <c r="BE146" s="3807"/>
      <c r="BF146" s="3746"/>
      <c r="BG146" s="52"/>
      <c r="BH146" s="330"/>
      <c r="BI146" s="52"/>
      <c r="BJ146" s="52"/>
      <c r="BK146" s="52"/>
      <c r="BL146" s="52"/>
      <c r="BM146" s="52"/>
      <c r="BN146" s="52"/>
      <c r="BO146" s="52"/>
      <c r="BP146" s="52"/>
      <c r="BQ146" s="52"/>
      <c r="BR146" s="52"/>
      <c r="BS146" s="52"/>
      <c r="BT146" s="52"/>
      <c r="BU146" s="52"/>
      <c r="BV146" s="52"/>
      <c r="BW146" s="52"/>
      <c r="CB146" s="79"/>
      <c r="CC146" s="52"/>
      <c r="CV146" s="330">
        <v>1139</v>
      </c>
      <c r="CW146" s="52"/>
      <c r="DP146" s="330">
        <v>1106</v>
      </c>
      <c r="DQ146" s="52"/>
      <c r="DR146" s="52"/>
      <c r="DS146" s="52"/>
      <c r="DT146" s="52"/>
      <c r="DU146" s="52"/>
      <c r="DV146" s="52"/>
      <c r="DW146" s="52"/>
      <c r="DX146" s="52"/>
      <c r="DY146" s="52"/>
      <c r="DZ146" s="52"/>
      <c r="EA146" s="52"/>
      <c r="EB146" s="52"/>
      <c r="EC146" s="52"/>
      <c r="ED146" s="52"/>
      <c r="EE146" s="52"/>
      <c r="EF146" s="52"/>
      <c r="EG146" s="3746"/>
      <c r="EH146" s="3746"/>
      <c r="EI146" s="52"/>
      <c r="EJ146" s="330"/>
      <c r="EK146" s="52"/>
      <c r="EL146" s="52"/>
      <c r="EM146" s="52"/>
      <c r="EN146" s="52"/>
      <c r="EO146" s="52"/>
      <c r="EP146" s="52"/>
      <c r="EQ146" s="52"/>
      <c r="ER146" s="52"/>
      <c r="ES146" s="3806"/>
      <c r="ET146" s="3806"/>
      <c r="EU146" s="3806"/>
      <c r="EV146" s="3806"/>
      <c r="EW146" s="3806"/>
      <c r="EX146" s="3807"/>
      <c r="EY146" s="52"/>
      <c r="EZ146" s="3746"/>
      <c r="FA146" s="3746"/>
      <c r="FB146" s="52"/>
      <c r="FC146" s="52"/>
      <c r="FD146" s="52"/>
      <c r="FE146" s="699"/>
    </row>
    <row r="147" spans="1:161">
      <c r="A147" s="398"/>
      <c r="B147" s="52"/>
      <c r="C147" s="52"/>
      <c r="D147" s="52"/>
      <c r="E147" s="52"/>
      <c r="F147" s="52"/>
      <c r="G147" s="52"/>
      <c r="H147" s="52"/>
      <c r="I147" s="52"/>
      <c r="J147" s="3809"/>
      <c r="K147" s="3805"/>
      <c r="L147" s="3807"/>
      <c r="M147" s="3807"/>
      <c r="N147" s="3807"/>
      <c r="O147" s="3809"/>
      <c r="P147" s="52"/>
      <c r="Q147" s="3746"/>
      <c r="R147" s="3746"/>
      <c r="S147" s="52"/>
      <c r="T147" s="330"/>
      <c r="U147" s="52"/>
      <c r="V147" s="52"/>
      <c r="W147" s="52"/>
      <c r="X147" s="52"/>
      <c r="Y147" s="52"/>
      <c r="Z147" s="52"/>
      <c r="AA147" s="52"/>
      <c r="AB147" s="52"/>
      <c r="AC147" s="52"/>
      <c r="AD147" s="3805"/>
      <c r="AE147" s="3808"/>
      <c r="AF147" s="3806"/>
      <c r="AG147" s="3806"/>
      <c r="AH147" s="3806"/>
      <c r="AI147" s="3809"/>
      <c r="AJ147" s="3806"/>
      <c r="AK147" s="3807"/>
      <c r="AL147" s="3746"/>
      <c r="AM147" s="52"/>
      <c r="AN147" s="330"/>
      <c r="AO147" s="3746"/>
      <c r="AP147" s="3746"/>
      <c r="AQ147" s="3746"/>
      <c r="AR147" s="3746"/>
      <c r="AS147" s="52"/>
      <c r="AT147" s="52"/>
      <c r="AU147" s="52"/>
      <c r="AV147" s="52"/>
      <c r="AW147" s="3806"/>
      <c r="AX147" s="3807"/>
      <c r="AY147" s="3806"/>
      <c r="AZ147" s="3809"/>
      <c r="BA147" s="3809"/>
      <c r="BB147" s="3806"/>
      <c r="BC147" s="3807"/>
      <c r="BD147" s="3750"/>
      <c r="BE147" s="3806"/>
      <c r="BF147" s="3746"/>
      <c r="BG147" s="52"/>
      <c r="BH147" s="330"/>
      <c r="BN147" s="52"/>
      <c r="BO147" s="52"/>
      <c r="BP147" s="52"/>
      <c r="BQ147" s="3808"/>
      <c r="BR147" s="3810"/>
      <c r="BS147" s="3810"/>
      <c r="BT147" s="3810"/>
      <c r="BU147" s="3810"/>
      <c r="BV147" s="3808"/>
      <c r="BW147" s="52"/>
      <c r="CB147" s="79"/>
      <c r="CC147" s="52"/>
      <c r="CD147" s="52"/>
      <c r="CE147" s="52"/>
      <c r="CF147" s="52"/>
      <c r="CG147" s="52"/>
      <c r="CH147" s="52"/>
      <c r="CI147" s="52"/>
      <c r="CJ147" s="3805"/>
      <c r="CK147" s="3808"/>
      <c r="CL147" s="3808"/>
      <c r="CM147" s="3808"/>
      <c r="CN147" s="3808"/>
      <c r="CO147" s="3808"/>
      <c r="CP147" s="3805"/>
      <c r="CQ147" s="3808"/>
      <c r="CR147" s="3746"/>
      <c r="CS147" s="52"/>
      <c r="CT147" s="52"/>
      <c r="CU147" s="52"/>
      <c r="CV147" s="330"/>
      <c r="CW147" s="3746"/>
      <c r="DP147" s="330">
        <v>1107</v>
      </c>
      <c r="DQ147" s="52"/>
      <c r="EJ147" s="330">
        <v>1139</v>
      </c>
      <c r="EK147" s="52"/>
      <c r="EL147" s="52"/>
      <c r="EM147" s="52"/>
      <c r="EN147" s="52"/>
      <c r="EO147" s="52"/>
      <c r="EP147" s="52"/>
      <c r="EQ147" s="52"/>
      <c r="ER147" s="3806"/>
      <c r="ES147" s="3809"/>
      <c r="ET147" s="3807"/>
      <c r="EU147" s="3809"/>
      <c r="EV147" s="3807"/>
      <c r="EW147" s="3809"/>
      <c r="EX147" s="3806"/>
      <c r="EY147" s="3807"/>
      <c r="EZ147" s="3746"/>
      <c r="FA147" s="3746"/>
      <c r="FB147" s="52"/>
      <c r="FC147" s="52"/>
      <c r="FD147" s="52"/>
      <c r="FE147" s="699"/>
    </row>
    <row r="148" spans="1:161">
      <c r="A148" s="398"/>
      <c r="B148" s="52"/>
      <c r="C148" s="52"/>
      <c r="D148" s="52"/>
      <c r="E148" s="52"/>
      <c r="F148" s="52"/>
      <c r="G148" s="52"/>
      <c r="H148" s="52"/>
      <c r="I148" s="3805"/>
      <c r="J148" s="3806"/>
      <c r="K148" s="3806"/>
      <c r="L148" s="3806"/>
      <c r="M148" s="3809"/>
      <c r="N148" s="3806"/>
      <c r="O148" s="3808"/>
      <c r="P148" s="3807"/>
      <c r="Q148" s="3746"/>
      <c r="R148" s="3746"/>
      <c r="S148" s="52"/>
      <c r="T148" s="330"/>
      <c r="U148" s="3746"/>
      <c r="V148" s="3746"/>
      <c r="W148" s="3746"/>
      <c r="X148" s="3746"/>
      <c r="Y148" s="52"/>
      <c r="Z148" s="52"/>
      <c r="AA148" s="52"/>
      <c r="AB148" s="52"/>
      <c r="AC148" s="3805"/>
      <c r="AD148" s="3810"/>
      <c r="AE148" s="3806"/>
      <c r="AF148" s="3809"/>
      <c r="AG148" s="3809"/>
      <c r="AH148" s="3806"/>
      <c r="AI148" s="3807"/>
      <c r="AJ148" s="3750"/>
      <c r="AK148" s="3806"/>
      <c r="AL148" s="3746"/>
      <c r="AM148" s="52"/>
      <c r="AN148" s="330"/>
      <c r="AO148" s="52"/>
      <c r="AP148" s="52"/>
      <c r="AQ148" s="52"/>
      <c r="AR148" s="52"/>
      <c r="AS148" s="52"/>
      <c r="AT148" s="52"/>
      <c r="AU148" s="52"/>
      <c r="AV148" s="52"/>
      <c r="AW148" s="3806"/>
      <c r="AX148" s="3808"/>
      <c r="AY148" s="3809"/>
      <c r="AZ148" s="3809"/>
      <c r="BA148" s="3806"/>
      <c r="BB148" s="3805"/>
      <c r="BC148" s="3757"/>
      <c r="BD148" s="3750"/>
      <c r="BE148" s="3806"/>
      <c r="BF148" s="3746"/>
      <c r="BG148" s="52"/>
      <c r="BH148" s="330"/>
      <c r="BN148" s="52"/>
      <c r="BO148" s="52"/>
      <c r="BP148" s="3805"/>
      <c r="BQ148" s="3808"/>
      <c r="BR148" s="3805"/>
      <c r="BS148" s="3805"/>
      <c r="BT148" s="3805"/>
      <c r="BU148" s="3808"/>
      <c r="BV148" s="3805"/>
      <c r="BW148" s="3808"/>
      <c r="CB148" s="79"/>
      <c r="CC148" s="3746"/>
      <c r="CD148" s="52"/>
      <c r="CE148" s="52"/>
      <c r="CF148" s="52"/>
      <c r="CG148" s="52"/>
      <c r="CH148" s="52"/>
      <c r="CI148" s="52"/>
      <c r="CJ148" s="3808"/>
      <c r="CK148" s="3809"/>
      <c r="CL148" s="3809"/>
      <c r="CM148" s="3809"/>
      <c r="CN148" s="3809"/>
      <c r="CO148" s="3807"/>
      <c r="CP148" s="3770"/>
      <c r="CQ148" s="3805"/>
      <c r="CR148" s="52"/>
      <c r="CS148" s="52"/>
      <c r="CT148" s="52"/>
      <c r="CU148" s="52"/>
      <c r="CV148" s="330"/>
      <c r="CW148" s="52"/>
      <c r="DP148" s="330">
        <v>1108</v>
      </c>
      <c r="DQ148" s="52"/>
      <c r="EJ148" s="330">
        <v>1140</v>
      </c>
      <c r="EK148" s="3746"/>
      <c r="EL148" s="3746"/>
      <c r="EM148" s="52"/>
      <c r="EN148" s="52"/>
      <c r="EO148" s="52"/>
      <c r="EP148" s="52"/>
      <c r="EQ148" s="3806"/>
      <c r="ER148" s="3807"/>
      <c r="ES148" s="3809"/>
      <c r="ET148" s="3809"/>
      <c r="EU148" s="3806"/>
      <c r="EV148" s="3809"/>
      <c r="EW148" s="3807"/>
      <c r="EX148" s="3806"/>
      <c r="EY148" s="3806"/>
      <c r="EZ148" s="3746"/>
      <c r="FA148" s="3746"/>
      <c r="FB148" s="52"/>
      <c r="FC148" s="52"/>
      <c r="FD148" s="52"/>
      <c r="FE148" s="699"/>
    </row>
    <row r="149" spans="1:161">
      <c r="A149" s="3749"/>
      <c r="B149" s="3746"/>
      <c r="C149" s="52"/>
      <c r="D149" s="52"/>
      <c r="E149" s="52"/>
      <c r="F149" s="52"/>
      <c r="G149" s="52"/>
      <c r="H149" s="3805"/>
      <c r="I149" s="3806"/>
      <c r="J149" s="3806"/>
      <c r="K149" s="3809"/>
      <c r="L149" s="3809"/>
      <c r="M149" s="3806"/>
      <c r="N149" s="3808"/>
      <c r="O149" s="3806"/>
      <c r="P149" s="3806"/>
      <c r="Q149" s="3746"/>
      <c r="R149" s="3746"/>
      <c r="S149" s="52"/>
      <c r="T149" s="330"/>
      <c r="U149" s="52"/>
      <c r="V149" s="52"/>
      <c r="W149" s="52"/>
      <c r="X149" s="52"/>
      <c r="Y149" s="52"/>
      <c r="Z149" s="52"/>
      <c r="AA149" s="52"/>
      <c r="AB149" s="3805"/>
      <c r="AC149" s="3810"/>
      <c r="AD149" s="3806"/>
      <c r="AE149" s="3809"/>
      <c r="AF149" s="3809"/>
      <c r="AG149" s="3806"/>
      <c r="AH149" s="3807"/>
      <c r="AI149" s="3757"/>
      <c r="AJ149" s="3770"/>
      <c r="AK149" s="3806"/>
      <c r="AL149" s="3746"/>
      <c r="AM149" s="52"/>
      <c r="AN149" s="330"/>
      <c r="AO149" s="3746"/>
      <c r="AP149" s="3746"/>
      <c r="AQ149" s="3746"/>
      <c r="AR149" s="3746"/>
      <c r="AS149" s="52"/>
      <c r="AT149" s="52"/>
      <c r="AU149" s="52"/>
      <c r="AV149" s="3806"/>
      <c r="AW149" s="3807"/>
      <c r="AX149" s="3806"/>
      <c r="AY149" s="3809"/>
      <c r="AZ149" s="3809"/>
      <c r="BA149" s="3807"/>
      <c r="BB149" s="3806"/>
      <c r="BC149" s="3770"/>
      <c r="BD149" s="3750"/>
      <c r="BE149" s="3806"/>
      <c r="BF149" s="3746"/>
      <c r="BG149" s="52"/>
      <c r="BH149" s="330"/>
      <c r="BN149" s="52"/>
      <c r="BO149" s="3809"/>
      <c r="BP149" s="3805"/>
      <c r="BQ149" s="3808"/>
      <c r="BR149" s="3808"/>
      <c r="BS149" s="3808"/>
      <c r="BT149" s="3805"/>
      <c r="BU149" s="3807"/>
      <c r="BV149" s="3770"/>
      <c r="BW149" s="3805"/>
      <c r="CB149" s="79"/>
      <c r="CC149" s="52"/>
      <c r="CD149" s="52"/>
      <c r="CE149" s="52"/>
      <c r="CF149" s="52"/>
      <c r="CG149" s="52"/>
      <c r="CH149" s="52"/>
      <c r="CI149" s="3809"/>
      <c r="CJ149" s="3805"/>
      <c r="CK149" s="3805"/>
      <c r="CL149" s="3805"/>
      <c r="CM149" s="3805"/>
      <c r="CN149" s="3807"/>
      <c r="CO149" s="3757"/>
      <c r="CP149" s="3772"/>
      <c r="CQ149" s="3805"/>
      <c r="CR149" s="52"/>
      <c r="CS149" s="52"/>
      <c r="CT149" s="52"/>
      <c r="CU149" s="52"/>
      <c r="CV149" s="330"/>
      <c r="CW149" s="3746"/>
      <c r="DP149" s="330">
        <v>1109</v>
      </c>
      <c r="DQ149" s="3746"/>
      <c r="EJ149" s="330">
        <v>1141</v>
      </c>
      <c r="EK149" s="52"/>
      <c r="EL149" s="52"/>
      <c r="EM149" s="52"/>
      <c r="EN149" s="52"/>
      <c r="EO149" s="52"/>
      <c r="EP149" s="52"/>
      <c r="EQ149" s="3806"/>
      <c r="ER149" s="3808"/>
      <c r="ES149" s="3809"/>
      <c r="ET149" s="3806"/>
      <c r="EU149" s="3806"/>
      <c r="EV149" s="3807"/>
      <c r="EW149" s="3757"/>
      <c r="EX149" s="3806"/>
      <c r="EY149" s="3806"/>
      <c r="EZ149" s="3746"/>
      <c r="FA149" s="3746"/>
      <c r="FB149" s="52"/>
      <c r="FC149" s="52"/>
      <c r="FD149" s="52"/>
      <c r="FE149" s="699"/>
    </row>
    <row r="150" spans="1:161">
      <c r="A150" s="398"/>
      <c r="B150" s="52"/>
      <c r="C150" s="52"/>
      <c r="D150" s="52"/>
      <c r="E150" s="52"/>
      <c r="F150" s="52"/>
      <c r="G150" s="3805"/>
      <c r="H150" s="3806"/>
      <c r="I150" s="3806"/>
      <c r="J150" s="3809"/>
      <c r="K150" s="3809"/>
      <c r="L150" s="3806"/>
      <c r="M150" s="3809"/>
      <c r="N150" s="3757"/>
      <c r="O150" s="3750"/>
      <c r="P150" s="3757"/>
      <c r="Q150" s="3746"/>
      <c r="R150" s="3746"/>
      <c r="S150" s="52"/>
      <c r="T150" s="330"/>
      <c r="U150" s="3746"/>
      <c r="V150" s="3746"/>
      <c r="W150" s="3746"/>
      <c r="X150" s="3746"/>
      <c r="Y150" s="52"/>
      <c r="Z150" s="52"/>
      <c r="AA150" s="52"/>
      <c r="AB150" s="3810"/>
      <c r="AC150" s="3809"/>
      <c r="AD150" s="3809"/>
      <c r="AE150" s="3809"/>
      <c r="AF150" s="3809"/>
      <c r="AG150" s="3806"/>
      <c r="AH150" s="3807"/>
      <c r="AI150" s="3750"/>
      <c r="AJ150" s="3770"/>
      <c r="AK150" s="3806"/>
      <c r="AL150" s="3746"/>
      <c r="AM150" s="52"/>
      <c r="AN150" s="330"/>
      <c r="AO150" s="3746"/>
      <c r="AP150" s="3746"/>
      <c r="AQ150" s="3746"/>
      <c r="AR150" s="3746"/>
      <c r="AS150" s="52"/>
      <c r="AT150" s="52"/>
      <c r="AU150" s="3806"/>
      <c r="AV150" s="3808"/>
      <c r="AW150" s="3805"/>
      <c r="AX150" s="3809"/>
      <c r="AY150" s="3809"/>
      <c r="AZ150" s="3806"/>
      <c r="BA150" s="3805"/>
      <c r="BB150" s="3806"/>
      <c r="BC150" s="3772"/>
      <c r="BD150" s="3770"/>
      <c r="BE150" s="3806"/>
      <c r="BF150" s="52"/>
      <c r="BG150" s="52"/>
      <c r="BH150" s="330"/>
      <c r="BN150" s="52"/>
      <c r="BO150" s="3805"/>
      <c r="BP150" s="3808"/>
      <c r="BQ150" s="3810"/>
      <c r="BR150" s="3810"/>
      <c r="BS150" s="3810"/>
      <c r="BT150" s="3807"/>
      <c r="BU150" s="3806"/>
      <c r="BV150" s="3811"/>
      <c r="BW150" s="3805"/>
      <c r="CB150" s="79"/>
      <c r="CC150" s="3746"/>
      <c r="CD150" s="52"/>
      <c r="CE150" s="52"/>
      <c r="CF150" s="52"/>
      <c r="CG150" s="52"/>
      <c r="CH150" s="3806"/>
      <c r="CI150" s="3808"/>
      <c r="CJ150" s="3805"/>
      <c r="CK150" s="3805"/>
      <c r="CL150" s="3805"/>
      <c r="CM150" s="3805"/>
      <c r="CN150" s="3809"/>
      <c r="CO150" s="3750"/>
      <c r="CP150" s="3772"/>
      <c r="CQ150" s="3805"/>
      <c r="CR150" s="52"/>
      <c r="CS150" s="52"/>
      <c r="CT150" s="52"/>
      <c r="CU150" s="52"/>
      <c r="CV150" s="330"/>
      <c r="CW150" s="3746"/>
      <c r="DP150" s="330">
        <v>1110</v>
      </c>
      <c r="DQ150" s="52"/>
      <c r="EJ150" s="3756">
        <v>1142</v>
      </c>
      <c r="EK150" s="3746"/>
      <c r="EL150" s="3746"/>
      <c r="EM150" s="52"/>
      <c r="EN150" s="52"/>
      <c r="EO150" s="52"/>
      <c r="EP150" s="3809"/>
      <c r="EQ150" s="3807"/>
      <c r="ER150" s="3809"/>
      <c r="ES150" s="3809"/>
      <c r="ET150" s="3806"/>
      <c r="EU150" s="3809"/>
      <c r="EV150" s="3807"/>
      <c r="EW150" s="3806"/>
      <c r="EX150" s="3772"/>
      <c r="EY150" s="3806"/>
      <c r="EZ150" s="3746"/>
      <c r="FA150" s="3746"/>
      <c r="FB150" s="52"/>
      <c r="FC150" s="52"/>
      <c r="FD150" s="52"/>
      <c r="FE150" s="699"/>
    </row>
    <row r="151" spans="1:161">
      <c r="A151" s="3749"/>
      <c r="B151" s="3746"/>
      <c r="C151" s="52"/>
      <c r="D151" s="52"/>
      <c r="E151" s="52"/>
      <c r="F151" s="3805"/>
      <c r="G151" s="3806"/>
      <c r="H151" s="3806"/>
      <c r="I151" s="3809"/>
      <c r="J151" s="3809"/>
      <c r="K151" s="3806"/>
      <c r="L151" s="3807"/>
      <c r="M151" s="3806"/>
      <c r="N151" s="3750"/>
      <c r="O151" s="3770"/>
      <c r="P151" s="3757"/>
      <c r="Q151" s="3746"/>
      <c r="R151" s="3746"/>
      <c r="S151" s="52"/>
      <c r="T151" s="330"/>
      <c r="U151" s="3746"/>
      <c r="V151" s="3746"/>
      <c r="W151" s="3746"/>
      <c r="X151" s="3746"/>
      <c r="Y151" s="52"/>
      <c r="Z151" s="52"/>
      <c r="AA151" s="3805"/>
      <c r="AB151" s="3810"/>
      <c r="AC151" s="3806"/>
      <c r="AD151" s="3809"/>
      <c r="AE151" s="3809"/>
      <c r="AF151" s="3806"/>
      <c r="AG151" s="3807"/>
      <c r="AH151" s="3757"/>
      <c r="AI151" s="3770"/>
      <c r="AJ151" s="3770"/>
      <c r="AK151" s="3806"/>
      <c r="AL151" s="52"/>
      <c r="AM151" s="52"/>
      <c r="AN151" s="330"/>
      <c r="AO151" s="52"/>
      <c r="AP151" s="52"/>
      <c r="AQ151" s="52"/>
      <c r="AR151" s="52"/>
      <c r="AS151" s="52"/>
      <c r="AT151" s="52"/>
      <c r="AU151" s="3809"/>
      <c r="AV151" s="3807"/>
      <c r="AW151" s="3805"/>
      <c r="AX151" s="3805"/>
      <c r="AY151" s="3805"/>
      <c r="AZ151" s="3805"/>
      <c r="BA151" s="3806"/>
      <c r="BB151" s="3772"/>
      <c r="BC151" s="3772"/>
      <c r="BD151" s="3770"/>
      <c r="BE151" s="3806"/>
      <c r="BF151" s="52"/>
      <c r="BG151" s="52"/>
      <c r="BH151" s="330"/>
      <c r="BN151" s="3806"/>
      <c r="BO151" s="3805"/>
      <c r="BP151" s="3810"/>
      <c r="BQ151" s="3810"/>
      <c r="BR151" s="3810"/>
      <c r="BS151" s="3808"/>
      <c r="BT151" s="3809"/>
      <c r="BU151" s="3770"/>
      <c r="BV151" s="3812"/>
      <c r="BW151" s="3805"/>
      <c r="CB151" s="79"/>
      <c r="CC151" s="3746"/>
      <c r="CD151" s="52"/>
      <c r="CE151" s="52"/>
      <c r="CF151" s="52"/>
      <c r="CG151" s="52"/>
      <c r="CH151" s="3809"/>
      <c r="CI151" s="3805"/>
      <c r="CJ151" s="3805"/>
      <c r="CK151" s="3805"/>
      <c r="CL151" s="3805"/>
      <c r="CM151" s="3807"/>
      <c r="CN151" s="3757"/>
      <c r="CO151" s="3750"/>
      <c r="CP151" s="3770"/>
      <c r="CQ151" s="3805"/>
      <c r="CR151" s="52"/>
      <c r="CS151" s="52"/>
      <c r="CT151" s="52"/>
      <c r="CU151" s="52"/>
      <c r="CV151" s="330"/>
      <c r="CW151" s="52"/>
      <c r="DP151" s="330">
        <v>1111</v>
      </c>
      <c r="DQ151" s="3746"/>
      <c r="EJ151" s="3756">
        <v>1143</v>
      </c>
      <c r="EK151" s="3746"/>
      <c r="EL151" s="3746"/>
      <c r="EM151" s="52"/>
      <c r="EN151" s="52"/>
      <c r="EO151" s="3806"/>
      <c r="EP151" s="3807"/>
      <c r="EQ151" s="3809"/>
      <c r="ER151" s="3809"/>
      <c r="ES151" s="3806"/>
      <c r="ET151" s="3809"/>
      <c r="EU151" s="3807"/>
      <c r="EV151" s="3757"/>
      <c r="EW151" s="3750"/>
      <c r="EX151" s="3811"/>
      <c r="EY151" s="3806"/>
      <c r="EZ151" s="52"/>
      <c r="FA151" s="52"/>
      <c r="FB151" s="52"/>
      <c r="FC151" s="52"/>
      <c r="FD151" s="52"/>
      <c r="FE151" s="699"/>
    </row>
    <row r="152" spans="1:161">
      <c r="A152" s="3749"/>
      <c r="B152" s="3746"/>
      <c r="C152" s="52"/>
      <c r="D152" s="52"/>
      <c r="E152" s="3809"/>
      <c r="F152" s="3809"/>
      <c r="G152" s="3806"/>
      <c r="H152" s="3806"/>
      <c r="I152" s="3806"/>
      <c r="J152" s="3806"/>
      <c r="K152" s="3805"/>
      <c r="L152" s="3806"/>
      <c r="M152" s="3750"/>
      <c r="N152" s="3770"/>
      <c r="O152" s="3750"/>
      <c r="P152" s="3757"/>
      <c r="Q152" s="52"/>
      <c r="R152" s="52"/>
      <c r="S152" s="52"/>
      <c r="T152" s="330"/>
      <c r="U152" s="52"/>
      <c r="V152" s="52"/>
      <c r="W152" s="52"/>
      <c r="X152" s="52"/>
      <c r="Y152" s="52"/>
      <c r="Z152" s="3805"/>
      <c r="AA152" s="3810"/>
      <c r="AB152" s="3807"/>
      <c r="AC152" s="3809"/>
      <c r="AD152" s="3809"/>
      <c r="AE152" s="3805"/>
      <c r="AF152" s="3805"/>
      <c r="AG152" s="3809"/>
      <c r="AH152" s="3750"/>
      <c r="AI152" s="3770"/>
      <c r="AJ152" s="3750"/>
      <c r="AK152" s="3806"/>
      <c r="AL152" s="52"/>
      <c r="AM152" s="52"/>
      <c r="AN152" s="3756"/>
      <c r="AO152" s="3746"/>
      <c r="AP152" s="3746"/>
      <c r="AQ152" s="3746"/>
      <c r="AR152" s="52"/>
      <c r="AS152" s="52"/>
      <c r="AT152" s="3806"/>
      <c r="AU152" s="3808"/>
      <c r="AV152" s="3745"/>
      <c r="AW152" s="3757"/>
      <c r="AX152" s="3757"/>
      <c r="AY152" s="3806"/>
      <c r="AZ152" s="3807"/>
      <c r="BA152" s="3757"/>
      <c r="BB152" s="3811"/>
      <c r="BC152" s="3772"/>
      <c r="BD152" s="3750"/>
      <c r="BE152" s="3806"/>
      <c r="BF152" s="52"/>
      <c r="BG152" s="52"/>
      <c r="BH152" s="3756"/>
      <c r="BN152" s="3809"/>
      <c r="BO152" s="3807"/>
      <c r="BP152" s="3807"/>
      <c r="BQ152" s="3807"/>
      <c r="BR152" s="3807"/>
      <c r="BS152" s="3807"/>
      <c r="BT152" s="3806"/>
      <c r="BU152" s="3772"/>
      <c r="BV152" s="3812"/>
      <c r="BW152" s="3805"/>
      <c r="CB152" s="79"/>
      <c r="CC152" s="52"/>
      <c r="CD152" s="52"/>
      <c r="CE152" s="52"/>
      <c r="CF152" s="52"/>
      <c r="CG152" s="3809"/>
      <c r="CH152" s="3807"/>
      <c r="CI152" s="3807"/>
      <c r="CJ152" s="3807"/>
      <c r="CK152" s="3807"/>
      <c r="CL152" s="3807"/>
      <c r="CM152" s="3807"/>
      <c r="CN152" s="3806"/>
      <c r="CO152" s="3770"/>
      <c r="CP152" s="3750"/>
      <c r="CQ152" s="3809"/>
      <c r="CR152" s="52"/>
      <c r="CS152" s="3746"/>
      <c r="CT152" s="3746"/>
      <c r="CU152" s="3746"/>
      <c r="CV152" s="3756"/>
      <c r="CW152" s="3746"/>
      <c r="DP152" s="3756">
        <v>1112</v>
      </c>
      <c r="DQ152" s="52"/>
      <c r="EJ152" s="330">
        <v>1144</v>
      </c>
      <c r="EK152" s="52"/>
      <c r="EL152" s="52"/>
      <c r="EM152" s="52"/>
      <c r="EN152" s="52"/>
      <c r="EO152" s="3809"/>
      <c r="EP152" s="3807"/>
      <c r="EQ152" s="3807"/>
      <c r="ER152" s="3807"/>
      <c r="ES152" s="3807"/>
      <c r="ET152" s="3807"/>
      <c r="EU152" s="3809"/>
      <c r="EV152" s="3806"/>
      <c r="EW152" s="3770"/>
      <c r="EX152" s="3772"/>
      <c r="EY152" s="3806"/>
      <c r="EZ152" s="52"/>
      <c r="FA152" s="52"/>
      <c r="FB152" s="52"/>
      <c r="FC152" s="3746"/>
      <c r="FD152" s="3746"/>
      <c r="FE152" s="699"/>
    </row>
    <row r="153" spans="1:161">
      <c r="A153" s="398"/>
      <c r="B153" s="52"/>
      <c r="C153" s="52"/>
      <c r="D153" s="52"/>
      <c r="E153" s="3807"/>
      <c r="F153" s="3807"/>
      <c r="G153" s="3805"/>
      <c r="H153" s="3805"/>
      <c r="I153" s="3805"/>
      <c r="J153" s="3805"/>
      <c r="K153" s="3807"/>
      <c r="L153" s="3757"/>
      <c r="M153" s="3750"/>
      <c r="N153" s="3770"/>
      <c r="O153" s="3750"/>
      <c r="P153" s="3757"/>
      <c r="Q153" s="52"/>
      <c r="R153" s="52"/>
      <c r="S153" s="52"/>
      <c r="T153" s="330"/>
      <c r="U153" s="3746"/>
      <c r="V153" s="3746"/>
      <c r="W153" s="3746"/>
      <c r="X153" s="52"/>
      <c r="Y153" s="52"/>
      <c r="Z153" s="3806"/>
      <c r="AA153" s="3805"/>
      <c r="AB153" s="3745"/>
      <c r="AC153" s="3757"/>
      <c r="AD153" s="3757"/>
      <c r="AE153" s="3757"/>
      <c r="AF153" s="3807"/>
      <c r="AG153" s="3757"/>
      <c r="AH153" s="3770"/>
      <c r="AI153" s="3770"/>
      <c r="AJ153" s="3750"/>
      <c r="AK153" s="3806"/>
      <c r="AL153" s="52"/>
      <c r="AM153" s="3746"/>
      <c r="AN153" s="3756"/>
      <c r="AO153" s="71"/>
      <c r="AP153" s="71"/>
      <c r="AQ153" s="71"/>
      <c r="AR153" s="52"/>
      <c r="AS153" s="3806"/>
      <c r="AT153" s="3808"/>
      <c r="AU153" s="3745"/>
      <c r="AV153" s="3757"/>
      <c r="AW153" s="3757"/>
      <c r="AX153" s="3806"/>
      <c r="AY153" s="3806"/>
      <c r="AZ153" s="3806"/>
      <c r="BA153" s="3770"/>
      <c r="BB153" s="3811"/>
      <c r="BC153" s="3772"/>
      <c r="BD153" s="3806"/>
      <c r="BE153" s="3806"/>
      <c r="BF153" s="52"/>
      <c r="BG153" s="3746"/>
      <c r="BH153" s="3756"/>
      <c r="BI153" s="3746"/>
      <c r="BJ153" s="3746"/>
      <c r="BK153" s="52"/>
      <c r="BL153" s="52"/>
      <c r="BM153" s="3806"/>
      <c r="BN153" s="3807"/>
      <c r="BO153" s="3758"/>
      <c r="BP153" s="3758"/>
      <c r="BQ153" s="3758"/>
      <c r="BR153" s="3806"/>
      <c r="BS153" s="3807"/>
      <c r="BT153" s="3750"/>
      <c r="BU153" s="3812"/>
      <c r="BV153" s="3811"/>
      <c r="BW153" s="3806"/>
      <c r="CB153" s="79"/>
      <c r="CC153" s="3746"/>
      <c r="CD153" s="52"/>
      <c r="CE153" s="52"/>
      <c r="CF153" s="52"/>
      <c r="CG153" s="3806"/>
      <c r="CH153" s="3807"/>
      <c r="CI153" s="3745"/>
      <c r="CJ153" s="3757"/>
      <c r="CK153" s="3806"/>
      <c r="CL153" s="3809"/>
      <c r="CM153" s="3807"/>
      <c r="CN153" s="3770"/>
      <c r="CO153" s="3772"/>
      <c r="CP153" s="3750"/>
      <c r="CQ153" s="3806"/>
      <c r="CR153" s="71"/>
      <c r="CS153" s="117"/>
      <c r="CT153" s="52"/>
      <c r="CU153" s="3746"/>
      <c r="CV153" s="3756"/>
      <c r="CW153" s="71"/>
      <c r="DP153" s="3756">
        <v>1113</v>
      </c>
      <c r="DQ153" s="3746"/>
      <c r="EJ153" s="330">
        <v>1145</v>
      </c>
      <c r="EK153" s="3746"/>
      <c r="EL153" s="52"/>
      <c r="EM153" s="52"/>
      <c r="EN153" s="3806"/>
      <c r="EO153" s="3808"/>
      <c r="EP153" s="3745"/>
      <c r="EQ153" s="3757"/>
      <c r="ER153" s="3757"/>
      <c r="ES153" s="3806"/>
      <c r="ET153" s="3807"/>
      <c r="EU153" s="3757"/>
      <c r="EV153" s="3750"/>
      <c r="EW153" s="3772"/>
      <c r="EX153" s="3770"/>
      <c r="EY153" s="3806"/>
      <c r="EZ153" s="52"/>
      <c r="FA153" s="52"/>
      <c r="FB153" s="3746"/>
      <c r="FC153" s="3746"/>
      <c r="FD153" s="3746"/>
      <c r="FE153" s="699"/>
    </row>
    <row r="154" spans="1:161">
      <c r="A154" s="3749"/>
      <c r="B154" s="52"/>
      <c r="C154" s="52"/>
      <c r="D154" s="3809"/>
      <c r="E154" s="3808"/>
      <c r="F154" s="3745"/>
      <c r="G154" s="3757"/>
      <c r="H154" s="3757"/>
      <c r="I154" s="3757"/>
      <c r="J154" s="3805"/>
      <c r="K154" s="3757"/>
      <c r="L154" s="3750"/>
      <c r="M154" s="3770"/>
      <c r="N154" s="3770"/>
      <c r="O154" s="3750"/>
      <c r="P154" s="3757"/>
      <c r="Q154" s="52"/>
      <c r="R154" s="52"/>
      <c r="S154" s="3746"/>
      <c r="T154" s="3756"/>
      <c r="U154" s="71"/>
      <c r="V154" s="71"/>
      <c r="W154" s="71"/>
      <c r="X154" s="52"/>
      <c r="Y154" s="3806"/>
      <c r="Z154" s="3810"/>
      <c r="AA154" s="3745"/>
      <c r="AB154" s="3757"/>
      <c r="AC154" s="3757"/>
      <c r="AD154" s="3757"/>
      <c r="AE154" s="3809"/>
      <c r="AF154" s="3806"/>
      <c r="AG154" s="3750"/>
      <c r="AH154" s="3770"/>
      <c r="AI154" s="3750"/>
      <c r="AJ154" s="3806"/>
      <c r="AK154" s="3757"/>
      <c r="AL154" s="52"/>
      <c r="AM154" s="3746"/>
      <c r="AN154" s="3756"/>
      <c r="AO154" s="71"/>
      <c r="AP154" s="71"/>
      <c r="AQ154" s="71"/>
      <c r="AR154" s="52"/>
      <c r="AS154" s="3808"/>
      <c r="AT154" s="3806"/>
      <c r="AU154" s="3745"/>
      <c r="AV154" s="3757"/>
      <c r="AW154" s="3757"/>
      <c r="AX154" s="3806"/>
      <c r="AY154" s="3807"/>
      <c r="AZ154" s="3757"/>
      <c r="BA154" s="3772"/>
      <c r="BB154" s="3811"/>
      <c r="BC154" s="3770"/>
      <c r="BD154" s="3806"/>
      <c r="BE154" s="3746"/>
      <c r="BF154" s="71"/>
      <c r="BG154" s="3746"/>
      <c r="BH154" s="3756"/>
      <c r="BI154" s="71"/>
      <c r="BJ154" s="71"/>
      <c r="BK154" s="52"/>
      <c r="BL154" s="3806"/>
      <c r="BM154" s="3807"/>
      <c r="BN154" s="3806"/>
      <c r="BO154" s="3760"/>
      <c r="BP154" s="3760"/>
      <c r="BQ154" s="3806"/>
      <c r="BR154" s="3809"/>
      <c r="BS154" s="3757"/>
      <c r="BT154" s="3770"/>
      <c r="BU154" s="3811"/>
      <c r="BV154" s="3772"/>
      <c r="BW154" s="3806"/>
      <c r="CB154" s="79"/>
      <c r="CC154" s="71"/>
      <c r="CD154" s="52"/>
      <c r="CE154" s="52"/>
      <c r="CF154" s="3806"/>
      <c r="CG154" s="3807"/>
      <c r="CH154" s="3745"/>
      <c r="CI154" s="3757"/>
      <c r="CJ154" s="3757"/>
      <c r="CK154" s="3806"/>
      <c r="CL154" s="3805"/>
      <c r="CM154" s="3757"/>
      <c r="CN154" s="3772"/>
      <c r="CO154" s="3811"/>
      <c r="CP154" s="3806"/>
      <c r="CQ154" s="3806"/>
      <c r="CR154" s="71"/>
      <c r="CS154" s="3746"/>
      <c r="CT154" s="3746"/>
      <c r="CU154" s="52"/>
      <c r="CV154" s="330"/>
      <c r="CW154" s="71"/>
      <c r="DP154" s="3756">
        <v>1114</v>
      </c>
      <c r="DQ154" s="71"/>
      <c r="EJ154" s="3756">
        <v>1146</v>
      </c>
      <c r="EK154" s="71"/>
      <c r="EL154" s="52"/>
      <c r="EM154" s="3806"/>
      <c r="EN154" s="3809"/>
      <c r="EO154" s="3745"/>
      <c r="EP154" s="3757"/>
      <c r="EQ154" s="3757"/>
      <c r="ER154" s="3806"/>
      <c r="ES154" s="3806"/>
      <c r="ET154" s="3806"/>
      <c r="EU154" s="3806"/>
      <c r="EV154" s="3770"/>
      <c r="EW154" s="3770"/>
      <c r="EX154" s="3806"/>
      <c r="EY154" s="3806"/>
      <c r="EZ154" s="52"/>
      <c r="FA154" s="52"/>
      <c r="FB154" s="3746"/>
      <c r="FC154" s="3746"/>
      <c r="FD154" s="3746"/>
      <c r="FE154" s="699"/>
    </row>
    <row r="155" spans="1:161">
      <c r="A155" s="685"/>
      <c r="B155" s="52"/>
      <c r="C155" s="3809"/>
      <c r="D155" s="3810"/>
      <c r="E155" s="3745"/>
      <c r="F155" s="3757"/>
      <c r="G155" s="3757"/>
      <c r="H155" s="3754"/>
      <c r="I155" s="3809"/>
      <c r="J155" s="3806"/>
      <c r="K155" s="3750"/>
      <c r="L155" s="3770"/>
      <c r="M155" s="3770"/>
      <c r="N155" s="3750"/>
      <c r="O155" s="3757"/>
      <c r="P155" s="3806"/>
      <c r="Q155" s="52"/>
      <c r="R155" s="3746"/>
      <c r="S155" s="3746"/>
      <c r="T155" s="3756"/>
      <c r="U155" s="71"/>
      <c r="V155" s="71"/>
      <c r="W155" s="71"/>
      <c r="X155" s="52"/>
      <c r="Y155" s="3806"/>
      <c r="Z155" s="3805"/>
      <c r="AA155" s="3745"/>
      <c r="AB155" s="3757"/>
      <c r="AC155" s="3757"/>
      <c r="AD155" s="3806"/>
      <c r="AE155" s="3807"/>
      <c r="AF155" s="3806"/>
      <c r="AG155" s="3772"/>
      <c r="AH155" s="3770"/>
      <c r="AI155" s="3750"/>
      <c r="AJ155" s="3806"/>
      <c r="AK155" s="3746"/>
      <c r="AL155" s="71"/>
      <c r="AM155" s="3746"/>
      <c r="AN155" s="3756"/>
      <c r="AO155" s="71"/>
      <c r="AP155" s="71"/>
      <c r="AQ155" s="71"/>
      <c r="AR155" s="3806"/>
      <c r="AS155" s="3805"/>
      <c r="AT155" s="3745"/>
      <c r="AU155" s="3757"/>
      <c r="AV155" s="3757"/>
      <c r="AW155" s="3757"/>
      <c r="AX155" s="3806"/>
      <c r="AY155" s="3806"/>
      <c r="AZ155" s="3770"/>
      <c r="BA155" s="3772"/>
      <c r="BB155" s="3772"/>
      <c r="BC155" s="3806"/>
      <c r="BD155" s="3752"/>
      <c r="BE155" s="52"/>
      <c r="BF155" s="117"/>
      <c r="BG155" s="3746"/>
      <c r="BH155" s="3756"/>
      <c r="BI155" s="71"/>
      <c r="BJ155" s="71"/>
      <c r="BK155" s="52"/>
      <c r="BL155" s="3757"/>
      <c r="BM155" s="3807"/>
      <c r="BN155" s="3787"/>
      <c r="BO155" s="3813"/>
      <c r="BP155" s="3787"/>
      <c r="BQ155" s="3806"/>
      <c r="BR155" s="3807"/>
      <c r="BS155" s="3806"/>
      <c r="BT155" s="3770"/>
      <c r="BU155" s="3772"/>
      <c r="BV155" s="3754"/>
      <c r="BW155" s="3754"/>
      <c r="CB155" s="79"/>
      <c r="CC155" s="71"/>
      <c r="CD155" s="71"/>
      <c r="CE155" s="52"/>
      <c r="CF155" s="3806"/>
      <c r="CG155" s="3805"/>
      <c r="CH155" s="3758"/>
      <c r="CI155" s="3758"/>
      <c r="CJ155" s="3758"/>
      <c r="CK155" s="3806"/>
      <c r="CL155" s="3807"/>
      <c r="CM155" s="3806"/>
      <c r="CN155" s="3811"/>
      <c r="CO155" s="3772"/>
      <c r="CP155" s="3754"/>
      <c r="CQ155" s="3746"/>
      <c r="CR155" s="71"/>
      <c r="CS155" s="52"/>
      <c r="CT155" s="3746"/>
      <c r="CU155" s="52"/>
      <c r="CV155" s="330"/>
      <c r="CW155" s="71"/>
      <c r="DP155" s="3756">
        <v>1115</v>
      </c>
      <c r="DQ155" s="71"/>
      <c r="EJ155" s="330">
        <v>1147</v>
      </c>
      <c r="EK155" s="71"/>
      <c r="EL155" s="52"/>
      <c r="EM155" s="3806"/>
      <c r="EN155" s="3807"/>
      <c r="EO155" s="3751"/>
      <c r="EP155" s="3757"/>
      <c r="EQ155" s="3757"/>
      <c r="ER155" s="3806"/>
      <c r="ES155" s="3807"/>
      <c r="ET155" s="3757"/>
      <c r="EU155" s="3750"/>
      <c r="EV155" s="3770"/>
      <c r="EW155" s="3770"/>
      <c r="EX155" s="3806"/>
      <c r="EY155" s="3746"/>
      <c r="EZ155" s="71"/>
      <c r="FA155" s="3746"/>
      <c r="FB155" s="3746"/>
      <c r="FC155" s="3746"/>
      <c r="FD155" s="3746"/>
      <c r="FE155" s="699"/>
    </row>
    <row r="156" spans="1:161">
      <c r="A156" s="685"/>
      <c r="B156" s="3805"/>
      <c r="C156" s="3810"/>
      <c r="D156" s="3805"/>
      <c r="E156" s="3745"/>
      <c r="F156" s="3757"/>
      <c r="G156" s="3754"/>
      <c r="H156" s="3806"/>
      <c r="I156" s="3805"/>
      <c r="J156" s="3757"/>
      <c r="K156" s="3750"/>
      <c r="L156" s="3770"/>
      <c r="M156" s="3750"/>
      <c r="N156" s="3757"/>
      <c r="O156" s="3757"/>
      <c r="P156" s="71"/>
      <c r="Q156" s="3746"/>
      <c r="R156" s="3746"/>
      <c r="S156" s="3746"/>
      <c r="T156" s="3756"/>
      <c r="U156" s="71"/>
      <c r="V156" s="71"/>
      <c r="W156" s="71"/>
      <c r="X156" s="3810"/>
      <c r="Y156" s="3805"/>
      <c r="Z156" s="3754"/>
      <c r="AA156" s="3754"/>
      <c r="AB156" s="3754"/>
      <c r="AC156" s="3754"/>
      <c r="AD156" s="3806"/>
      <c r="AE156" s="3809"/>
      <c r="AF156" s="3772"/>
      <c r="AG156" s="3772"/>
      <c r="AH156" s="3770"/>
      <c r="AI156" s="3806"/>
      <c r="AJ156" s="3757"/>
      <c r="AK156" s="52"/>
      <c r="AL156" s="117"/>
      <c r="AM156" s="3746"/>
      <c r="AN156" s="3756"/>
      <c r="AO156" s="71"/>
      <c r="AP156" s="71"/>
      <c r="AQ156" s="3809"/>
      <c r="AR156" s="3805"/>
      <c r="AS156" s="3806"/>
      <c r="AT156" s="3751"/>
      <c r="AU156" s="3758"/>
      <c r="AV156" s="3758"/>
      <c r="AW156" s="3806"/>
      <c r="AX156" s="3807"/>
      <c r="AY156" s="3806"/>
      <c r="AZ156" s="3770"/>
      <c r="BA156" s="3772"/>
      <c r="BB156" s="3770"/>
      <c r="BC156" s="3806"/>
      <c r="BD156" s="3739"/>
      <c r="BE156" s="3744"/>
      <c r="BF156" s="117"/>
      <c r="BG156" s="3746"/>
      <c r="BH156" s="3756"/>
      <c r="BI156" s="71"/>
      <c r="BJ156" s="71"/>
      <c r="BK156" s="3806"/>
      <c r="BL156" s="3809"/>
      <c r="BM156" s="3760"/>
      <c r="BN156" s="3759"/>
      <c r="BO156" s="3759"/>
      <c r="BP156" s="3759"/>
      <c r="BQ156" s="3809"/>
      <c r="BR156" s="3757"/>
      <c r="BS156" s="3750"/>
      <c r="BT156" s="3750"/>
      <c r="BU156" s="3770"/>
      <c r="BV156" s="3754"/>
      <c r="BW156" s="3746"/>
      <c r="CB156" s="79"/>
      <c r="CC156" s="71"/>
      <c r="CD156" s="71"/>
      <c r="CE156" s="3806"/>
      <c r="CF156" s="3805"/>
      <c r="CG156" s="3758"/>
      <c r="CH156" s="3760"/>
      <c r="CI156" s="3760"/>
      <c r="CJ156" s="3760"/>
      <c r="CK156" s="3806"/>
      <c r="CL156" s="3757"/>
      <c r="CM156" s="3750"/>
      <c r="CN156" s="3812"/>
      <c r="CO156" s="3805"/>
      <c r="CP156" s="3805"/>
      <c r="CQ156" s="3739"/>
      <c r="CR156" s="71"/>
      <c r="CS156" s="3746"/>
      <c r="CT156" s="71"/>
      <c r="CU156" s="3746"/>
      <c r="CV156" s="3756"/>
      <c r="CW156" s="71"/>
      <c r="DP156" s="3756">
        <v>1116</v>
      </c>
      <c r="DQ156" s="71"/>
      <c r="EJ156" s="330">
        <v>1148</v>
      </c>
      <c r="EK156" s="71"/>
      <c r="EL156" s="3806"/>
      <c r="EM156" s="3809"/>
      <c r="EN156" s="3751"/>
      <c r="EO156" s="3758"/>
      <c r="EP156" s="3758"/>
      <c r="EQ156" s="3758"/>
      <c r="ER156" s="3806"/>
      <c r="ES156" s="3809"/>
      <c r="ET156" s="3806"/>
      <c r="EU156" s="3770"/>
      <c r="EV156" s="3770"/>
      <c r="EW156" s="3750"/>
      <c r="EX156" s="3806"/>
      <c r="EY156" s="52"/>
      <c r="EZ156" s="117"/>
      <c r="FA156" s="52"/>
      <c r="FB156" s="3746"/>
      <c r="FC156" s="3746"/>
      <c r="FD156" s="3746"/>
      <c r="FE156" s="699"/>
    </row>
    <row r="157" spans="1:161">
      <c r="A157" s="52"/>
      <c r="B157" s="3806"/>
      <c r="C157" s="3809"/>
      <c r="D157" s="3757"/>
      <c r="E157" s="3754"/>
      <c r="F157" s="3754"/>
      <c r="G157" s="3754"/>
      <c r="H157" s="3809"/>
      <c r="I157" s="3809"/>
      <c r="J157" s="3750"/>
      <c r="K157" s="3770"/>
      <c r="L157" s="3770"/>
      <c r="M157" s="3750"/>
      <c r="N157" s="3757"/>
      <c r="O157" s="3806"/>
      <c r="P157" s="117"/>
      <c r="Q157" s="52"/>
      <c r="R157" s="3746"/>
      <c r="S157" s="3746"/>
      <c r="T157" s="3756"/>
      <c r="U157" s="71"/>
      <c r="V157" s="71"/>
      <c r="W157" s="3806"/>
      <c r="X157" s="3809"/>
      <c r="Y157" s="3805"/>
      <c r="Z157" s="3814"/>
      <c r="AA157" s="3815"/>
      <c r="AB157" s="3815"/>
      <c r="AC157" s="3814"/>
      <c r="AD157" s="3807"/>
      <c r="AE157" s="3806"/>
      <c r="AF157" s="3811"/>
      <c r="AG157" s="3772"/>
      <c r="AH157" s="3750"/>
      <c r="AI157" s="3806"/>
      <c r="AJ157" s="3744"/>
      <c r="AK157" s="3746"/>
      <c r="AL157" s="117"/>
      <c r="AM157" s="3746"/>
      <c r="AN157" s="3756"/>
      <c r="AO157" s="71"/>
      <c r="AP157" s="71"/>
      <c r="AQ157" s="3809"/>
      <c r="AR157" s="3808"/>
      <c r="AS157" s="3751"/>
      <c r="AT157" s="3759"/>
      <c r="AU157" s="3759"/>
      <c r="AV157" s="3742"/>
      <c r="AW157" s="3809"/>
      <c r="AX157" s="3757"/>
      <c r="AY157" s="3750"/>
      <c r="AZ157" s="3770"/>
      <c r="BA157" s="3770"/>
      <c r="BB157" s="3806"/>
      <c r="BC157" s="3806"/>
      <c r="BD157" s="3752"/>
      <c r="BE157" s="3744"/>
      <c r="BF157" s="52"/>
      <c r="BG157" s="3746"/>
      <c r="BH157" s="3756"/>
      <c r="BI157" s="71"/>
      <c r="BJ157" s="71"/>
      <c r="BK157" s="3806"/>
      <c r="BL157" s="3807"/>
      <c r="BM157" s="3787"/>
      <c r="BN157" s="3813"/>
      <c r="BO157" s="3787"/>
      <c r="BP157" s="3806"/>
      <c r="BQ157" s="3807"/>
      <c r="BR157" s="3806"/>
      <c r="BS157" s="3770"/>
      <c r="BT157" s="3750"/>
      <c r="BU157" s="3750"/>
      <c r="BV157" s="3742"/>
      <c r="BW157" s="3769"/>
      <c r="BX157" s="3746"/>
      <c r="BY157" s="52"/>
      <c r="BZ157" s="3746"/>
      <c r="CA157" s="3746"/>
      <c r="CB157" s="3756"/>
      <c r="CC157" s="71"/>
      <c r="CD157" s="71"/>
      <c r="CE157" s="3806"/>
      <c r="CF157" s="3809"/>
      <c r="CG157" s="3759"/>
      <c r="CH157" s="3787"/>
      <c r="CI157" s="3787"/>
      <c r="CJ157" s="3791"/>
      <c r="CK157" s="3807"/>
      <c r="CL157" s="3806"/>
      <c r="CM157" s="3770"/>
      <c r="CN157" s="3811"/>
      <c r="CO157" s="3805"/>
      <c r="CP157" s="3742"/>
      <c r="CQ157" s="3752"/>
      <c r="CR157" s="71"/>
      <c r="CS157" s="52"/>
      <c r="CT157" s="71"/>
      <c r="CU157" s="117"/>
      <c r="CV157" s="330"/>
      <c r="CW157" s="71"/>
      <c r="DP157" s="3756">
        <v>1117</v>
      </c>
      <c r="DQ157" s="71"/>
      <c r="DR157" s="71"/>
      <c r="DS157" s="3757"/>
      <c r="DT157" s="3807"/>
      <c r="DU157" s="3787"/>
      <c r="DV157" s="3813"/>
      <c r="DW157" s="3787"/>
      <c r="DX157" s="3806"/>
      <c r="DY157" s="3807"/>
      <c r="DZ157" s="3806"/>
      <c r="EA157" s="3750"/>
      <c r="EB157" s="3770"/>
      <c r="EC157" s="3750"/>
      <c r="ED157" s="3742"/>
      <c r="EE157" s="3769"/>
      <c r="EF157" s="3746"/>
      <c r="EG157" s="52"/>
      <c r="EH157" s="3746"/>
      <c r="EI157" s="3746"/>
      <c r="EJ157" s="3756"/>
      <c r="EK157" s="52"/>
      <c r="EL157" s="3806"/>
      <c r="EM157" s="3807"/>
      <c r="EN157" s="3760"/>
      <c r="EO157" s="3760"/>
      <c r="EP157" s="3760"/>
      <c r="EQ157" s="3806"/>
      <c r="ER157" s="3807"/>
      <c r="ES157" s="3757"/>
      <c r="ET157" s="3750"/>
      <c r="EU157" s="3770"/>
      <c r="EV157" s="3770"/>
      <c r="EW157" s="3806"/>
      <c r="EX157" s="3744"/>
      <c r="EY157" s="3746"/>
      <c r="EZ157" s="117"/>
      <c r="FA157" s="3746"/>
      <c r="FB157" s="3746"/>
      <c r="FC157" s="3746"/>
      <c r="FD157" s="3746"/>
      <c r="FE157" s="699"/>
    </row>
    <row r="158" spans="1:161">
      <c r="A158" s="3806"/>
      <c r="B158" s="3810"/>
      <c r="C158" s="3815"/>
      <c r="D158" s="3816"/>
      <c r="E158" s="3816"/>
      <c r="F158" s="3816"/>
      <c r="G158" s="3815"/>
      <c r="H158" s="3807"/>
      <c r="I158" s="3757"/>
      <c r="J158" s="3770"/>
      <c r="K158" s="3770"/>
      <c r="L158" s="3750"/>
      <c r="M158" s="3757"/>
      <c r="N158" s="3744"/>
      <c r="O158" s="3746"/>
      <c r="P158" s="117"/>
      <c r="Q158" s="3746"/>
      <c r="R158" s="3746"/>
      <c r="S158" s="3746"/>
      <c r="T158" s="3756"/>
      <c r="U158" s="71"/>
      <c r="V158" s="3806"/>
      <c r="W158" s="3810"/>
      <c r="X158" s="3808"/>
      <c r="Y158" s="3744"/>
      <c r="Z158" s="3752"/>
      <c r="AA158" s="3752"/>
      <c r="AB158" s="3744"/>
      <c r="AC158" s="3809"/>
      <c r="AD158" s="3757"/>
      <c r="AE158" s="3772"/>
      <c r="AF158" s="3811"/>
      <c r="AG158" s="3772"/>
      <c r="AH158" s="3806"/>
      <c r="AI158" s="3757"/>
      <c r="AJ158" s="3752"/>
      <c r="AK158" s="3744"/>
      <c r="AL158" s="52"/>
      <c r="AM158" s="3746"/>
      <c r="AN158" s="3756"/>
      <c r="AO158" s="71"/>
      <c r="AP158" s="3809"/>
      <c r="AQ158" s="3805"/>
      <c r="AR158" s="3806"/>
      <c r="AS158" s="3759"/>
      <c r="AT158" s="3787"/>
      <c r="AU158" s="3787"/>
      <c r="AV158" s="3742"/>
      <c r="AW158" s="3807"/>
      <c r="AX158" s="3806"/>
      <c r="AY158" s="3750"/>
      <c r="AZ158" s="3770"/>
      <c r="BA158" s="3806"/>
      <c r="BB158" s="3806"/>
      <c r="BC158" s="3806"/>
      <c r="BD158" s="3752"/>
      <c r="BE158" s="3752"/>
      <c r="BF158" s="52"/>
      <c r="BG158" s="3746"/>
      <c r="BH158" s="3756"/>
      <c r="BI158" s="71"/>
      <c r="BJ158" s="3809"/>
      <c r="BK158" s="3807"/>
      <c r="BL158" s="3758"/>
      <c r="BM158" s="3759"/>
      <c r="BN158" s="3759"/>
      <c r="BO158" s="3806"/>
      <c r="BP158" s="3809"/>
      <c r="BQ158" s="3806"/>
      <c r="BR158" s="3772"/>
      <c r="BS158" s="3772"/>
      <c r="BT158" s="3770"/>
      <c r="BU158" s="3806"/>
      <c r="BV158" s="3742"/>
      <c r="BW158" s="3739"/>
      <c r="BX158" s="3747"/>
      <c r="BY158" s="3746"/>
      <c r="BZ158" s="52"/>
      <c r="CA158" s="3746"/>
      <c r="CB158" s="3756"/>
      <c r="CC158" s="71"/>
      <c r="CD158" s="71"/>
      <c r="CE158" s="3805"/>
      <c r="CF158" s="3751"/>
      <c r="CG158" s="3760"/>
      <c r="CH158" s="3759"/>
      <c r="CI158" s="3759"/>
      <c r="CJ158" s="3760"/>
      <c r="CK158" s="3757"/>
      <c r="CL158" s="3806"/>
      <c r="CM158" s="3772"/>
      <c r="CN158" s="3772"/>
      <c r="CO158" s="3806"/>
      <c r="CP158" s="3742"/>
      <c r="CQ158" s="3752"/>
      <c r="CR158" s="3739"/>
      <c r="CS158" s="52"/>
      <c r="CT158" s="71"/>
      <c r="CU158" s="71"/>
      <c r="CV158" s="330"/>
      <c r="CW158" s="71"/>
      <c r="DP158" s="3756">
        <v>1118</v>
      </c>
      <c r="DQ158" s="71"/>
      <c r="DR158" s="3809"/>
      <c r="DS158" s="3807"/>
      <c r="DT158" s="3760"/>
      <c r="DU158" s="3759"/>
      <c r="DV158" s="3759"/>
      <c r="DW158" s="3806"/>
      <c r="DX158" s="3809"/>
      <c r="DY158" s="3757"/>
      <c r="DZ158" s="3750"/>
      <c r="EA158" s="3750"/>
      <c r="EB158" s="3750"/>
      <c r="EC158" s="3806"/>
      <c r="ED158" s="3742"/>
      <c r="EE158" s="3739"/>
      <c r="EF158" s="3747"/>
      <c r="EG158" s="3746"/>
      <c r="EH158" s="52"/>
      <c r="EI158" s="3746"/>
      <c r="EJ158" s="3756"/>
      <c r="EK158" s="3806"/>
      <c r="EL158" s="3805"/>
      <c r="EM158" s="3742"/>
      <c r="EN158" s="3759"/>
      <c r="EO158" s="3759"/>
      <c r="EP158" s="3742"/>
      <c r="EQ158" s="3809"/>
      <c r="ER158" s="3757"/>
      <c r="ES158" s="3806"/>
      <c r="ET158" s="3770"/>
      <c r="EU158" s="3770"/>
      <c r="EV158" s="3750"/>
      <c r="EW158" s="3806"/>
      <c r="EX158" s="3744"/>
      <c r="EY158" s="3746"/>
      <c r="EZ158" s="3746"/>
      <c r="FA158" s="3746"/>
      <c r="FB158" s="3746"/>
      <c r="FC158" s="3746"/>
      <c r="FD158" s="3746"/>
      <c r="FE158" s="699"/>
    </row>
    <row r="159" spans="1:161">
      <c r="A159" s="3817"/>
      <c r="B159" s="3818"/>
      <c r="C159" s="3819"/>
      <c r="D159" s="3820"/>
      <c r="E159" s="3820"/>
      <c r="F159" s="3818"/>
      <c r="G159" s="3807"/>
      <c r="H159" s="3806"/>
      <c r="I159" s="3770"/>
      <c r="J159" s="3770"/>
      <c r="K159" s="3750"/>
      <c r="L159" s="3750"/>
      <c r="M159" s="3744"/>
      <c r="N159" s="3752"/>
      <c r="O159" s="3744"/>
      <c r="P159" s="117"/>
      <c r="Q159" s="3746"/>
      <c r="R159" s="3746"/>
      <c r="S159" s="3746"/>
      <c r="T159" s="3756"/>
      <c r="U159" s="71"/>
      <c r="V159" s="3806"/>
      <c r="W159" s="3809"/>
      <c r="X159" s="3752"/>
      <c r="Y159" s="3769"/>
      <c r="Z159" s="3769"/>
      <c r="AA159" s="3769"/>
      <c r="AB159" s="3752"/>
      <c r="AC159" s="3807"/>
      <c r="AD159" s="3806"/>
      <c r="AE159" s="3811"/>
      <c r="AF159" s="3772"/>
      <c r="AG159" s="3806"/>
      <c r="AH159" s="3806"/>
      <c r="AI159" s="3752"/>
      <c r="AJ159" s="3752"/>
      <c r="AK159" s="3744"/>
      <c r="AL159" s="52"/>
      <c r="AM159" s="3746"/>
      <c r="AN159" s="3756"/>
      <c r="AO159" s="71"/>
      <c r="AP159" s="3806"/>
      <c r="AQ159" s="3808"/>
      <c r="AR159" s="3808"/>
      <c r="AS159" s="3808"/>
      <c r="AT159" s="3808"/>
      <c r="AU159" s="3808"/>
      <c r="AV159" s="3808"/>
      <c r="AW159" s="3757"/>
      <c r="AX159" s="3750"/>
      <c r="AY159" s="3750"/>
      <c r="AZ159" s="3750"/>
      <c r="BA159" s="3806"/>
      <c r="BB159" s="3806"/>
      <c r="BC159" s="3744"/>
      <c r="BD159" s="3739"/>
      <c r="BE159" s="3752"/>
      <c r="BF159" s="3744"/>
      <c r="BG159" s="3746"/>
      <c r="BH159" s="3756"/>
      <c r="BI159" s="71"/>
      <c r="BJ159" s="3809"/>
      <c r="BK159" s="3807"/>
      <c r="BL159" s="3787"/>
      <c r="BM159" s="3813"/>
      <c r="BN159" s="3787"/>
      <c r="BO159" s="3806"/>
      <c r="BP159" s="3807"/>
      <c r="BQ159" s="3806"/>
      <c r="BR159" s="3812"/>
      <c r="BS159" s="3772"/>
      <c r="BT159" s="3806"/>
      <c r="BU159" s="3806"/>
      <c r="BV159" s="3744"/>
      <c r="BW159" s="3752"/>
      <c r="BX159" s="3739"/>
      <c r="BY159" s="52"/>
      <c r="BZ159" s="52"/>
      <c r="CA159" s="117"/>
      <c r="CB159" s="3756"/>
      <c r="CC159" s="71"/>
      <c r="CD159" s="3809"/>
      <c r="CE159" s="3805"/>
      <c r="CF159" s="3751"/>
      <c r="CG159" s="3813"/>
      <c r="CH159" s="3813"/>
      <c r="CI159" s="3787"/>
      <c r="CJ159" s="3791"/>
      <c r="CK159" s="3806"/>
      <c r="CL159" s="3806"/>
      <c r="CM159" s="3770"/>
      <c r="CN159" s="3805"/>
      <c r="CO159" s="3806"/>
      <c r="CP159" s="3744"/>
      <c r="CQ159" s="3752"/>
      <c r="CR159" s="3752"/>
      <c r="CS159" s="52"/>
      <c r="CT159" s="71"/>
      <c r="CU159" s="3746"/>
      <c r="CV159" s="3756"/>
      <c r="CW159" s="71"/>
      <c r="DP159" s="3756">
        <v>1119</v>
      </c>
      <c r="DQ159" s="71"/>
      <c r="DR159" s="3757"/>
      <c r="DS159" s="3807"/>
      <c r="DT159" s="3787"/>
      <c r="DU159" s="3813"/>
      <c r="DV159" s="3787"/>
      <c r="DW159" s="3806"/>
      <c r="DX159" s="3807"/>
      <c r="DY159" s="3806"/>
      <c r="DZ159" s="3750"/>
      <c r="EA159" s="3750"/>
      <c r="EB159" s="3806"/>
      <c r="EC159" s="3806"/>
      <c r="ED159" s="3744"/>
      <c r="EE159" s="3752"/>
      <c r="EF159" s="3739"/>
      <c r="EG159" s="52"/>
      <c r="EH159" s="52"/>
      <c r="EI159" s="117"/>
      <c r="EJ159" s="3756"/>
      <c r="EK159" s="3806"/>
      <c r="EL159" s="3807"/>
      <c r="EM159" s="3759"/>
      <c r="EN159" s="3787"/>
      <c r="EO159" s="3787"/>
      <c r="EP159" s="3742"/>
      <c r="EQ159" s="3807"/>
      <c r="ER159" s="3806"/>
      <c r="ES159" s="3750"/>
      <c r="ET159" s="3770"/>
      <c r="EU159" s="3750"/>
      <c r="EV159" s="3806"/>
      <c r="EW159" s="3744"/>
      <c r="EX159" s="3752"/>
      <c r="EY159" s="3744"/>
      <c r="EZ159" s="3746"/>
      <c r="FA159" s="3746"/>
      <c r="FB159" s="3746"/>
      <c r="FC159" s="3746"/>
      <c r="FD159" s="3746"/>
      <c r="FE159" s="699"/>
    </row>
    <row r="160" spans="1:161">
      <c r="A160" s="3821"/>
      <c r="B160" s="3822"/>
      <c r="C160" s="3822"/>
      <c r="D160" s="3822"/>
      <c r="E160" s="3822"/>
      <c r="F160" s="3822"/>
      <c r="G160" s="3823"/>
      <c r="H160" s="3824"/>
      <c r="I160" s="3774"/>
      <c r="J160" s="3774"/>
      <c r="K160" s="3775"/>
      <c r="L160" s="3824"/>
      <c r="M160" s="3780"/>
      <c r="N160" s="3797"/>
      <c r="O160" s="3797"/>
      <c r="P160" s="367"/>
      <c r="Q160" s="3825"/>
      <c r="R160" s="3825"/>
      <c r="S160" s="3825"/>
      <c r="T160" s="3756"/>
      <c r="U160" s="3806"/>
      <c r="V160" s="3809"/>
      <c r="W160" s="3807"/>
      <c r="X160" s="3807"/>
      <c r="Y160" s="3807"/>
      <c r="Z160" s="3807"/>
      <c r="AA160" s="3807"/>
      <c r="AB160" s="3807"/>
      <c r="AC160" s="3809"/>
      <c r="AD160" s="3750"/>
      <c r="AE160" s="3811"/>
      <c r="AF160" s="3772"/>
      <c r="AG160" s="3806"/>
      <c r="AH160" s="3757"/>
      <c r="AI160" s="3739"/>
      <c r="AJ160" s="3752"/>
      <c r="AK160" s="3752"/>
      <c r="AL160" s="3744"/>
      <c r="AM160" s="3746"/>
      <c r="AN160" s="3756"/>
      <c r="AO160" s="71"/>
      <c r="AP160" s="71"/>
      <c r="AQ160" s="3806"/>
      <c r="AR160" s="3805"/>
      <c r="AS160" s="3807"/>
      <c r="AT160" s="3807"/>
      <c r="AU160" s="3807"/>
      <c r="AV160" s="3807"/>
      <c r="AW160" s="3805"/>
      <c r="AX160" s="3750"/>
      <c r="AY160" s="3750"/>
      <c r="AZ160" s="3806"/>
      <c r="BA160" s="3806"/>
      <c r="BB160" s="3744"/>
      <c r="BC160" s="3744"/>
      <c r="BD160" s="3744"/>
      <c r="BE160" s="3752"/>
      <c r="BF160" s="3752"/>
      <c r="BG160" s="3744"/>
      <c r="BH160" s="3756"/>
      <c r="BI160" s="3809"/>
      <c r="BJ160" s="3807"/>
      <c r="BK160" s="3807"/>
      <c r="BL160" s="3807"/>
      <c r="BM160" s="3807"/>
      <c r="BN160" s="3807"/>
      <c r="BO160" s="3809"/>
      <c r="BP160" s="3806"/>
      <c r="BQ160" s="3770"/>
      <c r="BR160" s="3812"/>
      <c r="BS160" s="3772"/>
      <c r="BT160" s="3806"/>
      <c r="BU160" s="3806"/>
      <c r="BV160" s="3744"/>
      <c r="BW160" s="3744"/>
      <c r="BX160" s="3752"/>
      <c r="BY160" s="3739"/>
      <c r="BZ160" s="52"/>
      <c r="CA160" s="117"/>
      <c r="CB160" s="3756"/>
      <c r="CC160" s="685"/>
      <c r="CD160" s="3809"/>
      <c r="CE160" s="3807"/>
      <c r="CF160" s="3807"/>
      <c r="CG160" s="3807"/>
      <c r="CH160" s="3807"/>
      <c r="CI160" s="3807"/>
      <c r="CJ160" s="3809"/>
      <c r="CK160" s="3806"/>
      <c r="CL160" s="3806"/>
      <c r="CM160" s="3750"/>
      <c r="CN160" s="3805"/>
      <c r="CO160" s="3806"/>
      <c r="CP160" s="3744"/>
      <c r="CQ160" s="3744"/>
      <c r="CR160" s="3752"/>
      <c r="CS160" s="3744"/>
      <c r="CT160" s="71"/>
      <c r="CU160" s="3746"/>
      <c r="CV160" s="3756"/>
      <c r="CW160" s="71"/>
      <c r="DP160" s="3756">
        <v>1120</v>
      </c>
      <c r="DQ160" s="3757"/>
      <c r="DR160" s="3807"/>
      <c r="DS160" s="3757"/>
      <c r="DT160" s="3757"/>
      <c r="DU160" s="3757"/>
      <c r="DV160" s="3757"/>
      <c r="DW160" s="3809"/>
      <c r="DX160" s="3750"/>
      <c r="DY160" s="3750"/>
      <c r="DZ160" s="3750"/>
      <c r="EA160" s="3750"/>
      <c r="EB160" s="3806"/>
      <c r="EC160" s="3806"/>
      <c r="ED160" s="3744"/>
      <c r="EE160" s="3744"/>
      <c r="EF160" s="3752"/>
      <c r="EG160" s="3739"/>
      <c r="EH160" s="52"/>
      <c r="EI160" s="117"/>
      <c r="EJ160" s="3756"/>
      <c r="EK160" s="3809"/>
      <c r="EL160" s="3805"/>
      <c r="EM160" s="3808"/>
      <c r="EN160" s="3808"/>
      <c r="EO160" s="3808"/>
      <c r="EP160" s="3807"/>
      <c r="EQ160" s="3809"/>
      <c r="ER160" s="3757"/>
      <c r="ES160" s="3770"/>
      <c r="ET160" s="3750"/>
      <c r="EU160" s="3806"/>
      <c r="EV160" s="3806"/>
      <c r="EW160" s="3752"/>
      <c r="EX160" s="3752"/>
      <c r="EY160" s="3744"/>
      <c r="EZ160" s="3746"/>
      <c r="FA160" s="3746"/>
      <c r="FB160" s="3746"/>
      <c r="FC160" s="3746"/>
      <c r="FD160" s="3746"/>
      <c r="FE160" s="699"/>
    </row>
    <row r="161" spans="1:161">
      <c r="A161" s="699">
        <v>2</v>
      </c>
      <c r="T161" s="530"/>
      <c r="U161" s="711">
        <v>2</v>
      </c>
      <c r="V161" s="711"/>
      <c r="W161" s="711"/>
      <c r="X161" s="711"/>
      <c r="Y161" s="711"/>
      <c r="Z161" s="711"/>
      <c r="AA161" s="711"/>
      <c r="AB161" s="711"/>
      <c r="AC161" s="711"/>
      <c r="AD161" s="711"/>
      <c r="AE161" s="711"/>
      <c r="AF161" s="711"/>
      <c r="AG161" s="711"/>
      <c r="AH161" s="711"/>
      <c r="AI161" s="711"/>
      <c r="AJ161" s="711"/>
      <c r="AK161" s="711"/>
      <c r="AL161" s="711"/>
      <c r="AM161" s="711"/>
      <c r="AN161" s="530"/>
      <c r="AO161" s="711">
        <v>2</v>
      </c>
      <c r="AP161" s="711"/>
      <c r="AQ161" s="711"/>
      <c r="AR161" s="711"/>
      <c r="AS161" s="711"/>
      <c r="AT161" s="711"/>
      <c r="AU161" s="711"/>
      <c r="AV161" s="711"/>
      <c r="AW161" s="711"/>
      <c r="AX161" s="711"/>
      <c r="AY161" s="711"/>
      <c r="AZ161" s="711"/>
      <c r="BA161" s="711"/>
      <c r="BB161" s="711"/>
      <c r="BC161" s="711"/>
      <c r="BD161" s="711"/>
      <c r="BE161" s="711"/>
      <c r="BF161" s="711"/>
      <c r="BG161" s="711"/>
      <c r="BH161" s="530"/>
      <c r="BI161" s="711">
        <v>2</v>
      </c>
      <c r="BJ161" s="711"/>
      <c r="BK161" s="711"/>
      <c r="BL161" s="711"/>
      <c r="BM161" s="711"/>
      <c r="BN161" s="711"/>
      <c r="BO161" s="711"/>
      <c r="BP161" s="711"/>
      <c r="BQ161" s="711"/>
      <c r="BR161" s="711"/>
      <c r="BS161" s="711"/>
      <c r="BT161" s="711"/>
      <c r="BU161" s="711"/>
      <c r="BV161" s="711"/>
      <c r="BW161" s="711"/>
      <c r="BX161" s="711"/>
      <c r="BY161" s="711"/>
      <c r="BZ161" s="711"/>
      <c r="CA161" s="711"/>
      <c r="CB161" s="530"/>
      <c r="CC161" s="711">
        <v>2</v>
      </c>
      <c r="CD161" s="711"/>
      <c r="CE161" s="711"/>
      <c r="CF161" s="711"/>
      <c r="CG161" s="711"/>
      <c r="CH161" s="711"/>
      <c r="CI161" s="711"/>
      <c r="CJ161" s="711"/>
      <c r="CK161" s="711"/>
      <c r="CL161" s="711"/>
      <c r="CM161" s="711"/>
      <c r="CN161" s="711"/>
      <c r="CO161" s="711"/>
      <c r="CP161" s="711"/>
      <c r="CQ161" s="711"/>
      <c r="CR161" s="711"/>
      <c r="CS161" s="711"/>
      <c r="CT161" s="711"/>
      <c r="CU161" s="711"/>
      <c r="CV161" s="530"/>
      <c r="CW161" s="711">
        <v>2</v>
      </c>
      <c r="CX161" s="711"/>
      <c r="CY161" s="711"/>
      <c r="CZ161" s="711"/>
      <c r="DA161" s="711"/>
      <c r="DB161" s="711"/>
      <c r="DC161" s="711"/>
      <c r="DD161" s="711"/>
      <c r="DE161" s="711"/>
      <c r="DF161" s="711"/>
      <c r="DG161" s="711"/>
      <c r="DH161" s="711"/>
      <c r="DI161" s="711"/>
      <c r="DJ161" s="711"/>
      <c r="DK161" s="711"/>
      <c r="DL161" s="711"/>
      <c r="DM161" s="711"/>
      <c r="DN161" s="711"/>
      <c r="DO161" s="711"/>
      <c r="DP161" s="530"/>
      <c r="DQ161" s="711">
        <v>2</v>
      </c>
      <c r="DR161" s="711"/>
      <c r="DS161" s="711"/>
      <c r="DT161" s="711"/>
      <c r="DU161" s="711"/>
      <c r="DV161" s="711"/>
      <c r="DW161" s="711"/>
      <c r="DX161" s="711"/>
      <c r="DY161" s="711"/>
      <c r="DZ161" s="711"/>
      <c r="EA161" s="711"/>
      <c r="EB161" s="711"/>
      <c r="EC161" s="711"/>
      <c r="ED161" s="711"/>
      <c r="EE161" s="711"/>
      <c r="EF161" s="711"/>
      <c r="EG161" s="711"/>
      <c r="EH161" s="711"/>
      <c r="EI161" s="711"/>
      <c r="EJ161" s="530"/>
      <c r="EK161" s="711">
        <v>2</v>
      </c>
      <c r="EL161" s="711"/>
      <c r="EM161" s="711"/>
      <c r="EN161" s="711"/>
      <c r="EO161" s="711"/>
      <c r="EP161" s="711"/>
      <c r="EQ161" s="711"/>
      <c r="ER161" s="711"/>
      <c r="ES161" s="711"/>
      <c r="ET161" s="711"/>
      <c r="EU161" s="711"/>
      <c r="EV161" s="711"/>
      <c r="EW161" s="711"/>
      <c r="EX161" s="711"/>
      <c r="EY161" s="711"/>
      <c r="EZ161" s="711"/>
      <c r="FA161" s="711"/>
      <c r="FB161" s="711"/>
      <c r="FC161" s="711"/>
      <c r="FD161" s="711"/>
      <c r="FE161" s="699"/>
    </row>
    <row r="162" spans="1:161">
      <c r="A162" s="699"/>
      <c r="T162" s="79"/>
      <c r="U162" s="93"/>
      <c r="AN162" s="79"/>
      <c r="AO162" s="93">
        <v>1</v>
      </c>
      <c r="BH162" s="79"/>
      <c r="BI162" s="93"/>
      <c r="CB162" s="79"/>
      <c r="CC162" s="93"/>
      <c r="CV162" s="79"/>
      <c r="CW162" s="93"/>
      <c r="DP162" s="79"/>
      <c r="DQ162" s="93"/>
      <c r="EJ162" s="79"/>
      <c r="EK162" s="93"/>
      <c r="FD162" s="93"/>
      <c r="FE162" s="699"/>
    </row>
    <row r="163" spans="1:161">
      <c r="A163" s="699">
        <v>80</v>
      </c>
      <c r="T163" s="79"/>
      <c r="U163" s="93">
        <v>100</v>
      </c>
      <c r="AN163" s="79"/>
      <c r="AO163" s="93">
        <v>120</v>
      </c>
      <c r="BH163" s="79"/>
      <c r="BI163" s="93">
        <v>120</v>
      </c>
      <c r="CB163" s="79"/>
      <c r="CC163" s="93">
        <v>190</v>
      </c>
      <c r="CV163" s="79"/>
      <c r="CW163" s="93">
        <v>170</v>
      </c>
      <c r="DP163" s="79"/>
      <c r="DQ163" s="93">
        <v>140</v>
      </c>
      <c r="EJ163" s="79"/>
      <c r="EK163" s="93">
        <v>140</v>
      </c>
      <c r="FD163" s="93"/>
      <c r="FE163" s="699"/>
    </row>
    <row r="164" spans="1:161">
      <c r="A164" s="699"/>
      <c r="T164" s="79"/>
      <c r="U164" s="93"/>
      <c r="AN164" s="79"/>
      <c r="AO164" s="93"/>
      <c r="BH164" s="79"/>
      <c r="BI164" s="93"/>
      <c r="CB164" s="79"/>
      <c r="CC164" s="93">
        <v>1</v>
      </c>
      <c r="CV164" s="79"/>
      <c r="CW164" s="93"/>
      <c r="DP164" s="79"/>
      <c r="DQ164" s="93"/>
      <c r="EJ164" s="79"/>
      <c r="EK164" s="93"/>
      <c r="FD164" s="93"/>
      <c r="FE164" s="699"/>
    </row>
    <row r="165" spans="1:161">
      <c r="A165" s="699"/>
      <c r="T165" s="79"/>
      <c r="U165" s="93"/>
      <c r="AN165" s="79"/>
      <c r="AO165" s="93"/>
      <c r="BH165" s="79"/>
      <c r="BI165" s="93"/>
      <c r="CB165" s="79"/>
      <c r="CC165" s="93"/>
      <c r="CV165" s="79"/>
      <c r="CW165" s="93"/>
      <c r="DP165" s="79"/>
      <c r="DQ165" s="93"/>
      <c r="EJ165" s="79"/>
      <c r="EK165" s="93"/>
      <c r="FD165" s="93"/>
      <c r="FE165" s="699"/>
    </row>
    <row r="166" spans="1:161">
      <c r="A166" s="699"/>
      <c r="T166" s="79"/>
      <c r="U166" s="93"/>
      <c r="AN166" s="79"/>
      <c r="AO166" s="93"/>
      <c r="BH166" s="79"/>
      <c r="BI166" s="93"/>
      <c r="CB166" s="79"/>
      <c r="CC166" s="93"/>
      <c r="CV166" s="79"/>
      <c r="CW166" s="93"/>
      <c r="DP166" s="79"/>
      <c r="DQ166" s="93"/>
      <c r="EJ166" s="79"/>
      <c r="EK166" s="93"/>
      <c r="FD166" s="93"/>
      <c r="FE166" s="699"/>
    </row>
    <row r="167" spans="1:161">
      <c r="A167" s="699"/>
      <c r="T167" s="79"/>
      <c r="U167" s="93"/>
      <c r="AN167" s="79"/>
      <c r="AO167" s="93"/>
      <c r="BH167" s="79"/>
      <c r="BI167" s="93"/>
      <c r="CB167" s="79"/>
      <c r="CC167" s="93"/>
      <c r="CV167" s="79"/>
      <c r="CW167" s="93"/>
      <c r="DP167" s="79"/>
      <c r="DQ167" s="93"/>
      <c r="EJ167" s="79"/>
      <c r="EK167" s="93"/>
      <c r="FD167" s="93"/>
      <c r="FE167" s="699"/>
    </row>
    <row r="168" spans="1:161">
      <c r="A168" s="699"/>
      <c r="T168" s="79"/>
      <c r="U168" s="93">
        <v>20</v>
      </c>
      <c r="AN168" s="79"/>
      <c r="AO168" s="93">
        <v>36</v>
      </c>
      <c r="BH168" s="79"/>
      <c r="BI168" s="93"/>
      <c r="CB168" s="79"/>
      <c r="CC168" s="93"/>
      <c r="CV168" s="79"/>
      <c r="CW168" s="93"/>
      <c r="DP168" s="79"/>
      <c r="DQ168" s="93">
        <v>18</v>
      </c>
      <c r="EJ168" s="79"/>
      <c r="EK168" s="93">
        <v>15</v>
      </c>
      <c r="FD168" s="93"/>
      <c r="FE168" s="699"/>
    </row>
    <row r="169" spans="1:161">
      <c r="A169" s="699"/>
      <c r="T169" s="79"/>
      <c r="U169" s="93"/>
      <c r="AN169" s="79"/>
      <c r="AO169" s="93"/>
      <c r="BH169" s="79"/>
      <c r="BI169" s="93"/>
      <c r="CB169" s="79"/>
      <c r="CC169" s="93"/>
      <c r="CV169" s="79"/>
      <c r="CW169" s="93"/>
      <c r="DP169" s="79"/>
      <c r="DQ169" s="93"/>
      <c r="EJ169" s="79"/>
      <c r="EK169" s="93"/>
      <c r="FD169" s="93"/>
      <c r="FE169" s="699"/>
    </row>
    <row r="170" spans="1:161">
      <c r="A170" s="699"/>
      <c r="T170" s="79"/>
      <c r="U170" s="93"/>
      <c r="AN170" s="79"/>
      <c r="AO170" s="93"/>
      <c r="BH170" s="79"/>
      <c r="BI170" s="93"/>
      <c r="CB170" s="79"/>
      <c r="CC170" s="93"/>
      <c r="CV170" s="79"/>
      <c r="CW170" s="93"/>
      <c r="DP170" s="79"/>
      <c r="DQ170" s="93"/>
      <c r="EJ170" s="79"/>
      <c r="EK170" s="93"/>
      <c r="FD170" s="93"/>
      <c r="FE170" s="699"/>
    </row>
    <row r="171" spans="1:161">
      <c r="A171" s="699"/>
      <c r="T171" s="79"/>
      <c r="U171" s="93"/>
      <c r="AN171" s="79"/>
      <c r="AO171" s="93">
        <v>32</v>
      </c>
      <c r="BH171" s="79"/>
      <c r="BI171" s="93"/>
      <c r="CB171" s="79"/>
      <c r="CC171" s="93"/>
      <c r="CV171" s="79"/>
      <c r="CW171" s="93"/>
      <c r="DP171" s="79"/>
      <c r="DQ171" s="93"/>
      <c r="EJ171" s="79"/>
      <c r="EK171" s="93"/>
      <c r="FD171" s="93"/>
      <c r="FE171" s="699"/>
    </row>
    <row r="172" spans="1:161">
      <c r="A172" s="699">
        <v>10</v>
      </c>
      <c r="T172" s="79"/>
      <c r="U172" s="93"/>
      <c r="AN172" s="79"/>
      <c r="AO172" s="93"/>
      <c r="BH172" s="79"/>
      <c r="BI172" s="93"/>
      <c r="CB172" s="79"/>
      <c r="CC172" s="93"/>
      <c r="CV172" s="79"/>
      <c r="CW172" s="93"/>
      <c r="DP172" s="79"/>
      <c r="DQ172" s="93"/>
      <c r="EJ172" s="79"/>
      <c r="EK172" s="93"/>
      <c r="FD172" s="93"/>
      <c r="FE172" s="699"/>
    </row>
    <row r="173" spans="1:161">
      <c r="A173" s="699"/>
      <c r="T173" s="79"/>
      <c r="U173" s="93"/>
      <c r="AN173" s="79"/>
      <c r="AO173" s="93">
        <v>223</v>
      </c>
      <c r="BH173" s="79"/>
      <c r="BI173" s="93">
        <v>98</v>
      </c>
      <c r="CB173" s="79"/>
      <c r="CC173" s="93">
        <v>71</v>
      </c>
      <c r="CV173" s="79"/>
      <c r="CW173" s="93">
        <v>171</v>
      </c>
      <c r="DP173" s="79"/>
      <c r="DQ173" s="93"/>
      <c r="EJ173" s="79"/>
      <c r="EK173" s="93"/>
      <c r="FD173" s="93"/>
      <c r="FE173" s="699"/>
    </row>
    <row r="174" spans="1:161">
      <c r="A174" s="699"/>
      <c r="T174" s="79"/>
      <c r="U174" s="93"/>
      <c r="AN174" s="79"/>
      <c r="AO174" s="93">
        <v>12</v>
      </c>
      <c r="BH174" s="79"/>
      <c r="BI174" s="93">
        <v>18</v>
      </c>
      <c r="CB174" s="79"/>
      <c r="CC174" s="93">
        <v>16</v>
      </c>
      <c r="CV174" s="79"/>
      <c r="CW174" s="93">
        <v>18</v>
      </c>
      <c r="DP174" s="79"/>
      <c r="DQ174" s="93"/>
      <c r="EJ174" s="79"/>
      <c r="EK174" s="93"/>
      <c r="FD174" s="93"/>
      <c r="FE174" s="699"/>
    </row>
    <row r="175" spans="1:161">
      <c r="A175" s="699"/>
      <c r="T175" s="79"/>
      <c r="U175" s="93"/>
      <c r="AN175" s="79"/>
      <c r="AO175" s="93"/>
      <c r="BH175" s="79"/>
      <c r="BI175" s="93"/>
      <c r="CB175" s="79"/>
      <c r="CC175" s="93"/>
      <c r="CV175" s="79"/>
      <c r="CW175" s="93"/>
      <c r="DP175" s="79"/>
      <c r="DQ175" s="93"/>
      <c r="EJ175" s="79"/>
      <c r="EK175" s="93"/>
      <c r="FD175" s="93"/>
      <c r="FE175" s="699"/>
    </row>
    <row r="176" spans="1:161">
      <c r="A176" s="699">
        <v>1</v>
      </c>
      <c r="T176" s="79"/>
      <c r="U176" s="93"/>
      <c r="AN176" s="79"/>
      <c r="AO176" s="93"/>
      <c r="BH176" s="79"/>
      <c r="BI176" s="93"/>
      <c r="CB176" s="79"/>
      <c r="CC176" s="93"/>
      <c r="CV176" s="79"/>
      <c r="CW176" s="93"/>
      <c r="DP176" s="79"/>
      <c r="DQ176" s="93"/>
      <c r="EJ176" s="79"/>
      <c r="EK176" s="93"/>
      <c r="FD176" s="93"/>
      <c r="FE176" s="699"/>
    </row>
    <row r="177" spans="1:161">
      <c r="A177" s="699">
        <v>7</v>
      </c>
      <c r="T177" s="79"/>
      <c r="U177" s="93"/>
      <c r="AN177" s="79"/>
      <c r="AO177" s="93"/>
      <c r="BH177" s="79"/>
      <c r="BI177" s="93"/>
      <c r="CB177" s="79"/>
      <c r="CC177" s="93"/>
      <c r="CV177" s="79"/>
      <c r="CW177" s="93"/>
      <c r="DP177" s="79"/>
      <c r="DQ177" s="93"/>
      <c r="EJ177" s="79"/>
      <c r="EK177" s="93"/>
      <c r="FD177" s="93"/>
      <c r="FE177" s="699"/>
    </row>
    <row r="178" spans="1:161">
      <c r="A178" s="699"/>
      <c r="T178" s="79"/>
      <c r="U178" s="93"/>
      <c r="AN178" s="79"/>
      <c r="AO178" s="93"/>
      <c r="BH178" s="79"/>
      <c r="BI178" s="93"/>
      <c r="CB178" s="79"/>
      <c r="CC178" s="93"/>
      <c r="CV178" s="79"/>
      <c r="CW178" s="93"/>
      <c r="DP178" s="79"/>
      <c r="DQ178" s="93"/>
      <c r="EJ178" s="79"/>
      <c r="EK178" s="93"/>
      <c r="FD178" s="93"/>
      <c r="FE178" s="699"/>
    </row>
    <row r="179" spans="1:161">
      <c r="A179" s="699"/>
      <c r="T179" s="79"/>
      <c r="U179" s="93"/>
      <c r="AN179" s="79"/>
      <c r="AO179" s="93"/>
      <c r="BH179" s="79"/>
      <c r="BI179" s="93"/>
      <c r="CB179" s="79"/>
      <c r="CC179" s="93"/>
      <c r="CV179" s="79"/>
      <c r="CW179" s="93"/>
      <c r="DP179" s="79"/>
      <c r="DQ179" s="93"/>
      <c r="EJ179" s="79"/>
      <c r="EK179" s="93"/>
      <c r="FD179" s="93"/>
      <c r="FE179" s="699"/>
    </row>
    <row r="180" spans="1:161">
      <c r="A180" s="699"/>
      <c r="T180" s="79"/>
      <c r="U180" s="93"/>
      <c r="AN180" s="79"/>
      <c r="AO180" s="93"/>
      <c r="BH180" s="79"/>
      <c r="BI180" s="93"/>
      <c r="CB180" s="79"/>
      <c r="CC180" s="93"/>
      <c r="CV180" s="79"/>
      <c r="CW180" s="93"/>
      <c r="DP180" s="79"/>
      <c r="DQ180" s="93"/>
      <c r="EJ180" s="79"/>
      <c r="EK180" s="93"/>
      <c r="FD180" s="93"/>
      <c r="FE180" s="699"/>
    </row>
    <row r="181" spans="1:161">
      <c r="A181" s="699"/>
      <c r="T181" s="79"/>
      <c r="U181" s="93"/>
      <c r="AN181" s="79"/>
      <c r="AO181" s="93"/>
      <c r="BH181" s="79"/>
      <c r="BI181" s="93"/>
      <c r="CB181" s="79"/>
      <c r="CC181" s="93"/>
      <c r="CV181" s="79"/>
      <c r="CW181" s="93"/>
      <c r="DP181" s="79"/>
      <c r="DQ181" s="93"/>
      <c r="EJ181" s="79"/>
      <c r="EK181" s="93"/>
      <c r="FD181" s="93"/>
      <c r="FE181" s="699"/>
    </row>
    <row r="182" spans="1:161">
      <c r="A182" s="699"/>
      <c r="T182" s="79"/>
      <c r="U182" s="93"/>
      <c r="AN182" s="79"/>
      <c r="AO182" s="93"/>
      <c r="BH182" s="79"/>
      <c r="BI182" s="93"/>
      <c r="CB182" s="79"/>
      <c r="CC182" s="93"/>
      <c r="CV182" s="79"/>
      <c r="CW182" s="93"/>
      <c r="DP182" s="79"/>
      <c r="DQ182" s="93"/>
      <c r="EJ182" s="79"/>
      <c r="EK182" s="93"/>
      <c r="FD182" s="93"/>
      <c r="FE182" s="699"/>
    </row>
    <row r="183" spans="1:161">
      <c r="A183" s="699"/>
      <c r="T183" s="79"/>
      <c r="U183" s="93"/>
      <c r="AN183" s="79"/>
      <c r="AO183" s="93"/>
      <c r="BH183" s="79"/>
      <c r="BI183" s="93"/>
      <c r="CB183" s="79"/>
      <c r="CC183" s="93"/>
      <c r="CV183" s="79"/>
      <c r="CW183" s="93"/>
      <c r="DP183" s="79"/>
      <c r="DQ183" s="93"/>
      <c r="EJ183" s="79"/>
      <c r="EK183" s="93"/>
      <c r="FD183" s="93"/>
      <c r="FE183" s="699"/>
    </row>
    <row r="184" spans="1:161">
      <c r="A184" s="699"/>
      <c r="T184" s="79"/>
      <c r="U184" s="93"/>
      <c r="AN184" s="79"/>
      <c r="AO184" s="93"/>
      <c r="BH184" s="79"/>
      <c r="BI184" s="93"/>
      <c r="CB184" s="79"/>
      <c r="CC184" s="93"/>
      <c r="CV184" s="79"/>
      <c r="CW184" s="93"/>
      <c r="DP184" s="79"/>
      <c r="DQ184" s="93"/>
      <c r="EJ184" s="79"/>
      <c r="EK184" s="93"/>
      <c r="FD184" s="93"/>
      <c r="FE184" s="699"/>
    </row>
    <row r="185" spans="1:161">
      <c r="A185" s="699"/>
      <c r="T185" s="79"/>
      <c r="U185" s="93"/>
      <c r="AN185" s="79"/>
      <c r="AO185" s="93"/>
      <c r="BH185" s="79"/>
      <c r="BI185" s="93"/>
      <c r="CB185" s="79"/>
      <c r="CC185" s="93"/>
      <c r="CV185" s="79"/>
      <c r="CW185" s="93"/>
      <c r="DP185" s="79"/>
      <c r="DQ185" s="93"/>
      <c r="EJ185" s="79"/>
      <c r="EK185" s="93"/>
      <c r="FD185" s="93"/>
      <c r="FE185" s="699"/>
    </row>
    <row r="186" spans="1:161">
      <c r="A186" s="699"/>
      <c r="T186" s="79"/>
      <c r="U186" s="93"/>
      <c r="AN186" s="79"/>
      <c r="AO186" s="93"/>
      <c r="BH186" s="79"/>
      <c r="BI186" s="93"/>
      <c r="CB186" s="79"/>
      <c r="CC186" s="93"/>
      <c r="CV186" s="79"/>
      <c r="CW186" s="93"/>
      <c r="DP186" s="79"/>
      <c r="DQ186" s="93"/>
      <c r="EJ186" s="79"/>
      <c r="EK186" s="93"/>
      <c r="FD186" s="93"/>
      <c r="FE186" s="699"/>
    </row>
    <row r="187" spans="1:161">
      <c r="A187" s="699"/>
      <c r="T187" s="79"/>
      <c r="U187" s="93"/>
      <c r="AN187" s="79"/>
      <c r="AO187" s="93"/>
      <c r="BH187" s="79"/>
      <c r="BI187" s="93"/>
      <c r="CB187" s="79"/>
      <c r="CC187" s="93"/>
      <c r="CV187" s="79"/>
      <c r="CW187" s="93"/>
      <c r="DP187" s="79"/>
      <c r="DQ187" s="93"/>
      <c r="EJ187" s="79"/>
      <c r="EK187" s="93"/>
      <c r="FD187" s="93"/>
      <c r="FE187" s="699"/>
    </row>
    <row r="188" spans="1:161">
      <c r="A188" s="699"/>
      <c r="T188" s="79"/>
      <c r="U188" s="93"/>
      <c r="AN188" s="79"/>
      <c r="AO188" s="93"/>
      <c r="BH188" s="79"/>
      <c r="BI188" s="93"/>
      <c r="CB188" s="79"/>
      <c r="CC188" s="93"/>
      <c r="CV188" s="79"/>
      <c r="CW188" s="93"/>
      <c r="DP188" s="79"/>
      <c r="DQ188" s="93"/>
      <c r="EJ188" s="79"/>
      <c r="EK188" s="93"/>
      <c r="FD188" s="93"/>
      <c r="FE188" s="699"/>
    </row>
    <row r="189" spans="1:161">
      <c r="A189" s="699"/>
      <c r="T189" s="79"/>
      <c r="U189" s="93"/>
      <c r="AN189" s="79"/>
      <c r="AO189" s="93"/>
      <c r="BH189" s="79"/>
      <c r="BI189" s="93"/>
      <c r="CB189" s="79"/>
      <c r="CC189" s="93"/>
      <c r="CV189" s="79"/>
      <c r="CW189" s="93"/>
      <c r="DP189" s="79"/>
      <c r="DQ189" s="93"/>
      <c r="EJ189" s="79"/>
      <c r="EK189" s="93"/>
      <c r="FD189" s="93"/>
      <c r="FE189" s="699"/>
    </row>
    <row r="190" spans="1:161">
      <c r="A190" s="699"/>
      <c r="T190" s="79"/>
      <c r="U190" s="93"/>
      <c r="AN190" s="79"/>
      <c r="AO190" s="93"/>
      <c r="BH190" s="79"/>
      <c r="BI190" s="93"/>
      <c r="CB190" s="79"/>
      <c r="CC190" s="93"/>
      <c r="CV190" s="79"/>
      <c r="CW190" s="93"/>
      <c r="DP190" s="79"/>
      <c r="DQ190" s="93"/>
      <c r="EJ190" s="79"/>
      <c r="EK190" s="93"/>
      <c r="FD190" s="93"/>
      <c r="FE190" s="699"/>
    </row>
    <row r="191" spans="1:161">
      <c r="A191" s="699"/>
      <c r="T191" s="79"/>
      <c r="U191" s="93"/>
      <c r="AN191" s="79"/>
      <c r="AO191" s="93"/>
      <c r="BH191" s="79"/>
      <c r="BI191" s="93"/>
      <c r="CB191" s="79"/>
      <c r="CC191" s="93"/>
      <c r="CV191" s="79"/>
      <c r="CW191" s="93"/>
      <c r="DP191" s="79"/>
      <c r="DQ191" s="93"/>
      <c r="EJ191" s="79"/>
      <c r="EK191" s="93"/>
      <c r="FD191" s="93"/>
      <c r="FE191" s="699"/>
    </row>
    <row r="192" spans="1:161">
      <c r="A192" s="700"/>
      <c r="B192" s="73"/>
      <c r="C192" s="73"/>
      <c r="D192" s="73"/>
      <c r="E192" s="73"/>
      <c r="F192" s="73"/>
      <c r="G192" s="73"/>
      <c r="H192" s="73"/>
      <c r="I192" s="73"/>
      <c r="J192" s="73"/>
      <c r="K192" s="73"/>
      <c r="L192" s="73"/>
      <c r="M192" s="73"/>
      <c r="N192" s="73"/>
      <c r="O192" s="73"/>
      <c r="P192" s="73"/>
      <c r="Q192" s="73"/>
      <c r="R192" s="73"/>
      <c r="S192" s="73"/>
      <c r="T192" s="701"/>
      <c r="U192" s="73"/>
      <c r="V192" s="73"/>
      <c r="W192" s="73"/>
      <c r="X192" s="73"/>
      <c r="Y192" s="73"/>
      <c r="Z192" s="73"/>
      <c r="AA192" s="73"/>
      <c r="AB192" s="73"/>
      <c r="AC192" s="73"/>
      <c r="AD192" s="73"/>
      <c r="AE192" s="73"/>
      <c r="AF192" s="73"/>
      <c r="AG192" s="73"/>
      <c r="AH192" s="73"/>
      <c r="AI192" s="73"/>
      <c r="AJ192" s="73"/>
      <c r="AK192" s="73"/>
      <c r="AL192" s="73"/>
      <c r="AM192" s="73"/>
      <c r="AN192" s="701"/>
      <c r="AO192" s="73"/>
      <c r="AP192" s="73"/>
      <c r="AQ192" s="73"/>
      <c r="AR192" s="73"/>
      <c r="AS192" s="73"/>
      <c r="AT192" s="73"/>
      <c r="AU192" s="73"/>
      <c r="AV192" s="73"/>
      <c r="AW192" s="73"/>
      <c r="AX192" s="73"/>
      <c r="AY192" s="73"/>
      <c r="AZ192" s="73"/>
      <c r="BA192" s="73"/>
      <c r="BB192" s="73"/>
      <c r="BC192" s="73"/>
      <c r="BD192" s="73"/>
      <c r="BE192" s="73"/>
      <c r="BF192" s="73"/>
      <c r="BG192" s="73"/>
      <c r="BH192" s="701"/>
      <c r="BI192" s="73"/>
      <c r="BJ192" s="73"/>
      <c r="BK192" s="73"/>
      <c r="BL192" s="73"/>
      <c r="BM192" s="73"/>
      <c r="BN192" s="73"/>
      <c r="BO192" s="73"/>
      <c r="BP192" s="73"/>
      <c r="BQ192" s="73"/>
      <c r="BR192" s="73"/>
      <c r="BS192" s="73"/>
      <c r="BT192" s="73"/>
      <c r="BU192" s="73"/>
      <c r="BV192" s="73"/>
      <c r="BW192" s="73"/>
      <c r="BX192" s="73"/>
      <c r="BY192" s="73"/>
      <c r="BZ192" s="73"/>
      <c r="CA192" s="73"/>
      <c r="CB192" s="701"/>
      <c r="CC192" s="73"/>
      <c r="CD192" s="73"/>
      <c r="CE192" s="73"/>
      <c r="CF192" s="73"/>
      <c r="CG192" s="73"/>
      <c r="CH192" s="73"/>
      <c r="CI192" s="73"/>
      <c r="CJ192" s="73"/>
      <c r="CK192" s="73"/>
      <c r="CL192" s="73"/>
      <c r="CM192" s="73"/>
      <c r="CN192" s="73"/>
      <c r="CO192" s="73"/>
      <c r="CP192" s="73"/>
      <c r="CQ192" s="73"/>
      <c r="CR192" s="73"/>
      <c r="CS192" s="73"/>
      <c r="CT192" s="73"/>
      <c r="CU192" s="73"/>
      <c r="CV192" s="701"/>
      <c r="CW192" s="73"/>
      <c r="CX192" s="73"/>
      <c r="CY192" s="73"/>
      <c r="CZ192" s="73"/>
      <c r="DA192" s="73"/>
      <c r="DB192" s="73"/>
      <c r="DC192" s="73"/>
      <c r="DD192" s="73"/>
      <c r="DE192" s="73"/>
      <c r="DF192" s="73"/>
      <c r="DG192" s="73"/>
      <c r="DH192" s="73"/>
      <c r="DI192" s="73"/>
      <c r="DJ192" s="73"/>
      <c r="DK192" s="73"/>
      <c r="DL192" s="73"/>
      <c r="DM192" s="73"/>
      <c r="DN192" s="73"/>
      <c r="DO192" s="73"/>
      <c r="DP192" s="701"/>
      <c r="DQ192" s="73"/>
      <c r="DR192" s="73"/>
      <c r="DS192" s="73"/>
      <c r="DT192" s="73"/>
      <c r="DU192" s="73"/>
      <c r="DV192" s="73"/>
      <c r="DW192" s="73"/>
      <c r="DX192" s="73"/>
      <c r="DY192" s="73"/>
      <c r="DZ192" s="73"/>
      <c r="EA192" s="73"/>
      <c r="EB192" s="73"/>
      <c r="EC192" s="73"/>
      <c r="ED192" s="73"/>
      <c r="EE192" s="73"/>
      <c r="EF192" s="73"/>
      <c r="EG192" s="73"/>
      <c r="EH192" s="73"/>
      <c r="EI192" s="73"/>
      <c r="EJ192" s="701"/>
      <c r="EK192" s="73"/>
      <c r="EL192" s="73"/>
      <c r="EM192" s="73"/>
      <c r="EN192" s="73"/>
      <c r="EO192" s="73"/>
      <c r="EP192" s="73"/>
      <c r="EQ192" s="73"/>
      <c r="ER192" s="73"/>
      <c r="ES192" s="73"/>
      <c r="ET192" s="73"/>
      <c r="EU192" s="73"/>
      <c r="EV192" s="73"/>
      <c r="EW192" s="73"/>
      <c r="EX192" s="73"/>
      <c r="EY192" s="73"/>
      <c r="EZ192" s="73"/>
      <c r="FA192" s="73"/>
      <c r="FB192" s="73"/>
      <c r="FC192" s="73"/>
      <c r="FD192" s="73"/>
      <c r="FE192" s="699"/>
    </row>
  </sheetData>
  <sheetProtection password="DF7C" sheet="1"/>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I2816"/>
  <sheetViews>
    <sheetView zoomScale="75" zoomScaleNormal="75" workbookViewId="0">
      <selection activeCell="L59" sqref="L59"/>
    </sheetView>
  </sheetViews>
  <sheetFormatPr defaultRowHeight="12.75"/>
  <cols>
    <col min="1" max="34" width="2.42578125" customWidth="1"/>
  </cols>
  <sheetData>
    <row r="1" spans="1:35">
      <c r="A1" s="422">
        <v>31.18</v>
      </c>
      <c r="B1" s="415">
        <v>31.19</v>
      </c>
      <c r="C1" s="415">
        <v>31.19</v>
      </c>
      <c r="D1" s="415">
        <v>31.19</v>
      </c>
      <c r="E1" s="415">
        <v>31.19</v>
      </c>
      <c r="F1" s="415">
        <v>31.19</v>
      </c>
      <c r="G1" s="422">
        <v>31.18</v>
      </c>
      <c r="H1" s="415">
        <v>31.19</v>
      </c>
      <c r="I1" s="415">
        <v>31.19</v>
      </c>
      <c r="J1" s="415">
        <v>31.19</v>
      </c>
      <c r="K1" s="415">
        <v>31.19</v>
      </c>
      <c r="L1" s="415">
        <v>31.19</v>
      </c>
      <c r="M1" s="422">
        <v>31.18</v>
      </c>
      <c r="N1" s="415">
        <v>31.19</v>
      </c>
      <c r="O1" s="415">
        <v>31.19</v>
      </c>
      <c r="P1" s="415">
        <v>31.19</v>
      </c>
      <c r="Q1" s="415">
        <v>31.19</v>
      </c>
      <c r="R1" s="415">
        <v>31.19</v>
      </c>
      <c r="S1" s="422">
        <v>31.18</v>
      </c>
      <c r="T1" s="415">
        <v>31.19</v>
      </c>
      <c r="U1" s="415">
        <v>31.19</v>
      </c>
      <c r="V1" s="415">
        <v>31.19</v>
      </c>
      <c r="W1" s="415">
        <v>31.19</v>
      </c>
      <c r="X1" s="415">
        <v>31.19</v>
      </c>
      <c r="Y1" s="415">
        <v>31.19</v>
      </c>
      <c r="Z1" s="422">
        <v>31.18</v>
      </c>
      <c r="AA1" s="415">
        <v>31.19</v>
      </c>
      <c r="AB1" s="415">
        <v>31.19</v>
      </c>
      <c r="AC1" s="415">
        <v>31.19</v>
      </c>
      <c r="AD1" s="415">
        <v>31.19</v>
      </c>
      <c r="AE1" s="415">
        <v>31.19</v>
      </c>
      <c r="AF1" s="422">
        <v>31.18</v>
      </c>
      <c r="AG1">
        <v>1</v>
      </c>
      <c r="AI1" s="321" t="s">
        <v>778</v>
      </c>
    </row>
    <row r="2" spans="1:35">
      <c r="A2" s="415">
        <v>31.19</v>
      </c>
      <c r="B2" s="422">
        <v>32.18</v>
      </c>
      <c r="C2" s="422">
        <v>32.18</v>
      </c>
      <c r="D2" s="422">
        <v>32.18</v>
      </c>
      <c r="E2" s="422">
        <v>32.18</v>
      </c>
      <c r="F2" s="422">
        <v>32.18</v>
      </c>
      <c r="G2" s="422">
        <v>32.18</v>
      </c>
      <c r="H2" s="422">
        <v>32.18</v>
      </c>
      <c r="I2" s="422">
        <v>32.18</v>
      </c>
      <c r="J2" s="422">
        <v>32.18</v>
      </c>
      <c r="K2" s="422">
        <v>32.18</v>
      </c>
      <c r="L2" s="422">
        <v>32.18</v>
      </c>
      <c r="M2" s="422">
        <v>32.18</v>
      </c>
      <c r="N2" s="422">
        <v>32.18</v>
      </c>
      <c r="O2" s="422">
        <v>32.18</v>
      </c>
      <c r="P2" s="422">
        <v>32.18</v>
      </c>
      <c r="Q2" s="422">
        <v>32.18</v>
      </c>
      <c r="R2" s="422">
        <v>32.18</v>
      </c>
      <c r="S2" s="422">
        <v>32.18</v>
      </c>
      <c r="T2" s="422">
        <v>32.18</v>
      </c>
      <c r="U2" s="422">
        <v>32.18</v>
      </c>
      <c r="V2" s="422">
        <v>32.18</v>
      </c>
      <c r="W2" s="422">
        <v>32.18</v>
      </c>
      <c r="X2" s="422">
        <v>32.18</v>
      </c>
      <c r="Y2" s="422">
        <v>32.18</v>
      </c>
      <c r="Z2" s="422">
        <v>32.18</v>
      </c>
      <c r="AA2" s="422">
        <v>32.18</v>
      </c>
      <c r="AB2" s="422">
        <v>32.18</v>
      </c>
      <c r="AC2" s="422">
        <v>32.18</v>
      </c>
      <c r="AD2" s="422">
        <v>32.18</v>
      </c>
      <c r="AE2" s="422">
        <v>32.18</v>
      </c>
      <c r="AF2" s="415">
        <v>31.19</v>
      </c>
      <c r="AI2" s="321" t="s">
        <v>779</v>
      </c>
    </row>
    <row r="3" spans="1:35">
      <c r="A3" s="415">
        <v>31.19</v>
      </c>
      <c r="B3" s="422">
        <v>32.18</v>
      </c>
      <c r="C3" s="422">
        <v>19.18</v>
      </c>
      <c r="D3" s="422">
        <v>19.18</v>
      </c>
      <c r="E3" s="422">
        <v>19.18</v>
      </c>
      <c r="F3" s="422">
        <v>19.18</v>
      </c>
      <c r="G3" s="422">
        <v>19.18</v>
      </c>
      <c r="H3" s="422">
        <v>19.18</v>
      </c>
      <c r="I3" s="422">
        <v>19.18</v>
      </c>
      <c r="J3" s="422">
        <v>19.18</v>
      </c>
      <c r="K3" s="422">
        <v>19.18</v>
      </c>
      <c r="L3" s="422">
        <v>19.18</v>
      </c>
      <c r="M3" s="422">
        <v>19.18</v>
      </c>
      <c r="N3" s="417">
        <v>19.18</v>
      </c>
      <c r="O3" s="417">
        <v>19.18</v>
      </c>
      <c r="P3" s="417">
        <v>19.18</v>
      </c>
      <c r="Q3" s="417">
        <v>19.18</v>
      </c>
      <c r="R3" s="417">
        <v>19.18</v>
      </c>
      <c r="S3" s="417">
        <v>19.18</v>
      </c>
      <c r="T3" s="422">
        <v>19.18</v>
      </c>
      <c r="U3" s="422">
        <v>19.18</v>
      </c>
      <c r="V3" s="422">
        <v>19.18</v>
      </c>
      <c r="W3" s="422">
        <v>19.18</v>
      </c>
      <c r="X3" s="422">
        <v>19.18</v>
      </c>
      <c r="Y3" s="422">
        <v>19.18</v>
      </c>
      <c r="Z3" s="422">
        <v>19.18</v>
      </c>
      <c r="AA3" s="422">
        <v>19.18</v>
      </c>
      <c r="AB3" s="422">
        <v>19.18</v>
      </c>
      <c r="AC3" s="422">
        <v>19.18</v>
      </c>
      <c r="AD3" s="422">
        <v>19.18</v>
      </c>
      <c r="AE3" s="422">
        <v>32.18</v>
      </c>
      <c r="AF3" s="415">
        <v>31.19</v>
      </c>
      <c r="AI3" s="321" t="s">
        <v>1143</v>
      </c>
    </row>
    <row r="4" spans="1:35">
      <c r="A4" s="415">
        <v>31.19</v>
      </c>
      <c r="B4" s="422">
        <v>32.18</v>
      </c>
      <c r="C4" s="415">
        <v>19.18</v>
      </c>
      <c r="D4" s="422">
        <v>19.18</v>
      </c>
      <c r="E4" s="422">
        <v>19.18</v>
      </c>
      <c r="F4" s="422">
        <v>19.18</v>
      </c>
      <c r="G4" s="417">
        <v>19.18</v>
      </c>
      <c r="H4" s="417">
        <v>19.18</v>
      </c>
      <c r="I4" s="417">
        <v>19.18</v>
      </c>
      <c r="J4" s="417">
        <v>19.18</v>
      </c>
      <c r="K4" s="417">
        <v>19.18</v>
      </c>
      <c r="L4" s="417">
        <v>19.18</v>
      </c>
      <c r="M4" s="417">
        <v>19.18</v>
      </c>
      <c r="N4" s="417">
        <v>19.18</v>
      </c>
      <c r="O4" s="417">
        <v>19.18</v>
      </c>
      <c r="P4" s="422">
        <v>19.18</v>
      </c>
      <c r="Q4" s="422">
        <v>19.18</v>
      </c>
      <c r="R4" s="422">
        <v>19.18</v>
      </c>
      <c r="S4" s="422">
        <v>19.18</v>
      </c>
      <c r="T4" s="422">
        <v>19.18</v>
      </c>
      <c r="U4" s="422">
        <v>19.18</v>
      </c>
      <c r="V4" s="422">
        <v>19.18</v>
      </c>
      <c r="W4" s="422">
        <v>19.18</v>
      </c>
      <c r="X4" s="422">
        <v>19.18</v>
      </c>
      <c r="Y4" s="422">
        <v>19.18</v>
      </c>
      <c r="Z4" s="422">
        <v>19.18</v>
      </c>
      <c r="AA4" s="422">
        <v>19.18</v>
      </c>
      <c r="AB4" s="422">
        <v>19.18</v>
      </c>
      <c r="AC4" s="422">
        <v>19.18</v>
      </c>
      <c r="AD4" s="415">
        <v>19.18</v>
      </c>
      <c r="AE4" s="422">
        <v>32.18</v>
      </c>
      <c r="AF4" s="415">
        <v>31.19</v>
      </c>
      <c r="AI4" s="326" t="s">
        <v>298</v>
      </c>
    </row>
    <row r="5" spans="1:35">
      <c r="A5" s="415">
        <v>31.19</v>
      </c>
      <c r="B5" s="422">
        <v>32.18</v>
      </c>
      <c r="C5" s="422">
        <v>19.18</v>
      </c>
      <c r="D5" s="422">
        <v>19.18</v>
      </c>
      <c r="E5" s="422">
        <v>19.18</v>
      </c>
      <c r="F5" s="422">
        <v>19.18</v>
      </c>
      <c r="G5" s="422">
        <v>19.18</v>
      </c>
      <c r="H5" s="422">
        <v>19.18</v>
      </c>
      <c r="I5" s="422">
        <v>19.18</v>
      </c>
      <c r="J5" s="422">
        <v>19.18</v>
      </c>
      <c r="K5" s="422">
        <v>19.18</v>
      </c>
      <c r="L5" s="422">
        <v>19.18</v>
      </c>
      <c r="M5" s="422">
        <v>19.18</v>
      </c>
      <c r="N5" s="422">
        <v>19.18</v>
      </c>
      <c r="O5" s="422">
        <v>19.18</v>
      </c>
      <c r="P5" s="422">
        <v>19.18</v>
      </c>
      <c r="Q5" s="422">
        <v>19.18</v>
      </c>
      <c r="R5" s="422">
        <v>19.18</v>
      </c>
      <c r="S5" s="422">
        <v>19.18</v>
      </c>
      <c r="T5" s="422">
        <v>19.18</v>
      </c>
      <c r="U5" s="422">
        <v>19.18</v>
      </c>
      <c r="V5" s="417">
        <v>19.18</v>
      </c>
      <c r="W5" s="417">
        <v>19.18</v>
      </c>
      <c r="X5" s="417">
        <v>19.18</v>
      </c>
      <c r="Y5" s="422">
        <v>19.18</v>
      </c>
      <c r="Z5" s="422">
        <v>19.18</v>
      </c>
      <c r="AA5" s="422">
        <v>19.18</v>
      </c>
      <c r="AB5" s="422">
        <v>19.18</v>
      </c>
      <c r="AC5" s="422">
        <v>19.18</v>
      </c>
      <c r="AD5" s="422">
        <v>19.18</v>
      </c>
      <c r="AE5" s="422">
        <v>32.18</v>
      </c>
      <c r="AF5" s="415">
        <v>31.19</v>
      </c>
      <c r="AI5" s="321" t="s">
        <v>1112</v>
      </c>
    </row>
    <row r="6" spans="1:35">
      <c r="AH6">
        <v>2</v>
      </c>
      <c r="AI6" s="326" t="s">
        <v>1144</v>
      </c>
    </row>
    <row r="7" spans="1:35">
      <c r="A7" s="422">
        <v>31.18</v>
      </c>
      <c r="B7" s="417">
        <v>32.18</v>
      </c>
      <c r="C7" s="417">
        <v>19.18</v>
      </c>
      <c r="D7" s="417">
        <v>19.18</v>
      </c>
      <c r="E7" s="417">
        <v>19.18</v>
      </c>
      <c r="F7" s="417">
        <v>19.18</v>
      </c>
      <c r="G7" s="417">
        <v>19.18</v>
      </c>
      <c r="H7" s="417">
        <v>19.18</v>
      </c>
      <c r="I7" s="417">
        <v>19.18</v>
      </c>
      <c r="J7" s="417">
        <v>19.18</v>
      </c>
      <c r="K7" s="417">
        <v>19.18</v>
      </c>
      <c r="L7" s="417">
        <v>19.18</v>
      </c>
      <c r="M7" s="417">
        <v>19.18</v>
      </c>
      <c r="N7" s="417">
        <v>19.18</v>
      </c>
      <c r="O7" s="417">
        <v>19.18</v>
      </c>
      <c r="P7" s="417">
        <v>19.18</v>
      </c>
      <c r="Q7" s="417">
        <v>19.18</v>
      </c>
      <c r="R7" s="417">
        <v>19.18</v>
      </c>
      <c r="S7" s="417">
        <v>19.18</v>
      </c>
      <c r="T7" s="417">
        <v>19.18</v>
      </c>
      <c r="U7" s="417">
        <v>19.18</v>
      </c>
      <c r="V7" s="417">
        <v>19.18</v>
      </c>
      <c r="W7" s="417">
        <v>19.18</v>
      </c>
      <c r="X7" s="417">
        <v>19.18</v>
      </c>
      <c r="Y7" s="417">
        <v>19.18</v>
      </c>
      <c r="Z7" s="417">
        <v>19.18</v>
      </c>
      <c r="AA7" s="417">
        <v>19.18</v>
      </c>
      <c r="AB7" s="417">
        <v>19.18</v>
      </c>
      <c r="AC7" s="417">
        <v>19.18</v>
      </c>
      <c r="AD7" s="417">
        <v>19.18</v>
      </c>
      <c r="AE7" s="417">
        <v>32.18</v>
      </c>
      <c r="AF7" s="422">
        <v>31.18</v>
      </c>
      <c r="AI7" s="321" t="s">
        <v>1090</v>
      </c>
    </row>
    <row r="8" spans="1:35">
      <c r="AH8">
        <v>2</v>
      </c>
      <c r="AI8" s="321" t="s">
        <v>1093</v>
      </c>
    </row>
    <row r="9" spans="1:35">
      <c r="A9" s="415">
        <v>31.19</v>
      </c>
      <c r="B9" s="422">
        <v>32.18</v>
      </c>
      <c r="C9" s="422">
        <v>19.18</v>
      </c>
      <c r="D9" s="422">
        <v>19.18</v>
      </c>
      <c r="E9" s="422">
        <v>19.18</v>
      </c>
      <c r="F9" s="422">
        <v>19.18</v>
      </c>
      <c r="G9" s="422">
        <v>19.18</v>
      </c>
      <c r="H9" s="422">
        <v>19.18</v>
      </c>
      <c r="I9" s="422">
        <v>19.18</v>
      </c>
      <c r="J9" s="422">
        <v>19.18</v>
      </c>
      <c r="K9" s="422">
        <v>19.18</v>
      </c>
      <c r="L9" s="422">
        <v>19.18</v>
      </c>
      <c r="M9" s="422">
        <v>19.18</v>
      </c>
      <c r="N9" s="422">
        <v>19.18</v>
      </c>
      <c r="O9" s="422">
        <v>19.18</v>
      </c>
      <c r="P9" s="422">
        <v>19.18</v>
      </c>
      <c r="Q9" s="422">
        <v>19.18</v>
      </c>
      <c r="R9" s="422">
        <v>19.18</v>
      </c>
      <c r="S9" s="417">
        <v>19.18</v>
      </c>
      <c r="T9" s="417">
        <v>19.18</v>
      </c>
      <c r="U9" s="417">
        <v>19.18</v>
      </c>
      <c r="V9" s="417">
        <v>19.18</v>
      </c>
      <c r="W9" s="417">
        <v>19.18</v>
      </c>
      <c r="X9" s="417">
        <v>19.18</v>
      </c>
      <c r="Y9" s="417">
        <v>19.18</v>
      </c>
      <c r="Z9" s="422">
        <v>19.18</v>
      </c>
      <c r="AA9" s="422">
        <v>19.18</v>
      </c>
      <c r="AB9" s="422">
        <v>19.18</v>
      </c>
      <c r="AC9" s="422">
        <v>19.18</v>
      </c>
      <c r="AD9" s="422">
        <v>19.18</v>
      </c>
      <c r="AE9" s="422">
        <v>32.18</v>
      </c>
      <c r="AF9" s="415">
        <v>31.19</v>
      </c>
      <c r="AI9" s="321" t="s">
        <v>1107</v>
      </c>
    </row>
    <row r="10" spans="1:35">
      <c r="AH10">
        <v>4</v>
      </c>
      <c r="AI10" s="321" t="s">
        <v>1108</v>
      </c>
    </row>
    <row r="11" spans="1:35">
      <c r="AH11">
        <v>2</v>
      </c>
      <c r="AI11" s="321" t="s">
        <v>1109</v>
      </c>
    </row>
    <row r="12" spans="1:35">
      <c r="AH12">
        <v>2</v>
      </c>
      <c r="AI12" s="321" t="s">
        <v>1110</v>
      </c>
    </row>
    <row r="13" spans="1:35">
      <c r="AH13">
        <v>7</v>
      </c>
      <c r="AI13" s="321" t="s">
        <v>1111</v>
      </c>
    </row>
    <row r="14" spans="1:35">
      <c r="AH14">
        <v>2</v>
      </c>
      <c r="AI14" s="326" t="s">
        <v>780</v>
      </c>
    </row>
    <row r="15" spans="1:35">
      <c r="A15" s="415">
        <v>31.19</v>
      </c>
      <c r="B15" s="422">
        <v>32.18</v>
      </c>
      <c r="C15" s="422">
        <v>19.18</v>
      </c>
      <c r="D15" s="422">
        <v>19.18</v>
      </c>
      <c r="E15" s="417">
        <v>19.18</v>
      </c>
      <c r="F15" s="417">
        <v>19.18</v>
      </c>
      <c r="G15" s="417">
        <v>19.18</v>
      </c>
      <c r="H15" s="417">
        <v>19.18</v>
      </c>
      <c r="I15" s="422">
        <v>19.18</v>
      </c>
      <c r="J15" s="422">
        <v>19.18</v>
      </c>
      <c r="K15" s="422">
        <v>19.18</v>
      </c>
      <c r="L15" s="422">
        <v>19.18</v>
      </c>
      <c r="M15" s="422">
        <v>19.18</v>
      </c>
      <c r="N15" s="422">
        <v>32.18</v>
      </c>
      <c r="O15" s="422">
        <v>32.18</v>
      </c>
      <c r="P15" s="422">
        <v>32.18</v>
      </c>
      <c r="Q15" s="422">
        <v>32.18</v>
      </c>
      <c r="R15" s="422">
        <v>32.18</v>
      </c>
      <c r="S15" s="422">
        <v>32.18</v>
      </c>
      <c r="T15" s="422">
        <v>19.18</v>
      </c>
      <c r="U15" s="422">
        <v>19.18</v>
      </c>
      <c r="V15" s="417">
        <v>19.18</v>
      </c>
      <c r="W15" s="417">
        <v>19.18</v>
      </c>
      <c r="X15" s="417">
        <v>19.18</v>
      </c>
      <c r="Y15" s="417">
        <v>19.18</v>
      </c>
      <c r="Z15" s="417">
        <v>19.18</v>
      </c>
      <c r="AA15" s="422">
        <v>19.18</v>
      </c>
      <c r="AB15" s="422">
        <v>19.18</v>
      </c>
      <c r="AC15" s="422">
        <v>19.18</v>
      </c>
      <c r="AD15" s="422">
        <v>19.18</v>
      </c>
      <c r="AE15" s="422">
        <v>32.18</v>
      </c>
      <c r="AF15" s="415">
        <v>31.19</v>
      </c>
      <c r="AI15" s="326"/>
    </row>
    <row r="16" spans="1:35">
      <c r="A16" s="415">
        <v>31.19</v>
      </c>
      <c r="B16" s="422">
        <v>32.18</v>
      </c>
      <c r="C16" s="415">
        <v>19.18</v>
      </c>
      <c r="D16" s="422">
        <v>19.18</v>
      </c>
      <c r="E16" s="422">
        <v>19.18</v>
      </c>
      <c r="F16" s="422">
        <v>19.18</v>
      </c>
      <c r="G16" s="422">
        <v>19.18</v>
      </c>
      <c r="H16" s="422">
        <v>19.18</v>
      </c>
      <c r="I16" s="422">
        <v>19.18</v>
      </c>
      <c r="J16" s="422">
        <v>19.18</v>
      </c>
      <c r="K16" s="422">
        <v>19.18</v>
      </c>
      <c r="L16" s="422">
        <v>19.18</v>
      </c>
      <c r="M16" s="422">
        <v>19.18</v>
      </c>
      <c r="N16" s="422">
        <v>32.18</v>
      </c>
      <c r="O16" s="422">
        <v>32.18</v>
      </c>
      <c r="P16" s="422">
        <v>32.18</v>
      </c>
      <c r="Q16" s="422">
        <v>32.18</v>
      </c>
      <c r="R16" s="422">
        <v>32.18</v>
      </c>
      <c r="S16" s="422">
        <v>32.18</v>
      </c>
      <c r="T16" s="422">
        <v>19.18</v>
      </c>
      <c r="U16" s="422">
        <v>19.18</v>
      </c>
      <c r="V16" s="422">
        <v>19.18</v>
      </c>
      <c r="W16" s="422">
        <v>19.18</v>
      </c>
      <c r="X16" s="422">
        <v>19.18</v>
      </c>
      <c r="Y16" s="422">
        <v>19.18</v>
      </c>
      <c r="Z16" s="422">
        <v>19.18</v>
      </c>
      <c r="AA16" s="422">
        <v>19.18</v>
      </c>
      <c r="AB16" s="422">
        <v>19.18</v>
      </c>
      <c r="AC16" s="422">
        <v>19.18</v>
      </c>
      <c r="AD16" s="415">
        <v>19.18</v>
      </c>
      <c r="AE16" s="422">
        <v>32.18</v>
      </c>
      <c r="AF16" s="415">
        <v>31.19</v>
      </c>
      <c r="AI16" s="321"/>
    </row>
    <row r="17" spans="1:35">
      <c r="A17" s="415">
        <v>31.19</v>
      </c>
      <c r="B17" s="422">
        <v>32.18</v>
      </c>
      <c r="C17" s="422">
        <v>19.18</v>
      </c>
      <c r="D17" s="422">
        <v>19.18</v>
      </c>
      <c r="E17" s="422">
        <v>19.18</v>
      </c>
      <c r="F17" s="422">
        <v>19.18</v>
      </c>
      <c r="G17" s="422">
        <v>19.18</v>
      </c>
      <c r="H17" s="422">
        <v>19.18</v>
      </c>
      <c r="I17" s="422">
        <v>19.18</v>
      </c>
      <c r="J17" s="422">
        <v>19.18</v>
      </c>
      <c r="K17" s="422">
        <v>19.18</v>
      </c>
      <c r="L17" s="422">
        <v>19.18</v>
      </c>
      <c r="M17" s="417">
        <v>19.18</v>
      </c>
      <c r="N17" s="417">
        <v>32.18</v>
      </c>
      <c r="O17" s="417">
        <v>32.18</v>
      </c>
      <c r="P17" s="417">
        <v>32.18</v>
      </c>
      <c r="Q17" s="417">
        <v>32.18</v>
      </c>
      <c r="R17" s="417">
        <v>32.18</v>
      </c>
      <c r="S17" s="417">
        <v>32.18</v>
      </c>
      <c r="T17" s="422">
        <v>19.18</v>
      </c>
      <c r="U17" s="422">
        <v>19.18</v>
      </c>
      <c r="V17" s="422">
        <v>19.18</v>
      </c>
      <c r="W17" s="422">
        <v>19.18</v>
      </c>
      <c r="X17" s="422">
        <v>19.18</v>
      </c>
      <c r="Y17" s="422">
        <v>19.18</v>
      </c>
      <c r="Z17" s="422">
        <v>19.18</v>
      </c>
      <c r="AA17" s="422">
        <v>19.18</v>
      </c>
      <c r="AB17" s="422">
        <v>19.18</v>
      </c>
      <c r="AC17" s="422">
        <v>19.18</v>
      </c>
      <c r="AD17" s="422">
        <v>19.18</v>
      </c>
      <c r="AE17" s="422">
        <v>32.18</v>
      </c>
      <c r="AF17" s="415">
        <v>31.19</v>
      </c>
      <c r="AI17" s="321"/>
    </row>
    <row r="18" spans="1:35">
      <c r="AH18">
        <v>2</v>
      </c>
      <c r="AI18" s="321"/>
    </row>
    <row r="19" spans="1:35">
      <c r="AH19">
        <v>7</v>
      </c>
      <c r="AI19" s="321"/>
    </row>
    <row r="20" spans="1:35">
      <c r="AH20">
        <v>2</v>
      </c>
      <c r="AI20" s="321"/>
    </row>
    <row r="21" spans="1:35">
      <c r="AH21">
        <v>9</v>
      </c>
      <c r="AI21" s="321"/>
    </row>
    <row r="22" spans="1:35">
      <c r="AH22">
        <v>4</v>
      </c>
      <c r="AI22" s="321"/>
    </row>
    <row r="23" spans="1:35">
      <c r="AH23">
        <v>2</v>
      </c>
      <c r="AI23" s="321"/>
    </row>
    <row r="24" spans="1:35">
      <c r="AH24">
        <v>2</v>
      </c>
      <c r="AI24" s="321"/>
    </row>
    <row r="25" spans="1:35">
      <c r="AH25">
        <v>7</v>
      </c>
      <c r="AI25" s="321"/>
    </row>
    <row r="26" spans="1:35">
      <c r="AH26">
        <v>2</v>
      </c>
      <c r="AI26" s="321"/>
    </row>
    <row r="27" spans="1:35">
      <c r="AH27">
        <v>17</v>
      </c>
      <c r="AI27" s="321"/>
    </row>
    <row r="28" spans="1:35">
      <c r="AH28">
        <v>2</v>
      </c>
      <c r="AI28" s="321"/>
    </row>
    <row r="29" spans="1:35">
      <c r="A29" s="415">
        <v>31.19</v>
      </c>
      <c r="B29" s="422">
        <v>32.18</v>
      </c>
      <c r="C29" s="415">
        <v>19.18</v>
      </c>
      <c r="D29" s="422">
        <v>19.18</v>
      </c>
      <c r="E29" s="422">
        <v>19.18</v>
      </c>
      <c r="F29" s="417">
        <v>19.18</v>
      </c>
      <c r="G29" s="417">
        <v>19.18</v>
      </c>
      <c r="H29" s="417">
        <v>19.18</v>
      </c>
      <c r="I29" s="422">
        <v>19.18</v>
      </c>
      <c r="J29" s="422">
        <v>19.18</v>
      </c>
      <c r="K29" s="422">
        <v>19.18</v>
      </c>
      <c r="L29" s="422">
        <v>19.18</v>
      </c>
      <c r="M29" s="422">
        <v>19.18</v>
      </c>
      <c r="N29" s="422">
        <v>19.18</v>
      </c>
      <c r="O29" s="422">
        <v>19.18</v>
      </c>
      <c r="P29" s="422">
        <v>19.18</v>
      </c>
      <c r="Q29" s="422">
        <v>19.18</v>
      </c>
      <c r="R29" s="422">
        <v>19.18</v>
      </c>
      <c r="S29" s="422">
        <v>19.18</v>
      </c>
      <c r="T29" s="422">
        <v>19.18</v>
      </c>
      <c r="U29" s="422">
        <v>19.18</v>
      </c>
      <c r="V29" s="422">
        <v>19.18</v>
      </c>
      <c r="W29" s="422">
        <v>19.18</v>
      </c>
      <c r="X29" s="422">
        <v>19.18</v>
      </c>
      <c r="Y29" s="422">
        <v>19.18</v>
      </c>
      <c r="Z29" s="422">
        <v>19.18</v>
      </c>
      <c r="AA29" s="422">
        <v>19.18</v>
      </c>
      <c r="AB29" s="422">
        <v>19.18</v>
      </c>
      <c r="AC29" s="422">
        <v>19.18</v>
      </c>
      <c r="AD29" s="415">
        <v>19.18</v>
      </c>
      <c r="AE29" s="422">
        <v>32.18</v>
      </c>
      <c r="AF29" s="415">
        <v>31.19</v>
      </c>
      <c r="AI29" s="321"/>
    </row>
    <row r="30" spans="1:35">
      <c r="A30" s="415">
        <v>31.19</v>
      </c>
      <c r="B30" s="422">
        <v>32.18</v>
      </c>
      <c r="C30" s="422">
        <v>19.18</v>
      </c>
      <c r="D30" s="422">
        <v>19.18</v>
      </c>
      <c r="E30" s="422">
        <v>19.18</v>
      </c>
      <c r="F30" s="422">
        <v>19.18</v>
      </c>
      <c r="G30" s="422">
        <v>19.18</v>
      </c>
      <c r="H30" s="422">
        <v>19.18</v>
      </c>
      <c r="I30" s="422">
        <v>19.18</v>
      </c>
      <c r="J30" s="422">
        <v>19.18</v>
      </c>
      <c r="K30" s="422">
        <v>19.18</v>
      </c>
      <c r="L30" s="422">
        <v>19.18</v>
      </c>
      <c r="M30" s="422">
        <v>19.18</v>
      </c>
      <c r="N30" s="422">
        <v>19.18</v>
      </c>
      <c r="O30" s="422">
        <v>19.18</v>
      </c>
      <c r="P30" s="422">
        <v>19.18</v>
      </c>
      <c r="Q30" s="422">
        <v>19.18</v>
      </c>
      <c r="R30" s="422">
        <v>19.18</v>
      </c>
      <c r="S30" s="422">
        <v>19.18</v>
      </c>
      <c r="T30" s="417">
        <v>19.18</v>
      </c>
      <c r="U30" s="417">
        <v>19.18</v>
      </c>
      <c r="V30" s="417">
        <v>19.18</v>
      </c>
      <c r="W30" s="417">
        <v>19.18</v>
      </c>
      <c r="X30" s="417">
        <v>19.18</v>
      </c>
      <c r="Y30" s="417">
        <v>19.18</v>
      </c>
      <c r="Z30" s="417">
        <v>19.18</v>
      </c>
      <c r="AA30" s="422">
        <v>19.18</v>
      </c>
      <c r="AB30" s="422">
        <v>19.18</v>
      </c>
      <c r="AC30" s="422">
        <v>19.18</v>
      </c>
      <c r="AD30" s="422">
        <v>19.18</v>
      </c>
      <c r="AE30" s="422">
        <v>32.18</v>
      </c>
      <c r="AF30" s="415">
        <v>31.19</v>
      </c>
      <c r="AI30" s="321"/>
    </row>
    <row r="31" spans="1:35">
      <c r="AH31">
        <v>2</v>
      </c>
      <c r="AI31" s="321"/>
    </row>
    <row r="32" spans="1:35">
      <c r="AH32">
        <v>1</v>
      </c>
      <c r="AI32" s="326"/>
    </row>
    <row r="33" spans="1:35">
      <c r="A33" s="421">
        <v>1.31</v>
      </c>
      <c r="B33" s="421">
        <v>1.31</v>
      </c>
      <c r="C33" s="439">
        <v>12.19</v>
      </c>
      <c r="D33" s="439">
        <v>10.220000000000001</v>
      </c>
      <c r="E33" s="439">
        <v>8.24</v>
      </c>
      <c r="F33" s="439">
        <v>7.25</v>
      </c>
      <c r="G33" s="411">
        <v>6.26</v>
      </c>
      <c r="H33" s="439">
        <v>6.26</v>
      </c>
      <c r="I33" s="439">
        <v>5.27</v>
      </c>
      <c r="J33" s="421">
        <v>1.31</v>
      </c>
      <c r="K33" s="421">
        <v>1.31</v>
      </c>
      <c r="L33" s="439">
        <v>4.28</v>
      </c>
      <c r="M33" s="439">
        <v>4.28</v>
      </c>
      <c r="N33" s="439">
        <v>4.28</v>
      </c>
      <c r="O33" s="439">
        <v>3.29</v>
      </c>
      <c r="P33" s="439">
        <v>3.29</v>
      </c>
      <c r="Q33" s="411">
        <v>3.29</v>
      </c>
      <c r="R33" s="439">
        <v>3.29</v>
      </c>
      <c r="S33" s="439">
        <v>4.28</v>
      </c>
      <c r="T33" s="439">
        <v>4.28</v>
      </c>
      <c r="U33" s="439">
        <v>4.28</v>
      </c>
      <c r="V33" s="421">
        <v>1.31</v>
      </c>
      <c r="W33" s="421">
        <v>1.31</v>
      </c>
      <c r="X33" s="439">
        <v>5.27</v>
      </c>
      <c r="Y33" s="439">
        <v>6.26</v>
      </c>
      <c r="Z33" s="439">
        <v>6.26</v>
      </c>
      <c r="AA33" s="439">
        <v>7.25</v>
      </c>
      <c r="AB33" s="411">
        <v>8.24</v>
      </c>
      <c r="AC33" s="439">
        <v>10.220000000000001</v>
      </c>
      <c r="AD33" s="439">
        <v>12.19</v>
      </c>
      <c r="AE33" s="421">
        <v>1.31</v>
      </c>
      <c r="AF33" s="421">
        <v>1.31</v>
      </c>
      <c r="AG33">
        <v>2</v>
      </c>
      <c r="AI33" s="326"/>
    </row>
    <row r="34" spans="1:35">
      <c r="A34" s="439">
        <v>32</v>
      </c>
      <c r="B34" s="439">
        <v>32</v>
      </c>
      <c r="C34" s="411">
        <v>12.19</v>
      </c>
      <c r="D34" s="411">
        <v>10.220000000000001</v>
      </c>
      <c r="E34" s="439">
        <v>8.24</v>
      </c>
      <c r="F34" s="439">
        <v>7.25</v>
      </c>
      <c r="G34" s="432">
        <v>6.26</v>
      </c>
      <c r="H34" s="432">
        <v>6.26</v>
      </c>
      <c r="I34" s="439">
        <v>5.27</v>
      </c>
      <c r="J34" s="439">
        <v>5.27</v>
      </c>
      <c r="K34" s="439">
        <v>4.28</v>
      </c>
      <c r="L34" s="439">
        <v>4.28</v>
      </c>
      <c r="M34" s="432">
        <v>4.28</v>
      </c>
      <c r="N34" s="432">
        <v>4.28</v>
      </c>
      <c r="O34" s="432">
        <v>3.29</v>
      </c>
      <c r="P34" s="439">
        <v>3.29</v>
      </c>
      <c r="Q34" s="439">
        <v>3.29</v>
      </c>
      <c r="R34" s="432">
        <v>3.29</v>
      </c>
      <c r="S34" s="432">
        <v>4.28</v>
      </c>
      <c r="T34" s="432">
        <v>4.28</v>
      </c>
      <c r="U34" s="439">
        <v>4.28</v>
      </c>
      <c r="V34" s="439">
        <v>4.28</v>
      </c>
      <c r="W34" s="439">
        <v>5.27</v>
      </c>
      <c r="X34" s="439">
        <v>5.27</v>
      </c>
      <c r="Y34" s="432">
        <v>6.26</v>
      </c>
      <c r="Z34" s="432">
        <v>6.26</v>
      </c>
      <c r="AA34" s="439">
        <v>7.25</v>
      </c>
      <c r="AB34" s="439">
        <v>8.24</v>
      </c>
      <c r="AC34" s="411">
        <v>10.220000000000001</v>
      </c>
      <c r="AD34" s="411">
        <v>12.19</v>
      </c>
      <c r="AE34" s="439">
        <v>32</v>
      </c>
      <c r="AF34" s="439">
        <v>32</v>
      </c>
      <c r="AI34" s="326"/>
    </row>
    <row r="35" spans="1:35">
      <c r="A35" s="452">
        <v>32</v>
      </c>
      <c r="B35" s="452">
        <v>14.17</v>
      </c>
      <c r="C35" s="452">
        <v>12.19</v>
      </c>
      <c r="D35" s="411">
        <v>10.220000000000001</v>
      </c>
      <c r="E35" s="439">
        <v>8.24</v>
      </c>
      <c r="F35" s="439">
        <v>7.25</v>
      </c>
      <c r="G35" s="411">
        <v>7.25</v>
      </c>
      <c r="H35" s="432">
        <v>6.26</v>
      </c>
      <c r="I35" s="432">
        <v>5.27</v>
      </c>
      <c r="J35" s="432">
        <v>5.27</v>
      </c>
      <c r="K35" s="432">
        <v>4.28</v>
      </c>
      <c r="L35" s="432">
        <v>4.28</v>
      </c>
      <c r="M35" s="432">
        <v>4.28</v>
      </c>
      <c r="N35" s="411">
        <v>5.27</v>
      </c>
      <c r="O35" s="432">
        <v>3.29</v>
      </c>
      <c r="P35" s="439">
        <v>3.29</v>
      </c>
      <c r="Q35" s="439">
        <v>3.29</v>
      </c>
      <c r="R35" s="432">
        <v>3.29</v>
      </c>
      <c r="S35" s="411">
        <v>5.27</v>
      </c>
      <c r="T35" s="432">
        <v>4.28</v>
      </c>
      <c r="U35" s="432">
        <v>4.28</v>
      </c>
      <c r="V35" s="432">
        <v>4.28</v>
      </c>
      <c r="W35" s="432">
        <v>5.27</v>
      </c>
      <c r="X35" s="432">
        <v>5.27</v>
      </c>
      <c r="Y35" s="432">
        <v>6.26</v>
      </c>
      <c r="Z35" s="411">
        <v>7.25</v>
      </c>
      <c r="AA35" s="439">
        <v>7.25</v>
      </c>
      <c r="AB35" s="439">
        <v>8.24</v>
      </c>
      <c r="AC35" s="411">
        <v>10.220000000000001</v>
      </c>
      <c r="AD35" s="452">
        <v>12.19</v>
      </c>
      <c r="AE35" s="452">
        <v>14.17</v>
      </c>
      <c r="AF35" s="452">
        <v>32</v>
      </c>
      <c r="AI35" s="326"/>
    </row>
    <row r="36" spans="1:35">
      <c r="A36" s="452">
        <v>32</v>
      </c>
      <c r="B36" s="452">
        <v>14.17</v>
      </c>
      <c r="C36" s="432">
        <v>12.19</v>
      </c>
      <c r="D36" s="411">
        <v>10.220000000000001</v>
      </c>
      <c r="E36" s="439">
        <v>8.24</v>
      </c>
      <c r="F36" s="439">
        <v>7.25</v>
      </c>
      <c r="G36" s="421">
        <v>7.25</v>
      </c>
      <c r="H36" s="432">
        <v>6.26</v>
      </c>
      <c r="I36" s="421">
        <v>5.27</v>
      </c>
      <c r="J36" s="421">
        <v>5.27</v>
      </c>
      <c r="K36" s="421">
        <v>4.28</v>
      </c>
      <c r="L36" s="421">
        <v>4.28</v>
      </c>
      <c r="M36" s="432">
        <v>4.28</v>
      </c>
      <c r="N36" s="421">
        <v>5.27</v>
      </c>
      <c r="O36" s="432">
        <v>3.29</v>
      </c>
      <c r="P36" s="439">
        <v>3.29</v>
      </c>
      <c r="Q36" s="439">
        <v>3.29</v>
      </c>
      <c r="R36" s="432">
        <v>3.29</v>
      </c>
      <c r="S36" s="421">
        <v>5.27</v>
      </c>
      <c r="T36" s="432">
        <v>4.28</v>
      </c>
      <c r="U36" s="421">
        <v>4.28</v>
      </c>
      <c r="V36" s="421">
        <v>4.28</v>
      </c>
      <c r="W36" s="421">
        <v>5.27</v>
      </c>
      <c r="X36" s="421">
        <v>5.27</v>
      </c>
      <c r="Y36" s="432">
        <v>6.26</v>
      </c>
      <c r="Z36" s="421">
        <v>7.25</v>
      </c>
      <c r="AA36" s="439">
        <v>7.25</v>
      </c>
      <c r="AB36" s="439">
        <v>8.24</v>
      </c>
      <c r="AC36" s="411">
        <v>10.220000000000001</v>
      </c>
      <c r="AD36" s="432">
        <v>12.19</v>
      </c>
      <c r="AE36" s="452">
        <v>14.17</v>
      </c>
      <c r="AF36" s="452">
        <v>32</v>
      </c>
      <c r="AI36" s="326"/>
    </row>
    <row r="37" spans="1:35">
      <c r="A37" s="452">
        <v>32</v>
      </c>
      <c r="B37" s="452">
        <v>14.17</v>
      </c>
      <c r="C37" s="411">
        <v>12.19</v>
      </c>
      <c r="D37" s="411">
        <v>10.220000000000001</v>
      </c>
      <c r="E37" s="439">
        <v>8.24</v>
      </c>
      <c r="F37" s="439">
        <v>7.25</v>
      </c>
      <c r="G37" s="432">
        <v>6.26</v>
      </c>
      <c r="H37" s="432">
        <v>6.26</v>
      </c>
      <c r="I37" s="421">
        <v>5.27</v>
      </c>
      <c r="J37" s="421">
        <v>5.27</v>
      </c>
      <c r="K37" s="421">
        <v>4.28</v>
      </c>
      <c r="L37" s="421">
        <v>4.28</v>
      </c>
      <c r="M37" s="432">
        <v>4.28</v>
      </c>
      <c r="N37" s="432">
        <v>4.28</v>
      </c>
      <c r="O37" s="432">
        <v>3.29</v>
      </c>
      <c r="P37" s="439">
        <v>3.29</v>
      </c>
      <c r="Q37" s="439">
        <v>3.29</v>
      </c>
      <c r="R37" s="432">
        <v>3.29</v>
      </c>
      <c r="S37" s="432">
        <v>4.28</v>
      </c>
      <c r="T37" s="432">
        <v>4.28</v>
      </c>
      <c r="U37" s="421">
        <v>4.28</v>
      </c>
      <c r="V37" s="421">
        <v>4.28</v>
      </c>
      <c r="W37" s="421">
        <v>5.27</v>
      </c>
      <c r="X37" s="421">
        <v>5.27</v>
      </c>
      <c r="Y37" s="432">
        <v>6.26</v>
      </c>
      <c r="Z37" s="432">
        <v>6.26</v>
      </c>
      <c r="AA37" s="439">
        <v>7.25</v>
      </c>
      <c r="AB37" s="439">
        <v>8.24</v>
      </c>
      <c r="AC37" s="411">
        <v>10.220000000000001</v>
      </c>
      <c r="AD37" s="411">
        <v>12.19</v>
      </c>
      <c r="AE37" s="452">
        <v>14.17</v>
      </c>
      <c r="AF37" s="452">
        <v>32</v>
      </c>
      <c r="AI37" s="326"/>
    </row>
    <row r="38" spans="1:35">
      <c r="AH38">
        <v>37</v>
      </c>
      <c r="AI38" s="326"/>
    </row>
    <row r="39" spans="1:35">
      <c r="AH39">
        <v>37</v>
      </c>
      <c r="AI39" s="326"/>
    </row>
    <row r="40" spans="1:35">
      <c r="AH40">
        <v>37</v>
      </c>
      <c r="AI40" s="326"/>
    </row>
    <row r="41" spans="1:35">
      <c r="AH41">
        <v>37</v>
      </c>
      <c r="AI41" s="326"/>
    </row>
    <row r="42" spans="1:35">
      <c r="AH42">
        <v>37</v>
      </c>
      <c r="AI42" s="326"/>
    </row>
    <row r="43" spans="1:35">
      <c r="AH43">
        <v>37</v>
      </c>
      <c r="AI43" s="326"/>
    </row>
    <row r="44" spans="1:35">
      <c r="AH44">
        <v>37</v>
      </c>
      <c r="AI44" s="326"/>
    </row>
    <row r="45" spans="1:35">
      <c r="AH45">
        <v>37</v>
      </c>
      <c r="AI45" s="326"/>
    </row>
    <row r="46" spans="1:35">
      <c r="AH46">
        <v>37</v>
      </c>
      <c r="AI46" s="326"/>
    </row>
    <row r="47" spans="1:35">
      <c r="AH47">
        <v>37</v>
      </c>
      <c r="AI47" s="326"/>
    </row>
    <row r="48" spans="1:35">
      <c r="AH48">
        <v>37</v>
      </c>
      <c r="AI48" s="326"/>
    </row>
    <row r="49" spans="34:35">
      <c r="AH49">
        <v>37</v>
      </c>
      <c r="AI49" s="326"/>
    </row>
    <row r="50" spans="34:35">
      <c r="AH50">
        <v>37</v>
      </c>
      <c r="AI50" s="326"/>
    </row>
    <row r="51" spans="34:35">
      <c r="AH51">
        <v>37</v>
      </c>
      <c r="AI51" s="326"/>
    </row>
    <row r="52" spans="34:35">
      <c r="AH52">
        <v>37</v>
      </c>
      <c r="AI52" s="326"/>
    </row>
    <row r="53" spans="34:35">
      <c r="AH53">
        <v>37</v>
      </c>
      <c r="AI53" s="326"/>
    </row>
    <row r="54" spans="34:35">
      <c r="AH54">
        <v>37</v>
      </c>
      <c r="AI54" s="326"/>
    </row>
    <row r="55" spans="34:35">
      <c r="AH55">
        <v>37</v>
      </c>
      <c r="AI55" s="326"/>
    </row>
    <row r="56" spans="34:35">
      <c r="AH56">
        <v>37</v>
      </c>
      <c r="AI56" s="326"/>
    </row>
    <row r="57" spans="34:35">
      <c r="AH57">
        <v>37</v>
      </c>
      <c r="AI57" s="326"/>
    </row>
    <row r="58" spans="34:35">
      <c r="AH58">
        <v>37</v>
      </c>
      <c r="AI58" s="326"/>
    </row>
    <row r="59" spans="34:35">
      <c r="AH59">
        <v>37</v>
      </c>
      <c r="AI59" s="326"/>
    </row>
    <row r="60" spans="34:35">
      <c r="AH60">
        <v>37</v>
      </c>
      <c r="AI60" s="326"/>
    </row>
    <row r="61" spans="34:35">
      <c r="AH61">
        <v>36</v>
      </c>
      <c r="AI61" s="326"/>
    </row>
    <row r="62" spans="34:35">
      <c r="AH62">
        <v>35</v>
      </c>
      <c r="AI62" s="326"/>
    </row>
    <row r="63" spans="34:35">
      <c r="AH63">
        <v>34</v>
      </c>
      <c r="AI63" s="326"/>
    </row>
    <row r="64" spans="34:35">
      <c r="AH64">
        <v>33</v>
      </c>
      <c r="AI64" s="326"/>
    </row>
    <row r="65" spans="1:35">
      <c r="A65" s="321"/>
      <c r="B65" s="321"/>
      <c r="C65" s="321"/>
      <c r="D65" s="321"/>
      <c r="E65" s="321"/>
      <c r="F65" s="321"/>
      <c r="G65" s="321"/>
      <c r="H65" s="321"/>
      <c r="I65" s="321"/>
      <c r="J65" s="321"/>
      <c r="K65" s="321"/>
      <c r="L65" s="321"/>
      <c r="M65" s="417">
        <v>10</v>
      </c>
      <c r="N65" s="422">
        <v>11.08</v>
      </c>
      <c r="O65" s="422">
        <v>11.08</v>
      </c>
      <c r="P65" s="422">
        <v>11.08</v>
      </c>
      <c r="Q65" s="422">
        <v>11.08</v>
      </c>
      <c r="R65" s="422">
        <v>11.08</v>
      </c>
      <c r="S65" s="422">
        <v>11.08</v>
      </c>
      <c r="T65" s="417">
        <v>10</v>
      </c>
      <c r="U65" s="321"/>
      <c r="V65" s="321"/>
      <c r="W65" s="321"/>
      <c r="X65" s="321"/>
      <c r="Y65" s="321"/>
      <c r="Z65" s="321"/>
      <c r="AA65" s="321"/>
      <c r="AB65" s="321"/>
      <c r="AC65" s="321"/>
      <c r="AD65" s="321"/>
      <c r="AE65" s="321"/>
      <c r="AF65" s="321"/>
      <c r="AG65">
        <v>3</v>
      </c>
      <c r="AI65" s="326"/>
    </row>
    <row r="66" spans="1:35">
      <c r="A66" s="321"/>
      <c r="B66" s="321"/>
      <c r="C66" s="321"/>
      <c r="D66" s="321"/>
      <c r="E66" s="321"/>
      <c r="F66" s="321"/>
      <c r="G66" s="321"/>
      <c r="H66" s="321"/>
      <c r="I66" s="321"/>
      <c r="J66" s="321"/>
      <c r="K66" s="321"/>
      <c r="L66" s="321"/>
      <c r="M66" s="417">
        <v>4.03</v>
      </c>
      <c r="N66" s="417">
        <v>4.03</v>
      </c>
      <c r="O66" s="417">
        <v>4.03</v>
      </c>
      <c r="P66" s="417">
        <v>4.03</v>
      </c>
      <c r="Q66" s="417">
        <v>4.03</v>
      </c>
      <c r="R66" s="417">
        <v>4.03</v>
      </c>
      <c r="S66" s="417">
        <v>4.03</v>
      </c>
      <c r="T66" s="417">
        <v>4.03</v>
      </c>
      <c r="U66" s="321"/>
      <c r="V66" s="321"/>
      <c r="W66" s="321"/>
      <c r="X66" s="321"/>
      <c r="Y66" s="321"/>
      <c r="Z66" s="321"/>
      <c r="AA66" s="321"/>
      <c r="AB66" s="321"/>
      <c r="AC66" s="321"/>
      <c r="AD66" s="321"/>
      <c r="AE66" s="321"/>
      <c r="AF66" s="321"/>
      <c r="AI66" s="695"/>
    </row>
    <row r="67" spans="1:35">
      <c r="A67" s="321"/>
      <c r="B67" s="321"/>
      <c r="C67" s="321"/>
      <c r="D67" s="321"/>
      <c r="E67" s="321"/>
      <c r="F67" s="321"/>
      <c r="G67" s="321"/>
      <c r="H67" s="321"/>
      <c r="I67" s="321"/>
      <c r="J67" s="321"/>
      <c r="K67" s="321"/>
      <c r="L67" s="321"/>
      <c r="M67" s="417">
        <v>4.03</v>
      </c>
      <c r="N67" s="409">
        <v>4.03</v>
      </c>
      <c r="O67" s="409">
        <v>4.03</v>
      </c>
      <c r="P67" s="409">
        <v>4.03</v>
      </c>
      <c r="Q67" s="409">
        <v>4.03</v>
      </c>
      <c r="R67" s="409">
        <v>4.03</v>
      </c>
      <c r="S67" s="409">
        <v>4.03</v>
      </c>
      <c r="T67" s="417">
        <v>4.03</v>
      </c>
      <c r="U67" s="321"/>
      <c r="V67" s="321"/>
      <c r="W67" s="321"/>
      <c r="X67" s="321"/>
      <c r="Y67" s="321"/>
      <c r="Z67" s="321"/>
      <c r="AA67" s="321"/>
      <c r="AB67" s="321"/>
      <c r="AC67" s="321"/>
      <c r="AD67" s="321"/>
      <c r="AE67" s="321"/>
      <c r="AF67" s="321"/>
      <c r="AI67" s="695"/>
    </row>
    <row r="68" spans="1:35">
      <c r="AH68">
        <v>67</v>
      </c>
      <c r="AI68" s="695"/>
    </row>
    <row r="69" spans="1:35">
      <c r="AH69">
        <v>67</v>
      </c>
      <c r="AI69" s="695"/>
    </row>
    <row r="70" spans="1:35">
      <c r="AH70">
        <v>67</v>
      </c>
      <c r="AI70" s="695"/>
    </row>
    <row r="71" spans="1:35">
      <c r="A71" s="422">
        <v>8.07</v>
      </c>
      <c r="B71" s="422">
        <v>8.07</v>
      </c>
      <c r="C71" s="422">
        <v>8.07</v>
      </c>
      <c r="D71" s="422">
        <v>8.07</v>
      </c>
      <c r="E71" s="422">
        <v>8.07</v>
      </c>
      <c r="F71" s="422">
        <v>8.07</v>
      </c>
      <c r="G71" s="422">
        <v>8.07</v>
      </c>
      <c r="H71" s="422">
        <v>8.07</v>
      </c>
      <c r="I71" s="321"/>
      <c r="J71" s="321"/>
      <c r="K71" s="321"/>
      <c r="L71" s="321"/>
      <c r="M71" s="417">
        <v>4.03</v>
      </c>
      <c r="N71" s="409">
        <v>4.03</v>
      </c>
      <c r="O71" s="409">
        <v>4.03</v>
      </c>
      <c r="P71" s="409">
        <v>4.03</v>
      </c>
      <c r="Q71" s="409">
        <v>4.03</v>
      </c>
      <c r="R71" s="409">
        <v>4.03</v>
      </c>
      <c r="S71" s="409">
        <v>4.03</v>
      </c>
      <c r="T71" s="417">
        <v>4.03</v>
      </c>
      <c r="U71" s="321"/>
      <c r="V71" s="321"/>
      <c r="W71" s="321"/>
      <c r="X71" s="321"/>
      <c r="Y71" s="422">
        <v>8.07</v>
      </c>
      <c r="Z71" s="422">
        <v>8.07</v>
      </c>
      <c r="AA71" s="422">
        <v>8.07</v>
      </c>
      <c r="AB71" s="422">
        <v>8.07</v>
      </c>
      <c r="AC71" s="422">
        <v>8.07</v>
      </c>
      <c r="AD71" s="422">
        <v>8.07</v>
      </c>
      <c r="AE71" s="422">
        <v>8.07</v>
      </c>
      <c r="AF71" s="422">
        <v>8.07</v>
      </c>
      <c r="AI71" s="695"/>
    </row>
    <row r="72" spans="1:35">
      <c r="A72" s="422">
        <v>8.07</v>
      </c>
      <c r="B72" s="417">
        <v>8.07</v>
      </c>
      <c r="C72" s="417">
        <v>8.07</v>
      </c>
      <c r="D72" s="417">
        <v>8.07</v>
      </c>
      <c r="E72" s="417">
        <v>8.07</v>
      </c>
      <c r="F72" s="417">
        <v>8.07</v>
      </c>
      <c r="G72" s="417">
        <v>8.07</v>
      </c>
      <c r="H72" s="422">
        <v>8.07</v>
      </c>
      <c r="I72" s="422">
        <v>8.07</v>
      </c>
      <c r="J72" s="321"/>
      <c r="K72" s="321"/>
      <c r="L72" s="321"/>
      <c r="M72" s="417">
        <v>4.03</v>
      </c>
      <c r="N72" s="409">
        <v>4.03</v>
      </c>
      <c r="O72" s="409">
        <v>4.03</v>
      </c>
      <c r="P72" s="409">
        <v>4.03</v>
      </c>
      <c r="Q72" s="409">
        <v>4.03</v>
      </c>
      <c r="R72" s="409">
        <v>4.03</v>
      </c>
      <c r="S72" s="409">
        <v>4.03</v>
      </c>
      <c r="T72" s="417">
        <v>4.03</v>
      </c>
      <c r="U72" s="321"/>
      <c r="V72" s="321"/>
      <c r="W72" s="321"/>
      <c r="X72" s="422">
        <v>8.07</v>
      </c>
      <c r="Y72" s="422">
        <v>8.07</v>
      </c>
      <c r="Z72" s="417">
        <v>8.06</v>
      </c>
      <c r="AA72" s="417">
        <v>8.06</v>
      </c>
      <c r="AB72" s="417">
        <v>8.06</v>
      </c>
      <c r="AC72" s="417">
        <v>8.06</v>
      </c>
      <c r="AD72" s="417">
        <v>8.06</v>
      </c>
      <c r="AE72" s="417">
        <v>8.07</v>
      </c>
      <c r="AF72" s="422">
        <v>8.07</v>
      </c>
      <c r="AI72" s="695"/>
    </row>
    <row r="73" spans="1:35">
      <c r="A73" s="422">
        <v>8.07</v>
      </c>
      <c r="B73" s="417">
        <v>8.07</v>
      </c>
      <c r="C73" s="417">
        <v>8.07</v>
      </c>
      <c r="D73" s="417">
        <v>8.07</v>
      </c>
      <c r="E73" s="417">
        <v>8.07</v>
      </c>
      <c r="F73" s="417">
        <v>8.07</v>
      </c>
      <c r="G73" s="417">
        <v>8.07</v>
      </c>
      <c r="H73" s="417">
        <v>8.07</v>
      </c>
      <c r="I73" s="422">
        <v>8.07</v>
      </c>
      <c r="J73" s="422">
        <v>8.07</v>
      </c>
      <c r="K73" s="321"/>
      <c r="L73" s="321"/>
      <c r="M73" s="417">
        <v>4</v>
      </c>
      <c r="N73" s="409">
        <v>4.03</v>
      </c>
      <c r="O73" s="409">
        <v>4.03</v>
      </c>
      <c r="P73" s="409">
        <v>4.03</v>
      </c>
      <c r="Q73" s="409">
        <v>4.03</v>
      </c>
      <c r="R73" s="409">
        <v>4.03</v>
      </c>
      <c r="S73" s="409">
        <v>4.03</v>
      </c>
      <c r="T73" s="417">
        <v>4</v>
      </c>
      <c r="U73" s="321"/>
      <c r="V73" s="321"/>
      <c r="W73" s="422">
        <v>8.07</v>
      </c>
      <c r="X73" s="422">
        <v>8.07</v>
      </c>
      <c r="Y73" s="417">
        <v>8.06</v>
      </c>
      <c r="Z73" s="417">
        <v>8.06</v>
      </c>
      <c r="AA73" s="417">
        <v>8.06</v>
      </c>
      <c r="AB73" s="417">
        <v>8.06</v>
      </c>
      <c r="AC73" s="417">
        <v>8.06</v>
      </c>
      <c r="AD73" s="417">
        <v>8.06</v>
      </c>
      <c r="AE73" s="417">
        <v>8.07</v>
      </c>
      <c r="AF73" s="422">
        <v>8.07</v>
      </c>
      <c r="AI73" s="695"/>
    </row>
    <row r="74" spans="1:35">
      <c r="A74" s="422">
        <v>8.07</v>
      </c>
      <c r="B74" s="417">
        <v>8.07</v>
      </c>
      <c r="C74" s="417">
        <v>8.07</v>
      </c>
      <c r="D74" s="417">
        <v>8.07</v>
      </c>
      <c r="E74" s="417">
        <v>8.07</v>
      </c>
      <c r="F74" s="417">
        <v>8.07</v>
      </c>
      <c r="G74" s="417">
        <v>8.07</v>
      </c>
      <c r="H74" s="417">
        <v>8.07</v>
      </c>
      <c r="I74" s="417">
        <v>8.07</v>
      </c>
      <c r="J74" s="422">
        <v>8.07</v>
      </c>
      <c r="K74" s="422">
        <v>8.07</v>
      </c>
      <c r="L74" s="321"/>
      <c r="M74" s="321"/>
      <c r="N74" s="417">
        <v>4.03</v>
      </c>
      <c r="O74" s="417">
        <v>4.03</v>
      </c>
      <c r="P74" s="417">
        <v>4.03</v>
      </c>
      <c r="Q74" s="417">
        <v>4.03</v>
      </c>
      <c r="R74" s="417">
        <v>4.03</v>
      </c>
      <c r="S74" s="417">
        <v>4.03</v>
      </c>
      <c r="T74" s="321"/>
      <c r="U74" s="321"/>
      <c r="V74" s="422">
        <v>8.07</v>
      </c>
      <c r="W74" s="422">
        <v>8.07</v>
      </c>
      <c r="X74" s="417">
        <v>8.06</v>
      </c>
      <c r="Y74" s="417">
        <v>8.06</v>
      </c>
      <c r="Z74" s="417">
        <v>8.06</v>
      </c>
      <c r="AA74" s="417">
        <v>8.06</v>
      </c>
      <c r="AB74" s="417">
        <v>8.06</v>
      </c>
      <c r="AC74" s="417">
        <v>8.06</v>
      </c>
      <c r="AD74" s="417">
        <v>8.06</v>
      </c>
      <c r="AE74" s="417">
        <v>8.07</v>
      </c>
      <c r="AF74" s="422">
        <v>8.07</v>
      </c>
      <c r="AI74" s="695"/>
    </row>
    <row r="75" spans="1:35">
      <c r="A75" s="422">
        <v>8.07</v>
      </c>
      <c r="B75" s="417">
        <v>8.07</v>
      </c>
      <c r="C75" s="417">
        <v>8</v>
      </c>
      <c r="D75" s="417">
        <v>8</v>
      </c>
      <c r="E75" s="417">
        <v>8</v>
      </c>
      <c r="F75" s="417">
        <v>8</v>
      </c>
      <c r="G75" s="417">
        <v>8.06</v>
      </c>
      <c r="H75" s="417">
        <v>8.06</v>
      </c>
      <c r="I75" s="417">
        <v>8.06</v>
      </c>
      <c r="J75" s="417">
        <v>8.06</v>
      </c>
      <c r="K75" s="422">
        <v>8.07</v>
      </c>
      <c r="L75" s="422">
        <v>8.07</v>
      </c>
      <c r="M75" s="422">
        <v>8.07</v>
      </c>
      <c r="N75" s="422">
        <v>8.07</v>
      </c>
      <c r="O75" s="321"/>
      <c r="P75" s="321"/>
      <c r="Q75" s="321"/>
      <c r="R75" s="321"/>
      <c r="S75" s="422">
        <v>8.07</v>
      </c>
      <c r="T75" s="422">
        <v>8.07</v>
      </c>
      <c r="U75" s="422">
        <v>8.07</v>
      </c>
      <c r="V75" s="422">
        <v>8.07</v>
      </c>
      <c r="W75" s="417">
        <v>8.06</v>
      </c>
      <c r="X75" s="417">
        <v>8.06</v>
      </c>
      <c r="Y75" s="417">
        <v>8.06</v>
      </c>
      <c r="Z75" s="417">
        <v>8.06</v>
      </c>
      <c r="AA75" s="417">
        <v>8.06</v>
      </c>
      <c r="AB75" s="417">
        <v>8.06</v>
      </c>
      <c r="AC75" s="417">
        <v>8.06</v>
      </c>
      <c r="AD75" s="417">
        <v>8.06</v>
      </c>
      <c r="AE75" s="417">
        <v>8.07</v>
      </c>
      <c r="AF75" s="422">
        <v>8.07</v>
      </c>
      <c r="AI75" s="695"/>
    </row>
    <row r="76" spans="1:35">
      <c r="A76" s="422">
        <v>8.07</v>
      </c>
      <c r="B76" s="417">
        <v>8.07</v>
      </c>
      <c r="C76" s="417">
        <v>8</v>
      </c>
      <c r="D76" s="417">
        <v>8</v>
      </c>
      <c r="E76" s="417">
        <v>8</v>
      </c>
      <c r="F76" s="417">
        <v>8</v>
      </c>
      <c r="G76" s="417">
        <v>8</v>
      </c>
      <c r="H76" s="417">
        <v>8.07</v>
      </c>
      <c r="I76" s="417">
        <v>8.07</v>
      </c>
      <c r="J76" s="417">
        <v>8.07</v>
      </c>
      <c r="K76" s="417">
        <v>8.07</v>
      </c>
      <c r="L76" s="417">
        <v>8.07</v>
      </c>
      <c r="M76" s="417">
        <v>8.07</v>
      </c>
      <c r="N76" s="422">
        <v>8.07</v>
      </c>
      <c r="O76" s="422">
        <v>8.07</v>
      </c>
      <c r="P76" s="422">
        <v>8.07</v>
      </c>
      <c r="Q76" s="422">
        <v>8.07</v>
      </c>
      <c r="R76" s="422">
        <v>8.07</v>
      </c>
      <c r="S76" s="422">
        <v>8.07</v>
      </c>
      <c r="T76" s="417">
        <v>8.07</v>
      </c>
      <c r="U76" s="417">
        <v>8.07</v>
      </c>
      <c r="V76" s="417">
        <v>8.07</v>
      </c>
      <c r="W76" s="417">
        <v>8.07</v>
      </c>
      <c r="X76" s="417">
        <v>8.07</v>
      </c>
      <c r="Y76" s="417">
        <v>8.06</v>
      </c>
      <c r="Z76" s="417">
        <v>8</v>
      </c>
      <c r="AA76" s="417">
        <v>8</v>
      </c>
      <c r="AB76" s="417">
        <v>8</v>
      </c>
      <c r="AC76" s="417">
        <v>8</v>
      </c>
      <c r="AD76" s="417">
        <v>8</v>
      </c>
      <c r="AE76" s="417">
        <v>8.07</v>
      </c>
      <c r="AF76" s="422">
        <v>8.07</v>
      </c>
      <c r="AI76" s="695"/>
    </row>
    <row r="77" spans="1:35">
      <c r="A77" s="422">
        <v>8.07</v>
      </c>
      <c r="B77" s="417">
        <v>8.07</v>
      </c>
      <c r="C77" s="417">
        <v>8</v>
      </c>
      <c r="D77" s="417">
        <v>8</v>
      </c>
      <c r="E77" s="421">
        <v>9.08</v>
      </c>
      <c r="F77" s="421">
        <v>9.08</v>
      </c>
      <c r="G77" s="417">
        <v>8</v>
      </c>
      <c r="H77" s="417">
        <v>8.07</v>
      </c>
      <c r="I77" s="417">
        <v>8.07</v>
      </c>
      <c r="J77" s="417">
        <v>8.07</v>
      </c>
      <c r="K77" s="415">
        <v>9.08</v>
      </c>
      <c r="L77" s="415">
        <v>9.08</v>
      </c>
      <c r="M77" s="421">
        <v>9.08</v>
      </c>
      <c r="N77" s="421">
        <v>9.08</v>
      </c>
      <c r="O77" s="421">
        <v>9.08</v>
      </c>
      <c r="P77" s="421">
        <v>9.08</v>
      </c>
      <c r="Q77" s="421">
        <v>9.08</v>
      </c>
      <c r="R77" s="415">
        <v>9.08</v>
      </c>
      <c r="S77" s="432">
        <v>9.08</v>
      </c>
      <c r="T77" s="432">
        <v>9.08</v>
      </c>
      <c r="U77" s="432">
        <v>9.08</v>
      </c>
      <c r="V77" s="415">
        <v>9.08</v>
      </c>
      <c r="W77" s="417">
        <v>8.07</v>
      </c>
      <c r="X77" s="417">
        <v>8.07</v>
      </c>
      <c r="Y77" s="417">
        <v>8</v>
      </c>
      <c r="Z77" s="417">
        <v>8</v>
      </c>
      <c r="AA77" s="431">
        <v>12.1</v>
      </c>
      <c r="AB77" s="431">
        <v>12.1</v>
      </c>
      <c r="AC77" s="417">
        <v>8</v>
      </c>
      <c r="AD77" s="417">
        <v>8</v>
      </c>
      <c r="AE77" s="417">
        <v>8.07</v>
      </c>
      <c r="AF77" s="422">
        <v>8.07</v>
      </c>
      <c r="AI77" s="695"/>
    </row>
    <row r="78" spans="1:35">
      <c r="A78" s="422">
        <v>8.07</v>
      </c>
      <c r="B78" s="417">
        <v>8.07</v>
      </c>
      <c r="C78" s="417">
        <v>8</v>
      </c>
      <c r="D78" s="421">
        <v>9.08</v>
      </c>
      <c r="E78" s="421">
        <v>10.08</v>
      </c>
      <c r="F78" s="421">
        <v>9.08</v>
      </c>
      <c r="G78" s="417">
        <v>8</v>
      </c>
      <c r="H78" s="417">
        <v>8.07</v>
      </c>
      <c r="I78" s="417">
        <v>8.07</v>
      </c>
      <c r="J78" s="417">
        <v>8.07</v>
      </c>
      <c r="K78" s="415">
        <v>9.08</v>
      </c>
      <c r="L78" s="421">
        <v>9.08</v>
      </c>
      <c r="M78" s="415">
        <v>9.08</v>
      </c>
      <c r="N78" s="421">
        <v>9.08</v>
      </c>
      <c r="O78" s="415">
        <v>9.08</v>
      </c>
      <c r="P78" s="421">
        <v>9.08</v>
      </c>
      <c r="Q78" s="415">
        <v>9.08</v>
      </c>
      <c r="R78" s="421">
        <v>9.08</v>
      </c>
      <c r="S78" s="415">
        <v>9.08</v>
      </c>
      <c r="T78" s="432">
        <v>9.08</v>
      </c>
      <c r="U78" s="415">
        <v>9.08</v>
      </c>
      <c r="V78" s="415">
        <v>9.08</v>
      </c>
      <c r="W78" s="417">
        <v>8.07</v>
      </c>
      <c r="X78" s="417">
        <v>8.07</v>
      </c>
      <c r="Y78" s="417">
        <v>8</v>
      </c>
      <c r="Z78" s="445">
        <v>12.1</v>
      </c>
      <c r="AA78" s="438">
        <v>10.08</v>
      </c>
      <c r="AB78" s="438">
        <v>10.08</v>
      </c>
      <c r="AC78" s="431">
        <v>12.1</v>
      </c>
      <c r="AD78" s="417">
        <v>8</v>
      </c>
      <c r="AE78" s="417">
        <v>8.07</v>
      </c>
      <c r="AF78" s="422">
        <v>8.07</v>
      </c>
      <c r="AI78" s="695"/>
    </row>
    <row r="79" spans="1:35">
      <c r="A79" s="422">
        <v>8.07</v>
      </c>
      <c r="B79" s="417">
        <v>8.07</v>
      </c>
      <c r="C79" s="417">
        <v>8</v>
      </c>
      <c r="D79" s="421">
        <v>9.08</v>
      </c>
      <c r="E79" s="421">
        <v>9.08</v>
      </c>
      <c r="F79" s="417">
        <v>8</v>
      </c>
      <c r="G79" s="417">
        <v>8</v>
      </c>
      <c r="H79" s="417">
        <v>8.07</v>
      </c>
      <c r="I79" s="417">
        <v>8.07</v>
      </c>
      <c r="J79" s="417">
        <v>8.07</v>
      </c>
      <c r="K79" s="421">
        <v>9.08</v>
      </c>
      <c r="L79" s="415">
        <v>9.08</v>
      </c>
      <c r="M79" s="421">
        <v>9.08</v>
      </c>
      <c r="N79" s="415">
        <v>9.08</v>
      </c>
      <c r="O79" s="421">
        <v>9.08</v>
      </c>
      <c r="P79" s="415">
        <v>9.08</v>
      </c>
      <c r="Q79" s="421">
        <v>9.08</v>
      </c>
      <c r="R79" s="415">
        <v>9.08</v>
      </c>
      <c r="S79" s="421">
        <v>9.08</v>
      </c>
      <c r="T79" s="421">
        <v>9.08</v>
      </c>
      <c r="U79" s="421">
        <v>9.08</v>
      </c>
      <c r="V79" s="421">
        <v>9.08</v>
      </c>
      <c r="W79" s="417">
        <v>8.07</v>
      </c>
      <c r="X79" s="417">
        <v>8.07</v>
      </c>
      <c r="Y79" s="417">
        <v>8</v>
      </c>
      <c r="Z79" s="445">
        <v>12.1</v>
      </c>
      <c r="AA79" s="438">
        <v>10.08</v>
      </c>
      <c r="AB79" s="438">
        <v>10.08</v>
      </c>
      <c r="AC79" s="431">
        <v>12.1</v>
      </c>
      <c r="AD79" s="417">
        <v>8</v>
      </c>
      <c r="AE79" s="417">
        <v>8.07</v>
      </c>
      <c r="AF79" s="422">
        <v>8.07</v>
      </c>
      <c r="AI79" s="695"/>
    </row>
    <row r="80" spans="1:35">
      <c r="A80" s="422">
        <v>8.07</v>
      </c>
      <c r="B80" s="417">
        <v>8.07</v>
      </c>
      <c r="C80" s="417">
        <v>8</v>
      </c>
      <c r="D80" s="415">
        <v>9.08</v>
      </c>
      <c r="E80" s="417">
        <v>8</v>
      </c>
      <c r="F80" s="417">
        <v>8</v>
      </c>
      <c r="G80" s="417">
        <v>8</v>
      </c>
      <c r="H80" s="417">
        <v>8.07</v>
      </c>
      <c r="I80" s="417">
        <v>8.07</v>
      </c>
      <c r="J80" s="417">
        <v>8.07</v>
      </c>
      <c r="K80" s="415">
        <v>9.08</v>
      </c>
      <c r="L80" s="421">
        <v>9.08</v>
      </c>
      <c r="M80" s="415">
        <v>9.08</v>
      </c>
      <c r="N80" s="421">
        <v>9.08</v>
      </c>
      <c r="O80" s="415">
        <v>9.08</v>
      </c>
      <c r="P80" s="421">
        <v>9.08</v>
      </c>
      <c r="Q80" s="421">
        <v>9.08</v>
      </c>
      <c r="R80" s="421">
        <v>9.08</v>
      </c>
      <c r="S80" s="415">
        <v>9.08</v>
      </c>
      <c r="T80" s="421">
        <v>9.08</v>
      </c>
      <c r="U80" s="421">
        <v>9.08</v>
      </c>
      <c r="V80" s="421">
        <v>9.08</v>
      </c>
      <c r="W80" s="417">
        <v>8.07</v>
      </c>
      <c r="X80" s="417">
        <v>8.07</v>
      </c>
      <c r="Y80" s="417">
        <v>8</v>
      </c>
      <c r="Z80" s="417">
        <v>8</v>
      </c>
      <c r="AA80" s="445">
        <v>12.1</v>
      </c>
      <c r="AB80" s="445">
        <v>12.1</v>
      </c>
      <c r="AC80" s="417">
        <v>8</v>
      </c>
      <c r="AD80" s="417">
        <v>8</v>
      </c>
      <c r="AE80" s="417">
        <v>8.07</v>
      </c>
      <c r="AF80" s="422">
        <v>8.07</v>
      </c>
      <c r="AI80" s="695"/>
    </row>
    <row r="81" spans="1:35">
      <c r="A81" s="422">
        <v>8.07</v>
      </c>
      <c r="B81" s="417">
        <v>8.07</v>
      </c>
      <c r="C81" s="417">
        <v>8</v>
      </c>
      <c r="D81" s="415">
        <v>9.08</v>
      </c>
      <c r="E81" s="417">
        <v>8</v>
      </c>
      <c r="F81" s="417">
        <v>8</v>
      </c>
      <c r="G81" s="417">
        <v>8</v>
      </c>
      <c r="H81" s="417">
        <v>8.07</v>
      </c>
      <c r="I81" s="410">
        <v>8.07</v>
      </c>
      <c r="J81" s="417">
        <v>8.07</v>
      </c>
      <c r="K81" s="415">
        <v>9.08</v>
      </c>
      <c r="L81" s="421">
        <v>9.08</v>
      </c>
      <c r="M81" s="421">
        <v>9.08</v>
      </c>
      <c r="N81" s="415">
        <v>9.08</v>
      </c>
      <c r="O81" s="421">
        <v>9.08</v>
      </c>
      <c r="P81" s="415">
        <v>9.08</v>
      </c>
      <c r="Q81" s="421">
        <v>9.08</v>
      </c>
      <c r="R81" s="415">
        <v>9.08</v>
      </c>
      <c r="S81" s="421">
        <v>9.08</v>
      </c>
      <c r="T81" s="421">
        <v>9.08</v>
      </c>
      <c r="U81" s="421">
        <v>9.08</v>
      </c>
      <c r="V81" s="415">
        <v>9.08</v>
      </c>
      <c r="W81" s="417">
        <v>8.07</v>
      </c>
      <c r="X81" s="417">
        <v>8.07</v>
      </c>
      <c r="Y81" s="417">
        <v>8</v>
      </c>
      <c r="Z81" s="417">
        <v>8</v>
      </c>
      <c r="AA81" s="417">
        <v>8</v>
      </c>
      <c r="AB81" s="417">
        <v>8</v>
      </c>
      <c r="AC81" s="417">
        <v>8</v>
      </c>
      <c r="AD81" s="417">
        <v>8</v>
      </c>
      <c r="AE81" s="417">
        <v>8.07</v>
      </c>
      <c r="AF81" s="422">
        <v>8.07</v>
      </c>
      <c r="AI81" s="695"/>
    </row>
    <row r="82" spans="1:35">
      <c r="A82" s="422">
        <v>8.07</v>
      </c>
      <c r="B82" s="417">
        <v>8.07</v>
      </c>
      <c r="C82" s="417">
        <v>8</v>
      </c>
      <c r="D82" s="415">
        <v>9.08</v>
      </c>
      <c r="E82" s="417">
        <v>8</v>
      </c>
      <c r="F82" s="417">
        <v>8</v>
      </c>
      <c r="G82" s="417">
        <v>8</v>
      </c>
      <c r="H82" s="410">
        <v>8.07</v>
      </c>
      <c r="I82" s="419">
        <v>8.07</v>
      </c>
      <c r="J82" s="410">
        <v>8.07</v>
      </c>
      <c r="K82" s="415">
        <v>9.08</v>
      </c>
      <c r="L82" s="415">
        <v>9.08</v>
      </c>
      <c r="M82" s="415">
        <v>9.08</v>
      </c>
      <c r="N82" s="415">
        <v>9.08</v>
      </c>
      <c r="O82" s="415">
        <v>9.08</v>
      </c>
      <c r="P82" s="415">
        <v>9.08</v>
      </c>
      <c r="Q82" s="415">
        <v>9.08</v>
      </c>
      <c r="R82" s="415">
        <v>9.08</v>
      </c>
      <c r="S82" s="415">
        <v>9.08</v>
      </c>
      <c r="T82" s="415">
        <v>9.08</v>
      </c>
      <c r="U82" s="415">
        <v>9.08</v>
      </c>
      <c r="V82" s="415">
        <v>9.08</v>
      </c>
      <c r="W82" s="417">
        <v>8.07</v>
      </c>
      <c r="X82" s="417">
        <v>8.07</v>
      </c>
      <c r="Y82" s="417">
        <v>8</v>
      </c>
      <c r="Z82" s="417">
        <v>8</v>
      </c>
      <c r="AA82" s="417">
        <v>8</v>
      </c>
      <c r="AB82" s="417">
        <v>8</v>
      </c>
      <c r="AC82" s="417">
        <v>8</v>
      </c>
      <c r="AD82" s="417">
        <v>8</v>
      </c>
      <c r="AE82" s="417">
        <v>8.07</v>
      </c>
      <c r="AF82" s="422">
        <v>8.07</v>
      </c>
      <c r="AI82" s="695"/>
    </row>
    <row r="83" spans="1:35">
      <c r="A83" s="422">
        <v>8.07</v>
      </c>
      <c r="B83" s="417">
        <v>8.07</v>
      </c>
      <c r="C83" s="417">
        <v>8</v>
      </c>
      <c r="D83" s="417">
        <v>8</v>
      </c>
      <c r="E83" s="415">
        <v>9.09</v>
      </c>
      <c r="F83" s="417">
        <v>8</v>
      </c>
      <c r="G83" s="410">
        <v>8.07</v>
      </c>
      <c r="H83" s="419">
        <v>8.07</v>
      </c>
      <c r="I83" s="410">
        <v>8.07</v>
      </c>
      <c r="J83" s="410">
        <v>8.07</v>
      </c>
      <c r="K83" s="410">
        <v>8.07</v>
      </c>
      <c r="L83" s="417">
        <v>8.07</v>
      </c>
      <c r="M83" s="417">
        <v>8.07</v>
      </c>
      <c r="N83" s="417">
        <v>8.07</v>
      </c>
      <c r="O83" s="417">
        <v>8.07</v>
      </c>
      <c r="P83" s="417">
        <v>8.07</v>
      </c>
      <c r="Q83" s="417">
        <v>8.07</v>
      </c>
      <c r="R83" s="417">
        <v>8.07</v>
      </c>
      <c r="S83" s="417">
        <v>8.07</v>
      </c>
      <c r="T83" s="417">
        <v>8.07</v>
      </c>
      <c r="U83" s="417">
        <v>8.07</v>
      </c>
      <c r="V83" s="417">
        <v>8.07</v>
      </c>
      <c r="W83" s="417">
        <v>8.07</v>
      </c>
      <c r="X83" s="417">
        <v>8.07</v>
      </c>
      <c r="Y83" s="417">
        <v>8</v>
      </c>
      <c r="Z83" s="417">
        <v>8</v>
      </c>
      <c r="AA83" s="417">
        <v>8</v>
      </c>
      <c r="AB83" s="417">
        <v>8</v>
      </c>
      <c r="AC83" s="417">
        <v>8</v>
      </c>
      <c r="AD83" s="417">
        <v>8</v>
      </c>
      <c r="AE83" s="417">
        <v>8.07</v>
      </c>
      <c r="AF83" s="422">
        <v>8.07</v>
      </c>
      <c r="AI83" s="695"/>
    </row>
    <row r="84" spans="1:35">
      <c r="A84" s="422">
        <v>8.07</v>
      </c>
      <c r="B84" s="417">
        <v>8.07</v>
      </c>
      <c r="C84" s="417">
        <v>8</v>
      </c>
      <c r="D84" s="417">
        <v>8</v>
      </c>
      <c r="E84" s="415">
        <v>9.09</v>
      </c>
      <c r="F84" s="417">
        <v>8</v>
      </c>
      <c r="G84" s="417">
        <v>8</v>
      </c>
      <c r="H84" s="410">
        <v>8.07</v>
      </c>
      <c r="I84" s="419">
        <v>8.07</v>
      </c>
      <c r="J84" s="410">
        <v>8.07</v>
      </c>
      <c r="K84" s="417">
        <v>8.07</v>
      </c>
      <c r="L84" s="417">
        <v>8.07</v>
      </c>
      <c r="M84" s="417">
        <v>8.07</v>
      </c>
      <c r="N84" s="417">
        <v>8.07</v>
      </c>
      <c r="O84" s="417">
        <v>8.07</v>
      </c>
      <c r="P84" s="417">
        <v>8.07</v>
      </c>
      <c r="Q84" s="417">
        <v>8.07</v>
      </c>
      <c r="R84" s="417">
        <v>8.07</v>
      </c>
      <c r="S84" s="417">
        <v>8.07</v>
      </c>
      <c r="T84" s="417">
        <v>8.07</v>
      </c>
      <c r="U84" s="417">
        <v>8.07</v>
      </c>
      <c r="V84" s="417">
        <v>8.07</v>
      </c>
      <c r="W84" s="417">
        <v>8.07</v>
      </c>
      <c r="X84" s="417">
        <v>8.07</v>
      </c>
      <c r="Y84" s="417">
        <v>8</v>
      </c>
      <c r="Z84" s="417">
        <v>8</v>
      </c>
      <c r="AA84" s="417">
        <v>8</v>
      </c>
      <c r="AB84" s="417">
        <v>8</v>
      </c>
      <c r="AC84" s="417">
        <v>8</v>
      </c>
      <c r="AD84" s="417">
        <v>8</v>
      </c>
      <c r="AE84" s="417">
        <v>8.07</v>
      </c>
      <c r="AF84" s="422">
        <v>8.07</v>
      </c>
      <c r="AI84" s="695"/>
    </row>
    <row r="85" spans="1:35">
      <c r="A85" s="422">
        <v>8.07</v>
      </c>
      <c r="B85" s="417">
        <v>8.07</v>
      </c>
      <c r="C85" s="417">
        <v>8</v>
      </c>
      <c r="D85" s="417">
        <v>8</v>
      </c>
      <c r="E85" s="415">
        <v>9.09</v>
      </c>
      <c r="F85" s="417">
        <v>8</v>
      </c>
      <c r="G85" s="417">
        <v>8</v>
      </c>
      <c r="H85" s="417">
        <v>8.07</v>
      </c>
      <c r="I85" s="410">
        <v>8.07</v>
      </c>
      <c r="J85" s="417">
        <v>8.07</v>
      </c>
      <c r="K85" s="417">
        <v>8.07</v>
      </c>
      <c r="L85" s="417">
        <v>8.07</v>
      </c>
      <c r="M85" s="417">
        <v>8.07</v>
      </c>
      <c r="N85" s="417">
        <v>8.07</v>
      </c>
      <c r="O85" s="417">
        <v>8.07</v>
      </c>
      <c r="P85" s="417">
        <v>8.07</v>
      </c>
      <c r="Q85" s="417">
        <v>8.07</v>
      </c>
      <c r="R85" s="417">
        <v>8.07</v>
      </c>
      <c r="S85" s="417">
        <v>8.07</v>
      </c>
      <c r="T85" s="417">
        <v>8.07</v>
      </c>
      <c r="U85" s="417">
        <v>8.07</v>
      </c>
      <c r="V85" s="417">
        <v>8.07</v>
      </c>
      <c r="W85" s="417">
        <v>8.07</v>
      </c>
      <c r="X85" s="417">
        <v>8.07</v>
      </c>
      <c r="Y85" s="417">
        <v>8</v>
      </c>
      <c r="Z85" s="417">
        <v>8</v>
      </c>
      <c r="AA85" s="417">
        <v>8</v>
      </c>
      <c r="AB85" s="417">
        <v>8</v>
      </c>
      <c r="AC85" s="417">
        <v>8</v>
      </c>
      <c r="AD85" s="417">
        <v>8</v>
      </c>
      <c r="AE85" s="417">
        <v>8.07</v>
      </c>
      <c r="AF85" s="422">
        <v>8.07</v>
      </c>
      <c r="AI85" s="695"/>
    </row>
    <row r="86" spans="1:35">
      <c r="A86" s="422">
        <v>8.07</v>
      </c>
      <c r="B86" s="417">
        <v>8.07</v>
      </c>
      <c r="C86" s="417">
        <v>8</v>
      </c>
      <c r="D86" s="417">
        <v>8</v>
      </c>
      <c r="E86" s="415">
        <v>9.09</v>
      </c>
      <c r="F86" s="417">
        <v>8</v>
      </c>
      <c r="G86" s="417">
        <v>8.06</v>
      </c>
      <c r="H86" s="417">
        <v>8.06</v>
      </c>
      <c r="I86" s="417">
        <v>8.06</v>
      </c>
      <c r="J86" s="417">
        <v>8.06</v>
      </c>
      <c r="K86" s="417">
        <v>8.06</v>
      </c>
      <c r="L86" s="417">
        <v>8.06</v>
      </c>
      <c r="M86" s="417">
        <v>8.06</v>
      </c>
      <c r="N86" s="417">
        <v>8.06</v>
      </c>
      <c r="O86" s="417">
        <v>8.06</v>
      </c>
      <c r="P86" s="417">
        <v>8.06</v>
      </c>
      <c r="Q86" s="417">
        <v>8.06</v>
      </c>
      <c r="R86" s="417">
        <v>8.06</v>
      </c>
      <c r="S86" s="417">
        <v>8.06</v>
      </c>
      <c r="T86" s="417">
        <v>8.06</v>
      </c>
      <c r="U86" s="417">
        <v>8.06</v>
      </c>
      <c r="V86" s="417">
        <v>8.06</v>
      </c>
      <c r="W86" s="417">
        <v>8.06</v>
      </c>
      <c r="X86" s="417">
        <v>8</v>
      </c>
      <c r="Y86" s="417">
        <v>8</v>
      </c>
      <c r="Z86" s="417">
        <v>8</v>
      </c>
      <c r="AA86" s="417">
        <v>8</v>
      </c>
      <c r="AB86" s="417">
        <v>8</v>
      </c>
      <c r="AC86" s="417">
        <v>8</v>
      </c>
      <c r="AD86" s="417">
        <v>8</v>
      </c>
      <c r="AE86" s="417">
        <v>8.07</v>
      </c>
      <c r="AF86" s="422">
        <v>8.07</v>
      </c>
      <c r="AI86" s="695"/>
    </row>
    <row r="87" spans="1:35">
      <c r="A87" s="422">
        <v>8.07</v>
      </c>
      <c r="B87" s="417">
        <v>8.07</v>
      </c>
      <c r="C87" s="417">
        <v>8</v>
      </c>
      <c r="D87" s="417">
        <v>8</v>
      </c>
      <c r="E87" s="415">
        <v>9.09</v>
      </c>
      <c r="F87" s="417">
        <v>8</v>
      </c>
      <c r="G87" s="421">
        <v>18.079999999999998</v>
      </c>
      <c r="H87" s="458">
        <v>18.09</v>
      </c>
      <c r="I87" s="458">
        <v>18.09</v>
      </c>
      <c r="J87" s="458">
        <v>18.09</v>
      </c>
      <c r="K87" s="458">
        <v>18.09</v>
      </c>
      <c r="L87" s="458">
        <v>18.09</v>
      </c>
      <c r="M87" s="458">
        <v>18.09</v>
      </c>
      <c r="N87" s="458">
        <v>18.09</v>
      </c>
      <c r="O87" s="458">
        <v>18.09</v>
      </c>
      <c r="P87" s="458">
        <v>18.09</v>
      </c>
      <c r="Q87" s="458">
        <v>18.09</v>
      </c>
      <c r="R87" s="458">
        <v>18.09</v>
      </c>
      <c r="S87" s="458">
        <v>18.09</v>
      </c>
      <c r="T87" s="458">
        <v>18.09</v>
      </c>
      <c r="U87" s="458">
        <v>18.09</v>
      </c>
      <c r="V87" s="458">
        <v>18.09</v>
      </c>
      <c r="W87" s="458">
        <v>18.09</v>
      </c>
      <c r="X87" s="458">
        <v>18.09</v>
      </c>
      <c r="Y87" s="421">
        <v>18.079999999999998</v>
      </c>
      <c r="Z87" s="417">
        <v>8</v>
      </c>
      <c r="AA87" s="417">
        <v>8</v>
      </c>
      <c r="AB87" s="417">
        <v>8</v>
      </c>
      <c r="AC87" s="417">
        <v>8</v>
      </c>
      <c r="AD87" s="417">
        <v>8</v>
      </c>
      <c r="AE87" s="417">
        <v>8.07</v>
      </c>
      <c r="AF87" s="422">
        <v>8.07</v>
      </c>
      <c r="AI87" s="695"/>
    </row>
    <row r="88" spans="1:35">
      <c r="A88" s="422">
        <v>8.07</v>
      </c>
      <c r="B88" s="417">
        <v>8.07</v>
      </c>
      <c r="C88" s="417">
        <v>8</v>
      </c>
      <c r="D88" s="417">
        <v>8</v>
      </c>
      <c r="E88" s="415">
        <v>9.09</v>
      </c>
      <c r="F88" s="417">
        <v>8</v>
      </c>
      <c r="G88" s="421">
        <v>19.079999999999998</v>
      </c>
      <c r="H88" s="421">
        <v>19.079999999999998</v>
      </c>
      <c r="I88" s="421">
        <v>19.079999999999998</v>
      </c>
      <c r="J88" s="421">
        <v>19.079999999999998</v>
      </c>
      <c r="K88" s="421">
        <v>19.079999999999998</v>
      </c>
      <c r="L88" s="421">
        <v>19.079999999999998</v>
      </c>
      <c r="M88" s="421">
        <v>19.079999999999998</v>
      </c>
      <c r="N88" s="421">
        <v>19.079999999999998</v>
      </c>
      <c r="O88" s="421">
        <v>19.079999999999998</v>
      </c>
      <c r="P88" s="421">
        <v>19.079999999999998</v>
      </c>
      <c r="Q88" s="421">
        <v>19.079999999999998</v>
      </c>
      <c r="R88" s="421">
        <v>19.079999999999998</v>
      </c>
      <c r="S88" s="421">
        <v>19.079999999999998</v>
      </c>
      <c r="T88" s="421">
        <v>19.079999999999998</v>
      </c>
      <c r="U88" s="421">
        <v>19.079999999999998</v>
      </c>
      <c r="V88" s="421">
        <v>19.079999999999998</v>
      </c>
      <c r="W88" s="421">
        <v>19.079999999999998</v>
      </c>
      <c r="X88" s="421">
        <v>19.079999999999998</v>
      </c>
      <c r="Y88" s="421">
        <v>19.079999999999998</v>
      </c>
      <c r="Z88" s="417">
        <v>8</v>
      </c>
      <c r="AA88" s="417">
        <v>8</v>
      </c>
      <c r="AB88" s="417">
        <v>8</v>
      </c>
      <c r="AC88" s="417">
        <v>8</v>
      </c>
      <c r="AD88" s="417">
        <v>8</v>
      </c>
      <c r="AE88" s="417">
        <v>8.07</v>
      </c>
      <c r="AF88" s="422">
        <v>8.07</v>
      </c>
      <c r="AI88" s="695"/>
    </row>
    <row r="89" spans="1:35">
      <c r="A89" s="422">
        <v>8.07</v>
      </c>
      <c r="B89" s="417">
        <v>8.07</v>
      </c>
      <c r="C89" s="417">
        <v>8</v>
      </c>
      <c r="D89" s="417">
        <v>8</v>
      </c>
      <c r="E89" s="417">
        <v>8</v>
      </c>
      <c r="F89" s="415">
        <v>9.08</v>
      </c>
      <c r="G89" s="417">
        <v>8</v>
      </c>
      <c r="H89" s="421">
        <v>15.08</v>
      </c>
      <c r="I89" s="421">
        <v>15.08</v>
      </c>
      <c r="J89" s="421">
        <v>15.08</v>
      </c>
      <c r="K89" s="421">
        <v>15.08</v>
      </c>
      <c r="L89" s="421">
        <v>15.08</v>
      </c>
      <c r="M89" s="421">
        <v>15.08</v>
      </c>
      <c r="N89" s="421">
        <v>15.08</v>
      </c>
      <c r="O89" s="421">
        <v>15.08</v>
      </c>
      <c r="P89" s="421">
        <v>15.08</v>
      </c>
      <c r="Q89" s="421">
        <v>15.08</v>
      </c>
      <c r="R89" s="421">
        <v>15.08</v>
      </c>
      <c r="S89" s="421">
        <v>15.08</v>
      </c>
      <c r="T89" s="421">
        <v>15.08</v>
      </c>
      <c r="U89" s="421">
        <v>15.08</v>
      </c>
      <c r="V89" s="421">
        <v>15.08</v>
      </c>
      <c r="W89" s="421">
        <v>15.08</v>
      </c>
      <c r="X89" s="421">
        <v>15.08</v>
      </c>
      <c r="Y89" s="417">
        <v>8</v>
      </c>
      <c r="Z89" s="417">
        <v>8</v>
      </c>
      <c r="AA89" s="417">
        <v>8</v>
      </c>
      <c r="AB89" s="417">
        <v>8</v>
      </c>
      <c r="AC89" s="417">
        <v>8</v>
      </c>
      <c r="AD89" s="417">
        <v>8</v>
      </c>
      <c r="AE89" s="417">
        <v>8.07</v>
      </c>
      <c r="AF89" s="422">
        <v>8.07</v>
      </c>
      <c r="AI89" s="695"/>
    </row>
    <row r="90" spans="1:35">
      <c r="A90" s="422">
        <v>8.07</v>
      </c>
      <c r="B90" s="417">
        <v>8.07</v>
      </c>
      <c r="C90" s="417">
        <v>8</v>
      </c>
      <c r="D90" s="417">
        <v>8</v>
      </c>
      <c r="E90" s="417">
        <v>8</v>
      </c>
      <c r="F90" s="417">
        <v>8.07</v>
      </c>
      <c r="G90" s="415">
        <v>9.08</v>
      </c>
      <c r="H90" s="417">
        <v>8.07</v>
      </c>
      <c r="I90" s="417">
        <v>8.07</v>
      </c>
      <c r="J90" s="417">
        <v>8.07</v>
      </c>
      <c r="K90" s="417">
        <v>8.07</v>
      </c>
      <c r="L90" s="421">
        <v>14.09</v>
      </c>
      <c r="M90" s="421">
        <v>14.09</v>
      </c>
      <c r="N90" s="421">
        <v>14.09</v>
      </c>
      <c r="O90" s="421">
        <v>14.09</v>
      </c>
      <c r="P90" s="421">
        <v>14.09</v>
      </c>
      <c r="Q90" s="421">
        <v>14.09</v>
      </c>
      <c r="R90" s="421">
        <v>14.09</v>
      </c>
      <c r="S90" s="421">
        <v>14.09</v>
      </c>
      <c r="T90" s="421">
        <v>14.09</v>
      </c>
      <c r="U90" s="417">
        <v>8.07</v>
      </c>
      <c r="V90" s="417">
        <v>8.07</v>
      </c>
      <c r="W90" s="417">
        <v>8.07</v>
      </c>
      <c r="X90" s="417">
        <v>8</v>
      </c>
      <c r="Y90" s="417">
        <v>8</v>
      </c>
      <c r="Z90" s="417">
        <v>8</v>
      </c>
      <c r="AA90" s="417">
        <v>8</v>
      </c>
      <c r="AB90" s="417">
        <v>8</v>
      </c>
      <c r="AC90" s="417">
        <v>8</v>
      </c>
      <c r="AD90" s="417">
        <v>8</v>
      </c>
      <c r="AE90" s="417">
        <v>8.07</v>
      </c>
      <c r="AF90" s="422">
        <v>8.07</v>
      </c>
      <c r="AI90" s="695"/>
    </row>
    <row r="91" spans="1:35">
      <c r="A91" s="422">
        <v>8.07</v>
      </c>
      <c r="B91" s="417">
        <v>8.07</v>
      </c>
      <c r="C91" s="417">
        <v>8</v>
      </c>
      <c r="D91" s="417">
        <v>8</v>
      </c>
      <c r="E91" s="417">
        <v>8</v>
      </c>
      <c r="F91" s="417">
        <v>8.07</v>
      </c>
      <c r="G91" s="417">
        <v>8.07</v>
      </c>
      <c r="H91" s="415">
        <v>9.08</v>
      </c>
      <c r="I91" s="417">
        <v>8.07</v>
      </c>
      <c r="J91" s="417">
        <v>8.07</v>
      </c>
      <c r="K91" s="417">
        <v>8.07</v>
      </c>
      <c r="L91" s="417">
        <v>8.07</v>
      </c>
      <c r="M91" s="415">
        <v>9.08</v>
      </c>
      <c r="N91" s="421">
        <v>13.11</v>
      </c>
      <c r="O91" s="421">
        <v>13.11</v>
      </c>
      <c r="P91" s="421">
        <v>13.11</v>
      </c>
      <c r="Q91" s="421">
        <v>13.11</v>
      </c>
      <c r="R91" s="421">
        <v>13.11</v>
      </c>
      <c r="S91" s="417">
        <v>8.07</v>
      </c>
      <c r="T91" s="417">
        <v>8.07</v>
      </c>
      <c r="U91" s="417">
        <v>8.07</v>
      </c>
      <c r="V91" s="417">
        <v>8.07</v>
      </c>
      <c r="W91" s="417">
        <v>8.07</v>
      </c>
      <c r="X91" s="417">
        <v>8.07</v>
      </c>
      <c r="Y91" s="417">
        <v>8</v>
      </c>
      <c r="Z91" s="417">
        <v>8</v>
      </c>
      <c r="AA91" s="417">
        <v>8</v>
      </c>
      <c r="AB91" s="417">
        <v>8</v>
      </c>
      <c r="AC91" s="417">
        <v>8</v>
      </c>
      <c r="AD91" s="417">
        <v>8</v>
      </c>
      <c r="AE91" s="417">
        <v>8.07</v>
      </c>
      <c r="AF91" s="422">
        <v>8.07</v>
      </c>
      <c r="AI91" s="695"/>
    </row>
    <row r="92" spans="1:35">
      <c r="A92" s="422">
        <v>8.07</v>
      </c>
      <c r="B92" s="417">
        <v>8.07</v>
      </c>
      <c r="C92" s="417">
        <v>8</v>
      </c>
      <c r="D92" s="417">
        <v>8</v>
      </c>
      <c r="E92" s="417">
        <v>8</v>
      </c>
      <c r="F92" s="417">
        <v>8.07</v>
      </c>
      <c r="G92" s="417">
        <v>8.07</v>
      </c>
      <c r="H92" s="415">
        <v>9.08</v>
      </c>
      <c r="I92" s="417">
        <v>8</v>
      </c>
      <c r="J92" s="415">
        <v>9.08</v>
      </c>
      <c r="K92" s="415">
        <v>9.08</v>
      </c>
      <c r="L92" s="415">
        <v>9.08</v>
      </c>
      <c r="M92" s="417">
        <v>8.07</v>
      </c>
      <c r="N92" s="417">
        <v>8.07</v>
      </c>
      <c r="O92" s="417">
        <v>8.07</v>
      </c>
      <c r="P92" s="417">
        <v>8.07</v>
      </c>
      <c r="Q92" s="417">
        <v>8.07</v>
      </c>
      <c r="R92" s="417">
        <v>8.07</v>
      </c>
      <c r="S92" s="417">
        <v>8.07</v>
      </c>
      <c r="T92" s="417">
        <v>8.07</v>
      </c>
      <c r="U92" s="417">
        <v>8.07</v>
      </c>
      <c r="V92" s="417">
        <v>8.07</v>
      </c>
      <c r="W92" s="417">
        <v>8.07</v>
      </c>
      <c r="X92" s="417">
        <v>8.07</v>
      </c>
      <c r="Y92" s="417">
        <v>8</v>
      </c>
      <c r="Z92" s="417">
        <v>8</v>
      </c>
      <c r="AA92" s="417">
        <v>8</v>
      </c>
      <c r="AB92" s="417">
        <v>8</v>
      </c>
      <c r="AC92" s="417">
        <v>8</v>
      </c>
      <c r="AD92" s="417">
        <v>8</v>
      </c>
      <c r="AE92" s="417">
        <v>8.07</v>
      </c>
      <c r="AF92" s="422">
        <v>8.07</v>
      </c>
      <c r="AI92" s="695"/>
    </row>
    <row r="93" spans="1:35">
      <c r="A93" s="422">
        <v>8.07</v>
      </c>
      <c r="B93" s="417">
        <v>8.07</v>
      </c>
      <c r="C93" s="417">
        <v>8</v>
      </c>
      <c r="D93" s="417">
        <v>8</v>
      </c>
      <c r="E93" s="417">
        <v>8</v>
      </c>
      <c r="F93" s="417">
        <v>8</v>
      </c>
      <c r="G93" s="417">
        <v>8</v>
      </c>
      <c r="H93" s="417">
        <v>8</v>
      </c>
      <c r="I93" s="415">
        <v>9.08</v>
      </c>
      <c r="J93" s="417">
        <v>8</v>
      </c>
      <c r="K93" s="417">
        <v>8</v>
      </c>
      <c r="L93" s="417">
        <v>8</v>
      </c>
      <c r="M93" s="417">
        <v>8.07</v>
      </c>
      <c r="N93" s="417">
        <v>8.07</v>
      </c>
      <c r="O93" s="417">
        <v>8.07</v>
      </c>
      <c r="P93" s="417">
        <v>8.07</v>
      </c>
      <c r="Q93" s="417">
        <v>8.07</v>
      </c>
      <c r="R93" s="417">
        <v>8.07</v>
      </c>
      <c r="S93" s="417">
        <v>8.07</v>
      </c>
      <c r="T93" s="417">
        <v>8.07</v>
      </c>
      <c r="U93" s="417">
        <v>8.07</v>
      </c>
      <c r="V93" s="417">
        <v>8.07</v>
      </c>
      <c r="W93" s="417">
        <v>8.07</v>
      </c>
      <c r="X93" s="417">
        <v>8.07</v>
      </c>
      <c r="Y93" s="417">
        <v>8</v>
      </c>
      <c r="Z93" s="417">
        <v>8</v>
      </c>
      <c r="AA93" s="417">
        <v>8</v>
      </c>
      <c r="AB93" s="417">
        <v>8</v>
      </c>
      <c r="AC93" s="417">
        <v>8</v>
      </c>
      <c r="AD93" s="417">
        <v>8</v>
      </c>
      <c r="AE93" s="417">
        <v>8.07</v>
      </c>
      <c r="AF93" s="422">
        <v>8.07</v>
      </c>
      <c r="AI93" s="695"/>
    </row>
    <row r="94" spans="1:35">
      <c r="AH94">
        <v>93</v>
      </c>
      <c r="AI94" s="695"/>
    </row>
    <row r="95" spans="1:35">
      <c r="A95" s="422">
        <v>8.07</v>
      </c>
      <c r="B95" s="422">
        <v>8.07</v>
      </c>
      <c r="C95" s="422">
        <v>8</v>
      </c>
      <c r="D95" s="422">
        <v>8</v>
      </c>
      <c r="E95" s="422">
        <v>8</v>
      </c>
      <c r="F95" s="422">
        <v>8</v>
      </c>
      <c r="G95" s="422">
        <v>8</v>
      </c>
      <c r="H95" s="422">
        <v>8</v>
      </c>
      <c r="I95" s="415">
        <v>9</v>
      </c>
      <c r="J95" s="422">
        <v>8</v>
      </c>
      <c r="K95" s="422">
        <v>8</v>
      </c>
      <c r="L95" s="422">
        <v>8</v>
      </c>
      <c r="M95" s="422">
        <v>8</v>
      </c>
      <c r="N95" s="422">
        <v>8</v>
      </c>
      <c r="O95" s="422">
        <v>8</v>
      </c>
      <c r="P95" s="422">
        <v>8</v>
      </c>
      <c r="Q95" s="422">
        <v>8</v>
      </c>
      <c r="R95" s="422">
        <v>8</v>
      </c>
      <c r="S95" s="422">
        <v>8</v>
      </c>
      <c r="T95" s="422">
        <v>8</v>
      </c>
      <c r="U95" s="422">
        <v>8</v>
      </c>
      <c r="V95" s="422">
        <v>8</v>
      </c>
      <c r="W95" s="422">
        <v>8</v>
      </c>
      <c r="X95" s="422">
        <v>8</v>
      </c>
      <c r="Y95" s="422">
        <v>8</v>
      </c>
      <c r="Z95" s="422">
        <v>8</v>
      </c>
      <c r="AA95" s="422">
        <v>8</v>
      </c>
      <c r="AB95" s="422">
        <v>8</v>
      </c>
      <c r="AC95" s="422">
        <v>8</v>
      </c>
      <c r="AD95" s="422">
        <v>8</v>
      </c>
      <c r="AE95" s="422">
        <v>8.07</v>
      </c>
      <c r="AF95" s="422">
        <v>8.07</v>
      </c>
      <c r="AI95" s="695"/>
    </row>
    <row r="96" spans="1:35">
      <c r="A96" s="321"/>
      <c r="B96" s="321"/>
      <c r="C96" s="321"/>
      <c r="D96" s="321"/>
      <c r="E96" s="321"/>
      <c r="F96" s="321"/>
      <c r="G96" s="321"/>
      <c r="H96" s="321"/>
      <c r="I96" s="415">
        <v>9.07</v>
      </c>
      <c r="J96" s="321"/>
      <c r="K96" s="321"/>
      <c r="L96" s="321"/>
      <c r="M96" s="321"/>
      <c r="N96" s="321"/>
      <c r="O96" s="321"/>
      <c r="P96" s="321"/>
      <c r="Q96" s="321"/>
      <c r="R96" s="321"/>
      <c r="S96" s="321"/>
      <c r="T96" s="321"/>
      <c r="U96" s="321"/>
      <c r="V96" s="321"/>
      <c r="W96" s="321"/>
      <c r="X96" s="321"/>
      <c r="Y96" s="321"/>
      <c r="Z96" s="321"/>
      <c r="AA96" s="321"/>
      <c r="AB96" s="321"/>
      <c r="AC96" s="321"/>
      <c r="AD96" s="321"/>
      <c r="AE96" s="321"/>
      <c r="AF96" s="321"/>
      <c r="AI96" s="695"/>
    </row>
    <row r="97" spans="1:35">
      <c r="A97" s="679"/>
      <c r="B97" s="484"/>
      <c r="C97" s="484"/>
      <c r="D97" s="484"/>
      <c r="E97" s="484"/>
      <c r="F97" s="484"/>
      <c r="G97" s="409">
        <v>16</v>
      </c>
      <c r="H97" s="420">
        <v>16</v>
      </c>
      <c r="I97" s="420">
        <v>16</v>
      </c>
      <c r="J97" s="409">
        <v>12</v>
      </c>
      <c r="K97" s="409">
        <v>12</v>
      </c>
      <c r="L97" s="420">
        <v>12</v>
      </c>
      <c r="M97" s="409">
        <v>12</v>
      </c>
      <c r="N97" s="409">
        <v>12</v>
      </c>
      <c r="O97" s="409">
        <v>12</v>
      </c>
      <c r="P97" s="420">
        <v>12</v>
      </c>
      <c r="Q97" s="409">
        <v>12</v>
      </c>
      <c r="R97" s="409">
        <v>12</v>
      </c>
      <c r="S97" s="420">
        <v>12</v>
      </c>
      <c r="T97" s="409">
        <v>12</v>
      </c>
      <c r="U97" s="409">
        <v>12</v>
      </c>
      <c r="V97" s="409">
        <v>12</v>
      </c>
      <c r="W97" s="409">
        <v>12</v>
      </c>
      <c r="X97" s="420">
        <v>16</v>
      </c>
      <c r="Y97" s="409">
        <v>16</v>
      </c>
      <c r="Z97" s="420">
        <v>16</v>
      </c>
      <c r="AA97" s="484"/>
      <c r="AB97" s="321"/>
      <c r="AC97" s="484"/>
      <c r="AD97" s="484"/>
      <c r="AE97" s="484"/>
      <c r="AF97" s="696"/>
      <c r="AG97">
        <v>4</v>
      </c>
      <c r="AI97" s="695"/>
    </row>
    <row r="98" spans="1:35">
      <c r="A98" s="483"/>
      <c r="B98" s="321"/>
      <c r="C98" s="321"/>
      <c r="D98" s="321"/>
      <c r="E98" s="321"/>
      <c r="F98" s="321"/>
      <c r="G98" s="420">
        <v>16</v>
      </c>
      <c r="H98" s="409">
        <v>16</v>
      </c>
      <c r="I98" s="409">
        <v>16</v>
      </c>
      <c r="J98" s="409">
        <v>12</v>
      </c>
      <c r="K98" s="409">
        <v>12</v>
      </c>
      <c r="L98" s="420">
        <v>12</v>
      </c>
      <c r="M98" s="409">
        <v>12</v>
      </c>
      <c r="N98" s="409">
        <v>12</v>
      </c>
      <c r="O98" s="409">
        <v>12</v>
      </c>
      <c r="P98" s="409">
        <v>12</v>
      </c>
      <c r="Q98" s="409">
        <v>12</v>
      </c>
      <c r="R98" s="409">
        <v>12</v>
      </c>
      <c r="S98" s="420">
        <v>12</v>
      </c>
      <c r="T98" s="409">
        <v>12</v>
      </c>
      <c r="U98" s="409">
        <v>12</v>
      </c>
      <c r="V98" s="420">
        <v>12</v>
      </c>
      <c r="W98" s="409">
        <v>12</v>
      </c>
      <c r="X98" s="409">
        <v>16</v>
      </c>
      <c r="Y98" s="420">
        <v>16</v>
      </c>
      <c r="Z98" s="409">
        <v>16</v>
      </c>
      <c r="AA98" s="321"/>
      <c r="AB98" s="321"/>
      <c r="AC98" s="321"/>
      <c r="AD98" s="321"/>
      <c r="AE98" s="321"/>
      <c r="AF98" s="564"/>
      <c r="AI98" s="326"/>
    </row>
    <row r="99" spans="1:35">
      <c r="A99" s="483"/>
      <c r="B99" s="321"/>
      <c r="C99" s="321"/>
      <c r="D99" s="321"/>
      <c r="E99" s="321"/>
      <c r="F99" s="321"/>
      <c r="G99" s="420">
        <v>16</v>
      </c>
      <c r="H99" s="420">
        <v>16</v>
      </c>
      <c r="I99" s="409">
        <v>16</v>
      </c>
      <c r="J99" s="409">
        <v>12</v>
      </c>
      <c r="K99" s="409">
        <v>12</v>
      </c>
      <c r="L99" s="409">
        <v>12</v>
      </c>
      <c r="M99" s="420">
        <v>12</v>
      </c>
      <c r="N99" s="409">
        <v>12</v>
      </c>
      <c r="O99" s="409">
        <v>12</v>
      </c>
      <c r="P99" s="409">
        <v>12</v>
      </c>
      <c r="Q99" s="409">
        <v>12</v>
      </c>
      <c r="R99" s="409">
        <v>12</v>
      </c>
      <c r="S99" s="409">
        <v>12</v>
      </c>
      <c r="T99" s="409">
        <v>12</v>
      </c>
      <c r="U99" s="409">
        <v>12</v>
      </c>
      <c r="V99" s="420">
        <v>12</v>
      </c>
      <c r="W99" s="409">
        <v>12</v>
      </c>
      <c r="X99" s="409">
        <v>16</v>
      </c>
      <c r="Y99" s="409">
        <v>16</v>
      </c>
      <c r="Z99" s="420">
        <v>16</v>
      </c>
      <c r="AA99" s="321"/>
      <c r="AB99" s="321"/>
      <c r="AC99" s="321"/>
      <c r="AD99" s="321"/>
      <c r="AE99" s="321"/>
      <c r="AF99" s="564"/>
      <c r="AI99" s="326"/>
    </row>
    <row r="100" spans="1:35">
      <c r="A100" s="483"/>
      <c r="B100" s="321"/>
      <c r="C100" s="321"/>
      <c r="D100" s="321"/>
      <c r="E100" s="321"/>
      <c r="F100" s="321"/>
      <c r="G100" s="411">
        <v>5</v>
      </c>
      <c r="H100" s="411">
        <v>6</v>
      </c>
      <c r="I100" s="411">
        <v>6</v>
      </c>
      <c r="J100" s="411">
        <v>6</v>
      </c>
      <c r="K100" s="411">
        <v>6</v>
      </c>
      <c r="L100" s="411">
        <v>6</v>
      </c>
      <c r="M100" s="411">
        <v>6</v>
      </c>
      <c r="N100" s="411">
        <v>6</v>
      </c>
      <c r="O100" s="411">
        <v>6</v>
      </c>
      <c r="P100" s="411">
        <v>6</v>
      </c>
      <c r="Q100" s="411">
        <v>6</v>
      </c>
      <c r="R100" s="411">
        <v>6</v>
      </c>
      <c r="S100" s="411">
        <v>6</v>
      </c>
      <c r="T100" s="411">
        <v>6</v>
      </c>
      <c r="U100" s="411">
        <v>6</v>
      </c>
      <c r="V100" s="411">
        <v>6</v>
      </c>
      <c r="W100" s="411">
        <v>6</v>
      </c>
      <c r="X100" s="411">
        <v>6</v>
      </c>
      <c r="Y100" s="411">
        <v>6</v>
      </c>
      <c r="Z100" s="411">
        <v>5</v>
      </c>
      <c r="AA100" s="321"/>
      <c r="AB100" s="321"/>
      <c r="AC100" s="321"/>
      <c r="AD100" s="321"/>
      <c r="AE100" s="321"/>
      <c r="AF100" s="564"/>
      <c r="AI100" s="326"/>
    </row>
    <row r="101" spans="1:35">
      <c r="AH101">
        <v>100</v>
      </c>
      <c r="AI101" s="326"/>
    </row>
    <row r="102" spans="1:35">
      <c r="AH102">
        <v>100</v>
      </c>
      <c r="AI102" s="326"/>
    </row>
    <row r="103" spans="1:35">
      <c r="AH103">
        <v>100</v>
      </c>
      <c r="AI103" s="326"/>
    </row>
    <row r="104" spans="1:35">
      <c r="AH104">
        <v>100</v>
      </c>
      <c r="AI104" s="326"/>
    </row>
    <row r="105" spans="1:35">
      <c r="AH105">
        <v>100</v>
      </c>
      <c r="AI105" s="326"/>
    </row>
    <row r="106" spans="1:35">
      <c r="AH106">
        <v>100</v>
      </c>
      <c r="AI106" s="326"/>
    </row>
    <row r="107" spans="1:35">
      <c r="A107" s="483"/>
      <c r="B107" s="321"/>
      <c r="C107" s="321"/>
      <c r="D107" s="321"/>
      <c r="E107" s="321"/>
      <c r="F107" s="321"/>
      <c r="G107" s="411">
        <v>5</v>
      </c>
      <c r="H107" s="411">
        <v>6</v>
      </c>
      <c r="I107" s="411">
        <v>6</v>
      </c>
      <c r="J107" s="411">
        <v>6</v>
      </c>
      <c r="K107" s="411">
        <v>6</v>
      </c>
      <c r="L107" s="411">
        <v>6</v>
      </c>
      <c r="M107" s="411">
        <v>6</v>
      </c>
      <c r="N107" s="411">
        <v>6</v>
      </c>
      <c r="O107" s="411">
        <v>6</v>
      </c>
      <c r="P107" s="439">
        <v>6</v>
      </c>
      <c r="Q107" s="439">
        <v>6</v>
      </c>
      <c r="R107" s="411">
        <v>6</v>
      </c>
      <c r="S107" s="411">
        <v>6</v>
      </c>
      <c r="T107" s="411">
        <v>6</v>
      </c>
      <c r="U107" s="411">
        <v>6</v>
      </c>
      <c r="V107" s="411">
        <v>6</v>
      </c>
      <c r="W107" s="411">
        <v>6</v>
      </c>
      <c r="X107" s="411">
        <v>6</v>
      </c>
      <c r="Y107" s="411">
        <v>6</v>
      </c>
      <c r="Z107" s="411">
        <v>5</v>
      </c>
      <c r="AA107" s="321"/>
      <c r="AB107" s="321"/>
      <c r="AC107" s="321"/>
      <c r="AD107" s="321"/>
      <c r="AE107" s="321"/>
      <c r="AF107" s="564"/>
      <c r="AI107" s="326"/>
    </row>
    <row r="108" spans="1:35">
      <c r="A108" s="483"/>
      <c r="B108" s="321"/>
      <c r="C108" s="321"/>
      <c r="D108" s="321"/>
      <c r="E108" s="321"/>
      <c r="F108" s="321"/>
      <c r="G108" s="411">
        <v>5</v>
      </c>
      <c r="H108" s="411">
        <v>6</v>
      </c>
      <c r="I108" s="411">
        <v>6</v>
      </c>
      <c r="J108" s="411">
        <v>6</v>
      </c>
      <c r="K108" s="411">
        <v>6</v>
      </c>
      <c r="L108" s="411">
        <v>6</v>
      </c>
      <c r="M108" s="411">
        <v>6</v>
      </c>
      <c r="N108" s="411">
        <v>6</v>
      </c>
      <c r="O108" s="439">
        <v>6</v>
      </c>
      <c r="P108" s="410">
        <v>5</v>
      </c>
      <c r="Q108" s="410">
        <v>5</v>
      </c>
      <c r="R108" s="439">
        <v>6</v>
      </c>
      <c r="S108" s="411">
        <v>6</v>
      </c>
      <c r="T108" s="411">
        <v>6</v>
      </c>
      <c r="U108" s="411">
        <v>6</v>
      </c>
      <c r="V108" s="411">
        <v>6</v>
      </c>
      <c r="W108" s="411">
        <v>6</v>
      </c>
      <c r="X108" s="411">
        <v>6</v>
      </c>
      <c r="Y108" s="411">
        <v>6</v>
      </c>
      <c r="Z108" s="411">
        <v>5</v>
      </c>
      <c r="AA108" s="321"/>
      <c r="AB108" s="321"/>
      <c r="AC108" s="321"/>
      <c r="AD108" s="321"/>
      <c r="AE108" s="321"/>
      <c r="AF108" s="564"/>
      <c r="AI108" s="326"/>
    </row>
    <row r="109" spans="1:35">
      <c r="A109" s="483"/>
      <c r="B109" s="321"/>
      <c r="C109" s="321"/>
      <c r="D109" s="321"/>
      <c r="E109" s="321"/>
      <c r="F109" s="321"/>
      <c r="G109" s="411">
        <v>5</v>
      </c>
      <c r="H109" s="411">
        <v>6</v>
      </c>
      <c r="I109" s="411">
        <v>6</v>
      </c>
      <c r="J109" s="411">
        <v>6</v>
      </c>
      <c r="K109" s="411">
        <v>6</v>
      </c>
      <c r="L109" s="411">
        <v>6</v>
      </c>
      <c r="M109" s="411">
        <v>6</v>
      </c>
      <c r="N109" s="439">
        <v>6</v>
      </c>
      <c r="O109" s="410">
        <v>5</v>
      </c>
      <c r="P109" s="410">
        <v>5</v>
      </c>
      <c r="Q109" s="410">
        <v>5</v>
      </c>
      <c r="R109" s="410">
        <v>5</v>
      </c>
      <c r="S109" s="439">
        <v>6</v>
      </c>
      <c r="T109" s="411">
        <v>6</v>
      </c>
      <c r="U109" s="411">
        <v>6</v>
      </c>
      <c r="V109" s="411">
        <v>6</v>
      </c>
      <c r="W109" s="411">
        <v>6</v>
      </c>
      <c r="X109" s="411">
        <v>6</v>
      </c>
      <c r="Y109" s="411">
        <v>6</v>
      </c>
      <c r="Z109" s="411">
        <v>5</v>
      </c>
      <c r="AA109" s="321"/>
      <c r="AB109" s="321"/>
      <c r="AC109" s="321"/>
      <c r="AD109" s="321"/>
      <c r="AE109" s="321"/>
      <c r="AF109" s="564"/>
      <c r="AI109" s="326"/>
    </row>
    <row r="110" spans="1:35">
      <c r="A110" s="483"/>
      <c r="B110" s="321"/>
      <c r="C110" s="321"/>
      <c r="D110" s="321"/>
      <c r="E110" s="321"/>
      <c r="F110" s="321"/>
      <c r="G110" s="411">
        <v>5</v>
      </c>
      <c r="H110" s="411">
        <v>6</v>
      </c>
      <c r="I110" s="411">
        <v>6</v>
      </c>
      <c r="J110" s="411">
        <v>6</v>
      </c>
      <c r="K110" s="411">
        <v>6</v>
      </c>
      <c r="L110" s="411">
        <v>6</v>
      </c>
      <c r="M110" s="439">
        <v>6</v>
      </c>
      <c r="N110" s="410">
        <v>5</v>
      </c>
      <c r="O110" s="410">
        <v>5</v>
      </c>
      <c r="P110" s="410">
        <v>5</v>
      </c>
      <c r="Q110" s="410">
        <v>5</v>
      </c>
      <c r="R110" s="410">
        <v>5</v>
      </c>
      <c r="S110" s="410">
        <v>5</v>
      </c>
      <c r="T110" s="439">
        <v>6</v>
      </c>
      <c r="U110" s="411">
        <v>6</v>
      </c>
      <c r="V110" s="411">
        <v>6</v>
      </c>
      <c r="W110" s="411">
        <v>6</v>
      </c>
      <c r="X110" s="411">
        <v>6</v>
      </c>
      <c r="Y110" s="411">
        <v>6</v>
      </c>
      <c r="Z110" s="411">
        <v>5</v>
      </c>
      <c r="AA110" s="321"/>
      <c r="AB110" s="321"/>
      <c r="AC110" s="321"/>
      <c r="AD110" s="321"/>
      <c r="AE110" s="321"/>
      <c r="AF110" s="564"/>
      <c r="AI110" s="326"/>
    </row>
    <row r="111" spans="1:35">
      <c r="A111" s="483"/>
      <c r="B111" s="321"/>
      <c r="C111" s="321"/>
      <c r="D111" s="321"/>
      <c r="E111" s="321"/>
      <c r="F111" s="321"/>
      <c r="G111" s="411">
        <v>5</v>
      </c>
      <c r="H111" s="411">
        <v>6</v>
      </c>
      <c r="I111" s="411">
        <v>6</v>
      </c>
      <c r="J111" s="411">
        <v>6</v>
      </c>
      <c r="K111" s="411">
        <v>6</v>
      </c>
      <c r="L111" s="439">
        <v>6</v>
      </c>
      <c r="M111" s="410">
        <v>5</v>
      </c>
      <c r="N111" s="410">
        <v>5</v>
      </c>
      <c r="O111" s="410">
        <v>5</v>
      </c>
      <c r="P111" s="410">
        <v>5</v>
      </c>
      <c r="Q111" s="410">
        <v>5</v>
      </c>
      <c r="R111" s="410">
        <v>5</v>
      </c>
      <c r="S111" s="410">
        <v>5</v>
      </c>
      <c r="T111" s="410">
        <v>5</v>
      </c>
      <c r="U111" s="439">
        <v>6</v>
      </c>
      <c r="V111" s="411">
        <v>6</v>
      </c>
      <c r="W111" s="411">
        <v>6</v>
      </c>
      <c r="X111" s="411">
        <v>6</v>
      </c>
      <c r="Y111" s="411">
        <v>6</v>
      </c>
      <c r="Z111" s="411">
        <v>5</v>
      </c>
      <c r="AA111" s="321"/>
      <c r="AB111" s="321"/>
      <c r="AC111" s="321"/>
      <c r="AD111" s="321"/>
      <c r="AE111" s="321"/>
      <c r="AF111" s="564"/>
      <c r="AI111" s="326"/>
    </row>
    <row r="112" spans="1:35">
      <c r="A112" s="483"/>
      <c r="B112" s="321"/>
      <c r="C112" s="321"/>
      <c r="D112" s="321"/>
      <c r="E112" s="321"/>
      <c r="F112" s="321"/>
      <c r="G112" s="411">
        <v>5</v>
      </c>
      <c r="H112" s="411">
        <v>6</v>
      </c>
      <c r="I112" s="411">
        <v>6</v>
      </c>
      <c r="J112" s="411">
        <v>6</v>
      </c>
      <c r="K112" s="439">
        <v>6</v>
      </c>
      <c r="L112" s="410">
        <v>5</v>
      </c>
      <c r="M112" s="410">
        <v>5</v>
      </c>
      <c r="N112" s="410">
        <v>5</v>
      </c>
      <c r="O112" s="410">
        <v>5</v>
      </c>
      <c r="P112" s="410">
        <v>5</v>
      </c>
      <c r="Q112" s="410">
        <v>5</v>
      </c>
      <c r="R112" s="410">
        <v>5</v>
      </c>
      <c r="S112" s="410">
        <v>5</v>
      </c>
      <c r="T112" s="410">
        <v>5</v>
      </c>
      <c r="U112" s="410">
        <v>5</v>
      </c>
      <c r="V112" s="439">
        <v>6</v>
      </c>
      <c r="W112" s="411">
        <v>6</v>
      </c>
      <c r="X112" s="411">
        <v>6</v>
      </c>
      <c r="Y112" s="411">
        <v>6</v>
      </c>
      <c r="Z112" s="411">
        <v>5</v>
      </c>
      <c r="AA112" s="321"/>
      <c r="AB112" s="321"/>
      <c r="AC112" s="321"/>
      <c r="AD112" s="321"/>
      <c r="AE112" s="321"/>
      <c r="AF112" s="564"/>
      <c r="AI112" s="326"/>
    </row>
    <row r="113" spans="1:35">
      <c r="AH113">
        <v>112</v>
      </c>
      <c r="AI113" s="326"/>
    </row>
    <row r="114" spans="1:35">
      <c r="AH114">
        <v>111</v>
      </c>
      <c r="AI114" s="326"/>
    </row>
    <row r="115" spans="1:35">
      <c r="AH115">
        <v>110</v>
      </c>
      <c r="AI115" s="326"/>
    </row>
    <row r="116" spans="1:35">
      <c r="AH116">
        <v>109</v>
      </c>
      <c r="AI116" s="326"/>
    </row>
    <row r="117" spans="1:35">
      <c r="AH117">
        <v>108</v>
      </c>
      <c r="AI117" s="326"/>
    </row>
    <row r="118" spans="1:35">
      <c r="AH118">
        <v>107</v>
      </c>
      <c r="AI118" s="326"/>
    </row>
    <row r="119" spans="1:35">
      <c r="AH119">
        <v>100</v>
      </c>
      <c r="AI119" s="326"/>
    </row>
    <row r="120" spans="1:35">
      <c r="AH120">
        <v>100</v>
      </c>
      <c r="AI120" s="326"/>
    </row>
    <row r="121" spans="1:35">
      <c r="AH121">
        <v>100</v>
      </c>
      <c r="AI121" s="326"/>
    </row>
    <row r="122" spans="1:35">
      <c r="AH122">
        <v>100</v>
      </c>
      <c r="AI122" s="326"/>
    </row>
    <row r="123" spans="1:35">
      <c r="AH123">
        <v>100</v>
      </c>
      <c r="AI123" s="326"/>
    </row>
    <row r="124" spans="1:35">
      <c r="AH124">
        <v>100</v>
      </c>
      <c r="AI124" s="326"/>
    </row>
    <row r="125" spans="1:35">
      <c r="AH125">
        <v>100</v>
      </c>
      <c r="AI125" s="326"/>
    </row>
    <row r="126" spans="1:35">
      <c r="A126" s="483"/>
      <c r="B126" s="321"/>
      <c r="C126" s="321"/>
      <c r="D126" s="321"/>
      <c r="E126" s="321"/>
      <c r="F126" s="321"/>
      <c r="G126" s="420">
        <v>12</v>
      </c>
      <c r="H126" s="420">
        <v>12</v>
      </c>
      <c r="I126" s="409">
        <v>12</v>
      </c>
      <c r="J126" s="409">
        <v>12</v>
      </c>
      <c r="K126" s="420">
        <v>12</v>
      </c>
      <c r="L126" s="409">
        <v>12</v>
      </c>
      <c r="M126" s="409">
        <v>12</v>
      </c>
      <c r="N126" s="409">
        <v>12</v>
      </c>
      <c r="O126" s="409">
        <v>12</v>
      </c>
      <c r="P126" s="420">
        <v>12</v>
      </c>
      <c r="Q126" s="409">
        <v>12</v>
      </c>
      <c r="R126" s="409">
        <v>12</v>
      </c>
      <c r="S126" s="409">
        <v>12</v>
      </c>
      <c r="T126" s="409">
        <v>12</v>
      </c>
      <c r="U126" s="409">
        <v>12</v>
      </c>
      <c r="V126" s="409">
        <v>12</v>
      </c>
      <c r="W126" s="420">
        <v>12</v>
      </c>
      <c r="X126" s="409">
        <v>12</v>
      </c>
      <c r="Y126" s="409">
        <v>12</v>
      </c>
      <c r="Z126" s="420">
        <v>12</v>
      </c>
      <c r="AA126" s="321"/>
      <c r="AB126" s="321"/>
      <c r="AC126" s="321"/>
      <c r="AD126" s="321"/>
      <c r="AE126" s="321"/>
      <c r="AF126" s="564"/>
      <c r="AI126" s="326"/>
    </row>
    <row r="127" spans="1:35">
      <c r="A127" s="483"/>
      <c r="B127" s="321"/>
      <c r="C127" s="321"/>
      <c r="D127" s="321"/>
      <c r="E127" s="321"/>
      <c r="F127" s="321"/>
      <c r="G127" s="409">
        <v>12</v>
      </c>
      <c r="H127" s="409">
        <v>12</v>
      </c>
      <c r="I127" s="409">
        <v>12</v>
      </c>
      <c r="J127" s="420">
        <v>12</v>
      </c>
      <c r="K127" s="409">
        <v>12</v>
      </c>
      <c r="L127" s="409">
        <v>12</v>
      </c>
      <c r="M127" s="420">
        <v>12</v>
      </c>
      <c r="N127" s="409">
        <v>12</v>
      </c>
      <c r="O127" s="409">
        <v>12</v>
      </c>
      <c r="P127" s="409">
        <v>12</v>
      </c>
      <c r="Q127" s="409">
        <v>12</v>
      </c>
      <c r="R127" s="409">
        <v>12</v>
      </c>
      <c r="S127" s="409">
        <v>12</v>
      </c>
      <c r="T127" s="409">
        <v>12</v>
      </c>
      <c r="U127" s="409">
        <v>12</v>
      </c>
      <c r="V127" s="409">
        <v>12</v>
      </c>
      <c r="W127" s="409">
        <v>12</v>
      </c>
      <c r="X127" s="420">
        <v>12</v>
      </c>
      <c r="Y127" s="409">
        <v>12</v>
      </c>
      <c r="Z127" s="409">
        <v>12</v>
      </c>
      <c r="AA127" s="321"/>
      <c r="AB127" s="321"/>
      <c r="AC127" s="321"/>
      <c r="AD127" s="321"/>
      <c r="AE127" s="321"/>
      <c r="AF127" s="564"/>
      <c r="AI127" s="326"/>
    </row>
    <row r="128" spans="1:35">
      <c r="A128" s="651"/>
      <c r="B128" s="569"/>
      <c r="C128" s="569"/>
      <c r="D128" s="569"/>
      <c r="E128" s="569"/>
      <c r="F128" s="569"/>
      <c r="G128" s="420">
        <v>12</v>
      </c>
      <c r="H128" s="409">
        <v>12</v>
      </c>
      <c r="I128" s="409">
        <v>12</v>
      </c>
      <c r="J128" s="420">
        <v>12</v>
      </c>
      <c r="K128" s="409">
        <v>12</v>
      </c>
      <c r="L128" s="409">
        <v>12</v>
      </c>
      <c r="M128" s="420">
        <v>12</v>
      </c>
      <c r="N128" s="409">
        <v>12</v>
      </c>
      <c r="O128" s="409">
        <v>12</v>
      </c>
      <c r="P128" s="409">
        <v>12</v>
      </c>
      <c r="Q128" s="409">
        <v>12</v>
      </c>
      <c r="R128" s="409">
        <v>12</v>
      </c>
      <c r="S128" s="409">
        <v>12</v>
      </c>
      <c r="T128" s="409">
        <v>12</v>
      </c>
      <c r="U128" s="420">
        <v>12</v>
      </c>
      <c r="V128" s="409">
        <v>12</v>
      </c>
      <c r="W128" s="409">
        <v>12</v>
      </c>
      <c r="X128" s="420">
        <v>12</v>
      </c>
      <c r="Y128" s="409">
        <v>12</v>
      </c>
      <c r="Z128" s="420">
        <v>12</v>
      </c>
      <c r="AA128" s="569"/>
      <c r="AB128" s="569"/>
      <c r="AC128" s="569"/>
      <c r="AD128" s="569"/>
      <c r="AE128" s="569"/>
      <c r="AF128" s="570"/>
      <c r="AI128" s="326"/>
    </row>
    <row r="129" spans="1:35">
      <c r="A129" s="679"/>
      <c r="B129" s="484"/>
      <c r="C129" s="484"/>
      <c r="D129" s="484"/>
      <c r="E129" s="484"/>
      <c r="F129" s="484"/>
      <c r="G129" s="484"/>
      <c r="H129" s="484"/>
      <c r="I129" s="484"/>
      <c r="J129" s="484"/>
      <c r="K129" s="484"/>
      <c r="L129" s="484"/>
      <c r="M129" s="484"/>
      <c r="N129" s="484"/>
      <c r="O129" s="484"/>
      <c r="P129" s="484"/>
      <c r="Q129" s="484"/>
      <c r="R129" s="484"/>
      <c r="S129" s="484"/>
      <c r="T129" s="484"/>
      <c r="U129" s="484"/>
      <c r="V129" s="484"/>
      <c r="W129" s="484"/>
      <c r="X129" s="484"/>
      <c r="Y129" s="484"/>
      <c r="Z129" s="484"/>
      <c r="AA129" s="484"/>
      <c r="AB129" s="484"/>
      <c r="AC129" s="484"/>
      <c r="AD129" s="484"/>
      <c r="AE129" s="484"/>
      <c r="AF129" s="696"/>
      <c r="AG129">
        <v>5</v>
      </c>
      <c r="AI129" s="326"/>
    </row>
    <row r="130" spans="1:35">
      <c r="A130" s="483"/>
      <c r="B130" s="321"/>
      <c r="C130" s="321"/>
      <c r="D130" s="321"/>
      <c r="E130" s="321"/>
      <c r="F130" s="321"/>
      <c r="G130" s="321"/>
      <c r="H130" s="321"/>
      <c r="I130" s="430">
        <v>1</v>
      </c>
      <c r="J130" s="430">
        <v>1</v>
      </c>
      <c r="K130" s="430">
        <v>1</v>
      </c>
      <c r="L130" s="430">
        <v>1</v>
      </c>
      <c r="M130" s="430">
        <v>1</v>
      </c>
      <c r="N130" s="430">
        <v>1</v>
      </c>
      <c r="O130" s="430">
        <v>1</v>
      </c>
      <c r="P130" s="430">
        <v>1</v>
      </c>
      <c r="Q130" s="430">
        <v>1</v>
      </c>
      <c r="R130" s="321"/>
      <c r="S130" s="321"/>
      <c r="T130" s="321"/>
      <c r="U130" s="321"/>
      <c r="V130" s="321"/>
      <c r="W130" s="321"/>
      <c r="X130" s="321"/>
      <c r="Y130" s="321"/>
      <c r="Z130" s="321"/>
      <c r="AA130" s="321"/>
      <c r="AB130" s="321"/>
      <c r="AC130" s="410">
        <v>10.039999999999999</v>
      </c>
      <c r="AD130" s="410">
        <v>10.039999999999999</v>
      </c>
      <c r="AE130" s="410">
        <v>10.039999999999999</v>
      </c>
      <c r="AF130" s="410">
        <v>10.039999999999999</v>
      </c>
      <c r="AI130" s="326"/>
    </row>
    <row r="131" spans="1:35">
      <c r="A131" s="483"/>
      <c r="B131" s="321"/>
      <c r="C131" s="321"/>
      <c r="D131" s="321"/>
      <c r="E131" s="321"/>
      <c r="F131" s="321"/>
      <c r="G131" s="321"/>
      <c r="H131" s="321"/>
      <c r="I131" s="430">
        <v>1</v>
      </c>
      <c r="J131" s="423">
        <v>1</v>
      </c>
      <c r="K131" s="430">
        <v>1</v>
      </c>
      <c r="L131" s="430">
        <v>1</v>
      </c>
      <c r="M131" s="444">
        <v>1</v>
      </c>
      <c r="N131" s="430">
        <v>1</v>
      </c>
      <c r="O131" s="430">
        <v>1</v>
      </c>
      <c r="P131" s="423">
        <v>1</v>
      </c>
      <c r="Q131" s="430">
        <v>1</v>
      </c>
      <c r="R131" s="321"/>
      <c r="S131" s="321"/>
      <c r="T131" s="321"/>
      <c r="U131" s="321"/>
      <c r="V131" s="321"/>
      <c r="W131" s="321"/>
      <c r="X131" s="321"/>
      <c r="Y131" s="321"/>
      <c r="Z131" s="321"/>
      <c r="AA131" s="321"/>
      <c r="AB131" s="321"/>
      <c r="AC131" s="410">
        <v>10.039999999999999</v>
      </c>
      <c r="AD131" s="410">
        <v>10.039999999999999</v>
      </c>
      <c r="AE131" s="410">
        <v>10.039999999999999</v>
      </c>
      <c r="AF131" s="410">
        <v>10.039999999999999</v>
      </c>
      <c r="AI131" s="326"/>
    </row>
    <row r="132" spans="1:35">
      <c r="A132" s="483"/>
      <c r="B132" s="321"/>
      <c r="C132" s="321"/>
      <c r="D132" s="321"/>
      <c r="E132" s="321"/>
      <c r="F132" s="321"/>
      <c r="G132" s="321"/>
      <c r="H132" s="321"/>
      <c r="I132" s="430">
        <v>1</v>
      </c>
      <c r="J132" s="423">
        <v>1</v>
      </c>
      <c r="K132" s="430">
        <v>1</v>
      </c>
      <c r="L132" s="444">
        <v>1</v>
      </c>
      <c r="M132" s="430">
        <v>1</v>
      </c>
      <c r="N132" s="444">
        <v>1</v>
      </c>
      <c r="O132" s="430">
        <v>1</v>
      </c>
      <c r="P132" s="423">
        <v>1</v>
      </c>
      <c r="Q132" s="430">
        <v>1</v>
      </c>
      <c r="R132" s="321"/>
      <c r="S132" s="321"/>
      <c r="T132" s="410">
        <v>5.04</v>
      </c>
      <c r="U132" s="410">
        <v>5.04</v>
      </c>
      <c r="V132" s="410">
        <v>5.03</v>
      </c>
      <c r="W132" s="410">
        <v>5.03</v>
      </c>
      <c r="X132" s="410">
        <v>5.03</v>
      </c>
      <c r="Y132" s="410">
        <v>5.03</v>
      </c>
      <c r="Z132" s="410">
        <v>5.03</v>
      </c>
      <c r="AA132" s="410">
        <v>5.03</v>
      </c>
      <c r="AB132" s="410">
        <v>5.03</v>
      </c>
      <c r="AC132" s="410">
        <v>10</v>
      </c>
      <c r="AD132" s="410">
        <v>10</v>
      </c>
      <c r="AE132" s="410">
        <v>10</v>
      </c>
      <c r="AF132" s="410">
        <v>10</v>
      </c>
      <c r="AI132" s="326"/>
    </row>
    <row r="133" spans="1:35">
      <c r="A133" s="483"/>
      <c r="B133" s="321"/>
      <c r="C133" s="321"/>
      <c r="D133" s="321"/>
      <c r="E133" s="321"/>
      <c r="F133" s="321"/>
      <c r="G133" s="321"/>
      <c r="H133" s="321"/>
      <c r="I133" s="430">
        <v>1</v>
      </c>
      <c r="J133" s="430">
        <v>1</v>
      </c>
      <c r="K133" s="430">
        <v>1</v>
      </c>
      <c r="L133" s="444">
        <v>1</v>
      </c>
      <c r="M133" s="430">
        <v>1</v>
      </c>
      <c r="N133" s="444">
        <v>1</v>
      </c>
      <c r="O133" s="430">
        <v>1</v>
      </c>
      <c r="P133" s="430">
        <v>1</v>
      </c>
      <c r="Q133" s="430">
        <v>1</v>
      </c>
      <c r="R133" s="321"/>
      <c r="S133" s="410">
        <v>5.04</v>
      </c>
      <c r="T133" s="410">
        <v>5.04</v>
      </c>
      <c r="U133" s="410">
        <v>5.03</v>
      </c>
      <c r="V133" s="410">
        <v>5</v>
      </c>
      <c r="W133" s="452">
        <v>5</v>
      </c>
      <c r="X133" s="452">
        <v>5</v>
      </c>
      <c r="Y133" s="452">
        <v>5</v>
      </c>
      <c r="Z133" s="452">
        <v>5</v>
      </c>
      <c r="AA133" s="410">
        <v>5</v>
      </c>
      <c r="AB133" s="410">
        <v>5</v>
      </c>
      <c r="AC133" s="410">
        <v>10</v>
      </c>
      <c r="AD133" s="410">
        <v>10</v>
      </c>
      <c r="AE133" s="410">
        <v>10</v>
      </c>
      <c r="AF133" s="410">
        <v>10</v>
      </c>
      <c r="AI133" s="326"/>
    </row>
    <row r="134" spans="1:35">
      <c r="A134" s="483"/>
      <c r="B134" s="321"/>
      <c r="C134" s="321"/>
      <c r="D134" s="321"/>
      <c r="E134" s="321"/>
      <c r="F134" s="321"/>
      <c r="G134" s="321"/>
      <c r="H134" s="321"/>
      <c r="I134" s="430">
        <v>1</v>
      </c>
      <c r="J134" s="430">
        <v>1</v>
      </c>
      <c r="K134" s="444">
        <v>1</v>
      </c>
      <c r="L134" s="430">
        <v>1</v>
      </c>
      <c r="M134" s="430">
        <v>1</v>
      </c>
      <c r="N134" s="430">
        <v>1</v>
      </c>
      <c r="O134" s="444">
        <v>1</v>
      </c>
      <c r="P134" s="430">
        <v>1</v>
      </c>
      <c r="Q134" s="430">
        <v>1</v>
      </c>
      <c r="R134" s="410">
        <v>5.04</v>
      </c>
      <c r="S134" s="410">
        <v>5.04</v>
      </c>
      <c r="T134" s="410">
        <v>5.03</v>
      </c>
      <c r="U134" s="410">
        <v>5</v>
      </c>
      <c r="V134" s="452">
        <v>4</v>
      </c>
      <c r="W134" s="461">
        <v>3</v>
      </c>
      <c r="X134" s="461">
        <v>3</v>
      </c>
      <c r="Y134" s="461">
        <v>3</v>
      </c>
      <c r="Z134" s="461">
        <v>3</v>
      </c>
      <c r="AA134" s="410">
        <v>4</v>
      </c>
      <c r="AB134" s="410">
        <v>5</v>
      </c>
      <c r="AC134" s="410">
        <v>10</v>
      </c>
      <c r="AD134" s="410">
        <v>10</v>
      </c>
      <c r="AE134" s="410">
        <v>10</v>
      </c>
      <c r="AF134" s="410">
        <v>10</v>
      </c>
      <c r="AI134" s="326"/>
    </row>
    <row r="135" spans="1:35">
      <c r="A135" s="483"/>
      <c r="B135" s="321"/>
      <c r="C135" s="321"/>
      <c r="D135" s="321"/>
      <c r="E135" s="321"/>
      <c r="F135" s="321"/>
      <c r="G135" s="321"/>
      <c r="H135" s="321"/>
      <c r="I135" s="430">
        <v>1</v>
      </c>
      <c r="J135" s="430">
        <v>1</v>
      </c>
      <c r="K135" s="444">
        <v>1</v>
      </c>
      <c r="L135" s="430">
        <v>1</v>
      </c>
      <c r="M135" s="436">
        <v>1</v>
      </c>
      <c r="N135" s="430">
        <v>1</v>
      </c>
      <c r="O135" s="444">
        <v>1</v>
      </c>
      <c r="P135" s="430">
        <v>1</v>
      </c>
      <c r="Q135" s="430">
        <v>1</v>
      </c>
      <c r="R135" s="410">
        <v>5.04</v>
      </c>
      <c r="S135" s="410">
        <v>5.03</v>
      </c>
      <c r="T135" s="410">
        <v>5</v>
      </c>
      <c r="U135" s="452">
        <v>4</v>
      </c>
      <c r="V135" s="461">
        <v>3</v>
      </c>
      <c r="W135" s="461">
        <v>3</v>
      </c>
      <c r="X135" s="461">
        <v>3</v>
      </c>
      <c r="Y135" s="461">
        <v>3</v>
      </c>
      <c r="Z135" s="461">
        <v>3</v>
      </c>
      <c r="AA135" s="410">
        <v>4</v>
      </c>
      <c r="AB135" s="410">
        <v>5</v>
      </c>
      <c r="AC135" s="410">
        <v>10</v>
      </c>
      <c r="AD135" s="410">
        <v>10</v>
      </c>
      <c r="AE135" s="410">
        <v>10</v>
      </c>
      <c r="AF135" s="410">
        <v>10</v>
      </c>
      <c r="AI135" s="326"/>
    </row>
    <row r="136" spans="1:35">
      <c r="A136" s="483"/>
      <c r="B136" s="321"/>
      <c r="C136" s="321"/>
      <c r="D136" s="321"/>
      <c r="E136" s="321"/>
      <c r="F136" s="321"/>
      <c r="G136" s="321"/>
      <c r="H136" s="321"/>
      <c r="I136" s="430">
        <v>1</v>
      </c>
      <c r="J136" s="444">
        <v>1</v>
      </c>
      <c r="K136" s="430">
        <v>1</v>
      </c>
      <c r="L136" s="436">
        <v>1</v>
      </c>
      <c r="M136" s="436">
        <v>1</v>
      </c>
      <c r="N136" s="436">
        <v>1</v>
      </c>
      <c r="O136" s="430">
        <v>1</v>
      </c>
      <c r="P136" s="444">
        <v>1</v>
      </c>
      <c r="Q136" s="430">
        <v>1</v>
      </c>
      <c r="R136" s="410">
        <v>5.04</v>
      </c>
      <c r="S136" s="410">
        <v>5.03</v>
      </c>
      <c r="T136" s="410">
        <v>4</v>
      </c>
      <c r="U136" s="461">
        <v>3</v>
      </c>
      <c r="V136" s="461">
        <v>3</v>
      </c>
      <c r="W136" s="461">
        <v>3</v>
      </c>
      <c r="X136" s="461">
        <v>3</v>
      </c>
      <c r="Y136" s="461">
        <v>3</v>
      </c>
      <c r="Z136" s="461">
        <v>3</v>
      </c>
      <c r="AA136" s="410">
        <v>4</v>
      </c>
      <c r="AB136" s="410">
        <v>5</v>
      </c>
      <c r="AC136" s="410">
        <v>10</v>
      </c>
      <c r="AD136" s="464">
        <v>11</v>
      </c>
      <c r="AE136" s="451">
        <v>11</v>
      </c>
      <c r="AF136" s="410">
        <v>10</v>
      </c>
      <c r="AI136" s="326"/>
    </row>
    <row r="137" spans="1:35">
      <c r="A137" s="483"/>
      <c r="B137" s="321"/>
      <c r="C137" s="321"/>
      <c r="D137" s="321"/>
      <c r="E137" s="321"/>
      <c r="F137" s="321"/>
      <c r="G137" s="321"/>
      <c r="H137" s="321"/>
      <c r="I137" s="430">
        <v>1</v>
      </c>
      <c r="J137" s="444">
        <v>1</v>
      </c>
      <c r="K137" s="430">
        <v>1</v>
      </c>
      <c r="L137" s="436">
        <v>1</v>
      </c>
      <c r="M137" s="436">
        <v>1</v>
      </c>
      <c r="N137" s="436">
        <v>1</v>
      </c>
      <c r="O137" s="430">
        <v>1</v>
      </c>
      <c r="P137" s="444">
        <v>1</v>
      </c>
      <c r="Q137" s="430">
        <v>1</v>
      </c>
      <c r="R137" s="410">
        <v>5.04</v>
      </c>
      <c r="S137" s="410">
        <v>5.03</v>
      </c>
      <c r="T137" s="410">
        <v>4</v>
      </c>
      <c r="U137" s="461">
        <v>3</v>
      </c>
      <c r="V137" s="461">
        <v>3</v>
      </c>
      <c r="W137" s="461">
        <v>3</v>
      </c>
      <c r="X137" s="461">
        <v>3</v>
      </c>
      <c r="Y137" s="461">
        <v>3</v>
      </c>
      <c r="Z137" s="461">
        <v>3</v>
      </c>
      <c r="AA137" s="410">
        <v>4</v>
      </c>
      <c r="AB137" s="410">
        <v>5</v>
      </c>
      <c r="AC137" s="410">
        <v>10</v>
      </c>
      <c r="AD137" s="451">
        <v>11</v>
      </c>
      <c r="AE137" s="438">
        <v>11</v>
      </c>
      <c r="AF137" s="410">
        <v>10</v>
      </c>
      <c r="AI137" s="326"/>
    </row>
    <row r="138" spans="1:35">
      <c r="A138" s="483"/>
      <c r="B138" s="321"/>
      <c r="C138" s="321"/>
      <c r="D138" s="321"/>
      <c r="E138" s="321"/>
      <c r="F138" s="321"/>
      <c r="G138" s="321"/>
      <c r="H138" s="321"/>
      <c r="I138" s="430">
        <v>1</v>
      </c>
      <c r="J138" s="430">
        <v>1</v>
      </c>
      <c r="K138" s="444">
        <v>1</v>
      </c>
      <c r="L138" s="430">
        <v>1</v>
      </c>
      <c r="M138" s="436">
        <v>1</v>
      </c>
      <c r="N138" s="430">
        <v>1</v>
      </c>
      <c r="O138" s="444">
        <v>1</v>
      </c>
      <c r="P138" s="430">
        <v>1</v>
      </c>
      <c r="Q138" s="430">
        <v>1</v>
      </c>
      <c r="R138" s="410">
        <v>5.04</v>
      </c>
      <c r="S138" s="410">
        <v>5.03</v>
      </c>
      <c r="T138" s="410">
        <v>5</v>
      </c>
      <c r="U138" s="410">
        <v>4</v>
      </c>
      <c r="V138" s="461">
        <v>3</v>
      </c>
      <c r="W138" s="461">
        <v>3</v>
      </c>
      <c r="X138" s="461">
        <v>3</v>
      </c>
      <c r="Y138" s="461">
        <v>3</v>
      </c>
      <c r="Z138" s="461">
        <v>3</v>
      </c>
      <c r="AA138" s="410">
        <v>4</v>
      </c>
      <c r="AB138" s="410">
        <v>5</v>
      </c>
      <c r="AC138" s="410">
        <v>10</v>
      </c>
      <c r="AD138" s="410">
        <v>10</v>
      </c>
      <c r="AE138" s="410">
        <v>10</v>
      </c>
      <c r="AF138" s="410">
        <v>10</v>
      </c>
      <c r="AI138" s="326"/>
    </row>
    <row r="139" spans="1:35">
      <c r="A139" s="483"/>
      <c r="B139" s="321"/>
      <c r="C139" s="321"/>
      <c r="D139" s="321"/>
      <c r="E139" s="321"/>
      <c r="F139" s="321"/>
      <c r="G139" s="321"/>
      <c r="H139" s="321"/>
      <c r="I139" s="430">
        <v>1</v>
      </c>
      <c r="J139" s="430">
        <v>1</v>
      </c>
      <c r="K139" s="444">
        <v>1</v>
      </c>
      <c r="L139" s="430">
        <v>1</v>
      </c>
      <c r="M139" s="430">
        <v>1</v>
      </c>
      <c r="N139" s="430">
        <v>1</v>
      </c>
      <c r="O139" s="444">
        <v>1</v>
      </c>
      <c r="P139" s="430">
        <v>1</v>
      </c>
      <c r="Q139" s="430">
        <v>1</v>
      </c>
      <c r="R139" s="410">
        <v>5.04</v>
      </c>
      <c r="S139" s="410">
        <v>5.04</v>
      </c>
      <c r="T139" s="410">
        <v>5.03</v>
      </c>
      <c r="U139" s="410">
        <v>5</v>
      </c>
      <c r="V139" s="410">
        <v>4</v>
      </c>
      <c r="W139" s="461">
        <v>3</v>
      </c>
      <c r="X139" s="461">
        <v>3</v>
      </c>
      <c r="Y139" s="461">
        <v>3</v>
      </c>
      <c r="Z139" s="461">
        <v>3</v>
      </c>
      <c r="AA139" s="410">
        <v>4</v>
      </c>
      <c r="AB139" s="410">
        <v>5</v>
      </c>
      <c r="AC139" s="410">
        <v>10</v>
      </c>
      <c r="AD139" s="410">
        <v>10</v>
      </c>
      <c r="AE139" s="410">
        <v>10</v>
      </c>
      <c r="AF139" s="410">
        <v>10</v>
      </c>
      <c r="AI139" s="326"/>
    </row>
    <row r="140" spans="1:35">
      <c r="A140" s="483"/>
      <c r="B140" s="321"/>
      <c r="C140" s="321"/>
      <c r="D140" s="321"/>
      <c r="E140" s="321"/>
      <c r="F140" s="321"/>
      <c r="G140" s="321"/>
      <c r="H140" s="321"/>
      <c r="I140" s="430">
        <v>1</v>
      </c>
      <c r="J140" s="430">
        <v>1</v>
      </c>
      <c r="K140" s="430">
        <v>1</v>
      </c>
      <c r="L140" s="444">
        <v>1</v>
      </c>
      <c r="M140" s="430">
        <v>1</v>
      </c>
      <c r="N140" s="444">
        <v>1</v>
      </c>
      <c r="O140" s="430">
        <v>1</v>
      </c>
      <c r="P140" s="430">
        <v>1</v>
      </c>
      <c r="Q140" s="430">
        <v>1</v>
      </c>
      <c r="R140" s="321"/>
      <c r="S140" s="410">
        <v>5.04</v>
      </c>
      <c r="T140" s="410">
        <v>5.04</v>
      </c>
      <c r="U140" s="410">
        <v>5.03</v>
      </c>
      <c r="V140" s="410">
        <v>5</v>
      </c>
      <c r="W140" s="410">
        <v>5</v>
      </c>
      <c r="X140" s="410">
        <v>5</v>
      </c>
      <c r="Y140" s="410">
        <v>5</v>
      </c>
      <c r="Z140" s="410">
        <v>5</v>
      </c>
      <c r="AA140" s="410">
        <v>5</v>
      </c>
      <c r="AB140" s="410">
        <v>5</v>
      </c>
      <c r="AC140" s="410">
        <v>10</v>
      </c>
      <c r="AD140" s="410">
        <v>10</v>
      </c>
      <c r="AE140" s="410">
        <v>10</v>
      </c>
      <c r="AF140" s="410">
        <v>10</v>
      </c>
      <c r="AI140" s="326"/>
    </row>
    <row r="141" spans="1:35">
      <c r="A141" s="483"/>
      <c r="B141" s="321"/>
      <c r="C141" s="321"/>
      <c r="D141" s="321"/>
      <c r="E141" s="321"/>
      <c r="F141" s="321"/>
      <c r="G141" s="321"/>
      <c r="H141" s="321"/>
      <c r="I141" s="430">
        <v>1</v>
      </c>
      <c r="J141" s="423">
        <v>1</v>
      </c>
      <c r="K141" s="430">
        <v>1</v>
      </c>
      <c r="L141" s="444">
        <v>1</v>
      </c>
      <c r="M141" s="430">
        <v>1</v>
      </c>
      <c r="N141" s="444">
        <v>1</v>
      </c>
      <c r="O141" s="430">
        <v>1</v>
      </c>
      <c r="P141" s="423">
        <v>1</v>
      </c>
      <c r="Q141" s="430">
        <v>1</v>
      </c>
      <c r="R141" s="321"/>
      <c r="S141" s="321"/>
      <c r="T141" s="410">
        <v>5.04</v>
      </c>
      <c r="U141" s="452">
        <v>5.03</v>
      </c>
      <c r="V141" s="452">
        <v>5.03</v>
      </c>
      <c r="W141" s="452">
        <v>5.03</v>
      </c>
      <c r="X141" s="452">
        <v>5.03</v>
      </c>
      <c r="Y141" s="452">
        <v>5.03</v>
      </c>
      <c r="Z141" s="452">
        <v>5.03</v>
      </c>
      <c r="AA141" s="452">
        <v>5.03</v>
      </c>
      <c r="AB141" s="452">
        <v>5</v>
      </c>
      <c r="AC141" s="410">
        <v>10</v>
      </c>
      <c r="AD141" s="410">
        <v>10</v>
      </c>
      <c r="AE141" s="410">
        <v>10</v>
      </c>
      <c r="AF141" s="410">
        <v>10</v>
      </c>
      <c r="AI141" s="326"/>
    </row>
    <row r="142" spans="1:35">
      <c r="AH142" s="410">
        <v>131</v>
      </c>
      <c r="AI142" s="326"/>
    </row>
    <row r="143" spans="1:35">
      <c r="A143" s="483"/>
      <c r="B143" s="321"/>
      <c r="C143" s="321"/>
      <c r="D143" s="321"/>
      <c r="E143" s="321"/>
      <c r="F143" s="321"/>
      <c r="G143" s="321"/>
      <c r="H143" s="321"/>
      <c r="I143" s="430">
        <v>1</v>
      </c>
      <c r="J143" s="430">
        <v>1</v>
      </c>
      <c r="K143" s="430">
        <v>1</v>
      </c>
      <c r="L143" s="430">
        <v>1</v>
      </c>
      <c r="M143" s="430">
        <v>1</v>
      </c>
      <c r="N143" s="430">
        <v>1</v>
      </c>
      <c r="O143" s="430">
        <v>1</v>
      </c>
      <c r="P143" s="430">
        <v>1</v>
      </c>
      <c r="Q143" s="430">
        <v>1</v>
      </c>
      <c r="R143" s="321"/>
      <c r="S143" s="321"/>
      <c r="T143" s="321"/>
      <c r="U143" s="321"/>
      <c r="V143" s="321"/>
      <c r="W143" s="321"/>
      <c r="X143" s="321"/>
      <c r="Y143" s="321"/>
      <c r="Z143" s="321"/>
      <c r="AA143" s="321"/>
      <c r="AB143" s="321"/>
      <c r="AC143" s="452">
        <v>10.039999999999999</v>
      </c>
      <c r="AD143" s="452">
        <v>10.039999999999999</v>
      </c>
      <c r="AE143" s="452">
        <v>10.039999999999999</v>
      </c>
      <c r="AF143" s="452">
        <v>10.039999999999999</v>
      </c>
      <c r="AI143" s="326"/>
    </row>
    <row r="144" spans="1:35">
      <c r="A144" s="483"/>
      <c r="B144" s="321"/>
      <c r="C144" s="321"/>
      <c r="D144" s="321"/>
      <c r="E144" s="321"/>
      <c r="F144" s="321"/>
      <c r="G144" s="321"/>
      <c r="H144" s="321"/>
      <c r="I144" s="321"/>
      <c r="J144" s="321"/>
      <c r="K144" s="321"/>
      <c r="L144" s="321"/>
      <c r="M144" s="321"/>
      <c r="N144" s="321"/>
      <c r="O144" s="321"/>
      <c r="P144" s="321"/>
      <c r="Q144" s="321"/>
      <c r="R144" s="321"/>
      <c r="S144" s="321"/>
      <c r="T144" s="321"/>
      <c r="U144" s="321"/>
      <c r="V144" s="321"/>
      <c r="W144" s="321"/>
      <c r="X144" s="321"/>
      <c r="Y144" s="321"/>
      <c r="Z144" s="321"/>
      <c r="AA144" s="321"/>
      <c r="AB144" s="321"/>
      <c r="AC144" s="321"/>
      <c r="AD144" s="321"/>
      <c r="AE144" s="321"/>
      <c r="AF144" s="564"/>
      <c r="AI144" s="326"/>
    </row>
    <row r="145" spans="1:35">
      <c r="A145" s="483"/>
      <c r="B145" s="321"/>
      <c r="C145" s="321"/>
      <c r="D145" s="321"/>
      <c r="E145" s="321"/>
      <c r="F145" s="321"/>
      <c r="G145" s="321"/>
      <c r="H145" s="321"/>
      <c r="I145" s="321"/>
      <c r="J145" s="321"/>
      <c r="K145" s="321"/>
      <c r="L145" s="321"/>
      <c r="M145" s="321"/>
      <c r="N145" s="321"/>
      <c r="O145" s="321"/>
      <c r="P145" s="321"/>
      <c r="Q145" s="321"/>
      <c r="R145" s="321"/>
      <c r="S145" s="321"/>
      <c r="T145" s="321"/>
      <c r="U145" s="321"/>
      <c r="V145" s="321"/>
      <c r="W145" s="321"/>
      <c r="X145" s="321"/>
      <c r="Y145" s="410">
        <v>8.07</v>
      </c>
      <c r="Z145" s="410">
        <v>8.07</v>
      </c>
      <c r="AA145" s="410">
        <v>8.07</v>
      </c>
      <c r="AB145" s="410">
        <v>8.07</v>
      </c>
      <c r="AC145" s="410">
        <v>8.07</v>
      </c>
      <c r="AD145" s="410">
        <v>8.07</v>
      </c>
      <c r="AE145" s="410">
        <v>8.07</v>
      </c>
      <c r="AF145" s="410">
        <v>8.07</v>
      </c>
      <c r="AI145" s="326"/>
    </row>
    <row r="146" spans="1:35">
      <c r="A146" s="483"/>
      <c r="B146" s="321"/>
      <c r="C146" s="321"/>
      <c r="D146" s="321"/>
      <c r="E146" s="321"/>
      <c r="F146" s="321"/>
      <c r="G146" s="321"/>
      <c r="H146" s="321"/>
      <c r="I146" s="321"/>
      <c r="J146" s="321"/>
      <c r="K146" s="321"/>
      <c r="L146" s="321"/>
      <c r="M146" s="321"/>
      <c r="N146" s="321"/>
      <c r="O146" s="321"/>
      <c r="P146" s="321"/>
      <c r="Q146" s="321"/>
      <c r="R146" s="321"/>
      <c r="S146" s="321"/>
      <c r="T146" s="321"/>
      <c r="U146" s="321"/>
      <c r="V146" s="321"/>
      <c r="W146" s="321"/>
      <c r="X146" s="410">
        <v>8.07</v>
      </c>
      <c r="Y146" s="410">
        <v>8.06</v>
      </c>
      <c r="Z146" s="410">
        <v>8.06</v>
      </c>
      <c r="AA146" s="410">
        <v>8.06</v>
      </c>
      <c r="AB146" s="410">
        <v>8.06</v>
      </c>
      <c r="AC146" s="410">
        <v>8.06</v>
      </c>
      <c r="AD146" s="410">
        <v>8.06</v>
      </c>
      <c r="AE146" s="410">
        <v>8.06</v>
      </c>
      <c r="AF146" s="410">
        <v>8.06</v>
      </c>
      <c r="AI146" s="326"/>
    </row>
    <row r="147" spans="1:35">
      <c r="A147" s="483"/>
      <c r="B147" s="321"/>
      <c r="C147" s="321"/>
      <c r="D147" s="321"/>
      <c r="E147" s="321"/>
      <c r="F147" s="321"/>
      <c r="G147" s="321"/>
      <c r="H147" s="321"/>
      <c r="I147" s="321"/>
      <c r="J147" s="321"/>
      <c r="K147" s="321"/>
      <c r="L147" s="321"/>
      <c r="M147" s="321"/>
      <c r="N147" s="321"/>
      <c r="O147" s="321"/>
      <c r="P147" s="321"/>
      <c r="Q147" s="321"/>
      <c r="R147" s="321"/>
      <c r="S147" s="321"/>
      <c r="T147" s="321"/>
      <c r="U147" s="321"/>
      <c r="V147" s="321"/>
      <c r="W147" s="410">
        <v>8.07</v>
      </c>
      <c r="X147" s="410">
        <v>8.06</v>
      </c>
      <c r="Y147" s="452">
        <v>7.05</v>
      </c>
      <c r="Z147" s="452">
        <v>7.05</v>
      </c>
      <c r="AA147" s="452">
        <v>7.05</v>
      </c>
      <c r="AB147" s="452">
        <v>7.05</v>
      </c>
      <c r="AC147" s="410">
        <v>8.06</v>
      </c>
      <c r="AD147" s="410">
        <v>8</v>
      </c>
      <c r="AE147" s="410">
        <v>8</v>
      </c>
      <c r="AF147" s="410">
        <v>8</v>
      </c>
      <c r="AI147" s="326"/>
    </row>
    <row r="148" spans="1:35">
      <c r="A148" s="483"/>
      <c r="B148" s="321"/>
      <c r="C148" s="321"/>
      <c r="D148" s="321"/>
      <c r="E148" s="321"/>
      <c r="F148" s="321"/>
      <c r="G148" s="321"/>
      <c r="H148" s="321"/>
      <c r="I148" s="321"/>
      <c r="J148" s="321"/>
      <c r="K148" s="321"/>
      <c r="L148" s="321"/>
      <c r="M148" s="321"/>
      <c r="N148" s="321"/>
      <c r="O148" s="321"/>
      <c r="P148" s="321"/>
      <c r="Q148" s="321"/>
      <c r="R148" s="321"/>
      <c r="S148" s="321"/>
      <c r="T148" s="321"/>
      <c r="U148" s="321"/>
      <c r="V148" s="321"/>
      <c r="W148" s="410">
        <v>8.07</v>
      </c>
      <c r="X148" s="410">
        <v>8.06</v>
      </c>
      <c r="Y148" s="452">
        <v>7.05</v>
      </c>
      <c r="Z148" s="410">
        <v>6.04</v>
      </c>
      <c r="AA148" s="410">
        <v>6.04</v>
      </c>
      <c r="AB148" s="410">
        <v>6.04</v>
      </c>
      <c r="AC148" s="410">
        <v>7</v>
      </c>
      <c r="AD148" s="410">
        <v>8</v>
      </c>
      <c r="AE148" s="410">
        <v>8</v>
      </c>
      <c r="AF148" s="410">
        <v>8</v>
      </c>
      <c r="AI148" s="326"/>
    </row>
    <row r="149" spans="1:35">
      <c r="A149" s="483"/>
      <c r="B149" s="321"/>
      <c r="C149" s="321"/>
      <c r="D149" s="321"/>
      <c r="E149" s="321"/>
      <c r="F149" s="321"/>
      <c r="G149" s="321"/>
      <c r="H149" s="321"/>
      <c r="I149" s="321"/>
      <c r="J149" s="321"/>
      <c r="K149" s="321"/>
      <c r="L149" s="321"/>
      <c r="M149" s="321"/>
      <c r="N149" s="321"/>
      <c r="O149" s="321"/>
      <c r="P149" s="321"/>
      <c r="Q149" s="321"/>
      <c r="R149" s="321"/>
      <c r="S149" s="321"/>
      <c r="T149" s="321"/>
      <c r="U149" s="321"/>
      <c r="V149" s="321"/>
      <c r="W149" s="410">
        <v>8.07</v>
      </c>
      <c r="X149" s="410">
        <v>8.06</v>
      </c>
      <c r="Y149" s="452">
        <v>7.05</v>
      </c>
      <c r="Z149" s="410">
        <v>6.04</v>
      </c>
      <c r="AA149" s="410">
        <v>5</v>
      </c>
      <c r="AB149" s="410">
        <v>5</v>
      </c>
      <c r="AC149" s="410">
        <v>6.04</v>
      </c>
      <c r="AD149" s="410">
        <v>8</v>
      </c>
      <c r="AE149" s="461">
        <v>10</v>
      </c>
      <c r="AF149" s="455">
        <v>10</v>
      </c>
      <c r="AI149" s="326"/>
    </row>
    <row r="150" spans="1:35">
      <c r="A150" s="483"/>
      <c r="B150" s="321"/>
      <c r="C150" s="321"/>
      <c r="D150" s="321"/>
      <c r="E150" s="321"/>
      <c r="F150" s="321"/>
      <c r="G150" s="321"/>
      <c r="H150" s="321"/>
      <c r="I150" s="321"/>
      <c r="J150" s="321"/>
      <c r="K150" s="321"/>
      <c r="L150" s="321"/>
      <c r="M150" s="321"/>
      <c r="N150" s="321"/>
      <c r="O150" s="321"/>
      <c r="P150" s="321"/>
      <c r="Q150" s="321"/>
      <c r="R150" s="321"/>
      <c r="S150" s="321"/>
      <c r="T150" s="321"/>
      <c r="U150" s="321"/>
      <c r="V150" s="321"/>
      <c r="W150" s="410">
        <v>8.07</v>
      </c>
      <c r="X150" s="410">
        <v>8.06</v>
      </c>
      <c r="Y150" s="452">
        <v>7.05</v>
      </c>
      <c r="Z150" s="410">
        <v>6</v>
      </c>
      <c r="AA150" s="410">
        <v>5</v>
      </c>
      <c r="AB150" s="410">
        <v>5</v>
      </c>
      <c r="AC150" s="410">
        <v>6.04</v>
      </c>
      <c r="AD150" s="410">
        <v>8</v>
      </c>
      <c r="AE150" s="455">
        <v>10</v>
      </c>
      <c r="AF150" s="448">
        <v>10</v>
      </c>
      <c r="AI150" s="326"/>
    </row>
    <row r="151" spans="1:35">
      <c r="A151" s="483"/>
      <c r="B151" s="321"/>
      <c r="C151" s="321"/>
      <c r="D151" s="321"/>
      <c r="E151" s="321"/>
      <c r="F151" s="321"/>
      <c r="G151" s="321"/>
      <c r="H151" s="321"/>
      <c r="I151" s="321"/>
      <c r="J151" s="321"/>
      <c r="K151" s="321"/>
      <c r="L151" s="321"/>
      <c r="M151" s="321"/>
      <c r="N151" s="321"/>
      <c r="O151" s="321"/>
      <c r="P151" s="321"/>
      <c r="Q151" s="321"/>
      <c r="R151" s="321"/>
      <c r="S151" s="321"/>
      <c r="T151" s="321"/>
      <c r="U151" s="321"/>
      <c r="V151" s="321"/>
      <c r="W151" s="410">
        <v>8.07</v>
      </c>
      <c r="X151" s="410">
        <v>8.06</v>
      </c>
      <c r="Y151" s="452">
        <v>7.05</v>
      </c>
      <c r="Z151" s="410">
        <v>6</v>
      </c>
      <c r="AA151" s="421">
        <v>5</v>
      </c>
      <c r="AB151" s="421">
        <v>5</v>
      </c>
      <c r="AC151" s="410">
        <v>8.06</v>
      </c>
      <c r="AD151" s="410">
        <v>8</v>
      </c>
      <c r="AE151" s="452">
        <v>8</v>
      </c>
      <c r="AF151" s="452">
        <v>8</v>
      </c>
      <c r="AI151" s="326"/>
    </row>
    <row r="152" spans="1:35">
      <c r="A152" s="483"/>
      <c r="B152" s="321"/>
      <c r="C152" s="321"/>
      <c r="D152" s="321"/>
      <c r="E152" s="321"/>
      <c r="F152" s="321"/>
      <c r="G152" s="321"/>
      <c r="H152" s="321"/>
      <c r="I152" s="321"/>
      <c r="J152" s="321"/>
      <c r="K152" s="321"/>
      <c r="L152" s="321"/>
      <c r="M152" s="321"/>
      <c r="N152" s="321"/>
      <c r="O152" s="321"/>
      <c r="P152" s="321"/>
      <c r="Q152" s="321"/>
      <c r="R152" s="321"/>
      <c r="S152" s="321"/>
      <c r="T152" s="321"/>
      <c r="U152" s="321"/>
      <c r="V152" s="321"/>
      <c r="W152" s="410">
        <v>8.07</v>
      </c>
      <c r="X152" s="410">
        <v>8.06</v>
      </c>
      <c r="Y152" s="452">
        <v>7.05</v>
      </c>
      <c r="Z152" s="410">
        <v>6</v>
      </c>
      <c r="AA152" s="464">
        <v>12.11</v>
      </c>
      <c r="AB152" s="464">
        <v>12.11</v>
      </c>
      <c r="AC152" s="464">
        <v>12.12</v>
      </c>
      <c r="AD152" s="464">
        <v>12.11</v>
      </c>
      <c r="AE152" s="464">
        <v>12</v>
      </c>
      <c r="AF152" s="464">
        <v>12</v>
      </c>
      <c r="AI152" s="326"/>
    </row>
    <row r="153" spans="1:35">
      <c r="A153" s="483"/>
      <c r="B153" s="321"/>
      <c r="C153" s="321"/>
      <c r="D153" s="321"/>
      <c r="E153" s="321"/>
      <c r="F153" s="321"/>
      <c r="G153" s="321"/>
      <c r="H153" s="321"/>
      <c r="I153" s="321"/>
      <c r="J153" s="321"/>
      <c r="K153" s="321"/>
      <c r="L153" s="321"/>
      <c r="M153" s="321"/>
      <c r="N153" s="321"/>
      <c r="O153" s="321"/>
      <c r="P153" s="321"/>
      <c r="Q153" s="321"/>
      <c r="R153" s="321"/>
      <c r="S153" s="321"/>
      <c r="T153" s="321"/>
      <c r="U153" s="321"/>
      <c r="V153" s="321"/>
      <c r="W153" s="410">
        <v>8.07</v>
      </c>
      <c r="X153" s="410">
        <v>8.06</v>
      </c>
      <c r="Y153" s="452">
        <v>7.05</v>
      </c>
      <c r="Z153" s="410">
        <v>6</v>
      </c>
      <c r="AA153" s="438">
        <v>12.11</v>
      </c>
      <c r="AB153" s="438">
        <v>12.11</v>
      </c>
      <c r="AC153" s="438">
        <v>12.12</v>
      </c>
      <c r="AD153" s="438">
        <v>12.11</v>
      </c>
      <c r="AE153" s="438">
        <v>12</v>
      </c>
      <c r="AF153" s="438">
        <v>12</v>
      </c>
      <c r="AI153" s="326"/>
    </row>
    <row r="154" spans="1:35">
      <c r="A154" s="483"/>
      <c r="B154" s="321"/>
      <c r="C154" s="321"/>
      <c r="D154" s="321"/>
      <c r="E154" s="321"/>
      <c r="F154" s="321"/>
      <c r="G154" s="321"/>
      <c r="H154" s="321"/>
      <c r="I154" s="321"/>
      <c r="J154" s="321"/>
      <c r="K154" s="321"/>
      <c r="L154" s="321"/>
      <c r="M154" s="321"/>
      <c r="N154" s="321"/>
      <c r="O154" s="321"/>
      <c r="P154" s="321"/>
      <c r="Q154" s="321"/>
      <c r="R154" s="321"/>
      <c r="S154" s="321"/>
      <c r="T154" s="321"/>
      <c r="U154" s="321"/>
      <c r="V154" s="321"/>
      <c r="W154" s="410">
        <v>8.07</v>
      </c>
      <c r="X154" s="410">
        <v>8.06</v>
      </c>
      <c r="Y154" s="452">
        <v>7.05</v>
      </c>
      <c r="Z154" s="410">
        <v>6</v>
      </c>
      <c r="AA154" s="421">
        <v>5</v>
      </c>
      <c r="AB154" s="421">
        <v>5</v>
      </c>
      <c r="AC154" s="410">
        <v>8.06</v>
      </c>
      <c r="AD154" s="410">
        <v>8</v>
      </c>
      <c r="AE154" s="452">
        <v>8</v>
      </c>
      <c r="AF154" s="452">
        <v>8</v>
      </c>
      <c r="AI154" s="326"/>
    </row>
    <row r="155" spans="1:35">
      <c r="A155" s="483"/>
      <c r="B155" s="321"/>
      <c r="C155" s="321"/>
      <c r="D155" s="321"/>
      <c r="E155" s="321"/>
      <c r="F155" s="321"/>
      <c r="G155" s="321"/>
      <c r="H155" s="321"/>
      <c r="I155" s="321"/>
      <c r="J155" s="321"/>
      <c r="K155" s="321"/>
      <c r="L155" s="321"/>
      <c r="M155" s="321"/>
      <c r="N155" s="321"/>
      <c r="O155" s="321"/>
      <c r="P155" s="321"/>
      <c r="Q155" s="321"/>
      <c r="R155" s="321"/>
      <c r="S155" s="321"/>
      <c r="T155" s="321"/>
      <c r="U155" s="321"/>
      <c r="V155" s="321"/>
      <c r="W155" s="410">
        <v>8.07</v>
      </c>
      <c r="X155" s="410">
        <v>8.06</v>
      </c>
      <c r="Y155" s="452">
        <v>7.05</v>
      </c>
      <c r="Z155" s="410">
        <v>6</v>
      </c>
      <c r="AA155" s="410">
        <v>5</v>
      </c>
      <c r="AB155" s="410">
        <v>5</v>
      </c>
      <c r="AC155" s="410">
        <v>6.04</v>
      </c>
      <c r="AD155" s="410">
        <v>8</v>
      </c>
      <c r="AE155" s="453">
        <v>10</v>
      </c>
      <c r="AF155" s="440">
        <v>10</v>
      </c>
      <c r="AI155" s="326"/>
    </row>
    <row r="156" spans="1:35">
      <c r="A156" s="483"/>
      <c r="B156" s="321"/>
      <c r="C156" s="321"/>
      <c r="D156" s="321"/>
      <c r="E156" s="321"/>
      <c r="F156" s="321"/>
      <c r="G156" s="321"/>
      <c r="H156" s="321"/>
      <c r="I156" s="321"/>
      <c r="J156" s="321"/>
      <c r="K156" s="321"/>
      <c r="L156" s="321"/>
      <c r="M156" s="321"/>
      <c r="N156" s="321"/>
      <c r="O156" s="321"/>
      <c r="P156" s="321"/>
      <c r="Q156" s="321"/>
      <c r="R156" s="321"/>
      <c r="S156" s="321"/>
      <c r="T156" s="321"/>
      <c r="U156" s="321"/>
      <c r="V156" s="321"/>
      <c r="W156" s="410">
        <v>8.07</v>
      </c>
      <c r="X156" s="410">
        <v>8.06</v>
      </c>
      <c r="Y156" s="452">
        <v>7.05</v>
      </c>
      <c r="Z156" s="410">
        <v>6.04</v>
      </c>
      <c r="AA156" s="410">
        <v>5</v>
      </c>
      <c r="AB156" s="410">
        <v>5</v>
      </c>
      <c r="AC156" s="410">
        <v>6.04</v>
      </c>
      <c r="AD156" s="410">
        <v>8</v>
      </c>
      <c r="AE156" s="440">
        <v>10</v>
      </c>
      <c r="AF156" s="433">
        <v>10</v>
      </c>
      <c r="AI156" s="326"/>
    </row>
    <row r="157" spans="1:35">
      <c r="A157" s="483"/>
      <c r="B157" s="321"/>
      <c r="C157" s="321"/>
      <c r="D157" s="321"/>
      <c r="E157" s="321"/>
      <c r="F157" s="321"/>
      <c r="G157" s="321"/>
      <c r="H157" s="321"/>
      <c r="I157" s="321"/>
      <c r="J157" s="321"/>
      <c r="K157" s="321"/>
      <c r="L157" s="321"/>
      <c r="M157" s="321"/>
      <c r="N157" s="321"/>
      <c r="O157" s="321"/>
      <c r="P157" s="321"/>
      <c r="Q157" s="321"/>
      <c r="R157" s="321"/>
      <c r="S157" s="321"/>
      <c r="T157" s="321"/>
      <c r="U157" s="321"/>
      <c r="V157" s="321"/>
      <c r="W157" s="410">
        <v>8.07</v>
      </c>
      <c r="X157" s="410">
        <v>8.06</v>
      </c>
      <c r="Y157" s="452">
        <v>7.05</v>
      </c>
      <c r="Z157" s="410">
        <v>6.04</v>
      </c>
      <c r="AA157" s="410">
        <v>6.04</v>
      </c>
      <c r="AB157" s="410">
        <v>6.04</v>
      </c>
      <c r="AC157" s="410">
        <v>8.06</v>
      </c>
      <c r="AD157" s="410">
        <v>8</v>
      </c>
      <c r="AE157" s="410">
        <v>8</v>
      </c>
      <c r="AF157" s="452">
        <v>8</v>
      </c>
      <c r="AI157" s="326"/>
    </row>
    <row r="158" spans="1:35">
      <c r="A158" s="483"/>
      <c r="B158" s="321"/>
      <c r="C158" s="321"/>
      <c r="D158" s="321"/>
      <c r="E158" s="321"/>
      <c r="F158" s="321"/>
      <c r="G158" s="321"/>
      <c r="H158" s="321"/>
      <c r="I158" s="321"/>
      <c r="J158" s="321"/>
      <c r="K158" s="321"/>
      <c r="L158" s="321"/>
      <c r="M158" s="321"/>
      <c r="N158" s="321"/>
      <c r="O158" s="321"/>
      <c r="P158" s="321"/>
      <c r="Q158" s="321"/>
      <c r="R158" s="321"/>
      <c r="S158" s="321"/>
      <c r="T158" s="321"/>
      <c r="U158" s="321"/>
      <c r="V158" s="321"/>
      <c r="W158" s="410">
        <v>8.07</v>
      </c>
      <c r="X158" s="410">
        <v>8.06</v>
      </c>
      <c r="Y158" s="410">
        <v>7.05</v>
      </c>
      <c r="Z158" s="410">
        <v>7.05</v>
      </c>
      <c r="AA158" s="410">
        <v>7.05</v>
      </c>
      <c r="AB158" s="410">
        <v>7.05</v>
      </c>
      <c r="AC158" s="410">
        <v>7</v>
      </c>
      <c r="AD158" s="410">
        <v>8</v>
      </c>
      <c r="AE158" s="410">
        <v>8</v>
      </c>
      <c r="AF158" s="410">
        <v>8</v>
      </c>
      <c r="AI158" s="326"/>
    </row>
    <row r="159" spans="1:35">
      <c r="AH159">
        <v>146</v>
      </c>
      <c r="AI159" s="326"/>
    </row>
    <row r="160" spans="1:35">
      <c r="A160" s="651"/>
      <c r="B160" s="569"/>
      <c r="C160" s="569"/>
      <c r="D160" s="569"/>
      <c r="E160" s="569"/>
      <c r="F160" s="569"/>
      <c r="G160" s="569"/>
      <c r="H160" s="569"/>
      <c r="I160" s="569"/>
      <c r="J160" s="569"/>
      <c r="K160" s="569"/>
      <c r="L160" s="569"/>
      <c r="M160" s="569"/>
      <c r="N160" s="569"/>
      <c r="O160" s="569"/>
      <c r="P160" s="569"/>
      <c r="Q160" s="569"/>
      <c r="R160" s="569"/>
      <c r="S160" s="569"/>
      <c r="T160" s="569"/>
      <c r="U160" s="569"/>
      <c r="V160" s="569"/>
      <c r="W160" s="569"/>
      <c r="X160" s="569"/>
      <c r="Y160" s="452">
        <v>8.07</v>
      </c>
      <c r="Z160" s="452">
        <v>8.07</v>
      </c>
      <c r="AA160" s="452">
        <v>8.07</v>
      </c>
      <c r="AB160" s="452">
        <v>8.07</v>
      </c>
      <c r="AC160" s="452">
        <v>8.07</v>
      </c>
      <c r="AD160" s="452">
        <v>8.07</v>
      </c>
      <c r="AE160" s="452">
        <v>8.07</v>
      </c>
      <c r="AF160" s="452">
        <v>8.07</v>
      </c>
      <c r="AI160" s="326"/>
    </row>
    <row r="161" spans="1:35">
      <c r="A161" s="432">
        <v>2</v>
      </c>
      <c r="B161" s="432">
        <v>2</v>
      </c>
      <c r="C161" s="432">
        <v>2</v>
      </c>
      <c r="D161" s="432">
        <v>2</v>
      </c>
      <c r="E161" s="432">
        <v>2</v>
      </c>
      <c r="F161" s="432">
        <v>2</v>
      </c>
      <c r="G161" s="432">
        <v>2</v>
      </c>
      <c r="H161" s="432">
        <v>2</v>
      </c>
      <c r="I161" s="432">
        <v>2</v>
      </c>
      <c r="J161" s="432">
        <v>2</v>
      </c>
      <c r="K161" s="432">
        <v>2</v>
      </c>
      <c r="L161" s="432">
        <v>2</v>
      </c>
      <c r="M161" s="432">
        <v>2</v>
      </c>
      <c r="N161" s="432">
        <v>2</v>
      </c>
      <c r="O161" s="432">
        <v>2</v>
      </c>
      <c r="P161" s="432">
        <v>2</v>
      </c>
      <c r="Q161" s="432">
        <v>2</v>
      </c>
      <c r="R161" s="432">
        <v>2</v>
      </c>
      <c r="S161" s="432">
        <v>2</v>
      </c>
      <c r="T161" s="432">
        <v>2</v>
      </c>
      <c r="U161" s="432">
        <v>2</v>
      </c>
      <c r="V161" s="432">
        <v>2</v>
      </c>
      <c r="W161" s="432">
        <v>2</v>
      </c>
      <c r="X161" s="432">
        <v>2</v>
      </c>
      <c r="Y161" s="432">
        <v>2</v>
      </c>
      <c r="Z161" s="432">
        <v>2</v>
      </c>
      <c r="AA161" s="432">
        <v>2</v>
      </c>
      <c r="AB161" s="432">
        <v>2</v>
      </c>
      <c r="AC161" s="432">
        <v>2</v>
      </c>
      <c r="AD161" s="432">
        <v>2</v>
      </c>
      <c r="AE161" s="432">
        <v>2</v>
      </c>
      <c r="AF161" s="432">
        <v>2</v>
      </c>
      <c r="AG161">
        <v>6</v>
      </c>
      <c r="AI161" s="326"/>
    </row>
    <row r="162" spans="1:35">
      <c r="A162" s="432">
        <v>2</v>
      </c>
      <c r="B162" s="410">
        <v>3.02</v>
      </c>
      <c r="C162" s="411">
        <v>3.02</v>
      </c>
      <c r="D162" s="439">
        <v>2.0099999999999998</v>
      </c>
      <c r="E162" s="411">
        <v>3.02</v>
      </c>
      <c r="F162" s="411">
        <v>3.02</v>
      </c>
      <c r="G162" s="411">
        <v>3.02</v>
      </c>
      <c r="H162" s="411">
        <v>3.02</v>
      </c>
      <c r="I162" s="452">
        <v>3.02</v>
      </c>
      <c r="J162" s="452">
        <v>3.02</v>
      </c>
      <c r="K162" s="452">
        <v>3.02</v>
      </c>
      <c r="L162" s="452">
        <v>3.02</v>
      </c>
      <c r="M162" s="452">
        <v>3.02</v>
      </c>
      <c r="N162" s="452">
        <v>3.02</v>
      </c>
      <c r="O162" s="452">
        <v>3.02</v>
      </c>
      <c r="P162" s="452">
        <v>3.02</v>
      </c>
      <c r="Q162" s="411">
        <v>3.02</v>
      </c>
      <c r="R162" s="411">
        <v>3.02</v>
      </c>
      <c r="S162" s="411">
        <v>3.02</v>
      </c>
      <c r="T162" s="411">
        <v>3.02</v>
      </c>
      <c r="U162" s="411">
        <v>3.02</v>
      </c>
      <c r="V162" s="411">
        <v>3.02</v>
      </c>
      <c r="W162" s="411">
        <v>3.02</v>
      </c>
      <c r="X162" s="411">
        <v>3.02</v>
      </c>
      <c r="Y162" s="411">
        <v>3.02</v>
      </c>
      <c r="Z162" s="411">
        <v>3.02</v>
      </c>
      <c r="AA162" s="411">
        <v>3.02</v>
      </c>
      <c r="AB162" s="411">
        <v>3.02</v>
      </c>
      <c r="AC162" s="439">
        <v>2.0099999999999998</v>
      </c>
      <c r="AD162" s="410">
        <v>3.02</v>
      </c>
      <c r="AE162" s="411">
        <v>3.02</v>
      </c>
      <c r="AF162" s="432">
        <v>2</v>
      </c>
      <c r="AI162" s="326"/>
    </row>
    <row r="163" spans="1:35">
      <c r="A163" s="432">
        <v>2</v>
      </c>
      <c r="B163" s="452">
        <v>3.02</v>
      </c>
      <c r="C163" s="421">
        <v>3.02</v>
      </c>
      <c r="D163" s="439">
        <v>2.0099999999999998</v>
      </c>
      <c r="E163" s="432">
        <v>2.0099999999999998</v>
      </c>
      <c r="F163" s="432">
        <v>2.0099999999999998</v>
      </c>
      <c r="G163" s="432">
        <v>2.0099999999999998</v>
      </c>
      <c r="H163" s="432">
        <v>2.0099999999999998</v>
      </c>
      <c r="I163" s="432">
        <v>2.0099999999999998</v>
      </c>
      <c r="J163" s="432">
        <v>2.0099999999999998</v>
      </c>
      <c r="K163" s="432">
        <v>2.0099999999999998</v>
      </c>
      <c r="L163" s="432">
        <v>2.0099999999999998</v>
      </c>
      <c r="M163" s="432">
        <v>2.0099999999999998</v>
      </c>
      <c r="N163" s="432">
        <v>2.0099999999999998</v>
      </c>
      <c r="O163" s="432">
        <v>2.0099999999999998</v>
      </c>
      <c r="P163" s="432">
        <v>2.0099999999999998</v>
      </c>
      <c r="Q163" s="432">
        <v>2.0099999999999998</v>
      </c>
      <c r="R163" s="432">
        <v>2.0099999999999998</v>
      </c>
      <c r="S163" s="432">
        <v>2.0099999999999998</v>
      </c>
      <c r="T163" s="432">
        <v>2.0099999999999998</v>
      </c>
      <c r="U163" s="432">
        <v>2.0099999999999998</v>
      </c>
      <c r="V163" s="432">
        <v>2.0099999999999998</v>
      </c>
      <c r="W163" s="432">
        <v>2.0099999999999998</v>
      </c>
      <c r="X163" s="432">
        <v>2.0099999999999998</v>
      </c>
      <c r="Y163" s="432">
        <v>2.0099999999999998</v>
      </c>
      <c r="Z163" s="432">
        <v>2.0099999999999998</v>
      </c>
      <c r="AA163" s="432">
        <v>2.0099999999999998</v>
      </c>
      <c r="AB163" s="432">
        <v>2.0099999999999998</v>
      </c>
      <c r="AC163" s="432">
        <v>2.0099999999999998</v>
      </c>
      <c r="AD163" s="452">
        <v>3.02</v>
      </c>
      <c r="AE163" s="421">
        <v>3.02</v>
      </c>
      <c r="AF163" s="432">
        <v>2</v>
      </c>
      <c r="AI163" s="326"/>
    </row>
    <row r="164" spans="1:35">
      <c r="A164" s="432">
        <v>2</v>
      </c>
      <c r="B164" s="432">
        <v>2.0099999999999998</v>
      </c>
      <c r="C164" s="432">
        <v>2.0099999999999998</v>
      </c>
      <c r="D164" s="439">
        <v>2.0099999999999998</v>
      </c>
      <c r="E164" s="439">
        <v>2.0099999999999998</v>
      </c>
      <c r="F164" s="439">
        <v>2.0099999999999998</v>
      </c>
      <c r="G164" s="439">
        <v>2.0099999999999998</v>
      </c>
      <c r="H164" s="439">
        <v>2.0099999999999998</v>
      </c>
      <c r="I164" s="439">
        <v>2.0099999999999998</v>
      </c>
      <c r="J164" s="439">
        <v>2.0099999999999998</v>
      </c>
      <c r="K164" s="439">
        <v>2.0099999999999998</v>
      </c>
      <c r="L164" s="439">
        <v>2.0099999999999998</v>
      </c>
      <c r="M164" s="439">
        <v>2.0099999999999998</v>
      </c>
      <c r="N164" s="439">
        <v>2.0099999999999998</v>
      </c>
      <c r="O164" s="439">
        <v>2.0099999999999998</v>
      </c>
      <c r="P164" s="439">
        <v>2.0099999999999998</v>
      </c>
      <c r="Q164" s="439">
        <v>2.0099999999999998</v>
      </c>
      <c r="R164" s="439">
        <v>2.0099999999999998</v>
      </c>
      <c r="S164" s="439">
        <v>2.0099999999999998</v>
      </c>
      <c r="T164" s="439">
        <v>2.0099999999999998</v>
      </c>
      <c r="U164" s="439">
        <v>2.0099999999999998</v>
      </c>
      <c r="V164" s="439">
        <v>2.0099999999999998</v>
      </c>
      <c r="W164" s="439">
        <v>2.0099999999999998</v>
      </c>
      <c r="X164" s="439">
        <v>2.0099999999999998</v>
      </c>
      <c r="Y164" s="439">
        <v>2.0099999999999998</v>
      </c>
      <c r="Z164" s="439">
        <v>2.0099999999999998</v>
      </c>
      <c r="AA164" s="439">
        <v>2.0099999999999998</v>
      </c>
      <c r="AB164" s="439">
        <v>2.0099999999999998</v>
      </c>
      <c r="AC164" s="439">
        <v>2.0099999999999998</v>
      </c>
      <c r="AD164" s="432">
        <v>2.0099999999999998</v>
      </c>
      <c r="AE164" s="432">
        <v>2.0099999999999998</v>
      </c>
      <c r="AF164" s="432">
        <v>2</v>
      </c>
      <c r="AI164" s="326"/>
    </row>
    <row r="165" spans="1:35">
      <c r="A165" s="432">
        <v>2</v>
      </c>
      <c r="B165" s="411">
        <v>3.02</v>
      </c>
      <c r="C165" s="439">
        <v>2.0099999999999998</v>
      </c>
      <c r="D165" s="439">
        <v>2.0099999999999998</v>
      </c>
      <c r="E165" s="439">
        <v>2.0099999999999998</v>
      </c>
      <c r="F165" s="439">
        <v>2.0099999999999998</v>
      </c>
      <c r="G165" s="439">
        <v>2.0099999999999998</v>
      </c>
      <c r="H165" s="439">
        <v>2.0099999999999998</v>
      </c>
      <c r="I165" s="439">
        <v>2.0099999999999998</v>
      </c>
      <c r="J165" s="439">
        <v>2.0099999999999998</v>
      </c>
      <c r="K165" s="439">
        <v>2.0099999999999998</v>
      </c>
      <c r="L165" s="439">
        <v>2.0099999999999998</v>
      </c>
      <c r="M165" s="439">
        <v>2.0099999999999998</v>
      </c>
      <c r="N165" s="439">
        <v>2.0099999999999998</v>
      </c>
      <c r="O165" s="439">
        <v>2.0099999999999998</v>
      </c>
      <c r="P165" s="439">
        <v>2.0099999999999998</v>
      </c>
      <c r="Q165" s="439">
        <v>2.0099999999999998</v>
      </c>
      <c r="R165" s="439">
        <v>2.0099999999999998</v>
      </c>
      <c r="S165" s="439">
        <v>2.0099999999999998</v>
      </c>
      <c r="T165" s="439">
        <v>2.0099999999999998</v>
      </c>
      <c r="U165" s="439">
        <v>2.0099999999999998</v>
      </c>
      <c r="V165" s="439">
        <v>2.0099999999999998</v>
      </c>
      <c r="W165" s="439">
        <v>2.0099999999999998</v>
      </c>
      <c r="X165" s="439">
        <v>2.0099999999999998</v>
      </c>
      <c r="Y165" s="439">
        <v>2.0099999999999998</v>
      </c>
      <c r="Z165" s="439">
        <v>2.0099999999999998</v>
      </c>
      <c r="AA165" s="439">
        <v>2.0099999999999998</v>
      </c>
      <c r="AB165" s="439">
        <v>2.0099999999999998</v>
      </c>
      <c r="AC165" s="439">
        <v>2.0099999999999998</v>
      </c>
      <c r="AD165" s="439">
        <v>2.0099999999999998</v>
      </c>
      <c r="AE165" s="411">
        <v>3.02</v>
      </c>
      <c r="AF165" s="432">
        <v>2</v>
      </c>
      <c r="AI165" s="326"/>
    </row>
    <row r="166" spans="1:35">
      <c r="A166" s="432">
        <v>2</v>
      </c>
      <c r="B166" s="411">
        <v>3.02</v>
      </c>
      <c r="C166" s="432">
        <v>2.0099999999999998</v>
      </c>
      <c r="D166" s="439">
        <v>2.0099999999999998</v>
      </c>
      <c r="E166" s="439">
        <v>2.0099999999999998</v>
      </c>
      <c r="F166" s="439">
        <v>2.0099999999999998</v>
      </c>
      <c r="G166" s="411">
        <v>3.01</v>
      </c>
      <c r="H166" s="411">
        <v>3</v>
      </c>
      <c r="I166" s="439">
        <v>2.0099999999999998</v>
      </c>
      <c r="J166" s="439">
        <v>2.0099999999999998</v>
      </c>
      <c r="K166" s="439">
        <v>2.0099999999999998</v>
      </c>
      <c r="L166" s="411">
        <v>3.01</v>
      </c>
      <c r="M166" s="411">
        <v>3</v>
      </c>
      <c r="N166" s="439">
        <v>2.0099999999999998</v>
      </c>
      <c r="O166" s="439">
        <v>2.0099999999999998</v>
      </c>
      <c r="P166" s="439">
        <v>2.0099999999999998</v>
      </c>
      <c r="Q166" s="411">
        <v>3.01</v>
      </c>
      <c r="R166" s="411">
        <v>3</v>
      </c>
      <c r="S166" s="439">
        <v>2.0099999999999998</v>
      </c>
      <c r="T166" s="439">
        <v>2.0099999999999998</v>
      </c>
      <c r="U166" s="439">
        <v>2.0099999999999998</v>
      </c>
      <c r="V166" s="411">
        <v>3.01</v>
      </c>
      <c r="W166" s="411">
        <v>3</v>
      </c>
      <c r="X166" s="439">
        <v>2.0099999999999998</v>
      </c>
      <c r="Y166" s="439">
        <v>2.0099999999999998</v>
      </c>
      <c r="Z166" s="439">
        <v>2.0099999999999998</v>
      </c>
      <c r="AA166" s="411">
        <v>3.01</v>
      </c>
      <c r="AB166" s="411">
        <v>3</v>
      </c>
      <c r="AC166" s="439">
        <v>2.0099999999999998</v>
      </c>
      <c r="AD166" s="439">
        <v>2.0099999999999998</v>
      </c>
      <c r="AE166" s="411">
        <v>3.02</v>
      </c>
      <c r="AF166" s="432">
        <v>2</v>
      </c>
      <c r="AI166" s="326"/>
    </row>
    <row r="167" spans="1:35">
      <c r="A167" s="432">
        <v>2</v>
      </c>
      <c r="B167" s="411">
        <v>3.02</v>
      </c>
      <c r="C167" s="432">
        <v>2.0099999999999998</v>
      </c>
      <c r="D167" s="439">
        <v>2.0099999999999998</v>
      </c>
      <c r="E167" s="439">
        <v>2.0099999999999998</v>
      </c>
      <c r="F167" s="411">
        <v>3.01</v>
      </c>
      <c r="G167" s="452">
        <v>3.01</v>
      </c>
      <c r="H167" s="432">
        <v>3.01</v>
      </c>
      <c r="I167" s="439">
        <v>2.0099999999999998</v>
      </c>
      <c r="J167" s="439">
        <v>2.0099999999999998</v>
      </c>
      <c r="K167" s="411">
        <v>3.01</v>
      </c>
      <c r="L167" s="452">
        <v>3.01</v>
      </c>
      <c r="M167" s="432">
        <v>3.01</v>
      </c>
      <c r="N167" s="439">
        <v>2.0099999999999998</v>
      </c>
      <c r="O167" s="439">
        <v>2.0099999999999998</v>
      </c>
      <c r="P167" s="411">
        <v>3.01</v>
      </c>
      <c r="Q167" s="452">
        <v>3.01</v>
      </c>
      <c r="R167" s="432">
        <v>3.01</v>
      </c>
      <c r="S167" s="439">
        <v>2.0099999999999998</v>
      </c>
      <c r="T167" s="439">
        <v>2.0099999999999998</v>
      </c>
      <c r="U167" s="411">
        <v>3.01</v>
      </c>
      <c r="V167" s="452">
        <v>3.01</v>
      </c>
      <c r="W167" s="432">
        <v>3.01</v>
      </c>
      <c r="X167" s="439">
        <v>2.0099999999999998</v>
      </c>
      <c r="Y167" s="439">
        <v>2.0099999999999998</v>
      </c>
      <c r="Z167" s="411">
        <v>3.01</v>
      </c>
      <c r="AA167" s="452">
        <v>3.01</v>
      </c>
      <c r="AB167" s="432">
        <v>3.01</v>
      </c>
      <c r="AC167" s="439">
        <v>2.0099999999999998</v>
      </c>
      <c r="AD167" s="439">
        <v>2.0099999999999998</v>
      </c>
      <c r="AE167" s="411">
        <v>3.02</v>
      </c>
      <c r="AF167" s="432">
        <v>2</v>
      </c>
      <c r="AI167" s="326"/>
    </row>
    <row r="168" spans="1:35">
      <c r="A168" s="432">
        <v>2</v>
      </c>
      <c r="B168" s="411">
        <v>3.02</v>
      </c>
      <c r="C168" s="432">
        <v>2.0099999999999998</v>
      </c>
      <c r="D168" s="439">
        <v>2.0099999999999998</v>
      </c>
      <c r="E168" s="439">
        <v>2.0099999999999998</v>
      </c>
      <c r="F168" s="411">
        <v>3.01</v>
      </c>
      <c r="G168" s="432">
        <v>3.01</v>
      </c>
      <c r="H168" s="439">
        <v>2.0099999999999998</v>
      </c>
      <c r="I168" s="439">
        <v>2.0099999999999998</v>
      </c>
      <c r="J168" s="439">
        <v>2.0099999999999998</v>
      </c>
      <c r="K168" s="411">
        <v>3.01</v>
      </c>
      <c r="L168" s="432">
        <v>3.01</v>
      </c>
      <c r="M168" s="439">
        <v>2.0099999999999998</v>
      </c>
      <c r="N168" s="439">
        <v>2.0099999999999998</v>
      </c>
      <c r="O168" s="439">
        <v>2.0099999999999998</v>
      </c>
      <c r="P168" s="411">
        <v>3.01</v>
      </c>
      <c r="Q168" s="432">
        <v>3.01</v>
      </c>
      <c r="R168" s="439">
        <v>2.0099999999999998</v>
      </c>
      <c r="S168" s="439">
        <v>2.0099999999999998</v>
      </c>
      <c r="T168" s="439">
        <v>2.0099999999999998</v>
      </c>
      <c r="U168" s="411">
        <v>3.01</v>
      </c>
      <c r="V168" s="432">
        <v>3.01</v>
      </c>
      <c r="W168" s="439">
        <v>2.0099999999999998</v>
      </c>
      <c r="X168" s="439">
        <v>2.0099999999999998</v>
      </c>
      <c r="Y168" s="439">
        <v>2.0099999999999998</v>
      </c>
      <c r="Z168" s="411">
        <v>3.01</v>
      </c>
      <c r="AA168" s="432">
        <v>3.01</v>
      </c>
      <c r="AB168" s="439">
        <v>2.0099999999999998</v>
      </c>
      <c r="AC168" s="439">
        <v>2.0099999999999998</v>
      </c>
      <c r="AD168" s="439">
        <v>2.0099999999999998</v>
      </c>
      <c r="AE168" s="411">
        <v>3.02</v>
      </c>
      <c r="AF168" s="432">
        <v>2</v>
      </c>
      <c r="AI168" s="326"/>
    </row>
    <row r="169" spans="1:35">
      <c r="A169" s="432">
        <v>2</v>
      </c>
      <c r="B169" s="411">
        <v>3.02</v>
      </c>
      <c r="C169" s="432">
        <v>2.0099999999999998</v>
      </c>
      <c r="D169" s="439">
        <v>2.0099999999999998</v>
      </c>
      <c r="E169" s="439">
        <v>2.0099999999999998</v>
      </c>
      <c r="F169" s="439">
        <v>2.0099999999999998</v>
      </c>
      <c r="G169" s="439">
        <v>2.0099999999999998</v>
      </c>
      <c r="H169" s="439">
        <v>2.0099999999999998</v>
      </c>
      <c r="I169" s="439">
        <v>2.0099999999999998</v>
      </c>
      <c r="J169" s="439">
        <v>2.0099999999999998</v>
      </c>
      <c r="K169" s="439">
        <v>2.0099999999999998</v>
      </c>
      <c r="L169" s="439">
        <v>2.0099999999999998</v>
      </c>
      <c r="M169" s="439">
        <v>2.0099999999999998</v>
      </c>
      <c r="N169" s="439">
        <v>2.0099999999999998</v>
      </c>
      <c r="O169" s="439">
        <v>2.0099999999999998</v>
      </c>
      <c r="P169" s="439">
        <v>2.0099999999999998</v>
      </c>
      <c r="Q169" s="439">
        <v>2.0099999999999998</v>
      </c>
      <c r="R169" s="439">
        <v>2.0099999999999998</v>
      </c>
      <c r="S169" s="439">
        <v>2.0099999999999998</v>
      </c>
      <c r="T169" s="439">
        <v>2.0099999999999998</v>
      </c>
      <c r="U169" s="439">
        <v>2.0099999999999998</v>
      </c>
      <c r="V169" s="439">
        <v>2.0099999999999998</v>
      </c>
      <c r="W169" s="439">
        <v>2.0099999999999998</v>
      </c>
      <c r="X169" s="439">
        <v>2.0099999999999998</v>
      </c>
      <c r="Y169" s="439">
        <v>2.0099999999999998</v>
      </c>
      <c r="Z169" s="439">
        <v>2.0099999999999998</v>
      </c>
      <c r="AA169" s="439">
        <v>2.0099999999999998</v>
      </c>
      <c r="AB169" s="439">
        <v>2.0099999999999998</v>
      </c>
      <c r="AC169" s="439">
        <v>2.0099999999999998</v>
      </c>
      <c r="AD169" s="439">
        <v>2.0099999999999998</v>
      </c>
      <c r="AE169" s="411">
        <v>3.02</v>
      </c>
      <c r="AF169" s="432">
        <v>2</v>
      </c>
      <c r="AI169" s="326"/>
    </row>
    <row r="170" spans="1:35">
      <c r="AH170">
        <v>169</v>
      </c>
      <c r="AI170" s="326"/>
    </row>
    <row r="171" spans="1:35">
      <c r="AH171">
        <v>166</v>
      </c>
      <c r="AI171" s="326"/>
    </row>
    <row r="172" spans="1:35">
      <c r="AH172">
        <v>167</v>
      </c>
      <c r="AI172" s="326"/>
    </row>
    <row r="173" spans="1:35">
      <c r="AH173">
        <v>168</v>
      </c>
      <c r="AI173" s="326"/>
    </row>
    <row r="174" spans="1:35">
      <c r="AH174">
        <v>169</v>
      </c>
      <c r="AI174" s="326"/>
    </row>
    <row r="175" spans="1:35">
      <c r="AH175">
        <v>169</v>
      </c>
      <c r="AI175" s="326"/>
    </row>
    <row r="176" spans="1:35">
      <c r="AH176">
        <v>166</v>
      </c>
      <c r="AI176" s="326"/>
    </row>
    <row r="177" spans="1:35">
      <c r="AH177">
        <v>167</v>
      </c>
      <c r="AI177" s="326"/>
    </row>
    <row r="178" spans="1:35">
      <c r="AH178">
        <v>168</v>
      </c>
      <c r="AI178" s="326"/>
    </row>
    <row r="179" spans="1:35">
      <c r="AH179">
        <v>169</v>
      </c>
      <c r="AI179" s="326"/>
    </row>
    <row r="180" spans="1:35">
      <c r="AH180">
        <v>169</v>
      </c>
      <c r="AI180" s="326"/>
    </row>
    <row r="181" spans="1:35">
      <c r="AH181">
        <v>166</v>
      </c>
      <c r="AI181" s="326"/>
    </row>
    <row r="182" spans="1:35">
      <c r="AH182">
        <v>167</v>
      </c>
      <c r="AI182" s="326"/>
    </row>
    <row r="183" spans="1:35">
      <c r="AH183">
        <v>168</v>
      </c>
      <c r="AI183" s="326"/>
    </row>
    <row r="184" spans="1:35">
      <c r="AH184">
        <v>169</v>
      </c>
      <c r="AI184" s="326"/>
    </row>
    <row r="185" spans="1:35">
      <c r="AH185">
        <v>169</v>
      </c>
      <c r="AI185" s="326"/>
    </row>
    <row r="186" spans="1:35">
      <c r="AH186">
        <v>166</v>
      </c>
      <c r="AI186" s="326"/>
    </row>
    <row r="187" spans="1:35">
      <c r="AH187">
        <v>167</v>
      </c>
      <c r="AI187" s="326"/>
    </row>
    <row r="188" spans="1:35">
      <c r="A188" s="432">
        <v>2</v>
      </c>
      <c r="B188" s="432">
        <v>3.02</v>
      </c>
      <c r="C188" s="432">
        <v>2.0099999999999998</v>
      </c>
      <c r="D188" s="439">
        <v>2.0099999999999998</v>
      </c>
      <c r="E188" s="439">
        <v>2.0099999999999998</v>
      </c>
      <c r="F188" s="411">
        <v>3.01</v>
      </c>
      <c r="G188" s="432">
        <v>3.01</v>
      </c>
      <c r="H188" s="439">
        <v>2.0099999999999998</v>
      </c>
      <c r="I188" s="439">
        <v>2.0099999999999998</v>
      </c>
      <c r="J188" s="439">
        <v>2.0099999999999998</v>
      </c>
      <c r="K188" s="411">
        <v>3.01</v>
      </c>
      <c r="L188" s="432">
        <v>3.01</v>
      </c>
      <c r="M188" s="439">
        <v>2.0099999999999998</v>
      </c>
      <c r="N188" s="439">
        <v>2.0099999999999998</v>
      </c>
      <c r="O188" s="439">
        <v>2.0099999999999998</v>
      </c>
      <c r="P188" s="411">
        <v>3.01</v>
      </c>
      <c r="Q188" s="432">
        <v>3.01</v>
      </c>
      <c r="R188" s="439">
        <v>2.0099999999999998</v>
      </c>
      <c r="S188" s="439">
        <v>2.0099999999999998</v>
      </c>
      <c r="T188" s="439">
        <v>2.0099999999999998</v>
      </c>
      <c r="U188" s="411">
        <v>3.01</v>
      </c>
      <c r="V188" s="432">
        <v>3.01</v>
      </c>
      <c r="W188" s="439">
        <v>2.0099999999999998</v>
      </c>
      <c r="X188" s="439">
        <v>2.0099999999999998</v>
      </c>
      <c r="Y188" s="439">
        <v>2.0099999999999998</v>
      </c>
      <c r="Z188" s="411">
        <v>3.01</v>
      </c>
      <c r="AA188" s="432">
        <v>3.01</v>
      </c>
      <c r="AB188" s="439">
        <v>2.0099999999999998</v>
      </c>
      <c r="AC188" s="439">
        <v>2.0099999999999998</v>
      </c>
      <c r="AD188" s="439">
        <v>2.0099999999999998</v>
      </c>
      <c r="AE188" s="432">
        <v>3.02</v>
      </c>
      <c r="AF188" s="432">
        <v>2</v>
      </c>
      <c r="AI188" s="326"/>
    </row>
    <row r="189" spans="1:35">
      <c r="A189" s="432">
        <v>2</v>
      </c>
      <c r="B189" s="439">
        <v>2.0099999999999998</v>
      </c>
      <c r="C189" s="432">
        <v>2.0099999999999998</v>
      </c>
      <c r="D189" s="439">
        <v>2.0099999999999998</v>
      </c>
      <c r="E189" s="439">
        <v>2.0099999999999998</v>
      </c>
      <c r="F189" s="439">
        <v>2.0099999999999998</v>
      </c>
      <c r="G189" s="439">
        <v>2.0099999999999998</v>
      </c>
      <c r="H189" s="439">
        <v>2.0099999999999998</v>
      </c>
      <c r="I189" s="439">
        <v>2.0099999999999998</v>
      </c>
      <c r="J189" s="439">
        <v>2.0099999999999998</v>
      </c>
      <c r="K189" s="439">
        <v>2.0099999999999998</v>
      </c>
      <c r="L189" s="439">
        <v>2.0099999999999998</v>
      </c>
      <c r="M189" s="439">
        <v>2.0099999999999998</v>
      </c>
      <c r="N189" s="439">
        <v>2.0099999999999998</v>
      </c>
      <c r="O189" s="439">
        <v>2.0099999999999998</v>
      </c>
      <c r="P189" s="439">
        <v>2.0099999999999998</v>
      </c>
      <c r="Q189" s="439">
        <v>2.0099999999999998</v>
      </c>
      <c r="R189" s="439">
        <v>2.0099999999999998</v>
      </c>
      <c r="S189" s="439">
        <v>2.0099999999999998</v>
      </c>
      <c r="T189" s="439">
        <v>2.0099999999999998</v>
      </c>
      <c r="U189" s="439">
        <v>2.0099999999999998</v>
      </c>
      <c r="V189" s="439">
        <v>2.0099999999999998</v>
      </c>
      <c r="W189" s="439">
        <v>2.0099999999999998</v>
      </c>
      <c r="X189" s="439">
        <v>2.0099999999999998</v>
      </c>
      <c r="Y189" s="439">
        <v>2.0099999999999998</v>
      </c>
      <c r="Z189" s="439">
        <v>2.0099999999999998</v>
      </c>
      <c r="AA189" s="439">
        <v>2.0099999999999998</v>
      </c>
      <c r="AB189" s="439">
        <v>2.0099999999999998</v>
      </c>
      <c r="AC189" s="439">
        <v>2.0099999999999998</v>
      </c>
      <c r="AD189" s="439">
        <v>2.0099999999999998</v>
      </c>
      <c r="AE189" s="439">
        <v>2.0099999999999998</v>
      </c>
      <c r="AF189" s="432">
        <v>2</v>
      </c>
      <c r="AI189" s="326"/>
    </row>
    <row r="190" spans="1:35">
      <c r="A190" s="432">
        <v>2</v>
      </c>
      <c r="B190" s="410">
        <v>3.02</v>
      </c>
      <c r="C190" s="411">
        <v>3.02</v>
      </c>
      <c r="D190" s="439">
        <v>2.0099999999999998</v>
      </c>
      <c r="E190" s="439">
        <v>2.0099999999999998</v>
      </c>
      <c r="F190" s="439">
        <v>2.0099999999999998</v>
      </c>
      <c r="G190" s="439">
        <v>2.0099999999999998</v>
      </c>
      <c r="H190" s="439">
        <v>2.0099999999999998</v>
      </c>
      <c r="I190" s="439">
        <v>2.0099999999999998</v>
      </c>
      <c r="J190" s="439">
        <v>2.0099999999999998</v>
      </c>
      <c r="K190" s="439">
        <v>2.0099999999999998</v>
      </c>
      <c r="L190" s="439">
        <v>2.0099999999999998</v>
      </c>
      <c r="M190" s="439">
        <v>2.0099999999999998</v>
      </c>
      <c r="N190" s="439">
        <v>2.0099999999999998</v>
      </c>
      <c r="O190" s="439">
        <v>2.0099999999999998</v>
      </c>
      <c r="P190" s="439">
        <v>2.0099999999999998</v>
      </c>
      <c r="Q190" s="439">
        <v>2.0099999999999998</v>
      </c>
      <c r="R190" s="439">
        <v>2.0099999999999998</v>
      </c>
      <c r="S190" s="439">
        <v>2.0099999999999998</v>
      </c>
      <c r="T190" s="439">
        <v>2.0099999999999998</v>
      </c>
      <c r="U190" s="439">
        <v>2.0099999999999998</v>
      </c>
      <c r="V190" s="439">
        <v>2.0099999999999998</v>
      </c>
      <c r="W190" s="439">
        <v>2.0099999999999998</v>
      </c>
      <c r="X190" s="439">
        <v>2.0099999999999998</v>
      </c>
      <c r="Y190" s="439">
        <v>2.0099999999999998</v>
      </c>
      <c r="Z190" s="439">
        <v>2.0099999999999998</v>
      </c>
      <c r="AA190" s="439">
        <v>2.0099999999999998</v>
      </c>
      <c r="AB190" s="439">
        <v>2.0099999999999998</v>
      </c>
      <c r="AC190" s="439">
        <v>2.0099999999999998</v>
      </c>
      <c r="AD190" s="410">
        <v>3.02</v>
      </c>
      <c r="AE190" s="411">
        <v>3.02</v>
      </c>
      <c r="AF190" s="432">
        <v>2</v>
      </c>
      <c r="AI190" s="326"/>
    </row>
    <row r="191" spans="1:35">
      <c r="A191" s="432">
        <v>2</v>
      </c>
      <c r="B191" s="452">
        <v>3.02</v>
      </c>
      <c r="C191" s="421">
        <v>3.02</v>
      </c>
      <c r="D191" s="439">
        <v>2.0099999999999998</v>
      </c>
      <c r="E191" s="411">
        <v>3.02</v>
      </c>
      <c r="F191" s="411">
        <v>3.02</v>
      </c>
      <c r="G191" s="411">
        <v>3.02</v>
      </c>
      <c r="H191" s="411">
        <v>3.02</v>
      </c>
      <c r="I191" s="411">
        <v>3.02</v>
      </c>
      <c r="J191" s="411">
        <v>3.02</v>
      </c>
      <c r="K191" s="411">
        <v>3.02</v>
      </c>
      <c r="L191" s="411">
        <v>3.02</v>
      </c>
      <c r="M191" s="411">
        <v>3.02</v>
      </c>
      <c r="N191" s="411">
        <v>3.02</v>
      </c>
      <c r="O191" s="411">
        <v>3.02</v>
      </c>
      <c r="P191" s="411">
        <v>3.02</v>
      </c>
      <c r="Q191" s="452">
        <v>3.02</v>
      </c>
      <c r="R191" s="452">
        <v>3.02</v>
      </c>
      <c r="S191" s="452">
        <v>3.02</v>
      </c>
      <c r="T191" s="452">
        <v>3.02</v>
      </c>
      <c r="U191" s="452">
        <v>3.02</v>
      </c>
      <c r="V191" s="452">
        <v>3.02</v>
      </c>
      <c r="W191" s="452">
        <v>3.02</v>
      </c>
      <c r="X191" s="452">
        <v>3.02</v>
      </c>
      <c r="Y191" s="411">
        <v>3.02</v>
      </c>
      <c r="Z191" s="411">
        <v>3.02</v>
      </c>
      <c r="AA191" s="411">
        <v>3.02</v>
      </c>
      <c r="AB191" s="432">
        <v>3.02</v>
      </c>
      <c r="AC191" s="439">
        <v>2.0099999999999998</v>
      </c>
      <c r="AD191" s="452">
        <v>3.02</v>
      </c>
      <c r="AE191" s="421">
        <v>3.02</v>
      </c>
      <c r="AF191" s="432">
        <v>2</v>
      </c>
      <c r="AI191" s="326"/>
    </row>
    <row r="192" spans="1:35">
      <c r="AH192">
        <v>161</v>
      </c>
      <c r="AI192" s="326"/>
    </row>
    <row r="193" spans="1:35">
      <c r="A193" s="67">
        <v>32</v>
      </c>
      <c r="B193" s="67">
        <v>10.220000000000001</v>
      </c>
      <c r="C193" s="67">
        <v>5.26</v>
      </c>
      <c r="D193" s="484"/>
      <c r="E193" s="484"/>
      <c r="F193" s="484"/>
      <c r="G193" s="484"/>
      <c r="H193" s="484"/>
      <c r="I193" s="484"/>
      <c r="J193" s="484"/>
      <c r="K193" s="484"/>
      <c r="L193" s="484"/>
      <c r="M193" s="484"/>
      <c r="N193" s="484"/>
      <c r="O193" s="484"/>
      <c r="P193" s="484"/>
      <c r="Q193" s="484"/>
      <c r="R193" s="484"/>
      <c r="S193" s="484"/>
      <c r="T193" s="484"/>
      <c r="U193" s="484"/>
      <c r="V193" s="484"/>
      <c r="W193" s="484"/>
      <c r="X193" s="484"/>
      <c r="Y193" s="484"/>
      <c r="Z193" s="484"/>
      <c r="AA193" s="484"/>
      <c r="AB193" s="484"/>
      <c r="AC193" s="484"/>
      <c r="AD193" s="67">
        <v>5.26</v>
      </c>
      <c r="AE193" s="67">
        <v>10.220000000000001</v>
      </c>
      <c r="AF193" s="67">
        <v>32</v>
      </c>
      <c r="AG193">
        <v>7</v>
      </c>
      <c r="AI193" s="695"/>
    </row>
    <row r="194" spans="1:35">
      <c r="A194" s="67">
        <v>32</v>
      </c>
      <c r="B194" s="67">
        <v>11.21</v>
      </c>
      <c r="C194" s="67">
        <v>7.24</v>
      </c>
      <c r="D194" s="67">
        <v>1.3</v>
      </c>
      <c r="E194" s="67">
        <v>1.31</v>
      </c>
      <c r="F194" s="67">
        <v>1.31</v>
      </c>
      <c r="G194" s="67">
        <v>1.31</v>
      </c>
      <c r="H194" s="321"/>
      <c r="I194" s="321"/>
      <c r="J194" s="321"/>
      <c r="K194" s="321"/>
      <c r="L194" s="321"/>
      <c r="M194" s="321"/>
      <c r="N194" s="321"/>
      <c r="O194" s="321"/>
      <c r="P194" s="321"/>
      <c r="Q194" s="321"/>
      <c r="R194" s="321"/>
      <c r="S194" s="321"/>
      <c r="T194" s="321"/>
      <c r="U194" s="321"/>
      <c r="V194" s="321"/>
      <c r="W194" s="321"/>
      <c r="X194" s="321"/>
      <c r="Y194" s="67">
        <v>1.31</v>
      </c>
      <c r="Z194" s="67">
        <v>1.31</v>
      </c>
      <c r="AA194" s="67">
        <v>1.31</v>
      </c>
      <c r="AB194" s="67">
        <v>1.31</v>
      </c>
      <c r="AC194" s="67">
        <v>1.3</v>
      </c>
      <c r="AD194" s="67">
        <v>7.24</v>
      </c>
      <c r="AE194" s="67">
        <v>11.21</v>
      </c>
      <c r="AF194" s="67">
        <v>32</v>
      </c>
      <c r="AI194" s="695"/>
    </row>
    <row r="195" spans="1:35">
      <c r="A195" s="46">
        <v>32</v>
      </c>
      <c r="B195" s="46">
        <v>12.2</v>
      </c>
      <c r="C195" s="46">
        <v>8.23</v>
      </c>
      <c r="D195" s="46">
        <v>3.28</v>
      </c>
      <c r="E195" s="46">
        <v>2.2999999999999998</v>
      </c>
      <c r="F195" s="46">
        <v>1.31</v>
      </c>
      <c r="G195" s="46">
        <v>1.31</v>
      </c>
      <c r="H195" s="46">
        <v>1.31</v>
      </c>
      <c r="I195" s="46">
        <v>1.31</v>
      </c>
      <c r="J195" s="46">
        <v>2.31</v>
      </c>
      <c r="K195" s="46">
        <v>0.32</v>
      </c>
      <c r="L195" s="46">
        <v>1.31</v>
      </c>
      <c r="M195" s="46">
        <v>1.31</v>
      </c>
      <c r="N195" s="46">
        <v>1.3</v>
      </c>
      <c r="O195" s="46">
        <v>1.31</v>
      </c>
      <c r="P195" s="46">
        <v>1.31</v>
      </c>
      <c r="Q195" s="48">
        <v>1.31</v>
      </c>
      <c r="R195" s="46">
        <v>1.31</v>
      </c>
      <c r="S195" s="46">
        <v>1.3</v>
      </c>
      <c r="T195" s="46">
        <v>1.31</v>
      </c>
      <c r="U195" s="46">
        <v>1.31</v>
      </c>
      <c r="V195" s="46">
        <v>0.32</v>
      </c>
      <c r="W195" s="46">
        <v>2.31</v>
      </c>
      <c r="X195" s="46">
        <v>1.31</v>
      </c>
      <c r="Y195" s="46">
        <v>1.31</v>
      </c>
      <c r="Z195" s="46">
        <v>1.31</v>
      </c>
      <c r="AA195" s="46">
        <v>1.31</v>
      </c>
      <c r="AB195" s="46">
        <v>2.2999999999999998</v>
      </c>
      <c r="AC195" s="46">
        <v>3.28</v>
      </c>
      <c r="AD195" s="46">
        <v>8.23</v>
      </c>
      <c r="AE195" s="20">
        <v>12.2</v>
      </c>
      <c r="AF195" s="46">
        <v>32</v>
      </c>
      <c r="AI195" s="695"/>
    </row>
    <row r="196" spans="1:35">
      <c r="A196" s="46">
        <v>32</v>
      </c>
      <c r="B196" s="20">
        <v>13.19</v>
      </c>
      <c r="C196" s="46">
        <v>9.2200000000000006</v>
      </c>
      <c r="D196" s="46">
        <v>4.2699999999999996</v>
      </c>
      <c r="E196" s="46">
        <v>3.29</v>
      </c>
      <c r="F196" s="46">
        <v>2.2999999999999998</v>
      </c>
      <c r="G196" s="46">
        <v>2.2999999999999998</v>
      </c>
      <c r="H196" s="46">
        <v>1.31</v>
      </c>
      <c r="I196" s="46">
        <v>2.31</v>
      </c>
      <c r="J196" s="46">
        <v>1.31</v>
      </c>
      <c r="K196" s="48">
        <v>1.31</v>
      </c>
      <c r="L196" s="46">
        <v>1.31</v>
      </c>
      <c r="M196" s="46">
        <v>1.31</v>
      </c>
      <c r="N196" s="20">
        <v>1.31</v>
      </c>
      <c r="O196" s="46">
        <v>1.31</v>
      </c>
      <c r="P196" s="46">
        <v>1.31</v>
      </c>
      <c r="Q196" s="48">
        <v>1.31</v>
      </c>
      <c r="R196" s="46">
        <v>1.31</v>
      </c>
      <c r="S196" s="46">
        <v>1.31</v>
      </c>
      <c r="T196" s="46">
        <v>1.31</v>
      </c>
      <c r="U196" s="46">
        <v>1.31</v>
      </c>
      <c r="V196" s="46">
        <v>1.31</v>
      </c>
      <c r="W196" s="46">
        <v>1.31</v>
      </c>
      <c r="X196" s="46">
        <v>2.31</v>
      </c>
      <c r="Y196" s="46">
        <v>2.2999999999999998</v>
      </c>
      <c r="Z196" s="46">
        <v>2.2999999999999998</v>
      </c>
      <c r="AA196" s="46">
        <v>2.2999999999999998</v>
      </c>
      <c r="AB196" s="46">
        <v>3.29</v>
      </c>
      <c r="AC196" s="46">
        <v>4.2699999999999996</v>
      </c>
      <c r="AD196" s="46">
        <v>9.2200000000000006</v>
      </c>
      <c r="AE196" s="20">
        <v>13.19</v>
      </c>
      <c r="AF196" s="46">
        <v>32</v>
      </c>
      <c r="AI196" s="695"/>
    </row>
    <row r="197" spans="1:35">
      <c r="A197" s="46">
        <v>32</v>
      </c>
      <c r="B197" s="46">
        <v>13.18</v>
      </c>
      <c r="C197" s="46">
        <v>11.2</v>
      </c>
      <c r="D197" s="46">
        <v>5.26</v>
      </c>
      <c r="E197" s="46">
        <v>4.28</v>
      </c>
      <c r="F197" s="46">
        <v>3.29</v>
      </c>
      <c r="G197" s="46">
        <v>2.2999999999999998</v>
      </c>
      <c r="H197" s="46">
        <v>2.2999999999999998</v>
      </c>
      <c r="I197" s="46">
        <v>1.31</v>
      </c>
      <c r="J197" s="46">
        <v>1.31</v>
      </c>
      <c r="K197" s="48">
        <v>1.31</v>
      </c>
      <c r="L197" s="46">
        <v>2.2999999999999998</v>
      </c>
      <c r="M197" s="46">
        <v>2.2999999999999998</v>
      </c>
      <c r="N197" s="20">
        <v>1.31</v>
      </c>
      <c r="O197" s="46">
        <v>2.2999999999999998</v>
      </c>
      <c r="P197" s="46">
        <v>2.2999999999999998</v>
      </c>
      <c r="Q197" s="46">
        <v>2.2999999999999998</v>
      </c>
      <c r="R197" s="46">
        <v>2.2999999999999998</v>
      </c>
      <c r="S197" s="46">
        <v>1.31</v>
      </c>
      <c r="T197" s="67">
        <v>2.2999999999999998</v>
      </c>
      <c r="U197" s="46">
        <v>2.2999999999999998</v>
      </c>
      <c r="V197" s="46">
        <v>1.31</v>
      </c>
      <c r="W197" s="46">
        <v>1.31</v>
      </c>
      <c r="X197" s="46">
        <v>1.31</v>
      </c>
      <c r="Y197" s="46">
        <v>2.2999999999999998</v>
      </c>
      <c r="Z197" s="46">
        <v>2.2999999999999998</v>
      </c>
      <c r="AA197" s="46">
        <v>3.29</v>
      </c>
      <c r="AB197" s="46">
        <v>4.28</v>
      </c>
      <c r="AC197" s="46">
        <v>5.26</v>
      </c>
      <c r="AD197" s="46">
        <v>11.2</v>
      </c>
      <c r="AE197" s="46">
        <v>13.18</v>
      </c>
      <c r="AF197" s="46">
        <v>32</v>
      </c>
      <c r="AI197" s="695"/>
    </row>
    <row r="198" spans="1:35">
      <c r="A198" s="46">
        <v>32</v>
      </c>
      <c r="B198" s="46">
        <v>14.17</v>
      </c>
      <c r="C198" s="46">
        <v>12.19</v>
      </c>
      <c r="D198" s="67">
        <v>6.25</v>
      </c>
      <c r="E198" s="67">
        <v>5.27</v>
      </c>
      <c r="F198" s="46">
        <v>4.28</v>
      </c>
      <c r="G198" s="46">
        <v>3.29</v>
      </c>
      <c r="H198" s="46">
        <v>2.2999999999999998</v>
      </c>
      <c r="I198" s="46">
        <v>2.2999999999999998</v>
      </c>
      <c r="J198" s="46">
        <v>2.2999999999999998</v>
      </c>
      <c r="K198" s="46">
        <v>2.31</v>
      </c>
      <c r="L198" s="46">
        <v>2.2999999999999998</v>
      </c>
      <c r="M198" s="46">
        <v>2.2999999999999998</v>
      </c>
      <c r="N198" s="46">
        <v>2.2999999999999998</v>
      </c>
      <c r="O198" s="46">
        <v>2.2999999999999998</v>
      </c>
      <c r="P198" s="46">
        <v>2.31</v>
      </c>
      <c r="Q198" s="46">
        <v>2.31</v>
      </c>
      <c r="R198" s="46">
        <v>2.2999999999999998</v>
      </c>
      <c r="S198" s="46">
        <v>2.2999999999999998</v>
      </c>
      <c r="T198" s="67">
        <v>2.2999999999999998</v>
      </c>
      <c r="U198" s="46">
        <v>2.2999999999999998</v>
      </c>
      <c r="V198" s="46">
        <v>2.31</v>
      </c>
      <c r="W198" s="46">
        <v>2.2999999999999998</v>
      </c>
      <c r="X198" s="46">
        <v>2.2999999999999998</v>
      </c>
      <c r="Y198" s="48">
        <v>3.29</v>
      </c>
      <c r="Z198" s="46">
        <v>3.29</v>
      </c>
      <c r="AA198" s="46">
        <v>4.28</v>
      </c>
      <c r="AB198" s="46">
        <v>5.27</v>
      </c>
      <c r="AC198" s="46">
        <v>6.25</v>
      </c>
      <c r="AD198" s="48">
        <v>12.19</v>
      </c>
      <c r="AE198" s="46">
        <v>14.17</v>
      </c>
      <c r="AF198" s="46">
        <v>32</v>
      </c>
      <c r="AI198" s="695"/>
    </row>
    <row r="199" spans="1:35">
      <c r="A199" s="48">
        <v>32</v>
      </c>
      <c r="B199" s="48">
        <v>14.17</v>
      </c>
      <c r="C199" s="46">
        <v>12.19</v>
      </c>
      <c r="D199" s="67">
        <v>7.24</v>
      </c>
      <c r="E199" s="67">
        <v>6.26</v>
      </c>
      <c r="F199" s="46">
        <v>5.27</v>
      </c>
      <c r="G199" s="46">
        <v>4.28</v>
      </c>
      <c r="H199" s="46">
        <v>3.29</v>
      </c>
      <c r="I199" s="46">
        <v>3.29</v>
      </c>
      <c r="J199" s="46">
        <v>2.2999999999999998</v>
      </c>
      <c r="K199" s="46">
        <v>2.2999999999999998</v>
      </c>
      <c r="L199" s="46">
        <v>1.31</v>
      </c>
      <c r="M199" s="46">
        <v>1.31</v>
      </c>
      <c r="N199" s="46">
        <v>2.2999999999999998</v>
      </c>
      <c r="O199" s="46">
        <v>1.31</v>
      </c>
      <c r="P199" s="46">
        <v>3.3</v>
      </c>
      <c r="Q199" s="46">
        <v>3.3</v>
      </c>
      <c r="R199" s="46">
        <v>1.31</v>
      </c>
      <c r="S199" s="46">
        <v>2.2999999999999998</v>
      </c>
      <c r="T199" s="46">
        <v>1.31</v>
      </c>
      <c r="U199" s="46">
        <v>1.31</v>
      </c>
      <c r="V199" s="46">
        <v>2.2999999999999998</v>
      </c>
      <c r="W199" s="46">
        <v>2.2999999999999998</v>
      </c>
      <c r="X199" s="46">
        <v>3.29</v>
      </c>
      <c r="Y199" s="48">
        <v>3.29</v>
      </c>
      <c r="Z199" s="46">
        <v>4.28</v>
      </c>
      <c r="AA199" s="46">
        <v>5.27</v>
      </c>
      <c r="AB199" s="46">
        <v>6.26</v>
      </c>
      <c r="AC199" s="46">
        <v>7.24</v>
      </c>
      <c r="AD199" s="48">
        <v>12.19</v>
      </c>
      <c r="AE199" s="46">
        <v>14.17</v>
      </c>
      <c r="AF199" s="46">
        <v>32</v>
      </c>
      <c r="AI199" s="695"/>
    </row>
    <row r="200" spans="1:35">
      <c r="A200" s="48">
        <v>32</v>
      </c>
      <c r="B200" s="48">
        <v>14.17</v>
      </c>
      <c r="C200" s="46">
        <v>12.19</v>
      </c>
      <c r="D200" s="46">
        <v>8.23</v>
      </c>
      <c r="E200" s="46">
        <v>7.25</v>
      </c>
      <c r="F200" s="46">
        <v>5.27</v>
      </c>
      <c r="G200" s="46">
        <v>4.28</v>
      </c>
      <c r="H200" s="46">
        <v>3.29</v>
      </c>
      <c r="I200" s="46">
        <v>3.29</v>
      </c>
      <c r="J200" s="20">
        <v>3.29</v>
      </c>
      <c r="K200" s="46">
        <v>3.3</v>
      </c>
      <c r="L200" s="46">
        <v>2.31</v>
      </c>
      <c r="M200" s="46">
        <v>2.31</v>
      </c>
      <c r="N200" s="46">
        <v>1.31</v>
      </c>
      <c r="O200" s="46">
        <v>2.31</v>
      </c>
      <c r="P200" s="46">
        <v>2.2999999999999998</v>
      </c>
      <c r="Q200" s="46">
        <v>2.2999999999999998</v>
      </c>
      <c r="R200" s="46">
        <v>2.31</v>
      </c>
      <c r="S200" s="46">
        <v>1.31</v>
      </c>
      <c r="T200" s="46">
        <v>2.31</v>
      </c>
      <c r="U200" s="46">
        <v>2.31</v>
      </c>
      <c r="V200" s="46">
        <v>3.3</v>
      </c>
      <c r="W200" s="46">
        <v>3.29</v>
      </c>
      <c r="X200" s="46">
        <v>3.29</v>
      </c>
      <c r="Y200" s="46">
        <v>4.28</v>
      </c>
      <c r="Z200" s="46">
        <v>4.28</v>
      </c>
      <c r="AA200" s="46">
        <v>5.27</v>
      </c>
      <c r="AB200" s="46">
        <v>7.25</v>
      </c>
      <c r="AC200" s="46">
        <v>8.23</v>
      </c>
      <c r="AD200" s="46">
        <v>12.19</v>
      </c>
      <c r="AE200" s="46">
        <v>14.17</v>
      </c>
      <c r="AF200" s="46">
        <v>32</v>
      </c>
      <c r="AI200" s="695"/>
    </row>
    <row r="201" spans="1:35">
      <c r="A201" s="48">
        <v>32</v>
      </c>
      <c r="B201" s="48">
        <v>14.17</v>
      </c>
      <c r="C201" s="46">
        <v>12.19</v>
      </c>
      <c r="D201" s="20">
        <v>9.2200000000000006</v>
      </c>
      <c r="E201" s="46">
        <v>8.24</v>
      </c>
      <c r="F201" s="48">
        <v>6.26</v>
      </c>
      <c r="G201" s="46">
        <v>5.27</v>
      </c>
      <c r="H201" s="46">
        <v>4.28</v>
      </c>
      <c r="I201" s="46">
        <v>3.29</v>
      </c>
      <c r="J201" s="20">
        <v>3.29</v>
      </c>
      <c r="K201" s="46">
        <v>3.29</v>
      </c>
      <c r="L201" s="46">
        <v>2.2999999999999998</v>
      </c>
      <c r="M201" s="46">
        <v>2.2999999999999998</v>
      </c>
      <c r="N201" s="46">
        <v>2.31</v>
      </c>
      <c r="O201" s="46">
        <v>2.2999999999999998</v>
      </c>
      <c r="P201" s="46">
        <v>3.29</v>
      </c>
      <c r="Q201" s="46">
        <v>3.29</v>
      </c>
      <c r="R201" s="46">
        <v>2.2999999999999998</v>
      </c>
      <c r="S201" s="12">
        <v>2.31</v>
      </c>
      <c r="T201" s="46">
        <v>2.2999999999999998</v>
      </c>
      <c r="U201" s="46">
        <v>2.2999999999999998</v>
      </c>
      <c r="V201" s="46">
        <v>3.29</v>
      </c>
      <c r="W201" s="46">
        <v>3.29</v>
      </c>
      <c r="X201" s="46">
        <v>3.29</v>
      </c>
      <c r="Y201" s="46">
        <v>4.28</v>
      </c>
      <c r="Z201" s="46">
        <v>5.27</v>
      </c>
      <c r="AA201" s="46">
        <v>6.26</v>
      </c>
      <c r="AB201" s="46">
        <v>8.24</v>
      </c>
      <c r="AC201" s="46">
        <v>9.2200000000000006</v>
      </c>
      <c r="AD201" s="46">
        <v>12.19</v>
      </c>
      <c r="AE201" s="46">
        <v>14.17</v>
      </c>
      <c r="AF201" s="46">
        <v>32</v>
      </c>
      <c r="AI201" s="695"/>
    </row>
    <row r="202" spans="1:35">
      <c r="A202" s="46">
        <v>32</v>
      </c>
      <c r="B202" s="46">
        <v>14.17</v>
      </c>
      <c r="C202" s="46">
        <v>12.19</v>
      </c>
      <c r="D202" s="20">
        <v>10.220000000000001</v>
      </c>
      <c r="E202" s="46">
        <v>8.24</v>
      </c>
      <c r="F202" s="48">
        <v>6.26</v>
      </c>
      <c r="G202" s="46">
        <v>5.27</v>
      </c>
      <c r="H202" s="46">
        <v>4.28</v>
      </c>
      <c r="I202" s="48">
        <v>4.28</v>
      </c>
      <c r="J202" s="12">
        <v>4.28</v>
      </c>
      <c r="K202" s="46">
        <v>3.29</v>
      </c>
      <c r="L202" s="46">
        <v>3.3</v>
      </c>
      <c r="M202" s="46">
        <v>3.3</v>
      </c>
      <c r="N202" s="48">
        <v>2.2999999999999998</v>
      </c>
      <c r="O202" s="48">
        <v>3.3</v>
      </c>
      <c r="P202" s="46">
        <v>4.29</v>
      </c>
      <c r="Q202" s="46">
        <v>4.29</v>
      </c>
      <c r="R202" s="46">
        <v>3.3</v>
      </c>
      <c r="S202" s="20">
        <v>2.2999999999999998</v>
      </c>
      <c r="T202" s="46">
        <v>3.3</v>
      </c>
      <c r="U202" s="46">
        <v>3.3</v>
      </c>
      <c r="V202" s="46">
        <v>3.29</v>
      </c>
      <c r="W202" s="46">
        <v>4.28</v>
      </c>
      <c r="X202" s="46">
        <v>4.28</v>
      </c>
      <c r="Y202" s="46">
        <v>5.27</v>
      </c>
      <c r="Z202" s="67">
        <v>5.27</v>
      </c>
      <c r="AA202" s="46">
        <v>6.26</v>
      </c>
      <c r="AB202" s="46">
        <v>8.24</v>
      </c>
      <c r="AC202" s="20">
        <v>10.220000000000001</v>
      </c>
      <c r="AD202" s="46">
        <v>12.19</v>
      </c>
      <c r="AE202" s="46">
        <v>14.17</v>
      </c>
      <c r="AF202" s="46">
        <v>32</v>
      </c>
      <c r="AI202" s="695"/>
    </row>
    <row r="203" spans="1:35">
      <c r="A203" s="46">
        <v>32</v>
      </c>
      <c r="B203" s="46">
        <v>14.17</v>
      </c>
      <c r="C203" s="46">
        <v>12.19</v>
      </c>
      <c r="D203" s="46">
        <v>10.220000000000001</v>
      </c>
      <c r="E203" s="46">
        <v>8.24</v>
      </c>
      <c r="F203" s="46">
        <v>6.26</v>
      </c>
      <c r="G203" s="46">
        <v>5.27</v>
      </c>
      <c r="H203" s="46">
        <v>5.27</v>
      </c>
      <c r="I203" s="48">
        <v>4.28</v>
      </c>
      <c r="J203" s="46">
        <v>4.28</v>
      </c>
      <c r="K203" s="46">
        <v>3.29</v>
      </c>
      <c r="L203" s="46">
        <v>3.29</v>
      </c>
      <c r="M203" s="46">
        <v>3.29</v>
      </c>
      <c r="N203" s="48">
        <v>3.3</v>
      </c>
      <c r="O203" s="48">
        <v>3.29</v>
      </c>
      <c r="P203" s="46">
        <v>3.3</v>
      </c>
      <c r="Q203" s="46">
        <v>3.3</v>
      </c>
      <c r="R203" s="46">
        <v>3.29</v>
      </c>
      <c r="S203" s="20">
        <v>3.3</v>
      </c>
      <c r="T203" s="46">
        <v>3.29</v>
      </c>
      <c r="U203" s="46">
        <v>3.29</v>
      </c>
      <c r="V203" s="46">
        <v>3.29</v>
      </c>
      <c r="W203" s="46">
        <v>4.28</v>
      </c>
      <c r="X203" s="46">
        <v>4.28</v>
      </c>
      <c r="Y203" s="46">
        <v>5.27</v>
      </c>
      <c r="Z203" s="67">
        <v>5.27</v>
      </c>
      <c r="AA203" s="46">
        <v>6.26</v>
      </c>
      <c r="AB203" s="46">
        <v>8.24</v>
      </c>
      <c r="AC203" s="20">
        <v>10.220000000000001</v>
      </c>
      <c r="AD203" s="46">
        <v>12.19</v>
      </c>
      <c r="AE203" s="46">
        <v>14.17</v>
      </c>
      <c r="AF203" s="46">
        <v>32</v>
      </c>
      <c r="AI203" s="695"/>
    </row>
    <row r="204" spans="1:35">
      <c r="A204" s="46">
        <v>32</v>
      </c>
      <c r="B204" s="67">
        <v>14.17</v>
      </c>
      <c r="C204" s="46">
        <v>12.19</v>
      </c>
      <c r="D204" s="46">
        <v>10.220000000000001</v>
      </c>
      <c r="E204" s="46">
        <v>8.24</v>
      </c>
      <c r="F204" s="46">
        <v>7.25</v>
      </c>
      <c r="G204" s="46">
        <v>6.26</v>
      </c>
      <c r="H204" s="46">
        <v>5.27</v>
      </c>
      <c r="I204" s="46">
        <v>4.28</v>
      </c>
      <c r="J204" s="46">
        <v>4.28</v>
      </c>
      <c r="K204" s="46">
        <v>3.29</v>
      </c>
      <c r="L204" s="46">
        <v>4.29</v>
      </c>
      <c r="M204" s="46">
        <v>4.29</v>
      </c>
      <c r="N204" s="46">
        <v>3.29</v>
      </c>
      <c r="O204" s="46">
        <v>4.29</v>
      </c>
      <c r="P204" s="46">
        <v>2.2999999999999998</v>
      </c>
      <c r="Q204" s="46">
        <v>2.2999999999999998</v>
      </c>
      <c r="R204" s="46">
        <v>4.29</v>
      </c>
      <c r="S204" s="46">
        <v>3.29</v>
      </c>
      <c r="T204" s="46">
        <v>4.29</v>
      </c>
      <c r="U204" s="46">
        <v>4.29</v>
      </c>
      <c r="V204" s="48">
        <v>3.29</v>
      </c>
      <c r="W204" s="46">
        <v>4.28</v>
      </c>
      <c r="X204" s="46">
        <v>4.28</v>
      </c>
      <c r="Y204" s="46">
        <v>5.27</v>
      </c>
      <c r="Z204" s="46">
        <v>6.26</v>
      </c>
      <c r="AA204" s="46">
        <v>7.25</v>
      </c>
      <c r="AB204" s="46">
        <v>8.24</v>
      </c>
      <c r="AC204" s="46">
        <v>10.220000000000001</v>
      </c>
      <c r="AD204" s="48">
        <v>12.19</v>
      </c>
      <c r="AE204" s="48">
        <v>14.17</v>
      </c>
      <c r="AF204" s="46">
        <v>32</v>
      </c>
      <c r="AI204" s="695"/>
    </row>
    <row r="205" spans="1:35">
      <c r="A205" s="46">
        <v>32</v>
      </c>
      <c r="B205" s="67">
        <v>14.17</v>
      </c>
      <c r="C205" s="46">
        <v>12.19</v>
      </c>
      <c r="D205" s="46">
        <v>10.220000000000001</v>
      </c>
      <c r="E205" s="46">
        <v>8.24</v>
      </c>
      <c r="F205" s="46">
        <v>7.25</v>
      </c>
      <c r="G205" s="46">
        <v>6.26</v>
      </c>
      <c r="H205" s="46">
        <v>5.27</v>
      </c>
      <c r="I205" s="46">
        <v>5.27</v>
      </c>
      <c r="J205" s="46">
        <v>4.28</v>
      </c>
      <c r="K205" s="46">
        <v>3.28</v>
      </c>
      <c r="L205" s="46">
        <v>4.28</v>
      </c>
      <c r="M205" s="46">
        <v>4.28</v>
      </c>
      <c r="N205" s="46">
        <v>4.29</v>
      </c>
      <c r="O205" s="46">
        <v>4.28</v>
      </c>
      <c r="P205" s="46">
        <v>2.2999999999999998</v>
      </c>
      <c r="Q205" s="46">
        <v>2.2999999999999998</v>
      </c>
      <c r="R205" s="46">
        <v>4.28</v>
      </c>
      <c r="S205" s="46">
        <v>4.29</v>
      </c>
      <c r="T205" s="46">
        <v>4.28</v>
      </c>
      <c r="U205" s="46">
        <v>4.28</v>
      </c>
      <c r="V205" s="48">
        <v>3.28</v>
      </c>
      <c r="W205" s="46">
        <v>4.28</v>
      </c>
      <c r="X205" s="46">
        <v>5.27</v>
      </c>
      <c r="Y205" s="46">
        <v>6.26</v>
      </c>
      <c r="Z205" s="46">
        <v>6.26</v>
      </c>
      <c r="AA205" s="46">
        <v>7.25</v>
      </c>
      <c r="AB205" s="46">
        <v>8.24</v>
      </c>
      <c r="AC205" s="46">
        <v>10.220000000000001</v>
      </c>
      <c r="AD205" s="46">
        <v>12.19</v>
      </c>
      <c r="AE205" s="46">
        <v>14.17</v>
      </c>
      <c r="AF205" s="46">
        <v>32</v>
      </c>
      <c r="AI205" s="695"/>
    </row>
    <row r="206" spans="1:35">
      <c r="A206" s="46">
        <v>32</v>
      </c>
      <c r="B206" s="46">
        <v>14.17</v>
      </c>
      <c r="C206" s="46">
        <v>12.19</v>
      </c>
      <c r="D206" s="46">
        <v>10.220000000000001</v>
      </c>
      <c r="E206" s="46">
        <v>8.24</v>
      </c>
      <c r="F206" s="46">
        <v>7.25</v>
      </c>
      <c r="G206" s="20">
        <v>6.26</v>
      </c>
      <c r="H206" s="46">
        <v>6.26</v>
      </c>
      <c r="I206" s="46">
        <v>5.27</v>
      </c>
      <c r="J206" s="46">
        <v>5.27</v>
      </c>
      <c r="K206" s="46">
        <v>3.28</v>
      </c>
      <c r="L206" s="46">
        <v>4.28</v>
      </c>
      <c r="M206" s="67">
        <v>4.28</v>
      </c>
      <c r="N206" s="46">
        <v>4.28</v>
      </c>
      <c r="O206" s="46">
        <v>4.28</v>
      </c>
      <c r="P206" s="46">
        <v>2.2999999999999998</v>
      </c>
      <c r="Q206" s="46">
        <v>2.2999999999999998</v>
      </c>
      <c r="R206" s="46">
        <v>4.28</v>
      </c>
      <c r="S206" s="46">
        <v>4.28</v>
      </c>
      <c r="T206" s="46">
        <v>4.28</v>
      </c>
      <c r="U206" s="46">
        <v>4.28</v>
      </c>
      <c r="V206" s="46">
        <v>3.28</v>
      </c>
      <c r="W206" s="46">
        <v>5.27</v>
      </c>
      <c r="X206" s="46">
        <v>5.27</v>
      </c>
      <c r="Y206" s="12">
        <v>6.26</v>
      </c>
      <c r="Z206" s="46">
        <v>6.26</v>
      </c>
      <c r="AA206" s="46">
        <v>7.25</v>
      </c>
      <c r="AB206" s="46">
        <v>8.24</v>
      </c>
      <c r="AC206" s="46">
        <v>10.220000000000001</v>
      </c>
      <c r="AD206" s="46">
        <v>12.19</v>
      </c>
      <c r="AE206" s="48">
        <v>14.17</v>
      </c>
      <c r="AF206" s="48">
        <v>32</v>
      </c>
      <c r="AI206" s="695"/>
    </row>
    <row r="207" spans="1:35">
      <c r="A207" s="46">
        <v>32</v>
      </c>
      <c r="B207" s="46">
        <v>14.17</v>
      </c>
      <c r="C207" s="46">
        <v>12.19</v>
      </c>
      <c r="D207" s="46">
        <v>10.220000000000001</v>
      </c>
      <c r="E207" s="46">
        <v>8.24</v>
      </c>
      <c r="F207" s="46">
        <v>7.25</v>
      </c>
      <c r="G207" s="12">
        <v>6.26</v>
      </c>
      <c r="H207" s="46">
        <v>6.26</v>
      </c>
      <c r="I207" s="46">
        <v>5.27</v>
      </c>
      <c r="J207" s="46">
        <v>5.27</v>
      </c>
      <c r="K207" s="46">
        <v>4.28</v>
      </c>
      <c r="L207" s="46">
        <v>4.28</v>
      </c>
      <c r="M207" s="67">
        <v>4.28</v>
      </c>
      <c r="N207" s="46">
        <v>4.28</v>
      </c>
      <c r="O207" s="46">
        <v>4.28</v>
      </c>
      <c r="P207" s="46">
        <v>2.2999999999999998</v>
      </c>
      <c r="Q207" s="46">
        <v>2.2999999999999998</v>
      </c>
      <c r="R207" s="46">
        <v>4.28</v>
      </c>
      <c r="S207" s="48">
        <v>4.28</v>
      </c>
      <c r="T207" s="48">
        <v>4.28</v>
      </c>
      <c r="U207" s="46">
        <v>4.28</v>
      </c>
      <c r="V207" s="46">
        <v>4.28</v>
      </c>
      <c r="W207" s="46">
        <v>5.27</v>
      </c>
      <c r="X207" s="46">
        <v>5.27</v>
      </c>
      <c r="Y207" s="12">
        <v>6.26</v>
      </c>
      <c r="Z207" s="46">
        <v>6.26</v>
      </c>
      <c r="AA207" s="46">
        <v>7.25</v>
      </c>
      <c r="AB207" s="46">
        <v>8.24</v>
      </c>
      <c r="AC207" s="46">
        <v>10.220000000000001</v>
      </c>
      <c r="AD207" s="46">
        <v>12.19</v>
      </c>
      <c r="AE207" s="48">
        <v>14.17</v>
      </c>
      <c r="AF207" s="48">
        <v>32</v>
      </c>
      <c r="AI207" s="695"/>
    </row>
    <row r="208" spans="1:35">
      <c r="A208" s="46">
        <v>32</v>
      </c>
      <c r="B208" s="48">
        <v>14.17</v>
      </c>
      <c r="C208" s="48">
        <v>12.19</v>
      </c>
      <c r="D208" s="46">
        <v>10.220000000000001</v>
      </c>
      <c r="E208" s="46">
        <v>8.24</v>
      </c>
      <c r="F208" s="46">
        <v>7.25</v>
      </c>
      <c r="G208" s="46">
        <v>6.26</v>
      </c>
      <c r="H208" s="46">
        <v>6.26</v>
      </c>
      <c r="I208" s="46">
        <v>5.27</v>
      </c>
      <c r="J208" s="46">
        <v>5.27</v>
      </c>
      <c r="K208" s="46">
        <v>4.28</v>
      </c>
      <c r="L208" s="46">
        <v>4.28</v>
      </c>
      <c r="M208" s="46">
        <v>4.28</v>
      </c>
      <c r="N208" s="46">
        <v>4.28</v>
      </c>
      <c r="O208" s="46">
        <v>4.28</v>
      </c>
      <c r="P208" s="46">
        <v>2.2999999999999998</v>
      </c>
      <c r="Q208" s="48">
        <v>2.2999999999999998</v>
      </c>
      <c r="R208" s="46">
        <v>4.28</v>
      </c>
      <c r="S208" s="48">
        <v>4.28</v>
      </c>
      <c r="T208" s="48">
        <v>4.28</v>
      </c>
      <c r="U208" s="46">
        <v>4.28</v>
      </c>
      <c r="V208" s="46">
        <v>4.28</v>
      </c>
      <c r="W208" s="46">
        <v>5.27</v>
      </c>
      <c r="X208" s="46">
        <v>5.27</v>
      </c>
      <c r="Y208" s="46">
        <v>6.26</v>
      </c>
      <c r="Z208" s="46">
        <v>6.26</v>
      </c>
      <c r="AA208" s="46">
        <v>7.25</v>
      </c>
      <c r="AB208" s="46">
        <v>8.24</v>
      </c>
      <c r="AC208" s="46">
        <v>10.220000000000001</v>
      </c>
      <c r="AD208" s="46">
        <v>12.19</v>
      </c>
      <c r="AE208" s="48">
        <v>14.17</v>
      </c>
      <c r="AF208" s="48">
        <v>32</v>
      </c>
      <c r="AI208" s="695"/>
    </row>
    <row r="209" spans="1:35">
      <c r="A209" s="46">
        <v>32</v>
      </c>
      <c r="B209" s="46">
        <v>14.17</v>
      </c>
      <c r="C209" s="46">
        <v>12.19</v>
      </c>
      <c r="D209" s="46">
        <v>10.220000000000001</v>
      </c>
      <c r="E209" s="46">
        <v>8.24</v>
      </c>
      <c r="F209" s="46">
        <v>7.25</v>
      </c>
      <c r="G209" s="46">
        <v>6.26</v>
      </c>
      <c r="H209" s="48">
        <v>6.26</v>
      </c>
      <c r="I209" s="46">
        <v>5.27</v>
      </c>
      <c r="J209" s="46">
        <v>5.27</v>
      </c>
      <c r="K209" s="46">
        <v>4.28</v>
      </c>
      <c r="L209" s="46">
        <v>4.28</v>
      </c>
      <c r="M209" s="46">
        <v>4.28</v>
      </c>
      <c r="N209" s="46">
        <v>4.28</v>
      </c>
      <c r="O209" s="46">
        <v>4.28</v>
      </c>
      <c r="P209" s="46">
        <v>2.2999999999999998</v>
      </c>
      <c r="Q209" s="48">
        <v>2.2999999999999998</v>
      </c>
      <c r="R209" s="46">
        <v>4.28</v>
      </c>
      <c r="S209" s="48">
        <v>4.28</v>
      </c>
      <c r="T209" s="48">
        <v>4.28</v>
      </c>
      <c r="U209" s="46">
        <v>4.28</v>
      </c>
      <c r="V209" s="46">
        <v>4.28</v>
      </c>
      <c r="W209" s="46">
        <v>5.27</v>
      </c>
      <c r="X209" s="67">
        <v>5.27</v>
      </c>
      <c r="Y209" s="46">
        <v>6.26</v>
      </c>
      <c r="Z209" s="46">
        <v>6.26</v>
      </c>
      <c r="AA209" s="46">
        <v>7.25</v>
      </c>
      <c r="AB209" s="48">
        <v>8.24</v>
      </c>
      <c r="AC209" s="46">
        <v>10.220000000000001</v>
      </c>
      <c r="AD209" s="46">
        <v>12.19</v>
      </c>
      <c r="AE209" s="46">
        <v>14.17</v>
      </c>
      <c r="AF209" s="46">
        <v>32</v>
      </c>
      <c r="AI209" s="695"/>
    </row>
    <row r="210" spans="1:35">
      <c r="A210" s="46">
        <v>32</v>
      </c>
      <c r="B210" s="20">
        <v>14.17</v>
      </c>
      <c r="C210" s="46">
        <v>12.19</v>
      </c>
      <c r="D210" s="46">
        <v>10.220000000000001</v>
      </c>
      <c r="E210" s="46">
        <v>8.24</v>
      </c>
      <c r="F210" s="46">
        <v>7.25</v>
      </c>
      <c r="G210" s="46">
        <v>6.26</v>
      </c>
      <c r="H210" s="48">
        <v>6.26</v>
      </c>
      <c r="I210" s="46">
        <v>5.27</v>
      </c>
      <c r="J210" s="20">
        <v>5.27</v>
      </c>
      <c r="K210" s="46">
        <v>4.28</v>
      </c>
      <c r="L210" s="46">
        <v>4.28</v>
      </c>
      <c r="M210" s="48">
        <v>4.28</v>
      </c>
      <c r="N210" s="48">
        <v>4.28</v>
      </c>
      <c r="O210" s="46">
        <v>4.28</v>
      </c>
      <c r="P210" s="46">
        <v>2.2999999999999998</v>
      </c>
      <c r="Q210" s="46">
        <v>2.2999999999999998</v>
      </c>
      <c r="R210" s="46">
        <v>4.28</v>
      </c>
      <c r="S210" s="46">
        <v>4.28</v>
      </c>
      <c r="T210" s="46">
        <v>4.28</v>
      </c>
      <c r="U210" s="46">
        <v>4.28</v>
      </c>
      <c r="V210" s="46">
        <v>4.28</v>
      </c>
      <c r="W210" s="46">
        <v>5.27</v>
      </c>
      <c r="X210" s="67">
        <v>5.27</v>
      </c>
      <c r="Y210" s="46">
        <v>6.26</v>
      </c>
      <c r="Z210" s="46">
        <v>6.26</v>
      </c>
      <c r="AA210" s="46">
        <v>7.25</v>
      </c>
      <c r="AB210" s="48">
        <v>8.24</v>
      </c>
      <c r="AC210" s="46">
        <v>10.220000000000001</v>
      </c>
      <c r="AD210" s="46">
        <v>12.19</v>
      </c>
      <c r="AE210" s="46">
        <v>14.17</v>
      </c>
      <c r="AF210" s="46">
        <v>32</v>
      </c>
      <c r="AI210" s="695"/>
    </row>
    <row r="211" spans="1:35">
      <c r="A211" s="46">
        <v>32</v>
      </c>
      <c r="B211" s="20">
        <v>14.17</v>
      </c>
      <c r="C211" s="46">
        <v>12.19</v>
      </c>
      <c r="D211" s="67">
        <v>10.220000000000001</v>
      </c>
      <c r="E211" s="46">
        <v>8.24</v>
      </c>
      <c r="F211" s="46">
        <v>7.25</v>
      </c>
      <c r="G211" s="46">
        <v>6.26</v>
      </c>
      <c r="H211" s="46">
        <v>6.26</v>
      </c>
      <c r="I211" s="46">
        <v>5.27</v>
      </c>
      <c r="J211" s="20">
        <v>5.27</v>
      </c>
      <c r="K211" s="46">
        <v>3.28</v>
      </c>
      <c r="L211" s="46">
        <v>4.28</v>
      </c>
      <c r="M211" s="48">
        <v>4.28</v>
      </c>
      <c r="N211" s="48">
        <v>4.28</v>
      </c>
      <c r="O211" s="46">
        <v>4.28</v>
      </c>
      <c r="P211" s="46">
        <v>2.2999999999999998</v>
      </c>
      <c r="Q211" s="12">
        <v>2.2999999999999998</v>
      </c>
      <c r="R211" s="46">
        <v>4.28</v>
      </c>
      <c r="S211" s="46">
        <v>4.28</v>
      </c>
      <c r="T211" s="46">
        <v>4.28</v>
      </c>
      <c r="U211" s="46">
        <v>4.28</v>
      </c>
      <c r="V211" s="46">
        <v>3.28</v>
      </c>
      <c r="W211" s="46">
        <v>5.27</v>
      </c>
      <c r="X211" s="46">
        <v>5.27</v>
      </c>
      <c r="Y211" s="46">
        <v>6.26</v>
      </c>
      <c r="Z211" s="46">
        <v>6.26</v>
      </c>
      <c r="AA211" s="46">
        <v>7.25</v>
      </c>
      <c r="AB211" s="46">
        <v>8.24</v>
      </c>
      <c r="AC211" s="46">
        <v>10.220000000000001</v>
      </c>
      <c r="AD211" s="46">
        <v>12.19</v>
      </c>
      <c r="AE211" s="46">
        <v>14.17</v>
      </c>
      <c r="AF211" s="46">
        <v>32</v>
      </c>
      <c r="AI211" s="695"/>
    </row>
    <row r="212" spans="1:35">
      <c r="A212" s="46">
        <v>32</v>
      </c>
      <c r="B212" s="46">
        <v>14.17</v>
      </c>
      <c r="C212" s="46">
        <v>12.19</v>
      </c>
      <c r="D212" s="67">
        <v>10.220000000000001</v>
      </c>
      <c r="E212" s="46">
        <v>8.24</v>
      </c>
      <c r="F212" s="46">
        <v>7.25</v>
      </c>
      <c r="G212" s="46">
        <v>6.26</v>
      </c>
      <c r="H212" s="46">
        <v>5.27</v>
      </c>
      <c r="I212" s="46">
        <v>5.27</v>
      </c>
      <c r="J212" s="46">
        <v>4.28</v>
      </c>
      <c r="K212" s="46">
        <v>3.28</v>
      </c>
      <c r="L212" s="46">
        <v>4.28</v>
      </c>
      <c r="M212" s="48">
        <v>4.28</v>
      </c>
      <c r="N212" s="48">
        <v>4.29</v>
      </c>
      <c r="O212" s="46">
        <v>4.28</v>
      </c>
      <c r="P212" s="46">
        <v>2.2999999999999998</v>
      </c>
      <c r="Q212" s="12">
        <v>2.2999999999999998</v>
      </c>
      <c r="R212" s="20">
        <v>4.28</v>
      </c>
      <c r="S212" s="46">
        <v>4.29</v>
      </c>
      <c r="T212" s="46">
        <v>4.28</v>
      </c>
      <c r="U212" s="48">
        <v>4.28</v>
      </c>
      <c r="V212" s="46">
        <v>3.28</v>
      </c>
      <c r="W212" s="46">
        <v>4.28</v>
      </c>
      <c r="X212" s="46">
        <v>5.27</v>
      </c>
      <c r="Y212" s="46">
        <v>6.26</v>
      </c>
      <c r="Z212" s="46">
        <v>6.26</v>
      </c>
      <c r="AA212" s="46">
        <v>7.25</v>
      </c>
      <c r="AB212" s="46">
        <v>8.24</v>
      </c>
      <c r="AC212" s="46">
        <v>10.220000000000001</v>
      </c>
      <c r="AD212" s="67">
        <v>12.19</v>
      </c>
      <c r="AE212" s="67">
        <v>14.17</v>
      </c>
      <c r="AF212" s="46">
        <v>32</v>
      </c>
      <c r="AI212" s="695"/>
    </row>
    <row r="213" spans="1:35">
      <c r="A213" s="46">
        <v>32</v>
      </c>
      <c r="B213" s="46">
        <v>14.17</v>
      </c>
      <c r="C213" s="46">
        <v>12.19</v>
      </c>
      <c r="D213" s="46">
        <v>10.220000000000001</v>
      </c>
      <c r="E213" s="46">
        <v>8.24</v>
      </c>
      <c r="F213" s="46">
        <v>7.25</v>
      </c>
      <c r="G213" s="46">
        <v>6.26</v>
      </c>
      <c r="H213" s="46">
        <v>5.27</v>
      </c>
      <c r="I213" s="46">
        <v>4.28</v>
      </c>
      <c r="J213" s="46">
        <v>4.28</v>
      </c>
      <c r="K213" s="46">
        <v>3.29</v>
      </c>
      <c r="L213" s="46">
        <v>4.29</v>
      </c>
      <c r="M213" s="46">
        <v>4.29</v>
      </c>
      <c r="N213" s="48">
        <v>3.29</v>
      </c>
      <c r="O213" s="46">
        <v>4.29</v>
      </c>
      <c r="P213" s="46">
        <v>2.2999999999999998</v>
      </c>
      <c r="Q213" s="46">
        <v>2.2999999999999998</v>
      </c>
      <c r="R213" s="20">
        <v>4.29</v>
      </c>
      <c r="S213" s="46">
        <v>3.29</v>
      </c>
      <c r="T213" s="46">
        <v>4.29</v>
      </c>
      <c r="U213" s="48">
        <v>4.29</v>
      </c>
      <c r="V213" s="46">
        <v>3.29</v>
      </c>
      <c r="W213" s="46">
        <v>4.28</v>
      </c>
      <c r="X213" s="46">
        <v>4.28</v>
      </c>
      <c r="Y213" s="20">
        <v>5.27</v>
      </c>
      <c r="Z213" s="46">
        <v>6.26</v>
      </c>
      <c r="AA213" s="46">
        <v>7.25</v>
      </c>
      <c r="AB213" s="46">
        <v>8.24</v>
      </c>
      <c r="AC213" s="46">
        <v>10.220000000000001</v>
      </c>
      <c r="AD213" s="67">
        <v>12.19</v>
      </c>
      <c r="AE213" s="67">
        <v>14.17</v>
      </c>
      <c r="AF213" s="46">
        <v>32</v>
      </c>
      <c r="AI213" s="695"/>
    </row>
    <row r="214" spans="1:35">
      <c r="A214" s="46">
        <v>32</v>
      </c>
      <c r="B214" s="46">
        <v>14.17</v>
      </c>
      <c r="C214" s="46">
        <v>12.19</v>
      </c>
      <c r="D214" s="46">
        <v>10.220000000000001</v>
      </c>
      <c r="E214" s="46">
        <v>8.24</v>
      </c>
      <c r="F214" s="46">
        <v>6.26</v>
      </c>
      <c r="G214" s="46">
        <v>5.27</v>
      </c>
      <c r="H214" s="46">
        <v>5.27</v>
      </c>
      <c r="I214" s="46">
        <v>4.28</v>
      </c>
      <c r="J214" s="46">
        <v>4.28</v>
      </c>
      <c r="K214" s="46">
        <v>3.29</v>
      </c>
      <c r="L214" s="46">
        <v>3.29</v>
      </c>
      <c r="M214" s="46">
        <v>3.29</v>
      </c>
      <c r="N214" s="48">
        <v>3.3</v>
      </c>
      <c r="O214" s="46">
        <v>3.29</v>
      </c>
      <c r="P214" s="46">
        <v>3.3</v>
      </c>
      <c r="Q214" s="46">
        <v>3.3</v>
      </c>
      <c r="R214" s="46">
        <v>3.29</v>
      </c>
      <c r="S214" s="46">
        <v>3.3</v>
      </c>
      <c r="T214" s="46">
        <v>3.29</v>
      </c>
      <c r="U214" s="46">
        <v>3.29</v>
      </c>
      <c r="V214" s="46">
        <v>3.29</v>
      </c>
      <c r="W214" s="46">
        <v>4.28</v>
      </c>
      <c r="X214" s="46">
        <v>4.28</v>
      </c>
      <c r="Y214" s="20">
        <v>5.27</v>
      </c>
      <c r="Z214" s="46">
        <v>5.27</v>
      </c>
      <c r="AA214" s="46">
        <v>6.26</v>
      </c>
      <c r="AB214" s="46">
        <v>8.24</v>
      </c>
      <c r="AC214" s="46">
        <v>10.220000000000001</v>
      </c>
      <c r="AD214" s="46">
        <v>12.19</v>
      </c>
      <c r="AE214" s="46">
        <v>14.17</v>
      </c>
      <c r="AF214" s="46">
        <v>32</v>
      </c>
      <c r="AI214" s="695"/>
    </row>
    <row r="215" spans="1:35">
      <c r="A215" s="46">
        <v>32</v>
      </c>
      <c r="B215" s="48">
        <v>14.17</v>
      </c>
      <c r="C215" s="48">
        <v>12.19</v>
      </c>
      <c r="D215" s="46">
        <v>10.220000000000001</v>
      </c>
      <c r="E215" s="46">
        <v>8.24</v>
      </c>
      <c r="F215" s="20">
        <v>6.26</v>
      </c>
      <c r="G215" s="46">
        <v>5.27</v>
      </c>
      <c r="H215" s="46">
        <v>4.28</v>
      </c>
      <c r="I215" s="46">
        <v>4.28</v>
      </c>
      <c r="J215" s="46">
        <v>4.28</v>
      </c>
      <c r="K215" s="46">
        <v>3.29</v>
      </c>
      <c r="L215" s="46">
        <v>3.3</v>
      </c>
      <c r="M215" s="46">
        <v>3.3</v>
      </c>
      <c r="N215" s="46">
        <v>2.2999999999999998</v>
      </c>
      <c r="O215" s="46">
        <v>3.3</v>
      </c>
      <c r="P215" s="46">
        <v>4.29</v>
      </c>
      <c r="Q215" s="46">
        <v>4.29</v>
      </c>
      <c r="R215" s="46">
        <v>3.3</v>
      </c>
      <c r="S215" s="46">
        <v>2.2999999999999998</v>
      </c>
      <c r="T215" s="46">
        <v>3.3</v>
      </c>
      <c r="U215" s="46">
        <v>3.3</v>
      </c>
      <c r="V215" s="46">
        <v>3.29</v>
      </c>
      <c r="W215" s="46">
        <v>4.28</v>
      </c>
      <c r="X215" s="46">
        <v>4.28</v>
      </c>
      <c r="Y215" s="46">
        <v>5.27</v>
      </c>
      <c r="Z215" s="46">
        <v>5.27</v>
      </c>
      <c r="AA215" s="46">
        <v>6.26</v>
      </c>
      <c r="AB215" s="48">
        <v>8.24</v>
      </c>
      <c r="AC215" s="46">
        <v>10.220000000000001</v>
      </c>
      <c r="AD215" s="46">
        <v>12.19</v>
      </c>
      <c r="AE215" s="46">
        <v>14.17</v>
      </c>
      <c r="AF215" s="46">
        <v>32</v>
      </c>
      <c r="AI215" s="695"/>
    </row>
    <row r="216" spans="1:35">
      <c r="A216" s="46">
        <v>32</v>
      </c>
      <c r="B216" s="48">
        <v>14.17</v>
      </c>
      <c r="C216" s="48">
        <v>12.19</v>
      </c>
      <c r="D216" s="46">
        <v>9.2200000000000006</v>
      </c>
      <c r="E216" s="46">
        <v>8.24</v>
      </c>
      <c r="F216" s="12">
        <v>6.26</v>
      </c>
      <c r="G216" s="46">
        <v>5.27</v>
      </c>
      <c r="H216" s="48">
        <v>4.28</v>
      </c>
      <c r="I216" s="46">
        <v>3.29</v>
      </c>
      <c r="J216" s="46">
        <v>3.29</v>
      </c>
      <c r="K216" s="46">
        <v>3.29</v>
      </c>
      <c r="L216" s="46">
        <v>2.2999999999999998</v>
      </c>
      <c r="M216" s="46">
        <v>2.2999999999999998</v>
      </c>
      <c r="N216" s="46">
        <v>2.31</v>
      </c>
      <c r="O216" s="46">
        <v>2.2999999999999998</v>
      </c>
      <c r="P216" s="46">
        <v>3.29</v>
      </c>
      <c r="Q216" s="46">
        <v>3.29</v>
      </c>
      <c r="R216" s="48">
        <v>2.2999999999999998</v>
      </c>
      <c r="S216" s="46">
        <v>2.31</v>
      </c>
      <c r="T216" s="46">
        <v>2.2999999999999998</v>
      </c>
      <c r="U216" s="46">
        <v>2.2999999999999998</v>
      </c>
      <c r="V216" s="46">
        <v>3.29</v>
      </c>
      <c r="W216" s="46">
        <v>3.29</v>
      </c>
      <c r="X216" s="46">
        <v>3.29</v>
      </c>
      <c r="Y216" s="46">
        <v>4.28</v>
      </c>
      <c r="Z216" s="46">
        <v>5.27</v>
      </c>
      <c r="AA216" s="46">
        <v>6.26</v>
      </c>
      <c r="AB216" s="48">
        <v>8.24</v>
      </c>
      <c r="AC216" s="46">
        <v>9.2200000000000006</v>
      </c>
      <c r="AD216" s="20">
        <v>12.19</v>
      </c>
      <c r="AE216" s="20">
        <v>14.17</v>
      </c>
      <c r="AF216" s="46">
        <v>32</v>
      </c>
      <c r="AI216" s="695"/>
    </row>
    <row r="217" spans="1:35">
      <c r="A217" s="46">
        <v>32</v>
      </c>
      <c r="B217" s="46">
        <v>14.17</v>
      </c>
      <c r="C217" s="46">
        <v>12.19</v>
      </c>
      <c r="D217" s="46">
        <v>8.23</v>
      </c>
      <c r="E217" s="46">
        <v>7.25</v>
      </c>
      <c r="F217" s="46">
        <v>5.27</v>
      </c>
      <c r="G217" s="46">
        <v>4.28</v>
      </c>
      <c r="H217" s="48">
        <v>3.29</v>
      </c>
      <c r="I217" s="46">
        <v>3.29</v>
      </c>
      <c r="J217" s="46">
        <v>3.29</v>
      </c>
      <c r="K217" s="67">
        <v>3.3</v>
      </c>
      <c r="L217" s="46">
        <v>2.31</v>
      </c>
      <c r="M217" s="46">
        <v>2.31</v>
      </c>
      <c r="N217" s="46">
        <v>1.31</v>
      </c>
      <c r="O217" s="46">
        <v>2.31</v>
      </c>
      <c r="P217" s="46">
        <v>2.2999999999999998</v>
      </c>
      <c r="Q217" s="46">
        <v>2.2999999999999998</v>
      </c>
      <c r="R217" s="48">
        <v>2.31</v>
      </c>
      <c r="S217" s="46">
        <v>1.31</v>
      </c>
      <c r="T217" s="46">
        <v>2.31</v>
      </c>
      <c r="U217" s="46">
        <v>2.31</v>
      </c>
      <c r="V217" s="67">
        <v>3.3</v>
      </c>
      <c r="W217" s="67">
        <v>3.29</v>
      </c>
      <c r="X217" s="46">
        <v>3.29</v>
      </c>
      <c r="Y217" s="46">
        <v>4.28</v>
      </c>
      <c r="Z217" s="46">
        <v>4.28</v>
      </c>
      <c r="AA217" s="46">
        <v>5.27</v>
      </c>
      <c r="AB217" s="46">
        <v>7.25</v>
      </c>
      <c r="AC217" s="46">
        <v>8.23</v>
      </c>
      <c r="AD217" s="20">
        <v>12.19</v>
      </c>
      <c r="AE217" s="20">
        <v>14.17</v>
      </c>
      <c r="AF217" s="46">
        <v>32</v>
      </c>
      <c r="AI217" s="695"/>
    </row>
    <row r="218" spans="1:35">
      <c r="A218" s="48">
        <v>32</v>
      </c>
      <c r="B218" s="46">
        <v>14.17</v>
      </c>
      <c r="C218" s="46">
        <v>12.19</v>
      </c>
      <c r="D218" s="20">
        <v>7.24</v>
      </c>
      <c r="E218" s="46">
        <v>6.26</v>
      </c>
      <c r="F218" s="46">
        <v>5.27</v>
      </c>
      <c r="G218" s="48">
        <v>4.28</v>
      </c>
      <c r="H218" s="46">
        <v>3.29</v>
      </c>
      <c r="I218" s="46">
        <v>3.29</v>
      </c>
      <c r="J218" s="46">
        <v>2.2999999999999998</v>
      </c>
      <c r="K218" s="67">
        <v>2.2999999999999998</v>
      </c>
      <c r="L218" s="46">
        <v>1.31</v>
      </c>
      <c r="M218" s="20">
        <v>1.31</v>
      </c>
      <c r="N218" s="46">
        <v>2.2999999999999998</v>
      </c>
      <c r="O218" s="46">
        <v>1.31</v>
      </c>
      <c r="P218" s="46">
        <v>3.3</v>
      </c>
      <c r="Q218" s="48">
        <v>3.3</v>
      </c>
      <c r="R218" s="48">
        <v>1.31</v>
      </c>
      <c r="S218" s="46">
        <v>2.2999999999999998</v>
      </c>
      <c r="T218" s="46">
        <v>1.31</v>
      </c>
      <c r="U218" s="48">
        <v>1.31</v>
      </c>
      <c r="V218" s="46">
        <v>2.2999999999999998</v>
      </c>
      <c r="W218" s="46">
        <v>2.2999999999999998</v>
      </c>
      <c r="X218" s="46">
        <v>3.29</v>
      </c>
      <c r="Y218" s="46">
        <v>3.29</v>
      </c>
      <c r="Z218" s="46">
        <v>4.28</v>
      </c>
      <c r="AA218" s="46">
        <v>5.27</v>
      </c>
      <c r="AB218" s="46">
        <v>6.26</v>
      </c>
      <c r="AC218" s="12">
        <v>7.24</v>
      </c>
      <c r="AD218" s="46">
        <v>12.19</v>
      </c>
      <c r="AE218" s="46">
        <v>14.17</v>
      </c>
      <c r="AF218" s="46">
        <v>32</v>
      </c>
      <c r="AI218" s="695"/>
    </row>
    <row r="219" spans="1:35">
      <c r="A219" s="48">
        <v>32</v>
      </c>
      <c r="B219" s="46">
        <v>14.17</v>
      </c>
      <c r="C219" s="46">
        <v>12.19</v>
      </c>
      <c r="D219" s="20">
        <v>6.25</v>
      </c>
      <c r="E219" s="46">
        <v>5.27</v>
      </c>
      <c r="F219" s="46">
        <v>4.28</v>
      </c>
      <c r="G219" s="48">
        <v>3.29</v>
      </c>
      <c r="H219" s="46">
        <v>2.2999999999999998</v>
      </c>
      <c r="I219" s="46">
        <v>2.2999999999999998</v>
      </c>
      <c r="J219" s="46">
        <v>2.2999999999999998</v>
      </c>
      <c r="K219" s="46">
        <v>2.31</v>
      </c>
      <c r="L219" s="46">
        <v>2.2999999999999998</v>
      </c>
      <c r="M219" s="20">
        <v>2.2999999999999998</v>
      </c>
      <c r="N219" s="46">
        <v>2.2999999999999998</v>
      </c>
      <c r="O219" s="46">
        <v>2.2999999999999998</v>
      </c>
      <c r="P219" s="46">
        <v>2.31</v>
      </c>
      <c r="Q219" s="48">
        <v>2.31</v>
      </c>
      <c r="R219" s="46">
        <v>2.2999999999999998</v>
      </c>
      <c r="S219" s="46">
        <v>2.2999999999999998</v>
      </c>
      <c r="T219" s="46">
        <v>2.2999999999999998</v>
      </c>
      <c r="U219" s="48">
        <v>2.2999999999999998</v>
      </c>
      <c r="V219" s="46">
        <v>2.31</v>
      </c>
      <c r="W219" s="46">
        <v>2.2999999999999998</v>
      </c>
      <c r="X219" s="46">
        <v>2.2999999999999998</v>
      </c>
      <c r="Y219" s="46">
        <v>3.29</v>
      </c>
      <c r="Z219" s="67">
        <v>3.29</v>
      </c>
      <c r="AA219" s="46">
        <v>4.28</v>
      </c>
      <c r="AB219" s="46">
        <v>5.27</v>
      </c>
      <c r="AC219" s="46">
        <v>6.25</v>
      </c>
      <c r="AD219" s="46">
        <v>12.19</v>
      </c>
      <c r="AE219" s="46">
        <v>14.17</v>
      </c>
      <c r="AF219" s="48">
        <v>32</v>
      </c>
      <c r="AI219" s="695"/>
    </row>
    <row r="220" spans="1:35">
      <c r="A220" s="48">
        <v>32</v>
      </c>
      <c r="B220" s="46">
        <v>13.18</v>
      </c>
      <c r="C220" s="46">
        <v>11.2</v>
      </c>
      <c r="D220" s="46">
        <v>5.26</v>
      </c>
      <c r="E220" s="46">
        <v>4.28</v>
      </c>
      <c r="F220" s="46">
        <v>3.29</v>
      </c>
      <c r="G220" s="46">
        <v>2.2999999999999998</v>
      </c>
      <c r="H220" s="46">
        <v>2.2999999999999998</v>
      </c>
      <c r="I220" s="46">
        <v>1.31</v>
      </c>
      <c r="J220" s="46">
        <v>1.31</v>
      </c>
      <c r="K220" s="46">
        <v>1.31</v>
      </c>
      <c r="L220" s="46">
        <v>2.2999999999999998</v>
      </c>
      <c r="M220" s="12">
        <v>2.2999999999999998</v>
      </c>
      <c r="N220" s="20">
        <v>1.31</v>
      </c>
      <c r="O220" s="20">
        <v>2.2999999999999998</v>
      </c>
      <c r="P220" s="46">
        <v>2.2999999999999998</v>
      </c>
      <c r="Q220" s="46">
        <v>2.2999999999999998</v>
      </c>
      <c r="R220" s="46">
        <v>2.2999999999999998</v>
      </c>
      <c r="S220" s="46">
        <v>1.31</v>
      </c>
      <c r="T220" s="46">
        <v>2.2999999999999998</v>
      </c>
      <c r="U220" s="46">
        <v>2.2999999999999998</v>
      </c>
      <c r="V220" s="46">
        <v>1.31</v>
      </c>
      <c r="W220" s="46">
        <v>1.31</v>
      </c>
      <c r="X220" s="46">
        <v>1.31</v>
      </c>
      <c r="Y220" s="46">
        <v>2.2999999999999998</v>
      </c>
      <c r="Z220" s="67">
        <v>2.2999999999999998</v>
      </c>
      <c r="AA220" s="46">
        <v>3.29</v>
      </c>
      <c r="AB220" s="46">
        <v>4.28</v>
      </c>
      <c r="AC220" s="46">
        <v>5.26</v>
      </c>
      <c r="AD220" s="46">
        <v>11.2</v>
      </c>
      <c r="AE220" s="46">
        <v>13.18</v>
      </c>
      <c r="AF220" s="48">
        <v>32</v>
      </c>
      <c r="AI220" s="695"/>
    </row>
    <row r="221" spans="1:35">
      <c r="A221" s="46">
        <v>32</v>
      </c>
      <c r="B221" s="46">
        <v>13.19</v>
      </c>
      <c r="C221" s="67">
        <v>9.2200000000000006</v>
      </c>
      <c r="D221" s="46">
        <v>4.2699999999999996</v>
      </c>
      <c r="E221" s="46">
        <v>3.29</v>
      </c>
      <c r="F221" s="46">
        <v>2.2999999999999998</v>
      </c>
      <c r="G221" s="46">
        <v>2.2999999999999998</v>
      </c>
      <c r="H221" s="46">
        <v>1.31</v>
      </c>
      <c r="I221" s="46">
        <v>2.31</v>
      </c>
      <c r="J221" s="46">
        <v>1.31</v>
      </c>
      <c r="K221" s="46">
        <v>1.31</v>
      </c>
      <c r="L221" s="46">
        <v>1.31</v>
      </c>
      <c r="M221" s="46">
        <v>1.31</v>
      </c>
      <c r="N221" s="46">
        <v>1.31</v>
      </c>
      <c r="O221" s="46">
        <v>1.31</v>
      </c>
      <c r="P221" s="46">
        <v>1.31</v>
      </c>
      <c r="Q221" s="46">
        <v>1.31</v>
      </c>
      <c r="R221" s="46">
        <v>1.31</v>
      </c>
      <c r="S221" s="46">
        <v>1.31</v>
      </c>
      <c r="T221" s="46">
        <v>1.31</v>
      </c>
      <c r="U221" s="46">
        <v>1.31</v>
      </c>
      <c r="V221" s="48">
        <v>1.31</v>
      </c>
      <c r="W221" s="46">
        <v>1.31</v>
      </c>
      <c r="X221" s="46">
        <v>2.31</v>
      </c>
      <c r="Y221" s="46">
        <v>2.2999999999999998</v>
      </c>
      <c r="Z221" s="46">
        <v>2.2999999999999998</v>
      </c>
      <c r="AA221" s="46">
        <v>2.2999999999999998</v>
      </c>
      <c r="AB221" s="46">
        <v>3.29</v>
      </c>
      <c r="AC221" s="46">
        <v>4.2699999999999996</v>
      </c>
      <c r="AD221" s="48">
        <v>9.2200000000000006</v>
      </c>
      <c r="AE221" s="46">
        <v>13.19</v>
      </c>
      <c r="AF221" s="46">
        <v>32</v>
      </c>
      <c r="AI221" s="695"/>
    </row>
    <row r="222" spans="1:35">
      <c r="A222" s="46">
        <v>32</v>
      </c>
      <c r="B222" s="46">
        <v>12.2</v>
      </c>
      <c r="C222" s="46">
        <v>8.23</v>
      </c>
      <c r="D222" s="46">
        <v>3.28</v>
      </c>
      <c r="E222" s="46">
        <v>2.2999999999999998</v>
      </c>
      <c r="F222" s="46">
        <v>1.31</v>
      </c>
      <c r="G222" s="46">
        <v>1.31</v>
      </c>
      <c r="H222" s="46">
        <v>1.31</v>
      </c>
      <c r="I222" s="20">
        <v>1.31</v>
      </c>
      <c r="J222" s="46">
        <v>2.31</v>
      </c>
      <c r="K222" s="46">
        <v>0.32</v>
      </c>
      <c r="L222" s="46">
        <v>1.31</v>
      </c>
      <c r="M222" s="46">
        <v>1.31</v>
      </c>
      <c r="N222" s="46">
        <v>1.3</v>
      </c>
      <c r="O222" s="46">
        <v>1.31</v>
      </c>
      <c r="P222" s="46">
        <v>1.31</v>
      </c>
      <c r="Q222" s="46">
        <v>1.31</v>
      </c>
      <c r="R222" s="46">
        <v>1.31</v>
      </c>
      <c r="S222" s="46">
        <v>1.3</v>
      </c>
      <c r="T222" s="46">
        <v>1.31</v>
      </c>
      <c r="U222" s="46">
        <v>1.31</v>
      </c>
      <c r="V222" s="48">
        <v>0.32</v>
      </c>
      <c r="W222" s="46">
        <v>2.31</v>
      </c>
      <c r="X222" s="46">
        <v>1.31</v>
      </c>
      <c r="Y222" s="46">
        <v>1.31</v>
      </c>
      <c r="Z222" s="46">
        <v>1.31</v>
      </c>
      <c r="AA222" s="46">
        <v>1.31</v>
      </c>
      <c r="AB222" s="46">
        <v>2.2999999999999998</v>
      </c>
      <c r="AC222" s="46">
        <v>3.28</v>
      </c>
      <c r="AD222" s="48">
        <v>8.23</v>
      </c>
      <c r="AE222" s="46">
        <v>12.2</v>
      </c>
      <c r="AF222" s="46">
        <v>32</v>
      </c>
      <c r="AI222" s="695"/>
    </row>
    <row r="223" spans="1:35">
      <c r="A223" s="67">
        <v>32</v>
      </c>
      <c r="B223" s="67">
        <v>11.21</v>
      </c>
      <c r="C223" s="67">
        <v>7.24</v>
      </c>
      <c r="D223" s="67">
        <v>1.3</v>
      </c>
      <c r="E223" s="67">
        <v>1.31</v>
      </c>
      <c r="F223" s="67">
        <v>1.31</v>
      </c>
      <c r="G223" s="67">
        <v>1.31</v>
      </c>
      <c r="H223" s="321"/>
      <c r="I223" s="321"/>
      <c r="J223" s="321"/>
      <c r="K223" s="321"/>
      <c r="L223" s="321"/>
      <c r="M223" s="321"/>
      <c r="N223" s="321"/>
      <c r="O223" s="321"/>
      <c r="P223" s="321"/>
      <c r="Q223" s="321"/>
      <c r="R223" s="321"/>
      <c r="S223" s="321"/>
      <c r="T223" s="321"/>
      <c r="U223" s="321"/>
      <c r="V223" s="321"/>
      <c r="W223" s="321"/>
      <c r="X223" s="321"/>
      <c r="Y223" s="67">
        <v>1.31</v>
      </c>
      <c r="Z223" s="67">
        <v>1.31</v>
      </c>
      <c r="AA223" s="67">
        <v>1.31</v>
      </c>
      <c r="AB223" s="67">
        <v>1.31</v>
      </c>
      <c r="AC223" s="67">
        <v>1.3</v>
      </c>
      <c r="AD223" s="67">
        <v>7.24</v>
      </c>
      <c r="AE223" s="67">
        <v>11.21</v>
      </c>
      <c r="AF223" s="67">
        <v>32</v>
      </c>
      <c r="AI223" s="695"/>
    </row>
    <row r="224" spans="1:35">
      <c r="A224" s="67">
        <v>32</v>
      </c>
      <c r="B224" s="67">
        <v>10.220000000000001</v>
      </c>
      <c r="C224" s="67">
        <v>5.26</v>
      </c>
      <c r="D224" s="569"/>
      <c r="E224" s="569"/>
      <c r="F224" s="569"/>
      <c r="G224" s="569"/>
      <c r="H224" s="569"/>
      <c r="I224" s="569"/>
      <c r="J224" s="569"/>
      <c r="K224" s="569"/>
      <c r="L224" s="569"/>
      <c r="M224" s="569"/>
      <c r="N224" s="569"/>
      <c r="O224" s="569"/>
      <c r="P224" s="569"/>
      <c r="Q224" s="569"/>
      <c r="R224" s="569"/>
      <c r="S224" s="569"/>
      <c r="T224" s="569"/>
      <c r="U224" s="569"/>
      <c r="V224" s="569"/>
      <c r="W224" s="569"/>
      <c r="X224" s="569"/>
      <c r="Y224" s="569"/>
      <c r="Z224" s="569"/>
      <c r="AA224" s="569"/>
      <c r="AB224" s="569"/>
      <c r="AC224" s="569"/>
      <c r="AD224" s="67">
        <v>5.26</v>
      </c>
      <c r="AE224" s="67">
        <v>10.220000000000001</v>
      </c>
      <c r="AF224" s="67">
        <v>32</v>
      </c>
      <c r="AI224" s="695"/>
    </row>
    <row r="225" spans="1:35">
      <c r="A225" s="415">
        <v>18.18</v>
      </c>
      <c r="B225" s="415">
        <v>18.18</v>
      </c>
      <c r="C225" s="415">
        <v>18.18</v>
      </c>
      <c r="D225" s="415">
        <v>18.18</v>
      </c>
      <c r="E225" s="415">
        <v>18.18</v>
      </c>
      <c r="F225" s="415">
        <v>18.18</v>
      </c>
      <c r="G225" s="415">
        <v>18.18</v>
      </c>
      <c r="H225" s="415">
        <v>18.18</v>
      </c>
      <c r="I225" s="415">
        <v>18.18</v>
      </c>
      <c r="J225" s="415">
        <v>18.18</v>
      </c>
      <c r="K225" s="415">
        <v>18.18</v>
      </c>
      <c r="L225" s="415">
        <v>18.18</v>
      </c>
      <c r="M225" s="415">
        <v>18.18</v>
      </c>
      <c r="N225" s="415">
        <v>18.18</v>
      </c>
      <c r="O225" s="415">
        <v>18.18</v>
      </c>
      <c r="P225" s="415">
        <v>18.18</v>
      </c>
      <c r="Q225" s="415">
        <v>18.18</v>
      </c>
      <c r="R225" s="415">
        <v>18.18</v>
      </c>
      <c r="S225" s="415">
        <v>18.18</v>
      </c>
      <c r="T225" s="415">
        <v>18.18</v>
      </c>
      <c r="U225" s="415">
        <v>18.18</v>
      </c>
      <c r="V225" s="415">
        <v>18.18</v>
      </c>
      <c r="W225" s="415">
        <v>18.18</v>
      </c>
      <c r="X225" s="415">
        <v>18.18</v>
      </c>
      <c r="Y225" s="415">
        <v>18.18</v>
      </c>
      <c r="Z225" s="415">
        <v>18.18</v>
      </c>
      <c r="AA225" s="415">
        <v>18.18</v>
      </c>
      <c r="AB225" s="415">
        <v>18.18</v>
      </c>
      <c r="AC225" s="415">
        <v>18.18</v>
      </c>
      <c r="AD225" s="415">
        <v>18.18</v>
      </c>
      <c r="AE225" s="415">
        <v>18.18</v>
      </c>
      <c r="AF225" s="415">
        <v>18.18</v>
      </c>
      <c r="AG225">
        <v>8</v>
      </c>
      <c r="AI225" s="326"/>
    </row>
    <row r="226" spans="1:35">
      <c r="A226" s="415">
        <v>18.18</v>
      </c>
      <c r="B226" s="422">
        <v>18.18</v>
      </c>
      <c r="C226" s="422">
        <v>18.18</v>
      </c>
      <c r="D226" s="422">
        <v>18.18</v>
      </c>
      <c r="E226" s="422">
        <v>18.18</v>
      </c>
      <c r="F226" s="422">
        <v>18.18</v>
      </c>
      <c r="G226" s="422">
        <v>18.18</v>
      </c>
      <c r="H226" s="422">
        <v>18.18</v>
      </c>
      <c r="I226" s="422">
        <v>18.18</v>
      </c>
      <c r="J226" s="422">
        <v>18.18</v>
      </c>
      <c r="K226" s="422">
        <v>18.18</v>
      </c>
      <c r="L226" s="422">
        <v>18.18</v>
      </c>
      <c r="M226" s="422">
        <v>18.18</v>
      </c>
      <c r="N226" s="422">
        <v>18.18</v>
      </c>
      <c r="O226" s="422">
        <v>18.18</v>
      </c>
      <c r="P226" s="422">
        <v>18.18</v>
      </c>
      <c r="Q226" s="422">
        <v>18.18</v>
      </c>
      <c r="R226" s="422">
        <v>18.18</v>
      </c>
      <c r="S226" s="422">
        <v>18.18</v>
      </c>
      <c r="T226" s="422">
        <v>18.18</v>
      </c>
      <c r="U226" s="422">
        <v>18.18</v>
      </c>
      <c r="V226" s="422">
        <v>18.18</v>
      </c>
      <c r="W226" s="422">
        <v>18.18</v>
      </c>
      <c r="X226" s="422">
        <v>18.18</v>
      </c>
      <c r="Y226" s="422">
        <v>18.18</v>
      </c>
      <c r="Z226" s="422">
        <v>18.18</v>
      </c>
      <c r="AA226" s="422">
        <v>18.18</v>
      </c>
      <c r="AB226" s="422">
        <v>18.18</v>
      </c>
      <c r="AC226" s="422">
        <v>18.18</v>
      </c>
      <c r="AD226" s="422">
        <v>18.18</v>
      </c>
      <c r="AE226" s="422">
        <v>18.18</v>
      </c>
      <c r="AF226" s="417">
        <v>18.18</v>
      </c>
      <c r="AI226" s="326"/>
    </row>
    <row r="227" spans="1:35">
      <c r="A227" s="415">
        <v>18.18</v>
      </c>
      <c r="B227" s="422">
        <v>18.18</v>
      </c>
      <c r="C227" s="422">
        <v>18.18</v>
      </c>
      <c r="D227" s="422">
        <v>18.18</v>
      </c>
      <c r="E227" s="422">
        <v>18.18</v>
      </c>
      <c r="F227" s="422">
        <v>18.18</v>
      </c>
      <c r="G227" s="422">
        <v>18.18</v>
      </c>
      <c r="H227" s="422">
        <v>18.18</v>
      </c>
      <c r="I227" s="422">
        <v>18.18</v>
      </c>
      <c r="J227" s="417">
        <v>18.18</v>
      </c>
      <c r="K227" s="417">
        <v>18.18</v>
      </c>
      <c r="L227" s="417">
        <v>18.18</v>
      </c>
      <c r="M227" s="417">
        <v>18.18</v>
      </c>
      <c r="N227" s="417">
        <v>18.18</v>
      </c>
      <c r="O227" s="417">
        <v>18.18</v>
      </c>
      <c r="P227" s="417">
        <v>18.18</v>
      </c>
      <c r="Q227" s="417">
        <v>18.18</v>
      </c>
      <c r="R227" s="417">
        <v>18.18</v>
      </c>
      <c r="S227" s="417">
        <v>18.18</v>
      </c>
      <c r="T227" s="422">
        <v>18.18</v>
      </c>
      <c r="U227" s="422">
        <v>18.18</v>
      </c>
      <c r="V227" s="422">
        <v>18.18</v>
      </c>
      <c r="W227" s="422">
        <v>18.18</v>
      </c>
      <c r="X227" s="422">
        <v>18.18</v>
      </c>
      <c r="Y227" s="422">
        <v>18.18</v>
      </c>
      <c r="Z227" s="422">
        <v>18.18</v>
      </c>
      <c r="AA227" s="422">
        <v>18.18</v>
      </c>
      <c r="AB227" s="422">
        <v>18.18</v>
      </c>
      <c r="AC227" s="422">
        <v>18.18</v>
      </c>
      <c r="AD227" s="422">
        <v>18.18</v>
      </c>
      <c r="AE227" s="422">
        <v>18.18</v>
      </c>
      <c r="AF227" s="417">
        <v>18.18</v>
      </c>
      <c r="AI227" s="326"/>
    </row>
    <row r="228" spans="1:35">
      <c r="A228" s="415">
        <v>18.18</v>
      </c>
      <c r="B228" s="422">
        <v>18.18</v>
      </c>
      <c r="C228" s="415">
        <v>18.18</v>
      </c>
      <c r="D228" s="422">
        <v>18.18</v>
      </c>
      <c r="E228" s="422">
        <v>18.18</v>
      </c>
      <c r="F228" s="422">
        <v>18.18</v>
      </c>
      <c r="G228" s="422">
        <v>18.18</v>
      </c>
      <c r="H228" s="422">
        <v>18.18</v>
      </c>
      <c r="I228" s="422">
        <v>18.18</v>
      </c>
      <c r="J228" s="422">
        <v>18.18</v>
      </c>
      <c r="K228" s="422">
        <v>18.18</v>
      </c>
      <c r="L228" s="422">
        <v>18.18</v>
      </c>
      <c r="M228" s="422">
        <v>18.18</v>
      </c>
      <c r="N228" s="422">
        <v>18.18</v>
      </c>
      <c r="O228" s="422">
        <v>18.18</v>
      </c>
      <c r="P228" s="422">
        <v>18.18</v>
      </c>
      <c r="Q228" s="422">
        <v>18.18</v>
      </c>
      <c r="R228" s="422">
        <v>18.18</v>
      </c>
      <c r="S228" s="422">
        <v>18.18</v>
      </c>
      <c r="T228" s="422">
        <v>18.18</v>
      </c>
      <c r="U228" s="422">
        <v>18.18</v>
      </c>
      <c r="V228" s="422">
        <v>18.18</v>
      </c>
      <c r="W228" s="422">
        <v>18.18</v>
      </c>
      <c r="X228" s="422">
        <v>18.18</v>
      </c>
      <c r="Y228" s="422">
        <v>18.18</v>
      </c>
      <c r="Z228" s="422">
        <v>18.18</v>
      </c>
      <c r="AA228" s="422">
        <v>18.18</v>
      </c>
      <c r="AB228" s="422">
        <v>18.18</v>
      </c>
      <c r="AC228" s="422">
        <v>18.18</v>
      </c>
      <c r="AD228" s="415">
        <v>18.18</v>
      </c>
      <c r="AE228" s="422">
        <v>18.18</v>
      </c>
      <c r="AF228" s="417">
        <v>18.18</v>
      </c>
      <c r="AG228">
        <v>-1</v>
      </c>
      <c r="AI228" s="326"/>
    </row>
    <row r="229" spans="1:35">
      <c r="A229" s="415">
        <v>18.18</v>
      </c>
      <c r="B229" s="422">
        <v>18.18</v>
      </c>
      <c r="C229" s="422">
        <v>18.18</v>
      </c>
      <c r="D229" s="422">
        <v>18.18</v>
      </c>
      <c r="E229" s="422">
        <v>18.18</v>
      </c>
      <c r="F229" s="422">
        <v>18.18</v>
      </c>
      <c r="G229" s="422">
        <v>18.18</v>
      </c>
      <c r="H229" s="422">
        <v>18.18</v>
      </c>
      <c r="I229" s="422">
        <v>18.18</v>
      </c>
      <c r="J229" s="422">
        <v>18.18</v>
      </c>
      <c r="K229" s="422">
        <v>18.18</v>
      </c>
      <c r="L229" s="422">
        <v>18.18</v>
      </c>
      <c r="M229" s="422">
        <v>18.18</v>
      </c>
      <c r="N229" s="422">
        <v>18.18</v>
      </c>
      <c r="O229" s="422">
        <v>18.18</v>
      </c>
      <c r="P229" s="422">
        <v>18.18</v>
      </c>
      <c r="Q229" s="422">
        <v>18.18</v>
      </c>
      <c r="R229" s="422">
        <v>18.18</v>
      </c>
      <c r="S229" s="422">
        <v>18.18</v>
      </c>
      <c r="T229" s="422">
        <v>18.18</v>
      </c>
      <c r="U229" s="422">
        <v>18.18</v>
      </c>
      <c r="V229" s="417">
        <v>18.18</v>
      </c>
      <c r="W229" s="417">
        <v>18.18</v>
      </c>
      <c r="X229" s="417">
        <v>18.18</v>
      </c>
      <c r="Y229" s="422">
        <v>18.18</v>
      </c>
      <c r="Z229" s="422">
        <v>18.18</v>
      </c>
      <c r="AA229" s="422">
        <v>18.18</v>
      </c>
      <c r="AB229" s="422">
        <v>18.18</v>
      </c>
      <c r="AC229" s="422">
        <v>18.18</v>
      </c>
      <c r="AD229" s="422">
        <v>18.18</v>
      </c>
      <c r="AE229" s="422">
        <v>18.18</v>
      </c>
      <c r="AF229" s="417">
        <v>18.18</v>
      </c>
      <c r="AI229" s="326"/>
    </row>
    <row r="230" spans="1:35">
      <c r="AH230">
        <v>226</v>
      </c>
      <c r="AI230" s="326"/>
    </row>
    <row r="231" spans="1:35">
      <c r="A231" s="415">
        <v>18.18</v>
      </c>
      <c r="B231" s="417">
        <v>18.18</v>
      </c>
      <c r="C231" s="417">
        <v>18.18</v>
      </c>
      <c r="D231" s="417">
        <v>18.18</v>
      </c>
      <c r="E231" s="417">
        <v>18.18</v>
      </c>
      <c r="F231" s="417">
        <v>18.18</v>
      </c>
      <c r="G231" s="417">
        <v>18.18</v>
      </c>
      <c r="H231" s="417">
        <v>18.18</v>
      </c>
      <c r="I231" s="417">
        <v>18.18</v>
      </c>
      <c r="J231" s="417">
        <v>18.18</v>
      </c>
      <c r="K231" s="417">
        <v>18.18</v>
      </c>
      <c r="L231" s="417">
        <v>18.18</v>
      </c>
      <c r="M231" s="417">
        <v>18.18</v>
      </c>
      <c r="N231" s="417">
        <v>18.18</v>
      </c>
      <c r="O231" s="417">
        <v>18.18</v>
      </c>
      <c r="P231" s="417">
        <v>18.18</v>
      </c>
      <c r="Q231" s="417">
        <v>18.18</v>
      </c>
      <c r="R231" s="417">
        <v>18.18</v>
      </c>
      <c r="S231" s="417">
        <v>18.18</v>
      </c>
      <c r="T231" s="417">
        <v>18.18</v>
      </c>
      <c r="U231" s="417">
        <v>18.18</v>
      </c>
      <c r="V231" s="417">
        <v>18.18</v>
      </c>
      <c r="W231" s="417">
        <v>18.18</v>
      </c>
      <c r="X231" s="417">
        <v>18.18</v>
      </c>
      <c r="Y231" s="417">
        <v>18.18</v>
      </c>
      <c r="Z231" s="417">
        <v>18.18</v>
      </c>
      <c r="AA231" s="417">
        <v>18.18</v>
      </c>
      <c r="AB231" s="417">
        <v>18.18</v>
      </c>
      <c r="AC231" s="417">
        <v>18.18</v>
      </c>
      <c r="AD231" s="417">
        <v>18.18</v>
      </c>
      <c r="AE231" s="417">
        <v>18.18</v>
      </c>
      <c r="AF231" s="417">
        <v>18.18</v>
      </c>
      <c r="AI231" s="326"/>
    </row>
    <row r="232" spans="1:35">
      <c r="AH232">
        <v>226</v>
      </c>
      <c r="AI232" s="326"/>
    </row>
    <row r="233" spans="1:35">
      <c r="A233" s="415">
        <v>18.18</v>
      </c>
      <c r="B233" s="422">
        <v>18.18</v>
      </c>
      <c r="C233" s="422">
        <v>18.18</v>
      </c>
      <c r="D233" s="422">
        <v>18.18</v>
      </c>
      <c r="E233" s="422">
        <v>18.18</v>
      </c>
      <c r="F233" s="422">
        <v>18.18</v>
      </c>
      <c r="G233" s="422">
        <v>18.18</v>
      </c>
      <c r="H233" s="422">
        <v>18.18</v>
      </c>
      <c r="I233" s="422">
        <v>18.18</v>
      </c>
      <c r="J233" s="422">
        <v>18.18</v>
      </c>
      <c r="K233" s="422">
        <v>18.18</v>
      </c>
      <c r="L233" s="422">
        <v>18.18</v>
      </c>
      <c r="M233" s="422">
        <v>18.18</v>
      </c>
      <c r="N233" s="422">
        <v>18.18</v>
      </c>
      <c r="O233" s="422">
        <v>18.18</v>
      </c>
      <c r="P233" s="422">
        <v>18.18</v>
      </c>
      <c r="Q233" s="422">
        <v>18.18</v>
      </c>
      <c r="R233" s="422">
        <v>18.18</v>
      </c>
      <c r="S233" s="417">
        <v>18.18</v>
      </c>
      <c r="T233" s="417">
        <v>18.18</v>
      </c>
      <c r="U233" s="417">
        <v>18.18</v>
      </c>
      <c r="V233" s="417">
        <v>18.18</v>
      </c>
      <c r="W233" s="417">
        <v>18.18</v>
      </c>
      <c r="X233" s="417">
        <v>18.18</v>
      </c>
      <c r="Y233" s="417">
        <v>18.18</v>
      </c>
      <c r="Z233" s="422">
        <v>18.18</v>
      </c>
      <c r="AA233" s="422">
        <v>18.18</v>
      </c>
      <c r="AB233" s="422">
        <v>18.18</v>
      </c>
      <c r="AC233" s="422">
        <v>18.18</v>
      </c>
      <c r="AD233" s="422">
        <v>18.18</v>
      </c>
      <c r="AE233" s="422">
        <v>18.18</v>
      </c>
      <c r="AF233" s="417">
        <v>18.18</v>
      </c>
      <c r="AI233" s="326"/>
    </row>
    <row r="234" spans="1:35">
      <c r="A234" s="415">
        <v>18.18</v>
      </c>
      <c r="B234" s="422">
        <v>18.18</v>
      </c>
      <c r="C234" s="415">
        <v>18.18</v>
      </c>
      <c r="D234" s="422">
        <v>18.18</v>
      </c>
      <c r="E234" s="422">
        <v>18.18</v>
      </c>
      <c r="F234" s="422">
        <v>18.18</v>
      </c>
      <c r="G234" s="422">
        <v>18.18</v>
      </c>
      <c r="H234" s="417">
        <v>18.18</v>
      </c>
      <c r="I234" s="417">
        <v>18.18</v>
      </c>
      <c r="J234" s="417">
        <v>18.18</v>
      </c>
      <c r="K234" s="417">
        <v>18.18</v>
      </c>
      <c r="L234" s="417">
        <v>18.18</v>
      </c>
      <c r="M234" s="417">
        <v>18.18</v>
      </c>
      <c r="N234" s="417">
        <v>18.18</v>
      </c>
      <c r="O234" s="417">
        <v>18.18</v>
      </c>
      <c r="P234" s="422">
        <v>18.18</v>
      </c>
      <c r="Q234" s="422">
        <v>18.18</v>
      </c>
      <c r="R234" s="422">
        <v>18.18</v>
      </c>
      <c r="S234" s="422">
        <v>18.18</v>
      </c>
      <c r="T234" s="422">
        <v>18.18</v>
      </c>
      <c r="U234" s="422">
        <v>18.18</v>
      </c>
      <c r="V234" s="422">
        <v>18.18</v>
      </c>
      <c r="W234" s="422">
        <v>18.18</v>
      </c>
      <c r="X234" s="422">
        <v>18.18</v>
      </c>
      <c r="Y234" s="422">
        <v>18.18</v>
      </c>
      <c r="Z234" s="422">
        <v>18.18</v>
      </c>
      <c r="AA234" s="422">
        <v>18.18</v>
      </c>
      <c r="AB234" s="422">
        <v>18.18</v>
      </c>
      <c r="AC234" s="422">
        <v>18.18</v>
      </c>
      <c r="AD234" s="415">
        <v>18.18</v>
      </c>
      <c r="AE234" s="422">
        <v>18.18</v>
      </c>
      <c r="AF234" s="417">
        <v>18.18</v>
      </c>
      <c r="AI234" s="326"/>
    </row>
    <row r="235" spans="1:35">
      <c r="AH235">
        <v>226</v>
      </c>
      <c r="AI235" s="326"/>
    </row>
    <row r="236" spans="1:35">
      <c r="AH236">
        <v>226</v>
      </c>
      <c r="AI236" s="326"/>
    </row>
    <row r="237" spans="1:35">
      <c r="AH237">
        <v>231</v>
      </c>
      <c r="AI237" s="326"/>
    </row>
    <row r="238" spans="1:35">
      <c r="AH238">
        <v>226</v>
      </c>
      <c r="AI238" s="326"/>
    </row>
    <row r="239" spans="1:35">
      <c r="A239" s="415">
        <v>18.18</v>
      </c>
      <c r="B239" s="422">
        <v>18.18</v>
      </c>
      <c r="C239" s="422">
        <v>18.18</v>
      </c>
      <c r="D239" s="422">
        <v>18.18</v>
      </c>
      <c r="E239" s="417">
        <v>18.18</v>
      </c>
      <c r="F239" s="417">
        <v>18.18</v>
      </c>
      <c r="G239" s="417">
        <v>18.18</v>
      </c>
      <c r="H239" s="417">
        <v>18.18</v>
      </c>
      <c r="I239" s="422">
        <v>18.18</v>
      </c>
      <c r="J239" s="422">
        <v>18.18</v>
      </c>
      <c r="K239" s="422">
        <v>18.18</v>
      </c>
      <c r="L239" s="422">
        <v>18.18</v>
      </c>
      <c r="M239" s="422">
        <v>18.18</v>
      </c>
      <c r="N239" s="422">
        <v>18.18</v>
      </c>
      <c r="O239" s="422">
        <v>18.18</v>
      </c>
      <c r="P239" s="422">
        <v>18.18</v>
      </c>
      <c r="Q239" s="422">
        <v>18.18</v>
      </c>
      <c r="R239" s="422">
        <v>18.18</v>
      </c>
      <c r="S239" s="422">
        <v>18.18</v>
      </c>
      <c r="T239" s="422">
        <v>18.18</v>
      </c>
      <c r="U239" s="422">
        <v>18.18</v>
      </c>
      <c r="V239" s="417">
        <v>18.18</v>
      </c>
      <c r="W239" s="417">
        <v>18.18</v>
      </c>
      <c r="X239" s="417">
        <v>18.18</v>
      </c>
      <c r="Y239" s="417">
        <v>18.18</v>
      </c>
      <c r="Z239" s="417">
        <v>18.18</v>
      </c>
      <c r="AA239" s="422">
        <v>18.18</v>
      </c>
      <c r="AB239" s="422">
        <v>18.18</v>
      </c>
      <c r="AC239" s="422">
        <v>18.18</v>
      </c>
      <c r="AD239" s="422">
        <v>18.18</v>
      </c>
      <c r="AE239" s="422">
        <v>18.18</v>
      </c>
      <c r="AF239" s="417">
        <v>18.18</v>
      </c>
      <c r="AI239" s="326"/>
    </row>
    <row r="240" spans="1:35">
      <c r="AH240">
        <v>228</v>
      </c>
      <c r="AI240" s="326"/>
    </row>
    <row r="241" spans="1:35">
      <c r="A241" s="415">
        <v>18.18</v>
      </c>
      <c r="B241" s="422">
        <v>18.18</v>
      </c>
      <c r="C241" s="422">
        <v>18.18</v>
      </c>
      <c r="D241" s="422">
        <v>18.18</v>
      </c>
      <c r="E241" s="422">
        <v>18.18</v>
      </c>
      <c r="F241" s="422">
        <v>18.18</v>
      </c>
      <c r="G241" s="422">
        <v>18.18</v>
      </c>
      <c r="H241" s="422">
        <v>18.18</v>
      </c>
      <c r="I241" s="422">
        <v>18.18</v>
      </c>
      <c r="J241" s="422">
        <v>18.18</v>
      </c>
      <c r="K241" s="422">
        <v>18.18</v>
      </c>
      <c r="L241" s="422">
        <v>18.18</v>
      </c>
      <c r="M241" s="417">
        <v>18.18</v>
      </c>
      <c r="N241" s="417">
        <v>18.18</v>
      </c>
      <c r="O241" s="417">
        <v>18.18</v>
      </c>
      <c r="P241" s="417">
        <v>18.18</v>
      </c>
      <c r="Q241" s="417">
        <v>18.18</v>
      </c>
      <c r="R241" s="417">
        <v>18.18</v>
      </c>
      <c r="S241" s="417">
        <v>18.18</v>
      </c>
      <c r="T241" s="422">
        <v>18.18</v>
      </c>
      <c r="U241" s="422">
        <v>18.18</v>
      </c>
      <c r="V241" s="422">
        <v>18.18</v>
      </c>
      <c r="W241" s="422">
        <v>18.18</v>
      </c>
      <c r="X241" s="422">
        <v>18.18</v>
      </c>
      <c r="Y241" s="422">
        <v>18.18</v>
      </c>
      <c r="Z241" s="422">
        <v>18.18</v>
      </c>
      <c r="AA241" s="422">
        <v>18.18</v>
      </c>
      <c r="AB241" s="422">
        <v>18.18</v>
      </c>
      <c r="AC241" s="422">
        <v>18.18</v>
      </c>
      <c r="AD241" s="422">
        <v>18.18</v>
      </c>
      <c r="AE241" s="422">
        <v>18.18</v>
      </c>
      <c r="AF241" s="417">
        <v>18.18</v>
      </c>
      <c r="AI241" s="326"/>
    </row>
    <row r="242" spans="1:35">
      <c r="AH242">
        <v>226</v>
      </c>
      <c r="AI242" s="326"/>
    </row>
    <row r="243" spans="1:35">
      <c r="AH243">
        <v>231</v>
      </c>
      <c r="AI243" s="326"/>
    </row>
    <row r="244" spans="1:35">
      <c r="AH244">
        <v>226</v>
      </c>
      <c r="AI244" s="326"/>
    </row>
    <row r="245" spans="1:35">
      <c r="AH245">
        <v>226</v>
      </c>
      <c r="AI245" s="326"/>
    </row>
    <row r="246" spans="1:35">
      <c r="A246" s="415">
        <v>18.18</v>
      </c>
      <c r="B246" s="422">
        <v>18.18</v>
      </c>
      <c r="C246" s="415">
        <v>18.18</v>
      </c>
      <c r="D246" s="422">
        <v>18.18</v>
      </c>
      <c r="E246" s="422">
        <v>18.18</v>
      </c>
      <c r="F246" s="422">
        <v>18.18</v>
      </c>
      <c r="G246" s="422">
        <v>18.18</v>
      </c>
      <c r="H246" s="422">
        <v>18.18</v>
      </c>
      <c r="I246" s="422">
        <v>18.18</v>
      </c>
      <c r="J246" s="422">
        <v>18.18</v>
      </c>
      <c r="K246" s="422">
        <v>18.18</v>
      </c>
      <c r="L246" s="422">
        <v>18.18</v>
      </c>
      <c r="M246" s="422">
        <v>18.18</v>
      </c>
      <c r="N246" s="422">
        <v>18.18</v>
      </c>
      <c r="O246" s="422">
        <v>18.18</v>
      </c>
      <c r="P246" s="422">
        <v>18.18</v>
      </c>
      <c r="Q246" s="422">
        <v>18.18</v>
      </c>
      <c r="R246" s="417">
        <v>18.18</v>
      </c>
      <c r="S246" s="417">
        <v>18.18</v>
      </c>
      <c r="T246" s="417">
        <v>18.18</v>
      </c>
      <c r="U246" s="417">
        <v>18.18</v>
      </c>
      <c r="V246" s="417">
        <v>18.18</v>
      </c>
      <c r="W246" s="417">
        <v>18.18</v>
      </c>
      <c r="X246" s="422">
        <v>18.18</v>
      </c>
      <c r="Y246" s="422">
        <v>18.18</v>
      </c>
      <c r="Z246" s="422">
        <v>18.18</v>
      </c>
      <c r="AA246" s="422">
        <v>18.18</v>
      </c>
      <c r="AB246" s="422">
        <v>18.18</v>
      </c>
      <c r="AC246" s="422">
        <v>18.18</v>
      </c>
      <c r="AD246" s="415">
        <v>18.18</v>
      </c>
      <c r="AE246" s="422">
        <v>18.18</v>
      </c>
      <c r="AF246" s="417">
        <v>18.18</v>
      </c>
      <c r="AI246" s="326"/>
    </row>
    <row r="247" spans="1:35">
      <c r="A247" s="415">
        <v>18.18</v>
      </c>
      <c r="B247" s="422">
        <v>18.18</v>
      </c>
      <c r="C247" s="422">
        <v>18.18</v>
      </c>
      <c r="D247" s="422">
        <v>18.18</v>
      </c>
      <c r="E247" s="422">
        <v>18.18</v>
      </c>
      <c r="F247" s="417">
        <v>18.18</v>
      </c>
      <c r="G247" s="417">
        <v>18.18</v>
      </c>
      <c r="H247" s="417">
        <v>18.18</v>
      </c>
      <c r="I247" s="417">
        <v>18.18</v>
      </c>
      <c r="J247" s="417">
        <v>18.18</v>
      </c>
      <c r="K247" s="417">
        <v>18.18</v>
      </c>
      <c r="L247" s="417">
        <v>18.18</v>
      </c>
      <c r="M247" s="422">
        <v>18.18</v>
      </c>
      <c r="N247" s="422">
        <v>18.18</v>
      </c>
      <c r="O247" s="422">
        <v>18.18</v>
      </c>
      <c r="P247" s="422">
        <v>18.18</v>
      </c>
      <c r="Q247" s="422">
        <v>18.18</v>
      </c>
      <c r="R247" s="422">
        <v>18.18</v>
      </c>
      <c r="S247" s="422">
        <v>18.18</v>
      </c>
      <c r="T247" s="422">
        <v>18.18</v>
      </c>
      <c r="U247" s="422">
        <v>18.18</v>
      </c>
      <c r="V247" s="422">
        <v>18.18</v>
      </c>
      <c r="W247" s="422">
        <v>18.18</v>
      </c>
      <c r="X247" s="422">
        <v>18.18</v>
      </c>
      <c r="Y247" s="422">
        <v>18.18</v>
      </c>
      <c r="Z247" s="422">
        <v>18.18</v>
      </c>
      <c r="AA247" s="422">
        <v>18.18</v>
      </c>
      <c r="AB247" s="422">
        <v>18.18</v>
      </c>
      <c r="AC247" s="422">
        <v>18.18</v>
      </c>
      <c r="AD247" s="422">
        <v>18.18</v>
      </c>
      <c r="AE247" s="422">
        <v>18.18</v>
      </c>
      <c r="AF247" s="417">
        <v>18.18</v>
      </c>
      <c r="AI247" s="326"/>
    </row>
    <row r="248" spans="1:35">
      <c r="AH248">
        <v>226</v>
      </c>
      <c r="AI248" s="326"/>
    </row>
    <row r="249" spans="1:35">
      <c r="AH249">
        <v>231</v>
      </c>
      <c r="AI249" s="326"/>
    </row>
    <row r="250" spans="1:35">
      <c r="AH250">
        <v>226</v>
      </c>
      <c r="AI250" s="326"/>
    </row>
    <row r="251" spans="1:35">
      <c r="A251" s="415">
        <v>18.18</v>
      </c>
      <c r="B251" s="422">
        <v>18.18</v>
      </c>
      <c r="C251" s="422">
        <v>18.18</v>
      </c>
      <c r="D251" s="422">
        <v>18.18</v>
      </c>
      <c r="E251" s="422">
        <v>18.18</v>
      </c>
      <c r="F251" s="422">
        <v>18.18</v>
      </c>
      <c r="G251" s="422">
        <v>18.18</v>
      </c>
      <c r="H251" s="422">
        <v>18.18</v>
      </c>
      <c r="I251" s="422">
        <v>18.18</v>
      </c>
      <c r="J251" s="422">
        <v>18.18</v>
      </c>
      <c r="K251" s="422">
        <v>18.18</v>
      </c>
      <c r="L251" s="422">
        <v>18.18</v>
      </c>
      <c r="M251" s="422">
        <v>18.18</v>
      </c>
      <c r="N251" s="417">
        <v>18.18</v>
      </c>
      <c r="O251" s="417">
        <v>18.18</v>
      </c>
      <c r="P251" s="417">
        <v>18.18</v>
      </c>
      <c r="Q251" s="417">
        <v>18.18</v>
      </c>
      <c r="R251" s="417">
        <v>18.18</v>
      </c>
      <c r="S251" s="417">
        <v>18.18</v>
      </c>
      <c r="T251" s="422">
        <v>18.18</v>
      </c>
      <c r="U251" s="422">
        <v>18.18</v>
      </c>
      <c r="V251" s="422">
        <v>18.18</v>
      </c>
      <c r="W251" s="422">
        <v>18.18</v>
      </c>
      <c r="X251" s="422">
        <v>18.18</v>
      </c>
      <c r="Y251" s="422">
        <v>18.18</v>
      </c>
      <c r="Z251" s="422">
        <v>18.18</v>
      </c>
      <c r="AA251" s="422">
        <v>18.18</v>
      </c>
      <c r="AB251" s="422">
        <v>18.18</v>
      </c>
      <c r="AC251" s="422">
        <v>18.18</v>
      </c>
      <c r="AD251" s="422">
        <v>18.18</v>
      </c>
      <c r="AE251" s="422">
        <v>18.18</v>
      </c>
      <c r="AF251" s="417">
        <v>18.18</v>
      </c>
      <c r="AI251" s="326"/>
    </row>
    <row r="252" spans="1:35">
      <c r="AH252">
        <v>226</v>
      </c>
      <c r="AI252" s="326"/>
    </row>
    <row r="253" spans="1:35">
      <c r="A253" s="415">
        <v>18.18</v>
      </c>
      <c r="B253" s="422">
        <v>18.18</v>
      </c>
      <c r="C253" s="415">
        <v>18.18</v>
      </c>
      <c r="D253" s="422">
        <v>18.18</v>
      </c>
      <c r="E253" s="422">
        <v>18.18</v>
      </c>
      <c r="F253" s="417">
        <v>18.18</v>
      </c>
      <c r="G253" s="417">
        <v>18.18</v>
      </c>
      <c r="H253" s="417">
        <v>18.18</v>
      </c>
      <c r="I253" s="417">
        <v>18.18</v>
      </c>
      <c r="J253" s="422">
        <v>18.18</v>
      </c>
      <c r="K253" s="422">
        <v>18.18</v>
      </c>
      <c r="L253" s="422">
        <v>18.18</v>
      </c>
      <c r="M253" s="422">
        <v>18.18</v>
      </c>
      <c r="N253" s="422">
        <v>18.18</v>
      </c>
      <c r="O253" s="422">
        <v>18.18</v>
      </c>
      <c r="P253" s="422">
        <v>18.18</v>
      </c>
      <c r="Q253" s="422">
        <v>18.18</v>
      </c>
      <c r="R253" s="422">
        <v>18.18</v>
      </c>
      <c r="S253" s="422">
        <v>18.18</v>
      </c>
      <c r="T253" s="422">
        <v>18.18</v>
      </c>
      <c r="U253" s="422">
        <v>18.18</v>
      </c>
      <c r="V253" s="422">
        <v>18.18</v>
      </c>
      <c r="W253" s="422">
        <v>18.18</v>
      </c>
      <c r="X253" s="422">
        <v>18.18</v>
      </c>
      <c r="Y253" s="422">
        <v>18.18</v>
      </c>
      <c r="Z253" s="422">
        <v>18.18</v>
      </c>
      <c r="AA253" s="422">
        <v>18.18</v>
      </c>
      <c r="AB253" s="422">
        <v>18.18</v>
      </c>
      <c r="AC253" s="422">
        <v>18.18</v>
      </c>
      <c r="AD253" s="415">
        <v>18.18</v>
      </c>
      <c r="AE253" s="422">
        <v>18.18</v>
      </c>
      <c r="AF253" s="417">
        <v>18.18</v>
      </c>
      <c r="AI253" s="326"/>
    </row>
    <row r="254" spans="1:35">
      <c r="A254" s="415">
        <v>18.18</v>
      </c>
      <c r="B254" s="422">
        <v>18.18</v>
      </c>
      <c r="C254" s="422">
        <v>18.18</v>
      </c>
      <c r="D254" s="422">
        <v>18.18</v>
      </c>
      <c r="E254" s="422">
        <v>18.18</v>
      </c>
      <c r="F254" s="422">
        <v>18.18</v>
      </c>
      <c r="G254" s="422">
        <v>18.18</v>
      </c>
      <c r="H254" s="417">
        <v>18.18</v>
      </c>
      <c r="I254" s="417">
        <v>18.18</v>
      </c>
      <c r="J254" s="417">
        <v>18.18</v>
      </c>
      <c r="K254" s="417">
        <v>18.18</v>
      </c>
      <c r="L254" s="417">
        <v>18.18</v>
      </c>
      <c r="M254" s="422">
        <v>18.18</v>
      </c>
      <c r="N254" s="422">
        <v>18.18</v>
      </c>
      <c r="O254" s="422">
        <v>18.18</v>
      </c>
      <c r="P254" s="422">
        <v>18.18</v>
      </c>
      <c r="Q254" s="422">
        <v>18.18</v>
      </c>
      <c r="R254" s="422">
        <v>18.18</v>
      </c>
      <c r="S254" s="422">
        <v>18.18</v>
      </c>
      <c r="T254" s="417">
        <v>18.18</v>
      </c>
      <c r="U254" s="417">
        <v>18.18</v>
      </c>
      <c r="V254" s="417">
        <v>18.18</v>
      </c>
      <c r="W254" s="417">
        <v>18.18</v>
      </c>
      <c r="X254" s="417">
        <v>18.18</v>
      </c>
      <c r="Y254" s="417">
        <v>18.18</v>
      </c>
      <c r="Z254" s="417">
        <v>18.18</v>
      </c>
      <c r="AA254" s="422">
        <v>18.18</v>
      </c>
      <c r="AB254" s="422">
        <v>18.18</v>
      </c>
      <c r="AC254" s="422">
        <v>18.18</v>
      </c>
      <c r="AD254" s="422">
        <v>18.18</v>
      </c>
      <c r="AE254" s="422">
        <v>18.18</v>
      </c>
      <c r="AF254" s="417">
        <v>18.18</v>
      </c>
      <c r="AI254" s="326"/>
    </row>
    <row r="255" spans="1:35">
      <c r="AH255">
        <v>226</v>
      </c>
      <c r="AI255" s="326"/>
    </row>
    <row r="256" spans="1:35">
      <c r="A256" s="417">
        <v>18.18</v>
      </c>
      <c r="B256" s="417">
        <v>18.18</v>
      </c>
      <c r="C256" s="417">
        <v>18.18</v>
      </c>
      <c r="D256" s="417">
        <v>18.18</v>
      </c>
      <c r="E256" s="417">
        <v>18.18</v>
      </c>
      <c r="F256" s="417">
        <v>18.18</v>
      </c>
      <c r="G256" s="417">
        <v>18.18</v>
      </c>
      <c r="H256" s="417">
        <v>18.18</v>
      </c>
      <c r="I256" s="417">
        <v>18.18</v>
      </c>
      <c r="J256" s="417">
        <v>18.18</v>
      </c>
      <c r="K256" s="417">
        <v>18.18</v>
      </c>
      <c r="L256" s="417">
        <v>18.18</v>
      </c>
      <c r="M256" s="417">
        <v>18.18</v>
      </c>
      <c r="N256" s="417">
        <v>18.18</v>
      </c>
      <c r="O256" s="417">
        <v>18.18</v>
      </c>
      <c r="P256" s="417">
        <v>18.18</v>
      </c>
      <c r="Q256" s="417">
        <v>18.18</v>
      </c>
      <c r="R256" s="417">
        <v>18.18</v>
      </c>
      <c r="S256" s="417">
        <v>18.18</v>
      </c>
      <c r="T256" s="417">
        <v>18.18</v>
      </c>
      <c r="U256" s="417">
        <v>18.18</v>
      </c>
      <c r="V256" s="417">
        <v>18.18</v>
      </c>
      <c r="W256" s="417">
        <v>18.18</v>
      </c>
      <c r="X256" s="417">
        <v>18.18</v>
      </c>
      <c r="Y256" s="417">
        <v>18.18</v>
      </c>
      <c r="Z256" s="417">
        <v>18.18</v>
      </c>
      <c r="AA256" s="417">
        <v>18.18</v>
      </c>
      <c r="AB256" s="417">
        <v>18.18</v>
      </c>
      <c r="AC256" s="417">
        <v>18.18</v>
      </c>
      <c r="AD256" s="417">
        <v>18.18</v>
      </c>
      <c r="AE256" s="417">
        <v>18.18</v>
      </c>
      <c r="AF256" s="417">
        <v>18.18</v>
      </c>
      <c r="AI256" s="326"/>
    </row>
    <row r="257" spans="1:35">
      <c r="A257" s="679">
        <v>14.32</v>
      </c>
      <c r="B257" s="484">
        <v>14.32</v>
      </c>
      <c r="C257" s="484">
        <v>14.32</v>
      </c>
      <c r="D257" s="484">
        <v>14.32</v>
      </c>
      <c r="E257" s="484">
        <v>14.32</v>
      </c>
      <c r="F257" s="484">
        <v>14.32</v>
      </c>
      <c r="G257" s="484">
        <v>14.32</v>
      </c>
      <c r="H257" s="484">
        <v>14.32</v>
      </c>
      <c r="I257" s="484">
        <v>14.32</v>
      </c>
      <c r="J257" s="484">
        <v>14.32</v>
      </c>
      <c r="K257" s="484">
        <v>14.32</v>
      </c>
      <c r="L257" s="484">
        <v>14.32</v>
      </c>
      <c r="M257" s="484">
        <v>14.32</v>
      </c>
      <c r="N257" s="484">
        <v>14.32</v>
      </c>
      <c r="O257" s="484">
        <v>14.32</v>
      </c>
      <c r="P257" s="484">
        <v>14.32</v>
      </c>
      <c r="Q257" s="484">
        <v>14.32</v>
      </c>
      <c r="R257" s="484">
        <v>14.32</v>
      </c>
      <c r="S257" s="484">
        <v>14.32</v>
      </c>
      <c r="T257" s="484">
        <v>14.32</v>
      </c>
      <c r="U257" s="484">
        <v>14.32</v>
      </c>
      <c r="V257" s="484">
        <v>14.32</v>
      </c>
      <c r="W257" s="484">
        <v>14.32</v>
      </c>
      <c r="X257" s="484">
        <v>14.32</v>
      </c>
      <c r="Y257" s="484">
        <v>14.32</v>
      </c>
      <c r="Z257" s="484">
        <v>14.32</v>
      </c>
      <c r="AA257" s="484">
        <v>14.32</v>
      </c>
      <c r="AB257" s="484">
        <v>14.32</v>
      </c>
      <c r="AC257" s="484">
        <v>14.32</v>
      </c>
      <c r="AD257" s="484">
        <v>14.32</v>
      </c>
      <c r="AE257" s="484">
        <v>14.32</v>
      </c>
      <c r="AF257" s="696">
        <v>14.32</v>
      </c>
      <c r="AG257">
        <v>9</v>
      </c>
      <c r="AI257" s="326"/>
    </row>
    <row r="258" spans="1:35">
      <c r="AH258">
        <v>257</v>
      </c>
      <c r="AI258" s="326"/>
    </row>
    <row r="259" spans="1:35">
      <c r="AH259">
        <v>257</v>
      </c>
      <c r="AI259" s="326"/>
    </row>
    <row r="260" spans="1:35">
      <c r="AH260">
        <v>257</v>
      </c>
      <c r="AI260" s="326"/>
    </row>
    <row r="261" spans="1:35">
      <c r="AH261">
        <v>257</v>
      </c>
      <c r="AI261" s="326"/>
    </row>
    <row r="262" spans="1:35">
      <c r="AH262">
        <v>257</v>
      </c>
      <c r="AI262" s="326"/>
    </row>
    <row r="263" spans="1:35">
      <c r="AH263">
        <v>257</v>
      </c>
      <c r="AI263" s="326"/>
    </row>
    <row r="264" spans="1:35">
      <c r="AH264">
        <v>257</v>
      </c>
      <c r="AI264" s="326"/>
    </row>
    <row r="265" spans="1:35">
      <c r="AH265">
        <v>257</v>
      </c>
      <c r="AI265" s="326"/>
    </row>
    <row r="266" spans="1:35">
      <c r="AH266">
        <v>257</v>
      </c>
      <c r="AI266" s="326"/>
    </row>
    <row r="267" spans="1:35">
      <c r="A267" s="483">
        <v>14.32</v>
      </c>
      <c r="B267" s="321">
        <v>14.32</v>
      </c>
      <c r="C267" s="321">
        <v>14.32</v>
      </c>
      <c r="D267" s="321">
        <v>14.32</v>
      </c>
      <c r="E267" s="321">
        <v>14.32</v>
      </c>
      <c r="F267" s="321">
        <v>14.32</v>
      </c>
      <c r="G267" s="321">
        <v>14.32</v>
      </c>
      <c r="H267" s="321">
        <v>14.12</v>
      </c>
      <c r="I267" s="321">
        <v>12.32</v>
      </c>
      <c r="J267" s="321">
        <v>12.32</v>
      </c>
      <c r="K267" s="321">
        <v>12.32</v>
      </c>
      <c r="L267" s="321">
        <v>12.32</v>
      </c>
      <c r="M267" s="321">
        <v>12.32</v>
      </c>
      <c r="N267" s="321">
        <v>12.32</v>
      </c>
      <c r="O267" s="321">
        <v>12.32</v>
      </c>
      <c r="P267" s="321">
        <v>12.32</v>
      </c>
      <c r="Q267" s="321">
        <v>12.32</v>
      </c>
      <c r="R267" s="321">
        <v>12.32</v>
      </c>
      <c r="S267" s="321">
        <v>12.32</v>
      </c>
      <c r="T267" s="321">
        <v>12.32</v>
      </c>
      <c r="U267" s="321">
        <v>12.32</v>
      </c>
      <c r="V267" s="321">
        <v>12.32</v>
      </c>
      <c r="W267" s="321">
        <v>12.32</v>
      </c>
      <c r="X267" s="321">
        <v>14.12</v>
      </c>
      <c r="Y267" s="321">
        <v>14.32</v>
      </c>
      <c r="Z267" s="321">
        <v>14.32</v>
      </c>
      <c r="AA267" s="321">
        <v>14.32</v>
      </c>
      <c r="AB267" s="321">
        <v>14.32</v>
      </c>
      <c r="AC267" s="321">
        <v>14.32</v>
      </c>
      <c r="AD267" s="321">
        <v>14.32</v>
      </c>
      <c r="AE267" s="321">
        <v>14.32</v>
      </c>
      <c r="AF267" s="564">
        <v>14.32</v>
      </c>
      <c r="AI267" s="326"/>
    </row>
    <row r="268" spans="1:35">
      <c r="AH268">
        <v>267</v>
      </c>
      <c r="AI268" s="326"/>
    </row>
    <row r="269" spans="1:35">
      <c r="AH269">
        <v>267</v>
      </c>
      <c r="AI269" s="326"/>
    </row>
    <row r="270" spans="1:35">
      <c r="AH270">
        <v>267</v>
      </c>
      <c r="AI270" s="326"/>
    </row>
    <row r="271" spans="1:35">
      <c r="A271" s="483">
        <v>14.32</v>
      </c>
      <c r="B271" s="321">
        <v>14.32</v>
      </c>
      <c r="C271" s="321">
        <v>14.32</v>
      </c>
      <c r="D271" s="321">
        <v>14.32</v>
      </c>
      <c r="E271" s="321">
        <v>14.32</v>
      </c>
      <c r="F271" s="321">
        <v>14.32</v>
      </c>
      <c r="G271" s="321">
        <v>14.32</v>
      </c>
      <c r="H271" s="321">
        <v>14.08</v>
      </c>
      <c r="I271" s="321">
        <v>8.32</v>
      </c>
      <c r="J271" s="321">
        <v>8.32</v>
      </c>
      <c r="K271" s="321">
        <v>8.32</v>
      </c>
      <c r="L271" s="321">
        <v>8.32</v>
      </c>
      <c r="M271" s="321">
        <v>8.32</v>
      </c>
      <c r="N271" s="321">
        <v>8.32</v>
      </c>
      <c r="O271" s="321">
        <v>8.32</v>
      </c>
      <c r="P271" s="321">
        <v>8.32</v>
      </c>
      <c r="Q271" s="321">
        <v>8.32</v>
      </c>
      <c r="R271" s="321">
        <v>8.32</v>
      </c>
      <c r="S271" s="321">
        <v>8.32</v>
      </c>
      <c r="T271" s="321">
        <v>8.32</v>
      </c>
      <c r="U271" s="321">
        <v>8.32</v>
      </c>
      <c r="V271" s="321">
        <v>8.32</v>
      </c>
      <c r="W271" s="321">
        <v>8.32</v>
      </c>
      <c r="X271" s="321">
        <v>14.08</v>
      </c>
      <c r="Y271" s="321">
        <v>14.32</v>
      </c>
      <c r="Z271" s="321">
        <v>14.32</v>
      </c>
      <c r="AA271" s="321">
        <v>14.32</v>
      </c>
      <c r="AB271" s="321">
        <v>14.32</v>
      </c>
      <c r="AC271" s="321">
        <v>14.32</v>
      </c>
      <c r="AD271" s="321">
        <v>14.32</v>
      </c>
      <c r="AE271" s="321">
        <v>14.32</v>
      </c>
      <c r="AF271" s="564">
        <v>14.32</v>
      </c>
      <c r="AI271" s="326"/>
    </row>
    <row r="272" spans="1:35">
      <c r="AH272">
        <v>271</v>
      </c>
      <c r="AI272" s="326"/>
    </row>
    <row r="273" spans="1:35">
      <c r="AH273">
        <v>271</v>
      </c>
      <c r="AI273" s="326"/>
    </row>
    <row r="274" spans="1:35">
      <c r="AH274">
        <v>271</v>
      </c>
      <c r="AI274" s="326"/>
    </row>
    <row r="275" spans="1:35">
      <c r="A275" s="483">
        <v>14.32</v>
      </c>
      <c r="B275" s="321">
        <v>14.32</v>
      </c>
      <c r="C275" s="321">
        <v>14.32</v>
      </c>
      <c r="D275" s="321">
        <v>14.32</v>
      </c>
      <c r="E275" s="321">
        <v>14.32</v>
      </c>
      <c r="F275" s="321">
        <v>14.32</v>
      </c>
      <c r="G275" s="321">
        <v>14.32</v>
      </c>
      <c r="H275" s="321">
        <v>32.04</v>
      </c>
      <c r="I275" s="321">
        <v>4.32</v>
      </c>
      <c r="J275" s="321">
        <v>4.32</v>
      </c>
      <c r="K275" s="321">
        <v>4.32</v>
      </c>
      <c r="L275" s="321">
        <v>4.32</v>
      </c>
      <c r="M275" s="321">
        <v>4.32</v>
      </c>
      <c r="N275" s="321">
        <v>4.32</v>
      </c>
      <c r="O275" s="321">
        <v>4.32</v>
      </c>
      <c r="P275" s="321">
        <v>4.32</v>
      </c>
      <c r="Q275" s="321">
        <v>4.32</v>
      </c>
      <c r="R275" s="321">
        <v>4.32</v>
      </c>
      <c r="S275" s="321">
        <v>4.32</v>
      </c>
      <c r="T275" s="321">
        <v>4.32</v>
      </c>
      <c r="U275" s="321">
        <v>4.32</v>
      </c>
      <c r="V275" s="321">
        <v>4.32</v>
      </c>
      <c r="W275" s="321">
        <v>4.32</v>
      </c>
      <c r="X275" s="321">
        <v>32.04</v>
      </c>
      <c r="Y275" s="321">
        <v>14.32</v>
      </c>
      <c r="Z275" s="321">
        <v>14.32</v>
      </c>
      <c r="AA275" s="321">
        <v>14.32</v>
      </c>
      <c r="AB275" s="321">
        <v>14.32</v>
      </c>
      <c r="AC275" s="321">
        <v>14.32</v>
      </c>
      <c r="AD275" s="321">
        <v>14.32</v>
      </c>
      <c r="AE275" s="321">
        <v>14.32</v>
      </c>
      <c r="AF275" s="564">
        <v>14.32</v>
      </c>
      <c r="AI275" s="326"/>
    </row>
    <row r="276" spans="1:35">
      <c r="AH276">
        <v>275</v>
      </c>
      <c r="AI276" s="326"/>
    </row>
    <row r="277" spans="1:35">
      <c r="AH277">
        <v>275</v>
      </c>
      <c r="AI277" s="326"/>
    </row>
    <row r="278" spans="1:35">
      <c r="AH278">
        <v>275</v>
      </c>
      <c r="AI278" s="326"/>
    </row>
    <row r="279" spans="1:35">
      <c r="A279" s="483">
        <v>14.32</v>
      </c>
      <c r="B279" s="321">
        <v>14.32</v>
      </c>
      <c r="C279" s="321">
        <v>14.32</v>
      </c>
      <c r="D279" s="321">
        <v>14.32</v>
      </c>
      <c r="E279" s="321">
        <v>14.32</v>
      </c>
      <c r="F279" s="321">
        <v>14.32</v>
      </c>
      <c r="G279" s="321">
        <v>14.32</v>
      </c>
      <c r="H279" s="321">
        <v>32.01</v>
      </c>
      <c r="I279" s="321">
        <v>2.3199999999999998</v>
      </c>
      <c r="J279" s="321">
        <v>2.3199999999999998</v>
      </c>
      <c r="K279" s="321">
        <v>2.3199999999999998</v>
      </c>
      <c r="L279" s="321">
        <v>2.3199999999999998</v>
      </c>
      <c r="M279" s="321">
        <v>2.3199999999999998</v>
      </c>
      <c r="N279" s="321">
        <v>2.3199999999999998</v>
      </c>
      <c r="O279" s="321">
        <v>2.3199999999999998</v>
      </c>
      <c r="P279" s="321">
        <v>2.3199999999999998</v>
      </c>
      <c r="Q279" s="321">
        <v>2.3199999999999998</v>
      </c>
      <c r="R279" s="321">
        <v>2.3199999999999998</v>
      </c>
      <c r="S279" s="321">
        <v>2.3199999999999998</v>
      </c>
      <c r="T279" s="321">
        <v>2.3199999999999998</v>
      </c>
      <c r="U279" s="321">
        <v>2.3199999999999998</v>
      </c>
      <c r="V279" s="321">
        <v>2.3199999999999998</v>
      </c>
      <c r="W279" s="321">
        <v>2.3199999999999998</v>
      </c>
      <c r="X279" s="321">
        <v>32.01</v>
      </c>
      <c r="Y279" s="321">
        <v>14.32</v>
      </c>
      <c r="Z279" s="321">
        <v>14.32</v>
      </c>
      <c r="AA279" s="321">
        <v>14.32</v>
      </c>
      <c r="AB279" s="321">
        <v>14.32</v>
      </c>
      <c r="AC279" s="321">
        <v>14.32</v>
      </c>
      <c r="AD279" s="321">
        <v>14.32</v>
      </c>
      <c r="AE279" s="321">
        <v>14.32</v>
      </c>
      <c r="AF279" s="564">
        <v>14.32</v>
      </c>
      <c r="AI279" s="326"/>
    </row>
    <row r="280" spans="1:35">
      <c r="AH280">
        <v>279</v>
      </c>
      <c r="AI280" s="326"/>
    </row>
    <row r="281" spans="1:35">
      <c r="AH281">
        <v>279</v>
      </c>
      <c r="AI281" s="326"/>
    </row>
    <row r="282" spans="1:35">
      <c r="A282" s="483">
        <v>14.32</v>
      </c>
      <c r="B282" s="321">
        <v>14.32</v>
      </c>
      <c r="C282" s="321">
        <v>14.32</v>
      </c>
      <c r="D282" s="321">
        <v>14.32</v>
      </c>
      <c r="E282" s="321">
        <v>14.32</v>
      </c>
      <c r="F282" s="321">
        <v>14.32</v>
      </c>
      <c r="G282" s="321">
        <v>14.32</v>
      </c>
      <c r="H282" s="321">
        <v>14.01</v>
      </c>
      <c r="I282" s="321">
        <v>1.32</v>
      </c>
      <c r="J282" s="321">
        <v>1.32</v>
      </c>
      <c r="K282" s="321">
        <v>1.32</v>
      </c>
      <c r="L282" s="321">
        <v>1.32</v>
      </c>
      <c r="M282" s="321">
        <v>1.32</v>
      </c>
      <c r="N282" s="321">
        <v>1.32</v>
      </c>
      <c r="O282" s="321">
        <v>1.32</v>
      </c>
      <c r="P282" s="321">
        <v>1.32</v>
      </c>
      <c r="Q282" s="321">
        <v>1.32</v>
      </c>
      <c r="R282" s="321">
        <v>1.32</v>
      </c>
      <c r="S282" s="321">
        <v>1.32</v>
      </c>
      <c r="T282" s="321">
        <v>1.32</v>
      </c>
      <c r="U282" s="321">
        <v>1.32</v>
      </c>
      <c r="V282" s="321">
        <v>1.32</v>
      </c>
      <c r="W282" s="321">
        <v>1.32</v>
      </c>
      <c r="X282" s="321">
        <v>14.01</v>
      </c>
      <c r="Y282" s="321">
        <v>14.32</v>
      </c>
      <c r="Z282" s="321">
        <v>14.32</v>
      </c>
      <c r="AA282" s="321">
        <v>14.32</v>
      </c>
      <c r="AB282" s="321">
        <v>14.32</v>
      </c>
      <c r="AC282" s="321">
        <v>14.32</v>
      </c>
      <c r="AD282" s="321">
        <v>14.32</v>
      </c>
      <c r="AE282" s="321">
        <v>14.32</v>
      </c>
      <c r="AF282" s="564">
        <v>14.32</v>
      </c>
      <c r="AI282" s="326"/>
    </row>
    <row r="283" spans="1:35">
      <c r="AH283">
        <v>282</v>
      </c>
      <c r="AI283" s="326"/>
    </row>
    <row r="284" spans="1:35">
      <c r="AH284">
        <v>282</v>
      </c>
      <c r="AI284" s="326"/>
    </row>
    <row r="285" spans="1:35">
      <c r="AH285">
        <v>282</v>
      </c>
      <c r="AI285" s="326"/>
    </row>
    <row r="286" spans="1:35">
      <c r="A286" s="483">
        <v>14.32</v>
      </c>
      <c r="B286" s="321">
        <v>14.32</v>
      </c>
      <c r="C286" s="321">
        <v>14.32</v>
      </c>
      <c r="D286" s="321">
        <v>14.32</v>
      </c>
      <c r="E286" s="321">
        <v>14.32</v>
      </c>
      <c r="F286" s="321">
        <v>14.32</v>
      </c>
      <c r="G286" s="321">
        <v>14.32</v>
      </c>
      <c r="H286" s="1247">
        <v>32.15</v>
      </c>
      <c r="I286" s="411">
        <v>32.15</v>
      </c>
      <c r="J286" s="411">
        <v>32.15</v>
      </c>
      <c r="K286" s="411">
        <v>32.15</v>
      </c>
      <c r="L286" s="439">
        <v>32.15</v>
      </c>
      <c r="M286" s="411">
        <v>32.15</v>
      </c>
      <c r="N286" s="411">
        <v>32.15</v>
      </c>
      <c r="O286" s="411">
        <v>32.15</v>
      </c>
      <c r="P286" s="439">
        <v>32.15</v>
      </c>
      <c r="Q286" s="411">
        <v>32.15</v>
      </c>
      <c r="R286" s="411">
        <v>32.15</v>
      </c>
      <c r="S286" s="411">
        <v>32.15</v>
      </c>
      <c r="T286" s="439">
        <v>32.15</v>
      </c>
      <c r="U286" s="411">
        <v>32.15</v>
      </c>
      <c r="V286" s="411">
        <v>32.15</v>
      </c>
      <c r="W286" s="411">
        <v>32.15</v>
      </c>
      <c r="X286" s="1247">
        <v>32.15</v>
      </c>
      <c r="Y286" s="321">
        <v>14.32</v>
      </c>
      <c r="Z286" s="321">
        <v>14.32</v>
      </c>
      <c r="AA286" s="321">
        <v>14.32</v>
      </c>
      <c r="AB286" s="321">
        <v>14.32</v>
      </c>
      <c r="AC286" s="321">
        <v>14.32</v>
      </c>
      <c r="AD286" s="321">
        <v>14.32</v>
      </c>
      <c r="AE286" s="321">
        <v>14.32</v>
      </c>
      <c r="AF286" s="564">
        <v>14.32</v>
      </c>
      <c r="AI286" s="326"/>
    </row>
    <row r="287" spans="1:35">
      <c r="A287" s="483">
        <v>14.32</v>
      </c>
      <c r="B287" s="321">
        <v>14.32</v>
      </c>
      <c r="C287" s="321">
        <v>14.32</v>
      </c>
      <c r="D287" s="321">
        <v>14.32</v>
      </c>
      <c r="E287" s="321">
        <v>14.32</v>
      </c>
      <c r="F287" s="321">
        <v>14.32</v>
      </c>
      <c r="G287" s="321">
        <v>14.32</v>
      </c>
      <c r="H287" s="321">
        <v>14.32</v>
      </c>
      <c r="I287" s="321">
        <v>15.32</v>
      </c>
      <c r="J287" s="321">
        <v>15.32</v>
      </c>
      <c r="K287" s="321">
        <v>15.32</v>
      </c>
      <c r="L287" s="321">
        <v>15.32</v>
      </c>
      <c r="M287" s="321">
        <v>15.32</v>
      </c>
      <c r="N287" s="321">
        <v>15.32</v>
      </c>
      <c r="O287" s="321">
        <v>15.32</v>
      </c>
      <c r="P287" s="321">
        <v>15.32</v>
      </c>
      <c r="Q287" s="321">
        <v>15.32</v>
      </c>
      <c r="R287" s="321">
        <v>15.32</v>
      </c>
      <c r="S287" s="321">
        <v>15.32</v>
      </c>
      <c r="T287" s="321">
        <v>15.32</v>
      </c>
      <c r="U287" s="321">
        <v>15.32</v>
      </c>
      <c r="V287" s="321">
        <v>15.32</v>
      </c>
      <c r="W287" s="321">
        <v>15.32</v>
      </c>
      <c r="X287" s="321">
        <v>14.32</v>
      </c>
      <c r="Y287" s="321">
        <v>14.32</v>
      </c>
      <c r="Z287" s="321">
        <v>14.32</v>
      </c>
      <c r="AA287" s="321">
        <v>14.32</v>
      </c>
      <c r="AB287" s="321">
        <v>14.32</v>
      </c>
      <c r="AC287" s="321">
        <v>14.32</v>
      </c>
      <c r="AD287" s="321">
        <v>14.32</v>
      </c>
      <c r="AE287" s="321">
        <v>14.32</v>
      </c>
      <c r="AF287" s="564">
        <v>14.32</v>
      </c>
      <c r="AI287" s="326"/>
    </row>
    <row r="288" spans="1:35">
      <c r="A288" s="73"/>
      <c r="B288" s="73"/>
      <c r="C288" s="73"/>
      <c r="D288" s="73"/>
      <c r="E288" s="73"/>
      <c r="F288" s="73"/>
      <c r="G288" s="73"/>
      <c r="H288" s="73"/>
      <c r="I288" s="73"/>
      <c r="J288" s="73"/>
      <c r="K288" s="73"/>
      <c r="L288" s="73"/>
      <c r="M288" s="73"/>
      <c r="N288" s="73"/>
      <c r="O288" s="73"/>
      <c r="P288" s="73"/>
      <c r="Q288" s="73"/>
      <c r="R288" s="73"/>
      <c r="S288" s="73"/>
      <c r="T288" s="73"/>
      <c r="U288" s="73"/>
      <c r="V288" s="73"/>
      <c r="W288" s="73"/>
      <c r="X288" s="73"/>
      <c r="Y288" s="73"/>
      <c r="Z288" s="73"/>
      <c r="AA288" s="73"/>
      <c r="AB288" s="73"/>
      <c r="AC288" s="73"/>
      <c r="AD288" s="73"/>
      <c r="AE288" s="73"/>
      <c r="AF288" s="73"/>
      <c r="AH288">
        <v>287</v>
      </c>
      <c r="AI288" s="326"/>
    </row>
    <row r="289" spans="1:35">
      <c r="A289" s="1236">
        <v>14.32</v>
      </c>
      <c r="B289" s="328">
        <v>14.32</v>
      </c>
      <c r="C289" s="328">
        <v>14.32</v>
      </c>
      <c r="D289" s="328">
        <v>14.32</v>
      </c>
      <c r="E289" s="328">
        <v>14.32</v>
      </c>
      <c r="F289" s="328">
        <v>14.32</v>
      </c>
      <c r="G289" s="328">
        <v>14.32</v>
      </c>
      <c r="H289" s="328">
        <v>14.32</v>
      </c>
      <c r="I289" s="328">
        <v>14.32</v>
      </c>
      <c r="J289" s="328">
        <v>14.32</v>
      </c>
      <c r="K289" s="328">
        <v>14.32</v>
      </c>
      <c r="L289" s="328">
        <v>14.32</v>
      </c>
      <c r="M289" s="328">
        <v>14.32</v>
      </c>
      <c r="N289" s="328">
        <v>14.32</v>
      </c>
      <c r="O289" s="328">
        <v>14.32</v>
      </c>
      <c r="P289" s="328">
        <v>14.32</v>
      </c>
      <c r="Q289" s="328">
        <v>14.32</v>
      </c>
      <c r="R289" s="328">
        <v>14.32</v>
      </c>
      <c r="S289" s="328">
        <v>14.32</v>
      </c>
      <c r="T289" s="328">
        <v>14.32</v>
      </c>
      <c r="U289" s="328">
        <v>14.32</v>
      </c>
      <c r="V289" s="328">
        <v>14.32</v>
      </c>
      <c r="W289" s="328">
        <v>14.32</v>
      </c>
      <c r="X289" s="328">
        <v>14.32</v>
      </c>
      <c r="Y289" s="328">
        <v>14.32</v>
      </c>
      <c r="Z289" s="328">
        <v>14.32</v>
      </c>
      <c r="AA289" s="328">
        <v>14.32</v>
      </c>
      <c r="AB289" s="328">
        <v>14.32</v>
      </c>
      <c r="AC289" s="328">
        <v>14.32</v>
      </c>
      <c r="AD289" s="328">
        <v>14.32</v>
      </c>
      <c r="AE289" s="328">
        <v>14.32</v>
      </c>
      <c r="AF289" s="1237">
        <v>14.32</v>
      </c>
      <c r="AG289">
        <v>10</v>
      </c>
      <c r="AI289" s="326"/>
    </row>
    <row r="290" spans="1:35">
      <c r="AH290">
        <v>289</v>
      </c>
      <c r="AI290" s="326"/>
    </row>
    <row r="291" spans="1:35">
      <c r="AH291">
        <v>289</v>
      </c>
      <c r="AI291" s="326"/>
    </row>
    <row r="292" spans="1:35">
      <c r="AH292">
        <v>289</v>
      </c>
      <c r="AI292" s="326"/>
    </row>
    <row r="293" spans="1:35">
      <c r="AH293">
        <v>289</v>
      </c>
      <c r="AI293" s="326"/>
    </row>
    <row r="294" spans="1:35">
      <c r="AH294">
        <v>289</v>
      </c>
      <c r="AI294" s="326"/>
    </row>
    <row r="295" spans="1:35">
      <c r="AH295">
        <v>289</v>
      </c>
      <c r="AI295" s="326"/>
    </row>
    <row r="296" spans="1:35">
      <c r="AH296">
        <v>289</v>
      </c>
      <c r="AI296" s="326"/>
    </row>
    <row r="297" spans="1:35">
      <c r="AH297">
        <v>289</v>
      </c>
      <c r="AI297" s="326"/>
    </row>
    <row r="298" spans="1:35">
      <c r="AH298">
        <v>289</v>
      </c>
      <c r="AI298" s="326"/>
    </row>
    <row r="299" spans="1:35">
      <c r="AH299">
        <v>289</v>
      </c>
      <c r="AI299" s="326"/>
    </row>
    <row r="300" spans="1:35">
      <c r="AH300">
        <v>289</v>
      </c>
      <c r="AI300" s="326"/>
    </row>
    <row r="301" spans="1:35">
      <c r="AH301">
        <v>289</v>
      </c>
      <c r="AI301" s="326"/>
    </row>
    <row r="302" spans="1:35">
      <c r="AH302">
        <v>289</v>
      </c>
      <c r="AI302" s="326"/>
    </row>
    <row r="303" spans="1:35">
      <c r="AH303">
        <v>289</v>
      </c>
      <c r="AI303" s="326"/>
    </row>
    <row r="304" spans="1:35">
      <c r="AH304">
        <v>289</v>
      </c>
      <c r="AI304" s="326"/>
    </row>
    <row r="305" spans="1:35">
      <c r="A305" s="1236">
        <v>15.31</v>
      </c>
      <c r="B305" s="328">
        <v>14.32</v>
      </c>
      <c r="C305" s="328">
        <v>14.32</v>
      </c>
      <c r="D305" s="328">
        <v>14.32</v>
      </c>
      <c r="E305" s="328">
        <v>14.32</v>
      </c>
      <c r="F305" s="328">
        <v>14.32</v>
      </c>
      <c r="G305" s="328">
        <v>14.32</v>
      </c>
      <c r="H305" s="328">
        <v>14.32</v>
      </c>
      <c r="I305" s="328">
        <v>14.32</v>
      </c>
      <c r="J305" s="328">
        <v>14.32</v>
      </c>
      <c r="K305" s="328">
        <v>14.32</v>
      </c>
      <c r="L305" s="328">
        <v>14.32</v>
      </c>
      <c r="M305" s="328">
        <v>14.32</v>
      </c>
      <c r="N305" s="328">
        <v>14.32</v>
      </c>
      <c r="O305" s="328">
        <v>14.32</v>
      </c>
      <c r="P305" s="328">
        <v>14.32</v>
      </c>
      <c r="Q305" s="328">
        <v>14.32</v>
      </c>
      <c r="R305" s="328">
        <v>14.32</v>
      </c>
      <c r="S305" s="328">
        <v>14.32</v>
      </c>
      <c r="T305" s="328">
        <v>14.32</v>
      </c>
      <c r="U305" s="328">
        <v>14.32</v>
      </c>
      <c r="V305" s="328">
        <v>14.32</v>
      </c>
      <c r="W305" s="328">
        <v>14.32</v>
      </c>
      <c r="X305" s="328">
        <v>14.32</v>
      </c>
      <c r="Y305" s="328">
        <v>14.32</v>
      </c>
      <c r="Z305" s="328">
        <v>14.32</v>
      </c>
      <c r="AA305" s="328">
        <v>14.32</v>
      </c>
      <c r="AB305" s="328">
        <v>14.32</v>
      </c>
      <c r="AC305" s="328">
        <v>14.32</v>
      </c>
      <c r="AD305" s="328">
        <v>14.32</v>
      </c>
      <c r="AE305" s="328">
        <v>14.32</v>
      </c>
      <c r="AF305" s="1237">
        <v>15.31</v>
      </c>
      <c r="AI305" s="326"/>
    </row>
    <row r="306" spans="1:35">
      <c r="A306" s="1236">
        <v>16.3</v>
      </c>
      <c r="B306" s="328">
        <v>15.31</v>
      </c>
      <c r="C306" s="328">
        <v>14.32</v>
      </c>
      <c r="D306" s="328">
        <v>14.32</v>
      </c>
      <c r="E306" s="328">
        <v>14.32</v>
      </c>
      <c r="F306" s="328">
        <v>14.32</v>
      </c>
      <c r="G306" s="328">
        <v>14.32</v>
      </c>
      <c r="H306" s="328">
        <v>14.32</v>
      </c>
      <c r="I306" s="328">
        <v>14.32</v>
      </c>
      <c r="J306" s="328">
        <v>14.32</v>
      </c>
      <c r="K306" s="328">
        <v>14.32</v>
      </c>
      <c r="L306" s="328">
        <v>14.32</v>
      </c>
      <c r="M306" s="328">
        <v>14.32</v>
      </c>
      <c r="N306" s="328">
        <v>14.32</v>
      </c>
      <c r="O306" s="328">
        <v>14.32</v>
      </c>
      <c r="P306" s="328">
        <v>14.32</v>
      </c>
      <c r="Q306" s="328">
        <v>14.32</v>
      </c>
      <c r="R306" s="328">
        <v>14.32</v>
      </c>
      <c r="S306" s="328">
        <v>14.32</v>
      </c>
      <c r="T306" s="328">
        <v>14.32</v>
      </c>
      <c r="U306" s="328">
        <v>14.32</v>
      </c>
      <c r="V306" s="328">
        <v>14.32</v>
      </c>
      <c r="W306" s="328">
        <v>14.32</v>
      </c>
      <c r="X306" s="328">
        <v>14.32</v>
      </c>
      <c r="Y306" s="328">
        <v>14.32</v>
      </c>
      <c r="Z306" s="328">
        <v>14.32</v>
      </c>
      <c r="AA306" s="328">
        <v>14.32</v>
      </c>
      <c r="AB306" s="328">
        <v>14.32</v>
      </c>
      <c r="AC306" s="328">
        <v>14.32</v>
      </c>
      <c r="AD306" s="328">
        <v>14.32</v>
      </c>
      <c r="AE306" s="328">
        <v>15.31</v>
      </c>
      <c r="AF306" s="1237">
        <v>16.3</v>
      </c>
      <c r="AI306" s="326"/>
    </row>
    <row r="307" spans="1:35">
      <c r="A307" s="1236">
        <v>17.29</v>
      </c>
      <c r="B307" s="328">
        <v>16.3</v>
      </c>
      <c r="C307" s="328">
        <v>15.31</v>
      </c>
      <c r="D307" s="328">
        <v>15.31</v>
      </c>
      <c r="E307" s="328">
        <v>14.32</v>
      </c>
      <c r="F307" s="328">
        <v>14.32</v>
      </c>
      <c r="G307" s="328">
        <v>14.32</v>
      </c>
      <c r="H307" s="328">
        <v>14.32</v>
      </c>
      <c r="I307" s="328">
        <v>14.32</v>
      </c>
      <c r="J307" s="328">
        <v>14.32</v>
      </c>
      <c r="K307" s="328">
        <v>14.32</v>
      </c>
      <c r="L307" s="328">
        <v>14.32</v>
      </c>
      <c r="M307" s="328">
        <v>14.32</v>
      </c>
      <c r="N307" s="328">
        <v>14.32</v>
      </c>
      <c r="O307" s="328">
        <v>14.32</v>
      </c>
      <c r="P307" s="328">
        <v>14.32</v>
      </c>
      <c r="Q307" s="328">
        <v>14.32</v>
      </c>
      <c r="R307" s="328">
        <v>14.32</v>
      </c>
      <c r="S307" s="328">
        <v>14.32</v>
      </c>
      <c r="T307" s="328">
        <v>14.32</v>
      </c>
      <c r="U307" s="328">
        <v>14.32</v>
      </c>
      <c r="V307" s="328">
        <v>14.32</v>
      </c>
      <c r="W307" s="328">
        <v>14.32</v>
      </c>
      <c r="X307" s="328">
        <v>14.32</v>
      </c>
      <c r="Y307" s="328">
        <v>14.32</v>
      </c>
      <c r="Z307" s="328">
        <v>14.32</v>
      </c>
      <c r="AA307" s="328">
        <v>14.32</v>
      </c>
      <c r="AB307" s="328">
        <v>14.32</v>
      </c>
      <c r="AC307" s="328">
        <v>15.31</v>
      </c>
      <c r="AD307" s="328">
        <v>15.31</v>
      </c>
      <c r="AE307" s="328">
        <v>16.3</v>
      </c>
      <c r="AF307" s="1237">
        <v>17.29</v>
      </c>
      <c r="AI307" s="326"/>
    </row>
    <row r="308" spans="1:35">
      <c r="A308" s="1236">
        <v>18.28</v>
      </c>
      <c r="B308" s="328">
        <v>17.29</v>
      </c>
      <c r="C308" s="328">
        <v>16.3</v>
      </c>
      <c r="D308" s="328">
        <v>16.3</v>
      </c>
      <c r="E308" s="328">
        <v>15.31</v>
      </c>
      <c r="F308" s="328">
        <v>15.31</v>
      </c>
      <c r="G308" s="328">
        <v>14.32</v>
      </c>
      <c r="H308" s="328">
        <v>14.32</v>
      </c>
      <c r="I308" s="328">
        <v>14.32</v>
      </c>
      <c r="J308" s="328">
        <v>14.32</v>
      </c>
      <c r="K308" s="328">
        <v>14.32</v>
      </c>
      <c r="L308" s="328">
        <v>14.32</v>
      </c>
      <c r="M308" s="328">
        <v>14.32</v>
      </c>
      <c r="N308" s="328">
        <v>14.32</v>
      </c>
      <c r="O308" s="328">
        <v>14.32</v>
      </c>
      <c r="P308" s="328">
        <v>14.32</v>
      </c>
      <c r="Q308" s="328">
        <v>14.32</v>
      </c>
      <c r="R308" s="328">
        <v>14.32</v>
      </c>
      <c r="S308" s="328">
        <v>14.32</v>
      </c>
      <c r="T308" s="328">
        <v>14.32</v>
      </c>
      <c r="U308" s="328">
        <v>14.32</v>
      </c>
      <c r="V308" s="328">
        <v>14.32</v>
      </c>
      <c r="W308" s="328">
        <v>14.32</v>
      </c>
      <c r="X308" s="328">
        <v>14.32</v>
      </c>
      <c r="Y308" s="328">
        <v>14.32</v>
      </c>
      <c r="Z308" s="328">
        <v>14.32</v>
      </c>
      <c r="AA308" s="328">
        <v>15.31</v>
      </c>
      <c r="AB308" s="328">
        <v>15.31</v>
      </c>
      <c r="AC308" s="328">
        <v>16.3</v>
      </c>
      <c r="AD308" s="328">
        <v>16.3</v>
      </c>
      <c r="AE308" s="328">
        <v>17.29</v>
      </c>
      <c r="AF308" s="1237">
        <v>18.28</v>
      </c>
      <c r="AI308" s="326"/>
    </row>
    <row r="309" spans="1:35">
      <c r="A309" s="1236">
        <v>19.27</v>
      </c>
      <c r="B309" s="328">
        <v>18.28</v>
      </c>
      <c r="C309" s="328">
        <v>17.29</v>
      </c>
      <c r="D309" s="328">
        <v>17.29</v>
      </c>
      <c r="E309" s="328">
        <v>16.3</v>
      </c>
      <c r="F309" s="328">
        <v>16.3</v>
      </c>
      <c r="G309" s="328">
        <v>15.31</v>
      </c>
      <c r="H309" s="328">
        <v>15.31</v>
      </c>
      <c r="I309" s="328">
        <v>15.31</v>
      </c>
      <c r="J309" s="328">
        <v>14.32</v>
      </c>
      <c r="K309" s="328">
        <v>14.32</v>
      </c>
      <c r="L309" s="328">
        <v>14.32</v>
      </c>
      <c r="M309" s="328">
        <v>14.32</v>
      </c>
      <c r="N309" s="328">
        <v>14.32</v>
      </c>
      <c r="O309" s="328">
        <v>14.32</v>
      </c>
      <c r="P309" s="328">
        <v>14.32</v>
      </c>
      <c r="Q309" s="328">
        <v>14.32</v>
      </c>
      <c r="R309" s="328">
        <v>14.32</v>
      </c>
      <c r="S309" s="328">
        <v>14.32</v>
      </c>
      <c r="T309" s="328">
        <v>14.32</v>
      </c>
      <c r="U309" s="328">
        <v>14.32</v>
      </c>
      <c r="V309" s="328">
        <v>14.32</v>
      </c>
      <c r="W309" s="328">
        <v>14.32</v>
      </c>
      <c r="X309" s="328">
        <v>15.31</v>
      </c>
      <c r="Y309" s="328">
        <v>15.31</v>
      </c>
      <c r="Z309" s="328">
        <v>15.31</v>
      </c>
      <c r="AA309" s="328">
        <v>16.3</v>
      </c>
      <c r="AB309" s="328">
        <v>16.3</v>
      </c>
      <c r="AC309" s="328">
        <v>17.29</v>
      </c>
      <c r="AD309" s="328">
        <v>17.29</v>
      </c>
      <c r="AE309" s="328">
        <v>18.28</v>
      </c>
      <c r="AF309" s="1237">
        <v>19.27</v>
      </c>
      <c r="AI309" s="326"/>
    </row>
    <row r="310" spans="1:35">
      <c r="A310" s="1236">
        <v>20.260000000000002</v>
      </c>
      <c r="B310" s="328">
        <v>19.27</v>
      </c>
      <c r="C310" s="328">
        <v>18.28</v>
      </c>
      <c r="D310" s="328">
        <v>18.28</v>
      </c>
      <c r="E310" s="328">
        <v>17.29</v>
      </c>
      <c r="F310" s="328">
        <v>17.29</v>
      </c>
      <c r="G310" s="328">
        <v>16.3</v>
      </c>
      <c r="H310" s="328">
        <v>16.3</v>
      </c>
      <c r="I310" s="328">
        <v>16.3</v>
      </c>
      <c r="J310" s="328">
        <v>15.31</v>
      </c>
      <c r="K310" s="328">
        <v>15.31</v>
      </c>
      <c r="L310" s="328">
        <v>15.31</v>
      </c>
      <c r="M310" s="328">
        <v>15.31</v>
      </c>
      <c r="N310" s="328">
        <v>15.31</v>
      </c>
      <c r="O310" s="328">
        <v>15.31</v>
      </c>
      <c r="P310" s="328">
        <v>15.31</v>
      </c>
      <c r="Q310" s="328">
        <v>15.31</v>
      </c>
      <c r="R310" s="328">
        <v>15.31</v>
      </c>
      <c r="S310" s="328">
        <v>15.31</v>
      </c>
      <c r="T310" s="328">
        <v>15.31</v>
      </c>
      <c r="U310" s="328">
        <v>15.31</v>
      </c>
      <c r="V310" s="328">
        <v>15.31</v>
      </c>
      <c r="W310" s="328">
        <v>15.31</v>
      </c>
      <c r="X310" s="328">
        <v>16.3</v>
      </c>
      <c r="Y310" s="328">
        <v>16.3</v>
      </c>
      <c r="Z310" s="328">
        <v>16.3</v>
      </c>
      <c r="AA310" s="328">
        <v>17.29</v>
      </c>
      <c r="AB310" s="328">
        <v>17.29</v>
      </c>
      <c r="AC310" s="328">
        <v>18.28</v>
      </c>
      <c r="AD310" s="328">
        <v>18.28</v>
      </c>
      <c r="AE310" s="328">
        <v>19.27</v>
      </c>
      <c r="AF310" s="1237">
        <v>20.260000000000002</v>
      </c>
      <c r="AI310" s="326"/>
    </row>
    <row r="311" spans="1:35">
      <c r="A311" s="1236">
        <v>21.25</v>
      </c>
      <c r="B311" s="328">
        <v>20.260000000000002</v>
      </c>
      <c r="C311" s="328">
        <v>19.27</v>
      </c>
      <c r="D311" s="328">
        <v>19.27</v>
      </c>
      <c r="E311" s="328">
        <v>18.28</v>
      </c>
      <c r="F311" s="328">
        <v>18.28</v>
      </c>
      <c r="G311" s="328">
        <v>17.29</v>
      </c>
      <c r="H311" s="328">
        <v>17.29</v>
      </c>
      <c r="I311" s="328">
        <v>17.29</v>
      </c>
      <c r="J311" s="328">
        <v>16.3</v>
      </c>
      <c r="K311" s="328">
        <v>16.3</v>
      </c>
      <c r="L311" s="328">
        <v>16.3</v>
      </c>
      <c r="M311" s="328">
        <v>16.3</v>
      </c>
      <c r="N311" s="328">
        <v>16.3</v>
      </c>
      <c r="O311" s="328">
        <v>16.3</v>
      </c>
      <c r="P311" s="328">
        <v>16.3</v>
      </c>
      <c r="Q311" s="328">
        <v>16.3</v>
      </c>
      <c r="R311" s="328">
        <v>16.3</v>
      </c>
      <c r="S311" s="328">
        <v>16.3</v>
      </c>
      <c r="T311" s="328">
        <v>16.3</v>
      </c>
      <c r="U311" s="328">
        <v>16.3</v>
      </c>
      <c r="V311" s="328">
        <v>16.3</v>
      </c>
      <c r="W311" s="328">
        <v>16.3</v>
      </c>
      <c r="X311" s="328">
        <v>17.29</v>
      </c>
      <c r="Y311" s="328">
        <v>17.29</v>
      </c>
      <c r="Z311" s="328">
        <v>17.29</v>
      </c>
      <c r="AA311" s="328">
        <v>18.28</v>
      </c>
      <c r="AB311" s="328">
        <v>18.28</v>
      </c>
      <c r="AC311" s="328">
        <v>19.27</v>
      </c>
      <c r="AD311" s="328">
        <v>19.27</v>
      </c>
      <c r="AE311" s="328">
        <v>20.260000000000002</v>
      </c>
      <c r="AF311" s="1237">
        <v>21.25</v>
      </c>
      <c r="AI311" s="326"/>
    </row>
    <row r="312" spans="1:35">
      <c r="A312" s="1236">
        <v>22.24</v>
      </c>
      <c r="B312" s="328">
        <v>21.25</v>
      </c>
      <c r="C312" s="328">
        <v>20.260000000000002</v>
      </c>
      <c r="D312" s="328">
        <v>20.260000000000002</v>
      </c>
      <c r="E312" s="328">
        <v>19.27</v>
      </c>
      <c r="F312" s="328">
        <v>19.27</v>
      </c>
      <c r="G312" s="328">
        <v>18.28</v>
      </c>
      <c r="H312" s="328">
        <v>18.28</v>
      </c>
      <c r="I312" s="328">
        <v>18.28</v>
      </c>
      <c r="J312" s="328">
        <v>17.29</v>
      </c>
      <c r="K312" s="328">
        <v>17.29</v>
      </c>
      <c r="L312" s="328">
        <v>17.29</v>
      </c>
      <c r="M312" s="328">
        <v>17.29</v>
      </c>
      <c r="N312" s="328">
        <v>17.29</v>
      </c>
      <c r="O312" s="328">
        <v>17.29</v>
      </c>
      <c r="P312" s="328">
        <v>17.29</v>
      </c>
      <c r="Q312" s="328">
        <v>17.29</v>
      </c>
      <c r="R312" s="328">
        <v>17.29</v>
      </c>
      <c r="S312" s="328">
        <v>17.29</v>
      </c>
      <c r="T312" s="328">
        <v>17.29</v>
      </c>
      <c r="U312" s="328">
        <v>17.29</v>
      </c>
      <c r="V312" s="328">
        <v>17.29</v>
      </c>
      <c r="W312" s="328">
        <v>17.29</v>
      </c>
      <c r="X312" s="328">
        <v>18.28</v>
      </c>
      <c r="Y312" s="328">
        <v>18.28</v>
      </c>
      <c r="Z312" s="328">
        <v>18.28</v>
      </c>
      <c r="AA312" s="328">
        <v>19.27</v>
      </c>
      <c r="AB312" s="328">
        <v>19.27</v>
      </c>
      <c r="AC312" s="328">
        <v>20.260000000000002</v>
      </c>
      <c r="AD312" s="328">
        <v>20.260000000000002</v>
      </c>
      <c r="AE312" s="328">
        <v>21.25</v>
      </c>
      <c r="AF312" s="1237">
        <v>22.24</v>
      </c>
      <c r="AI312" s="326"/>
    </row>
    <row r="313" spans="1:35">
      <c r="A313" s="1236">
        <v>23.24</v>
      </c>
      <c r="B313" s="328">
        <v>22.24</v>
      </c>
      <c r="C313" s="328">
        <v>21.25</v>
      </c>
      <c r="D313" s="328">
        <v>21.25</v>
      </c>
      <c r="E313" s="328">
        <v>20.260000000000002</v>
      </c>
      <c r="F313" s="328">
        <v>20.260000000000002</v>
      </c>
      <c r="G313" s="328">
        <v>19.27</v>
      </c>
      <c r="H313" s="328">
        <v>19.27</v>
      </c>
      <c r="I313" s="328">
        <v>19.27</v>
      </c>
      <c r="J313" s="328">
        <v>18.28</v>
      </c>
      <c r="K313" s="328">
        <v>18.28</v>
      </c>
      <c r="L313" s="328">
        <v>18.28</v>
      </c>
      <c r="M313" s="328">
        <v>18.28</v>
      </c>
      <c r="N313" s="328">
        <v>18.28</v>
      </c>
      <c r="O313" s="328">
        <v>18.28</v>
      </c>
      <c r="P313" s="328">
        <v>18.28</v>
      </c>
      <c r="Q313" s="328">
        <v>18.28</v>
      </c>
      <c r="R313" s="328">
        <v>18.28</v>
      </c>
      <c r="S313" s="328">
        <v>18.28</v>
      </c>
      <c r="T313" s="328">
        <v>18.28</v>
      </c>
      <c r="U313" s="328">
        <v>18.28</v>
      </c>
      <c r="V313" s="328">
        <v>18.28</v>
      </c>
      <c r="W313" s="328">
        <v>18.28</v>
      </c>
      <c r="X313" s="328">
        <v>19.27</v>
      </c>
      <c r="Y313" s="328">
        <v>19.27</v>
      </c>
      <c r="Z313" s="328">
        <v>19.27</v>
      </c>
      <c r="AA313" s="328">
        <v>20.260000000000002</v>
      </c>
      <c r="AB313" s="328">
        <v>20.260000000000002</v>
      </c>
      <c r="AC313" s="328">
        <v>21.25</v>
      </c>
      <c r="AD313" s="328">
        <v>21.25</v>
      </c>
      <c r="AE313" s="328">
        <v>22.24</v>
      </c>
      <c r="AF313" s="1237">
        <v>23.24</v>
      </c>
      <c r="AI313" s="326"/>
    </row>
    <row r="314" spans="1:35">
      <c r="A314" s="1236">
        <v>23.23</v>
      </c>
      <c r="B314" s="328">
        <v>23.24</v>
      </c>
      <c r="C314" s="328">
        <v>22.24</v>
      </c>
      <c r="D314" s="328">
        <v>22.24</v>
      </c>
      <c r="E314" s="328">
        <v>21.25</v>
      </c>
      <c r="F314" s="328">
        <v>21.25</v>
      </c>
      <c r="G314" s="328">
        <v>20.260000000000002</v>
      </c>
      <c r="H314" s="328">
        <v>20.260000000000002</v>
      </c>
      <c r="I314" s="328">
        <v>20.260000000000002</v>
      </c>
      <c r="J314" s="328">
        <v>19.27</v>
      </c>
      <c r="K314" s="328">
        <v>19.27</v>
      </c>
      <c r="L314" s="328">
        <v>19.27</v>
      </c>
      <c r="M314" s="328">
        <v>19.27</v>
      </c>
      <c r="N314" s="328">
        <v>19.27</v>
      </c>
      <c r="O314" s="328">
        <v>19.27</v>
      </c>
      <c r="P314" s="328">
        <v>19.27</v>
      </c>
      <c r="Q314" s="328">
        <v>19.27</v>
      </c>
      <c r="R314" s="328">
        <v>19.27</v>
      </c>
      <c r="S314" s="328">
        <v>19.27</v>
      </c>
      <c r="T314" s="328">
        <v>19.27</v>
      </c>
      <c r="U314" s="328">
        <v>19.27</v>
      </c>
      <c r="V314" s="328">
        <v>19.27</v>
      </c>
      <c r="W314" s="328">
        <v>19.27</v>
      </c>
      <c r="X314" s="328">
        <v>20.260000000000002</v>
      </c>
      <c r="Y314" s="328">
        <v>20.260000000000002</v>
      </c>
      <c r="Z314" s="328">
        <v>20.260000000000002</v>
      </c>
      <c r="AA314" s="328">
        <v>21.25</v>
      </c>
      <c r="AB314" s="328">
        <v>21.25</v>
      </c>
      <c r="AC314" s="328">
        <v>22.24</v>
      </c>
      <c r="AD314" s="328">
        <v>22.24</v>
      </c>
      <c r="AE314" s="328">
        <v>23.24</v>
      </c>
      <c r="AF314" s="1237">
        <v>23.23</v>
      </c>
      <c r="AI314" s="326"/>
    </row>
    <row r="315" spans="1:35">
      <c r="A315" s="482">
        <v>25.21</v>
      </c>
      <c r="B315" s="328">
        <v>23.23</v>
      </c>
      <c r="C315" s="328">
        <v>23.24</v>
      </c>
      <c r="D315" s="328">
        <v>23.24</v>
      </c>
      <c r="E315" s="328">
        <v>22.24</v>
      </c>
      <c r="F315" s="328">
        <v>22.24</v>
      </c>
      <c r="G315" s="328">
        <v>21.25</v>
      </c>
      <c r="H315" s="328">
        <v>21.25</v>
      </c>
      <c r="I315" s="328">
        <v>21.25</v>
      </c>
      <c r="J315" s="328">
        <v>20.260000000000002</v>
      </c>
      <c r="K315" s="328">
        <v>20.260000000000002</v>
      </c>
      <c r="L315" s="328">
        <v>20.260000000000002</v>
      </c>
      <c r="M315" s="328">
        <v>20.260000000000002</v>
      </c>
      <c r="N315" s="328">
        <v>20.260000000000002</v>
      </c>
      <c r="O315" s="328">
        <v>20.260000000000002</v>
      </c>
      <c r="P315" s="328">
        <v>20.260000000000002</v>
      </c>
      <c r="Q315" s="328">
        <v>20.260000000000002</v>
      </c>
      <c r="R315" s="328">
        <v>20.260000000000002</v>
      </c>
      <c r="S315" s="328">
        <v>20.260000000000002</v>
      </c>
      <c r="T315" s="328">
        <v>20.260000000000002</v>
      </c>
      <c r="U315" s="328">
        <v>20.260000000000002</v>
      </c>
      <c r="V315" s="328">
        <v>20.260000000000002</v>
      </c>
      <c r="W315" s="328">
        <v>20.260000000000002</v>
      </c>
      <c r="X315" s="328">
        <v>21.25</v>
      </c>
      <c r="Y315" s="328">
        <v>21.25</v>
      </c>
      <c r="Z315" s="328">
        <v>21.25</v>
      </c>
      <c r="AA315" s="328">
        <v>22.24</v>
      </c>
      <c r="AB315" s="328">
        <v>22.24</v>
      </c>
      <c r="AC315" s="328">
        <v>23.24</v>
      </c>
      <c r="AD315" s="328">
        <v>23.24</v>
      </c>
      <c r="AE315" s="328">
        <v>23.23</v>
      </c>
      <c r="AF315" s="1248">
        <v>25.21</v>
      </c>
      <c r="AI315" s="326"/>
    </row>
    <row r="316" spans="1:35">
      <c r="A316" s="482">
        <v>25.21</v>
      </c>
      <c r="B316" s="431">
        <v>25.21</v>
      </c>
      <c r="C316" s="328">
        <v>23.23</v>
      </c>
      <c r="D316" s="328">
        <v>23.23</v>
      </c>
      <c r="E316" s="328">
        <v>23.24</v>
      </c>
      <c r="F316" s="328">
        <v>23.24</v>
      </c>
      <c r="G316" s="328">
        <v>22.24</v>
      </c>
      <c r="H316" s="328">
        <v>22.24</v>
      </c>
      <c r="I316" s="328">
        <v>22.24</v>
      </c>
      <c r="J316" s="328">
        <v>21.25</v>
      </c>
      <c r="K316" s="328">
        <v>21.25</v>
      </c>
      <c r="L316" s="328">
        <v>21.25</v>
      </c>
      <c r="M316" s="328">
        <v>21.25</v>
      </c>
      <c r="N316" s="328">
        <v>21.25</v>
      </c>
      <c r="O316" s="328">
        <v>21.25</v>
      </c>
      <c r="P316" s="328">
        <v>21.25</v>
      </c>
      <c r="Q316" s="328">
        <v>21.25</v>
      </c>
      <c r="R316" s="328">
        <v>21.25</v>
      </c>
      <c r="S316" s="328">
        <v>21.25</v>
      </c>
      <c r="T316" s="328">
        <v>21.25</v>
      </c>
      <c r="U316" s="328">
        <v>21.25</v>
      </c>
      <c r="V316" s="328">
        <v>21.25</v>
      </c>
      <c r="W316" s="328">
        <v>21.25</v>
      </c>
      <c r="X316" s="328">
        <v>22.24</v>
      </c>
      <c r="Y316" s="328">
        <v>22.24</v>
      </c>
      <c r="Z316" s="328">
        <v>22.24</v>
      </c>
      <c r="AA316" s="328">
        <v>23.24</v>
      </c>
      <c r="AB316" s="328">
        <v>23.24</v>
      </c>
      <c r="AC316" s="328">
        <v>23.23</v>
      </c>
      <c r="AD316" s="328">
        <v>23.23</v>
      </c>
      <c r="AE316" s="431">
        <v>25.21</v>
      </c>
      <c r="AF316" s="1248">
        <v>25.21</v>
      </c>
      <c r="AI316" s="326"/>
    </row>
    <row r="317" spans="1:35">
      <c r="A317" s="1236"/>
      <c r="B317" s="431">
        <v>25.21</v>
      </c>
      <c r="C317" s="431">
        <v>25.21</v>
      </c>
      <c r="D317" s="431">
        <v>25.21</v>
      </c>
      <c r="E317" s="328">
        <v>23.23</v>
      </c>
      <c r="F317" s="328">
        <v>23.23</v>
      </c>
      <c r="G317" s="328">
        <v>23.24</v>
      </c>
      <c r="H317" s="328">
        <v>23.24</v>
      </c>
      <c r="I317" s="328">
        <v>23.24</v>
      </c>
      <c r="J317" s="328">
        <v>22.24</v>
      </c>
      <c r="K317" s="328">
        <v>22.24</v>
      </c>
      <c r="L317" s="328">
        <v>22.24</v>
      </c>
      <c r="M317" s="328">
        <v>22.24</v>
      </c>
      <c r="N317" s="328">
        <v>22.24</v>
      </c>
      <c r="O317" s="328">
        <v>22.24</v>
      </c>
      <c r="P317" s="328">
        <v>22.24</v>
      </c>
      <c r="Q317" s="328">
        <v>22.24</v>
      </c>
      <c r="R317" s="328">
        <v>22.24</v>
      </c>
      <c r="S317" s="328">
        <v>22.24</v>
      </c>
      <c r="T317" s="328">
        <v>22.24</v>
      </c>
      <c r="U317" s="328">
        <v>22.24</v>
      </c>
      <c r="V317" s="328">
        <v>22.24</v>
      </c>
      <c r="W317" s="328">
        <v>22.24</v>
      </c>
      <c r="X317" s="328">
        <v>23.24</v>
      </c>
      <c r="Y317" s="328">
        <v>23.24</v>
      </c>
      <c r="Z317" s="328">
        <v>23.24</v>
      </c>
      <c r="AA317" s="328">
        <v>23.23</v>
      </c>
      <c r="AB317" s="328">
        <v>23.23</v>
      </c>
      <c r="AC317" s="431">
        <v>25.21</v>
      </c>
      <c r="AD317" s="431">
        <v>25.21</v>
      </c>
      <c r="AE317" s="431">
        <v>25.21</v>
      </c>
      <c r="AF317" s="1237"/>
      <c r="AI317" s="326"/>
    </row>
    <row r="318" spans="1:35">
      <c r="A318" s="1236"/>
      <c r="B318" s="328"/>
      <c r="C318" s="328"/>
      <c r="D318" s="431">
        <v>25.21</v>
      </c>
      <c r="E318" s="431">
        <v>25.21</v>
      </c>
      <c r="F318" s="431">
        <v>25.21</v>
      </c>
      <c r="G318" s="328">
        <v>23.23</v>
      </c>
      <c r="H318" s="328">
        <v>23.23</v>
      </c>
      <c r="I318" s="328">
        <v>23.23</v>
      </c>
      <c r="J318" s="328">
        <v>23.24</v>
      </c>
      <c r="K318" s="328">
        <v>23.24</v>
      </c>
      <c r="L318" s="328">
        <v>23.24</v>
      </c>
      <c r="M318" s="328">
        <v>23.24</v>
      </c>
      <c r="N318" s="328">
        <v>23.24</v>
      </c>
      <c r="O318" s="328">
        <v>23.24</v>
      </c>
      <c r="P318" s="328">
        <v>23.24</v>
      </c>
      <c r="Q318" s="328">
        <v>23.24</v>
      </c>
      <c r="R318" s="328">
        <v>23.24</v>
      </c>
      <c r="S318" s="328">
        <v>23.24</v>
      </c>
      <c r="T318" s="328">
        <v>23.24</v>
      </c>
      <c r="U318" s="328">
        <v>23.24</v>
      </c>
      <c r="V318" s="328">
        <v>23.24</v>
      </c>
      <c r="W318" s="328">
        <v>23.24</v>
      </c>
      <c r="X318" s="328">
        <v>23.23</v>
      </c>
      <c r="Y318" s="328">
        <v>23.23</v>
      </c>
      <c r="Z318" s="328">
        <v>23.23</v>
      </c>
      <c r="AA318" s="431">
        <v>25.21</v>
      </c>
      <c r="AB318" s="431">
        <v>25.21</v>
      </c>
      <c r="AC318" s="431">
        <v>25.21</v>
      </c>
      <c r="AD318" s="328"/>
      <c r="AE318" s="328"/>
      <c r="AF318" s="1237"/>
      <c r="AI318" s="326"/>
    </row>
    <row r="319" spans="1:35">
      <c r="A319" s="1236"/>
      <c r="B319" s="328"/>
      <c r="C319" s="328"/>
      <c r="D319" s="328"/>
      <c r="E319" s="328"/>
      <c r="F319" s="431">
        <v>25.21</v>
      </c>
      <c r="G319" s="431">
        <v>25.21</v>
      </c>
      <c r="H319" s="431">
        <v>25.21</v>
      </c>
      <c r="I319" s="431">
        <v>25.21</v>
      </c>
      <c r="J319" s="328">
        <v>23.23</v>
      </c>
      <c r="K319" s="328">
        <v>23.23</v>
      </c>
      <c r="L319" s="328">
        <v>23.23</v>
      </c>
      <c r="M319" s="328">
        <v>23.23</v>
      </c>
      <c r="N319" s="328">
        <v>23.23</v>
      </c>
      <c r="O319" s="328">
        <v>23.23</v>
      </c>
      <c r="P319" s="328">
        <v>23.23</v>
      </c>
      <c r="Q319" s="328">
        <v>23.23</v>
      </c>
      <c r="R319" s="328">
        <v>23.23</v>
      </c>
      <c r="S319" s="328">
        <v>23.23</v>
      </c>
      <c r="T319" s="328">
        <v>23.23</v>
      </c>
      <c r="U319" s="328">
        <v>23.23</v>
      </c>
      <c r="V319" s="328">
        <v>23.23</v>
      </c>
      <c r="W319" s="328">
        <v>23.23</v>
      </c>
      <c r="X319" s="431">
        <v>25.21</v>
      </c>
      <c r="Y319" s="431">
        <v>25.21</v>
      </c>
      <c r="Z319" s="431">
        <v>25.21</v>
      </c>
      <c r="AA319" s="431">
        <v>25.21</v>
      </c>
      <c r="AB319" s="328"/>
      <c r="AC319" s="328"/>
      <c r="AD319" s="328"/>
      <c r="AE319" s="328"/>
      <c r="AF319" s="1237"/>
      <c r="AI319" s="326"/>
    </row>
    <row r="320" spans="1:35">
      <c r="A320" s="1236"/>
      <c r="B320" s="328"/>
      <c r="C320" s="328"/>
      <c r="D320" s="328"/>
      <c r="E320" s="328"/>
      <c r="F320" s="328"/>
      <c r="G320" s="328"/>
      <c r="H320" s="328"/>
      <c r="I320" s="431">
        <v>25.21</v>
      </c>
      <c r="J320" s="431">
        <v>25.21</v>
      </c>
      <c r="K320" s="431">
        <v>25.21</v>
      </c>
      <c r="L320" s="431">
        <v>25.21</v>
      </c>
      <c r="M320" s="431">
        <v>25.21</v>
      </c>
      <c r="N320" s="431">
        <v>25.21</v>
      </c>
      <c r="O320" s="431">
        <v>25.21</v>
      </c>
      <c r="P320" s="431">
        <v>25.21</v>
      </c>
      <c r="Q320" s="431">
        <v>25.21</v>
      </c>
      <c r="R320" s="431">
        <v>25.21</v>
      </c>
      <c r="S320" s="431">
        <v>25.21</v>
      </c>
      <c r="T320" s="431">
        <v>25.21</v>
      </c>
      <c r="U320" s="431">
        <v>25.21</v>
      </c>
      <c r="V320" s="431">
        <v>25.21</v>
      </c>
      <c r="W320" s="431">
        <v>25.21</v>
      </c>
      <c r="X320" s="431">
        <v>25.21</v>
      </c>
      <c r="Y320" s="328"/>
      <c r="Z320" s="328"/>
      <c r="AA320" s="328"/>
      <c r="AB320" s="328"/>
      <c r="AC320" s="328"/>
      <c r="AD320" s="328"/>
      <c r="AE320" s="328"/>
      <c r="AF320" s="1237"/>
      <c r="AI320" s="326"/>
    </row>
    <row r="321" spans="1:35">
      <c r="A321" s="679"/>
      <c r="B321" s="484"/>
      <c r="C321" s="484"/>
      <c r="D321" s="484"/>
      <c r="E321" s="1247">
        <v>25.21</v>
      </c>
      <c r="F321" s="1247">
        <v>25.21</v>
      </c>
      <c r="G321" s="484">
        <v>23.23</v>
      </c>
      <c r="H321" s="484">
        <v>23.24</v>
      </c>
      <c r="I321" s="484">
        <v>22.24</v>
      </c>
      <c r="J321" s="484">
        <v>21.25</v>
      </c>
      <c r="K321" s="484">
        <v>20.260000000000002</v>
      </c>
      <c r="L321" s="484">
        <v>19.27</v>
      </c>
      <c r="M321" s="484">
        <v>18.28</v>
      </c>
      <c r="N321" s="484">
        <v>17.29</v>
      </c>
      <c r="O321" s="484">
        <v>16.3</v>
      </c>
      <c r="P321" s="484">
        <v>15.31</v>
      </c>
      <c r="Q321" s="484">
        <v>14.32</v>
      </c>
      <c r="R321" s="484">
        <v>14.32</v>
      </c>
      <c r="S321" s="484">
        <v>14.32</v>
      </c>
      <c r="T321" s="484">
        <v>14.32</v>
      </c>
      <c r="U321" s="484">
        <v>14.32</v>
      </c>
      <c r="V321" s="484">
        <v>14.32</v>
      </c>
      <c r="W321" s="484">
        <v>14.32</v>
      </c>
      <c r="X321" s="484">
        <v>14.32</v>
      </c>
      <c r="Y321" s="484">
        <v>14.32</v>
      </c>
      <c r="Z321" s="484">
        <v>14.32</v>
      </c>
      <c r="AA321" s="484">
        <v>14.32</v>
      </c>
      <c r="AB321" s="484">
        <v>14.32</v>
      </c>
      <c r="AC321" s="484">
        <v>14.32</v>
      </c>
      <c r="AD321" s="484">
        <v>14.32</v>
      </c>
      <c r="AE321" s="484">
        <v>14.32</v>
      </c>
      <c r="AF321" s="696">
        <v>14.32</v>
      </c>
      <c r="AG321">
        <v>11</v>
      </c>
      <c r="AI321" s="326"/>
    </row>
    <row r="322" spans="1:35">
      <c r="A322" s="483"/>
      <c r="B322" s="321"/>
      <c r="C322" s="321"/>
      <c r="D322" s="321"/>
      <c r="E322" s="431">
        <v>25.21</v>
      </c>
      <c r="F322" s="431">
        <v>25.21</v>
      </c>
      <c r="G322" s="321">
        <v>23.23</v>
      </c>
      <c r="H322" s="321">
        <v>23.23</v>
      </c>
      <c r="I322" s="321">
        <v>22.24</v>
      </c>
      <c r="J322" s="321">
        <v>21.25</v>
      </c>
      <c r="K322" s="321">
        <v>20.260000000000002</v>
      </c>
      <c r="L322" s="321">
        <v>19.27</v>
      </c>
      <c r="M322" s="321">
        <v>17.29</v>
      </c>
      <c r="N322" s="321">
        <v>16.3</v>
      </c>
      <c r="O322" s="321">
        <v>15.31</v>
      </c>
      <c r="P322" s="321">
        <v>14.32</v>
      </c>
      <c r="Q322" s="321">
        <v>14.32</v>
      </c>
      <c r="R322" s="321">
        <v>14.32</v>
      </c>
      <c r="S322" s="321">
        <v>14.32</v>
      </c>
      <c r="T322" s="321">
        <v>14.32</v>
      </c>
      <c r="U322" s="321">
        <v>14.32</v>
      </c>
      <c r="V322" s="321">
        <v>14.32</v>
      </c>
      <c r="W322" s="321">
        <v>14.32</v>
      </c>
      <c r="X322" s="321">
        <v>14.32</v>
      </c>
      <c r="Y322" s="321">
        <v>14.32</v>
      </c>
      <c r="Z322" s="321">
        <v>14.32</v>
      </c>
      <c r="AA322" s="321">
        <v>14.32</v>
      </c>
      <c r="AB322" s="321">
        <v>14.32</v>
      </c>
      <c r="AC322" s="321">
        <v>14.32</v>
      </c>
      <c r="AD322" s="321">
        <v>14.32</v>
      </c>
      <c r="AE322" s="321">
        <v>14.32</v>
      </c>
      <c r="AF322" s="564">
        <v>14.32</v>
      </c>
      <c r="AI322" s="326"/>
    </row>
    <row r="323" spans="1:35">
      <c r="A323" s="483"/>
      <c r="B323" s="321"/>
      <c r="C323" s="321"/>
      <c r="D323" s="321"/>
      <c r="E323" s="321"/>
      <c r="F323" s="431">
        <v>25.21</v>
      </c>
      <c r="G323" s="321">
        <v>23.23</v>
      </c>
      <c r="H323" s="321">
        <v>23.23</v>
      </c>
      <c r="I323" s="321">
        <v>22.24</v>
      </c>
      <c r="J323" s="321">
        <v>21.25</v>
      </c>
      <c r="K323" s="321">
        <v>20.260000000000002</v>
      </c>
      <c r="L323" s="321">
        <v>19.27</v>
      </c>
      <c r="M323" s="321">
        <v>18.28</v>
      </c>
      <c r="N323" s="321">
        <v>17.29</v>
      </c>
      <c r="O323" s="321">
        <v>16.3</v>
      </c>
      <c r="P323" s="321">
        <v>14.32</v>
      </c>
      <c r="Q323" s="321">
        <v>14.32</v>
      </c>
      <c r="R323" s="321">
        <v>14.32</v>
      </c>
      <c r="S323" s="321">
        <v>14.32</v>
      </c>
      <c r="T323" s="321">
        <v>14.32</v>
      </c>
      <c r="U323" s="321">
        <v>14.32</v>
      </c>
      <c r="V323" s="321">
        <v>14.32</v>
      </c>
      <c r="W323" s="321">
        <v>14.32</v>
      </c>
      <c r="X323" s="321">
        <v>14.32</v>
      </c>
      <c r="Y323" s="321">
        <v>14.32</v>
      </c>
      <c r="Z323" s="321">
        <v>14.32</v>
      </c>
      <c r="AA323" s="321">
        <v>14.32</v>
      </c>
      <c r="AB323" s="321">
        <v>14.32</v>
      </c>
      <c r="AC323" s="321">
        <v>14.32</v>
      </c>
      <c r="AD323" s="321">
        <v>14.32</v>
      </c>
      <c r="AE323" s="321">
        <v>14.32</v>
      </c>
      <c r="AF323" s="564">
        <v>14.32</v>
      </c>
      <c r="AI323" s="326"/>
    </row>
    <row r="324" spans="1:35">
      <c r="A324" s="483"/>
      <c r="B324" s="321"/>
      <c r="C324" s="321"/>
      <c r="D324" s="321"/>
      <c r="E324" s="321"/>
      <c r="F324" s="431">
        <v>25.21</v>
      </c>
      <c r="G324" s="431">
        <v>25.21</v>
      </c>
      <c r="H324" s="321">
        <v>23.23</v>
      </c>
      <c r="I324" s="321">
        <v>23.23</v>
      </c>
      <c r="J324" s="321">
        <v>22.24</v>
      </c>
      <c r="K324" s="321">
        <v>21.25</v>
      </c>
      <c r="L324" s="321">
        <v>20.260000000000002</v>
      </c>
      <c r="M324" s="321">
        <v>19.27</v>
      </c>
      <c r="N324" s="321">
        <v>18.28</v>
      </c>
      <c r="O324" s="321">
        <v>17.29</v>
      </c>
      <c r="P324" s="321">
        <v>15.31</v>
      </c>
      <c r="Q324" s="321">
        <v>14.32</v>
      </c>
      <c r="R324" s="321">
        <v>14.32</v>
      </c>
      <c r="S324" s="321">
        <v>14.32</v>
      </c>
      <c r="T324" s="321">
        <v>14.32</v>
      </c>
      <c r="U324" s="321">
        <v>14.32</v>
      </c>
      <c r="V324" s="321">
        <v>14.32</v>
      </c>
      <c r="W324" s="321">
        <v>14.32</v>
      </c>
      <c r="X324" s="321">
        <v>14.32</v>
      </c>
      <c r="Y324" s="321">
        <v>14.32</v>
      </c>
      <c r="Z324" s="321">
        <v>14.32</v>
      </c>
      <c r="AA324" s="321">
        <v>14.32</v>
      </c>
      <c r="AB324" s="321">
        <v>14.32</v>
      </c>
      <c r="AC324" s="321">
        <v>14.32</v>
      </c>
      <c r="AD324" s="321">
        <v>14.32</v>
      </c>
      <c r="AE324" s="321">
        <v>14.32</v>
      </c>
      <c r="AF324" s="564">
        <v>14.32</v>
      </c>
      <c r="AI324" s="326"/>
    </row>
    <row r="325" spans="1:35">
      <c r="A325" s="483"/>
      <c r="B325" s="321"/>
      <c r="C325" s="321"/>
      <c r="D325" s="321"/>
      <c r="E325" s="321"/>
      <c r="F325" s="321"/>
      <c r="G325" s="431">
        <v>25.21</v>
      </c>
      <c r="H325" s="431">
        <v>25.21</v>
      </c>
      <c r="I325" s="321">
        <v>23.23</v>
      </c>
      <c r="J325" s="321">
        <v>22.24</v>
      </c>
      <c r="K325" s="321">
        <v>22.24</v>
      </c>
      <c r="L325" s="321">
        <v>21.25</v>
      </c>
      <c r="M325" s="321">
        <v>20.260000000000002</v>
      </c>
      <c r="N325" s="321">
        <v>19.27</v>
      </c>
      <c r="O325" s="321">
        <v>18.28</v>
      </c>
      <c r="P325" s="321">
        <v>16.3</v>
      </c>
      <c r="Q325" s="321">
        <v>14.32</v>
      </c>
      <c r="R325" s="321">
        <v>14.32</v>
      </c>
      <c r="S325" s="321">
        <v>14.32</v>
      </c>
      <c r="T325" s="321">
        <v>14.32</v>
      </c>
      <c r="U325" s="321">
        <v>14.32</v>
      </c>
      <c r="V325" s="321">
        <v>14.32</v>
      </c>
      <c r="W325" s="321">
        <v>14.32</v>
      </c>
      <c r="X325" s="321">
        <v>14.32</v>
      </c>
      <c r="Y325" s="321">
        <v>14.32</v>
      </c>
      <c r="Z325" s="321">
        <v>14.32</v>
      </c>
      <c r="AA325" s="321">
        <v>14.32</v>
      </c>
      <c r="AB325" s="321">
        <v>14.32</v>
      </c>
      <c r="AC325" s="321">
        <v>14.32</v>
      </c>
      <c r="AD325" s="321">
        <v>14.32</v>
      </c>
      <c r="AE325" s="321">
        <v>14.32</v>
      </c>
      <c r="AF325" s="564">
        <v>14.32</v>
      </c>
      <c r="AI325" s="326"/>
    </row>
    <row r="326" spans="1:35">
      <c r="A326" s="483"/>
      <c r="B326" s="321"/>
      <c r="C326" s="321"/>
      <c r="D326" s="321"/>
      <c r="E326" s="321"/>
      <c r="F326" s="321"/>
      <c r="G326" s="431">
        <v>25.21</v>
      </c>
      <c r="H326" s="431">
        <v>25.21</v>
      </c>
      <c r="I326" s="321">
        <v>23.23</v>
      </c>
      <c r="J326" s="321">
        <v>23.23</v>
      </c>
      <c r="K326" s="321">
        <v>22.24</v>
      </c>
      <c r="L326" s="321">
        <v>21.25</v>
      </c>
      <c r="M326" s="321">
        <v>20.260000000000002</v>
      </c>
      <c r="N326" s="321">
        <v>19.27</v>
      </c>
      <c r="O326" s="321">
        <v>17.29</v>
      </c>
      <c r="P326" s="321">
        <v>16.3</v>
      </c>
      <c r="Q326" s="321">
        <v>15.31</v>
      </c>
      <c r="R326" s="321">
        <v>14.32</v>
      </c>
      <c r="S326" s="321">
        <v>14.32</v>
      </c>
      <c r="T326" s="321">
        <v>14.32</v>
      </c>
      <c r="U326" s="321">
        <v>14.32</v>
      </c>
      <c r="V326" s="321">
        <v>14.32</v>
      </c>
      <c r="W326" s="321">
        <v>14.32</v>
      </c>
      <c r="X326" s="321">
        <v>14.32</v>
      </c>
      <c r="Y326" s="321">
        <v>14.32</v>
      </c>
      <c r="Z326" s="321">
        <v>14.32</v>
      </c>
      <c r="AA326" s="321">
        <v>14.32</v>
      </c>
      <c r="AB326" s="321">
        <v>14.32</v>
      </c>
      <c r="AC326" s="321">
        <v>14.32</v>
      </c>
      <c r="AD326" s="321">
        <v>14.32</v>
      </c>
      <c r="AE326" s="321">
        <v>14.32</v>
      </c>
      <c r="AF326" s="564">
        <v>14.32</v>
      </c>
      <c r="AI326" s="326"/>
    </row>
    <row r="327" spans="1:35">
      <c r="A327" s="483"/>
      <c r="B327" s="321"/>
      <c r="C327" s="321"/>
      <c r="D327" s="321"/>
      <c r="E327" s="321"/>
      <c r="F327" s="321"/>
      <c r="G327" s="321"/>
      <c r="H327" s="431">
        <v>25.21</v>
      </c>
      <c r="I327" s="431">
        <v>25.21</v>
      </c>
      <c r="J327" s="321">
        <v>23.23</v>
      </c>
      <c r="K327" s="321">
        <v>23.23</v>
      </c>
      <c r="L327" s="321">
        <v>22.24</v>
      </c>
      <c r="M327" s="321">
        <v>21.25</v>
      </c>
      <c r="N327" s="321">
        <v>20.260000000000002</v>
      </c>
      <c r="O327" s="321">
        <v>19.27</v>
      </c>
      <c r="P327" s="321">
        <v>17.29</v>
      </c>
      <c r="Q327" s="321">
        <v>16.3</v>
      </c>
      <c r="R327" s="321">
        <v>15.31</v>
      </c>
      <c r="S327" s="321">
        <v>14.32</v>
      </c>
      <c r="T327" s="321">
        <v>14.32</v>
      </c>
      <c r="U327" s="321">
        <v>14.32</v>
      </c>
      <c r="V327" s="321">
        <v>14.32</v>
      </c>
      <c r="W327" s="321">
        <v>14.32</v>
      </c>
      <c r="X327" s="321">
        <v>14.32</v>
      </c>
      <c r="Y327" s="321">
        <v>14.32</v>
      </c>
      <c r="Z327" s="321">
        <v>14.32</v>
      </c>
      <c r="AA327" s="321">
        <v>14.32</v>
      </c>
      <c r="AB327" s="321">
        <v>14.32</v>
      </c>
      <c r="AC327" s="321">
        <v>14.32</v>
      </c>
      <c r="AD327" s="321">
        <v>14.32</v>
      </c>
      <c r="AE327" s="321">
        <v>14.32</v>
      </c>
      <c r="AF327" s="564">
        <v>14.32</v>
      </c>
      <c r="AI327" s="326"/>
    </row>
    <row r="328" spans="1:35">
      <c r="A328" s="483"/>
      <c r="B328" s="321"/>
      <c r="C328" s="321"/>
      <c r="D328" s="321"/>
      <c r="E328" s="321"/>
      <c r="F328" s="321"/>
      <c r="G328" s="321"/>
      <c r="H328" s="439">
        <v>25.18</v>
      </c>
      <c r="I328" s="431">
        <v>25.21</v>
      </c>
      <c r="J328" s="431">
        <v>25.21</v>
      </c>
      <c r="K328" s="321">
        <v>23.23</v>
      </c>
      <c r="L328" s="321">
        <v>23.24</v>
      </c>
      <c r="M328" s="321">
        <v>22.24</v>
      </c>
      <c r="N328" s="321">
        <v>21.25</v>
      </c>
      <c r="O328" s="321">
        <v>20.260000000000002</v>
      </c>
      <c r="P328" s="321">
        <v>19.27</v>
      </c>
      <c r="Q328" s="321">
        <v>17.29</v>
      </c>
      <c r="R328" s="321">
        <v>16.3</v>
      </c>
      <c r="S328" s="321">
        <v>15.31</v>
      </c>
      <c r="T328" s="321">
        <v>14.32</v>
      </c>
      <c r="U328" s="321">
        <v>14.32</v>
      </c>
      <c r="V328" s="321">
        <v>14.32</v>
      </c>
      <c r="W328" s="321">
        <v>14.32</v>
      </c>
      <c r="X328" s="321">
        <v>14.32</v>
      </c>
      <c r="Y328" s="321">
        <v>14.32</v>
      </c>
      <c r="Z328" s="321">
        <v>14.32</v>
      </c>
      <c r="AA328" s="321">
        <v>14.32</v>
      </c>
      <c r="AB328" s="321">
        <v>14.32</v>
      </c>
      <c r="AC328" s="321">
        <v>14.32</v>
      </c>
      <c r="AD328" s="321">
        <v>14.32</v>
      </c>
      <c r="AE328" s="321">
        <v>14.32</v>
      </c>
      <c r="AF328" s="564">
        <v>14.32</v>
      </c>
      <c r="AI328" s="326"/>
    </row>
    <row r="329" spans="1:35">
      <c r="A329" s="483"/>
      <c r="B329" s="321"/>
      <c r="C329" s="321"/>
      <c r="D329" s="321"/>
      <c r="E329" s="321"/>
      <c r="F329" s="321"/>
      <c r="G329" s="439">
        <v>20.12</v>
      </c>
      <c r="H329" s="452">
        <v>25.17</v>
      </c>
      <c r="I329" s="431">
        <v>25.21</v>
      </c>
      <c r="J329" s="431">
        <v>25.21</v>
      </c>
      <c r="K329" s="321">
        <v>23.23</v>
      </c>
      <c r="L329" s="321">
        <v>23.23</v>
      </c>
      <c r="M329" s="321">
        <v>22.24</v>
      </c>
      <c r="N329" s="321">
        <v>21.25</v>
      </c>
      <c r="O329" s="321">
        <v>20.260000000000002</v>
      </c>
      <c r="P329" s="321">
        <v>19.27</v>
      </c>
      <c r="Q329" s="321">
        <v>17.29</v>
      </c>
      <c r="R329" s="321">
        <v>16.3</v>
      </c>
      <c r="S329" s="321">
        <v>15.31</v>
      </c>
      <c r="T329" s="321">
        <v>14.32</v>
      </c>
      <c r="U329" s="321">
        <v>14.32</v>
      </c>
      <c r="V329" s="321">
        <v>14.32</v>
      </c>
      <c r="W329" s="321">
        <v>14.32</v>
      </c>
      <c r="X329" s="321">
        <v>14.32</v>
      </c>
      <c r="Y329" s="321">
        <v>14.32</v>
      </c>
      <c r="Z329" s="321">
        <v>14.32</v>
      </c>
      <c r="AA329" s="321">
        <v>14.32</v>
      </c>
      <c r="AB329" s="321">
        <v>14.32</v>
      </c>
      <c r="AC329" s="321">
        <v>14.32</v>
      </c>
      <c r="AD329" s="321">
        <v>14.32</v>
      </c>
      <c r="AE329" s="321">
        <v>14.32</v>
      </c>
      <c r="AF329" s="564">
        <v>14.32</v>
      </c>
      <c r="AI329" s="326"/>
    </row>
    <row r="330" spans="1:35">
      <c r="A330" s="483"/>
      <c r="B330" s="321"/>
      <c r="C330" s="431">
        <v>2</v>
      </c>
      <c r="D330" s="431">
        <v>2</v>
      </c>
      <c r="E330" s="431">
        <v>2</v>
      </c>
      <c r="F330" s="439">
        <v>16.079999999999998</v>
      </c>
      <c r="G330" s="452">
        <v>18.100000000000001</v>
      </c>
      <c r="H330" s="439">
        <v>20.12</v>
      </c>
      <c r="I330" s="439">
        <v>25.17</v>
      </c>
      <c r="J330" s="431">
        <v>25.21</v>
      </c>
      <c r="K330" s="431">
        <v>25.21</v>
      </c>
      <c r="L330" s="321">
        <v>23.23</v>
      </c>
      <c r="M330" s="321">
        <v>23.24</v>
      </c>
      <c r="N330" s="321">
        <v>22.24</v>
      </c>
      <c r="O330" s="321">
        <v>21.25</v>
      </c>
      <c r="P330" s="321">
        <v>20.260000000000002</v>
      </c>
      <c r="Q330" s="321">
        <v>19.27</v>
      </c>
      <c r="R330" s="321">
        <v>17.29</v>
      </c>
      <c r="S330" s="321">
        <v>16.3</v>
      </c>
      <c r="T330" s="321">
        <v>15.31</v>
      </c>
      <c r="U330" s="321">
        <v>14.32</v>
      </c>
      <c r="V330" s="321">
        <v>14.32</v>
      </c>
      <c r="W330" s="321">
        <v>14.32</v>
      </c>
      <c r="X330" s="321">
        <v>14.32</v>
      </c>
      <c r="Y330" s="321">
        <v>14.32</v>
      </c>
      <c r="Z330" s="321">
        <v>14.32</v>
      </c>
      <c r="AA330" s="321">
        <v>14.32</v>
      </c>
      <c r="AB330" s="321">
        <v>14.32</v>
      </c>
      <c r="AC330" s="321">
        <v>14.32</v>
      </c>
      <c r="AD330" s="321">
        <v>14.32</v>
      </c>
      <c r="AE330" s="321">
        <v>14.32</v>
      </c>
      <c r="AF330" s="564">
        <v>14.32</v>
      </c>
      <c r="AI330" s="326"/>
    </row>
    <row r="331" spans="1:35">
      <c r="A331" s="483"/>
      <c r="B331" s="431">
        <v>2</v>
      </c>
      <c r="C331" s="451">
        <v>2</v>
      </c>
      <c r="D331" s="431">
        <v>2</v>
      </c>
      <c r="E331" s="439">
        <v>12.04</v>
      </c>
      <c r="F331" s="452">
        <v>14.06</v>
      </c>
      <c r="G331" s="439">
        <v>16.079999999999998</v>
      </c>
      <c r="H331" s="439">
        <v>18.100000000000001</v>
      </c>
      <c r="I331" s="421">
        <v>20.12</v>
      </c>
      <c r="J331" s="321"/>
      <c r="K331" s="431">
        <v>25.21</v>
      </c>
      <c r="L331" s="321">
        <v>23.23</v>
      </c>
      <c r="M331" s="321">
        <v>23.23</v>
      </c>
      <c r="N331" s="321">
        <v>23.24</v>
      </c>
      <c r="O331" s="321">
        <v>22.24</v>
      </c>
      <c r="P331" s="321">
        <v>21.25</v>
      </c>
      <c r="Q331" s="321">
        <v>20.260000000000002</v>
      </c>
      <c r="R331" s="321">
        <v>19.27</v>
      </c>
      <c r="S331" s="321">
        <v>17.29</v>
      </c>
      <c r="T331" s="321">
        <v>16.3</v>
      </c>
      <c r="U331" s="321">
        <v>15.31</v>
      </c>
      <c r="V331" s="321">
        <v>14.32</v>
      </c>
      <c r="W331" s="321">
        <v>14.32</v>
      </c>
      <c r="X331" s="321">
        <v>14.32</v>
      </c>
      <c r="Y331" s="321">
        <v>14.32</v>
      </c>
      <c r="Z331" s="321">
        <v>14.32</v>
      </c>
      <c r="AA331" s="321">
        <v>14.32</v>
      </c>
      <c r="AB331" s="321">
        <v>14.32</v>
      </c>
      <c r="AC331" s="321">
        <v>14.32</v>
      </c>
      <c r="AD331" s="321">
        <v>14.32</v>
      </c>
      <c r="AE331" s="321">
        <v>14.32</v>
      </c>
      <c r="AF331" s="564">
        <v>14.32</v>
      </c>
      <c r="AI331" s="326"/>
    </row>
    <row r="332" spans="1:35">
      <c r="A332" s="482">
        <v>2</v>
      </c>
      <c r="B332" s="451">
        <v>2</v>
      </c>
      <c r="C332" s="431">
        <v>2</v>
      </c>
      <c r="D332" s="439">
        <v>8.01</v>
      </c>
      <c r="E332" s="452">
        <v>10.02</v>
      </c>
      <c r="F332" s="439">
        <v>12.04</v>
      </c>
      <c r="G332" s="439">
        <v>14.06</v>
      </c>
      <c r="H332" s="421">
        <v>16.079999999999998</v>
      </c>
      <c r="I332" s="321"/>
      <c r="J332" s="321"/>
      <c r="K332" s="431">
        <v>25.21</v>
      </c>
      <c r="L332" s="431">
        <v>25.21</v>
      </c>
      <c r="M332" s="321">
        <v>23.23</v>
      </c>
      <c r="N332" s="321">
        <v>23.23</v>
      </c>
      <c r="O332" s="321">
        <v>23.24</v>
      </c>
      <c r="P332" s="321">
        <v>22.24</v>
      </c>
      <c r="Q332" s="321">
        <v>21.25</v>
      </c>
      <c r="R332" s="321">
        <v>20.260000000000002</v>
      </c>
      <c r="S332" s="321">
        <v>19.27</v>
      </c>
      <c r="T332" s="321">
        <v>17.29</v>
      </c>
      <c r="U332" s="321">
        <v>16.3</v>
      </c>
      <c r="V332" s="321">
        <v>15.31</v>
      </c>
      <c r="W332" s="321">
        <v>14.32</v>
      </c>
      <c r="X332" s="321">
        <v>14.32</v>
      </c>
      <c r="Y332" s="321">
        <v>14.32</v>
      </c>
      <c r="Z332" s="321">
        <v>14.32</v>
      </c>
      <c r="AA332" s="321">
        <v>14.32</v>
      </c>
      <c r="AB332" s="321">
        <v>14.32</v>
      </c>
      <c r="AC332" s="321">
        <v>14.32</v>
      </c>
      <c r="AD332" s="321">
        <v>14.32</v>
      </c>
      <c r="AE332" s="321">
        <v>14.32</v>
      </c>
      <c r="AF332" s="564">
        <v>14.32</v>
      </c>
      <c r="AI332" s="326"/>
    </row>
    <row r="333" spans="1:35">
      <c r="A333" s="483"/>
      <c r="B333" s="431">
        <v>2</v>
      </c>
      <c r="C333" s="451">
        <v>2</v>
      </c>
      <c r="D333" s="431">
        <v>2</v>
      </c>
      <c r="E333" s="439">
        <v>8.01</v>
      </c>
      <c r="F333" s="439">
        <v>10.02</v>
      </c>
      <c r="G333" s="421">
        <v>12.04</v>
      </c>
      <c r="H333" s="412">
        <v>2</v>
      </c>
      <c r="I333" s="321"/>
      <c r="J333" s="321"/>
      <c r="K333" s="321"/>
      <c r="L333" s="431">
        <v>25.21</v>
      </c>
      <c r="M333" s="431">
        <v>25.21</v>
      </c>
      <c r="N333" s="321">
        <v>23.23</v>
      </c>
      <c r="O333" s="321">
        <v>23.23</v>
      </c>
      <c r="P333" s="321">
        <v>23.24</v>
      </c>
      <c r="Q333" s="321">
        <v>22.24</v>
      </c>
      <c r="R333" s="321">
        <v>21.25</v>
      </c>
      <c r="S333" s="321">
        <v>20.260000000000002</v>
      </c>
      <c r="T333" s="321">
        <v>19.27</v>
      </c>
      <c r="U333" s="321">
        <v>17.29</v>
      </c>
      <c r="V333" s="321">
        <v>16.3</v>
      </c>
      <c r="W333" s="321">
        <v>15.31</v>
      </c>
      <c r="X333" s="321">
        <v>15.31</v>
      </c>
      <c r="Y333" s="321">
        <v>14.32</v>
      </c>
      <c r="Z333" s="321">
        <v>14.32</v>
      </c>
      <c r="AA333" s="321">
        <v>14.32</v>
      </c>
      <c r="AB333" s="321">
        <v>14.32</v>
      </c>
      <c r="AC333" s="321">
        <v>14.32</v>
      </c>
      <c r="AD333" s="321">
        <v>14.32</v>
      </c>
      <c r="AE333" s="321">
        <v>14.32</v>
      </c>
      <c r="AF333" s="564">
        <v>14.32</v>
      </c>
      <c r="AI333" s="326"/>
    </row>
    <row r="334" spans="1:35">
      <c r="A334" s="483"/>
      <c r="B334" s="321"/>
      <c r="C334" s="431">
        <v>2</v>
      </c>
      <c r="D334" s="431">
        <v>2</v>
      </c>
      <c r="E334" s="431">
        <v>2</v>
      </c>
      <c r="F334" s="439">
        <v>8.01</v>
      </c>
      <c r="G334" s="431">
        <v>2</v>
      </c>
      <c r="H334" s="431">
        <v>2</v>
      </c>
      <c r="I334" s="321"/>
      <c r="J334" s="321"/>
      <c r="K334" s="321"/>
      <c r="L334" s="321"/>
      <c r="M334" s="431">
        <v>25.21</v>
      </c>
      <c r="N334" s="431">
        <v>25.21</v>
      </c>
      <c r="O334" s="321">
        <v>23.23</v>
      </c>
      <c r="P334" s="321">
        <v>23.23</v>
      </c>
      <c r="Q334" s="321">
        <v>22.24</v>
      </c>
      <c r="R334" s="321">
        <v>22.24</v>
      </c>
      <c r="S334" s="321">
        <v>21.25</v>
      </c>
      <c r="T334" s="321">
        <v>20.260000000000002</v>
      </c>
      <c r="U334" s="321">
        <v>19.27</v>
      </c>
      <c r="V334" s="321">
        <v>17.29</v>
      </c>
      <c r="W334" s="321">
        <v>16.3</v>
      </c>
      <c r="X334" s="321">
        <v>16.3</v>
      </c>
      <c r="Y334" s="321">
        <v>15.31</v>
      </c>
      <c r="Z334" s="321">
        <v>14.32</v>
      </c>
      <c r="AA334" s="321">
        <v>14.32</v>
      </c>
      <c r="AB334" s="321">
        <v>14.32</v>
      </c>
      <c r="AC334" s="321">
        <v>14.32</v>
      </c>
      <c r="AD334" s="321">
        <v>14.32</v>
      </c>
      <c r="AE334" s="321">
        <v>14.32</v>
      </c>
      <c r="AF334" s="564">
        <v>14.32</v>
      </c>
      <c r="AI334" s="326"/>
    </row>
    <row r="335" spans="1:35">
      <c r="A335" s="483"/>
      <c r="B335" s="321"/>
      <c r="C335" s="321"/>
      <c r="D335" s="431">
        <v>2</v>
      </c>
      <c r="E335" s="431">
        <v>2</v>
      </c>
      <c r="F335" s="431">
        <v>2</v>
      </c>
      <c r="G335" s="431">
        <v>2</v>
      </c>
      <c r="H335" s="412">
        <v>2</v>
      </c>
      <c r="I335" s="321"/>
      <c r="J335" s="321"/>
      <c r="K335" s="321"/>
      <c r="L335" s="321"/>
      <c r="M335" s="321"/>
      <c r="N335" s="431">
        <v>25.21</v>
      </c>
      <c r="O335" s="431">
        <v>25.21</v>
      </c>
      <c r="P335" s="321">
        <v>23.23</v>
      </c>
      <c r="Q335" s="321">
        <v>23.23</v>
      </c>
      <c r="R335" s="321">
        <v>22.24</v>
      </c>
      <c r="S335" s="321">
        <v>22.24</v>
      </c>
      <c r="T335" s="321">
        <v>21.25</v>
      </c>
      <c r="U335" s="321">
        <v>20.260000000000002</v>
      </c>
      <c r="V335" s="321">
        <v>19.27</v>
      </c>
      <c r="W335" s="321">
        <v>17.29</v>
      </c>
      <c r="X335" s="321">
        <v>17.29</v>
      </c>
      <c r="Y335" s="321">
        <v>16.3</v>
      </c>
      <c r="Z335" s="321">
        <v>15.31</v>
      </c>
      <c r="AA335" s="321">
        <v>14.32</v>
      </c>
      <c r="AB335" s="321">
        <v>14.32</v>
      </c>
      <c r="AC335" s="321">
        <v>14.32</v>
      </c>
      <c r="AD335" s="321">
        <v>14.32</v>
      </c>
      <c r="AE335" s="321">
        <v>14.32</v>
      </c>
      <c r="AF335" s="564">
        <v>14.32</v>
      </c>
      <c r="AI335" s="326"/>
    </row>
    <row r="336" spans="1:35">
      <c r="A336" s="483"/>
      <c r="B336" s="321"/>
      <c r="C336" s="321"/>
      <c r="D336" s="321"/>
      <c r="E336" s="451">
        <v>2</v>
      </c>
      <c r="F336" s="431">
        <v>2</v>
      </c>
      <c r="G336" s="431">
        <v>2</v>
      </c>
      <c r="H336" s="412">
        <v>2</v>
      </c>
      <c r="I336" s="321"/>
      <c r="J336" s="321"/>
      <c r="K336" s="321"/>
      <c r="L336" s="321"/>
      <c r="M336" s="321"/>
      <c r="N336" s="321"/>
      <c r="O336" s="431">
        <v>25.21</v>
      </c>
      <c r="P336" s="431">
        <v>25.21</v>
      </c>
      <c r="Q336" s="321">
        <v>23.23</v>
      </c>
      <c r="R336" s="321">
        <v>23.23</v>
      </c>
      <c r="S336" s="321">
        <v>23.23</v>
      </c>
      <c r="T336" s="321">
        <v>22.24</v>
      </c>
      <c r="U336" s="321">
        <v>21.25</v>
      </c>
      <c r="V336" s="321">
        <v>20.260000000000002</v>
      </c>
      <c r="W336" s="321">
        <v>19.27</v>
      </c>
      <c r="X336" s="321">
        <v>19.27</v>
      </c>
      <c r="Y336" s="321">
        <v>18.28</v>
      </c>
      <c r="Z336" s="321">
        <v>17.29</v>
      </c>
      <c r="AA336" s="321">
        <v>15.31</v>
      </c>
      <c r="AB336" s="321">
        <v>15.31</v>
      </c>
      <c r="AC336" s="321">
        <v>15.31</v>
      </c>
      <c r="AD336" s="321">
        <v>14.32</v>
      </c>
      <c r="AE336" s="321">
        <v>14.32</v>
      </c>
      <c r="AF336" s="564">
        <v>14.32</v>
      </c>
      <c r="AI336" s="326"/>
    </row>
    <row r="337" spans="1:35">
      <c r="A337" s="483"/>
      <c r="B337" s="321"/>
      <c r="C337" s="321"/>
      <c r="D337" s="321"/>
      <c r="E337" s="431">
        <v>2</v>
      </c>
      <c r="F337" s="451">
        <v>2</v>
      </c>
      <c r="G337" s="431">
        <v>2</v>
      </c>
      <c r="H337" s="321"/>
      <c r="I337" s="321"/>
      <c r="J337" s="321"/>
      <c r="K337" s="321"/>
      <c r="L337" s="321"/>
      <c r="M337" s="321"/>
      <c r="N337" s="321"/>
      <c r="O337" s="321"/>
      <c r="P337" s="431">
        <v>25.21</v>
      </c>
      <c r="Q337" s="431">
        <v>25.21</v>
      </c>
      <c r="R337" s="321">
        <v>23.23</v>
      </c>
      <c r="S337" s="321">
        <v>23.23</v>
      </c>
      <c r="T337" s="321">
        <v>23.23</v>
      </c>
      <c r="U337" s="321">
        <v>22.24</v>
      </c>
      <c r="V337" s="321">
        <v>21.25</v>
      </c>
      <c r="W337" s="321">
        <v>20.260000000000002</v>
      </c>
      <c r="X337" s="321">
        <v>20.260000000000002</v>
      </c>
      <c r="Y337" s="321">
        <v>19.27</v>
      </c>
      <c r="Z337" s="321">
        <v>18.28</v>
      </c>
      <c r="AA337" s="321">
        <v>17.29</v>
      </c>
      <c r="AB337" s="321">
        <v>17.29</v>
      </c>
      <c r="AC337" s="321">
        <v>16.3</v>
      </c>
      <c r="AD337" s="321">
        <v>15.31</v>
      </c>
      <c r="AE337" s="321">
        <v>15.31</v>
      </c>
      <c r="AF337" s="564">
        <v>15.31</v>
      </c>
      <c r="AI337" s="326"/>
    </row>
    <row r="338" spans="1:35">
      <c r="A338" s="483"/>
      <c r="B338" s="321"/>
      <c r="C338" s="321"/>
      <c r="D338" s="321"/>
      <c r="E338" s="321"/>
      <c r="F338" s="431">
        <v>2</v>
      </c>
      <c r="G338" s="321"/>
      <c r="H338" s="321"/>
      <c r="I338" s="321"/>
      <c r="J338" s="321"/>
      <c r="K338" s="321"/>
      <c r="L338" s="321"/>
      <c r="M338" s="321"/>
      <c r="N338" s="321"/>
      <c r="O338" s="321"/>
      <c r="P338" s="321"/>
      <c r="Q338" s="431">
        <v>25.21</v>
      </c>
      <c r="R338" s="431">
        <v>25.21</v>
      </c>
      <c r="S338" s="431">
        <v>25.21</v>
      </c>
      <c r="T338" s="321">
        <v>23.23</v>
      </c>
      <c r="U338" s="321">
        <v>23.23</v>
      </c>
      <c r="V338" s="321">
        <v>22.24</v>
      </c>
      <c r="W338" s="321">
        <v>21.25</v>
      </c>
      <c r="X338" s="321">
        <v>21.25</v>
      </c>
      <c r="Y338" s="321">
        <v>20.260000000000002</v>
      </c>
      <c r="Z338" s="321">
        <v>19.27</v>
      </c>
      <c r="AA338" s="321">
        <v>18.28</v>
      </c>
      <c r="AB338" s="321">
        <v>18.28</v>
      </c>
      <c r="AC338" s="321">
        <v>17.29</v>
      </c>
      <c r="AD338" s="321">
        <v>16.3</v>
      </c>
      <c r="AE338" s="321">
        <v>16.3</v>
      </c>
      <c r="AF338" s="564">
        <v>16.3</v>
      </c>
      <c r="AI338" s="326"/>
    </row>
    <row r="339" spans="1:35">
      <c r="A339" s="483"/>
      <c r="B339" s="321"/>
      <c r="C339" s="321"/>
      <c r="D339" s="321"/>
      <c r="E339" s="321"/>
      <c r="F339" s="321"/>
      <c r="G339" s="321"/>
      <c r="H339" s="321"/>
      <c r="I339" s="321"/>
      <c r="J339" s="321"/>
      <c r="K339" s="321"/>
      <c r="L339" s="321"/>
      <c r="M339" s="321"/>
      <c r="N339" s="321"/>
      <c r="O339" s="321"/>
      <c r="P339" s="321"/>
      <c r="Q339" s="321"/>
      <c r="R339" s="431">
        <v>25.21</v>
      </c>
      <c r="S339" s="431">
        <v>25.21</v>
      </c>
      <c r="T339" s="431">
        <v>25.21</v>
      </c>
      <c r="U339" s="321">
        <v>23.23</v>
      </c>
      <c r="V339" s="321">
        <v>23.23</v>
      </c>
      <c r="W339" s="321">
        <v>22.24</v>
      </c>
      <c r="X339" s="321">
        <v>22.24</v>
      </c>
      <c r="Y339" s="321">
        <v>21.25</v>
      </c>
      <c r="Z339" s="321">
        <v>20.260000000000002</v>
      </c>
      <c r="AA339" s="321">
        <v>19.27</v>
      </c>
      <c r="AB339" s="321">
        <v>19.27</v>
      </c>
      <c r="AC339" s="321">
        <v>18.28</v>
      </c>
      <c r="AD339" s="321">
        <v>18.28</v>
      </c>
      <c r="AE339" s="321">
        <v>17.29</v>
      </c>
      <c r="AF339" s="564">
        <v>17.29</v>
      </c>
      <c r="AI339" s="326"/>
    </row>
    <row r="340" spans="1:35">
      <c r="A340" s="483"/>
      <c r="B340" s="321"/>
      <c r="C340" s="321"/>
      <c r="D340" s="321"/>
      <c r="E340" s="321"/>
      <c r="F340" s="321"/>
      <c r="G340" s="321"/>
      <c r="H340" s="321"/>
      <c r="I340" s="321"/>
      <c r="J340" s="321"/>
      <c r="K340" s="321"/>
      <c r="L340" s="321"/>
      <c r="M340" s="321"/>
      <c r="N340" s="321"/>
      <c r="O340" s="321"/>
      <c r="P340" s="321"/>
      <c r="Q340" s="321"/>
      <c r="R340" s="321"/>
      <c r="S340" s="321"/>
      <c r="T340" s="431">
        <v>25.21</v>
      </c>
      <c r="U340" s="431">
        <v>25.21</v>
      </c>
      <c r="V340" s="321">
        <v>23.23</v>
      </c>
      <c r="W340" s="321">
        <v>23.23</v>
      </c>
      <c r="X340" s="321">
        <v>23.23</v>
      </c>
      <c r="Y340" s="321">
        <v>22.24</v>
      </c>
      <c r="Z340" s="321">
        <v>21.25</v>
      </c>
      <c r="AA340" s="321">
        <v>20.260000000000002</v>
      </c>
      <c r="AB340" s="321">
        <v>20.260000000000002</v>
      </c>
      <c r="AC340" s="321">
        <v>19.27</v>
      </c>
      <c r="AD340" s="321">
        <v>19.27</v>
      </c>
      <c r="AE340" s="321">
        <v>18.28</v>
      </c>
      <c r="AF340" s="564">
        <v>18.28</v>
      </c>
      <c r="AI340" s="326"/>
    </row>
    <row r="341" spans="1:35">
      <c r="A341" s="483"/>
      <c r="B341" s="321"/>
      <c r="C341" s="321"/>
      <c r="D341" s="321"/>
      <c r="E341" s="321"/>
      <c r="F341" s="321"/>
      <c r="G341" s="321"/>
      <c r="H341" s="321"/>
      <c r="I341" s="321"/>
      <c r="J341" s="321"/>
      <c r="K341" s="321"/>
      <c r="L341" s="321"/>
      <c r="M341" s="321"/>
      <c r="N341" s="321"/>
      <c r="O341" s="321"/>
      <c r="P341" s="321"/>
      <c r="Q341" s="321"/>
      <c r="R341" s="321"/>
      <c r="S341" s="321"/>
      <c r="T341" s="321"/>
      <c r="U341" s="431">
        <v>25.21</v>
      </c>
      <c r="V341" s="431">
        <v>25.21</v>
      </c>
      <c r="W341" s="431">
        <v>25.21</v>
      </c>
      <c r="X341" s="321">
        <v>23.23</v>
      </c>
      <c r="Y341" s="321">
        <v>23.23</v>
      </c>
      <c r="Z341" s="321">
        <v>23.23</v>
      </c>
      <c r="AA341" s="321">
        <v>22.24</v>
      </c>
      <c r="AB341" s="321">
        <v>21.25</v>
      </c>
      <c r="AC341" s="321">
        <v>21.25</v>
      </c>
      <c r="AD341" s="321">
        <v>20.260000000000002</v>
      </c>
      <c r="AE341" s="321">
        <v>20.260000000000002</v>
      </c>
      <c r="AF341" s="564">
        <v>19.27</v>
      </c>
      <c r="AI341" s="326"/>
    </row>
    <row r="342" spans="1:35">
      <c r="A342" s="483"/>
      <c r="B342" s="321"/>
      <c r="C342" s="321"/>
      <c r="D342" s="321"/>
      <c r="E342" s="321"/>
      <c r="F342" s="321"/>
      <c r="G342" s="321"/>
      <c r="H342" s="321"/>
      <c r="I342" s="321"/>
      <c r="J342" s="321"/>
      <c r="K342" s="321"/>
      <c r="L342" s="321"/>
      <c r="M342" s="321"/>
      <c r="N342" s="321"/>
      <c r="O342" s="321"/>
      <c r="P342" s="321"/>
      <c r="Q342" s="321"/>
      <c r="R342" s="321"/>
      <c r="S342" s="321"/>
      <c r="T342" s="321"/>
      <c r="U342" s="321"/>
      <c r="V342" s="321"/>
      <c r="W342" s="431">
        <v>25.21</v>
      </c>
      <c r="X342" s="431">
        <v>25.21</v>
      </c>
      <c r="Y342" s="321">
        <v>23.23</v>
      </c>
      <c r="Z342" s="321">
        <v>23.23</v>
      </c>
      <c r="AA342" s="321">
        <v>23.23</v>
      </c>
      <c r="AB342" s="321">
        <v>22.24</v>
      </c>
      <c r="AC342" s="321">
        <v>22.24</v>
      </c>
      <c r="AD342" s="321">
        <v>21.25</v>
      </c>
      <c r="AE342" s="321">
        <v>21.25</v>
      </c>
      <c r="AF342" s="564">
        <v>20.260000000000002</v>
      </c>
      <c r="AI342" s="326"/>
    </row>
    <row r="343" spans="1:35">
      <c r="A343" s="483"/>
      <c r="B343" s="321"/>
      <c r="C343" s="321"/>
      <c r="D343" s="321"/>
      <c r="E343" s="321"/>
      <c r="F343" s="321"/>
      <c r="G343" s="321"/>
      <c r="H343" s="321"/>
      <c r="I343" s="321"/>
      <c r="J343" s="321"/>
      <c r="K343" s="321"/>
      <c r="L343" s="321"/>
      <c r="M343" s="321"/>
      <c r="N343" s="321"/>
      <c r="O343" s="321"/>
      <c r="P343" s="321"/>
      <c r="Q343" s="321"/>
      <c r="R343" s="321"/>
      <c r="S343" s="321"/>
      <c r="T343" s="321"/>
      <c r="U343" s="321"/>
      <c r="V343" s="321"/>
      <c r="W343" s="321"/>
      <c r="X343" s="431">
        <v>25.21</v>
      </c>
      <c r="Y343" s="431">
        <v>25.21</v>
      </c>
      <c r="Z343" s="431">
        <v>25.21</v>
      </c>
      <c r="AA343" s="321">
        <v>23.23</v>
      </c>
      <c r="AB343" s="321">
        <v>23.23</v>
      </c>
      <c r="AC343" s="321">
        <v>23.23</v>
      </c>
      <c r="AD343" s="321">
        <v>22.24</v>
      </c>
      <c r="AE343" s="321">
        <v>22.24</v>
      </c>
      <c r="AF343" s="564">
        <v>21.25</v>
      </c>
      <c r="AI343" s="326"/>
    </row>
    <row r="344" spans="1:35">
      <c r="A344" s="483"/>
      <c r="B344" s="321"/>
      <c r="C344" s="321"/>
      <c r="D344" s="321"/>
      <c r="E344" s="321"/>
      <c r="F344" s="321"/>
      <c r="G344" s="321"/>
      <c r="H344" s="321"/>
      <c r="I344" s="321"/>
      <c r="J344" s="321"/>
      <c r="K344" s="321"/>
      <c r="L344" s="321"/>
      <c r="M344" s="321"/>
      <c r="N344" s="321"/>
      <c r="O344" s="321"/>
      <c r="P344" s="321"/>
      <c r="Q344" s="321"/>
      <c r="R344" s="321"/>
      <c r="S344" s="321"/>
      <c r="T344" s="321"/>
      <c r="U344" s="321"/>
      <c r="V344" s="321"/>
      <c r="W344" s="321"/>
      <c r="X344" s="321"/>
      <c r="Y344" s="421">
        <v>25.17</v>
      </c>
      <c r="Z344" s="439">
        <v>25.18</v>
      </c>
      <c r="AA344" s="431">
        <v>25.21</v>
      </c>
      <c r="AB344" s="431">
        <v>25.21</v>
      </c>
      <c r="AC344" s="321">
        <v>23.23</v>
      </c>
      <c r="AD344" s="321">
        <v>23.23</v>
      </c>
      <c r="AE344" s="321">
        <v>23.24</v>
      </c>
      <c r="AF344" s="564">
        <v>22.24</v>
      </c>
      <c r="AI344" s="326"/>
    </row>
    <row r="345" spans="1:35">
      <c r="A345" s="483"/>
      <c r="B345" s="321"/>
      <c r="C345" s="321"/>
      <c r="D345" s="321"/>
      <c r="E345" s="321"/>
      <c r="F345" s="321"/>
      <c r="G345" s="321"/>
      <c r="H345" s="321"/>
      <c r="I345" s="321"/>
      <c r="J345" s="321"/>
      <c r="K345" s="321"/>
      <c r="L345" s="321"/>
      <c r="M345" s="321"/>
      <c r="N345" s="321"/>
      <c r="O345" s="321"/>
      <c r="P345" s="321"/>
      <c r="Q345" s="321"/>
      <c r="R345" s="321"/>
      <c r="S345" s="321"/>
      <c r="T345" s="321"/>
      <c r="U345" s="321"/>
      <c r="V345" s="321"/>
      <c r="W345" s="321"/>
      <c r="X345" s="421">
        <v>16.079999999999998</v>
      </c>
      <c r="Y345" s="439">
        <v>22.14</v>
      </c>
      <c r="Z345" s="452">
        <v>22.14</v>
      </c>
      <c r="AA345" s="439">
        <v>25.17</v>
      </c>
      <c r="AB345" s="431">
        <v>25.21</v>
      </c>
      <c r="AC345" s="431">
        <v>25.21</v>
      </c>
      <c r="AD345" s="321">
        <v>23.23</v>
      </c>
      <c r="AE345" s="321">
        <v>23.23</v>
      </c>
      <c r="AF345" s="564">
        <v>23.24</v>
      </c>
      <c r="AI345" s="326"/>
    </row>
    <row r="346" spans="1:35">
      <c r="A346" s="483"/>
      <c r="B346" s="321"/>
      <c r="C346" s="321"/>
      <c r="D346" s="321"/>
      <c r="E346" s="321"/>
      <c r="F346" s="321"/>
      <c r="G346" s="321"/>
      <c r="H346" s="321"/>
      <c r="I346" s="321"/>
      <c r="J346" s="321"/>
      <c r="K346" s="321"/>
      <c r="L346" s="321"/>
      <c r="M346" s="321"/>
      <c r="N346" s="321"/>
      <c r="O346" s="321"/>
      <c r="P346" s="321"/>
      <c r="Q346" s="321"/>
      <c r="R346" s="321"/>
      <c r="S346" s="321"/>
      <c r="T346" s="321"/>
      <c r="U346" s="431">
        <v>2</v>
      </c>
      <c r="V346" s="431">
        <v>2</v>
      </c>
      <c r="W346" s="431">
        <v>2</v>
      </c>
      <c r="X346" s="439">
        <v>16.079999999999998</v>
      </c>
      <c r="Y346" s="439">
        <v>16.079999999999998</v>
      </c>
      <c r="Z346" s="452">
        <v>20.12</v>
      </c>
      <c r="AA346" s="439">
        <v>20.12</v>
      </c>
      <c r="AB346" s="321"/>
      <c r="AC346" s="431">
        <v>25.21</v>
      </c>
      <c r="AD346" s="431">
        <v>25.21</v>
      </c>
      <c r="AE346" s="431">
        <v>25.21</v>
      </c>
      <c r="AF346" s="564">
        <v>23.23</v>
      </c>
      <c r="AI346" s="326"/>
    </row>
    <row r="347" spans="1:35">
      <c r="A347" s="483"/>
      <c r="B347" s="321"/>
      <c r="C347" s="321"/>
      <c r="D347" s="321"/>
      <c r="E347" s="321"/>
      <c r="F347" s="321"/>
      <c r="G347" s="321"/>
      <c r="H347" s="321"/>
      <c r="I347" s="321"/>
      <c r="J347" s="321"/>
      <c r="K347" s="321"/>
      <c r="L347" s="321"/>
      <c r="M347" s="321"/>
      <c r="N347" s="321"/>
      <c r="O347" s="321"/>
      <c r="P347" s="321"/>
      <c r="Q347" s="321"/>
      <c r="R347" s="321"/>
      <c r="S347" s="321"/>
      <c r="T347" s="321"/>
      <c r="U347" s="431">
        <v>2</v>
      </c>
      <c r="V347" s="451">
        <v>2</v>
      </c>
      <c r="W347" s="421">
        <v>12.04</v>
      </c>
      <c r="X347" s="439">
        <v>12.04</v>
      </c>
      <c r="Y347" s="452">
        <v>14.06</v>
      </c>
      <c r="Z347" s="439">
        <v>16.059999999999999</v>
      </c>
      <c r="AA347" s="321"/>
      <c r="AB347" s="321"/>
      <c r="AC347" s="321"/>
      <c r="AD347" s="431">
        <v>25.21</v>
      </c>
      <c r="AE347" s="431">
        <v>25.21</v>
      </c>
      <c r="AF347" s="1248">
        <v>25.21</v>
      </c>
      <c r="AI347" s="326"/>
    </row>
    <row r="348" spans="1:35">
      <c r="A348" s="483"/>
      <c r="B348" s="321"/>
      <c r="C348" s="321"/>
      <c r="D348" s="321"/>
      <c r="E348" s="321"/>
      <c r="F348" s="321"/>
      <c r="G348" s="321"/>
      <c r="H348" s="321"/>
      <c r="I348" s="321"/>
      <c r="J348" s="321"/>
      <c r="K348" s="321"/>
      <c r="L348" s="321"/>
      <c r="M348" s="321"/>
      <c r="N348" s="321"/>
      <c r="O348" s="321"/>
      <c r="P348" s="321"/>
      <c r="Q348" s="321"/>
      <c r="R348" s="321"/>
      <c r="S348" s="321"/>
      <c r="T348" s="431">
        <v>2</v>
      </c>
      <c r="U348" s="451">
        <v>2</v>
      </c>
      <c r="V348" s="431">
        <v>2</v>
      </c>
      <c r="W348" s="439">
        <v>8.01</v>
      </c>
      <c r="X348" s="439">
        <v>8.01</v>
      </c>
      <c r="Y348" s="452">
        <v>12.04</v>
      </c>
      <c r="Z348" s="439">
        <v>12.04</v>
      </c>
      <c r="AA348" s="321"/>
      <c r="AB348" s="321"/>
      <c r="AC348" s="321"/>
      <c r="AD348" s="321"/>
      <c r="AE348" s="321"/>
      <c r="AF348" s="1248">
        <v>25.21</v>
      </c>
      <c r="AI348" s="326"/>
    </row>
    <row r="349" spans="1:35">
      <c r="A349" s="483"/>
      <c r="B349" s="321"/>
      <c r="C349" s="321"/>
      <c r="D349" s="321"/>
      <c r="E349" s="321"/>
      <c r="F349" s="321"/>
      <c r="G349" s="321"/>
      <c r="H349" s="321"/>
      <c r="I349" s="321"/>
      <c r="J349" s="321"/>
      <c r="K349" s="321"/>
      <c r="L349" s="321"/>
      <c r="M349" s="321"/>
      <c r="N349" s="321"/>
      <c r="O349" s="321"/>
      <c r="P349" s="321"/>
      <c r="Q349" s="321"/>
      <c r="R349" s="321"/>
      <c r="S349" s="321"/>
      <c r="T349" s="321"/>
      <c r="U349" s="431">
        <v>2</v>
      </c>
      <c r="V349" s="451">
        <v>2</v>
      </c>
      <c r="W349" s="431">
        <v>2</v>
      </c>
      <c r="X349" s="431">
        <v>2</v>
      </c>
      <c r="Y349" s="439">
        <v>8.01</v>
      </c>
      <c r="Z349" s="412">
        <v>2</v>
      </c>
      <c r="AA349" s="321"/>
      <c r="AB349" s="321"/>
      <c r="AC349" s="321"/>
      <c r="AD349" s="321"/>
      <c r="AE349" s="321"/>
      <c r="AF349" s="564"/>
      <c r="AI349" s="326"/>
    </row>
    <row r="350" spans="1:35">
      <c r="A350" s="483"/>
      <c r="B350" s="321"/>
      <c r="C350" s="321"/>
      <c r="D350" s="321"/>
      <c r="E350" s="321"/>
      <c r="F350" s="321"/>
      <c r="G350" s="321"/>
      <c r="H350" s="321"/>
      <c r="I350" s="321"/>
      <c r="J350" s="321"/>
      <c r="K350" s="321"/>
      <c r="L350" s="321"/>
      <c r="M350" s="321"/>
      <c r="N350" s="321"/>
      <c r="O350" s="321"/>
      <c r="P350" s="321"/>
      <c r="Q350" s="321"/>
      <c r="R350" s="321"/>
      <c r="S350" s="321"/>
      <c r="T350" s="321"/>
      <c r="U350" s="321"/>
      <c r="V350" s="431">
        <v>2</v>
      </c>
      <c r="W350" s="431">
        <v>2</v>
      </c>
      <c r="X350" s="431">
        <v>2</v>
      </c>
      <c r="Y350" s="431">
        <v>2</v>
      </c>
      <c r="Z350" s="412">
        <v>2</v>
      </c>
      <c r="AA350" s="321"/>
      <c r="AB350" s="321"/>
      <c r="AC350" s="321"/>
      <c r="AD350" s="321"/>
      <c r="AE350" s="321"/>
      <c r="AF350" s="564"/>
      <c r="AI350" s="326"/>
    </row>
    <row r="351" spans="1:35">
      <c r="A351" s="483"/>
      <c r="B351" s="321"/>
      <c r="C351" s="321"/>
      <c r="D351" s="321"/>
      <c r="E351" s="321"/>
      <c r="F351" s="321"/>
      <c r="G351" s="321"/>
      <c r="H351" s="321"/>
      <c r="I351" s="321"/>
      <c r="J351" s="321"/>
      <c r="K351" s="321"/>
      <c r="L351" s="321"/>
      <c r="M351" s="321"/>
      <c r="N351" s="321"/>
      <c r="O351" s="321"/>
      <c r="P351" s="321"/>
      <c r="Q351" s="321"/>
      <c r="R351" s="321"/>
      <c r="S351" s="321"/>
      <c r="T351" s="321"/>
      <c r="U351" s="321"/>
      <c r="V351" s="321"/>
      <c r="W351" s="431">
        <v>2</v>
      </c>
      <c r="X351" s="431">
        <v>2</v>
      </c>
      <c r="Y351" s="451">
        <v>2</v>
      </c>
      <c r="Z351" s="412">
        <v>2</v>
      </c>
      <c r="AA351" s="321"/>
      <c r="AB351" s="321"/>
      <c r="AC351" s="321"/>
      <c r="AD351" s="321"/>
      <c r="AE351" s="321"/>
      <c r="AF351" s="564"/>
      <c r="AI351" s="326"/>
    </row>
    <row r="352" spans="1:35">
      <c r="A352" s="651"/>
      <c r="B352" s="569"/>
      <c r="C352" s="569"/>
      <c r="D352" s="569"/>
      <c r="E352" s="569"/>
      <c r="F352" s="569"/>
      <c r="G352" s="569"/>
      <c r="H352" s="569"/>
      <c r="I352" s="569"/>
      <c r="J352" s="569"/>
      <c r="K352" s="569"/>
      <c r="L352" s="569"/>
      <c r="M352" s="569"/>
      <c r="N352" s="569"/>
      <c r="O352" s="569"/>
      <c r="P352" s="569"/>
      <c r="Q352" s="569"/>
      <c r="R352" s="569"/>
      <c r="S352" s="569"/>
      <c r="T352" s="569"/>
      <c r="U352" s="569"/>
      <c r="V352" s="569"/>
      <c r="W352" s="569"/>
      <c r="X352" s="1239">
        <v>2</v>
      </c>
      <c r="Y352" s="1239">
        <v>2</v>
      </c>
      <c r="Z352" s="569"/>
      <c r="AA352" s="569"/>
      <c r="AB352" s="569"/>
      <c r="AC352" s="569"/>
      <c r="AD352" s="569"/>
      <c r="AE352" s="569"/>
      <c r="AF352" s="570"/>
      <c r="AI352" s="326"/>
    </row>
    <row r="353" spans="1:35">
      <c r="A353" s="483">
        <v>14.32</v>
      </c>
      <c r="B353" s="321">
        <v>14.32</v>
      </c>
      <c r="C353" s="321">
        <v>14.32</v>
      </c>
      <c r="D353" s="321">
        <v>14.32</v>
      </c>
      <c r="E353" s="321">
        <v>14.32</v>
      </c>
      <c r="F353" s="321">
        <v>14.32</v>
      </c>
      <c r="G353" s="321">
        <v>14.32</v>
      </c>
      <c r="H353" s="321">
        <v>14.32</v>
      </c>
      <c r="I353" s="321">
        <v>14.32</v>
      </c>
      <c r="J353" s="321">
        <v>14.32</v>
      </c>
      <c r="K353" s="321">
        <v>14.32</v>
      </c>
      <c r="L353" s="321">
        <v>14.32</v>
      </c>
      <c r="M353" s="321">
        <v>14.32</v>
      </c>
      <c r="N353" s="321">
        <v>14.32</v>
      </c>
      <c r="O353" s="321">
        <v>14.32</v>
      </c>
      <c r="P353" s="321">
        <v>14.32</v>
      </c>
      <c r="Q353" s="321">
        <v>14.32</v>
      </c>
      <c r="R353" s="321">
        <v>14.32</v>
      </c>
      <c r="S353" s="321">
        <v>14.32</v>
      </c>
      <c r="T353" s="321">
        <v>14.32</v>
      </c>
      <c r="U353" s="321">
        <v>14.32</v>
      </c>
      <c r="V353" s="321">
        <v>14.32</v>
      </c>
      <c r="W353" s="321">
        <v>14.32</v>
      </c>
      <c r="X353" s="321">
        <v>14.32</v>
      </c>
      <c r="Y353" s="321">
        <v>14.32</v>
      </c>
      <c r="Z353" s="321">
        <v>14.32</v>
      </c>
      <c r="AA353" s="321">
        <v>14.32</v>
      </c>
      <c r="AB353" s="321">
        <v>14.32</v>
      </c>
      <c r="AC353" s="321">
        <v>14.32</v>
      </c>
      <c r="AD353" s="321">
        <v>14.32</v>
      </c>
      <c r="AE353" s="321">
        <v>14.32</v>
      </c>
      <c r="AF353" s="564">
        <v>14.32</v>
      </c>
      <c r="AG353">
        <v>12</v>
      </c>
      <c r="AI353" s="326"/>
    </row>
    <row r="354" spans="1:35">
      <c r="AH354">
        <v>353</v>
      </c>
      <c r="AI354" s="326"/>
    </row>
    <row r="355" spans="1:35">
      <c r="AH355">
        <v>353</v>
      </c>
      <c r="AI355" s="326"/>
    </row>
    <row r="356" spans="1:35">
      <c r="AH356">
        <v>353</v>
      </c>
      <c r="AI356" s="326"/>
    </row>
    <row r="357" spans="1:35">
      <c r="AH357">
        <v>353</v>
      </c>
      <c r="AI357" s="326"/>
    </row>
    <row r="358" spans="1:35">
      <c r="AH358">
        <v>353</v>
      </c>
      <c r="AI358" s="326"/>
    </row>
    <row r="359" spans="1:35">
      <c r="AH359">
        <v>353</v>
      </c>
      <c r="AI359" s="326"/>
    </row>
    <row r="360" spans="1:35">
      <c r="AH360">
        <v>353</v>
      </c>
      <c r="AI360" s="326"/>
    </row>
    <row r="361" spans="1:35">
      <c r="AH361">
        <v>353</v>
      </c>
      <c r="AI361" s="326"/>
    </row>
    <row r="362" spans="1:35">
      <c r="AH362">
        <v>353</v>
      </c>
      <c r="AI362" s="326"/>
    </row>
    <row r="363" spans="1:35">
      <c r="AH363">
        <v>353</v>
      </c>
      <c r="AI363" s="326"/>
    </row>
    <row r="364" spans="1:35">
      <c r="AH364">
        <v>353</v>
      </c>
      <c r="AI364" s="326"/>
    </row>
    <row r="365" spans="1:35">
      <c r="A365" s="483">
        <v>14.32</v>
      </c>
      <c r="B365" s="321">
        <v>14.32</v>
      </c>
      <c r="C365" s="321">
        <v>14.32</v>
      </c>
      <c r="D365" s="321">
        <v>14.32</v>
      </c>
      <c r="E365" s="321">
        <v>14.32</v>
      </c>
      <c r="F365" s="321">
        <v>14.32</v>
      </c>
      <c r="G365" s="321">
        <v>14.32</v>
      </c>
      <c r="H365" s="321">
        <v>14.32</v>
      </c>
      <c r="I365" s="162">
        <v>32.14</v>
      </c>
      <c r="J365" s="431">
        <v>32.14</v>
      </c>
      <c r="K365" s="431">
        <v>32.14</v>
      </c>
      <c r="L365" s="162">
        <v>32.14</v>
      </c>
      <c r="M365" s="431">
        <v>32.14</v>
      </c>
      <c r="N365" s="431">
        <v>32.14</v>
      </c>
      <c r="O365" s="162">
        <v>32.14</v>
      </c>
      <c r="P365" s="431">
        <v>32.14</v>
      </c>
      <c r="Q365" s="431">
        <v>32.14</v>
      </c>
      <c r="R365" s="162">
        <v>32.14</v>
      </c>
      <c r="S365" s="431">
        <v>32.14</v>
      </c>
      <c r="T365" s="431">
        <v>32.14</v>
      </c>
      <c r="U365" s="162">
        <v>32.14</v>
      </c>
      <c r="V365" s="431">
        <v>32.14</v>
      </c>
      <c r="W365" s="431">
        <v>32.14</v>
      </c>
      <c r="X365" s="162">
        <v>32.14</v>
      </c>
      <c r="Y365" s="321">
        <v>14.32</v>
      </c>
      <c r="Z365" s="321">
        <v>14.32</v>
      </c>
      <c r="AA365" s="321">
        <v>14.32</v>
      </c>
      <c r="AB365" s="321">
        <v>14.32</v>
      </c>
      <c r="AC365" s="321">
        <v>14.32</v>
      </c>
      <c r="AD365" s="321">
        <v>14.32</v>
      </c>
      <c r="AE365" s="321">
        <v>14.32</v>
      </c>
      <c r="AF365" s="564">
        <v>14.32</v>
      </c>
    </row>
    <row r="366" spans="1:35">
      <c r="A366" s="321">
        <v>14.32</v>
      </c>
      <c r="B366" s="321">
        <v>14.32</v>
      </c>
      <c r="C366" s="321">
        <v>14.32</v>
      </c>
      <c r="D366" s="321">
        <v>14.32</v>
      </c>
      <c r="E366" s="321">
        <v>14.32</v>
      </c>
      <c r="F366" s="321">
        <v>14.32</v>
      </c>
      <c r="G366" s="321">
        <v>14.32</v>
      </c>
      <c r="H366" s="451">
        <v>32.14</v>
      </c>
      <c r="I366" s="439">
        <v>32.15</v>
      </c>
      <c r="J366" s="439">
        <v>32.15</v>
      </c>
      <c r="K366" s="439">
        <v>32.15</v>
      </c>
      <c r="L366" s="439">
        <v>32.15</v>
      </c>
      <c r="M366" s="439">
        <v>32.15</v>
      </c>
      <c r="N366" s="439">
        <v>32.15</v>
      </c>
      <c r="O366" s="439">
        <v>32.15</v>
      </c>
      <c r="P366" s="439">
        <v>32.15</v>
      </c>
      <c r="Q366" s="439">
        <v>32.15</v>
      </c>
      <c r="R366" s="439">
        <v>32.15</v>
      </c>
      <c r="S366" s="439">
        <v>32.15</v>
      </c>
      <c r="T366" s="439">
        <v>32.15</v>
      </c>
      <c r="U366" s="439">
        <v>32.15</v>
      </c>
      <c r="V366" s="439">
        <v>32.15</v>
      </c>
      <c r="W366" s="439">
        <v>32.15</v>
      </c>
      <c r="X366" s="439">
        <v>32.15</v>
      </c>
      <c r="Y366" s="156">
        <v>32.14</v>
      </c>
      <c r="Z366" s="321">
        <v>14.32</v>
      </c>
      <c r="AA366" s="321">
        <v>14.31</v>
      </c>
      <c r="AB366" s="321">
        <v>14.31</v>
      </c>
      <c r="AC366" s="321">
        <v>14.31</v>
      </c>
      <c r="AD366" s="321">
        <v>14.31</v>
      </c>
      <c r="AE366" s="321">
        <v>14.31</v>
      </c>
      <c r="AF366" s="321">
        <v>14.31</v>
      </c>
    </row>
    <row r="367" spans="1:35">
      <c r="A367" s="321">
        <v>14.32</v>
      </c>
      <c r="B367" s="321">
        <v>14.32</v>
      </c>
      <c r="C367" s="321">
        <v>14.32</v>
      </c>
      <c r="D367" s="321">
        <v>14.32</v>
      </c>
      <c r="E367" s="321">
        <v>14.32</v>
      </c>
      <c r="F367" s="321">
        <v>14.32</v>
      </c>
      <c r="G367" s="431">
        <v>32.14</v>
      </c>
      <c r="H367" s="439">
        <v>32.15</v>
      </c>
      <c r="I367" s="321">
        <v>16.16</v>
      </c>
      <c r="J367" s="321">
        <v>16.16</v>
      </c>
      <c r="K367" s="321">
        <v>16.16</v>
      </c>
      <c r="L367" s="321">
        <v>16.16</v>
      </c>
      <c r="M367" s="321">
        <v>16.16</v>
      </c>
      <c r="N367" s="321">
        <v>16.16</v>
      </c>
      <c r="O367" s="321">
        <v>16.16</v>
      </c>
      <c r="P367" s="321">
        <v>16.16</v>
      </c>
      <c r="Q367" s="321">
        <v>16.16</v>
      </c>
      <c r="R367" s="321">
        <v>16.16</v>
      </c>
      <c r="S367" s="321">
        <v>16.16</v>
      </c>
      <c r="T367" s="321">
        <v>16.16</v>
      </c>
      <c r="U367" s="321">
        <v>16.16</v>
      </c>
      <c r="V367" s="321">
        <v>16.16</v>
      </c>
      <c r="W367" s="321">
        <v>16.16</v>
      </c>
      <c r="X367" s="321">
        <v>16.16</v>
      </c>
      <c r="Y367" s="452">
        <v>31.15</v>
      </c>
      <c r="Z367" s="431">
        <v>32.14</v>
      </c>
      <c r="AA367" s="305">
        <v>21.13</v>
      </c>
      <c r="AB367" s="300">
        <v>21.13</v>
      </c>
      <c r="AC367" s="2286">
        <v>21.13</v>
      </c>
      <c r="AD367" s="301">
        <v>21.13</v>
      </c>
      <c r="AE367" s="301">
        <v>21.13</v>
      </c>
      <c r="AF367" s="2286">
        <v>21.13</v>
      </c>
    </row>
    <row r="368" spans="1:35">
      <c r="A368" s="321">
        <v>14.32</v>
      </c>
      <c r="B368" s="321">
        <v>14.32</v>
      </c>
      <c r="C368" s="321">
        <v>14.32</v>
      </c>
      <c r="D368" s="321">
        <v>14.32</v>
      </c>
      <c r="E368" s="321">
        <v>14.32</v>
      </c>
      <c r="F368" s="321">
        <v>14.32</v>
      </c>
      <c r="G368" s="441">
        <v>32.14</v>
      </c>
      <c r="H368" s="439">
        <v>32.15</v>
      </c>
      <c r="I368" s="321">
        <v>16.16</v>
      </c>
      <c r="J368" s="321">
        <v>16.16</v>
      </c>
      <c r="K368" s="321">
        <v>16.16</v>
      </c>
      <c r="L368" s="321">
        <v>16.16</v>
      </c>
      <c r="M368" s="321">
        <v>16.16</v>
      </c>
      <c r="N368" s="321">
        <v>16.16</v>
      </c>
      <c r="O368" s="321">
        <v>16.16</v>
      </c>
      <c r="P368" s="321">
        <v>16.16</v>
      </c>
      <c r="Q368" s="321">
        <v>16.16</v>
      </c>
      <c r="R368" s="321">
        <v>16.16</v>
      </c>
      <c r="S368" s="321">
        <v>16.16</v>
      </c>
      <c r="T368" s="321">
        <v>16.16</v>
      </c>
      <c r="U368" s="321">
        <v>16.16</v>
      </c>
      <c r="V368" s="321">
        <v>16.16</v>
      </c>
      <c r="W368" s="321">
        <v>16.16</v>
      </c>
      <c r="X368" s="321">
        <v>16.16</v>
      </c>
      <c r="Y368" s="452">
        <v>31.15</v>
      </c>
      <c r="Z368" s="431">
        <v>32.14</v>
      </c>
      <c r="AA368" s="305">
        <v>21.13</v>
      </c>
      <c r="AB368" s="300">
        <v>21.13</v>
      </c>
      <c r="AC368" s="2286">
        <v>21.13</v>
      </c>
      <c r="AD368" s="2286">
        <v>21.13</v>
      </c>
      <c r="AE368" s="2286">
        <v>21.13</v>
      </c>
      <c r="AF368" s="2286">
        <v>21.13</v>
      </c>
    </row>
    <row r="369" spans="1:35">
      <c r="AH369">
        <v>368</v>
      </c>
    </row>
    <row r="370" spans="1:35">
      <c r="A370" s="321">
        <v>14.32</v>
      </c>
      <c r="B370" s="321">
        <v>14.32</v>
      </c>
      <c r="C370" s="321">
        <v>14.32</v>
      </c>
      <c r="D370" s="321">
        <v>14.32</v>
      </c>
      <c r="E370" s="321">
        <v>14.32</v>
      </c>
      <c r="F370" s="321">
        <v>14.32</v>
      </c>
      <c r="G370" s="431">
        <v>32.14</v>
      </c>
      <c r="H370" s="439">
        <v>32.15</v>
      </c>
      <c r="I370" s="321">
        <v>16.16</v>
      </c>
      <c r="J370" s="321">
        <v>16.16</v>
      </c>
      <c r="K370" s="321">
        <v>16.16</v>
      </c>
      <c r="L370" s="321">
        <v>16.16</v>
      </c>
      <c r="M370" s="321">
        <v>16.16</v>
      </c>
      <c r="N370" s="321">
        <v>16.16</v>
      </c>
      <c r="O370" s="321">
        <v>16.16</v>
      </c>
      <c r="P370" s="321">
        <v>16.16</v>
      </c>
      <c r="Q370" s="321">
        <v>16.16</v>
      </c>
      <c r="R370" s="321">
        <v>16.16</v>
      </c>
      <c r="S370" s="321">
        <v>16.16</v>
      </c>
      <c r="T370" s="321">
        <v>16.16</v>
      </c>
      <c r="U370" s="321">
        <v>16.16</v>
      </c>
      <c r="V370" s="321">
        <v>16.16</v>
      </c>
      <c r="W370" s="321">
        <v>16.16</v>
      </c>
      <c r="X370" s="321">
        <v>16.16</v>
      </c>
      <c r="Y370" s="452">
        <v>31.15</v>
      </c>
      <c r="Z370" s="431">
        <v>32.14</v>
      </c>
      <c r="AA370" s="200">
        <v>21.13</v>
      </c>
      <c r="AB370" s="296">
        <v>21.13</v>
      </c>
      <c r="AC370" s="2286">
        <v>21.13</v>
      </c>
      <c r="AD370" s="293">
        <v>21.13</v>
      </c>
      <c r="AE370" s="293">
        <v>21.13</v>
      </c>
      <c r="AF370" s="2286">
        <v>21.13</v>
      </c>
    </row>
    <row r="371" spans="1:35">
      <c r="A371" s="321">
        <v>14.32</v>
      </c>
      <c r="B371" s="321">
        <v>14.32</v>
      </c>
      <c r="C371" s="321">
        <v>14.32</v>
      </c>
      <c r="D371" s="321">
        <v>14.32</v>
      </c>
      <c r="E371" s="321">
        <v>14.32</v>
      </c>
      <c r="F371" s="321">
        <v>14.32</v>
      </c>
      <c r="G371" s="321">
        <v>14.32</v>
      </c>
      <c r="H371" s="451">
        <v>32.14</v>
      </c>
      <c r="I371" s="452">
        <v>31.15</v>
      </c>
      <c r="J371" s="452">
        <v>31.15</v>
      </c>
      <c r="K371" s="452">
        <v>31.15</v>
      </c>
      <c r="L371" s="452">
        <v>31.15</v>
      </c>
      <c r="M371" s="452">
        <v>31.15</v>
      </c>
      <c r="N371" s="452">
        <v>31.15</v>
      </c>
      <c r="O371" s="452">
        <v>31.15</v>
      </c>
      <c r="P371" s="452">
        <v>31.15</v>
      </c>
      <c r="Q371" s="452">
        <v>31.15</v>
      </c>
      <c r="R371" s="452">
        <v>31.15</v>
      </c>
      <c r="S371" s="452">
        <v>31.15</v>
      </c>
      <c r="T371" s="452">
        <v>31.15</v>
      </c>
      <c r="U371" s="452">
        <v>31.15</v>
      </c>
      <c r="V371" s="452">
        <v>31.15</v>
      </c>
      <c r="W371" s="452">
        <v>31.15</v>
      </c>
      <c r="X371" s="452">
        <v>31.15</v>
      </c>
      <c r="Y371" s="156">
        <v>32.14</v>
      </c>
      <c r="Z371" s="321">
        <v>14.32</v>
      </c>
      <c r="AA371" s="321">
        <v>14.31</v>
      </c>
      <c r="AB371" s="321">
        <v>14.31</v>
      </c>
      <c r="AC371" s="321">
        <v>14.31</v>
      </c>
      <c r="AD371" s="321">
        <v>14.31</v>
      </c>
      <c r="AE371" s="321">
        <v>14.31</v>
      </c>
      <c r="AF371" s="321">
        <v>14.31</v>
      </c>
    </row>
    <row r="372" spans="1:35">
      <c r="AH372">
        <v>365</v>
      </c>
    </row>
    <row r="373" spans="1:35">
      <c r="AH373">
        <v>353</v>
      </c>
    </row>
    <row r="374" spans="1:35">
      <c r="AH374">
        <v>353</v>
      </c>
    </row>
    <row r="375" spans="1:35">
      <c r="AH375">
        <v>353</v>
      </c>
    </row>
    <row r="376" spans="1:35">
      <c r="AH376">
        <v>353</v>
      </c>
      <c r="AI376" s="326"/>
    </row>
    <row r="377" spans="1:35">
      <c r="AH377">
        <v>353</v>
      </c>
      <c r="AI377" s="326"/>
    </row>
    <row r="378" spans="1:35">
      <c r="AH378">
        <v>353</v>
      </c>
      <c r="AI378" s="326"/>
    </row>
    <row r="379" spans="1:35">
      <c r="AH379">
        <v>353</v>
      </c>
      <c r="AI379" s="326"/>
    </row>
    <row r="380" spans="1:35">
      <c r="AH380">
        <v>353</v>
      </c>
      <c r="AI380" s="326"/>
    </row>
    <row r="381" spans="1:35">
      <c r="AH381">
        <v>353</v>
      </c>
      <c r="AI381" s="326"/>
    </row>
    <row r="382" spans="1:35">
      <c r="AH382">
        <v>353</v>
      </c>
      <c r="AI382" s="326"/>
    </row>
    <row r="383" spans="1:35">
      <c r="AH383">
        <v>353</v>
      </c>
      <c r="AI383" s="326"/>
    </row>
    <row r="384" spans="1:35">
      <c r="AH384">
        <v>353</v>
      </c>
      <c r="AI384" s="326"/>
    </row>
    <row r="385" spans="1:35">
      <c r="A385" s="301">
        <v>15.17</v>
      </c>
      <c r="B385" s="452">
        <v>15.17</v>
      </c>
      <c r="C385" s="307">
        <v>15.17</v>
      </c>
      <c r="D385" s="452">
        <v>15.17</v>
      </c>
      <c r="E385" s="452">
        <v>15.17</v>
      </c>
      <c r="F385" s="307">
        <v>15.17</v>
      </c>
      <c r="G385" s="452">
        <v>15.17</v>
      </c>
      <c r="H385" s="307">
        <v>15.17</v>
      </c>
      <c r="I385" s="307">
        <v>15.17</v>
      </c>
      <c r="J385" s="452">
        <v>15.17</v>
      </c>
      <c r="K385" s="307">
        <v>15.17</v>
      </c>
      <c r="L385" s="452">
        <v>15.17</v>
      </c>
      <c r="M385" s="452">
        <v>15.17</v>
      </c>
      <c r="N385" s="307">
        <v>15.17</v>
      </c>
      <c r="O385" s="452">
        <v>15.17</v>
      </c>
      <c r="P385" s="301">
        <v>15.17</v>
      </c>
      <c r="Q385" s="301">
        <v>15.17</v>
      </c>
      <c r="R385" s="452">
        <v>15.17</v>
      </c>
      <c r="S385" s="307">
        <v>15.17</v>
      </c>
      <c r="T385" s="452">
        <v>15.17</v>
      </c>
      <c r="U385" s="452">
        <v>15.17</v>
      </c>
      <c r="V385" s="307">
        <v>15.17</v>
      </c>
      <c r="W385" s="452">
        <v>15.17</v>
      </c>
      <c r="X385" s="307">
        <v>15.17</v>
      </c>
      <c r="Y385" s="307">
        <v>15.17</v>
      </c>
      <c r="Z385" s="452">
        <v>15.17</v>
      </c>
      <c r="AA385" s="307">
        <v>15.17</v>
      </c>
      <c r="AB385" s="452">
        <v>15.17</v>
      </c>
      <c r="AC385" s="452">
        <v>15.17</v>
      </c>
      <c r="AD385" s="307">
        <v>15.17</v>
      </c>
      <c r="AE385" s="452">
        <v>15.17</v>
      </c>
      <c r="AF385" s="301">
        <v>15.17</v>
      </c>
      <c r="AG385">
        <v>13</v>
      </c>
      <c r="AI385" s="326"/>
    </row>
    <row r="386" spans="1:35">
      <c r="A386" s="452">
        <v>32</v>
      </c>
      <c r="B386" s="2286">
        <v>38</v>
      </c>
      <c r="C386" s="2286">
        <v>38</v>
      </c>
      <c r="D386" s="2286">
        <v>38</v>
      </c>
      <c r="E386" s="2286">
        <v>38</v>
      </c>
      <c r="F386" s="2286">
        <v>38</v>
      </c>
      <c r="G386" s="2286">
        <v>38</v>
      </c>
      <c r="H386" s="2286">
        <v>38</v>
      </c>
      <c r="I386" s="2286">
        <v>38</v>
      </c>
      <c r="J386" s="2286">
        <v>38</v>
      </c>
      <c r="K386" s="2286">
        <v>38</v>
      </c>
      <c r="L386" s="2286">
        <v>38</v>
      </c>
      <c r="M386" s="2286">
        <v>38</v>
      </c>
      <c r="N386" s="2286">
        <v>38</v>
      </c>
      <c r="O386" s="2286">
        <v>38</v>
      </c>
      <c r="P386" s="2286">
        <v>38</v>
      </c>
      <c r="Q386" s="2286">
        <v>38</v>
      </c>
      <c r="R386" s="2286">
        <v>38</v>
      </c>
      <c r="S386" s="2286">
        <v>38</v>
      </c>
      <c r="T386" s="2286">
        <v>38</v>
      </c>
      <c r="U386" s="2286">
        <v>38</v>
      </c>
      <c r="V386" s="2286">
        <v>38</v>
      </c>
      <c r="W386" s="2286">
        <v>38</v>
      </c>
      <c r="X386" s="2286">
        <v>38</v>
      </c>
      <c r="Y386" s="2286">
        <v>38</v>
      </c>
      <c r="Z386" s="2286">
        <v>38</v>
      </c>
      <c r="AA386" s="2286">
        <v>38</v>
      </c>
      <c r="AB386" s="2286">
        <v>38</v>
      </c>
      <c r="AC386" s="2286">
        <v>38</v>
      </c>
      <c r="AD386" s="2286">
        <v>38</v>
      </c>
      <c r="AE386" s="2286">
        <v>38</v>
      </c>
      <c r="AF386" s="452">
        <v>32</v>
      </c>
      <c r="AI386" s="326"/>
    </row>
    <row r="387" spans="1:35">
      <c r="A387" s="452">
        <v>32</v>
      </c>
      <c r="B387" s="2286">
        <v>38</v>
      </c>
      <c r="C387" s="93"/>
      <c r="D387" s="93"/>
      <c r="E387" s="93"/>
      <c r="F387" s="93"/>
      <c r="G387" s="93"/>
      <c r="H387" s="93"/>
      <c r="I387" s="93"/>
      <c r="J387" s="93"/>
      <c r="K387" s="93"/>
      <c r="L387" s="93"/>
      <c r="M387" s="93"/>
      <c r="N387" s="93"/>
      <c r="O387" s="93"/>
      <c r="P387" s="93"/>
      <c r="Q387" s="93"/>
      <c r="R387" s="93"/>
      <c r="S387" s="93"/>
      <c r="T387" s="93"/>
      <c r="U387" s="93"/>
      <c r="V387" s="93"/>
      <c r="W387" s="93"/>
      <c r="X387" s="93"/>
      <c r="Y387" s="93"/>
      <c r="Z387" s="93"/>
      <c r="AA387" s="93"/>
      <c r="AB387" s="93"/>
      <c r="AC387" s="93"/>
      <c r="AD387" s="93"/>
      <c r="AE387" s="2286">
        <v>38</v>
      </c>
      <c r="AF387" s="452">
        <v>32</v>
      </c>
      <c r="AI387" s="326"/>
    </row>
    <row r="388" spans="1:35">
      <c r="AH388">
        <v>387</v>
      </c>
      <c r="AI388" s="326"/>
    </row>
    <row r="389" spans="1:35">
      <c r="AH389">
        <v>386</v>
      </c>
      <c r="AI389" s="326"/>
    </row>
    <row r="390" spans="1:35">
      <c r="AH390">
        <v>385</v>
      </c>
      <c r="AI390" s="326"/>
    </row>
    <row r="391" spans="1:35">
      <c r="A391" s="699"/>
      <c r="B391" s="93"/>
      <c r="C391" s="93"/>
      <c r="D391" s="93"/>
      <c r="E391" s="93"/>
      <c r="F391" s="93"/>
      <c r="G391" s="93"/>
      <c r="H391" s="93"/>
      <c r="I391" s="93"/>
      <c r="J391" s="93"/>
      <c r="K391" s="93"/>
      <c r="L391" s="93"/>
      <c r="M391" s="93"/>
      <c r="N391" s="93"/>
      <c r="O391" s="93"/>
      <c r="P391" s="93"/>
      <c r="Q391" s="93"/>
      <c r="R391" s="93"/>
      <c r="S391" s="93"/>
      <c r="T391" s="93"/>
      <c r="U391" s="93"/>
      <c r="V391" s="93"/>
      <c r="W391" s="93"/>
      <c r="X391" s="93"/>
      <c r="Y391" s="93"/>
      <c r="Z391" s="93"/>
      <c r="AA391" s="93"/>
      <c r="AB391" s="93"/>
      <c r="AC391" s="93"/>
      <c r="AD391" s="93"/>
      <c r="AE391" s="93"/>
      <c r="AF391" s="79"/>
      <c r="AI391" s="326"/>
    </row>
    <row r="392" spans="1:35">
      <c r="A392" s="699"/>
      <c r="B392" s="93"/>
      <c r="C392" s="93"/>
      <c r="D392" s="93"/>
      <c r="E392" s="93"/>
      <c r="F392" s="93"/>
      <c r="G392" s="93"/>
      <c r="H392" s="93"/>
      <c r="I392" s="93"/>
      <c r="J392" s="93"/>
      <c r="K392" s="93"/>
      <c r="L392" s="93"/>
      <c r="M392" s="93"/>
      <c r="N392" s="93"/>
      <c r="O392" s="93"/>
      <c r="P392" s="93"/>
      <c r="Q392" s="93"/>
      <c r="R392" s="93"/>
      <c r="S392" s="93"/>
      <c r="T392" s="93"/>
      <c r="U392" s="93"/>
      <c r="V392" s="93"/>
      <c r="W392" s="93"/>
      <c r="X392" s="93"/>
      <c r="Y392" s="93"/>
      <c r="Z392" s="93"/>
      <c r="AA392" s="93"/>
      <c r="AB392" s="93"/>
      <c r="AC392" s="93"/>
      <c r="AD392" s="93"/>
      <c r="AE392" s="93"/>
      <c r="AF392" s="79"/>
      <c r="AI392" s="326"/>
    </row>
    <row r="393" spans="1:35">
      <c r="A393" s="699"/>
      <c r="B393" s="93"/>
      <c r="C393" s="93"/>
      <c r="D393" s="93"/>
      <c r="E393" s="93"/>
      <c r="F393" s="93"/>
      <c r="G393" s="93"/>
      <c r="H393" s="93"/>
      <c r="I393" s="93"/>
      <c r="J393" s="93"/>
      <c r="K393" s="93"/>
      <c r="L393" s="93"/>
      <c r="M393" s="93"/>
      <c r="N393" s="93"/>
      <c r="O393" s="93"/>
      <c r="P393" s="93"/>
      <c r="Q393" s="93"/>
      <c r="R393" s="93"/>
      <c r="S393" s="93"/>
      <c r="T393" s="93"/>
      <c r="U393" s="93"/>
      <c r="V393" s="93"/>
      <c r="W393" s="93"/>
      <c r="X393" s="93"/>
      <c r="Y393" s="93"/>
      <c r="Z393" s="93"/>
      <c r="AA393" s="93"/>
      <c r="AB393" s="93"/>
      <c r="AC393" s="93"/>
      <c r="AD393" s="93"/>
      <c r="AE393" s="93"/>
      <c r="AF393" s="79"/>
      <c r="AI393" s="326"/>
    </row>
    <row r="394" spans="1:35">
      <c r="A394" s="699"/>
      <c r="B394" s="93"/>
      <c r="C394" s="93"/>
      <c r="D394" s="93"/>
      <c r="E394" s="93"/>
      <c r="F394" s="93"/>
      <c r="G394" s="93"/>
      <c r="H394" s="93"/>
      <c r="I394" s="93"/>
      <c r="J394" s="93"/>
      <c r="K394" s="93"/>
      <c r="L394" s="93"/>
      <c r="M394" s="93"/>
      <c r="N394" s="93"/>
      <c r="O394" s="93"/>
      <c r="P394" s="93"/>
      <c r="Q394" s="93"/>
      <c r="R394" s="93"/>
      <c r="S394" s="93"/>
      <c r="T394" s="93"/>
      <c r="U394" s="93"/>
      <c r="V394" s="93"/>
      <c r="W394" s="93"/>
      <c r="X394" s="93"/>
      <c r="Y394" s="93"/>
      <c r="Z394" s="93"/>
      <c r="AA394" s="93"/>
      <c r="AB394" s="93"/>
      <c r="AC394" s="93"/>
      <c r="AD394" s="93"/>
      <c r="AE394" s="93"/>
      <c r="AF394" s="79"/>
      <c r="AI394" s="326"/>
    </row>
    <row r="395" spans="1:35">
      <c r="A395" s="699"/>
      <c r="B395" s="93"/>
      <c r="C395" s="93"/>
      <c r="D395" s="93"/>
      <c r="E395" s="93"/>
      <c r="F395" s="93"/>
      <c r="G395" s="93"/>
      <c r="H395" s="93"/>
      <c r="I395" s="93"/>
      <c r="J395" s="93"/>
      <c r="K395" s="93"/>
      <c r="L395" s="93"/>
      <c r="M395" s="93"/>
      <c r="N395" s="93"/>
      <c r="O395" s="93"/>
      <c r="P395" s="93"/>
      <c r="Q395" s="93"/>
      <c r="R395" s="93"/>
      <c r="S395" s="93"/>
      <c r="T395" s="93"/>
      <c r="U395" s="93"/>
      <c r="V395" s="93"/>
      <c r="W395" s="93"/>
      <c r="X395" s="93"/>
      <c r="Y395" s="93"/>
      <c r="Z395" s="93"/>
      <c r="AA395" s="93"/>
      <c r="AB395" s="93"/>
      <c r="AC395" s="93"/>
      <c r="AD395" s="93"/>
      <c r="AE395" s="93"/>
      <c r="AF395" s="79"/>
      <c r="AI395" s="326"/>
    </row>
    <row r="396" spans="1:35">
      <c r="A396" s="699"/>
      <c r="B396" s="93"/>
      <c r="C396" s="93"/>
      <c r="D396" s="93"/>
      <c r="E396" s="93"/>
      <c r="F396" s="93"/>
      <c r="G396" s="93"/>
      <c r="H396" s="93"/>
      <c r="I396" s="93"/>
      <c r="J396" s="93"/>
      <c r="K396" s="93"/>
      <c r="L396" s="93"/>
      <c r="M396" s="93"/>
      <c r="N396" s="93"/>
      <c r="O396" s="93"/>
      <c r="P396" s="93"/>
      <c r="Q396" s="93"/>
      <c r="R396" s="93"/>
      <c r="S396" s="93"/>
      <c r="T396" s="93"/>
      <c r="U396" s="93"/>
      <c r="V396" s="93"/>
      <c r="W396" s="93"/>
      <c r="X396" s="93"/>
      <c r="Y396" s="93"/>
      <c r="Z396" s="93"/>
      <c r="AA396" s="93"/>
      <c r="AB396" s="93"/>
      <c r="AC396" s="93"/>
      <c r="AD396" s="93"/>
      <c r="AE396" s="93"/>
      <c r="AF396" s="79"/>
      <c r="AI396" s="326"/>
    </row>
    <row r="397" spans="1:35">
      <c r="A397" s="699"/>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c r="AF397" s="79"/>
      <c r="AI397" s="326"/>
    </row>
    <row r="398" spans="1:35">
      <c r="A398" s="699"/>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c r="AF398" s="79"/>
      <c r="AI398" s="326"/>
    </row>
    <row r="399" spans="1:35">
      <c r="A399" s="699"/>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c r="AF399" s="79"/>
      <c r="AI399" s="326"/>
    </row>
    <row r="400" spans="1:35">
      <c r="A400" s="699"/>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c r="AF400" s="79"/>
      <c r="AI400" s="326"/>
    </row>
    <row r="401" spans="1:35">
      <c r="A401" s="699"/>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c r="AF401" s="79"/>
      <c r="AI401" s="326"/>
    </row>
    <row r="402" spans="1:35">
      <c r="A402" s="699"/>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c r="AF402" s="79"/>
      <c r="AI402" s="326"/>
    </row>
    <row r="403" spans="1:35">
      <c r="A403" s="699"/>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c r="AF403" s="79"/>
      <c r="AI403" s="326"/>
    </row>
    <row r="404" spans="1:35">
      <c r="A404" s="699"/>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c r="AF404" s="79"/>
      <c r="AI404" s="326"/>
    </row>
    <row r="405" spans="1:35">
      <c r="A405" s="699"/>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c r="AF405" s="79"/>
      <c r="AI405" s="326"/>
    </row>
    <row r="406" spans="1:35">
      <c r="A406" s="699"/>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c r="AF406" s="79"/>
      <c r="AI406" s="326"/>
    </row>
    <row r="407" spans="1:35">
      <c r="A407" s="699"/>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c r="AF407" s="79"/>
      <c r="AI407" s="326"/>
    </row>
    <row r="408" spans="1:35">
      <c r="A408" s="699"/>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c r="AF408" s="79"/>
      <c r="AI408" s="326"/>
    </row>
    <row r="409" spans="1:35">
      <c r="A409" s="699"/>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c r="AF409" s="79"/>
      <c r="AI409" s="326"/>
    </row>
    <row r="410" spans="1:35">
      <c r="A410" s="699"/>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c r="AF410" s="79"/>
      <c r="AI410" s="326"/>
    </row>
    <row r="411" spans="1:35">
      <c r="A411" s="699"/>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c r="AF411" s="79"/>
      <c r="AI411" s="326"/>
    </row>
    <row r="412" spans="1:35">
      <c r="A412" s="699"/>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c r="AF412" s="79"/>
      <c r="AI412" s="326"/>
    </row>
    <row r="413" spans="1:35">
      <c r="A413" s="699"/>
      <c r="B413" s="93"/>
      <c r="C413" s="93"/>
      <c r="D413" s="93"/>
      <c r="E413" s="93"/>
      <c r="F413" s="93"/>
      <c r="G413" s="93"/>
      <c r="H413" s="93"/>
      <c r="I413" s="93"/>
      <c r="J413" s="93"/>
      <c r="K413" s="93"/>
      <c r="L413" s="93"/>
      <c r="M413" s="93"/>
      <c r="N413" s="93"/>
      <c r="O413" s="93"/>
      <c r="P413" s="93"/>
      <c r="Q413" s="93"/>
      <c r="R413" s="93"/>
      <c r="S413" s="93"/>
      <c r="T413" s="93"/>
      <c r="U413" s="93"/>
      <c r="V413" s="93"/>
      <c r="W413" s="93"/>
      <c r="X413" s="93"/>
      <c r="Y413" s="93"/>
      <c r="Z413" s="93"/>
      <c r="AA413" s="93"/>
      <c r="AB413" s="93"/>
      <c r="AC413" s="93"/>
      <c r="AD413" s="93"/>
      <c r="AE413" s="93"/>
      <c r="AF413" s="79"/>
      <c r="AI413" s="326"/>
    </row>
    <row r="414" spans="1:35">
      <c r="A414" s="699"/>
      <c r="B414" s="93"/>
      <c r="C414" s="93"/>
      <c r="D414" s="93"/>
      <c r="E414" s="93"/>
      <c r="F414" s="93"/>
      <c r="G414" s="93"/>
      <c r="H414" s="93"/>
      <c r="I414" s="93"/>
      <c r="J414" s="93"/>
      <c r="K414" s="93"/>
      <c r="L414" s="93"/>
      <c r="M414" s="93"/>
      <c r="N414" s="93"/>
      <c r="O414" s="93"/>
      <c r="P414" s="93"/>
      <c r="Q414" s="93"/>
      <c r="R414" s="93"/>
      <c r="S414" s="93"/>
      <c r="T414" s="93"/>
      <c r="U414" s="93"/>
      <c r="V414" s="93"/>
      <c r="W414" s="93"/>
      <c r="X414" s="93"/>
      <c r="Y414" s="93"/>
      <c r="Z414" s="93"/>
      <c r="AA414" s="93"/>
      <c r="AB414" s="93"/>
      <c r="AC414" s="93"/>
      <c r="AD414" s="93"/>
      <c r="AE414" s="93"/>
      <c r="AF414" s="79"/>
      <c r="AI414" s="326"/>
    </row>
    <row r="415" spans="1:35">
      <c r="A415" s="699"/>
      <c r="B415" s="93"/>
      <c r="C415" s="93"/>
      <c r="D415" s="93"/>
      <c r="E415" s="93"/>
      <c r="F415" s="93"/>
      <c r="G415" s="93"/>
      <c r="H415" s="93"/>
      <c r="I415" s="93"/>
      <c r="J415" s="93"/>
      <c r="K415" s="93"/>
      <c r="L415" s="93"/>
      <c r="M415" s="93"/>
      <c r="N415" s="93"/>
      <c r="O415" s="93"/>
      <c r="P415" s="93"/>
      <c r="Q415" s="93"/>
      <c r="R415" s="93"/>
      <c r="S415" s="93"/>
      <c r="T415" s="93"/>
      <c r="U415" s="93"/>
      <c r="V415" s="93"/>
      <c r="W415" s="93"/>
      <c r="X415" s="93"/>
      <c r="Y415" s="93"/>
      <c r="Z415" s="93"/>
      <c r="AA415" s="93"/>
      <c r="AB415" s="93"/>
      <c r="AC415" s="93"/>
      <c r="AD415" s="93"/>
      <c r="AE415" s="93"/>
      <c r="AF415" s="79"/>
      <c r="AI415" s="326"/>
    </row>
    <row r="416" spans="1:35">
      <c r="A416" s="700"/>
      <c r="B416" s="73"/>
      <c r="C416" s="73"/>
      <c r="D416" s="73"/>
      <c r="E416" s="73"/>
      <c r="F416" s="73"/>
      <c r="G416" s="73"/>
      <c r="H416" s="73"/>
      <c r="I416" s="73"/>
      <c r="J416" s="73"/>
      <c r="K416" s="73"/>
      <c r="L416" s="73"/>
      <c r="M416" s="73"/>
      <c r="N416" s="73"/>
      <c r="O416" s="73"/>
      <c r="P416" s="73"/>
      <c r="Q416" s="73"/>
      <c r="R416" s="73"/>
      <c r="S416" s="73"/>
      <c r="T416" s="73"/>
      <c r="U416" s="73"/>
      <c r="V416" s="73"/>
      <c r="W416" s="73"/>
      <c r="X416" s="73"/>
      <c r="Y416" s="73"/>
      <c r="Z416" s="73"/>
      <c r="AA416" s="73"/>
      <c r="AB416" s="73"/>
      <c r="AC416" s="73"/>
      <c r="AD416" s="73"/>
      <c r="AE416" s="73"/>
      <c r="AF416" s="701"/>
      <c r="AI416" s="326"/>
    </row>
    <row r="417" spans="1:35">
      <c r="A417" s="412">
        <v>34.33</v>
      </c>
      <c r="B417" s="412">
        <v>34.33</v>
      </c>
      <c r="C417" s="412">
        <v>34.33</v>
      </c>
      <c r="D417" s="412">
        <v>34.33</v>
      </c>
      <c r="E417" s="301">
        <v>34.33</v>
      </c>
      <c r="F417" s="2286">
        <v>34.33</v>
      </c>
      <c r="G417" s="293">
        <v>34.33</v>
      </c>
      <c r="H417" s="301">
        <v>34.33</v>
      </c>
      <c r="I417" s="2286">
        <v>34.33</v>
      </c>
      <c r="J417" s="293">
        <v>34.33</v>
      </c>
      <c r="K417" s="2286">
        <v>34.33</v>
      </c>
      <c r="L417" s="2286">
        <v>34.33</v>
      </c>
      <c r="M417" s="2286">
        <v>34.33</v>
      </c>
      <c r="N417" s="2286">
        <v>34.33</v>
      </c>
      <c r="O417" s="2286">
        <v>34.33</v>
      </c>
      <c r="P417" s="301">
        <v>34.33</v>
      </c>
      <c r="Q417" s="293">
        <v>34.33</v>
      </c>
      <c r="R417" s="2286">
        <v>34.33</v>
      </c>
      <c r="S417" s="2286">
        <v>34.33</v>
      </c>
      <c r="T417" s="2286">
        <v>34.33</v>
      </c>
      <c r="U417" s="2286">
        <v>34.33</v>
      </c>
      <c r="V417" s="2286">
        <v>34.33</v>
      </c>
      <c r="W417" s="2286">
        <v>34.33</v>
      </c>
      <c r="X417" s="2286">
        <v>34.33</v>
      </c>
      <c r="Y417" s="2286">
        <v>34.33</v>
      </c>
      <c r="Z417" s="2286">
        <v>34.33</v>
      </c>
      <c r="AA417" s="2286">
        <v>34.33</v>
      </c>
      <c r="AB417" s="2286">
        <v>34.33</v>
      </c>
      <c r="AC417" s="2286">
        <v>34.33</v>
      </c>
      <c r="AD417" s="2286">
        <v>34.33</v>
      </c>
      <c r="AE417" s="439">
        <v>64.33</v>
      </c>
      <c r="AF417" s="452">
        <v>63.34</v>
      </c>
      <c r="AG417">
        <v>14</v>
      </c>
      <c r="AI417" s="326"/>
    </row>
    <row r="418" spans="1:35">
      <c r="A418" s="412">
        <v>34.33</v>
      </c>
      <c r="B418" s="440">
        <v>34.33</v>
      </c>
      <c r="C418" s="441">
        <v>34.33</v>
      </c>
      <c r="D418" s="431">
        <v>34.33</v>
      </c>
      <c r="E418" s="301">
        <v>34.33</v>
      </c>
      <c r="F418" s="2286">
        <v>34.33</v>
      </c>
      <c r="G418" s="293">
        <v>34.33</v>
      </c>
      <c r="H418" s="301">
        <v>34.33</v>
      </c>
      <c r="I418" s="2286">
        <v>34.33</v>
      </c>
      <c r="J418" s="293">
        <v>34.33</v>
      </c>
      <c r="K418" s="2286">
        <v>34.33</v>
      </c>
      <c r="L418" s="2286">
        <v>34.33</v>
      </c>
      <c r="M418" s="2286">
        <v>34.33</v>
      </c>
      <c r="N418" s="2286">
        <v>34.33</v>
      </c>
      <c r="O418" s="2286">
        <v>34.33</v>
      </c>
      <c r="P418" s="2286">
        <v>34.33</v>
      </c>
      <c r="Q418" s="2286">
        <v>34.33</v>
      </c>
      <c r="R418" s="2286">
        <v>34.33</v>
      </c>
      <c r="S418" s="2286">
        <v>34.33</v>
      </c>
      <c r="T418" s="2286">
        <v>34.33</v>
      </c>
      <c r="U418" s="2286">
        <v>34.33</v>
      </c>
      <c r="V418" s="2286">
        <v>34.33</v>
      </c>
      <c r="W418" s="2286">
        <v>34.33</v>
      </c>
      <c r="X418" s="2286">
        <v>34.33</v>
      </c>
      <c r="Y418" s="2286">
        <v>34.33</v>
      </c>
      <c r="Z418" s="2286">
        <v>34.33</v>
      </c>
      <c r="AA418" s="2286">
        <v>34.33</v>
      </c>
      <c r="AB418" s="2286">
        <v>34.33</v>
      </c>
      <c r="AC418" s="2286">
        <v>34.33</v>
      </c>
      <c r="AD418" s="439">
        <v>64.33</v>
      </c>
      <c r="AE418" s="452">
        <v>63.34</v>
      </c>
      <c r="AI418" s="326"/>
    </row>
    <row r="419" spans="1:35">
      <c r="A419" s="412">
        <v>34.33</v>
      </c>
      <c r="B419" s="431">
        <v>34.33</v>
      </c>
      <c r="C419" s="431">
        <v>34.33</v>
      </c>
      <c r="D419" s="431">
        <v>34.33</v>
      </c>
      <c r="E419" s="301">
        <v>34.33</v>
      </c>
      <c r="F419" s="2286">
        <v>34.33</v>
      </c>
      <c r="G419" s="293">
        <v>34.33</v>
      </c>
      <c r="H419" s="301">
        <v>34.33</v>
      </c>
      <c r="I419" s="2286">
        <v>34.33</v>
      </c>
      <c r="J419" s="293">
        <v>34.33</v>
      </c>
      <c r="K419" s="2286">
        <v>34.33</v>
      </c>
      <c r="L419" s="2286">
        <v>34.33</v>
      </c>
      <c r="M419" s="2286">
        <v>34.33</v>
      </c>
      <c r="N419" s="2286">
        <v>34.33</v>
      </c>
      <c r="O419" s="2286">
        <v>34.33</v>
      </c>
      <c r="P419" s="2286">
        <v>34.33</v>
      </c>
      <c r="Q419" s="2286">
        <v>34.33</v>
      </c>
      <c r="R419" s="2286">
        <v>34.33</v>
      </c>
      <c r="S419" s="293">
        <v>34.33</v>
      </c>
      <c r="T419" s="293">
        <v>34.33</v>
      </c>
      <c r="U419" s="293">
        <v>34.33</v>
      </c>
      <c r="V419" s="293">
        <v>34.33</v>
      </c>
      <c r="W419" s="2286">
        <v>34.33</v>
      </c>
      <c r="X419" s="2286">
        <v>34.33</v>
      </c>
      <c r="Y419" s="2286">
        <v>34.33</v>
      </c>
      <c r="Z419" s="2286">
        <v>34.33</v>
      </c>
      <c r="AA419" s="2286">
        <v>34.33</v>
      </c>
      <c r="AB419" s="2286">
        <v>34.33</v>
      </c>
      <c r="AC419" s="439">
        <v>64.33</v>
      </c>
      <c r="AD419" s="452">
        <v>63.34</v>
      </c>
      <c r="AI419" s="326"/>
    </row>
    <row r="420" spans="1:35">
      <c r="A420" s="301">
        <v>34.33</v>
      </c>
      <c r="B420" s="301">
        <v>34.33</v>
      </c>
      <c r="C420" s="301">
        <v>34.33</v>
      </c>
      <c r="D420" s="301">
        <v>34.33</v>
      </c>
      <c r="E420" s="2286">
        <v>34.33</v>
      </c>
      <c r="F420" s="2286">
        <v>34.33</v>
      </c>
      <c r="G420" s="293">
        <v>34.33</v>
      </c>
      <c r="H420" s="301">
        <v>34.33</v>
      </c>
      <c r="I420" s="2286">
        <v>34.33</v>
      </c>
      <c r="J420" s="293">
        <v>34.33</v>
      </c>
      <c r="K420" s="2286">
        <v>34.33</v>
      </c>
      <c r="L420" s="2286">
        <v>34.33</v>
      </c>
      <c r="M420" s="2286">
        <v>34.33</v>
      </c>
      <c r="N420" s="2286">
        <v>34.33</v>
      </c>
      <c r="O420" s="2286">
        <v>34.33</v>
      </c>
      <c r="P420" s="2286">
        <v>34.33</v>
      </c>
      <c r="Q420" s="2286">
        <v>34.33</v>
      </c>
      <c r="R420" s="2286">
        <v>34.33</v>
      </c>
      <c r="S420" s="293">
        <v>34.33</v>
      </c>
      <c r="T420" s="2286">
        <v>34.33</v>
      </c>
      <c r="U420" s="2286">
        <v>34.33</v>
      </c>
      <c r="V420" s="2286">
        <v>34.33</v>
      </c>
      <c r="W420" s="301">
        <v>34.33</v>
      </c>
      <c r="X420" s="2286">
        <v>34.33</v>
      </c>
      <c r="Y420" s="2286">
        <v>34.33</v>
      </c>
      <c r="Z420" s="2286">
        <v>34.33</v>
      </c>
      <c r="AA420" s="2286">
        <v>34.33</v>
      </c>
      <c r="AB420" s="439">
        <v>64.33</v>
      </c>
      <c r="AC420" s="452">
        <v>63.34</v>
      </c>
      <c r="AG420">
        <v>-1</v>
      </c>
      <c r="AI420" s="326"/>
    </row>
    <row r="421" spans="1:35">
      <c r="A421" s="2286">
        <v>34.33</v>
      </c>
      <c r="B421" s="2286">
        <v>34.33</v>
      </c>
      <c r="C421" s="2286">
        <v>34.33</v>
      </c>
      <c r="D421" s="2286">
        <v>34.33</v>
      </c>
      <c r="E421" s="2286">
        <v>34.33</v>
      </c>
      <c r="F421" s="293">
        <v>34.33</v>
      </c>
      <c r="G421" s="293">
        <v>34.33</v>
      </c>
      <c r="H421" s="301">
        <v>34.33</v>
      </c>
      <c r="I421" s="2286">
        <v>34.33</v>
      </c>
      <c r="J421" s="293">
        <v>34.33</v>
      </c>
      <c r="K421" s="2286">
        <v>34.33</v>
      </c>
      <c r="L421" s="2286">
        <v>34.33</v>
      </c>
      <c r="M421" s="2286">
        <v>34.33</v>
      </c>
      <c r="N421" s="2286">
        <v>34.33</v>
      </c>
      <c r="O421" s="2286">
        <v>34.33</v>
      </c>
      <c r="P421" s="301">
        <v>34.33</v>
      </c>
      <c r="Q421" s="293">
        <v>34.33</v>
      </c>
      <c r="R421" s="2286">
        <v>34.33</v>
      </c>
      <c r="S421" s="293">
        <v>34.33</v>
      </c>
      <c r="T421" s="2286">
        <v>34.33</v>
      </c>
      <c r="U421" s="2286">
        <v>34.33</v>
      </c>
      <c r="V421" s="301">
        <v>34.33</v>
      </c>
      <c r="W421" s="2286">
        <v>34.33</v>
      </c>
      <c r="X421" s="2286">
        <v>34.33</v>
      </c>
      <c r="Y421" s="2286">
        <v>34.33</v>
      </c>
      <c r="Z421" s="2286">
        <v>34.33</v>
      </c>
      <c r="AA421" s="439">
        <v>64.33</v>
      </c>
      <c r="AB421" s="452">
        <v>63.34</v>
      </c>
      <c r="AI421" s="326"/>
    </row>
    <row r="422" spans="1:35">
      <c r="A422" s="293">
        <v>34.33</v>
      </c>
      <c r="B422" s="293">
        <v>34.33</v>
      </c>
      <c r="C422" s="293">
        <v>34.33</v>
      </c>
      <c r="D422" s="293">
        <v>34.33</v>
      </c>
      <c r="E422" s="293">
        <v>34.33</v>
      </c>
      <c r="F422" s="293">
        <v>34.33</v>
      </c>
      <c r="G422" s="301">
        <v>34.33</v>
      </c>
      <c r="H422" s="301">
        <v>34.33</v>
      </c>
      <c r="I422" s="2286">
        <v>34.33</v>
      </c>
      <c r="J422" s="293">
        <v>34.33</v>
      </c>
      <c r="K422" s="2286">
        <v>34.33</v>
      </c>
      <c r="L422" s="2286">
        <v>34.33</v>
      </c>
      <c r="M422" s="2286">
        <v>34.33</v>
      </c>
      <c r="N422" s="2286">
        <v>34.33</v>
      </c>
      <c r="O422" s="2286">
        <v>34.33</v>
      </c>
      <c r="P422" s="2286">
        <v>34.33</v>
      </c>
      <c r="Q422" s="2286">
        <v>34.33</v>
      </c>
      <c r="R422" s="2286">
        <v>34.33</v>
      </c>
      <c r="S422" s="293">
        <v>34.33</v>
      </c>
      <c r="T422" s="2286">
        <v>34.33</v>
      </c>
      <c r="U422" s="301">
        <v>34.33</v>
      </c>
      <c r="V422" s="2286">
        <v>34.33</v>
      </c>
      <c r="W422" s="2286">
        <v>34.33</v>
      </c>
      <c r="X422" s="2286">
        <v>34.33</v>
      </c>
      <c r="Y422" s="2286">
        <v>34.33</v>
      </c>
      <c r="Z422" s="439">
        <v>64.33</v>
      </c>
      <c r="AA422" s="452">
        <v>63.34</v>
      </c>
      <c r="AI422" s="326"/>
    </row>
    <row r="423" spans="1:35">
      <c r="A423" s="301">
        <v>34.33</v>
      </c>
      <c r="B423" s="301">
        <v>34.33</v>
      </c>
      <c r="C423" s="301">
        <v>34.33</v>
      </c>
      <c r="D423" s="301">
        <v>34.33</v>
      </c>
      <c r="E423" s="301">
        <v>34.33</v>
      </c>
      <c r="F423" s="301">
        <v>34.33</v>
      </c>
      <c r="G423" s="301">
        <v>34.33</v>
      </c>
      <c r="H423" s="2286">
        <v>34.33</v>
      </c>
      <c r="I423" s="2286">
        <v>34.33</v>
      </c>
      <c r="J423" s="293">
        <v>34.33</v>
      </c>
      <c r="K423" s="2286">
        <v>34.33</v>
      </c>
      <c r="L423" s="2286">
        <v>34.33</v>
      </c>
      <c r="M423" s="2286">
        <v>34.33</v>
      </c>
      <c r="N423" s="2286">
        <v>34.33</v>
      </c>
      <c r="O423" s="2286">
        <v>34.33</v>
      </c>
      <c r="P423" s="2286">
        <v>34.33</v>
      </c>
      <c r="Q423" s="2286">
        <v>34.33</v>
      </c>
      <c r="R423" s="2286">
        <v>34.33</v>
      </c>
      <c r="S423" s="2286">
        <v>34.33</v>
      </c>
      <c r="T423" s="301">
        <v>34.33</v>
      </c>
      <c r="U423" s="2286">
        <v>34.33</v>
      </c>
      <c r="V423" s="2286">
        <v>34.33</v>
      </c>
      <c r="W423" s="2286">
        <v>34.33</v>
      </c>
      <c r="X423" s="2286">
        <v>34.33</v>
      </c>
      <c r="Y423" s="439">
        <v>64.33</v>
      </c>
      <c r="Z423" s="307">
        <v>63.34</v>
      </c>
      <c r="AI423" s="326"/>
    </row>
    <row r="424" spans="1:35">
      <c r="A424" s="2286">
        <v>34.33</v>
      </c>
      <c r="B424" s="2286">
        <v>34.33</v>
      </c>
      <c r="C424" s="2286">
        <v>34.33</v>
      </c>
      <c r="D424" s="2286">
        <v>34.33</v>
      </c>
      <c r="E424" s="2286">
        <v>34.33</v>
      </c>
      <c r="F424" s="2286">
        <v>34.33</v>
      </c>
      <c r="G424" s="2286">
        <v>34.33</v>
      </c>
      <c r="H424" s="2286">
        <v>34.33</v>
      </c>
      <c r="I424" s="293">
        <v>34.33</v>
      </c>
      <c r="J424" s="2286">
        <v>34.33</v>
      </c>
      <c r="K424" s="2286">
        <v>34.33</v>
      </c>
      <c r="L424" s="2286">
        <v>34.33</v>
      </c>
      <c r="M424" s="2286">
        <v>34.33</v>
      </c>
      <c r="N424" s="2286">
        <v>34.33</v>
      </c>
      <c r="O424" s="2286">
        <v>34.33</v>
      </c>
      <c r="P424" s="2286">
        <v>34.33</v>
      </c>
      <c r="Q424" s="2286">
        <v>34.33</v>
      </c>
      <c r="R424" s="2286">
        <v>34.33</v>
      </c>
      <c r="S424" s="2286">
        <v>34.33</v>
      </c>
      <c r="T424" s="2286">
        <v>34.33</v>
      </c>
      <c r="U424" s="2286">
        <v>34.33</v>
      </c>
      <c r="V424" s="2286">
        <v>34.33</v>
      </c>
      <c r="W424" s="2286">
        <v>34.33</v>
      </c>
      <c r="X424" s="439">
        <v>64.33</v>
      </c>
      <c r="Y424" s="452">
        <v>63.34</v>
      </c>
      <c r="AI424" s="326"/>
    </row>
    <row r="425" spans="1:35">
      <c r="A425" s="293">
        <v>34.33</v>
      </c>
      <c r="B425" s="293">
        <v>34.33</v>
      </c>
      <c r="C425" s="293">
        <v>34.33</v>
      </c>
      <c r="D425" s="293">
        <v>34.33</v>
      </c>
      <c r="E425" s="293">
        <v>34.33</v>
      </c>
      <c r="F425" s="293">
        <v>34.33</v>
      </c>
      <c r="G425" s="293">
        <v>34.33</v>
      </c>
      <c r="H425" s="293">
        <v>34.33</v>
      </c>
      <c r="I425" s="2286">
        <v>34.33</v>
      </c>
      <c r="J425" s="2286">
        <v>34.33</v>
      </c>
      <c r="K425" s="2286">
        <v>34.33</v>
      </c>
      <c r="L425" s="2286">
        <v>34.33</v>
      </c>
      <c r="M425" s="2286">
        <v>34.33</v>
      </c>
      <c r="N425" s="2286">
        <v>34.33</v>
      </c>
      <c r="O425" s="2286">
        <v>34.33</v>
      </c>
      <c r="P425" s="301">
        <v>34.33</v>
      </c>
      <c r="Q425" s="293">
        <v>34.33</v>
      </c>
      <c r="R425" s="2286">
        <v>34.33</v>
      </c>
      <c r="S425" s="2286">
        <v>34.33</v>
      </c>
      <c r="T425" s="2286">
        <v>34.33</v>
      </c>
      <c r="U425" s="2286">
        <v>34.33</v>
      </c>
      <c r="V425" s="2286">
        <v>34.33</v>
      </c>
      <c r="W425" s="439">
        <v>64.33</v>
      </c>
      <c r="X425" s="307">
        <v>63.34</v>
      </c>
      <c r="AI425" s="326"/>
    </row>
    <row r="426" spans="1:35">
      <c r="A426" s="2286">
        <v>34.33</v>
      </c>
      <c r="B426" s="2286">
        <v>34.33</v>
      </c>
      <c r="C426" s="2286">
        <v>34.33</v>
      </c>
      <c r="D426" s="2286">
        <v>34.33</v>
      </c>
      <c r="E426" s="2286">
        <v>34.33</v>
      </c>
      <c r="F426" s="2286">
        <v>34.33</v>
      </c>
      <c r="G426" s="2286">
        <v>34.33</v>
      </c>
      <c r="H426" s="2286">
        <v>34.33</v>
      </c>
      <c r="I426" s="2286">
        <v>34.33</v>
      </c>
      <c r="J426" s="2286">
        <v>34.33</v>
      </c>
      <c r="K426" s="2286">
        <v>34.33</v>
      </c>
      <c r="L426" s="2286">
        <v>34.33</v>
      </c>
      <c r="M426" s="2286">
        <v>34.33</v>
      </c>
      <c r="N426" s="2286">
        <v>34.33</v>
      </c>
      <c r="O426" s="2286">
        <v>34.33</v>
      </c>
      <c r="P426" s="2286">
        <v>34.33</v>
      </c>
      <c r="Q426" s="2286">
        <v>34.33</v>
      </c>
      <c r="R426" s="2286">
        <v>34.33</v>
      </c>
      <c r="S426" s="2286">
        <v>34.33</v>
      </c>
      <c r="T426" s="2286">
        <v>34.33</v>
      </c>
      <c r="U426" s="2286">
        <v>34.33</v>
      </c>
      <c r="V426" s="439">
        <v>64.33</v>
      </c>
      <c r="W426" s="307">
        <v>63.34</v>
      </c>
      <c r="AI426" s="326"/>
    </row>
    <row r="427" spans="1:35">
      <c r="A427" s="2286">
        <v>34.33</v>
      </c>
      <c r="B427" s="2286">
        <v>34.33</v>
      </c>
      <c r="C427" s="2286">
        <v>34.33</v>
      </c>
      <c r="D427" s="2286">
        <v>34.33</v>
      </c>
      <c r="E427" s="2286">
        <v>34.33</v>
      </c>
      <c r="F427" s="2286">
        <v>34.33</v>
      </c>
      <c r="G427" s="2286">
        <v>34.33</v>
      </c>
      <c r="H427" s="2286">
        <v>34.33</v>
      </c>
      <c r="I427" s="2286">
        <v>34.33</v>
      </c>
      <c r="J427" s="2286">
        <v>34.33</v>
      </c>
      <c r="K427" s="2286">
        <v>34.33</v>
      </c>
      <c r="L427" s="2286">
        <v>34.33</v>
      </c>
      <c r="M427" s="2286">
        <v>34.33</v>
      </c>
      <c r="N427" s="2286">
        <v>34.33</v>
      </c>
      <c r="O427" s="2286">
        <v>34.33</v>
      </c>
      <c r="P427" s="2286">
        <v>34.33</v>
      </c>
      <c r="Q427" s="2286">
        <v>34.33</v>
      </c>
      <c r="R427" s="2286">
        <v>34.33</v>
      </c>
      <c r="S427" s="2286">
        <v>34.33</v>
      </c>
      <c r="T427" s="2286">
        <v>34.33</v>
      </c>
      <c r="U427" s="439">
        <v>64.33</v>
      </c>
      <c r="V427" s="452">
        <v>63.34</v>
      </c>
      <c r="AI427" s="326"/>
    </row>
    <row r="428" spans="1:35">
      <c r="A428" s="2286">
        <v>34.33</v>
      </c>
      <c r="B428" s="2286">
        <v>34.33</v>
      </c>
      <c r="C428" s="2286">
        <v>34.33</v>
      </c>
      <c r="D428" s="2286">
        <v>34.33</v>
      </c>
      <c r="E428" s="2286">
        <v>34.33</v>
      </c>
      <c r="F428" s="2286">
        <v>34.33</v>
      </c>
      <c r="G428" s="2286">
        <v>34.33</v>
      </c>
      <c r="H428" s="2286">
        <v>34.33</v>
      </c>
      <c r="I428" s="2286">
        <v>34.33</v>
      </c>
      <c r="J428" s="2286">
        <v>34.33</v>
      </c>
      <c r="K428" s="2286">
        <v>34.33</v>
      </c>
      <c r="L428" s="2286">
        <v>34.33</v>
      </c>
      <c r="M428" s="2286">
        <v>34.33</v>
      </c>
      <c r="N428" s="2286">
        <v>34.33</v>
      </c>
      <c r="O428" s="2286">
        <v>34.33</v>
      </c>
      <c r="P428" s="2286">
        <v>34.33</v>
      </c>
      <c r="Q428" s="2286">
        <v>34.33</v>
      </c>
      <c r="R428" s="2286">
        <v>34.33</v>
      </c>
      <c r="S428" s="2286">
        <v>34.33</v>
      </c>
      <c r="T428" s="439">
        <v>64.33</v>
      </c>
      <c r="U428" s="307">
        <v>63.34</v>
      </c>
      <c r="AI428" s="326"/>
    </row>
    <row r="429" spans="1:35">
      <c r="A429" s="2286">
        <v>34.33</v>
      </c>
      <c r="B429" s="2286">
        <v>34.33</v>
      </c>
      <c r="C429" s="2286">
        <v>34.33</v>
      </c>
      <c r="D429" s="2286">
        <v>34.33</v>
      </c>
      <c r="E429" s="2286">
        <v>34.33</v>
      </c>
      <c r="F429" s="2286">
        <v>34.33</v>
      </c>
      <c r="G429" s="2286">
        <v>34.33</v>
      </c>
      <c r="H429" s="2286">
        <v>34.33</v>
      </c>
      <c r="I429" s="2286">
        <v>34.33</v>
      </c>
      <c r="J429" s="2286">
        <v>34.33</v>
      </c>
      <c r="K429" s="2286">
        <v>34.33</v>
      </c>
      <c r="L429" s="2286">
        <v>34.33</v>
      </c>
      <c r="M429" s="2286">
        <v>34.33</v>
      </c>
      <c r="N429" s="2286">
        <v>34.33</v>
      </c>
      <c r="O429" s="2286">
        <v>34.33</v>
      </c>
      <c r="P429" s="301">
        <v>34.33</v>
      </c>
      <c r="Q429" s="293">
        <v>34.33</v>
      </c>
      <c r="R429" s="2286">
        <v>34.33</v>
      </c>
      <c r="S429" s="439">
        <v>64.33</v>
      </c>
      <c r="T429" s="452">
        <v>63.34</v>
      </c>
      <c r="AI429" s="326"/>
    </row>
    <row r="430" spans="1:35">
      <c r="A430" s="2286">
        <v>34.33</v>
      </c>
      <c r="B430" s="2286">
        <v>34.33</v>
      </c>
      <c r="C430" s="2286">
        <v>34.33</v>
      </c>
      <c r="D430" s="2286">
        <v>34.33</v>
      </c>
      <c r="E430" s="2286">
        <v>34.33</v>
      </c>
      <c r="F430" s="2286">
        <v>34.33</v>
      </c>
      <c r="G430" s="2286">
        <v>34.33</v>
      </c>
      <c r="H430" s="2286">
        <v>34.33</v>
      </c>
      <c r="I430" s="2286">
        <v>34.33</v>
      </c>
      <c r="J430" s="2286">
        <v>34.33</v>
      </c>
      <c r="K430" s="2286">
        <v>34.33</v>
      </c>
      <c r="L430" s="2286">
        <v>34.33</v>
      </c>
      <c r="M430" s="2286">
        <v>34.33</v>
      </c>
      <c r="N430" s="2286">
        <v>34.33</v>
      </c>
      <c r="O430" s="2286">
        <v>34.33</v>
      </c>
      <c r="P430" s="2286">
        <v>34.33</v>
      </c>
      <c r="Q430" s="2286">
        <v>34.33</v>
      </c>
      <c r="R430" s="439">
        <v>64.33</v>
      </c>
      <c r="S430" s="452">
        <v>63.34</v>
      </c>
      <c r="AI430" s="326"/>
    </row>
    <row r="431" spans="1:35">
      <c r="A431" s="2286">
        <v>34.33</v>
      </c>
      <c r="B431" s="2286">
        <v>34.33</v>
      </c>
      <c r="C431" s="2286">
        <v>34.33</v>
      </c>
      <c r="D431" s="2286">
        <v>34.33</v>
      </c>
      <c r="E431" s="2286">
        <v>34.33</v>
      </c>
      <c r="F431" s="2286">
        <v>34.33</v>
      </c>
      <c r="G431" s="2286">
        <v>34.33</v>
      </c>
      <c r="H431" s="2286">
        <v>34.33</v>
      </c>
      <c r="I431" s="2286">
        <v>34.33</v>
      </c>
      <c r="J431" s="2286">
        <v>34.33</v>
      </c>
      <c r="K431" s="2286">
        <v>34.33</v>
      </c>
      <c r="L431" s="2286">
        <v>34.33</v>
      </c>
      <c r="M431" s="2286">
        <v>34.33</v>
      </c>
      <c r="N431" s="2286">
        <v>34.33</v>
      </c>
      <c r="O431" s="2286">
        <v>34.33</v>
      </c>
      <c r="P431" s="2286">
        <v>34.33</v>
      </c>
      <c r="Q431" s="439">
        <v>64.33</v>
      </c>
      <c r="R431" s="452">
        <v>63.34</v>
      </c>
      <c r="AI431" s="326"/>
    </row>
    <row r="432" spans="1:35">
      <c r="A432" s="301">
        <v>34.33</v>
      </c>
      <c r="B432" s="2286">
        <v>34.33</v>
      </c>
      <c r="C432" s="2286">
        <v>34.33</v>
      </c>
      <c r="D432" s="2286">
        <v>34.33</v>
      </c>
      <c r="E432" s="301">
        <v>34.33</v>
      </c>
      <c r="F432" s="2286">
        <v>34.33</v>
      </c>
      <c r="G432" s="2286">
        <v>34.33</v>
      </c>
      <c r="H432" s="2286">
        <v>34.33</v>
      </c>
      <c r="I432" s="301">
        <v>34.33</v>
      </c>
      <c r="J432" s="2286">
        <v>34.33</v>
      </c>
      <c r="K432" s="2286">
        <v>34.33</v>
      </c>
      <c r="L432" s="2286">
        <v>34.33</v>
      </c>
      <c r="M432" s="301">
        <v>34.33</v>
      </c>
      <c r="N432" s="2286">
        <v>34.33</v>
      </c>
      <c r="O432" s="2286">
        <v>34.33</v>
      </c>
      <c r="P432" s="439">
        <v>64.33</v>
      </c>
      <c r="Q432" s="452">
        <v>63.34</v>
      </c>
      <c r="AI432" s="326"/>
    </row>
    <row r="433" spans="1:35">
      <c r="A433" s="293">
        <v>34.33</v>
      </c>
      <c r="B433" s="2286">
        <v>34.33</v>
      </c>
      <c r="C433" s="2286">
        <v>34.33</v>
      </c>
      <c r="D433" s="2286">
        <v>34.33</v>
      </c>
      <c r="E433" s="293">
        <v>34.33</v>
      </c>
      <c r="F433" s="2286">
        <v>34.33</v>
      </c>
      <c r="G433" s="2286">
        <v>34.33</v>
      </c>
      <c r="H433" s="2286">
        <v>34.33</v>
      </c>
      <c r="I433" s="293">
        <v>34.33</v>
      </c>
      <c r="J433" s="2286">
        <v>34.33</v>
      </c>
      <c r="K433" s="2286">
        <v>34.33</v>
      </c>
      <c r="L433" s="2286">
        <v>34.33</v>
      </c>
      <c r="M433" s="293">
        <v>34.33</v>
      </c>
      <c r="N433" s="2286">
        <v>34.33</v>
      </c>
      <c r="O433" s="439">
        <v>64.33</v>
      </c>
      <c r="P433" s="452">
        <v>63.34</v>
      </c>
      <c r="AI433" s="326"/>
    </row>
    <row r="434" spans="1:35">
      <c r="A434" s="2286">
        <v>34.33</v>
      </c>
      <c r="B434" s="2286">
        <v>34.33</v>
      </c>
      <c r="C434" s="2286">
        <v>34.33</v>
      </c>
      <c r="D434" s="2286">
        <v>34.33</v>
      </c>
      <c r="E434" s="2286">
        <v>34.33</v>
      </c>
      <c r="F434" s="2286">
        <v>34.33</v>
      </c>
      <c r="G434" s="2286">
        <v>34.33</v>
      </c>
      <c r="H434" s="2286">
        <v>34.33</v>
      </c>
      <c r="I434" s="2286">
        <v>34.33</v>
      </c>
      <c r="J434" s="2286">
        <v>34.33</v>
      </c>
      <c r="K434" s="2286">
        <v>34.33</v>
      </c>
      <c r="L434" s="2286">
        <v>34.33</v>
      </c>
      <c r="M434" s="2286">
        <v>34.33</v>
      </c>
      <c r="N434" s="439">
        <v>64.33</v>
      </c>
      <c r="O434" s="452">
        <v>63.34</v>
      </c>
      <c r="AI434" s="326"/>
    </row>
    <row r="435" spans="1:35">
      <c r="A435" s="2286">
        <v>34.33</v>
      </c>
      <c r="B435" s="2286">
        <v>34.33</v>
      </c>
      <c r="C435" s="293">
        <v>34.33</v>
      </c>
      <c r="D435" s="293">
        <v>34.33</v>
      </c>
      <c r="E435" s="293">
        <v>34.33</v>
      </c>
      <c r="F435" s="293">
        <v>34.33</v>
      </c>
      <c r="G435" s="2286">
        <v>34.33</v>
      </c>
      <c r="H435" s="2286">
        <v>34.33</v>
      </c>
      <c r="I435" s="2286">
        <v>34.33</v>
      </c>
      <c r="J435" s="2286">
        <v>34.33</v>
      </c>
      <c r="K435" s="2286">
        <v>34.33</v>
      </c>
      <c r="L435" s="2286">
        <v>34.33</v>
      </c>
      <c r="M435" s="439">
        <v>64.33</v>
      </c>
      <c r="N435" s="452">
        <v>63.34</v>
      </c>
      <c r="AI435" s="326"/>
    </row>
    <row r="436" spans="1:35">
      <c r="A436" s="2286">
        <v>34.33</v>
      </c>
      <c r="B436" s="2286">
        <v>34.33</v>
      </c>
      <c r="C436" s="293">
        <v>34.33</v>
      </c>
      <c r="D436" s="2286">
        <v>34.33</v>
      </c>
      <c r="E436" s="2286">
        <v>34.33</v>
      </c>
      <c r="F436" s="2286">
        <v>34.33</v>
      </c>
      <c r="G436" s="301">
        <v>34.33</v>
      </c>
      <c r="H436" s="2286">
        <v>34.33</v>
      </c>
      <c r="I436" s="2286">
        <v>34.33</v>
      </c>
      <c r="J436" s="2286">
        <v>34.33</v>
      </c>
      <c r="K436" s="2286">
        <v>34.33</v>
      </c>
      <c r="L436" s="439">
        <v>64.33</v>
      </c>
      <c r="M436" s="452">
        <v>63.34</v>
      </c>
      <c r="AI436" s="326"/>
    </row>
    <row r="437" spans="1:35">
      <c r="A437" s="2286">
        <v>34.33</v>
      </c>
      <c r="B437" s="2286">
        <v>34.33</v>
      </c>
      <c r="C437" s="293">
        <v>34.33</v>
      </c>
      <c r="D437" s="2286">
        <v>34.33</v>
      </c>
      <c r="E437" s="2286">
        <v>34.33</v>
      </c>
      <c r="F437" s="301">
        <v>34.33</v>
      </c>
      <c r="G437" s="2286">
        <v>34.33</v>
      </c>
      <c r="H437" s="2286">
        <v>34.33</v>
      </c>
      <c r="I437" s="2286">
        <v>34.33</v>
      </c>
      <c r="J437" s="2286">
        <v>34.33</v>
      </c>
      <c r="K437" s="439">
        <v>64.33</v>
      </c>
      <c r="L437" s="307">
        <v>63.34</v>
      </c>
      <c r="AI437" s="326"/>
    </row>
    <row r="438" spans="1:35">
      <c r="A438" s="2286">
        <v>34.33</v>
      </c>
      <c r="B438" s="2286">
        <v>34.33</v>
      </c>
      <c r="C438" s="293">
        <v>34.33</v>
      </c>
      <c r="D438" s="2286">
        <v>34.33</v>
      </c>
      <c r="E438" s="301">
        <v>34.33</v>
      </c>
      <c r="F438" s="2286">
        <v>34.33</v>
      </c>
      <c r="G438" s="2286">
        <v>34.33</v>
      </c>
      <c r="H438" s="2286">
        <v>34.33</v>
      </c>
      <c r="I438" s="2286">
        <v>34.33</v>
      </c>
      <c r="J438" s="439">
        <v>64.33</v>
      </c>
      <c r="K438" s="452">
        <v>63.34</v>
      </c>
      <c r="AI438" s="326"/>
    </row>
    <row r="439" spans="1:35">
      <c r="A439" s="2286">
        <v>34.33</v>
      </c>
      <c r="B439" s="2286">
        <v>34.33</v>
      </c>
      <c r="C439" s="2286">
        <v>34.33</v>
      </c>
      <c r="D439" s="301">
        <v>34.33</v>
      </c>
      <c r="E439" s="2286">
        <v>34.33</v>
      </c>
      <c r="F439" s="2286">
        <v>34.33</v>
      </c>
      <c r="G439" s="2286">
        <v>34.33</v>
      </c>
      <c r="H439" s="2286">
        <v>34.33</v>
      </c>
      <c r="I439" s="439">
        <v>64.33</v>
      </c>
      <c r="J439" s="307">
        <v>63.34</v>
      </c>
      <c r="AI439" s="326"/>
    </row>
    <row r="440" spans="1:35">
      <c r="A440" s="2286">
        <v>34.33</v>
      </c>
      <c r="B440" s="2286">
        <v>34.33</v>
      </c>
      <c r="C440" s="2286">
        <v>34.33</v>
      </c>
      <c r="D440" s="2286">
        <v>34.33</v>
      </c>
      <c r="E440" s="2286">
        <v>34.33</v>
      </c>
      <c r="F440" s="2286">
        <v>34.33</v>
      </c>
      <c r="G440" s="2286">
        <v>34.33</v>
      </c>
      <c r="H440" s="439">
        <v>64.33</v>
      </c>
      <c r="I440" s="307">
        <v>63.34</v>
      </c>
      <c r="AI440" s="326"/>
    </row>
    <row r="441" spans="1:35">
      <c r="A441" s="2286">
        <v>34.33</v>
      </c>
      <c r="B441" s="2286">
        <v>34.33</v>
      </c>
      <c r="C441" s="2286">
        <v>34.33</v>
      </c>
      <c r="D441" s="2286">
        <v>34.33</v>
      </c>
      <c r="E441" s="2286">
        <v>34.33</v>
      </c>
      <c r="F441" s="2286">
        <v>34.33</v>
      </c>
      <c r="G441" s="439">
        <v>64.33</v>
      </c>
      <c r="H441" s="452">
        <v>63.34</v>
      </c>
      <c r="AI441" s="326"/>
    </row>
    <row r="442" spans="1:35">
      <c r="A442" s="2286">
        <v>34.33</v>
      </c>
      <c r="B442" s="2286">
        <v>34.33</v>
      </c>
      <c r="C442" s="2286">
        <v>34.33</v>
      </c>
      <c r="D442" s="2286">
        <v>34.33</v>
      </c>
      <c r="E442" s="2286">
        <v>34.33</v>
      </c>
      <c r="F442" s="439">
        <v>64.33</v>
      </c>
      <c r="G442" s="307">
        <v>63.34</v>
      </c>
      <c r="AI442" s="326"/>
    </row>
    <row r="443" spans="1:35">
      <c r="A443" s="2286">
        <v>34.33</v>
      </c>
      <c r="B443" s="2286">
        <v>34.33</v>
      </c>
      <c r="C443" s="2286">
        <v>34.33</v>
      </c>
      <c r="D443" s="2286">
        <v>34.33</v>
      </c>
      <c r="E443" s="439">
        <v>64.33</v>
      </c>
      <c r="F443" s="452">
        <v>63.34</v>
      </c>
      <c r="AI443" s="326"/>
    </row>
    <row r="444" spans="1:35">
      <c r="A444" s="2286">
        <v>34.33</v>
      </c>
      <c r="B444" s="2286">
        <v>34.33</v>
      </c>
      <c r="C444" s="2286">
        <v>34.33</v>
      </c>
      <c r="D444" s="439">
        <v>64.33</v>
      </c>
      <c r="E444" s="452">
        <v>63.34</v>
      </c>
      <c r="AI444" s="326"/>
    </row>
    <row r="445" spans="1:35">
      <c r="A445" s="2286">
        <v>34.33</v>
      </c>
      <c r="B445" s="2286">
        <v>34.33</v>
      </c>
      <c r="C445" s="439">
        <v>64.33</v>
      </c>
      <c r="D445" s="452">
        <v>63.34</v>
      </c>
      <c r="AI445" s="326"/>
    </row>
    <row r="446" spans="1:35">
      <c r="A446" s="2286">
        <v>34.33</v>
      </c>
      <c r="B446" s="439">
        <v>64.33</v>
      </c>
      <c r="C446" s="452">
        <v>63.34</v>
      </c>
      <c r="AI446" s="326"/>
    </row>
    <row r="447" spans="1:35">
      <c r="A447" s="439">
        <v>64.33</v>
      </c>
      <c r="B447" s="452">
        <v>63.34</v>
      </c>
      <c r="AI447" s="326"/>
    </row>
    <row r="448" spans="1:35">
      <c r="A448" s="452">
        <v>64.33</v>
      </c>
      <c r="AI448" s="326"/>
    </row>
    <row r="449" spans="1:35">
      <c r="A449" s="189">
        <v>36.36</v>
      </c>
      <c r="B449" s="301">
        <v>36.36</v>
      </c>
      <c r="C449" s="301">
        <v>36.36</v>
      </c>
      <c r="D449" s="301">
        <v>36.36</v>
      </c>
      <c r="E449" s="301">
        <v>36.36</v>
      </c>
      <c r="F449" s="301">
        <v>36.36</v>
      </c>
      <c r="G449" s="301">
        <v>36.36</v>
      </c>
      <c r="H449" s="301">
        <v>36.36</v>
      </c>
      <c r="I449" s="301">
        <v>36.36</v>
      </c>
      <c r="J449" s="301">
        <v>36.36</v>
      </c>
      <c r="K449" s="301">
        <v>36.36</v>
      </c>
      <c r="L449" s="301">
        <v>36.36</v>
      </c>
      <c r="M449" s="301">
        <v>36.31</v>
      </c>
      <c r="N449" s="301">
        <v>36.31</v>
      </c>
      <c r="O449" s="301">
        <v>36.31</v>
      </c>
      <c r="P449" s="297">
        <v>36.31</v>
      </c>
      <c r="Q449" s="297">
        <v>36.31</v>
      </c>
      <c r="R449" s="301">
        <v>36.31</v>
      </c>
      <c r="S449" s="301">
        <v>36.31</v>
      </c>
      <c r="T449" s="301">
        <v>36.31</v>
      </c>
      <c r="U449" s="301">
        <v>36.36</v>
      </c>
      <c r="V449" s="301">
        <v>36.36</v>
      </c>
      <c r="W449" s="301">
        <v>36.36</v>
      </c>
      <c r="X449" s="301">
        <v>36.36</v>
      </c>
      <c r="Y449" s="301">
        <v>36.36</v>
      </c>
      <c r="Z449" s="301">
        <v>36.36</v>
      </c>
      <c r="AA449" s="301">
        <v>36.36</v>
      </c>
      <c r="AB449" s="301">
        <v>36.36</v>
      </c>
      <c r="AC449" s="301">
        <v>36.36</v>
      </c>
      <c r="AD449" s="301">
        <v>36.36</v>
      </c>
      <c r="AE449" s="301">
        <v>36.36</v>
      </c>
      <c r="AF449" s="297">
        <v>36.36</v>
      </c>
      <c r="AG449">
        <v>15</v>
      </c>
      <c r="AI449" s="326"/>
    </row>
    <row r="450" spans="1:35">
      <c r="A450" s="301">
        <v>36.36</v>
      </c>
      <c r="M450" s="301">
        <v>36.299999999999997</v>
      </c>
      <c r="N450" s="297">
        <v>36.299999999999997</v>
      </c>
      <c r="O450" s="297">
        <v>36.299999999999997</v>
      </c>
      <c r="P450" s="293">
        <v>36.299999999999997</v>
      </c>
      <c r="Q450" s="161">
        <v>36.299999999999997</v>
      </c>
      <c r="R450" s="297">
        <v>36.299999999999997</v>
      </c>
      <c r="S450" s="297">
        <v>36.299999999999997</v>
      </c>
      <c r="T450" s="301">
        <v>36.299999999999997</v>
      </c>
      <c r="AF450" s="293">
        <v>36.36</v>
      </c>
      <c r="AI450" s="326"/>
    </row>
    <row r="451" spans="1:35">
      <c r="AH451">
        <v>450</v>
      </c>
      <c r="AI451" s="326"/>
    </row>
    <row r="452" spans="1:35">
      <c r="AH452">
        <v>450</v>
      </c>
      <c r="AI452" s="326"/>
    </row>
    <row r="453" spans="1:35">
      <c r="A453" s="301">
        <v>36.36</v>
      </c>
      <c r="M453" s="293">
        <v>36.29</v>
      </c>
      <c r="N453" s="293">
        <v>36.29</v>
      </c>
      <c r="O453" s="293">
        <v>36.29</v>
      </c>
      <c r="P453" s="293">
        <v>36.29</v>
      </c>
      <c r="Q453" s="161">
        <v>36.29</v>
      </c>
      <c r="R453" s="293">
        <v>36.29</v>
      </c>
      <c r="S453" s="293">
        <v>36.29</v>
      </c>
      <c r="T453" s="293">
        <v>36.29</v>
      </c>
      <c r="AF453" s="293">
        <v>36.36</v>
      </c>
      <c r="AI453" s="326"/>
    </row>
    <row r="454" spans="1:35">
      <c r="A454" s="301">
        <v>36.36</v>
      </c>
      <c r="M454" s="301">
        <v>36.28</v>
      </c>
      <c r="N454" s="297">
        <v>36.28</v>
      </c>
      <c r="O454" s="297">
        <v>36.28</v>
      </c>
      <c r="P454" s="293">
        <v>36.28</v>
      </c>
      <c r="Q454" s="161">
        <v>36.28</v>
      </c>
      <c r="R454" s="297">
        <v>36.28</v>
      </c>
      <c r="S454" s="297">
        <v>36.28</v>
      </c>
      <c r="T454" s="301">
        <v>36.28</v>
      </c>
      <c r="AF454" s="293">
        <v>36.36</v>
      </c>
      <c r="AI454" s="326"/>
    </row>
    <row r="455" spans="1:35">
      <c r="AG455">
        <v>7</v>
      </c>
      <c r="AH455">
        <v>454</v>
      </c>
      <c r="AI455" s="326"/>
    </row>
    <row r="456" spans="1:35">
      <c r="A456" s="301">
        <v>36.36</v>
      </c>
      <c r="M456" s="301">
        <v>36.270000000000003</v>
      </c>
      <c r="N456" s="297">
        <v>36.270000000000003</v>
      </c>
      <c r="O456" s="297">
        <v>36.270000000000003</v>
      </c>
      <c r="P456" s="293">
        <v>36.270000000000003</v>
      </c>
      <c r="Q456" s="161">
        <v>36.270000000000003</v>
      </c>
      <c r="R456" s="297">
        <v>36.270000000000003</v>
      </c>
      <c r="S456" s="297">
        <v>36.270000000000003</v>
      </c>
      <c r="T456" s="301">
        <v>36.270000000000003</v>
      </c>
      <c r="AF456" s="293">
        <v>36.36</v>
      </c>
      <c r="AG456">
        <v>1</v>
      </c>
      <c r="AI456" s="326"/>
    </row>
    <row r="457" spans="1:35">
      <c r="A457" s="301">
        <v>36.36</v>
      </c>
      <c r="M457" s="293">
        <v>36.26</v>
      </c>
      <c r="N457" s="293">
        <v>36.26</v>
      </c>
      <c r="O457" s="293">
        <v>36.26</v>
      </c>
      <c r="P457" s="293">
        <v>36.26</v>
      </c>
      <c r="Q457" s="161">
        <v>36.26</v>
      </c>
      <c r="R457" s="293">
        <v>36.26</v>
      </c>
      <c r="S457" s="293">
        <v>36.26</v>
      </c>
      <c r="T457" s="293">
        <v>36.26</v>
      </c>
      <c r="AF457" s="293">
        <v>36.36</v>
      </c>
      <c r="AG457">
        <v>-2</v>
      </c>
      <c r="AI457" s="326"/>
    </row>
    <row r="458" spans="1:35">
      <c r="A458" s="301">
        <v>36.36</v>
      </c>
      <c r="M458" s="301">
        <v>36.24</v>
      </c>
      <c r="N458" s="297">
        <v>36.24</v>
      </c>
      <c r="O458" s="297">
        <v>36.24</v>
      </c>
      <c r="P458" s="293">
        <v>36.24</v>
      </c>
      <c r="Q458" s="161">
        <v>36.24</v>
      </c>
      <c r="R458" s="297">
        <v>36.24</v>
      </c>
      <c r="S458" s="297">
        <v>36.24</v>
      </c>
      <c r="T458" s="301">
        <v>36.24</v>
      </c>
      <c r="AF458" s="293">
        <v>36.36</v>
      </c>
      <c r="AI458" s="326"/>
    </row>
    <row r="459" spans="1:35">
      <c r="A459" s="301">
        <v>36.36</v>
      </c>
      <c r="M459" s="301">
        <v>36.22</v>
      </c>
      <c r="N459" s="297">
        <v>36.22</v>
      </c>
      <c r="O459" s="297">
        <v>36.22</v>
      </c>
      <c r="P459" s="293">
        <v>36.22</v>
      </c>
      <c r="Q459" s="161">
        <v>36.22</v>
      </c>
      <c r="R459" s="297">
        <v>36.22</v>
      </c>
      <c r="S459" s="297">
        <v>36.22</v>
      </c>
      <c r="T459" s="301">
        <v>36.22</v>
      </c>
      <c r="AF459" s="293">
        <v>36.36</v>
      </c>
      <c r="AI459" s="326"/>
    </row>
    <row r="460" spans="1:35">
      <c r="A460" s="301">
        <v>36.36</v>
      </c>
      <c r="M460" s="301">
        <v>36.200000000000003</v>
      </c>
      <c r="N460" s="297">
        <v>2.2000000000000002</v>
      </c>
      <c r="O460" s="297">
        <v>2.2000000000000002</v>
      </c>
      <c r="P460" s="293">
        <v>2.2000000000000002</v>
      </c>
      <c r="Q460" s="161">
        <v>2.2000000000000002</v>
      </c>
      <c r="R460" s="297">
        <v>2.2000000000000002</v>
      </c>
      <c r="S460" s="297">
        <v>2.2000000000000002</v>
      </c>
      <c r="T460" s="301">
        <v>36.200000000000003</v>
      </c>
      <c r="AF460" s="293">
        <v>36.36</v>
      </c>
      <c r="AI460" s="326"/>
    </row>
    <row r="461" spans="1:35">
      <c r="A461" s="301">
        <v>36.31</v>
      </c>
      <c r="B461" s="297">
        <v>36.299999999999997</v>
      </c>
      <c r="C461" s="297">
        <v>36.299999999999997</v>
      </c>
      <c r="D461" s="297">
        <v>36.299999999999997</v>
      </c>
      <c r="E461" s="293">
        <v>36.29</v>
      </c>
      <c r="F461" s="297">
        <v>36.28</v>
      </c>
      <c r="G461" s="297">
        <v>36.28</v>
      </c>
      <c r="H461" s="297">
        <v>36.270000000000003</v>
      </c>
      <c r="I461" s="293">
        <v>36.26</v>
      </c>
      <c r="J461" s="297">
        <v>36.24</v>
      </c>
      <c r="K461" s="297">
        <v>36.22</v>
      </c>
      <c r="L461" s="297">
        <v>36.200000000000003</v>
      </c>
      <c r="M461" s="301">
        <v>32</v>
      </c>
      <c r="N461" s="297">
        <v>32</v>
      </c>
      <c r="O461" s="297">
        <v>32</v>
      </c>
      <c r="P461" s="161">
        <v>32</v>
      </c>
      <c r="Q461" s="293">
        <v>32</v>
      </c>
      <c r="R461" s="297">
        <v>32</v>
      </c>
      <c r="S461" s="297">
        <v>32</v>
      </c>
      <c r="T461" s="297">
        <v>32</v>
      </c>
      <c r="U461" s="297">
        <v>36.200000000000003</v>
      </c>
      <c r="V461" s="297">
        <v>36.22</v>
      </c>
      <c r="W461" s="297">
        <v>36.24</v>
      </c>
      <c r="X461" s="293">
        <v>36.26</v>
      </c>
      <c r="Y461" s="297">
        <v>36.270000000000003</v>
      </c>
      <c r="Z461" s="297">
        <v>36.28</v>
      </c>
      <c r="AA461" s="297">
        <v>36.28</v>
      </c>
      <c r="AB461" s="293">
        <v>36.29</v>
      </c>
      <c r="AC461" s="297">
        <v>36.299999999999997</v>
      </c>
      <c r="AD461" s="297">
        <v>36.299999999999997</v>
      </c>
      <c r="AE461" s="297">
        <v>36.299999999999997</v>
      </c>
      <c r="AF461" s="293">
        <v>36.31</v>
      </c>
      <c r="AI461" s="326"/>
    </row>
    <row r="462" spans="1:35">
      <c r="A462" s="301">
        <v>36.31</v>
      </c>
      <c r="B462" s="301">
        <v>36.299999999999997</v>
      </c>
      <c r="C462" s="301">
        <v>36.299999999999997</v>
      </c>
      <c r="D462" s="301">
        <v>36.299999999999997</v>
      </c>
      <c r="E462" s="293">
        <v>36.29</v>
      </c>
      <c r="F462" s="301">
        <v>36.28</v>
      </c>
      <c r="G462" s="301">
        <v>36.28</v>
      </c>
      <c r="H462" s="301">
        <v>36.270000000000003</v>
      </c>
      <c r="I462" s="293">
        <v>36.26</v>
      </c>
      <c r="J462" s="301">
        <v>36.24</v>
      </c>
      <c r="K462" s="301">
        <v>36.22</v>
      </c>
      <c r="L462" s="301">
        <v>2.2000000000000002</v>
      </c>
      <c r="M462" s="301">
        <v>32</v>
      </c>
      <c r="T462" s="301">
        <v>32</v>
      </c>
      <c r="U462" s="301">
        <v>2.2000000000000002</v>
      </c>
      <c r="V462" s="301">
        <v>36.22</v>
      </c>
      <c r="W462" s="301">
        <v>36.24</v>
      </c>
      <c r="X462" s="293">
        <v>36.26</v>
      </c>
      <c r="Y462" s="301">
        <v>36.270000000000003</v>
      </c>
      <c r="Z462" s="301">
        <v>36.28</v>
      </c>
      <c r="AA462" s="301">
        <v>36.28</v>
      </c>
      <c r="AB462" s="293">
        <v>36.29</v>
      </c>
      <c r="AC462" s="301">
        <v>36.299999999999997</v>
      </c>
      <c r="AD462" s="301">
        <v>36.299999999999997</v>
      </c>
      <c r="AE462" s="301">
        <v>36.299999999999997</v>
      </c>
      <c r="AF462" s="293">
        <v>36.31</v>
      </c>
      <c r="AI462" s="326"/>
    </row>
    <row r="463" spans="1:35">
      <c r="AH463">
        <v>462</v>
      </c>
      <c r="AI463" s="326"/>
    </row>
    <row r="464" spans="1:35">
      <c r="A464" s="297">
        <v>36.31</v>
      </c>
      <c r="B464" s="293">
        <v>36.299999999999997</v>
      </c>
      <c r="C464" s="293">
        <v>36.299999999999997</v>
      </c>
      <c r="D464" s="293">
        <v>36.299999999999997</v>
      </c>
      <c r="E464" s="293">
        <v>36.29</v>
      </c>
      <c r="F464" s="161">
        <v>36.28</v>
      </c>
      <c r="G464" s="293">
        <v>36.28</v>
      </c>
      <c r="H464" s="293">
        <v>36.270000000000003</v>
      </c>
      <c r="I464" s="293">
        <v>36.26</v>
      </c>
      <c r="J464" s="293">
        <v>36.24</v>
      </c>
      <c r="K464" s="293">
        <v>36.22</v>
      </c>
      <c r="L464" s="293">
        <v>2.2000000000000002</v>
      </c>
      <c r="M464" s="293">
        <v>32</v>
      </c>
      <c r="T464" s="161">
        <v>32</v>
      </c>
      <c r="U464" s="161">
        <v>2.2000000000000002</v>
      </c>
      <c r="V464" s="161">
        <v>36.22</v>
      </c>
      <c r="W464" s="161">
        <v>36.24</v>
      </c>
      <c r="X464" s="161">
        <v>36.26</v>
      </c>
      <c r="Y464" s="161">
        <v>36.270000000000003</v>
      </c>
      <c r="Z464" s="161">
        <v>36.28</v>
      </c>
      <c r="AA464" s="161">
        <v>36.28</v>
      </c>
      <c r="AB464" s="161">
        <v>36.29</v>
      </c>
      <c r="AC464" s="161">
        <v>36.299999999999997</v>
      </c>
      <c r="AD464" s="161">
        <v>36.299999999999997</v>
      </c>
      <c r="AE464" s="161">
        <v>36.299999999999997</v>
      </c>
      <c r="AF464" s="293">
        <v>36.31</v>
      </c>
      <c r="AI464" s="326"/>
    </row>
    <row r="465" spans="1:35">
      <c r="A465" s="297">
        <v>36.31</v>
      </c>
      <c r="B465" s="161">
        <v>36.299999999999997</v>
      </c>
      <c r="C465" s="161">
        <v>36.299999999999997</v>
      </c>
      <c r="D465" s="161">
        <v>36.299999999999997</v>
      </c>
      <c r="E465" s="161">
        <v>36.29</v>
      </c>
      <c r="F465" s="293">
        <v>36.28</v>
      </c>
      <c r="G465" s="161">
        <v>36.28</v>
      </c>
      <c r="H465" s="161">
        <v>36.270000000000003</v>
      </c>
      <c r="I465" s="161">
        <v>36.26</v>
      </c>
      <c r="J465" s="161">
        <v>36.24</v>
      </c>
      <c r="K465" s="161">
        <v>36.22</v>
      </c>
      <c r="L465" s="161">
        <v>2.2000000000000002</v>
      </c>
      <c r="M465" s="161">
        <v>32</v>
      </c>
      <c r="T465" s="293">
        <v>32</v>
      </c>
      <c r="U465" s="293">
        <v>2.2000000000000002</v>
      </c>
      <c r="V465" s="293">
        <v>36.22</v>
      </c>
      <c r="W465" s="293">
        <v>36.24</v>
      </c>
      <c r="X465" s="293">
        <v>36.26</v>
      </c>
      <c r="Y465" s="293">
        <v>36.270000000000003</v>
      </c>
      <c r="Z465" s="293">
        <v>36.28</v>
      </c>
      <c r="AA465" s="293">
        <v>36.28</v>
      </c>
      <c r="AB465" s="293">
        <v>36.29</v>
      </c>
      <c r="AC465" s="293">
        <v>36.299999999999997</v>
      </c>
      <c r="AD465" s="293">
        <v>36.299999999999997</v>
      </c>
      <c r="AE465" s="293">
        <v>36.299999999999997</v>
      </c>
      <c r="AF465" s="293">
        <v>36.31</v>
      </c>
      <c r="AI465" s="326"/>
    </row>
    <row r="466" spans="1:35">
      <c r="AH466">
        <v>462</v>
      </c>
      <c r="AI466" s="326"/>
    </row>
    <row r="467" spans="1:35">
      <c r="AH467">
        <v>462</v>
      </c>
      <c r="AI467" s="326"/>
    </row>
    <row r="468" spans="1:35">
      <c r="A468" s="301">
        <v>36.31</v>
      </c>
      <c r="B468" s="297">
        <v>36.299999999999997</v>
      </c>
      <c r="C468" s="297">
        <v>36.299999999999997</v>
      </c>
      <c r="D468" s="297">
        <v>36.299999999999997</v>
      </c>
      <c r="E468" s="293">
        <v>36.29</v>
      </c>
      <c r="F468" s="297">
        <v>36.28</v>
      </c>
      <c r="G468" s="297">
        <v>36.28</v>
      </c>
      <c r="H468" s="297">
        <v>36.270000000000003</v>
      </c>
      <c r="I468" s="293">
        <v>36.26</v>
      </c>
      <c r="J468" s="297">
        <v>36.24</v>
      </c>
      <c r="K468" s="297">
        <v>36.22</v>
      </c>
      <c r="L468" s="297">
        <v>36.200000000000003</v>
      </c>
      <c r="M468" s="297">
        <v>32</v>
      </c>
      <c r="N468" s="297">
        <v>32</v>
      </c>
      <c r="O468" s="297">
        <v>32</v>
      </c>
      <c r="P468" s="293">
        <v>32</v>
      </c>
      <c r="Q468" s="161">
        <v>32</v>
      </c>
      <c r="R468" s="297">
        <v>32</v>
      </c>
      <c r="S468" s="297">
        <v>32</v>
      </c>
      <c r="T468" s="301">
        <v>32</v>
      </c>
      <c r="U468" s="297">
        <v>36.200000000000003</v>
      </c>
      <c r="V468" s="297">
        <v>36.22</v>
      </c>
      <c r="W468" s="297">
        <v>36.24</v>
      </c>
      <c r="X468" s="293">
        <v>36.26</v>
      </c>
      <c r="Y468" s="297">
        <v>36.270000000000003</v>
      </c>
      <c r="Z468" s="297">
        <v>36.28</v>
      </c>
      <c r="AA468" s="297">
        <v>36.28</v>
      </c>
      <c r="AB468" s="293">
        <v>36.29</v>
      </c>
      <c r="AC468" s="297">
        <v>36.299999999999997</v>
      </c>
      <c r="AD468" s="297">
        <v>36.299999999999997</v>
      </c>
      <c r="AE468" s="297">
        <v>36.299999999999997</v>
      </c>
      <c r="AF468" s="293">
        <v>36.31</v>
      </c>
      <c r="AI468" s="326"/>
    </row>
    <row r="469" spans="1:35">
      <c r="AH469">
        <v>460</v>
      </c>
      <c r="AI469" s="326"/>
    </row>
    <row r="470" spans="1:35">
      <c r="AH470">
        <v>459</v>
      </c>
      <c r="AI470" s="326"/>
    </row>
    <row r="471" spans="1:35">
      <c r="AH471">
        <v>458</v>
      </c>
      <c r="AI471" s="326"/>
    </row>
    <row r="472" spans="1:35">
      <c r="AH472">
        <v>457</v>
      </c>
      <c r="AI472" s="326"/>
    </row>
    <row r="473" spans="1:35">
      <c r="AH473">
        <v>456</v>
      </c>
      <c r="AI473" s="326"/>
    </row>
    <row r="474" spans="1:35">
      <c r="AH474">
        <v>454</v>
      </c>
      <c r="AI474" s="326"/>
    </row>
    <row r="475" spans="1:35">
      <c r="AH475">
        <v>454</v>
      </c>
      <c r="AI475" s="326"/>
    </row>
    <row r="476" spans="1:35">
      <c r="AH476">
        <v>453</v>
      </c>
      <c r="AI476" s="326"/>
    </row>
    <row r="477" spans="1:35">
      <c r="AH477">
        <v>450</v>
      </c>
      <c r="AI477" s="326"/>
    </row>
    <row r="478" spans="1:35">
      <c r="AH478">
        <v>450</v>
      </c>
      <c r="AI478" s="326"/>
    </row>
    <row r="479" spans="1:35">
      <c r="AH479">
        <v>450</v>
      </c>
      <c r="AI479" s="326"/>
    </row>
    <row r="480" spans="1:35">
      <c r="A480" s="297">
        <v>36.36</v>
      </c>
      <c r="B480" s="293">
        <v>36.36</v>
      </c>
      <c r="C480" s="293">
        <v>36.36</v>
      </c>
      <c r="D480" s="293">
        <v>36.36</v>
      </c>
      <c r="E480" s="293">
        <v>36.36</v>
      </c>
      <c r="F480" s="293">
        <v>36.36</v>
      </c>
      <c r="G480" s="293">
        <v>36.36</v>
      </c>
      <c r="H480" s="293">
        <v>36.36</v>
      </c>
      <c r="I480" s="293">
        <v>36.36</v>
      </c>
      <c r="J480" s="293">
        <v>36.36</v>
      </c>
      <c r="K480" s="293">
        <v>36.36</v>
      </c>
      <c r="L480" s="293">
        <v>36.36</v>
      </c>
      <c r="M480" s="293">
        <v>36.31</v>
      </c>
      <c r="N480" s="293">
        <v>36.31</v>
      </c>
      <c r="O480" s="293">
        <v>36.31</v>
      </c>
      <c r="P480" s="293">
        <v>36.31</v>
      </c>
      <c r="Q480" s="293">
        <v>36.31</v>
      </c>
      <c r="R480" s="293">
        <v>36.31</v>
      </c>
      <c r="S480" s="293">
        <v>36.31</v>
      </c>
      <c r="T480" s="293">
        <v>36.31</v>
      </c>
      <c r="U480" s="293">
        <v>36.36</v>
      </c>
      <c r="V480" s="293">
        <v>36.36</v>
      </c>
      <c r="W480" s="293">
        <v>36.36</v>
      </c>
      <c r="X480" s="293">
        <v>36.36</v>
      </c>
      <c r="Y480" s="293">
        <v>36.36</v>
      </c>
      <c r="Z480" s="293">
        <v>36.36</v>
      </c>
      <c r="AA480" s="293">
        <v>36.36</v>
      </c>
      <c r="AB480" s="293">
        <v>36.36</v>
      </c>
      <c r="AC480" s="293">
        <v>36.36</v>
      </c>
      <c r="AD480" s="293">
        <v>36.36</v>
      </c>
      <c r="AE480" s="293">
        <v>36.36</v>
      </c>
      <c r="AF480" s="293">
        <v>36.36</v>
      </c>
      <c r="AI480" s="326"/>
    </row>
    <row r="481" spans="1:35">
      <c r="A481" s="301">
        <v>18</v>
      </c>
      <c r="B481" s="297">
        <v>19</v>
      </c>
      <c r="C481" s="297">
        <v>20.18</v>
      </c>
      <c r="D481" s="297">
        <v>2</v>
      </c>
      <c r="E481" s="297">
        <v>22.2</v>
      </c>
      <c r="F481" s="297">
        <v>2</v>
      </c>
      <c r="G481" s="297">
        <v>24.22</v>
      </c>
      <c r="H481" s="297">
        <v>2</v>
      </c>
      <c r="I481" s="297">
        <v>26.24</v>
      </c>
      <c r="J481" s="297">
        <v>2</v>
      </c>
      <c r="K481" s="297">
        <v>28.26</v>
      </c>
      <c r="L481" s="297">
        <v>2</v>
      </c>
      <c r="M481" s="297">
        <v>30.28</v>
      </c>
      <c r="N481" s="297">
        <v>2</v>
      </c>
      <c r="O481" s="297">
        <v>32.299999999999997</v>
      </c>
      <c r="P481" s="297">
        <v>2</v>
      </c>
      <c r="Q481" s="297">
        <v>2</v>
      </c>
      <c r="R481" s="297">
        <v>32.299999999999997</v>
      </c>
      <c r="S481" s="297">
        <v>2</v>
      </c>
      <c r="T481" s="297">
        <v>30.28</v>
      </c>
      <c r="U481" s="297">
        <v>2</v>
      </c>
      <c r="V481" s="297">
        <v>28.26</v>
      </c>
      <c r="W481" s="297">
        <v>2</v>
      </c>
      <c r="X481" s="297">
        <v>26.24</v>
      </c>
      <c r="Y481" s="297">
        <v>2</v>
      </c>
      <c r="Z481" s="297">
        <v>24.22</v>
      </c>
      <c r="AA481" s="297">
        <v>2</v>
      </c>
      <c r="AB481" s="297">
        <v>22.2</v>
      </c>
      <c r="AC481" s="297">
        <v>2</v>
      </c>
      <c r="AD481" s="297">
        <v>20.18</v>
      </c>
      <c r="AE481" s="297">
        <v>19</v>
      </c>
      <c r="AF481" s="301">
        <v>18</v>
      </c>
      <c r="AG481">
        <v>16</v>
      </c>
      <c r="AI481" s="326"/>
    </row>
    <row r="482" spans="1:35">
      <c r="A482" s="297">
        <v>18</v>
      </c>
      <c r="B482" s="293">
        <v>19</v>
      </c>
      <c r="C482" s="293">
        <v>20.18</v>
      </c>
      <c r="D482" s="293">
        <v>21.19</v>
      </c>
      <c r="E482" s="293">
        <v>2</v>
      </c>
      <c r="F482" s="293">
        <v>23.21</v>
      </c>
      <c r="G482" s="293">
        <v>2</v>
      </c>
      <c r="H482" s="293">
        <v>25.23</v>
      </c>
      <c r="I482" s="293">
        <v>2</v>
      </c>
      <c r="J482" s="293">
        <v>27.25</v>
      </c>
      <c r="K482" s="293">
        <v>2</v>
      </c>
      <c r="L482" s="293">
        <v>29.27</v>
      </c>
      <c r="M482" s="293">
        <v>2</v>
      </c>
      <c r="N482" s="293">
        <v>31.29</v>
      </c>
      <c r="O482" s="293">
        <v>2</v>
      </c>
      <c r="P482" s="293">
        <v>34.299999999999997</v>
      </c>
      <c r="Q482" s="293">
        <v>34.299999999999997</v>
      </c>
      <c r="R482" s="293">
        <v>2</v>
      </c>
      <c r="S482" s="293">
        <v>31.29</v>
      </c>
      <c r="T482" s="293">
        <v>2</v>
      </c>
      <c r="U482" s="293">
        <v>29.27</v>
      </c>
      <c r="V482" s="293">
        <v>2</v>
      </c>
      <c r="W482" s="293">
        <v>27.25</v>
      </c>
      <c r="X482" s="293">
        <v>2</v>
      </c>
      <c r="Y482" s="293">
        <v>25.23</v>
      </c>
      <c r="Z482" s="293">
        <v>2</v>
      </c>
      <c r="AA482" s="293">
        <v>23.21</v>
      </c>
      <c r="AB482" s="293">
        <v>2</v>
      </c>
      <c r="AC482" s="293">
        <v>21.19</v>
      </c>
      <c r="AD482" s="293">
        <v>20.18</v>
      </c>
      <c r="AE482" s="293">
        <v>19</v>
      </c>
      <c r="AF482" s="297">
        <v>18</v>
      </c>
      <c r="AI482" s="326"/>
    </row>
    <row r="483" spans="1:35">
      <c r="A483" s="297">
        <v>11.09</v>
      </c>
      <c r="B483" s="293">
        <v>11.09</v>
      </c>
      <c r="C483" s="291">
        <v>2</v>
      </c>
      <c r="D483" s="291">
        <v>2</v>
      </c>
      <c r="E483" s="291">
        <v>2</v>
      </c>
      <c r="F483" s="291">
        <v>2</v>
      </c>
      <c r="G483" s="291">
        <v>2</v>
      </c>
      <c r="H483" s="291">
        <v>2</v>
      </c>
      <c r="I483" s="291">
        <v>2</v>
      </c>
      <c r="J483" s="291">
        <v>2</v>
      </c>
      <c r="K483" s="291">
        <v>2</v>
      </c>
      <c r="L483" s="291">
        <v>2</v>
      </c>
      <c r="M483" s="291">
        <v>2</v>
      </c>
      <c r="N483" s="291">
        <v>2</v>
      </c>
      <c r="O483" s="291">
        <v>2</v>
      </c>
      <c r="P483" s="291">
        <v>2</v>
      </c>
      <c r="Q483" s="291">
        <v>2</v>
      </c>
      <c r="R483" s="291">
        <v>2</v>
      </c>
      <c r="S483" s="291">
        <v>2</v>
      </c>
      <c r="T483" s="291">
        <v>2</v>
      </c>
      <c r="U483" s="291">
        <v>2</v>
      </c>
      <c r="V483" s="291">
        <v>2</v>
      </c>
      <c r="W483" s="291">
        <v>2</v>
      </c>
      <c r="X483" s="291">
        <v>2</v>
      </c>
      <c r="Y483" s="291">
        <v>2</v>
      </c>
      <c r="Z483" s="291">
        <v>2</v>
      </c>
      <c r="AA483" s="291">
        <v>2</v>
      </c>
      <c r="AB483" s="291">
        <v>2</v>
      </c>
      <c r="AC483" s="291">
        <v>2</v>
      </c>
      <c r="AD483" s="291">
        <v>2</v>
      </c>
      <c r="AE483" s="293">
        <v>11.09</v>
      </c>
      <c r="AF483" s="297">
        <v>11.09</v>
      </c>
      <c r="AI483" s="326"/>
    </row>
    <row r="484" spans="1:35">
      <c r="A484" s="297">
        <v>11.09</v>
      </c>
      <c r="B484" s="293">
        <v>11.09</v>
      </c>
      <c r="C484" s="291">
        <v>2</v>
      </c>
      <c r="D484" s="201">
        <v>2</v>
      </c>
      <c r="E484" s="201">
        <v>2</v>
      </c>
      <c r="F484" s="291">
        <v>2</v>
      </c>
      <c r="G484" s="291">
        <v>2</v>
      </c>
      <c r="H484" s="201">
        <v>2</v>
      </c>
      <c r="I484" s="201">
        <v>2</v>
      </c>
      <c r="J484" s="201">
        <v>2</v>
      </c>
      <c r="K484" s="291">
        <v>2</v>
      </c>
      <c r="L484" s="291">
        <v>2</v>
      </c>
      <c r="M484" s="201">
        <v>2</v>
      </c>
      <c r="N484" s="201">
        <v>2</v>
      </c>
      <c r="O484" s="201">
        <v>2</v>
      </c>
      <c r="P484" s="291">
        <v>2</v>
      </c>
      <c r="Q484" s="291">
        <v>2</v>
      </c>
      <c r="R484" s="201">
        <v>2</v>
      </c>
      <c r="S484" s="201">
        <v>2</v>
      </c>
      <c r="T484" s="201">
        <v>2</v>
      </c>
      <c r="U484" s="291">
        <v>2</v>
      </c>
      <c r="V484" s="291">
        <v>2</v>
      </c>
      <c r="W484" s="201">
        <v>2</v>
      </c>
      <c r="X484" s="201">
        <v>2</v>
      </c>
      <c r="Y484" s="201">
        <v>2</v>
      </c>
      <c r="Z484" s="291">
        <v>2</v>
      </c>
      <c r="AA484" s="291">
        <v>2</v>
      </c>
      <c r="AB484" s="201">
        <v>2</v>
      </c>
      <c r="AC484" s="201">
        <v>2</v>
      </c>
      <c r="AD484" s="291">
        <v>2</v>
      </c>
      <c r="AE484" s="293">
        <v>11.09</v>
      </c>
      <c r="AF484" s="297">
        <v>11.09</v>
      </c>
      <c r="AI484" s="326"/>
    </row>
    <row r="485" spans="1:35">
      <c r="A485" s="297">
        <v>11.09</v>
      </c>
      <c r="B485" s="293">
        <v>11.09</v>
      </c>
      <c r="C485" s="291">
        <v>2</v>
      </c>
      <c r="D485" s="199">
        <v>2</v>
      </c>
      <c r="E485" s="201">
        <v>2</v>
      </c>
      <c r="F485" s="291">
        <v>2</v>
      </c>
      <c r="G485" s="291">
        <v>2</v>
      </c>
      <c r="H485" s="201">
        <v>2</v>
      </c>
      <c r="I485" s="199">
        <v>2</v>
      </c>
      <c r="J485" s="201">
        <v>2</v>
      </c>
      <c r="K485" s="291">
        <v>2</v>
      </c>
      <c r="L485" s="291">
        <v>2</v>
      </c>
      <c r="M485" s="201">
        <v>2</v>
      </c>
      <c r="N485" s="199">
        <v>2</v>
      </c>
      <c r="O485" s="201">
        <v>2</v>
      </c>
      <c r="P485" s="291">
        <v>2</v>
      </c>
      <c r="Q485" s="291">
        <v>2</v>
      </c>
      <c r="R485" s="201">
        <v>2</v>
      </c>
      <c r="S485" s="199">
        <v>2</v>
      </c>
      <c r="T485" s="201">
        <v>2</v>
      </c>
      <c r="U485" s="291">
        <v>2</v>
      </c>
      <c r="V485" s="291">
        <v>2</v>
      </c>
      <c r="W485" s="201">
        <v>2</v>
      </c>
      <c r="X485" s="199">
        <v>2</v>
      </c>
      <c r="Y485" s="201">
        <v>2</v>
      </c>
      <c r="Z485" s="291">
        <v>2</v>
      </c>
      <c r="AA485" s="291">
        <v>2</v>
      </c>
      <c r="AB485" s="201">
        <v>2</v>
      </c>
      <c r="AC485" s="199">
        <v>2</v>
      </c>
      <c r="AD485" s="291">
        <v>2</v>
      </c>
      <c r="AE485" s="293">
        <v>11.09</v>
      </c>
      <c r="AF485" s="297">
        <v>11.09</v>
      </c>
      <c r="AI485" s="326"/>
    </row>
    <row r="486" spans="1:35">
      <c r="AH486">
        <v>485</v>
      </c>
      <c r="AI486" s="326"/>
    </row>
    <row r="487" spans="1:35">
      <c r="AH487">
        <v>485</v>
      </c>
    </row>
    <row r="488" spans="1:35">
      <c r="AH488">
        <v>485</v>
      </c>
    </row>
    <row r="489" spans="1:35">
      <c r="AH489">
        <v>485</v>
      </c>
    </row>
    <row r="490" spans="1:35">
      <c r="A490" s="297">
        <v>11.09</v>
      </c>
      <c r="B490" s="293">
        <v>11</v>
      </c>
      <c r="C490" s="291">
        <v>2</v>
      </c>
      <c r="D490" s="199">
        <v>2</v>
      </c>
      <c r="E490" s="201">
        <v>2</v>
      </c>
      <c r="F490" s="291">
        <v>2</v>
      </c>
      <c r="G490" s="291">
        <v>2</v>
      </c>
      <c r="H490" s="201">
        <v>2</v>
      </c>
      <c r="I490" s="199">
        <v>2</v>
      </c>
      <c r="J490" s="201">
        <v>2</v>
      </c>
      <c r="K490" s="291">
        <v>2</v>
      </c>
      <c r="L490" s="291">
        <v>2</v>
      </c>
      <c r="M490" s="201">
        <v>2</v>
      </c>
      <c r="N490" s="199">
        <v>2</v>
      </c>
      <c r="O490" s="201">
        <v>2</v>
      </c>
      <c r="P490" s="291">
        <v>2</v>
      </c>
      <c r="Q490" s="291">
        <v>2</v>
      </c>
      <c r="R490" s="201">
        <v>2</v>
      </c>
      <c r="S490" s="199">
        <v>2</v>
      </c>
      <c r="T490" s="201">
        <v>2</v>
      </c>
      <c r="U490" s="291">
        <v>2</v>
      </c>
      <c r="V490" s="291">
        <v>2</v>
      </c>
      <c r="W490" s="201">
        <v>2</v>
      </c>
      <c r="X490" s="199">
        <v>2</v>
      </c>
      <c r="Y490" s="201">
        <v>2</v>
      </c>
      <c r="Z490" s="291">
        <v>2</v>
      </c>
      <c r="AA490" s="291">
        <v>2</v>
      </c>
      <c r="AB490" s="201">
        <v>2</v>
      </c>
      <c r="AC490" s="199">
        <v>2</v>
      </c>
      <c r="AD490" s="291">
        <v>2</v>
      </c>
      <c r="AE490" s="293">
        <v>11</v>
      </c>
      <c r="AF490" s="297">
        <v>11.09</v>
      </c>
    </row>
    <row r="491" spans="1:35">
      <c r="AH491">
        <v>490</v>
      </c>
    </row>
    <row r="492" spans="1:35">
      <c r="AH492">
        <v>485</v>
      </c>
    </row>
    <row r="493" spans="1:35">
      <c r="AH493">
        <v>485</v>
      </c>
    </row>
    <row r="494" spans="1:35">
      <c r="AH494">
        <v>485</v>
      </c>
    </row>
    <row r="495" spans="1:35">
      <c r="AH495">
        <v>484</v>
      </c>
    </row>
    <row r="496" spans="1:35">
      <c r="AH496">
        <v>483</v>
      </c>
    </row>
    <row r="497" spans="34:34">
      <c r="AH497">
        <v>483</v>
      </c>
    </row>
    <row r="498" spans="34:34">
      <c r="AH498">
        <v>484</v>
      </c>
    </row>
    <row r="499" spans="34:34">
      <c r="AH499">
        <v>485</v>
      </c>
    </row>
    <row r="500" spans="34:34">
      <c r="AH500">
        <v>485</v>
      </c>
    </row>
    <row r="501" spans="34:34">
      <c r="AH501">
        <v>485</v>
      </c>
    </row>
    <row r="502" spans="34:34">
      <c r="AH502">
        <v>490</v>
      </c>
    </row>
    <row r="503" spans="34:34">
      <c r="AH503">
        <v>490</v>
      </c>
    </row>
    <row r="504" spans="34:34">
      <c r="AH504">
        <v>485</v>
      </c>
    </row>
    <row r="505" spans="34:34">
      <c r="AH505">
        <v>485</v>
      </c>
    </row>
    <row r="506" spans="34:34">
      <c r="AH506">
        <v>485</v>
      </c>
    </row>
    <row r="507" spans="34:34">
      <c r="AH507">
        <v>485</v>
      </c>
    </row>
    <row r="508" spans="34:34">
      <c r="AH508">
        <v>485</v>
      </c>
    </row>
    <row r="509" spans="34:34">
      <c r="AH509">
        <v>484</v>
      </c>
    </row>
    <row r="510" spans="34:34">
      <c r="AH510">
        <v>483</v>
      </c>
    </row>
    <row r="511" spans="34:34">
      <c r="AH511">
        <v>482</v>
      </c>
    </row>
    <row r="512" spans="34:34">
      <c r="AH512">
        <v>481</v>
      </c>
    </row>
    <row r="513" spans="3:35">
      <c r="F513" s="158">
        <v>10.039999999999999</v>
      </c>
      <c r="G513" s="162">
        <v>10.039999999999999</v>
      </c>
      <c r="H513" s="158">
        <v>10.039999999999999</v>
      </c>
      <c r="I513" s="163">
        <v>10.039999999999999</v>
      </c>
      <c r="J513" s="158">
        <v>10.039999999999999</v>
      </c>
      <c r="K513" s="162">
        <v>10.039999999999999</v>
      </c>
      <c r="L513" s="162">
        <v>10.039999999999999</v>
      </c>
      <c r="M513" s="158">
        <v>10.039999999999999</v>
      </c>
      <c r="N513" s="163">
        <v>10.039999999999999</v>
      </c>
      <c r="O513" s="158">
        <v>10.039999999999999</v>
      </c>
      <c r="P513" s="162">
        <v>10.039999999999999</v>
      </c>
      <c r="Q513" s="162">
        <v>10.039999999999999</v>
      </c>
      <c r="R513" s="158">
        <v>10.039999999999999</v>
      </c>
      <c r="S513" s="163">
        <v>10.039999999999999</v>
      </c>
      <c r="T513" s="158">
        <v>10.039999999999999</v>
      </c>
      <c r="U513" s="162">
        <v>10.039999999999999</v>
      </c>
      <c r="V513" s="162">
        <v>10.039999999999999</v>
      </c>
      <c r="W513" s="158">
        <v>10.039999999999999</v>
      </c>
      <c r="X513" s="163">
        <v>10.039999999999999</v>
      </c>
      <c r="Y513" s="158">
        <v>10.039999999999999</v>
      </c>
      <c r="Z513" s="162">
        <v>10.039999999999999</v>
      </c>
      <c r="AA513" s="158">
        <v>10.039999999999999</v>
      </c>
      <c r="AG513">
        <v>17</v>
      </c>
      <c r="AI513" s="326"/>
    </row>
    <row r="514" spans="3:35">
      <c r="F514" s="163">
        <v>10.039999999999999</v>
      </c>
      <c r="G514" s="163">
        <v>10.039999999999999</v>
      </c>
      <c r="H514" s="163">
        <v>10.039999999999999</v>
      </c>
      <c r="I514" s="163">
        <v>10.039999999999999</v>
      </c>
      <c r="J514" s="163">
        <v>10.039999999999999</v>
      </c>
      <c r="K514" s="163">
        <v>10.039999999999999</v>
      </c>
      <c r="L514" s="163">
        <v>10.039999999999999</v>
      </c>
      <c r="M514" s="163">
        <v>10.039999999999999</v>
      </c>
      <c r="N514" s="163">
        <v>10.039999999999999</v>
      </c>
      <c r="O514" s="163">
        <v>10.039999999999999</v>
      </c>
      <c r="P514" s="163">
        <v>10.039999999999999</v>
      </c>
      <c r="Q514" s="163">
        <v>10.039999999999999</v>
      </c>
      <c r="R514" s="163">
        <v>10.039999999999999</v>
      </c>
      <c r="S514" s="163">
        <v>10.039999999999999</v>
      </c>
      <c r="T514" s="163">
        <v>10.039999999999999</v>
      </c>
      <c r="U514" s="163">
        <v>10.039999999999999</v>
      </c>
      <c r="V514" s="163">
        <v>10.039999999999999</v>
      </c>
      <c r="W514" s="163">
        <v>10.039999999999999</v>
      </c>
      <c r="X514" s="163">
        <v>10.039999999999999</v>
      </c>
      <c r="Y514" s="163">
        <v>10.039999999999999</v>
      </c>
      <c r="Z514" s="163">
        <v>10.039999999999999</v>
      </c>
      <c r="AA514" s="163">
        <v>10.039999999999999</v>
      </c>
      <c r="AI514" s="326"/>
    </row>
    <row r="515" spans="3:35">
      <c r="F515" s="158">
        <v>10.039999999999999</v>
      </c>
      <c r="G515" s="163">
        <v>10.039999999999999</v>
      </c>
      <c r="H515" s="415">
        <v>9.0399999999999991</v>
      </c>
      <c r="I515" s="415">
        <v>9.0399999999999991</v>
      </c>
      <c r="J515" s="415">
        <v>9.0399999999999991</v>
      </c>
      <c r="K515" s="415">
        <v>9.0399999999999991</v>
      </c>
      <c r="L515" s="415">
        <v>9.0399999999999991</v>
      </c>
      <c r="M515" s="415">
        <v>9.0399999999999991</v>
      </c>
      <c r="N515" s="415">
        <v>9.0399999999999991</v>
      </c>
      <c r="O515" s="415">
        <v>9.0399999999999991</v>
      </c>
      <c r="P515" s="415">
        <v>9.0399999999999991</v>
      </c>
      <c r="Q515" s="415">
        <v>9.0399999999999991</v>
      </c>
      <c r="R515" s="415">
        <v>9.0399999999999991</v>
      </c>
      <c r="S515" s="415">
        <v>9.0399999999999991</v>
      </c>
      <c r="T515" s="415">
        <v>9.0399999999999991</v>
      </c>
      <c r="U515" s="415">
        <v>9.0399999999999991</v>
      </c>
      <c r="V515" s="415">
        <v>9.0399999999999991</v>
      </c>
      <c r="W515" s="415">
        <v>9.0399999999999991</v>
      </c>
      <c r="X515" s="415">
        <v>9.0399999999999991</v>
      </c>
      <c r="Y515" s="415">
        <v>9.0399999999999991</v>
      </c>
      <c r="Z515" s="163">
        <v>10.039999999999999</v>
      </c>
      <c r="AA515" s="158">
        <v>10.039999999999999</v>
      </c>
      <c r="AI515" s="326"/>
    </row>
    <row r="516" spans="3:35">
      <c r="F516" s="162">
        <v>10.039999999999999</v>
      </c>
      <c r="G516" s="163">
        <v>10.039999999999999</v>
      </c>
      <c r="H516" s="415">
        <v>9.0399999999999991</v>
      </c>
      <c r="I516" s="409">
        <v>9.07</v>
      </c>
      <c r="J516" s="409">
        <v>9.07</v>
      </c>
      <c r="K516" s="409">
        <v>9.07</v>
      </c>
      <c r="L516" s="409">
        <v>9.07</v>
      </c>
      <c r="M516" s="409">
        <v>9.07</v>
      </c>
      <c r="N516" s="409">
        <v>9.07</v>
      </c>
      <c r="O516" s="409">
        <v>9.07</v>
      </c>
      <c r="P516" s="409">
        <v>9.07</v>
      </c>
      <c r="Q516" s="420">
        <v>9.07</v>
      </c>
      <c r="R516" s="420">
        <v>9.07</v>
      </c>
      <c r="S516" s="420">
        <v>9.07</v>
      </c>
      <c r="T516" s="409">
        <v>9.07</v>
      </c>
      <c r="U516" s="409">
        <v>9.07</v>
      </c>
      <c r="V516" s="409">
        <v>9.07</v>
      </c>
      <c r="W516" s="409">
        <v>9.07</v>
      </c>
      <c r="X516" s="409">
        <v>9.07</v>
      </c>
      <c r="Y516" s="415">
        <v>9.0399999999999991</v>
      </c>
      <c r="Z516" s="163">
        <v>10.039999999999999</v>
      </c>
      <c r="AA516" s="162">
        <v>10.039999999999999</v>
      </c>
      <c r="AI516" s="326"/>
    </row>
    <row r="517" spans="3:35">
      <c r="D517" s="297">
        <v>6.05</v>
      </c>
      <c r="F517" s="158">
        <v>10.039999999999999</v>
      </c>
      <c r="G517" s="163">
        <v>10.039999999999999</v>
      </c>
      <c r="H517" s="415">
        <v>9.0399999999999991</v>
      </c>
      <c r="I517" s="409">
        <v>9.07</v>
      </c>
      <c r="J517" s="415">
        <v>9.0399999999999991</v>
      </c>
      <c r="K517" s="409">
        <v>9.07</v>
      </c>
      <c r="L517" s="409">
        <v>9.07</v>
      </c>
      <c r="M517" s="409">
        <v>9.07</v>
      </c>
      <c r="N517" s="409">
        <v>9.07</v>
      </c>
      <c r="O517" s="409">
        <v>9.07</v>
      </c>
      <c r="P517" s="409">
        <v>9.07</v>
      </c>
      <c r="Q517" s="409">
        <v>9.07</v>
      </c>
      <c r="R517" s="409">
        <v>9.07</v>
      </c>
      <c r="S517" s="409">
        <v>9.07</v>
      </c>
      <c r="T517" s="409">
        <v>9.07</v>
      </c>
      <c r="U517" s="409">
        <v>9.07</v>
      </c>
      <c r="V517" s="409">
        <v>9.07</v>
      </c>
      <c r="W517" s="415">
        <v>9.0399999999999991</v>
      </c>
      <c r="X517" s="409">
        <v>9.07</v>
      </c>
      <c r="Y517" s="415">
        <v>9.0399999999999991</v>
      </c>
      <c r="Z517" s="163">
        <v>10.039999999999999</v>
      </c>
      <c r="AA517" s="158">
        <v>10.039999999999999</v>
      </c>
      <c r="AC517" s="297">
        <v>6.05</v>
      </c>
      <c r="AI517" s="326"/>
    </row>
    <row r="518" spans="3:35">
      <c r="C518" s="293">
        <v>6.05</v>
      </c>
      <c r="D518" s="297">
        <v>7.04</v>
      </c>
      <c r="E518" s="291">
        <v>6.05</v>
      </c>
      <c r="F518" s="163">
        <v>10.039999999999999</v>
      </c>
      <c r="G518" s="163">
        <v>10.039999999999999</v>
      </c>
      <c r="H518" s="415">
        <v>9.0399999999999991</v>
      </c>
      <c r="I518" s="409">
        <v>9.07</v>
      </c>
      <c r="J518" s="409">
        <v>9.07</v>
      </c>
      <c r="K518" s="409">
        <v>9.07</v>
      </c>
      <c r="L518" s="420">
        <v>9.07</v>
      </c>
      <c r="M518" s="420">
        <v>9.07</v>
      </c>
      <c r="N518" s="420">
        <v>9.07</v>
      </c>
      <c r="O518" s="409">
        <v>9.07</v>
      </c>
      <c r="P518" s="409">
        <v>9.07</v>
      </c>
      <c r="Q518" s="409">
        <v>9.07</v>
      </c>
      <c r="R518" s="409">
        <v>9.07</v>
      </c>
      <c r="S518" s="409">
        <v>9.07</v>
      </c>
      <c r="T518" s="409">
        <v>9.07</v>
      </c>
      <c r="U518" s="409">
        <v>9.07</v>
      </c>
      <c r="V518" s="409">
        <v>9.07</v>
      </c>
      <c r="W518" s="409">
        <v>9.07</v>
      </c>
      <c r="X518" s="409">
        <v>9.07</v>
      </c>
      <c r="Y518" s="415">
        <v>9.0399999999999991</v>
      </c>
      <c r="Z518" s="163">
        <v>10.039999999999999</v>
      </c>
      <c r="AA518" s="163">
        <v>10.039999999999999</v>
      </c>
      <c r="AB518" s="291">
        <v>6.05</v>
      </c>
      <c r="AC518" s="297">
        <v>7.04</v>
      </c>
      <c r="AD518" s="293">
        <v>6.05</v>
      </c>
      <c r="AI518" s="326"/>
    </row>
    <row r="519" spans="3:35">
      <c r="C519" s="293">
        <v>7.04</v>
      </c>
      <c r="D519" s="297">
        <v>8.0299999999999994</v>
      </c>
      <c r="E519" s="291">
        <v>7.04</v>
      </c>
      <c r="F519" s="158">
        <v>10.039999999999999</v>
      </c>
      <c r="G519" s="163">
        <v>10.039999999999999</v>
      </c>
      <c r="H519" s="415">
        <v>9.0399999999999991</v>
      </c>
      <c r="I519" s="415">
        <v>9.0399999999999991</v>
      </c>
      <c r="J519" s="415">
        <v>9.0399999999999991</v>
      </c>
      <c r="K519" s="415">
        <v>9.0399999999999991</v>
      </c>
      <c r="L519" s="415">
        <v>9.0399999999999991</v>
      </c>
      <c r="M519" s="415">
        <v>9.0399999999999991</v>
      </c>
      <c r="N519" s="415">
        <v>9.0399999999999991</v>
      </c>
      <c r="O519" s="415">
        <v>9.0399999999999991</v>
      </c>
      <c r="P519" s="415">
        <v>9.0399999999999991</v>
      </c>
      <c r="Q519" s="415">
        <v>9.0399999999999991</v>
      </c>
      <c r="R519" s="415">
        <v>9.0399999999999991</v>
      </c>
      <c r="S519" s="415">
        <v>9.0399999999999991</v>
      </c>
      <c r="T519" s="415">
        <v>9.0399999999999991</v>
      </c>
      <c r="U519" s="415">
        <v>9.0399999999999991</v>
      </c>
      <c r="V519" s="415">
        <v>9.0399999999999991</v>
      </c>
      <c r="W519" s="415">
        <v>9.0399999999999991</v>
      </c>
      <c r="X519" s="415">
        <v>9.0399999999999991</v>
      </c>
      <c r="Y519" s="415">
        <v>9.0399999999999991</v>
      </c>
      <c r="Z519" s="163">
        <v>10.039999999999999</v>
      </c>
      <c r="AA519" s="158">
        <v>10.039999999999999</v>
      </c>
      <c r="AB519" s="291">
        <v>7.04</v>
      </c>
      <c r="AC519" s="297">
        <v>8.0299999999999994</v>
      </c>
      <c r="AD519" s="293">
        <v>7.04</v>
      </c>
      <c r="AI519" s="326"/>
    </row>
    <row r="520" spans="3:35">
      <c r="C520" s="293">
        <v>8.0299999999999994</v>
      </c>
      <c r="D520" s="297">
        <v>9.02</v>
      </c>
      <c r="E520" s="291">
        <v>8.0299999999999994</v>
      </c>
      <c r="F520" s="162">
        <v>10.039999999999999</v>
      </c>
      <c r="G520" s="163">
        <v>10.039999999999999</v>
      </c>
      <c r="H520" s="415">
        <v>9.0399999999999991</v>
      </c>
      <c r="I520" s="409">
        <v>9.07</v>
      </c>
      <c r="J520" s="409">
        <v>9.07</v>
      </c>
      <c r="K520" s="409">
        <v>9.07</v>
      </c>
      <c r="L520" s="409">
        <v>9.07</v>
      </c>
      <c r="M520" s="409">
        <v>9.07</v>
      </c>
      <c r="N520" s="409">
        <v>9.07</v>
      </c>
      <c r="O520" s="409">
        <v>9.07</v>
      </c>
      <c r="P520" s="409">
        <v>9.07</v>
      </c>
      <c r="Q520" s="409">
        <v>9.07</v>
      </c>
      <c r="R520" s="409">
        <v>9.07</v>
      </c>
      <c r="S520" s="409">
        <v>9.07</v>
      </c>
      <c r="T520" s="409">
        <v>9.07</v>
      </c>
      <c r="U520" s="409">
        <v>9.07</v>
      </c>
      <c r="V520" s="409">
        <v>9.07</v>
      </c>
      <c r="W520" s="409">
        <v>9.07</v>
      </c>
      <c r="X520" s="409">
        <v>9.07</v>
      </c>
      <c r="Y520" s="415">
        <v>9.0399999999999991</v>
      </c>
      <c r="Z520" s="163">
        <v>10.039999999999999</v>
      </c>
      <c r="AA520" s="162">
        <v>10.039999999999999</v>
      </c>
      <c r="AB520" s="291">
        <v>8.0299999999999994</v>
      </c>
      <c r="AC520" s="297">
        <v>9.02</v>
      </c>
      <c r="AD520" s="293">
        <v>8.0299999999999994</v>
      </c>
      <c r="AI520" s="326"/>
    </row>
    <row r="521" spans="3:35">
      <c r="C521" s="293">
        <v>8.0299999999999994</v>
      </c>
      <c r="D521" s="297">
        <v>9.02</v>
      </c>
      <c r="E521" s="291">
        <v>8.0299999999999994</v>
      </c>
      <c r="F521" s="158">
        <v>10.039999999999999</v>
      </c>
      <c r="G521" s="163">
        <v>10.039999999999999</v>
      </c>
      <c r="H521" s="415">
        <v>9.0399999999999991</v>
      </c>
      <c r="I521" s="409">
        <v>9.07</v>
      </c>
      <c r="J521" s="415">
        <v>9.0399999999999991</v>
      </c>
      <c r="K521" s="409">
        <v>9.07</v>
      </c>
      <c r="L521" s="409">
        <v>9.07</v>
      </c>
      <c r="M521" s="409">
        <v>9.07</v>
      </c>
      <c r="N521" s="420">
        <v>9.07</v>
      </c>
      <c r="O521" s="420">
        <v>9.07</v>
      </c>
      <c r="P521" s="420">
        <v>9.07</v>
      </c>
      <c r="Q521" s="420">
        <v>9.07</v>
      </c>
      <c r="R521" s="409">
        <v>9.07</v>
      </c>
      <c r="S521" s="409">
        <v>9.07</v>
      </c>
      <c r="T521" s="409">
        <v>9.07</v>
      </c>
      <c r="U521" s="409">
        <v>9.07</v>
      </c>
      <c r="V521" s="409">
        <v>9.07</v>
      </c>
      <c r="W521" s="415">
        <v>9.0399999999999991</v>
      </c>
      <c r="X521" s="409">
        <v>9.07</v>
      </c>
      <c r="Y521" s="415">
        <v>9.0399999999999991</v>
      </c>
      <c r="Z521" s="163">
        <v>10.039999999999999</v>
      </c>
      <c r="AA521" s="158">
        <v>10.039999999999999</v>
      </c>
      <c r="AB521" s="291">
        <v>8.0299999999999994</v>
      </c>
      <c r="AC521" s="297">
        <v>9.02</v>
      </c>
      <c r="AD521" s="293">
        <v>8.0299999999999994</v>
      </c>
      <c r="AI521" s="326"/>
    </row>
    <row r="522" spans="3:35">
      <c r="C522" s="293">
        <v>7.04</v>
      </c>
      <c r="D522" s="297">
        <v>8.0299999999999994</v>
      </c>
      <c r="E522" s="291">
        <v>7.04</v>
      </c>
      <c r="F522" s="163">
        <v>10.039999999999999</v>
      </c>
      <c r="G522" s="163">
        <v>10.039999999999999</v>
      </c>
      <c r="H522" s="415">
        <v>9.0399999999999991</v>
      </c>
      <c r="I522" s="409">
        <v>9.07</v>
      </c>
      <c r="J522" s="409">
        <v>9.07</v>
      </c>
      <c r="K522" s="409">
        <v>9.07</v>
      </c>
      <c r="L522" s="409">
        <v>9.07</v>
      </c>
      <c r="M522" s="409">
        <v>9.07</v>
      </c>
      <c r="N522" s="409">
        <v>9.07</v>
      </c>
      <c r="O522" s="409">
        <v>9.07</v>
      </c>
      <c r="P522" s="409">
        <v>9.07</v>
      </c>
      <c r="Q522" s="409">
        <v>9.07</v>
      </c>
      <c r="R522" s="409">
        <v>9.07</v>
      </c>
      <c r="S522" s="420">
        <v>9.07</v>
      </c>
      <c r="T522" s="420">
        <v>9.07</v>
      </c>
      <c r="U522" s="420">
        <v>9.07</v>
      </c>
      <c r="V522" s="409">
        <v>9.07</v>
      </c>
      <c r="W522" s="409">
        <v>9.07</v>
      </c>
      <c r="X522" s="409">
        <v>9.07</v>
      </c>
      <c r="Y522" s="415">
        <v>9.0399999999999991</v>
      </c>
      <c r="Z522" s="163">
        <v>10.039999999999999</v>
      </c>
      <c r="AA522" s="163">
        <v>10.039999999999999</v>
      </c>
      <c r="AB522" s="291">
        <v>7.04</v>
      </c>
      <c r="AC522" s="297">
        <v>8.0299999999999994</v>
      </c>
      <c r="AD522" s="293">
        <v>7.04</v>
      </c>
      <c r="AI522" s="326"/>
    </row>
    <row r="523" spans="3:35">
      <c r="C523" s="293">
        <v>6.05</v>
      </c>
      <c r="D523" s="297">
        <v>7.04</v>
      </c>
      <c r="E523" s="291">
        <v>6.05</v>
      </c>
      <c r="F523" s="158">
        <v>10.039999999999999</v>
      </c>
      <c r="G523" s="163">
        <v>10.039999999999999</v>
      </c>
      <c r="H523" s="415">
        <v>9.0399999999999991</v>
      </c>
      <c r="I523" s="415">
        <v>9.0399999999999991</v>
      </c>
      <c r="J523" s="415">
        <v>9.0399999999999991</v>
      </c>
      <c r="K523" s="415">
        <v>9.0399999999999991</v>
      </c>
      <c r="L523" s="415">
        <v>9.0399999999999991</v>
      </c>
      <c r="M523" s="415">
        <v>9.0399999999999991</v>
      </c>
      <c r="N523" s="415">
        <v>9.0399999999999991</v>
      </c>
      <c r="O523" s="415">
        <v>9.0399999999999991</v>
      </c>
      <c r="P523" s="415">
        <v>9.0399999999999991</v>
      </c>
      <c r="Q523" s="415">
        <v>9.0399999999999991</v>
      </c>
      <c r="R523" s="415">
        <v>9.0399999999999991</v>
      </c>
      <c r="S523" s="415">
        <v>9.0399999999999991</v>
      </c>
      <c r="T523" s="415">
        <v>9.0399999999999991</v>
      </c>
      <c r="U523" s="415">
        <v>9.0399999999999991</v>
      </c>
      <c r="V523" s="415">
        <v>9.0399999999999991</v>
      </c>
      <c r="W523" s="415">
        <v>9.0399999999999991</v>
      </c>
      <c r="X523" s="415">
        <v>9.0399999999999991</v>
      </c>
      <c r="Y523" s="415">
        <v>9.0399999999999991</v>
      </c>
      <c r="Z523" s="163">
        <v>10.039999999999999</v>
      </c>
      <c r="AA523" s="158">
        <v>10.039999999999999</v>
      </c>
      <c r="AB523" s="291">
        <v>6.05</v>
      </c>
      <c r="AC523" s="297">
        <v>7.04</v>
      </c>
      <c r="AD523" s="293">
        <v>6.05</v>
      </c>
      <c r="AI523" s="326"/>
    </row>
    <row r="524" spans="3:35">
      <c r="D524" s="297">
        <v>6.05</v>
      </c>
      <c r="F524" s="162">
        <v>10.039999999999999</v>
      </c>
      <c r="G524" s="163">
        <v>10.039999999999999</v>
      </c>
      <c r="H524" s="291">
        <v>4.04</v>
      </c>
      <c r="I524" s="291">
        <v>4.04</v>
      </c>
      <c r="J524" s="291">
        <v>4.04</v>
      </c>
      <c r="K524" s="291">
        <v>4.04</v>
      </c>
      <c r="L524" s="291">
        <v>4.04</v>
      </c>
      <c r="M524" s="291">
        <v>4.04</v>
      </c>
      <c r="N524" s="291">
        <v>4.04</v>
      </c>
      <c r="O524" s="291">
        <v>4.04</v>
      </c>
      <c r="P524" s="291">
        <v>4.04</v>
      </c>
      <c r="Q524" s="291">
        <v>4.04</v>
      </c>
      <c r="R524" s="291">
        <v>4.04</v>
      </c>
      <c r="S524" s="291">
        <v>4.04</v>
      </c>
      <c r="T524" s="291">
        <v>4.04</v>
      </c>
      <c r="U524" s="291">
        <v>4.04</v>
      </c>
      <c r="V524" s="291">
        <v>4.04</v>
      </c>
      <c r="W524" s="291">
        <v>4.04</v>
      </c>
      <c r="X524" s="291">
        <v>4.04</v>
      </c>
      <c r="Y524" s="291">
        <v>4.04</v>
      </c>
      <c r="Z524" s="163">
        <v>10.039999999999999</v>
      </c>
      <c r="AA524" s="162">
        <v>10.039999999999999</v>
      </c>
      <c r="AC524" s="297">
        <v>6.05</v>
      </c>
      <c r="AI524" s="326"/>
    </row>
    <row r="525" spans="3:35">
      <c r="F525" s="158">
        <v>10.039999999999999</v>
      </c>
      <c r="G525" s="163">
        <v>10.039999999999999</v>
      </c>
      <c r="H525" s="291">
        <v>4.04</v>
      </c>
      <c r="I525" s="291">
        <v>4.04</v>
      </c>
      <c r="J525" s="291">
        <v>4.04</v>
      </c>
      <c r="K525" s="291">
        <v>4.04</v>
      </c>
      <c r="L525" s="291">
        <v>4.04</v>
      </c>
      <c r="M525" s="291">
        <v>4.04</v>
      </c>
      <c r="N525" s="291">
        <v>4.04</v>
      </c>
      <c r="O525" s="291">
        <v>4.04</v>
      </c>
      <c r="P525" s="291">
        <v>4.04</v>
      </c>
      <c r="Q525" s="291">
        <v>4.04</v>
      </c>
      <c r="R525" s="291">
        <v>4.04</v>
      </c>
      <c r="S525" s="291">
        <v>4.04</v>
      </c>
      <c r="T525" s="291">
        <v>4.04</v>
      </c>
      <c r="U525" s="291">
        <v>4.04</v>
      </c>
      <c r="V525" s="291">
        <v>4.04</v>
      </c>
      <c r="W525" s="291">
        <v>4.04</v>
      </c>
      <c r="X525" s="291">
        <v>4.04</v>
      </c>
      <c r="Y525" s="291">
        <v>4.04</v>
      </c>
      <c r="Z525" s="163">
        <v>10.039999999999999</v>
      </c>
      <c r="AA525" s="158">
        <v>10.039999999999999</v>
      </c>
      <c r="AI525" s="326"/>
    </row>
    <row r="526" spans="3:35">
      <c r="F526" s="163">
        <v>10.039999999999999</v>
      </c>
      <c r="G526" s="163">
        <v>10.039999999999999</v>
      </c>
      <c r="H526" s="291">
        <v>4.04</v>
      </c>
      <c r="I526" s="161">
        <v>4.04</v>
      </c>
      <c r="J526" s="206">
        <v>4.04</v>
      </c>
      <c r="K526" s="163">
        <v>4.04</v>
      </c>
      <c r="L526" s="161">
        <v>4.04</v>
      </c>
      <c r="M526" s="161">
        <v>4.04</v>
      </c>
      <c r="N526" s="161">
        <v>4.04</v>
      </c>
      <c r="O526" s="161">
        <v>4.04</v>
      </c>
      <c r="P526" s="161">
        <v>4.04</v>
      </c>
      <c r="Q526" s="161">
        <v>4.04</v>
      </c>
      <c r="R526" s="161">
        <v>4.04</v>
      </c>
      <c r="S526" s="161">
        <v>4.04</v>
      </c>
      <c r="T526" s="161">
        <v>4.04</v>
      </c>
      <c r="U526" s="161">
        <v>4.04</v>
      </c>
      <c r="V526" s="206">
        <v>4.04</v>
      </c>
      <c r="W526" s="163">
        <v>4.04</v>
      </c>
      <c r="X526" s="161">
        <v>4.04</v>
      </c>
      <c r="Y526" s="291">
        <v>4.04</v>
      </c>
      <c r="Z526" s="163">
        <v>10.039999999999999</v>
      </c>
      <c r="AA526" s="163">
        <v>10.039999999999999</v>
      </c>
    </row>
    <row r="527" spans="3:35">
      <c r="F527" s="158">
        <v>10.039999999999999</v>
      </c>
      <c r="G527" s="163">
        <v>10.039999999999999</v>
      </c>
      <c r="H527" s="291">
        <v>4.04</v>
      </c>
      <c r="I527" s="161">
        <v>4.04</v>
      </c>
      <c r="J527" s="161">
        <v>4.04</v>
      </c>
      <c r="K527" s="161">
        <v>4.04</v>
      </c>
      <c r="L527" s="161">
        <v>4.04</v>
      </c>
      <c r="M527" s="161">
        <v>4.04</v>
      </c>
      <c r="N527" s="161">
        <v>4.04</v>
      </c>
      <c r="O527" s="161">
        <v>4.04</v>
      </c>
      <c r="P527" s="161">
        <v>4.04</v>
      </c>
      <c r="Q527" s="161">
        <v>4.04</v>
      </c>
      <c r="R527" s="161">
        <v>4.04</v>
      </c>
      <c r="S527" s="161">
        <v>4.04</v>
      </c>
      <c r="T527" s="161">
        <v>4.04</v>
      </c>
      <c r="U527" s="161">
        <v>4.04</v>
      </c>
      <c r="V527" s="161">
        <v>4.04</v>
      </c>
      <c r="W527" s="161">
        <v>4.04</v>
      </c>
      <c r="X527" s="161">
        <v>4.04</v>
      </c>
      <c r="Y527" s="291">
        <v>4.04</v>
      </c>
      <c r="Z527" s="163">
        <v>10.039999999999999</v>
      </c>
      <c r="AA527" s="158">
        <v>10.039999999999999</v>
      </c>
    </row>
    <row r="528" spans="3:35">
      <c r="F528" s="162">
        <v>10.039999999999999</v>
      </c>
      <c r="G528" s="163">
        <v>10.039999999999999</v>
      </c>
      <c r="H528" s="291">
        <v>4.04</v>
      </c>
      <c r="I528" s="161">
        <v>4.04</v>
      </c>
      <c r="J528" s="161">
        <v>4.04</v>
      </c>
      <c r="K528" s="161">
        <v>4.04</v>
      </c>
      <c r="L528" s="161">
        <v>4.04</v>
      </c>
      <c r="M528" s="161">
        <v>4.04</v>
      </c>
      <c r="N528" s="161">
        <v>4.04</v>
      </c>
      <c r="O528" s="161">
        <v>4.04</v>
      </c>
      <c r="P528" s="161">
        <v>4.04</v>
      </c>
      <c r="Q528" s="161">
        <v>4.04</v>
      </c>
      <c r="R528" s="161">
        <v>4.04</v>
      </c>
      <c r="S528" s="161">
        <v>4.04</v>
      </c>
      <c r="T528" s="161">
        <v>4.04</v>
      </c>
      <c r="U528" s="161">
        <v>4.04</v>
      </c>
      <c r="V528" s="161">
        <v>4.04</v>
      </c>
      <c r="W528" s="161">
        <v>4.04</v>
      </c>
      <c r="X528" s="161">
        <v>4.04</v>
      </c>
      <c r="Y528" s="291">
        <v>4.04</v>
      </c>
      <c r="Z528" s="163">
        <v>10.039999999999999</v>
      </c>
      <c r="AA528" s="162">
        <v>10.039999999999999</v>
      </c>
    </row>
    <row r="529" spans="3:34">
      <c r="F529" s="162">
        <v>10.039999999999999</v>
      </c>
      <c r="G529" s="163">
        <v>10.039999999999999</v>
      </c>
      <c r="H529" s="291">
        <v>4.04</v>
      </c>
      <c r="I529" s="161">
        <v>4.04</v>
      </c>
      <c r="J529" s="161">
        <v>4.04</v>
      </c>
      <c r="K529" s="161">
        <v>4.04</v>
      </c>
      <c r="L529" s="161">
        <v>4.04</v>
      </c>
      <c r="M529" s="161">
        <v>4.04</v>
      </c>
      <c r="N529" s="161">
        <v>4.04</v>
      </c>
      <c r="O529" s="161">
        <v>4.04</v>
      </c>
      <c r="P529" s="206">
        <v>4.04</v>
      </c>
      <c r="Q529" s="163">
        <v>4.04</v>
      </c>
      <c r="R529" s="161">
        <v>4.04</v>
      </c>
      <c r="S529" s="161">
        <v>4.04</v>
      </c>
      <c r="T529" s="161">
        <v>4.04</v>
      </c>
      <c r="U529" s="161">
        <v>4.04</v>
      </c>
      <c r="V529" s="161">
        <v>4.04</v>
      </c>
      <c r="W529" s="161">
        <v>4.04</v>
      </c>
      <c r="X529" s="161">
        <v>4.04</v>
      </c>
      <c r="Y529" s="291">
        <v>4.04</v>
      </c>
      <c r="Z529" s="163">
        <v>10.039999999999999</v>
      </c>
      <c r="AA529" s="162">
        <v>10.039999999999999</v>
      </c>
    </row>
    <row r="530" spans="3:34">
      <c r="AH530">
        <v>527</v>
      </c>
    </row>
    <row r="531" spans="3:34">
      <c r="F531" s="163">
        <v>10.039999999999999</v>
      </c>
      <c r="G531" s="163">
        <v>10.039999999999999</v>
      </c>
      <c r="H531" s="291">
        <v>4.04</v>
      </c>
      <c r="I531" s="161">
        <v>4.04</v>
      </c>
      <c r="J531" s="161">
        <v>4.04</v>
      </c>
      <c r="K531" s="161">
        <v>4.04</v>
      </c>
      <c r="L531" s="161">
        <v>4.04</v>
      </c>
      <c r="M531" s="161">
        <v>4.04</v>
      </c>
      <c r="N531" s="161">
        <v>4.04</v>
      </c>
      <c r="O531" s="161">
        <v>4.04</v>
      </c>
      <c r="P531" s="161">
        <v>4.04</v>
      </c>
      <c r="Q531" s="161">
        <v>4.04</v>
      </c>
      <c r="R531" s="161">
        <v>4.04</v>
      </c>
      <c r="S531" s="161">
        <v>4.04</v>
      </c>
      <c r="T531" s="161">
        <v>4.04</v>
      </c>
      <c r="U531" s="161">
        <v>4.04</v>
      </c>
      <c r="V531" s="161">
        <v>4.04</v>
      </c>
      <c r="W531" s="161">
        <v>4.04</v>
      </c>
      <c r="X531" s="161">
        <v>4.04</v>
      </c>
      <c r="Y531" s="291">
        <v>4.04</v>
      </c>
      <c r="Z531" s="163">
        <v>10.039999999999999</v>
      </c>
      <c r="AA531" s="163">
        <v>10.039999999999999</v>
      </c>
    </row>
    <row r="532" spans="3:34">
      <c r="F532" s="158">
        <v>10.039999999999999</v>
      </c>
      <c r="G532" s="163">
        <v>10.039999999999999</v>
      </c>
      <c r="H532" s="291">
        <v>4.04</v>
      </c>
      <c r="I532" s="161">
        <v>4.04</v>
      </c>
      <c r="J532" s="206">
        <v>4.04</v>
      </c>
      <c r="K532" s="163">
        <v>4.04</v>
      </c>
      <c r="L532" s="161">
        <v>4.04</v>
      </c>
      <c r="M532" s="161">
        <v>4.04</v>
      </c>
      <c r="N532" s="161">
        <v>4.04</v>
      </c>
      <c r="O532" s="161">
        <v>4.04</v>
      </c>
      <c r="P532" s="161">
        <v>4.04</v>
      </c>
      <c r="Q532" s="161">
        <v>4.04</v>
      </c>
      <c r="R532" s="161">
        <v>4.04</v>
      </c>
      <c r="S532" s="161">
        <v>4.04</v>
      </c>
      <c r="T532" s="161">
        <v>4.04</v>
      </c>
      <c r="U532" s="161">
        <v>4.04</v>
      </c>
      <c r="V532" s="206">
        <v>4.04</v>
      </c>
      <c r="W532" s="163">
        <v>4.04</v>
      </c>
      <c r="X532" s="161">
        <v>4.04</v>
      </c>
      <c r="Y532" s="291">
        <v>4.04</v>
      </c>
      <c r="Z532" s="163">
        <v>10.039999999999999</v>
      </c>
      <c r="AA532" s="158">
        <v>10.039999999999999</v>
      </c>
    </row>
    <row r="533" spans="3:34">
      <c r="AH533">
        <v>524</v>
      </c>
    </row>
    <row r="534" spans="3:34">
      <c r="AH534">
        <v>523</v>
      </c>
    </row>
    <row r="535" spans="3:34">
      <c r="C535" s="293">
        <v>7.04</v>
      </c>
      <c r="D535" s="297">
        <v>8.0299999999999994</v>
      </c>
      <c r="E535" s="291">
        <v>7.04</v>
      </c>
      <c r="F535" s="163">
        <v>10.039999999999999</v>
      </c>
      <c r="G535" s="163">
        <v>10.039999999999999</v>
      </c>
      <c r="H535" s="415">
        <v>9.0399999999999991</v>
      </c>
      <c r="I535" s="409">
        <v>9.07</v>
      </c>
      <c r="J535" s="409">
        <v>9.07</v>
      </c>
      <c r="K535" s="409">
        <v>9.07</v>
      </c>
      <c r="L535" s="420">
        <v>9.07</v>
      </c>
      <c r="M535" s="420">
        <v>9.07</v>
      </c>
      <c r="N535" s="420">
        <v>9.07</v>
      </c>
      <c r="O535" s="409">
        <v>9.07</v>
      </c>
      <c r="P535" s="409">
        <v>9.07</v>
      </c>
      <c r="Q535" s="409">
        <v>9.07</v>
      </c>
      <c r="R535" s="409">
        <v>9.07</v>
      </c>
      <c r="S535" s="409">
        <v>9.07</v>
      </c>
      <c r="T535" s="409">
        <v>9.07</v>
      </c>
      <c r="U535" s="409">
        <v>9.07</v>
      </c>
      <c r="V535" s="409">
        <v>9.07</v>
      </c>
      <c r="W535" s="409">
        <v>9.07</v>
      </c>
      <c r="X535" s="409">
        <v>9.07</v>
      </c>
      <c r="Y535" s="415">
        <v>9.0399999999999991</v>
      </c>
      <c r="Z535" s="163">
        <v>10.039999999999999</v>
      </c>
      <c r="AA535" s="163">
        <v>10.039999999999999</v>
      </c>
      <c r="AB535" s="291">
        <v>7.04</v>
      </c>
      <c r="AC535" s="297">
        <v>8.0299999999999994</v>
      </c>
      <c r="AD535" s="293">
        <v>7.04</v>
      </c>
    </row>
    <row r="536" spans="3:34">
      <c r="C536" s="293">
        <v>8.0299999999999994</v>
      </c>
      <c r="D536" s="297">
        <v>9.02</v>
      </c>
      <c r="E536" s="291">
        <v>8.0299999999999994</v>
      </c>
      <c r="F536" s="158">
        <v>10.039999999999999</v>
      </c>
      <c r="G536" s="163">
        <v>10.039999999999999</v>
      </c>
      <c r="H536" s="415">
        <v>9.0399999999999991</v>
      </c>
      <c r="I536" s="409">
        <v>9.07</v>
      </c>
      <c r="J536" s="415">
        <v>9.0399999999999991</v>
      </c>
      <c r="K536" s="409">
        <v>9.07</v>
      </c>
      <c r="L536" s="409">
        <v>9.07</v>
      </c>
      <c r="M536" s="409">
        <v>9.07</v>
      </c>
      <c r="N536" s="409">
        <v>9.07</v>
      </c>
      <c r="O536" s="409">
        <v>9.07</v>
      </c>
      <c r="P536" s="420">
        <v>9.07</v>
      </c>
      <c r="Q536" s="420">
        <v>9.07</v>
      </c>
      <c r="R536" s="420">
        <v>9.07</v>
      </c>
      <c r="S536" s="420">
        <v>9.07</v>
      </c>
      <c r="T536" s="409">
        <v>9.07</v>
      </c>
      <c r="U536" s="409">
        <v>9.07</v>
      </c>
      <c r="V536" s="409">
        <v>9.07</v>
      </c>
      <c r="W536" s="415">
        <v>9.0399999999999991</v>
      </c>
      <c r="X536" s="409">
        <v>9.07</v>
      </c>
      <c r="Y536" s="415">
        <v>9.0399999999999991</v>
      </c>
      <c r="Z536" s="163">
        <v>10.039999999999999</v>
      </c>
      <c r="AA536" s="158">
        <v>10.039999999999999</v>
      </c>
      <c r="AB536" s="291">
        <v>8.0299999999999994</v>
      </c>
      <c r="AC536" s="297">
        <v>9.02</v>
      </c>
      <c r="AD536" s="293">
        <v>8.0299999999999994</v>
      </c>
    </row>
    <row r="537" spans="3:34">
      <c r="AH537">
        <v>520</v>
      </c>
    </row>
    <row r="538" spans="3:34">
      <c r="AH538">
        <v>519</v>
      </c>
    </row>
    <row r="539" spans="3:34">
      <c r="C539" s="293">
        <v>6.05</v>
      </c>
      <c r="D539" s="297">
        <v>7.04</v>
      </c>
      <c r="E539" s="291">
        <v>6.05</v>
      </c>
      <c r="F539" s="163">
        <v>10.039999999999999</v>
      </c>
      <c r="G539" s="163">
        <v>10.039999999999999</v>
      </c>
      <c r="H539" s="415">
        <v>9.0399999999999991</v>
      </c>
      <c r="I539" s="409">
        <v>9.07</v>
      </c>
      <c r="J539" s="409">
        <v>9.07</v>
      </c>
      <c r="K539" s="409">
        <v>9.07</v>
      </c>
      <c r="L539" s="409">
        <v>9.07</v>
      </c>
      <c r="M539" s="409">
        <v>9.07</v>
      </c>
      <c r="N539" s="409">
        <v>9.07</v>
      </c>
      <c r="O539" s="409">
        <v>9.07</v>
      </c>
      <c r="P539" s="409">
        <v>9.07</v>
      </c>
      <c r="Q539" s="409">
        <v>9.07</v>
      </c>
      <c r="R539" s="409">
        <v>9.07</v>
      </c>
      <c r="S539" s="420">
        <v>9.07</v>
      </c>
      <c r="T539" s="420">
        <v>9.07</v>
      </c>
      <c r="U539" s="420">
        <v>9.07</v>
      </c>
      <c r="V539" s="409">
        <v>9.07</v>
      </c>
      <c r="W539" s="409">
        <v>9.07</v>
      </c>
      <c r="X539" s="409">
        <v>9.07</v>
      </c>
      <c r="Y539" s="415">
        <v>9.0399999999999991</v>
      </c>
      <c r="Z539" s="163">
        <v>10.039999999999999</v>
      </c>
      <c r="AA539" s="163">
        <v>10.039999999999999</v>
      </c>
      <c r="AB539" s="291">
        <v>6.05</v>
      </c>
      <c r="AC539" s="297">
        <v>7.04</v>
      </c>
      <c r="AD539" s="293">
        <v>6.05</v>
      </c>
    </row>
    <row r="540" spans="3:34">
      <c r="AH540">
        <v>517</v>
      </c>
    </row>
    <row r="541" spans="3:34">
      <c r="F541" s="162">
        <v>10.039999999999999</v>
      </c>
      <c r="G541" s="163">
        <v>10.039999999999999</v>
      </c>
      <c r="H541" s="415">
        <v>9.0399999999999991</v>
      </c>
      <c r="I541" s="409">
        <v>9.07</v>
      </c>
      <c r="J541" s="409">
        <v>9.07</v>
      </c>
      <c r="K541" s="409">
        <v>9.07</v>
      </c>
      <c r="L541" s="409">
        <v>9.07</v>
      </c>
      <c r="M541" s="420">
        <v>9.07</v>
      </c>
      <c r="N541" s="420">
        <v>9.07</v>
      </c>
      <c r="O541" s="420">
        <v>9.07</v>
      </c>
      <c r="P541" s="409">
        <v>9.07</v>
      </c>
      <c r="Q541" s="409">
        <v>9.07</v>
      </c>
      <c r="R541" s="409">
        <v>9.07</v>
      </c>
      <c r="S541" s="409">
        <v>9.07</v>
      </c>
      <c r="T541" s="409">
        <v>9.07</v>
      </c>
      <c r="U541" s="409">
        <v>9.07</v>
      </c>
      <c r="V541" s="409">
        <v>9.07</v>
      </c>
      <c r="W541" s="409">
        <v>9.07</v>
      </c>
      <c r="X541" s="409">
        <v>9.07</v>
      </c>
      <c r="Y541" s="415">
        <v>9.0399999999999991</v>
      </c>
      <c r="Z541" s="163">
        <v>10.039999999999999</v>
      </c>
      <c r="AA541" s="162">
        <v>10.039999999999999</v>
      </c>
    </row>
    <row r="542" spans="3:34">
      <c r="AH542">
        <v>515</v>
      </c>
    </row>
    <row r="543" spans="3:34">
      <c r="AH543">
        <v>514</v>
      </c>
    </row>
    <row r="544" spans="3:34">
      <c r="AH544">
        <v>513</v>
      </c>
    </row>
    <row r="545" spans="1:33">
      <c r="A545" s="1249">
        <v>31.17</v>
      </c>
      <c r="B545" s="1250">
        <v>31.17</v>
      </c>
      <c r="C545" s="1250">
        <v>30.18</v>
      </c>
      <c r="D545" s="1250">
        <v>31.17</v>
      </c>
      <c r="E545" s="490">
        <v>31.17</v>
      </c>
      <c r="F545" s="1250">
        <v>31.17</v>
      </c>
      <c r="G545" s="1250">
        <v>30.18</v>
      </c>
      <c r="H545" s="1250">
        <v>31.17</v>
      </c>
      <c r="I545" s="490">
        <v>31.17</v>
      </c>
      <c r="J545" s="1250">
        <v>31.17</v>
      </c>
      <c r="K545" s="1250">
        <v>30.18</v>
      </c>
      <c r="L545" s="1250">
        <v>31.17</v>
      </c>
      <c r="M545" s="490">
        <v>31.17</v>
      </c>
      <c r="N545" s="1250">
        <v>31.17</v>
      </c>
      <c r="O545" s="1250">
        <v>30.18</v>
      </c>
      <c r="P545" s="1250">
        <v>31.17</v>
      </c>
      <c r="Q545" s="1249">
        <v>1</v>
      </c>
      <c r="R545" s="1250">
        <v>1</v>
      </c>
      <c r="S545" s="1250">
        <v>1</v>
      </c>
      <c r="T545" s="1250">
        <v>1</v>
      </c>
      <c r="U545" s="490">
        <v>1</v>
      </c>
      <c r="V545" s="1250">
        <v>1</v>
      </c>
      <c r="W545" s="1250">
        <v>1</v>
      </c>
      <c r="X545" s="1250">
        <v>1</v>
      </c>
      <c r="Y545" s="490">
        <v>1</v>
      </c>
      <c r="Z545" s="1250">
        <v>1</v>
      </c>
      <c r="AA545" s="1250">
        <v>1</v>
      </c>
      <c r="AB545" s="1250">
        <v>1</v>
      </c>
      <c r="AC545" s="490">
        <v>1</v>
      </c>
      <c r="AD545" s="1250">
        <v>1</v>
      </c>
      <c r="AE545" s="1250">
        <v>1</v>
      </c>
      <c r="AF545" s="1250">
        <v>1</v>
      </c>
      <c r="AG545">
        <v>18</v>
      </c>
    </row>
    <row r="546" spans="1:33">
      <c r="A546" s="1251">
        <v>31.17</v>
      </c>
      <c r="B546" s="415">
        <v>32.159999999999997</v>
      </c>
      <c r="C546" s="415">
        <v>32.159999999999997</v>
      </c>
      <c r="D546" s="415">
        <v>32.159999999999997</v>
      </c>
      <c r="E546" s="415">
        <v>32.159999999999997</v>
      </c>
      <c r="F546" s="415">
        <v>32.159999999999997</v>
      </c>
      <c r="G546" s="415">
        <v>32.159999999999997</v>
      </c>
      <c r="H546" s="415">
        <v>32.159999999999997</v>
      </c>
      <c r="I546" s="415">
        <v>32.159999999999997</v>
      </c>
      <c r="J546" s="415">
        <v>32.159999999999997</v>
      </c>
      <c r="K546" s="415">
        <v>32.159999999999997</v>
      </c>
      <c r="L546" s="415">
        <v>32.159999999999997</v>
      </c>
      <c r="M546" s="415">
        <v>32.159999999999997</v>
      </c>
      <c r="N546" s="415">
        <v>32.159999999999997</v>
      </c>
      <c r="O546" s="415">
        <v>32.159999999999997</v>
      </c>
      <c r="P546" s="409">
        <v>31.17</v>
      </c>
      <c r="Q546" s="1251">
        <v>1</v>
      </c>
      <c r="R546" s="415">
        <v>1</v>
      </c>
      <c r="S546" s="415">
        <v>1</v>
      </c>
      <c r="T546" s="415">
        <v>1</v>
      </c>
      <c r="U546" s="415">
        <v>1</v>
      </c>
      <c r="V546" s="415">
        <v>1</v>
      </c>
      <c r="W546" s="415">
        <v>1</v>
      </c>
      <c r="X546" s="415">
        <v>1</v>
      </c>
      <c r="Y546" s="415">
        <v>1</v>
      </c>
      <c r="Z546" s="415">
        <v>1</v>
      </c>
      <c r="AA546" s="415">
        <v>1</v>
      </c>
      <c r="AB546" s="415">
        <v>1</v>
      </c>
      <c r="AC546" s="415">
        <v>1</v>
      </c>
      <c r="AD546" s="415">
        <v>1</v>
      </c>
      <c r="AE546" s="415">
        <v>1</v>
      </c>
      <c r="AF546" s="409">
        <v>1</v>
      </c>
    </row>
    <row r="547" spans="1:33">
      <c r="A547" s="1250">
        <v>30.18</v>
      </c>
      <c r="B547" s="415">
        <v>32.159999999999997</v>
      </c>
      <c r="C547" s="409">
        <v>18.16</v>
      </c>
      <c r="D547" s="409">
        <v>18.16</v>
      </c>
      <c r="E547" s="409">
        <v>18.16</v>
      </c>
      <c r="F547" s="415">
        <v>18.16</v>
      </c>
      <c r="G547" s="409">
        <v>18.16</v>
      </c>
      <c r="H547" s="409">
        <v>18.16</v>
      </c>
      <c r="I547" s="409">
        <v>18.16</v>
      </c>
      <c r="J547" s="409">
        <v>18.16</v>
      </c>
      <c r="K547" s="415">
        <v>18.16</v>
      </c>
      <c r="L547" s="409">
        <v>18.16</v>
      </c>
      <c r="M547" s="409">
        <v>18.16</v>
      </c>
      <c r="N547" s="420">
        <v>18.16</v>
      </c>
      <c r="O547" s="420">
        <v>32.159999999999997</v>
      </c>
      <c r="P547" s="409">
        <v>30.18</v>
      </c>
      <c r="Q547" s="1250">
        <v>1</v>
      </c>
      <c r="R547" s="415">
        <v>1</v>
      </c>
      <c r="S547" s="409">
        <v>1</v>
      </c>
      <c r="T547" s="409">
        <v>1</v>
      </c>
      <c r="U547" s="409">
        <v>1</v>
      </c>
      <c r="V547" s="409">
        <v>1</v>
      </c>
      <c r="W547" s="409">
        <v>1</v>
      </c>
      <c r="X547" s="409">
        <v>1</v>
      </c>
      <c r="Y547" s="409">
        <v>1</v>
      </c>
      <c r="Z547" s="409">
        <v>1</v>
      </c>
      <c r="AA547" s="409">
        <v>1</v>
      </c>
      <c r="AB547" s="409">
        <v>1</v>
      </c>
      <c r="AC547" s="409">
        <v>1</v>
      </c>
      <c r="AD547" s="409">
        <v>1</v>
      </c>
      <c r="AE547" s="420">
        <v>1</v>
      </c>
      <c r="AF547" s="409">
        <v>1</v>
      </c>
    </row>
    <row r="548" spans="1:33">
      <c r="A548" s="1251">
        <v>31.17</v>
      </c>
      <c r="B548" s="415">
        <v>32.159999999999997</v>
      </c>
      <c r="C548" s="409">
        <v>18.16</v>
      </c>
      <c r="D548" s="409">
        <v>18.16</v>
      </c>
      <c r="E548" s="409">
        <v>18.16</v>
      </c>
      <c r="F548" s="415">
        <v>18.16</v>
      </c>
      <c r="G548" s="409">
        <v>18.16</v>
      </c>
      <c r="H548" s="409">
        <v>18.16</v>
      </c>
      <c r="I548" s="409">
        <v>18.16</v>
      </c>
      <c r="J548" s="415">
        <v>18.16</v>
      </c>
      <c r="K548" s="409">
        <v>18.16</v>
      </c>
      <c r="L548" s="409">
        <v>18.16</v>
      </c>
      <c r="M548" s="415">
        <v>18.16</v>
      </c>
      <c r="N548" s="409">
        <v>18.16</v>
      </c>
      <c r="O548" s="420">
        <v>32.159999999999997</v>
      </c>
      <c r="P548" s="409">
        <v>31.17</v>
      </c>
      <c r="Q548" s="1251">
        <v>1</v>
      </c>
      <c r="R548" s="415">
        <v>1</v>
      </c>
      <c r="S548" s="409">
        <v>1</v>
      </c>
      <c r="T548" s="415">
        <v>1</v>
      </c>
      <c r="U548" s="409">
        <v>1</v>
      </c>
      <c r="V548" s="409">
        <v>1</v>
      </c>
      <c r="W548" s="409">
        <v>1</v>
      </c>
      <c r="X548" s="409">
        <v>1</v>
      </c>
      <c r="Y548" s="409">
        <v>1</v>
      </c>
      <c r="Z548" s="409">
        <v>1</v>
      </c>
      <c r="AA548" s="409">
        <v>1</v>
      </c>
      <c r="AB548" s="409">
        <v>1</v>
      </c>
      <c r="AC548" s="415">
        <v>1</v>
      </c>
      <c r="AD548" s="409">
        <v>1</v>
      </c>
      <c r="AE548" s="420">
        <v>1</v>
      </c>
      <c r="AF548" s="409">
        <v>1</v>
      </c>
    </row>
    <row r="549" spans="1:33">
      <c r="A549" s="491">
        <v>31.17</v>
      </c>
      <c r="B549" s="415">
        <v>32.159999999999997</v>
      </c>
      <c r="C549" s="409">
        <v>18.16</v>
      </c>
      <c r="D549" s="409">
        <v>18.16</v>
      </c>
      <c r="E549" s="409">
        <v>18.16</v>
      </c>
      <c r="F549" s="415">
        <v>18.16</v>
      </c>
      <c r="G549" s="409">
        <v>18.16</v>
      </c>
      <c r="H549" s="409">
        <v>18.16</v>
      </c>
      <c r="I549" s="415">
        <v>18.16</v>
      </c>
      <c r="J549" s="409">
        <v>18.16</v>
      </c>
      <c r="K549" s="409">
        <v>18.16</v>
      </c>
      <c r="L549" s="409">
        <v>18.16</v>
      </c>
      <c r="M549" s="409">
        <v>18.16</v>
      </c>
      <c r="N549" s="409">
        <v>18.16</v>
      </c>
      <c r="O549" s="420">
        <v>32.159999999999997</v>
      </c>
      <c r="P549" s="420">
        <v>31.17</v>
      </c>
      <c r="Q549" s="491">
        <v>1</v>
      </c>
      <c r="R549" s="415">
        <v>1</v>
      </c>
      <c r="S549" s="409">
        <v>1</v>
      </c>
      <c r="T549" s="409">
        <v>1</v>
      </c>
      <c r="U549" s="409">
        <v>1</v>
      </c>
      <c r="V549" s="409">
        <v>1</v>
      </c>
      <c r="W549" s="409">
        <v>1</v>
      </c>
      <c r="X549" s="409">
        <v>1</v>
      </c>
      <c r="Y549" s="409">
        <v>1</v>
      </c>
      <c r="Z549" s="409">
        <v>1</v>
      </c>
      <c r="AA549" s="409">
        <v>1</v>
      </c>
      <c r="AB549" s="409">
        <v>1</v>
      </c>
      <c r="AC549" s="409">
        <v>1</v>
      </c>
      <c r="AD549" s="409">
        <v>1</v>
      </c>
      <c r="AE549" s="420">
        <v>1</v>
      </c>
      <c r="AF549" s="420">
        <v>1</v>
      </c>
    </row>
    <row r="550" spans="1:33">
      <c r="A550" s="1251">
        <v>31.17</v>
      </c>
      <c r="B550" s="415">
        <v>32.159999999999997</v>
      </c>
      <c r="C550" s="409">
        <v>18.16</v>
      </c>
      <c r="D550" s="409">
        <v>18.16</v>
      </c>
      <c r="E550" s="409">
        <v>18.16</v>
      </c>
      <c r="F550" s="415">
        <v>18.16</v>
      </c>
      <c r="G550" s="409">
        <v>18.16</v>
      </c>
      <c r="H550" s="415">
        <v>18.16</v>
      </c>
      <c r="I550" s="409">
        <v>18.16</v>
      </c>
      <c r="J550" s="409">
        <v>18.16</v>
      </c>
      <c r="K550" s="409">
        <v>18.16</v>
      </c>
      <c r="L550" s="409">
        <v>18.16</v>
      </c>
      <c r="M550" s="409">
        <v>18.16</v>
      </c>
      <c r="N550" s="415">
        <v>18.16</v>
      </c>
      <c r="O550" s="420">
        <v>32.159999999999997</v>
      </c>
      <c r="P550" s="409">
        <v>31.17</v>
      </c>
      <c r="Q550" s="1251">
        <v>1</v>
      </c>
      <c r="R550" s="415">
        <v>1</v>
      </c>
      <c r="S550" s="415">
        <v>1</v>
      </c>
      <c r="T550" s="415">
        <v>1</v>
      </c>
      <c r="U550" s="415">
        <v>1</v>
      </c>
      <c r="V550" s="415">
        <v>1</v>
      </c>
      <c r="W550" s="415">
        <v>1</v>
      </c>
      <c r="X550" s="415">
        <v>1</v>
      </c>
      <c r="Y550" s="415">
        <v>1</v>
      </c>
      <c r="Z550" s="415">
        <v>1</v>
      </c>
      <c r="AA550" s="415">
        <v>1</v>
      </c>
      <c r="AB550" s="415">
        <v>1</v>
      </c>
      <c r="AC550" s="415">
        <v>1</v>
      </c>
      <c r="AD550" s="415">
        <v>1</v>
      </c>
      <c r="AE550" s="420">
        <v>1</v>
      </c>
      <c r="AF550" s="409">
        <v>1</v>
      </c>
    </row>
    <row r="551" spans="1:33">
      <c r="A551" s="1250">
        <v>30.18</v>
      </c>
      <c r="B551" s="415">
        <v>32.159999999999997</v>
      </c>
      <c r="C551" s="409">
        <v>18.16</v>
      </c>
      <c r="D551" s="409">
        <v>18.16</v>
      </c>
      <c r="E551" s="409">
        <v>18.16</v>
      </c>
      <c r="F551" s="415">
        <v>18.16</v>
      </c>
      <c r="G551" s="415">
        <v>18.16</v>
      </c>
      <c r="H551" s="409">
        <v>18.16</v>
      </c>
      <c r="I551" s="409">
        <v>18.16</v>
      </c>
      <c r="J551" s="409">
        <v>18.16</v>
      </c>
      <c r="K551" s="409">
        <v>18.16</v>
      </c>
      <c r="L551" s="409">
        <v>18.16</v>
      </c>
      <c r="M551" s="415">
        <v>18.16</v>
      </c>
      <c r="N551" s="409">
        <v>18.16</v>
      </c>
      <c r="O551" s="420">
        <v>32.159999999999997</v>
      </c>
      <c r="P551" s="409">
        <v>30.18</v>
      </c>
      <c r="Q551" s="1250">
        <v>1</v>
      </c>
      <c r="R551" s="415">
        <v>1</v>
      </c>
      <c r="S551" s="409">
        <v>1</v>
      </c>
      <c r="T551" s="409">
        <v>1</v>
      </c>
      <c r="U551" s="409">
        <v>1</v>
      </c>
      <c r="V551" s="409">
        <v>1</v>
      </c>
      <c r="W551" s="409">
        <v>1</v>
      </c>
      <c r="X551" s="409">
        <v>1</v>
      </c>
      <c r="Y551" s="409">
        <v>1</v>
      </c>
      <c r="Z551" s="409">
        <v>1</v>
      </c>
      <c r="AA551" s="409">
        <v>1</v>
      </c>
      <c r="AB551" s="409">
        <v>1</v>
      </c>
      <c r="AC551" s="409">
        <v>1</v>
      </c>
      <c r="AD551" s="409">
        <v>1</v>
      </c>
      <c r="AE551" s="420">
        <v>1</v>
      </c>
      <c r="AF551" s="409">
        <v>1</v>
      </c>
    </row>
    <row r="552" spans="1:33">
      <c r="A552" s="1251">
        <v>31.17</v>
      </c>
      <c r="B552" s="415">
        <v>32.159999999999997</v>
      </c>
      <c r="C552" s="409">
        <v>18.16</v>
      </c>
      <c r="D552" s="409">
        <v>18.16</v>
      </c>
      <c r="E552" s="409">
        <v>18.16</v>
      </c>
      <c r="F552" s="415">
        <v>18.16</v>
      </c>
      <c r="G552" s="409">
        <v>18.16</v>
      </c>
      <c r="H552" s="409">
        <v>18.16</v>
      </c>
      <c r="I552" s="409">
        <v>18.16</v>
      </c>
      <c r="J552" s="409">
        <v>18.16</v>
      </c>
      <c r="K552" s="409">
        <v>18.16</v>
      </c>
      <c r="L552" s="415">
        <v>18.16</v>
      </c>
      <c r="M552" s="409">
        <v>18.16</v>
      </c>
      <c r="N552" s="409">
        <v>18.16</v>
      </c>
      <c r="O552" s="420">
        <v>32.159999999999997</v>
      </c>
      <c r="P552" s="409">
        <v>31.17</v>
      </c>
      <c r="Q552" s="1251">
        <v>1</v>
      </c>
      <c r="R552" s="415">
        <v>1</v>
      </c>
      <c r="S552" s="409">
        <v>1</v>
      </c>
      <c r="T552" s="409">
        <v>1</v>
      </c>
      <c r="U552" s="409">
        <v>1</v>
      </c>
      <c r="V552" s="409">
        <v>1</v>
      </c>
      <c r="W552" s="409">
        <v>1</v>
      </c>
      <c r="X552" s="409">
        <v>1</v>
      </c>
      <c r="Y552" s="409">
        <v>1</v>
      </c>
      <c r="Z552" s="409">
        <v>1</v>
      </c>
      <c r="AA552" s="409">
        <v>1</v>
      </c>
      <c r="AB552" s="409">
        <v>1</v>
      </c>
      <c r="AC552" s="409">
        <v>1</v>
      </c>
      <c r="AD552" s="409">
        <v>1</v>
      </c>
      <c r="AE552" s="420">
        <v>1</v>
      </c>
      <c r="AF552" s="409">
        <v>1</v>
      </c>
    </row>
    <row r="553" spans="1:33">
      <c r="A553" s="491">
        <v>31.17</v>
      </c>
      <c r="B553" s="415">
        <v>32.159999999999997</v>
      </c>
      <c r="C553" s="409">
        <v>18.16</v>
      </c>
      <c r="D553" s="409">
        <v>18.16</v>
      </c>
      <c r="E553" s="415">
        <v>18.16</v>
      </c>
      <c r="F553" s="409">
        <v>18.16</v>
      </c>
      <c r="G553" s="409">
        <v>18.16</v>
      </c>
      <c r="H553" s="409">
        <v>18.16</v>
      </c>
      <c r="I553" s="409">
        <v>18.16</v>
      </c>
      <c r="J553" s="409">
        <v>18.16</v>
      </c>
      <c r="K553" s="415">
        <v>18.16</v>
      </c>
      <c r="L553" s="409">
        <v>18.16</v>
      </c>
      <c r="M553" s="409">
        <v>18.16</v>
      </c>
      <c r="N553" s="409">
        <v>18.16</v>
      </c>
      <c r="O553" s="420">
        <v>32.159999999999997</v>
      </c>
      <c r="P553" s="420">
        <v>31.17</v>
      </c>
      <c r="Q553" s="491">
        <v>1</v>
      </c>
      <c r="R553" s="415">
        <v>1</v>
      </c>
      <c r="S553" s="409">
        <v>1</v>
      </c>
      <c r="T553" s="409">
        <v>1</v>
      </c>
      <c r="U553" s="409">
        <v>1</v>
      </c>
      <c r="V553" s="409">
        <v>1</v>
      </c>
      <c r="W553" s="409">
        <v>1</v>
      </c>
      <c r="X553" s="409">
        <v>1</v>
      </c>
      <c r="Y553" s="409">
        <v>1</v>
      </c>
      <c r="Z553" s="409">
        <v>1</v>
      </c>
      <c r="AA553" s="409">
        <v>1</v>
      </c>
      <c r="AB553" s="409">
        <v>1</v>
      </c>
      <c r="AC553" s="409">
        <v>1</v>
      </c>
      <c r="AD553" s="409">
        <v>1</v>
      </c>
      <c r="AE553" s="420">
        <v>1</v>
      </c>
      <c r="AF553" s="420">
        <v>1</v>
      </c>
    </row>
    <row r="554" spans="1:33">
      <c r="A554" s="1251">
        <v>31.17</v>
      </c>
      <c r="B554" s="415">
        <v>32.159999999999997</v>
      </c>
      <c r="C554" s="409">
        <v>18.16</v>
      </c>
      <c r="D554" s="415">
        <v>18.16</v>
      </c>
      <c r="E554" s="409">
        <v>18.16</v>
      </c>
      <c r="F554" s="409">
        <v>18.16</v>
      </c>
      <c r="G554" s="409">
        <v>18.16</v>
      </c>
      <c r="H554" s="409">
        <v>18.16</v>
      </c>
      <c r="I554" s="409">
        <v>18.16</v>
      </c>
      <c r="J554" s="415">
        <v>18.16</v>
      </c>
      <c r="K554" s="415">
        <v>18.16</v>
      </c>
      <c r="L554" s="409">
        <v>18.16</v>
      </c>
      <c r="M554" s="409">
        <v>18.16</v>
      </c>
      <c r="N554" s="409">
        <v>18.16</v>
      </c>
      <c r="O554" s="420">
        <v>32.159999999999997</v>
      </c>
      <c r="P554" s="409">
        <v>31.17</v>
      </c>
      <c r="Q554" s="1251">
        <v>1</v>
      </c>
      <c r="R554" s="415">
        <v>1</v>
      </c>
      <c r="S554" s="409">
        <v>1</v>
      </c>
      <c r="T554" s="409">
        <v>1</v>
      </c>
      <c r="U554" s="409">
        <v>1</v>
      </c>
      <c r="V554" s="409">
        <v>1</v>
      </c>
      <c r="W554" s="409">
        <v>1</v>
      </c>
      <c r="X554" s="409">
        <v>1</v>
      </c>
      <c r="Y554" s="409">
        <v>1</v>
      </c>
      <c r="Z554" s="409">
        <v>1</v>
      </c>
      <c r="AA554" s="409">
        <v>1</v>
      </c>
      <c r="AB554" s="409">
        <v>1</v>
      </c>
      <c r="AC554" s="409">
        <v>1</v>
      </c>
      <c r="AD554" s="409">
        <v>1</v>
      </c>
      <c r="AE554" s="420">
        <v>1</v>
      </c>
      <c r="AF554" s="409">
        <v>1</v>
      </c>
    </row>
    <row r="555" spans="1:33">
      <c r="A555" s="1250">
        <v>30.18</v>
      </c>
      <c r="B555" s="415">
        <v>32.159999999999997</v>
      </c>
      <c r="C555" s="415">
        <v>18.16</v>
      </c>
      <c r="D555" s="409">
        <v>18.16</v>
      </c>
      <c r="E555" s="409">
        <v>18.16</v>
      </c>
      <c r="F555" s="409">
        <v>18.16</v>
      </c>
      <c r="G555" s="409">
        <v>18.16</v>
      </c>
      <c r="H555" s="409">
        <v>18.16</v>
      </c>
      <c r="I555" s="415">
        <v>18.16</v>
      </c>
      <c r="J555" s="409">
        <v>18.16</v>
      </c>
      <c r="K555" s="415">
        <v>18.16</v>
      </c>
      <c r="L555" s="409">
        <v>18.16</v>
      </c>
      <c r="M555" s="409">
        <v>18.16</v>
      </c>
      <c r="N555" s="409">
        <v>18.16</v>
      </c>
      <c r="O555" s="420">
        <v>32.159999999999997</v>
      </c>
      <c r="P555" s="409">
        <v>30.18</v>
      </c>
      <c r="Q555" s="1250">
        <v>1</v>
      </c>
      <c r="R555" s="415">
        <v>1</v>
      </c>
      <c r="S555" s="415">
        <v>1</v>
      </c>
      <c r="T555" s="415">
        <v>1</v>
      </c>
      <c r="U555" s="415">
        <v>1</v>
      </c>
      <c r="V555" s="415">
        <v>1</v>
      </c>
      <c r="W555" s="415">
        <v>1</v>
      </c>
      <c r="X555" s="415">
        <v>1</v>
      </c>
      <c r="Y555" s="415">
        <v>1</v>
      </c>
      <c r="Z555" s="415">
        <v>1</v>
      </c>
      <c r="AA555" s="415">
        <v>1</v>
      </c>
      <c r="AB555" s="415">
        <v>1</v>
      </c>
      <c r="AC555" s="415">
        <v>1</v>
      </c>
      <c r="AD555" s="415">
        <v>1</v>
      </c>
      <c r="AE555" s="420">
        <v>1</v>
      </c>
      <c r="AF555" s="409">
        <v>1</v>
      </c>
    </row>
    <row r="556" spans="1:33">
      <c r="A556" s="1251">
        <v>31.17</v>
      </c>
      <c r="B556" s="415">
        <v>32.159999999999997</v>
      </c>
      <c r="C556" s="409">
        <v>18.16</v>
      </c>
      <c r="D556" s="409">
        <v>18.16</v>
      </c>
      <c r="E556" s="409">
        <v>18.16</v>
      </c>
      <c r="F556" s="409">
        <v>18.16</v>
      </c>
      <c r="G556" s="409">
        <v>18.16</v>
      </c>
      <c r="H556" s="415">
        <v>18.16</v>
      </c>
      <c r="I556" s="409">
        <v>18.16</v>
      </c>
      <c r="J556" s="409">
        <v>18.16</v>
      </c>
      <c r="K556" s="415">
        <v>18.16</v>
      </c>
      <c r="L556" s="409">
        <v>18.16</v>
      </c>
      <c r="M556" s="409">
        <v>18.16</v>
      </c>
      <c r="N556" s="409">
        <v>18.16</v>
      </c>
      <c r="O556" s="420">
        <v>32.159999999999997</v>
      </c>
      <c r="P556" s="409">
        <v>31.17</v>
      </c>
      <c r="Q556" s="1251">
        <v>1</v>
      </c>
      <c r="R556" s="415">
        <v>1</v>
      </c>
      <c r="S556" s="409">
        <v>1</v>
      </c>
      <c r="T556" s="409">
        <v>1</v>
      </c>
      <c r="U556" s="409">
        <v>1</v>
      </c>
      <c r="V556" s="409">
        <v>1</v>
      </c>
      <c r="W556" s="409">
        <v>1</v>
      </c>
      <c r="X556" s="409">
        <v>1</v>
      </c>
      <c r="Y556" s="409">
        <v>1</v>
      </c>
      <c r="Z556" s="409">
        <v>1</v>
      </c>
      <c r="AA556" s="409">
        <v>1</v>
      </c>
      <c r="AB556" s="409">
        <v>1</v>
      </c>
      <c r="AC556" s="409">
        <v>1</v>
      </c>
      <c r="AD556" s="409">
        <v>1</v>
      </c>
      <c r="AE556" s="420">
        <v>1</v>
      </c>
      <c r="AF556" s="409">
        <v>1</v>
      </c>
    </row>
    <row r="557" spans="1:33">
      <c r="A557" s="491">
        <v>31.17</v>
      </c>
      <c r="B557" s="415">
        <v>32.159999999999997</v>
      </c>
      <c r="C557" s="409">
        <v>18.16</v>
      </c>
      <c r="D557" s="415">
        <v>18.16</v>
      </c>
      <c r="E557" s="409">
        <v>18.16</v>
      </c>
      <c r="F557" s="409">
        <v>18.16</v>
      </c>
      <c r="G557" s="415">
        <v>18.16</v>
      </c>
      <c r="H557" s="409">
        <v>18.16</v>
      </c>
      <c r="I557" s="409">
        <v>18.16</v>
      </c>
      <c r="J557" s="409">
        <v>18.16</v>
      </c>
      <c r="K557" s="415">
        <v>18.16</v>
      </c>
      <c r="L557" s="409">
        <v>18.16</v>
      </c>
      <c r="M557" s="409">
        <v>18.16</v>
      </c>
      <c r="N557" s="409">
        <v>18.16</v>
      </c>
      <c r="O557" s="420">
        <v>32.159999999999997</v>
      </c>
      <c r="P557" s="420">
        <v>31.17</v>
      </c>
      <c r="Q557" s="491">
        <v>1</v>
      </c>
      <c r="R557" s="415">
        <v>1</v>
      </c>
      <c r="S557" s="409">
        <v>1</v>
      </c>
      <c r="T557" s="415">
        <v>1</v>
      </c>
      <c r="U557" s="409">
        <v>1</v>
      </c>
      <c r="V557" s="409">
        <v>1</v>
      </c>
      <c r="W557" s="409">
        <v>1</v>
      </c>
      <c r="X557" s="409">
        <v>1</v>
      </c>
      <c r="Y557" s="409">
        <v>1</v>
      </c>
      <c r="Z557" s="409">
        <v>1</v>
      </c>
      <c r="AA557" s="409">
        <v>1</v>
      </c>
      <c r="AB557" s="409">
        <v>1</v>
      </c>
      <c r="AC557" s="415">
        <v>1</v>
      </c>
      <c r="AD557" s="409">
        <v>1</v>
      </c>
      <c r="AE557" s="420">
        <v>1</v>
      </c>
      <c r="AF557" s="420">
        <v>1</v>
      </c>
    </row>
    <row r="558" spans="1:33">
      <c r="A558" s="1251">
        <v>31.17</v>
      </c>
      <c r="B558" s="415">
        <v>32.159999999999997</v>
      </c>
      <c r="C558" s="415">
        <v>18.16</v>
      </c>
      <c r="D558" s="409">
        <v>18.16</v>
      </c>
      <c r="E558" s="409">
        <v>18.16</v>
      </c>
      <c r="F558" s="415">
        <v>18.16</v>
      </c>
      <c r="G558" s="409">
        <v>18.16</v>
      </c>
      <c r="H558" s="409">
        <v>18.16</v>
      </c>
      <c r="I558" s="409">
        <v>18.16</v>
      </c>
      <c r="J558" s="409">
        <v>18.16</v>
      </c>
      <c r="K558" s="415">
        <v>18.16</v>
      </c>
      <c r="L558" s="409">
        <v>18.16</v>
      </c>
      <c r="M558" s="409">
        <v>18.16</v>
      </c>
      <c r="N558" s="409">
        <v>18.16</v>
      </c>
      <c r="O558" s="420">
        <v>32.159999999999997</v>
      </c>
      <c r="P558" s="409">
        <v>31.17</v>
      </c>
      <c r="Q558" s="1251">
        <v>1</v>
      </c>
      <c r="R558" s="415">
        <v>1</v>
      </c>
      <c r="S558" s="409">
        <v>1</v>
      </c>
      <c r="T558" s="409">
        <v>1</v>
      </c>
      <c r="U558" s="409">
        <v>1</v>
      </c>
      <c r="V558" s="409">
        <v>1</v>
      </c>
      <c r="W558" s="409">
        <v>1</v>
      </c>
      <c r="X558" s="409">
        <v>1</v>
      </c>
      <c r="Y558" s="409">
        <v>1</v>
      </c>
      <c r="Z558" s="409">
        <v>1</v>
      </c>
      <c r="AA558" s="409">
        <v>1</v>
      </c>
      <c r="AB558" s="409">
        <v>1</v>
      </c>
      <c r="AC558" s="409">
        <v>1</v>
      </c>
      <c r="AD558" s="409">
        <v>1</v>
      </c>
      <c r="AE558" s="420">
        <v>1</v>
      </c>
      <c r="AF558" s="409">
        <v>1</v>
      </c>
    </row>
    <row r="559" spans="1:33">
      <c r="A559" s="1250">
        <v>30.18</v>
      </c>
      <c r="B559" s="415">
        <v>32.159999999999997</v>
      </c>
      <c r="C559" s="420">
        <v>32.159999999999997</v>
      </c>
      <c r="D559" s="420">
        <v>32.159999999999997</v>
      </c>
      <c r="E559" s="420">
        <v>32.159999999999997</v>
      </c>
      <c r="F559" s="420">
        <v>32.159999999999997</v>
      </c>
      <c r="G559" s="420">
        <v>32.159999999999997</v>
      </c>
      <c r="H559" s="420">
        <v>32.159999999999997</v>
      </c>
      <c r="I559" s="420">
        <v>32.159999999999997</v>
      </c>
      <c r="J559" s="420">
        <v>32.159999999999997</v>
      </c>
      <c r="K559" s="420">
        <v>32.159999999999997</v>
      </c>
      <c r="L559" s="420">
        <v>32.159999999999997</v>
      </c>
      <c r="M559" s="420">
        <v>32.159999999999997</v>
      </c>
      <c r="N559" s="420">
        <v>32.159999999999997</v>
      </c>
      <c r="O559" s="420">
        <v>32.159999999999997</v>
      </c>
      <c r="P559" s="409">
        <v>30.18</v>
      </c>
      <c r="Q559" s="1250">
        <v>1</v>
      </c>
      <c r="R559" s="415">
        <v>1</v>
      </c>
      <c r="S559" s="420">
        <v>1</v>
      </c>
      <c r="T559" s="420">
        <v>1</v>
      </c>
      <c r="U559" s="420">
        <v>1</v>
      </c>
      <c r="V559" s="420">
        <v>1</v>
      </c>
      <c r="W559" s="420">
        <v>1</v>
      </c>
      <c r="X559" s="420">
        <v>1</v>
      </c>
      <c r="Y559" s="420">
        <v>1</v>
      </c>
      <c r="Z559" s="420">
        <v>1</v>
      </c>
      <c r="AA559" s="420">
        <v>1</v>
      </c>
      <c r="AB559" s="420">
        <v>1</v>
      </c>
      <c r="AC559" s="420">
        <v>1</v>
      </c>
      <c r="AD559" s="420">
        <v>1</v>
      </c>
      <c r="AE559" s="420">
        <v>1</v>
      </c>
      <c r="AF559" s="409">
        <v>1</v>
      </c>
    </row>
    <row r="560" spans="1:33">
      <c r="A560" s="1251">
        <v>31.17</v>
      </c>
      <c r="B560" s="409">
        <v>31.17</v>
      </c>
      <c r="C560" s="409">
        <v>30.18</v>
      </c>
      <c r="D560" s="409">
        <v>31.17</v>
      </c>
      <c r="E560" s="420">
        <v>31.17</v>
      </c>
      <c r="F560" s="409">
        <v>31.17</v>
      </c>
      <c r="G560" s="409">
        <v>30.18</v>
      </c>
      <c r="H560" s="409">
        <v>31.17</v>
      </c>
      <c r="I560" s="420">
        <v>31.17</v>
      </c>
      <c r="J560" s="409">
        <v>31.17</v>
      </c>
      <c r="K560" s="409">
        <v>30.18</v>
      </c>
      <c r="L560" s="409">
        <v>31.17</v>
      </c>
      <c r="M560" s="420">
        <v>31.17</v>
      </c>
      <c r="N560" s="409">
        <v>31.17</v>
      </c>
      <c r="O560" s="409">
        <v>30.18</v>
      </c>
      <c r="P560" s="420">
        <v>31.17</v>
      </c>
      <c r="Q560" s="1251">
        <v>1</v>
      </c>
      <c r="R560" s="409">
        <v>1</v>
      </c>
      <c r="S560" s="409">
        <v>1</v>
      </c>
      <c r="T560" s="409">
        <v>1</v>
      </c>
      <c r="U560" s="420">
        <v>1</v>
      </c>
      <c r="V560" s="409">
        <v>1</v>
      </c>
      <c r="W560" s="409">
        <v>1</v>
      </c>
      <c r="X560" s="409">
        <v>1</v>
      </c>
      <c r="Y560" s="420">
        <v>1</v>
      </c>
      <c r="Z560" s="409">
        <v>1</v>
      </c>
      <c r="AA560" s="409">
        <v>1</v>
      </c>
      <c r="AB560" s="409">
        <v>1</v>
      </c>
      <c r="AC560" s="420">
        <v>1</v>
      </c>
      <c r="AD560" s="409">
        <v>1</v>
      </c>
      <c r="AE560" s="409">
        <v>1</v>
      </c>
      <c r="AF560" s="420">
        <v>1</v>
      </c>
    </row>
    <row r="561" spans="1:32">
      <c r="A561" s="415">
        <v>19.02</v>
      </c>
      <c r="B561" s="420">
        <v>19.02</v>
      </c>
      <c r="C561" s="420">
        <v>18.03</v>
      </c>
      <c r="D561" s="420">
        <v>19.02</v>
      </c>
      <c r="E561" s="415">
        <v>19.02</v>
      </c>
      <c r="F561" s="420">
        <v>19.02</v>
      </c>
      <c r="G561" s="420">
        <v>18.03</v>
      </c>
      <c r="H561" s="420">
        <v>19.02</v>
      </c>
      <c r="I561" s="415">
        <v>19.02</v>
      </c>
      <c r="J561" s="420">
        <v>19.02</v>
      </c>
      <c r="K561" s="420">
        <v>18.03</v>
      </c>
      <c r="L561" s="420">
        <v>19.02</v>
      </c>
      <c r="M561" s="415">
        <v>19.02</v>
      </c>
      <c r="N561" s="420">
        <v>19.02</v>
      </c>
      <c r="O561" s="420">
        <v>18.03</v>
      </c>
      <c r="P561" s="420">
        <v>19.02</v>
      </c>
      <c r="Q561" s="415">
        <v>10.02</v>
      </c>
      <c r="R561" s="420">
        <v>10.02</v>
      </c>
      <c r="S561" s="420">
        <v>9.0299999999999994</v>
      </c>
      <c r="T561" s="420">
        <v>10.02</v>
      </c>
      <c r="U561" s="415">
        <v>10.02</v>
      </c>
      <c r="V561" s="420">
        <v>10.02</v>
      </c>
      <c r="W561" s="420">
        <v>9.0299999999999994</v>
      </c>
      <c r="X561" s="420">
        <v>10.02</v>
      </c>
      <c r="Y561" s="415">
        <v>10.02</v>
      </c>
      <c r="Z561" s="420">
        <v>10.02</v>
      </c>
      <c r="AA561" s="420">
        <v>9.0299999999999994</v>
      </c>
      <c r="AB561" s="420">
        <v>10.02</v>
      </c>
      <c r="AC561" s="415">
        <v>10.02</v>
      </c>
      <c r="AD561" s="420">
        <v>10.02</v>
      </c>
      <c r="AE561" s="420">
        <v>9.0299999999999994</v>
      </c>
      <c r="AF561" s="420">
        <v>10.02</v>
      </c>
    </row>
    <row r="562" spans="1:32">
      <c r="A562" s="420">
        <v>19.02</v>
      </c>
      <c r="B562" s="415">
        <v>20</v>
      </c>
      <c r="C562" s="415">
        <v>20</v>
      </c>
      <c r="D562" s="415">
        <v>20</v>
      </c>
      <c r="E562" s="415">
        <v>20</v>
      </c>
      <c r="F562" s="415">
        <v>20</v>
      </c>
      <c r="G562" s="415">
        <v>20</v>
      </c>
      <c r="H562" s="415">
        <v>20</v>
      </c>
      <c r="I562" s="415">
        <v>20</v>
      </c>
      <c r="J562" s="415">
        <v>20</v>
      </c>
      <c r="K562" s="415">
        <v>20</v>
      </c>
      <c r="L562" s="415">
        <v>20</v>
      </c>
      <c r="M562" s="415">
        <v>20</v>
      </c>
      <c r="N562" s="415">
        <v>20</v>
      </c>
      <c r="O562" s="415">
        <v>20</v>
      </c>
      <c r="P562" s="409">
        <v>19.02</v>
      </c>
      <c r="Q562" s="420">
        <v>10.02</v>
      </c>
      <c r="R562" s="415">
        <v>11</v>
      </c>
      <c r="S562" s="415">
        <v>11</v>
      </c>
      <c r="T562" s="415">
        <v>11</v>
      </c>
      <c r="U562" s="415">
        <v>11</v>
      </c>
      <c r="V562" s="415">
        <v>11</v>
      </c>
      <c r="W562" s="415">
        <v>11</v>
      </c>
      <c r="X562" s="415">
        <v>11</v>
      </c>
      <c r="Y562" s="415">
        <v>11</v>
      </c>
      <c r="Z562" s="415">
        <v>11</v>
      </c>
      <c r="AA562" s="415">
        <v>11</v>
      </c>
      <c r="AB562" s="415">
        <v>11</v>
      </c>
      <c r="AC562" s="415">
        <v>11</v>
      </c>
      <c r="AD562" s="415">
        <v>11</v>
      </c>
      <c r="AE562" s="415">
        <v>11</v>
      </c>
      <c r="AF562" s="409">
        <v>10.02</v>
      </c>
    </row>
    <row r="563" spans="1:32">
      <c r="A563" s="420">
        <v>18.03</v>
      </c>
      <c r="B563" s="415">
        <v>20</v>
      </c>
      <c r="C563" s="409">
        <v>20.18</v>
      </c>
      <c r="D563" s="409">
        <v>20.18</v>
      </c>
      <c r="E563" s="409">
        <v>20.18</v>
      </c>
      <c r="F563" s="409">
        <v>20.18</v>
      </c>
      <c r="G563" s="409">
        <v>20.18</v>
      </c>
      <c r="H563" s="409">
        <v>20.18</v>
      </c>
      <c r="I563" s="409">
        <v>20.18</v>
      </c>
      <c r="J563" s="409">
        <v>20.18</v>
      </c>
      <c r="K563" s="415">
        <v>20.18</v>
      </c>
      <c r="L563" s="409">
        <v>20.18</v>
      </c>
      <c r="M563" s="409">
        <v>20.18</v>
      </c>
      <c r="N563" s="415">
        <v>20.18</v>
      </c>
      <c r="O563" s="420">
        <v>20</v>
      </c>
      <c r="P563" s="409">
        <v>18.03</v>
      </c>
      <c r="Q563" s="420">
        <v>9.0299999999999994</v>
      </c>
      <c r="R563" s="415">
        <v>11</v>
      </c>
      <c r="S563" s="409">
        <v>11.1</v>
      </c>
      <c r="T563" s="409">
        <v>11.1</v>
      </c>
      <c r="U563" s="409">
        <v>11.1</v>
      </c>
      <c r="V563" s="409">
        <v>11.1</v>
      </c>
      <c r="W563" s="409">
        <v>11.1</v>
      </c>
      <c r="X563" s="409">
        <v>11.1</v>
      </c>
      <c r="Y563" s="409">
        <v>11.1</v>
      </c>
      <c r="Z563" s="409">
        <v>11.1</v>
      </c>
      <c r="AA563" s="415">
        <v>11.1</v>
      </c>
      <c r="AB563" s="409">
        <v>11.1</v>
      </c>
      <c r="AC563" s="409">
        <v>11.1</v>
      </c>
      <c r="AD563" s="415">
        <v>11.1</v>
      </c>
      <c r="AE563" s="420">
        <v>11</v>
      </c>
      <c r="AF563" s="409">
        <v>9.0299999999999994</v>
      </c>
    </row>
    <row r="564" spans="1:32">
      <c r="A564" s="420">
        <v>19.02</v>
      </c>
      <c r="B564" s="415">
        <v>20</v>
      </c>
      <c r="C564" s="409">
        <v>20.18</v>
      </c>
      <c r="D564" s="409">
        <v>20.18</v>
      </c>
      <c r="E564" s="409">
        <v>20.18</v>
      </c>
      <c r="F564" s="409">
        <v>20.18</v>
      </c>
      <c r="G564" s="409">
        <v>20.18</v>
      </c>
      <c r="H564" s="409">
        <v>20.18</v>
      </c>
      <c r="I564" s="409">
        <v>20.18</v>
      </c>
      <c r="J564" s="415">
        <v>20.18</v>
      </c>
      <c r="K564" s="409">
        <v>20.18</v>
      </c>
      <c r="L564" s="409">
        <v>20.18</v>
      </c>
      <c r="M564" s="415">
        <v>20.18</v>
      </c>
      <c r="N564" s="409">
        <v>20.18</v>
      </c>
      <c r="O564" s="420">
        <v>20</v>
      </c>
      <c r="P564" s="409">
        <v>19.02</v>
      </c>
      <c r="Q564" s="420">
        <v>10.02</v>
      </c>
      <c r="R564" s="415">
        <v>11</v>
      </c>
      <c r="S564" s="409">
        <v>11.1</v>
      </c>
      <c r="T564" s="409">
        <v>11.1</v>
      </c>
      <c r="U564" s="409">
        <v>11.1</v>
      </c>
      <c r="V564" s="409">
        <v>11.1</v>
      </c>
      <c r="W564" s="409">
        <v>11.1</v>
      </c>
      <c r="X564" s="409">
        <v>11.1</v>
      </c>
      <c r="Y564" s="409">
        <v>11.1</v>
      </c>
      <c r="Z564" s="415">
        <v>11.1</v>
      </c>
      <c r="AA564" s="409">
        <v>11.1</v>
      </c>
      <c r="AB564" s="409">
        <v>11.1</v>
      </c>
      <c r="AC564" s="415">
        <v>11.1</v>
      </c>
      <c r="AD564" s="409">
        <v>11.1</v>
      </c>
      <c r="AE564" s="420">
        <v>11</v>
      </c>
      <c r="AF564" s="409">
        <v>10.02</v>
      </c>
    </row>
    <row r="565" spans="1:32">
      <c r="A565" s="415">
        <v>19.02</v>
      </c>
      <c r="B565" s="415">
        <v>20</v>
      </c>
      <c r="C565" s="409">
        <v>20.18</v>
      </c>
      <c r="D565" s="409">
        <v>20.18</v>
      </c>
      <c r="E565" s="409">
        <v>20.18</v>
      </c>
      <c r="F565" s="409">
        <v>20.18</v>
      </c>
      <c r="G565" s="409">
        <v>20.18</v>
      </c>
      <c r="H565" s="409">
        <v>20.18</v>
      </c>
      <c r="I565" s="415">
        <v>20.18</v>
      </c>
      <c r="J565" s="409">
        <v>20.18</v>
      </c>
      <c r="K565" s="409">
        <v>20.18</v>
      </c>
      <c r="L565" s="409">
        <v>20.18</v>
      </c>
      <c r="M565" s="409">
        <v>20.18</v>
      </c>
      <c r="N565" s="409">
        <v>20.18</v>
      </c>
      <c r="O565" s="420">
        <v>20</v>
      </c>
      <c r="P565" s="420">
        <v>19.02</v>
      </c>
      <c r="Q565" s="415">
        <v>10.02</v>
      </c>
      <c r="R565" s="415">
        <v>11</v>
      </c>
      <c r="S565" s="409">
        <v>11.1</v>
      </c>
      <c r="T565" s="409">
        <v>11.1</v>
      </c>
      <c r="U565" s="409">
        <v>11.1</v>
      </c>
      <c r="V565" s="409">
        <v>11.1</v>
      </c>
      <c r="W565" s="409">
        <v>11.1</v>
      </c>
      <c r="X565" s="409">
        <v>11.1</v>
      </c>
      <c r="Y565" s="415">
        <v>11.1</v>
      </c>
      <c r="Z565" s="409">
        <v>11.1</v>
      </c>
      <c r="AA565" s="409">
        <v>11.1</v>
      </c>
      <c r="AB565" s="409">
        <v>11.1</v>
      </c>
      <c r="AC565" s="409">
        <v>11.1</v>
      </c>
      <c r="AD565" s="409">
        <v>11.1</v>
      </c>
      <c r="AE565" s="420">
        <v>11</v>
      </c>
      <c r="AF565" s="420">
        <v>10.02</v>
      </c>
    </row>
    <row r="566" spans="1:32">
      <c r="A566" s="420">
        <v>19.02</v>
      </c>
      <c r="B566" s="415">
        <v>20</v>
      </c>
      <c r="C566" s="415">
        <v>20.18</v>
      </c>
      <c r="D566" s="415">
        <v>20.18</v>
      </c>
      <c r="E566" s="415">
        <v>20.18</v>
      </c>
      <c r="F566" s="415">
        <v>20.18</v>
      </c>
      <c r="G566" s="415">
        <v>20.18</v>
      </c>
      <c r="H566" s="415">
        <v>20.18</v>
      </c>
      <c r="I566" s="409">
        <v>20.18</v>
      </c>
      <c r="J566" s="409">
        <v>20.18</v>
      </c>
      <c r="K566" s="409">
        <v>20.18</v>
      </c>
      <c r="L566" s="409">
        <v>20.18</v>
      </c>
      <c r="M566" s="409">
        <v>20.18</v>
      </c>
      <c r="N566" s="415">
        <v>20.18</v>
      </c>
      <c r="O566" s="420">
        <v>20</v>
      </c>
      <c r="P566" s="409">
        <v>19.02</v>
      </c>
      <c r="Q566" s="420">
        <v>10.02</v>
      </c>
      <c r="R566" s="415">
        <v>11</v>
      </c>
      <c r="S566" s="415">
        <v>11.1</v>
      </c>
      <c r="T566" s="415">
        <v>11.1</v>
      </c>
      <c r="U566" s="415">
        <v>11.1</v>
      </c>
      <c r="V566" s="415">
        <v>11.1</v>
      </c>
      <c r="W566" s="415">
        <v>11.1</v>
      </c>
      <c r="X566" s="415">
        <v>11.1</v>
      </c>
      <c r="Y566" s="409">
        <v>11.1</v>
      </c>
      <c r="Z566" s="409">
        <v>11.1</v>
      </c>
      <c r="AA566" s="409">
        <v>11.1</v>
      </c>
      <c r="AB566" s="409">
        <v>11.1</v>
      </c>
      <c r="AC566" s="409">
        <v>11.1</v>
      </c>
      <c r="AD566" s="415">
        <v>11.1</v>
      </c>
      <c r="AE566" s="420">
        <v>11</v>
      </c>
      <c r="AF566" s="409">
        <v>10.02</v>
      </c>
    </row>
    <row r="567" spans="1:32">
      <c r="A567" s="420">
        <v>18.03</v>
      </c>
      <c r="B567" s="415">
        <v>20</v>
      </c>
      <c r="C567" s="409">
        <v>20.18</v>
      </c>
      <c r="D567" s="409">
        <v>20.18</v>
      </c>
      <c r="E567" s="409">
        <v>20.18</v>
      </c>
      <c r="F567" s="409">
        <v>20.18</v>
      </c>
      <c r="G567" s="415">
        <v>20.18</v>
      </c>
      <c r="H567" s="409">
        <v>20.18</v>
      </c>
      <c r="I567" s="409">
        <v>20.18</v>
      </c>
      <c r="J567" s="409">
        <v>20.18</v>
      </c>
      <c r="K567" s="409">
        <v>20.18</v>
      </c>
      <c r="L567" s="409">
        <v>20.18</v>
      </c>
      <c r="M567" s="415">
        <v>20.18</v>
      </c>
      <c r="N567" s="409">
        <v>20.18</v>
      </c>
      <c r="O567" s="420">
        <v>20</v>
      </c>
      <c r="P567" s="409">
        <v>18.03</v>
      </c>
      <c r="Q567" s="420">
        <v>9.0299999999999994</v>
      </c>
      <c r="R567" s="415">
        <v>11</v>
      </c>
      <c r="S567" s="409">
        <v>11.1</v>
      </c>
      <c r="T567" s="409">
        <v>11.1</v>
      </c>
      <c r="U567" s="409">
        <v>11.1</v>
      </c>
      <c r="V567" s="409">
        <v>11.1</v>
      </c>
      <c r="W567" s="415">
        <v>11.1</v>
      </c>
      <c r="X567" s="409">
        <v>11.1</v>
      </c>
      <c r="Y567" s="409">
        <v>11.1</v>
      </c>
      <c r="Z567" s="409">
        <v>11.1</v>
      </c>
      <c r="AA567" s="409">
        <v>11.1</v>
      </c>
      <c r="AB567" s="409">
        <v>11.1</v>
      </c>
      <c r="AC567" s="415">
        <v>11.1</v>
      </c>
      <c r="AD567" s="409">
        <v>11.1</v>
      </c>
      <c r="AE567" s="420">
        <v>11</v>
      </c>
      <c r="AF567" s="409">
        <v>9.0299999999999994</v>
      </c>
    </row>
    <row r="568" spans="1:32">
      <c r="A568" s="420">
        <v>18.03</v>
      </c>
      <c r="B568" s="415">
        <v>20</v>
      </c>
      <c r="C568" s="409">
        <v>20.18</v>
      </c>
      <c r="D568" s="409">
        <v>20.18</v>
      </c>
      <c r="E568" s="409">
        <v>20.18</v>
      </c>
      <c r="F568" s="415">
        <v>20.18</v>
      </c>
      <c r="G568" s="409">
        <v>20.18</v>
      </c>
      <c r="H568" s="409">
        <v>20.18</v>
      </c>
      <c r="I568" s="409">
        <v>20.18</v>
      </c>
      <c r="J568" s="409">
        <v>20.18</v>
      </c>
      <c r="K568" s="409">
        <v>20.18</v>
      </c>
      <c r="L568" s="415">
        <v>20.18</v>
      </c>
      <c r="M568" s="409">
        <v>20.18</v>
      </c>
      <c r="N568" s="409">
        <v>20.18</v>
      </c>
      <c r="O568" s="420">
        <v>20</v>
      </c>
      <c r="P568" s="409">
        <v>18.03</v>
      </c>
      <c r="Q568" s="420">
        <v>10.02</v>
      </c>
      <c r="R568" s="415">
        <v>11</v>
      </c>
      <c r="S568" s="409">
        <v>11.1</v>
      </c>
      <c r="T568" s="409">
        <v>11.1</v>
      </c>
      <c r="U568" s="409">
        <v>11.1</v>
      </c>
      <c r="V568" s="415">
        <v>11.1</v>
      </c>
      <c r="W568" s="409">
        <v>11.1</v>
      </c>
      <c r="X568" s="409">
        <v>11.1</v>
      </c>
      <c r="Y568" s="409">
        <v>11.1</v>
      </c>
      <c r="Z568" s="409">
        <v>11.1</v>
      </c>
      <c r="AA568" s="409">
        <v>11.1</v>
      </c>
      <c r="AB568" s="415">
        <v>11.1</v>
      </c>
      <c r="AC568" s="409">
        <v>11.1</v>
      </c>
      <c r="AD568" s="409">
        <v>11.1</v>
      </c>
      <c r="AE568" s="420">
        <v>11</v>
      </c>
      <c r="AF568" s="409">
        <v>10.02</v>
      </c>
    </row>
    <row r="569" spans="1:32">
      <c r="A569" s="415">
        <v>19.02</v>
      </c>
      <c r="B569" s="415">
        <v>20</v>
      </c>
      <c r="C569" s="409">
        <v>20.18</v>
      </c>
      <c r="D569" s="409">
        <v>20.18</v>
      </c>
      <c r="E569" s="415">
        <v>20.18</v>
      </c>
      <c r="F569" s="409">
        <v>20.18</v>
      </c>
      <c r="G569" s="409">
        <v>20.18</v>
      </c>
      <c r="H569" s="409">
        <v>20.18</v>
      </c>
      <c r="I569" s="409">
        <v>20.18</v>
      </c>
      <c r="J569" s="409">
        <v>20.18</v>
      </c>
      <c r="K569" s="415">
        <v>20.18</v>
      </c>
      <c r="L569" s="409">
        <v>20.18</v>
      </c>
      <c r="M569" s="409">
        <v>20.18</v>
      </c>
      <c r="N569" s="409">
        <v>20.18</v>
      </c>
      <c r="O569" s="420">
        <v>20</v>
      </c>
      <c r="P569" s="420">
        <v>19.02</v>
      </c>
      <c r="Q569" s="415">
        <v>10.02</v>
      </c>
      <c r="R569" s="415">
        <v>11</v>
      </c>
      <c r="S569" s="409">
        <v>11.1</v>
      </c>
      <c r="T569" s="409">
        <v>11.1</v>
      </c>
      <c r="U569" s="415">
        <v>11.1</v>
      </c>
      <c r="V569" s="409">
        <v>11.1</v>
      </c>
      <c r="W569" s="409">
        <v>11.1</v>
      </c>
      <c r="X569" s="409">
        <v>11.1</v>
      </c>
      <c r="Y569" s="409">
        <v>11.1</v>
      </c>
      <c r="Z569" s="409">
        <v>11.1</v>
      </c>
      <c r="AA569" s="415">
        <v>11.1</v>
      </c>
      <c r="AB569" s="409">
        <v>11.1</v>
      </c>
      <c r="AC569" s="409">
        <v>11.1</v>
      </c>
      <c r="AD569" s="409">
        <v>11.1</v>
      </c>
      <c r="AE569" s="420">
        <v>11</v>
      </c>
      <c r="AF569" s="420">
        <v>10.02</v>
      </c>
    </row>
    <row r="570" spans="1:32">
      <c r="A570" s="420">
        <v>19.02</v>
      </c>
      <c r="B570" s="415">
        <v>20</v>
      </c>
      <c r="C570" s="409">
        <v>20.18</v>
      </c>
      <c r="D570" s="415">
        <v>20.18</v>
      </c>
      <c r="E570" s="409">
        <v>20.18</v>
      </c>
      <c r="F570" s="409">
        <v>20.18</v>
      </c>
      <c r="G570" s="409">
        <v>20.18</v>
      </c>
      <c r="H570" s="409">
        <v>20.18</v>
      </c>
      <c r="I570" s="409">
        <v>20.18</v>
      </c>
      <c r="J570" s="415">
        <v>20.18</v>
      </c>
      <c r="K570" s="409">
        <v>20.18</v>
      </c>
      <c r="L570" s="409">
        <v>20.18</v>
      </c>
      <c r="M570" s="409">
        <v>20.18</v>
      </c>
      <c r="N570" s="409">
        <v>20.18</v>
      </c>
      <c r="O570" s="420">
        <v>20</v>
      </c>
      <c r="P570" s="409">
        <v>19.02</v>
      </c>
      <c r="Q570" s="420">
        <v>10.02</v>
      </c>
      <c r="R570" s="415">
        <v>11</v>
      </c>
      <c r="S570" s="409">
        <v>11.1</v>
      </c>
      <c r="T570" s="415">
        <v>11.1</v>
      </c>
      <c r="U570" s="409">
        <v>11.1</v>
      </c>
      <c r="V570" s="409">
        <v>11.1</v>
      </c>
      <c r="W570" s="409">
        <v>11.1</v>
      </c>
      <c r="X570" s="409">
        <v>11.1</v>
      </c>
      <c r="Y570" s="409">
        <v>11.1</v>
      </c>
      <c r="Z570" s="415">
        <v>11.1</v>
      </c>
      <c r="AA570" s="409">
        <v>11.1</v>
      </c>
      <c r="AB570" s="409">
        <v>11.1</v>
      </c>
      <c r="AC570" s="409">
        <v>11.1</v>
      </c>
      <c r="AD570" s="409">
        <v>11.1</v>
      </c>
      <c r="AE570" s="420">
        <v>11</v>
      </c>
      <c r="AF570" s="409">
        <v>10.02</v>
      </c>
    </row>
    <row r="571" spans="1:32">
      <c r="A571" s="420">
        <v>18.03</v>
      </c>
      <c r="B571" s="415">
        <v>20</v>
      </c>
      <c r="C571" s="415">
        <v>20.18</v>
      </c>
      <c r="D571" s="409">
        <v>20.18</v>
      </c>
      <c r="E571" s="409">
        <v>20.18</v>
      </c>
      <c r="F571" s="409">
        <v>20.18</v>
      </c>
      <c r="G571" s="409">
        <v>20.18</v>
      </c>
      <c r="H571" s="409">
        <v>20.18</v>
      </c>
      <c r="I571" s="415">
        <v>20.18</v>
      </c>
      <c r="J571" s="415">
        <v>20.18</v>
      </c>
      <c r="K571" s="415">
        <v>20.18</v>
      </c>
      <c r="L571" s="415">
        <v>20.18</v>
      </c>
      <c r="M571" s="415">
        <v>20.18</v>
      </c>
      <c r="N571" s="415">
        <v>20.18</v>
      </c>
      <c r="O571" s="420">
        <v>20</v>
      </c>
      <c r="P571" s="409">
        <v>18.03</v>
      </c>
      <c r="Q571" s="420">
        <v>9.0299999999999994</v>
      </c>
      <c r="R571" s="415">
        <v>11</v>
      </c>
      <c r="S571" s="415">
        <v>11.1</v>
      </c>
      <c r="T571" s="409">
        <v>11.1</v>
      </c>
      <c r="U571" s="409">
        <v>11.1</v>
      </c>
      <c r="V571" s="409">
        <v>11.1</v>
      </c>
      <c r="W571" s="409">
        <v>11.1</v>
      </c>
      <c r="X571" s="409">
        <v>11.1</v>
      </c>
      <c r="Y571" s="415">
        <v>11.1</v>
      </c>
      <c r="Z571" s="415">
        <v>11.1</v>
      </c>
      <c r="AA571" s="415">
        <v>11.1</v>
      </c>
      <c r="AB571" s="415">
        <v>11.1</v>
      </c>
      <c r="AC571" s="415">
        <v>11.1</v>
      </c>
      <c r="AD571" s="415">
        <v>11.1</v>
      </c>
      <c r="AE571" s="420">
        <v>11</v>
      </c>
      <c r="AF571" s="409">
        <v>9.0299999999999994</v>
      </c>
    </row>
    <row r="572" spans="1:32">
      <c r="A572" s="420">
        <v>18.03</v>
      </c>
      <c r="B572" s="415">
        <v>20</v>
      </c>
      <c r="C572" s="409">
        <v>20.18</v>
      </c>
      <c r="D572" s="409">
        <v>20.18</v>
      </c>
      <c r="E572" s="409">
        <v>20.18</v>
      </c>
      <c r="F572" s="409">
        <v>20.18</v>
      </c>
      <c r="G572" s="409">
        <v>20.18</v>
      </c>
      <c r="H572" s="415">
        <v>20.18</v>
      </c>
      <c r="I572" s="409">
        <v>20.18</v>
      </c>
      <c r="J572" s="409">
        <v>20.18</v>
      </c>
      <c r="K572" s="409">
        <v>20.18</v>
      </c>
      <c r="L572" s="409">
        <v>20.18</v>
      </c>
      <c r="M572" s="409">
        <v>20.18</v>
      </c>
      <c r="N572" s="409">
        <v>20.18</v>
      </c>
      <c r="O572" s="420">
        <v>20</v>
      </c>
      <c r="P572" s="409">
        <v>18.03</v>
      </c>
      <c r="Q572" s="420">
        <v>10.02</v>
      </c>
      <c r="R572" s="415">
        <v>11</v>
      </c>
      <c r="S572" s="409">
        <v>11.1</v>
      </c>
      <c r="T572" s="409">
        <v>11.1</v>
      </c>
      <c r="U572" s="409">
        <v>11.1</v>
      </c>
      <c r="V572" s="409">
        <v>11.1</v>
      </c>
      <c r="W572" s="409">
        <v>11.1</v>
      </c>
      <c r="X572" s="415">
        <v>11.1</v>
      </c>
      <c r="Y572" s="409">
        <v>11.1</v>
      </c>
      <c r="Z572" s="409">
        <v>11.1</v>
      </c>
      <c r="AA572" s="409">
        <v>11.1</v>
      </c>
      <c r="AB572" s="409">
        <v>11.1</v>
      </c>
      <c r="AC572" s="409">
        <v>11.1</v>
      </c>
      <c r="AD572" s="409">
        <v>11.1</v>
      </c>
      <c r="AE572" s="420">
        <v>11</v>
      </c>
      <c r="AF572" s="409">
        <v>10.02</v>
      </c>
    </row>
    <row r="573" spans="1:32">
      <c r="A573" s="415">
        <v>19.02</v>
      </c>
      <c r="B573" s="415">
        <v>20</v>
      </c>
      <c r="C573" s="409">
        <v>20.18</v>
      </c>
      <c r="D573" s="415">
        <v>20.18</v>
      </c>
      <c r="E573" s="409">
        <v>20.18</v>
      </c>
      <c r="F573" s="409">
        <v>20.18</v>
      </c>
      <c r="G573" s="415">
        <v>20.18</v>
      </c>
      <c r="H573" s="409">
        <v>20.18</v>
      </c>
      <c r="I573" s="409">
        <v>20.18</v>
      </c>
      <c r="J573" s="409">
        <v>20.18</v>
      </c>
      <c r="K573" s="409">
        <v>20.18</v>
      </c>
      <c r="L573" s="409">
        <v>20.18</v>
      </c>
      <c r="M573" s="409">
        <v>20.18</v>
      </c>
      <c r="N573" s="409">
        <v>20.18</v>
      </c>
      <c r="O573" s="420">
        <v>20</v>
      </c>
      <c r="P573" s="420">
        <v>19.02</v>
      </c>
      <c r="Q573" s="415">
        <v>10.02</v>
      </c>
      <c r="R573" s="415">
        <v>11</v>
      </c>
      <c r="S573" s="409">
        <v>11.1</v>
      </c>
      <c r="T573" s="415">
        <v>11.1</v>
      </c>
      <c r="U573" s="409">
        <v>11.1</v>
      </c>
      <c r="V573" s="409">
        <v>11.1</v>
      </c>
      <c r="W573" s="415">
        <v>11.1</v>
      </c>
      <c r="X573" s="409">
        <v>11.1</v>
      </c>
      <c r="Y573" s="409">
        <v>11.1</v>
      </c>
      <c r="Z573" s="409">
        <v>11.1</v>
      </c>
      <c r="AA573" s="409">
        <v>11.1</v>
      </c>
      <c r="AB573" s="409">
        <v>11.1</v>
      </c>
      <c r="AC573" s="409">
        <v>11.1</v>
      </c>
      <c r="AD573" s="409">
        <v>11.1</v>
      </c>
      <c r="AE573" s="420">
        <v>11</v>
      </c>
      <c r="AF573" s="420">
        <v>10.02</v>
      </c>
    </row>
    <row r="574" spans="1:32">
      <c r="A574" s="420">
        <v>19.02</v>
      </c>
      <c r="B574" s="415">
        <v>20</v>
      </c>
      <c r="C574" s="420">
        <v>20.18</v>
      </c>
      <c r="D574" s="409">
        <v>20.18</v>
      </c>
      <c r="E574" s="409">
        <v>20.18</v>
      </c>
      <c r="F574" s="415">
        <v>20.18</v>
      </c>
      <c r="G574" s="409">
        <v>20.18</v>
      </c>
      <c r="H574" s="409">
        <v>20.18</v>
      </c>
      <c r="I574" s="409">
        <v>20.18</v>
      </c>
      <c r="J574" s="409">
        <v>20.18</v>
      </c>
      <c r="K574" s="409">
        <v>20.18</v>
      </c>
      <c r="L574" s="409">
        <v>20.18</v>
      </c>
      <c r="M574" s="409">
        <v>20.18</v>
      </c>
      <c r="N574" s="409">
        <v>20.18</v>
      </c>
      <c r="O574" s="420">
        <v>20</v>
      </c>
      <c r="P574" s="409">
        <v>19.02</v>
      </c>
      <c r="Q574" s="420">
        <v>10.02</v>
      </c>
      <c r="R574" s="415">
        <v>11</v>
      </c>
      <c r="S574" s="420">
        <v>11.1</v>
      </c>
      <c r="T574" s="409">
        <v>11.1</v>
      </c>
      <c r="U574" s="409">
        <v>11.1</v>
      </c>
      <c r="V574" s="415">
        <v>11.1</v>
      </c>
      <c r="W574" s="409">
        <v>11.1</v>
      </c>
      <c r="X574" s="409">
        <v>11.1</v>
      </c>
      <c r="Y574" s="409">
        <v>11.1</v>
      </c>
      <c r="Z574" s="409">
        <v>11.1</v>
      </c>
      <c r="AA574" s="409">
        <v>11.1</v>
      </c>
      <c r="AB574" s="409">
        <v>11.1</v>
      </c>
      <c r="AC574" s="409">
        <v>11.1</v>
      </c>
      <c r="AD574" s="409">
        <v>11.1</v>
      </c>
      <c r="AE574" s="420">
        <v>11</v>
      </c>
      <c r="AF574" s="409">
        <v>10.02</v>
      </c>
    </row>
    <row r="575" spans="1:32">
      <c r="A575" s="420">
        <v>18.03</v>
      </c>
      <c r="B575" s="415">
        <v>20</v>
      </c>
      <c r="C575" s="420">
        <v>20</v>
      </c>
      <c r="D575" s="420">
        <v>20</v>
      </c>
      <c r="E575" s="420">
        <v>20</v>
      </c>
      <c r="F575" s="420">
        <v>20</v>
      </c>
      <c r="G575" s="420">
        <v>20</v>
      </c>
      <c r="H575" s="420">
        <v>20</v>
      </c>
      <c r="I575" s="420">
        <v>20</v>
      </c>
      <c r="J575" s="420">
        <v>20</v>
      </c>
      <c r="K575" s="420">
        <v>20</v>
      </c>
      <c r="L575" s="420">
        <v>20</v>
      </c>
      <c r="M575" s="420">
        <v>20</v>
      </c>
      <c r="N575" s="420">
        <v>20</v>
      </c>
      <c r="O575" s="420">
        <v>20</v>
      </c>
      <c r="P575" s="409">
        <v>18.03</v>
      </c>
      <c r="Q575" s="420">
        <v>9.0299999999999994</v>
      </c>
      <c r="R575" s="415">
        <v>11</v>
      </c>
      <c r="S575" s="420">
        <v>11</v>
      </c>
      <c r="T575" s="420">
        <v>11</v>
      </c>
      <c r="U575" s="420">
        <v>11</v>
      </c>
      <c r="V575" s="420">
        <v>11</v>
      </c>
      <c r="W575" s="420">
        <v>11</v>
      </c>
      <c r="X575" s="420">
        <v>11</v>
      </c>
      <c r="Y575" s="420">
        <v>11</v>
      </c>
      <c r="Z575" s="420">
        <v>11</v>
      </c>
      <c r="AA575" s="420">
        <v>11</v>
      </c>
      <c r="AB575" s="420">
        <v>11</v>
      </c>
      <c r="AC575" s="420">
        <v>11</v>
      </c>
      <c r="AD575" s="420">
        <v>11</v>
      </c>
      <c r="AE575" s="420">
        <v>11</v>
      </c>
      <c r="AF575" s="409">
        <v>9.0299999999999994</v>
      </c>
    </row>
    <row r="576" spans="1:32">
      <c r="A576" s="415">
        <v>19.02</v>
      </c>
      <c r="B576" s="409">
        <v>19.02</v>
      </c>
      <c r="C576" s="409">
        <v>18.03</v>
      </c>
      <c r="D576" s="409">
        <v>19.02</v>
      </c>
      <c r="E576" s="420">
        <v>19.02</v>
      </c>
      <c r="F576" s="409">
        <v>19.02</v>
      </c>
      <c r="G576" s="409">
        <v>18.03</v>
      </c>
      <c r="H576" s="409">
        <v>19.02</v>
      </c>
      <c r="I576" s="420">
        <v>19.02</v>
      </c>
      <c r="J576" s="409">
        <v>19.02</v>
      </c>
      <c r="K576" s="409">
        <v>18.03</v>
      </c>
      <c r="L576" s="409">
        <v>19.02</v>
      </c>
      <c r="M576" s="420">
        <v>19.02</v>
      </c>
      <c r="N576" s="409">
        <v>19.02</v>
      </c>
      <c r="O576" s="409">
        <v>18.03</v>
      </c>
      <c r="P576" s="420">
        <v>19.02</v>
      </c>
      <c r="Q576" s="420">
        <v>10.02</v>
      </c>
      <c r="R576" s="409">
        <v>10.02</v>
      </c>
      <c r="S576" s="409">
        <v>9.0299999999999994</v>
      </c>
      <c r="T576" s="409">
        <v>10.02</v>
      </c>
      <c r="U576" s="420">
        <v>10.02</v>
      </c>
      <c r="V576" s="409">
        <v>10.02</v>
      </c>
      <c r="W576" s="409">
        <v>9.0299999999999994</v>
      </c>
      <c r="X576" s="409">
        <v>10.02</v>
      </c>
      <c r="Y576" s="420">
        <v>10.02</v>
      </c>
      <c r="Z576" s="409">
        <v>10.02</v>
      </c>
      <c r="AA576" s="409">
        <v>9.0299999999999994</v>
      </c>
      <c r="AB576" s="409">
        <v>10.02</v>
      </c>
      <c r="AC576" s="420">
        <v>10.02</v>
      </c>
      <c r="AD576" s="409">
        <v>10.02</v>
      </c>
      <c r="AE576" s="409">
        <v>9.0299999999999994</v>
      </c>
      <c r="AF576" s="420">
        <v>10.02</v>
      </c>
    </row>
    <row r="577" spans="1:33">
      <c r="A577" s="1249">
        <v>25.02</v>
      </c>
      <c r="B577" s="1250">
        <v>25.02</v>
      </c>
      <c r="C577" s="1250">
        <v>24.03</v>
      </c>
      <c r="D577" s="1250">
        <v>25.02</v>
      </c>
      <c r="E577" s="490">
        <v>25.02</v>
      </c>
      <c r="F577" s="1250">
        <v>25.02</v>
      </c>
      <c r="G577" s="1250">
        <v>24.03</v>
      </c>
      <c r="H577" s="1250">
        <v>25.02</v>
      </c>
      <c r="I577" s="490">
        <v>25.02</v>
      </c>
      <c r="J577" s="1250">
        <v>25.02</v>
      </c>
      <c r="K577" s="1250">
        <v>24.03</v>
      </c>
      <c r="L577" s="1250">
        <v>25.02</v>
      </c>
      <c r="M577" s="490">
        <v>25.02</v>
      </c>
      <c r="N577" s="1250">
        <v>25.02</v>
      </c>
      <c r="O577" s="1250">
        <v>24.03</v>
      </c>
      <c r="P577" s="1250">
        <v>25.02</v>
      </c>
      <c r="Q577" s="490">
        <v>25.02</v>
      </c>
      <c r="R577" s="1250">
        <v>25.02</v>
      </c>
      <c r="S577" s="1250">
        <v>24.03</v>
      </c>
      <c r="T577" s="1250">
        <v>25.02</v>
      </c>
      <c r="U577" s="490">
        <v>25.02</v>
      </c>
      <c r="V577" s="1250">
        <v>25.02</v>
      </c>
      <c r="W577" s="1250">
        <v>24.03</v>
      </c>
      <c r="X577" s="1250">
        <v>25.02</v>
      </c>
      <c r="Y577" s="490">
        <v>25.02</v>
      </c>
      <c r="Z577" s="1250">
        <v>25.02</v>
      </c>
      <c r="AA577" s="1250">
        <v>24.03</v>
      </c>
      <c r="AB577" s="1250">
        <v>25.02</v>
      </c>
      <c r="AC577" s="490">
        <v>25.02</v>
      </c>
      <c r="AD577" s="1250">
        <v>25.02</v>
      </c>
      <c r="AE577" s="1250">
        <v>24.03</v>
      </c>
      <c r="AF577" s="1250">
        <v>25.02</v>
      </c>
      <c r="AG577">
        <v>19</v>
      </c>
    </row>
    <row r="578" spans="1:33">
      <c r="A578" s="1251">
        <v>25.02</v>
      </c>
      <c r="B578" s="415">
        <v>26</v>
      </c>
      <c r="C578" s="415">
        <v>26</v>
      </c>
      <c r="D578" s="415">
        <v>26</v>
      </c>
      <c r="E578" s="415">
        <v>26</v>
      </c>
      <c r="F578" s="415">
        <v>26</v>
      </c>
      <c r="G578" s="415">
        <v>26</v>
      </c>
      <c r="H578" s="415">
        <v>26</v>
      </c>
      <c r="I578" s="415">
        <v>26</v>
      </c>
      <c r="J578" s="415">
        <v>26</v>
      </c>
      <c r="K578" s="415">
        <v>26</v>
      </c>
      <c r="L578" s="415">
        <v>26</v>
      </c>
      <c r="M578" s="415">
        <v>26</v>
      </c>
      <c r="N578" s="415">
        <v>26</v>
      </c>
      <c r="O578" s="415">
        <v>26</v>
      </c>
      <c r="P578" s="415">
        <v>26</v>
      </c>
      <c r="Q578" s="415">
        <v>26</v>
      </c>
      <c r="R578" s="415">
        <v>26</v>
      </c>
      <c r="S578" s="415">
        <v>26</v>
      </c>
      <c r="T578" s="415">
        <v>26</v>
      </c>
      <c r="U578" s="415">
        <v>26</v>
      </c>
      <c r="V578" s="415">
        <v>26</v>
      </c>
      <c r="W578" s="415">
        <v>26</v>
      </c>
      <c r="X578" s="415">
        <v>26</v>
      </c>
      <c r="Y578" s="415">
        <v>26</v>
      </c>
      <c r="Z578" s="415">
        <v>26</v>
      </c>
      <c r="AA578" s="415">
        <v>26</v>
      </c>
      <c r="AB578" s="415">
        <v>26</v>
      </c>
      <c r="AC578" s="415">
        <v>26</v>
      </c>
      <c r="AD578" s="415">
        <v>26</v>
      </c>
      <c r="AE578" s="415">
        <v>26</v>
      </c>
      <c r="AF578" s="409">
        <v>25.02</v>
      </c>
    </row>
    <row r="579" spans="1:33">
      <c r="A579" s="1250">
        <v>24.03</v>
      </c>
      <c r="B579" s="415">
        <v>26</v>
      </c>
      <c r="C579" s="415">
        <v>26.24</v>
      </c>
      <c r="D579" s="409">
        <v>26.24</v>
      </c>
      <c r="E579" s="415">
        <v>26.24</v>
      </c>
      <c r="F579" s="409">
        <v>26.24</v>
      </c>
      <c r="G579" s="409">
        <v>26.24</v>
      </c>
      <c r="H579" s="409">
        <v>26.24</v>
      </c>
      <c r="I579" s="409">
        <v>26.24</v>
      </c>
      <c r="J579" s="409">
        <v>26.24</v>
      </c>
      <c r="K579" s="409">
        <v>26.24</v>
      </c>
      <c r="L579" s="409">
        <v>26.24</v>
      </c>
      <c r="M579" s="409">
        <v>26.24</v>
      </c>
      <c r="N579" s="409">
        <v>26.24</v>
      </c>
      <c r="O579" s="409">
        <v>26.24</v>
      </c>
      <c r="P579" s="409">
        <v>26.24</v>
      </c>
      <c r="Q579" s="409">
        <v>26.24</v>
      </c>
      <c r="R579" s="409">
        <v>26.24</v>
      </c>
      <c r="S579" s="409">
        <v>26.24</v>
      </c>
      <c r="T579" s="409">
        <v>26.24</v>
      </c>
      <c r="U579" s="409">
        <v>26.24</v>
      </c>
      <c r="V579" s="409">
        <v>26.24</v>
      </c>
      <c r="W579" s="409">
        <v>26.24</v>
      </c>
      <c r="X579" s="409">
        <v>26.24</v>
      </c>
      <c r="Y579" s="409">
        <v>26.24</v>
      </c>
      <c r="Z579" s="409">
        <v>26.24</v>
      </c>
      <c r="AA579" s="409">
        <v>26.24</v>
      </c>
      <c r="AB579" s="415">
        <v>26.24</v>
      </c>
      <c r="AC579" s="409">
        <v>26.24</v>
      </c>
      <c r="AD579" s="415">
        <v>26.24</v>
      </c>
      <c r="AE579" s="420">
        <v>26</v>
      </c>
      <c r="AF579" s="409">
        <v>24.03</v>
      </c>
    </row>
    <row r="580" spans="1:33">
      <c r="A580" s="1251">
        <v>25.02</v>
      </c>
      <c r="B580" s="415">
        <v>26</v>
      </c>
      <c r="C580" s="409">
        <v>26.24</v>
      </c>
      <c r="D580" s="414">
        <v>26.24</v>
      </c>
      <c r="E580" s="409">
        <v>26.24</v>
      </c>
      <c r="F580" s="415">
        <v>26.24</v>
      </c>
      <c r="G580" s="409">
        <v>26.24</v>
      </c>
      <c r="H580" s="409">
        <v>26.24</v>
      </c>
      <c r="I580" s="409">
        <v>26.24</v>
      </c>
      <c r="J580" s="409">
        <v>26.24</v>
      </c>
      <c r="K580" s="409">
        <v>26.24</v>
      </c>
      <c r="L580" s="409">
        <v>26.24</v>
      </c>
      <c r="M580" s="409">
        <v>26.24</v>
      </c>
      <c r="N580" s="409">
        <v>26.24</v>
      </c>
      <c r="O580" s="409">
        <v>26.24</v>
      </c>
      <c r="P580" s="409">
        <v>26.24</v>
      </c>
      <c r="Q580" s="409">
        <v>26.24</v>
      </c>
      <c r="R580" s="409">
        <v>26.24</v>
      </c>
      <c r="S580" s="409">
        <v>26.24</v>
      </c>
      <c r="T580" s="409">
        <v>26.24</v>
      </c>
      <c r="U580" s="409">
        <v>26.24</v>
      </c>
      <c r="V580" s="409">
        <v>26.24</v>
      </c>
      <c r="W580" s="409">
        <v>26.24</v>
      </c>
      <c r="X580" s="409">
        <v>26.24</v>
      </c>
      <c r="Y580" s="409">
        <v>26.24</v>
      </c>
      <c r="Z580" s="409">
        <v>26.24</v>
      </c>
      <c r="AA580" s="415">
        <v>26.24</v>
      </c>
      <c r="AB580" s="409">
        <v>26.24</v>
      </c>
      <c r="AC580" s="414">
        <v>26.24</v>
      </c>
      <c r="AD580" s="409">
        <v>26.24</v>
      </c>
      <c r="AE580" s="420">
        <v>26</v>
      </c>
      <c r="AF580" s="409">
        <v>25.02</v>
      </c>
    </row>
    <row r="581" spans="1:33">
      <c r="A581" s="491">
        <v>25.02</v>
      </c>
      <c r="B581" s="415">
        <v>26</v>
      </c>
      <c r="C581" s="409">
        <v>26.24</v>
      </c>
      <c r="D581" s="409">
        <v>26.24</v>
      </c>
      <c r="E581" s="409">
        <v>26.24</v>
      </c>
      <c r="F581" s="409">
        <v>26.24</v>
      </c>
      <c r="G581" s="415">
        <v>26.24</v>
      </c>
      <c r="H581" s="409">
        <v>26.24</v>
      </c>
      <c r="I581" s="409">
        <v>26.24</v>
      </c>
      <c r="J581" s="409">
        <v>26.24</v>
      </c>
      <c r="K581" s="409">
        <v>26.24</v>
      </c>
      <c r="L581" s="409">
        <v>26.24</v>
      </c>
      <c r="M581" s="409">
        <v>26.24</v>
      </c>
      <c r="N581" s="409">
        <v>26.24</v>
      </c>
      <c r="O581" s="409">
        <v>26.24</v>
      </c>
      <c r="P581" s="409">
        <v>26.24</v>
      </c>
      <c r="Q581" s="409">
        <v>26.24</v>
      </c>
      <c r="R581" s="409">
        <v>26.24</v>
      </c>
      <c r="S581" s="409">
        <v>26.24</v>
      </c>
      <c r="T581" s="409">
        <v>26.24</v>
      </c>
      <c r="U581" s="409">
        <v>26.24</v>
      </c>
      <c r="V581" s="409">
        <v>26.24</v>
      </c>
      <c r="W581" s="409">
        <v>26.24</v>
      </c>
      <c r="X581" s="409">
        <v>26.24</v>
      </c>
      <c r="Y581" s="409">
        <v>26.24</v>
      </c>
      <c r="Z581" s="415">
        <v>26.24</v>
      </c>
      <c r="AA581" s="409">
        <v>26.24</v>
      </c>
      <c r="AB581" s="409">
        <v>26.24</v>
      </c>
      <c r="AC581" s="409">
        <v>26.24</v>
      </c>
      <c r="AD581" s="409">
        <v>26.24</v>
      </c>
      <c r="AE581" s="420">
        <v>26</v>
      </c>
      <c r="AF581" s="420">
        <v>25.02</v>
      </c>
    </row>
    <row r="582" spans="1:33">
      <c r="A582" s="1251">
        <v>25.02</v>
      </c>
      <c r="B582" s="415">
        <v>26</v>
      </c>
      <c r="C582" s="415">
        <v>26.24</v>
      </c>
      <c r="D582" s="409">
        <v>26.24</v>
      </c>
      <c r="E582" s="409">
        <v>26.24</v>
      </c>
      <c r="F582" s="409">
        <v>26.24</v>
      </c>
      <c r="G582" s="409">
        <v>26.24</v>
      </c>
      <c r="H582" s="415">
        <v>26.24</v>
      </c>
      <c r="I582" s="414">
        <v>26.24</v>
      </c>
      <c r="J582" s="415">
        <v>26.24</v>
      </c>
      <c r="K582" s="415">
        <v>26.24</v>
      </c>
      <c r="L582" s="415">
        <v>26.24</v>
      </c>
      <c r="M582" s="415">
        <v>26.24</v>
      </c>
      <c r="N582" s="415">
        <v>26.24</v>
      </c>
      <c r="O582" s="415">
        <v>26.24</v>
      </c>
      <c r="P582" s="415">
        <v>26.24</v>
      </c>
      <c r="Q582" s="415">
        <v>26.24</v>
      </c>
      <c r="R582" s="415">
        <v>26.24</v>
      </c>
      <c r="S582" s="415">
        <v>26.24</v>
      </c>
      <c r="T582" s="415">
        <v>26.24</v>
      </c>
      <c r="U582" s="415">
        <v>26.24</v>
      </c>
      <c r="V582" s="415">
        <v>26.24</v>
      </c>
      <c r="W582" s="415">
        <v>26.24</v>
      </c>
      <c r="X582" s="414">
        <v>26.24</v>
      </c>
      <c r="Y582" s="415">
        <v>26.24</v>
      </c>
      <c r="Z582" s="409">
        <v>26.24</v>
      </c>
      <c r="AA582" s="409">
        <v>26.24</v>
      </c>
      <c r="AB582" s="409">
        <v>26.24</v>
      </c>
      <c r="AC582" s="409">
        <v>26.24</v>
      </c>
      <c r="AD582" s="415">
        <v>26.24</v>
      </c>
      <c r="AE582" s="420">
        <v>26</v>
      </c>
      <c r="AF582" s="409">
        <v>25.02</v>
      </c>
    </row>
    <row r="583" spans="1:33">
      <c r="A583" s="1250">
        <v>24.03</v>
      </c>
      <c r="B583" s="415">
        <v>26</v>
      </c>
      <c r="C583" s="409">
        <v>26.24</v>
      </c>
      <c r="D583" s="415">
        <v>26.24</v>
      </c>
      <c r="E583" s="409">
        <v>26.24</v>
      </c>
      <c r="F583" s="409">
        <v>26.24</v>
      </c>
      <c r="G583" s="409">
        <v>26.24</v>
      </c>
      <c r="H583" s="409">
        <v>26.24</v>
      </c>
      <c r="I583" s="415">
        <v>26.24</v>
      </c>
      <c r="J583" s="409">
        <v>26.24</v>
      </c>
      <c r="K583" s="409">
        <v>26.24</v>
      </c>
      <c r="L583" s="409">
        <v>26.24</v>
      </c>
      <c r="M583" s="409">
        <v>26.24</v>
      </c>
      <c r="N583" s="409">
        <v>26.24</v>
      </c>
      <c r="O583" s="409">
        <v>26.24</v>
      </c>
      <c r="P583" s="409">
        <v>26.24</v>
      </c>
      <c r="Q583" s="409">
        <v>26.24</v>
      </c>
      <c r="R583" s="409">
        <v>26.24</v>
      </c>
      <c r="S583" s="409">
        <v>26.24</v>
      </c>
      <c r="T583" s="409">
        <v>26.24</v>
      </c>
      <c r="U583" s="409">
        <v>26.24</v>
      </c>
      <c r="V583" s="409">
        <v>26.24</v>
      </c>
      <c r="W583" s="409">
        <v>26.24</v>
      </c>
      <c r="X583" s="415">
        <v>26.24</v>
      </c>
      <c r="Y583" s="409">
        <v>26.24</v>
      </c>
      <c r="Z583" s="409">
        <v>26.24</v>
      </c>
      <c r="AA583" s="409">
        <v>26.24</v>
      </c>
      <c r="AB583" s="409">
        <v>26.24</v>
      </c>
      <c r="AC583" s="415">
        <v>26.24</v>
      </c>
      <c r="AD583" s="409">
        <v>26.24</v>
      </c>
      <c r="AE583" s="420">
        <v>26</v>
      </c>
      <c r="AF583" s="409">
        <v>24.03</v>
      </c>
    </row>
    <row r="584" spans="1:33">
      <c r="A584" s="1251">
        <v>25.02</v>
      </c>
      <c r="B584" s="415">
        <v>26</v>
      </c>
      <c r="C584" s="409">
        <v>26.24</v>
      </c>
      <c r="D584" s="409">
        <v>26.24</v>
      </c>
      <c r="E584" s="415">
        <v>26.24</v>
      </c>
      <c r="F584" s="409">
        <v>26.24</v>
      </c>
      <c r="G584" s="409">
        <v>26.24</v>
      </c>
      <c r="H584" s="409">
        <v>26.24</v>
      </c>
      <c r="I584" s="409">
        <v>26.24</v>
      </c>
      <c r="J584" s="415">
        <v>26.24</v>
      </c>
      <c r="K584" s="409">
        <v>26.24</v>
      </c>
      <c r="L584" s="409">
        <v>26.24</v>
      </c>
      <c r="M584" s="409">
        <v>26.24</v>
      </c>
      <c r="N584" s="409">
        <v>26.24</v>
      </c>
      <c r="O584" s="409">
        <v>26.24</v>
      </c>
      <c r="P584" s="409">
        <v>26.24</v>
      </c>
      <c r="Q584" s="409">
        <v>26.24</v>
      </c>
      <c r="R584" s="409">
        <v>26.24</v>
      </c>
      <c r="S584" s="409">
        <v>26.24</v>
      </c>
      <c r="T584" s="409">
        <v>26.24</v>
      </c>
      <c r="U584" s="409">
        <v>26.24</v>
      </c>
      <c r="V584" s="409">
        <v>26.24</v>
      </c>
      <c r="W584" s="415">
        <v>26.24</v>
      </c>
      <c r="X584" s="409">
        <v>26.24</v>
      </c>
      <c r="Y584" s="409">
        <v>26.24</v>
      </c>
      <c r="Z584" s="409">
        <v>26.24</v>
      </c>
      <c r="AA584" s="409">
        <v>26.24</v>
      </c>
      <c r="AB584" s="415">
        <v>26.24</v>
      </c>
      <c r="AC584" s="409">
        <v>26.24</v>
      </c>
      <c r="AD584" s="409">
        <v>26.24</v>
      </c>
      <c r="AE584" s="420">
        <v>26</v>
      </c>
      <c r="AF584" s="409">
        <v>25.02</v>
      </c>
    </row>
    <row r="585" spans="1:33">
      <c r="A585" s="491">
        <v>25.02</v>
      </c>
      <c r="B585" s="415">
        <v>26</v>
      </c>
      <c r="C585" s="409">
        <v>26.24</v>
      </c>
      <c r="D585" s="409">
        <v>26.24</v>
      </c>
      <c r="E585" s="409">
        <v>26.24</v>
      </c>
      <c r="F585" s="415">
        <v>26.24</v>
      </c>
      <c r="G585" s="409">
        <v>26.24</v>
      </c>
      <c r="H585" s="409">
        <v>26.24</v>
      </c>
      <c r="I585" s="409">
        <v>26.24</v>
      </c>
      <c r="J585" s="409">
        <v>26.24</v>
      </c>
      <c r="K585" s="415">
        <v>26.24</v>
      </c>
      <c r="L585" s="409">
        <v>26.24</v>
      </c>
      <c r="M585" s="409">
        <v>26.24</v>
      </c>
      <c r="N585" s="409">
        <v>26.24</v>
      </c>
      <c r="O585" s="409">
        <v>26.24</v>
      </c>
      <c r="P585" s="409">
        <v>26.24</v>
      </c>
      <c r="Q585" s="409">
        <v>26.24</v>
      </c>
      <c r="R585" s="409">
        <v>26.24</v>
      </c>
      <c r="S585" s="409">
        <v>26.24</v>
      </c>
      <c r="T585" s="409">
        <v>26.24</v>
      </c>
      <c r="U585" s="409">
        <v>26.24</v>
      </c>
      <c r="V585" s="415">
        <v>26.24</v>
      </c>
      <c r="W585" s="409">
        <v>26.24</v>
      </c>
      <c r="X585" s="409">
        <v>26.24</v>
      </c>
      <c r="Y585" s="409">
        <v>26.24</v>
      </c>
      <c r="Z585" s="409">
        <v>26.24</v>
      </c>
      <c r="AA585" s="415">
        <v>26.24</v>
      </c>
      <c r="AB585" s="409">
        <v>26.24</v>
      </c>
      <c r="AC585" s="409">
        <v>26.24</v>
      </c>
      <c r="AD585" s="409">
        <v>26.24</v>
      </c>
      <c r="AE585" s="420">
        <v>26</v>
      </c>
      <c r="AF585" s="420">
        <v>25.02</v>
      </c>
    </row>
    <row r="586" spans="1:33">
      <c r="A586" s="1251">
        <v>25.02</v>
      </c>
      <c r="B586" s="415">
        <v>26</v>
      </c>
      <c r="C586" s="415">
        <v>26.24</v>
      </c>
      <c r="D586" s="415">
        <v>26.24</v>
      </c>
      <c r="E586" s="415">
        <v>26.24</v>
      </c>
      <c r="F586" s="414">
        <v>26.24</v>
      </c>
      <c r="G586" s="415">
        <v>26.24</v>
      </c>
      <c r="H586" s="409">
        <v>26.24</v>
      </c>
      <c r="I586" s="409">
        <v>26.24</v>
      </c>
      <c r="J586" s="409">
        <v>26.24</v>
      </c>
      <c r="K586" s="409">
        <v>26.24</v>
      </c>
      <c r="L586" s="415">
        <v>26.24</v>
      </c>
      <c r="M586" s="414">
        <v>26.24</v>
      </c>
      <c r="N586" s="415">
        <v>26.24</v>
      </c>
      <c r="O586" s="415">
        <v>26.24</v>
      </c>
      <c r="P586" s="415">
        <v>26.24</v>
      </c>
      <c r="Q586" s="415">
        <v>26.24</v>
      </c>
      <c r="R586" s="415">
        <v>26.24</v>
      </c>
      <c r="S586" s="415">
        <v>26.24</v>
      </c>
      <c r="T586" s="414">
        <v>26.24</v>
      </c>
      <c r="U586" s="415">
        <v>26.24</v>
      </c>
      <c r="V586" s="409">
        <v>26.24</v>
      </c>
      <c r="W586" s="409">
        <v>26.24</v>
      </c>
      <c r="X586" s="409">
        <v>26.24</v>
      </c>
      <c r="Y586" s="409">
        <v>26.24</v>
      </c>
      <c r="Z586" s="415">
        <v>26.24</v>
      </c>
      <c r="AA586" s="414">
        <v>26.24</v>
      </c>
      <c r="AB586" s="415">
        <v>26.24</v>
      </c>
      <c r="AC586" s="415">
        <v>26.24</v>
      </c>
      <c r="AD586" s="415">
        <v>26.24</v>
      </c>
      <c r="AE586" s="420">
        <v>26</v>
      </c>
      <c r="AF586" s="409">
        <v>25.02</v>
      </c>
    </row>
    <row r="587" spans="1:33">
      <c r="A587" s="1250">
        <v>24.03</v>
      </c>
      <c r="B587" s="415">
        <v>26</v>
      </c>
      <c r="C587" s="409">
        <v>26.24</v>
      </c>
      <c r="D587" s="409">
        <v>26.24</v>
      </c>
      <c r="E587" s="409">
        <v>26.24</v>
      </c>
      <c r="F587" s="409">
        <v>26.24</v>
      </c>
      <c r="G587" s="409">
        <v>26.24</v>
      </c>
      <c r="H587" s="415">
        <v>26.24</v>
      </c>
      <c r="I587" s="409">
        <v>26.24</v>
      </c>
      <c r="J587" s="409">
        <v>26.24</v>
      </c>
      <c r="K587" s="409">
        <v>26.24</v>
      </c>
      <c r="L587" s="409">
        <v>26.24</v>
      </c>
      <c r="M587" s="415">
        <v>26.24</v>
      </c>
      <c r="N587" s="409">
        <v>26.24</v>
      </c>
      <c r="O587" s="409">
        <v>26.24</v>
      </c>
      <c r="P587" s="409">
        <v>26.24</v>
      </c>
      <c r="Q587" s="409">
        <v>26.24</v>
      </c>
      <c r="R587" s="409">
        <v>26.24</v>
      </c>
      <c r="S587" s="409">
        <v>26.24</v>
      </c>
      <c r="T587" s="415">
        <v>26.24</v>
      </c>
      <c r="U587" s="409">
        <v>26.24</v>
      </c>
      <c r="V587" s="409">
        <v>26.24</v>
      </c>
      <c r="W587" s="409">
        <v>26.24</v>
      </c>
      <c r="X587" s="409">
        <v>26.24</v>
      </c>
      <c r="Y587" s="415">
        <v>26.24</v>
      </c>
      <c r="Z587" s="409">
        <v>26.24</v>
      </c>
      <c r="AA587" s="409">
        <v>26.24</v>
      </c>
      <c r="AB587" s="409">
        <v>26.24</v>
      </c>
      <c r="AC587" s="409">
        <v>26.24</v>
      </c>
      <c r="AD587" s="409">
        <v>26.24</v>
      </c>
      <c r="AE587" s="420">
        <v>26</v>
      </c>
      <c r="AF587" s="409">
        <v>24.03</v>
      </c>
    </row>
    <row r="588" spans="1:33">
      <c r="A588" s="1251">
        <v>25.02</v>
      </c>
      <c r="B588" s="415">
        <v>26</v>
      </c>
      <c r="C588" s="409">
        <v>26.24</v>
      </c>
      <c r="D588" s="409">
        <v>26.24</v>
      </c>
      <c r="E588" s="409">
        <v>26.24</v>
      </c>
      <c r="F588" s="409">
        <v>26.24</v>
      </c>
      <c r="G588" s="409">
        <v>26.24</v>
      </c>
      <c r="H588" s="409">
        <v>26.24</v>
      </c>
      <c r="I588" s="415">
        <v>26.24</v>
      </c>
      <c r="J588" s="409">
        <v>26.24</v>
      </c>
      <c r="K588" s="409">
        <v>26.24</v>
      </c>
      <c r="L588" s="409">
        <v>26.24</v>
      </c>
      <c r="M588" s="409">
        <v>26.24</v>
      </c>
      <c r="N588" s="415">
        <v>26.24</v>
      </c>
      <c r="O588" s="409">
        <v>26.24</v>
      </c>
      <c r="P588" s="409">
        <v>26.24</v>
      </c>
      <c r="Q588" s="409">
        <v>26.24</v>
      </c>
      <c r="R588" s="409">
        <v>26.24</v>
      </c>
      <c r="S588" s="415">
        <v>26.24</v>
      </c>
      <c r="T588" s="409">
        <v>26.24</v>
      </c>
      <c r="U588" s="409">
        <v>26.24</v>
      </c>
      <c r="V588" s="409">
        <v>26.24</v>
      </c>
      <c r="W588" s="409">
        <v>26.24</v>
      </c>
      <c r="X588" s="415">
        <v>26.24</v>
      </c>
      <c r="Y588" s="409">
        <v>26.24</v>
      </c>
      <c r="Z588" s="409">
        <v>26.24</v>
      </c>
      <c r="AA588" s="409">
        <v>26.24</v>
      </c>
      <c r="AB588" s="409">
        <v>26.24</v>
      </c>
      <c r="AC588" s="409">
        <v>26.24</v>
      </c>
      <c r="AD588" s="409">
        <v>26.24</v>
      </c>
      <c r="AE588" s="420">
        <v>26</v>
      </c>
      <c r="AF588" s="409">
        <v>25.02</v>
      </c>
    </row>
    <row r="589" spans="1:33">
      <c r="A589" s="491">
        <v>25.02</v>
      </c>
      <c r="B589" s="415">
        <v>26</v>
      </c>
      <c r="C589" s="409">
        <v>26.24</v>
      </c>
      <c r="D589" s="409">
        <v>26.24</v>
      </c>
      <c r="E589" s="409">
        <v>26.24</v>
      </c>
      <c r="F589" s="409">
        <v>26.24</v>
      </c>
      <c r="G589" s="409">
        <v>26.24</v>
      </c>
      <c r="H589" s="409">
        <v>26.24</v>
      </c>
      <c r="I589" s="409">
        <v>26.24</v>
      </c>
      <c r="J589" s="415">
        <v>26.24</v>
      </c>
      <c r="K589" s="409">
        <v>26.24</v>
      </c>
      <c r="L589" s="409">
        <v>26.24</v>
      </c>
      <c r="M589" s="409">
        <v>26.24</v>
      </c>
      <c r="N589" s="409">
        <v>26.24</v>
      </c>
      <c r="O589" s="415">
        <v>26.24</v>
      </c>
      <c r="P589" s="409">
        <v>26.24</v>
      </c>
      <c r="Q589" s="409">
        <v>26.24</v>
      </c>
      <c r="R589" s="415">
        <v>26.24</v>
      </c>
      <c r="S589" s="409">
        <v>26.24</v>
      </c>
      <c r="T589" s="409">
        <v>26.24</v>
      </c>
      <c r="U589" s="409">
        <v>26.24</v>
      </c>
      <c r="V589" s="409">
        <v>26.24</v>
      </c>
      <c r="W589" s="415">
        <v>26.24</v>
      </c>
      <c r="X589" s="409">
        <v>26.24</v>
      </c>
      <c r="Y589" s="409">
        <v>26.24</v>
      </c>
      <c r="Z589" s="409">
        <v>26.24</v>
      </c>
      <c r="AA589" s="409">
        <v>26.24</v>
      </c>
      <c r="AB589" s="409">
        <v>26.24</v>
      </c>
      <c r="AC589" s="409">
        <v>26.24</v>
      </c>
      <c r="AD589" s="409">
        <v>26.24</v>
      </c>
      <c r="AE589" s="420">
        <v>26</v>
      </c>
      <c r="AF589" s="420">
        <v>25.02</v>
      </c>
    </row>
    <row r="590" spans="1:33">
      <c r="A590" s="1251">
        <v>25.02</v>
      </c>
      <c r="B590" s="415">
        <v>26</v>
      </c>
      <c r="C590" s="415">
        <v>26.24</v>
      </c>
      <c r="D590" s="415">
        <v>26.24</v>
      </c>
      <c r="E590" s="415">
        <v>26.24</v>
      </c>
      <c r="F590" s="415">
        <v>26.24</v>
      </c>
      <c r="G590" s="415">
        <v>26.24</v>
      </c>
      <c r="H590" s="415">
        <v>26.24</v>
      </c>
      <c r="I590" s="415">
        <v>26.24</v>
      </c>
      <c r="J590" s="414">
        <v>26.24</v>
      </c>
      <c r="K590" s="415">
        <v>26.24</v>
      </c>
      <c r="L590" s="409">
        <v>26.24</v>
      </c>
      <c r="M590" s="409">
        <v>26.24</v>
      </c>
      <c r="N590" s="409">
        <v>26.24</v>
      </c>
      <c r="O590" s="409">
        <v>26.24</v>
      </c>
      <c r="P590" s="415">
        <v>26.24</v>
      </c>
      <c r="Q590" s="415">
        <v>26.24</v>
      </c>
      <c r="R590" s="409">
        <v>26.24</v>
      </c>
      <c r="S590" s="409">
        <v>26.24</v>
      </c>
      <c r="T590" s="409">
        <v>26.24</v>
      </c>
      <c r="U590" s="409">
        <v>26.24</v>
      </c>
      <c r="V590" s="415">
        <v>26.24</v>
      </c>
      <c r="W590" s="414">
        <v>26.24</v>
      </c>
      <c r="X590" s="415">
        <v>26.24</v>
      </c>
      <c r="Y590" s="415">
        <v>26.24</v>
      </c>
      <c r="Z590" s="415">
        <v>26.24</v>
      </c>
      <c r="AA590" s="415">
        <v>26.24</v>
      </c>
      <c r="AB590" s="415">
        <v>26.24</v>
      </c>
      <c r="AC590" s="415">
        <v>26.24</v>
      </c>
      <c r="AD590" s="415">
        <v>26.24</v>
      </c>
      <c r="AE590" s="420">
        <v>26</v>
      </c>
      <c r="AF590" s="409">
        <v>25.02</v>
      </c>
    </row>
    <row r="591" spans="1:33">
      <c r="A591" s="1250">
        <v>24.03</v>
      </c>
      <c r="B591" s="415">
        <v>26</v>
      </c>
      <c r="C591" s="409">
        <v>26.24</v>
      </c>
      <c r="D591" s="409">
        <v>26.24</v>
      </c>
      <c r="E591" s="409">
        <v>26.24</v>
      </c>
      <c r="F591" s="409">
        <v>26.24</v>
      </c>
      <c r="G591" s="409">
        <v>26.24</v>
      </c>
      <c r="H591" s="409">
        <v>26.24</v>
      </c>
      <c r="I591" s="409">
        <v>26.24</v>
      </c>
      <c r="J591" s="409">
        <v>26.24</v>
      </c>
      <c r="K591" s="409">
        <v>26.24</v>
      </c>
      <c r="L591" s="415">
        <v>26.24</v>
      </c>
      <c r="M591" s="409">
        <v>26.24</v>
      </c>
      <c r="N591" s="409">
        <v>26.24</v>
      </c>
      <c r="O591" s="409">
        <v>26.24</v>
      </c>
      <c r="P591" s="415">
        <v>26.24</v>
      </c>
      <c r="Q591" s="409">
        <v>26.24</v>
      </c>
      <c r="R591" s="409">
        <v>26.24</v>
      </c>
      <c r="S591" s="409">
        <v>26.24</v>
      </c>
      <c r="T591" s="409">
        <v>26.24</v>
      </c>
      <c r="U591" s="415">
        <v>26.24</v>
      </c>
      <c r="V591" s="409">
        <v>26.24</v>
      </c>
      <c r="W591" s="409">
        <v>26.24</v>
      </c>
      <c r="X591" s="409">
        <v>26.24</v>
      </c>
      <c r="Y591" s="409">
        <v>26.24</v>
      </c>
      <c r="Z591" s="409">
        <v>26.24</v>
      </c>
      <c r="AA591" s="409">
        <v>26.24</v>
      </c>
      <c r="AB591" s="409">
        <v>26.24</v>
      </c>
      <c r="AC591" s="409">
        <v>26.24</v>
      </c>
      <c r="AD591" s="409">
        <v>26.24</v>
      </c>
      <c r="AE591" s="420">
        <v>26</v>
      </c>
      <c r="AF591" s="409">
        <v>24.03</v>
      </c>
    </row>
    <row r="592" spans="1:33">
      <c r="A592" s="1251">
        <v>25.02</v>
      </c>
      <c r="B592" s="415">
        <v>26</v>
      </c>
      <c r="C592" s="409">
        <v>26.24</v>
      </c>
      <c r="D592" s="409">
        <v>26.24</v>
      </c>
      <c r="E592" s="409">
        <v>26.24</v>
      </c>
      <c r="F592" s="409">
        <v>26.24</v>
      </c>
      <c r="G592" s="409">
        <v>26.24</v>
      </c>
      <c r="H592" s="409">
        <v>26.24</v>
      </c>
      <c r="I592" s="409">
        <v>26.24</v>
      </c>
      <c r="J592" s="409">
        <v>26.24</v>
      </c>
      <c r="K592" s="409">
        <v>26.24</v>
      </c>
      <c r="L592" s="409">
        <v>26.24</v>
      </c>
      <c r="M592" s="415">
        <v>26.24</v>
      </c>
      <c r="N592" s="409">
        <v>26.24</v>
      </c>
      <c r="O592" s="415">
        <v>26.24</v>
      </c>
      <c r="P592" s="409">
        <v>26.24</v>
      </c>
      <c r="Q592" s="409">
        <v>26.24</v>
      </c>
      <c r="R592" s="409">
        <v>26.24</v>
      </c>
      <c r="S592" s="409">
        <v>26.24</v>
      </c>
      <c r="T592" s="415">
        <v>26.24</v>
      </c>
      <c r="U592" s="409">
        <v>26.24</v>
      </c>
      <c r="V592" s="409">
        <v>26.24</v>
      </c>
      <c r="W592" s="409">
        <v>26.24</v>
      </c>
      <c r="X592" s="409">
        <v>26.24</v>
      </c>
      <c r="Y592" s="409">
        <v>26.24</v>
      </c>
      <c r="Z592" s="409">
        <v>26.24</v>
      </c>
      <c r="AA592" s="409">
        <v>26.24</v>
      </c>
      <c r="AB592" s="409">
        <v>26.24</v>
      </c>
      <c r="AC592" s="409">
        <v>26.24</v>
      </c>
      <c r="AD592" s="409">
        <v>26.24</v>
      </c>
      <c r="AE592" s="420">
        <v>26</v>
      </c>
      <c r="AF592" s="409">
        <v>25.02</v>
      </c>
    </row>
    <row r="593" spans="1:34">
      <c r="A593" s="415">
        <v>25.02</v>
      </c>
      <c r="B593" s="415">
        <v>26</v>
      </c>
      <c r="C593" s="409">
        <v>26.24</v>
      </c>
      <c r="D593" s="409">
        <v>26.24</v>
      </c>
      <c r="E593" s="409">
        <v>26.24</v>
      </c>
      <c r="F593" s="409">
        <v>26.24</v>
      </c>
      <c r="G593" s="409">
        <v>26.24</v>
      </c>
      <c r="H593" s="409">
        <v>26.24</v>
      </c>
      <c r="I593" s="409">
        <v>26.24</v>
      </c>
      <c r="J593" s="409">
        <v>26.24</v>
      </c>
      <c r="K593" s="409">
        <v>26.24</v>
      </c>
      <c r="L593" s="409">
        <v>26.24</v>
      </c>
      <c r="M593" s="409">
        <v>26.24</v>
      </c>
      <c r="N593" s="415">
        <v>26.24</v>
      </c>
      <c r="O593" s="409">
        <v>26.24</v>
      </c>
      <c r="P593" s="409">
        <v>26.24</v>
      </c>
      <c r="Q593" s="414">
        <v>26.24</v>
      </c>
      <c r="R593" s="409">
        <v>26.24</v>
      </c>
      <c r="S593" s="415">
        <v>26.24</v>
      </c>
      <c r="T593" s="409">
        <v>26.24</v>
      </c>
      <c r="U593" s="409">
        <v>26.24</v>
      </c>
      <c r="V593" s="409">
        <v>26.24</v>
      </c>
      <c r="W593" s="409">
        <v>26.24</v>
      </c>
      <c r="X593" s="409">
        <v>26.24</v>
      </c>
      <c r="Y593" s="409">
        <v>26.24</v>
      </c>
      <c r="Z593" s="409">
        <v>26.24</v>
      </c>
      <c r="AA593" s="409">
        <v>26.24</v>
      </c>
      <c r="AB593" s="409">
        <v>26.24</v>
      </c>
      <c r="AC593" s="409">
        <v>26.24</v>
      </c>
      <c r="AD593" s="409">
        <v>26.24</v>
      </c>
      <c r="AE593" s="420">
        <v>26</v>
      </c>
      <c r="AF593" s="420">
        <v>25.02</v>
      </c>
    </row>
    <row r="594" spans="1:34">
      <c r="A594" s="420">
        <v>25.02</v>
      </c>
      <c r="B594" s="415">
        <v>26</v>
      </c>
      <c r="C594" s="415">
        <v>26.24</v>
      </c>
      <c r="D594" s="415">
        <v>26.24</v>
      </c>
      <c r="E594" s="415">
        <v>26.24</v>
      </c>
      <c r="F594" s="415">
        <v>26.24</v>
      </c>
      <c r="G594" s="415">
        <v>26.24</v>
      </c>
      <c r="H594" s="415">
        <v>26.24</v>
      </c>
      <c r="I594" s="415">
        <v>26.24</v>
      </c>
      <c r="J594" s="415">
        <v>26.24</v>
      </c>
      <c r="K594" s="415">
        <v>26.24</v>
      </c>
      <c r="L594" s="414">
        <v>26.24</v>
      </c>
      <c r="M594" s="415">
        <v>26.24</v>
      </c>
      <c r="N594" s="409">
        <v>26.24</v>
      </c>
      <c r="O594" s="409">
        <v>26.24</v>
      </c>
      <c r="P594" s="409">
        <v>26.24</v>
      </c>
      <c r="Q594" s="409">
        <v>26.24</v>
      </c>
      <c r="R594" s="415">
        <v>26.24</v>
      </c>
      <c r="S594" s="409">
        <v>26.24</v>
      </c>
      <c r="T594" s="415">
        <v>26.24</v>
      </c>
      <c r="U594" s="414">
        <v>26.24</v>
      </c>
      <c r="V594" s="415">
        <v>26.24</v>
      </c>
      <c r="W594" s="415">
        <v>26.24</v>
      </c>
      <c r="X594" s="415">
        <v>26.24</v>
      </c>
      <c r="Y594" s="415">
        <v>26.24</v>
      </c>
      <c r="Z594" s="415">
        <v>26.24</v>
      </c>
      <c r="AA594" s="415">
        <v>26.24</v>
      </c>
      <c r="AB594" s="415">
        <v>26.24</v>
      </c>
      <c r="AC594" s="415">
        <v>26.24</v>
      </c>
      <c r="AD594" s="415">
        <v>26.24</v>
      </c>
      <c r="AE594" s="420">
        <v>26</v>
      </c>
      <c r="AF594" s="409">
        <v>25.02</v>
      </c>
    </row>
    <row r="595" spans="1:34">
      <c r="AH595">
        <v>591</v>
      </c>
    </row>
    <row r="596" spans="1:34">
      <c r="A596" s="420">
        <v>25.02</v>
      </c>
      <c r="B596" s="415">
        <v>26</v>
      </c>
      <c r="C596" s="409">
        <v>26.24</v>
      </c>
      <c r="D596" s="409">
        <v>26.24</v>
      </c>
      <c r="E596" s="409">
        <v>26.24</v>
      </c>
      <c r="F596" s="409">
        <v>26.24</v>
      </c>
      <c r="G596" s="409">
        <v>26.24</v>
      </c>
      <c r="H596" s="409">
        <v>26.24</v>
      </c>
      <c r="I596" s="409">
        <v>26.24</v>
      </c>
      <c r="J596" s="409">
        <v>26.24</v>
      </c>
      <c r="K596" s="415">
        <v>26.24</v>
      </c>
      <c r="L596" s="409">
        <v>26.24</v>
      </c>
      <c r="M596" s="409">
        <v>26.24</v>
      </c>
      <c r="N596" s="409">
        <v>26.24</v>
      </c>
      <c r="O596" s="409">
        <v>26.24</v>
      </c>
      <c r="P596" s="415">
        <v>26.24</v>
      </c>
      <c r="Q596" s="414">
        <v>26.24</v>
      </c>
      <c r="R596" s="409">
        <v>26.24</v>
      </c>
      <c r="S596" s="409">
        <v>26.24</v>
      </c>
      <c r="T596" s="409">
        <v>26.24</v>
      </c>
      <c r="U596" s="409">
        <v>26.24</v>
      </c>
      <c r="V596" s="415">
        <v>26.24</v>
      </c>
      <c r="W596" s="409">
        <v>26.24</v>
      </c>
      <c r="X596" s="409">
        <v>26.24</v>
      </c>
      <c r="Y596" s="409">
        <v>26.24</v>
      </c>
      <c r="Z596" s="409">
        <v>26.24</v>
      </c>
      <c r="AA596" s="409">
        <v>26.24</v>
      </c>
      <c r="AB596" s="409">
        <v>26.24</v>
      </c>
      <c r="AC596" s="409">
        <v>26.24</v>
      </c>
      <c r="AD596" s="409">
        <v>26.24</v>
      </c>
      <c r="AE596" s="420">
        <v>26</v>
      </c>
      <c r="AF596" s="409">
        <v>25.02</v>
      </c>
    </row>
    <row r="597" spans="1:34">
      <c r="AH597">
        <v>589</v>
      </c>
    </row>
    <row r="598" spans="1:34">
      <c r="A598" s="420">
        <v>25.02</v>
      </c>
      <c r="B598" s="415">
        <v>26</v>
      </c>
      <c r="C598" s="415">
        <v>26.24</v>
      </c>
      <c r="D598" s="415">
        <v>26.24</v>
      </c>
      <c r="E598" s="415">
        <v>26.24</v>
      </c>
      <c r="F598" s="415">
        <v>26.24</v>
      </c>
      <c r="G598" s="415">
        <v>26.24</v>
      </c>
      <c r="H598" s="414">
        <v>26.24</v>
      </c>
      <c r="I598" s="415">
        <v>26.24</v>
      </c>
      <c r="J598" s="409">
        <v>26.24</v>
      </c>
      <c r="K598" s="409">
        <v>26.24</v>
      </c>
      <c r="L598" s="409">
        <v>26.24</v>
      </c>
      <c r="M598" s="409">
        <v>26.24</v>
      </c>
      <c r="N598" s="415">
        <v>26.24</v>
      </c>
      <c r="O598" s="414">
        <v>26.24</v>
      </c>
      <c r="P598" s="415">
        <v>26.24</v>
      </c>
      <c r="Q598" s="415">
        <v>26.24</v>
      </c>
      <c r="R598" s="414">
        <v>26.24</v>
      </c>
      <c r="S598" s="415">
        <v>26.24</v>
      </c>
      <c r="T598" s="409">
        <v>26.24</v>
      </c>
      <c r="U598" s="409">
        <v>26.24</v>
      </c>
      <c r="V598" s="409">
        <v>26.24</v>
      </c>
      <c r="W598" s="409">
        <v>26.24</v>
      </c>
      <c r="X598" s="415">
        <v>26.24</v>
      </c>
      <c r="Y598" s="414">
        <v>26.24</v>
      </c>
      <c r="Z598" s="415">
        <v>26.24</v>
      </c>
      <c r="AA598" s="415">
        <v>26.24</v>
      </c>
      <c r="AB598" s="415">
        <v>26.24</v>
      </c>
      <c r="AC598" s="415">
        <v>26.24</v>
      </c>
      <c r="AD598" s="415">
        <v>26.24</v>
      </c>
      <c r="AE598" s="420">
        <v>26</v>
      </c>
      <c r="AF598" s="409">
        <v>25.02</v>
      </c>
    </row>
    <row r="599" spans="1:34">
      <c r="AH599">
        <v>587</v>
      </c>
    </row>
    <row r="600" spans="1:34">
      <c r="A600" s="420">
        <v>25.02</v>
      </c>
      <c r="B600" s="415">
        <v>26</v>
      </c>
      <c r="C600" s="409">
        <v>26.24</v>
      </c>
      <c r="D600" s="409">
        <v>26.24</v>
      </c>
      <c r="E600" s="409">
        <v>26.24</v>
      </c>
      <c r="F600" s="409">
        <v>26.24</v>
      </c>
      <c r="G600" s="415">
        <v>26.24</v>
      </c>
      <c r="H600" s="409">
        <v>26.24</v>
      </c>
      <c r="I600" s="409">
        <v>26.24</v>
      </c>
      <c r="J600" s="409">
        <v>26.24</v>
      </c>
      <c r="K600" s="409">
        <v>26.24</v>
      </c>
      <c r="L600" s="415">
        <v>26.24</v>
      </c>
      <c r="M600" s="409">
        <v>26.24</v>
      </c>
      <c r="N600" s="409">
        <v>26.24</v>
      </c>
      <c r="O600" s="409">
        <v>26.24</v>
      </c>
      <c r="P600" s="409">
        <v>26.24</v>
      </c>
      <c r="Q600" s="409">
        <v>26.24</v>
      </c>
      <c r="R600" s="409">
        <v>26.24</v>
      </c>
      <c r="S600" s="409">
        <v>26.24</v>
      </c>
      <c r="T600" s="409">
        <v>26.24</v>
      </c>
      <c r="U600" s="415">
        <v>26.24</v>
      </c>
      <c r="V600" s="409">
        <v>26.24</v>
      </c>
      <c r="W600" s="409">
        <v>26.24</v>
      </c>
      <c r="X600" s="409">
        <v>26.24</v>
      </c>
      <c r="Y600" s="409">
        <v>26.24</v>
      </c>
      <c r="Z600" s="415">
        <v>26.24</v>
      </c>
      <c r="AA600" s="409">
        <v>26.24</v>
      </c>
      <c r="AB600" s="409">
        <v>26.24</v>
      </c>
      <c r="AC600" s="409">
        <v>26.24</v>
      </c>
      <c r="AD600" s="409">
        <v>26.24</v>
      </c>
      <c r="AE600" s="420">
        <v>26</v>
      </c>
      <c r="AF600" s="409">
        <v>25.02</v>
      </c>
    </row>
    <row r="601" spans="1:34">
      <c r="AH601">
        <v>585</v>
      </c>
    </row>
    <row r="602" spans="1:34">
      <c r="A602" s="420">
        <v>25.02</v>
      </c>
      <c r="B602" s="415">
        <v>26</v>
      </c>
      <c r="C602" s="415">
        <v>26.24</v>
      </c>
      <c r="D602" s="414">
        <v>26.24</v>
      </c>
      <c r="E602" s="415">
        <v>26.24</v>
      </c>
      <c r="F602" s="409">
        <v>26.24</v>
      </c>
      <c r="G602" s="409">
        <v>26.24</v>
      </c>
      <c r="H602" s="409">
        <v>26.24</v>
      </c>
      <c r="I602" s="409">
        <v>26.24</v>
      </c>
      <c r="J602" s="415">
        <v>26.24</v>
      </c>
      <c r="K602" s="414">
        <v>26.24</v>
      </c>
      <c r="L602" s="415">
        <v>26.24</v>
      </c>
      <c r="M602" s="415">
        <v>26.24</v>
      </c>
      <c r="N602" s="415">
        <v>26.24</v>
      </c>
      <c r="O602" s="415">
        <v>26.24</v>
      </c>
      <c r="P602" s="415">
        <v>26.24</v>
      </c>
      <c r="Q602" s="415">
        <v>26.24</v>
      </c>
      <c r="R602" s="415">
        <v>26.24</v>
      </c>
      <c r="S602" s="415">
        <v>26.24</v>
      </c>
      <c r="T602" s="415">
        <v>26.24</v>
      </c>
      <c r="U602" s="415">
        <v>26.24</v>
      </c>
      <c r="V602" s="414">
        <v>26.24</v>
      </c>
      <c r="W602" s="415">
        <v>26.24</v>
      </c>
      <c r="X602" s="409">
        <v>26.24</v>
      </c>
      <c r="Y602" s="409">
        <v>26.24</v>
      </c>
      <c r="Z602" s="409">
        <v>26.24</v>
      </c>
      <c r="AA602" s="409">
        <v>26.24</v>
      </c>
      <c r="AB602" s="415">
        <v>26.24</v>
      </c>
      <c r="AC602" s="414">
        <v>26.24</v>
      </c>
      <c r="AD602" s="415">
        <v>26.24</v>
      </c>
      <c r="AE602" s="420">
        <v>26</v>
      </c>
      <c r="AF602" s="409">
        <v>25.02</v>
      </c>
    </row>
    <row r="603" spans="1:34">
      <c r="AH603">
        <v>583</v>
      </c>
    </row>
    <row r="604" spans="1:34">
      <c r="A604" s="420">
        <v>25.02</v>
      </c>
      <c r="B604" s="415">
        <v>26</v>
      </c>
      <c r="C604" s="415">
        <v>26.24</v>
      </c>
      <c r="D604" s="409">
        <v>26.24</v>
      </c>
      <c r="E604" s="414">
        <v>26.24</v>
      </c>
      <c r="F604" s="409">
        <v>26.24</v>
      </c>
      <c r="G604" s="409">
        <v>26.24</v>
      </c>
      <c r="H604" s="415">
        <v>26.24</v>
      </c>
      <c r="I604" s="409">
        <v>26.24</v>
      </c>
      <c r="J604" s="409">
        <v>26.24</v>
      </c>
      <c r="K604" s="409">
        <v>26.24</v>
      </c>
      <c r="L604" s="409">
        <v>26.24</v>
      </c>
      <c r="M604" s="409">
        <v>26.24</v>
      </c>
      <c r="N604" s="409">
        <v>26.24</v>
      </c>
      <c r="O604" s="409">
        <v>26.24</v>
      </c>
      <c r="P604" s="409">
        <v>26.24</v>
      </c>
      <c r="Q604" s="409">
        <v>26.24</v>
      </c>
      <c r="R604" s="409">
        <v>26.24</v>
      </c>
      <c r="S604" s="409">
        <v>26.24</v>
      </c>
      <c r="T604" s="409">
        <v>26.24</v>
      </c>
      <c r="U604" s="409">
        <v>26.24</v>
      </c>
      <c r="V604" s="409">
        <v>26.24</v>
      </c>
      <c r="W604" s="409">
        <v>26.24</v>
      </c>
      <c r="X604" s="409">
        <v>26.24</v>
      </c>
      <c r="Y604" s="415">
        <v>26.24</v>
      </c>
      <c r="Z604" s="409">
        <v>26.24</v>
      </c>
      <c r="AA604" s="409">
        <v>26.24</v>
      </c>
      <c r="AB604" s="414">
        <v>26.24</v>
      </c>
      <c r="AC604" s="409">
        <v>26.24</v>
      </c>
      <c r="AD604" s="415">
        <v>26.24</v>
      </c>
      <c r="AE604" s="420">
        <v>26</v>
      </c>
      <c r="AF604" s="409">
        <v>25.02</v>
      </c>
    </row>
    <row r="605" spans="1:34">
      <c r="AH605">
        <v>581</v>
      </c>
    </row>
    <row r="606" spans="1:34">
      <c r="A606" s="420">
        <v>25.02</v>
      </c>
      <c r="B606" s="415">
        <v>26</v>
      </c>
      <c r="C606" s="415">
        <v>26.24</v>
      </c>
      <c r="D606" s="409">
        <v>26.24</v>
      </c>
      <c r="E606" s="409">
        <v>26.24</v>
      </c>
      <c r="F606" s="415">
        <v>26.24</v>
      </c>
      <c r="G606" s="409">
        <v>26.24</v>
      </c>
      <c r="H606" s="409">
        <v>26.24</v>
      </c>
      <c r="I606" s="409">
        <v>26.24</v>
      </c>
      <c r="J606" s="409">
        <v>26.24</v>
      </c>
      <c r="K606" s="409">
        <v>26.24</v>
      </c>
      <c r="L606" s="409">
        <v>26.24</v>
      </c>
      <c r="M606" s="409">
        <v>26.24</v>
      </c>
      <c r="N606" s="409">
        <v>26.24</v>
      </c>
      <c r="O606" s="409">
        <v>26.24</v>
      </c>
      <c r="P606" s="409">
        <v>26.24</v>
      </c>
      <c r="Q606" s="409">
        <v>26.24</v>
      </c>
      <c r="R606" s="409">
        <v>26.24</v>
      </c>
      <c r="S606" s="409">
        <v>26.24</v>
      </c>
      <c r="T606" s="409">
        <v>26.24</v>
      </c>
      <c r="U606" s="409">
        <v>26.24</v>
      </c>
      <c r="V606" s="409">
        <v>26.24</v>
      </c>
      <c r="W606" s="409">
        <v>26.24</v>
      </c>
      <c r="X606" s="409">
        <v>26.24</v>
      </c>
      <c r="Y606" s="409">
        <v>26.24</v>
      </c>
      <c r="Z606" s="409">
        <v>26.24</v>
      </c>
      <c r="AA606" s="415">
        <v>26.24</v>
      </c>
      <c r="AB606" s="409">
        <v>26.24</v>
      </c>
      <c r="AC606" s="409">
        <v>26.24</v>
      </c>
      <c r="AD606" s="415">
        <v>26.24</v>
      </c>
      <c r="AE606" s="420">
        <v>26</v>
      </c>
      <c r="AF606" s="409">
        <v>25.02</v>
      </c>
    </row>
    <row r="607" spans="1:34">
      <c r="A607" s="1250">
        <v>24.03</v>
      </c>
      <c r="B607" s="420">
        <v>26</v>
      </c>
      <c r="C607" s="420">
        <v>26</v>
      </c>
      <c r="D607" s="420">
        <v>26</v>
      </c>
      <c r="E607" s="420">
        <v>26</v>
      </c>
      <c r="F607" s="420">
        <v>26</v>
      </c>
      <c r="G607" s="420">
        <v>26</v>
      </c>
      <c r="H607" s="420">
        <v>26</v>
      </c>
      <c r="I607" s="420">
        <v>26</v>
      </c>
      <c r="J607" s="420">
        <v>26</v>
      </c>
      <c r="K607" s="420">
        <v>26</v>
      </c>
      <c r="L607" s="420">
        <v>26</v>
      </c>
      <c r="M607" s="420">
        <v>26</v>
      </c>
      <c r="N607" s="420">
        <v>26</v>
      </c>
      <c r="O607" s="420">
        <v>26</v>
      </c>
      <c r="P607" s="420">
        <v>26</v>
      </c>
      <c r="Q607" s="420">
        <v>26</v>
      </c>
      <c r="R607" s="420">
        <v>26</v>
      </c>
      <c r="S607" s="420">
        <v>26</v>
      </c>
      <c r="T607" s="420">
        <v>26</v>
      </c>
      <c r="U607" s="420">
        <v>26</v>
      </c>
      <c r="V607" s="420">
        <v>26</v>
      </c>
      <c r="W607" s="420">
        <v>26</v>
      </c>
      <c r="X607" s="420">
        <v>26</v>
      </c>
      <c r="Y607" s="420">
        <v>26</v>
      </c>
      <c r="Z607" s="420">
        <v>26</v>
      </c>
      <c r="AA607" s="420">
        <v>26</v>
      </c>
      <c r="AB607" s="420">
        <v>26</v>
      </c>
      <c r="AC607" s="420">
        <v>26</v>
      </c>
      <c r="AD607" s="420">
        <v>26</v>
      </c>
      <c r="AE607" s="420">
        <v>26</v>
      </c>
      <c r="AF607" s="409">
        <v>24.03</v>
      </c>
    </row>
    <row r="608" spans="1:34">
      <c r="A608" s="415">
        <v>25.02</v>
      </c>
      <c r="B608" s="409">
        <v>25.02</v>
      </c>
      <c r="C608" s="409">
        <v>24.03</v>
      </c>
      <c r="D608" s="409">
        <v>25.02</v>
      </c>
      <c r="E608" s="420">
        <v>25.02</v>
      </c>
      <c r="F608" s="409">
        <v>25.02</v>
      </c>
      <c r="G608" s="409">
        <v>24.03</v>
      </c>
      <c r="H608" s="409">
        <v>25.02</v>
      </c>
      <c r="I608" s="420">
        <v>25.02</v>
      </c>
      <c r="J608" s="409">
        <v>25.02</v>
      </c>
      <c r="K608" s="409">
        <v>24.03</v>
      </c>
      <c r="L608" s="409">
        <v>25.02</v>
      </c>
      <c r="M608" s="420">
        <v>25.02</v>
      </c>
      <c r="N608" s="409">
        <v>25.02</v>
      </c>
      <c r="O608" s="409">
        <v>24.03</v>
      </c>
      <c r="P608" s="409">
        <v>25.02</v>
      </c>
      <c r="Q608" s="420">
        <v>25.02</v>
      </c>
      <c r="R608" s="409">
        <v>25.02</v>
      </c>
      <c r="S608" s="409">
        <v>24.03</v>
      </c>
      <c r="T608" s="409">
        <v>25.02</v>
      </c>
      <c r="U608" s="420">
        <v>25.02</v>
      </c>
      <c r="V608" s="409">
        <v>25.02</v>
      </c>
      <c r="W608" s="409">
        <v>24.03</v>
      </c>
      <c r="X608" s="409">
        <v>25.02</v>
      </c>
      <c r="Y608" s="420">
        <v>25.02</v>
      </c>
      <c r="Z608" s="409">
        <v>25.02</v>
      </c>
      <c r="AA608" s="409">
        <v>24.03</v>
      </c>
      <c r="AB608" s="409">
        <v>25.02</v>
      </c>
      <c r="AC608" s="420">
        <v>25.02</v>
      </c>
      <c r="AD608" s="409">
        <v>25.02</v>
      </c>
      <c r="AE608" s="409">
        <v>24.03</v>
      </c>
      <c r="AF608" s="420">
        <v>25.02</v>
      </c>
    </row>
    <row r="609" spans="1:34">
      <c r="A609" s="1249">
        <v>2</v>
      </c>
      <c r="B609" s="1250">
        <v>2</v>
      </c>
      <c r="C609" s="1250">
        <v>2</v>
      </c>
      <c r="D609" s="1250">
        <v>2</v>
      </c>
      <c r="E609" s="490">
        <v>2</v>
      </c>
      <c r="F609" s="1250">
        <v>2</v>
      </c>
      <c r="G609" s="1250">
        <v>2</v>
      </c>
      <c r="H609" s="1250">
        <v>2</v>
      </c>
      <c r="I609" s="490">
        <v>2</v>
      </c>
      <c r="J609" s="1250">
        <v>2</v>
      </c>
      <c r="K609" s="1250">
        <v>2</v>
      </c>
      <c r="L609" s="1250">
        <v>2</v>
      </c>
      <c r="M609" s="490">
        <v>2</v>
      </c>
      <c r="N609" s="1250">
        <v>2</v>
      </c>
      <c r="O609" s="1250">
        <v>2</v>
      </c>
      <c r="P609" s="1250">
        <v>2</v>
      </c>
      <c r="Q609" s="490">
        <v>14.02</v>
      </c>
      <c r="R609" s="1357">
        <v>14.02</v>
      </c>
      <c r="S609" s="1357">
        <v>13.03</v>
      </c>
      <c r="T609" s="1357">
        <v>14.02</v>
      </c>
      <c r="U609" s="490">
        <v>14.02</v>
      </c>
      <c r="V609" s="1357">
        <v>14.02</v>
      </c>
      <c r="W609" s="1357">
        <v>13.03</v>
      </c>
      <c r="X609" s="1357">
        <v>14.02</v>
      </c>
      <c r="Y609" s="490">
        <v>14.02</v>
      </c>
      <c r="Z609" s="1357">
        <v>14.02</v>
      </c>
      <c r="AA609" s="1357">
        <v>13.03</v>
      </c>
      <c r="AB609" s="1357">
        <v>14.02</v>
      </c>
      <c r="AC609" s="490">
        <v>14.02</v>
      </c>
      <c r="AD609" s="1357">
        <v>14.02</v>
      </c>
      <c r="AE609" s="1357">
        <v>14.02</v>
      </c>
      <c r="AF609" s="3826">
        <v>14.02</v>
      </c>
      <c r="AG609">
        <v>20</v>
      </c>
    </row>
    <row r="610" spans="1:34">
      <c r="A610" s="1251">
        <v>2</v>
      </c>
      <c r="B610" s="415">
        <v>3.02</v>
      </c>
      <c r="C610" s="415">
        <v>3.02</v>
      </c>
      <c r="D610" s="415">
        <v>3.02</v>
      </c>
      <c r="E610" s="415">
        <v>3.02</v>
      </c>
      <c r="F610" s="415">
        <v>3.02</v>
      </c>
      <c r="G610" s="415">
        <v>3.02</v>
      </c>
      <c r="H610" s="415">
        <v>3.02</v>
      </c>
      <c r="I610" s="415">
        <v>3.02</v>
      </c>
      <c r="J610" s="415">
        <v>3.02</v>
      </c>
      <c r="K610" s="415">
        <v>3.02</v>
      </c>
      <c r="L610" s="415">
        <v>3.02</v>
      </c>
      <c r="M610" s="415">
        <v>3.02</v>
      </c>
      <c r="N610" s="415">
        <v>3.02</v>
      </c>
      <c r="O610" s="415">
        <v>3.02</v>
      </c>
      <c r="P610" s="409">
        <v>3</v>
      </c>
      <c r="Q610" s="417">
        <v>14</v>
      </c>
      <c r="R610" s="415">
        <v>15</v>
      </c>
      <c r="S610" s="415">
        <v>15</v>
      </c>
      <c r="T610" s="415">
        <v>15</v>
      </c>
      <c r="U610" s="415">
        <v>15</v>
      </c>
      <c r="V610" s="415">
        <v>15</v>
      </c>
      <c r="W610" s="415">
        <v>15</v>
      </c>
      <c r="X610" s="415">
        <v>15</v>
      </c>
      <c r="Y610" s="415">
        <v>15</v>
      </c>
      <c r="Z610" s="415">
        <v>15</v>
      </c>
      <c r="AA610" s="415">
        <v>15</v>
      </c>
      <c r="AB610" s="415">
        <v>15</v>
      </c>
      <c r="AC610" s="415">
        <v>15</v>
      </c>
      <c r="AD610" s="415">
        <v>15</v>
      </c>
      <c r="AE610" s="417">
        <v>15</v>
      </c>
      <c r="AF610" s="1368">
        <v>14.02</v>
      </c>
    </row>
    <row r="611" spans="1:34">
      <c r="A611" s="1251">
        <v>2</v>
      </c>
      <c r="B611" s="415">
        <v>3.02</v>
      </c>
      <c r="C611" s="409">
        <v>3.02</v>
      </c>
      <c r="D611" s="409">
        <v>3.02</v>
      </c>
      <c r="E611" s="409">
        <v>3.02</v>
      </c>
      <c r="F611" s="415">
        <v>3.02</v>
      </c>
      <c r="G611" s="409">
        <v>3.02</v>
      </c>
      <c r="H611" s="409">
        <v>3.02</v>
      </c>
      <c r="I611" s="409">
        <v>3.02</v>
      </c>
      <c r="J611" s="409">
        <v>3.02</v>
      </c>
      <c r="K611" s="415">
        <v>3.02</v>
      </c>
      <c r="L611" s="409">
        <v>3.02</v>
      </c>
      <c r="M611" s="409">
        <v>3.02</v>
      </c>
      <c r="N611" s="409">
        <v>3.02</v>
      </c>
      <c r="O611" s="420">
        <v>3.02</v>
      </c>
      <c r="P611" s="409">
        <v>3</v>
      </c>
      <c r="Q611" s="417">
        <v>13</v>
      </c>
      <c r="R611" s="415">
        <v>15</v>
      </c>
      <c r="S611" s="422">
        <v>15.149999999999999</v>
      </c>
      <c r="T611" s="422">
        <v>15.149999999999999</v>
      </c>
      <c r="U611" s="422">
        <v>15.149999999999999</v>
      </c>
      <c r="V611" s="422">
        <v>15.149999999999999</v>
      </c>
      <c r="W611" s="422">
        <v>15.149999999999999</v>
      </c>
      <c r="X611" s="422">
        <v>15.149999999999999</v>
      </c>
      <c r="Y611" s="422">
        <v>15.149999999999999</v>
      </c>
      <c r="Z611" s="422">
        <v>15.149999999999999</v>
      </c>
      <c r="AA611" s="422">
        <v>15.149999999999999</v>
      </c>
      <c r="AB611" s="422">
        <v>15.149999999999999</v>
      </c>
      <c r="AC611" s="422">
        <v>15.149999999999999</v>
      </c>
      <c r="AD611" s="422">
        <v>15.149999999999999</v>
      </c>
      <c r="AE611" s="417">
        <v>15</v>
      </c>
      <c r="AF611" s="1368">
        <v>13.03</v>
      </c>
    </row>
    <row r="612" spans="1:34">
      <c r="A612" s="1251">
        <v>2</v>
      </c>
      <c r="B612" s="415">
        <v>3.02</v>
      </c>
      <c r="C612" s="409">
        <v>3.02</v>
      </c>
      <c r="D612" s="415">
        <v>3.02</v>
      </c>
      <c r="E612" s="409">
        <v>3.02</v>
      </c>
      <c r="F612" s="415">
        <v>3.02</v>
      </c>
      <c r="G612" s="409">
        <v>3.02</v>
      </c>
      <c r="H612" s="409">
        <v>3.02</v>
      </c>
      <c r="I612" s="409">
        <v>3.02</v>
      </c>
      <c r="J612" s="409">
        <v>3.02</v>
      </c>
      <c r="K612" s="415">
        <v>3.02</v>
      </c>
      <c r="L612" s="409">
        <v>3.02</v>
      </c>
      <c r="M612" s="415">
        <v>3.02</v>
      </c>
      <c r="N612" s="409">
        <v>3.02</v>
      </c>
      <c r="O612" s="420">
        <v>3.02</v>
      </c>
      <c r="P612" s="409">
        <v>3</v>
      </c>
      <c r="Q612" s="417">
        <v>14</v>
      </c>
      <c r="R612" s="415">
        <v>15</v>
      </c>
      <c r="S612" s="422">
        <v>15.149999999999999</v>
      </c>
      <c r="T612" s="415">
        <v>15.149999999999999</v>
      </c>
      <c r="U612" s="422">
        <v>15.149999999999999</v>
      </c>
      <c r="V612" s="422">
        <v>15.149999999999999</v>
      </c>
      <c r="W612" s="422">
        <v>15.149999999999999</v>
      </c>
      <c r="X612" s="422">
        <v>15.149999999999999</v>
      </c>
      <c r="Y612" s="422">
        <v>15.149999999999999</v>
      </c>
      <c r="Z612" s="422">
        <v>15.149999999999999</v>
      </c>
      <c r="AA612" s="422">
        <v>15.149999999999999</v>
      </c>
      <c r="AB612" s="422">
        <v>15.149999999999999</v>
      </c>
      <c r="AC612" s="415">
        <v>15.149999999999999</v>
      </c>
      <c r="AD612" s="422">
        <v>15.149999999999999</v>
      </c>
      <c r="AE612" s="417">
        <v>15</v>
      </c>
      <c r="AF612" s="1368">
        <v>14.02</v>
      </c>
    </row>
    <row r="613" spans="1:34">
      <c r="A613" s="491">
        <v>2</v>
      </c>
      <c r="B613" s="415">
        <v>3.02</v>
      </c>
      <c r="C613" s="409">
        <v>3.02</v>
      </c>
      <c r="D613" s="409">
        <v>3.02</v>
      </c>
      <c r="E613" s="409">
        <v>3.02</v>
      </c>
      <c r="F613" s="415">
        <v>3.02</v>
      </c>
      <c r="G613" s="409">
        <v>3.02</v>
      </c>
      <c r="H613" s="409">
        <v>3.02</v>
      </c>
      <c r="I613" s="409">
        <v>3.02</v>
      </c>
      <c r="J613" s="409">
        <v>3.02</v>
      </c>
      <c r="K613" s="415">
        <v>3.02</v>
      </c>
      <c r="L613" s="409">
        <v>3.02</v>
      </c>
      <c r="M613" s="409">
        <v>3.02</v>
      </c>
      <c r="N613" s="409">
        <v>3.02</v>
      </c>
      <c r="O613" s="420">
        <v>3.02</v>
      </c>
      <c r="P613" s="420">
        <v>3</v>
      </c>
      <c r="Q613" s="415">
        <v>14</v>
      </c>
      <c r="R613" s="415">
        <v>15</v>
      </c>
      <c r="S613" s="422">
        <v>15.149999999999999</v>
      </c>
      <c r="T613" s="422">
        <v>15.149999999999999</v>
      </c>
      <c r="U613" s="422">
        <v>15.149999999999999</v>
      </c>
      <c r="V613" s="422">
        <v>15.149999999999999</v>
      </c>
      <c r="W613" s="422">
        <v>15.149999999999999</v>
      </c>
      <c r="X613" s="422">
        <v>15.149999999999999</v>
      </c>
      <c r="Y613" s="422">
        <v>15.149999999999999</v>
      </c>
      <c r="Z613" s="422">
        <v>15.149999999999999</v>
      </c>
      <c r="AA613" s="422">
        <v>15.149999999999999</v>
      </c>
      <c r="AB613" s="422">
        <v>15.149999999999999</v>
      </c>
      <c r="AC613" s="422">
        <v>15.149999999999999</v>
      </c>
      <c r="AD613" s="422">
        <v>15.149999999999999</v>
      </c>
      <c r="AE613" s="417">
        <v>15</v>
      </c>
      <c r="AF613" s="1370">
        <v>14.02</v>
      </c>
    </row>
    <row r="614" spans="1:34">
      <c r="A614" s="1251">
        <v>2</v>
      </c>
      <c r="B614" s="415">
        <v>3.02</v>
      </c>
      <c r="C614" s="409">
        <v>3.02</v>
      </c>
      <c r="D614" s="409">
        <v>3.02</v>
      </c>
      <c r="E614" s="409">
        <v>3.02</v>
      </c>
      <c r="F614" s="415">
        <v>3.02</v>
      </c>
      <c r="G614" s="409">
        <v>3.02</v>
      </c>
      <c r="H614" s="409">
        <v>3.02</v>
      </c>
      <c r="I614" s="409">
        <v>3.02</v>
      </c>
      <c r="J614" s="409">
        <v>3.02</v>
      </c>
      <c r="K614" s="415">
        <v>3.02</v>
      </c>
      <c r="L614" s="409">
        <v>3.02</v>
      </c>
      <c r="M614" s="409">
        <v>3.02</v>
      </c>
      <c r="N614" s="409">
        <v>3.02</v>
      </c>
      <c r="O614" s="420">
        <v>3.02</v>
      </c>
      <c r="P614" s="409">
        <v>3</v>
      </c>
      <c r="Q614" s="417">
        <v>14</v>
      </c>
      <c r="R614" s="415">
        <v>15</v>
      </c>
      <c r="S614" s="417">
        <v>15.149999999999999</v>
      </c>
      <c r="T614" s="417">
        <v>15.149999999999999</v>
      </c>
      <c r="U614" s="417">
        <v>15.149999999999999</v>
      </c>
      <c r="V614" s="417">
        <v>15.149999999999999</v>
      </c>
      <c r="W614" s="417">
        <v>15.149999999999999</v>
      </c>
      <c r="X614" s="417">
        <v>15.149999999999999</v>
      </c>
      <c r="Y614" s="417">
        <v>15.149999999999999</v>
      </c>
      <c r="Z614" s="417">
        <v>15.149999999999999</v>
      </c>
      <c r="AA614" s="417">
        <v>15.149999999999999</v>
      </c>
      <c r="AB614" s="417">
        <v>15.149999999999999</v>
      </c>
      <c r="AC614" s="417">
        <v>15.149999999999999</v>
      </c>
      <c r="AD614" s="417">
        <v>15.149999999999999</v>
      </c>
      <c r="AE614" s="417">
        <v>15</v>
      </c>
      <c r="AF614" s="1368">
        <v>14.02</v>
      </c>
    </row>
    <row r="615" spans="1:34">
      <c r="AH615">
        <v>611</v>
      </c>
    </row>
    <row r="616" spans="1:34">
      <c r="A616" s="1251">
        <v>2</v>
      </c>
      <c r="B616" s="415">
        <v>3.02</v>
      </c>
      <c r="C616" s="409">
        <v>3.02</v>
      </c>
      <c r="D616" s="409">
        <v>3.02</v>
      </c>
      <c r="E616" s="409">
        <v>3.02</v>
      </c>
      <c r="F616" s="415">
        <v>3.02</v>
      </c>
      <c r="G616" s="409">
        <v>3.02</v>
      </c>
      <c r="H616" s="409">
        <v>3.02</v>
      </c>
      <c r="I616" s="409">
        <v>3.02</v>
      </c>
      <c r="J616" s="409">
        <v>3.02</v>
      </c>
      <c r="K616" s="415">
        <v>3.02</v>
      </c>
      <c r="L616" s="409">
        <v>3.02</v>
      </c>
      <c r="M616" s="409">
        <v>3.02</v>
      </c>
      <c r="N616" s="409">
        <v>3.02</v>
      </c>
      <c r="O616" s="420">
        <v>3.02</v>
      </c>
      <c r="P616" s="409">
        <v>3</v>
      </c>
      <c r="Q616" s="417">
        <v>14</v>
      </c>
      <c r="R616" s="415">
        <v>15</v>
      </c>
      <c r="S616" s="422">
        <v>15.149999999999999</v>
      </c>
      <c r="T616" s="422">
        <v>15.149999999999999</v>
      </c>
      <c r="U616" s="422">
        <v>15.149999999999999</v>
      </c>
      <c r="V616" s="422">
        <v>15.149999999999999</v>
      </c>
      <c r="W616" s="422">
        <v>15.149999999999999</v>
      </c>
      <c r="X616" s="422">
        <v>15.149999999999999</v>
      </c>
      <c r="Y616" s="422">
        <v>15.149999999999999</v>
      </c>
      <c r="Z616" s="422">
        <v>15.149999999999999</v>
      </c>
      <c r="AA616" s="422">
        <v>15.149999999999999</v>
      </c>
      <c r="AB616" s="422">
        <v>15.149999999999999</v>
      </c>
      <c r="AC616" s="422">
        <v>15.149999999999999</v>
      </c>
      <c r="AD616" s="422">
        <v>15.149999999999999</v>
      </c>
      <c r="AE616" s="417">
        <v>15</v>
      </c>
      <c r="AF616" s="1368">
        <v>14.02</v>
      </c>
    </row>
    <row r="617" spans="1:34">
      <c r="A617" s="491">
        <v>2</v>
      </c>
      <c r="B617" s="415">
        <v>3.02</v>
      </c>
      <c r="C617" s="409">
        <v>3.02</v>
      </c>
      <c r="D617" s="409">
        <v>3.02</v>
      </c>
      <c r="E617" s="409">
        <v>3.02</v>
      </c>
      <c r="F617" s="415">
        <v>3.02</v>
      </c>
      <c r="G617" s="409">
        <v>3.02</v>
      </c>
      <c r="H617" s="409">
        <v>3.02</v>
      </c>
      <c r="I617" s="409">
        <v>3.02</v>
      </c>
      <c r="J617" s="409">
        <v>3.02</v>
      </c>
      <c r="K617" s="415">
        <v>3.02</v>
      </c>
      <c r="L617" s="409">
        <v>3.02</v>
      </c>
      <c r="M617" s="409">
        <v>3.02</v>
      </c>
      <c r="N617" s="409">
        <v>3.02</v>
      </c>
      <c r="O617" s="420">
        <v>3.02</v>
      </c>
      <c r="P617" s="420">
        <v>3</v>
      </c>
      <c r="Q617" s="415">
        <v>14</v>
      </c>
      <c r="R617" s="415">
        <v>15</v>
      </c>
      <c r="S617" s="422">
        <v>15.149999999999999</v>
      </c>
      <c r="T617" s="422">
        <v>15.149999999999999</v>
      </c>
      <c r="U617" s="422">
        <v>15.149999999999999</v>
      </c>
      <c r="V617" s="422">
        <v>15.149999999999999</v>
      </c>
      <c r="W617" s="422">
        <v>15.149999999999999</v>
      </c>
      <c r="X617" s="422">
        <v>15.149999999999999</v>
      </c>
      <c r="Y617" s="422">
        <v>15.149999999999999</v>
      </c>
      <c r="Z617" s="422">
        <v>15.149999999999999</v>
      </c>
      <c r="AA617" s="422">
        <v>15.149999999999999</v>
      </c>
      <c r="AB617" s="422">
        <v>15.149999999999999</v>
      </c>
      <c r="AC617" s="422">
        <v>15.149999999999999</v>
      </c>
      <c r="AD617" s="422">
        <v>15.149999999999999</v>
      </c>
      <c r="AE617" s="417">
        <v>15</v>
      </c>
      <c r="AF617" s="1370">
        <v>14.02</v>
      </c>
    </row>
    <row r="618" spans="1:34">
      <c r="AH618">
        <v>616</v>
      </c>
    </row>
    <row r="619" spans="1:34">
      <c r="A619" s="1251">
        <v>2</v>
      </c>
      <c r="B619" s="415">
        <v>3.02</v>
      </c>
      <c r="C619" s="409">
        <v>3.02</v>
      </c>
      <c r="D619" s="409">
        <v>3.02</v>
      </c>
      <c r="E619" s="409">
        <v>3.02</v>
      </c>
      <c r="F619" s="415">
        <v>3.02</v>
      </c>
      <c r="G619" s="409">
        <v>3.02</v>
      </c>
      <c r="H619" s="409">
        <v>3.02</v>
      </c>
      <c r="I619" s="409">
        <v>3.02</v>
      </c>
      <c r="J619" s="409">
        <v>3.02</v>
      </c>
      <c r="K619" s="415">
        <v>3.02</v>
      </c>
      <c r="L619" s="409">
        <v>3.02</v>
      </c>
      <c r="M619" s="409">
        <v>3.02</v>
      </c>
      <c r="N619" s="409">
        <v>3.02</v>
      </c>
      <c r="O619" s="420">
        <v>3.02</v>
      </c>
      <c r="P619" s="409">
        <v>3</v>
      </c>
      <c r="Q619" s="417">
        <v>13</v>
      </c>
      <c r="R619" s="415">
        <v>15</v>
      </c>
      <c r="S619" s="417">
        <v>15.149999999999999</v>
      </c>
      <c r="T619" s="417">
        <v>15.149999999999999</v>
      </c>
      <c r="U619" s="417">
        <v>15.149999999999999</v>
      </c>
      <c r="V619" s="417">
        <v>15.149999999999999</v>
      </c>
      <c r="W619" s="417">
        <v>15.149999999999999</v>
      </c>
      <c r="X619" s="417">
        <v>15.149999999999999</v>
      </c>
      <c r="Y619" s="417">
        <v>15.149999999999999</v>
      </c>
      <c r="Z619" s="417">
        <v>15.149999999999999</v>
      </c>
      <c r="AA619" s="417">
        <v>15.149999999999999</v>
      </c>
      <c r="AB619" s="417">
        <v>15.149999999999999</v>
      </c>
      <c r="AC619" s="417">
        <v>15.149999999999999</v>
      </c>
      <c r="AD619" s="417">
        <v>15.149999999999999</v>
      </c>
      <c r="AE619" s="417">
        <v>15</v>
      </c>
      <c r="AF619" s="1368">
        <v>13.03</v>
      </c>
    </row>
    <row r="620" spans="1:34">
      <c r="AH620">
        <v>616</v>
      </c>
    </row>
    <row r="621" spans="1:34">
      <c r="A621" s="491">
        <v>2</v>
      </c>
      <c r="B621" s="415">
        <v>3.02</v>
      </c>
      <c r="C621" s="409">
        <v>3.02</v>
      </c>
      <c r="D621" s="415">
        <v>3.02</v>
      </c>
      <c r="E621" s="409">
        <v>3.02</v>
      </c>
      <c r="F621" s="415">
        <v>3.02</v>
      </c>
      <c r="G621" s="409">
        <v>3.02</v>
      </c>
      <c r="H621" s="409">
        <v>3.02</v>
      </c>
      <c r="I621" s="409">
        <v>3.02</v>
      </c>
      <c r="J621" s="409">
        <v>3.02</v>
      </c>
      <c r="K621" s="415">
        <v>3.02</v>
      </c>
      <c r="L621" s="409">
        <v>3.02</v>
      </c>
      <c r="M621" s="415">
        <v>3.02</v>
      </c>
      <c r="N621" s="409">
        <v>3.02</v>
      </c>
      <c r="O621" s="420">
        <v>3.02</v>
      </c>
      <c r="P621" s="420">
        <v>3</v>
      </c>
      <c r="Q621" s="415">
        <v>14</v>
      </c>
      <c r="R621" s="415">
        <v>15</v>
      </c>
      <c r="S621" s="422">
        <v>15.149999999999999</v>
      </c>
      <c r="T621" s="415">
        <v>15.149999999999999</v>
      </c>
      <c r="U621" s="422">
        <v>15.149999999999999</v>
      </c>
      <c r="V621" s="422">
        <v>15.149999999999999</v>
      </c>
      <c r="W621" s="422">
        <v>15.149999999999999</v>
      </c>
      <c r="X621" s="422">
        <v>15.149999999999999</v>
      </c>
      <c r="Y621" s="422">
        <v>15.149999999999999</v>
      </c>
      <c r="Z621" s="422">
        <v>15.149999999999999</v>
      </c>
      <c r="AA621" s="422">
        <v>15.149999999999999</v>
      </c>
      <c r="AB621" s="422">
        <v>15.149999999999999</v>
      </c>
      <c r="AC621" s="415">
        <v>15.149999999999999</v>
      </c>
      <c r="AD621" s="422">
        <v>15.149999999999999</v>
      </c>
      <c r="AE621" s="417">
        <v>15</v>
      </c>
      <c r="AF621" s="1370">
        <v>14.02</v>
      </c>
    </row>
    <row r="622" spans="1:34">
      <c r="AH622">
        <v>616</v>
      </c>
    </row>
    <row r="623" spans="1:34">
      <c r="A623" s="1251">
        <v>2</v>
      </c>
      <c r="B623" s="415">
        <v>3.02</v>
      </c>
      <c r="C623" s="420">
        <v>3.02</v>
      </c>
      <c r="D623" s="420">
        <v>3.02</v>
      </c>
      <c r="E623" s="420">
        <v>3.02</v>
      </c>
      <c r="F623" s="420">
        <v>3.02</v>
      </c>
      <c r="G623" s="420">
        <v>3.02</v>
      </c>
      <c r="H623" s="420">
        <v>3.02</v>
      </c>
      <c r="I623" s="420">
        <v>3.02</v>
      </c>
      <c r="J623" s="420">
        <v>3.02</v>
      </c>
      <c r="K623" s="420">
        <v>3.02</v>
      </c>
      <c r="L623" s="420">
        <v>3.02</v>
      </c>
      <c r="M623" s="420">
        <v>3.02</v>
      </c>
      <c r="N623" s="420">
        <v>3.02</v>
      </c>
      <c r="O623" s="420">
        <v>3.02</v>
      </c>
      <c r="P623" s="409">
        <v>3</v>
      </c>
      <c r="Q623" s="417">
        <v>13</v>
      </c>
      <c r="R623" s="415">
        <v>15</v>
      </c>
      <c r="S623" s="417">
        <v>15</v>
      </c>
      <c r="T623" s="417">
        <v>15</v>
      </c>
      <c r="U623" s="417">
        <v>15</v>
      </c>
      <c r="V623" s="417">
        <v>15</v>
      </c>
      <c r="W623" s="417">
        <v>15</v>
      </c>
      <c r="X623" s="417">
        <v>15</v>
      </c>
      <c r="Y623" s="417">
        <v>15</v>
      </c>
      <c r="Z623" s="417">
        <v>15</v>
      </c>
      <c r="AA623" s="417">
        <v>15</v>
      </c>
      <c r="AB623" s="417">
        <v>15</v>
      </c>
      <c r="AC623" s="417">
        <v>15</v>
      </c>
      <c r="AD623" s="417">
        <v>15</v>
      </c>
      <c r="AE623" s="417">
        <v>15</v>
      </c>
      <c r="AF623" s="1368">
        <v>13.03</v>
      </c>
    </row>
    <row r="624" spans="1:34">
      <c r="A624" s="1251">
        <v>2</v>
      </c>
      <c r="B624" s="409">
        <v>2</v>
      </c>
      <c r="C624" s="409">
        <v>2</v>
      </c>
      <c r="D624" s="409">
        <v>2</v>
      </c>
      <c r="E624" s="420">
        <v>2</v>
      </c>
      <c r="F624" s="409">
        <v>2</v>
      </c>
      <c r="G624" s="409">
        <v>2</v>
      </c>
      <c r="H624" s="409">
        <v>2</v>
      </c>
      <c r="I624" s="420">
        <v>2</v>
      </c>
      <c r="J624" s="409">
        <v>2</v>
      </c>
      <c r="K624" s="409">
        <v>2</v>
      </c>
      <c r="L624" s="409">
        <v>2</v>
      </c>
      <c r="M624" s="420">
        <v>2</v>
      </c>
      <c r="N624" s="409">
        <v>2</v>
      </c>
      <c r="O624" s="409">
        <v>2</v>
      </c>
      <c r="P624" s="420">
        <v>2</v>
      </c>
      <c r="Q624" s="417">
        <v>14</v>
      </c>
      <c r="R624" s="422">
        <v>14.02</v>
      </c>
      <c r="S624" s="422">
        <v>13.03</v>
      </c>
      <c r="T624" s="422">
        <v>14.02</v>
      </c>
      <c r="U624" s="417">
        <v>14.02</v>
      </c>
      <c r="V624" s="422">
        <v>14.02</v>
      </c>
      <c r="W624" s="422">
        <v>13.03</v>
      </c>
      <c r="X624" s="422">
        <v>14.02</v>
      </c>
      <c r="Y624" s="417">
        <v>14.02</v>
      </c>
      <c r="Z624" s="422">
        <v>14.02</v>
      </c>
      <c r="AA624" s="422">
        <v>13.03</v>
      </c>
      <c r="AB624" s="422">
        <v>14.02</v>
      </c>
      <c r="AC624" s="417">
        <v>14.02</v>
      </c>
      <c r="AD624" s="422">
        <v>14.02</v>
      </c>
      <c r="AE624" s="422">
        <v>14.02</v>
      </c>
      <c r="AF624" s="1370">
        <v>14.02</v>
      </c>
    </row>
    <row r="625" spans="1:32">
      <c r="A625" s="491">
        <v>31.01</v>
      </c>
      <c r="B625" s="420">
        <v>31.01</v>
      </c>
      <c r="C625" s="420">
        <v>30.02</v>
      </c>
      <c r="D625" s="420">
        <v>31.01</v>
      </c>
      <c r="E625" s="415">
        <v>31.01</v>
      </c>
      <c r="F625" s="420">
        <v>31.01</v>
      </c>
      <c r="G625" s="420">
        <v>30.02</v>
      </c>
      <c r="H625" s="420">
        <v>31.01</v>
      </c>
      <c r="I625" s="415">
        <v>31.01</v>
      </c>
      <c r="J625" s="420">
        <v>31.01</v>
      </c>
      <c r="K625" s="420">
        <v>30.02</v>
      </c>
      <c r="L625" s="420">
        <v>31.01</v>
      </c>
      <c r="M625" s="415">
        <v>31.01</v>
      </c>
      <c r="N625" s="420">
        <v>31.01</v>
      </c>
      <c r="O625" s="420">
        <v>30.02</v>
      </c>
      <c r="P625" s="420">
        <v>31.01</v>
      </c>
      <c r="Q625" s="415">
        <v>15.02</v>
      </c>
      <c r="R625" s="420">
        <v>15.02</v>
      </c>
      <c r="S625" s="420">
        <v>14.03</v>
      </c>
      <c r="T625" s="420">
        <v>15.02</v>
      </c>
      <c r="U625" s="415">
        <v>15.02</v>
      </c>
      <c r="V625" s="420">
        <v>15.02</v>
      </c>
      <c r="W625" s="420">
        <v>14.03</v>
      </c>
      <c r="X625" s="420">
        <v>15.02</v>
      </c>
      <c r="Y625" s="415">
        <v>15.02</v>
      </c>
      <c r="Z625" s="420">
        <v>15.02</v>
      </c>
      <c r="AA625" s="420">
        <v>14.03</v>
      </c>
      <c r="AB625" s="420">
        <v>15.02</v>
      </c>
      <c r="AC625" s="415">
        <v>15.02</v>
      </c>
      <c r="AD625" s="420">
        <v>15.02</v>
      </c>
      <c r="AE625" s="420">
        <v>15.02</v>
      </c>
      <c r="AF625" s="1281">
        <v>15.02</v>
      </c>
    </row>
    <row r="626" spans="1:32">
      <c r="A626" s="1251">
        <v>31.01</v>
      </c>
      <c r="B626" s="415">
        <v>32</v>
      </c>
      <c r="C626" s="415">
        <v>32</v>
      </c>
      <c r="D626" s="415">
        <v>32</v>
      </c>
      <c r="E626" s="415">
        <v>32</v>
      </c>
      <c r="F626" s="415">
        <v>32</v>
      </c>
      <c r="G626" s="415">
        <v>32</v>
      </c>
      <c r="H626" s="415">
        <v>32</v>
      </c>
      <c r="I626" s="415">
        <v>32</v>
      </c>
      <c r="J626" s="415">
        <v>32</v>
      </c>
      <c r="K626" s="415">
        <v>32</v>
      </c>
      <c r="L626" s="415">
        <v>32</v>
      </c>
      <c r="M626" s="415">
        <v>32</v>
      </c>
      <c r="N626" s="415">
        <v>32</v>
      </c>
      <c r="O626" s="420">
        <v>32</v>
      </c>
      <c r="P626" s="409">
        <v>31.01</v>
      </c>
      <c r="Q626" s="420">
        <v>15.02</v>
      </c>
      <c r="R626" s="415">
        <v>16</v>
      </c>
      <c r="S626" s="415">
        <v>16</v>
      </c>
      <c r="T626" s="415">
        <v>16</v>
      </c>
      <c r="U626" s="415">
        <v>16</v>
      </c>
      <c r="V626" s="415">
        <v>16</v>
      </c>
      <c r="W626" s="415">
        <v>16</v>
      </c>
      <c r="X626" s="415">
        <v>16</v>
      </c>
      <c r="Y626" s="415">
        <v>16</v>
      </c>
      <c r="Z626" s="415">
        <v>16</v>
      </c>
      <c r="AA626" s="415">
        <v>16</v>
      </c>
      <c r="AB626" s="415">
        <v>16</v>
      </c>
      <c r="AC626" s="415">
        <v>16</v>
      </c>
      <c r="AD626" s="415">
        <v>16</v>
      </c>
      <c r="AE626" s="415">
        <v>16</v>
      </c>
      <c r="AF626" s="1734">
        <v>15.02</v>
      </c>
    </row>
    <row r="627" spans="1:32">
      <c r="A627" s="1251">
        <v>30.02</v>
      </c>
      <c r="B627" s="415">
        <v>32</v>
      </c>
      <c r="C627" s="328"/>
      <c r="D627" s="328"/>
      <c r="E627" s="328"/>
      <c r="F627" s="328"/>
      <c r="G627" s="328"/>
      <c r="H627" s="328"/>
      <c r="I627" s="328"/>
      <c r="J627" s="328"/>
      <c r="K627" s="328"/>
      <c r="L627" s="328"/>
      <c r="M627" s="328"/>
      <c r="N627" s="328"/>
      <c r="O627" s="420">
        <v>32</v>
      </c>
      <c r="P627" s="409">
        <v>30.02</v>
      </c>
      <c r="Q627" s="420">
        <v>14.03</v>
      </c>
      <c r="R627" s="415">
        <v>16</v>
      </c>
      <c r="S627" s="409">
        <v>16.149999999999999</v>
      </c>
      <c r="T627" s="409">
        <v>16.149999999999999</v>
      </c>
      <c r="U627" s="409">
        <v>16.149999999999999</v>
      </c>
      <c r="V627" s="415">
        <v>16.149999999999999</v>
      </c>
      <c r="W627" s="409">
        <v>16.149999999999999</v>
      </c>
      <c r="X627" s="409">
        <v>16.149999999999999</v>
      </c>
      <c r="Y627" s="409">
        <v>16.149999999999999</v>
      </c>
      <c r="Z627" s="409">
        <v>16.149999999999999</v>
      </c>
      <c r="AA627" s="415">
        <v>16.149999999999999</v>
      </c>
      <c r="AB627" s="409">
        <v>16.149999999999999</v>
      </c>
      <c r="AC627" s="409">
        <v>16.149999999999999</v>
      </c>
      <c r="AD627" s="420">
        <v>16.149999999999999</v>
      </c>
      <c r="AE627" s="420">
        <v>16</v>
      </c>
      <c r="AF627" s="1734">
        <v>14.03</v>
      </c>
    </row>
    <row r="628" spans="1:32">
      <c r="A628" s="1251">
        <v>31.01</v>
      </c>
      <c r="B628" s="415">
        <v>32</v>
      </c>
      <c r="C628" s="328"/>
      <c r="D628" s="328"/>
      <c r="E628" s="328"/>
      <c r="F628" s="328"/>
      <c r="G628" s="328"/>
      <c r="H628" s="328"/>
      <c r="I628" s="328"/>
      <c r="J628" s="328"/>
      <c r="K628" s="328"/>
      <c r="L628" s="328"/>
      <c r="M628" s="328"/>
      <c r="N628" s="328"/>
      <c r="O628" s="420">
        <v>32</v>
      </c>
      <c r="P628" s="409">
        <v>31.01</v>
      </c>
      <c r="Q628" s="420">
        <v>15.02</v>
      </c>
      <c r="R628" s="415">
        <v>16</v>
      </c>
      <c r="S628" s="409">
        <v>16.149999999999999</v>
      </c>
      <c r="T628" s="409">
        <v>16.149999999999999</v>
      </c>
      <c r="U628" s="409">
        <v>16.149999999999999</v>
      </c>
      <c r="V628" s="415">
        <v>16.149999999999999</v>
      </c>
      <c r="W628" s="409">
        <v>16.149999999999999</v>
      </c>
      <c r="X628" s="409">
        <v>16.149999999999999</v>
      </c>
      <c r="Y628" s="409">
        <v>16.149999999999999</v>
      </c>
      <c r="Z628" s="415">
        <v>16.149999999999999</v>
      </c>
      <c r="AA628" s="409">
        <v>16.149999999999999</v>
      </c>
      <c r="AB628" s="409">
        <v>16.149999999999999</v>
      </c>
      <c r="AC628" s="415">
        <v>16.149999999999999</v>
      </c>
      <c r="AD628" s="409">
        <v>16.149999999999999</v>
      </c>
      <c r="AE628" s="420">
        <v>16</v>
      </c>
      <c r="AF628" s="1734">
        <v>15.02</v>
      </c>
    </row>
    <row r="629" spans="1:32">
      <c r="A629" s="491">
        <v>31.01</v>
      </c>
      <c r="B629" s="415">
        <v>32</v>
      </c>
      <c r="C629" s="328"/>
      <c r="D629" s="328"/>
      <c r="E629" s="328"/>
      <c r="F629" s="328"/>
      <c r="G629" s="328"/>
      <c r="H629" s="328"/>
      <c r="I629" s="328"/>
      <c r="J629" s="328"/>
      <c r="K629" s="328"/>
      <c r="L629" s="328"/>
      <c r="M629" s="328"/>
      <c r="N629" s="328"/>
      <c r="O629" s="420">
        <v>32</v>
      </c>
      <c r="P629" s="420">
        <v>31.01</v>
      </c>
      <c r="Q629" s="415">
        <v>15.02</v>
      </c>
      <c r="R629" s="415">
        <v>16</v>
      </c>
      <c r="S629" s="409">
        <v>16.149999999999999</v>
      </c>
      <c r="T629" s="409">
        <v>16.149999999999999</v>
      </c>
      <c r="U629" s="409">
        <v>16.149999999999999</v>
      </c>
      <c r="V629" s="415">
        <v>16.149999999999999</v>
      </c>
      <c r="W629" s="409">
        <v>16.149999999999999</v>
      </c>
      <c r="X629" s="409">
        <v>16.149999999999999</v>
      </c>
      <c r="Y629" s="415">
        <v>16.149999999999999</v>
      </c>
      <c r="Z629" s="409">
        <v>16.149999999999999</v>
      </c>
      <c r="AA629" s="409">
        <v>16.149999999999999</v>
      </c>
      <c r="AB629" s="409">
        <v>16.149999999999999</v>
      </c>
      <c r="AC629" s="409">
        <v>16.149999999999999</v>
      </c>
      <c r="AD629" s="409">
        <v>16.149999999999999</v>
      </c>
      <c r="AE629" s="420">
        <v>16</v>
      </c>
      <c r="AF629" s="1281">
        <v>15.02</v>
      </c>
    </row>
    <row r="630" spans="1:32">
      <c r="A630" s="1251">
        <v>31.01</v>
      </c>
      <c r="B630" s="415">
        <v>32</v>
      </c>
      <c r="C630" s="328"/>
      <c r="D630" s="328"/>
      <c r="E630" s="328"/>
      <c r="F630" s="328"/>
      <c r="G630" s="328"/>
      <c r="H630" s="328"/>
      <c r="I630" s="328"/>
      <c r="J630" s="328"/>
      <c r="K630" s="328"/>
      <c r="L630" s="328"/>
      <c r="M630" s="328"/>
      <c r="N630" s="328"/>
      <c r="O630" s="420">
        <v>32</v>
      </c>
      <c r="P630" s="409">
        <v>31.01</v>
      </c>
      <c r="Q630" s="420">
        <v>15.02</v>
      </c>
      <c r="R630" s="415">
        <v>16</v>
      </c>
      <c r="S630" s="409">
        <v>16.149999999999999</v>
      </c>
      <c r="T630" s="409">
        <v>16.149999999999999</v>
      </c>
      <c r="U630" s="409">
        <v>16.149999999999999</v>
      </c>
      <c r="V630" s="415">
        <v>16.149999999999999</v>
      </c>
      <c r="W630" s="409">
        <v>16.149999999999999</v>
      </c>
      <c r="X630" s="415">
        <v>16.149999999999999</v>
      </c>
      <c r="Y630" s="409">
        <v>16.149999999999999</v>
      </c>
      <c r="Z630" s="409">
        <v>16.149999999999999</v>
      </c>
      <c r="AA630" s="409">
        <v>16.149999999999999</v>
      </c>
      <c r="AB630" s="409">
        <v>16.149999999999999</v>
      </c>
      <c r="AC630" s="409">
        <v>16.149999999999999</v>
      </c>
      <c r="AD630" s="415">
        <v>16.149999999999999</v>
      </c>
      <c r="AE630" s="420">
        <v>16</v>
      </c>
      <c r="AF630" s="1734">
        <v>15.02</v>
      </c>
    </row>
    <row r="631" spans="1:32">
      <c r="A631" s="1251">
        <v>30.02</v>
      </c>
      <c r="B631" s="415">
        <v>32</v>
      </c>
      <c r="C631" s="328"/>
      <c r="D631" s="328"/>
      <c r="E631" s="328"/>
      <c r="F631" s="328"/>
      <c r="G631" s="328"/>
      <c r="H631" s="328"/>
      <c r="I631" s="328"/>
      <c r="J631" s="328"/>
      <c r="K631" s="328"/>
      <c r="L631" s="328"/>
      <c r="M631" s="328"/>
      <c r="N631" s="328"/>
      <c r="O631" s="420">
        <v>32</v>
      </c>
      <c r="P631" s="409">
        <v>30.02</v>
      </c>
      <c r="Q631" s="420">
        <v>14.03</v>
      </c>
      <c r="R631" s="415">
        <v>16</v>
      </c>
      <c r="S631" s="409">
        <v>16.149999999999999</v>
      </c>
      <c r="T631" s="409">
        <v>16.149999999999999</v>
      </c>
      <c r="U631" s="409">
        <v>16.149999999999999</v>
      </c>
      <c r="V631" s="415">
        <v>16.149999999999999</v>
      </c>
      <c r="W631" s="415">
        <v>16.149999999999999</v>
      </c>
      <c r="X631" s="409">
        <v>16.149999999999999</v>
      </c>
      <c r="Y631" s="409">
        <v>16.149999999999999</v>
      </c>
      <c r="Z631" s="409">
        <v>16.149999999999999</v>
      </c>
      <c r="AA631" s="409">
        <v>16.149999999999999</v>
      </c>
      <c r="AB631" s="409">
        <v>16.149999999999999</v>
      </c>
      <c r="AC631" s="415">
        <v>16.149999999999999</v>
      </c>
      <c r="AD631" s="409">
        <v>16.149999999999999</v>
      </c>
      <c r="AE631" s="420">
        <v>16</v>
      </c>
      <c r="AF631" s="1734">
        <v>14.03</v>
      </c>
    </row>
    <row r="632" spans="1:32">
      <c r="A632" s="1251">
        <v>31.01</v>
      </c>
      <c r="B632" s="415">
        <v>32</v>
      </c>
      <c r="C632" s="328"/>
      <c r="D632" s="328"/>
      <c r="E632" s="328"/>
      <c r="F632" s="328"/>
      <c r="G632" s="328"/>
      <c r="H632" s="328"/>
      <c r="I632" s="328"/>
      <c r="J632" s="328"/>
      <c r="K632" s="328"/>
      <c r="L632" s="328"/>
      <c r="M632" s="328"/>
      <c r="N632" s="328"/>
      <c r="O632" s="420">
        <v>32</v>
      </c>
      <c r="P632" s="409">
        <v>31.01</v>
      </c>
      <c r="Q632" s="420">
        <v>15.02</v>
      </c>
      <c r="R632" s="415">
        <v>16</v>
      </c>
      <c r="S632" s="409">
        <v>16.149999999999999</v>
      </c>
      <c r="T632" s="409">
        <v>16.149999999999999</v>
      </c>
      <c r="U632" s="409">
        <v>16.149999999999999</v>
      </c>
      <c r="V632" s="415">
        <v>16.149999999999999</v>
      </c>
      <c r="W632" s="409">
        <v>16.149999999999999</v>
      </c>
      <c r="X632" s="409">
        <v>16.149999999999999</v>
      </c>
      <c r="Y632" s="409">
        <v>16.149999999999999</v>
      </c>
      <c r="Z632" s="409">
        <v>16.149999999999999</v>
      </c>
      <c r="AA632" s="409">
        <v>16.149999999999999</v>
      </c>
      <c r="AB632" s="415">
        <v>16.149999999999999</v>
      </c>
      <c r="AC632" s="409">
        <v>16.149999999999999</v>
      </c>
      <c r="AD632" s="409">
        <v>16.149999999999999</v>
      </c>
      <c r="AE632" s="420">
        <v>16</v>
      </c>
      <c r="AF632" s="1734">
        <v>15.02</v>
      </c>
    </row>
    <row r="633" spans="1:32">
      <c r="A633" s="491">
        <v>31.01</v>
      </c>
      <c r="B633" s="415">
        <v>32</v>
      </c>
      <c r="C633" s="328"/>
      <c r="D633" s="328"/>
      <c r="E633" s="328"/>
      <c r="F633" s="328"/>
      <c r="G633" s="328"/>
      <c r="H633" s="328"/>
      <c r="I633" s="328"/>
      <c r="J633" s="328"/>
      <c r="K633" s="328"/>
      <c r="L633" s="328"/>
      <c r="M633" s="328"/>
      <c r="N633" s="328"/>
      <c r="O633" s="420">
        <v>32</v>
      </c>
      <c r="P633" s="420">
        <v>31.01</v>
      </c>
      <c r="Q633" s="415">
        <v>15.02</v>
      </c>
      <c r="R633" s="415">
        <v>16</v>
      </c>
      <c r="S633" s="409">
        <v>16.149999999999999</v>
      </c>
      <c r="T633" s="409">
        <v>16.149999999999999</v>
      </c>
      <c r="U633" s="415">
        <v>16.149999999999999</v>
      </c>
      <c r="V633" s="409">
        <v>16.149999999999999</v>
      </c>
      <c r="W633" s="409">
        <v>16.149999999999999</v>
      </c>
      <c r="X633" s="409">
        <v>16.149999999999999</v>
      </c>
      <c r="Y633" s="409">
        <v>16.149999999999999</v>
      </c>
      <c r="Z633" s="409">
        <v>16.149999999999999</v>
      </c>
      <c r="AA633" s="415">
        <v>16.149999999999999</v>
      </c>
      <c r="AB633" s="409">
        <v>16.149999999999999</v>
      </c>
      <c r="AC633" s="409">
        <v>16.149999999999999</v>
      </c>
      <c r="AD633" s="409">
        <v>16.149999999999999</v>
      </c>
      <c r="AE633" s="420">
        <v>16</v>
      </c>
      <c r="AF633" s="1281">
        <v>15.02</v>
      </c>
    </row>
    <row r="634" spans="1:32">
      <c r="A634" s="1251">
        <v>31.01</v>
      </c>
      <c r="B634" s="415">
        <v>32</v>
      </c>
      <c r="C634" s="328"/>
      <c r="D634" s="328"/>
      <c r="E634" s="328"/>
      <c r="F634" s="328"/>
      <c r="G634" s="328"/>
      <c r="H634" s="328"/>
      <c r="I634" s="328"/>
      <c r="J634" s="328"/>
      <c r="K634" s="328"/>
      <c r="L634" s="328"/>
      <c r="M634" s="328"/>
      <c r="N634" s="328"/>
      <c r="O634" s="420">
        <v>32</v>
      </c>
      <c r="P634" s="409">
        <v>31.01</v>
      </c>
      <c r="Q634" s="420">
        <v>15.02</v>
      </c>
      <c r="R634" s="415">
        <v>16</v>
      </c>
      <c r="S634" s="409">
        <v>16.149999999999999</v>
      </c>
      <c r="T634" s="415">
        <v>16.149999999999999</v>
      </c>
      <c r="U634" s="409">
        <v>16.149999999999999</v>
      </c>
      <c r="V634" s="409">
        <v>16.149999999999999</v>
      </c>
      <c r="W634" s="409">
        <v>16.149999999999999</v>
      </c>
      <c r="X634" s="409">
        <v>16.149999999999999</v>
      </c>
      <c r="Y634" s="409">
        <v>16.149999999999999</v>
      </c>
      <c r="Z634" s="415">
        <v>16.149999999999999</v>
      </c>
      <c r="AA634" s="415">
        <v>16.149999999999999</v>
      </c>
      <c r="AB634" s="409">
        <v>16.149999999999999</v>
      </c>
      <c r="AC634" s="409">
        <v>16.149999999999999</v>
      </c>
      <c r="AD634" s="409">
        <v>16.149999999999999</v>
      </c>
      <c r="AE634" s="420">
        <v>16</v>
      </c>
      <c r="AF634" s="1734">
        <v>15.02</v>
      </c>
    </row>
    <row r="635" spans="1:32">
      <c r="A635" s="1251">
        <v>30.02</v>
      </c>
      <c r="B635" s="415">
        <v>32</v>
      </c>
      <c r="C635" s="328"/>
      <c r="D635" s="328"/>
      <c r="E635" s="328"/>
      <c r="F635" s="328"/>
      <c r="G635" s="328"/>
      <c r="H635" s="328"/>
      <c r="I635" s="328"/>
      <c r="J635" s="328"/>
      <c r="K635" s="328"/>
      <c r="L635" s="328"/>
      <c r="M635" s="328"/>
      <c r="N635" s="328"/>
      <c r="O635" s="420">
        <v>32</v>
      </c>
      <c r="P635" s="409">
        <v>30.02</v>
      </c>
      <c r="Q635" s="420">
        <v>14.03</v>
      </c>
      <c r="R635" s="415">
        <v>16</v>
      </c>
      <c r="S635" s="415">
        <v>16.149999999999999</v>
      </c>
      <c r="T635" s="409">
        <v>16.149999999999999</v>
      </c>
      <c r="U635" s="409">
        <v>16.149999999999999</v>
      </c>
      <c r="V635" s="409">
        <v>16.149999999999999</v>
      </c>
      <c r="W635" s="409">
        <v>16.149999999999999</v>
      </c>
      <c r="X635" s="409">
        <v>16.149999999999999</v>
      </c>
      <c r="Y635" s="415">
        <v>16.149999999999999</v>
      </c>
      <c r="Z635" s="409">
        <v>16.149999999999999</v>
      </c>
      <c r="AA635" s="415">
        <v>16.149999999999999</v>
      </c>
      <c r="AB635" s="409">
        <v>16.149999999999999</v>
      </c>
      <c r="AC635" s="409">
        <v>16.149999999999999</v>
      </c>
      <c r="AD635" s="409">
        <v>16.149999999999999</v>
      </c>
      <c r="AE635" s="420">
        <v>16</v>
      </c>
      <c r="AF635" s="1734">
        <v>14.03</v>
      </c>
    </row>
    <row r="636" spans="1:32">
      <c r="A636" s="1251">
        <v>31.01</v>
      </c>
      <c r="B636" s="415">
        <v>32</v>
      </c>
      <c r="C636" s="328"/>
      <c r="D636" s="328"/>
      <c r="E636" s="328"/>
      <c r="F636" s="328"/>
      <c r="G636" s="328"/>
      <c r="H636" s="328"/>
      <c r="I636" s="328"/>
      <c r="J636" s="328"/>
      <c r="K636" s="328"/>
      <c r="L636" s="328"/>
      <c r="M636" s="328"/>
      <c r="N636" s="328"/>
      <c r="O636" s="420">
        <v>32</v>
      </c>
      <c r="P636" s="409">
        <v>31.01</v>
      </c>
      <c r="Q636" s="420">
        <v>15.02</v>
      </c>
      <c r="R636" s="415">
        <v>16</v>
      </c>
      <c r="S636" s="409">
        <v>16.149999999999999</v>
      </c>
      <c r="T636" s="409">
        <v>16.149999999999999</v>
      </c>
      <c r="U636" s="409">
        <v>16.149999999999999</v>
      </c>
      <c r="V636" s="409">
        <v>16.149999999999999</v>
      </c>
      <c r="W636" s="409">
        <v>16.149999999999999</v>
      </c>
      <c r="X636" s="415">
        <v>16.149999999999999</v>
      </c>
      <c r="Y636" s="409">
        <v>16.149999999999999</v>
      </c>
      <c r="Z636" s="409">
        <v>16.149999999999999</v>
      </c>
      <c r="AA636" s="415">
        <v>16.149999999999999</v>
      </c>
      <c r="AB636" s="409">
        <v>16.149999999999999</v>
      </c>
      <c r="AC636" s="409">
        <v>16.149999999999999</v>
      </c>
      <c r="AD636" s="409">
        <v>16.149999999999999</v>
      </c>
      <c r="AE636" s="420">
        <v>16</v>
      </c>
      <c r="AF636" s="1734">
        <v>15.02</v>
      </c>
    </row>
    <row r="637" spans="1:32">
      <c r="A637" s="491">
        <v>31.01</v>
      </c>
      <c r="B637" s="415">
        <v>32</v>
      </c>
      <c r="C637" s="328"/>
      <c r="D637" s="328"/>
      <c r="E637" s="328"/>
      <c r="F637" s="328"/>
      <c r="G637" s="328"/>
      <c r="H637" s="328"/>
      <c r="I637" s="328"/>
      <c r="J637" s="328"/>
      <c r="K637" s="328"/>
      <c r="L637" s="328"/>
      <c r="M637" s="328"/>
      <c r="N637" s="328"/>
      <c r="O637" s="420">
        <v>32</v>
      </c>
      <c r="P637" s="420">
        <v>31.01</v>
      </c>
      <c r="Q637" s="415">
        <v>15.02</v>
      </c>
      <c r="R637" s="415">
        <v>16</v>
      </c>
      <c r="S637" s="409">
        <v>16.149999999999999</v>
      </c>
      <c r="T637" s="415">
        <v>16.149999999999999</v>
      </c>
      <c r="U637" s="409">
        <v>16.149999999999999</v>
      </c>
      <c r="V637" s="409">
        <v>16.149999999999999</v>
      </c>
      <c r="W637" s="415">
        <v>16.149999999999999</v>
      </c>
      <c r="X637" s="409">
        <v>16.149999999999999</v>
      </c>
      <c r="Y637" s="409">
        <v>16.149999999999999</v>
      </c>
      <c r="Z637" s="409">
        <v>16.149999999999999</v>
      </c>
      <c r="AA637" s="415">
        <v>16.149999999999999</v>
      </c>
      <c r="AB637" s="409">
        <v>16.149999999999999</v>
      </c>
      <c r="AC637" s="409">
        <v>16.149999999999999</v>
      </c>
      <c r="AD637" s="409">
        <v>16.149999999999999</v>
      </c>
      <c r="AE637" s="420">
        <v>16</v>
      </c>
      <c r="AF637" s="1281">
        <v>15.02</v>
      </c>
    </row>
    <row r="638" spans="1:32">
      <c r="A638" s="1251">
        <v>31.01</v>
      </c>
      <c r="B638" s="415">
        <v>32</v>
      </c>
      <c r="C638" s="328"/>
      <c r="D638" s="328"/>
      <c r="E638" s="328"/>
      <c r="F638" s="328"/>
      <c r="G638" s="328"/>
      <c r="H638" s="328"/>
      <c r="I638" s="328"/>
      <c r="J638" s="328"/>
      <c r="K638" s="328"/>
      <c r="L638" s="328"/>
      <c r="M638" s="328"/>
      <c r="N638" s="328"/>
      <c r="O638" s="420">
        <v>32</v>
      </c>
      <c r="P638" s="409">
        <v>31.01</v>
      </c>
      <c r="Q638" s="420">
        <v>15.02</v>
      </c>
      <c r="R638" s="415">
        <v>16</v>
      </c>
      <c r="S638" s="415">
        <v>16.149999999999999</v>
      </c>
      <c r="T638" s="409">
        <v>16.149999999999999</v>
      </c>
      <c r="U638" s="409">
        <v>16.149999999999999</v>
      </c>
      <c r="V638" s="415">
        <v>16.149999999999999</v>
      </c>
      <c r="W638" s="409">
        <v>16.149999999999999</v>
      </c>
      <c r="X638" s="409">
        <v>16.149999999999999</v>
      </c>
      <c r="Y638" s="409">
        <v>16.149999999999999</v>
      </c>
      <c r="Z638" s="409">
        <v>16.149999999999999</v>
      </c>
      <c r="AA638" s="415">
        <v>16.149999999999999</v>
      </c>
      <c r="AB638" s="409">
        <v>16.149999999999999</v>
      </c>
      <c r="AC638" s="409">
        <v>16.149999999999999</v>
      </c>
      <c r="AD638" s="409">
        <v>16.149999999999999</v>
      </c>
      <c r="AE638" s="420">
        <v>16</v>
      </c>
      <c r="AF638" s="1734">
        <v>15.02</v>
      </c>
    </row>
    <row r="639" spans="1:32">
      <c r="A639" s="1251">
        <v>30.02</v>
      </c>
      <c r="B639" s="415">
        <v>32</v>
      </c>
      <c r="C639" s="420">
        <v>32</v>
      </c>
      <c r="D639" s="420">
        <v>32</v>
      </c>
      <c r="E639" s="420">
        <v>32</v>
      </c>
      <c r="F639" s="420">
        <v>32</v>
      </c>
      <c r="G639" s="420">
        <v>32</v>
      </c>
      <c r="H639" s="420">
        <v>32</v>
      </c>
      <c r="I639" s="420">
        <v>32</v>
      </c>
      <c r="J639" s="420">
        <v>32</v>
      </c>
      <c r="K639" s="420">
        <v>32</v>
      </c>
      <c r="L639" s="420">
        <v>32</v>
      </c>
      <c r="M639" s="420">
        <v>32</v>
      </c>
      <c r="N639" s="420">
        <v>32</v>
      </c>
      <c r="O639" s="420">
        <v>32</v>
      </c>
      <c r="P639" s="409">
        <v>30.02</v>
      </c>
      <c r="Q639" s="420">
        <v>14.03</v>
      </c>
      <c r="R639" s="415">
        <v>16</v>
      </c>
      <c r="S639" s="420">
        <v>16</v>
      </c>
      <c r="T639" s="420">
        <v>16</v>
      </c>
      <c r="U639" s="420">
        <v>16</v>
      </c>
      <c r="V639" s="420">
        <v>16</v>
      </c>
      <c r="W639" s="420">
        <v>16</v>
      </c>
      <c r="X639" s="420">
        <v>16</v>
      </c>
      <c r="Y639" s="420">
        <v>16</v>
      </c>
      <c r="Z639" s="420">
        <v>16</v>
      </c>
      <c r="AA639" s="420">
        <v>16</v>
      </c>
      <c r="AB639" s="420">
        <v>16</v>
      </c>
      <c r="AC639" s="420">
        <v>16</v>
      </c>
      <c r="AD639" s="420">
        <v>16</v>
      </c>
      <c r="AE639" s="420">
        <v>16</v>
      </c>
      <c r="AF639" s="1734">
        <v>14.03</v>
      </c>
    </row>
    <row r="640" spans="1:32">
      <c r="A640" s="1251">
        <v>31.01</v>
      </c>
      <c r="B640" s="409">
        <v>31.01</v>
      </c>
      <c r="C640" s="409">
        <v>30.02</v>
      </c>
      <c r="D640" s="409">
        <v>31.01</v>
      </c>
      <c r="E640" s="420">
        <v>31.01</v>
      </c>
      <c r="F640" s="409">
        <v>31.01</v>
      </c>
      <c r="G640" s="409">
        <v>30.02</v>
      </c>
      <c r="H640" s="409">
        <v>31.01</v>
      </c>
      <c r="I640" s="420">
        <v>31.01</v>
      </c>
      <c r="J640" s="409">
        <v>31.01</v>
      </c>
      <c r="K640" s="409">
        <v>30.02</v>
      </c>
      <c r="L640" s="409">
        <v>31.01</v>
      </c>
      <c r="M640" s="420">
        <v>31.01</v>
      </c>
      <c r="N640" s="409">
        <v>31.01</v>
      </c>
      <c r="O640" s="409">
        <v>30.02</v>
      </c>
      <c r="P640" s="420">
        <v>31.01</v>
      </c>
      <c r="Q640" s="420">
        <v>15.02</v>
      </c>
      <c r="R640" s="409">
        <v>15.02</v>
      </c>
      <c r="S640" s="409">
        <v>14.03</v>
      </c>
      <c r="T640" s="409">
        <v>15.02</v>
      </c>
      <c r="U640" s="420">
        <v>15.02</v>
      </c>
      <c r="V640" s="409">
        <v>15.02</v>
      </c>
      <c r="W640" s="409">
        <v>14.03</v>
      </c>
      <c r="X640" s="409">
        <v>15.02</v>
      </c>
      <c r="Y640" s="420">
        <v>15.02</v>
      </c>
      <c r="Z640" s="409">
        <v>15.02</v>
      </c>
      <c r="AA640" s="409">
        <v>14.03</v>
      </c>
      <c r="AB640" s="409">
        <v>15.02</v>
      </c>
      <c r="AC640" s="420">
        <v>15.02</v>
      </c>
      <c r="AD640" s="409">
        <v>15.02</v>
      </c>
      <c r="AE640" s="409">
        <v>15.02</v>
      </c>
      <c r="AF640" s="1281">
        <v>15.02</v>
      </c>
    </row>
    <row r="641" spans="1:34">
      <c r="A641" s="1249">
        <v>1</v>
      </c>
      <c r="B641" s="1250">
        <v>1</v>
      </c>
      <c r="C641" s="1250">
        <v>1</v>
      </c>
      <c r="D641" s="1250">
        <v>1</v>
      </c>
      <c r="E641" s="490">
        <v>1</v>
      </c>
      <c r="F641" s="1250">
        <v>1</v>
      </c>
      <c r="G641" s="1250">
        <v>1</v>
      </c>
      <c r="H641" s="1250">
        <v>1</v>
      </c>
      <c r="I641" s="490">
        <v>1</v>
      </c>
      <c r="J641" s="1250">
        <v>1</v>
      </c>
      <c r="K641" s="1250">
        <v>1</v>
      </c>
      <c r="L641" s="1250">
        <v>1</v>
      </c>
      <c r="M641" s="490">
        <v>1</v>
      </c>
      <c r="N641" s="1250">
        <v>1</v>
      </c>
      <c r="O641" s="1250">
        <v>1</v>
      </c>
      <c r="P641" s="1250">
        <v>1</v>
      </c>
      <c r="Q641" s="490">
        <v>31.01</v>
      </c>
      <c r="R641" s="1250">
        <v>31.01</v>
      </c>
      <c r="S641" s="1250">
        <v>30.02</v>
      </c>
      <c r="T641" s="1250">
        <v>31.01</v>
      </c>
      <c r="U641" s="490">
        <v>31.01</v>
      </c>
      <c r="V641" s="1250">
        <v>31.01</v>
      </c>
      <c r="W641" s="1250">
        <v>30.02</v>
      </c>
      <c r="X641" s="1250">
        <v>31.01</v>
      </c>
      <c r="Y641" s="490">
        <v>31.01</v>
      </c>
      <c r="Z641" s="1250">
        <v>31.01</v>
      </c>
      <c r="AA641" s="1250">
        <v>30.02</v>
      </c>
      <c r="AB641" s="1250">
        <v>31.01</v>
      </c>
      <c r="AC641" s="490">
        <v>31.01</v>
      </c>
      <c r="AD641" s="1250">
        <v>31.01</v>
      </c>
      <c r="AE641" s="1250">
        <v>30.02</v>
      </c>
      <c r="AF641" s="3827">
        <v>31.01</v>
      </c>
      <c r="AG641">
        <v>21</v>
      </c>
    </row>
    <row r="642" spans="1:34">
      <c r="A642" s="1251">
        <v>1</v>
      </c>
      <c r="B642" s="415">
        <v>1</v>
      </c>
      <c r="C642" s="415">
        <v>1</v>
      </c>
      <c r="D642" s="415">
        <v>1</v>
      </c>
      <c r="E642" s="415">
        <v>1</v>
      </c>
      <c r="F642" s="415">
        <v>1</v>
      </c>
      <c r="G642" s="415">
        <v>1</v>
      </c>
      <c r="H642" s="415">
        <v>1</v>
      </c>
      <c r="I642" s="415">
        <v>1</v>
      </c>
      <c r="J642" s="415">
        <v>1</v>
      </c>
      <c r="K642" s="415">
        <v>1</v>
      </c>
      <c r="L642" s="415">
        <v>1</v>
      </c>
      <c r="M642" s="415">
        <v>1</v>
      </c>
      <c r="N642" s="415">
        <v>1</v>
      </c>
      <c r="O642" s="415">
        <v>1</v>
      </c>
      <c r="P642" s="409">
        <v>1</v>
      </c>
      <c r="Q642" s="420">
        <v>31.01</v>
      </c>
      <c r="R642" s="415">
        <v>32</v>
      </c>
      <c r="S642" s="415">
        <v>32</v>
      </c>
      <c r="T642" s="415">
        <v>32</v>
      </c>
      <c r="U642" s="415">
        <v>32</v>
      </c>
      <c r="V642" s="415">
        <v>32</v>
      </c>
      <c r="W642" s="415">
        <v>32</v>
      </c>
      <c r="X642" s="415">
        <v>32</v>
      </c>
      <c r="Y642" s="415">
        <v>32</v>
      </c>
      <c r="Z642" s="415">
        <v>32</v>
      </c>
      <c r="AA642" s="415">
        <v>32</v>
      </c>
      <c r="AB642" s="415">
        <v>32</v>
      </c>
      <c r="AC642" s="415">
        <v>32</v>
      </c>
      <c r="AD642" s="415">
        <v>32</v>
      </c>
      <c r="AE642" s="420">
        <v>32</v>
      </c>
      <c r="AF642" s="1734">
        <v>31.01</v>
      </c>
    </row>
    <row r="643" spans="1:34">
      <c r="A643" s="1251">
        <v>1</v>
      </c>
      <c r="B643" s="415">
        <v>1</v>
      </c>
      <c r="C643" s="409">
        <v>1</v>
      </c>
      <c r="D643" s="409">
        <v>1</v>
      </c>
      <c r="E643" s="409">
        <v>1</v>
      </c>
      <c r="F643" s="409">
        <v>1</v>
      </c>
      <c r="G643" s="409">
        <v>1</v>
      </c>
      <c r="H643" s="409">
        <v>1</v>
      </c>
      <c r="I643" s="409">
        <v>1</v>
      </c>
      <c r="J643" s="409">
        <v>1</v>
      </c>
      <c r="K643" s="409">
        <v>1</v>
      </c>
      <c r="L643" s="409">
        <v>1</v>
      </c>
      <c r="M643" s="409">
        <v>1</v>
      </c>
      <c r="N643" s="409">
        <v>1</v>
      </c>
      <c r="O643" s="420">
        <v>1</v>
      </c>
      <c r="P643" s="409">
        <v>1</v>
      </c>
      <c r="Q643" s="420">
        <v>30.02</v>
      </c>
      <c r="R643" s="415">
        <v>32</v>
      </c>
      <c r="S643" s="328"/>
      <c r="T643" s="328"/>
      <c r="U643" s="328"/>
      <c r="V643" s="328"/>
      <c r="W643" s="328"/>
      <c r="X643" s="328"/>
      <c r="Y643" s="328"/>
      <c r="Z643" s="328"/>
      <c r="AA643" s="328"/>
      <c r="AB643" s="328"/>
      <c r="AC643" s="328"/>
      <c r="AD643" s="328"/>
      <c r="AE643" s="420">
        <v>32</v>
      </c>
      <c r="AF643" s="1734">
        <v>30.02</v>
      </c>
    </row>
    <row r="644" spans="1:34">
      <c r="A644" s="1251">
        <v>1</v>
      </c>
      <c r="B644" s="415">
        <v>1</v>
      </c>
      <c r="C644" s="409">
        <v>1</v>
      </c>
      <c r="D644" s="415">
        <v>1</v>
      </c>
      <c r="E644" s="409">
        <v>1</v>
      </c>
      <c r="F644" s="409">
        <v>1</v>
      </c>
      <c r="G644" s="409">
        <v>1</v>
      </c>
      <c r="H644" s="409">
        <v>1</v>
      </c>
      <c r="I644" s="409">
        <v>1</v>
      </c>
      <c r="J644" s="409">
        <v>1</v>
      </c>
      <c r="K644" s="409">
        <v>1</v>
      </c>
      <c r="L644" s="409">
        <v>1</v>
      </c>
      <c r="M644" s="415">
        <v>1</v>
      </c>
      <c r="N644" s="409">
        <v>1</v>
      </c>
      <c r="O644" s="420">
        <v>1</v>
      </c>
      <c r="P644" s="409">
        <v>1</v>
      </c>
      <c r="Q644" s="420">
        <v>31.01</v>
      </c>
      <c r="R644" s="415">
        <v>32</v>
      </c>
      <c r="S644" s="328"/>
      <c r="T644" s="328"/>
      <c r="U644" s="328"/>
      <c r="V644" s="328"/>
      <c r="W644" s="328"/>
      <c r="X644" s="328"/>
      <c r="Y644" s="328"/>
      <c r="Z644" s="328"/>
      <c r="AA644" s="328"/>
      <c r="AB644" s="328"/>
      <c r="AC644" s="328"/>
      <c r="AD644" s="328"/>
      <c r="AE644" s="420">
        <v>32</v>
      </c>
      <c r="AF644" s="1734">
        <v>31.01</v>
      </c>
    </row>
    <row r="645" spans="1:34">
      <c r="A645" s="491">
        <v>1</v>
      </c>
      <c r="B645" s="415">
        <v>1</v>
      </c>
      <c r="C645" s="409">
        <v>1</v>
      </c>
      <c r="D645" s="409">
        <v>1</v>
      </c>
      <c r="E645" s="409">
        <v>1</v>
      </c>
      <c r="F645" s="409">
        <v>1</v>
      </c>
      <c r="G645" s="409">
        <v>1</v>
      </c>
      <c r="H645" s="409">
        <v>1</v>
      </c>
      <c r="I645" s="409">
        <v>1</v>
      </c>
      <c r="J645" s="409">
        <v>1</v>
      </c>
      <c r="K645" s="409">
        <v>1</v>
      </c>
      <c r="L645" s="409">
        <v>1</v>
      </c>
      <c r="M645" s="409">
        <v>1</v>
      </c>
      <c r="N645" s="409">
        <v>1</v>
      </c>
      <c r="O645" s="420">
        <v>1</v>
      </c>
      <c r="P645" s="420">
        <v>1</v>
      </c>
      <c r="Q645" s="415">
        <v>31.01</v>
      </c>
      <c r="R645" s="415">
        <v>32</v>
      </c>
      <c r="S645" s="328"/>
      <c r="T645" s="328"/>
      <c r="U645" s="328"/>
      <c r="V645" s="328"/>
      <c r="W645" s="328"/>
      <c r="X645" s="328"/>
      <c r="Y645" s="328"/>
      <c r="Z645" s="328"/>
      <c r="AA645" s="328"/>
      <c r="AB645" s="328"/>
      <c r="AC645" s="328"/>
      <c r="AD645" s="328"/>
      <c r="AE645" s="420">
        <v>32</v>
      </c>
      <c r="AF645" s="1281">
        <v>31.01</v>
      </c>
    </row>
    <row r="646" spans="1:34">
      <c r="A646" s="1251">
        <v>1</v>
      </c>
      <c r="B646" s="415">
        <v>1</v>
      </c>
      <c r="C646" s="415">
        <v>1</v>
      </c>
      <c r="D646" s="415">
        <v>1</v>
      </c>
      <c r="E646" s="415">
        <v>1</v>
      </c>
      <c r="F646" s="415">
        <v>1</v>
      </c>
      <c r="G646" s="415">
        <v>1</v>
      </c>
      <c r="H646" s="415">
        <v>1</v>
      </c>
      <c r="I646" s="415">
        <v>1</v>
      </c>
      <c r="J646" s="415">
        <v>1</v>
      </c>
      <c r="K646" s="415">
        <v>1</v>
      </c>
      <c r="L646" s="415">
        <v>1</v>
      </c>
      <c r="M646" s="415">
        <v>1</v>
      </c>
      <c r="N646" s="415">
        <v>1</v>
      </c>
      <c r="O646" s="420">
        <v>1</v>
      </c>
      <c r="P646" s="409">
        <v>1</v>
      </c>
      <c r="Q646" s="420">
        <v>31.01</v>
      </c>
      <c r="R646" s="415">
        <v>32</v>
      </c>
      <c r="S646" s="328"/>
      <c r="T646" s="328"/>
      <c r="U646" s="328"/>
      <c r="V646" s="328"/>
      <c r="W646" s="328"/>
      <c r="X646" s="328"/>
      <c r="Y646" s="328"/>
      <c r="Z646" s="328"/>
      <c r="AA646" s="328"/>
      <c r="AB646" s="328"/>
      <c r="AC646" s="328"/>
      <c r="AD646" s="328"/>
      <c r="AE646" s="420">
        <v>32</v>
      </c>
      <c r="AF646" s="1734">
        <v>31.01</v>
      </c>
    </row>
    <row r="647" spans="1:34">
      <c r="AH647">
        <v>643</v>
      </c>
    </row>
    <row r="648" spans="1:34">
      <c r="A648" s="1251">
        <v>1</v>
      </c>
      <c r="B648" s="415">
        <v>1</v>
      </c>
      <c r="C648" s="409">
        <v>1</v>
      </c>
      <c r="D648" s="409">
        <v>1</v>
      </c>
      <c r="E648" s="409">
        <v>1</v>
      </c>
      <c r="F648" s="409">
        <v>1</v>
      </c>
      <c r="G648" s="409">
        <v>1</v>
      </c>
      <c r="H648" s="409">
        <v>1</v>
      </c>
      <c r="I648" s="409">
        <v>1</v>
      </c>
      <c r="J648" s="409">
        <v>1</v>
      </c>
      <c r="K648" s="409">
        <v>1</v>
      </c>
      <c r="L648" s="409">
        <v>1</v>
      </c>
      <c r="M648" s="409">
        <v>1</v>
      </c>
      <c r="N648" s="409">
        <v>1</v>
      </c>
      <c r="O648" s="420">
        <v>1</v>
      </c>
      <c r="P648" s="409">
        <v>1</v>
      </c>
      <c r="Q648" s="420">
        <v>31.01</v>
      </c>
      <c r="R648" s="415">
        <v>32</v>
      </c>
      <c r="S648" s="328"/>
      <c r="T648" s="328"/>
      <c r="U648" s="328"/>
      <c r="V648" s="328"/>
      <c r="W648" s="328"/>
      <c r="X648" s="328"/>
      <c r="Y648" s="328"/>
      <c r="Z648" s="328"/>
      <c r="AA648" s="328"/>
      <c r="AB648" s="328"/>
      <c r="AC648" s="328"/>
      <c r="AD648" s="328"/>
      <c r="AE648" s="420">
        <v>32</v>
      </c>
      <c r="AF648" s="1734">
        <v>31.01</v>
      </c>
    </row>
    <row r="649" spans="1:34">
      <c r="AH649">
        <v>645</v>
      </c>
    </row>
    <row r="650" spans="1:34">
      <c r="AH650">
        <v>648</v>
      </c>
    </row>
    <row r="651" spans="1:34">
      <c r="A651" s="1251">
        <v>1</v>
      </c>
      <c r="B651" s="415">
        <v>1</v>
      </c>
      <c r="C651" s="415">
        <v>1</v>
      </c>
      <c r="D651" s="415">
        <v>1</v>
      </c>
      <c r="E651" s="415">
        <v>1</v>
      </c>
      <c r="F651" s="415">
        <v>1</v>
      </c>
      <c r="G651" s="415">
        <v>1</v>
      </c>
      <c r="H651" s="415">
        <v>1</v>
      </c>
      <c r="I651" s="415">
        <v>1</v>
      </c>
      <c r="J651" s="415">
        <v>1</v>
      </c>
      <c r="K651" s="415">
        <v>1</v>
      </c>
      <c r="L651" s="415">
        <v>1</v>
      </c>
      <c r="M651" s="415">
        <v>1</v>
      </c>
      <c r="N651" s="415">
        <v>1</v>
      </c>
      <c r="O651" s="420">
        <v>1</v>
      </c>
      <c r="P651" s="409">
        <v>1</v>
      </c>
      <c r="Q651" s="420">
        <v>30.02</v>
      </c>
      <c r="R651" s="415">
        <v>32</v>
      </c>
      <c r="S651" s="328"/>
      <c r="T651" s="328"/>
      <c r="U651" s="328"/>
      <c r="V651" s="328"/>
      <c r="W651" s="328"/>
      <c r="X651" s="328"/>
      <c r="Y651" s="328"/>
      <c r="Z651" s="328"/>
      <c r="AA651" s="328"/>
      <c r="AB651" s="328"/>
      <c r="AC651" s="328"/>
      <c r="AD651" s="328"/>
      <c r="AE651" s="420">
        <v>32</v>
      </c>
      <c r="AF651" s="1734">
        <v>30.02</v>
      </c>
    </row>
    <row r="652" spans="1:34">
      <c r="AH652">
        <v>648</v>
      </c>
    </row>
    <row r="653" spans="1:34">
      <c r="A653" s="491">
        <v>1</v>
      </c>
      <c r="B653" s="415">
        <v>1</v>
      </c>
      <c r="C653" s="409">
        <v>1</v>
      </c>
      <c r="D653" s="415">
        <v>1</v>
      </c>
      <c r="E653" s="409">
        <v>1</v>
      </c>
      <c r="F653" s="409">
        <v>1</v>
      </c>
      <c r="G653" s="409">
        <v>1</v>
      </c>
      <c r="H653" s="409">
        <v>1</v>
      </c>
      <c r="I653" s="409">
        <v>1</v>
      </c>
      <c r="J653" s="409">
        <v>1</v>
      </c>
      <c r="K653" s="409">
        <v>1</v>
      </c>
      <c r="L653" s="409">
        <v>1</v>
      </c>
      <c r="M653" s="415">
        <v>1</v>
      </c>
      <c r="N653" s="409">
        <v>1</v>
      </c>
      <c r="O653" s="420">
        <v>1</v>
      </c>
      <c r="P653" s="420">
        <v>1</v>
      </c>
      <c r="Q653" s="415">
        <v>31.01</v>
      </c>
      <c r="R653" s="415">
        <v>32</v>
      </c>
      <c r="S653" s="328"/>
      <c r="T653" s="328"/>
      <c r="U653" s="328"/>
      <c r="V653" s="328"/>
      <c r="W653" s="328"/>
      <c r="X653" s="328"/>
      <c r="Y653" s="328"/>
      <c r="Z653" s="328"/>
      <c r="AA653" s="328"/>
      <c r="AB653" s="328"/>
      <c r="AC653" s="328"/>
      <c r="AD653" s="328"/>
      <c r="AE653" s="420">
        <v>32</v>
      </c>
      <c r="AF653" s="1281">
        <v>31.01</v>
      </c>
    </row>
    <row r="654" spans="1:34">
      <c r="AH654">
        <v>648</v>
      </c>
    </row>
    <row r="655" spans="1:34">
      <c r="A655" s="1251">
        <v>1</v>
      </c>
      <c r="B655" s="415">
        <v>1</v>
      </c>
      <c r="C655" s="420">
        <v>1</v>
      </c>
      <c r="D655" s="420">
        <v>1</v>
      </c>
      <c r="E655" s="420">
        <v>1</v>
      </c>
      <c r="F655" s="420">
        <v>1</v>
      </c>
      <c r="G655" s="420">
        <v>1</v>
      </c>
      <c r="H655" s="420">
        <v>1</v>
      </c>
      <c r="I655" s="420">
        <v>1</v>
      </c>
      <c r="J655" s="420">
        <v>1</v>
      </c>
      <c r="K655" s="420">
        <v>1</v>
      </c>
      <c r="L655" s="420">
        <v>1</v>
      </c>
      <c r="M655" s="420">
        <v>1</v>
      </c>
      <c r="N655" s="420">
        <v>1</v>
      </c>
      <c r="O655" s="420">
        <v>1</v>
      </c>
      <c r="P655" s="409">
        <v>1</v>
      </c>
      <c r="Q655" s="420">
        <v>30.02</v>
      </c>
      <c r="R655" s="415">
        <v>32</v>
      </c>
      <c r="S655" s="420">
        <v>32</v>
      </c>
      <c r="T655" s="420">
        <v>32</v>
      </c>
      <c r="U655" s="420">
        <v>32</v>
      </c>
      <c r="V655" s="420">
        <v>32</v>
      </c>
      <c r="W655" s="420">
        <v>32</v>
      </c>
      <c r="X655" s="420">
        <v>32</v>
      </c>
      <c r="Y655" s="420">
        <v>32</v>
      </c>
      <c r="Z655" s="420">
        <v>32</v>
      </c>
      <c r="AA655" s="420">
        <v>32</v>
      </c>
      <c r="AB655" s="420">
        <v>32</v>
      </c>
      <c r="AC655" s="420">
        <v>32</v>
      </c>
      <c r="AD655" s="420">
        <v>32</v>
      </c>
      <c r="AE655" s="420">
        <v>32</v>
      </c>
      <c r="AF655" s="1734">
        <v>30.02</v>
      </c>
    </row>
    <row r="656" spans="1:34">
      <c r="A656" s="1251">
        <v>1</v>
      </c>
      <c r="B656" s="409">
        <v>1</v>
      </c>
      <c r="C656" s="409">
        <v>1</v>
      </c>
      <c r="D656" s="409">
        <v>1</v>
      </c>
      <c r="E656" s="420">
        <v>1</v>
      </c>
      <c r="F656" s="409">
        <v>1</v>
      </c>
      <c r="G656" s="409">
        <v>1</v>
      </c>
      <c r="H656" s="409">
        <v>1</v>
      </c>
      <c r="I656" s="420">
        <v>1</v>
      </c>
      <c r="J656" s="409">
        <v>1</v>
      </c>
      <c r="K656" s="409">
        <v>1</v>
      </c>
      <c r="L656" s="409">
        <v>1</v>
      </c>
      <c r="M656" s="420">
        <v>1</v>
      </c>
      <c r="N656" s="409">
        <v>1</v>
      </c>
      <c r="O656" s="409">
        <v>1</v>
      </c>
      <c r="P656" s="420">
        <v>1</v>
      </c>
      <c r="Q656" s="420">
        <v>31.01</v>
      </c>
      <c r="R656" s="409">
        <v>31.01</v>
      </c>
      <c r="S656" s="409">
        <v>30.02</v>
      </c>
      <c r="T656" s="409">
        <v>31.01</v>
      </c>
      <c r="U656" s="420">
        <v>31.01</v>
      </c>
      <c r="V656" s="409">
        <v>31.01</v>
      </c>
      <c r="W656" s="409">
        <v>30.02</v>
      </c>
      <c r="X656" s="409">
        <v>31.01</v>
      </c>
      <c r="Y656" s="420">
        <v>31.01</v>
      </c>
      <c r="Z656" s="409">
        <v>31.01</v>
      </c>
      <c r="AA656" s="409">
        <v>30.02</v>
      </c>
      <c r="AB656" s="409">
        <v>31.01</v>
      </c>
      <c r="AC656" s="420">
        <v>31.01</v>
      </c>
      <c r="AD656" s="409">
        <v>31.01</v>
      </c>
      <c r="AE656" s="409">
        <v>30.02</v>
      </c>
      <c r="AF656" s="1281">
        <v>31.01</v>
      </c>
    </row>
    <row r="657" spans="1:32">
      <c r="A657" s="491">
        <v>10.02</v>
      </c>
      <c r="B657" s="417">
        <v>10.02</v>
      </c>
      <c r="C657" s="417">
        <v>9.0299999999999994</v>
      </c>
      <c r="D657" s="417">
        <v>10.02</v>
      </c>
      <c r="E657" s="415">
        <v>10.02</v>
      </c>
      <c r="F657" s="417">
        <v>10.02</v>
      </c>
      <c r="G657" s="417">
        <v>9.0299999999999994</v>
      </c>
      <c r="H657" s="417">
        <v>10.02</v>
      </c>
      <c r="I657" s="415">
        <v>10.02</v>
      </c>
      <c r="J657" s="417">
        <v>10.02</v>
      </c>
      <c r="K657" s="417">
        <v>9.0299999999999994</v>
      </c>
      <c r="L657" s="417">
        <v>10.02</v>
      </c>
      <c r="M657" s="415">
        <v>10.02</v>
      </c>
      <c r="N657" s="417">
        <v>10.02</v>
      </c>
      <c r="O657" s="417">
        <v>9.0299999999999994</v>
      </c>
      <c r="P657" s="417">
        <v>10.02</v>
      </c>
      <c r="Q657" s="415">
        <v>17.010000000000002</v>
      </c>
      <c r="R657" s="420">
        <v>17.010000000000002</v>
      </c>
      <c r="S657" s="420">
        <v>17.010000000000002</v>
      </c>
      <c r="T657" s="420">
        <v>17.010000000000002</v>
      </c>
      <c r="U657" s="415">
        <v>17.010000000000002</v>
      </c>
      <c r="V657" s="420">
        <v>17.010000000000002</v>
      </c>
      <c r="W657" s="420">
        <v>17.010000000000002</v>
      </c>
      <c r="X657" s="420">
        <v>17.010000000000002</v>
      </c>
      <c r="Y657" s="415">
        <v>17.010000000000002</v>
      </c>
      <c r="Z657" s="420">
        <v>17.010000000000002</v>
      </c>
      <c r="AA657" s="420">
        <v>17.010000000000002</v>
      </c>
      <c r="AB657" s="420">
        <v>17.010000000000002</v>
      </c>
      <c r="AC657" s="415">
        <v>17.010000000000002</v>
      </c>
      <c r="AD657" s="420">
        <v>17.010000000000002</v>
      </c>
      <c r="AE657" s="420">
        <v>17.010000000000002</v>
      </c>
      <c r="AF657" s="1281">
        <v>17.010000000000002</v>
      </c>
    </row>
    <row r="658" spans="1:32">
      <c r="A658" s="1369">
        <v>10.02</v>
      </c>
      <c r="B658" s="415">
        <v>11</v>
      </c>
      <c r="C658" s="415">
        <v>11</v>
      </c>
      <c r="D658" s="415">
        <v>11</v>
      </c>
      <c r="E658" s="415">
        <v>11</v>
      </c>
      <c r="F658" s="415">
        <v>11</v>
      </c>
      <c r="G658" s="415">
        <v>11</v>
      </c>
      <c r="H658" s="415">
        <v>11</v>
      </c>
      <c r="I658" s="415">
        <v>11</v>
      </c>
      <c r="J658" s="415">
        <v>11</v>
      </c>
      <c r="K658" s="415">
        <v>11</v>
      </c>
      <c r="L658" s="415">
        <v>11</v>
      </c>
      <c r="M658" s="415">
        <v>11</v>
      </c>
      <c r="N658" s="415">
        <v>11</v>
      </c>
      <c r="O658" s="415">
        <v>11</v>
      </c>
      <c r="P658" s="422">
        <v>10.02</v>
      </c>
      <c r="Q658" s="420">
        <v>17.010000000000002</v>
      </c>
      <c r="R658" s="415">
        <v>18.16</v>
      </c>
      <c r="S658" s="415">
        <v>18.16</v>
      </c>
      <c r="T658" s="415">
        <v>18.16</v>
      </c>
      <c r="U658" s="415">
        <v>18.16</v>
      </c>
      <c r="V658" s="415">
        <v>18.16</v>
      </c>
      <c r="W658" s="415">
        <v>18.16</v>
      </c>
      <c r="X658" s="415">
        <v>18.16</v>
      </c>
      <c r="Y658" s="415">
        <v>18.16</v>
      </c>
      <c r="Z658" s="415">
        <v>18.16</v>
      </c>
      <c r="AA658" s="415">
        <v>18.16</v>
      </c>
      <c r="AB658" s="415">
        <v>18.16</v>
      </c>
      <c r="AC658" s="415">
        <v>18.16</v>
      </c>
      <c r="AD658" s="415">
        <v>18.16</v>
      </c>
      <c r="AE658" s="415">
        <v>18.16</v>
      </c>
      <c r="AF658" s="1734">
        <v>17.010000000000002</v>
      </c>
    </row>
    <row r="659" spans="1:32">
      <c r="A659" s="1369">
        <v>9.0299999999999994</v>
      </c>
      <c r="B659" s="415">
        <v>11</v>
      </c>
      <c r="C659" s="422">
        <v>11.1</v>
      </c>
      <c r="D659" s="422">
        <v>11.1</v>
      </c>
      <c r="E659" s="422">
        <v>11.1</v>
      </c>
      <c r="F659" s="417">
        <v>11.1</v>
      </c>
      <c r="G659" s="422">
        <v>11.1</v>
      </c>
      <c r="H659" s="422">
        <v>11.1</v>
      </c>
      <c r="I659" s="422">
        <v>11.1</v>
      </c>
      <c r="J659" s="422">
        <v>11.1</v>
      </c>
      <c r="K659" s="417">
        <v>11.1</v>
      </c>
      <c r="L659" s="422">
        <v>11.1</v>
      </c>
      <c r="M659" s="422">
        <v>11.1</v>
      </c>
      <c r="N659" s="422">
        <v>11.1</v>
      </c>
      <c r="O659" s="417">
        <v>11</v>
      </c>
      <c r="P659" s="422">
        <v>9.0299999999999994</v>
      </c>
      <c r="Q659" s="420">
        <v>17.010000000000002</v>
      </c>
      <c r="R659" s="415">
        <v>18.16</v>
      </c>
      <c r="S659" s="409">
        <v>18.16</v>
      </c>
      <c r="T659" s="409">
        <v>18.16</v>
      </c>
      <c r="U659" s="409">
        <v>18.16</v>
      </c>
      <c r="V659" s="409">
        <v>18.16</v>
      </c>
      <c r="W659" s="409">
        <v>18.16</v>
      </c>
      <c r="X659" s="409">
        <v>18.16</v>
      </c>
      <c r="Y659" s="409">
        <v>18.16</v>
      </c>
      <c r="Z659" s="409">
        <v>18.16</v>
      </c>
      <c r="AA659" s="415">
        <v>18.16</v>
      </c>
      <c r="AB659" s="409">
        <v>18.16</v>
      </c>
      <c r="AC659" s="409">
        <v>18.16</v>
      </c>
      <c r="AD659" s="415">
        <v>18.16</v>
      </c>
      <c r="AE659" s="420">
        <v>18.16</v>
      </c>
      <c r="AF659" s="1734">
        <v>17.010000000000002</v>
      </c>
    </row>
    <row r="660" spans="1:32">
      <c r="A660" s="1369">
        <v>10.02</v>
      </c>
      <c r="B660" s="415">
        <v>11</v>
      </c>
      <c r="C660" s="422">
        <v>11.1</v>
      </c>
      <c r="D660" s="415">
        <v>11.1</v>
      </c>
      <c r="E660" s="422">
        <v>11.1</v>
      </c>
      <c r="F660" s="417">
        <v>11.1</v>
      </c>
      <c r="G660" s="422">
        <v>11.1</v>
      </c>
      <c r="H660" s="422">
        <v>11.1</v>
      </c>
      <c r="I660" s="422">
        <v>11.1</v>
      </c>
      <c r="J660" s="422">
        <v>11.1</v>
      </c>
      <c r="K660" s="417">
        <v>11.1</v>
      </c>
      <c r="L660" s="422">
        <v>11.1</v>
      </c>
      <c r="M660" s="415">
        <v>11.1</v>
      </c>
      <c r="N660" s="422">
        <v>11.1</v>
      </c>
      <c r="O660" s="417">
        <v>11</v>
      </c>
      <c r="P660" s="422">
        <v>10.02</v>
      </c>
      <c r="Q660" s="420">
        <v>17.010000000000002</v>
      </c>
      <c r="R660" s="415">
        <v>18.16</v>
      </c>
      <c r="S660" s="409">
        <v>18.16</v>
      </c>
      <c r="T660" s="409">
        <v>18.16</v>
      </c>
      <c r="U660" s="409">
        <v>18.16</v>
      </c>
      <c r="V660" s="409">
        <v>18.16</v>
      </c>
      <c r="W660" s="409">
        <v>18.16</v>
      </c>
      <c r="X660" s="409">
        <v>18.16</v>
      </c>
      <c r="Y660" s="409">
        <v>18.16</v>
      </c>
      <c r="Z660" s="415">
        <v>18.16</v>
      </c>
      <c r="AA660" s="409">
        <v>18.16</v>
      </c>
      <c r="AB660" s="409">
        <v>18.16</v>
      </c>
      <c r="AC660" s="415">
        <v>18.16</v>
      </c>
      <c r="AD660" s="409">
        <v>18.16</v>
      </c>
      <c r="AE660" s="420">
        <v>18.16</v>
      </c>
      <c r="AF660" s="1734">
        <v>17.010000000000002</v>
      </c>
    </row>
    <row r="661" spans="1:32">
      <c r="A661" s="491">
        <v>10.02</v>
      </c>
      <c r="B661" s="415">
        <v>11</v>
      </c>
      <c r="C661" s="422">
        <v>11.1</v>
      </c>
      <c r="D661" s="422">
        <v>11.1</v>
      </c>
      <c r="E661" s="422">
        <v>11.1</v>
      </c>
      <c r="F661" s="417">
        <v>11.1</v>
      </c>
      <c r="G661" s="422">
        <v>11.1</v>
      </c>
      <c r="H661" s="422">
        <v>11.1</v>
      </c>
      <c r="I661" s="422">
        <v>11.1</v>
      </c>
      <c r="J661" s="422">
        <v>11.1</v>
      </c>
      <c r="K661" s="417">
        <v>11.1</v>
      </c>
      <c r="L661" s="422">
        <v>11.1</v>
      </c>
      <c r="M661" s="422">
        <v>11.1</v>
      </c>
      <c r="N661" s="422">
        <v>11.1</v>
      </c>
      <c r="O661" s="417">
        <v>11</v>
      </c>
      <c r="P661" s="417">
        <v>10.02</v>
      </c>
      <c r="Q661" s="415">
        <v>17.010000000000002</v>
      </c>
      <c r="R661" s="415">
        <v>18.16</v>
      </c>
      <c r="S661" s="409">
        <v>18.16</v>
      </c>
      <c r="T661" s="409">
        <v>18.16</v>
      </c>
      <c r="U661" s="409">
        <v>18.16</v>
      </c>
      <c r="V661" s="409">
        <v>18.16</v>
      </c>
      <c r="W661" s="409">
        <v>18.16</v>
      </c>
      <c r="X661" s="409">
        <v>18.16</v>
      </c>
      <c r="Y661" s="415">
        <v>18.16</v>
      </c>
      <c r="Z661" s="409">
        <v>18.16</v>
      </c>
      <c r="AA661" s="409">
        <v>18.16</v>
      </c>
      <c r="AB661" s="409">
        <v>18.16</v>
      </c>
      <c r="AC661" s="409">
        <v>18.16</v>
      </c>
      <c r="AD661" s="409">
        <v>18.16</v>
      </c>
      <c r="AE661" s="420">
        <v>18.16</v>
      </c>
      <c r="AF661" s="1281">
        <v>17.010000000000002</v>
      </c>
    </row>
    <row r="662" spans="1:32">
      <c r="A662" s="1369">
        <v>10.02</v>
      </c>
      <c r="B662" s="415">
        <v>11</v>
      </c>
      <c r="C662" s="422">
        <v>11.1</v>
      </c>
      <c r="D662" s="422">
        <v>11.1</v>
      </c>
      <c r="E662" s="422">
        <v>11.1</v>
      </c>
      <c r="F662" s="417">
        <v>11.1</v>
      </c>
      <c r="G662" s="422">
        <v>11.1</v>
      </c>
      <c r="H662" s="422">
        <v>11.1</v>
      </c>
      <c r="I662" s="422">
        <v>11.1</v>
      </c>
      <c r="J662" s="422">
        <v>11.1</v>
      </c>
      <c r="K662" s="417">
        <v>11.1</v>
      </c>
      <c r="L662" s="422">
        <v>11.1</v>
      </c>
      <c r="M662" s="422">
        <v>11.1</v>
      </c>
      <c r="N662" s="422">
        <v>11.1</v>
      </c>
      <c r="O662" s="417">
        <v>11</v>
      </c>
      <c r="P662" s="422">
        <v>10.02</v>
      </c>
      <c r="Q662" s="420">
        <v>17.010000000000002</v>
      </c>
      <c r="R662" s="415">
        <v>18.16</v>
      </c>
      <c r="S662" s="415">
        <v>18.16</v>
      </c>
      <c r="T662" s="415">
        <v>18.16</v>
      </c>
      <c r="U662" s="415">
        <v>18.16</v>
      </c>
      <c r="V662" s="415">
        <v>18.16</v>
      </c>
      <c r="W662" s="415">
        <v>18.16</v>
      </c>
      <c r="X662" s="415">
        <v>18.16</v>
      </c>
      <c r="Y662" s="409">
        <v>18.16</v>
      </c>
      <c r="Z662" s="409">
        <v>18.16</v>
      </c>
      <c r="AA662" s="409">
        <v>18.16</v>
      </c>
      <c r="AB662" s="409">
        <v>18.16</v>
      </c>
      <c r="AC662" s="409">
        <v>18.16</v>
      </c>
      <c r="AD662" s="415">
        <v>18.16</v>
      </c>
      <c r="AE662" s="420">
        <v>18.16</v>
      </c>
      <c r="AF662" s="1734">
        <v>17.010000000000002</v>
      </c>
    </row>
    <row r="663" spans="1:32">
      <c r="A663" s="1369">
        <v>9.0299999999999994</v>
      </c>
      <c r="B663" s="415">
        <v>11</v>
      </c>
      <c r="C663" s="422">
        <v>11.1</v>
      </c>
      <c r="D663" s="422">
        <v>11.1</v>
      </c>
      <c r="E663" s="422">
        <v>11.1</v>
      </c>
      <c r="F663" s="417">
        <v>11.1</v>
      </c>
      <c r="G663" s="422">
        <v>11.1</v>
      </c>
      <c r="H663" s="422">
        <v>11.1</v>
      </c>
      <c r="I663" s="422">
        <v>11.1</v>
      </c>
      <c r="J663" s="422">
        <v>11.1</v>
      </c>
      <c r="K663" s="417">
        <v>11.1</v>
      </c>
      <c r="L663" s="422">
        <v>11.1</v>
      </c>
      <c r="M663" s="422">
        <v>11.1</v>
      </c>
      <c r="N663" s="422">
        <v>11.1</v>
      </c>
      <c r="O663" s="417">
        <v>11</v>
      </c>
      <c r="P663" s="422">
        <v>9.0299999999999994</v>
      </c>
      <c r="Q663" s="420">
        <v>17.010000000000002</v>
      </c>
      <c r="R663" s="415">
        <v>18.16</v>
      </c>
      <c r="S663" s="409">
        <v>18.16</v>
      </c>
      <c r="T663" s="409">
        <v>18.16</v>
      </c>
      <c r="U663" s="409">
        <v>18.16</v>
      </c>
      <c r="V663" s="409">
        <v>18.16</v>
      </c>
      <c r="W663" s="415">
        <v>18.16</v>
      </c>
      <c r="X663" s="409">
        <v>18.16</v>
      </c>
      <c r="Y663" s="409">
        <v>18.16</v>
      </c>
      <c r="Z663" s="409">
        <v>18.16</v>
      </c>
      <c r="AA663" s="409">
        <v>18.16</v>
      </c>
      <c r="AB663" s="409">
        <v>18.16</v>
      </c>
      <c r="AC663" s="415">
        <v>18.16</v>
      </c>
      <c r="AD663" s="409">
        <v>18.16</v>
      </c>
      <c r="AE663" s="420">
        <v>18.16</v>
      </c>
      <c r="AF663" s="1734">
        <v>17.010000000000002</v>
      </c>
    </row>
    <row r="664" spans="1:32">
      <c r="A664" s="1369">
        <v>10.02</v>
      </c>
      <c r="B664" s="415">
        <v>11</v>
      </c>
      <c r="C664" s="422">
        <v>11.1</v>
      </c>
      <c r="D664" s="422">
        <v>11.1</v>
      </c>
      <c r="E664" s="422">
        <v>11.1</v>
      </c>
      <c r="F664" s="417">
        <v>11.1</v>
      </c>
      <c r="G664" s="422">
        <v>11.1</v>
      </c>
      <c r="H664" s="422">
        <v>11.1</v>
      </c>
      <c r="I664" s="422">
        <v>11.1</v>
      </c>
      <c r="J664" s="422">
        <v>11.1</v>
      </c>
      <c r="K664" s="417">
        <v>11.1</v>
      </c>
      <c r="L664" s="422">
        <v>11.1</v>
      </c>
      <c r="M664" s="422">
        <v>11.1</v>
      </c>
      <c r="N664" s="422">
        <v>11.1</v>
      </c>
      <c r="O664" s="417">
        <v>11</v>
      </c>
      <c r="P664" s="422">
        <v>10.02</v>
      </c>
      <c r="Q664" s="420">
        <v>17.010000000000002</v>
      </c>
      <c r="R664" s="415">
        <v>18.16</v>
      </c>
      <c r="S664" s="409">
        <v>18.16</v>
      </c>
      <c r="T664" s="409">
        <v>18.16</v>
      </c>
      <c r="U664" s="409">
        <v>18.16</v>
      </c>
      <c r="V664" s="415">
        <v>18.16</v>
      </c>
      <c r="W664" s="409">
        <v>18.16</v>
      </c>
      <c r="X664" s="409">
        <v>18.16</v>
      </c>
      <c r="Y664" s="409">
        <v>18.16</v>
      </c>
      <c r="Z664" s="409">
        <v>18.16</v>
      </c>
      <c r="AA664" s="409">
        <v>18.16</v>
      </c>
      <c r="AB664" s="415">
        <v>18.16</v>
      </c>
      <c r="AC664" s="409">
        <v>18.16</v>
      </c>
      <c r="AD664" s="409">
        <v>18.16</v>
      </c>
      <c r="AE664" s="420">
        <v>18.16</v>
      </c>
      <c r="AF664" s="1734">
        <v>17.010000000000002</v>
      </c>
    </row>
    <row r="665" spans="1:32">
      <c r="A665" s="491">
        <v>10.02</v>
      </c>
      <c r="B665" s="415">
        <v>11</v>
      </c>
      <c r="C665" s="422">
        <v>11.1</v>
      </c>
      <c r="D665" s="422">
        <v>11.1</v>
      </c>
      <c r="E665" s="422">
        <v>11.1</v>
      </c>
      <c r="F665" s="417">
        <v>11.1</v>
      </c>
      <c r="G665" s="422">
        <v>11.1</v>
      </c>
      <c r="H665" s="422">
        <v>11.1</v>
      </c>
      <c r="I665" s="422">
        <v>11.1</v>
      </c>
      <c r="J665" s="422">
        <v>11.1</v>
      </c>
      <c r="K665" s="417">
        <v>11.1</v>
      </c>
      <c r="L665" s="422">
        <v>11.1</v>
      </c>
      <c r="M665" s="422">
        <v>11.1</v>
      </c>
      <c r="N665" s="422">
        <v>11.1</v>
      </c>
      <c r="O665" s="417">
        <v>11</v>
      </c>
      <c r="P665" s="417">
        <v>10.02</v>
      </c>
      <c r="Q665" s="415">
        <v>17.010000000000002</v>
      </c>
      <c r="R665" s="415">
        <v>18.16</v>
      </c>
      <c r="S665" s="409">
        <v>18.16</v>
      </c>
      <c r="T665" s="409">
        <v>18.16</v>
      </c>
      <c r="U665" s="415">
        <v>18.16</v>
      </c>
      <c r="V665" s="409">
        <v>18.16</v>
      </c>
      <c r="W665" s="409">
        <v>18.16</v>
      </c>
      <c r="X665" s="409">
        <v>18.16</v>
      </c>
      <c r="Y665" s="409">
        <v>18.16</v>
      </c>
      <c r="Z665" s="409">
        <v>18.16</v>
      </c>
      <c r="AA665" s="415">
        <v>18.16</v>
      </c>
      <c r="AB665" s="409">
        <v>18.16</v>
      </c>
      <c r="AC665" s="409">
        <v>18.16</v>
      </c>
      <c r="AD665" s="409">
        <v>18.16</v>
      </c>
      <c r="AE665" s="420">
        <v>18.16</v>
      </c>
      <c r="AF665" s="1281">
        <v>17.010000000000002</v>
      </c>
    </row>
    <row r="666" spans="1:32">
      <c r="A666" s="1369">
        <v>10.02</v>
      </c>
      <c r="B666" s="415">
        <v>11</v>
      </c>
      <c r="C666" s="422">
        <v>11.1</v>
      </c>
      <c r="D666" s="422">
        <v>11.1</v>
      </c>
      <c r="E666" s="422">
        <v>11.1</v>
      </c>
      <c r="F666" s="417">
        <v>11.1</v>
      </c>
      <c r="G666" s="422">
        <v>11.1</v>
      </c>
      <c r="H666" s="422">
        <v>11.1</v>
      </c>
      <c r="I666" s="422">
        <v>11.1</v>
      </c>
      <c r="J666" s="422">
        <v>11.1</v>
      </c>
      <c r="K666" s="417">
        <v>11.1</v>
      </c>
      <c r="L666" s="422">
        <v>11.1</v>
      </c>
      <c r="M666" s="422">
        <v>11.1</v>
      </c>
      <c r="N666" s="422">
        <v>11.1</v>
      </c>
      <c r="O666" s="417">
        <v>11</v>
      </c>
      <c r="P666" s="422">
        <v>10.02</v>
      </c>
      <c r="Q666" s="420">
        <v>17.010000000000002</v>
      </c>
      <c r="R666" s="415">
        <v>18.16</v>
      </c>
      <c r="S666" s="409">
        <v>18.16</v>
      </c>
      <c r="T666" s="415">
        <v>18.16</v>
      </c>
      <c r="U666" s="409">
        <v>18.16</v>
      </c>
      <c r="V666" s="409">
        <v>18.16</v>
      </c>
      <c r="W666" s="409">
        <v>18.16</v>
      </c>
      <c r="X666" s="409">
        <v>18.16</v>
      </c>
      <c r="Y666" s="409">
        <v>18.16</v>
      </c>
      <c r="Z666" s="415">
        <v>18.16</v>
      </c>
      <c r="AA666" s="409">
        <v>18.16</v>
      </c>
      <c r="AB666" s="409">
        <v>18.16</v>
      </c>
      <c r="AC666" s="409">
        <v>18.16</v>
      </c>
      <c r="AD666" s="409">
        <v>18.16</v>
      </c>
      <c r="AE666" s="420">
        <v>18.16</v>
      </c>
      <c r="AF666" s="1734">
        <v>17.010000000000002</v>
      </c>
    </row>
    <row r="667" spans="1:32">
      <c r="A667" s="1369">
        <v>9.0299999999999994</v>
      </c>
      <c r="B667" s="415">
        <v>11</v>
      </c>
      <c r="C667" s="422">
        <v>11.1</v>
      </c>
      <c r="D667" s="422">
        <v>11.1</v>
      </c>
      <c r="E667" s="422">
        <v>11.1</v>
      </c>
      <c r="F667" s="417">
        <v>11.1</v>
      </c>
      <c r="G667" s="422">
        <v>11.1</v>
      </c>
      <c r="H667" s="422">
        <v>11.1</v>
      </c>
      <c r="I667" s="422">
        <v>11.1</v>
      </c>
      <c r="J667" s="422">
        <v>11.1</v>
      </c>
      <c r="K667" s="417">
        <v>11.1</v>
      </c>
      <c r="L667" s="422">
        <v>11.1</v>
      </c>
      <c r="M667" s="422">
        <v>11.1</v>
      </c>
      <c r="N667" s="422">
        <v>11.1</v>
      </c>
      <c r="O667" s="417">
        <v>11</v>
      </c>
      <c r="P667" s="422">
        <v>9.0299999999999994</v>
      </c>
      <c r="Q667" s="420">
        <v>17.010000000000002</v>
      </c>
      <c r="R667" s="415">
        <v>18.16</v>
      </c>
      <c r="S667" s="415">
        <v>18.16</v>
      </c>
      <c r="T667" s="409">
        <v>18.16</v>
      </c>
      <c r="U667" s="409">
        <v>18.16</v>
      </c>
      <c r="V667" s="409">
        <v>18.16</v>
      </c>
      <c r="W667" s="409">
        <v>18.16</v>
      </c>
      <c r="X667" s="409">
        <v>18.16</v>
      </c>
      <c r="Y667" s="415">
        <v>18.16</v>
      </c>
      <c r="Z667" s="415">
        <v>18.16</v>
      </c>
      <c r="AA667" s="415">
        <v>18.16</v>
      </c>
      <c r="AB667" s="415">
        <v>18.16</v>
      </c>
      <c r="AC667" s="415">
        <v>18.16</v>
      </c>
      <c r="AD667" s="415">
        <v>18.16</v>
      </c>
      <c r="AE667" s="420">
        <v>18.16</v>
      </c>
      <c r="AF667" s="1734">
        <v>17.010000000000002</v>
      </c>
    </row>
    <row r="668" spans="1:32">
      <c r="A668" s="1369">
        <v>10.02</v>
      </c>
      <c r="B668" s="415">
        <v>11</v>
      </c>
      <c r="C668" s="422">
        <v>11.1</v>
      </c>
      <c r="D668" s="422">
        <v>11.1</v>
      </c>
      <c r="E668" s="422">
        <v>11.1</v>
      </c>
      <c r="F668" s="417">
        <v>11.1</v>
      </c>
      <c r="G668" s="422">
        <v>11.1</v>
      </c>
      <c r="H668" s="422">
        <v>11.1</v>
      </c>
      <c r="I668" s="422">
        <v>11.1</v>
      </c>
      <c r="J668" s="422">
        <v>11.1</v>
      </c>
      <c r="K668" s="417">
        <v>11.1</v>
      </c>
      <c r="L668" s="422">
        <v>11.1</v>
      </c>
      <c r="M668" s="422">
        <v>11.1</v>
      </c>
      <c r="N668" s="422">
        <v>11.1</v>
      </c>
      <c r="O668" s="417">
        <v>11</v>
      </c>
      <c r="P668" s="422">
        <v>10.02</v>
      </c>
      <c r="Q668" s="420">
        <v>17.010000000000002</v>
      </c>
      <c r="R668" s="415">
        <v>18.16</v>
      </c>
      <c r="S668" s="409">
        <v>18.16</v>
      </c>
      <c r="T668" s="409">
        <v>18.16</v>
      </c>
      <c r="U668" s="409">
        <v>18.16</v>
      </c>
      <c r="V668" s="409">
        <v>18.16</v>
      </c>
      <c r="W668" s="409">
        <v>18.16</v>
      </c>
      <c r="X668" s="415">
        <v>18.16</v>
      </c>
      <c r="Y668" s="409">
        <v>18.16</v>
      </c>
      <c r="Z668" s="409">
        <v>18.16</v>
      </c>
      <c r="AA668" s="409">
        <v>18.16</v>
      </c>
      <c r="AB668" s="409">
        <v>18.16</v>
      </c>
      <c r="AC668" s="409">
        <v>18.16</v>
      </c>
      <c r="AD668" s="409">
        <v>18.16</v>
      </c>
      <c r="AE668" s="420">
        <v>18.16</v>
      </c>
      <c r="AF668" s="1734">
        <v>17.010000000000002</v>
      </c>
    </row>
    <row r="669" spans="1:32">
      <c r="A669" s="491">
        <v>10.02</v>
      </c>
      <c r="B669" s="415">
        <v>11</v>
      </c>
      <c r="C669" s="422">
        <v>11.1</v>
      </c>
      <c r="D669" s="415">
        <v>11.1</v>
      </c>
      <c r="E669" s="422">
        <v>11.1</v>
      </c>
      <c r="F669" s="417">
        <v>11.1</v>
      </c>
      <c r="G669" s="422">
        <v>11.1</v>
      </c>
      <c r="H669" s="422">
        <v>11.1</v>
      </c>
      <c r="I669" s="422">
        <v>11.1</v>
      </c>
      <c r="J669" s="422">
        <v>11.1</v>
      </c>
      <c r="K669" s="417">
        <v>11.1</v>
      </c>
      <c r="L669" s="422">
        <v>11.1</v>
      </c>
      <c r="M669" s="415">
        <v>11.1</v>
      </c>
      <c r="N669" s="422">
        <v>11.1</v>
      </c>
      <c r="O669" s="417">
        <v>11</v>
      </c>
      <c r="P669" s="417">
        <v>10.02</v>
      </c>
      <c r="Q669" s="415">
        <v>17.010000000000002</v>
      </c>
      <c r="R669" s="415">
        <v>18.16</v>
      </c>
      <c r="S669" s="409">
        <v>18.16</v>
      </c>
      <c r="T669" s="415">
        <v>18.16</v>
      </c>
      <c r="U669" s="409">
        <v>18.16</v>
      </c>
      <c r="V669" s="409">
        <v>18.16</v>
      </c>
      <c r="W669" s="415">
        <v>18.16</v>
      </c>
      <c r="X669" s="409">
        <v>18.16</v>
      </c>
      <c r="Y669" s="409">
        <v>18.16</v>
      </c>
      <c r="Z669" s="409">
        <v>18.16</v>
      </c>
      <c r="AA669" s="409">
        <v>18.16</v>
      </c>
      <c r="AB669" s="409">
        <v>18.16</v>
      </c>
      <c r="AC669" s="409">
        <v>18.16</v>
      </c>
      <c r="AD669" s="409">
        <v>18.16</v>
      </c>
      <c r="AE669" s="420">
        <v>18.16</v>
      </c>
      <c r="AF669" s="1281">
        <v>17.010000000000002</v>
      </c>
    </row>
    <row r="670" spans="1:32">
      <c r="A670" s="1369">
        <v>10.02</v>
      </c>
      <c r="B670" s="415">
        <v>11</v>
      </c>
      <c r="C670" s="422">
        <v>11.1</v>
      </c>
      <c r="D670" s="422">
        <v>11.1</v>
      </c>
      <c r="E670" s="422">
        <v>11.1</v>
      </c>
      <c r="F670" s="417">
        <v>11.1</v>
      </c>
      <c r="G670" s="422">
        <v>11.1</v>
      </c>
      <c r="H670" s="422">
        <v>11.1</v>
      </c>
      <c r="I670" s="422">
        <v>11.1</v>
      </c>
      <c r="J670" s="422">
        <v>11.1</v>
      </c>
      <c r="K670" s="417">
        <v>11.1</v>
      </c>
      <c r="L670" s="422">
        <v>11.1</v>
      </c>
      <c r="M670" s="422">
        <v>11.1</v>
      </c>
      <c r="N670" s="422">
        <v>11.1</v>
      </c>
      <c r="O670" s="417">
        <v>11</v>
      </c>
      <c r="P670" s="422">
        <v>10.02</v>
      </c>
      <c r="Q670" s="420">
        <v>17.010000000000002</v>
      </c>
      <c r="R670" s="415">
        <v>18.16</v>
      </c>
      <c r="S670" s="420">
        <v>18.16</v>
      </c>
      <c r="T670" s="409">
        <v>18.16</v>
      </c>
      <c r="U670" s="409">
        <v>18.16</v>
      </c>
      <c r="V670" s="415">
        <v>18.16</v>
      </c>
      <c r="W670" s="409">
        <v>18.16</v>
      </c>
      <c r="X670" s="409">
        <v>18.16</v>
      </c>
      <c r="Y670" s="409">
        <v>18.16</v>
      </c>
      <c r="Z670" s="409">
        <v>18.16</v>
      </c>
      <c r="AA670" s="409">
        <v>18.16</v>
      </c>
      <c r="AB670" s="409">
        <v>18.16</v>
      </c>
      <c r="AC670" s="409">
        <v>18.16</v>
      </c>
      <c r="AD670" s="409">
        <v>18.16</v>
      </c>
      <c r="AE670" s="420">
        <v>18.16</v>
      </c>
      <c r="AF670" s="1734">
        <v>17.010000000000002</v>
      </c>
    </row>
    <row r="671" spans="1:32">
      <c r="A671" s="1369">
        <v>9.0299999999999994</v>
      </c>
      <c r="B671" s="417">
        <v>11</v>
      </c>
      <c r="C671" s="417">
        <v>11</v>
      </c>
      <c r="D671" s="417">
        <v>11</v>
      </c>
      <c r="E671" s="417">
        <v>11</v>
      </c>
      <c r="F671" s="417">
        <v>11</v>
      </c>
      <c r="G671" s="417">
        <v>11</v>
      </c>
      <c r="H671" s="417">
        <v>11</v>
      </c>
      <c r="I671" s="417">
        <v>11</v>
      </c>
      <c r="J671" s="417">
        <v>11</v>
      </c>
      <c r="K671" s="417">
        <v>11</v>
      </c>
      <c r="L671" s="417">
        <v>11</v>
      </c>
      <c r="M671" s="417">
        <v>11</v>
      </c>
      <c r="N671" s="417">
        <v>11</v>
      </c>
      <c r="O671" s="417">
        <v>11</v>
      </c>
      <c r="P671" s="422">
        <v>9.0299999999999994</v>
      </c>
      <c r="Q671" s="420">
        <v>17.010000000000002</v>
      </c>
      <c r="R671" s="415">
        <v>18.16</v>
      </c>
      <c r="S671" s="420">
        <v>18.16</v>
      </c>
      <c r="T671" s="420">
        <v>18.16</v>
      </c>
      <c r="U671" s="420">
        <v>18.16</v>
      </c>
      <c r="V671" s="420">
        <v>18.16</v>
      </c>
      <c r="W671" s="420">
        <v>18.16</v>
      </c>
      <c r="X671" s="420">
        <v>18.16</v>
      </c>
      <c r="Y671" s="420">
        <v>18.16</v>
      </c>
      <c r="Z671" s="420">
        <v>18.16</v>
      </c>
      <c r="AA671" s="420">
        <v>18.16</v>
      </c>
      <c r="AB671" s="420">
        <v>18.16</v>
      </c>
      <c r="AC671" s="420">
        <v>18.16</v>
      </c>
      <c r="AD671" s="420">
        <v>18.16</v>
      </c>
      <c r="AE671" s="420">
        <v>18.16</v>
      </c>
      <c r="AF671" s="1734">
        <v>17.010000000000002</v>
      </c>
    </row>
    <row r="672" spans="1:32">
      <c r="A672" s="1369">
        <v>10.02</v>
      </c>
      <c r="B672" s="422">
        <v>10.02</v>
      </c>
      <c r="C672" s="422">
        <v>9.0299999999999994</v>
      </c>
      <c r="D672" s="422">
        <v>10.02</v>
      </c>
      <c r="E672" s="417">
        <v>10.02</v>
      </c>
      <c r="F672" s="422">
        <v>10.02</v>
      </c>
      <c r="G672" s="422">
        <v>9.0299999999999994</v>
      </c>
      <c r="H672" s="422">
        <v>10.02</v>
      </c>
      <c r="I672" s="417">
        <v>10.02</v>
      </c>
      <c r="J672" s="422">
        <v>10.02</v>
      </c>
      <c r="K672" s="422">
        <v>9.0299999999999994</v>
      </c>
      <c r="L672" s="422">
        <v>10.02</v>
      </c>
      <c r="M672" s="417">
        <v>10.02</v>
      </c>
      <c r="N672" s="422">
        <v>10.02</v>
      </c>
      <c r="O672" s="422">
        <v>9.0299999999999994</v>
      </c>
      <c r="P672" s="417">
        <v>10.02</v>
      </c>
      <c r="Q672" s="420">
        <v>17.010000000000002</v>
      </c>
      <c r="R672" s="409">
        <v>17.010000000000002</v>
      </c>
      <c r="S672" s="409">
        <v>17.010000000000002</v>
      </c>
      <c r="T672" s="409">
        <v>17.010000000000002</v>
      </c>
      <c r="U672" s="420">
        <v>17.010000000000002</v>
      </c>
      <c r="V672" s="409">
        <v>17.010000000000002</v>
      </c>
      <c r="W672" s="409">
        <v>17.010000000000002</v>
      </c>
      <c r="X672" s="409">
        <v>17.010000000000002</v>
      </c>
      <c r="Y672" s="420">
        <v>17.010000000000002</v>
      </c>
      <c r="Z672" s="409">
        <v>17.010000000000002</v>
      </c>
      <c r="AA672" s="409">
        <v>17.010000000000002</v>
      </c>
      <c r="AB672" s="409">
        <v>17.010000000000002</v>
      </c>
      <c r="AC672" s="420">
        <v>17.010000000000002</v>
      </c>
      <c r="AD672" s="409">
        <v>17.010000000000002</v>
      </c>
      <c r="AE672" s="409">
        <v>17.010000000000002</v>
      </c>
      <c r="AF672" s="1281">
        <v>17.010000000000002</v>
      </c>
    </row>
    <row r="673" spans="1:33">
      <c r="A673" s="1249">
        <v>31.17</v>
      </c>
      <c r="B673" s="1250">
        <v>31.17</v>
      </c>
      <c r="C673" s="1250">
        <v>30.18</v>
      </c>
      <c r="D673" s="1250">
        <v>31.17</v>
      </c>
      <c r="E673" s="490">
        <v>31.17</v>
      </c>
      <c r="F673" s="1250">
        <v>31.17</v>
      </c>
      <c r="G673" s="1250">
        <v>30.18</v>
      </c>
      <c r="H673" s="1250">
        <v>31.17</v>
      </c>
      <c r="I673" s="490">
        <v>31.17</v>
      </c>
      <c r="J673" s="1250">
        <v>31.17</v>
      </c>
      <c r="K673" s="1250">
        <v>30.18</v>
      </c>
      <c r="L673" s="1250">
        <v>31.17</v>
      </c>
      <c r="M673" s="490">
        <v>31.17</v>
      </c>
      <c r="N673" s="1250">
        <v>31.17</v>
      </c>
      <c r="O673" s="1250">
        <v>30.18</v>
      </c>
      <c r="P673" s="1250">
        <v>31.17</v>
      </c>
      <c r="Q673" s="490">
        <v>18.010000000000002</v>
      </c>
      <c r="R673" s="657">
        <v>18.010000000000002</v>
      </c>
      <c r="S673" s="657">
        <v>18.010000000000002</v>
      </c>
      <c r="T673" s="657">
        <v>18.010000000000002</v>
      </c>
      <c r="U673" s="657">
        <v>18.010000000000002</v>
      </c>
      <c r="V673" s="657">
        <v>18.010000000000002</v>
      </c>
      <c r="W673" s="657">
        <v>18.010000000000002</v>
      </c>
      <c r="X673" s="655">
        <v>18.010000000000002</v>
      </c>
      <c r="Y673" s="657">
        <v>18.010000000000002</v>
      </c>
      <c r="Z673" s="657">
        <v>18.010000000000002</v>
      </c>
      <c r="AA673" s="657">
        <v>18.010000000000002</v>
      </c>
      <c r="AB673" s="657">
        <v>18.010000000000002</v>
      </c>
      <c r="AC673" s="657">
        <v>18.010000000000002</v>
      </c>
      <c r="AD673" s="657">
        <v>18.010000000000002</v>
      </c>
      <c r="AE673" s="657">
        <v>18.010000000000002</v>
      </c>
      <c r="AF673" s="3828">
        <v>18.010000000000002</v>
      </c>
      <c r="AG673">
        <v>22</v>
      </c>
    </row>
    <row r="674" spans="1:33">
      <c r="A674" s="1251">
        <v>31.17</v>
      </c>
      <c r="B674" s="415">
        <v>32.159999999999997</v>
      </c>
      <c r="C674" s="415">
        <v>32.159999999999997</v>
      </c>
      <c r="D674" s="415">
        <v>32.159999999999997</v>
      </c>
      <c r="E674" s="415">
        <v>32.159999999999997</v>
      </c>
      <c r="F674" s="415">
        <v>32.159999999999997</v>
      </c>
      <c r="G674" s="415">
        <v>32.159999999999997</v>
      </c>
      <c r="H674" s="415">
        <v>32.159999999999997</v>
      </c>
      <c r="I674" s="415">
        <v>32.159999999999997</v>
      </c>
      <c r="J674" s="415">
        <v>32.159999999999997</v>
      </c>
      <c r="K674" s="415">
        <v>32.159999999999997</v>
      </c>
      <c r="L674" s="415">
        <v>32.159999999999997</v>
      </c>
      <c r="M674" s="415">
        <v>32.159999999999997</v>
      </c>
      <c r="N674" s="415">
        <v>32.159999999999997</v>
      </c>
      <c r="O674" s="415">
        <v>32.159999999999997</v>
      </c>
      <c r="P674" s="409">
        <v>31.17</v>
      </c>
      <c r="Q674" s="421">
        <v>18.010000000000002</v>
      </c>
      <c r="R674" s="421">
        <v>18.010000000000002</v>
      </c>
      <c r="S674" s="421">
        <v>18.010000000000002</v>
      </c>
      <c r="T674" s="412">
        <v>18.16</v>
      </c>
      <c r="U674" s="421">
        <v>18.010000000000002</v>
      </c>
      <c r="V674" s="412">
        <v>18.16</v>
      </c>
      <c r="W674" s="412">
        <v>18.16</v>
      </c>
      <c r="X674" s="431">
        <v>18.16</v>
      </c>
      <c r="Y674" s="421">
        <v>18.16</v>
      </c>
      <c r="Z674" s="412">
        <v>18.16</v>
      </c>
      <c r="AA674" s="412">
        <v>18.16</v>
      </c>
      <c r="AB674" s="412">
        <v>18.16</v>
      </c>
      <c r="AC674" s="412">
        <v>18.16</v>
      </c>
      <c r="AD674" s="412">
        <v>18.16</v>
      </c>
      <c r="AE674" s="412">
        <v>18.16</v>
      </c>
      <c r="AF674" s="1248">
        <v>18.010000000000002</v>
      </c>
    </row>
    <row r="675" spans="1:33">
      <c r="A675" s="1251">
        <v>30.18</v>
      </c>
      <c r="B675" s="415">
        <v>32.159999999999997</v>
      </c>
      <c r="C675" s="409">
        <v>18.16</v>
      </c>
      <c r="D675" s="409">
        <v>18.16</v>
      </c>
      <c r="E675" s="409">
        <v>18.16</v>
      </c>
      <c r="F675" s="415">
        <v>18.16</v>
      </c>
      <c r="G675" s="409">
        <v>18.16</v>
      </c>
      <c r="H675" s="409">
        <v>18.16</v>
      </c>
      <c r="I675" s="409">
        <v>18.16</v>
      </c>
      <c r="J675" s="409">
        <v>18.16</v>
      </c>
      <c r="K675" s="415">
        <v>18.16</v>
      </c>
      <c r="L675" s="409">
        <v>18.16</v>
      </c>
      <c r="M675" s="409">
        <v>18.16</v>
      </c>
      <c r="N675" s="420">
        <v>18.16</v>
      </c>
      <c r="O675" s="420">
        <v>32.159999999999997</v>
      </c>
      <c r="P675" s="409">
        <v>30.18</v>
      </c>
      <c r="Q675" s="421">
        <v>18.010000000000002</v>
      </c>
      <c r="R675" s="421">
        <v>18.010000000000002</v>
      </c>
      <c r="S675" s="412">
        <v>18.16</v>
      </c>
      <c r="T675" s="421">
        <v>18.010000000000002</v>
      </c>
      <c r="U675" s="412">
        <v>18.16</v>
      </c>
      <c r="V675" s="412">
        <v>18.16</v>
      </c>
      <c r="W675" s="412">
        <v>18.16</v>
      </c>
      <c r="X675" s="431">
        <v>18.16</v>
      </c>
      <c r="Y675" s="421">
        <v>18.16</v>
      </c>
      <c r="Z675" s="412">
        <v>18.16</v>
      </c>
      <c r="AA675" s="412">
        <v>18.16</v>
      </c>
      <c r="AB675" s="412">
        <v>18.16</v>
      </c>
      <c r="AC675" s="412">
        <v>18.16</v>
      </c>
      <c r="AD675" s="412">
        <v>18.16</v>
      </c>
      <c r="AE675" s="412">
        <v>18.16</v>
      </c>
      <c r="AF675" s="1248">
        <v>18.010000000000002</v>
      </c>
    </row>
    <row r="676" spans="1:33">
      <c r="A676" s="1251">
        <v>31.17</v>
      </c>
      <c r="B676" s="415">
        <v>32.159999999999997</v>
      </c>
      <c r="C676" s="409">
        <v>18.16</v>
      </c>
      <c r="D676" s="409">
        <v>18.16</v>
      </c>
      <c r="E676" s="409">
        <v>18.16</v>
      </c>
      <c r="F676" s="415">
        <v>18.16</v>
      </c>
      <c r="G676" s="409">
        <v>18.16</v>
      </c>
      <c r="H676" s="409">
        <v>18.16</v>
      </c>
      <c r="I676" s="409">
        <v>18.16</v>
      </c>
      <c r="J676" s="415">
        <v>18.16</v>
      </c>
      <c r="K676" s="409">
        <v>18.16</v>
      </c>
      <c r="L676" s="409">
        <v>18.16</v>
      </c>
      <c r="M676" s="415">
        <v>18.16</v>
      </c>
      <c r="N676" s="409">
        <v>18.16</v>
      </c>
      <c r="O676" s="420">
        <v>32.159999999999997</v>
      </c>
      <c r="P676" s="409">
        <v>31.17</v>
      </c>
      <c r="Q676" s="421">
        <v>18.010000000000002</v>
      </c>
      <c r="R676" s="412">
        <v>18.16</v>
      </c>
      <c r="S676" s="421">
        <v>18.010000000000002</v>
      </c>
      <c r="T676" s="412">
        <v>18.16</v>
      </c>
      <c r="U676" s="412">
        <v>18.16</v>
      </c>
      <c r="V676" s="412">
        <v>18.16</v>
      </c>
      <c r="W676" s="412">
        <v>18.16</v>
      </c>
      <c r="X676" s="431">
        <v>18.16</v>
      </c>
      <c r="Y676" s="421">
        <v>18.16</v>
      </c>
      <c r="Z676" s="412">
        <v>18.16</v>
      </c>
      <c r="AA676" s="436">
        <v>18.16</v>
      </c>
      <c r="AB676" s="436">
        <v>18.16</v>
      </c>
      <c r="AC676" s="436">
        <v>18.16</v>
      </c>
      <c r="AD676" s="436">
        <v>18.16</v>
      </c>
      <c r="AE676" s="412">
        <v>18.16</v>
      </c>
      <c r="AF676" s="1248">
        <v>18.010000000000002</v>
      </c>
    </row>
    <row r="677" spans="1:33">
      <c r="A677" s="491">
        <v>31.17</v>
      </c>
      <c r="B677" s="415">
        <v>32.159999999999997</v>
      </c>
      <c r="C677" s="409">
        <v>18.16</v>
      </c>
      <c r="D677" s="409">
        <v>18.16</v>
      </c>
      <c r="E677" s="409">
        <v>18.16</v>
      </c>
      <c r="F677" s="415">
        <v>18.16</v>
      </c>
      <c r="G677" s="409">
        <v>18.16</v>
      </c>
      <c r="H677" s="409">
        <v>18.16</v>
      </c>
      <c r="I677" s="415">
        <v>18.16</v>
      </c>
      <c r="J677" s="409">
        <v>18.16</v>
      </c>
      <c r="K677" s="409">
        <v>18.16</v>
      </c>
      <c r="L677" s="409">
        <v>18.16</v>
      </c>
      <c r="M677" s="409">
        <v>18.16</v>
      </c>
      <c r="N677" s="409">
        <v>18.16</v>
      </c>
      <c r="O677" s="420">
        <v>32.159999999999997</v>
      </c>
      <c r="P677" s="420">
        <v>31.17</v>
      </c>
      <c r="Q677" s="421">
        <v>18.010000000000002</v>
      </c>
      <c r="R677" s="421">
        <v>18.010000000000002</v>
      </c>
      <c r="S677" s="412">
        <v>18.16</v>
      </c>
      <c r="T677" s="412">
        <v>18.16</v>
      </c>
      <c r="U677" s="433">
        <v>18.16</v>
      </c>
      <c r="V677" s="433">
        <v>18.16</v>
      </c>
      <c r="W677" s="412">
        <v>18.16</v>
      </c>
      <c r="X677" s="431">
        <v>18.16</v>
      </c>
      <c r="Y677" s="421">
        <v>18.16</v>
      </c>
      <c r="Z677" s="412">
        <v>18.16</v>
      </c>
      <c r="AA677" s="412">
        <v>18.16</v>
      </c>
      <c r="AB677" s="436">
        <v>18.16</v>
      </c>
      <c r="AC677" s="412">
        <v>18.16</v>
      </c>
      <c r="AD677" s="436">
        <v>18.16</v>
      </c>
      <c r="AE677" s="412">
        <v>18.16</v>
      </c>
      <c r="AF677" s="1248">
        <v>18.010000000000002</v>
      </c>
    </row>
    <row r="678" spans="1:33">
      <c r="A678" s="1251">
        <v>31.17</v>
      </c>
      <c r="B678" s="415">
        <v>32.159999999999997</v>
      </c>
      <c r="C678" s="409">
        <v>18.16</v>
      </c>
      <c r="D678" s="409">
        <v>18.16</v>
      </c>
      <c r="E678" s="409">
        <v>18.16</v>
      </c>
      <c r="F678" s="415">
        <v>18.16</v>
      </c>
      <c r="G678" s="409">
        <v>18.16</v>
      </c>
      <c r="H678" s="415">
        <v>18.16</v>
      </c>
      <c r="I678" s="409">
        <v>18.16</v>
      </c>
      <c r="J678" s="409">
        <v>18.16</v>
      </c>
      <c r="K678" s="409">
        <v>18.16</v>
      </c>
      <c r="L678" s="409">
        <v>18.16</v>
      </c>
      <c r="M678" s="409">
        <v>18.16</v>
      </c>
      <c r="N678" s="415">
        <v>18.16</v>
      </c>
      <c r="O678" s="420">
        <v>32.159999999999997</v>
      </c>
      <c r="P678" s="409">
        <v>31.17</v>
      </c>
      <c r="Q678" s="421">
        <v>18.010000000000002</v>
      </c>
      <c r="R678" s="433">
        <v>18.16</v>
      </c>
      <c r="S678" s="412">
        <v>18.16</v>
      </c>
      <c r="T678" s="415">
        <v>18.16</v>
      </c>
      <c r="U678" s="415">
        <v>18.16</v>
      </c>
      <c r="V678" s="433">
        <v>18.16</v>
      </c>
      <c r="W678" s="433">
        <v>18.16</v>
      </c>
      <c r="X678" s="431">
        <v>18.16</v>
      </c>
      <c r="Y678" s="421">
        <v>18.16</v>
      </c>
      <c r="Z678" s="412">
        <v>18.16</v>
      </c>
      <c r="AA678" s="412">
        <v>18.16</v>
      </c>
      <c r="AB678" s="412">
        <v>18.16</v>
      </c>
      <c r="AC678" s="436">
        <v>18.16</v>
      </c>
      <c r="AD678" s="412">
        <v>18.16</v>
      </c>
      <c r="AE678" s="412">
        <v>18.16</v>
      </c>
      <c r="AF678" s="1248">
        <v>18.010000000000002</v>
      </c>
    </row>
    <row r="679" spans="1:33">
      <c r="A679" s="1251">
        <v>30.18</v>
      </c>
      <c r="B679" s="415">
        <v>32.159999999999997</v>
      </c>
      <c r="C679" s="409">
        <v>18.16</v>
      </c>
      <c r="D679" s="409">
        <v>18.16</v>
      </c>
      <c r="E679" s="409">
        <v>18.16</v>
      </c>
      <c r="F679" s="415">
        <v>18.16</v>
      </c>
      <c r="G679" s="415">
        <v>18.16</v>
      </c>
      <c r="H679" s="409">
        <v>18.16</v>
      </c>
      <c r="I679" s="409">
        <v>18.16</v>
      </c>
      <c r="J679" s="409">
        <v>18.16</v>
      </c>
      <c r="K679" s="409">
        <v>18.16</v>
      </c>
      <c r="L679" s="409">
        <v>18.16</v>
      </c>
      <c r="M679" s="415">
        <v>18.16</v>
      </c>
      <c r="N679" s="409">
        <v>18.16</v>
      </c>
      <c r="O679" s="420">
        <v>32.159999999999997</v>
      </c>
      <c r="P679" s="409">
        <v>30.18</v>
      </c>
      <c r="Q679" s="421">
        <v>18.010000000000002</v>
      </c>
      <c r="R679" s="433">
        <v>18.16</v>
      </c>
      <c r="S679" s="415">
        <v>18.16</v>
      </c>
      <c r="T679" s="412">
        <v>18.16</v>
      </c>
      <c r="U679" s="433">
        <v>18.16</v>
      </c>
      <c r="V679" s="415">
        <v>18.16</v>
      </c>
      <c r="W679" s="433">
        <v>18.16</v>
      </c>
      <c r="X679" s="431">
        <v>18.16</v>
      </c>
      <c r="Y679" s="421">
        <v>18.16</v>
      </c>
      <c r="Z679" s="412">
        <v>18.16</v>
      </c>
      <c r="AA679" s="412">
        <v>18.16</v>
      </c>
      <c r="AB679" s="412">
        <v>18.16</v>
      </c>
      <c r="AC679" s="412">
        <v>18.16</v>
      </c>
      <c r="AD679" s="412">
        <v>18.16</v>
      </c>
      <c r="AE679" s="412">
        <v>18.16</v>
      </c>
      <c r="AF679" s="1248">
        <v>18.010000000000002</v>
      </c>
    </row>
    <row r="680" spans="1:33">
      <c r="A680" s="1251">
        <v>31.17</v>
      </c>
      <c r="B680" s="415">
        <v>32.159999999999997</v>
      </c>
      <c r="C680" s="409">
        <v>18.16</v>
      </c>
      <c r="D680" s="409">
        <v>18.16</v>
      </c>
      <c r="E680" s="409">
        <v>18.16</v>
      </c>
      <c r="F680" s="415">
        <v>18.16</v>
      </c>
      <c r="G680" s="409">
        <v>18.16</v>
      </c>
      <c r="H680" s="409">
        <v>18.16</v>
      </c>
      <c r="I680" s="409">
        <v>18.16</v>
      </c>
      <c r="J680" s="409">
        <v>18.16</v>
      </c>
      <c r="K680" s="409">
        <v>18.16</v>
      </c>
      <c r="L680" s="415">
        <v>18.16</v>
      </c>
      <c r="M680" s="409">
        <v>18.16</v>
      </c>
      <c r="N680" s="409">
        <v>18.16</v>
      </c>
      <c r="O680" s="420">
        <v>32.159999999999997</v>
      </c>
      <c r="P680" s="409">
        <v>31.17</v>
      </c>
      <c r="Q680" s="421">
        <v>18.010000000000002</v>
      </c>
      <c r="R680" s="412">
        <v>18.16</v>
      </c>
      <c r="S680" s="433">
        <v>18.16</v>
      </c>
      <c r="T680" s="412">
        <v>18.16</v>
      </c>
      <c r="U680" s="412">
        <v>18.16</v>
      </c>
      <c r="V680" s="415">
        <v>18.16</v>
      </c>
      <c r="W680" s="412">
        <v>18.16</v>
      </c>
      <c r="X680" s="431">
        <v>18.16</v>
      </c>
      <c r="Y680" s="421">
        <v>18.16</v>
      </c>
      <c r="Z680" s="412">
        <v>18.16</v>
      </c>
      <c r="AA680" s="412">
        <v>18.16</v>
      </c>
      <c r="AB680" s="436">
        <v>18.16</v>
      </c>
      <c r="AC680" s="412">
        <v>18.16</v>
      </c>
      <c r="AD680" s="412">
        <v>18.16</v>
      </c>
      <c r="AE680" s="412">
        <v>18.16</v>
      </c>
      <c r="AF680" s="1248">
        <v>18.010000000000002</v>
      </c>
    </row>
    <row r="681" spans="1:33">
      <c r="A681" s="491">
        <v>31.17</v>
      </c>
      <c r="B681" s="415">
        <v>32.159999999999997</v>
      </c>
      <c r="C681" s="409">
        <v>18.16</v>
      </c>
      <c r="D681" s="409">
        <v>18.16</v>
      </c>
      <c r="E681" s="415">
        <v>18.16</v>
      </c>
      <c r="F681" s="409">
        <v>18.16</v>
      </c>
      <c r="G681" s="409">
        <v>18.16</v>
      </c>
      <c r="H681" s="409">
        <v>18.16</v>
      </c>
      <c r="I681" s="409">
        <v>18.16</v>
      </c>
      <c r="J681" s="409">
        <v>18.16</v>
      </c>
      <c r="K681" s="415">
        <v>18.16</v>
      </c>
      <c r="L681" s="409">
        <v>18.16</v>
      </c>
      <c r="M681" s="409">
        <v>18.16</v>
      </c>
      <c r="N681" s="409">
        <v>18.16</v>
      </c>
      <c r="O681" s="420">
        <v>32.159999999999997</v>
      </c>
      <c r="P681" s="420">
        <v>31.17</v>
      </c>
      <c r="Q681" s="421">
        <v>18.010000000000002</v>
      </c>
      <c r="R681" s="433">
        <v>18.16</v>
      </c>
      <c r="S681" s="415">
        <v>18.16</v>
      </c>
      <c r="T681" s="412">
        <v>18.16</v>
      </c>
      <c r="U681" s="433">
        <v>18.16</v>
      </c>
      <c r="V681" s="415">
        <v>18.16</v>
      </c>
      <c r="W681" s="433">
        <v>18.16</v>
      </c>
      <c r="X681" s="431">
        <v>18.16</v>
      </c>
      <c r="Y681" s="421">
        <v>18.16</v>
      </c>
      <c r="Z681" s="412">
        <v>18.16</v>
      </c>
      <c r="AA681" s="412">
        <v>18.16</v>
      </c>
      <c r="AB681" s="436">
        <v>18.16</v>
      </c>
      <c r="AC681" s="412">
        <v>18.16</v>
      </c>
      <c r="AD681" s="412">
        <v>18.16</v>
      </c>
      <c r="AE681" s="412">
        <v>18.16</v>
      </c>
      <c r="AF681" s="1248">
        <v>18.010000000000002</v>
      </c>
    </row>
    <row r="682" spans="1:33">
      <c r="A682" s="1251">
        <v>31.17</v>
      </c>
      <c r="B682" s="415">
        <v>32.159999999999997</v>
      </c>
      <c r="C682" s="409">
        <v>18.16</v>
      </c>
      <c r="D682" s="415">
        <v>18.16</v>
      </c>
      <c r="E682" s="409">
        <v>18.16</v>
      </c>
      <c r="F682" s="409">
        <v>18.16</v>
      </c>
      <c r="G682" s="409">
        <v>18.16</v>
      </c>
      <c r="H682" s="409">
        <v>18.16</v>
      </c>
      <c r="I682" s="409">
        <v>18.16</v>
      </c>
      <c r="J682" s="415">
        <v>18.16</v>
      </c>
      <c r="K682" s="415">
        <v>18.16</v>
      </c>
      <c r="L682" s="409">
        <v>18.16</v>
      </c>
      <c r="M682" s="409">
        <v>18.16</v>
      </c>
      <c r="N682" s="409">
        <v>18.16</v>
      </c>
      <c r="O682" s="420">
        <v>32.159999999999997</v>
      </c>
      <c r="P682" s="409">
        <v>31.17</v>
      </c>
      <c r="Q682" s="421">
        <v>18.010000000000002</v>
      </c>
      <c r="R682" s="433">
        <v>18.16</v>
      </c>
      <c r="S682" s="412">
        <v>18.16</v>
      </c>
      <c r="T682" s="415">
        <v>18.16</v>
      </c>
      <c r="U682" s="415">
        <v>18.16</v>
      </c>
      <c r="V682" s="433">
        <v>18.16</v>
      </c>
      <c r="W682" s="433">
        <v>18.16</v>
      </c>
      <c r="X682" s="431">
        <v>18.16</v>
      </c>
      <c r="Y682" s="421">
        <v>18.16</v>
      </c>
      <c r="Z682" s="412">
        <v>18.16</v>
      </c>
      <c r="AA682" s="412">
        <v>18.16</v>
      </c>
      <c r="AB682" s="412">
        <v>18.16</v>
      </c>
      <c r="AC682" s="412">
        <v>18.16</v>
      </c>
      <c r="AD682" s="412">
        <v>18.16</v>
      </c>
      <c r="AE682" s="412">
        <v>18.16</v>
      </c>
      <c r="AF682" s="1248">
        <v>18.010000000000002</v>
      </c>
    </row>
    <row r="683" spans="1:33">
      <c r="A683" s="1251">
        <v>30.18</v>
      </c>
      <c r="B683" s="415">
        <v>32.159999999999997</v>
      </c>
      <c r="C683" s="415">
        <v>18.16</v>
      </c>
      <c r="D683" s="409">
        <v>18.16</v>
      </c>
      <c r="E683" s="409">
        <v>18.16</v>
      </c>
      <c r="F683" s="409">
        <v>18.16</v>
      </c>
      <c r="G683" s="409">
        <v>18.16</v>
      </c>
      <c r="H683" s="409">
        <v>18.16</v>
      </c>
      <c r="I683" s="415">
        <v>18.16</v>
      </c>
      <c r="J683" s="409">
        <v>18.16</v>
      </c>
      <c r="K683" s="415">
        <v>18.16</v>
      </c>
      <c r="L683" s="409">
        <v>18.16</v>
      </c>
      <c r="M683" s="409">
        <v>18.16</v>
      </c>
      <c r="N683" s="409">
        <v>18.16</v>
      </c>
      <c r="O683" s="420">
        <v>32.159999999999997</v>
      </c>
      <c r="P683" s="409">
        <v>30.18</v>
      </c>
      <c r="Q683" s="421">
        <v>18.010000000000002</v>
      </c>
      <c r="R683" s="412">
        <v>18.16</v>
      </c>
      <c r="S683" s="412">
        <v>18.16</v>
      </c>
      <c r="T683" s="412">
        <v>18.16</v>
      </c>
      <c r="U683" s="433">
        <v>18.16</v>
      </c>
      <c r="V683" s="433">
        <v>18.16</v>
      </c>
      <c r="W683" s="412">
        <v>18.16</v>
      </c>
      <c r="X683" s="431">
        <v>18.16</v>
      </c>
      <c r="Y683" s="421">
        <v>18.16</v>
      </c>
      <c r="Z683" s="412">
        <v>18.16</v>
      </c>
      <c r="AA683" s="412">
        <v>18.16</v>
      </c>
      <c r="AB683" s="412">
        <v>18.16</v>
      </c>
      <c r="AC683" s="412">
        <v>18.16</v>
      </c>
      <c r="AD683" s="436">
        <v>18.16</v>
      </c>
      <c r="AE683" s="412">
        <v>18.16</v>
      </c>
      <c r="AF683" s="1248">
        <v>18.010000000000002</v>
      </c>
    </row>
    <row r="684" spans="1:33">
      <c r="A684" s="1251">
        <v>31.17</v>
      </c>
      <c r="B684" s="415">
        <v>32.159999999999997</v>
      </c>
      <c r="C684" s="409">
        <v>18.16</v>
      </c>
      <c r="D684" s="409">
        <v>18.16</v>
      </c>
      <c r="E684" s="409">
        <v>18.16</v>
      </c>
      <c r="F684" s="409">
        <v>18.16</v>
      </c>
      <c r="G684" s="409">
        <v>18.16</v>
      </c>
      <c r="H684" s="415">
        <v>18.16</v>
      </c>
      <c r="I684" s="409">
        <v>18.16</v>
      </c>
      <c r="J684" s="409">
        <v>18.16</v>
      </c>
      <c r="K684" s="415">
        <v>18.16</v>
      </c>
      <c r="L684" s="409">
        <v>18.16</v>
      </c>
      <c r="M684" s="409">
        <v>18.16</v>
      </c>
      <c r="N684" s="409">
        <v>18.16</v>
      </c>
      <c r="O684" s="420">
        <v>32.159999999999997</v>
      </c>
      <c r="P684" s="409">
        <v>31.17</v>
      </c>
      <c r="Q684" s="421">
        <v>18.010000000000002</v>
      </c>
      <c r="R684" s="412">
        <v>18.16</v>
      </c>
      <c r="S684" s="412">
        <v>18.16</v>
      </c>
      <c r="T684" s="412">
        <v>18.16</v>
      </c>
      <c r="U684" s="412">
        <v>18.16</v>
      </c>
      <c r="V684" s="412">
        <v>18.16</v>
      </c>
      <c r="W684" s="412">
        <v>18.16</v>
      </c>
      <c r="X684" s="431">
        <v>18.16</v>
      </c>
      <c r="Y684" s="421">
        <v>18.16</v>
      </c>
      <c r="Z684" s="412">
        <v>18.16</v>
      </c>
      <c r="AA684" s="436">
        <v>18.16</v>
      </c>
      <c r="AB684" s="436">
        <v>18.16</v>
      </c>
      <c r="AC684" s="412">
        <v>18.16</v>
      </c>
      <c r="AD684" s="436">
        <v>18.16</v>
      </c>
      <c r="AE684" s="431">
        <v>18.010000000000002</v>
      </c>
      <c r="AF684" s="1248">
        <v>18.010000000000002</v>
      </c>
    </row>
    <row r="685" spans="1:33">
      <c r="A685" s="491">
        <v>31.17</v>
      </c>
      <c r="B685" s="415">
        <v>32.159999999999997</v>
      </c>
      <c r="C685" s="409">
        <v>18.16</v>
      </c>
      <c r="D685" s="415">
        <v>18.16</v>
      </c>
      <c r="E685" s="409">
        <v>18.16</v>
      </c>
      <c r="F685" s="409">
        <v>18.16</v>
      </c>
      <c r="G685" s="415">
        <v>18.16</v>
      </c>
      <c r="H685" s="409">
        <v>18.16</v>
      </c>
      <c r="I685" s="409">
        <v>18.16</v>
      </c>
      <c r="J685" s="409">
        <v>18.16</v>
      </c>
      <c r="K685" s="415">
        <v>18.16</v>
      </c>
      <c r="L685" s="409">
        <v>18.16</v>
      </c>
      <c r="M685" s="409">
        <v>18.16</v>
      </c>
      <c r="N685" s="409">
        <v>18.16</v>
      </c>
      <c r="O685" s="420">
        <v>32.159999999999997</v>
      </c>
      <c r="P685" s="420">
        <v>31.17</v>
      </c>
      <c r="Q685" s="421">
        <v>18.010000000000002</v>
      </c>
      <c r="R685" s="412">
        <v>18.16</v>
      </c>
      <c r="S685" s="412">
        <v>18.16</v>
      </c>
      <c r="T685" s="412">
        <v>18.16</v>
      </c>
      <c r="U685" s="412">
        <v>18.16</v>
      </c>
      <c r="V685" s="412">
        <v>18.16</v>
      </c>
      <c r="W685" s="412">
        <v>18.16</v>
      </c>
      <c r="X685" s="431">
        <v>18.16</v>
      </c>
      <c r="Y685" s="421">
        <v>18.16</v>
      </c>
      <c r="Z685" s="412">
        <v>18.16</v>
      </c>
      <c r="AA685" s="412">
        <v>18.16</v>
      </c>
      <c r="AB685" s="412">
        <v>18.16</v>
      </c>
      <c r="AC685" s="436">
        <v>18.16</v>
      </c>
      <c r="AD685" s="436">
        <v>18.16</v>
      </c>
      <c r="AE685" s="412">
        <v>18.16</v>
      </c>
      <c r="AF685" s="1248">
        <v>18.010000000000002</v>
      </c>
    </row>
    <row r="686" spans="1:33">
      <c r="A686" s="1251">
        <v>31.17</v>
      </c>
      <c r="B686" s="415">
        <v>32.159999999999997</v>
      </c>
      <c r="C686" s="415">
        <v>18.16</v>
      </c>
      <c r="D686" s="409">
        <v>18.16</v>
      </c>
      <c r="E686" s="409">
        <v>18.16</v>
      </c>
      <c r="F686" s="415">
        <v>18.16</v>
      </c>
      <c r="G686" s="409">
        <v>18.16</v>
      </c>
      <c r="H686" s="409">
        <v>18.16</v>
      </c>
      <c r="I686" s="409">
        <v>18.16</v>
      </c>
      <c r="J686" s="409">
        <v>18.16</v>
      </c>
      <c r="K686" s="415">
        <v>18.16</v>
      </c>
      <c r="L686" s="409">
        <v>18.16</v>
      </c>
      <c r="M686" s="409">
        <v>18.16</v>
      </c>
      <c r="N686" s="409">
        <v>18.16</v>
      </c>
      <c r="O686" s="420">
        <v>32.159999999999997</v>
      </c>
      <c r="P686" s="409">
        <v>31.17</v>
      </c>
      <c r="Q686" s="421">
        <v>18.010000000000002</v>
      </c>
      <c r="R686" s="412">
        <v>18.16</v>
      </c>
      <c r="S686" s="412">
        <v>18.16</v>
      </c>
      <c r="T686" s="412">
        <v>18.16</v>
      </c>
      <c r="U686" s="412">
        <v>18.16</v>
      </c>
      <c r="V686" s="412">
        <v>18.16</v>
      </c>
      <c r="W686" s="412">
        <v>18.16</v>
      </c>
      <c r="X686" s="431">
        <v>18.16</v>
      </c>
      <c r="Y686" s="421">
        <v>18.16</v>
      </c>
      <c r="Z686" s="412">
        <v>18.16</v>
      </c>
      <c r="AA686" s="412">
        <v>18.16</v>
      </c>
      <c r="AB686" s="412">
        <v>18.16</v>
      </c>
      <c r="AC686" s="431">
        <v>18.010000000000002</v>
      </c>
      <c r="AD686" s="412">
        <v>18.16</v>
      </c>
      <c r="AE686" s="431">
        <v>18.010000000000002</v>
      </c>
      <c r="AF686" s="1248">
        <v>18.010000000000002</v>
      </c>
    </row>
    <row r="687" spans="1:33">
      <c r="A687" s="1251">
        <v>30.18</v>
      </c>
      <c r="B687" s="415">
        <v>32.159999999999997</v>
      </c>
      <c r="C687" s="420">
        <v>32.159999999999997</v>
      </c>
      <c r="D687" s="420">
        <v>32.159999999999997</v>
      </c>
      <c r="E687" s="420">
        <v>32.159999999999997</v>
      </c>
      <c r="F687" s="420">
        <v>32.159999999999997</v>
      </c>
      <c r="G687" s="420">
        <v>32.159999999999997</v>
      </c>
      <c r="H687" s="420">
        <v>32.159999999999997</v>
      </c>
      <c r="I687" s="420">
        <v>32.159999999999997</v>
      </c>
      <c r="J687" s="420">
        <v>32.159999999999997</v>
      </c>
      <c r="K687" s="420">
        <v>32.159999999999997</v>
      </c>
      <c r="L687" s="420">
        <v>32.159999999999997</v>
      </c>
      <c r="M687" s="420">
        <v>32.159999999999997</v>
      </c>
      <c r="N687" s="420">
        <v>32.159999999999997</v>
      </c>
      <c r="O687" s="420">
        <v>32.159999999999997</v>
      </c>
      <c r="P687" s="409">
        <v>30.18</v>
      </c>
      <c r="Q687" s="421">
        <v>18.010000000000002</v>
      </c>
      <c r="R687" s="412">
        <v>18.16</v>
      </c>
      <c r="S687" s="412">
        <v>18.16</v>
      </c>
      <c r="T687" s="412">
        <v>18.16</v>
      </c>
      <c r="U687" s="412">
        <v>18.16</v>
      </c>
      <c r="V687" s="412">
        <v>18.16</v>
      </c>
      <c r="W687" s="412">
        <v>18.16</v>
      </c>
      <c r="X687" s="431">
        <v>18.16</v>
      </c>
      <c r="Y687" s="421">
        <v>18.16</v>
      </c>
      <c r="Z687" s="412">
        <v>18.16</v>
      </c>
      <c r="AA687" s="412">
        <v>18.16</v>
      </c>
      <c r="AB687" s="431">
        <v>18.010000000000002</v>
      </c>
      <c r="AC687" s="412">
        <v>18.16</v>
      </c>
      <c r="AD687" s="431">
        <v>18.010000000000002</v>
      </c>
      <c r="AE687" s="431">
        <v>18.010000000000002</v>
      </c>
      <c r="AF687" s="1248">
        <v>18.010000000000002</v>
      </c>
    </row>
    <row r="688" spans="1:33">
      <c r="A688" s="1251">
        <v>31.17</v>
      </c>
      <c r="B688" s="409">
        <v>31.17</v>
      </c>
      <c r="C688" s="409">
        <v>30.18</v>
      </c>
      <c r="D688" s="409">
        <v>31.17</v>
      </c>
      <c r="E688" s="420">
        <v>31.17</v>
      </c>
      <c r="F688" s="409">
        <v>31.17</v>
      </c>
      <c r="G688" s="409">
        <v>30.18</v>
      </c>
      <c r="H688" s="409">
        <v>31.17</v>
      </c>
      <c r="I688" s="420">
        <v>31.17</v>
      </c>
      <c r="J688" s="409">
        <v>31.17</v>
      </c>
      <c r="K688" s="409">
        <v>30.18</v>
      </c>
      <c r="L688" s="409">
        <v>31.17</v>
      </c>
      <c r="M688" s="420">
        <v>31.17</v>
      </c>
      <c r="N688" s="409">
        <v>31.17</v>
      </c>
      <c r="O688" s="409">
        <v>30.18</v>
      </c>
      <c r="P688" s="420">
        <v>31.17</v>
      </c>
      <c r="Q688" s="412">
        <v>18.010000000000002</v>
      </c>
      <c r="R688" s="431">
        <v>18.010000000000002</v>
      </c>
      <c r="S688" s="431">
        <v>18.010000000000002</v>
      </c>
      <c r="T688" s="431">
        <v>18.010000000000002</v>
      </c>
      <c r="U688" s="431">
        <v>18.010000000000002</v>
      </c>
      <c r="V688" s="431">
        <v>18.010000000000002</v>
      </c>
      <c r="W688" s="431">
        <v>18.010000000000002</v>
      </c>
      <c r="X688" s="431">
        <v>18.010000000000002</v>
      </c>
      <c r="Y688" s="412">
        <v>18.010000000000002</v>
      </c>
      <c r="Z688" s="431">
        <v>18.010000000000002</v>
      </c>
      <c r="AA688" s="431">
        <v>18.010000000000002</v>
      </c>
      <c r="AB688" s="431">
        <v>18.010000000000002</v>
      </c>
      <c r="AC688" s="431">
        <v>18.010000000000002</v>
      </c>
      <c r="AD688" s="431">
        <v>18.010000000000002</v>
      </c>
      <c r="AE688" s="431">
        <v>18.010000000000002</v>
      </c>
      <c r="AF688" s="659">
        <v>18.010000000000002</v>
      </c>
    </row>
    <row r="689" spans="1:34">
      <c r="A689" s="491">
        <v>1</v>
      </c>
      <c r="B689" s="420">
        <v>1</v>
      </c>
      <c r="C689" s="420">
        <v>1</v>
      </c>
      <c r="D689" s="420">
        <v>1</v>
      </c>
      <c r="E689" s="415">
        <v>1</v>
      </c>
      <c r="F689" s="420">
        <v>1</v>
      </c>
      <c r="G689" s="420">
        <v>1</v>
      </c>
      <c r="H689" s="420">
        <v>1</v>
      </c>
      <c r="I689" s="415">
        <v>1</v>
      </c>
      <c r="J689" s="420">
        <v>1</v>
      </c>
      <c r="K689" s="420">
        <v>1</v>
      </c>
      <c r="L689" s="420">
        <v>1</v>
      </c>
      <c r="M689" s="415">
        <v>1</v>
      </c>
      <c r="N689" s="420">
        <v>1</v>
      </c>
      <c r="O689" s="420">
        <v>1</v>
      </c>
      <c r="P689" s="420">
        <v>1</v>
      </c>
      <c r="Q689" s="415">
        <v>10.02</v>
      </c>
      <c r="R689" s="417">
        <v>10.02</v>
      </c>
      <c r="S689" s="417">
        <v>9.0299999999999994</v>
      </c>
      <c r="T689" s="417">
        <v>10.02</v>
      </c>
      <c r="U689" s="415">
        <v>10.02</v>
      </c>
      <c r="V689" s="417">
        <v>10.02</v>
      </c>
      <c r="W689" s="417">
        <v>9.0299999999999994</v>
      </c>
      <c r="X689" s="417">
        <v>10.02</v>
      </c>
      <c r="Y689" s="415">
        <v>10.02</v>
      </c>
      <c r="Z689" s="417">
        <v>10.02</v>
      </c>
      <c r="AA689" s="417">
        <v>9.0299999999999994</v>
      </c>
      <c r="AB689" s="417">
        <v>10.02</v>
      </c>
      <c r="AC689" s="415">
        <v>10.02</v>
      </c>
      <c r="AD689" s="417">
        <v>10.02</v>
      </c>
      <c r="AE689" s="417">
        <v>9.0299999999999994</v>
      </c>
      <c r="AF689" s="1370">
        <v>10.02</v>
      </c>
    </row>
    <row r="690" spans="1:34">
      <c r="A690" s="1251">
        <v>1</v>
      </c>
      <c r="B690" s="415">
        <v>1</v>
      </c>
      <c r="C690" s="415">
        <v>1</v>
      </c>
      <c r="D690" s="415">
        <v>1</v>
      </c>
      <c r="E690" s="415">
        <v>1</v>
      </c>
      <c r="F690" s="415">
        <v>1</v>
      </c>
      <c r="G690" s="415">
        <v>1</v>
      </c>
      <c r="H690" s="415">
        <v>1</v>
      </c>
      <c r="I690" s="415">
        <v>1</v>
      </c>
      <c r="J690" s="415">
        <v>1</v>
      </c>
      <c r="K690" s="415">
        <v>1</v>
      </c>
      <c r="L690" s="415">
        <v>1</v>
      </c>
      <c r="M690" s="415">
        <v>1</v>
      </c>
      <c r="N690" s="415">
        <v>1</v>
      </c>
      <c r="O690" s="415">
        <v>1</v>
      </c>
      <c r="P690" s="409">
        <v>1</v>
      </c>
      <c r="Q690" s="417">
        <v>10.02</v>
      </c>
      <c r="R690" s="415">
        <v>11</v>
      </c>
      <c r="S690" s="415">
        <v>11</v>
      </c>
      <c r="T690" s="415">
        <v>11</v>
      </c>
      <c r="U690" s="415">
        <v>11</v>
      </c>
      <c r="V690" s="415">
        <v>11</v>
      </c>
      <c r="W690" s="415">
        <v>11</v>
      </c>
      <c r="X690" s="415">
        <v>11</v>
      </c>
      <c r="Y690" s="415">
        <v>11</v>
      </c>
      <c r="Z690" s="415">
        <v>11</v>
      </c>
      <c r="AA690" s="415">
        <v>11</v>
      </c>
      <c r="AB690" s="415">
        <v>11</v>
      </c>
      <c r="AC690" s="415">
        <v>11</v>
      </c>
      <c r="AD690" s="415">
        <v>11</v>
      </c>
      <c r="AE690" s="415">
        <v>11</v>
      </c>
      <c r="AF690" s="1368">
        <v>10.02</v>
      </c>
    </row>
    <row r="691" spans="1:34">
      <c r="A691" s="1251">
        <v>1</v>
      </c>
      <c r="B691" s="415">
        <v>1</v>
      </c>
      <c r="C691" s="409">
        <v>1</v>
      </c>
      <c r="D691" s="409">
        <v>1</v>
      </c>
      <c r="E691" s="409">
        <v>1</v>
      </c>
      <c r="F691" s="415">
        <v>1</v>
      </c>
      <c r="G691" s="409">
        <v>1</v>
      </c>
      <c r="H691" s="409">
        <v>1</v>
      </c>
      <c r="I691" s="409">
        <v>1</v>
      </c>
      <c r="J691" s="409">
        <v>1</v>
      </c>
      <c r="K691" s="415">
        <v>1</v>
      </c>
      <c r="L691" s="409">
        <v>1</v>
      </c>
      <c r="M691" s="409">
        <v>1</v>
      </c>
      <c r="N691" s="409">
        <v>1</v>
      </c>
      <c r="O691" s="420">
        <v>1</v>
      </c>
      <c r="P691" s="409">
        <v>1</v>
      </c>
      <c r="Q691" s="417">
        <v>9.0299999999999994</v>
      </c>
      <c r="R691" s="415">
        <v>11</v>
      </c>
      <c r="S691" s="422">
        <v>11.1</v>
      </c>
      <c r="T691" s="422">
        <v>11.1</v>
      </c>
      <c r="U691" s="422">
        <v>11.1</v>
      </c>
      <c r="V691" s="417">
        <v>11.1</v>
      </c>
      <c r="W691" s="422">
        <v>11.1</v>
      </c>
      <c r="X691" s="422">
        <v>11.1</v>
      </c>
      <c r="Y691" s="422">
        <v>11.1</v>
      </c>
      <c r="Z691" s="422">
        <v>11.1</v>
      </c>
      <c r="AA691" s="417">
        <v>11.1</v>
      </c>
      <c r="AB691" s="422">
        <v>11.1</v>
      </c>
      <c r="AC691" s="422">
        <v>11.1</v>
      </c>
      <c r="AD691" s="422">
        <v>11.1</v>
      </c>
      <c r="AE691" s="417">
        <v>11</v>
      </c>
      <c r="AF691" s="1368">
        <v>9.0299999999999994</v>
      </c>
    </row>
    <row r="692" spans="1:34">
      <c r="A692" s="1251">
        <v>1</v>
      </c>
      <c r="B692" s="415">
        <v>1</v>
      </c>
      <c r="C692" s="409">
        <v>1</v>
      </c>
      <c r="D692" s="415">
        <v>1</v>
      </c>
      <c r="E692" s="409">
        <v>1</v>
      </c>
      <c r="F692" s="415">
        <v>1</v>
      </c>
      <c r="G692" s="409">
        <v>1</v>
      </c>
      <c r="H692" s="409">
        <v>1</v>
      </c>
      <c r="I692" s="409">
        <v>1</v>
      </c>
      <c r="J692" s="409">
        <v>1</v>
      </c>
      <c r="K692" s="415">
        <v>1</v>
      </c>
      <c r="L692" s="409">
        <v>1</v>
      </c>
      <c r="M692" s="415">
        <v>1</v>
      </c>
      <c r="N692" s="409">
        <v>1</v>
      </c>
      <c r="O692" s="420">
        <v>1</v>
      </c>
      <c r="P692" s="409">
        <v>1</v>
      </c>
      <c r="Q692" s="417">
        <v>10.02</v>
      </c>
      <c r="R692" s="415">
        <v>11</v>
      </c>
      <c r="S692" s="422">
        <v>11.1</v>
      </c>
      <c r="T692" s="415">
        <v>11.1</v>
      </c>
      <c r="U692" s="422">
        <v>11.1</v>
      </c>
      <c r="V692" s="417">
        <v>11.1</v>
      </c>
      <c r="W692" s="422">
        <v>11.1</v>
      </c>
      <c r="X692" s="422">
        <v>11.1</v>
      </c>
      <c r="Y692" s="422">
        <v>11.1</v>
      </c>
      <c r="Z692" s="422">
        <v>11.1</v>
      </c>
      <c r="AA692" s="417">
        <v>11.1</v>
      </c>
      <c r="AB692" s="422">
        <v>11.1</v>
      </c>
      <c r="AC692" s="415">
        <v>11.1</v>
      </c>
      <c r="AD692" s="422">
        <v>11.1</v>
      </c>
      <c r="AE692" s="417">
        <v>11</v>
      </c>
      <c r="AF692" s="1368">
        <v>10.02</v>
      </c>
    </row>
    <row r="693" spans="1:34">
      <c r="A693" s="491">
        <v>1</v>
      </c>
      <c r="B693" s="415">
        <v>1</v>
      </c>
      <c r="C693" s="409">
        <v>1</v>
      </c>
      <c r="D693" s="409">
        <v>1</v>
      </c>
      <c r="E693" s="409">
        <v>1</v>
      </c>
      <c r="F693" s="415">
        <v>1</v>
      </c>
      <c r="G693" s="409">
        <v>1</v>
      </c>
      <c r="H693" s="409">
        <v>1</v>
      </c>
      <c r="I693" s="409">
        <v>1</v>
      </c>
      <c r="J693" s="409">
        <v>1</v>
      </c>
      <c r="K693" s="415">
        <v>1</v>
      </c>
      <c r="L693" s="409">
        <v>1</v>
      </c>
      <c r="M693" s="409">
        <v>1</v>
      </c>
      <c r="N693" s="409">
        <v>1</v>
      </c>
      <c r="O693" s="420">
        <v>1</v>
      </c>
      <c r="P693" s="420">
        <v>1</v>
      </c>
      <c r="Q693" s="415">
        <v>10.02</v>
      </c>
      <c r="R693" s="415">
        <v>11</v>
      </c>
      <c r="S693" s="422">
        <v>11.1</v>
      </c>
      <c r="T693" s="422">
        <v>11.1</v>
      </c>
      <c r="U693" s="422">
        <v>11.1</v>
      </c>
      <c r="V693" s="417">
        <v>11.1</v>
      </c>
      <c r="W693" s="422">
        <v>11.1</v>
      </c>
      <c r="X693" s="422">
        <v>11.1</v>
      </c>
      <c r="Y693" s="422">
        <v>11.1</v>
      </c>
      <c r="Z693" s="422">
        <v>11.1</v>
      </c>
      <c r="AA693" s="417">
        <v>11.1</v>
      </c>
      <c r="AB693" s="422">
        <v>11.1</v>
      </c>
      <c r="AC693" s="422">
        <v>11.1</v>
      </c>
      <c r="AD693" s="422">
        <v>11.1</v>
      </c>
      <c r="AE693" s="417">
        <v>11</v>
      </c>
      <c r="AF693" s="1370">
        <v>10.02</v>
      </c>
    </row>
    <row r="694" spans="1:34">
      <c r="A694" s="1251">
        <v>1</v>
      </c>
      <c r="B694" s="415">
        <v>1</v>
      </c>
      <c r="C694" s="409">
        <v>1</v>
      </c>
      <c r="D694" s="409">
        <v>1</v>
      </c>
      <c r="E694" s="409">
        <v>1</v>
      </c>
      <c r="F694" s="415">
        <v>1</v>
      </c>
      <c r="G694" s="409">
        <v>1</v>
      </c>
      <c r="H694" s="409">
        <v>1</v>
      </c>
      <c r="I694" s="409">
        <v>1</v>
      </c>
      <c r="J694" s="409">
        <v>1</v>
      </c>
      <c r="K694" s="415">
        <v>1</v>
      </c>
      <c r="L694" s="409">
        <v>1</v>
      </c>
      <c r="M694" s="409">
        <v>1</v>
      </c>
      <c r="N694" s="409">
        <v>1</v>
      </c>
      <c r="O694" s="420">
        <v>1</v>
      </c>
      <c r="P694" s="409">
        <v>1</v>
      </c>
      <c r="Q694" s="417">
        <v>10.02</v>
      </c>
      <c r="R694" s="415">
        <v>11</v>
      </c>
      <c r="S694" s="422">
        <v>11.1</v>
      </c>
      <c r="T694" s="422">
        <v>11.1</v>
      </c>
      <c r="U694" s="422">
        <v>11.1</v>
      </c>
      <c r="V694" s="417">
        <v>11.1</v>
      </c>
      <c r="W694" s="422">
        <v>11.1</v>
      </c>
      <c r="X694" s="422">
        <v>11.1</v>
      </c>
      <c r="Y694" s="422">
        <v>11.1</v>
      </c>
      <c r="Z694" s="422">
        <v>11.1</v>
      </c>
      <c r="AA694" s="417">
        <v>11.1</v>
      </c>
      <c r="AB694" s="422">
        <v>11.1</v>
      </c>
      <c r="AC694" s="422">
        <v>11.1</v>
      </c>
      <c r="AD694" s="422">
        <v>11.1</v>
      </c>
      <c r="AE694" s="417">
        <v>11</v>
      </c>
      <c r="AF694" s="1368">
        <v>10.02</v>
      </c>
    </row>
    <row r="695" spans="1:34">
      <c r="AH695">
        <v>691</v>
      </c>
    </row>
    <row r="696" spans="1:34">
      <c r="AH696">
        <v>694</v>
      </c>
    </row>
    <row r="697" spans="1:34">
      <c r="AH697">
        <v>693</v>
      </c>
    </row>
    <row r="698" spans="1:34">
      <c r="AH698">
        <v>694</v>
      </c>
    </row>
    <row r="699" spans="1:34">
      <c r="AH699">
        <v>691</v>
      </c>
    </row>
    <row r="700" spans="1:34">
      <c r="AH700">
        <v>694</v>
      </c>
    </row>
    <row r="701" spans="1:34">
      <c r="A701" s="491">
        <v>1</v>
      </c>
      <c r="B701" s="415">
        <v>1</v>
      </c>
      <c r="C701" s="409">
        <v>1</v>
      </c>
      <c r="D701" s="415">
        <v>1</v>
      </c>
      <c r="E701" s="409">
        <v>1</v>
      </c>
      <c r="F701" s="415">
        <v>1</v>
      </c>
      <c r="G701" s="409">
        <v>1</v>
      </c>
      <c r="H701" s="409">
        <v>1</v>
      </c>
      <c r="I701" s="409">
        <v>1</v>
      </c>
      <c r="J701" s="409">
        <v>1</v>
      </c>
      <c r="K701" s="415">
        <v>1</v>
      </c>
      <c r="L701" s="409">
        <v>1</v>
      </c>
      <c r="M701" s="415">
        <v>1</v>
      </c>
      <c r="N701" s="409">
        <v>1</v>
      </c>
      <c r="O701" s="420">
        <v>1</v>
      </c>
      <c r="P701" s="420">
        <v>1</v>
      </c>
      <c r="Q701" s="415">
        <v>10.02</v>
      </c>
      <c r="R701" s="415">
        <v>11</v>
      </c>
      <c r="S701" s="422">
        <v>11.1</v>
      </c>
      <c r="T701" s="415">
        <v>11.1</v>
      </c>
      <c r="U701" s="422">
        <v>11.1</v>
      </c>
      <c r="V701" s="417">
        <v>11.1</v>
      </c>
      <c r="W701" s="422">
        <v>11.1</v>
      </c>
      <c r="X701" s="422">
        <v>11.1</v>
      </c>
      <c r="Y701" s="422">
        <v>11.1</v>
      </c>
      <c r="Z701" s="422">
        <v>11.1</v>
      </c>
      <c r="AA701" s="417">
        <v>11.1</v>
      </c>
      <c r="AB701" s="422">
        <v>11.1</v>
      </c>
      <c r="AC701" s="415">
        <v>11.1</v>
      </c>
      <c r="AD701" s="422">
        <v>11.1</v>
      </c>
      <c r="AE701" s="417">
        <v>11</v>
      </c>
      <c r="AF701" s="1370">
        <v>10.02</v>
      </c>
    </row>
    <row r="702" spans="1:34">
      <c r="AH702">
        <v>694</v>
      </c>
    </row>
    <row r="703" spans="1:34">
      <c r="A703" s="1251">
        <v>1</v>
      </c>
      <c r="B703" s="415">
        <v>1</v>
      </c>
      <c r="C703" s="420">
        <v>1</v>
      </c>
      <c r="D703" s="420">
        <v>1</v>
      </c>
      <c r="E703" s="420">
        <v>1</v>
      </c>
      <c r="F703" s="420">
        <v>1</v>
      </c>
      <c r="G703" s="420">
        <v>1</v>
      </c>
      <c r="H703" s="420">
        <v>1</v>
      </c>
      <c r="I703" s="420">
        <v>1</v>
      </c>
      <c r="J703" s="420">
        <v>1</v>
      </c>
      <c r="K703" s="420">
        <v>1</v>
      </c>
      <c r="L703" s="420">
        <v>1</v>
      </c>
      <c r="M703" s="420">
        <v>1</v>
      </c>
      <c r="N703" s="420">
        <v>1</v>
      </c>
      <c r="O703" s="420">
        <v>1</v>
      </c>
      <c r="P703" s="409">
        <v>1</v>
      </c>
      <c r="Q703" s="417">
        <v>9.0299999999999994</v>
      </c>
      <c r="R703" s="417">
        <v>11</v>
      </c>
      <c r="S703" s="417">
        <v>11</v>
      </c>
      <c r="T703" s="417">
        <v>11</v>
      </c>
      <c r="U703" s="417">
        <v>11</v>
      </c>
      <c r="V703" s="417">
        <v>11</v>
      </c>
      <c r="W703" s="417">
        <v>11</v>
      </c>
      <c r="X703" s="417">
        <v>11</v>
      </c>
      <c r="Y703" s="417">
        <v>11</v>
      </c>
      <c r="Z703" s="417">
        <v>11</v>
      </c>
      <c r="AA703" s="417">
        <v>11</v>
      </c>
      <c r="AB703" s="417">
        <v>11</v>
      </c>
      <c r="AC703" s="417">
        <v>11</v>
      </c>
      <c r="AD703" s="417">
        <v>11</v>
      </c>
      <c r="AE703" s="417">
        <v>11</v>
      </c>
      <c r="AF703" s="1368">
        <v>9.0299999999999994</v>
      </c>
    </row>
    <row r="704" spans="1:34">
      <c r="A704" s="1251">
        <v>1</v>
      </c>
      <c r="B704" s="409">
        <v>1</v>
      </c>
      <c r="C704" s="409">
        <v>1</v>
      </c>
      <c r="D704" s="409">
        <v>1</v>
      </c>
      <c r="E704" s="420">
        <v>1</v>
      </c>
      <c r="F704" s="409">
        <v>1</v>
      </c>
      <c r="G704" s="409">
        <v>1</v>
      </c>
      <c r="H704" s="409">
        <v>1</v>
      </c>
      <c r="I704" s="420">
        <v>1</v>
      </c>
      <c r="J704" s="409">
        <v>1</v>
      </c>
      <c r="K704" s="409">
        <v>1</v>
      </c>
      <c r="L704" s="409">
        <v>1</v>
      </c>
      <c r="M704" s="420">
        <v>1</v>
      </c>
      <c r="N704" s="409">
        <v>1</v>
      </c>
      <c r="O704" s="409">
        <v>1</v>
      </c>
      <c r="P704" s="420">
        <v>1</v>
      </c>
      <c r="Q704" s="417">
        <v>10.02</v>
      </c>
      <c r="R704" s="422">
        <v>10.02</v>
      </c>
      <c r="S704" s="422">
        <v>9.0299999999999994</v>
      </c>
      <c r="T704" s="422">
        <v>10.02</v>
      </c>
      <c r="U704" s="417">
        <v>10.02</v>
      </c>
      <c r="V704" s="422">
        <v>10.02</v>
      </c>
      <c r="W704" s="422">
        <v>9.0299999999999994</v>
      </c>
      <c r="X704" s="422">
        <v>10.02</v>
      </c>
      <c r="Y704" s="417">
        <v>10.02</v>
      </c>
      <c r="Z704" s="422">
        <v>10.02</v>
      </c>
      <c r="AA704" s="422">
        <v>9.0299999999999994</v>
      </c>
      <c r="AB704" s="422">
        <v>10.02</v>
      </c>
      <c r="AC704" s="417">
        <v>10.02</v>
      </c>
      <c r="AD704" s="422">
        <v>10.02</v>
      </c>
      <c r="AE704" s="422">
        <v>9.0299999999999994</v>
      </c>
      <c r="AF704" s="1370">
        <v>10.02</v>
      </c>
    </row>
    <row r="705" spans="1:33">
      <c r="A705" s="1249">
        <v>31.01</v>
      </c>
      <c r="B705" s="1357">
        <v>31.01</v>
      </c>
      <c r="C705" s="1357">
        <v>30.02</v>
      </c>
      <c r="D705" s="1357">
        <v>31.01</v>
      </c>
      <c r="E705" s="490">
        <v>31.01</v>
      </c>
      <c r="F705" s="1357">
        <v>31.01</v>
      </c>
      <c r="G705" s="1357">
        <v>30.02</v>
      </c>
      <c r="H705" s="1357">
        <v>31.01</v>
      </c>
      <c r="I705" s="490">
        <v>31.01</v>
      </c>
      <c r="J705" s="1357">
        <v>31.01</v>
      </c>
      <c r="K705" s="1357">
        <v>30.02</v>
      </c>
      <c r="L705" s="1357">
        <v>31.01</v>
      </c>
      <c r="M705" s="490">
        <v>31.01</v>
      </c>
      <c r="N705" s="1357">
        <v>31.01</v>
      </c>
      <c r="O705" s="1357">
        <v>30.02</v>
      </c>
      <c r="P705" s="1357">
        <v>31.01</v>
      </c>
      <c r="Q705" s="490">
        <v>2</v>
      </c>
      <c r="R705" s="1250">
        <v>2</v>
      </c>
      <c r="S705" s="1250">
        <v>2</v>
      </c>
      <c r="T705" s="1250">
        <v>2</v>
      </c>
      <c r="U705" s="490">
        <v>2</v>
      </c>
      <c r="V705" s="1250">
        <v>2</v>
      </c>
      <c r="W705" s="1250">
        <v>2</v>
      </c>
      <c r="X705" s="1250">
        <v>2</v>
      </c>
      <c r="Y705" s="490">
        <v>2</v>
      </c>
      <c r="Z705" s="1250">
        <v>2</v>
      </c>
      <c r="AA705" s="1250">
        <v>2</v>
      </c>
      <c r="AB705" s="1250">
        <v>2</v>
      </c>
      <c r="AC705" s="490">
        <v>2</v>
      </c>
      <c r="AD705" s="1250">
        <v>2</v>
      </c>
      <c r="AE705" s="1250">
        <v>2</v>
      </c>
      <c r="AF705" s="3827">
        <v>2</v>
      </c>
      <c r="AG705">
        <v>23</v>
      </c>
    </row>
    <row r="706" spans="1:33">
      <c r="A706" s="1369">
        <v>31.01</v>
      </c>
      <c r="B706" s="415">
        <v>32</v>
      </c>
      <c r="C706" s="415">
        <v>32</v>
      </c>
      <c r="D706" s="415">
        <v>32</v>
      </c>
      <c r="E706" s="415">
        <v>32</v>
      </c>
      <c r="F706" s="415">
        <v>32</v>
      </c>
      <c r="G706" s="415">
        <v>32</v>
      </c>
      <c r="H706" s="415">
        <v>32</v>
      </c>
      <c r="I706" s="415">
        <v>32</v>
      </c>
      <c r="J706" s="415">
        <v>32</v>
      </c>
      <c r="K706" s="415">
        <v>32</v>
      </c>
      <c r="L706" s="415">
        <v>32</v>
      </c>
      <c r="M706" s="415">
        <v>32</v>
      </c>
      <c r="N706" s="415">
        <v>32</v>
      </c>
      <c r="O706" s="420">
        <v>32</v>
      </c>
      <c r="P706" s="422">
        <v>31.01</v>
      </c>
      <c r="Q706" s="420">
        <v>2</v>
      </c>
      <c r="R706" s="415">
        <v>3</v>
      </c>
      <c r="S706" s="415">
        <v>3</v>
      </c>
      <c r="T706" s="415">
        <v>3</v>
      </c>
      <c r="U706" s="415">
        <v>3</v>
      </c>
      <c r="V706" s="415">
        <v>3</v>
      </c>
      <c r="W706" s="415">
        <v>3</v>
      </c>
      <c r="X706" s="415">
        <v>3</v>
      </c>
      <c r="Y706" s="415">
        <v>3</v>
      </c>
      <c r="Z706" s="415">
        <v>3</v>
      </c>
      <c r="AA706" s="415">
        <v>3</v>
      </c>
      <c r="AB706" s="415">
        <v>3</v>
      </c>
      <c r="AC706" s="415">
        <v>3</v>
      </c>
      <c r="AD706" s="415">
        <v>3</v>
      </c>
      <c r="AE706" s="415">
        <v>3</v>
      </c>
      <c r="AF706" s="1734">
        <v>2</v>
      </c>
    </row>
    <row r="707" spans="1:33">
      <c r="A707" s="1369">
        <v>30.02</v>
      </c>
      <c r="B707" s="415">
        <v>32</v>
      </c>
      <c r="C707" s="328"/>
      <c r="D707" s="328"/>
      <c r="E707" s="328"/>
      <c r="F707" s="328"/>
      <c r="G707" s="328"/>
      <c r="H707" s="328"/>
      <c r="I707" s="328"/>
      <c r="J707" s="328"/>
      <c r="K707" s="328"/>
      <c r="L707" s="328"/>
      <c r="M707" s="328"/>
      <c r="N707" s="328"/>
      <c r="O707" s="420">
        <v>32</v>
      </c>
      <c r="P707" s="422">
        <v>30.02</v>
      </c>
      <c r="Q707" s="420">
        <v>2</v>
      </c>
      <c r="R707" s="415">
        <v>3</v>
      </c>
      <c r="S707" s="409">
        <v>3.02</v>
      </c>
      <c r="T707" s="409">
        <v>3.02</v>
      </c>
      <c r="U707" s="409">
        <v>3.02</v>
      </c>
      <c r="V707" s="409">
        <v>3.02</v>
      </c>
      <c r="W707" s="409">
        <v>3.02</v>
      </c>
      <c r="X707" s="409">
        <v>3.02</v>
      </c>
      <c r="Y707" s="409">
        <v>3.02</v>
      </c>
      <c r="Z707" s="409">
        <v>3.02</v>
      </c>
      <c r="AA707" s="415">
        <v>3.02</v>
      </c>
      <c r="AB707" s="409">
        <v>3.02</v>
      </c>
      <c r="AC707" s="409">
        <v>3.02</v>
      </c>
      <c r="AD707" s="415">
        <v>3.02</v>
      </c>
      <c r="AE707" s="420">
        <v>3</v>
      </c>
      <c r="AF707" s="1734">
        <v>2</v>
      </c>
    </row>
    <row r="708" spans="1:33">
      <c r="A708" s="1369">
        <v>31.01</v>
      </c>
      <c r="B708" s="415">
        <v>32</v>
      </c>
      <c r="C708" s="328"/>
      <c r="D708" s="328"/>
      <c r="E708" s="328"/>
      <c r="F708" s="328"/>
      <c r="G708" s="328"/>
      <c r="H708" s="328"/>
      <c r="I708" s="328"/>
      <c r="J708" s="328"/>
      <c r="K708" s="328"/>
      <c r="L708" s="328"/>
      <c r="M708" s="328"/>
      <c r="N708" s="328"/>
      <c r="O708" s="420">
        <v>32</v>
      </c>
      <c r="P708" s="422">
        <v>31.01</v>
      </c>
      <c r="Q708" s="420">
        <v>2</v>
      </c>
      <c r="R708" s="415">
        <v>3</v>
      </c>
      <c r="S708" s="409">
        <v>3.02</v>
      </c>
      <c r="T708" s="409">
        <v>3.02</v>
      </c>
      <c r="U708" s="409">
        <v>3.02</v>
      </c>
      <c r="V708" s="409">
        <v>3.02</v>
      </c>
      <c r="W708" s="409">
        <v>3.02</v>
      </c>
      <c r="X708" s="409">
        <v>3.02</v>
      </c>
      <c r="Y708" s="409">
        <v>3.02</v>
      </c>
      <c r="Z708" s="415">
        <v>3.02</v>
      </c>
      <c r="AA708" s="409">
        <v>3.02</v>
      </c>
      <c r="AB708" s="409">
        <v>3.02</v>
      </c>
      <c r="AC708" s="415">
        <v>3.02</v>
      </c>
      <c r="AD708" s="409">
        <v>3.02</v>
      </c>
      <c r="AE708" s="420">
        <v>3</v>
      </c>
      <c r="AF708" s="1734">
        <v>2</v>
      </c>
    </row>
    <row r="709" spans="1:33">
      <c r="A709" s="491">
        <v>31.01</v>
      </c>
      <c r="B709" s="415">
        <v>32</v>
      </c>
      <c r="C709" s="328"/>
      <c r="D709" s="328"/>
      <c r="E709" s="328"/>
      <c r="F709" s="328"/>
      <c r="G709" s="328"/>
      <c r="H709" s="328"/>
      <c r="I709" s="328"/>
      <c r="J709" s="328"/>
      <c r="K709" s="328"/>
      <c r="L709" s="328"/>
      <c r="M709" s="328"/>
      <c r="N709" s="328"/>
      <c r="O709" s="420">
        <v>32</v>
      </c>
      <c r="P709" s="420">
        <v>31.01</v>
      </c>
      <c r="Q709" s="415">
        <v>2</v>
      </c>
      <c r="R709" s="415">
        <v>3</v>
      </c>
      <c r="S709" s="409">
        <v>3.02</v>
      </c>
      <c r="T709" s="409">
        <v>3.02</v>
      </c>
      <c r="U709" s="409">
        <v>3.02</v>
      </c>
      <c r="V709" s="409">
        <v>3.02</v>
      </c>
      <c r="W709" s="409">
        <v>3.02</v>
      </c>
      <c r="X709" s="409">
        <v>3.02</v>
      </c>
      <c r="Y709" s="415">
        <v>3.02</v>
      </c>
      <c r="Z709" s="409">
        <v>3.02</v>
      </c>
      <c r="AA709" s="409">
        <v>3.02</v>
      </c>
      <c r="AB709" s="409">
        <v>3.02</v>
      </c>
      <c r="AC709" s="409">
        <v>3.02</v>
      </c>
      <c r="AD709" s="409">
        <v>3.02</v>
      </c>
      <c r="AE709" s="420">
        <v>3</v>
      </c>
      <c r="AF709" s="1281">
        <v>2</v>
      </c>
    </row>
    <row r="710" spans="1:33">
      <c r="A710" s="1369">
        <v>31.01</v>
      </c>
      <c r="B710" s="415">
        <v>32</v>
      </c>
      <c r="C710" s="328"/>
      <c r="D710" s="328"/>
      <c r="E710" s="328"/>
      <c r="F710" s="328"/>
      <c r="G710" s="328"/>
      <c r="H710" s="328"/>
      <c r="I710" s="328"/>
      <c r="J710" s="328"/>
      <c r="K710" s="328"/>
      <c r="L710" s="328"/>
      <c r="M710" s="328"/>
      <c r="N710" s="328"/>
      <c r="O710" s="420">
        <v>32</v>
      </c>
      <c r="P710" s="422">
        <v>31.01</v>
      </c>
      <c r="Q710" s="420">
        <v>2</v>
      </c>
      <c r="R710" s="415">
        <v>3</v>
      </c>
      <c r="S710" s="415">
        <v>3.02</v>
      </c>
      <c r="T710" s="415">
        <v>3.02</v>
      </c>
      <c r="U710" s="415">
        <v>3.02</v>
      </c>
      <c r="V710" s="415">
        <v>3.02</v>
      </c>
      <c r="W710" s="415">
        <v>3.02</v>
      </c>
      <c r="X710" s="415">
        <v>3.02</v>
      </c>
      <c r="Y710" s="409">
        <v>3.02</v>
      </c>
      <c r="Z710" s="409">
        <v>3.02</v>
      </c>
      <c r="AA710" s="409">
        <v>3.02</v>
      </c>
      <c r="AB710" s="409">
        <v>3.02</v>
      </c>
      <c r="AC710" s="409">
        <v>3.02</v>
      </c>
      <c r="AD710" s="415">
        <v>3.02</v>
      </c>
      <c r="AE710" s="420">
        <v>3</v>
      </c>
      <c r="AF710" s="1734">
        <v>2</v>
      </c>
    </row>
    <row r="711" spans="1:33">
      <c r="A711" s="1369">
        <v>30.02</v>
      </c>
      <c r="B711" s="415">
        <v>32</v>
      </c>
      <c r="C711" s="328"/>
      <c r="D711" s="328"/>
      <c r="E711" s="328"/>
      <c r="F711" s="328"/>
      <c r="G711" s="328"/>
      <c r="H711" s="328"/>
      <c r="I711" s="328"/>
      <c r="J711" s="328"/>
      <c r="K711" s="328"/>
      <c r="L711" s="328"/>
      <c r="M711" s="328"/>
      <c r="N711" s="328"/>
      <c r="O711" s="420">
        <v>32</v>
      </c>
      <c r="P711" s="422">
        <v>30.02</v>
      </c>
      <c r="Q711" s="420">
        <v>2</v>
      </c>
      <c r="R711" s="415">
        <v>3</v>
      </c>
      <c r="S711" s="409">
        <v>3.02</v>
      </c>
      <c r="T711" s="409">
        <v>3.02</v>
      </c>
      <c r="U711" s="409">
        <v>3.02</v>
      </c>
      <c r="V711" s="409">
        <v>3.02</v>
      </c>
      <c r="W711" s="415">
        <v>3.02</v>
      </c>
      <c r="X711" s="409">
        <v>3.02</v>
      </c>
      <c r="Y711" s="409">
        <v>3.02</v>
      </c>
      <c r="Z711" s="409">
        <v>3.02</v>
      </c>
      <c r="AA711" s="409">
        <v>3.02</v>
      </c>
      <c r="AB711" s="409">
        <v>3.02</v>
      </c>
      <c r="AC711" s="415">
        <v>3.02</v>
      </c>
      <c r="AD711" s="409">
        <v>3.02</v>
      </c>
      <c r="AE711" s="420">
        <v>3</v>
      </c>
      <c r="AF711" s="1734">
        <v>2</v>
      </c>
    </row>
    <row r="712" spans="1:33">
      <c r="A712" s="1369">
        <v>31.01</v>
      </c>
      <c r="B712" s="415">
        <v>32</v>
      </c>
      <c r="C712" s="328"/>
      <c r="D712" s="328"/>
      <c r="E712" s="328"/>
      <c r="F712" s="328"/>
      <c r="G712" s="328"/>
      <c r="H712" s="328"/>
      <c r="I712" s="328"/>
      <c r="J712" s="328"/>
      <c r="K712" s="328"/>
      <c r="L712" s="328"/>
      <c r="M712" s="328"/>
      <c r="N712" s="328"/>
      <c r="O712" s="420">
        <v>32</v>
      </c>
      <c r="P712" s="422">
        <v>31.01</v>
      </c>
      <c r="Q712" s="420">
        <v>2</v>
      </c>
      <c r="R712" s="415">
        <v>3</v>
      </c>
      <c r="S712" s="409">
        <v>3.02</v>
      </c>
      <c r="T712" s="409">
        <v>3.02</v>
      </c>
      <c r="U712" s="409">
        <v>3.02</v>
      </c>
      <c r="V712" s="415">
        <v>3.02</v>
      </c>
      <c r="W712" s="409">
        <v>3.02</v>
      </c>
      <c r="X712" s="409">
        <v>3.02</v>
      </c>
      <c r="Y712" s="409">
        <v>3.02</v>
      </c>
      <c r="Z712" s="409">
        <v>3.02</v>
      </c>
      <c r="AA712" s="409">
        <v>3.02</v>
      </c>
      <c r="AB712" s="415">
        <v>3.02</v>
      </c>
      <c r="AC712" s="409">
        <v>3.02</v>
      </c>
      <c r="AD712" s="409">
        <v>3.02</v>
      </c>
      <c r="AE712" s="420">
        <v>3</v>
      </c>
      <c r="AF712" s="1734">
        <v>2</v>
      </c>
    </row>
    <row r="713" spans="1:33">
      <c r="A713" s="491">
        <v>31.01</v>
      </c>
      <c r="B713" s="415">
        <v>32</v>
      </c>
      <c r="C713" s="328"/>
      <c r="D713" s="328"/>
      <c r="E713" s="328"/>
      <c r="F713" s="328"/>
      <c r="G713" s="328"/>
      <c r="H713" s="328"/>
      <c r="I713" s="328"/>
      <c r="J713" s="328"/>
      <c r="K713" s="328"/>
      <c r="L713" s="328"/>
      <c r="M713" s="328"/>
      <c r="N713" s="328"/>
      <c r="O713" s="420">
        <v>32</v>
      </c>
      <c r="P713" s="420">
        <v>31.01</v>
      </c>
      <c r="Q713" s="415">
        <v>2</v>
      </c>
      <c r="R713" s="415">
        <v>3</v>
      </c>
      <c r="S713" s="409">
        <v>3.02</v>
      </c>
      <c r="T713" s="409">
        <v>3.02</v>
      </c>
      <c r="U713" s="415">
        <v>3.02</v>
      </c>
      <c r="V713" s="409">
        <v>3.02</v>
      </c>
      <c r="W713" s="409">
        <v>3.02</v>
      </c>
      <c r="X713" s="409">
        <v>3.02</v>
      </c>
      <c r="Y713" s="409">
        <v>3.02</v>
      </c>
      <c r="Z713" s="409">
        <v>3.02</v>
      </c>
      <c r="AA713" s="415">
        <v>3.02</v>
      </c>
      <c r="AB713" s="409">
        <v>3.02</v>
      </c>
      <c r="AC713" s="409">
        <v>3.02</v>
      </c>
      <c r="AD713" s="409">
        <v>3.02</v>
      </c>
      <c r="AE713" s="420">
        <v>3</v>
      </c>
      <c r="AF713" s="1281">
        <v>2</v>
      </c>
    </row>
    <row r="714" spans="1:33">
      <c r="A714" s="1369">
        <v>31.01</v>
      </c>
      <c r="B714" s="415">
        <v>32</v>
      </c>
      <c r="C714" s="328"/>
      <c r="D714" s="328"/>
      <c r="E714" s="328"/>
      <c r="F714" s="328"/>
      <c r="G714" s="328"/>
      <c r="H714" s="328"/>
      <c r="I714" s="328"/>
      <c r="J714" s="328"/>
      <c r="K714" s="328"/>
      <c r="L714" s="328"/>
      <c r="M714" s="328"/>
      <c r="N714" s="328"/>
      <c r="O714" s="420">
        <v>32</v>
      </c>
      <c r="P714" s="422">
        <v>31.01</v>
      </c>
      <c r="Q714" s="420">
        <v>2</v>
      </c>
      <c r="R714" s="415">
        <v>3</v>
      </c>
      <c r="S714" s="409">
        <v>3.02</v>
      </c>
      <c r="T714" s="415">
        <v>3.02</v>
      </c>
      <c r="U714" s="409">
        <v>3.02</v>
      </c>
      <c r="V714" s="409">
        <v>3.02</v>
      </c>
      <c r="W714" s="409">
        <v>3.02</v>
      </c>
      <c r="X714" s="409">
        <v>3.02</v>
      </c>
      <c r="Y714" s="409">
        <v>3.02</v>
      </c>
      <c r="Z714" s="415">
        <v>3.02</v>
      </c>
      <c r="AA714" s="409">
        <v>3.02</v>
      </c>
      <c r="AB714" s="409">
        <v>3.02</v>
      </c>
      <c r="AC714" s="409">
        <v>3.02</v>
      </c>
      <c r="AD714" s="409">
        <v>3.02</v>
      </c>
      <c r="AE714" s="420">
        <v>3</v>
      </c>
      <c r="AF714" s="1734">
        <v>2</v>
      </c>
    </row>
    <row r="715" spans="1:33">
      <c r="A715" s="1369">
        <v>30.02</v>
      </c>
      <c r="B715" s="415">
        <v>32</v>
      </c>
      <c r="C715" s="328"/>
      <c r="D715" s="328"/>
      <c r="E715" s="328"/>
      <c r="F715" s="328"/>
      <c r="G715" s="328"/>
      <c r="H715" s="328"/>
      <c r="I715" s="328"/>
      <c r="J715" s="328"/>
      <c r="K715" s="328"/>
      <c r="L715" s="328"/>
      <c r="M715" s="328"/>
      <c r="N715" s="328"/>
      <c r="O715" s="420">
        <v>32</v>
      </c>
      <c r="P715" s="422">
        <v>30.02</v>
      </c>
      <c r="Q715" s="420">
        <v>2</v>
      </c>
      <c r="R715" s="415">
        <v>3</v>
      </c>
      <c r="S715" s="415">
        <v>3.02</v>
      </c>
      <c r="T715" s="409">
        <v>3.02</v>
      </c>
      <c r="U715" s="409">
        <v>3.02</v>
      </c>
      <c r="V715" s="409">
        <v>3.02</v>
      </c>
      <c r="W715" s="409">
        <v>3.02</v>
      </c>
      <c r="X715" s="409">
        <v>3.02</v>
      </c>
      <c r="Y715" s="415">
        <v>3.02</v>
      </c>
      <c r="Z715" s="415">
        <v>3.02</v>
      </c>
      <c r="AA715" s="415">
        <v>3.02</v>
      </c>
      <c r="AB715" s="415">
        <v>3.02</v>
      </c>
      <c r="AC715" s="415">
        <v>3.02</v>
      </c>
      <c r="AD715" s="415">
        <v>3.02</v>
      </c>
      <c r="AE715" s="420">
        <v>3</v>
      </c>
      <c r="AF715" s="1734">
        <v>2</v>
      </c>
    </row>
    <row r="716" spans="1:33">
      <c r="A716" s="1369">
        <v>31.01</v>
      </c>
      <c r="B716" s="415">
        <v>32</v>
      </c>
      <c r="C716" s="328"/>
      <c r="D716" s="328"/>
      <c r="E716" s="328"/>
      <c r="F716" s="328"/>
      <c r="G716" s="328"/>
      <c r="H716" s="328"/>
      <c r="I716" s="328"/>
      <c r="J716" s="328"/>
      <c r="K716" s="328"/>
      <c r="L716" s="328"/>
      <c r="M716" s="328"/>
      <c r="N716" s="328"/>
      <c r="O716" s="420">
        <v>32</v>
      </c>
      <c r="P716" s="422">
        <v>31.01</v>
      </c>
      <c r="Q716" s="420">
        <v>2</v>
      </c>
      <c r="R716" s="415">
        <v>3</v>
      </c>
      <c r="S716" s="409">
        <v>3.02</v>
      </c>
      <c r="T716" s="409">
        <v>3.02</v>
      </c>
      <c r="U716" s="409">
        <v>3.02</v>
      </c>
      <c r="V716" s="409">
        <v>3.02</v>
      </c>
      <c r="W716" s="409">
        <v>3.02</v>
      </c>
      <c r="X716" s="415">
        <v>3.02</v>
      </c>
      <c r="Y716" s="409">
        <v>3.02</v>
      </c>
      <c r="Z716" s="409">
        <v>3.02</v>
      </c>
      <c r="AA716" s="409">
        <v>3.02</v>
      </c>
      <c r="AB716" s="409">
        <v>3.02</v>
      </c>
      <c r="AC716" s="409">
        <v>3.02</v>
      </c>
      <c r="AD716" s="409">
        <v>3.02</v>
      </c>
      <c r="AE716" s="420">
        <v>3</v>
      </c>
      <c r="AF716" s="1734">
        <v>2</v>
      </c>
    </row>
    <row r="717" spans="1:33">
      <c r="A717" s="491">
        <v>31.01</v>
      </c>
      <c r="B717" s="415">
        <v>32</v>
      </c>
      <c r="C717" s="328"/>
      <c r="D717" s="328"/>
      <c r="E717" s="328"/>
      <c r="F717" s="328"/>
      <c r="G717" s="328"/>
      <c r="H717" s="328"/>
      <c r="I717" s="328"/>
      <c r="J717" s="328"/>
      <c r="K717" s="328"/>
      <c r="L717" s="328"/>
      <c r="M717" s="328"/>
      <c r="N717" s="328"/>
      <c r="O717" s="420">
        <v>32</v>
      </c>
      <c r="P717" s="420">
        <v>31.01</v>
      </c>
      <c r="Q717" s="415">
        <v>2</v>
      </c>
      <c r="R717" s="415">
        <v>3</v>
      </c>
      <c r="S717" s="409">
        <v>3.02</v>
      </c>
      <c r="T717" s="415">
        <v>3.02</v>
      </c>
      <c r="U717" s="409">
        <v>3.02</v>
      </c>
      <c r="V717" s="409">
        <v>3.02</v>
      </c>
      <c r="W717" s="415">
        <v>3.02</v>
      </c>
      <c r="X717" s="409">
        <v>3.02</v>
      </c>
      <c r="Y717" s="409">
        <v>3.02</v>
      </c>
      <c r="Z717" s="409">
        <v>3.02</v>
      </c>
      <c r="AA717" s="409">
        <v>3.02</v>
      </c>
      <c r="AB717" s="409">
        <v>3.02</v>
      </c>
      <c r="AC717" s="409">
        <v>3.02</v>
      </c>
      <c r="AD717" s="409">
        <v>3.02</v>
      </c>
      <c r="AE717" s="420">
        <v>3</v>
      </c>
      <c r="AF717" s="1281">
        <v>2</v>
      </c>
    </row>
    <row r="718" spans="1:33">
      <c r="A718" s="1369">
        <v>31.01</v>
      </c>
      <c r="B718" s="415">
        <v>32</v>
      </c>
      <c r="C718" s="328"/>
      <c r="D718" s="328"/>
      <c r="E718" s="328"/>
      <c r="F718" s="328"/>
      <c r="G718" s="328"/>
      <c r="H718" s="328"/>
      <c r="I718" s="328"/>
      <c r="J718" s="328"/>
      <c r="K718" s="328"/>
      <c r="L718" s="328"/>
      <c r="M718" s="328"/>
      <c r="N718" s="328"/>
      <c r="O718" s="420">
        <v>32</v>
      </c>
      <c r="P718" s="422">
        <v>31.01</v>
      </c>
      <c r="Q718" s="420">
        <v>2</v>
      </c>
      <c r="R718" s="415">
        <v>3</v>
      </c>
      <c r="S718" s="420">
        <v>3.02</v>
      </c>
      <c r="T718" s="409">
        <v>3.02</v>
      </c>
      <c r="U718" s="409">
        <v>3.02</v>
      </c>
      <c r="V718" s="415">
        <v>3.02</v>
      </c>
      <c r="W718" s="409">
        <v>3.02</v>
      </c>
      <c r="X718" s="409">
        <v>3.02</v>
      </c>
      <c r="Y718" s="409">
        <v>3.02</v>
      </c>
      <c r="Z718" s="409">
        <v>3.02</v>
      </c>
      <c r="AA718" s="409">
        <v>3.02</v>
      </c>
      <c r="AB718" s="409">
        <v>3.02</v>
      </c>
      <c r="AC718" s="409">
        <v>3.02</v>
      </c>
      <c r="AD718" s="409">
        <v>3.02</v>
      </c>
      <c r="AE718" s="420">
        <v>3</v>
      </c>
      <c r="AF718" s="1734">
        <v>2</v>
      </c>
    </row>
    <row r="719" spans="1:33">
      <c r="A719" s="1369">
        <v>30.02</v>
      </c>
      <c r="B719" s="415">
        <v>32</v>
      </c>
      <c r="C719" s="420">
        <v>32</v>
      </c>
      <c r="D719" s="420">
        <v>32</v>
      </c>
      <c r="E719" s="420">
        <v>32</v>
      </c>
      <c r="F719" s="420">
        <v>32</v>
      </c>
      <c r="G719" s="420">
        <v>32</v>
      </c>
      <c r="H719" s="420">
        <v>32</v>
      </c>
      <c r="I719" s="420">
        <v>32</v>
      </c>
      <c r="J719" s="420">
        <v>32</v>
      </c>
      <c r="K719" s="420">
        <v>32</v>
      </c>
      <c r="L719" s="420">
        <v>32</v>
      </c>
      <c r="M719" s="420">
        <v>32</v>
      </c>
      <c r="N719" s="420">
        <v>32</v>
      </c>
      <c r="O719" s="420">
        <v>32</v>
      </c>
      <c r="P719" s="422">
        <v>30.02</v>
      </c>
      <c r="Q719" s="420">
        <v>2</v>
      </c>
      <c r="R719" s="415">
        <v>3</v>
      </c>
      <c r="S719" s="420">
        <v>3</v>
      </c>
      <c r="T719" s="420">
        <v>3</v>
      </c>
      <c r="U719" s="420">
        <v>3</v>
      </c>
      <c r="V719" s="420">
        <v>3</v>
      </c>
      <c r="W719" s="420">
        <v>3</v>
      </c>
      <c r="X719" s="420">
        <v>3</v>
      </c>
      <c r="Y719" s="420">
        <v>3</v>
      </c>
      <c r="Z719" s="420">
        <v>3</v>
      </c>
      <c r="AA719" s="420">
        <v>3</v>
      </c>
      <c r="AB719" s="420">
        <v>3</v>
      </c>
      <c r="AC719" s="420">
        <v>3</v>
      </c>
      <c r="AD719" s="420">
        <v>3</v>
      </c>
      <c r="AE719" s="420">
        <v>3</v>
      </c>
      <c r="AF719" s="1734">
        <v>2</v>
      </c>
    </row>
    <row r="720" spans="1:33">
      <c r="A720" s="1251">
        <v>31.01</v>
      </c>
      <c r="B720" s="422">
        <v>31.01</v>
      </c>
      <c r="C720" s="422">
        <v>30.02</v>
      </c>
      <c r="D720" s="422">
        <v>31.01</v>
      </c>
      <c r="E720" s="420">
        <v>31.01</v>
      </c>
      <c r="F720" s="422">
        <v>31.01</v>
      </c>
      <c r="G720" s="422">
        <v>30.02</v>
      </c>
      <c r="H720" s="422">
        <v>31.01</v>
      </c>
      <c r="I720" s="420">
        <v>31.01</v>
      </c>
      <c r="J720" s="422">
        <v>31.01</v>
      </c>
      <c r="K720" s="422">
        <v>30.02</v>
      </c>
      <c r="L720" s="422">
        <v>31.01</v>
      </c>
      <c r="M720" s="420">
        <v>31.01</v>
      </c>
      <c r="N720" s="422">
        <v>31.01</v>
      </c>
      <c r="O720" s="422">
        <v>30.02</v>
      </c>
      <c r="P720" s="420">
        <v>31.01</v>
      </c>
      <c r="Q720" s="420">
        <v>2</v>
      </c>
      <c r="R720" s="409">
        <v>2</v>
      </c>
      <c r="S720" s="409">
        <v>2</v>
      </c>
      <c r="T720" s="409">
        <v>2</v>
      </c>
      <c r="U720" s="420">
        <v>2</v>
      </c>
      <c r="V720" s="409">
        <v>2</v>
      </c>
      <c r="W720" s="409">
        <v>2</v>
      </c>
      <c r="X720" s="409">
        <v>2</v>
      </c>
      <c r="Y720" s="420">
        <v>2</v>
      </c>
      <c r="Z720" s="409">
        <v>2</v>
      </c>
      <c r="AA720" s="409">
        <v>2</v>
      </c>
      <c r="AB720" s="409">
        <v>2</v>
      </c>
      <c r="AC720" s="420">
        <v>2</v>
      </c>
      <c r="AD720" s="409">
        <v>2</v>
      </c>
      <c r="AE720" s="409">
        <v>2</v>
      </c>
      <c r="AF720" s="1281">
        <v>2</v>
      </c>
    </row>
    <row r="721" spans="1:32">
      <c r="A721" s="491">
        <v>31.17</v>
      </c>
      <c r="B721" s="420">
        <v>31.17</v>
      </c>
      <c r="C721" s="420">
        <v>30.18</v>
      </c>
      <c r="D721" s="420">
        <v>31.17</v>
      </c>
      <c r="E721" s="415">
        <v>31.17</v>
      </c>
      <c r="F721" s="420">
        <v>31.17</v>
      </c>
      <c r="G721" s="420">
        <v>30.18</v>
      </c>
      <c r="H721" s="420">
        <v>31.17</v>
      </c>
      <c r="I721" s="415">
        <v>31.17</v>
      </c>
      <c r="J721" s="420">
        <v>31.17</v>
      </c>
      <c r="K721" s="420">
        <v>30.18</v>
      </c>
      <c r="L721" s="420">
        <v>31.17</v>
      </c>
      <c r="M721" s="415">
        <v>31.17</v>
      </c>
      <c r="N721" s="420">
        <v>31.17</v>
      </c>
      <c r="O721" s="420">
        <v>30.18</v>
      </c>
      <c r="P721" s="420">
        <v>31.17</v>
      </c>
      <c r="Q721" s="415">
        <v>2</v>
      </c>
      <c r="R721" s="420">
        <v>2</v>
      </c>
      <c r="S721" s="420">
        <v>2</v>
      </c>
      <c r="T721" s="420">
        <v>2</v>
      </c>
      <c r="U721" s="415">
        <v>2</v>
      </c>
      <c r="V721" s="420">
        <v>2</v>
      </c>
      <c r="W721" s="420">
        <v>2</v>
      </c>
      <c r="X721" s="420">
        <v>2</v>
      </c>
      <c r="Y721" s="415">
        <v>2</v>
      </c>
      <c r="Z721" s="420">
        <v>2</v>
      </c>
      <c r="AA721" s="420">
        <v>2</v>
      </c>
      <c r="AB721" s="420">
        <v>2</v>
      </c>
      <c r="AC721" s="415">
        <v>2</v>
      </c>
      <c r="AD721" s="420">
        <v>2</v>
      </c>
      <c r="AE721" s="420">
        <v>2</v>
      </c>
      <c r="AF721" s="1281">
        <v>2</v>
      </c>
    </row>
    <row r="722" spans="1:32">
      <c r="A722" s="1251">
        <v>31.17</v>
      </c>
      <c r="B722" s="415">
        <v>32.159999999999997</v>
      </c>
      <c r="C722" s="415">
        <v>32.159999999999997</v>
      </c>
      <c r="D722" s="415">
        <v>32.159999999999997</v>
      </c>
      <c r="E722" s="415">
        <v>32.159999999999997</v>
      </c>
      <c r="F722" s="415">
        <v>32.159999999999997</v>
      </c>
      <c r="G722" s="415">
        <v>32.159999999999997</v>
      </c>
      <c r="H722" s="415">
        <v>32.159999999999997</v>
      </c>
      <c r="I722" s="415">
        <v>32.159999999999997</v>
      </c>
      <c r="J722" s="415">
        <v>32.159999999999997</v>
      </c>
      <c r="K722" s="415">
        <v>32.159999999999997</v>
      </c>
      <c r="L722" s="415">
        <v>32.159999999999997</v>
      </c>
      <c r="M722" s="415">
        <v>32.159999999999997</v>
      </c>
      <c r="N722" s="415">
        <v>32.159999999999997</v>
      </c>
      <c r="O722" s="415">
        <v>32.159999999999997</v>
      </c>
      <c r="P722" s="409">
        <v>31.17</v>
      </c>
      <c r="Q722" s="420">
        <v>16.16</v>
      </c>
      <c r="R722" s="415">
        <v>16.16</v>
      </c>
      <c r="S722" s="415">
        <v>16.16</v>
      </c>
      <c r="T722" s="415">
        <v>16.16</v>
      </c>
      <c r="U722" s="415">
        <v>16.16</v>
      </c>
      <c r="V722" s="415">
        <v>16.16</v>
      </c>
      <c r="W722" s="415">
        <v>16.16</v>
      </c>
      <c r="X722" s="415">
        <v>16.16</v>
      </c>
      <c r="Y722" s="415">
        <v>16.16</v>
      </c>
      <c r="Z722" s="415">
        <v>16.16</v>
      </c>
      <c r="AA722" s="415">
        <v>16.16</v>
      </c>
      <c r="AB722" s="415">
        <v>16.16</v>
      </c>
      <c r="AC722" s="415">
        <v>16.16</v>
      </c>
      <c r="AD722" s="415">
        <v>16.16</v>
      </c>
      <c r="AE722" s="415">
        <v>16.16</v>
      </c>
      <c r="AF722" s="1734">
        <v>16.16</v>
      </c>
    </row>
    <row r="723" spans="1:32">
      <c r="A723" s="1251">
        <v>30.18</v>
      </c>
      <c r="B723" s="415">
        <v>32.159999999999997</v>
      </c>
      <c r="C723" s="409">
        <v>18.16</v>
      </c>
      <c r="D723" s="409">
        <v>18.16</v>
      </c>
      <c r="E723" s="409">
        <v>18.16</v>
      </c>
      <c r="F723" s="409">
        <v>18.16</v>
      </c>
      <c r="G723" s="409">
        <v>18.16</v>
      </c>
      <c r="H723" s="409">
        <v>18.16</v>
      </c>
      <c r="I723" s="409">
        <v>18.16</v>
      </c>
      <c r="J723" s="409">
        <v>18.16</v>
      </c>
      <c r="K723" s="415">
        <v>18.16</v>
      </c>
      <c r="L723" s="409">
        <v>18.16</v>
      </c>
      <c r="M723" s="409">
        <v>18.16</v>
      </c>
      <c r="N723" s="415">
        <v>18.16</v>
      </c>
      <c r="O723" s="420">
        <v>32.159999999999997</v>
      </c>
      <c r="P723" s="409">
        <v>30.18</v>
      </c>
      <c r="Q723" s="420">
        <v>16.16</v>
      </c>
      <c r="R723" s="415">
        <v>16.16</v>
      </c>
      <c r="S723" s="409">
        <v>16.16</v>
      </c>
      <c r="T723" s="409">
        <v>16.16</v>
      </c>
      <c r="U723" s="409">
        <v>16.16</v>
      </c>
      <c r="V723" s="415">
        <v>16.16</v>
      </c>
      <c r="W723" s="409">
        <v>16.16</v>
      </c>
      <c r="X723" s="409">
        <v>16.16</v>
      </c>
      <c r="Y723" s="409">
        <v>16.16</v>
      </c>
      <c r="Z723" s="409">
        <v>16.16</v>
      </c>
      <c r="AA723" s="415">
        <v>16.16</v>
      </c>
      <c r="AB723" s="409">
        <v>16.16</v>
      </c>
      <c r="AC723" s="409">
        <v>16.16</v>
      </c>
      <c r="AD723" s="409">
        <v>16.16</v>
      </c>
      <c r="AE723" s="420">
        <v>16.16</v>
      </c>
      <c r="AF723" s="1734">
        <v>16.16</v>
      </c>
    </row>
    <row r="724" spans="1:32">
      <c r="A724" s="1251">
        <v>31.17</v>
      </c>
      <c r="B724" s="415">
        <v>32.159999999999997</v>
      </c>
      <c r="C724" s="409">
        <v>18.16</v>
      </c>
      <c r="D724" s="409">
        <v>18.16</v>
      </c>
      <c r="E724" s="409">
        <v>18.16</v>
      </c>
      <c r="F724" s="409">
        <v>18.16</v>
      </c>
      <c r="G724" s="409">
        <v>18.16</v>
      </c>
      <c r="H724" s="409">
        <v>18.16</v>
      </c>
      <c r="I724" s="409">
        <v>18.16</v>
      </c>
      <c r="J724" s="415">
        <v>18.16</v>
      </c>
      <c r="K724" s="409">
        <v>18.16</v>
      </c>
      <c r="L724" s="409">
        <v>18.16</v>
      </c>
      <c r="M724" s="415">
        <v>18.16</v>
      </c>
      <c r="N724" s="409">
        <v>18.16</v>
      </c>
      <c r="O724" s="420">
        <v>32.159999999999997</v>
      </c>
      <c r="P724" s="409">
        <v>31.17</v>
      </c>
      <c r="Q724" s="420">
        <v>16.16</v>
      </c>
      <c r="R724" s="415">
        <v>16.16</v>
      </c>
      <c r="S724" s="409">
        <v>16.16</v>
      </c>
      <c r="T724" s="415">
        <v>16.16</v>
      </c>
      <c r="U724" s="409">
        <v>16.16</v>
      </c>
      <c r="V724" s="415">
        <v>16.16</v>
      </c>
      <c r="W724" s="409">
        <v>16.16</v>
      </c>
      <c r="X724" s="409">
        <v>16.16</v>
      </c>
      <c r="Y724" s="409">
        <v>16.16</v>
      </c>
      <c r="Z724" s="409">
        <v>16.16</v>
      </c>
      <c r="AA724" s="415">
        <v>16.16</v>
      </c>
      <c r="AB724" s="409">
        <v>16.16</v>
      </c>
      <c r="AC724" s="415">
        <v>16.16</v>
      </c>
      <c r="AD724" s="409">
        <v>16.16</v>
      </c>
      <c r="AE724" s="420">
        <v>16.16</v>
      </c>
      <c r="AF724" s="1734">
        <v>16.16</v>
      </c>
    </row>
    <row r="725" spans="1:32">
      <c r="A725" s="491">
        <v>31.17</v>
      </c>
      <c r="B725" s="415">
        <v>32.159999999999997</v>
      </c>
      <c r="C725" s="409">
        <v>18.16</v>
      </c>
      <c r="D725" s="409">
        <v>18.16</v>
      </c>
      <c r="E725" s="409">
        <v>18.16</v>
      </c>
      <c r="F725" s="409">
        <v>18.16</v>
      </c>
      <c r="G725" s="409">
        <v>18.16</v>
      </c>
      <c r="H725" s="409">
        <v>18.16</v>
      </c>
      <c r="I725" s="415">
        <v>18.16</v>
      </c>
      <c r="J725" s="409">
        <v>18.16</v>
      </c>
      <c r="K725" s="409">
        <v>18.16</v>
      </c>
      <c r="L725" s="409">
        <v>18.16</v>
      </c>
      <c r="M725" s="409">
        <v>18.16</v>
      </c>
      <c r="N725" s="409">
        <v>18.16</v>
      </c>
      <c r="O725" s="420">
        <v>32.159999999999997</v>
      </c>
      <c r="P725" s="420">
        <v>31.17</v>
      </c>
      <c r="Q725" s="415">
        <v>16.16</v>
      </c>
      <c r="R725" s="415">
        <v>16.16</v>
      </c>
      <c r="S725" s="409">
        <v>16.16</v>
      </c>
      <c r="T725" s="409">
        <v>16.16</v>
      </c>
      <c r="U725" s="409">
        <v>16.16</v>
      </c>
      <c r="V725" s="415">
        <v>16.16</v>
      </c>
      <c r="W725" s="409">
        <v>16.16</v>
      </c>
      <c r="X725" s="409">
        <v>16.16</v>
      </c>
      <c r="Y725" s="409">
        <v>16.16</v>
      </c>
      <c r="Z725" s="409">
        <v>16.16</v>
      </c>
      <c r="AA725" s="415">
        <v>16.16</v>
      </c>
      <c r="AB725" s="409">
        <v>16.16</v>
      </c>
      <c r="AC725" s="409">
        <v>16.16</v>
      </c>
      <c r="AD725" s="409">
        <v>16.16</v>
      </c>
      <c r="AE725" s="420">
        <v>16.16</v>
      </c>
      <c r="AF725" s="1281">
        <v>16.16</v>
      </c>
    </row>
    <row r="726" spans="1:32">
      <c r="A726" s="1251">
        <v>31.17</v>
      </c>
      <c r="B726" s="415">
        <v>32.159999999999997</v>
      </c>
      <c r="C726" s="415">
        <v>18.16</v>
      </c>
      <c r="D726" s="415">
        <v>18.16</v>
      </c>
      <c r="E726" s="415">
        <v>18.16</v>
      </c>
      <c r="F726" s="415">
        <v>18.16</v>
      </c>
      <c r="G726" s="415">
        <v>18.16</v>
      </c>
      <c r="H726" s="415">
        <v>18.16</v>
      </c>
      <c r="I726" s="409">
        <v>18.16</v>
      </c>
      <c r="J726" s="409">
        <v>18.16</v>
      </c>
      <c r="K726" s="409">
        <v>18.16</v>
      </c>
      <c r="L726" s="409">
        <v>18.16</v>
      </c>
      <c r="M726" s="409">
        <v>18.16</v>
      </c>
      <c r="N726" s="415">
        <v>18.16</v>
      </c>
      <c r="O726" s="420">
        <v>32.159999999999997</v>
      </c>
      <c r="P726" s="409">
        <v>31.17</v>
      </c>
      <c r="Q726" s="420">
        <v>16.16</v>
      </c>
      <c r="R726" s="415">
        <v>16.16</v>
      </c>
      <c r="S726" s="409">
        <v>16.16</v>
      </c>
      <c r="T726" s="409">
        <v>16.16</v>
      </c>
      <c r="U726" s="409">
        <v>16.16</v>
      </c>
      <c r="V726" s="415">
        <v>16.16</v>
      </c>
      <c r="W726" s="409">
        <v>16.16</v>
      </c>
      <c r="X726" s="409">
        <v>16.16</v>
      </c>
      <c r="Y726" s="409">
        <v>16.16</v>
      </c>
      <c r="Z726" s="409">
        <v>16.16</v>
      </c>
      <c r="AA726" s="415">
        <v>16.16</v>
      </c>
      <c r="AB726" s="409">
        <v>16.16</v>
      </c>
      <c r="AC726" s="409">
        <v>16.16</v>
      </c>
      <c r="AD726" s="409">
        <v>16.16</v>
      </c>
      <c r="AE726" s="420">
        <v>16.16</v>
      </c>
      <c r="AF726" s="1734">
        <v>16.16</v>
      </c>
    </row>
    <row r="727" spans="1:32">
      <c r="A727" s="1251">
        <v>30.18</v>
      </c>
      <c r="B727" s="415">
        <v>32.159999999999997</v>
      </c>
      <c r="C727" s="409">
        <v>18.16</v>
      </c>
      <c r="D727" s="409">
        <v>18.16</v>
      </c>
      <c r="E727" s="409">
        <v>18.16</v>
      </c>
      <c r="F727" s="409">
        <v>18.16</v>
      </c>
      <c r="G727" s="415">
        <v>18.16</v>
      </c>
      <c r="H727" s="409">
        <v>18.16</v>
      </c>
      <c r="I727" s="409">
        <v>18.16</v>
      </c>
      <c r="J727" s="409">
        <v>18.16</v>
      </c>
      <c r="K727" s="409">
        <v>18.16</v>
      </c>
      <c r="L727" s="409">
        <v>18.16</v>
      </c>
      <c r="M727" s="415">
        <v>18.16</v>
      </c>
      <c r="N727" s="409">
        <v>18.16</v>
      </c>
      <c r="O727" s="420">
        <v>32.159999999999997</v>
      </c>
      <c r="P727" s="409">
        <v>30.18</v>
      </c>
      <c r="Q727" s="420">
        <v>16.16</v>
      </c>
      <c r="R727" s="415">
        <v>16.16</v>
      </c>
      <c r="S727" s="409">
        <v>16.16</v>
      </c>
      <c r="T727" s="409">
        <v>16.16</v>
      </c>
      <c r="U727" s="409">
        <v>16.16</v>
      </c>
      <c r="V727" s="415">
        <v>16.16</v>
      </c>
      <c r="W727" s="409">
        <v>16.16</v>
      </c>
      <c r="X727" s="409">
        <v>16.16</v>
      </c>
      <c r="Y727" s="409">
        <v>16.16</v>
      </c>
      <c r="Z727" s="409">
        <v>16.16</v>
      </c>
      <c r="AA727" s="415">
        <v>16.16</v>
      </c>
      <c r="AB727" s="409">
        <v>16.16</v>
      </c>
      <c r="AC727" s="409">
        <v>16.16</v>
      </c>
      <c r="AD727" s="409">
        <v>16.16</v>
      </c>
      <c r="AE727" s="420">
        <v>16.16</v>
      </c>
      <c r="AF727" s="1734">
        <v>16.16</v>
      </c>
    </row>
    <row r="728" spans="1:32">
      <c r="A728" s="1251">
        <v>31.17</v>
      </c>
      <c r="B728" s="415">
        <v>32.159999999999997</v>
      </c>
      <c r="C728" s="409">
        <v>18.16</v>
      </c>
      <c r="D728" s="409">
        <v>18.16</v>
      </c>
      <c r="E728" s="409">
        <v>18.16</v>
      </c>
      <c r="F728" s="415">
        <v>18.16</v>
      </c>
      <c r="G728" s="409">
        <v>18.16</v>
      </c>
      <c r="H728" s="409">
        <v>18.16</v>
      </c>
      <c r="I728" s="409">
        <v>18.16</v>
      </c>
      <c r="J728" s="409">
        <v>18.16</v>
      </c>
      <c r="K728" s="409">
        <v>18.16</v>
      </c>
      <c r="L728" s="415">
        <v>18.16</v>
      </c>
      <c r="M728" s="409">
        <v>18.16</v>
      </c>
      <c r="N728" s="409">
        <v>18.16</v>
      </c>
      <c r="O728" s="420">
        <v>32.159999999999997</v>
      </c>
      <c r="P728" s="409">
        <v>31.17</v>
      </c>
      <c r="Q728" s="420">
        <v>16.16</v>
      </c>
      <c r="R728" s="415">
        <v>16.16</v>
      </c>
      <c r="S728" s="409">
        <v>16.16</v>
      </c>
      <c r="T728" s="409">
        <v>16.16</v>
      </c>
      <c r="U728" s="409">
        <v>16.16</v>
      </c>
      <c r="V728" s="415">
        <v>16.16</v>
      </c>
      <c r="W728" s="409">
        <v>16.16</v>
      </c>
      <c r="X728" s="409">
        <v>16.16</v>
      </c>
      <c r="Y728" s="409">
        <v>16.16</v>
      </c>
      <c r="Z728" s="409">
        <v>16.16</v>
      </c>
      <c r="AA728" s="415">
        <v>16.16</v>
      </c>
      <c r="AB728" s="409">
        <v>16.16</v>
      </c>
      <c r="AC728" s="409">
        <v>16.16</v>
      </c>
      <c r="AD728" s="409">
        <v>16.16</v>
      </c>
      <c r="AE728" s="420">
        <v>16.16</v>
      </c>
      <c r="AF728" s="1734">
        <v>16.16</v>
      </c>
    </row>
    <row r="729" spans="1:32">
      <c r="A729" s="491">
        <v>31.17</v>
      </c>
      <c r="B729" s="415">
        <v>32.159999999999997</v>
      </c>
      <c r="C729" s="409">
        <v>18.16</v>
      </c>
      <c r="D729" s="409">
        <v>18.16</v>
      </c>
      <c r="E729" s="415">
        <v>18.16</v>
      </c>
      <c r="F729" s="409">
        <v>18.16</v>
      </c>
      <c r="G729" s="409">
        <v>18.16</v>
      </c>
      <c r="H729" s="409">
        <v>18.16</v>
      </c>
      <c r="I729" s="409">
        <v>18.16</v>
      </c>
      <c r="J729" s="409">
        <v>18.16</v>
      </c>
      <c r="K729" s="415">
        <v>18.16</v>
      </c>
      <c r="L729" s="409">
        <v>18.16</v>
      </c>
      <c r="M729" s="409">
        <v>18.16</v>
      </c>
      <c r="N729" s="409">
        <v>18.16</v>
      </c>
      <c r="O729" s="420">
        <v>32.159999999999997</v>
      </c>
      <c r="P729" s="420">
        <v>31.17</v>
      </c>
      <c r="Q729" s="415">
        <v>16.16</v>
      </c>
      <c r="R729" s="415">
        <v>16.16</v>
      </c>
      <c r="S729" s="409">
        <v>16.16</v>
      </c>
      <c r="T729" s="409">
        <v>16.16</v>
      </c>
      <c r="U729" s="409">
        <v>16.16</v>
      </c>
      <c r="V729" s="415">
        <v>16.16</v>
      </c>
      <c r="W729" s="409">
        <v>16.16</v>
      </c>
      <c r="X729" s="409">
        <v>16.16</v>
      </c>
      <c r="Y729" s="409">
        <v>16.16</v>
      </c>
      <c r="Z729" s="409">
        <v>16.16</v>
      </c>
      <c r="AA729" s="415">
        <v>16.16</v>
      </c>
      <c r="AB729" s="409">
        <v>16.16</v>
      </c>
      <c r="AC729" s="409">
        <v>16.16</v>
      </c>
      <c r="AD729" s="409">
        <v>16.16</v>
      </c>
      <c r="AE729" s="420">
        <v>16.16</v>
      </c>
      <c r="AF729" s="1281">
        <v>16.16</v>
      </c>
    </row>
    <row r="730" spans="1:32">
      <c r="A730" s="1251">
        <v>31.17</v>
      </c>
      <c r="B730" s="415">
        <v>32.159999999999997</v>
      </c>
      <c r="C730" s="409">
        <v>18.16</v>
      </c>
      <c r="D730" s="415">
        <v>18.16</v>
      </c>
      <c r="E730" s="409">
        <v>18.16</v>
      </c>
      <c r="F730" s="409">
        <v>18.16</v>
      </c>
      <c r="G730" s="409">
        <v>18.16</v>
      </c>
      <c r="H730" s="409">
        <v>18.16</v>
      </c>
      <c r="I730" s="409">
        <v>18.16</v>
      </c>
      <c r="J730" s="415">
        <v>18.16</v>
      </c>
      <c r="K730" s="409">
        <v>18.16</v>
      </c>
      <c r="L730" s="409">
        <v>18.16</v>
      </c>
      <c r="M730" s="409">
        <v>18.16</v>
      </c>
      <c r="N730" s="409">
        <v>18.16</v>
      </c>
      <c r="O730" s="420">
        <v>32.159999999999997</v>
      </c>
      <c r="P730" s="409">
        <v>31.17</v>
      </c>
      <c r="Q730" s="420">
        <v>16.16</v>
      </c>
      <c r="R730" s="415">
        <v>16.16</v>
      </c>
      <c r="S730" s="409">
        <v>16.16</v>
      </c>
      <c r="T730" s="409">
        <v>16.16</v>
      </c>
      <c r="U730" s="409">
        <v>16.16</v>
      </c>
      <c r="V730" s="415">
        <v>16.16</v>
      </c>
      <c r="W730" s="409">
        <v>16.16</v>
      </c>
      <c r="X730" s="409">
        <v>16.16</v>
      </c>
      <c r="Y730" s="409">
        <v>16.16</v>
      </c>
      <c r="Z730" s="409">
        <v>16.16</v>
      </c>
      <c r="AA730" s="415">
        <v>16.16</v>
      </c>
      <c r="AB730" s="409">
        <v>16.16</v>
      </c>
      <c r="AC730" s="409">
        <v>16.16</v>
      </c>
      <c r="AD730" s="409">
        <v>16.16</v>
      </c>
      <c r="AE730" s="420">
        <v>16.16</v>
      </c>
      <c r="AF730" s="1734">
        <v>16.16</v>
      </c>
    </row>
    <row r="731" spans="1:32">
      <c r="A731" s="1251">
        <v>30.18</v>
      </c>
      <c r="B731" s="415">
        <v>32.159999999999997</v>
      </c>
      <c r="C731" s="415">
        <v>18.16</v>
      </c>
      <c r="D731" s="409">
        <v>18.16</v>
      </c>
      <c r="E731" s="409">
        <v>18.16</v>
      </c>
      <c r="F731" s="409">
        <v>18.16</v>
      </c>
      <c r="G731" s="409">
        <v>18.16</v>
      </c>
      <c r="H731" s="409">
        <v>18.16</v>
      </c>
      <c r="I731" s="415">
        <v>18.16</v>
      </c>
      <c r="J731" s="415">
        <v>18.16</v>
      </c>
      <c r="K731" s="415">
        <v>18.16</v>
      </c>
      <c r="L731" s="415">
        <v>18.16</v>
      </c>
      <c r="M731" s="415">
        <v>18.16</v>
      </c>
      <c r="N731" s="415">
        <v>18.16</v>
      </c>
      <c r="O731" s="420">
        <v>32.159999999999997</v>
      </c>
      <c r="P731" s="409">
        <v>30.18</v>
      </c>
      <c r="Q731" s="420">
        <v>16.16</v>
      </c>
      <c r="R731" s="415">
        <v>16.16</v>
      </c>
      <c r="S731" s="409">
        <v>16.16</v>
      </c>
      <c r="T731" s="409">
        <v>16.16</v>
      </c>
      <c r="U731" s="409">
        <v>16.16</v>
      </c>
      <c r="V731" s="415">
        <v>16.16</v>
      </c>
      <c r="W731" s="409">
        <v>16.16</v>
      </c>
      <c r="X731" s="409">
        <v>16.16</v>
      </c>
      <c r="Y731" s="409">
        <v>16.16</v>
      </c>
      <c r="Z731" s="409">
        <v>16.16</v>
      </c>
      <c r="AA731" s="415">
        <v>16.16</v>
      </c>
      <c r="AB731" s="409">
        <v>16.16</v>
      </c>
      <c r="AC731" s="409">
        <v>16.16</v>
      </c>
      <c r="AD731" s="409">
        <v>16.16</v>
      </c>
      <c r="AE731" s="420">
        <v>16.16</v>
      </c>
      <c r="AF731" s="1734">
        <v>16.16</v>
      </c>
    </row>
    <row r="732" spans="1:32">
      <c r="A732" s="1251">
        <v>31.17</v>
      </c>
      <c r="B732" s="415">
        <v>32.159999999999997</v>
      </c>
      <c r="C732" s="409">
        <v>18.16</v>
      </c>
      <c r="D732" s="409">
        <v>18.16</v>
      </c>
      <c r="E732" s="409">
        <v>18.16</v>
      </c>
      <c r="F732" s="409">
        <v>18.16</v>
      </c>
      <c r="G732" s="409">
        <v>18.16</v>
      </c>
      <c r="H732" s="415">
        <v>18.16</v>
      </c>
      <c r="I732" s="409">
        <v>18.16</v>
      </c>
      <c r="J732" s="409">
        <v>18.16</v>
      </c>
      <c r="K732" s="409">
        <v>18.16</v>
      </c>
      <c r="L732" s="409">
        <v>18.16</v>
      </c>
      <c r="M732" s="409">
        <v>18.16</v>
      </c>
      <c r="N732" s="409">
        <v>18.16</v>
      </c>
      <c r="O732" s="420">
        <v>32.159999999999997</v>
      </c>
      <c r="P732" s="409">
        <v>31.17</v>
      </c>
      <c r="Q732" s="420">
        <v>16.16</v>
      </c>
      <c r="R732" s="415">
        <v>16.16</v>
      </c>
      <c r="S732" s="409">
        <v>16.16</v>
      </c>
      <c r="T732" s="409">
        <v>16.16</v>
      </c>
      <c r="U732" s="409">
        <v>16.16</v>
      </c>
      <c r="V732" s="415">
        <v>16.16</v>
      </c>
      <c r="W732" s="409">
        <v>16.16</v>
      </c>
      <c r="X732" s="409">
        <v>16.16</v>
      </c>
      <c r="Y732" s="409">
        <v>16.16</v>
      </c>
      <c r="Z732" s="409">
        <v>16.16</v>
      </c>
      <c r="AA732" s="415">
        <v>16.16</v>
      </c>
      <c r="AB732" s="409">
        <v>16.16</v>
      </c>
      <c r="AC732" s="409">
        <v>16.16</v>
      </c>
      <c r="AD732" s="409">
        <v>16.16</v>
      </c>
      <c r="AE732" s="420">
        <v>16.16</v>
      </c>
      <c r="AF732" s="1734">
        <v>16.16</v>
      </c>
    </row>
    <row r="733" spans="1:32">
      <c r="A733" s="491">
        <v>31.17</v>
      </c>
      <c r="B733" s="415">
        <v>32.159999999999997</v>
      </c>
      <c r="C733" s="409">
        <v>18.16</v>
      </c>
      <c r="D733" s="415">
        <v>18.16</v>
      </c>
      <c r="E733" s="409">
        <v>18.16</v>
      </c>
      <c r="F733" s="409">
        <v>18.16</v>
      </c>
      <c r="G733" s="415">
        <v>18.16</v>
      </c>
      <c r="H733" s="409">
        <v>18.16</v>
      </c>
      <c r="I733" s="409">
        <v>18.16</v>
      </c>
      <c r="J733" s="409">
        <v>18.16</v>
      </c>
      <c r="K733" s="409">
        <v>18.16</v>
      </c>
      <c r="L733" s="409">
        <v>18.16</v>
      </c>
      <c r="M733" s="409">
        <v>18.16</v>
      </c>
      <c r="N733" s="409">
        <v>18.16</v>
      </c>
      <c r="O733" s="420">
        <v>32.159999999999997</v>
      </c>
      <c r="P733" s="420">
        <v>31.17</v>
      </c>
      <c r="Q733" s="415">
        <v>16.16</v>
      </c>
      <c r="R733" s="415">
        <v>16.16</v>
      </c>
      <c r="S733" s="409">
        <v>16.16</v>
      </c>
      <c r="T733" s="415">
        <v>16.16</v>
      </c>
      <c r="U733" s="409">
        <v>16.16</v>
      </c>
      <c r="V733" s="415">
        <v>16.16</v>
      </c>
      <c r="W733" s="409">
        <v>16.16</v>
      </c>
      <c r="X733" s="409">
        <v>16.16</v>
      </c>
      <c r="Y733" s="409">
        <v>16.16</v>
      </c>
      <c r="Z733" s="409">
        <v>16.16</v>
      </c>
      <c r="AA733" s="415">
        <v>16.16</v>
      </c>
      <c r="AB733" s="409">
        <v>16.16</v>
      </c>
      <c r="AC733" s="415">
        <v>16.16</v>
      </c>
      <c r="AD733" s="409">
        <v>16.16</v>
      </c>
      <c r="AE733" s="420">
        <v>16.16</v>
      </c>
      <c r="AF733" s="1281">
        <v>16.16</v>
      </c>
    </row>
    <row r="734" spans="1:32">
      <c r="A734" s="1251">
        <v>31.17</v>
      </c>
      <c r="B734" s="415">
        <v>32.159999999999997</v>
      </c>
      <c r="C734" s="420">
        <v>18.16</v>
      </c>
      <c r="D734" s="409">
        <v>18.16</v>
      </c>
      <c r="E734" s="409">
        <v>18.16</v>
      </c>
      <c r="F734" s="415">
        <v>18.16</v>
      </c>
      <c r="G734" s="409">
        <v>18.16</v>
      </c>
      <c r="H734" s="409">
        <v>18.16</v>
      </c>
      <c r="I734" s="409">
        <v>18.16</v>
      </c>
      <c r="J734" s="409">
        <v>18.16</v>
      </c>
      <c r="K734" s="409">
        <v>18.16</v>
      </c>
      <c r="L734" s="409">
        <v>18.16</v>
      </c>
      <c r="M734" s="409">
        <v>18.16</v>
      </c>
      <c r="N734" s="409">
        <v>18.16</v>
      </c>
      <c r="O734" s="420">
        <v>32.159999999999997</v>
      </c>
      <c r="P734" s="409">
        <v>31.17</v>
      </c>
      <c r="Q734" s="420">
        <v>16.16</v>
      </c>
      <c r="R734" s="415">
        <v>16.16</v>
      </c>
      <c r="S734" s="409">
        <v>16.16</v>
      </c>
      <c r="T734" s="409">
        <v>16.16</v>
      </c>
      <c r="U734" s="409">
        <v>16.16</v>
      </c>
      <c r="V734" s="415">
        <v>16.16</v>
      </c>
      <c r="W734" s="409">
        <v>16.16</v>
      </c>
      <c r="X734" s="409">
        <v>16.16</v>
      </c>
      <c r="Y734" s="409">
        <v>16.16</v>
      </c>
      <c r="Z734" s="409">
        <v>16.16</v>
      </c>
      <c r="AA734" s="415">
        <v>16.16</v>
      </c>
      <c r="AB734" s="409">
        <v>16.16</v>
      </c>
      <c r="AC734" s="409">
        <v>16.16</v>
      </c>
      <c r="AD734" s="409">
        <v>16.16</v>
      </c>
      <c r="AE734" s="420">
        <v>16.16</v>
      </c>
      <c r="AF734" s="1734">
        <v>16.16</v>
      </c>
    </row>
    <row r="735" spans="1:32">
      <c r="A735" s="1251">
        <v>30.18</v>
      </c>
      <c r="B735" s="415">
        <v>32.159999999999997</v>
      </c>
      <c r="C735" s="420">
        <v>32.159999999999997</v>
      </c>
      <c r="D735" s="420">
        <v>32.159999999999997</v>
      </c>
      <c r="E735" s="420">
        <v>32.159999999999997</v>
      </c>
      <c r="F735" s="420">
        <v>32.159999999999997</v>
      </c>
      <c r="G735" s="420">
        <v>32.159999999999997</v>
      </c>
      <c r="H735" s="420">
        <v>32.159999999999997</v>
      </c>
      <c r="I735" s="420">
        <v>32.159999999999997</v>
      </c>
      <c r="J735" s="420">
        <v>32.159999999999997</v>
      </c>
      <c r="K735" s="420">
        <v>32.159999999999997</v>
      </c>
      <c r="L735" s="420">
        <v>32.159999999999997</v>
      </c>
      <c r="M735" s="420">
        <v>32.159999999999997</v>
      </c>
      <c r="N735" s="420">
        <v>32.159999999999997</v>
      </c>
      <c r="O735" s="420">
        <v>32.159999999999997</v>
      </c>
      <c r="P735" s="409">
        <v>30.18</v>
      </c>
      <c r="Q735" s="420">
        <v>16.16</v>
      </c>
      <c r="R735" s="415">
        <v>16.16</v>
      </c>
      <c r="S735" s="420">
        <v>16.16</v>
      </c>
      <c r="T735" s="420">
        <v>16.16</v>
      </c>
      <c r="U735" s="420">
        <v>16.16</v>
      </c>
      <c r="V735" s="420">
        <v>16.16</v>
      </c>
      <c r="W735" s="420">
        <v>16.16</v>
      </c>
      <c r="X735" s="420">
        <v>16.16</v>
      </c>
      <c r="Y735" s="420">
        <v>16.16</v>
      </c>
      <c r="Z735" s="420">
        <v>16.16</v>
      </c>
      <c r="AA735" s="420">
        <v>16.16</v>
      </c>
      <c r="AB735" s="420">
        <v>16.16</v>
      </c>
      <c r="AC735" s="420">
        <v>16.16</v>
      </c>
      <c r="AD735" s="420">
        <v>16.16</v>
      </c>
      <c r="AE735" s="420">
        <v>16.16</v>
      </c>
      <c r="AF735" s="1734">
        <v>16.16</v>
      </c>
    </row>
    <row r="736" spans="1:32">
      <c r="A736" s="1251">
        <v>31.17</v>
      </c>
      <c r="B736" s="409">
        <v>31.17</v>
      </c>
      <c r="C736" s="409">
        <v>30.18</v>
      </c>
      <c r="D736" s="409">
        <v>31.17</v>
      </c>
      <c r="E736" s="420">
        <v>31.17</v>
      </c>
      <c r="F736" s="409">
        <v>31.17</v>
      </c>
      <c r="G736" s="409">
        <v>30.18</v>
      </c>
      <c r="H736" s="409">
        <v>31.17</v>
      </c>
      <c r="I736" s="420">
        <v>31.17</v>
      </c>
      <c r="J736" s="409">
        <v>31.17</v>
      </c>
      <c r="K736" s="409">
        <v>30.18</v>
      </c>
      <c r="L736" s="409">
        <v>31.17</v>
      </c>
      <c r="M736" s="420">
        <v>31.17</v>
      </c>
      <c r="N736" s="409">
        <v>31.17</v>
      </c>
      <c r="O736" s="409">
        <v>30.18</v>
      </c>
      <c r="P736" s="420">
        <v>31.17</v>
      </c>
      <c r="Q736" s="420">
        <v>16.16</v>
      </c>
      <c r="R736" s="409">
        <v>16.16</v>
      </c>
      <c r="S736" s="409">
        <v>16.16</v>
      </c>
      <c r="T736" s="409">
        <v>16.16</v>
      </c>
      <c r="U736" s="420">
        <v>16.16</v>
      </c>
      <c r="V736" s="409">
        <v>16.16</v>
      </c>
      <c r="W736" s="409">
        <v>16.16</v>
      </c>
      <c r="X736" s="409">
        <v>16.16</v>
      </c>
      <c r="Y736" s="420">
        <v>16.16</v>
      </c>
      <c r="Z736" s="409">
        <v>16.16</v>
      </c>
      <c r="AA736" s="409">
        <v>16.16</v>
      </c>
      <c r="AB736" s="409">
        <v>16.16</v>
      </c>
      <c r="AC736" s="420">
        <v>16.16</v>
      </c>
      <c r="AD736" s="409">
        <v>16.16</v>
      </c>
      <c r="AE736" s="409">
        <v>16.16</v>
      </c>
      <c r="AF736" s="1281">
        <v>16.16</v>
      </c>
    </row>
    <row r="737" spans="1:33">
      <c r="A737" s="1249">
        <v>9</v>
      </c>
      <c r="B737" s="1250">
        <v>9</v>
      </c>
      <c r="C737" s="1250">
        <v>8</v>
      </c>
      <c r="D737" s="1250">
        <v>9</v>
      </c>
      <c r="E737" s="490">
        <v>9</v>
      </c>
      <c r="F737" s="1250">
        <v>9</v>
      </c>
      <c r="G737" s="1250">
        <v>8</v>
      </c>
      <c r="H737" s="1250">
        <v>9</v>
      </c>
      <c r="I737" s="490">
        <v>9</v>
      </c>
      <c r="J737" s="1250">
        <v>9</v>
      </c>
      <c r="K737" s="1250">
        <v>8</v>
      </c>
      <c r="L737" s="1250">
        <v>9</v>
      </c>
      <c r="M737" s="490">
        <v>9</v>
      </c>
      <c r="N737" s="1250">
        <v>9</v>
      </c>
      <c r="O737" s="1250">
        <v>8</v>
      </c>
      <c r="P737" s="1250">
        <v>9</v>
      </c>
      <c r="Q737" s="490">
        <v>9</v>
      </c>
      <c r="R737" s="1250">
        <v>9</v>
      </c>
      <c r="S737" s="1250">
        <v>8</v>
      </c>
      <c r="T737" s="1250">
        <v>9</v>
      </c>
      <c r="U737" s="490">
        <v>9</v>
      </c>
      <c r="V737" s="1250">
        <v>9</v>
      </c>
      <c r="W737" s="1250">
        <v>8</v>
      </c>
      <c r="X737" s="1250">
        <v>9</v>
      </c>
      <c r="Y737" s="490">
        <v>9</v>
      </c>
      <c r="Z737" s="1250">
        <v>9</v>
      </c>
      <c r="AA737" s="1250">
        <v>8</v>
      </c>
      <c r="AB737" s="1250">
        <v>9</v>
      </c>
      <c r="AC737" s="490">
        <v>9</v>
      </c>
      <c r="AD737" s="1250">
        <v>9</v>
      </c>
      <c r="AE737" s="1250">
        <v>9</v>
      </c>
      <c r="AF737" s="3827">
        <v>9</v>
      </c>
      <c r="AG737">
        <v>24</v>
      </c>
    </row>
    <row r="738" spans="1:33">
      <c r="A738" s="1251">
        <v>9</v>
      </c>
      <c r="B738" s="415">
        <v>10</v>
      </c>
      <c r="C738" s="415">
        <v>10</v>
      </c>
      <c r="D738" s="415">
        <v>10</v>
      </c>
      <c r="E738" s="415">
        <v>10</v>
      </c>
      <c r="F738" s="415">
        <v>10</v>
      </c>
      <c r="G738" s="415">
        <v>10</v>
      </c>
      <c r="H738" s="415">
        <v>10</v>
      </c>
      <c r="I738" s="415">
        <v>10</v>
      </c>
      <c r="J738" s="415">
        <v>10</v>
      </c>
      <c r="K738" s="415">
        <v>10</v>
      </c>
      <c r="L738" s="415">
        <v>10</v>
      </c>
      <c r="M738" s="415">
        <v>10</v>
      </c>
      <c r="N738" s="415">
        <v>10</v>
      </c>
      <c r="O738" s="415">
        <v>10</v>
      </c>
      <c r="P738" s="415">
        <v>10</v>
      </c>
      <c r="Q738" s="415">
        <v>10</v>
      </c>
      <c r="R738" s="415">
        <v>10</v>
      </c>
      <c r="S738" s="415">
        <v>10</v>
      </c>
      <c r="T738" s="415">
        <v>10</v>
      </c>
      <c r="U738" s="415">
        <v>10</v>
      </c>
      <c r="V738" s="415">
        <v>10</v>
      </c>
      <c r="W738" s="415">
        <v>10</v>
      </c>
      <c r="X738" s="415">
        <v>10</v>
      </c>
      <c r="Y738" s="415">
        <v>10</v>
      </c>
      <c r="Z738" s="415">
        <v>10</v>
      </c>
      <c r="AA738" s="415">
        <v>10</v>
      </c>
      <c r="AB738" s="415">
        <v>10</v>
      </c>
      <c r="AC738" s="415">
        <v>10</v>
      </c>
      <c r="AD738" s="415">
        <v>10</v>
      </c>
      <c r="AE738" s="415">
        <v>10</v>
      </c>
      <c r="AF738" s="1734">
        <v>9</v>
      </c>
    </row>
    <row r="739" spans="1:33">
      <c r="A739" s="1251">
        <v>8</v>
      </c>
      <c r="B739" s="415">
        <v>10</v>
      </c>
      <c r="C739" s="415">
        <v>10.08</v>
      </c>
      <c r="D739" s="409">
        <v>10.08</v>
      </c>
      <c r="E739" s="415">
        <v>10.08</v>
      </c>
      <c r="F739" s="409">
        <v>10.08</v>
      </c>
      <c r="G739" s="409">
        <v>10.08</v>
      </c>
      <c r="H739" s="409">
        <v>10.08</v>
      </c>
      <c r="I739" s="409">
        <v>10.08</v>
      </c>
      <c r="J739" s="409">
        <v>10.08</v>
      </c>
      <c r="K739" s="409">
        <v>10.08</v>
      </c>
      <c r="L739" s="409">
        <v>10.08</v>
      </c>
      <c r="M739" s="409">
        <v>10.08</v>
      </c>
      <c r="N739" s="409">
        <v>10.08</v>
      </c>
      <c r="O739" s="409">
        <v>10.08</v>
      </c>
      <c r="P739" s="409">
        <v>10.08</v>
      </c>
      <c r="Q739" s="409">
        <v>10.08</v>
      </c>
      <c r="R739" s="409">
        <v>10.08</v>
      </c>
      <c r="S739" s="409">
        <v>10.08</v>
      </c>
      <c r="T739" s="409">
        <v>10.08</v>
      </c>
      <c r="U739" s="409">
        <v>10.08</v>
      </c>
      <c r="V739" s="409">
        <v>10.08</v>
      </c>
      <c r="W739" s="409">
        <v>10.08</v>
      </c>
      <c r="X739" s="409">
        <v>10.08</v>
      </c>
      <c r="Y739" s="409">
        <v>10.08</v>
      </c>
      <c r="Z739" s="409">
        <v>10.08</v>
      </c>
      <c r="AA739" s="409">
        <v>10.08</v>
      </c>
      <c r="AB739" s="415">
        <v>10.08</v>
      </c>
      <c r="AC739" s="409">
        <v>10.08</v>
      </c>
      <c r="AD739" s="415">
        <v>10.08</v>
      </c>
      <c r="AE739" s="420">
        <v>10</v>
      </c>
      <c r="AF739" s="1734">
        <v>8</v>
      </c>
    </row>
    <row r="740" spans="1:33">
      <c r="A740" s="1251">
        <v>9</v>
      </c>
      <c r="B740" s="415">
        <v>10</v>
      </c>
      <c r="C740" s="409">
        <v>10.08</v>
      </c>
      <c r="D740" s="414">
        <v>10.08</v>
      </c>
      <c r="E740" s="409">
        <v>10.08</v>
      </c>
      <c r="F740" s="415">
        <v>10.08</v>
      </c>
      <c r="G740" s="409">
        <v>10.08</v>
      </c>
      <c r="H740" s="409">
        <v>10.08</v>
      </c>
      <c r="I740" s="409">
        <v>10.08</v>
      </c>
      <c r="J740" s="409">
        <v>10.08</v>
      </c>
      <c r="K740" s="409">
        <v>10.08</v>
      </c>
      <c r="L740" s="409">
        <v>10.08</v>
      </c>
      <c r="M740" s="409">
        <v>10.08</v>
      </c>
      <c r="N740" s="409">
        <v>10.08</v>
      </c>
      <c r="O740" s="409">
        <v>10.08</v>
      </c>
      <c r="P740" s="409">
        <v>10.08</v>
      </c>
      <c r="Q740" s="409">
        <v>10.08</v>
      </c>
      <c r="R740" s="409">
        <v>10.08</v>
      </c>
      <c r="S740" s="409">
        <v>10.08</v>
      </c>
      <c r="T740" s="409">
        <v>10.08</v>
      </c>
      <c r="U740" s="409">
        <v>10.08</v>
      </c>
      <c r="V740" s="409">
        <v>10.08</v>
      </c>
      <c r="W740" s="409">
        <v>10.08</v>
      </c>
      <c r="X740" s="409">
        <v>10.08</v>
      </c>
      <c r="Y740" s="409">
        <v>10.08</v>
      </c>
      <c r="Z740" s="409">
        <v>10.08</v>
      </c>
      <c r="AA740" s="415">
        <v>10.08</v>
      </c>
      <c r="AB740" s="409">
        <v>10.08</v>
      </c>
      <c r="AC740" s="414">
        <v>10.08</v>
      </c>
      <c r="AD740" s="409">
        <v>10.08</v>
      </c>
      <c r="AE740" s="420">
        <v>10</v>
      </c>
      <c r="AF740" s="1734">
        <v>9</v>
      </c>
    </row>
    <row r="741" spans="1:33">
      <c r="A741" s="491">
        <v>9</v>
      </c>
      <c r="B741" s="415">
        <v>10</v>
      </c>
      <c r="C741" s="409">
        <v>10.08</v>
      </c>
      <c r="D741" s="409">
        <v>10.08</v>
      </c>
      <c r="E741" s="409">
        <v>10.08</v>
      </c>
      <c r="F741" s="409">
        <v>10.08</v>
      </c>
      <c r="G741" s="415">
        <v>10.08</v>
      </c>
      <c r="H741" s="409">
        <v>10.08</v>
      </c>
      <c r="I741" s="409">
        <v>10.08</v>
      </c>
      <c r="J741" s="409">
        <v>10.08</v>
      </c>
      <c r="K741" s="409">
        <v>10.08</v>
      </c>
      <c r="L741" s="409">
        <v>10.08</v>
      </c>
      <c r="M741" s="409">
        <v>10.08</v>
      </c>
      <c r="N741" s="409">
        <v>10.08</v>
      </c>
      <c r="O741" s="409">
        <v>10.08</v>
      </c>
      <c r="P741" s="409">
        <v>10.08</v>
      </c>
      <c r="Q741" s="409">
        <v>10.08</v>
      </c>
      <c r="R741" s="409">
        <v>10.08</v>
      </c>
      <c r="S741" s="409">
        <v>10.08</v>
      </c>
      <c r="T741" s="409">
        <v>10.08</v>
      </c>
      <c r="U741" s="409">
        <v>10.08</v>
      </c>
      <c r="V741" s="409">
        <v>10.08</v>
      </c>
      <c r="W741" s="409">
        <v>10.08</v>
      </c>
      <c r="X741" s="409">
        <v>10.08</v>
      </c>
      <c r="Y741" s="409">
        <v>10.08</v>
      </c>
      <c r="Z741" s="415">
        <v>10.08</v>
      </c>
      <c r="AA741" s="409">
        <v>10.08</v>
      </c>
      <c r="AB741" s="409">
        <v>10.08</v>
      </c>
      <c r="AC741" s="409">
        <v>10.08</v>
      </c>
      <c r="AD741" s="409">
        <v>10.08</v>
      </c>
      <c r="AE741" s="420">
        <v>10</v>
      </c>
      <c r="AF741" s="1281">
        <v>9</v>
      </c>
    </row>
    <row r="742" spans="1:33">
      <c r="A742" s="1251">
        <v>9</v>
      </c>
      <c r="B742" s="415">
        <v>10</v>
      </c>
      <c r="C742" s="415">
        <v>10.08</v>
      </c>
      <c r="D742" s="409">
        <v>10.08</v>
      </c>
      <c r="E742" s="409">
        <v>10.08</v>
      </c>
      <c r="F742" s="409">
        <v>10.08</v>
      </c>
      <c r="G742" s="409">
        <v>10.08</v>
      </c>
      <c r="H742" s="415">
        <v>10.08</v>
      </c>
      <c r="I742" s="414">
        <v>10.08</v>
      </c>
      <c r="J742" s="415">
        <v>10.08</v>
      </c>
      <c r="K742" s="415">
        <v>10.08</v>
      </c>
      <c r="L742" s="415">
        <v>10.08</v>
      </c>
      <c r="M742" s="415">
        <v>10.08</v>
      </c>
      <c r="N742" s="415">
        <v>10.08</v>
      </c>
      <c r="O742" s="415">
        <v>10.08</v>
      </c>
      <c r="P742" s="415">
        <v>10.08</v>
      </c>
      <c r="Q742" s="415">
        <v>10.08</v>
      </c>
      <c r="R742" s="415">
        <v>10.08</v>
      </c>
      <c r="S742" s="415">
        <v>10.08</v>
      </c>
      <c r="T742" s="415">
        <v>10.08</v>
      </c>
      <c r="U742" s="415">
        <v>10.08</v>
      </c>
      <c r="V742" s="415">
        <v>10.08</v>
      </c>
      <c r="W742" s="415">
        <v>10.08</v>
      </c>
      <c r="X742" s="414">
        <v>10.08</v>
      </c>
      <c r="Y742" s="415">
        <v>10.08</v>
      </c>
      <c r="Z742" s="409">
        <v>10.08</v>
      </c>
      <c r="AA742" s="409">
        <v>10.08</v>
      </c>
      <c r="AB742" s="409">
        <v>10.08</v>
      </c>
      <c r="AC742" s="409">
        <v>10.08</v>
      </c>
      <c r="AD742" s="415">
        <v>10.08</v>
      </c>
      <c r="AE742" s="420">
        <v>10</v>
      </c>
      <c r="AF742" s="1734">
        <v>9</v>
      </c>
    </row>
    <row r="743" spans="1:33">
      <c r="A743" s="1251">
        <v>8</v>
      </c>
      <c r="B743" s="415">
        <v>10</v>
      </c>
      <c r="C743" s="409">
        <v>10.08</v>
      </c>
      <c r="D743" s="415">
        <v>10.08</v>
      </c>
      <c r="E743" s="409">
        <v>10.08</v>
      </c>
      <c r="F743" s="409">
        <v>10.08</v>
      </c>
      <c r="G743" s="409">
        <v>10.08</v>
      </c>
      <c r="H743" s="409">
        <v>10.08</v>
      </c>
      <c r="I743" s="415">
        <v>10.08</v>
      </c>
      <c r="J743" s="409">
        <v>10.08</v>
      </c>
      <c r="K743" s="409">
        <v>10.08</v>
      </c>
      <c r="L743" s="409">
        <v>10.08</v>
      </c>
      <c r="M743" s="409">
        <v>10.08</v>
      </c>
      <c r="N743" s="409">
        <v>10.08</v>
      </c>
      <c r="O743" s="409">
        <v>10.08</v>
      </c>
      <c r="P743" s="409">
        <v>10.08</v>
      </c>
      <c r="Q743" s="409">
        <v>10.08</v>
      </c>
      <c r="R743" s="409">
        <v>10.08</v>
      </c>
      <c r="S743" s="409">
        <v>10.08</v>
      </c>
      <c r="T743" s="409">
        <v>10.08</v>
      </c>
      <c r="U743" s="409">
        <v>10.08</v>
      </c>
      <c r="V743" s="409">
        <v>10.08</v>
      </c>
      <c r="W743" s="409">
        <v>10.08</v>
      </c>
      <c r="X743" s="415">
        <v>10.08</v>
      </c>
      <c r="Y743" s="409">
        <v>10.08</v>
      </c>
      <c r="Z743" s="409">
        <v>10.08</v>
      </c>
      <c r="AA743" s="409">
        <v>10.08</v>
      </c>
      <c r="AB743" s="409">
        <v>10.08</v>
      </c>
      <c r="AC743" s="415">
        <v>10.08</v>
      </c>
      <c r="AD743" s="409">
        <v>10.08</v>
      </c>
      <c r="AE743" s="420">
        <v>10</v>
      </c>
      <c r="AF743" s="1734">
        <v>8</v>
      </c>
    </row>
    <row r="744" spans="1:33">
      <c r="A744" s="1251">
        <v>9</v>
      </c>
      <c r="B744" s="415">
        <v>10</v>
      </c>
      <c r="C744" s="409">
        <v>10.08</v>
      </c>
      <c r="D744" s="409">
        <v>10.08</v>
      </c>
      <c r="E744" s="415">
        <v>10.08</v>
      </c>
      <c r="F744" s="409">
        <v>10.08</v>
      </c>
      <c r="G744" s="409">
        <v>10.08</v>
      </c>
      <c r="H744" s="409">
        <v>10.08</v>
      </c>
      <c r="I744" s="409">
        <v>10.08</v>
      </c>
      <c r="J744" s="415">
        <v>10.08</v>
      </c>
      <c r="K744" s="409">
        <v>10.08</v>
      </c>
      <c r="L744" s="409">
        <v>10.08</v>
      </c>
      <c r="M744" s="409">
        <v>10.08</v>
      </c>
      <c r="N744" s="409">
        <v>10.08</v>
      </c>
      <c r="O744" s="409">
        <v>10.08</v>
      </c>
      <c r="P744" s="409">
        <v>10.08</v>
      </c>
      <c r="Q744" s="409">
        <v>10.08</v>
      </c>
      <c r="R744" s="409">
        <v>10.08</v>
      </c>
      <c r="S744" s="409">
        <v>10.08</v>
      </c>
      <c r="T744" s="409">
        <v>10.08</v>
      </c>
      <c r="U744" s="409">
        <v>10.08</v>
      </c>
      <c r="V744" s="409">
        <v>10.08</v>
      </c>
      <c r="W744" s="415">
        <v>10.08</v>
      </c>
      <c r="X744" s="409">
        <v>10.08</v>
      </c>
      <c r="Y744" s="409">
        <v>10.08</v>
      </c>
      <c r="Z744" s="409">
        <v>10.08</v>
      </c>
      <c r="AA744" s="409">
        <v>10.08</v>
      </c>
      <c r="AB744" s="415">
        <v>10.08</v>
      </c>
      <c r="AC744" s="409">
        <v>10.08</v>
      </c>
      <c r="AD744" s="409">
        <v>10.08</v>
      </c>
      <c r="AE744" s="420">
        <v>10</v>
      </c>
      <c r="AF744" s="1734">
        <v>9</v>
      </c>
    </row>
    <row r="745" spans="1:33">
      <c r="A745" s="491">
        <v>9</v>
      </c>
      <c r="B745" s="415">
        <v>10</v>
      </c>
      <c r="C745" s="409">
        <v>10.08</v>
      </c>
      <c r="D745" s="409">
        <v>10.08</v>
      </c>
      <c r="E745" s="409">
        <v>10.08</v>
      </c>
      <c r="F745" s="415">
        <v>10.08</v>
      </c>
      <c r="G745" s="409">
        <v>10.08</v>
      </c>
      <c r="H745" s="409">
        <v>10.08</v>
      </c>
      <c r="I745" s="409">
        <v>10.08</v>
      </c>
      <c r="J745" s="409">
        <v>10.08</v>
      </c>
      <c r="K745" s="415">
        <v>10.08</v>
      </c>
      <c r="L745" s="409">
        <v>10.08</v>
      </c>
      <c r="M745" s="409">
        <v>10.08</v>
      </c>
      <c r="N745" s="409">
        <v>10.08</v>
      </c>
      <c r="O745" s="409">
        <v>10.08</v>
      </c>
      <c r="P745" s="409">
        <v>10.08</v>
      </c>
      <c r="Q745" s="409">
        <v>10.08</v>
      </c>
      <c r="R745" s="409">
        <v>10.08</v>
      </c>
      <c r="S745" s="409">
        <v>10.08</v>
      </c>
      <c r="T745" s="409">
        <v>10.08</v>
      </c>
      <c r="U745" s="409">
        <v>10.08</v>
      </c>
      <c r="V745" s="415">
        <v>10.08</v>
      </c>
      <c r="W745" s="409">
        <v>10.08</v>
      </c>
      <c r="X745" s="409">
        <v>10.08</v>
      </c>
      <c r="Y745" s="409">
        <v>10.08</v>
      </c>
      <c r="Z745" s="409">
        <v>10.08</v>
      </c>
      <c r="AA745" s="415">
        <v>10.08</v>
      </c>
      <c r="AB745" s="409">
        <v>10.08</v>
      </c>
      <c r="AC745" s="409">
        <v>10.08</v>
      </c>
      <c r="AD745" s="409">
        <v>10.08</v>
      </c>
      <c r="AE745" s="420">
        <v>10</v>
      </c>
      <c r="AF745" s="1281">
        <v>9</v>
      </c>
    </row>
    <row r="746" spans="1:33">
      <c r="A746" s="1251">
        <v>9</v>
      </c>
      <c r="B746" s="415">
        <v>10</v>
      </c>
      <c r="C746" s="415">
        <v>10.08</v>
      </c>
      <c r="D746" s="415">
        <v>10.08</v>
      </c>
      <c r="E746" s="415">
        <v>10.08</v>
      </c>
      <c r="F746" s="414">
        <v>10.08</v>
      </c>
      <c r="G746" s="415">
        <v>10.08</v>
      </c>
      <c r="H746" s="409">
        <v>10.08</v>
      </c>
      <c r="I746" s="409">
        <v>10.08</v>
      </c>
      <c r="J746" s="409">
        <v>10.08</v>
      </c>
      <c r="K746" s="409">
        <v>10.08</v>
      </c>
      <c r="L746" s="415">
        <v>10.08</v>
      </c>
      <c r="M746" s="414">
        <v>10.08</v>
      </c>
      <c r="N746" s="415">
        <v>10.08</v>
      </c>
      <c r="O746" s="415">
        <v>10.08</v>
      </c>
      <c r="P746" s="415">
        <v>10.08</v>
      </c>
      <c r="Q746" s="415">
        <v>10.08</v>
      </c>
      <c r="R746" s="415">
        <v>10.08</v>
      </c>
      <c r="S746" s="415">
        <v>10.08</v>
      </c>
      <c r="T746" s="414">
        <v>10.08</v>
      </c>
      <c r="U746" s="415">
        <v>10.08</v>
      </c>
      <c r="V746" s="409">
        <v>10.08</v>
      </c>
      <c r="W746" s="409">
        <v>10.08</v>
      </c>
      <c r="X746" s="409">
        <v>10.08</v>
      </c>
      <c r="Y746" s="409">
        <v>10.08</v>
      </c>
      <c r="Z746" s="415">
        <v>10.08</v>
      </c>
      <c r="AA746" s="414">
        <v>10.08</v>
      </c>
      <c r="AB746" s="415">
        <v>10.08</v>
      </c>
      <c r="AC746" s="415">
        <v>10.08</v>
      </c>
      <c r="AD746" s="415">
        <v>10.08</v>
      </c>
      <c r="AE746" s="420">
        <v>10</v>
      </c>
      <c r="AF746" s="1734">
        <v>9</v>
      </c>
    </row>
    <row r="747" spans="1:33">
      <c r="A747" s="1251">
        <v>8</v>
      </c>
      <c r="B747" s="415">
        <v>10</v>
      </c>
      <c r="C747" s="409">
        <v>10.08</v>
      </c>
      <c r="D747" s="409">
        <v>10.08</v>
      </c>
      <c r="E747" s="409">
        <v>10.08</v>
      </c>
      <c r="F747" s="409">
        <v>10.08</v>
      </c>
      <c r="G747" s="409">
        <v>10.08</v>
      </c>
      <c r="H747" s="415">
        <v>10.08</v>
      </c>
      <c r="I747" s="409">
        <v>10.08</v>
      </c>
      <c r="J747" s="409">
        <v>10.08</v>
      </c>
      <c r="K747" s="409">
        <v>10.08</v>
      </c>
      <c r="L747" s="409">
        <v>10.08</v>
      </c>
      <c r="M747" s="415">
        <v>10.08</v>
      </c>
      <c r="N747" s="409">
        <v>10.08</v>
      </c>
      <c r="O747" s="409">
        <v>10.08</v>
      </c>
      <c r="P747" s="409">
        <v>10.08</v>
      </c>
      <c r="Q747" s="409">
        <v>10.08</v>
      </c>
      <c r="R747" s="409">
        <v>10.08</v>
      </c>
      <c r="S747" s="409">
        <v>10.08</v>
      </c>
      <c r="T747" s="415">
        <v>10.08</v>
      </c>
      <c r="U747" s="409">
        <v>10.08</v>
      </c>
      <c r="V747" s="409">
        <v>10.08</v>
      </c>
      <c r="W747" s="409">
        <v>10.08</v>
      </c>
      <c r="X747" s="409">
        <v>10.08</v>
      </c>
      <c r="Y747" s="415">
        <v>10.08</v>
      </c>
      <c r="Z747" s="409">
        <v>10.08</v>
      </c>
      <c r="AA747" s="409">
        <v>10.08</v>
      </c>
      <c r="AB747" s="409">
        <v>10.08</v>
      </c>
      <c r="AC747" s="409">
        <v>10.08</v>
      </c>
      <c r="AD747" s="409">
        <v>10.08</v>
      </c>
      <c r="AE747" s="420">
        <v>10</v>
      </c>
      <c r="AF747" s="1734">
        <v>8</v>
      </c>
    </row>
    <row r="748" spans="1:33">
      <c r="A748" s="1251">
        <v>9</v>
      </c>
      <c r="B748" s="415">
        <v>10</v>
      </c>
      <c r="C748" s="409">
        <v>10.08</v>
      </c>
      <c r="D748" s="409">
        <v>10.08</v>
      </c>
      <c r="E748" s="409">
        <v>10.08</v>
      </c>
      <c r="F748" s="409">
        <v>10.08</v>
      </c>
      <c r="G748" s="409">
        <v>10.08</v>
      </c>
      <c r="H748" s="409">
        <v>10.08</v>
      </c>
      <c r="I748" s="415">
        <v>10.08</v>
      </c>
      <c r="J748" s="409">
        <v>10.08</v>
      </c>
      <c r="K748" s="409">
        <v>10.08</v>
      </c>
      <c r="L748" s="409">
        <v>10.08</v>
      </c>
      <c r="M748" s="409">
        <v>10.08</v>
      </c>
      <c r="N748" s="415">
        <v>10.08</v>
      </c>
      <c r="O748" s="409">
        <v>10.08</v>
      </c>
      <c r="P748" s="409">
        <v>10.08</v>
      </c>
      <c r="Q748" s="409">
        <v>10.08</v>
      </c>
      <c r="R748" s="409">
        <v>10.08</v>
      </c>
      <c r="S748" s="415">
        <v>10.08</v>
      </c>
      <c r="T748" s="409">
        <v>10.08</v>
      </c>
      <c r="U748" s="409">
        <v>10.08</v>
      </c>
      <c r="V748" s="409">
        <v>10.08</v>
      </c>
      <c r="W748" s="409">
        <v>10.08</v>
      </c>
      <c r="X748" s="415">
        <v>10.08</v>
      </c>
      <c r="Y748" s="409">
        <v>10.08</v>
      </c>
      <c r="Z748" s="409">
        <v>10.08</v>
      </c>
      <c r="AA748" s="409">
        <v>10.08</v>
      </c>
      <c r="AB748" s="409">
        <v>10.08</v>
      </c>
      <c r="AC748" s="409">
        <v>10.08</v>
      </c>
      <c r="AD748" s="409">
        <v>10.08</v>
      </c>
      <c r="AE748" s="420">
        <v>10</v>
      </c>
      <c r="AF748" s="1734">
        <v>9</v>
      </c>
    </row>
    <row r="749" spans="1:33">
      <c r="A749" s="491">
        <v>9</v>
      </c>
      <c r="B749" s="415">
        <v>10</v>
      </c>
      <c r="C749" s="409">
        <v>10.08</v>
      </c>
      <c r="D749" s="409">
        <v>10.08</v>
      </c>
      <c r="E749" s="409">
        <v>10.08</v>
      </c>
      <c r="F749" s="409">
        <v>10.08</v>
      </c>
      <c r="G749" s="409">
        <v>10.08</v>
      </c>
      <c r="H749" s="409">
        <v>10.08</v>
      </c>
      <c r="I749" s="409">
        <v>10.08</v>
      </c>
      <c r="J749" s="415">
        <v>10.08</v>
      </c>
      <c r="K749" s="409">
        <v>10.08</v>
      </c>
      <c r="L749" s="409">
        <v>10.08</v>
      </c>
      <c r="M749" s="409">
        <v>10.08</v>
      </c>
      <c r="N749" s="409">
        <v>10.08</v>
      </c>
      <c r="O749" s="415">
        <v>10.08</v>
      </c>
      <c r="P749" s="409">
        <v>10.08</v>
      </c>
      <c r="Q749" s="409">
        <v>10.08</v>
      </c>
      <c r="R749" s="415">
        <v>10.08</v>
      </c>
      <c r="S749" s="409">
        <v>10.08</v>
      </c>
      <c r="T749" s="409">
        <v>10.08</v>
      </c>
      <c r="U749" s="409">
        <v>10.08</v>
      </c>
      <c r="V749" s="409">
        <v>10.08</v>
      </c>
      <c r="W749" s="415">
        <v>10.08</v>
      </c>
      <c r="X749" s="409">
        <v>10.08</v>
      </c>
      <c r="Y749" s="409">
        <v>10.08</v>
      </c>
      <c r="Z749" s="409">
        <v>10.08</v>
      </c>
      <c r="AA749" s="409">
        <v>10.08</v>
      </c>
      <c r="AB749" s="409">
        <v>10.08</v>
      </c>
      <c r="AC749" s="409">
        <v>10.08</v>
      </c>
      <c r="AD749" s="409">
        <v>10.08</v>
      </c>
      <c r="AE749" s="420">
        <v>10</v>
      </c>
      <c r="AF749" s="1281">
        <v>9</v>
      </c>
    </row>
    <row r="750" spans="1:33">
      <c r="A750" s="1251">
        <v>9</v>
      </c>
      <c r="B750" s="415">
        <v>10</v>
      </c>
      <c r="C750" s="415">
        <v>10.08</v>
      </c>
      <c r="D750" s="415">
        <v>10.08</v>
      </c>
      <c r="E750" s="415">
        <v>10.08</v>
      </c>
      <c r="F750" s="415">
        <v>10.08</v>
      </c>
      <c r="G750" s="415">
        <v>10.08</v>
      </c>
      <c r="H750" s="415">
        <v>10.08</v>
      </c>
      <c r="I750" s="415">
        <v>10.08</v>
      </c>
      <c r="J750" s="414">
        <v>10.08</v>
      </c>
      <c r="K750" s="415">
        <v>10.08</v>
      </c>
      <c r="L750" s="409">
        <v>10.08</v>
      </c>
      <c r="M750" s="409">
        <v>10.08</v>
      </c>
      <c r="N750" s="409">
        <v>10.08</v>
      </c>
      <c r="O750" s="409">
        <v>10.08</v>
      </c>
      <c r="P750" s="415">
        <v>10.08</v>
      </c>
      <c r="Q750" s="415">
        <v>10.08</v>
      </c>
      <c r="R750" s="409">
        <v>10.08</v>
      </c>
      <c r="S750" s="409">
        <v>10.08</v>
      </c>
      <c r="T750" s="409">
        <v>10.08</v>
      </c>
      <c r="U750" s="409">
        <v>10.08</v>
      </c>
      <c r="V750" s="415">
        <v>10.08</v>
      </c>
      <c r="W750" s="414">
        <v>10.08</v>
      </c>
      <c r="X750" s="415">
        <v>10.08</v>
      </c>
      <c r="Y750" s="415">
        <v>10.08</v>
      </c>
      <c r="Z750" s="415">
        <v>10.08</v>
      </c>
      <c r="AA750" s="415">
        <v>10.08</v>
      </c>
      <c r="AB750" s="415">
        <v>10.08</v>
      </c>
      <c r="AC750" s="415">
        <v>10.08</v>
      </c>
      <c r="AD750" s="415">
        <v>10.08</v>
      </c>
      <c r="AE750" s="420">
        <v>10</v>
      </c>
      <c r="AF750" s="1734">
        <v>9</v>
      </c>
    </row>
    <row r="751" spans="1:33">
      <c r="A751" s="1251">
        <v>8</v>
      </c>
      <c r="B751" s="415">
        <v>10</v>
      </c>
      <c r="C751" s="409">
        <v>10.08</v>
      </c>
      <c r="D751" s="409">
        <v>10.08</v>
      </c>
      <c r="E751" s="409">
        <v>10.08</v>
      </c>
      <c r="F751" s="409">
        <v>10.08</v>
      </c>
      <c r="G751" s="409">
        <v>10.08</v>
      </c>
      <c r="H751" s="409">
        <v>10.08</v>
      </c>
      <c r="I751" s="409">
        <v>10.08</v>
      </c>
      <c r="J751" s="409">
        <v>10.08</v>
      </c>
      <c r="K751" s="409">
        <v>10.08</v>
      </c>
      <c r="L751" s="415">
        <v>10.08</v>
      </c>
      <c r="M751" s="409">
        <v>10.08</v>
      </c>
      <c r="N751" s="409">
        <v>10.08</v>
      </c>
      <c r="O751" s="409">
        <v>10.08</v>
      </c>
      <c r="P751" s="415">
        <v>10.08</v>
      </c>
      <c r="Q751" s="409">
        <v>10.08</v>
      </c>
      <c r="R751" s="409">
        <v>10.08</v>
      </c>
      <c r="S751" s="409">
        <v>10.08</v>
      </c>
      <c r="T751" s="409">
        <v>10.08</v>
      </c>
      <c r="U751" s="415">
        <v>10.08</v>
      </c>
      <c r="V751" s="409">
        <v>10.08</v>
      </c>
      <c r="W751" s="409">
        <v>10.08</v>
      </c>
      <c r="X751" s="409">
        <v>10.08</v>
      </c>
      <c r="Y751" s="409">
        <v>10.08</v>
      </c>
      <c r="Z751" s="409">
        <v>10.08</v>
      </c>
      <c r="AA751" s="409">
        <v>10.08</v>
      </c>
      <c r="AB751" s="409">
        <v>10.08</v>
      </c>
      <c r="AC751" s="409">
        <v>10.08</v>
      </c>
      <c r="AD751" s="409">
        <v>10.08</v>
      </c>
      <c r="AE751" s="420">
        <v>10</v>
      </c>
      <c r="AF751" s="1734">
        <v>8</v>
      </c>
    </row>
    <row r="752" spans="1:33">
      <c r="A752" s="1251">
        <v>9</v>
      </c>
      <c r="B752" s="415">
        <v>10</v>
      </c>
      <c r="C752" s="409">
        <v>10.08</v>
      </c>
      <c r="D752" s="409">
        <v>10.08</v>
      </c>
      <c r="E752" s="409">
        <v>10.08</v>
      </c>
      <c r="F752" s="409">
        <v>10.08</v>
      </c>
      <c r="G752" s="409">
        <v>10.08</v>
      </c>
      <c r="H752" s="409">
        <v>10.08</v>
      </c>
      <c r="I752" s="409">
        <v>10.08</v>
      </c>
      <c r="J752" s="409">
        <v>10.08</v>
      </c>
      <c r="K752" s="409">
        <v>10.08</v>
      </c>
      <c r="L752" s="409">
        <v>10.08</v>
      </c>
      <c r="M752" s="415">
        <v>10.08</v>
      </c>
      <c r="N752" s="409">
        <v>10.08</v>
      </c>
      <c r="O752" s="415">
        <v>10.08</v>
      </c>
      <c r="P752" s="409">
        <v>10.08</v>
      </c>
      <c r="Q752" s="409">
        <v>10.08</v>
      </c>
      <c r="R752" s="409">
        <v>10.08</v>
      </c>
      <c r="S752" s="409">
        <v>10.08</v>
      </c>
      <c r="T752" s="415">
        <v>10.08</v>
      </c>
      <c r="U752" s="409">
        <v>10.08</v>
      </c>
      <c r="V752" s="409">
        <v>10.08</v>
      </c>
      <c r="W752" s="409">
        <v>10.08</v>
      </c>
      <c r="X752" s="409">
        <v>10.08</v>
      </c>
      <c r="Y752" s="409">
        <v>10.08</v>
      </c>
      <c r="Z752" s="409">
        <v>10.08</v>
      </c>
      <c r="AA752" s="409">
        <v>10.08</v>
      </c>
      <c r="AB752" s="409">
        <v>10.08</v>
      </c>
      <c r="AC752" s="409">
        <v>10.08</v>
      </c>
      <c r="AD752" s="409">
        <v>10.08</v>
      </c>
      <c r="AE752" s="420">
        <v>10</v>
      </c>
      <c r="AF752" s="1734">
        <v>9</v>
      </c>
    </row>
    <row r="753" spans="1:34">
      <c r="A753" s="491">
        <v>9</v>
      </c>
      <c r="B753" s="415">
        <v>10</v>
      </c>
      <c r="C753" s="409">
        <v>10.08</v>
      </c>
      <c r="D753" s="409">
        <v>10.08</v>
      </c>
      <c r="E753" s="409">
        <v>10.08</v>
      </c>
      <c r="F753" s="409">
        <v>10.08</v>
      </c>
      <c r="G753" s="409">
        <v>10.08</v>
      </c>
      <c r="H753" s="409">
        <v>10.08</v>
      </c>
      <c r="I753" s="409">
        <v>10.08</v>
      </c>
      <c r="J753" s="409">
        <v>10.08</v>
      </c>
      <c r="K753" s="409">
        <v>10.08</v>
      </c>
      <c r="L753" s="409">
        <v>10.08</v>
      </c>
      <c r="M753" s="409">
        <v>10.08</v>
      </c>
      <c r="N753" s="415">
        <v>10.08</v>
      </c>
      <c r="O753" s="409">
        <v>10.08</v>
      </c>
      <c r="P753" s="409">
        <v>10.08</v>
      </c>
      <c r="Q753" s="414">
        <v>10.08</v>
      </c>
      <c r="R753" s="409">
        <v>10.08</v>
      </c>
      <c r="S753" s="415">
        <v>10.08</v>
      </c>
      <c r="T753" s="409">
        <v>10.08</v>
      </c>
      <c r="U753" s="409">
        <v>10.08</v>
      </c>
      <c r="V753" s="409">
        <v>10.08</v>
      </c>
      <c r="W753" s="409">
        <v>10.08</v>
      </c>
      <c r="X753" s="409">
        <v>10.08</v>
      </c>
      <c r="Y753" s="409">
        <v>10.08</v>
      </c>
      <c r="Z753" s="409">
        <v>10.08</v>
      </c>
      <c r="AA753" s="409">
        <v>10.08</v>
      </c>
      <c r="AB753" s="409">
        <v>10.08</v>
      </c>
      <c r="AC753" s="409">
        <v>10.08</v>
      </c>
      <c r="AD753" s="409">
        <v>10.08</v>
      </c>
      <c r="AE753" s="420">
        <v>10</v>
      </c>
      <c r="AF753" s="1281">
        <v>9</v>
      </c>
    </row>
    <row r="754" spans="1:34">
      <c r="A754" s="1251">
        <v>9</v>
      </c>
      <c r="B754" s="415">
        <v>10</v>
      </c>
      <c r="C754" s="415">
        <v>10.08</v>
      </c>
      <c r="D754" s="415">
        <v>10.08</v>
      </c>
      <c r="E754" s="415">
        <v>10.08</v>
      </c>
      <c r="F754" s="415">
        <v>10.08</v>
      </c>
      <c r="G754" s="415">
        <v>10.08</v>
      </c>
      <c r="H754" s="415">
        <v>10.08</v>
      </c>
      <c r="I754" s="415">
        <v>10.08</v>
      </c>
      <c r="J754" s="415">
        <v>10.08</v>
      </c>
      <c r="K754" s="415">
        <v>10.08</v>
      </c>
      <c r="L754" s="414">
        <v>10.08</v>
      </c>
      <c r="M754" s="415">
        <v>10.08</v>
      </c>
      <c r="N754" s="409">
        <v>10.08</v>
      </c>
      <c r="O754" s="409">
        <v>10.08</v>
      </c>
      <c r="P754" s="409">
        <v>10.08</v>
      </c>
      <c r="Q754" s="409">
        <v>10.08</v>
      </c>
      <c r="R754" s="415">
        <v>10.08</v>
      </c>
      <c r="S754" s="409">
        <v>10.08</v>
      </c>
      <c r="T754" s="415">
        <v>10.08</v>
      </c>
      <c r="U754" s="414">
        <v>10.08</v>
      </c>
      <c r="V754" s="415">
        <v>10.08</v>
      </c>
      <c r="W754" s="415">
        <v>10.08</v>
      </c>
      <c r="X754" s="415">
        <v>10.08</v>
      </c>
      <c r="Y754" s="415">
        <v>10.08</v>
      </c>
      <c r="Z754" s="415">
        <v>10.08</v>
      </c>
      <c r="AA754" s="415">
        <v>10.08</v>
      </c>
      <c r="AB754" s="415">
        <v>10.08</v>
      </c>
      <c r="AC754" s="415">
        <v>10.08</v>
      </c>
      <c r="AD754" s="415">
        <v>10.08</v>
      </c>
      <c r="AE754" s="420">
        <v>10</v>
      </c>
      <c r="AF754" s="1734">
        <v>9</v>
      </c>
    </row>
    <row r="755" spans="1:34">
      <c r="AH755">
        <v>751</v>
      </c>
    </row>
    <row r="756" spans="1:34">
      <c r="A756" s="1251">
        <v>9</v>
      </c>
      <c r="B756" s="415">
        <v>10</v>
      </c>
      <c r="C756" s="409">
        <v>10.08</v>
      </c>
      <c r="D756" s="409">
        <v>10.08</v>
      </c>
      <c r="E756" s="409">
        <v>10.08</v>
      </c>
      <c r="F756" s="409">
        <v>10.08</v>
      </c>
      <c r="G756" s="409">
        <v>10.08</v>
      </c>
      <c r="H756" s="409">
        <v>10.08</v>
      </c>
      <c r="I756" s="409">
        <v>10.08</v>
      </c>
      <c r="J756" s="409">
        <v>10.08</v>
      </c>
      <c r="K756" s="415">
        <v>10.08</v>
      </c>
      <c r="L756" s="409">
        <v>10.08</v>
      </c>
      <c r="M756" s="409">
        <v>10.08</v>
      </c>
      <c r="N756" s="409">
        <v>10.08</v>
      </c>
      <c r="O756" s="409">
        <v>10.08</v>
      </c>
      <c r="P756" s="415">
        <v>10.08</v>
      </c>
      <c r="Q756" s="414">
        <v>10.08</v>
      </c>
      <c r="R756" s="409">
        <v>10.08</v>
      </c>
      <c r="S756" s="409">
        <v>10.08</v>
      </c>
      <c r="T756" s="409">
        <v>10.08</v>
      </c>
      <c r="U756" s="409">
        <v>10.08</v>
      </c>
      <c r="V756" s="415">
        <v>10.08</v>
      </c>
      <c r="W756" s="409">
        <v>10.08</v>
      </c>
      <c r="X756" s="409">
        <v>10.08</v>
      </c>
      <c r="Y756" s="409">
        <v>10.08</v>
      </c>
      <c r="Z756" s="409">
        <v>10.08</v>
      </c>
      <c r="AA756" s="409">
        <v>10.08</v>
      </c>
      <c r="AB756" s="409">
        <v>10.08</v>
      </c>
      <c r="AC756" s="409">
        <v>10.08</v>
      </c>
      <c r="AD756" s="409">
        <v>10.08</v>
      </c>
      <c r="AE756" s="420">
        <v>10</v>
      </c>
      <c r="AF756" s="1734">
        <v>9</v>
      </c>
    </row>
    <row r="757" spans="1:34">
      <c r="AH757">
        <v>749</v>
      </c>
    </row>
    <row r="758" spans="1:34">
      <c r="A758" s="1251">
        <v>9</v>
      </c>
      <c r="B758" s="415">
        <v>10</v>
      </c>
      <c r="C758" s="415">
        <v>10.08</v>
      </c>
      <c r="D758" s="415">
        <v>10.08</v>
      </c>
      <c r="E758" s="415">
        <v>10.08</v>
      </c>
      <c r="F758" s="415">
        <v>10.08</v>
      </c>
      <c r="G758" s="415">
        <v>10.08</v>
      </c>
      <c r="H758" s="414">
        <v>10.08</v>
      </c>
      <c r="I758" s="415">
        <v>10.08</v>
      </c>
      <c r="J758" s="409">
        <v>10.08</v>
      </c>
      <c r="K758" s="409">
        <v>10.08</v>
      </c>
      <c r="L758" s="409">
        <v>10.08</v>
      </c>
      <c r="M758" s="409">
        <v>10.08</v>
      </c>
      <c r="N758" s="415">
        <v>10.08</v>
      </c>
      <c r="O758" s="414">
        <v>10.08</v>
      </c>
      <c r="P758" s="415">
        <v>10.08</v>
      </c>
      <c r="Q758" s="415">
        <v>10.08</v>
      </c>
      <c r="R758" s="414">
        <v>10.08</v>
      </c>
      <c r="S758" s="415">
        <v>10.08</v>
      </c>
      <c r="T758" s="409">
        <v>10.08</v>
      </c>
      <c r="U758" s="409">
        <v>10.08</v>
      </c>
      <c r="V758" s="409">
        <v>10.08</v>
      </c>
      <c r="W758" s="409">
        <v>10.08</v>
      </c>
      <c r="X758" s="415">
        <v>10.08</v>
      </c>
      <c r="Y758" s="414">
        <v>10.08</v>
      </c>
      <c r="Z758" s="415">
        <v>10.08</v>
      </c>
      <c r="AA758" s="415">
        <v>10.08</v>
      </c>
      <c r="AB758" s="415">
        <v>10.08</v>
      </c>
      <c r="AC758" s="415">
        <v>10.08</v>
      </c>
      <c r="AD758" s="415">
        <v>10.08</v>
      </c>
      <c r="AE758" s="420">
        <v>10</v>
      </c>
      <c r="AF758" s="1734">
        <v>9</v>
      </c>
    </row>
    <row r="759" spans="1:34">
      <c r="AH759">
        <v>747</v>
      </c>
    </row>
    <row r="760" spans="1:34">
      <c r="A760" s="1251">
        <v>9</v>
      </c>
      <c r="B760" s="415">
        <v>10</v>
      </c>
      <c r="C760" s="409">
        <v>10.08</v>
      </c>
      <c r="D760" s="409">
        <v>10.08</v>
      </c>
      <c r="E760" s="409">
        <v>10.08</v>
      </c>
      <c r="F760" s="409">
        <v>10.08</v>
      </c>
      <c r="G760" s="415">
        <v>10.08</v>
      </c>
      <c r="H760" s="409">
        <v>10.08</v>
      </c>
      <c r="I760" s="409">
        <v>10.08</v>
      </c>
      <c r="J760" s="409">
        <v>10.08</v>
      </c>
      <c r="K760" s="409">
        <v>10.08</v>
      </c>
      <c r="L760" s="415">
        <v>10.08</v>
      </c>
      <c r="M760" s="409">
        <v>10.08</v>
      </c>
      <c r="N760" s="409">
        <v>10.08</v>
      </c>
      <c r="O760" s="409">
        <v>10.08</v>
      </c>
      <c r="P760" s="409">
        <v>10.08</v>
      </c>
      <c r="Q760" s="409">
        <v>10.08</v>
      </c>
      <c r="R760" s="409">
        <v>10.08</v>
      </c>
      <c r="S760" s="409">
        <v>10.08</v>
      </c>
      <c r="T760" s="409">
        <v>10.08</v>
      </c>
      <c r="U760" s="415">
        <v>10.08</v>
      </c>
      <c r="V760" s="409">
        <v>10.08</v>
      </c>
      <c r="W760" s="409">
        <v>10.08</v>
      </c>
      <c r="X760" s="409">
        <v>10.08</v>
      </c>
      <c r="Y760" s="409">
        <v>10.08</v>
      </c>
      <c r="Z760" s="415">
        <v>10.08</v>
      </c>
      <c r="AA760" s="409">
        <v>10.08</v>
      </c>
      <c r="AB760" s="409">
        <v>10.08</v>
      </c>
      <c r="AC760" s="409">
        <v>10.08</v>
      </c>
      <c r="AD760" s="409">
        <v>10.08</v>
      </c>
      <c r="AE760" s="420">
        <v>10</v>
      </c>
      <c r="AF760" s="1734">
        <v>9</v>
      </c>
    </row>
    <row r="761" spans="1:34">
      <c r="AH761">
        <v>745</v>
      </c>
    </row>
    <row r="762" spans="1:34">
      <c r="A762" s="1251">
        <v>9</v>
      </c>
      <c r="B762" s="415">
        <v>10</v>
      </c>
      <c r="C762" s="415">
        <v>10.08</v>
      </c>
      <c r="D762" s="414">
        <v>10.08</v>
      </c>
      <c r="E762" s="415">
        <v>10.08</v>
      </c>
      <c r="F762" s="409">
        <v>10.08</v>
      </c>
      <c r="G762" s="409">
        <v>10.08</v>
      </c>
      <c r="H762" s="409">
        <v>10.08</v>
      </c>
      <c r="I762" s="409">
        <v>10.08</v>
      </c>
      <c r="J762" s="415">
        <v>10.08</v>
      </c>
      <c r="K762" s="414">
        <v>10.08</v>
      </c>
      <c r="L762" s="415">
        <v>10.08</v>
      </c>
      <c r="M762" s="415">
        <v>10.08</v>
      </c>
      <c r="N762" s="415">
        <v>10.08</v>
      </c>
      <c r="O762" s="415">
        <v>10.08</v>
      </c>
      <c r="P762" s="415">
        <v>10.08</v>
      </c>
      <c r="Q762" s="415">
        <v>10.08</v>
      </c>
      <c r="R762" s="415">
        <v>10.08</v>
      </c>
      <c r="S762" s="415">
        <v>10.08</v>
      </c>
      <c r="T762" s="415">
        <v>10.08</v>
      </c>
      <c r="U762" s="415">
        <v>10.08</v>
      </c>
      <c r="V762" s="414">
        <v>10.08</v>
      </c>
      <c r="W762" s="415">
        <v>10.08</v>
      </c>
      <c r="X762" s="409">
        <v>10.08</v>
      </c>
      <c r="Y762" s="409">
        <v>10.08</v>
      </c>
      <c r="Z762" s="409">
        <v>10.08</v>
      </c>
      <c r="AA762" s="409">
        <v>10.08</v>
      </c>
      <c r="AB762" s="415">
        <v>10.08</v>
      </c>
      <c r="AC762" s="414">
        <v>10.08</v>
      </c>
      <c r="AD762" s="415">
        <v>10.08</v>
      </c>
      <c r="AE762" s="420">
        <v>10</v>
      </c>
      <c r="AF762" s="1734">
        <v>9</v>
      </c>
    </row>
    <row r="763" spans="1:34">
      <c r="AH763">
        <v>743</v>
      </c>
    </row>
    <row r="764" spans="1:34">
      <c r="A764" s="1251">
        <v>9</v>
      </c>
      <c r="B764" s="415">
        <v>10</v>
      </c>
      <c r="C764" s="415">
        <v>10.08</v>
      </c>
      <c r="D764" s="409">
        <v>10.08</v>
      </c>
      <c r="E764" s="414">
        <v>10.08</v>
      </c>
      <c r="F764" s="409">
        <v>10.08</v>
      </c>
      <c r="G764" s="409">
        <v>10.08</v>
      </c>
      <c r="H764" s="415">
        <v>10.08</v>
      </c>
      <c r="I764" s="409">
        <v>10.08</v>
      </c>
      <c r="J764" s="409">
        <v>10.08</v>
      </c>
      <c r="K764" s="409">
        <v>10.08</v>
      </c>
      <c r="L764" s="409">
        <v>10.08</v>
      </c>
      <c r="M764" s="409">
        <v>10.08</v>
      </c>
      <c r="N764" s="409">
        <v>10.08</v>
      </c>
      <c r="O764" s="409">
        <v>10.08</v>
      </c>
      <c r="P764" s="409">
        <v>10.08</v>
      </c>
      <c r="Q764" s="409">
        <v>10.08</v>
      </c>
      <c r="R764" s="409">
        <v>10.08</v>
      </c>
      <c r="S764" s="409">
        <v>10.08</v>
      </c>
      <c r="T764" s="409">
        <v>10.08</v>
      </c>
      <c r="U764" s="409">
        <v>10.08</v>
      </c>
      <c r="V764" s="409">
        <v>10.08</v>
      </c>
      <c r="W764" s="409">
        <v>10.08</v>
      </c>
      <c r="X764" s="409">
        <v>10.08</v>
      </c>
      <c r="Y764" s="415">
        <v>10.08</v>
      </c>
      <c r="Z764" s="409">
        <v>10.08</v>
      </c>
      <c r="AA764" s="409">
        <v>10.08</v>
      </c>
      <c r="AB764" s="414">
        <v>10.08</v>
      </c>
      <c r="AC764" s="409">
        <v>10.08</v>
      </c>
      <c r="AD764" s="415">
        <v>10.08</v>
      </c>
      <c r="AE764" s="420">
        <v>10</v>
      </c>
      <c r="AF764" s="1734">
        <v>9</v>
      </c>
    </row>
    <row r="765" spans="1:34">
      <c r="AH765">
        <v>741</v>
      </c>
    </row>
    <row r="766" spans="1:34">
      <c r="A766" s="1251">
        <v>9</v>
      </c>
      <c r="B766" s="415">
        <v>10</v>
      </c>
      <c r="C766" s="415">
        <v>10.08</v>
      </c>
      <c r="D766" s="409">
        <v>10.08</v>
      </c>
      <c r="E766" s="409">
        <v>10.08</v>
      </c>
      <c r="F766" s="415">
        <v>10.08</v>
      </c>
      <c r="G766" s="409">
        <v>10.08</v>
      </c>
      <c r="H766" s="409">
        <v>10.08</v>
      </c>
      <c r="I766" s="409">
        <v>10.08</v>
      </c>
      <c r="J766" s="409">
        <v>10.08</v>
      </c>
      <c r="K766" s="409">
        <v>10.08</v>
      </c>
      <c r="L766" s="409">
        <v>10.08</v>
      </c>
      <c r="M766" s="409">
        <v>10.08</v>
      </c>
      <c r="N766" s="409">
        <v>10.08</v>
      </c>
      <c r="O766" s="409">
        <v>10.08</v>
      </c>
      <c r="P766" s="409">
        <v>10.08</v>
      </c>
      <c r="Q766" s="409">
        <v>10.08</v>
      </c>
      <c r="R766" s="409">
        <v>10.08</v>
      </c>
      <c r="S766" s="409">
        <v>10.08</v>
      </c>
      <c r="T766" s="409">
        <v>10.08</v>
      </c>
      <c r="U766" s="409">
        <v>10.08</v>
      </c>
      <c r="V766" s="409">
        <v>10.08</v>
      </c>
      <c r="W766" s="409">
        <v>10.08</v>
      </c>
      <c r="X766" s="409">
        <v>10.08</v>
      </c>
      <c r="Y766" s="409">
        <v>10.08</v>
      </c>
      <c r="Z766" s="409">
        <v>10.08</v>
      </c>
      <c r="AA766" s="415">
        <v>10.08</v>
      </c>
      <c r="AB766" s="409">
        <v>10.08</v>
      </c>
      <c r="AC766" s="409">
        <v>10.08</v>
      </c>
      <c r="AD766" s="415">
        <v>10.08</v>
      </c>
      <c r="AE766" s="420">
        <v>10</v>
      </c>
      <c r="AF766" s="1734">
        <v>9</v>
      </c>
    </row>
    <row r="767" spans="1:34">
      <c r="A767" s="1251">
        <v>9</v>
      </c>
      <c r="B767" s="420">
        <v>10</v>
      </c>
      <c r="C767" s="420">
        <v>10</v>
      </c>
      <c r="D767" s="420">
        <v>10</v>
      </c>
      <c r="E767" s="420">
        <v>10</v>
      </c>
      <c r="F767" s="420">
        <v>10</v>
      </c>
      <c r="G767" s="420">
        <v>10</v>
      </c>
      <c r="H767" s="420">
        <v>10</v>
      </c>
      <c r="I767" s="420">
        <v>10</v>
      </c>
      <c r="J767" s="420">
        <v>10</v>
      </c>
      <c r="K767" s="420">
        <v>10</v>
      </c>
      <c r="L767" s="420">
        <v>10</v>
      </c>
      <c r="M767" s="420">
        <v>10</v>
      </c>
      <c r="N767" s="420">
        <v>10</v>
      </c>
      <c r="O767" s="420">
        <v>10</v>
      </c>
      <c r="P767" s="420">
        <v>10</v>
      </c>
      <c r="Q767" s="420">
        <v>10</v>
      </c>
      <c r="R767" s="420">
        <v>10</v>
      </c>
      <c r="S767" s="420">
        <v>10</v>
      </c>
      <c r="T767" s="420">
        <v>10</v>
      </c>
      <c r="U767" s="420">
        <v>10</v>
      </c>
      <c r="V767" s="420">
        <v>10</v>
      </c>
      <c r="W767" s="420">
        <v>10</v>
      </c>
      <c r="X767" s="420">
        <v>10</v>
      </c>
      <c r="Y767" s="420">
        <v>10</v>
      </c>
      <c r="Z767" s="420">
        <v>10</v>
      </c>
      <c r="AA767" s="420">
        <v>10</v>
      </c>
      <c r="AB767" s="420">
        <v>10</v>
      </c>
      <c r="AC767" s="420">
        <v>10</v>
      </c>
      <c r="AD767" s="420">
        <v>10</v>
      </c>
      <c r="AE767" s="420">
        <v>10</v>
      </c>
      <c r="AF767" s="1734">
        <v>9</v>
      </c>
    </row>
    <row r="768" spans="1:34">
      <c r="A768" s="3829">
        <v>9</v>
      </c>
      <c r="B768" s="559">
        <v>9</v>
      </c>
      <c r="C768" s="559">
        <v>8</v>
      </c>
      <c r="D768" s="559">
        <v>9</v>
      </c>
      <c r="E768" s="572">
        <v>9</v>
      </c>
      <c r="F768" s="559">
        <v>9</v>
      </c>
      <c r="G768" s="559">
        <v>8</v>
      </c>
      <c r="H768" s="559">
        <v>9</v>
      </c>
      <c r="I768" s="572">
        <v>9</v>
      </c>
      <c r="J768" s="559">
        <v>9</v>
      </c>
      <c r="K768" s="559">
        <v>8</v>
      </c>
      <c r="L768" s="559">
        <v>9</v>
      </c>
      <c r="M768" s="572">
        <v>9</v>
      </c>
      <c r="N768" s="559">
        <v>9</v>
      </c>
      <c r="O768" s="559">
        <v>8</v>
      </c>
      <c r="P768" s="559">
        <v>9</v>
      </c>
      <c r="Q768" s="572">
        <v>9</v>
      </c>
      <c r="R768" s="559">
        <v>9</v>
      </c>
      <c r="S768" s="559">
        <v>8</v>
      </c>
      <c r="T768" s="559">
        <v>9</v>
      </c>
      <c r="U768" s="572">
        <v>9</v>
      </c>
      <c r="V768" s="559">
        <v>9</v>
      </c>
      <c r="W768" s="559">
        <v>8</v>
      </c>
      <c r="X768" s="559">
        <v>9</v>
      </c>
      <c r="Y768" s="572">
        <v>9</v>
      </c>
      <c r="Z768" s="559">
        <v>9</v>
      </c>
      <c r="AA768" s="559">
        <v>8</v>
      </c>
      <c r="AB768" s="559">
        <v>9</v>
      </c>
      <c r="AC768" s="572">
        <v>9</v>
      </c>
      <c r="AD768" s="559">
        <v>9</v>
      </c>
      <c r="AE768" s="559">
        <v>9</v>
      </c>
      <c r="AF768" s="1282">
        <v>9</v>
      </c>
    </row>
    <row r="769" spans="1:33">
      <c r="A769" s="483"/>
      <c r="B769" s="321"/>
      <c r="C769" s="321"/>
      <c r="D769" s="321"/>
      <c r="E769" s="321"/>
      <c r="F769" s="321"/>
      <c r="G769" s="321"/>
      <c r="H769" s="321"/>
      <c r="I769" s="321"/>
      <c r="J769" s="321"/>
      <c r="K769" s="321"/>
      <c r="L769" s="321"/>
      <c r="M769" s="321"/>
      <c r="N769" s="321"/>
      <c r="O769" s="321"/>
      <c r="P769" s="321"/>
      <c r="Q769" s="321"/>
      <c r="R769" s="321"/>
      <c r="S769" s="321"/>
      <c r="T769" s="321"/>
      <c r="U769" s="321"/>
      <c r="V769" s="321"/>
      <c r="W769" s="321"/>
      <c r="X769" s="321"/>
      <c r="Y769" s="418">
        <v>40.31</v>
      </c>
      <c r="Z769" s="423">
        <v>37.33</v>
      </c>
      <c r="AA769" s="418">
        <v>39.36</v>
      </c>
      <c r="AB769" s="423">
        <v>37.33</v>
      </c>
      <c r="AC769" s="321"/>
      <c r="AD769" s="321"/>
      <c r="AE769" s="321"/>
      <c r="AF769" s="564"/>
      <c r="AG769">
        <v>25</v>
      </c>
    </row>
    <row r="770" spans="1:33">
      <c r="A770" s="483"/>
      <c r="B770" s="321"/>
      <c r="C770" s="321"/>
      <c r="D770" s="321"/>
      <c r="E770" s="321"/>
      <c r="F770" s="321"/>
      <c r="G770" s="321"/>
      <c r="H770" s="321"/>
      <c r="I770" s="321"/>
      <c r="J770" s="321"/>
      <c r="K770" s="321"/>
      <c r="L770" s="321"/>
      <c r="M770" s="321"/>
      <c r="N770" s="423">
        <v>37.33</v>
      </c>
      <c r="O770" s="418">
        <v>39.36</v>
      </c>
      <c r="P770" s="423">
        <v>37.33</v>
      </c>
      <c r="Q770" s="418">
        <v>40.31</v>
      </c>
      <c r="R770" s="423">
        <v>37.33</v>
      </c>
      <c r="S770" s="418">
        <v>39.36</v>
      </c>
      <c r="T770" s="321"/>
      <c r="U770" s="321"/>
      <c r="V770" s="321"/>
      <c r="W770" s="321"/>
      <c r="X770" s="423">
        <v>40.31</v>
      </c>
      <c r="Y770" s="418">
        <v>42.3</v>
      </c>
      <c r="Z770" s="423">
        <v>42.3</v>
      </c>
      <c r="AA770" s="423">
        <v>42.3</v>
      </c>
      <c r="AB770" s="418">
        <v>42.3</v>
      </c>
      <c r="AC770" s="423">
        <v>40.31</v>
      </c>
      <c r="AD770" s="321"/>
      <c r="AE770" s="321"/>
      <c r="AF770" s="564"/>
    </row>
    <row r="771" spans="1:33">
      <c r="A771" s="483"/>
      <c r="B771" s="321"/>
      <c r="C771" s="321"/>
      <c r="D771" s="423">
        <v>37.33</v>
      </c>
      <c r="E771" s="418">
        <v>40.31</v>
      </c>
      <c r="F771" s="423">
        <v>37.33</v>
      </c>
      <c r="G771" s="321"/>
      <c r="H771" s="321"/>
      <c r="I771" s="423">
        <v>37.33</v>
      </c>
      <c r="J771" s="418">
        <v>39.36</v>
      </c>
      <c r="K771" s="423">
        <v>37.33</v>
      </c>
      <c r="L771" s="418">
        <v>40.31</v>
      </c>
      <c r="M771" s="423">
        <v>37.33</v>
      </c>
      <c r="N771" s="418">
        <v>42.3</v>
      </c>
      <c r="O771" s="418">
        <v>42.3</v>
      </c>
      <c r="P771" s="423">
        <v>42.3</v>
      </c>
      <c r="Q771" s="418">
        <v>42.3</v>
      </c>
      <c r="R771" s="418">
        <v>42.3</v>
      </c>
      <c r="S771" s="418">
        <v>42.3</v>
      </c>
      <c r="T771" s="418">
        <v>40.31</v>
      </c>
      <c r="U771" s="418">
        <v>39.36</v>
      </c>
      <c r="V771" s="418">
        <v>40.31</v>
      </c>
      <c r="W771" s="418">
        <v>39.36</v>
      </c>
      <c r="X771" s="418">
        <v>42.3</v>
      </c>
      <c r="Y771" s="418">
        <v>42.3</v>
      </c>
      <c r="Z771" s="418">
        <v>45.29</v>
      </c>
      <c r="AA771" s="418">
        <v>45.29</v>
      </c>
      <c r="AB771" s="418">
        <v>42.3</v>
      </c>
      <c r="AC771" s="418">
        <v>42.3</v>
      </c>
      <c r="AD771" s="423">
        <v>37.33</v>
      </c>
      <c r="AE771" s="321"/>
      <c r="AF771" s="564"/>
    </row>
    <row r="772" spans="1:33">
      <c r="A772" s="483"/>
      <c r="B772" s="321"/>
      <c r="C772" s="423">
        <v>37.33</v>
      </c>
      <c r="D772" s="418">
        <v>42.3</v>
      </c>
      <c r="E772" s="418">
        <v>42.3</v>
      </c>
      <c r="F772" s="418">
        <v>40.31</v>
      </c>
      <c r="G772" s="418">
        <v>40.31</v>
      </c>
      <c r="H772" s="418">
        <v>40.31</v>
      </c>
      <c r="I772" s="418">
        <v>42.3</v>
      </c>
      <c r="J772" s="418">
        <v>42.3</v>
      </c>
      <c r="K772" s="418">
        <v>42.3</v>
      </c>
      <c r="L772" s="418">
        <v>42.3</v>
      </c>
      <c r="M772" s="418">
        <v>42.3</v>
      </c>
      <c r="N772" s="418">
        <v>45.29</v>
      </c>
      <c r="O772" s="418">
        <v>45.29</v>
      </c>
      <c r="P772" s="423">
        <v>45.29</v>
      </c>
      <c r="Q772" s="418">
        <v>45.29</v>
      </c>
      <c r="R772" s="418">
        <v>45.29</v>
      </c>
      <c r="S772" s="418">
        <v>45.29</v>
      </c>
      <c r="T772" s="418">
        <v>42.3</v>
      </c>
      <c r="U772" s="423">
        <v>42.3</v>
      </c>
      <c r="V772" s="418">
        <v>42.3</v>
      </c>
      <c r="W772" s="418">
        <v>42.3</v>
      </c>
      <c r="X772" s="418">
        <v>45.29</v>
      </c>
      <c r="Y772" s="423">
        <v>45.29</v>
      </c>
      <c r="Z772" s="418">
        <v>45.29</v>
      </c>
      <c r="AA772" s="418">
        <v>45.29</v>
      </c>
      <c r="AB772" s="423">
        <v>45.29</v>
      </c>
      <c r="AC772" s="423">
        <v>42.3</v>
      </c>
      <c r="AD772" s="321"/>
      <c r="AE772" s="321"/>
      <c r="AF772" s="564"/>
    </row>
    <row r="773" spans="1:33">
      <c r="A773" s="483"/>
      <c r="B773" s="321"/>
      <c r="C773" s="418">
        <v>40.31</v>
      </c>
      <c r="D773" s="418">
        <v>42.3</v>
      </c>
      <c r="E773" s="427">
        <v>45.29</v>
      </c>
      <c r="F773" s="418">
        <v>42.3</v>
      </c>
      <c r="G773" s="427">
        <v>42.3</v>
      </c>
      <c r="H773" s="418">
        <v>42.3</v>
      </c>
      <c r="I773" s="418">
        <v>42.3</v>
      </c>
      <c r="J773" s="418">
        <v>45.29</v>
      </c>
      <c r="K773" s="418">
        <v>45.29</v>
      </c>
      <c r="L773" s="418">
        <v>45.29</v>
      </c>
      <c r="M773" s="423">
        <v>45.29</v>
      </c>
      <c r="N773" s="418">
        <v>45.29</v>
      </c>
      <c r="O773" s="418">
        <v>45.29</v>
      </c>
      <c r="P773" s="418">
        <v>45.29</v>
      </c>
      <c r="Q773" s="418">
        <v>45.29</v>
      </c>
      <c r="R773" s="423">
        <v>45.29</v>
      </c>
      <c r="S773" s="418">
        <v>45.29</v>
      </c>
      <c r="T773" s="418">
        <v>45.29</v>
      </c>
      <c r="U773" s="418">
        <v>45.29</v>
      </c>
      <c r="V773" s="418">
        <v>45.29</v>
      </c>
      <c r="W773" s="418">
        <v>45.29</v>
      </c>
      <c r="X773" s="418">
        <v>45.29</v>
      </c>
      <c r="Y773" s="423">
        <v>45.29</v>
      </c>
      <c r="Z773" s="418">
        <v>45.29</v>
      </c>
      <c r="AA773" s="418">
        <v>45.29</v>
      </c>
      <c r="AB773" s="418">
        <v>45.29</v>
      </c>
      <c r="AC773" s="418">
        <v>39.36</v>
      </c>
      <c r="AD773" s="321"/>
      <c r="AE773" s="321"/>
      <c r="AF773" s="564"/>
    </row>
    <row r="774" spans="1:33">
      <c r="A774" s="483"/>
      <c r="B774" s="321"/>
      <c r="C774" s="418">
        <v>39.36</v>
      </c>
      <c r="D774" s="418">
        <v>42.3</v>
      </c>
      <c r="E774" s="418">
        <v>45.29</v>
      </c>
      <c r="F774" s="418">
        <v>45.29</v>
      </c>
      <c r="G774" s="418">
        <v>45.29</v>
      </c>
      <c r="H774" s="418">
        <v>45.29</v>
      </c>
      <c r="I774" s="423">
        <v>45.29</v>
      </c>
      <c r="J774" s="418">
        <v>49.28</v>
      </c>
      <c r="K774" s="418">
        <v>49.28</v>
      </c>
      <c r="L774" s="418">
        <v>49.28</v>
      </c>
      <c r="M774" s="423">
        <v>49.28</v>
      </c>
      <c r="N774" s="418">
        <v>49.28</v>
      </c>
      <c r="O774" s="418">
        <v>49.28</v>
      </c>
      <c r="P774" s="418">
        <v>49.28</v>
      </c>
      <c r="Q774" s="418">
        <v>49.28</v>
      </c>
      <c r="R774" s="418">
        <v>49.28</v>
      </c>
      <c r="S774" s="418">
        <v>49.28</v>
      </c>
      <c r="T774" s="418">
        <v>49.28</v>
      </c>
      <c r="U774" s="418">
        <v>49.28</v>
      </c>
      <c r="V774" s="418">
        <v>49.28</v>
      </c>
      <c r="W774" s="418">
        <v>49.28</v>
      </c>
      <c r="X774" s="418">
        <v>49.28</v>
      </c>
      <c r="Y774" s="418">
        <v>45.29</v>
      </c>
      <c r="Z774" s="418">
        <v>45.29</v>
      </c>
      <c r="AA774" s="423">
        <v>42.3</v>
      </c>
      <c r="AB774" s="418">
        <v>42.3</v>
      </c>
      <c r="AC774" s="423">
        <v>37.33</v>
      </c>
      <c r="AD774" s="321"/>
      <c r="AE774" s="321"/>
      <c r="AF774" s="564"/>
    </row>
    <row r="775" spans="1:33">
      <c r="A775" s="483"/>
      <c r="B775" s="321"/>
      <c r="C775" s="423">
        <v>37.33</v>
      </c>
      <c r="D775" s="418">
        <v>40.31</v>
      </c>
      <c r="E775" s="418">
        <v>42.3</v>
      </c>
      <c r="F775" s="418">
        <v>45.29</v>
      </c>
      <c r="G775" s="418">
        <v>49.28</v>
      </c>
      <c r="H775" s="418">
        <v>45.29</v>
      </c>
      <c r="I775" s="423">
        <v>49.28</v>
      </c>
      <c r="J775" s="418">
        <v>49.28</v>
      </c>
      <c r="K775" s="418">
        <v>49.28</v>
      </c>
      <c r="L775" s="418">
        <v>49.28</v>
      </c>
      <c r="M775" s="418">
        <v>52.3</v>
      </c>
      <c r="N775" s="418">
        <v>52.3</v>
      </c>
      <c r="O775" s="423">
        <v>52.28</v>
      </c>
      <c r="P775" s="418">
        <v>52.3</v>
      </c>
      <c r="Q775" s="418">
        <v>52.3</v>
      </c>
      <c r="R775" s="418">
        <v>52.28</v>
      </c>
      <c r="S775" s="418">
        <v>52.3</v>
      </c>
      <c r="T775" s="418">
        <v>52.28</v>
      </c>
      <c r="U775" s="418">
        <v>52.28</v>
      </c>
      <c r="V775" s="418">
        <v>52.28</v>
      </c>
      <c r="W775" s="427">
        <v>49.28</v>
      </c>
      <c r="X775" s="418">
        <v>49.28</v>
      </c>
      <c r="Y775" s="418">
        <v>49.28</v>
      </c>
      <c r="Z775" s="418">
        <v>45.29</v>
      </c>
      <c r="AA775" s="418">
        <v>42.3</v>
      </c>
      <c r="AB775" s="418">
        <v>40.31</v>
      </c>
      <c r="AC775" s="423">
        <v>40.31</v>
      </c>
      <c r="AD775" s="321"/>
      <c r="AE775" s="321"/>
      <c r="AF775" s="564"/>
    </row>
    <row r="776" spans="1:33">
      <c r="A776" s="483"/>
      <c r="B776" s="321"/>
      <c r="C776" s="321"/>
      <c r="D776" s="418">
        <v>39.36</v>
      </c>
      <c r="E776" s="418">
        <v>45.29</v>
      </c>
      <c r="F776" s="427">
        <v>45.29</v>
      </c>
      <c r="G776" s="418">
        <v>49.28</v>
      </c>
      <c r="H776" s="418">
        <v>49.28</v>
      </c>
      <c r="I776" s="418">
        <v>49.28</v>
      </c>
      <c r="J776" s="418">
        <v>52.28</v>
      </c>
      <c r="K776" s="418">
        <v>52.28</v>
      </c>
      <c r="L776" s="418">
        <v>52.3</v>
      </c>
      <c r="M776" s="420">
        <v>29.29</v>
      </c>
      <c r="N776" s="418">
        <v>52.3</v>
      </c>
      <c r="O776" s="418">
        <v>52.3</v>
      </c>
      <c r="P776" s="415">
        <v>29.29</v>
      </c>
      <c r="Q776" s="418">
        <v>52.3</v>
      </c>
      <c r="R776" s="423">
        <v>52.3</v>
      </c>
      <c r="S776" s="423">
        <v>52.28</v>
      </c>
      <c r="T776" s="418">
        <v>52.28</v>
      </c>
      <c r="U776" s="418">
        <v>53.27</v>
      </c>
      <c r="V776" s="418">
        <v>52.28</v>
      </c>
      <c r="W776" s="418">
        <v>52.28</v>
      </c>
      <c r="X776" s="423">
        <v>49.28</v>
      </c>
      <c r="Y776" s="418">
        <v>49.28</v>
      </c>
      <c r="Z776" s="418">
        <v>45.29</v>
      </c>
      <c r="AA776" s="418">
        <v>42.3</v>
      </c>
      <c r="AB776" s="418">
        <v>40.31</v>
      </c>
      <c r="AC776" s="321"/>
      <c r="AD776" s="321"/>
      <c r="AE776" s="321"/>
      <c r="AF776" s="564"/>
    </row>
    <row r="777" spans="1:33">
      <c r="A777" s="483"/>
      <c r="B777" s="321"/>
      <c r="C777" s="321"/>
      <c r="D777" s="423">
        <v>40.31</v>
      </c>
      <c r="E777" s="418">
        <v>45.29</v>
      </c>
      <c r="F777" s="418">
        <v>45.29</v>
      </c>
      <c r="G777" s="418">
        <v>49.28</v>
      </c>
      <c r="H777" s="418">
        <v>49.28</v>
      </c>
      <c r="I777" s="418">
        <v>52.28</v>
      </c>
      <c r="J777" s="418">
        <v>52.28</v>
      </c>
      <c r="K777" s="418">
        <v>52.28</v>
      </c>
      <c r="L777" s="418">
        <v>52.3</v>
      </c>
      <c r="M777" s="423">
        <v>52.3</v>
      </c>
      <c r="N777" s="420">
        <v>29.29</v>
      </c>
      <c r="O777" s="415">
        <v>29.28</v>
      </c>
      <c r="P777" s="418">
        <v>52.3</v>
      </c>
      <c r="Q777" s="418">
        <v>52.28</v>
      </c>
      <c r="R777" s="423">
        <v>52.28</v>
      </c>
      <c r="S777" s="418">
        <v>52.28</v>
      </c>
      <c r="T777" s="418">
        <v>53.27</v>
      </c>
      <c r="U777" s="415">
        <v>26.25</v>
      </c>
      <c r="V777" s="418">
        <v>53.27</v>
      </c>
      <c r="W777" s="418">
        <v>52.28</v>
      </c>
      <c r="X777" s="423">
        <v>49.28</v>
      </c>
      <c r="Y777" s="418">
        <v>49.28</v>
      </c>
      <c r="Z777" s="418">
        <v>45.29</v>
      </c>
      <c r="AA777" s="427">
        <v>42.3</v>
      </c>
      <c r="AB777" s="423">
        <v>37.33</v>
      </c>
      <c r="AC777" s="321"/>
      <c r="AD777" s="321"/>
      <c r="AE777" s="321"/>
      <c r="AF777" s="564"/>
    </row>
    <row r="778" spans="1:33">
      <c r="A778" s="483"/>
      <c r="B778" s="321"/>
      <c r="C778" s="423">
        <v>37.33</v>
      </c>
      <c r="D778" s="423">
        <v>40.31</v>
      </c>
      <c r="E778" s="418">
        <v>45.29</v>
      </c>
      <c r="F778" s="418">
        <v>49.28</v>
      </c>
      <c r="G778" s="418">
        <v>49.28</v>
      </c>
      <c r="H778" s="423">
        <v>52.28</v>
      </c>
      <c r="I778" s="418">
        <v>52.28</v>
      </c>
      <c r="J778" s="427">
        <v>52.28</v>
      </c>
      <c r="K778" s="418">
        <v>52.28</v>
      </c>
      <c r="L778" s="418">
        <v>52.28</v>
      </c>
      <c r="M778" s="418">
        <v>52.3</v>
      </c>
      <c r="N778" s="418">
        <v>52.3</v>
      </c>
      <c r="O778" s="415">
        <v>29.26</v>
      </c>
      <c r="P778" s="418">
        <v>52.3</v>
      </c>
      <c r="Q778" s="418">
        <v>52.28</v>
      </c>
      <c r="R778" s="418">
        <v>52.28</v>
      </c>
      <c r="S778" s="418">
        <v>52.28</v>
      </c>
      <c r="T778" s="418">
        <v>53.27</v>
      </c>
      <c r="U778" s="415">
        <v>26.24</v>
      </c>
      <c r="V778" s="418">
        <v>53.27</v>
      </c>
      <c r="W778" s="418">
        <v>53.27</v>
      </c>
      <c r="X778" s="423">
        <v>52.28</v>
      </c>
      <c r="Y778" s="418">
        <v>49.28</v>
      </c>
      <c r="Z778" s="418">
        <v>45.29</v>
      </c>
      <c r="AA778" s="418">
        <v>42.3</v>
      </c>
      <c r="AB778" s="418">
        <v>40.31</v>
      </c>
      <c r="AC778" s="418">
        <v>39.36</v>
      </c>
      <c r="AD778" s="321"/>
      <c r="AE778" s="321"/>
      <c r="AF778" s="564"/>
    </row>
    <row r="779" spans="1:33">
      <c r="A779" s="483"/>
      <c r="B779" s="321"/>
      <c r="C779" s="418">
        <v>39.36</v>
      </c>
      <c r="D779" s="423">
        <v>42.3</v>
      </c>
      <c r="E779" s="418">
        <v>45.29</v>
      </c>
      <c r="F779" s="418">
        <v>49.28</v>
      </c>
      <c r="G779" s="418">
        <v>49.28</v>
      </c>
      <c r="H779" s="423">
        <v>52.28</v>
      </c>
      <c r="I779" s="418">
        <v>52.28</v>
      </c>
      <c r="J779" s="418">
        <v>52.28</v>
      </c>
      <c r="K779" s="418">
        <v>52.28</v>
      </c>
      <c r="L779" s="418">
        <v>52.28</v>
      </c>
      <c r="M779" s="423">
        <v>52.28</v>
      </c>
      <c r="N779" s="418">
        <v>52.3</v>
      </c>
      <c r="O779" s="420">
        <v>28.26</v>
      </c>
      <c r="P779" s="415">
        <v>28.27</v>
      </c>
      <c r="Q779" s="418">
        <v>52.28</v>
      </c>
      <c r="R779" s="418">
        <v>52.28</v>
      </c>
      <c r="S779" s="418">
        <v>52.28</v>
      </c>
      <c r="T779" s="420">
        <v>24.2</v>
      </c>
      <c r="U779" s="415">
        <v>25.23</v>
      </c>
      <c r="V779" s="415">
        <v>26.24</v>
      </c>
      <c r="W779" s="415">
        <v>26.25</v>
      </c>
      <c r="X779" s="418">
        <v>53.27</v>
      </c>
      <c r="Y779" s="427">
        <v>49.28</v>
      </c>
      <c r="Z779" s="418">
        <v>45.29</v>
      </c>
      <c r="AA779" s="423">
        <v>42.3</v>
      </c>
      <c r="AB779" s="418">
        <v>42.3</v>
      </c>
      <c r="AC779" s="423">
        <v>37.33</v>
      </c>
      <c r="AD779" s="321"/>
      <c r="AE779" s="321"/>
      <c r="AF779" s="564"/>
    </row>
    <row r="780" spans="1:33">
      <c r="A780" s="483"/>
      <c r="B780" s="321"/>
      <c r="C780" s="423">
        <v>37.33</v>
      </c>
      <c r="D780" s="418">
        <v>42.3</v>
      </c>
      <c r="E780" s="418">
        <v>45.29</v>
      </c>
      <c r="F780" s="418">
        <v>49.28</v>
      </c>
      <c r="G780" s="418">
        <v>52.28</v>
      </c>
      <c r="H780" s="418">
        <v>52.28</v>
      </c>
      <c r="I780" s="418">
        <v>52.28</v>
      </c>
      <c r="J780" s="418">
        <v>52.28</v>
      </c>
      <c r="K780" s="418">
        <v>52.28</v>
      </c>
      <c r="L780" s="418">
        <v>52.28</v>
      </c>
      <c r="M780" s="418">
        <v>52.28</v>
      </c>
      <c r="N780" s="418">
        <v>52.28</v>
      </c>
      <c r="O780" s="420">
        <v>27.24</v>
      </c>
      <c r="P780" s="415">
        <v>27.24</v>
      </c>
      <c r="Q780" s="420">
        <v>1.3</v>
      </c>
      <c r="R780" s="418">
        <v>52.28</v>
      </c>
      <c r="S780" s="420">
        <v>20.170000000000002</v>
      </c>
      <c r="T780" s="415">
        <v>22.19</v>
      </c>
      <c r="U780" s="415">
        <v>24.2</v>
      </c>
      <c r="V780" s="418">
        <v>53.27</v>
      </c>
      <c r="W780" s="418">
        <v>53.27</v>
      </c>
      <c r="X780" s="418">
        <v>52.28</v>
      </c>
      <c r="Y780" s="418">
        <v>49.28</v>
      </c>
      <c r="Z780" s="418">
        <v>49.28</v>
      </c>
      <c r="AA780" s="423">
        <v>45.29</v>
      </c>
      <c r="AB780" s="418">
        <v>42.3</v>
      </c>
      <c r="AC780" s="418">
        <v>40.31</v>
      </c>
      <c r="AD780" s="321"/>
      <c r="AE780" s="321"/>
      <c r="AF780" s="564"/>
    </row>
    <row r="781" spans="1:33">
      <c r="A781" s="483"/>
      <c r="B781" s="321"/>
      <c r="C781" s="418">
        <v>40.31</v>
      </c>
      <c r="D781" s="418">
        <v>42.3</v>
      </c>
      <c r="E781" s="418">
        <v>45.29</v>
      </c>
      <c r="F781" s="418">
        <v>49.28</v>
      </c>
      <c r="G781" s="418">
        <v>52.28</v>
      </c>
      <c r="H781" s="418">
        <v>52.28</v>
      </c>
      <c r="I781" s="418">
        <v>52.28</v>
      </c>
      <c r="J781" s="418">
        <v>52.28</v>
      </c>
      <c r="K781" s="420">
        <v>17.170000000000002</v>
      </c>
      <c r="L781" s="415">
        <v>17.16</v>
      </c>
      <c r="M781" s="418">
        <v>52.28</v>
      </c>
      <c r="N781" s="418">
        <v>52.28</v>
      </c>
      <c r="O781" s="420">
        <v>2.08</v>
      </c>
      <c r="P781" s="420">
        <v>9.14</v>
      </c>
      <c r="Q781" s="420">
        <v>9.14</v>
      </c>
      <c r="R781" s="420">
        <v>14.16</v>
      </c>
      <c r="S781" s="415">
        <v>20.059999999999999</v>
      </c>
      <c r="T781" s="415">
        <v>20.170000000000002</v>
      </c>
      <c r="U781" s="418">
        <v>52.28</v>
      </c>
      <c r="V781" s="418">
        <v>52.28</v>
      </c>
      <c r="W781" s="418">
        <v>52.28</v>
      </c>
      <c r="X781" s="418">
        <v>52.28</v>
      </c>
      <c r="Y781" s="423">
        <v>49.28</v>
      </c>
      <c r="Z781" s="418">
        <v>49.28</v>
      </c>
      <c r="AA781" s="418">
        <v>45.29</v>
      </c>
      <c r="AB781" s="418">
        <v>45.29</v>
      </c>
      <c r="AC781" s="418">
        <v>42.3</v>
      </c>
      <c r="AD781" s="418">
        <v>39.36</v>
      </c>
      <c r="AE781" s="321"/>
      <c r="AF781" s="564"/>
    </row>
    <row r="782" spans="1:33">
      <c r="A782" s="483"/>
      <c r="B782" s="423">
        <v>37.33</v>
      </c>
      <c r="C782" s="418">
        <v>40.31</v>
      </c>
      <c r="D782" s="418">
        <v>42.3</v>
      </c>
      <c r="E782" s="418">
        <v>45.29</v>
      </c>
      <c r="F782" s="418">
        <v>49.28</v>
      </c>
      <c r="G782" s="418">
        <v>52.28</v>
      </c>
      <c r="H782" s="427">
        <v>52.28</v>
      </c>
      <c r="I782" s="418">
        <v>52.28</v>
      </c>
      <c r="J782" s="418">
        <v>52.28</v>
      </c>
      <c r="K782" s="418">
        <v>52.28</v>
      </c>
      <c r="L782" s="415">
        <v>17.16</v>
      </c>
      <c r="M782" s="415">
        <v>16.14</v>
      </c>
      <c r="N782" s="420">
        <v>1.0900000000000001</v>
      </c>
      <c r="O782" s="415">
        <v>32</v>
      </c>
      <c r="P782" s="415">
        <v>9.14</v>
      </c>
      <c r="Q782" s="415">
        <v>9.14</v>
      </c>
      <c r="R782" s="415">
        <v>32</v>
      </c>
      <c r="S782" s="420">
        <v>2.0499999999999998</v>
      </c>
      <c r="T782" s="415">
        <v>1.29</v>
      </c>
      <c r="U782" s="418">
        <v>52.28</v>
      </c>
      <c r="V782" s="423">
        <v>52.28</v>
      </c>
      <c r="W782" s="418">
        <v>52.28</v>
      </c>
      <c r="X782" s="418">
        <v>52.28</v>
      </c>
      <c r="Y782" s="423">
        <v>49.28</v>
      </c>
      <c r="Z782" s="418">
        <v>49.28</v>
      </c>
      <c r="AA782" s="418">
        <v>45.29</v>
      </c>
      <c r="AB782" s="418">
        <v>45.29</v>
      </c>
      <c r="AC782" s="418">
        <v>42.3</v>
      </c>
      <c r="AD782" s="418">
        <v>40.31</v>
      </c>
      <c r="AE782" s="423">
        <v>37.33</v>
      </c>
      <c r="AF782" s="564"/>
    </row>
    <row r="783" spans="1:33">
      <c r="A783" s="483"/>
      <c r="B783" s="418">
        <v>39.36</v>
      </c>
      <c r="C783" s="418">
        <v>42.3</v>
      </c>
      <c r="D783" s="418">
        <v>42.3</v>
      </c>
      <c r="E783" s="418">
        <v>45.29</v>
      </c>
      <c r="F783" s="423">
        <v>49.28</v>
      </c>
      <c r="G783" s="418">
        <v>49.28</v>
      </c>
      <c r="H783" s="427">
        <v>52.28</v>
      </c>
      <c r="I783" s="418">
        <v>52.28</v>
      </c>
      <c r="J783" s="418">
        <v>52.28</v>
      </c>
      <c r="K783" s="418">
        <v>52.28</v>
      </c>
      <c r="L783" s="418">
        <v>52.28</v>
      </c>
      <c r="M783" s="415">
        <v>16.14</v>
      </c>
      <c r="N783" s="420">
        <v>15.29</v>
      </c>
      <c r="O783" s="415">
        <v>32</v>
      </c>
      <c r="P783" s="321"/>
      <c r="Q783" s="321"/>
      <c r="R783" s="415">
        <v>32</v>
      </c>
      <c r="S783" s="415">
        <v>8.15</v>
      </c>
      <c r="T783" s="420">
        <v>12.1</v>
      </c>
      <c r="U783" s="418">
        <v>52.28</v>
      </c>
      <c r="V783" s="418">
        <v>52.28</v>
      </c>
      <c r="W783" s="418">
        <v>52.28</v>
      </c>
      <c r="X783" s="418">
        <v>52.28</v>
      </c>
      <c r="Y783" s="418">
        <v>49.28</v>
      </c>
      <c r="Z783" s="418">
        <v>49.28</v>
      </c>
      <c r="AA783" s="418">
        <v>49.28</v>
      </c>
      <c r="AB783" s="423">
        <v>49.28</v>
      </c>
      <c r="AC783" s="418">
        <v>45.29</v>
      </c>
      <c r="AD783" s="418">
        <v>42.3</v>
      </c>
      <c r="AE783" s="418">
        <v>40.31</v>
      </c>
      <c r="AF783" s="564"/>
    </row>
    <row r="784" spans="1:33">
      <c r="A784" s="483"/>
      <c r="B784" s="418">
        <v>40.31</v>
      </c>
      <c r="C784" s="427">
        <v>42.3</v>
      </c>
      <c r="D784" s="418">
        <v>42.3</v>
      </c>
      <c r="E784" s="418">
        <v>45.29</v>
      </c>
      <c r="F784" s="423">
        <v>49.28</v>
      </c>
      <c r="G784" s="418">
        <v>49.28</v>
      </c>
      <c r="H784" s="418">
        <v>49.28</v>
      </c>
      <c r="I784" s="418">
        <v>52.28</v>
      </c>
      <c r="J784" s="418">
        <v>52.28</v>
      </c>
      <c r="K784" s="418">
        <v>52.28</v>
      </c>
      <c r="L784" s="418">
        <v>52.28</v>
      </c>
      <c r="M784" s="420">
        <v>1.3</v>
      </c>
      <c r="N784" s="420">
        <v>2.0299999999999998</v>
      </c>
      <c r="O784" s="415">
        <v>32</v>
      </c>
      <c r="P784" s="321"/>
      <c r="Q784" s="321"/>
      <c r="R784" s="415">
        <v>32</v>
      </c>
      <c r="S784" s="420">
        <v>1.07</v>
      </c>
      <c r="T784" s="415">
        <v>12.09</v>
      </c>
      <c r="U784" s="415">
        <v>13.11</v>
      </c>
      <c r="V784" s="418">
        <v>52.28</v>
      </c>
      <c r="W784" s="418">
        <v>52.28</v>
      </c>
      <c r="X784" s="418">
        <v>52.28</v>
      </c>
      <c r="Y784" s="418">
        <v>52.28</v>
      </c>
      <c r="Z784" s="418">
        <v>52.28</v>
      </c>
      <c r="AA784" s="418">
        <v>49.28</v>
      </c>
      <c r="AB784" s="418">
        <v>49.28</v>
      </c>
      <c r="AC784" s="418">
        <v>45.29</v>
      </c>
      <c r="AD784" s="418">
        <v>42.3</v>
      </c>
      <c r="AE784" s="418">
        <v>39.36</v>
      </c>
      <c r="AF784" s="564"/>
    </row>
    <row r="785" spans="1:32">
      <c r="A785" s="483"/>
      <c r="B785" s="423">
        <v>37.33</v>
      </c>
      <c r="C785" s="418">
        <v>40.31</v>
      </c>
      <c r="D785" s="418">
        <v>42.3</v>
      </c>
      <c r="E785" s="418">
        <v>45.29</v>
      </c>
      <c r="F785" s="418">
        <v>49.28</v>
      </c>
      <c r="G785" s="418">
        <v>49.28</v>
      </c>
      <c r="H785" s="418">
        <v>49.28</v>
      </c>
      <c r="I785" s="418">
        <v>53.25</v>
      </c>
      <c r="J785" s="418">
        <v>52.28</v>
      </c>
      <c r="K785" s="418">
        <v>52.28</v>
      </c>
      <c r="L785" s="418">
        <v>52.28</v>
      </c>
      <c r="M785" s="418">
        <v>52.28</v>
      </c>
      <c r="N785" s="420">
        <v>7.12</v>
      </c>
      <c r="O785" s="415">
        <v>32</v>
      </c>
      <c r="P785" s="415">
        <v>32</v>
      </c>
      <c r="Q785" s="415">
        <v>32</v>
      </c>
      <c r="R785" s="415">
        <v>32</v>
      </c>
      <c r="S785" s="420">
        <v>15.17</v>
      </c>
      <c r="T785" s="415">
        <v>2.29</v>
      </c>
      <c r="U785" s="418">
        <v>52.28</v>
      </c>
      <c r="V785" s="418">
        <v>52.28</v>
      </c>
      <c r="W785" s="418">
        <v>52.28</v>
      </c>
      <c r="X785" s="418">
        <v>52.28</v>
      </c>
      <c r="Y785" s="427">
        <v>52.28</v>
      </c>
      <c r="Z785" s="418">
        <v>52.28</v>
      </c>
      <c r="AA785" s="418">
        <v>49.28</v>
      </c>
      <c r="AB785" s="418">
        <v>49.28</v>
      </c>
      <c r="AC785" s="418">
        <v>45.29</v>
      </c>
      <c r="AD785" s="418">
        <v>42.3</v>
      </c>
      <c r="AE785" s="423">
        <v>37.33</v>
      </c>
      <c r="AF785" s="564"/>
    </row>
    <row r="786" spans="1:32">
      <c r="A786" s="483"/>
      <c r="B786" s="321"/>
      <c r="C786" s="423">
        <v>40.31</v>
      </c>
      <c r="D786" s="418">
        <v>42.3</v>
      </c>
      <c r="E786" s="418">
        <v>45.29</v>
      </c>
      <c r="F786" s="418">
        <v>49.28</v>
      </c>
      <c r="G786" s="418">
        <v>49.28</v>
      </c>
      <c r="H786" s="418">
        <v>53.25</v>
      </c>
      <c r="I786" s="423">
        <v>53.25</v>
      </c>
      <c r="J786" s="418">
        <v>54.27</v>
      </c>
      <c r="K786" s="418">
        <v>54.27</v>
      </c>
      <c r="L786" s="423">
        <v>52.28</v>
      </c>
      <c r="M786" s="418">
        <v>52.28</v>
      </c>
      <c r="N786" s="420">
        <v>22.18</v>
      </c>
      <c r="O786" s="420">
        <v>13.16</v>
      </c>
      <c r="P786" s="420">
        <v>2.0699999999999998</v>
      </c>
      <c r="Q786" s="420">
        <v>6.28</v>
      </c>
      <c r="R786" s="420">
        <v>3.05</v>
      </c>
      <c r="S786" s="415">
        <v>18.14</v>
      </c>
      <c r="T786" s="415">
        <v>2.29</v>
      </c>
      <c r="U786" s="415">
        <v>1.28</v>
      </c>
      <c r="V786" s="418">
        <v>52.28</v>
      </c>
      <c r="W786" s="423">
        <v>53.25</v>
      </c>
      <c r="X786" s="418">
        <v>52.28</v>
      </c>
      <c r="Y786" s="418">
        <v>52.28</v>
      </c>
      <c r="Z786" s="418">
        <v>52.28</v>
      </c>
      <c r="AA786" s="423">
        <v>49.28</v>
      </c>
      <c r="AB786" s="423">
        <v>49.28</v>
      </c>
      <c r="AC786" s="418">
        <v>45.29</v>
      </c>
      <c r="AD786" s="418">
        <v>42.3</v>
      </c>
      <c r="AE786" s="418">
        <v>40.31</v>
      </c>
      <c r="AF786" s="564"/>
    </row>
    <row r="787" spans="1:32">
      <c r="A787" s="483"/>
      <c r="B787" s="321"/>
      <c r="C787" s="423">
        <v>37.33</v>
      </c>
      <c r="D787" s="418">
        <v>42.3</v>
      </c>
      <c r="E787" s="418">
        <v>45.29</v>
      </c>
      <c r="F787" s="418">
        <v>49.28</v>
      </c>
      <c r="G787" s="418">
        <v>49.28</v>
      </c>
      <c r="H787" s="418">
        <v>52.28</v>
      </c>
      <c r="I787" s="423">
        <v>54.27</v>
      </c>
      <c r="J787" s="415">
        <v>26.26</v>
      </c>
      <c r="K787" s="418">
        <v>54.27</v>
      </c>
      <c r="L787" s="418">
        <v>53.25</v>
      </c>
      <c r="M787" s="418">
        <v>53.25</v>
      </c>
      <c r="N787" s="415">
        <v>23.19</v>
      </c>
      <c r="O787" s="415">
        <v>22.19</v>
      </c>
      <c r="P787" s="418">
        <v>52.28</v>
      </c>
      <c r="Q787" s="420">
        <v>1.3</v>
      </c>
      <c r="R787" s="420">
        <v>18.14</v>
      </c>
      <c r="S787" s="415">
        <v>20.16</v>
      </c>
      <c r="T787" s="415">
        <v>22.17</v>
      </c>
      <c r="U787" s="418">
        <v>52.28</v>
      </c>
      <c r="V787" s="418">
        <v>53.25</v>
      </c>
      <c r="W787" s="423">
        <v>53.25</v>
      </c>
      <c r="X787" s="418">
        <v>53.25</v>
      </c>
      <c r="Y787" s="418">
        <v>52.28</v>
      </c>
      <c r="Z787" s="418">
        <v>52.28</v>
      </c>
      <c r="AA787" s="418">
        <v>49.28</v>
      </c>
      <c r="AB787" s="418">
        <v>49.28</v>
      </c>
      <c r="AC787" s="418">
        <v>45.29</v>
      </c>
      <c r="AD787" s="418">
        <v>42.3</v>
      </c>
      <c r="AE787" s="418">
        <v>39.36</v>
      </c>
      <c r="AF787" s="564"/>
    </row>
    <row r="788" spans="1:32">
      <c r="A788" s="483"/>
      <c r="B788" s="321"/>
      <c r="C788" s="321"/>
      <c r="D788" s="418">
        <v>42.3</v>
      </c>
      <c r="E788" s="418">
        <v>45.29</v>
      </c>
      <c r="F788" s="427">
        <v>49.28</v>
      </c>
      <c r="G788" s="418">
        <v>49.28</v>
      </c>
      <c r="H788" s="418">
        <v>52.28</v>
      </c>
      <c r="I788" s="418">
        <v>53.25</v>
      </c>
      <c r="J788" s="418">
        <v>54.27</v>
      </c>
      <c r="K788" s="420">
        <v>26.25</v>
      </c>
      <c r="L788" s="420">
        <v>25.24</v>
      </c>
      <c r="M788" s="415">
        <v>25.23</v>
      </c>
      <c r="N788" s="415">
        <v>24.21</v>
      </c>
      <c r="O788" s="418">
        <v>53.25</v>
      </c>
      <c r="P788" s="418">
        <v>52.28</v>
      </c>
      <c r="Q788" s="418">
        <v>52.28</v>
      </c>
      <c r="R788" s="418">
        <v>52.28</v>
      </c>
      <c r="S788" s="420">
        <v>22.17</v>
      </c>
      <c r="T788" s="415">
        <v>24.2</v>
      </c>
      <c r="U788" s="415">
        <v>24.22</v>
      </c>
      <c r="V788" s="415">
        <v>24.23</v>
      </c>
      <c r="W788" s="415">
        <v>25.24</v>
      </c>
      <c r="X788" s="418">
        <v>53.25</v>
      </c>
      <c r="Y788" s="418">
        <v>52.28</v>
      </c>
      <c r="Z788" s="418">
        <v>49.28</v>
      </c>
      <c r="AA788" s="418">
        <v>49.28</v>
      </c>
      <c r="AB788" s="427">
        <v>49.28</v>
      </c>
      <c r="AC788" s="418">
        <v>45.29</v>
      </c>
      <c r="AD788" s="418">
        <v>42.3</v>
      </c>
      <c r="AE788" s="321"/>
      <c r="AF788" s="564"/>
    </row>
    <row r="789" spans="1:32">
      <c r="A789" s="483"/>
      <c r="B789" s="321"/>
      <c r="C789" s="321"/>
      <c r="D789" s="423">
        <v>37.33</v>
      </c>
      <c r="E789" s="418">
        <v>45.29</v>
      </c>
      <c r="F789" s="418">
        <v>49.28</v>
      </c>
      <c r="G789" s="418">
        <v>52.28</v>
      </c>
      <c r="H789" s="418">
        <v>52.28</v>
      </c>
      <c r="I789" s="418">
        <v>52.28</v>
      </c>
      <c r="J789" s="418">
        <v>53.25</v>
      </c>
      <c r="K789" s="418">
        <v>54.27</v>
      </c>
      <c r="L789" s="418">
        <v>53.25</v>
      </c>
      <c r="M789" s="415">
        <v>25.24</v>
      </c>
      <c r="N789" s="415">
        <v>26.25</v>
      </c>
      <c r="O789" s="418">
        <v>53.25</v>
      </c>
      <c r="P789" s="418">
        <v>52.28</v>
      </c>
      <c r="Q789" s="418">
        <v>52.28</v>
      </c>
      <c r="R789" s="418">
        <v>52.28</v>
      </c>
      <c r="S789" s="418">
        <v>53.25</v>
      </c>
      <c r="T789" s="418">
        <v>53.25</v>
      </c>
      <c r="U789" s="415">
        <v>24.23</v>
      </c>
      <c r="V789" s="418">
        <v>53.25</v>
      </c>
      <c r="W789" s="418">
        <v>53.25</v>
      </c>
      <c r="X789" s="418">
        <v>52.28</v>
      </c>
      <c r="Y789" s="418">
        <v>52.28</v>
      </c>
      <c r="Z789" s="418">
        <v>49.28</v>
      </c>
      <c r="AA789" s="418">
        <v>49.28</v>
      </c>
      <c r="AB789" s="418">
        <v>45.29</v>
      </c>
      <c r="AC789" s="418">
        <v>42.3</v>
      </c>
      <c r="AD789" s="418">
        <v>39.36</v>
      </c>
      <c r="AE789" s="321"/>
      <c r="AF789" s="564"/>
    </row>
    <row r="790" spans="1:32">
      <c r="A790" s="483"/>
      <c r="B790" s="321"/>
      <c r="C790" s="321"/>
      <c r="D790" s="418">
        <v>42.3</v>
      </c>
      <c r="E790" s="418">
        <v>45.29</v>
      </c>
      <c r="F790" s="418">
        <v>49.28</v>
      </c>
      <c r="G790" s="423">
        <v>52.28</v>
      </c>
      <c r="H790" s="418">
        <v>52.28</v>
      </c>
      <c r="I790" s="418">
        <v>52.28</v>
      </c>
      <c r="J790" s="418">
        <v>52.28</v>
      </c>
      <c r="K790" s="423">
        <v>54.27</v>
      </c>
      <c r="L790" s="415">
        <v>26.26</v>
      </c>
      <c r="M790" s="415">
        <v>26.25</v>
      </c>
      <c r="N790" s="415">
        <v>26.25</v>
      </c>
      <c r="O790" s="418">
        <v>53.25</v>
      </c>
      <c r="P790" s="423">
        <v>53.25</v>
      </c>
      <c r="Q790" s="418">
        <v>52.28</v>
      </c>
      <c r="R790" s="423">
        <v>52.28</v>
      </c>
      <c r="S790" s="418">
        <v>52.28</v>
      </c>
      <c r="T790" s="418">
        <v>53.25</v>
      </c>
      <c r="U790" s="420">
        <v>25.24</v>
      </c>
      <c r="V790" s="418">
        <v>53.25</v>
      </c>
      <c r="W790" s="418">
        <v>53.25</v>
      </c>
      <c r="X790" s="418">
        <v>52.28</v>
      </c>
      <c r="Y790" s="418">
        <v>52.28</v>
      </c>
      <c r="Z790" s="418">
        <v>49.28</v>
      </c>
      <c r="AA790" s="423">
        <v>45.29</v>
      </c>
      <c r="AB790" s="418">
        <v>45.29</v>
      </c>
      <c r="AC790" s="418">
        <v>42.3</v>
      </c>
      <c r="AD790" s="423">
        <v>37.33</v>
      </c>
      <c r="AE790" s="321"/>
      <c r="AF790" s="564"/>
    </row>
    <row r="791" spans="1:32">
      <c r="A791" s="483"/>
      <c r="B791" s="321"/>
      <c r="C791" s="418">
        <v>39.36</v>
      </c>
      <c r="D791" s="418">
        <v>42.3</v>
      </c>
      <c r="E791" s="418">
        <v>45.29</v>
      </c>
      <c r="F791" s="423">
        <v>49.28</v>
      </c>
      <c r="G791" s="418">
        <v>49.28</v>
      </c>
      <c r="H791" s="418">
        <v>52.28</v>
      </c>
      <c r="I791" s="418">
        <v>52.28</v>
      </c>
      <c r="J791" s="418">
        <v>52.28</v>
      </c>
      <c r="K791" s="423">
        <v>54.27</v>
      </c>
      <c r="L791" s="415">
        <v>26.26</v>
      </c>
      <c r="M791" s="418">
        <v>53.25</v>
      </c>
      <c r="N791" s="418">
        <v>53.25</v>
      </c>
      <c r="O791" s="415">
        <v>26.26</v>
      </c>
      <c r="P791" s="423">
        <v>53.25</v>
      </c>
      <c r="Q791" s="418">
        <v>52.28</v>
      </c>
      <c r="R791" s="418">
        <v>52.28</v>
      </c>
      <c r="S791" s="418">
        <v>52.28</v>
      </c>
      <c r="T791" s="418">
        <v>53.25</v>
      </c>
      <c r="U791" s="423">
        <v>53.25</v>
      </c>
      <c r="V791" s="418">
        <v>53.25</v>
      </c>
      <c r="W791" s="418">
        <v>52.28</v>
      </c>
      <c r="X791" s="423">
        <v>52.28</v>
      </c>
      <c r="Y791" s="418">
        <v>52.28</v>
      </c>
      <c r="Z791" s="418">
        <v>49.28</v>
      </c>
      <c r="AA791" s="423">
        <v>45.29</v>
      </c>
      <c r="AB791" s="418">
        <v>42.3</v>
      </c>
      <c r="AC791" s="418">
        <v>40.31</v>
      </c>
      <c r="AD791" s="321"/>
      <c r="AE791" s="321"/>
      <c r="AF791" s="564"/>
    </row>
    <row r="792" spans="1:32">
      <c r="A792" s="483"/>
      <c r="B792" s="321"/>
      <c r="C792" s="418">
        <v>40.31</v>
      </c>
      <c r="D792" s="427">
        <v>42.3</v>
      </c>
      <c r="E792" s="418">
        <v>45.29</v>
      </c>
      <c r="F792" s="418">
        <v>49.28</v>
      </c>
      <c r="G792" s="418">
        <v>49.28</v>
      </c>
      <c r="H792" s="418">
        <v>49.28</v>
      </c>
      <c r="I792" s="418">
        <v>52.28</v>
      </c>
      <c r="J792" s="418">
        <v>54.27</v>
      </c>
      <c r="K792" s="420">
        <v>26.26</v>
      </c>
      <c r="L792" s="418">
        <v>54.27</v>
      </c>
      <c r="M792" s="418">
        <v>52.28</v>
      </c>
      <c r="N792" s="418">
        <v>52.28</v>
      </c>
      <c r="O792" s="418">
        <v>54.27</v>
      </c>
      <c r="P792" s="418">
        <v>52.28</v>
      </c>
      <c r="Q792" s="418">
        <v>52.28</v>
      </c>
      <c r="R792" s="418">
        <v>52.28</v>
      </c>
      <c r="S792" s="418">
        <v>52.28</v>
      </c>
      <c r="T792" s="418">
        <v>52.28</v>
      </c>
      <c r="U792" s="418">
        <v>53.25</v>
      </c>
      <c r="V792" s="418">
        <v>52.28</v>
      </c>
      <c r="W792" s="418">
        <v>52.28</v>
      </c>
      <c r="X792" s="423">
        <v>52.28</v>
      </c>
      <c r="Y792" s="418">
        <v>52.28</v>
      </c>
      <c r="Z792" s="418">
        <v>49.28</v>
      </c>
      <c r="AA792" s="418">
        <v>45.29</v>
      </c>
      <c r="AB792" s="423">
        <v>42.3</v>
      </c>
      <c r="AC792" s="418">
        <v>39.36</v>
      </c>
      <c r="AD792" s="321"/>
      <c r="AE792" s="321"/>
      <c r="AF792" s="564"/>
    </row>
    <row r="793" spans="1:32">
      <c r="A793" s="483"/>
      <c r="B793" s="321"/>
      <c r="C793" s="423">
        <v>37.33</v>
      </c>
      <c r="D793" s="427">
        <v>42.3</v>
      </c>
      <c r="E793" s="418">
        <v>45.29</v>
      </c>
      <c r="F793" s="418">
        <v>45.29</v>
      </c>
      <c r="G793" s="418">
        <v>49.28</v>
      </c>
      <c r="H793" s="418">
        <v>49.28</v>
      </c>
      <c r="I793" s="418">
        <v>52.28</v>
      </c>
      <c r="J793" s="418">
        <v>52.28</v>
      </c>
      <c r="K793" s="418">
        <v>54.27</v>
      </c>
      <c r="L793" s="418">
        <v>52.28</v>
      </c>
      <c r="M793" s="418">
        <v>52.28</v>
      </c>
      <c r="N793" s="418">
        <v>52.28</v>
      </c>
      <c r="O793" s="418">
        <v>52.28</v>
      </c>
      <c r="P793" s="418">
        <v>49.28</v>
      </c>
      <c r="Q793" s="418">
        <v>49.28</v>
      </c>
      <c r="R793" s="418">
        <v>49.28</v>
      </c>
      <c r="S793" s="423">
        <v>52.28</v>
      </c>
      <c r="T793" s="418">
        <v>52.28</v>
      </c>
      <c r="U793" s="418">
        <v>52.28</v>
      </c>
      <c r="V793" s="418">
        <v>52.28</v>
      </c>
      <c r="W793" s="418">
        <v>52.28</v>
      </c>
      <c r="X793" s="418">
        <v>52.28</v>
      </c>
      <c r="Y793" s="418">
        <v>49.28</v>
      </c>
      <c r="Z793" s="418">
        <v>49.28</v>
      </c>
      <c r="AA793" s="418">
        <v>45.29</v>
      </c>
      <c r="AB793" s="418">
        <v>42.3</v>
      </c>
      <c r="AC793" s="418">
        <v>40.31</v>
      </c>
      <c r="AD793" s="423">
        <v>37.33</v>
      </c>
      <c r="AE793" s="321"/>
      <c r="AF793" s="564"/>
    </row>
    <row r="794" spans="1:32">
      <c r="A794" s="483"/>
      <c r="B794" s="321"/>
      <c r="C794" s="423">
        <v>40.31</v>
      </c>
      <c r="D794" s="427">
        <v>42.3</v>
      </c>
      <c r="E794" s="418">
        <v>45.29</v>
      </c>
      <c r="F794" s="418">
        <v>45.29</v>
      </c>
      <c r="G794" s="418">
        <v>45.29</v>
      </c>
      <c r="H794" s="418">
        <v>49.28</v>
      </c>
      <c r="I794" s="418">
        <v>49.28</v>
      </c>
      <c r="J794" s="418">
        <v>49.28</v>
      </c>
      <c r="K794" s="418">
        <v>52.28</v>
      </c>
      <c r="L794" s="418">
        <v>52.28</v>
      </c>
      <c r="M794" s="418">
        <v>52.28</v>
      </c>
      <c r="N794" s="423">
        <v>52.28</v>
      </c>
      <c r="O794" s="418">
        <v>49.28</v>
      </c>
      <c r="P794" s="418">
        <v>49.28</v>
      </c>
      <c r="Q794" s="418">
        <v>49.28</v>
      </c>
      <c r="R794" s="418">
        <v>49.28</v>
      </c>
      <c r="S794" s="423">
        <v>49.28</v>
      </c>
      <c r="T794" s="418">
        <v>52.28</v>
      </c>
      <c r="U794" s="418">
        <v>52.28</v>
      </c>
      <c r="V794" s="418">
        <v>52.28</v>
      </c>
      <c r="W794" s="418">
        <v>52.28</v>
      </c>
      <c r="X794" s="418">
        <v>49.28</v>
      </c>
      <c r="Y794" s="418">
        <v>49.28</v>
      </c>
      <c r="Z794" s="418">
        <v>45.29</v>
      </c>
      <c r="AA794" s="418">
        <v>49.28</v>
      </c>
      <c r="AB794" s="418">
        <v>45.29</v>
      </c>
      <c r="AC794" s="418">
        <v>42.3</v>
      </c>
      <c r="AD794" s="418">
        <v>39.36</v>
      </c>
      <c r="AE794" s="321"/>
      <c r="AF794" s="564"/>
    </row>
    <row r="795" spans="1:32">
      <c r="A795" s="483"/>
      <c r="B795" s="321"/>
      <c r="C795" s="321"/>
      <c r="D795" s="418">
        <v>42.3</v>
      </c>
      <c r="E795" s="418">
        <v>42.3</v>
      </c>
      <c r="F795" s="418">
        <v>45.29</v>
      </c>
      <c r="G795" s="418">
        <v>45.29</v>
      </c>
      <c r="H795" s="418">
        <v>45.29</v>
      </c>
      <c r="I795" s="418">
        <v>45.29</v>
      </c>
      <c r="J795" s="418">
        <v>49.28</v>
      </c>
      <c r="K795" s="418">
        <v>49.28</v>
      </c>
      <c r="L795" s="418">
        <v>49.28</v>
      </c>
      <c r="M795" s="418">
        <v>49.28</v>
      </c>
      <c r="N795" s="423">
        <v>49.28</v>
      </c>
      <c r="O795" s="418">
        <v>49.28</v>
      </c>
      <c r="P795" s="418">
        <v>49.28</v>
      </c>
      <c r="Q795" s="418">
        <v>49.28</v>
      </c>
      <c r="R795" s="418">
        <v>49.28</v>
      </c>
      <c r="S795" s="423">
        <v>49.28</v>
      </c>
      <c r="T795" s="418">
        <v>49.28</v>
      </c>
      <c r="U795" s="418">
        <v>49.28</v>
      </c>
      <c r="V795" s="418">
        <v>49.28</v>
      </c>
      <c r="W795" s="418">
        <v>49.28</v>
      </c>
      <c r="X795" s="427">
        <v>49.28</v>
      </c>
      <c r="Y795" s="418">
        <v>45.29</v>
      </c>
      <c r="Z795" s="418">
        <v>45.29</v>
      </c>
      <c r="AA795" s="418">
        <v>45.29</v>
      </c>
      <c r="AB795" s="418">
        <v>42.3</v>
      </c>
      <c r="AC795" s="423">
        <v>40.31</v>
      </c>
      <c r="AD795" s="321"/>
      <c r="AE795" s="321"/>
      <c r="AF795" s="564"/>
    </row>
    <row r="796" spans="1:32">
      <c r="A796" s="483"/>
      <c r="B796" s="321"/>
      <c r="C796" s="321"/>
      <c r="D796" s="418">
        <v>39.36</v>
      </c>
      <c r="E796" s="418">
        <v>42.3</v>
      </c>
      <c r="F796" s="418">
        <v>42.3</v>
      </c>
      <c r="G796" s="418">
        <v>42.3</v>
      </c>
      <c r="H796" s="418">
        <v>42.3</v>
      </c>
      <c r="I796" s="423">
        <v>42.3</v>
      </c>
      <c r="J796" s="418">
        <v>42.3</v>
      </c>
      <c r="K796" s="418">
        <v>45.29</v>
      </c>
      <c r="L796" s="427">
        <v>45.29</v>
      </c>
      <c r="M796" s="418">
        <v>45.29</v>
      </c>
      <c r="N796" s="418">
        <v>45.29</v>
      </c>
      <c r="O796" s="418">
        <v>49.28</v>
      </c>
      <c r="P796" s="427">
        <v>45.29</v>
      </c>
      <c r="Q796" s="418">
        <v>45.29</v>
      </c>
      <c r="R796" s="418">
        <v>45.29</v>
      </c>
      <c r="S796" s="418">
        <v>49.28</v>
      </c>
      <c r="T796" s="418">
        <v>49.28</v>
      </c>
      <c r="U796" s="423">
        <v>45.29</v>
      </c>
      <c r="V796" s="418">
        <v>45.29</v>
      </c>
      <c r="W796" s="418">
        <v>45.29</v>
      </c>
      <c r="X796" s="418">
        <v>45.29</v>
      </c>
      <c r="Y796" s="418">
        <v>45.29</v>
      </c>
      <c r="Z796" s="418">
        <v>42.3</v>
      </c>
      <c r="AA796" s="418">
        <v>42.3</v>
      </c>
      <c r="AB796" s="418">
        <v>40.31</v>
      </c>
      <c r="AC796" s="423">
        <v>37.33</v>
      </c>
      <c r="AD796" s="321"/>
      <c r="AE796" s="321"/>
      <c r="AF796" s="564"/>
    </row>
    <row r="797" spans="1:32">
      <c r="A797" s="483"/>
      <c r="B797" s="321"/>
      <c r="C797" s="321"/>
      <c r="D797" s="321"/>
      <c r="E797" s="321"/>
      <c r="F797" s="418">
        <v>39.36</v>
      </c>
      <c r="G797" s="423">
        <v>37.33</v>
      </c>
      <c r="H797" s="418">
        <v>42.3</v>
      </c>
      <c r="I797" s="423">
        <v>40.31</v>
      </c>
      <c r="J797" s="418">
        <v>40.31</v>
      </c>
      <c r="K797" s="418">
        <v>42.3</v>
      </c>
      <c r="L797" s="418">
        <v>42.3</v>
      </c>
      <c r="M797" s="418">
        <v>42.3</v>
      </c>
      <c r="N797" s="418">
        <v>42.3</v>
      </c>
      <c r="O797" s="418">
        <v>42.3</v>
      </c>
      <c r="P797" s="418">
        <v>42.3</v>
      </c>
      <c r="Q797" s="418">
        <v>42.3</v>
      </c>
      <c r="R797" s="418">
        <v>42.3</v>
      </c>
      <c r="S797" s="418">
        <v>42.3</v>
      </c>
      <c r="T797" s="418">
        <v>42.3</v>
      </c>
      <c r="U797" s="418">
        <v>42.3</v>
      </c>
      <c r="V797" s="418">
        <v>42.3</v>
      </c>
      <c r="W797" s="418">
        <v>42.3</v>
      </c>
      <c r="X797" s="418">
        <v>42.3</v>
      </c>
      <c r="Y797" s="418">
        <v>42.3</v>
      </c>
      <c r="Z797" s="418">
        <v>40.31</v>
      </c>
      <c r="AA797" s="423">
        <v>37.33</v>
      </c>
      <c r="AB797" s="423">
        <v>40.31</v>
      </c>
      <c r="AC797" s="321"/>
      <c r="AD797" s="321"/>
      <c r="AE797" s="321"/>
      <c r="AF797" s="564"/>
    </row>
    <row r="798" spans="1:32">
      <c r="A798" s="483"/>
      <c r="B798" s="321"/>
      <c r="C798" s="321"/>
      <c r="D798" s="321"/>
      <c r="E798" s="321"/>
      <c r="F798" s="321"/>
      <c r="G798" s="321"/>
      <c r="H798" s="321"/>
      <c r="I798" s="321"/>
      <c r="J798" s="423">
        <v>40.31</v>
      </c>
      <c r="K798" s="418">
        <v>39.36</v>
      </c>
      <c r="L798" s="423">
        <v>37.33</v>
      </c>
      <c r="M798" s="423">
        <v>42.3</v>
      </c>
      <c r="N798" s="418">
        <v>42.3</v>
      </c>
      <c r="O798" s="418">
        <v>42.3</v>
      </c>
      <c r="P798" s="418">
        <v>42.3</v>
      </c>
      <c r="Q798" s="418">
        <v>42.3</v>
      </c>
      <c r="R798" s="418">
        <v>42.3</v>
      </c>
      <c r="S798" s="418">
        <v>42.3</v>
      </c>
      <c r="T798" s="418">
        <v>39.36</v>
      </c>
      <c r="U798" s="418">
        <v>42.3</v>
      </c>
      <c r="V798" s="423">
        <v>37.33</v>
      </c>
      <c r="W798" s="418">
        <v>39.36</v>
      </c>
      <c r="X798" s="321"/>
      <c r="Y798" s="423">
        <v>37.33</v>
      </c>
      <c r="Z798" s="418">
        <v>39.36</v>
      </c>
      <c r="AA798" s="321"/>
      <c r="AB798" s="321"/>
      <c r="AC798" s="321"/>
      <c r="AD798" s="321"/>
      <c r="AE798" s="321"/>
      <c r="AF798" s="564"/>
    </row>
    <row r="799" spans="1:32">
      <c r="A799" s="483"/>
      <c r="B799" s="321"/>
      <c r="C799" s="321"/>
      <c r="D799" s="321"/>
      <c r="E799" s="321"/>
      <c r="F799" s="321"/>
      <c r="G799" s="321"/>
      <c r="H799" s="321"/>
      <c r="I799" s="321"/>
      <c r="J799" s="321"/>
      <c r="K799" s="321"/>
      <c r="L799" s="321"/>
      <c r="M799" s="321"/>
      <c r="N799" s="423">
        <v>37.33</v>
      </c>
      <c r="O799" s="418">
        <v>39.36</v>
      </c>
      <c r="P799" s="418">
        <v>40.31</v>
      </c>
      <c r="Q799" s="423">
        <v>37.33</v>
      </c>
      <c r="R799" s="418">
        <v>39.36</v>
      </c>
      <c r="S799" s="423">
        <v>37.33</v>
      </c>
      <c r="T799" s="321"/>
      <c r="U799" s="321"/>
      <c r="V799" s="321"/>
      <c r="W799" s="321"/>
      <c r="X799" s="321"/>
      <c r="Y799" s="321"/>
      <c r="Z799" s="321"/>
      <c r="AA799" s="321"/>
      <c r="AB799" s="321"/>
      <c r="AC799" s="321"/>
      <c r="AD799" s="321"/>
      <c r="AE799" s="321"/>
      <c r="AF799" s="564"/>
    </row>
    <row r="800" spans="1:32">
      <c r="A800" s="651"/>
      <c r="B800" s="569"/>
      <c r="C800" s="569"/>
      <c r="D800" s="569"/>
      <c r="E800" s="569"/>
      <c r="F800" s="569"/>
      <c r="G800" s="569"/>
      <c r="H800" s="569"/>
      <c r="I800" s="569"/>
      <c r="J800" s="569"/>
      <c r="K800" s="569"/>
      <c r="L800" s="569"/>
      <c r="M800" s="569"/>
      <c r="N800" s="569"/>
      <c r="O800" s="569"/>
      <c r="P800" s="569"/>
      <c r="Q800" s="569"/>
      <c r="R800" s="569"/>
      <c r="S800" s="569"/>
      <c r="T800" s="569"/>
      <c r="U800" s="569"/>
      <c r="V800" s="569"/>
      <c r="W800" s="569"/>
      <c r="X800" s="569"/>
      <c r="Y800" s="569"/>
      <c r="Z800" s="569"/>
      <c r="AA800" s="569"/>
      <c r="AB800" s="569"/>
      <c r="AC800" s="569"/>
      <c r="AD800" s="569"/>
      <c r="AE800" s="569"/>
      <c r="AF800" s="570"/>
    </row>
    <row r="801" spans="1:34">
      <c r="A801" s="321"/>
      <c r="B801" s="321"/>
      <c r="C801" s="321"/>
      <c r="D801" s="321"/>
      <c r="E801" s="321"/>
      <c r="F801" s="321"/>
      <c r="G801" s="321"/>
      <c r="H801" s="321"/>
      <c r="I801" s="321"/>
      <c r="J801" s="321"/>
      <c r="K801" s="439">
        <v>8</v>
      </c>
      <c r="L801" s="411">
        <v>9.09</v>
      </c>
      <c r="M801" s="411">
        <v>9.09</v>
      </c>
      <c r="N801" s="439">
        <v>9.09</v>
      </c>
      <c r="O801" s="439">
        <v>9.09</v>
      </c>
      <c r="P801" s="439">
        <v>9.09</v>
      </c>
      <c r="Q801" s="439">
        <v>9.09</v>
      </c>
      <c r="R801" s="439">
        <v>9.09</v>
      </c>
      <c r="S801" s="439">
        <v>9.09</v>
      </c>
      <c r="T801" s="439">
        <v>9.09</v>
      </c>
      <c r="U801" s="439">
        <v>9.09</v>
      </c>
      <c r="V801" s="439">
        <v>8</v>
      </c>
      <c r="W801" s="321"/>
      <c r="X801" s="321"/>
      <c r="Y801" s="321"/>
      <c r="Z801" s="321"/>
      <c r="AA801" s="321"/>
      <c r="AB801" s="321"/>
      <c r="AC801" s="321"/>
      <c r="AD801" s="321"/>
      <c r="AE801" s="321"/>
      <c r="AF801" s="321"/>
      <c r="AG801">
        <v>26</v>
      </c>
    </row>
    <row r="802" spans="1:34">
      <c r="A802" s="321"/>
      <c r="B802" s="321"/>
      <c r="C802" s="321"/>
      <c r="D802" s="321"/>
      <c r="E802" s="321"/>
      <c r="F802" s="321"/>
      <c r="G802" s="321"/>
      <c r="H802" s="321"/>
      <c r="I802" s="321"/>
      <c r="J802" s="321"/>
      <c r="K802" s="439">
        <v>4.04</v>
      </c>
      <c r="L802" s="412">
        <v>4.04</v>
      </c>
      <c r="M802" s="412">
        <v>4.04</v>
      </c>
      <c r="N802" s="412">
        <v>4.04</v>
      </c>
      <c r="O802" s="412">
        <v>4.04</v>
      </c>
      <c r="P802" s="412">
        <v>4.04</v>
      </c>
      <c r="Q802" s="412">
        <v>4.04</v>
      </c>
      <c r="R802" s="412">
        <v>4.04</v>
      </c>
      <c r="S802" s="412">
        <v>4.04</v>
      </c>
      <c r="T802" s="412">
        <v>4.04</v>
      </c>
      <c r="U802" s="412">
        <v>4.04</v>
      </c>
      <c r="V802" s="439">
        <v>4.04</v>
      </c>
      <c r="W802" s="321"/>
      <c r="X802" s="321"/>
      <c r="Y802" s="321"/>
      <c r="Z802" s="321"/>
      <c r="AA802" s="321"/>
      <c r="AB802" s="321"/>
      <c r="AC802" s="321"/>
      <c r="AD802" s="321"/>
      <c r="AE802" s="321"/>
      <c r="AF802" s="321"/>
    </row>
    <row r="803" spans="1:34">
      <c r="AH803">
        <v>802</v>
      </c>
    </row>
    <row r="804" spans="1:34">
      <c r="AG804">
        <v>1</v>
      </c>
      <c r="AH804">
        <v>802</v>
      </c>
    </row>
    <row r="805" spans="1:34">
      <c r="AH805">
        <v>802</v>
      </c>
    </row>
    <row r="806" spans="1:34">
      <c r="AH806">
        <v>802</v>
      </c>
    </row>
    <row r="807" spans="1:34">
      <c r="AH807">
        <v>802</v>
      </c>
    </row>
    <row r="808" spans="1:34">
      <c r="AH808">
        <v>802</v>
      </c>
    </row>
    <row r="809" spans="1:34">
      <c r="A809" s="321"/>
      <c r="B809" s="321"/>
      <c r="C809" s="321"/>
      <c r="D809" s="321"/>
      <c r="E809" s="321"/>
      <c r="F809" s="321"/>
      <c r="G809" s="321"/>
      <c r="H809" s="321"/>
      <c r="I809" s="321"/>
      <c r="J809" s="321"/>
      <c r="K809" s="439">
        <v>4</v>
      </c>
      <c r="L809" s="412">
        <v>4.04</v>
      </c>
      <c r="M809" s="412">
        <v>4.04</v>
      </c>
      <c r="N809" s="412">
        <v>4.04</v>
      </c>
      <c r="O809" s="412">
        <v>4.04</v>
      </c>
      <c r="P809" s="412">
        <v>4.04</v>
      </c>
      <c r="Q809" s="412">
        <v>4.04</v>
      </c>
      <c r="R809" s="412">
        <v>4.04</v>
      </c>
      <c r="S809" s="412">
        <v>4.04</v>
      </c>
      <c r="T809" s="412">
        <v>4.04</v>
      </c>
      <c r="U809" s="412">
        <v>4.04</v>
      </c>
      <c r="V809" s="439">
        <v>4</v>
      </c>
      <c r="W809" s="321"/>
      <c r="X809" s="321"/>
      <c r="Y809" s="321"/>
      <c r="Z809" s="321"/>
      <c r="AA809" s="321"/>
      <c r="AB809" s="321"/>
      <c r="AC809" s="321"/>
      <c r="AD809" s="321"/>
      <c r="AE809" s="321"/>
      <c r="AF809" s="321"/>
    </row>
    <row r="810" spans="1:34">
      <c r="A810" s="420">
        <v>7.07</v>
      </c>
      <c r="B810" s="420">
        <v>7.07</v>
      </c>
      <c r="C810" s="420">
        <v>7.07</v>
      </c>
      <c r="D810" s="420">
        <v>7.07</v>
      </c>
      <c r="E810" s="420">
        <v>7.07</v>
      </c>
      <c r="F810" s="420">
        <v>7.07</v>
      </c>
      <c r="G810" s="420">
        <v>7.07</v>
      </c>
      <c r="H810" s="420">
        <v>7.07</v>
      </c>
      <c r="I810" s="420">
        <v>7.07</v>
      </c>
      <c r="J810" s="420">
        <v>7.07</v>
      </c>
      <c r="K810" s="420">
        <v>7.07</v>
      </c>
      <c r="L810" s="420">
        <v>7.07</v>
      </c>
      <c r="M810" s="420">
        <v>7.07</v>
      </c>
      <c r="N810" s="420">
        <v>7.07</v>
      </c>
      <c r="O810" s="420">
        <v>7.07</v>
      </c>
      <c r="P810" s="420">
        <v>7.07</v>
      </c>
      <c r="Q810" s="420">
        <v>7.07</v>
      </c>
      <c r="R810" s="420">
        <v>7.07</v>
      </c>
      <c r="S810" s="420">
        <v>7.07</v>
      </c>
      <c r="T810" s="420">
        <v>7.07</v>
      </c>
      <c r="U810" s="420">
        <v>7.07</v>
      </c>
      <c r="V810" s="420">
        <v>7.07</v>
      </c>
      <c r="W810" s="420">
        <v>7.07</v>
      </c>
      <c r="X810" s="420">
        <v>7.07</v>
      </c>
      <c r="Y810" s="420">
        <v>7.07</v>
      </c>
      <c r="Z810" s="420">
        <v>7.07</v>
      </c>
      <c r="AA810" s="420">
        <v>7.07</v>
      </c>
      <c r="AB810" s="420">
        <v>7.07</v>
      </c>
      <c r="AC810" s="420">
        <v>7.07</v>
      </c>
      <c r="AD810" s="420">
        <v>7.07</v>
      </c>
      <c r="AE810" s="420">
        <v>7.07</v>
      </c>
      <c r="AF810" s="420">
        <v>7.07</v>
      </c>
    </row>
    <row r="811" spans="1:34">
      <c r="A811" s="420">
        <v>7.07</v>
      </c>
      <c r="B811" s="409">
        <v>7.07</v>
      </c>
      <c r="C811" s="409">
        <v>7.07</v>
      </c>
      <c r="D811" s="409">
        <v>7.07</v>
      </c>
      <c r="E811" s="409">
        <v>7.07</v>
      </c>
      <c r="F811" s="409">
        <v>7.07</v>
      </c>
      <c r="G811" s="409">
        <v>7.07</v>
      </c>
      <c r="H811" s="409">
        <v>7.07</v>
      </c>
      <c r="I811" s="409">
        <v>7.07</v>
      </c>
      <c r="J811" s="439">
        <v>8.07</v>
      </c>
      <c r="K811" s="439">
        <v>8.07</v>
      </c>
      <c r="L811" s="439">
        <v>8.07</v>
      </c>
      <c r="M811" s="439">
        <v>8.07</v>
      </c>
      <c r="N811" s="439">
        <v>8.07</v>
      </c>
      <c r="O811" s="439">
        <v>8.07</v>
      </c>
      <c r="P811" s="439">
        <v>8.07</v>
      </c>
      <c r="Q811" s="439">
        <v>8.07</v>
      </c>
      <c r="R811" s="439">
        <v>8.07</v>
      </c>
      <c r="S811" s="439">
        <v>8.07</v>
      </c>
      <c r="T811" s="439">
        <v>8.07</v>
      </c>
      <c r="U811" s="439">
        <v>8.07</v>
      </c>
      <c r="V811" s="439">
        <v>8.07</v>
      </c>
      <c r="W811" s="439">
        <v>8.07</v>
      </c>
      <c r="X811" s="409">
        <v>7.07</v>
      </c>
      <c r="Y811" s="409">
        <v>7.07</v>
      </c>
      <c r="Z811" s="409">
        <v>7.07</v>
      </c>
      <c r="AA811" s="409">
        <v>7.07</v>
      </c>
      <c r="AB811" s="409">
        <v>7.07</v>
      </c>
      <c r="AC811" s="409">
        <v>7.07</v>
      </c>
      <c r="AD811" s="409">
        <v>7.07</v>
      </c>
      <c r="AE811" s="409">
        <v>7.07</v>
      </c>
      <c r="AF811" s="420">
        <v>7.07</v>
      </c>
    </row>
    <row r="812" spans="1:34">
      <c r="A812" s="420">
        <v>7.07</v>
      </c>
      <c r="B812" s="409">
        <v>7.07</v>
      </c>
      <c r="C812" s="409">
        <v>7.07</v>
      </c>
      <c r="D812" s="409">
        <v>7</v>
      </c>
      <c r="E812" s="409">
        <v>7.07</v>
      </c>
      <c r="F812" s="409">
        <v>7.07</v>
      </c>
      <c r="G812" s="409">
        <v>7.07</v>
      </c>
      <c r="H812" s="409">
        <v>7.07</v>
      </c>
      <c r="I812" s="439">
        <v>8.07</v>
      </c>
      <c r="J812" s="411">
        <v>8.07</v>
      </c>
      <c r="K812" s="411">
        <v>8.07</v>
      </c>
      <c r="L812" s="411">
        <v>8.07</v>
      </c>
      <c r="M812" s="411">
        <v>8.07</v>
      </c>
      <c r="N812" s="432">
        <v>9.07</v>
      </c>
      <c r="O812" s="432">
        <v>9.07</v>
      </c>
      <c r="P812" s="432">
        <v>9.07</v>
      </c>
      <c r="Q812" s="432">
        <v>9.07</v>
      </c>
      <c r="R812" s="432">
        <v>9.07</v>
      </c>
      <c r="S812" s="432">
        <v>9.07</v>
      </c>
      <c r="T812" s="411">
        <v>8.07</v>
      </c>
      <c r="U812" s="411">
        <v>8.07</v>
      </c>
      <c r="V812" s="411">
        <v>8.07</v>
      </c>
      <c r="W812" s="411">
        <v>8.07</v>
      </c>
      <c r="X812" s="439">
        <v>8.07</v>
      </c>
      <c r="Y812" s="409">
        <v>7.07</v>
      </c>
      <c r="Z812" s="409">
        <v>7.07</v>
      </c>
      <c r="AA812" s="409">
        <v>7.07</v>
      </c>
      <c r="AB812" s="409">
        <v>7.07</v>
      </c>
      <c r="AC812" s="409">
        <v>7</v>
      </c>
      <c r="AD812" s="409">
        <v>7.07</v>
      </c>
      <c r="AE812" s="409">
        <v>7.07</v>
      </c>
      <c r="AF812" s="420">
        <v>7.07</v>
      </c>
    </row>
    <row r="813" spans="1:34">
      <c r="A813" s="420">
        <v>7.07</v>
      </c>
      <c r="B813" s="409">
        <v>7.07</v>
      </c>
      <c r="C813" s="409">
        <v>7</v>
      </c>
      <c r="D813" s="409">
        <v>7</v>
      </c>
      <c r="E813" s="409">
        <v>7</v>
      </c>
      <c r="F813" s="409">
        <v>7.07</v>
      </c>
      <c r="G813" s="409">
        <v>7.07</v>
      </c>
      <c r="H813" s="409">
        <v>7.07</v>
      </c>
      <c r="I813" s="439">
        <v>8.07</v>
      </c>
      <c r="J813" s="411">
        <v>8.07</v>
      </c>
      <c r="K813" s="411">
        <v>8.07</v>
      </c>
      <c r="L813" s="432">
        <v>9.07</v>
      </c>
      <c r="M813" s="432">
        <v>9.07</v>
      </c>
      <c r="N813" s="432">
        <v>9.07</v>
      </c>
      <c r="O813" s="439">
        <v>9.07</v>
      </c>
      <c r="P813" s="432">
        <v>9.07</v>
      </c>
      <c r="Q813" s="439">
        <v>9.07</v>
      </c>
      <c r="R813" s="432">
        <v>9.07</v>
      </c>
      <c r="S813" s="439">
        <v>9.07</v>
      </c>
      <c r="T813" s="432">
        <v>9.07</v>
      </c>
      <c r="U813" s="432">
        <v>9.07</v>
      </c>
      <c r="V813" s="411">
        <v>8.07</v>
      </c>
      <c r="W813" s="411">
        <v>8.07</v>
      </c>
      <c r="X813" s="439">
        <v>8.07</v>
      </c>
      <c r="Y813" s="409">
        <v>7.07</v>
      </c>
      <c r="Z813" s="409">
        <v>7.07</v>
      </c>
      <c r="AA813" s="409">
        <v>7.07</v>
      </c>
      <c r="AB813" s="409">
        <v>7</v>
      </c>
      <c r="AC813" s="409">
        <v>7</v>
      </c>
      <c r="AD813" s="409">
        <v>7</v>
      </c>
      <c r="AE813" s="409">
        <v>7.07</v>
      </c>
      <c r="AF813" s="420">
        <v>7.07</v>
      </c>
    </row>
    <row r="814" spans="1:34">
      <c r="A814" s="420">
        <v>7.07</v>
      </c>
      <c r="B814" s="409">
        <v>7.07</v>
      </c>
      <c r="C814" s="409">
        <v>7.07</v>
      </c>
      <c r="D814" s="409">
        <v>7</v>
      </c>
      <c r="E814" s="409">
        <v>7.07</v>
      </c>
      <c r="F814" s="409">
        <v>7.07</v>
      </c>
      <c r="G814" s="409">
        <v>7.07</v>
      </c>
      <c r="H814" s="409">
        <v>7.07</v>
      </c>
      <c r="I814" s="439">
        <v>8.07</v>
      </c>
      <c r="J814" s="411">
        <v>8.07</v>
      </c>
      <c r="K814" s="411">
        <v>8.07</v>
      </c>
      <c r="L814" s="432">
        <v>9.07</v>
      </c>
      <c r="M814" s="432">
        <v>9.07</v>
      </c>
      <c r="N814" s="439">
        <v>9.07</v>
      </c>
      <c r="O814" s="432">
        <v>9.07</v>
      </c>
      <c r="P814" s="439">
        <v>9.07</v>
      </c>
      <c r="Q814" s="432">
        <v>9.07</v>
      </c>
      <c r="R814" s="439">
        <v>9.07</v>
      </c>
      <c r="S814" s="432">
        <v>9.07</v>
      </c>
      <c r="T814" s="439">
        <v>9.07</v>
      </c>
      <c r="U814" s="432">
        <v>9.07</v>
      </c>
      <c r="V814" s="411">
        <v>8.07</v>
      </c>
      <c r="W814" s="411">
        <v>8.07</v>
      </c>
      <c r="X814" s="439">
        <v>8.07</v>
      </c>
      <c r="Y814" s="409">
        <v>7.07</v>
      </c>
      <c r="Z814" s="409">
        <v>7.07</v>
      </c>
      <c r="AA814" s="409">
        <v>7.07</v>
      </c>
      <c r="AB814" s="409">
        <v>7.07</v>
      </c>
      <c r="AC814" s="409">
        <v>7</v>
      </c>
      <c r="AD814" s="409">
        <v>7.07</v>
      </c>
      <c r="AE814" s="409">
        <v>7.07</v>
      </c>
      <c r="AF814" s="420">
        <v>7.07</v>
      </c>
    </row>
    <row r="815" spans="1:34">
      <c r="A815" s="420">
        <v>7.07</v>
      </c>
      <c r="B815" s="409">
        <v>7.07</v>
      </c>
      <c r="C815" s="409">
        <v>7.07</v>
      </c>
      <c r="D815" s="409">
        <v>7.07</v>
      </c>
      <c r="E815" s="409">
        <v>7.07</v>
      </c>
      <c r="F815" s="409">
        <v>7.07</v>
      </c>
      <c r="G815" s="409">
        <v>7.07</v>
      </c>
      <c r="H815" s="409">
        <v>7.07</v>
      </c>
      <c r="I815" s="439">
        <v>8.07</v>
      </c>
      <c r="J815" s="411">
        <v>8.07</v>
      </c>
      <c r="K815" s="411">
        <v>8.07</v>
      </c>
      <c r="L815" s="432">
        <v>9.07</v>
      </c>
      <c r="M815" s="439">
        <v>9.07</v>
      </c>
      <c r="N815" s="432">
        <v>9.07</v>
      </c>
      <c r="O815" s="439">
        <v>9.07</v>
      </c>
      <c r="P815" s="432">
        <v>9.07</v>
      </c>
      <c r="Q815" s="439">
        <v>9.07</v>
      </c>
      <c r="R815" s="432">
        <v>9.07</v>
      </c>
      <c r="S815" s="439">
        <v>9.07</v>
      </c>
      <c r="T815" s="432">
        <v>9.07</v>
      </c>
      <c r="U815" s="432">
        <v>9.07</v>
      </c>
      <c r="V815" s="411">
        <v>8.07</v>
      </c>
      <c r="W815" s="411">
        <v>8.07</v>
      </c>
      <c r="X815" s="439">
        <v>8.07</v>
      </c>
      <c r="Y815" s="409">
        <v>7.07</v>
      </c>
      <c r="Z815" s="409">
        <v>7.07</v>
      </c>
      <c r="AA815" s="409">
        <v>7.07</v>
      </c>
      <c r="AB815" s="409">
        <v>7.07</v>
      </c>
      <c r="AC815" s="409">
        <v>7.07</v>
      </c>
      <c r="AD815" s="409">
        <v>7.07</v>
      </c>
      <c r="AE815" s="409">
        <v>7.07</v>
      </c>
      <c r="AF815" s="420">
        <v>7.07</v>
      </c>
    </row>
    <row r="816" spans="1:34">
      <c r="A816" s="420">
        <v>7.07</v>
      </c>
      <c r="B816" s="409">
        <v>7.07</v>
      </c>
      <c r="C816" s="439">
        <v>10.07</v>
      </c>
      <c r="D816" s="409">
        <v>7.07</v>
      </c>
      <c r="E816" s="409">
        <v>7.07</v>
      </c>
      <c r="F816" s="409">
        <v>7.07</v>
      </c>
      <c r="G816" s="409">
        <v>7.07</v>
      </c>
      <c r="H816" s="409">
        <v>7.07</v>
      </c>
      <c r="I816" s="439">
        <v>8.07</v>
      </c>
      <c r="J816" s="411">
        <v>8.07</v>
      </c>
      <c r="K816" s="411">
        <v>8.07</v>
      </c>
      <c r="L816" s="432">
        <v>9.07</v>
      </c>
      <c r="M816" s="432">
        <v>9.07</v>
      </c>
      <c r="N816" s="432">
        <v>9.07</v>
      </c>
      <c r="O816" s="432">
        <v>9.07</v>
      </c>
      <c r="P816" s="432">
        <v>9.07</v>
      </c>
      <c r="Q816" s="432">
        <v>9.07</v>
      </c>
      <c r="R816" s="432">
        <v>9.07</v>
      </c>
      <c r="S816" s="432">
        <v>9.07</v>
      </c>
      <c r="T816" s="432">
        <v>9.07</v>
      </c>
      <c r="U816" s="432">
        <v>9.07</v>
      </c>
      <c r="V816" s="411">
        <v>8.07</v>
      </c>
      <c r="W816" s="411">
        <v>8.07</v>
      </c>
      <c r="X816" s="439">
        <v>8.07</v>
      </c>
      <c r="Y816" s="409">
        <v>7.07</v>
      </c>
      <c r="Z816" s="409">
        <v>7.07</v>
      </c>
      <c r="AA816" s="439">
        <v>10.07</v>
      </c>
      <c r="AB816" s="409">
        <v>7.07</v>
      </c>
      <c r="AC816" s="409">
        <v>7.07</v>
      </c>
      <c r="AD816" s="409">
        <v>7.07</v>
      </c>
      <c r="AE816" s="409">
        <v>7.07</v>
      </c>
      <c r="AF816" s="420">
        <v>7.07</v>
      </c>
    </row>
    <row r="817" spans="1:32">
      <c r="A817" s="420">
        <v>7.07</v>
      </c>
      <c r="B817" s="415">
        <v>11.07</v>
      </c>
      <c r="C817" s="415">
        <v>11.07</v>
      </c>
      <c r="D817" s="415">
        <v>11.07</v>
      </c>
      <c r="E817" s="415">
        <v>11.07</v>
      </c>
      <c r="F817" s="415">
        <v>11.07</v>
      </c>
      <c r="G817" s="415">
        <v>11.07</v>
      </c>
      <c r="H817" s="409">
        <v>7.07</v>
      </c>
      <c r="I817" s="439">
        <v>8.07</v>
      </c>
      <c r="J817" s="439">
        <v>8.07</v>
      </c>
      <c r="K817" s="439">
        <v>8.07</v>
      </c>
      <c r="L817" s="439">
        <v>8.07</v>
      </c>
      <c r="M817" s="439">
        <v>8.07</v>
      </c>
      <c r="N817" s="439">
        <v>8.07</v>
      </c>
      <c r="O817" s="448">
        <v>9.07</v>
      </c>
      <c r="P817" s="447">
        <v>9.07</v>
      </c>
      <c r="Q817" s="449">
        <v>9.07</v>
      </c>
      <c r="R817" s="446">
        <v>9.07</v>
      </c>
      <c r="S817" s="439">
        <v>8.07</v>
      </c>
      <c r="T817" s="439">
        <v>8.07</v>
      </c>
      <c r="U817" s="439">
        <v>8.07</v>
      </c>
      <c r="V817" s="439">
        <v>8.07</v>
      </c>
      <c r="W817" s="439">
        <v>8.07</v>
      </c>
      <c r="X817" s="439">
        <v>8.07</v>
      </c>
      <c r="Y817" s="409">
        <v>7.07</v>
      </c>
      <c r="Z817" s="415">
        <v>11.07</v>
      </c>
      <c r="AA817" s="415">
        <v>11.07</v>
      </c>
      <c r="AB817" s="415">
        <v>11.07</v>
      </c>
      <c r="AC817" s="415">
        <v>11.07</v>
      </c>
      <c r="AD817" s="415">
        <v>11.07</v>
      </c>
      <c r="AE817" s="415">
        <v>11.07</v>
      </c>
      <c r="AF817" s="420">
        <v>7.07</v>
      </c>
    </row>
    <row r="818" spans="1:32">
      <c r="A818" s="420">
        <v>7.07</v>
      </c>
      <c r="B818" s="439">
        <v>11.07</v>
      </c>
      <c r="C818" s="432">
        <v>11.07</v>
      </c>
      <c r="D818" s="432">
        <v>11.07</v>
      </c>
      <c r="E818" s="432">
        <v>11.07</v>
      </c>
      <c r="F818" s="432">
        <v>11.07</v>
      </c>
      <c r="G818" s="432">
        <v>11.07</v>
      </c>
      <c r="H818" s="409">
        <v>7.07</v>
      </c>
      <c r="I818" s="411">
        <v>22.07</v>
      </c>
      <c r="J818" s="411">
        <v>22.07</v>
      </c>
      <c r="K818" s="411">
        <v>22.07</v>
      </c>
      <c r="L818" s="411">
        <v>22.07</v>
      </c>
      <c r="M818" s="411">
        <v>22.07</v>
      </c>
      <c r="N818" s="411">
        <v>22.07</v>
      </c>
      <c r="O818" s="411">
        <v>22.07</v>
      </c>
      <c r="P818" s="411">
        <v>22.07</v>
      </c>
      <c r="Q818" s="411">
        <v>22.07</v>
      </c>
      <c r="R818" s="411">
        <v>22.07</v>
      </c>
      <c r="S818" s="411">
        <v>22.07</v>
      </c>
      <c r="T818" s="411">
        <v>22.07</v>
      </c>
      <c r="U818" s="411">
        <v>22.07</v>
      </c>
      <c r="V818" s="411">
        <v>22.07</v>
      </c>
      <c r="W818" s="411">
        <v>22.07</v>
      </c>
      <c r="X818" s="411">
        <v>22.07</v>
      </c>
      <c r="Y818" s="409">
        <v>7.07</v>
      </c>
      <c r="Z818" s="432">
        <v>11.07</v>
      </c>
      <c r="AA818" s="432">
        <v>11.07</v>
      </c>
      <c r="AB818" s="432">
        <v>11.07</v>
      </c>
      <c r="AC818" s="432">
        <v>11.07</v>
      </c>
      <c r="AD818" s="432">
        <v>11.07</v>
      </c>
      <c r="AE818" s="432">
        <v>11.07</v>
      </c>
      <c r="AF818" s="420">
        <v>7.07</v>
      </c>
    </row>
    <row r="819" spans="1:32">
      <c r="A819" s="420">
        <v>7.07</v>
      </c>
      <c r="B819" s="439">
        <v>11.07</v>
      </c>
      <c r="C819" s="432">
        <v>11.07</v>
      </c>
      <c r="D819" s="432">
        <v>11.07</v>
      </c>
      <c r="E819" s="432">
        <v>11.07</v>
      </c>
      <c r="F819" s="432">
        <v>11.07</v>
      </c>
      <c r="G819" s="432">
        <v>11.07</v>
      </c>
      <c r="H819" s="409">
        <v>7.07</v>
      </c>
      <c r="I819" s="411">
        <v>22.07</v>
      </c>
      <c r="J819" s="410">
        <v>22.07</v>
      </c>
      <c r="K819" s="452">
        <v>22.07</v>
      </c>
      <c r="L819" s="452">
        <v>22.07</v>
      </c>
      <c r="M819" s="452">
        <v>22.07</v>
      </c>
      <c r="N819" s="452">
        <v>22.07</v>
      </c>
      <c r="O819" s="452">
        <v>22.07</v>
      </c>
      <c r="P819" s="452">
        <v>22.07</v>
      </c>
      <c r="Q819" s="452">
        <v>22.07</v>
      </c>
      <c r="R819" s="452">
        <v>22.07</v>
      </c>
      <c r="S819" s="452">
        <v>22.07</v>
      </c>
      <c r="T819" s="452">
        <v>22.07</v>
      </c>
      <c r="U819" s="452">
        <v>22.07</v>
      </c>
      <c r="V819" s="452">
        <v>22.07</v>
      </c>
      <c r="W819" s="452">
        <v>22.07</v>
      </c>
      <c r="X819" s="411">
        <v>22.07</v>
      </c>
      <c r="Y819" s="409">
        <v>7.07</v>
      </c>
      <c r="Z819" s="432">
        <v>11.07</v>
      </c>
      <c r="AA819" s="432">
        <v>11.07</v>
      </c>
      <c r="AB819" s="432">
        <v>11.07</v>
      </c>
      <c r="AC819" s="432">
        <v>11.07</v>
      </c>
      <c r="AD819" s="432">
        <v>11.07</v>
      </c>
      <c r="AE819" s="432">
        <v>11.07</v>
      </c>
      <c r="AF819" s="420">
        <v>7.07</v>
      </c>
    </row>
    <row r="820" spans="1:32">
      <c r="A820" s="420">
        <v>7.07</v>
      </c>
      <c r="B820" s="439">
        <v>11.07</v>
      </c>
      <c r="C820" s="432">
        <v>11.07</v>
      </c>
      <c r="D820" s="432">
        <v>11.07</v>
      </c>
      <c r="E820" s="432">
        <v>11.07</v>
      </c>
      <c r="F820" s="432">
        <v>11.07</v>
      </c>
      <c r="G820" s="432">
        <v>11.07</v>
      </c>
      <c r="H820" s="409">
        <v>7.07</v>
      </c>
      <c r="I820" s="411">
        <v>22.07</v>
      </c>
      <c r="J820" s="410">
        <v>22.07</v>
      </c>
      <c r="K820" s="452">
        <v>22.07</v>
      </c>
      <c r="L820" s="452">
        <v>22.07</v>
      </c>
      <c r="M820" s="452">
        <v>22.16</v>
      </c>
      <c r="N820" s="452">
        <v>22.16</v>
      </c>
      <c r="O820" s="452">
        <v>22.16</v>
      </c>
      <c r="P820" s="452">
        <v>22.16</v>
      </c>
      <c r="Q820" s="452">
        <v>22.16</v>
      </c>
      <c r="R820" s="452">
        <v>22.16</v>
      </c>
      <c r="S820" s="452">
        <v>22.16</v>
      </c>
      <c r="T820" s="452">
        <v>22.16</v>
      </c>
      <c r="U820" s="452">
        <v>22.16</v>
      </c>
      <c r="V820" s="452">
        <v>22.07</v>
      </c>
      <c r="W820" s="452">
        <v>22.07</v>
      </c>
      <c r="X820" s="411">
        <v>22.07</v>
      </c>
      <c r="Y820" s="409">
        <v>7.07</v>
      </c>
      <c r="Z820" s="432">
        <v>11.07</v>
      </c>
      <c r="AA820" s="432">
        <v>11.07</v>
      </c>
      <c r="AB820" s="432">
        <v>11.07</v>
      </c>
      <c r="AC820" s="432">
        <v>11.07</v>
      </c>
      <c r="AD820" s="432">
        <v>11.07</v>
      </c>
      <c r="AE820" s="432">
        <v>11.07</v>
      </c>
      <c r="AF820" s="420">
        <v>7.07</v>
      </c>
    </row>
    <row r="821" spans="1:32">
      <c r="A821" s="420">
        <v>7.07</v>
      </c>
      <c r="B821" s="439">
        <v>11.07</v>
      </c>
      <c r="C821" s="432">
        <v>11.07</v>
      </c>
      <c r="D821" s="432">
        <v>11.07</v>
      </c>
      <c r="E821" s="432">
        <v>11.07</v>
      </c>
      <c r="F821" s="432">
        <v>11.07</v>
      </c>
      <c r="G821" s="432">
        <v>11.07</v>
      </c>
      <c r="H821" s="409">
        <v>7.07</v>
      </c>
      <c r="I821" s="411">
        <v>20.07</v>
      </c>
      <c r="J821" s="411">
        <v>21.07</v>
      </c>
      <c r="K821" s="410">
        <v>21.2</v>
      </c>
      <c r="L821" s="452">
        <v>21.2</v>
      </c>
      <c r="M821" s="452">
        <v>21.2</v>
      </c>
      <c r="N821" s="452">
        <v>21.2</v>
      </c>
      <c r="O821" s="452">
        <v>21.2</v>
      </c>
      <c r="P821" s="452">
        <v>21.2</v>
      </c>
      <c r="Q821" s="452">
        <v>21.2</v>
      </c>
      <c r="R821" s="452">
        <v>21.2</v>
      </c>
      <c r="S821" s="452">
        <v>21.2</v>
      </c>
      <c r="T821" s="452">
        <v>21.2</v>
      </c>
      <c r="U821" s="452">
        <v>21.2</v>
      </c>
      <c r="V821" s="452">
        <v>21.2</v>
      </c>
      <c r="W821" s="411">
        <v>21.07</v>
      </c>
      <c r="X821" s="411">
        <v>20.07</v>
      </c>
      <c r="Y821" s="409">
        <v>7.07</v>
      </c>
      <c r="Z821" s="432">
        <v>11.07</v>
      </c>
      <c r="AA821" s="432">
        <v>11.07</v>
      </c>
      <c r="AB821" s="432">
        <v>11.07</v>
      </c>
      <c r="AC821" s="432">
        <v>11.07</v>
      </c>
      <c r="AD821" s="432">
        <v>11.07</v>
      </c>
      <c r="AE821" s="432">
        <v>11.07</v>
      </c>
      <c r="AF821" s="420">
        <v>7.07</v>
      </c>
    </row>
    <row r="822" spans="1:32">
      <c r="A822" s="420">
        <v>7.07</v>
      </c>
      <c r="B822" s="439">
        <v>11.07</v>
      </c>
      <c r="C822" s="432">
        <v>11.07</v>
      </c>
      <c r="D822" s="432">
        <v>11.07</v>
      </c>
      <c r="E822" s="432">
        <v>11.07</v>
      </c>
      <c r="F822" s="432">
        <v>11.07</v>
      </c>
      <c r="G822" s="432">
        <v>11.07</v>
      </c>
      <c r="H822" s="409">
        <v>7.07</v>
      </c>
      <c r="I822" s="439">
        <v>10.07</v>
      </c>
      <c r="J822" s="411">
        <v>20.07</v>
      </c>
      <c r="K822" s="410">
        <v>21.2</v>
      </c>
      <c r="L822" s="452">
        <v>21.2</v>
      </c>
      <c r="M822" s="452">
        <v>21.2</v>
      </c>
      <c r="N822" s="452">
        <v>21.2</v>
      </c>
      <c r="O822" s="452">
        <v>21.2</v>
      </c>
      <c r="P822" s="452">
        <v>21.2</v>
      </c>
      <c r="Q822" s="452">
        <v>21.2</v>
      </c>
      <c r="R822" s="452">
        <v>21.2</v>
      </c>
      <c r="S822" s="452">
        <v>21.2</v>
      </c>
      <c r="T822" s="452">
        <v>21.2</v>
      </c>
      <c r="U822" s="452">
        <v>21.2</v>
      </c>
      <c r="V822" s="452">
        <v>21.2</v>
      </c>
      <c r="W822" s="411">
        <v>20.07</v>
      </c>
      <c r="X822" s="439">
        <v>10.07</v>
      </c>
      <c r="Y822" s="409">
        <v>7.07</v>
      </c>
      <c r="Z822" s="432">
        <v>11.07</v>
      </c>
      <c r="AA822" s="432">
        <v>11.07</v>
      </c>
      <c r="AB822" s="432">
        <v>11.07</v>
      </c>
      <c r="AC822" s="432">
        <v>11.07</v>
      </c>
      <c r="AD822" s="432">
        <v>11.07</v>
      </c>
      <c r="AE822" s="432">
        <v>11.07</v>
      </c>
      <c r="AF822" s="420">
        <v>7.07</v>
      </c>
    </row>
    <row r="823" spans="1:32">
      <c r="A823" s="420">
        <v>7.07</v>
      </c>
      <c r="B823" s="439">
        <v>11.07</v>
      </c>
      <c r="C823" s="432">
        <v>11.07</v>
      </c>
      <c r="D823" s="432">
        <v>11.07</v>
      </c>
      <c r="E823" s="432">
        <v>11.07</v>
      </c>
      <c r="F823" s="432">
        <v>11.07</v>
      </c>
      <c r="G823" s="432">
        <v>11.07</v>
      </c>
      <c r="H823" s="409">
        <v>7.07</v>
      </c>
      <c r="I823" s="439">
        <v>10.07</v>
      </c>
      <c r="J823" s="411">
        <v>19.07</v>
      </c>
      <c r="K823" s="410">
        <v>20.07</v>
      </c>
      <c r="L823" s="452">
        <v>20.07</v>
      </c>
      <c r="M823" s="452">
        <v>20.18</v>
      </c>
      <c r="N823" s="452">
        <v>20.18</v>
      </c>
      <c r="O823" s="452">
        <v>20.18</v>
      </c>
      <c r="P823" s="452">
        <v>20.18</v>
      </c>
      <c r="Q823" s="452">
        <v>20.18</v>
      </c>
      <c r="R823" s="452">
        <v>20.18</v>
      </c>
      <c r="S823" s="452">
        <v>20.18</v>
      </c>
      <c r="T823" s="452">
        <v>20.18</v>
      </c>
      <c r="U823" s="452">
        <v>20.18</v>
      </c>
      <c r="V823" s="452">
        <v>20.07</v>
      </c>
      <c r="W823" s="411">
        <v>19.07</v>
      </c>
      <c r="X823" s="439">
        <v>10.07</v>
      </c>
      <c r="Y823" s="409">
        <v>7.07</v>
      </c>
      <c r="Z823" s="432">
        <v>11.07</v>
      </c>
      <c r="AA823" s="432">
        <v>11.07</v>
      </c>
      <c r="AB823" s="432">
        <v>11.07</v>
      </c>
      <c r="AC823" s="432">
        <v>11.07</v>
      </c>
      <c r="AD823" s="432">
        <v>11.07</v>
      </c>
      <c r="AE823" s="432">
        <v>11.07</v>
      </c>
      <c r="AF823" s="420">
        <v>7.07</v>
      </c>
    </row>
    <row r="824" spans="1:32">
      <c r="A824" s="420">
        <v>7.07</v>
      </c>
      <c r="B824" s="439">
        <v>11.07</v>
      </c>
      <c r="C824" s="432">
        <v>11.07</v>
      </c>
      <c r="D824" s="432">
        <v>11.07</v>
      </c>
      <c r="E824" s="432">
        <v>11.07</v>
      </c>
      <c r="F824" s="432">
        <v>11.07</v>
      </c>
      <c r="G824" s="432">
        <v>11.07</v>
      </c>
      <c r="H824" s="409">
        <v>7.07</v>
      </c>
      <c r="I824" s="439">
        <v>10.07</v>
      </c>
      <c r="J824" s="411">
        <v>18.079999999999998</v>
      </c>
      <c r="K824" s="411">
        <v>19.07</v>
      </c>
      <c r="L824" s="410">
        <v>20.07</v>
      </c>
      <c r="M824" s="452">
        <v>20.18</v>
      </c>
      <c r="N824" s="452">
        <v>20.18</v>
      </c>
      <c r="O824" s="452">
        <v>20.18</v>
      </c>
      <c r="P824" s="452">
        <v>20.18</v>
      </c>
      <c r="Q824" s="452">
        <v>20.18</v>
      </c>
      <c r="R824" s="452">
        <v>20.18</v>
      </c>
      <c r="S824" s="452">
        <v>20.18</v>
      </c>
      <c r="T824" s="452">
        <v>20.18</v>
      </c>
      <c r="U824" s="452">
        <v>20.07</v>
      </c>
      <c r="V824" s="411">
        <v>19.07</v>
      </c>
      <c r="W824" s="411">
        <v>18.079999999999998</v>
      </c>
      <c r="X824" s="439">
        <v>10.07</v>
      </c>
      <c r="Y824" s="409">
        <v>7.07</v>
      </c>
      <c r="Z824" s="432">
        <v>11.07</v>
      </c>
      <c r="AA824" s="432">
        <v>11.07</v>
      </c>
      <c r="AB824" s="432">
        <v>11.07</v>
      </c>
      <c r="AC824" s="432">
        <v>11.07</v>
      </c>
      <c r="AD824" s="432">
        <v>11.07</v>
      </c>
      <c r="AE824" s="432">
        <v>11.07</v>
      </c>
      <c r="AF824" s="420">
        <v>7.07</v>
      </c>
    </row>
    <row r="825" spans="1:32">
      <c r="A825" s="420">
        <v>7.07</v>
      </c>
      <c r="B825" s="439">
        <v>11.07</v>
      </c>
      <c r="C825" s="432">
        <v>11.07</v>
      </c>
      <c r="D825" s="432">
        <v>11.07</v>
      </c>
      <c r="E825" s="432">
        <v>11.07</v>
      </c>
      <c r="F825" s="432">
        <v>11.07</v>
      </c>
      <c r="G825" s="432">
        <v>11.07</v>
      </c>
      <c r="H825" s="409">
        <v>7.07</v>
      </c>
      <c r="I825" s="432">
        <v>10.07</v>
      </c>
      <c r="J825" s="439">
        <v>10.07</v>
      </c>
      <c r="K825" s="411">
        <v>17.07</v>
      </c>
      <c r="L825" s="410">
        <v>19.07</v>
      </c>
      <c r="M825" s="452">
        <v>19.07</v>
      </c>
      <c r="N825" s="452">
        <v>19.170000000000002</v>
      </c>
      <c r="O825" s="452">
        <v>19.170000000000002</v>
      </c>
      <c r="P825" s="452">
        <v>19.170000000000002</v>
      </c>
      <c r="Q825" s="452">
        <v>19.170000000000002</v>
      </c>
      <c r="R825" s="452">
        <v>19.170000000000002</v>
      </c>
      <c r="S825" s="452">
        <v>19.170000000000002</v>
      </c>
      <c r="T825" s="452">
        <v>19.07</v>
      </c>
      <c r="U825" s="452">
        <v>19.07</v>
      </c>
      <c r="V825" s="411">
        <v>17.07</v>
      </c>
      <c r="W825" s="439">
        <v>10.07</v>
      </c>
      <c r="X825" s="432">
        <v>10.07</v>
      </c>
      <c r="Y825" s="409">
        <v>7.07</v>
      </c>
      <c r="Z825" s="432">
        <v>11.07</v>
      </c>
      <c r="AA825" s="432">
        <v>11.07</v>
      </c>
      <c r="AB825" s="432">
        <v>11.07</v>
      </c>
      <c r="AC825" s="432">
        <v>11.07</v>
      </c>
      <c r="AD825" s="432">
        <v>11.07</v>
      </c>
      <c r="AE825" s="432">
        <v>11.07</v>
      </c>
      <c r="AF825" s="420">
        <v>7.07</v>
      </c>
    </row>
    <row r="826" spans="1:32">
      <c r="A826" s="420">
        <v>7.07</v>
      </c>
      <c r="B826" s="439">
        <v>11.07</v>
      </c>
      <c r="C826" s="432">
        <v>11.07</v>
      </c>
      <c r="D826" s="432">
        <v>11.07</v>
      </c>
      <c r="E826" s="432">
        <v>11.07</v>
      </c>
      <c r="F826" s="432">
        <v>11.07</v>
      </c>
      <c r="G826" s="432">
        <v>11.07</v>
      </c>
      <c r="H826" s="409">
        <v>7.07</v>
      </c>
      <c r="I826" s="439">
        <v>10.07</v>
      </c>
      <c r="J826" s="439">
        <v>10.07</v>
      </c>
      <c r="K826" s="411">
        <v>16.07</v>
      </c>
      <c r="L826" s="410">
        <v>17.07</v>
      </c>
      <c r="M826" s="452">
        <v>19.07</v>
      </c>
      <c r="N826" s="452">
        <v>19.16</v>
      </c>
      <c r="O826" s="452">
        <v>19.16</v>
      </c>
      <c r="P826" s="452">
        <v>19.16</v>
      </c>
      <c r="Q826" s="452">
        <v>19.16</v>
      </c>
      <c r="R826" s="452">
        <v>19.16</v>
      </c>
      <c r="S826" s="452">
        <v>19.16</v>
      </c>
      <c r="T826" s="452">
        <v>19.07</v>
      </c>
      <c r="U826" s="452">
        <v>17.07</v>
      </c>
      <c r="V826" s="411">
        <v>16.07</v>
      </c>
      <c r="W826" s="439">
        <v>10.07</v>
      </c>
      <c r="X826" s="439">
        <v>10.07</v>
      </c>
      <c r="Y826" s="409">
        <v>7.07</v>
      </c>
      <c r="Z826" s="439">
        <v>11.07</v>
      </c>
      <c r="AA826" s="432">
        <v>11.07</v>
      </c>
      <c r="AB826" s="432">
        <v>11.07</v>
      </c>
      <c r="AC826" s="432">
        <v>11.07</v>
      </c>
      <c r="AD826" s="432">
        <v>11.07</v>
      </c>
      <c r="AE826" s="432">
        <v>11.07</v>
      </c>
      <c r="AF826" s="420">
        <v>7.07</v>
      </c>
    </row>
    <row r="827" spans="1:32">
      <c r="A827" s="420">
        <v>7.07</v>
      </c>
      <c r="B827" s="409">
        <v>7.07</v>
      </c>
      <c r="C827" s="409">
        <v>7.07</v>
      </c>
      <c r="D827" s="409">
        <v>7.07</v>
      </c>
      <c r="E827" s="452">
        <v>8.07</v>
      </c>
      <c r="F827" s="409">
        <v>7.07</v>
      </c>
      <c r="G827" s="409">
        <v>7.07</v>
      </c>
      <c r="H827" s="409">
        <v>7.07</v>
      </c>
      <c r="I827" s="432">
        <v>10.07</v>
      </c>
      <c r="J827" s="439">
        <v>10.07</v>
      </c>
      <c r="K827" s="411">
        <v>15.08</v>
      </c>
      <c r="L827" s="411">
        <v>15.07</v>
      </c>
      <c r="M827" s="410">
        <v>17.07</v>
      </c>
      <c r="N827" s="452">
        <v>17.149999999999999</v>
      </c>
      <c r="O827" s="452">
        <v>17.149999999999999</v>
      </c>
      <c r="P827" s="452">
        <v>17.149999999999999</v>
      </c>
      <c r="Q827" s="452">
        <v>17.149999999999999</v>
      </c>
      <c r="R827" s="452">
        <v>17.149999999999999</v>
      </c>
      <c r="S827" s="452">
        <v>17.149999999999999</v>
      </c>
      <c r="T827" s="452">
        <v>17.07</v>
      </c>
      <c r="U827" s="411">
        <v>15.07</v>
      </c>
      <c r="V827" s="411">
        <v>15.08</v>
      </c>
      <c r="W827" s="439">
        <v>10.07</v>
      </c>
      <c r="X827" s="432">
        <v>10.07</v>
      </c>
      <c r="Y827" s="409">
        <v>7.07</v>
      </c>
      <c r="Z827" s="409">
        <v>7.07</v>
      </c>
      <c r="AA827" s="452">
        <v>8.07</v>
      </c>
      <c r="AB827" s="409">
        <v>7.07</v>
      </c>
      <c r="AC827" s="409">
        <v>7.07</v>
      </c>
      <c r="AD827" s="409">
        <v>7.07</v>
      </c>
      <c r="AE827" s="409">
        <v>7.07</v>
      </c>
      <c r="AF827" s="420">
        <v>7.07</v>
      </c>
    </row>
    <row r="828" spans="1:32">
      <c r="A828" s="420">
        <v>7.07</v>
      </c>
      <c r="B828" s="409">
        <v>7.07</v>
      </c>
      <c r="C828" s="409">
        <v>7.07</v>
      </c>
      <c r="D828" s="409">
        <v>7</v>
      </c>
      <c r="E828" s="452">
        <v>8.07</v>
      </c>
      <c r="F828" s="452">
        <v>8.07</v>
      </c>
      <c r="G828" s="452">
        <v>8.07</v>
      </c>
      <c r="H828" s="409">
        <v>7.07</v>
      </c>
      <c r="I828" s="439">
        <v>10.07</v>
      </c>
      <c r="J828" s="439">
        <v>10.07</v>
      </c>
      <c r="K828" s="439">
        <v>10.07</v>
      </c>
      <c r="L828" s="411">
        <v>14.08</v>
      </c>
      <c r="M828" s="410">
        <v>16.07</v>
      </c>
      <c r="N828" s="452">
        <v>17.07</v>
      </c>
      <c r="O828" s="452">
        <v>17.149999999999999</v>
      </c>
      <c r="P828" s="452">
        <v>17.149999999999999</v>
      </c>
      <c r="Q828" s="452">
        <v>17.149999999999999</v>
      </c>
      <c r="R828" s="452">
        <v>17.149999999999999</v>
      </c>
      <c r="S828" s="452">
        <v>17.07</v>
      </c>
      <c r="T828" s="452">
        <v>16.07</v>
      </c>
      <c r="U828" s="411">
        <v>14.08</v>
      </c>
      <c r="V828" s="439">
        <v>10.07</v>
      </c>
      <c r="W828" s="439">
        <v>10.07</v>
      </c>
      <c r="X828" s="439">
        <v>10.07</v>
      </c>
      <c r="Y828" s="409">
        <v>7.07</v>
      </c>
      <c r="Z828" s="452">
        <v>8.07</v>
      </c>
      <c r="AA828" s="452">
        <v>8.07</v>
      </c>
      <c r="AB828" s="409">
        <v>7.07</v>
      </c>
      <c r="AC828" s="409">
        <v>7</v>
      </c>
      <c r="AD828" s="409">
        <v>7.07</v>
      </c>
      <c r="AE828" s="409">
        <v>7.07</v>
      </c>
      <c r="AF828" s="420">
        <v>7.07</v>
      </c>
    </row>
    <row r="829" spans="1:32">
      <c r="A829" s="420">
        <v>7.07</v>
      </c>
      <c r="B829" s="409">
        <v>7.07</v>
      </c>
      <c r="C829" s="409">
        <v>7</v>
      </c>
      <c r="D829" s="409">
        <v>7</v>
      </c>
      <c r="E829" s="409">
        <v>7</v>
      </c>
      <c r="F829" s="409">
        <v>7.07</v>
      </c>
      <c r="G829" s="452">
        <v>8.07</v>
      </c>
      <c r="H829" s="452">
        <v>8.07</v>
      </c>
      <c r="I829" s="432">
        <v>10.07</v>
      </c>
      <c r="J829" s="439">
        <v>10.07</v>
      </c>
      <c r="K829" s="439">
        <v>10.07</v>
      </c>
      <c r="L829" s="411">
        <v>13.08</v>
      </c>
      <c r="M829" s="410">
        <v>15.07</v>
      </c>
      <c r="N829" s="452">
        <v>16.07</v>
      </c>
      <c r="O829" s="452">
        <v>16.07</v>
      </c>
      <c r="P829" s="452">
        <v>16.07</v>
      </c>
      <c r="Q829" s="452">
        <v>16.07</v>
      </c>
      <c r="R829" s="452">
        <v>16.07</v>
      </c>
      <c r="S829" s="452">
        <v>16.07</v>
      </c>
      <c r="T829" s="452">
        <v>15.07</v>
      </c>
      <c r="U829" s="411">
        <v>13.08</v>
      </c>
      <c r="V829" s="439">
        <v>10.07</v>
      </c>
      <c r="W829" s="439">
        <v>10.07</v>
      </c>
      <c r="X829" s="432">
        <v>10.07</v>
      </c>
      <c r="Y829" s="452">
        <v>8.07</v>
      </c>
      <c r="Z829" s="452">
        <v>8.07</v>
      </c>
      <c r="AA829" s="409">
        <v>7.07</v>
      </c>
      <c r="AB829" s="409">
        <v>7</v>
      </c>
      <c r="AC829" s="409">
        <v>7</v>
      </c>
      <c r="AD829" s="409">
        <v>7</v>
      </c>
      <c r="AE829" s="409">
        <v>7.07</v>
      </c>
      <c r="AF829" s="420">
        <v>7.07</v>
      </c>
    </row>
    <row r="830" spans="1:32">
      <c r="A830" s="420">
        <v>7.07</v>
      </c>
      <c r="B830" s="409">
        <v>7.07</v>
      </c>
      <c r="C830" s="409">
        <v>7.07</v>
      </c>
      <c r="D830" s="409">
        <v>7</v>
      </c>
      <c r="E830" s="409">
        <v>7.07</v>
      </c>
      <c r="F830" s="409">
        <v>7.07</v>
      </c>
      <c r="G830" s="409">
        <v>7.07</v>
      </c>
      <c r="H830" s="409">
        <v>7.07</v>
      </c>
      <c r="I830" s="439">
        <v>10.07</v>
      </c>
      <c r="J830" s="439">
        <v>10.07</v>
      </c>
      <c r="K830" s="439">
        <v>10.07</v>
      </c>
      <c r="L830" s="411">
        <v>12.08</v>
      </c>
      <c r="M830" s="411">
        <v>13.07</v>
      </c>
      <c r="N830" s="452">
        <v>15.07</v>
      </c>
      <c r="O830" s="452">
        <v>15.07</v>
      </c>
      <c r="P830" s="452">
        <v>15.07</v>
      </c>
      <c r="Q830" s="452">
        <v>15.07</v>
      </c>
      <c r="R830" s="452">
        <v>15.07</v>
      </c>
      <c r="S830" s="452">
        <v>15.07</v>
      </c>
      <c r="T830" s="411">
        <v>13.07</v>
      </c>
      <c r="U830" s="411">
        <v>12.08</v>
      </c>
      <c r="V830" s="439">
        <v>10.07</v>
      </c>
      <c r="W830" s="439">
        <v>10.07</v>
      </c>
      <c r="X830" s="439">
        <v>10.07</v>
      </c>
      <c r="Y830" s="409">
        <v>7.07</v>
      </c>
      <c r="Z830" s="409">
        <v>7.07</v>
      </c>
      <c r="AA830" s="409">
        <v>7.07</v>
      </c>
      <c r="AB830" s="409">
        <v>7.07</v>
      </c>
      <c r="AC830" s="409">
        <v>7</v>
      </c>
      <c r="AD830" s="409">
        <v>7.07</v>
      </c>
      <c r="AE830" s="409">
        <v>7.07</v>
      </c>
      <c r="AF830" s="420">
        <v>7.07</v>
      </c>
    </row>
    <row r="831" spans="1:32">
      <c r="A831" s="420">
        <v>7.07</v>
      </c>
      <c r="B831" s="409">
        <v>7.07</v>
      </c>
      <c r="C831" s="409">
        <v>7.07</v>
      </c>
      <c r="D831" s="409">
        <v>7.07</v>
      </c>
      <c r="E831" s="409">
        <v>7.07</v>
      </c>
      <c r="F831" s="409">
        <v>7.07</v>
      </c>
      <c r="G831" s="409">
        <v>7.07</v>
      </c>
      <c r="H831" s="409">
        <v>7.07</v>
      </c>
      <c r="I831" s="409">
        <v>7.07</v>
      </c>
      <c r="J831" s="439">
        <v>10.07</v>
      </c>
      <c r="K831" s="439">
        <v>10.07</v>
      </c>
      <c r="L831" s="439">
        <v>10.07</v>
      </c>
      <c r="M831" s="439">
        <v>10.07</v>
      </c>
      <c r="N831" s="439">
        <v>10.07</v>
      </c>
      <c r="O831" s="439">
        <v>10.07</v>
      </c>
      <c r="P831" s="439">
        <v>10.07</v>
      </c>
      <c r="Q831" s="439">
        <v>10.07</v>
      </c>
      <c r="R831" s="439">
        <v>10.07</v>
      </c>
      <c r="S831" s="439">
        <v>10.07</v>
      </c>
      <c r="T831" s="439">
        <v>10.07</v>
      </c>
      <c r="U831" s="439">
        <v>10.07</v>
      </c>
      <c r="V831" s="439">
        <v>10.07</v>
      </c>
      <c r="W831" s="439">
        <v>10.07</v>
      </c>
      <c r="X831" s="409">
        <v>7.07</v>
      </c>
      <c r="Y831" s="409">
        <v>7.07</v>
      </c>
      <c r="Z831" s="409">
        <v>7.07</v>
      </c>
      <c r="AA831" s="409">
        <v>7.07</v>
      </c>
      <c r="AB831" s="409">
        <v>7.07</v>
      </c>
      <c r="AC831" s="409">
        <v>7.07</v>
      </c>
      <c r="AD831" s="409">
        <v>7.07</v>
      </c>
      <c r="AE831" s="409">
        <v>7.07</v>
      </c>
      <c r="AF831" s="420">
        <v>7.07</v>
      </c>
    </row>
    <row r="832" spans="1:32">
      <c r="A832" s="420">
        <v>7.07</v>
      </c>
      <c r="B832" s="420">
        <v>7.07</v>
      </c>
      <c r="C832" s="420">
        <v>7.07</v>
      </c>
      <c r="D832" s="420">
        <v>7.07</v>
      </c>
      <c r="E832" s="420">
        <v>7.07</v>
      </c>
      <c r="F832" s="420">
        <v>7.07</v>
      </c>
      <c r="G832" s="420">
        <v>7.07</v>
      </c>
      <c r="H832" s="420">
        <v>7.07</v>
      </c>
      <c r="I832" s="420">
        <v>7.07</v>
      </c>
      <c r="J832" s="420">
        <v>7.07</v>
      </c>
      <c r="K832" s="420">
        <v>7.07</v>
      </c>
      <c r="L832" s="420">
        <v>7.07</v>
      </c>
      <c r="M832" s="420">
        <v>7.07</v>
      </c>
      <c r="N832" s="420">
        <v>7.07</v>
      </c>
      <c r="O832" s="420">
        <v>7.07</v>
      </c>
      <c r="P832" s="420">
        <v>7.07</v>
      </c>
      <c r="Q832" s="420">
        <v>7.07</v>
      </c>
      <c r="R832" s="420">
        <v>7.07</v>
      </c>
      <c r="S832" s="420">
        <v>7.07</v>
      </c>
      <c r="T832" s="420">
        <v>7.07</v>
      </c>
      <c r="U832" s="420">
        <v>7.07</v>
      </c>
      <c r="V832" s="420">
        <v>7.07</v>
      </c>
      <c r="W832" s="420">
        <v>7.07</v>
      </c>
      <c r="X832" s="420">
        <v>7.07</v>
      </c>
      <c r="Y832" s="420">
        <v>7.07</v>
      </c>
      <c r="Z832" s="420">
        <v>7.07</v>
      </c>
      <c r="AA832" s="420">
        <v>7.07</v>
      </c>
      <c r="AB832" s="420">
        <v>7.07</v>
      </c>
      <c r="AC832" s="420">
        <v>7.07</v>
      </c>
      <c r="AD832" s="420">
        <v>7.07</v>
      </c>
      <c r="AE832" s="420">
        <v>7.07</v>
      </c>
      <c r="AF832" s="420">
        <v>7.07</v>
      </c>
    </row>
    <row r="833" spans="1:34">
      <c r="A833" s="679"/>
      <c r="B833" s="484"/>
      <c r="C833" s="484"/>
      <c r="D833" s="484"/>
      <c r="E833" s="484"/>
      <c r="F833" s="484"/>
      <c r="G833" s="484"/>
      <c r="H833" s="484"/>
      <c r="I833" s="484"/>
      <c r="J833" s="484"/>
      <c r="K833" s="484"/>
      <c r="L833" s="484"/>
      <c r="M833" s="484"/>
      <c r="N833" s="484"/>
      <c r="O833" s="484"/>
      <c r="P833" s="484"/>
      <c r="Q833" s="484"/>
      <c r="R833" s="484"/>
      <c r="S833" s="484"/>
      <c r="T833" s="484"/>
      <c r="U833" s="484"/>
      <c r="V833" s="484"/>
      <c r="W833" s="484"/>
      <c r="X833" s="484"/>
      <c r="Y833" s="484"/>
      <c r="Z833" s="484"/>
      <c r="AA833" s="420">
        <v>32</v>
      </c>
      <c r="AB833" s="426">
        <v>32</v>
      </c>
      <c r="AC833" s="426">
        <v>14</v>
      </c>
      <c r="AD833" s="426">
        <v>32</v>
      </c>
      <c r="AE833" s="426">
        <v>32.200000000000003</v>
      </c>
      <c r="AF833" s="426">
        <v>32</v>
      </c>
      <c r="AG833">
        <v>27</v>
      </c>
    </row>
    <row r="834" spans="1:34">
      <c r="A834" s="483"/>
      <c r="B834" s="321"/>
      <c r="C834" s="321"/>
      <c r="D834" s="321"/>
      <c r="E834" s="321"/>
      <c r="F834" s="321"/>
      <c r="G834" s="321"/>
      <c r="H834" s="321"/>
      <c r="I834" s="321"/>
      <c r="J834" s="321"/>
      <c r="K834" s="321"/>
      <c r="L834" s="321"/>
      <c r="M834" s="321"/>
      <c r="N834" s="321"/>
      <c r="O834" s="321"/>
      <c r="P834" s="321"/>
      <c r="Q834" s="321"/>
      <c r="R834" s="321"/>
      <c r="S834" s="321"/>
      <c r="T834" s="321"/>
      <c r="U834" s="321"/>
      <c r="V834" s="321"/>
      <c r="W834" s="321"/>
      <c r="X834" s="321"/>
      <c r="Y834" s="321"/>
      <c r="Z834" s="321"/>
      <c r="AA834" s="422">
        <v>32.090000000000003</v>
      </c>
      <c r="AB834" s="420">
        <v>32</v>
      </c>
      <c r="AC834" s="422">
        <v>32</v>
      </c>
      <c r="AD834" s="422">
        <v>32</v>
      </c>
      <c r="AE834" s="422">
        <v>32</v>
      </c>
      <c r="AF834" s="426">
        <v>16</v>
      </c>
      <c r="AG834">
        <v>220</v>
      </c>
    </row>
    <row r="835" spans="1:34">
      <c r="A835" s="483"/>
      <c r="B835" s="321"/>
      <c r="C835" s="321"/>
      <c r="D835" s="321"/>
      <c r="E835" s="321"/>
      <c r="F835" s="321"/>
      <c r="G835" s="321"/>
      <c r="H835" s="321"/>
      <c r="I835" s="321"/>
      <c r="J835" s="321"/>
      <c r="K835" s="321"/>
      <c r="L835" s="321"/>
      <c r="M835" s="321"/>
      <c r="N835" s="321"/>
      <c r="O835" s="321"/>
      <c r="P835" s="321"/>
      <c r="Q835" s="321"/>
      <c r="R835" s="321"/>
      <c r="S835" s="321"/>
      <c r="T835" s="321"/>
      <c r="U835" s="321"/>
      <c r="V835" s="321"/>
      <c r="W835" s="321"/>
      <c r="X835" s="321"/>
      <c r="Y835" s="321"/>
      <c r="Z835" s="321"/>
      <c r="AA835" s="422">
        <v>28</v>
      </c>
      <c r="AB835" s="420">
        <v>32</v>
      </c>
      <c r="AC835" s="321"/>
      <c r="AD835" s="321"/>
      <c r="AE835" s="422">
        <v>32</v>
      </c>
      <c r="AF835" s="426">
        <v>32</v>
      </c>
    </row>
    <row r="836" spans="1:34">
      <c r="AH836">
        <v>835</v>
      </c>
    </row>
    <row r="837" spans="1:34">
      <c r="A837" s="483"/>
      <c r="B837" s="321"/>
      <c r="C837" s="321"/>
      <c r="D837" s="321"/>
      <c r="E837" s="321"/>
      <c r="F837" s="321"/>
      <c r="G837" s="321"/>
      <c r="H837" s="321"/>
      <c r="I837" s="321"/>
      <c r="J837" s="321"/>
      <c r="K837" s="321"/>
      <c r="L837" s="321"/>
      <c r="M837" s="321"/>
      <c r="N837" s="321"/>
      <c r="O837" s="321"/>
      <c r="P837" s="321"/>
      <c r="Q837" s="321"/>
      <c r="R837" s="321"/>
      <c r="S837" s="321"/>
      <c r="T837" s="321"/>
      <c r="U837" s="321"/>
      <c r="V837" s="321"/>
      <c r="W837" s="321"/>
      <c r="X837" s="321"/>
      <c r="Y837" s="321"/>
      <c r="Z837" s="321"/>
      <c r="AA837" s="422">
        <v>26</v>
      </c>
      <c r="AB837" s="420">
        <v>32</v>
      </c>
      <c r="AC837" s="420">
        <v>32</v>
      </c>
      <c r="AD837" s="420">
        <v>32</v>
      </c>
      <c r="AE837" s="420">
        <v>32</v>
      </c>
      <c r="AF837" s="426">
        <v>32</v>
      </c>
    </row>
    <row r="838" spans="1:34">
      <c r="A838" s="483"/>
      <c r="B838" s="321"/>
      <c r="C838" s="321"/>
      <c r="D838" s="321"/>
      <c r="E838" s="321"/>
      <c r="F838" s="321"/>
      <c r="G838" s="321"/>
      <c r="H838" s="321"/>
      <c r="I838" s="321"/>
      <c r="J838" s="321"/>
      <c r="K838" s="321"/>
      <c r="L838" s="321"/>
      <c r="M838" s="321"/>
      <c r="N838" s="321"/>
      <c r="O838" s="321"/>
      <c r="P838" s="321"/>
      <c r="Q838" s="321"/>
      <c r="R838" s="321"/>
      <c r="S838" s="321"/>
      <c r="T838" s="321"/>
      <c r="U838" s="321"/>
      <c r="V838" s="321"/>
      <c r="W838" s="321"/>
      <c r="X838" s="321"/>
      <c r="Y838" s="321"/>
      <c r="Z838" s="321"/>
      <c r="AA838" s="422">
        <v>32</v>
      </c>
      <c r="AB838" s="422">
        <v>28</v>
      </c>
      <c r="AC838" s="422">
        <v>32.07</v>
      </c>
      <c r="AD838" s="422">
        <v>18</v>
      </c>
      <c r="AE838" s="422">
        <v>32</v>
      </c>
      <c r="AF838" s="420">
        <v>32</v>
      </c>
    </row>
    <row r="839" spans="1:34">
      <c r="A839" s="483"/>
      <c r="B839" s="321"/>
      <c r="C839" s="321"/>
      <c r="D839" s="321"/>
      <c r="E839" s="321"/>
      <c r="F839" s="321"/>
      <c r="G839" s="321"/>
      <c r="H839" s="321"/>
      <c r="I839" s="321"/>
      <c r="J839" s="321"/>
      <c r="K839" s="321"/>
      <c r="L839" s="321"/>
      <c r="M839" s="321"/>
      <c r="N839" s="321"/>
      <c r="O839" s="321"/>
      <c r="P839" s="321"/>
      <c r="Q839" s="321"/>
      <c r="R839" s="321"/>
      <c r="S839" s="321"/>
      <c r="T839" s="321"/>
      <c r="U839" s="321"/>
      <c r="V839" s="321"/>
      <c r="W839" s="321"/>
      <c r="X839" s="321"/>
      <c r="Y839" s="321"/>
      <c r="Z839" s="321"/>
      <c r="AA839" s="321"/>
      <c r="AB839" s="321"/>
      <c r="AC839" s="321"/>
      <c r="AD839" s="321"/>
      <c r="AE839" s="321"/>
      <c r="AF839" s="564"/>
    </row>
    <row r="840" spans="1:34">
      <c r="A840" s="483"/>
      <c r="B840" s="321"/>
      <c r="C840" s="321"/>
      <c r="D840" s="321"/>
      <c r="E840" s="321"/>
      <c r="F840" s="321"/>
      <c r="G840" s="321"/>
      <c r="H840" s="321"/>
      <c r="I840" s="321"/>
      <c r="J840" s="321"/>
      <c r="K840" s="321"/>
      <c r="L840" s="321"/>
      <c r="M840" s="321"/>
      <c r="N840" s="321"/>
      <c r="O840" s="321"/>
      <c r="P840" s="321"/>
      <c r="Q840" s="321"/>
      <c r="R840" s="321"/>
      <c r="S840" s="321"/>
      <c r="T840" s="321"/>
      <c r="U840" s="321"/>
      <c r="V840" s="321"/>
      <c r="W840" s="321"/>
      <c r="X840" s="321"/>
      <c r="Y840" s="321"/>
      <c r="Z840" s="321"/>
      <c r="AA840" s="321"/>
      <c r="AB840" s="321"/>
      <c r="AC840" s="321"/>
      <c r="AD840" s="321"/>
      <c r="AE840" s="321"/>
      <c r="AF840" s="564"/>
    </row>
    <row r="841" spans="1:34">
      <c r="A841" s="483"/>
      <c r="B841" s="321"/>
      <c r="C841" s="321"/>
      <c r="D841" s="321"/>
      <c r="E841" s="321"/>
      <c r="F841" s="321"/>
      <c r="G841" s="321"/>
      <c r="H841" s="321"/>
      <c r="I841" s="321"/>
      <c r="J841" s="321"/>
      <c r="K841" s="321"/>
      <c r="L841" s="321"/>
      <c r="M841" s="321"/>
      <c r="N841" s="321"/>
      <c r="O841" s="321"/>
      <c r="P841" s="321"/>
      <c r="Q841" s="321"/>
      <c r="R841" s="321"/>
      <c r="S841" s="321"/>
      <c r="T841" s="321"/>
      <c r="U841" s="321"/>
      <c r="V841" s="321"/>
      <c r="W841" s="321"/>
      <c r="X841" s="321"/>
      <c r="Y841" s="321"/>
      <c r="Z841" s="321"/>
      <c r="AA841" s="321"/>
      <c r="AB841" s="321"/>
      <c r="AC841" s="321"/>
      <c r="AD841" s="321"/>
      <c r="AE841" s="321"/>
      <c r="AF841" s="564"/>
    </row>
    <row r="842" spans="1:34">
      <c r="A842" s="483"/>
      <c r="B842" s="321"/>
      <c r="C842" s="321"/>
      <c r="D842" s="321"/>
      <c r="E842" s="321"/>
      <c r="F842" s="321"/>
      <c r="G842" s="321"/>
      <c r="H842" s="321"/>
      <c r="I842" s="321"/>
      <c r="J842" s="321"/>
      <c r="K842" s="321"/>
      <c r="L842" s="321"/>
      <c r="M842" s="321"/>
      <c r="N842" s="445">
        <v>32.32</v>
      </c>
      <c r="O842" s="451">
        <v>32.32</v>
      </c>
      <c r="P842" s="451">
        <v>32.32</v>
      </c>
      <c r="Q842" s="445">
        <v>32.32</v>
      </c>
      <c r="R842" s="321"/>
      <c r="S842" s="321"/>
      <c r="T842" s="321"/>
      <c r="U842" s="321"/>
      <c r="V842" s="321"/>
      <c r="W842" s="321"/>
      <c r="X842" s="321"/>
      <c r="Y842" s="321"/>
      <c r="Z842" s="321"/>
      <c r="AA842" s="321"/>
      <c r="AB842" s="321"/>
      <c r="AC842" s="321"/>
      <c r="AD842" s="321"/>
      <c r="AE842" s="321"/>
      <c r="AF842" s="564"/>
    </row>
    <row r="843" spans="1:34">
      <c r="A843" s="483"/>
      <c r="B843" s="321"/>
      <c r="C843" s="321"/>
      <c r="D843" s="321"/>
      <c r="E843" s="321"/>
      <c r="F843" s="321"/>
      <c r="G843" s="321"/>
      <c r="H843" s="321"/>
      <c r="I843" s="321"/>
      <c r="J843" s="321"/>
      <c r="K843" s="321"/>
      <c r="L843" s="321"/>
      <c r="M843" s="321"/>
      <c r="N843" s="451">
        <v>32.31</v>
      </c>
      <c r="O843" s="462">
        <v>32.31</v>
      </c>
      <c r="P843" s="462">
        <v>32.31</v>
      </c>
      <c r="Q843" s="451">
        <v>32.31</v>
      </c>
      <c r="R843" s="321"/>
      <c r="S843" s="321"/>
      <c r="T843" s="321"/>
      <c r="U843" s="321"/>
      <c r="V843" s="321"/>
      <c r="W843" s="321"/>
      <c r="X843" s="321"/>
      <c r="Y843" s="321"/>
      <c r="Z843" s="321"/>
      <c r="AA843" s="321"/>
      <c r="AB843" s="321"/>
      <c r="AC843" s="321"/>
      <c r="AD843" s="321"/>
      <c r="AE843" s="321"/>
      <c r="AF843" s="564"/>
    </row>
    <row r="844" spans="1:34">
      <c r="AH844">
        <v>843</v>
      </c>
    </row>
    <row r="845" spans="1:34">
      <c r="A845" s="483"/>
      <c r="B845" s="321"/>
      <c r="C845" s="321"/>
      <c r="D845" s="321"/>
      <c r="E845" s="321"/>
      <c r="F845" s="321"/>
      <c r="G845" s="321"/>
      <c r="H845" s="321"/>
      <c r="I845" s="321"/>
      <c r="J845" s="321"/>
      <c r="K845" s="321"/>
      <c r="L845" s="321"/>
      <c r="M845" s="321"/>
      <c r="N845" s="451">
        <v>31.3</v>
      </c>
      <c r="O845" s="462">
        <v>31.3</v>
      </c>
      <c r="P845" s="462">
        <v>31.3</v>
      </c>
      <c r="Q845" s="451">
        <v>31.3</v>
      </c>
      <c r="R845" s="321"/>
      <c r="S845" s="321"/>
      <c r="T845" s="321"/>
      <c r="U845" s="321"/>
      <c r="V845" s="321"/>
      <c r="W845" s="321"/>
      <c r="X845" s="321"/>
      <c r="Y845" s="321"/>
      <c r="Z845" s="321"/>
      <c r="AA845" s="321"/>
      <c r="AB845" s="321"/>
      <c r="AC845" s="321"/>
      <c r="AD845" s="321"/>
      <c r="AE845" s="321"/>
      <c r="AF845" s="564"/>
    </row>
    <row r="846" spans="1:34">
      <c r="AH846">
        <v>845</v>
      </c>
    </row>
    <row r="847" spans="1:34">
      <c r="A847" s="483"/>
      <c r="B847" s="321"/>
      <c r="C847" s="321"/>
      <c r="D847" s="321"/>
      <c r="E847" s="321"/>
      <c r="F847" s="321"/>
      <c r="G847" s="321"/>
      <c r="H847" s="321"/>
      <c r="I847" s="445">
        <v>32.32</v>
      </c>
      <c r="J847" s="451">
        <v>32.31</v>
      </c>
      <c r="K847" s="451">
        <v>32.31</v>
      </c>
      <c r="L847" s="451">
        <v>31.3</v>
      </c>
      <c r="M847" s="451">
        <v>31.3</v>
      </c>
      <c r="N847" s="445">
        <v>30.3</v>
      </c>
      <c r="O847" s="438">
        <v>1</v>
      </c>
      <c r="P847" s="438">
        <v>1</v>
      </c>
      <c r="Q847" s="445">
        <v>30.3</v>
      </c>
      <c r="R847" s="451">
        <v>31.3</v>
      </c>
      <c r="S847" s="451">
        <v>31.3</v>
      </c>
      <c r="T847" s="451">
        <v>32.31</v>
      </c>
      <c r="U847" s="451">
        <v>32.31</v>
      </c>
      <c r="V847" s="445">
        <v>32.32</v>
      </c>
      <c r="W847" s="321"/>
      <c r="X847" s="321"/>
      <c r="Y847" s="321"/>
      <c r="Z847" s="321"/>
      <c r="AA847" s="321"/>
      <c r="AB847" s="321"/>
      <c r="AC847" s="321"/>
      <c r="AD847" s="321"/>
      <c r="AE847" s="321"/>
      <c r="AF847" s="564"/>
    </row>
    <row r="848" spans="1:34">
      <c r="A848" s="483"/>
      <c r="B848" s="321"/>
      <c r="C848" s="321"/>
      <c r="D848" s="321"/>
      <c r="E848" s="321"/>
      <c r="F848" s="321"/>
      <c r="G848" s="321"/>
      <c r="H848" s="321"/>
      <c r="I848" s="451">
        <v>32.32</v>
      </c>
      <c r="J848" s="462">
        <v>32.31</v>
      </c>
      <c r="K848" s="462">
        <v>32.31</v>
      </c>
      <c r="L848" s="462">
        <v>31.3</v>
      </c>
      <c r="M848" s="462">
        <v>31.3</v>
      </c>
      <c r="N848" s="438">
        <v>1</v>
      </c>
      <c r="O848" s="431">
        <v>30</v>
      </c>
      <c r="P848" s="438">
        <v>30</v>
      </c>
      <c r="Q848" s="438">
        <v>1</v>
      </c>
      <c r="R848" s="462">
        <v>31.3</v>
      </c>
      <c r="S848" s="462">
        <v>31.3</v>
      </c>
      <c r="T848" s="462">
        <v>32.31</v>
      </c>
      <c r="U848" s="462">
        <v>32.31</v>
      </c>
      <c r="V848" s="451">
        <v>32.32</v>
      </c>
      <c r="W848" s="321"/>
      <c r="X848" s="321"/>
      <c r="Y848" s="321"/>
      <c r="Z848" s="321"/>
      <c r="AA848" s="321"/>
      <c r="AB848" s="321"/>
      <c r="AC848" s="321"/>
      <c r="AD848" s="321"/>
      <c r="AE848" s="321"/>
      <c r="AF848" s="564"/>
    </row>
    <row r="849" spans="1:34">
      <c r="A849" s="483"/>
      <c r="B849" s="321"/>
      <c r="C849" s="321"/>
      <c r="D849" s="321"/>
      <c r="E849" s="321"/>
      <c r="F849" s="321"/>
      <c r="G849" s="321"/>
      <c r="H849" s="321"/>
      <c r="I849" s="451">
        <v>32.32</v>
      </c>
      <c r="J849" s="462">
        <v>32.31</v>
      </c>
      <c r="K849" s="462">
        <v>32.31</v>
      </c>
      <c r="L849" s="462">
        <v>31.3</v>
      </c>
      <c r="M849" s="462">
        <v>31.3</v>
      </c>
      <c r="N849" s="438">
        <v>1</v>
      </c>
      <c r="O849" s="438">
        <v>30</v>
      </c>
      <c r="P849" s="445">
        <v>30</v>
      </c>
      <c r="Q849" s="438">
        <v>1</v>
      </c>
      <c r="R849" s="462">
        <v>31.3</v>
      </c>
      <c r="S849" s="462">
        <v>31.3</v>
      </c>
      <c r="T849" s="462">
        <v>32.31</v>
      </c>
      <c r="U849" s="462">
        <v>32.31</v>
      </c>
      <c r="V849" s="451">
        <v>32.32</v>
      </c>
      <c r="W849" s="321"/>
      <c r="X849" s="321"/>
      <c r="Y849" s="321"/>
      <c r="Z849" s="321"/>
      <c r="AA849" s="321"/>
      <c r="AB849" s="321"/>
      <c r="AC849" s="321"/>
      <c r="AD849" s="321"/>
      <c r="AE849" s="321"/>
      <c r="AF849" s="564"/>
    </row>
    <row r="850" spans="1:34">
      <c r="AH850">
        <v>847</v>
      </c>
    </row>
    <row r="851" spans="1:34">
      <c r="AH851">
        <v>845</v>
      </c>
    </row>
    <row r="852" spans="1:34">
      <c r="AH852">
        <v>845</v>
      </c>
    </row>
    <row r="853" spans="1:34">
      <c r="AH853">
        <v>843</v>
      </c>
    </row>
    <row r="854" spans="1:34">
      <c r="AH854">
        <v>843</v>
      </c>
    </row>
    <row r="855" spans="1:34">
      <c r="AH855">
        <v>842</v>
      </c>
    </row>
    <row r="856" spans="1:34">
      <c r="A856" s="483"/>
      <c r="B856" s="321"/>
      <c r="C856" s="321"/>
      <c r="D856" s="321"/>
      <c r="E856" s="321"/>
      <c r="F856" s="321"/>
      <c r="G856" s="321"/>
      <c r="H856" s="321"/>
      <c r="I856" s="321"/>
      <c r="J856" s="321"/>
      <c r="K856" s="321"/>
      <c r="L856" s="321"/>
      <c r="M856" s="321"/>
      <c r="N856" s="321"/>
      <c r="O856" s="321"/>
      <c r="P856" s="321"/>
      <c r="Q856" s="321"/>
      <c r="R856" s="321"/>
      <c r="S856" s="321"/>
      <c r="T856" s="321"/>
      <c r="U856" s="321"/>
      <c r="V856" s="321"/>
      <c r="W856" s="321"/>
      <c r="X856" s="321"/>
      <c r="Y856" s="321"/>
      <c r="Z856" s="321"/>
      <c r="AA856" s="321"/>
      <c r="AB856" s="321"/>
      <c r="AC856" s="321"/>
      <c r="AD856" s="321"/>
      <c r="AE856" s="321"/>
      <c r="AF856" s="564"/>
    </row>
    <row r="857" spans="1:34">
      <c r="A857" s="483"/>
      <c r="B857" s="321"/>
      <c r="C857" s="321"/>
      <c r="D857" s="321"/>
      <c r="E857" s="321"/>
      <c r="F857" s="321"/>
      <c r="G857" s="321"/>
      <c r="H857" s="321"/>
      <c r="I857" s="321"/>
      <c r="J857" s="321"/>
      <c r="K857" s="321"/>
      <c r="L857" s="321"/>
      <c r="M857" s="321"/>
      <c r="N857" s="321"/>
      <c r="O857" s="321"/>
      <c r="P857" s="321"/>
      <c r="Q857" s="321"/>
      <c r="R857" s="321"/>
      <c r="S857" s="321"/>
      <c r="T857" s="321"/>
      <c r="U857" s="321"/>
      <c r="V857" s="321"/>
      <c r="W857" s="321"/>
      <c r="X857" s="321"/>
      <c r="Y857" s="321"/>
      <c r="Z857" s="321"/>
      <c r="AA857" s="321"/>
      <c r="AB857" s="321"/>
      <c r="AC857" s="321"/>
      <c r="AD857" s="321"/>
      <c r="AE857" s="321"/>
      <c r="AF857" s="564"/>
    </row>
    <row r="858" spans="1:34">
      <c r="A858" s="483"/>
      <c r="B858" s="321"/>
      <c r="C858" s="321"/>
      <c r="D858" s="321"/>
      <c r="E858" s="321"/>
      <c r="F858" s="321"/>
      <c r="G858" s="321"/>
      <c r="H858" s="321"/>
      <c r="I858" s="321"/>
      <c r="J858" s="321"/>
      <c r="K858" s="321"/>
      <c r="L858" s="321"/>
      <c r="M858" s="321"/>
      <c r="N858" s="321"/>
      <c r="O858" s="321"/>
      <c r="P858" s="321"/>
      <c r="Q858" s="321"/>
      <c r="R858" s="321"/>
      <c r="S858" s="321"/>
      <c r="T858" s="321"/>
      <c r="U858" s="321"/>
      <c r="V858" s="321"/>
      <c r="W858" s="321"/>
      <c r="X858" s="321"/>
      <c r="Y858" s="321"/>
      <c r="Z858" s="321"/>
      <c r="AA858" s="321"/>
      <c r="AB858" s="321"/>
      <c r="AC858" s="321"/>
      <c r="AD858" s="321"/>
      <c r="AE858" s="321"/>
      <c r="AF858" s="564"/>
    </row>
    <row r="859" spans="1:34">
      <c r="A859" s="483"/>
      <c r="B859" s="321"/>
      <c r="C859" s="321"/>
      <c r="D859" s="321"/>
      <c r="E859" s="321"/>
      <c r="F859" s="321"/>
      <c r="G859" s="321"/>
      <c r="H859" s="321"/>
      <c r="I859" s="321"/>
      <c r="J859" s="321"/>
      <c r="K859" s="321"/>
      <c r="L859" s="321"/>
      <c r="M859" s="321"/>
      <c r="N859" s="321"/>
      <c r="O859" s="321"/>
      <c r="P859" s="321"/>
      <c r="Q859" s="321"/>
      <c r="R859" s="321"/>
      <c r="S859" s="321"/>
      <c r="T859" s="321"/>
      <c r="U859" s="321"/>
      <c r="V859" s="321"/>
      <c r="W859" s="321"/>
      <c r="X859" s="321"/>
      <c r="Y859" s="321"/>
      <c r="Z859" s="321"/>
      <c r="AA859" s="321"/>
      <c r="AB859" s="321"/>
      <c r="AC859" s="321"/>
      <c r="AD859" s="321"/>
      <c r="AE859" s="321"/>
      <c r="AF859" s="564"/>
    </row>
    <row r="860" spans="1:34">
      <c r="A860" s="483"/>
      <c r="B860" s="321"/>
      <c r="C860" s="321"/>
      <c r="D860" s="321"/>
      <c r="E860" s="321"/>
      <c r="F860" s="321"/>
      <c r="G860" s="321"/>
      <c r="H860" s="321"/>
      <c r="I860" s="321"/>
      <c r="J860" s="321"/>
      <c r="K860" s="321"/>
      <c r="L860" s="321"/>
      <c r="M860" s="321"/>
      <c r="N860" s="321"/>
      <c r="O860" s="321"/>
      <c r="P860" s="321"/>
      <c r="Q860" s="321"/>
      <c r="R860" s="321"/>
      <c r="S860" s="321"/>
      <c r="T860" s="321"/>
      <c r="U860" s="321"/>
      <c r="V860" s="321"/>
      <c r="W860" s="321"/>
      <c r="X860" s="321"/>
      <c r="Y860" s="321"/>
      <c r="Z860" s="321"/>
      <c r="AA860" s="321"/>
      <c r="AB860" s="321"/>
      <c r="AC860" s="321"/>
      <c r="AD860" s="321"/>
      <c r="AE860" s="321"/>
      <c r="AF860" s="564"/>
    </row>
    <row r="861" spans="1:34">
      <c r="A861" s="483"/>
      <c r="B861" s="321"/>
      <c r="C861" s="321"/>
      <c r="D861" s="321"/>
      <c r="E861" s="321"/>
      <c r="F861" s="321"/>
      <c r="G861" s="321"/>
      <c r="H861" s="321"/>
      <c r="I861" s="321"/>
      <c r="J861" s="321"/>
      <c r="K861" s="321"/>
      <c r="L861" s="321"/>
      <c r="M861" s="321"/>
      <c r="N861" s="321"/>
      <c r="O861" s="321"/>
      <c r="P861" s="321"/>
      <c r="Q861" s="321"/>
      <c r="R861" s="321"/>
      <c r="S861" s="321"/>
      <c r="T861" s="321"/>
      <c r="U861" s="321"/>
      <c r="V861" s="321"/>
      <c r="W861" s="321"/>
      <c r="X861" s="321"/>
      <c r="Y861" s="321"/>
      <c r="Z861" s="321"/>
      <c r="AA861" s="321"/>
      <c r="AB861" s="321"/>
      <c r="AC861" s="321"/>
      <c r="AD861" s="321"/>
      <c r="AE861" s="321"/>
      <c r="AF861" s="564"/>
    </row>
    <row r="862" spans="1:34">
      <c r="A862" s="483"/>
      <c r="B862" s="321"/>
      <c r="C862" s="321"/>
      <c r="D862" s="321"/>
      <c r="E862" s="321"/>
      <c r="F862" s="321"/>
      <c r="G862" s="321"/>
      <c r="H862" s="321"/>
      <c r="I862" s="321"/>
      <c r="J862" s="321"/>
      <c r="K862" s="321"/>
      <c r="L862" s="321"/>
      <c r="M862" s="321"/>
      <c r="N862" s="321"/>
      <c r="O862" s="321"/>
      <c r="P862" s="321"/>
      <c r="Q862" s="321"/>
      <c r="R862" s="321"/>
      <c r="S862" s="321"/>
      <c r="T862" s="321"/>
      <c r="U862" s="321"/>
      <c r="V862" s="321"/>
      <c r="W862" s="321"/>
      <c r="X862" s="321"/>
      <c r="Y862" s="321"/>
      <c r="Z862" s="321"/>
      <c r="AA862" s="321"/>
      <c r="AB862" s="321"/>
      <c r="AC862" s="321"/>
      <c r="AD862" s="321"/>
      <c r="AE862" s="321"/>
      <c r="AF862" s="564"/>
    </row>
    <row r="863" spans="1:34">
      <c r="A863" s="483"/>
      <c r="B863" s="321"/>
      <c r="C863" s="321"/>
      <c r="D863" s="321"/>
      <c r="E863" s="321"/>
      <c r="F863" s="321"/>
      <c r="G863" s="321"/>
      <c r="H863" s="321"/>
      <c r="I863" s="321"/>
      <c r="J863" s="321"/>
      <c r="K863" s="321"/>
      <c r="L863" s="321"/>
      <c r="M863" s="321"/>
      <c r="N863" s="321"/>
      <c r="O863" s="321"/>
      <c r="P863" s="321"/>
      <c r="Q863" s="321"/>
      <c r="R863" s="321"/>
      <c r="S863" s="321"/>
      <c r="T863" s="321"/>
      <c r="U863" s="321"/>
      <c r="V863" s="321"/>
      <c r="W863" s="321"/>
      <c r="X863" s="321"/>
      <c r="Y863" s="321"/>
      <c r="Z863" s="321"/>
      <c r="AA863" s="321"/>
      <c r="AB863" s="321"/>
      <c r="AC863" s="321"/>
      <c r="AD863" s="321"/>
      <c r="AE863" s="321"/>
      <c r="AF863" s="564"/>
    </row>
    <row r="864" spans="1:34">
      <c r="A864" s="651"/>
      <c r="B864" s="569"/>
      <c r="C864" s="569"/>
      <c r="D864" s="569"/>
      <c r="E864" s="569"/>
      <c r="F864" s="569"/>
      <c r="G864" s="569"/>
      <c r="H864" s="569"/>
      <c r="I864" s="569"/>
      <c r="J864" s="569"/>
      <c r="K864" s="569"/>
      <c r="L864" s="569"/>
      <c r="M864" s="569"/>
      <c r="N864" s="569"/>
      <c r="O864" s="569"/>
      <c r="P864" s="569"/>
      <c r="Q864" s="569"/>
      <c r="R864" s="569"/>
      <c r="S864" s="569"/>
      <c r="T864" s="569"/>
      <c r="U864" s="569"/>
      <c r="V864" s="569"/>
      <c r="W864" s="569"/>
      <c r="X864" s="569"/>
      <c r="Y864" s="569"/>
      <c r="Z864" s="569"/>
      <c r="AA864" s="569"/>
      <c r="AB864" s="569"/>
      <c r="AC864" s="569"/>
      <c r="AD864" s="569"/>
      <c r="AE864" s="569"/>
      <c r="AF864" s="570"/>
    </row>
    <row r="865" spans="1:34">
      <c r="A865" s="321"/>
      <c r="B865" s="321"/>
      <c r="C865" s="321"/>
      <c r="D865" s="321"/>
      <c r="E865" s="321"/>
      <c r="F865" s="321"/>
      <c r="G865" s="321"/>
      <c r="H865" s="321"/>
      <c r="I865" s="321"/>
      <c r="J865" s="321"/>
      <c r="K865" s="321"/>
      <c r="L865" s="321"/>
      <c r="M865" s="321"/>
      <c r="N865" s="321"/>
      <c r="O865" s="321"/>
      <c r="P865" s="321"/>
      <c r="Q865" s="321"/>
      <c r="R865" s="321"/>
      <c r="S865" s="321"/>
      <c r="T865" s="321"/>
      <c r="U865" s="321"/>
      <c r="V865" s="321"/>
      <c r="W865" s="321"/>
      <c r="X865" s="321"/>
      <c r="Y865" s="321"/>
      <c r="Z865" s="321"/>
      <c r="AA865" s="321"/>
      <c r="AB865" s="321"/>
      <c r="AC865" s="321"/>
      <c r="AD865" s="321"/>
      <c r="AE865" s="321"/>
      <c r="AF865" s="321"/>
      <c r="AG865">
        <v>28</v>
      </c>
    </row>
    <row r="866" spans="1:34">
      <c r="A866" s="321"/>
      <c r="B866" s="321"/>
      <c r="C866" s="321"/>
      <c r="D866" s="321"/>
      <c r="E866" s="321"/>
      <c r="F866" s="321"/>
      <c r="G866" s="321"/>
      <c r="H866" s="321"/>
      <c r="I866" s="321"/>
      <c r="J866" s="321"/>
      <c r="K866" s="321"/>
      <c r="L866" s="321"/>
      <c r="M866" s="321"/>
      <c r="N866" s="321"/>
      <c r="O866" s="321"/>
      <c r="P866" s="321"/>
      <c r="Q866" s="321"/>
      <c r="R866" s="321"/>
      <c r="S866" s="321"/>
      <c r="T866" s="321"/>
      <c r="U866" s="321"/>
      <c r="V866" s="321"/>
      <c r="W866" s="321"/>
      <c r="X866" s="321"/>
      <c r="Y866" s="321"/>
      <c r="Z866" s="321"/>
      <c r="AA866" s="321"/>
      <c r="AB866" s="321"/>
      <c r="AC866" s="321"/>
      <c r="AD866" s="321"/>
      <c r="AE866" s="321"/>
      <c r="AF866" s="321"/>
    </row>
    <row r="867" spans="1:34">
      <c r="A867" s="321"/>
      <c r="B867" s="321"/>
      <c r="C867" s="321"/>
      <c r="D867" s="321"/>
      <c r="E867" s="321"/>
      <c r="F867" s="321"/>
      <c r="G867" s="321"/>
      <c r="H867" s="321"/>
      <c r="I867" s="321"/>
      <c r="J867" s="321"/>
      <c r="K867" s="321"/>
      <c r="L867" s="321"/>
      <c r="M867" s="321"/>
      <c r="N867" s="321"/>
      <c r="O867" s="321"/>
      <c r="P867" s="321"/>
      <c r="Q867" s="321"/>
      <c r="R867" s="321"/>
      <c r="S867" s="321"/>
      <c r="T867" s="321"/>
      <c r="U867" s="321"/>
      <c r="V867" s="321"/>
      <c r="W867" s="321"/>
      <c r="X867" s="321"/>
      <c r="Y867" s="321"/>
      <c r="Z867" s="321"/>
      <c r="AA867" s="321"/>
      <c r="AB867" s="321"/>
      <c r="AC867" s="321"/>
      <c r="AD867" s="321"/>
      <c r="AE867" s="321"/>
      <c r="AF867" s="321"/>
    </row>
    <row r="868" spans="1:34">
      <c r="A868" s="321"/>
      <c r="B868" s="321"/>
      <c r="C868" s="321"/>
      <c r="D868" s="321"/>
      <c r="E868" s="321"/>
      <c r="F868" s="321"/>
      <c r="G868" s="321"/>
      <c r="H868" s="321"/>
      <c r="I868" s="321"/>
      <c r="J868" s="321"/>
      <c r="K868" s="321"/>
      <c r="L868" s="321"/>
      <c r="M868" s="321"/>
      <c r="N868" s="321"/>
      <c r="O868" s="321"/>
      <c r="P868" s="321"/>
      <c r="Q868" s="321"/>
      <c r="R868" s="321"/>
      <c r="S868" s="321"/>
      <c r="T868" s="321"/>
      <c r="U868" s="321"/>
      <c r="V868" s="321"/>
      <c r="W868" s="321"/>
      <c r="X868" s="321"/>
      <c r="Y868" s="321"/>
      <c r="Z868" s="321"/>
      <c r="AA868" s="321"/>
      <c r="AB868" s="321"/>
      <c r="AC868" s="321"/>
      <c r="AD868" s="321"/>
      <c r="AE868" s="321"/>
      <c r="AF868" s="321"/>
    </row>
    <row r="869" spans="1:34">
      <c r="A869" s="321"/>
      <c r="B869" s="321"/>
      <c r="C869" s="321"/>
      <c r="D869" s="321"/>
      <c r="E869" s="321"/>
      <c r="F869" s="321"/>
      <c r="G869" s="321"/>
      <c r="H869" s="321"/>
      <c r="I869" s="321"/>
      <c r="J869" s="321"/>
      <c r="K869" s="321"/>
      <c r="L869" s="321"/>
      <c r="M869" s="321"/>
      <c r="N869" s="321"/>
      <c r="O869" s="321"/>
      <c r="P869" s="321"/>
      <c r="Q869" s="321"/>
      <c r="R869" s="321"/>
      <c r="S869" s="321"/>
      <c r="T869" s="321"/>
      <c r="U869" s="321"/>
      <c r="V869" s="321"/>
      <c r="W869" s="321"/>
      <c r="X869" s="321"/>
      <c r="Y869" s="321"/>
      <c r="Z869" s="321"/>
      <c r="AA869" s="321"/>
      <c r="AB869" s="321"/>
      <c r="AC869" s="321"/>
      <c r="AD869" s="321"/>
      <c r="AE869" s="321"/>
      <c r="AF869" s="321"/>
    </row>
    <row r="870" spans="1:34">
      <c r="A870" s="321"/>
      <c r="B870" s="321"/>
      <c r="C870" s="321"/>
      <c r="D870" s="321"/>
      <c r="E870" s="321"/>
      <c r="F870" s="321"/>
      <c r="G870" s="321"/>
      <c r="H870" s="321"/>
      <c r="I870" s="321"/>
      <c r="J870" s="321"/>
      <c r="K870" s="321"/>
      <c r="L870" s="321"/>
      <c r="M870" s="321"/>
      <c r="N870" s="321"/>
      <c r="O870" s="321"/>
      <c r="P870" s="321"/>
      <c r="Q870" s="321"/>
      <c r="R870" s="321"/>
      <c r="S870" s="321"/>
      <c r="T870" s="321"/>
      <c r="U870" s="321"/>
      <c r="V870" s="321"/>
      <c r="W870" s="321"/>
      <c r="X870" s="321"/>
      <c r="Y870" s="321"/>
      <c r="Z870" s="321"/>
      <c r="AA870" s="321"/>
      <c r="AB870" s="321"/>
      <c r="AC870" s="321"/>
      <c r="AD870" s="321"/>
      <c r="AE870" s="321"/>
      <c r="AF870" s="321"/>
    </row>
    <row r="871" spans="1:34">
      <c r="A871" s="321"/>
      <c r="B871" s="321"/>
      <c r="C871" s="321"/>
      <c r="D871" s="321"/>
      <c r="E871" s="321"/>
      <c r="F871" s="321"/>
      <c r="G871" s="321"/>
      <c r="H871" s="321"/>
      <c r="I871" s="321"/>
      <c r="J871" s="321"/>
      <c r="K871" s="321"/>
      <c r="L871" s="321"/>
      <c r="M871" s="321"/>
      <c r="N871" s="321"/>
      <c r="O871" s="321"/>
      <c r="P871" s="321"/>
      <c r="Q871" s="321"/>
      <c r="R871" s="321"/>
      <c r="S871" s="321"/>
      <c r="T871" s="321"/>
      <c r="U871" s="321"/>
      <c r="V871" s="321"/>
      <c r="W871" s="321"/>
      <c r="X871" s="321"/>
      <c r="Y871" s="321"/>
      <c r="Z871" s="321"/>
      <c r="AA871" s="321"/>
      <c r="AB871" s="321"/>
      <c r="AC871" s="321"/>
      <c r="AD871" s="321"/>
      <c r="AE871" s="321"/>
      <c r="AF871" s="321"/>
    </row>
    <row r="872" spans="1:34">
      <c r="A872" s="321"/>
      <c r="B872" s="321"/>
      <c r="C872" s="321"/>
      <c r="D872" s="321"/>
      <c r="E872" s="321"/>
      <c r="F872" s="321"/>
      <c r="G872" s="321"/>
      <c r="H872" s="321"/>
      <c r="I872" s="321"/>
      <c r="J872" s="321"/>
      <c r="K872" s="321"/>
      <c r="L872" s="321"/>
      <c r="M872" s="321"/>
      <c r="N872" s="321"/>
      <c r="O872" s="321"/>
      <c r="P872" s="321"/>
      <c r="Q872" s="321"/>
      <c r="R872" s="321"/>
      <c r="S872" s="321"/>
      <c r="T872" s="321"/>
      <c r="U872" s="321"/>
      <c r="V872" s="321"/>
      <c r="W872" s="321"/>
      <c r="X872" s="321"/>
      <c r="Y872" s="321"/>
      <c r="Z872" s="321"/>
      <c r="AA872" s="321"/>
      <c r="AB872" s="321"/>
      <c r="AC872" s="321"/>
      <c r="AD872" s="321"/>
      <c r="AE872" s="321"/>
      <c r="AF872" s="321"/>
    </row>
    <row r="873" spans="1:34">
      <c r="A873" s="321"/>
      <c r="B873" s="321"/>
      <c r="C873" s="321"/>
      <c r="D873" s="321"/>
      <c r="E873" s="695"/>
      <c r="F873" s="695"/>
      <c r="G873" s="695"/>
      <c r="H873" s="695"/>
      <c r="I873" s="695"/>
      <c r="J873" s="695"/>
      <c r="K873" s="695"/>
      <c r="L873" s="695"/>
      <c r="M873" s="695"/>
      <c r="N873" s="695"/>
      <c r="O873" s="695"/>
      <c r="P873" s="695"/>
      <c r="Q873" s="695"/>
      <c r="R873" s="695"/>
      <c r="S873" s="695"/>
      <c r="T873" s="695"/>
      <c r="U873" s="695"/>
      <c r="V873" s="695"/>
      <c r="W873" s="695"/>
      <c r="X873" s="695"/>
      <c r="Y873" s="695"/>
      <c r="Z873" s="695"/>
      <c r="AA873" s="695"/>
      <c r="AB873" s="695"/>
      <c r="AC873" s="695"/>
      <c r="AD873" s="321"/>
      <c r="AE873" s="321"/>
      <c r="AF873" s="321"/>
    </row>
    <row r="874" spans="1:34">
      <c r="A874" s="321"/>
      <c r="B874" s="321"/>
      <c r="C874" s="321"/>
      <c r="D874" s="321"/>
      <c r="E874" s="695"/>
      <c r="F874" s="321"/>
      <c r="G874" s="321"/>
      <c r="H874" s="321"/>
      <c r="I874" s="321"/>
      <c r="J874" s="321"/>
      <c r="K874" s="321"/>
      <c r="L874" s="321"/>
      <c r="M874" s="321"/>
      <c r="N874" s="321"/>
      <c r="O874" s="321"/>
      <c r="P874" s="321"/>
      <c r="Q874" s="321"/>
      <c r="R874" s="321"/>
      <c r="S874" s="321"/>
      <c r="T874" s="321"/>
      <c r="U874" s="321"/>
      <c r="V874" s="321"/>
      <c r="W874" s="321"/>
      <c r="X874" s="321"/>
      <c r="Y874" s="321"/>
      <c r="Z874" s="321"/>
      <c r="AA874" s="321"/>
      <c r="AB874" s="321"/>
      <c r="AC874" s="695"/>
      <c r="AD874" s="321"/>
      <c r="AE874" s="321"/>
      <c r="AF874" s="321"/>
    </row>
    <row r="875" spans="1:34">
      <c r="A875" s="321"/>
      <c r="B875" s="321"/>
      <c r="C875" s="321"/>
      <c r="D875" s="321"/>
      <c r="E875" s="321"/>
      <c r="F875" s="321"/>
      <c r="G875" s="321"/>
      <c r="H875" s="321"/>
      <c r="I875" s="321"/>
      <c r="J875" s="321"/>
      <c r="K875" s="321"/>
      <c r="L875" s="321"/>
      <c r="M875" s="321"/>
      <c r="N875" s="321"/>
      <c r="O875" s="321"/>
      <c r="P875" s="321"/>
      <c r="Q875" s="321"/>
      <c r="R875" s="321"/>
      <c r="S875" s="321"/>
      <c r="T875" s="321"/>
      <c r="U875" s="321"/>
      <c r="V875" s="321"/>
      <c r="W875" s="321"/>
      <c r="X875" s="321"/>
      <c r="Y875" s="321"/>
      <c r="Z875" s="321"/>
      <c r="AA875" s="321"/>
      <c r="AB875" s="321"/>
      <c r="AC875" s="321"/>
      <c r="AD875" s="321"/>
      <c r="AE875" s="321"/>
      <c r="AF875" s="321"/>
    </row>
    <row r="876" spans="1:34">
      <c r="A876" s="321"/>
      <c r="B876" s="321"/>
      <c r="C876" s="321"/>
      <c r="D876" s="321"/>
      <c r="E876" s="321"/>
      <c r="F876" s="321"/>
      <c r="G876" s="321"/>
      <c r="H876" s="321"/>
      <c r="I876" s="421">
        <v>28</v>
      </c>
      <c r="J876" s="421">
        <v>28</v>
      </c>
      <c r="K876" s="421">
        <v>28</v>
      </c>
      <c r="L876" s="421">
        <v>28</v>
      </c>
      <c r="M876" s="421">
        <v>28.14</v>
      </c>
      <c r="N876" s="421">
        <v>28.14</v>
      </c>
      <c r="O876" s="421">
        <v>28.14</v>
      </c>
      <c r="P876" s="421">
        <v>28.14</v>
      </c>
      <c r="Q876" s="421">
        <v>28.14</v>
      </c>
      <c r="R876" s="421">
        <v>28.14</v>
      </c>
      <c r="S876" s="421">
        <v>28.14</v>
      </c>
      <c r="T876" s="421">
        <v>28.14</v>
      </c>
      <c r="U876" s="421">
        <v>28</v>
      </c>
      <c r="V876" s="421">
        <v>28</v>
      </c>
      <c r="W876" s="421">
        <v>28</v>
      </c>
      <c r="X876" s="421">
        <v>28</v>
      </c>
      <c r="Y876" s="321"/>
      <c r="Z876" s="321"/>
      <c r="AA876" s="321"/>
      <c r="AB876" s="321"/>
      <c r="AC876" s="321"/>
      <c r="AD876" s="321"/>
      <c r="AE876" s="321"/>
      <c r="AF876" s="321"/>
    </row>
    <row r="877" spans="1:34">
      <c r="A877" s="321"/>
      <c r="B877" s="321"/>
      <c r="C877" s="321"/>
      <c r="D877" s="321"/>
      <c r="E877" s="321"/>
      <c r="F877" s="321"/>
      <c r="G877" s="321"/>
      <c r="H877" s="321"/>
      <c r="I877" s="421">
        <v>28</v>
      </c>
      <c r="J877" s="421">
        <v>28</v>
      </c>
      <c r="K877" s="421">
        <v>28</v>
      </c>
      <c r="L877" s="421">
        <v>28</v>
      </c>
      <c r="M877" s="432">
        <v>6</v>
      </c>
      <c r="N877" s="432">
        <v>6</v>
      </c>
      <c r="O877" s="432">
        <v>6</v>
      </c>
      <c r="P877" s="432">
        <v>6</v>
      </c>
      <c r="Q877" s="432">
        <v>6</v>
      </c>
      <c r="R877" s="432">
        <v>6</v>
      </c>
      <c r="S877" s="432">
        <v>6</v>
      </c>
      <c r="T877" s="432">
        <v>6</v>
      </c>
      <c r="U877" s="421">
        <v>28</v>
      </c>
      <c r="V877" s="421">
        <v>28</v>
      </c>
      <c r="W877" s="421">
        <v>28</v>
      </c>
      <c r="X877" s="421">
        <v>28</v>
      </c>
      <c r="Y877" s="321"/>
      <c r="Z877" s="321"/>
      <c r="AA877" s="321"/>
      <c r="AB877" s="321"/>
      <c r="AC877" s="321"/>
      <c r="AD877" s="321"/>
      <c r="AE877" s="321"/>
      <c r="AF877" s="321"/>
    </row>
    <row r="878" spans="1:34">
      <c r="AH878">
        <v>877</v>
      </c>
    </row>
    <row r="879" spans="1:34">
      <c r="A879" s="321"/>
      <c r="B879" s="321"/>
      <c r="C879" s="321"/>
      <c r="D879" s="321"/>
      <c r="E879" s="321"/>
      <c r="F879" s="321"/>
      <c r="G879" s="321"/>
      <c r="H879" s="321"/>
      <c r="I879" s="421">
        <v>28</v>
      </c>
      <c r="J879" s="421">
        <v>28</v>
      </c>
      <c r="K879" s="421">
        <v>28</v>
      </c>
      <c r="L879" s="421">
        <v>28</v>
      </c>
      <c r="M879" s="421">
        <v>28</v>
      </c>
      <c r="N879" s="421">
        <v>28</v>
      </c>
      <c r="O879" s="421">
        <v>28</v>
      </c>
      <c r="P879" s="421">
        <v>28</v>
      </c>
      <c r="Q879" s="421">
        <v>28</v>
      </c>
      <c r="R879" s="421">
        <v>28</v>
      </c>
      <c r="S879" s="421">
        <v>28</v>
      </c>
      <c r="T879" s="421">
        <v>28</v>
      </c>
      <c r="U879" s="421">
        <v>28</v>
      </c>
      <c r="V879" s="421">
        <v>28</v>
      </c>
      <c r="W879" s="421">
        <v>28</v>
      </c>
      <c r="X879" s="421">
        <v>28</v>
      </c>
      <c r="Y879" s="321"/>
      <c r="Z879" s="321"/>
      <c r="AA879" s="321"/>
      <c r="AB879" s="321"/>
      <c r="AC879" s="321"/>
      <c r="AD879" s="321"/>
      <c r="AE879" s="321"/>
      <c r="AF879" s="321"/>
      <c r="AG879">
        <v>1</v>
      </c>
    </row>
    <row r="880" spans="1:34">
      <c r="AH880">
        <v>879</v>
      </c>
    </row>
    <row r="881" spans="1:34">
      <c r="A881" s="321"/>
      <c r="B881" s="321"/>
      <c r="C881" s="321"/>
      <c r="D881" s="321"/>
      <c r="E881" s="321"/>
      <c r="F881" s="321"/>
      <c r="G881" s="321"/>
      <c r="H881" s="321"/>
      <c r="I881" s="421">
        <v>28</v>
      </c>
      <c r="J881" s="421">
        <v>28</v>
      </c>
      <c r="K881" s="421">
        <v>28.28</v>
      </c>
      <c r="L881" s="421">
        <v>28.28</v>
      </c>
      <c r="M881" s="421">
        <v>28.28</v>
      </c>
      <c r="N881" s="421">
        <v>28.28</v>
      </c>
      <c r="O881" s="421">
        <v>28.28</v>
      </c>
      <c r="P881" s="421">
        <v>28.28</v>
      </c>
      <c r="Q881" s="421">
        <v>28.28</v>
      </c>
      <c r="R881" s="421">
        <v>28.28</v>
      </c>
      <c r="S881" s="421">
        <v>28.28</v>
      </c>
      <c r="T881" s="421">
        <v>28.28</v>
      </c>
      <c r="U881" s="421">
        <v>28.28</v>
      </c>
      <c r="V881" s="421">
        <v>28.28</v>
      </c>
      <c r="W881" s="421">
        <v>28</v>
      </c>
      <c r="X881" s="421">
        <v>28</v>
      </c>
      <c r="Y881" s="321"/>
      <c r="Z881" s="321"/>
      <c r="AA881" s="321"/>
      <c r="AB881" s="321"/>
      <c r="AC881" s="321"/>
      <c r="AD881" s="321"/>
      <c r="AE881" s="321"/>
      <c r="AF881" s="321"/>
    </row>
    <row r="882" spans="1:34">
      <c r="AH882">
        <v>881</v>
      </c>
    </row>
    <row r="883" spans="1:34">
      <c r="AH883">
        <v>881</v>
      </c>
    </row>
    <row r="884" spans="1:34">
      <c r="AH884">
        <v>881</v>
      </c>
    </row>
    <row r="885" spans="1:34">
      <c r="AH885">
        <v>881</v>
      </c>
    </row>
    <row r="886" spans="1:34">
      <c r="AH886">
        <v>881</v>
      </c>
    </row>
    <row r="887" spans="1:34">
      <c r="AH887">
        <v>881</v>
      </c>
    </row>
    <row r="888" spans="1:34">
      <c r="AH888">
        <v>881</v>
      </c>
    </row>
    <row r="889" spans="1:34">
      <c r="AH889">
        <v>881</v>
      </c>
    </row>
    <row r="890" spans="1:34">
      <c r="AH890">
        <v>881</v>
      </c>
    </row>
    <row r="891" spans="1:34">
      <c r="AH891">
        <v>881</v>
      </c>
    </row>
    <row r="892" spans="1:34">
      <c r="AH892">
        <v>881</v>
      </c>
    </row>
    <row r="893" spans="1:34">
      <c r="AH893">
        <v>879</v>
      </c>
    </row>
    <row r="894" spans="1:34">
      <c r="A894" s="321"/>
      <c r="B894" s="321"/>
      <c r="C894" s="321"/>
      <c r="D894" s="321"/>
      <c r="E894" s="321"/>
      <c r="F894" s="321"/>
      <c r="G894" s="321"/>
      <c r="H894" s="321"/>
      <c r="I894" s="432">
        <v>28</v>
      </c>
      <c r="J894" s="421">
        <v>28</v>
      </c>
      <c r="K894" s="421">
        <v>28</v>
      </c>
      <c r="L894" s="421">
        <v>28</v>
      </c>
      <c r="M894" s="421">
        <v>28</v>
      </c>
      <c r="N894" s="421">
        <v>28</v>
      </c>
      <c r="O894" s="421">
        <v>28</v>
      </c>
      <c r="P894" s="421">
        <v>28</v>
      </c>
      <c r="Q894" s="421">
        <v>28</v>
      </c>
      <c r="R894" s="421">
        <v>28</v>
      </c>
      <c r="S894" s="421">
        <v>28</v>
      </c>
      <c r="T894" s="421">
        <v>28</v>
      </c>
      <c r="U894" s="421">
        <v>28</v>
      </c>
      <c r="V894" s="421">
        <v>28</v>
      </c>
      <c r="W894" s="421">
        <v>28</v>
      </c>
      <c r="X894" s="432">
        <v>28</v>
      </c>
      <c r="Y894" s="321"/>
      <c r="Z894" s="321"/>
      <c r="AA894" s="321"/>
      <c r="AB894" s="321"/>
      <c r="AC894" s="321"/>
      <c r="AD894" s="321"/>
      <c r="AE894" s="321"/>
      <c r="AF894" s="321"/>
    </row>
    <row r="895" spans="1:34">
      <c r="A895" s="321"/>
      <c r="B895" s="321"/>
      <c r="C895" s="321"/>
      <c r="D895" s="321"/>
      <c r="E895" s="321"/>
      <c r="F895" s="695"/>
      <c r="G895" s="695"/>
      <c r="H895" s="695"/>
      <c r="I895" s="695"/>
      <c r="J895" s="695"/>
      <c r="K895" s="695"/>
      <c r="L895" s="695"/>
      <c r="M895" s="695"/>
      <c r="N895" s="695"/>
      <c r="O895" s="695"/>
      <c r="P895" s="695"/>
      <c r="Q895" s="695"/>
      <c r="R895" s="695"/>
      <c r="S895" s="695"/>
      <c r="T895" s="695"/>
      <c r="U895" s="695"/>
      <c r="V895" s="695"/>
      <c r="W895" s="695"/>
      <c r="X895" s="695"/>
      <c r="Y895" s="695"/>
      <c r="Z895" s="695"/>
      <c r="AA895" s="695"/>
      <c r="AB895" s="695"/>
      <c r="AC895" s="321"/>
      <c r="AD895" s="321"/>
      <c r="AE895" s="321"/>
      <c r="AF895" s="321"/>
    </row>
    <row r="896" spans="1:34">
      <c r="A896" s="569"/>
      <c r="B896" s="569"/>
      <c r="C896" s="569"/>
      <c r="D896" s="569"/>
      <c r="E896" s="321"/>
      <c r="F896" s="695"/>
      <c r="G896" s="695"/>
      <c r="H896" s="695"/>
      <c r="I896" s="695"/>
      <c r="J896" s="695"/>
      <c r="K896" s="695"/>
      <c r="L896" s="695"/>
      <c r="M896" s="695"/>
      <c r="N896" s="695"/>
      <c r="O896" s="695"/>
      <c r="P896" s="695"/>
      <c r="Q896" s="695"/>
      <c r="R896" s="695"/>
      <c r="S896" s="695"/>
      <c r="T896" s="695"/>
      <c r="U896" s="695"/>
      <c r="V896" s="695"/>
      <c r="W896" s="695"/>
      <c r="X896" s="695"/>
      <c r="Y896" s="695"/>
      <c r="Z896" s="695"/>
      <c r="AA896" s="695"/>
      <c r="AB896" s="695"/>
      <c r="AC896" s="321"/>
      <c r="AD896" s="569"/>
      <c r="AE896" s="569"/>
      <c r="AF896" s="569"/>
    </row>
    <row r="897" spans="1:33">
      <c r="A897" s="432">
        <v>2</v>
      </c>
      <c r="B897" s="432">
        <v>2</v>
      </c>
      <c r="C897" s="432">
        <v>2</v>
      </c>
      <c r="D897" s="432">
        <v>2</v>
      </c>
      <c r="E897" s="432">
        <v>2</v>
      </c>
      <c r="F897" s="432">
        <v>2</v>
      </c>
      <c r="G897" s="432">
        <v>2</v>
      </c>
      <c r="H897" s="432">
        <v>2</v>
      </c>
      <c r="I897" s="432">
        <v>2</v>
      </c>
      <c r="J897" s="432">
        <v>2</v>
      </c>
      <c r="K897" s="432">
        <v>2</v>
      </c>
      <c r="L897" s="432">
        <v>2</v>
      </c>
      <c r="M897" s="432">
        <v>2</v>
      </c>
      <c r="N897" s="432">
        <v>2</v>
      </c>
      <c r="O897" s="432">
        <v>2</v>
      </c>
      <c r="P897" s="432">
        <v>2</v>
      </c>
      <c r="Q897" s="432">
        <v>2</v>
      </c>
      <c r="R897" s="432">
        <v>2</v>
      </c>
      <c r="S897" s="432">
        <v>2</v>
      </c>
      <c r="T897" s="432">
        <v>2</v>
      </c>
      <c r="U897" s="432">
        <v>2</v>
      </c>
      <c r="V897" s="432">
        <v>2</v>
      </c>
      <c r="W897" s="432">
        <v>2</v>
      </c>
      <c r="X897" s="432">
        <v>2</v>
      </c>
      <c r="Y897" s="432">
        <v>2</v>
      </c>
      <c r="Z897" s="432">
        <v>2</v>
      </c>
      <c r="AA897" s="432">
        <v>2</v>
      </c>
      <c r="AB897" s="432">
        <v>2</v>
      </c>
      <c r="AC897" s="432">
        <v>2</v>
      </c>
      <c r="AD897" s="432">
        <v>2</v>
      </c>
      <c r="AE897" s="432">
        <v>2</v>
      </c>
      <c r="AF897" s="432">
        <v>2</v>
      </c>
      <c r="AG897">
        <v>29</v>
      </c>
    </row>
    <row r="898" spans="1:33">
      <c r="A898" s="432">
        <v>2</v>
      </c>
      <c r="B898" s="411">
        <v>3.02</v>
      </c>
      <c r="C898" s="411">
        <v>3.02</v>
      </c>
      <c r="D898" s="411">
        <v>3.02</v>
      </c>
      <c r="E898" s="411">
        <v>3.02</v>
      </c>
      <c r="F898" s="411">
        <v>3.02</v>
      </c>
      <c r="G898" s="411">
        <v>3.02</v>
      </c>
      <c r="H898" s="411">
        <v>3.02</v>
      </c>
      <c r="I898" s="411">
        <v>3.02</v>
      </c>
      <c r="J898" s="411">
        <v>3.02</v>
      </c>
      <c r="K898" s="411">
        <v>3.02</v>
      </c>
      <c r="L898" s="411">
        <v>3.02</v>
      </c>
      <c r="M898" s="411">
        <v>3.02</v>
      </c>
      <c r="N898" s="411">
        <v>3.02</v>
      </c>
      <c r="O898" s="411">
        <v>3.02</v>
      </c>
      <c r="P898" s="411">
        <v>3.02</v>
      </c>
      <c r="Q898" s="411">
        <v>3.02</v>
      </c>
      <c r="R898" s="411">
        <v>3.02</v>
      </c>
      <c r="S898" s="411">
        <v>3.02</v>
      </c>
      <c r="T898" s="411">
        <v>3.02</v>
      </c>
      <c r="U898" s="411">
        <v>3.02</v>
      </c>
      <c r="V898" s="411">
        <v>3.02</v>
      </c>
      <c r="W898" s="411">
        <v>3.02</v>
      </c>
      <c r="X898" s="411">
        <v>3.02</v>
      </c>
      <c r="Y898" s="411">
        <v>3.02</v>
      </c>
      <c r="Z898" s="411">
        <v>3.02</v>
      </c>
      <c r="AA898" s="411">
        <v>3.02</v>
      </c>
      <c r="AB898" s="411">
        <v>3.02</v>
      </c>
      <c r="AC898" s="411">
        <v>3.02</v>
      </c>
      <c r="AD898" s="411">
        <v>3.02</v>
      </c>
      <c r="AE898" s="432">
        <v>2</v>
      </c>
    </row>
    <row r="899" spans="1:33">
      <c r="A899" s="432">
        <v>2</v>
      </c>
      <c r="B899" s="411">
        <v>3.02</v>
      </c>
      <c r="C899" s="421">
        <v>3.02</v>
      </c>
      <c r="D899" s="432">
        <v>2.0099999999999998</v>
      </c>
      <c r="E899" s="432">
        <v>2.0099999999999998</v>
      </c>
      <c r="F899" s="432">
        <v>2.0099999999999998</v>
      </c>
      <c r="G899" s="432">
        <v>2.0099999999999998</v>
      </c>
      <c r="H899" s="432">
        <v>2.0099999999999998</v>
      </c>
      <c r="I899" s="432">
        <v>2.0099999999999998</v>
      </c>
      <c r="J899" s="432">
        <v>2.0099999999999998</v>
      </c>
      <c r="K899" s="432">
        <v>2.0099999999999998</v>
      </c>
      <c r="L899" s="432">
        <v>2.0099999999999998</v>
      </c>
      <c r="M899" s="432">
        <v>2.0099999999999998</v>
      </c>
      <c r="N899" s="432">
        <v>2.0099999999999998</v>
      </c>
      <c r="O899" s="432">
        <v>2.0099999999999998</v>
      </c>
      <c r="P899" s="432">
        <v>2.0099999999999998</v>
      </c>
      <c r="Q899" s="432">
        <v>2.0099999999999998</v>
      </c>
      <c r="R899" s="432">
        <v>2.0099999999999998</v>
      </c>
      <c r="S899" s="432">
        <v>2.0099999999999998</v>
      </c>
      <c r="T899" s="432">
        <v>2.0099999999999998</v>
      </c>
      <c r="U899" s="432">
        <v>2.0099999999999998</v>
      </c>
      <c r="V899" s="432">
        <v>2.0099999999999998</v>
      </c>
      <c r="W899" s="432">
        <v>2.0099999999999998</v>
      </c>
      <c r="X899" s="432">
        <v>2.0099999999999998</v>
      </c>
      <c r="Y899" s="432">
        <v>2.0099999999999998</v>
      </c>
      <c r="Z899" s="432">
        <v>2.0099999999999998</v>
      </c>
      <c r="AA899" s="432">
        <v>2.0099999999999998</v>
      </c>
      <c r="AB899" s="432">
        <v>2.0099999999999998</v>
      </c>
      <c r="AC899" s="411">
        <v>3.02</v>
      </c>
      <c r="AD899" s="432">
        <v>2</v>
      </c>
    </row>
    <row r="900" spans="1:33">
      <c r="A900" s="432">
        <v>2</v>
      </c>
      <c r="B900" s="411">
        <v>3.02</v>
      </c>
      <c r="C900" s="432">
        <v>2.0099999999999998</v>
      </c>
      <c r="D900" s="439">
        <v>2.0099999999999998</v>
      </c>
      <c r="E900" s="439">
        <v>2.0099999999999998</v>
      </c>
      <c r="F900" s="439">
        <v>2.0099999999999998</v>
      </c>
      <c r="G900" s="439">
        <v>2.0099999999999998</v>
      </c>
      <c r="H900" s="439">
        <v>2.0099999999999998</v>
      </c>
      <c r="I900" s="439">
        <v>2.0099999999999998</v>
      </c>
      <c r="J900" s="439">
        <v>2.0099999999999998</v>
      </c>
      <c r="K900" s="439">
        <v>2.0099999999999998</v>
      </c>
      <c r="L900" s="439">
        <v>2.0099999999999998</v>
      </c>
      <c r="M900" s="439">
        <v>2.0099999999999998</v>
      </c>
      <c r="N900" s="439">
        <v>2.0099999999999998</v>
      </c>
      <c r="O900" s="439">
        <v>2.0099999999999998</v>
      </c>
      <c r="P900" s="439">
        <v>2.0099999999999998</v>
      </c>
      <c r="Q900" s="439">
        <v>2.0099999999999998</v>
      </c>
      <c r="R900" s="439">
        <v>2.0099999999999998</v>
      </c>
      <c r="S900" s="439">
        <v>2.0099999999999998</v>
      </c>
      <c r="T900" s="439">
        <v>2.0099999999999998</v>
      </c>
      <c r="U900" s="439">
        <v>2.0099999999999998</v>
      </c>
      <c r="V900" s="439">
        <v>2.0099999999999998</v>
      </c>
      <c r="W900" s="439">
        <v>2.0099999999999998</v>
      </c>
      <c r="X900" s="439">
        <v>2.0099999999999998</v>
      </c>
      <c r="Y900" s="439">
        <v>2.0099999999999998</v>
      </c>
      <c r="Z900" s="439">
        <v>2.0099999999999998</v>
      </c>
      <c r="AA900" s="432">
        <v>2.0099999999999998</v>
      </c>
      <c r="AB900" s="411">
        <v>3.02</v>
      </c>
      <c r="AC900" s="432">
        <v>2</v>
      </c>
    </row>
    <row r="901" spans="1:33">
      <c r="A901" s="432">
        <v>2</v>
      </c>
      <c r="B901" s="411">
        <v>3.02</v>
      </c>
      <c r="C901" s="432">
        <v>2.0099999999999998</v>
      </c>
      <c r="D901" s="439">
        <v>2.0099999999999998</v>
      </c>
      <c r="E901" s="439">
        <v>2.0099999999999998</v>
      </c>
      <c r="F901" s="411">
        <v>3.01</v>
      </c>
      <c r="G901" s="411">
        <v>3</v>
      </c>
      <c r="H901" s="439">
        <v>2.0099999999999998</v>
      </c>
      <c r="I901" s="439">
        <v>2.0099999999999998</v>
      </c>
      <c r="J901" s="439">
        <v>2.0099999999999998</v>
      </c>
      <c r="K901" s="411">
        <v>3.01</v>
      </c>
      <c r="L901" s="411">
        <v>3</v>
      </c>
      <c r="M901" s="439">
        <v>2.0099999999999998</v>
      </c>
      <c r="N901" s="439">
        <v>2.0099999999999998</v>
      </c>
      <c r="O901" s="439">
        <v>2.0099999999999998</v>
      </c>
      <c r="P901" s="411">
        <v>3.01</v>
      </c>
      <c r="Q901" s="411">
        <v>3</v>
      </c>
      <c r="R901" s="439">
        <v>2.0099999999999998</v>
      </c>
      <c r="S901" s="439">
        <v>2.0099999999999998</v>
      </c>
      <c r="T901" s="439">
        <v>2.0099999999999998</v>
      </c>
      <c r="U901" s="411">
        <v>3.01</v>
      </c>
      <c r="V901" s="411">
        <v>3</v>
      </c>
      <c r="W901" s="439">
        <v>2.0099999999999998</v>
      </c>
      <c r="X901" s="439">
        <v>2.0099999999999998</v>
      </c>
      <c r="Y901" s="439">
        <v>2.0099999999999998</v>
      </c>
      <c r="Z901" s="432">
        <v>2.0099999999999998</v>
      </c>
      <c r="AA901" s="411">
        <v>3.02</v>
      </c>
      <c r="AB901" s="432">
        <v>2</v>
      </c>
    </row>
    <row r="902" spans="1:33">
      <c r="A902" s="432">
        <v>2</v>
      </c>
      <c r="B902" s="411">
        <v>3.02</v>
      </c>
      <c r="C902" s="432">
        <v>2.0099999999999998</v>
      </c>
      <c r="D902" s="439">
        <v>2.0099999999999998</v>
      </c>
      <c r="E902" s="411">
        <v>3.01</v>
      </c>
      <c r="F902" s="452">
        <v>3.01</v>
      </c>
      <c r="G902" s="432">
        <v>3.01</v>
      </c>
      <c r="H902" s="439">
        <v>2.0099999999999998</v>
      </c>
      <c r="I902" s="439">
        <v>2.0099999999999998</v>
      </c>
      <c r="J902" s="411">
        <v>3.01</v>
      </c>
      <c r="K902" s="452">
        <v>3.01</v>
      </c>
      <c r="L902" s="432">
        <v>3.01</v>
      </c>
      <c r="M902" s="439">
        <v>2.0099999999999998</v>
      </c>
      <c r="N902" s="439">
        <v>2.0099999999999998</v>
      </c>
      <c r="O902" s="411">
        <v>3.01</v>
      </c>
      <c r="P902" s="452">
        <v>3.01</v>
      </c>
      <c r="Q902" s="432">
        <v>3.01</v>
      </c>
      <c r="R902" s="439">
        <v>2.0099999999999998</v>
      </c>
      <c r="S902" s="439">
        <v>2.0099999999999998</v>
      </c>
      <c r="T902" s="411">
        <v>3.01</v>
      </c>
      <c r="U902" s="452">
        <v>3.01</v>
      </c>
      <c r="V902" s="432">
        <v>3.01</v>
      </c>
      <c r="W902" s="439">
        <v>2.0099999999999998</v>
      </c>
      <c r="X902" s="439">
        <v>2.0099999999999998</v>
      </c>
      <c r="Y902" s="432">
        <v>2.0099999999999998</v>
      </c>
      <c r="Z902" s="411">
        <v>3.02</v>
      </c>
      <c r="AA902" s="432">
        <v>2</v>
      </c>
    </row>
    <row r="903" spans="1:33">
      <c r="A903" s="432">
        <v>2</v>
      </c>
      <c r="B903" s="411">
        <v>3.02</v>
      </c>
      <c r="C903" s="432">
        <v>2.0099999999999998</v>
      </c>
      <c r="D903" s="439">
        <v>2.0099999999999998</v>
      </c>
      <c r="E903" s="411">
        <v>3.01</v>
      </c>
      <c r="F903" s="432">
        <v>3.01</v>
      </c>
      <c r="G903" s="439">
        <v>2.0099999999999998</v>
      </c>
      <c r="H903" s="439">
        <v>2.0099999999999998</v>
      </c>
      <c r="I903" s="439">
        <v>2.0099999999999998</v>
      </c>
      <c r="J903" s="411">
        <v>3.01</v>
      </c>
      <c r="K903" s="432">
        <v>3.01</v>
      </c>
      <c r="L903" s="439">
        <v>2.0099999999999998</v>
      </c>
      <c r="M903" s="439">
        <v>2.0099999999999998</v>
      </c>
      <c r="N903" s="439">
        <v>2.0099999999999998</v>
      </c>
      <c r="O903" s="411">
        <v>3.01</v>
      </c>
      <c r="P903" s="432">
        <v>3.01</v>
      </c>
      <c r="Q903" s="439">
        <v>2.0099999999999998</v>
      </c>
      <c r="R903" s="439">
        <v>2.0099999999999998</v>
      </c>
      <c r="S903" s="439">
        <v>2.0099999999999998</v>
      </c>
      <c r="T903" s="411">
        <v>3.01</v>
      </c>
      <c r="U903" s="432">
        <v>3.01</v>
      </c>
      <c r="V903" s="439">
        <v>2.0099999999999998</v>
      </c>
      <c r="W903" s="439">
        <v>2.0099999999999998</v>
      </c>
      <c r="X903" s="432">
        <v>2.0099999999999998</v>
      </c>
      <c r="Y903" s="452">
        <v>3.01</v>
      </c>
      <c r="Z903" s="432">
        <v>2</v>
      </c>
    </row>
    <row r="904" spans="1:33">
      <c r="A904" s="432">
        <v>2</v>
      </c>
      <c r="B904" s="411">
        <v>3.02</v>
      </c>
      <c r="C904" s="432">
        <v>2.0099999999999998</v>
      </c>
      <c r="D904" s="439">
        <v>2.0099999999999998</v>
      </c>
      <c r="E904" s="439">
        <v>2.0099999999999998</v>
      </c>
      <c r="F904" s="439">
        <v>2.0099999999999998</v>
      </c>
      <c r="G904" s="439">
        <v>2.0099999999999998</v>
      </c>
      <c r="H904" s="439">
        <v>2.0099999999999998</v>
      </c>
      <c r="I904" s="439">
        <v>2.0099999999999998</v>
      </c>
      <c r="J904" s="439">
        <v>2.0099999999999998</v>
      </c>
      <c r="K904" s="439">
        <v>2.0099999999999998</v>
      </c>
      <c r="L904" s="439">
        <v>2.0099999999999998</v>
      </c>
      <c r="M904" s="439">
        <v>2.0099999999999998</v>
      </c>
      <c r="N904" s="439">
        <v>2.0099999999999998</v>
      </c>
      <c r="O904" s="439">
        <v>2.0099999999999998</v>
      </c>
      <c r="P904" s="439">
        <v>2.0099999999999998</v>
      </c>
      <c r="Q904" s="439">
        <v>2.0099999999999998</v>
      </c>
      <c r="R904" s="439">
        <v>2.0099999999999998</v>
      </c>
      <c r="S904" s="439">
        <v>2.0099999999999998</v>
      </c>
      <c r="T904" s="439">
        <v>2.0099999999999998</v>
      </c>
      <c r="U904" s="439">
        <v>2.0099999999999998</v>
      </c>
      <c r="V904" s="439">
        <v>2.0099999999999998</v>
      </c>
      <c r="W904" s="432">
        <v>2.0099999999999998</v>
      </c>
      <c r="X904" s="452">
        <v>3.01</v>
      </c>
      <c r="Y904" s="432">
        <v>2</v>
      </c>
    </row>
    <row r="905" spans="1:33">
      <c r="A905" s="432">
        <v>2</v>
      </c>
      <c r="B905" s="411">
        <v>3.02</v>
      </c>
      <c r="C905" s="432">
        <v>2.0099999999999998</v>
      </c>
      <c r="D905" s="439">
        <v>2.0099999999999998</v>
      </c>
      <c r="E905" s="439">
        <v>2.0099999999999998</v>
      </c>
      <c r="F905" s="439">
        <v>2.0099999999999998</v>
      </c>
      <c r="G905" s="439">
        <v>2.0099999999999998</v>
      </c>
      <c r="H905" s="439">
        <v>2.0099999999999998</v>
      </c>
      <c r="I905" s="439">
        <v>2.0099999999999998</v>
      </c>
      <c r="J905" s="439">
        <v>2.0099999999999998</v>
      </c>
      <c r="K905" s="439">
        <v>2.0099999999999998</v>
      </c>
      <c r="L905" s="439">
        <v>2.0099999999999998</v>
      </c>
      <c r="M905" s="439">
        <v>2.0099999999999998</v>
      </c>
      <c r="N905" s="439">
        <v>2.0099999999999998</v>
      </c>
      <c r="O905" s="439">
        <v>2.0099999999999998</v>
      </c>
      <c r="P905" s="439">
        <v>2.0099999999999998</v>
      </c>
      <c r="Q905" s="439">
        <v>2.0099999999999998</v>
      </c>
      <c r="R905" s="439">
        <v>2.0099999999999998</v>
      </c>
      <c r="S905" s="439">
        <v>2.0099999999999998</v>
      </c>
      <c r="T905" s="439">
        <v>2.0099999999999998</v>
      </c>
      <c r="U905" s="439">
        <v>2.0099999999999998</v>
      </c>
      <c r="V905" s="432">
        <v>2.0099999999999998</v>
      </c>
      <c r="W905" s="452">
        <v>3.01</v>
      </c>
      <c r="X905" s="432">
        <v>2</v>
      </c>
    </row>
    <row r="906" spans="1:33">
      <c r="A906" s="432">
        <v>2</v>
      </c>
      <c r="B906" s="411">
        <v>3.02</v>
      </c>
      <c r="C906" s="432">
        <v>2.0099999999999998</v>
      </c>
      <c r="D906" s="439">
        <v>2.0099999999999998</v>
      </c>
      <c r="E906" s="439">
        <v>2.0099999999999998</v>
      </c>
      <c r="F906" s="411">
        <v>3.01</v>
      </c>
      <c r="G906" s="411">
        <v>3</v>
      </c>
      <c r="H906" s="439">
        <v>2.0099999999999998</v>
      </c>
      <c r="I906" s="439">
        <v>2.0099999999999998</v>
      </c>
      <c r="J906" s="439">
        <v>2.0099999999999998</v>
      </c>
      <c r="K906" s="411">
        <v>3.01</v>
      </c>
      <c r="L906" s="411">
        <v>3</v>
      </c>
      <c r="M906" s="439">
        <v>2.0099999999999998</v>
      </c>
      <c r="N906" s="439">
        <v>2.0099999999999998</v>
      </c>
      <c r="O906" s="439">
        <v>2.0099999999999998</v>
      </c>
      <c r="P906" s="411">
        <v>3.01</v>
      </c>
      <c r="Q906" s="411">
        <v>3</v>
      </c>
      <c r="R906" s="439">
        <v>2.0099999999999998</v>
      </c>
      <c r="S906" s="439">
        <v>2.0099999999999998</v>
      </c>
      <c r="T906" s="439">
        <v>2.0099999999999998</v>
      </c>
      <c r="U906" s="432">
        <v>2.0099999999999998</v>
      </c>
      <c r="V906" s="452">
        <v>3.01</v>
      </c>
      <c r="W906" s="432">
        <v>2</v>
      </c>
    </row>
    <row r="907" spans="1:33">
      <c r="A907" s="432">
        <v>2</v>
      </c>
      <c r="B907" s="411">
        <v>3.02</v>
      </c>
      <c r="C907" s="432">
        <v>2.0099999999999998</v>
      </c>
      <c r="D907" s="439">
        <v>2.0099999999999998</v>
      </c>
      <c r="E907" s="411">
        <v>3.01</v>
      </c>
      <c r="F907" s="452">
        <v>3.01</v>
      </c>
      <c r="G907" s="432">
        <v>3.01</v>
      </c>
      <c r="H907" s="439">
        <v>2.0099999999999998</v>
      </c>
      <c r="I907" s="439">
        <v>2.0099999999999998</v>
      </c>
      <c r="J907" s="411">
        <v>3.01</v>
      </c>
      <c r="K907" s="452">
        <v>3.01</v>
      </c>
      <c r="L907" s="432">
        <v>3.01</v>
      </c>
      <c r="M907" s="439">
        <v>2.0099999999999998</v>
      </c>
      <c r="N907" s="439">
        <v>2.0099999999999998</v>
      </c>
      <c r="O907" s="411">
        <v>3.01</v>
      </c>
      <c r="P907" s="452">
        <v>3.01</v>
      </c>
      <c r="Q907" s="432">
        <v>3.01</v>
      </c>
      <c r="R907" s="439">
        <v>2.0099999999999998</v>
      </c>
      <c r="S907" s="439">
        <v>2.0099999999999998</v>
      </c>
      <c r="T907" s="432">
        <v>2.0099999999999998</v>
      </c>
      <c r="U907" s="411">
        <v>3.02</v>
      </c>
      <c r="V907" s="432">
        <v>2</v>
      </c>
    </row>
    <row r="908" spans="1:33">
      <c r="A908" s="432">
        <v>2</v>
      </c>
      <c r="B908" s="411">
        <v>3.02</v>
      </c>
      <c r="C908" s="432">
        <v>2.0099999999999998</v>
      </c>
      <c r="D908" s="439">
        <v>2.0099999999999998</v>
      </c>
      <c r="E908" s="411">
        <v>3.01</v>
      </c>
      <c r="F908" s="432">
        <v>3.01</v>
      </c>
      <c r="G908" s="439">
        <v>2.0099999999999998</v>
      </c>
      <c r="H908" s="439">
        <v>2.0099999999999998</v>
      </c>
      <c r="I908" s="439">
        <v>2.0099999999999998</v>
      </c>
      <c r="J908" s="411">
        <v>3.01</v>
      </c>
      <c r="K908" s="432">
        <v>3.01</v>
      </c>
      <c r="L908" s="439">
        <v>2.0099999999999998</v>
      </c>
      <c r="M908" s="439">
        <v>2.0099999999999998</v>
      </c>
      <c r="N908" s="439">
        <v>2.0099999999999998</v>
      </c>
      <c r="O908" s="411">
        <v>3.01</v>
      </c>
      <c r="P908" s="432">
        <v>3.01</v>
      </c>
      <c r="Q908" s="439">
        <v>2.0099999999999998</v>
      </c>
      <c r="R908" s="439">
        <v>2.0099999999999998</v>
      </c>
      <c r="S908" s="432">
        <v>2.0099999999999998</v>
      </c>
      <c r="T908" s="411">
        <v>3.02</v>
      </c>
      <c r="U908" s="432">
        <v>2</v>
      </c>
    </row>
    <row r="909" spans="1:33">
      <c r="A909" s="432">
        <v>2</v>
      </c>
      <c r="B909" s="411">
        <v>3.02</v>
      </c>
      <c r="C909" s="432">
        <v>2.0099999999999998</v>
      </c>
      <c r="D909" s="439">
        <v>2.0099999999999998</v>
      </c>
      <c r="E909" s="439">
        <v>2.0099999999999998</v>
      </c>
      <c r="F909" s="439">
        <v>2.0099999999999998</v>
      </c>
      <c r="G909" s="439">
        <v>2.0099999999999998</v>
      </c>
      <c r="H909" s="439">
        <v>2.0099999999999998</v>
      </c>
      <c r="I909" s="439">
        <v>2.0099999999999998</v>
      </c>
      <c r="J909" s="439">
        <v>2.0099999999999998</v>
      </c>
      <c r="K909" s="439">
        <v>2.0099999999999998</v>
      </c>
      <c r="L909" s="439">
        <v>2.0099999999999998</v>
      </c>
      <c r="M909" s="439">
        <v>2.0099999999999998</v>
      </c>
      <c r="N909" s="439">
        <v>2.0099999999999998</v>
      </c>
      <c r="O909" s="439">
        <v>2.0099999999999998</v>
      </c>
      <c r="P909" s="439">
        <v>2.0099999999999998</v>
      </c>
      <c r="Q909" s="439">
        <v>2.0099999999999998</v>
      </c>
      <c r="R909" s="432">
        <v>2.0099999999999998</v>
      </c>
      <c r="S909" s="411">
        <v>3.02</v>
      </c>
      <c r="T909" s="432">
        <v>2</v>
      </c>
    </row>
    <row r="910" spans="1:33">
      <c r="A910" s="432">
        <v>2</v>
      </c>
      <c r="B910" s="411">
        <v>3.02</v>
      </c>
      <c r="C910" s="432">
        <v>2.0099999999999998</v>
      </c>
      <c r="D910" s="439">
        <v>2.0099999999999998</v>
      </c>
      <c r="E910" s="439">
        <v>2.0099999999999998</v>
      </c>
      <c r="F910" s="439">
        <v>2.0099999999999998</v>
      </c>
      <c r="G910" s="439">
        <v>2.0099999999999998</v>
      </c>
      <c r="H910" s="439">
        <v>2.0099999999999998</v>
      </c>
      <c r="I910" s="439">
        <v>2.0099999999999998</v>
      </c>
      <c r="J910" s="439">
        <v>2.0099999999999998</v>
      </c>
      <c r="K910" s="439">
        <v>2.0099999999999998</v>
      </c>
      <c r="L910" s="439">
        <v>2.0099999999999998</v>
      </c>
      <c r="M910" s="439">
        <v>2.0099999999999998</v>
      </c>
      <c r="N910" s="439">
        <v>2.0099999999999998</v>
      </c>
      <c r="O910" s="439">
        <v>2.0099999999999998</v>
      </c>
      <c r="P910" s="439">
        <v>2.0099999999999998</v>
      </c>
      <c r="Q910" s="432">
        <v>2.0099999999999998</v>
      </c>
      <c r="R910" s="411">
        <v>3.02</v>
      </c>
      <c r="S910" s="432">
        <v>2</v>
      </c>
    </row>
    <row r="911" spans="1:33">
      <c r="A911" s="432">
        <v>2</v>
      </c>
      <c r="B911" s="411">
        <v>3.02</v>
      </c>
      <c r="C911" s="432">
        <v>2.0099999999999998</v>
      </c>
      <c r="D911" s="439">
        <v>2.0099999999999998</v>
      </c>
      <c r="E911" s="439">
        <v>2.0099999999999998</v>
      </c>
      <c r="F911" s="411">
        <v>3.01</v>
      </c>
      <c r="G911" s="411">
        <v>3</v>
      </c>
      <c r="H911" s="439">
        <v>2.0099999999999998</v>
      </c>
      <c r="I911" s="439">
        <v>2.0099999999999998</v>
      </c>
      <c r="J911" s="439">
        <v>2.0099999999999998</v>
      </c>
      <c r="K911" s="411">
        <v>3.01</v>
      </c>
      <c r="L911" s="411">
        <v>3</v>
      </c>
      <c r="M911" s="439">
        <v>2.0099999999999998</v>
      </c>
      <c r="N911" s="439">
        <v>2.0099999999999998</v>
      </c>
      <c r="O911" s="439">
        <v>2.0099999999999998</v>
      </c>
      <c r="P911" s="432">
        <v>2.0099999999999998</v>
      </c>
      <c r="Q911" s="411">
        <v>3.02</v>
      </c>
      <c r="R911" s="432">
        <v>2</v>
      </c>
    </row>
    <row r="912" spans="1:33">
      <c r="A912" s="432">
        <v>2</v>
      </c>
      <c r="B912" s="411">
        <v>3.02</v>
      </c>
      <c r="C912" s="432">
        <v>2.0099999999999998</v>
      </c>
      <c r="D912" s="439">
        <v>2.0099999999999998</v>
      </c>
      <c r="E912" s="411">
        <v>3.01</v>
      </c>
      <c r="F912" s="452">
        <v>3.01</v>
      </c>
      <c r="G912" s="432">
        <v>3.01</v>
      </c>
      <c r="H912" s="439">
        <v>2.0099999999999998</v>
      </c>
      <c r="I912" s="439">
        <v>2.0099999999999998</v>
      </c>
      <c r="J912" s="411">
        <v>3.01</v>
      </c>
      <c r="K912" s="452">
        <v>3.01</v>
      </c>
      <c r="L912" s="432">
        <v>3.01</v>
      </c>
      <c r="M912" s="439">
        <v>2.0099999999999998</v>
      </c>
      <c r="N912" s="439">
        <v>2.0099999999999998</v>
      </c>
      <c r="O912" s="432">
        <v>2.0099999999999998</v>
      </c>
      <c r="P912" s="411">
        <v>3.02</v>
      </c>
      <c r="Q912" s="432">
        <v>2</v>
      </c>
    </row>
    <row r="913" spans="1:32">
      <c r="A913" s="432">
        <v>2</v>
      </c>
      <c r="B913" s="411">
        <v>3.02</v>
      </c>
      <c r="C913" s="432">
        <v>2.0099999999999998</v>
      </c>
      <c r="D913" s="439">
        <v>2.0099999999999998</v>
      </c>
      <c r="E913" s="411">
        <v>3.01</v>
      </c>
      <c r="F913" s="432">
        <v>3.01</v>
      </c>
      <c r="G913" s="439">
        <v>2.0099999999999998</v>
      </c>
      <c r="H913" s="439">
        <v>2.0099999999999998</v>
      </c>
      <c r="I913" s="439">
        <v>2.0099999999999998</v>
      </c>
      <c r="J913" s="411">
        <v>3.01</v>
      </c>
      <c r="K913" s="432">
        <v>3.01</v>
      </c>
      <c r="L913" s="439">
        <v>2.0099999999999998</v>
      </c>
      <c r="M913" s="439">
        <v>2.0099999999999998</v>
      </c>
      <c r="N913" s="432">
        <v>2.0099999999999998</v>
      </c>
      <c r="O913" s="411">
        <v>3.02</v>
      </c>
      <c r="P913" s="432">
        <v>2</v>
      </c>
    </row>
    <row r="914" spans="1:32">
      <c r="A914" s="432">
        <v>2</v>
      </c>
      <c r="B914" s="411">
        <v>3.02</v>
      </c>
      <c r="C914" s="432">
        <v>2.0099999999999998</v>
      </c>
      <c r="D914" s="439">
        <v>2.0099999999999998</v>
      </c>
      <c r="E914" s="439">
        <v>2.0099999999999998</v>
      </c>
      <c r="F914" s="439">
        <v>2.0099999999999998</v>
      </c>
      <c r="G914" s="439">
        <v>2.0099999999999998</v>
      </c>
      <c r="H914" s="439">
        <v>2.0099999999999998</v>
      </c>
      <c r="I914" s="439">
        <v>2.0099999999999998</v>
      </c>
      <c r="J914" s="439">
        <v>2.0099999999999998</v>
      </c>
      <c r="K914" s="439">
        <v>2.0099999999999998</v>
      </c>
      <c r="L914" s="439">
        <v>2.0099999999999998</v>
      </c>
      <c r="M914" s="432">
        <v>2.0099999999999998</v>
      </c>
      <c r="N914" s="411">
        <v>3.02</v>
      </c>
      <c r="O914" s="432">
        <v>2</v>
      </c>
    </row>
    <row r="915" spans="1:32">
      <c r="A915" s="432">
        <v>2</v>
      </c>
      <c r="B915" s="411">
        <v>3.02</v>
      </c>
      <c r="C915" s="432">
        <v>2.0099999999999998</v>
      </c>
      <c r="D915" s="439">
        <v>2.0099999999999998</v>
      </c>
      <c r="E915" s="439">
        <v>2.0099999999999998</v>
      </c>
      <c r="F915" s="439">
        <v>2.0099999999999998</v>
      </c>
      <c r="G915" s="439">
        <v>2.0099999999999998</v>
      </c>
      <c r="H915" s="439">
        <v>2.0099999999999998</v>
      </c>
      <c r="I915" s="439">
        <v>2.0099999999999998</v>
      </c>
      <c r="J915" s="439">
        <v>2.0099999999999998</v>
      </c>
      <c r="K915" s="439">
        <v>2.0099999999999998</v>
      </c>
      <c r="L915" s="432">
        <v>2.0099999999999998</v>
      </c>
      <c r="M915" s="411">
        <v>3.02</v>
      </c>
      <c r="N915" s="432">
        <v>2</v>
      </c>
    </row>
    <row r="916" spans="1:32">
      <c r="A916" s="432">
        <v>2</v>
      </c>
      <c r="B916" s="411">
        <v>3.02</v>
      </c>
      <c r="C916" s="432">
        <v>2.0099999999999998</v>
      </c>
      <c r="D916" s="439">
        <v>2.0099999999999998</v>
      </c>
      <c r="E916" s="439">
        <v>2.0099999999999998</v>
      </c>
      <c r="F916" s="411">
        <v>3.01</v>
      </c>
      <c r="G916" s="411">
        <v>3</v>
      </c>
      <c r="H916" s="439">
        <v>2.0099999999999998</v>
      </c>
      <c r="I916" s="439">
        <v>2.0099999999999998</v>
      </c>
      <c r="J916" s="439">
        <v>2.0099999999999998</v>
      </c>
      <c r="K916" s="432">
        <v>2.0099999999999998</v>
      </c>
      <c r="L916" s="411">
        <v>3.02</v>
      </c>
      <c r="M916" s="432">
        <v>2</v>
      </c>
    </row>
    <row r="917" spans="1:32">
      <c r="A917" s="432">
        <v>2</v>
      </c>
      <c r="B917" s="411">
        <v>3.02</v>
      </c>
      <c r="C917" s="432">
        <v>2.0099999999999998</v>
      </c>
      <c r="D917" s="439">
        <v>2.0099999999999998</v>
      </c>
      <c r="E917" s="411">
        <v>3.01</v>
      </c>
      <c r="F917" s="452">
        <v>3.01</v>
      </c>
      <c r="G917" s="432">
        <v>3.01</v>
      </c>
      <c r="H917" s="439">
        <v>2.0099999999999998</v>
      </c>
      <c r="I917" s="439">
        <v>2.0099999999999998</v>
      </c>
      <c r="J917" s="432">
        <v>2.0099999999999998</v>
      </c>
      <c r="K917" s="411">
        <v>3.02</v>
      </c>
      <c r="L917" s="432">
        <v>2</v>
      </c>
    </row>
    <row r="918" spans="1:32">
      <c r="A918" s="432">
        <v>2</v>
      </c>
      <c r="B918" s="411">
        <v>3.02</v>
      </c>
      <c r="C918" s="432">
        <v>2.0099999999999998</v>
      </c>
      <c r="D918" s="439">
        <v>2.0099999999999998</v>
      </c>
      <c r="E918" s="411">
        <v>3.01</v>
      </c>
      <c r="F918" s="432">
        <v>3.01</v>
      </c>
      <c r="G918" s="439">
        <v>2.0099999999999998</v>
      </c>
      <c r="H918" s="439">
        <v>2.0099999999999998</v>
      </c>
      <c r="I918" s="432">
        <v>2.0099999999999998</v>
      </c>
      <c r="J918" s="411">
        <v>3.02</v>
      </c>
      <c r="K918" s="432">
        <v>2</v>
      </c>
    </row>
    <row r="919" spans="1:32">
      <c r="A919" s="432">
        <v>2</v>
      </c>
      <c r="B919" s="411">
        <v>3.02</v>
      </c>
      <c r="C919" s="432">
        <v>2.0099999999999998</v>
      </c>
      <c r="D919" s="439">
        <v>2.0099999999999998</v>
      </c>
      <c r="E919" s="439">
        <v>2.0099999999999998</v>
      </c>
      <c r="F919" s="439">
        <v>2.0099999999999998</v>
      </c>
      <c r="G919" s="439">
        <v>2.0099999999999998</v>
      </c>
      <c r="H919" s="432">
        <v>2.0099999999999998</v>
      </c>
      <c r="I919" s="411">
        <v>3.02</v>
      </c>
      <c r="J919" s="432">
        <v>2</v>
      </c>
    </row>
    <row r="920" spans="1:32">
      <c r="A920" s="432">
        <v>2</v>
      </c>
      <c r="B920" s="411">
        <v>3.02</v>
      </c>
      <c r="C920" s="432">
        <v>2.0099999999999998</v>
      </c>
      <c r="D920" s="439">
        <v>2.0099999999999998</v>
      </c>
      <c r="E920" s="439">
        <v>2.0099999999999998</v>
      </c>
      <c r="F920" s="439">
        <v>2.0099999999999998</v>
      </c>
      <c r="G920" s="432">
        <v>2.0099999999999998</v>
      </c>
      <c r="H920" s="452">
        <v>3.01</v>
      </c>
      <c r="I920" s="432">
        <v>2</v>
      </c>
    </row>
    <row r="921" spans="1:32">
      <c r="A921" s="432">
        <v>2</v>
      </c>
      <c r="B921" s="411">
        <v>3.02</v>
      </c>
      <c r="C921" s="432">
        <v>2.0099999999999998</v>
      </c>
      <c r="D921" s="439">
        <v>2.0099999999999998</v>
      </c>
      <c r="E921" s="439">
        <v>2.0099999999999998</v>
      </c>
      <c r="F921" s="432">
        <v>2.0099999999999998</v>
      </c>
      <c r="G921" s="452">
        <v>3.01</v>
      </c>
      <c r="H921" s="432">
        <v>2</v>
      </c>
    </row>
    <row r="922" spans="1:32">
      <c r="A922" s="432">
        <v>2</v>
      </c>
      <c r="B922" s="411">
        <v>3.02</v>
      </c>
      <c r="C922" s="432">
        <v>2.0099999999999998</v>
      </c>
      <c r="D922" s="439">
        <v>2.0099999999999998</v>
      </c>
      <c r="E922" s="432">
        <v>2.0099999999999998</v>
      </c>
      <c r="F922" s="452">
        <v>3.01</v>
      </c>
      <c r="G922" s="432">
        <v>2</v>
      </c>
    </row>
    <row r="923" spans="1:32">
      <c r="A923" s="432">
        <v>2</v>
      </c>
      <c r="B923" s="411">
        <v>3.02</v>
      </c>
      <c r="C923" s="432">
        <v>2.0099999999999998</v>
      </c>
      <c r="D923" s="432">
        <v>2.0099999999999998</v>
      </c>
      <c r="E923" s="452">
        <v>3.01</v>
      </c>
      <c r="F923" s="432">
        <v>2</v>
      </c>
    </row>
    <row r="924" spans="1:32">
      <c r="A924" s="432">
        <v>2</v>
      </c>
      <c r="B924" s="411">
        <v>3.02</v>
      </c>
      <c r="C924" s="432">
        <v>2.0099999999999998</v>
      </c>
      <c r="D924" s="411">
        <v>3.02</v>
      </c>
      <c r="E924" s="432">
        <v>2</v>
      </c>
    </row>
    <row r="925" spans="1:32">
      <c r="A925" s="432">
        <v>2</v>
      </c>
      <c r="B925" s="411">
        <v>3.02</v>
      </c>
      <c r="C925" s="411">
        <v>3.02</v>
      </c>
      <c r="D925" s="432">
        <v>2</v>
      </c>
    </row>
    <row r="926" spans="1:32">
      <c r="A926" s="432">
        <v>2</v>
      </c>
      <c r="B926" s="411">
        <v>3.02</v>
      </c>
      <c r="C926" s="432">
        <v>2</v>
      </c>
    </row>
    <row r="927" spans="1:32">
      <c r="A927" s="432">
        <v>2</v>
      </c>
      <c r="B927" s="432">
        <v>2</v>
      </c>
    </row>
    <row r="928" spans="1:32">
      <c r="A928" s="561">
        <v>2</v>
      </c>
      <c r="B928" s="73"/>
      <c r="C928" s="73"/>
      <c r="D928" s="73"/>
      <c r="E928" s="73"/>
      <c r="F928" s="73"/>
      <c r="G928" s="73"/>
      <c r="H928" s="73"/>
      <c r="I928" s="73"/>
      <c r="J928" s="73"/>
      <c r="K928" s="73"/>
      <c r="L928" s="73"/>
      <c r="M928" s="73"/>
      <c r="N928" s="73"/>
      <c r="O928" s="73"/>
      <c r="P928" s="73"/>
      <c r="Q928" s="73"/>
      <c r="R928" s="73"/>
      <c r="S928" s="73"/>
      <c r="T928" s="73"/>
      <c r="U928" s="73"/>
      <c r="V928" s="73"/>
      <c r="W928" s="73"/>
      <c r="X928" s="73"/>
      <c r="Y928" s="73"/>
      <c r="Z928" s="73"/>
      <c r="AA928" s="73"/>
      <c r="AB928" s="73"/>
      <c r="AC928" s="73"/>
      <c r="AD928" s="73"/>
      <c r="AE928" s="73"/>
      <c r="AF928" s="73"/>
    </row>
    <row r="929" spans="1:34">
      <c r="A929" s="451">
        <v>2</v>
      </c>
      <c r="B929" s="438">
        <v>2</v>
      </c>
      <c r="C929" s="451">
        <v>2</v>
      </c>
      <c r="D929" s="438">
        <v>2</v>
      </c>
      <c r="E929" s="451">
        <v>2</v>
      </c>
      <c r="F929" s="438">
        <v>2</v>
      </c>
      <c r="G929" s="451">
        <v>2</v>
      </c>
      <c r="H929" s="438">
        <v>2</v>
      </c>
      <c r="I929" s="451">
        <v>2</v>
      </c>
      <c r="J929" s="438">
        <v>2</v>
      </c>
      <c r="K929" s="451">
        <v>2</v>
      </c>
      <c r="L929" s="438">
        <v>2</v>
      </c>
      <c r="M929" s="451">
        <v>2</v>
      </c>
      <c r="N929" s="438">
        <v>2</v>
      </c>
      <c r="O929" s="451">
        <v>2</v>
      </c>
      <c r="P929" s="438">
        <v>2</v>
      </c>
      <c r="Q929" s="445">
        <v>2</v>
      </c>
      <c r="R929" s="438">
        <v>2</v>
      </c>
      <c r="S929" s="445">
        <v>2</v>
      </c>
      <c r="T929" s="438">
        <v>2</v>
      </c>
      <c r="U929" s="445">
        <v>2</v>
      </c>
      <c r="V929" s="438">
        <v>2</v>
      </c>
      <c r="W929" s="445">
        <v>2</v>
      </c>
      <c r="X929" s="438">
        <v>2</v>
      </c>
      <c r="Y929" s="445">
        <v>2</v>
      </c>
      <c r="Z929" s="438">
        <v>2</v>
      </c>
      <c r="AA929" s="445">
        <v>2</v>
      </c>
      <c r="AB929" s="438">
        <v>2</v>
      </c>
      <c r="AC929" s="445">
        <v>2</v>
      </c>
      <c r="AD929" s="438">
        <v>2</v>
      </c>
      <c r="AE929" s="445">
        <v>2</v>
      </c>
      <c r="AF929" s="438">
        <v>2</v>
      </c>
      <c r="AG929">
        <v>30</v>
      </c>
    </row>
    <row r="930" spans="1:34">
      <c r="A930" s="464">
        <v>9</v>
      </c>
      <c r="B930" s="438">
        <v>9</v>
      </c>
      <c r="C930" s="438">
        <v>2</v>
      </c>
      <c r="D930" s="451">
        <v>2</v>
      </c>
      <c r="E930" s="451">
        <v>2</v>
      </c>
      <c r="F930" s="451">
        <v>2</v>
      </c>
      <c r="G930" s="451">
        <v>2</v>
      </c>
      <c r="H930" s="451">
        <v>2</v>
      </c>
      <c r="I930" s="451">
        <v>2</v>
      </c>
      <c r="J930" s="451">
        <v>2</v>
      </c>
      <c r="K930" s="451">
        <v>2</v>
      </c>
      <c r="L930" s="451">
        <v>2</v>
      </c>
      <c r="M930" s="451">
        <v>2</v>
      </c>
      <c r="N930" s="451">
        <v>2</v>
      </c>
      <c r="O930" s="451">
        <v>2</v>
      </c>
      <c r="P930" s="451">
        <v>2</v>
      </c>
      <c r="Q930" s="451">
        <v>2</v>
      </c>
      <c r="R930" s="451">
        <v>2</v>
      </c>
      <c r="S930" s="451">
        <v>2</v>
      </c>
      <c r="T930" s="451">
        <v>2</v>
      </c>
      <c r="U930" s="451">
        <v>2</v>
      </c>
      <c r="V930" s="451">
        <v>2</v>
      </c>
      <c r="W930" s="451">
        <v>2</v>
      </c>
      <c r="X930" s="451">
        <v>2</v>
      </c>
      <c r="Y930" s="451">
        <v>2</v>
      </c>
      <c r="Z930" s="451">
        <v>2</v>
      </c>
      <c r="AA930" s="451">
        <v>2</v>
      </c>
      <c r="AB930" s="451">
        <v>2</v>
      </c>
      <c r="AC930" s="451">
        <v>2</v>
      </c>
      <c r="AD930" s="451">
        <v>2</v>
      </c>
      <c r="AE930" s="464">
        <v>9</v>
      </c>
      <c r="AF930" s="438">
        <v>9</v>
      </c>
    </row>
    <row r="931" spans="1:34">
      <c r="A931" s="451">
        <v>10</v>
      </c>
      <c r="B931" s="438">
        <v>10</v>
      </c>
      <c r="C931" s="438">
        <v>2</v>
      </c>
      <c r="D931" s="451">
        <v>3</v>
      </c>
      <c r="E931" s="458">
        <v>3</v>
      </c>
      <c r="F931" s="458">
        <v>3</v>
      </c>
      <c r="G931" s="458">
        <v>3</v>
      </c>
      <c r="H931" s="458">
        <v>3</v>
      </c>
      <c r="I931" s="458">
        <v>3</v>
      </c>
      <c r="J931" s="458">
        <v>3</v>
      </c>
      <c r="K931" s="458">
        <v>3</v>
      </c>
      <c r="L931" s="458">
        <v>3</v>
      </c>
      <c r="M931" s="458">
        <v>3</v>
      </c>
      <c r="N931" s="458">
        <v>3</v>
      </c>
      <c r="O931" s="458">
        <v>3</v>
      </c>
      <c r="P931" s="458">
        <v>3</v>
      </c>
      <c r="Q931" s="458">
        <v>3</v>
      </c>
      <c r="R931" s="458">
        <v>3</v>
      </c>
      <c r="S931" s="458">
        <v>3</v>
      </c>
      <c r="T931" s="458">
        <v>3</v>
      </c>
      <c r="U931" s="458">
        <v>3</v>
      </c>
      <c r="V931" s="458">
        <v>3</v>
      </c>
      <c r="W931" s="458">
        <v>3</v>
      </c>
      <c r="X931" s="458">
        <v>3</v>
      </c>
      <c r="Y931" s="458">
        <v>3</v>
      </c>
      <c r="Z931" s="458">
        <v>3</v>
      </c>
      <c r="AA931" s="458">
        <v>3</v>
      </c>
      <c r="AB931" s="445">
        <v>3</v>
      </c>
      <c r="AC931" s="438">
        <v>3</v>
      </c>
      <c r="AD931" s="451">
        <v>2</v>
      </c>
      <c r="AE931" s="451">
        <v>10</v>
      </c>
      <c r="AF931" s="438">
        <v>10</v>
      </c>
    </row>
    <row r="932" spans="1:34">
      <c r="A932" s="426">
        <v>11.09</v>
      </c>
      <c r="B932" s="422">
        <v>11.09</v>
      </c>
      <c r="C932" s="438">
        <v>2</v>
      </c>
      <c r="D932" s="451">
        <v>3</v>
      </c>
      <c r="E932" s="431">
        <v>3</v>
      </c>
      <c r="F932" s="431">
        <v>3</v>
      </c>
      <c r="G932" s="431">
        <v>3</v>
      </c>
      <c r="H932" s="431">
        <v>3</v>
      </c>
      <c r="I932" s="431">
        <v>3</v>
      </c>
      <c r="J932" s="431">
        <v>3</v>
      </c>
      <c r="K932" s="431">
        <v>3</v>
      </c>
      <c r="L932" s="431">
        <v>3</v>
      </c>
      <c r="M932" s="431">
        <v>3</v>
      </c>
      <c r="N932" s="431">
        <v>3</v>
      </c>
      <c r="O932" s="431">
        <v>3</v>
      </c>
      <c r="P932" s="431">
        <v>3</v>
      </c>
      <c r="Q932" s="431">
        <v>3</v>
      </c>
      <c r="R932" s="431">
        <v>3</v>
      </c>
      <c r="S932" s="431">
        <v>3</v>
      </c>
      <c r="T932" s="431">
        <v>3</v>
      </c>
      <c r="U932" s="431">
        <v>3</v>
      </c>
      <c r="V932" s="431">
        <v>3</v>
      </c>
      <c r="W932" s="431">
        <v>3</v>
      </c>
      <c r="X932" s="431">
        <v>3</v>
      </c>
      <c r="Y932" s="431">
        <v>3</v>
      </c>
      <c r="Z932" s="431">
        <v>3</v>
      </c>
      <c r="AA932" s="431">
        <v>3</v>
      </c>
      <c r="AB932" s="438">
        <v>3</v>
      </c>
      <c r="AC932" s="431">
        <v>3</v>
      </c>
      <c r="AD932" s="451">
        <v>2</v>
      </c>
      <c r="AE932" s="426">
        <v>11.09</v>
      </c>
      <c r="AF932" s="422">
        <v>11.09</v>
      </c>
    </row>
    <row r="933" spans="1:34">
      <c r="A933" s="426">
        <v>11.09</v>
      </c>
      <c r="B933" s="422">
        <v>11.09</v>
      </c>
      <c r="C933" s="451">
        <v>2</v>
      </c>
      <c r="D933" s="451">
        <v>3</v>
      </c>
      <c r="E933" s="431">
        <v>3</v>
      </c>
      <c r="F933" s="445">
        <v>2</v>
      </c>
      <c r="G933" s="445">
        <v>2</v>
      </c>
      <c r="H933" s="445">
        <v>2</v>
      </c>
      <c r="I933" s="445">
        <v>2</v>
      </c>
      <c r="J933" s="445">
        <v>2</v>
      </c>
      <c r="K933" s="445">
        <v>2</v>
      </c>
      <c r="L933" s="445">
        <v>2</v>
      </c>
      <c r="M933" s="445">
        <v>2</v>
      </c>
      <c r="N933" s="445">
        <v>2</v>
      </c>
      <c r="O933" s="445">
        <v>2</v>
      </c>
      <c r="P933" s="445">
        <v>2</v>
      </c>
      <c r="Q933" s="445">
        <v>2</v>
      </c>
      <c r="R933" s="445">
        <v>2</v>
      </c>
      <c r="S933" s="445">
        <v>2</v>
      </c>
      <c r="T933" s="445">
        <v>2</v>
      </c>
      <c r="U933" s="445">
        <v>2</v>
      </c>
      <c r="V933" s="445">
        <v>2</v>
      </c>
      <c r="W933" s="445">
        <v>2</v>
      </c>
      <c r="X933" s="445">
        <v>2</v>
      </c>
      <c r="Y933" s="445">
        <v>2</v>
      </c>
      <c r="Z933" s="445">
        <v>2</v>
      </c>
      <c r="AA933" s="445">
        <v>2</v>
      </c>
      <c r="AB933" s="458">
        <v>3</v>
      </c>
      <c r="AC933" s="431">
        <v>3</v>
      </c>
      <c r="AD933" s="445">
        <v>2</v>
      </c>
      <c r="AE933" s="426">
        <v>11.09</v>
      </c>
      <c r="AF933" s="422">
        <v>11.09</v>
      </c>
    </row>
    <row r="934" spans="1:34">
      <c r="A934" s="426">
        <v>11.09</v>
      </c>
      <c r="B934" s="422">
        <v>11.09</v>
      </c>
      <c r="C934" s="451">
        <v>2</v>
      </c>
      <c r="D934" s="458">
        <v>3</v>
      </c>
      <c r="E934" s="431">
        <v>3</v>
      </c>
      <c r="F934" s="445">
        <v>2</v>
      </c>
      <c r="G934" s="464">
        <v>2</v>
      </c>
      <c r="H934" s="464">
        <v>2</v>
      </c>
      <c r="I934" s="445">
        <v>2</v>
      </c>
      <c r="J934" s="464">
        <v>2</v>
      </c>
      <c r="K934" s="464">
        <v>2</v>
      </c>
      <c r="L934" s="445">
        <v>2</v>
      </c>
      <c r="M934" s="445">
        <v>2</v>
      </c>
      <c r="N934" s="464">
        <v>2</v>
      </c>
      <c r="O934" s="451">
        <v>2</v>
      </c>
      <c r="P934" s="445">
        <v>2</v>
      </c>
      <c r="Q934" s="464">
        <v>2</v>
      </c>
      <c r="R934" s="445">
        <v>2</v>
      </c>
      <c r="S934" s="464">
        <v>2</v>
      </c>
      <c r="T934" s="464">
        <v>2</v>
      </c>
      <c r="U934" s="458">
        <v>2</v>
      </c>
      <c r="V934" s="451">
        <v>2</v>
      </c>
      <c r="W934" s="464">
        <v>2</v>
      </c>
      <c r="X934" s="451">
        <v>2</v>
      </c>
      <c r="Y934" s="464">
        <v>2</v>
      </c>
      <c r="Z934" s="464">
        <v>2</v>
      </c>
      <c r="AA934" s="464">
        <v>2</v>
      </c>
      <c r="AB934" s="458">
        <v>3</v>
      </c>
      <c r="AC934" s="431">
        <v>3</v>
      </c>
      <c r="AD934" s="445">
        <v>2</v>
      </c>
      <c r="AE934" s="426">
        <v>11.09</v>
      </c>
      <c r="AF934" s="422">
        <v>11.09</v>
      </c>
    </row>
    <row r="935" spans="1:34">
      <c r="A935" s="426">
        <v>11.09</v>
      </c>
      <c r="B935" s="422">
        <v>11.09</v>
      </c>
      <c r="C935" s="451">
        <v>2</v>
      </c>
      <c r="D935" s="458">
        <v>3</v>
      </c>
      <c r="E935" s="431">
        <v>3</v>
      </c>
      <c r="F935" s="445">
        <v>2</v>
      </c>
      <c r="G935" s="464">
        <v>2</v>
      </c>
      <c r="H935" s="445">
        <v>2</v>
      </c>
      <c r="I935" s="458">
        <v>2</v>
      </c>
      <c r="J935" s="464">
        <v>2</v>
      </c>
      <c r="K935" s="445">
        <v>2</v>
      </c>
      <c r="L935" s="458">
        <v>2</v>
      </c>
      <c r="M935" s="464">
        <v>2</v>
      </c>
      <c r="N935" s="445">
        <v>2</v>
      </c>
      <c r="O935" s="464">
        <v>2</v>
      </c>
      <c r="P935" s="445">
        <v>2</v>
      </c>
      <c r="Q935" s="464">
        <v>2</v>
      </c>
      <c r="R935" s="445">
        <v>2</v>
      </c>
      <c r="S935" s="464">
        <v>2</v>
      </c>
      <c r="T935" s="445">
        <v>2</v>
      </c>
      <c r="U935" s="445">
        <v>2</v>
      </c>
      <c r="V935" s="464">
        <v>2</v>
      </c>
      <c r="W935" s="445">
        <v>2</v>
      </c>
      <c r="X935" s="445">
        <v>2</v>
      </c>
      <c r="Y935" s="445">
        <v>2</v>
      </c>
      <c r="Z935" s="464">
        <v>2</v>
      </c>
      <c r="AA935" s="445">
        <v>2</v>
      </c>
      <c r="AB935" s="458">
        <v>3</v>
      </c>
      <c r="AC935" s="431">
        <v>3</v>
      </c>
      <c r="AD935" s="445">
        <v>2</v>
      </c>
      <c r="AE935" s="426">
        <v>11.09</v>
      </c>
      <c r="AF935" s="422">
        <v>11.09</v>
      </c>
    </row>
    <row r="936" spans="1:34">
      <c r="A936" s="426">
        <v>11.09</v>
      </c>
      <c r="B936" s="422">
        <v>11.09</v>
      </c>
      <c r="C936" s="451">
        <v>2</v>
      </c>
      <c r="D936" s="458">
        <v>3</v>
      </c>
      <c r="E936" s="431">
        <v>3</v>
      </c>
      <c r="F936" s="445">
        <v>2</v>
      </c>
      <c r="G936" s="464">
        <v>2</v>
      </c>
      <c r="H936" s="445">
        <v>2</v>
      </c>
      <c r="I936" s="458">
        <v>2</v>
      </c>
      <c r="J936" s="464">
        <v>2</v>
      </c>
      <c r="K936" s="445">
        <v>2</v>
      </c>
      <c r="L936" s="458">
        <v>2</v>
      </c>
      <c r="M936" s="464">
        <v>2</v>
      </c>
      <c r="N936" s="445">
        <v>2</v>
      </c>
      <c r="O936" s="464">
        <v>2</v>
      </c>
      <c r="P936" s="445">
        <v>2</v>
      </c>
      <c r="Q936" s="464">
        <v>2</v>
      </c>
      <c r="R936" s="445">
        <v>2</v>
      </c>
      <c r="S936" s="464">
        <v>2</v>
      </c>
      <c r="T936" s="464">
        <v>2</v>
      </c>
      <c r="U936" s="445">
        <v>2</v>
      </c>
      <c r="V936" s="464">
        <v>2</v>
      </c>
      <c r="W936" s="445">
        <v>2</v>
      </c>
      <c r="X936" s="445">
        <v>2</v>
      </c>
      <c r="Y936" s="445">
        <v>2</v>
      </c>
      <c r="Z936" s="464">
        <v>2</v>
      </c>
      <c r="AA936" s="445">
        <v>2</v>
      </c>
      <c r="AB936" s="458">
        <v>3</v>
      </c>
      <c r="AC936" s="431">
        <v>3</v>
      </c>
      <c r="AD936" s="445">
        <v>2</v>
      </c>
      <c r="AE936" s="426">
        <v>11.09</v>
      </c>
      <c r="AF936" s="422">
        <v>11.09</v>
      </c>
    </row>
    <row r="937" spans="1:34">
      <c r="A937" s="426">
        <v>11.09</v>
      </c>
      <c r="B937" s="422">
        <v>11.09</v>
      </c>
      <c r="C937" s="451">
        <v>2</v>
      </c>
      <c r="D937" s="458">
        <v>3</v>
      </c>
      <c r="E937" s="431">
        <v>3</v>
      </c>
      <c r="F937" s="445">
        <v>2</v>
      </c>
      <c r="G937" s="464">
        <v>2</v>
      </c>
      <c r="H937" s="464">
        <v>2</v>
      </c>
      <c r="I937" s="445">
        <v>2</v>
      </c>
      <c r="J937" s="464">
        <v>2</v>
      </c>
      <c r="K937" s="464">
        <v>2</v>
      </c>
      <c r="L937" s="445">
        <v>2</v>
      </c>
      <c r="M937" s="464">
        <v>2</v>
      </c>
      <c r="N937" s="445">
        <v>2</v>
      </c>
      <c r="O937" s="464">
        <v>2</v>
      </c>
      <c r="P937" s="445">
        <v>2</v>
      </c>
      <c r="Q937" s="464">
        <v>2</v>
      </c>
      <c r="R937" s="445">
        <v>2</v>
      </c>
      <c r="S937" s="464">
        <v>2</v>
      </c>
      <c r="T937" s="445">
        <v>2</v>
      </c>
      <c r="U937" s="451">
        <v>2</v>
      </c>
      <c r="V937" s="464">
        <v>2</v>
      </c>
      <c r="W937" s="445">
        <v>2</v>
      </c>
      <c r="X937" s="445">
        <v>2</v>
      </c>
      <c r="Y937" s="445">
        <v>2</v>
      </c>
      <c r="Z937" s="464">
        <v>2</v>
      </c>
      <c r="AA937" s="445">
        <v>2</v>
      </c>
      <c r="AB937" s="458">
        <v>3</v>
      </c>
      <c r="AC937" s="431">
        <v>3</v>
      </c>
      <c r="AD937" s="445">
        <v>2</v>
      </c>
      <c r="AE937" s="426">
        <v>11.09</v>
      </c>
      <c r="AF937" s="422">
        <v>11.09</v>
      </c>
    </row>
    <row r="938" spans="1:34">
      <c r="A938" s="426">
        <v>11.09</v>
      </c>
      <c r="B938" s="422">
        <v>11.09</v>
      </c>
      <c r="C938" s="451">
        <v>2</v>
      </c>
      <c r="D938" s="458">
        <v>3</v>
      </c>
      <c r="E938" s="431">
        <v>3</v>
      </c>
      <c r="F938" s="445">
        <v>2</v>
      </c>
      <c r="G938" s="464">
        <v>2</v>
      </c>
      <c r="H938" s="445">
        <v>2</v>
      </c>
      <c r="I938" s="445">
        <v>2</v>
      </c>
      <c r="J938" s="464">
        <v>2</v>
      </c>
      <c r="K938" s="445">
        <v>2</v>
      </c>
      <c r="L938" s="464">
        <v>2</v>
      </c>
      <c r="M938" s="451">
        <v>2</v>
      </c>
      <c r="N938" s="464">
        <v>2</v>
      </c>
      <c r="O938" s="445">
        <v>2</v>
      </c>
      <c r="P938" s="464">
        <v>2</v>
      </c>
      <c r="Q938" s="451">
        <v>2</v>
      </c>
      <c r="R938" s="445">
        <v>2</v>
      </c>
      <c r="S938" s="464">
        <v>2</v>
      </c>
      <c r="T938" s="464">
        <v>2</v>
      </c>
      <c r="U938" s="458">
        <v>2</v>
      </c>
      <c r="V938" s="451">
        <v>2</v>
      </c>
      <c r="W938" s="464">
        <v>2</v>
      </c>
      <c r="X938" s="451">
        <v>2</v>
      </c>
      <c r="Y938" s="445">
        <v>2</v>
      </c>
      <c r="Z938" s="464">
        <v>2</v>
      </c>
      <c r="AA938" s="445">
        <v>2</v>
      </c>
      <c r="AB938" s="458">
        <v>3</v>
      </c>
      <c r="AC938" s="431">
        <v>3</v>
      </c>
      <c r="AD938" s="445">
        <v>2</v>
      </c>
      <c r="AE938" s="426">
        <v>11.09</v>
      </c>
      <c r="AF938" s="422">
        <v>11.09</v>
      </c>
    </row>
    <row r="939" spans="1:34">
      <c r="A939" s="426">
        <v>11.09</v>
      </c>
      <c r="B939" s="422">
        <v>11.09</v>
      </c>
      <c r="C939" s="451">
        <v>2</v>
      </c>
      <c r="D939" s="458">
        <v>3</v>
      </c>
      <c r="E939" s="431">
        <v>3</v>
      </c>
      <c r="F939" s="445">
        <v>2</v>
      </c>
      <c r="G939" s="445">
        <v>2</v>
      </c>
      <c r="H939" s="445">
        <v>2</v>
      </c>
      <c r="I939" s="445">
        <v>2</v>
      </c>
      <c r="J939" s="445">
        <v>2</v>
      </c>
      <c r="K939" s="445">
        <v>2</v>
      </c>
      <c r="L939" s="445">
        <v>2</v>
      </c>
      <c r="M939" s="445">
        <v>2</v>
      </c>
      <c r="N939" s="445">
        <v>2</v>
      </c>
      <c r="O939" s="445">
        <v>2</v>
      </c>
      <c r="P939" s="445">
        <v>2</v>
      </c>
      <c r="Q939" s="445">
        <v>2</v>
      </c>
      <c r="R939" s="445">
        <v>2</v>
      </c>
      <c r="S939" s="445">
        <v>2</v>
      </c>
      <c r="T939" s="445">
        <v>2</v>
      </c>
      <c r="U939" s="445">
        <v>2</v>
      </c>
      <c r="V939" s="445">
        <v>2</v>
      </c>
      <c r="W939" s="445">
        <v>2</v>
      </c>
      <c r="X939" s="445">
        <v>2</v>
      </c>
      <c r="Y939" s="445">
        <v>2</v>
      </c>
      <c r="Z939" s="445">
        <v>2</v>
      </c>
      <c r="AA939" s="445">
        <v>2</v>
      </c>
      <c r="AB939" s="458">
        <v>3</v>
      </c>
      <c r="AC939" s="431">
        <v>3</v>
      </c>
      <c r="AD939" s="445">
        <v>2</v>
      </c>
      <c r="AE939" s="426">
        <v>11.09</v>
      </c>
      <c r="AF939" s="422">
        <v>11.09</v>
      </c>
    </row>
    <row r="940" spans="1:34">
      <c r="A940" s="426">
        <v>11.09</v>
      </c>
      <c r="B940" s="422">
        <v>11.09</v>
      </c>
      <c r="C940" s="451">
        <v>2</v>
      </c>
      <c r="D940" s="458">
        <v>3</v>
      </c>
      <c r="E940" s="431">
        <v>3</v>
      </c>
      <c r="F940" s="445">
        <v>2</v>
      </c>
      <c r="G940" s="451">
        <v>2</v>
      </c>
      <c r="H940" s="451">
        <v>2</v>
      </c>
      <c r="I940" s="451">
        <v>2</v>
      </c>
      <c r="J940" s="451">
        <v>2</v>
      </c>
      <c r="K940" s="451">
        <v>2</v>
      </c>
      <c r="L940" s="451">
        <v>2</v>
      </c>
      <c r="M940" s="464">
        <v>3</v>
      </c>
      <c r="N940" s="464">
        <v>3</v>
      </c>
      <c r="O940" s="464">
        <v>3</v>
      </c>
      <c r="P940" s="464">
        <v>3</v>
      </c>
      <c r="Q940" s="464">
        <v>3</v>
      </c>
      <c r="R940" s="464">
        <v>3</v>
      </c>
      <c r="S940" s="464">
        <v>3</v>
      </c>
      <c r="T940" s="464">
        <v>3</v>
      </c>
      <c r="U940" s="464">
        <v>3</v>
      </c>
      <c r="V940" s="445">
        <v>3</v>
      </c>
      <c r="W940" s="451">
        <v>2</v>
      </c>
      <c r="X940" s="451">
        <v>2</v>
      </c>
      <c r="Y940" s="451">
        <v>2</v>
      </c>
      <c r="Z940" s="451">
        <v>2</v>
      </c>
      <c r="AA940" s="451">
        <v>2</v>
      </c>
      <c r="AB940" s="458">
        <v>3</v>
      </c>
      <c r="AC940" s="431">
        <v>3</v>
      </c>
      <c r="AD940" s="445">
        <v>2</v>
      </c>
      <c r="AE940" s="426">
        <v>11.09</v>
      </c>
      <c r="AF940" s="422">
        <v>11.09</v>
      </c>
    </row>
    <row r="941" spans="1:34">
      <c r="AH941">
        <v>940</v>
      </c>
    </row>
    <row r="942" spans="1:34">
      <c r="A942" s="426">
        <v>11.09</v>
      </c>
      <c r="B942" s="422">
        <v>11.09</v>
      </c>
      <c r="C942" s="451">
        <v>2</v>
      </c>
      <c r="D942" s="451">
        <v>3</v>
      </c>
      <c r="E942" s="438">
        <v>3</v>
      </c>
      <c r="F942" s="445">
        <v>2</v>
      </c>
      <c r="G942" s="451">
        <v>2</v>
      </c>
      <c r="H942" s="451">
        <v>2</v>
      </c>
      <c r="I942" s="451">
        <v>2</v>
      </c>
      <c r="J942" s="451">
        <v>2</v>
      </c>
      <c r="K942" s="451">
        <v>2</v>
      </c>
      <c r="L942" s="451">
        <v>2</v>
      </c>
      <c r="M942" s="445">
        <v>3</v>
      </c>
      <c r="N942" s="445">
        <v>3</v>
      </c>
      <c r="O942" s="445">
        <v>3</v>
      </c>
      <c r="P942" s="445">
        <v>3</v>
      </c>
      <c r="Q942" s="445">
        <v>3</v>
      </c>
      <c r="R942" s="445">
        <v>3</v>
      </c>
      <c r="S942" s="445">
        <v>3</v>
      </c>
      <c r="T942" s="464">
        <v>3</v>
      </c>
      <c r="U942" s="464">
        <v>3</v>
      </c>
      <c r="V942" s="445">
        <v>3</v>
      </c>
      <c r="W942" s="451">
        <v>2</v>
      </c>
      <c r="X942" s="451">
        <v>2</v>
      </c>
      <c r="Y942" s="451">
        <v>2</v>
      </c>
      <c r="Z942" s="451">
        <v>2</v>
      </c>
      <c r="AA942" s="451">
        <v>2</v>
      </c>
      <c r="AB942" s="451">
        <v>3</v>
      </c>
      <c r="AC942" s="438">
        <v>3</v>
      </c>
      <c r="AD942" s="445">
        <v>2</v>
      </c>
      <c r="AE942" s="426">
        <v>11.09</v>
      </c>
      <c r="AF942" s="422">
        <v>11.09</v>
      </c>
    </row>
    <row r="943" spans="1:34">
      <c r="A943" s="464">
        <v>10</v>
      </c>
      <c r="B943" s="438">
        <v>10</v>
      </c>
      <c r="C943" s="451">
        <v>2</v>
      </c>
      <c r="D943" s="451">
        <v>2</v>
      </c>
      <c r="E943" s="445">
        <v>3</v>
      </c>
      <c r="F943" s="445">
        <v>2</v>
      </c>
      <c r="G943" s="451">
        <v>2</v>
      </c>
      <c r="H943" s="451">
        <v>2</v>
      </c>
      <c r="I943" s="451">
        <v>2</v>
      </c>
      <c r="J943" s="451">
        <v>2</v>
      </c>
      <c r="K943" s="451">
        <v>2</v>
      </c>
      <c r="L943" s="451">
        <v>2</v>
      </c>
      <c r="M943" s="451">
        <v>2</v>
      </c>
      <c r="N943" s="451">
        <v>2</v>
      </c>
      <c r="O943" s="451">
        <v>2</v>
      </c>
      <c r="P943" s="451">
        <v>2</v>
      </c>
      <c r="Q943" s="451">
        <v>2</v>
      </c>
      <c r="R943" s="451">
        <v>2</v>
      </c>
      <c r="S943" s="451">
        <v>2</v>
      </c>
      <c r="T943" s="464">
        <v>3</v>
      </c>
      <c r="U943" s="464">
        <v>3</v>
      </c>
      <c r="V943" s="445">
        <v>3</v>
      </c>
      <c r="W943" s="451">
        <v>2</v>
      </c>
      <c r="X943" s="451">
        <v>2</v>
      </c>
      <c r="Y943" s="451">
        <v>2</v>
      </c>
      <c r="Z943" s="451">
        <v>2</v>
      </c>
      <c r="AA943" s="451">
        <v>2</v>
      </c>
      <c r="AB943" s="451">
        <v>2</v>
      </c>
      <c r="AC943" s="445">
        <v>2</v>
      </c>
      <c r="AD943" s="445">
        <v>2</v>
      </c>
      <c r="AE943" s="464">
        <v>10</v>
      </c>
      <c r="AF943" s="438">
        <v>10</v>
      </c>
    </row>
    <row r="944" spans="1:34">
      <c r="A944" s="451">
        <v>9</v>
      </c>
      <c r="B944" s="438">
        <v>9</v>
      </c>
      <c r="C944" s="438">
        <v>2</v>
      </c>
      <c r="D944" s="451">
        <v>2</v>
      </c>
      <c r="E944" s="451">
        <v>2</v>
      </c>
      <c r="F944" s="445">
        <v>2</v>
      </c>
      <c r="G944" s="444">
        <v>2</v>
      </c>
      <c r="H944" s="444">
        <v>2</v>
      </c>
      <c r="I944" s="444">
        <v>2</v>
      </c>
      <c r="J944" s="444">
        <v>2</v>
      </c>
      <c r="K944" s="444">
        <v>2</v>
      </c>
      <c r="L944" s="451">
        <v>2</v>
      </c>
      <c r="M944" s="451">
        <v>2</v>
      </c>
      <c r="N944" s="451">
        <v>2</v>
      </c>
      <c r="O944" s="451">
        <v>2</v>
      </c>
      <c r="P944" s="451">
        <v>2</v>
      </c>
      <c r="Q944" s="451">
        <v>2</v>
      </c>
      <c r="R944" s="451">
        <v>2</v>
      </c>
      <c r="S944" s="464">
        <v>3</v>
      </c>
      <c r="T944" s="464">
        <v>3</v>
      </c>
      <c r="U944" s="445">
        <v>3</v>
      </c>
      <c r="V944" s="451">
        <v>2</v>
      </c>
      <c r="W944" s="444">
        <v>2</v>
      </c>
      <c r="X944" s="444">
        <v>2</v>
      </c>
      <c r="Y944" s="444">
        <v>2</v>
      </c>
      <c r="Z944" s="444">
        <v>2</v>
      </c>
      <c r="AA944" s="444">
        <v>2</v>
      </c>
      <c r="AB944" s="451">
        <v>2</v>
      </c>
      <c r="AC944" s="451">
        <v>2</v>
      </c>
      <c r="AD944" s="451">
        <v>2</v>
      </c>
      <c r="AE944" s="451">
        <v>10</v>
      </c>
      <c r="AF944" s="451">
        <v>10</v>
      </c>
    </row>
    <row r="945" spans="1:34">
      <c r="A945" s="464">
        <v>9</v>
      </c>
      <c r="B945" s="438">
        <v>9</v>
      </c>
      <c r="C945" s="438">
        <v>2</v>
      </c>
      <c r="D945" s="451">
        <v>2</v>
      </c>
      <c r="E945" s="451">
        <v>2</v>
      </c>
      <c r="F945" s="451">
        <v>2</v>
      </c>
      <c r="G945" s="444">
        <v>2</v>
      </c>
      <c r="H945" s="436">
        <v>2</v>
      </c>
      <c r="I945" s="436">
        <v>2</v>
      </c>
      <c r="J945" s="436">
        <v>2</v>
      </c>
      <c r="K945" s="436">
        <v>2</v>
      </c>
      <c r="L945" s="444">
        <v>2</v>
      </c>
      <c r="M945" s="451">
        <v>2</v>
      </c>
      <c r="N945" s="451">
        <v>2</v>
      </c>
      <c r="O945" s="451">
        <v>2</v>
      </c>
      <c r="P945" s="451">
        <v>2</v>
      </c>
      <c r="Q945" s="451">
        <v>2</v>
      </c>
      <c r="R945" s="464">
        <v>3</v>
      </c>
      <c r="S945" s="464">
        <v>3</v>
      </c>
      <c r="T945" s="445">
        <v>3</v>
      </c>
      <c r="U945" s="451">
        <v>2</v>
      </c>
      <c r="V945" s="444">
        <v>2</v>
      </c>
      <c r="W945" s="436">
        <v>2</v>
      </c>
      <c r="X945" s="436">
        <v>2</v>
      </c>
      <c r="Y945" s="436">
        <v>2</v>
      </c>
      <c r="Z945" s="436">
        <v>2</v>
      </c>
      <c r="AA945" s="430">
        <v>2</v>
      </c>
      <c r="AB945" s="451">
        <v>2</v>
      </c>
      <c r="AC945" s="451">
        <v>2</v>
      </c>
      <c r="AD945" s="451">
        <v>2</v>
      </c>
      <c r="AE945" s="464">
        <v>10</v>
      </c>
      <c r="AF945" s="438">
        <v>10</v>
      </c>
    </row>
    <row r="946" spans="1:34">
      <c r="A946" s="451">
        <v>10</v>
      </c>
      <c r="B946" s="438">
        <v>10</v>
      </c>
      <c r="C946" s="438">
        <v>2</v>
      </c>
      <c r="D946" s="451">
        <v>2</v>
      </c>
      <c r="E946" s="445">
        <v>3</v>
      </c>
      <c r="F946" s="451">
        <v>2</v>
      </c>
      <c r="G946" s="444">
        <v>2</v>
      </c>
      <c r="H946" s="429">
        <v>2</v>
      </c>
      <c r="I946" s="429">
        <v>2</v>
      </c>
      <c r="J946" s="429">
        <v>2</v>
      </c>
      <c r="K946" s="429">
        <v>2</v>
      </c>
      <c r="L946" s="429">
        <v>2</v>
      </c>
      <c r="M946" s="444">
        <v>2</v>
      </c>
      <c r="N946" s="451">
        <v>2</v>
      </c>
      <c r="O946" s="451">
        <v>2</v>
      </c>
      <c r="P946" s="451">
        <v>2</v>
      </c>
      <c r="Q946" s="464">
        <v>3</v>
      </c>
      <c r="R946" s="464">
        <v>3</v>
      </c>
      <c r="S946" s="445">
        <v>3</v>
      </c>
      <c r="T946" s="451">
        <v>2</v>
      </c>
      <c r="U946" s="444">
        <v>2</v>
      </c>
      <c r="V946" s="429">
        <v>2</v>
      </c>
      <c r="W946" s="429">
        <v>2</v>
      </c>
      <c r="X946" s="429">
        <v>2</v>
      </c>
      <c r="Y946" s="429">
        <v>2</v>
      </c>
      <c r="Z946" s="429">
        <v>2</v>
      </c>
      <c r="AA946" s="430">
        <v>2</v>
      </c>
      <c r="AB946" s="451">
        <v>2</v>
      </c>
      <c r="AC946" s="445">
        <v>3</v>
      </c>
      <c r="AD946" s="451">
        <v>2</v>
      </c>
      <c r="AE946" s="451">
        <v>10</v>
      </c>
      <c r="AF946" s="438">
        <v>10</v>
      </c>
    </row>
    <row r="947" spans="1:34">
      <c r="A947" s="426">
        <v>11.09</v>
      </c>
      <c r="B947" s="422">
        <v>11.09</v>
      </c>
      <c r="C947" s="438">
        <v>2</v>
      </c>
      <c r="D947" s="451">
        <v>3</v>
      </c>
      <c r="E947" s="438">
        <v>3</v>
      </c>
      <c r="F947" s="451">
        <v>2</v>
      </c>
      <c r="G947" s="444">
        <v>2</v>
      </c>
      <c r="H947" s="436">
        <v>2</v>
      </c>
      <c r="I947" s="436">
        <v>2</v>
      </c>
      <c r="J947" s="436">
        <v>2</v>
      </c>
      <c r="K947" s="436">
        <v>2</v>
      </c>
      <c r="L947" s="436">
        <v>2</v>
      </c>
      <c r="M947" s="430">
        <v>2</v>
      </c>
      <c r="N947" s="451">
        <v>2</v>
      </c>
      <c r="O947" s="451">
        <v>2</v>
      </c>
      <c r="P947" s="464">
        <v>3</v>
      </c>
      <c r="Q947" s="464">
        <v>3</v>
      </c>
      <c r="R947" s="445">
        <v>3</v>
      </c>
      <c r="S947" s="451">
        <v>2</v>
      </c>
      <c r="T947" s="451">
        <v>2</v>
      </c>
      <c r="U947" s="444">
        <v>2</v>
      </c>
      <c r="V947" s="436">
        <v>2</v>
      </c>
      <c r="W947" s="436">
        <v>2</v>
      </c>
      <c r="X947" s="436">
        <v>2</v>
      </c>
      <c r="Y947" s="436">
        <v>2</v>
      </c>
      <c r="Z947" s="436">
        <v>2</v>
      </c>
      <c r="AA947" s="430">
        <v>2</v>
      </c>
      <c r="AB947" s="451">
        <v>3</v>
      </c>
      <c r="AC947" s="438">
        <v>3</v>
      </c>
      <c r="AD947" s="451">
        <v>2</v>
      </c>
      <c r="AE947" s="426">
        <v>11.09</v>
      </c>
      <c r="AF947" s="422">
        <v>11.09</v>
      </c>
    </row>
    <row r="948" spans="1:34">
      <c r="A948" s="426">
        <v>11.09</v>
      </c>
      <c r="B948" s="422">
        <v>11.09</v>
      </c>
      <c r="C948" s="451">
        <v>2</v>
      </c>
      <c r="D948" s="458">
        <v>3</v>
      </c>
      <c r="E948" s="431">
        <v>3</v>
      </c>
      <c r="F948" s="445">
        <v>2</v>
      </c>
      <c r="G948" s="444">
        <v>2</v>
      </c>
      <c r="H948" s="429">
        <v>2</v>
      </c>
      <c r="I948" s="429">
        <v>2</v>
      </c>
      <c r="J948" s="429">
        <v>2</v>
      </c>
      <c r="K948" s="429">
        <v>2</v>
      </c>
      <c r="L948" s="429">
        <v>2</v>
      </c>
      <c r="M948" s="429">
        <v>2</v>
      </c>
      <c r="N948" s="430">
        <v>2</v>
      </c>
      <c r="O948" s="451">
        <v>2</v>
      </c>
      <c r="P948" s="464">
        <v>3</v>
      </c>
      <c r="Q948" s="464">
        <v>3</v>
      </c>
      <c r="R948" s="445">
        <v>3</v>
      </c>
      <c r="S948" s="451">
        <v>2</v>
      </c>
      <c r="T948" s="444">
        <v>2</v>
      </c>
      <c r="U948" s="429">
        <v>2</v>
      </c>
      <c r="V948" s="429">
        <v>2</v>
      </c>
      <c r="W948" s="429">
        <v>2</v>
      </c>
      <c r="X948" s="429">
        <v>2</v>
      </c>
      <c r="Y948" s="429">
        <v>2</v>
      </c>
      <c r="Z948" s="429">
        <v>2</v>
      </c>
      <c r="AA948" s="430">
        <v>2</v>
      </c>
      <c r="AB948" s="458">
        <v>3</v>
      </c>
      <c r="AC948" s="431">
        <v>3</v>
      </c>
      <c r="AD948" s="445">
        <v>2</v>
      </c>
      <c r="AE948" s="426">
        <v>11.09</v>
      </c>
      <c r="AF948" s="422">
        <v>11.09</v>
      </c>
    </row>
    <row r="949" spans="1:34">
      <c r="A949" s="426">
        <v>11.09</v>
      </c>
      <c r="B949" s="422">
        <v>11.09</v>
      </c>
      <c r="C949" s="451">
        <v>2</v>
      </c>
      <c r="D949" s="458">
        <v>3</v>
      </c>
      <c r="E949" s="431">
        <v>3</v>
      </c>
      <c r="F949" s="445">
        <v>2</v>
      </c>
      <c r="G949" s="444">
        <v>2</v>
      </c>
      <c r="H949" s="436">
        <v>2</v>
      </c>
      <c r="I949" s="436">
        <v>2</v>
      </c>
      <c r="J949" s="436">
        <v>2</v>
      </c>
      <c r="K949" s="436">
        <v>2</v>
      </c>
      <c r="L949" s="436">
        <v>2</v>
      </c>
      <c r="M949" s="436">
        <v>2</v>
      </c>
      <c r="N949" s="430">
        <v>2</v>
      </c>
      <c r="O949" s="451">
        <v>2</v>
      </c>
      <c r="P949" s="464">
        <v>3</v>
      </c>
      <c r="Q949" s="464">
        <v>3</v>
      </c>
      <c r="R949" s="445">
        <v>3</v>
      </c>
      <c r="S949" s="451">
        <v>2</v>
      </c>
      <c r="T949" s="444">
        <v>2</v>
      </c>
      <c r="U949" s="436">
        <v>2</v>
      </c>
      <c r="V949" s="436">
        <v>2</v>
      </c>
      <c r="W949" s="436">
        <v>2</v>
      </c>
      <c r="X949" s="436">
        <v>2</v>
      </c>
      <c r="Y949" s="436">
        <v>2</v>
      </c>
      <c r="Z949" s="436">
        <v>2</v>
      </c>
      <c r="AA949" s="430">
        <v>2</v>
      </c>
      <c r="AB949" s="458">
        <v>3</v>
      </c>
      <c r="AC949" s="431">
        <v>3</v>
      </c>
      <c r="AD949" s="445">
        <v>2</v>
      </c>
      <c r="AE949" s="426">
        <v>11.09</v>
      </c>
      <c r="AF949" s="422">
        <v>11.09</v>
      </c>
    </row>
    <row r="950" spans="1:34">
      <c r="AH950">
        <v>948</v>
      </c>
    </row>
    <row r="951" spans="1:34">
      <c r="AH951">
        <v>949</v>
      </c>
    </row>
    <row r="952" spans="1:34">
      <c r="AH952">
        <v>948</v>
      </c>
    </row>
    <row r="953" spans="1:34">
      <c r="AH953">
        <v>949</v>
      </c>
    </row>
    <row r="954" spans="1:34">
      <c r="A954" s="426">
        <v>11.09</v>
      </c>
      <c r="B954" s="422">
        <v>11.09</v>
      </c>
      <c r="C954" s="451">
        <v>2</v>
      </c>
      <c r="D954" s="458">
        <v>3</v>
      </c>
      <c r="E954" s="431">
        <v>3</v>
      </c>
      <c r="F954" s="445">
        <v>2</v>
      </c>
      <c r="G954" s="444">
        <v>2</v>
      </c>
      <c r="H954" s="430">
        <v>2</v>
      </c>
      <c r="I954" s="430">
        <v>2</v>
      </c>
      <c r="J954" s="430">
        <v>2</v>
      </c>
      <c r="K954" s="430">
        <v>2</v>
      </c>
      <c r="L954" s="430">
        <v>2</v>
      </c>
      <c r="M954" s="430">
        <v>2</v>
      </c>
      <c r="N954" s="430">
        <v>2</v>
      </c>
      <c r="O954" s="451">
        <v>2</v>
      </c>
      <c r="P954" s="451">
        <v>2</v>
      </c>
      <c r="Q954" s="451">
        <v>2</v>
      </c>
      <c r="R954" s="451">
        <v>2</v>
      </c>
      <c r="S954" s="451">
        <v>2</v>
      </c>
      <c r="T954" s="444">
        <v>2</v>
      </c>
      <c r="U954" s="430">
        <v>2</v>
      </c>
      <c r="V954" s="430">
        <v>2</v>
      </c>
      <c r="W954" s="430">
        <v>2</v>
      </c>
      <c r="X954" s="430">
        <v>2</v>
      </c>
      <c r="Y954" s="430">
        <v>2</v>
      </c>
      <c r="Z954" s="430">
        <v>2</v>
      </c>
      <c r="AA954" s="430">
        <v>2</v>
      </c>
      <c r="AB954" s="458">
        <v>3</v>
      </c>
      <c r="AC954" s="431">
        <v>3</v>
      </c>
      <c r="AD954" s="445">
        <v>2</v>
      </c>
      <c r="AE954" s="426">
        <v>11.09</v>
      </c>
      <c r="AF954" s="422">
        <v>11.09</v>
      </c>
    </row>
    <row r="955" spans="1:34">
      <c r="A955" s="426">
        <v>11.09</v>
      </c>
      <c r="B955" s="422">
        <v>11.09</v>
      </c>
      <c r="C955" s="451">
        <v>2</v>
      </c>
      <c r="D955" s="458">
        <v>3</v>
      </c>
      <c r="E955" s="431">
        <v>3</v>
      </c>
      <c r="F955" s="445">
        <v>2</v>
      </c>
      <c r="G955" s="451">
        <v>2</v>
      </c>
      <c r="H955" s="451">
        <v>2</v>
      </c>
      <c r="I955" s="451">
        <v>2</v>
      </c>
      <c r="J955" s="451">
        <v>2</v>
      </c>
      <c r="K955" s="451">
        <v>2</v>
      </c>
      <c r="L955" s="451">
        <v>2</v>
      </c>
      <c r="M955" s="451">
        <v>2</v>
      </c>
      <c r="N955" s="451">
        <v>2</v>
      </c>
      <c r="O955" s="451">
        <v>2</v>
      </c>
      <c r="P955" s="451">
        <v>2</v>
      </c>
      <c r="Q955" s="451">
        <v>2</v>
      </c>
      <c r="R955" s="451">
        <v>2</v>
      </c>
      <c r="S955" s="451">
        <v>2</v>
      </c>
      <c r="T955" s="451">
        <v>2</v>
      </c>
      <c r="U955" s="451">
        <v>2</v>
      </c>
      <c r="V955" s="451">
        <v>2</v>
      </c>
      <c r="W955" s="451">
        <v>2</v>
      </c>
      <c r="X955" s="451">
        <v>2</v>
      </c>
      <c r="Y955" s="451">
        <v>2</v>
      </c>
      <c r="Z955" s="451">
        <v>2</v>
      </c>
      <c r="AA955" s="451">
        <v>2</v>
      </c>
      <c r="AB955" s="458">
        <v>3</v>
      </c>
      <c r="AC955" s="431">
        <v>3</v>
      </c>
      <c r="AD955" s="445">
        <v>2</v>
      </c>
      <c r="AE955" s="426">
        <v>11.09</v>
      </c>
      <c r="AF955" s="422">
        <v>11.09</v>
      </c>
    </row>
    <row r="956" spans="1:34">
      <c r="AH956">
        <v>955</v>
      </c>
    </row>
    <row r="957" spans="1:34">
      <c r="A957" s="426">
        <v>11.09</v>
      </c>
      <c r="B957" s="422">
        <v>11.09</v>
      </c>
      <c r="C957" s="451">
        <v>2</v>
      </c>
      <c r="D957" s="445">
        <v>3</v>
      </c>
      <c r="E957" s="431">
        <v>3</v>
      </c>
      <c r="F957" s="445">
        <v>3</v>
      </c>
      <c r="G957" s="458">
        <v>3</v>
      </c>
      <c r="H957" s="458">
        <v>3</v>
      </c>
      <c r="I957" s="458">
        <v>3</v>
      </c>
      <c r="J957" s="458">
        <v>3</v>
      </c>
      <c r="K957" s="458">
        <v>3</v>
      </c>
      <c r="L957" s="458">
        <v>3</v>
      </c>
      <c r="M957" s="458">
        <v>3</v>
      </c>
      <c r="N957" s="458">
        <v>3</v>
      </c>
      <c r="O957" s="458">
        <v>3</v>
      </c>
      <c r="P957" s="458">
        <v>3</v>
      </c>
      <c r="Q957" s="458">
        <v>3</v>
      </c>
      <c r="R957" s="458">
        <v>3</v>
      </c>
      <c r="S957" s="458">
        <v>3</v>
      </c>
      <c r="T957" s="458">
        <v>3</v>
      </c>
      <c r="U957" s="458">
        <v>3</v>
      </c>
      <c r="V957" s="458">
        <v>3</v>
      </c>
      <c r="W957" s="458">
        <v>3</v>
      </c>
      <c r="X957" s="458">
        <v>3</v>
      </c>
      <c r="Y957" s="458">
        <v>3</v>
      </c>
      <c r="Z957" s="458">
        <v>3</v>
      </c>
      <c r="AA957" s="458">
        <v>3</v>
      </c>
      <c r="AB957" s="458">
        <v>3</v>
      </c>
      <c r="AC957" s="431">
        <v>3</v>
      </c>
      <c r="AD957" s="445">
        <v>2</v>
      </c>
      <c r="AE957" s="426">
        <v>11.09</v>
      </c>
      <c r="AF957" s="422">
        <v>11.09</v>
      </c>
    </row>
    <row r="958" spans="1:34">
      <c r="A958" s="464">
        <v>10</v>
      </c>
      <c r="B958" s="438">
        <v>10</v>
      </c>
      <c r="C958" s="451">
        <v>2</v>
      </c>
      <c r="D958" s="438">
        <v>3</v>
      </c>
      <c r="E958" s="431">
        <v>3</v>
      </c>
      <c r="F958" s="431">
        <v>3</v>
      </c>
      <c r="G958" s="431">
        <v>3</v>
      </c>
      <c r="H958" s="431">
        <v>3</v>
      </c>
      <c r="I958" s="431">
        <v>3</v>
      </c>
      <c r="J958" s="431">
        <v>3</v>
      </c>
      <c r="K958" s="431">
        <v>3</v>
      </c>
      <c r="L958" s="431">
        <v>3</v>
      </c>
      <c r="M958" s="431">
        <v>3</v>
      </c>
      <c r="N958" s="431">
        <v>3</v>
      </c>
      <c r="O958" s="431">
        <v>3</v>
      </c>
      <c r="P958" s="431">
        <v>3</v>
      </c>
      <c r="Q958" s="431">
        <v>3</v>
      </c>
      <c r="R958" s="431">
        <v>3</v>
      </c>
      <c r="S958" s="431">
        <v>3</v>
      </c>
      <c r="T958" s="431">
        <v>3</v>
      </c>
      <c r="U958" s="431">
        <v>3</v>
      </c>
      <c r="V958" s="431">
        <v>3</v>
      </c>
      <c r="W958" s="431">
        <v>3</v>
      </c>
      <c r="X958" s="431">
        <v>3</v>
      </c>
      <c r="Y958" s="431">
        <v>3</v>
      </c>
      <c r="Z958" s="431">
        <v>3</v>
      </c>
      <c r="AA958" s="431">
        <v>3</v>
      </c>
      <c r="AB958" s="431">
        <v>3</v>
      </c>
      <c r="AC958" s="431">
        <v>3</v>
      </c>
      <c r="AD958" s="445">
        <v>2</v>
      </c>
      <c r="AE958" s="464">
        <v>10</v>
      </c>
      <c r="AF958" s="438">
        <v>10</v>
      </c>
    </row>
    <row r="959" spans="1:34">
      <c r="A959" s="451">
        <v>9</v>
      </c>
      <c r="B959" s="438">
        <v>9</v>
      </c>
      <c r="C959" s="438">
        <v>2</v>
      </c>
      <c r="D959" s="451">
        <v>2</v>
      </c>
      <c r="E959" s="451">
        <v>2</v>
      </c>
      <c r="F959" s="451">
        <v>2</v>
      </c>
      <c r="G959" s="451">
        <v>2</v>
      </c>
      <c r="H959" s="451">
        <v>2</v>
      </c>
      <c r="I959" s="451">
        <v>2</v>
      </c>
      <c r="J959" s="451">
        <v>2</v>
      </c>
      <c r="K959" s="451">
        <v>2</v>
      </c>
      <c r="L959" s="451">
        <v>2</v>
      </c>
      <c r="M959" s="451">
        <v>2</v>
      </c>
      <c r="N959" s="451">
        <v>2</v>
      </c>
      <c r="O959" s="451">
        <v>2</v>
      </c>
      <c r="P959" s="451">
        <v>2</v>
      </c>
      <c r="Q959" s="451">
        <v>2</v>
      </c>
      <c r="R959" s="451">
        <v>2</v>
      </c>
      <c r="S959" s="451">
        <v>2</v>
      </c>
      <c r="T959" s="451">
        <v>2</v>
      </c>
      <c r="U959" s="451">
        <v>2</v>
      </c>
      <c r="V959" s="451">
        <v>2</v>
      </c>
      <c r="W959" s="451">
        <v>2</v>
      </c>
      <c r="X959" s="451">
        <v>2</v>
      </c>
      <c r="Y959" s="451">
        <v>2</v>
      </c>
      <c r="Z959" s="451">
        <v>2</v>
      </c>
      <c r="AA959" s="451">
        <v>2</v>
      </c>
      <c r="AB959" s="451">
        <v>2</v>
      </c>
      <c r="AC959" s="451">
        <v>2</v>
      </c>
      <c r="AD959" s="445">
        <v>2</v>
      </c>
      <c r="AE959" s="451">
        <v>9</v>
      </c>
      <c r="AF959" s="438">
        <v>9</v>
      </c>
    </row>
    <row r="960" spans="1:34">
      <c r="A960" s="438">
        <v>2</v>
      </c>
      <c r="B960" s="451">
        <v>2</v>
      </c>
      <c r="C960" s="438">
        <v>2</v>
      </c>
      <c r="D960" s="445">
        <v>2</v>
      </c>
      <c r="E960" s="438">
        <v>2</v>
      </c>
      <c r="F960" s="445">
        <v>2</v>
      </c>
      <c r="G960" s="438">
        <v>2</v>
      </c>
      <c r="H960" s="445">
        <v>2</v>
      </c>
      <c r="I960" s="438">
        <v>2</v>
      </c>
      <c r="J960" s="445">
        <v>2</v>
      </c>
      <c r="K960" s="438">
        <v>2</v>
      </c>
      <c r="L960" s="445">
        <v>2</v>
      </c>
      <c r="M960" s="438">
        <v>2</v>
      </c>
      <c r="N960" s="445">
        <v>2</v>
      </c>
      <c r="O960" s="438">
        <v>2</v>
      </c>
      <c r="P960" s="445">
        <v>2</v>
      </c>
      <c r="Q960" s="438">
        <v>2</v>
      </c>
      <c r="R960" s="451">
        <v>2</v>
      </c>
      <c r="S960" s="438">
        <v>2</v>
      </c>
      <c r="T960" s="451">
        <v>2</v>
      </c>
      <c r="U960" s="438">
        <v>2</v>
      </c>
      <c r="V960" s="451">
        <v>2</v>
      </c>
      <c r="W960" s="438">
        <v>2</v>
      </c>
      <c r="X960" s="451">
        <v>2</v>
      </c>
      <c r="Y960" s="438">
        <v>2</v>
      </c>
      <c r="Z960" s="451">
        <v>2</v>
      </c>
      <c r="AA960" s="438">
        <v>2</v>
      </c>
      <c r="AB960" s="451">
        <v>2</v>
      </c>
      <c r="AC960" s="438">
        <v>2</v>
      </c>
      <c r="AD960" s="451">
        <v>2</v>
      </c>
      <c r="AE960" s="438">
        <v>2</v>
      </c>
      <c r="AF960" s="451">
        <v>2</v>
      </c>
    </row>
    <row r="961" spans="1:34">
      <c r="A961" s="452">
        <v>17</v>
      </c>
      <c r="B961" s="411">
        <v>17</v>
      </c>
      <c r="C961" s="411">
        <v>17</v>
      </c>
      <c r="D961" s="439">
        <v>17</v>
      </c>
      <c r="E961" s="432">
        <v>18</v>
      </c>
      <c r="F961" s="432">
        <v>18</v>
      </c>
      <c r="G961" s="452">
        <v>17</v>
      </c>
      <c r="H961" s="411">
        <v>17</v>
      </c>
      <c r="I961" s="411">
        <v>17</v>
      </c>
      <c r="J961" s="411">
        <v>17</v>
      </c>
      <c r="K961" s="439">
        <v>17</v>
      </c>
      <c r="L961" s="432">
        <v>18</v>
      </c>
      <c r="M961" s="432">
        <v>18</v>
      </c>
      <c r="N961" s="452">
        <v>17</v>
      </c>
      <c r="O961" s="411">
        <v>17</v>
      </c>
      <c r="P961" s="439">
        <v>17</v>
      </c>
      <c r="Q961" s="452">
        <v>17</v>
      </c>
      <c r="R961" s="411">
        <v>17</v>
      </c>
      <c r="S961" s="439">
        <v>17</v>
      </c>
      <c r="T961" s="432">
        <v>18</v>
      </c>
      <c r="U961" s="432">
        <v>18</v>
      </c>
      <c r="V961" s="452">
        <v>17</v>
      </c>
      <c r="W961" s="411">
        <v>17</v>
      </c>
      <c r="X961" s="411">
        <v>17</v>
      </c>
      <c r="Y961" s="411">
        <v>17</v>
      </c>
      <c r="Z961" s="439">
        <v>17</v>
      </c>
      <c r="AA961" s="432">
        <v>18</v>
      </c>
      <c r="AB961" s="432">
        <v>18</v>
      </c>
      <c r="AC961" s="452">
        <v>17</v>
      </c>
      <c r="AD961" s="411">
        <v>17</v>
      </c>
      <c r="AE961" s="411">
        <v>17</v>
      </c>
      <c r="AF961" s="411">
        <v>17</v>
      </c>
      <c r="AG961">
        <v>31</v>
      </c>
    </row>
    <row r="962" spans="1:34">
      <c r="A962" s="411">
        <v>17</v>
      </c>
      <c r="B962" s="432">
        <v>18</v>
      </c>
      <c r="C962" s="432">
        <v>18</v>
      </c>
      <c r="D962" s="432">
        <v>18</v>
      </c>
      <c r="E962" s="432">
        <v>18</v>
      </c>
      <c r="F962" s="432">
        <v>18</v>
      </c>
      <c r="G962" s="432">
        <v>18</v>
      </c>
      <c r="H962" s="432">
        <v>18</v>
      </c>
      <c r="I962" s="432">
        <v>18</v>
      </c>
      <c r="J962" s="432">
        <v>18</v>
      </c>
      <c r="K962" s="432">
        <v>18</v>
      </c>
      <c r="L962" s="432">
        <v>18</v>
      </c>
      <c r="M962" s="432">
        <v>18</v>
      </c>
      <c r="N962" s="432">
        <v>18</v>
      </c>
      <c r="O962" s="432">
        <v>18</v>
      </c>
      <c r="P962" s="432">
        <v>18</v>
      </c>
      <c r="Q962" s="432">
        <v>18</v>
      </c>
      <c r="R962" s="432">
        <v>18</v>
      </c>
      <c r="S962" s="432">
        <v>18</v>
      </c>
      <c r="T962" s="432">
        <v>18</v>
      </c>
      <c r="U962" s="432">
        <v>18</v>
      </c>
      <c r="V962" s="432">
        <v>18</v>
      </c>
      <c r="W962" s="432">
        <v>18</v>
      </c>
      <c r="X962" s="432">
        <v>18</v>
      </c>
      <c r="Y962" s="432">
        <v>18</v>
      </c>
      <c r="Z962" s="432">
        <v>18</v>
      </c>
      <c r="AA962" s="432">
        <v>18</v>
      </c>
      <c r="AB962" s="432">
        <v>18</v>
      </c>
      <c r="AC962" s="432">
        <v>18</v>
      </c>
      <c r="AD962" s="432">
        <v>18</v>
      </c>
      <c r="AE962" s="421">
        <v>18</v>
      </c>
      <c r="AF962" s="439">
        <v>17</v>
      </c>
    </row>
    <row r="963" spans="1:34">
      <c r="A963" s="411">
        <v>17</v>
      </c>
      <c r="B963" s="432">
        <v>18</v>
      </c>
      <c r="C963" s="429">
        <v>18</v>
      </c>
      <c r="D963" s="429">
        <v>18</v>
      </c>
      <c r="E963" s="429">
        <v>18</v>
      </c>
      <c r="F963" s="429">
        <v>18</v>
      </c>
      <c r="G963" s="429">
        <v>18</v>
      </c>
      <c r="H963" s="429">
        <v>18</v>
      </c>
      <c r="I963" s="429">
        <v>18</v>
      </c>
      <c r="J963" s="429">
        <v>18</v>
      </c>
      <c r="K963" s="429">
        <v>18</v>
      </c>
      <c r="L963" s="429">
        <v>18</v>
      </c>
      <c r="M963" s="429">
        <v>18</v>
      </c>
      <c r="N963" s="429">
        <v>18</v>
      </c>
      <c r="O963" s="429">
        <v>18</v>
      </c>
      <c r="P963" s="432">
        <v>18</v>
      </c>
      <c r="Q963" s="432">
        <v>18</v>
      </c>
      <c r="R963" s="429">
        <v>18</v>
      </c>
      <c r="S963" s="429">
        <v>18</v>
      </c>
      <c r="T963" s="429">
        <v>18</v>
      </c>
      <c r="U963" s="429">
        <v>18</v>
      </c>
      <c r="V963" s="429">
        <v>18</v>
      </c>
      <c r="W963" s="429">
        <v>18</v>
      </c>
      <c r="X963" s="429">
        <v>18</v>
      </c>
      <c r="Y963" s="429">
        <v>18</v>
      </c>
      <c r="Z963" s="429">
        <v>18</v>
      </c>
      <c r="AA963" s="429">
        <v>18</v>
      </c>
      <c r="AB963" s="429">
        <v>18</v>
      </c>
      <c r="AC963" s="429">
        <v>18</v>
      </c>
      <c r="AD963" s="429">
        <v>18</v>
      </c>
      <c r="AE963" s="421">
        <v>18</v>
      </c>
      <c r="AF963" s="439">
        <v>17</v>
      </c>
    </row>
    <row r="964" spans="1:34">
      <c r="A964" s="439">
        <v>17</v>
      </c>
      <c r="B964" s="432">
        <v>18</v>
      </c>
      <c r="C964" s="409">
        <v>18</v>
      </c>
      <c r="D964" s="409">
        <v>18.16</v>
      </c>
      <c r="E964" s="409">
        <v>18.16</v>
      </c>
      <c r="F964" s="409">
        <v>18.16</v>
      </c>
      <c r="G964" s="409">
        <v>18.16</v>
      </c>
      <c r="H964" s="409">
        <v>18.16</v>
      </c>
      <c r="I964" s="409">
        <v>18.16</v>
      </c>
      <c r="J964" s="409">
        <v>18.16</v>
      </c>
      <c r="K964" s="409">
        <v>18.16</v>
      </c>
      <c r="L964" s="409">
        <v>18.16</v>
      </c>
      <c r="M964" s="409">
        <v>18.16</v>
      </c>
      <c r="N964" s="409">
        <v>18.16</v>
      </c>
      <c r="O964" s="409">
        <v>18.16</v>
      </c>
      <c r="P964" s="432">
        <v>18.16</v>
      </c>
      <c r="Q964" s="432">
        <v>18.16</v>
      </c>
      <c r="R964" s="409">
        <v>18.16</v>
      </c>
      <c r="S964" s="409">
        <v>18.16</v>
      </c>
      <c r="T964" s="409">
        <v>18.16</v>
      </c>
      <c r="U964" s="409">
        <v>18.16</v>
      </c>
      <c r="V964" s="409">
        <v>18.16</v>
      </c>
      <c r="W964" s="409">
        <v>18.16</v>
      </c>
      <c r="X964" s="409">
        <v>18.16</v>
      </c>
      <c r="Y964" s="409">
        <v>18.16</v>
      </c>
      <c r="Z964" s="409">
        <v>18.16</v>
      </c>
      <c r="AA964" s="409">
        <v>18.16</v>
      </c>
      <c r="AB964" s="409">
        <v>18.16</v>
      </c>
      <c r="AC964" s="409">
        <v>18.16</v>
      </c>
      <c r="AD964" s="409">
        <v>18</v>
      </c>
      <c r="AE964" s="421">
        <v>18</v>
      </c>
      <c r="AF964" s="432">
        <v>17</v>
      </c>
    </row>
    <row r="965" spans="1:34">
      <c r="A965" s="432">
        <v>18</v>
      </c>
      <c r="B965" s="432">
        <v>18</v>
      </c>
      <c r="C965" s="429">
        <v>18</v>
      </c>
      <c r="D965" s="429">
        <v>18.16</v>
      </c>
      <c r="E965" s="429">
        <v>18.16</v>
      </c>
      <c r="F965" s="429">
        <v>18.16</v>
      </c>
      <c r="G965" s="429">
        <v>18.16</v>
      </c>
      <c r="H965" s="429">
        <v>18.16</v>
      </c>
      <c r="I965" s="429">
        <v>18.16</v>
      </c>
      <c r="J965" s="429">
        <v>18.16</v>
      </c>
      <c r="K965" s="429">
        <v>18.16</v>
      </c>
      <c r="L965" s="429">
        <v>18.16</v>
      </c>
      <c r="M965" s="429">
        <v>18.16</v>
      </c>
      <c r="N965" s="429">
        <v>18.16</v>
      </c>
      <c r="O965" s="429">
        <v>18.16</v>
      </c>
      <c r="P965" s="432">
        <v>18.16</v>
      </c>
      <c r="Q965" s="432">
        <v>18.16</v>
      </c>
      <c r="R965" s="429">
        <v>18.16</v>
      </c>
      <c r="S965" s="429">
        <v>18.16</v>
      </c>
      <c r="T965" s="429">
        <v>18.16</v>
      </c>
      <c r="U965" s="429">
        <v>18.16</v>
      </c>
      <c r="V965" s="429">
        <v>18.16</v>
      </c>
      <c r="W965" s="429">
        <v>18.16</v>
      </c>
      <c r="X965" s="429">
        <v>18.16</v>
      </c>
      <c r="Y965" s="429">
        <v>18.16</v>
      </c>
      <c r="Z965" s="429">
        <v>18.16</v>
      </c>
      <c r="AA965" s="429">
        <v>18.16</v>
      </c>
      <c r="AB965" s="429">
        <v>18.16</v>
      </c>
      <c r="AC965" s="429">
        <v>18.16</v>
      </c>
      <c r="AD965" s="429">
        <v>18</v>
      </c>
      <c r="AE965" s="421">
        <v>18</v>
      </c>
      <c r="AF965" s="421">
        <v>18</v>
      </c>
    </row>
    <row r="966" spans="1:34">
      <c r="A966" s="432">
        <v>18</v>
      </c>
      <c r="B966" s="432">
        <v>18</v>
      </c>
      <c r="C966" s="409">
        <v>18</v>
      </c>
      <c r="D966" s="409">
        <v>18.16</v>
      </c>
      <c r="E966" s="409">
        <v>18.16</v>
      </c>
      <c r="F966" s="409">
        <v>18.16</v>
      </c>
      <c r="G966" s="409">
        <v>18.16</v>
      </c>
      <c r="H966" s="409">
        <v>18.16</v>
      </c>
      <c r="I966" s="409">
        <v>18.16</v>
      </c>
      <c r="J966" s="409">
        <v>18.16</v>
      </c>
      <c r="K966" s="409">
        <v>18.16</v>
      </c>
      <c r="L966" s="409">
        <v>18.16</v>
      </c>
      <c r="M966" s="409">
        <v>18.16</v>
      </c>
      <c r="N966" s="409">
        <v>18.16</v>
      </c>
      <c r="O966" s="409">
        <v>18.16</v>
      </c>
      <c r="P966" s="432">
        <v>18.16</v>
      </c>
      <c r="Q966" s="432">
        <v>18.16</v>
      </c>
      <c r="R966" s="409">
        <v>18.16</v>
      </c>
      <c r="S966" s="409">
        <v>18.16</v>
      </c>
      <c r="T966" s="409">
        <v>18.16</v>
      </c>
      <c r="U966" s="409">
        <v>18.16</v>
      </c>
      <c r="V966" s="409">
        <v>18.16</v>
      </c>
      <c r="W966" s="409">
        <v>18.16</v>
      </c>
      <c r="X966" s="409">
        <v>18.16</v>
      </c>
      <c r="Y966" s="409">
        <v>18.16</v>
      </c>
      <c r="Z966" s="409">
        <v>18.16</v>
      </c>
      <c r="AA966" s="409">
        <v>18.16</v>
      </c>
      <c r="AB966" s="409">
        <v>18.16</v>
      </c>
      <c r="AC966" s="409">
        <v>18.16</v>
      </c>
      <c r="AD966" s="409">
        <v>18</v>
      </c>
      <c r="AE966" s="421">
        <v>18</v>
      </c>
      <c r="AF966" s="421">
        <v>18</v>
      </c>
    </row>
    <row r="967" spans="1:34">
      <c r="A967" s="452">
        <v>17</v>
      </c>
      <c r="B967" s="432">
        <v>18</v>
      </c>
      <c r="C967" s="429">
        <v>18</v>
      </c>
      <c r="D967" s="429">
        <v>18.16</v>
      </c>
      <c r="E967" s="429">
        <v>18.16</v>
      </c>
      <c r="F967" s="429">
        <v>18.16</v>
      </c>
      <c r="G967" s="429">
        <v>18.16</v>
      </c>
      <c r="H967" s="429">
        <v>18.16</v>
      </c>
      <c r="I967" s="429">
        <v>18.16</v>
      </c>
      <c r="J967" s="429">
        <v>18.16</v>
      </c>
      <c r="K967" s="429">
        <v>18.16</v>
      </c>
      <c r="L967" s="429">
        <v>18.16</v>
      </c>
      <c r="M967" s="429">
        <v>18.16</v>
      </c>
      <c r="N967" s="429">
        <v>18.16</v>
      </c>
      <c r="O967" s="429">
        <v>18.16</v>
      </c>
      <c r="P967" s="432">
        <v>18.16</v>
      </c>
      <c r="Q967" s="432">
        <v>18.16</v>
      </c>
      <c r="R967" s="429">
        <v>18.16</v>
      </c>
      <c r="S967" s="429">
        <v>18.16</v>
      </c>
      <c r="T967" s="429">
        <v>18.16</v>
      </c>
      <c r="U967" s="429">
        <v>18.16</v>
      </c>
      <c r="V967" s="429">
        <v>18.16</v>
      </c>
      <c r="W967" s="429">
        <v>18.16</v>
      </c>
      <c r="X967" s="429">
        <v>18.16</v>
      </c>
      <c r="Y967" s="429">
        <v>18.16</v>
      </c>
      <c r="Z967" s="429">
        <v>18.16</v>
      </c>
      <c r="AA967" s="429">
        <v>18.16</v>
      </c>
      <c r="AB967" s="429">
        <v>18.16</v>
      </c>
      <c r="AC967" s="429">
        <v>18.16</v>
      </c>
      <c r="AD967" s="429">
        <v>18</v>
      </c>
      <c r="AE967" s="421">
        <v>18</v>
      </c>
      <c r="AF967" s="411">
        <v>17</v>
      </c>
    </row>
    <row r="968" spans="1:34">
      <c r="A968" s="411">
        <v>17</v>
      </c>
      <c r="B968" s="432">
        <v>18</v>
      </c>
      <c r="C968" s="409">
        <v>18</v>
      </c>
      <c r="D968" s="409">
        <v>18.16</v>
      </c>
      <c r="E968" s="409">
        <v>18.16</v>
      </c>
      <c r="F968" s="409">
        <v>18.16</v>
      </c>
      <c r="G968" s="409">
        <v>18.16</v>
      </c>
      <c r="H968" s="409">
        <v>18.16</v>
      </c>
      <c r="I968" s="409">
        <v>18.16</v>
      </c>
      <c r="J968" s="409">
        <v>18.16</v>
      </c>
      <c r="K968" s="409">
        <v>18.16</v>
      </c>
      <c r="L968" s="409">
        <v>18.16</v>
      </c>
      <c r="M968" s="409">
        <v>18.16</v>
      </c>
      <c r="N968" s="409">
        <v>18.16</v>
      </c>
      <c r="O968" s="409">
        <v>18.16</v>
      </c>
      <c r="P968" s="432">
        <v>18.16</v>
      </c>
      <c r="Q968" s="432">
        <v>18.16</v>
      </c>
      <c r="R968" s="409">
        <v>18.16</v>
      </c>
      <c r="S968" s="409">
        <v>18.16</v>
      </c>
      <c r="T968" s="409">
        <v>18.16</v>
      </c>
      <c r="U968" s="409">
        <v>18.16</v>
      </c>
      <c r="V968" s="409">
        <v>18.16</v>
      </c>
      <c r="W968" s="409">
        <v>18.16</v>
      </c>
      <c r="X968" s="409">
        <v>18.16</v>
      </c>
      <c r="Y968" s="409">
        <v>18.16</v>
      </c>
      <c r="Z968" s="409">
        <v>18.16</v>
      </c>
      <c r="AA968" s="409">
        <v>18.16</v>
      </c>
      <c r="AB968" s="409">
        <v>18.16</v>
      </c>
      <c r="AC968" s="409">
        <v>18.16</v>
      </c>
      <c r="AD968" s="409">
        <v>18</v>
      </c>
      <c r="AE968" s="421">
        <v>18</v>
      </c>
      <c r="AF968" s="439">
        <v>17</v>
      </c>
    </row>
    <row r="969" spans="1:34">
      <c r="A969" s="411">
        <v>17</v>
      </c>
      <c r="B969" s="432">
        <v>18</v>
      </c>
      <c r="C969" s="429">
        <v>18</v>
      </c>
      <c r="D969" s="429">
        <v>18.16</v>
      </c>
      <c r="E969" s="429">
        <v>18.16</v>
      </c>
      <c r="F969" s="429">
        <v>18.16</v>
      </c>
      <c r="G969" s="429">
        <v>18.16</v>
      </c>
      <c r="H969" s="429">
        <v>18.16</v>
      </c>
      <c r="I969" s="429">
        <v>18.16</v>
      </c>
      <c r="J969" s="429">
        <v>18.16</v>
      </c>
      <c r="K969" s="429">
        <v>18.16</v>
      </c>
      <c r="L969" s="429">
        <v>18.16</v>
      </c>
      <c r="M969" s="429">
        <v>18.16</v>
      </c>
      <c r="N969" s="429">
        <v>18.16</v>
      </c>
      <c r="O969" s="429">
        <v>18.16</v>
      </c>
      <c r="P969" s="432">
        <v>18.16</v>
      </c>
      <c r="Q969" s="432">
        <v>18.16</v>
      </c>
      <c r="R969" s="429">
        <v>18.16</v>
      </c>
      <c r="S969" s="429">
        <v>18.16</v>
      </c>
      <c r="T969" s="429">
        <v>18.16</v>
      </c>
      <c r="U969" s="429">
        <v>18.16</v>
      </c>
      <c r="V969" s="429">
        <v>18.16</v>
      </c>
      <c r="W969" s="429">
        <v>18.16</v>
      </c>
      <c r="X969" s="429">
        <v>18.16</v>
      </c>
      <c r="Y969" s="429">
        <v>18.16</v>
      </c>
      <c r="Z969" s="429">
        <v>18.16</v>
      </c>
      <c r="AA969" s="429">
        <v>18.16</v>
      </c>
      <c r="AB969" s="429">
        <v>18.16</v>
      </c>
      <c r="AC969" s="429">
        <v>18.16</v>
      </c>
      <c r="AD969" s="429">
        <v>18</v>
      </c>
      <c r="AE969" s="421">
        <v>18</v>
      </c>
      <c r="AF969" s="439">
        <v>17</v>
      </c>
    </row>
    <row r="970" spans="1:34">
      <c r="AH970">
        <v>968</v>
      </c>
    </row>
    <row r="971" spans="1:34">
      <c r="A971" s="439">
        <v>17</v>
      </c>
      <c r="B971" s="432">
        <v>18</v>
      </c>
      <c r="C971" s="429">
        <v>18</v>
      </c>
      <c r="D971" s="429">
        <v>18.16</v>
      </c>
      <c r="E971" s="429">
        <v>18.16</v>
      </c>
      <c r="F971" s="429">
        <v>18.16</v>
      </c>
      <c r="G971" s="429">
        <v>18.16</v>
      </c>
      <c r="H971" s="429">
        <v>18.16</v>
      </c>
      <c r="I971" s="429">
        <v>18.16</v>
      </c>
      <c r="J971" s="429">
        <v>18.16</v>
      </c>
      <c r="K971" s="429">
        <v>18.16</v>
      </c>
      <c r="L971" s="429">
        <v>18.16</v>
      </c>
      <c r="M971" s="429">
        <v>18.16</v>
      </c>
      <c r="N971" s="429">
        <v>18.16</v>
      </c>
      <c r="O971" s="429">
        <v>18.16</v>
      </c>
      <c r="P971" s="432">
        <v>18.16</v>
      </c>
      <c r="Q971" s="432">
        <v>18.16</v>
      </c>
      <c r="R971" s="429">
        <v>18.16</v>
      </c>
      <c r="S971" s="429">
        <v>18.16</v>
      </c>
      <c r="T971" s="429">
        <v>18.16</v>
      </c>
      <c r="U971" s="429">
        <v>18.16</v>
      </c>
      <c r="V971" s="429">
        <v>18.16</v>
      </c>
      <c r="W971" s="429">
        <v>18.16</v>
      </c>
      <c r="X971" s="429">
        <v>18.16</v>
      </c>
      <c r="Y971" s="429">
        <v>18.16</v>
      </c>
      <c r="Z971" s="429">
        <v>18.16</v>
      </c>
      <c r="AA971" s="429">
        <v>18.16</v>
      </c>
      <c r="AB971" s="429">
        <v>18.16</v>
      </c>
      <c r="AC971" s="429">
        <v>18.16</v>
      </c>
      <c r="AD971" s="429">
        <v>18</v>
      </c>
      <c r="AE971" s="421">
        <v>18</v>
      </c>
      <c r="AF971" s="432">
        <v>17</v>
      </c>
    </row>
    <row r="972" spans="1:34">
      <c r="AH972">
        <v>966</v>
      </c>
    </row>
    <row r="973" spans="1:34">
      <c r="AH973">
        <v>965</v>
      </c>
    </row>
    <row r="974" spans="1:34">
      <c r="A974" s="452">
        <v>17</v>
      </c>
      <c r="B974" s="432">
        <v>18</v>
      </c>
      <c r="C974" s="409">
        <v>18</v>
      </c>
      <c r="D974" s="409">
        <v>18.16</v>
      </c>
      <c r="E974" s="409">
        <v>18.16</v>
      </c>
      <c r="F974" s="409">
        <v>18.16</v>
      </c>
      <c r="G974" s="409">
        <v>18.16</v>
      </c>
      <c r="H974" s="409">
        <v>18.16</v>
      </c>
      <c r="I974" s="409">
        <v>18.16</v>
      </c>
      <c r="J974" s="409">
        <v>18.16</v>
      </c>
      <c r="K974" s="409">
        <v>18.16</v>
      </c>
      <c r="L974" s="409">
        <v>18.16</v>
      </c>
      <c r="M974" s="409">
        <v>18.16</v>
      </c>
      <c r="N974" s="409">
        <v>18.16</v>
      </c>
      <c r="O974" s="409">
        <v>18.16</v>
      </c>
      <c r="P974" s="432">
        <v>18.16</v>
      </c>
      <c r="Q974" s="432">
        <v>18.16</v>
      </c>
      <c r="R974" s="409">
        <v>18.16</v>
      </c>
      <c r="S974" s="409">
        <v>18.16</v>
      </c>
      <c r="T974" s="409">
        <v>18.16</v>
      </c>
      <c r="U974" s="409">
        <v>18.16</v>
      </c>
      <c r="V974" s="409">
        <v>18.16</v>
      </c>
      <c r="W974" s="409">
        <v>18.16</v>
      </c>
      <c r="X974" s="409">
        <v>18.16</v>
      </c>
      <c r="Y974" s="409">
        <v>18.16</v>
      </c>
      <c r="Z974" s="409">
        <v>18.16</v>
      </c>
      <c r="AA974" s="409">
        <v>18.16</v>
      </c>
      <c r="AB974" s="409">
        <v>18.16</v>
      </c>
      <c r="AC974" s="409">
        <v>18.16</v>
      </c>
      <c r="AD974" s="409">
        <v>18</v>
      </c>
      <c r="AE974" s="421">
        <v>18</v>
      </c>
      <c r="AF974" s="411">
        <v>17</v>
      </c>
      <c r="AG974">
        <v>16</v>
      </c>
    </row>
    <row r="975" spans="1:34">
      <c r="AH975">
        <v>969</v>
      </c>
    </row>
    <row r="976" spans="1:34">
      <c r="AH976">
        <v>964</v>
      </c>
    </row>
    <row r="977" spans="1:34">
      <c r="AH977">
        <v>967</v>
      </c>
    </row>
    <row r="978" spans="1:34">
      <c r="AH978">
        <v>968</v>
      </c>
    </row>
    <row r="979" spans="1:34">
      <c r="AH979">
        <v>971</v>
      </c>
    </row>
    <row r="980" spans="1:34">
      <c r="AH980">
        <v>966</v>
      </c>
    </row>
    <row r="981" spans="1:34">
      <c r="AH981">
        <v>965</v>
      </c>
    </row>
    <row r="982" spans="1:34">
      <c r="AH982">
        <v>974</v>
      </c>
    </row>
    <row r="983" spans="1:34">
      <c r="AH983">
        <v>969</v>
      </c>
    </row>
    <row r="984" spans="1:34">
      <c r="AH984">
        <v>968</v>
      </c>
    </row>
    <row r="985" spans="1:34">
      <c r="AH985">
        <v>969</v>
      </c>
    </row>
    <row r="986" spans="1:34">
      <c r="AH986">
        <v>964</v>
      </c>
    </row>
    <row r="987" spans="1:34">
      <c r="AH987">
        <v>965</v>
      </c>
    </row>
    <row r="988" spans="1:34">
      <c r="AH988">
        <v>966</v>
      </c>
    </row>
    <row r="989" spans="1:34">
      <c r="AH989">
        <v>967</v>
      </c>
    </row>
    <row r="990" spans="1:34">
      <c r="A990" s="411">
        <v>17</v>
      </c>
      <c r="B990" s="432">
        <v>18</v>
      </c>
      <c r="C990" s="409">
        <v>18</v>
      </c>
      <c r="D990" s="409">
        <v>18</v>
      </c>
      <c r="E990" s="409">
        <v>18</v>
      </c>
      <c r="F990" s="409">
        <v>18</v>
      </c>
      <c r="G990" s="409">
        <v>18</v>
      </c>
      <c r="H990" s="409">
        <v>18</v>
      </c>
      <c r="I990" s="409">
        <v>18</v>
      </c>
      <c r="J990" s="409">
        <v>18</v>
      </c>
      <c r="K990" s="409">
        <v>18</v>
      </c>
      <c r="L990" s="409">
        <v>18</v>
      </c>
      <c r="M990" s="409">
        <v>18</v>
      </c>
      <c r="N990" s="409">
        <v>18</v>
      </c>
      <c r="O990" s="409">
        <v>18</v>
      </c>
      <c r="P990" s="432">
        <v>18</v>
      </c>
      <c r="Q990" s="432">
        <v>18</v>
      </c>
      <c r="R990" s="409">
        <v>18</v>
      </c>
      <c r="S990" s="409">
        <v>18</v>
      </c>
      <c r="T990" s="409">
        <v>18</v>
      </c>
      <c r="U990" s="409">
        <v>18</v>
      </c>
      <c r="V990" s="409">
        <v>18</v>
      </c>
      <c r="W990" s="409">
        <v>18</v>
      </c>
      <c r="X990" s="409">
        <v>18</v>
      </c>
      <c r="Y990" s="409">
        <v>18</v>
      </c>
      <c r="Z990" s="409">
        <v>18</v>
      </c>
      <c r="AA990" s="409">
        <v>18</v>
      </c>
      <c r="AB990" s="409">
        <v>18</v>
      </c>
      <c r="AC990" s="409">
        <v>18</v>
      </c>
      <c r="AD990" s="409">
        <v>18</v>
      </c>
      <c r="AE990" s="421">
        <v>18</v>
      </c>
      <c r="AF990" s="439">
        <v>17</v>
      </c>
    </row>
    <row r="991" spans="1:34">
      <c r="A991" s="411">
        <v>17</v>
      </c>
      <c r="B991" s="421">
        <v>18</v>
      </c>
      <c r="C991" s="421">
        <v>18</v>
      </c>
      <c r="D991" s="421">
        <v>18</v>
      </c>
      <c r="E991" s="421">
        <v>18</v>
      </c>
      <c r="F991" s="421">
        <v>18</v>
      </c>
      <c r="G991" s="421">
        <v>18</v>
      </c>
      <c r="H991" s="421">
        <v>18</v>
      </c>
      <c r="I991" s="421">
        <v>18</v>
      </c>
      <c r="J991" s="421">
        <v>18</v>
      </c>
      <c r="K991" s="421">
        <v>18</v>
      </c>
      <c r="L991" s="421">
        <v>18</v>
      </c>
      <c r="M991" s="421">
        <v>18</v>
      </c>
      <c r="N991" s="421">
        <v>18</v>
      </c>
      <c r="O991" s="421">
        <v>18</v>
      </c>
      <c r="P991" s="421">
        <v>18</v>
      </c>
      <c r="Q991" s="421">
        <v>18</v>
      </c>
      <c r="R991" s="421">
        <v>18</v>
      </c>
      <c r="S991" s="421">
        <v>18</v>
      </c>
      <c r="T991" s="421">
        <v>18</v>
      </c>
      <c r="U991" s="421">
        <v>18</v>
      </c>
      <c r="V991" s="421">
        <v>18</v>
      </c>
      <c r="W991" s="421">
        <v>18</v>
      </c>
      <c r="X991" s="421">
        <v>18</v>
      </c>
      <c r="Y991" s="421">
        <v>18</v>
      </c>
      <c r="Z991" s="421">
        <v>18</v>
      </c>
      <c r="AA991" s="421">
        <v>18</v>
      </c>
      <c r="AB991" s="421">
        <v>18</v>
      </c>
      <c r="AC991" s="421">
        <v>18</v>
      </c>
      <c r="AD991" s="421">
        <v>18</v>
      </c>
      <c r="AE991" s="421">
        <v>18</v>
      </c>
      <c r="AF991" s="439">
        <v>17</v>
      </c>
    </row>
    <row r="992" spans="1:34">
      <c r="A992" s="411">
        <v>17</v>
      </c>
      <c r="B992" s="439">
        <v>17</v>
      </c>
      <c r="C992" s="439">
        <v>17</v>
      </c>
      <c r="D992" s="432">
        <v>17</v>
      </c>
      <c r="E992" s="421">
        <v>18</v>
      </c>
      <c r="F992" s="421">
        <v>18</v>
      </c>
      <c r="G992" s="411">
        <v>17</v>
      </c>
      <c r="H992" s="439">
        <v>17</v>
      </c>
      <c r="I992" s="439">
        <v>17</v>
      </c>
      <c r="J992" s="439">
        <v>17</v>
      </c>
      <c r="K992" s="432">
        <v>17</v>
      </c>
      <c r="L992" s="421">
        <v>18</v>
      </c>
      <c r="M992" s="421">
        <v>18</v>
      </c>
      <c r="N992" s="411">
        <v>17</v>
      </c>
      <c r="O992" s="439">
        <v>17</v>
      </c>
      <c r="P992" s="432">
        <v>17</v>
      </c>
      <c r="Q992" s="411">
        <v>17</v>
      </c>
      <c r="R992" s="439">
        <v>17</v>
      </c>
      <c r="S992" s="432">
        <v>17</v>
      </c>
      <c r="T992" s="421">
        <v>18</v>
      </c>
      <c r="U992" s="421">
        <v>18</v>
      </c>
      <c r="V992" s="411">
        <v>17</v>
      </c>
      <c r="W992" s="439">
        <v>17</v>
      </c>
      <c r="X992" s="439">
        <v>17</v>
      </c>
      <c r="Y992" s="439">
        <v>17</v>
      </c>
      <c r="Z992" s="432">
        <v>17</v>
      </c>
      <c r="AA992" s="421">
        <v>18</v>
      </c>
      <c r="AB992" s="421">
        <v>18</v>
      </c>
      <c r="AC992" s="411">
        <v>17</v>
      </c>
      <c r="AD992" s="439">
        <v>17</v>
      </c>
      <c r="AE992" s="439">
        <v>17</v>
      </c>
      <c r="AF992" s="432">
        <v>17</v>
      </c>
    </row>
    <row r="993" spans="1:34">
      <c r="A993" s="432">
        <v>36</v>
      </c>
      <c r="B993" s="432">
        <v>38</v>
      </c>
      <c r="C993" s="432">
        <v>40</v>
      </c>
      <c r="D993" s="432">
        <v>41</v>
      </c>
      <c r="E993" s="432">
        <v>42</v>
      </c>
      <c r="F993" s="432">
        <v>42.32</v>
      </c>
      <c r="G993" s="432">
        <v>42.33</v>
      </c>
      <c r="H993" s="432">
        <v>43.34</v>
      </c>
      <c r="I993" s="432">
        <v>43.34</v>
      </c>
      <c r="J993" s="432">
        <v>43.34</v>
      </c>
      <c r="K993" s="432">
        <v>43.34</v>
      </c>
      <c r="L993" s="432">
        <v>44.35</v>
      </c>
      <c r="M993" s="432">
        <v>44.35</v>
      </c>
      <c r="N993" s="432">
        <v>44.35</v>
      </c>
      <c r="O993" s="432">
        <v>44.35</v>
      </c>
      <c r="P993" s="432">
        <v>46.35</v>
      </c>
      <c r="Q993" s="432">
        <v>46.35</v>
      </c>
      <c r="R993" s="432">
        <v>44.35</v>
      </c>
      <c r="S993" s="432">
        <v>44.35</v>
      </c>
      <c r="T993" s="432">
        <v>44.35</v>
      </c>
      <c r="U993" s="432">
        <v>44.35</v>
      </c>
      <c r="V993" s="432">
        <v>43.34</v>
      </c>
      <c r="W993" s="432">
        <v>43.34</v>
      </c>
      <c r="X993" s="432">
        <v>43.34</v>
      </c>
      <c r="Y993" s="432">
        <v>43.34</v>
      </c>
      <c r="Z993" s="432">
        <v>42.33</v>
      </c>
      <c r="AA993" s="432">
        <v>42.32</v>
      </c>
      <c r="AB993" s="432">
        <v>42</v>
      </c>
      <c r="AC993" s="432">
        <v>41</v>
      </c>
      <c r="AD993" s="432">
        <v>40</v>
      </c>
      <c r="AE993" s="432">
        <v>38</v>
      </c>
      <c r="AF993" s="432">
        <v>36</v>
      </c>
      <c r="AG993">
        <v>32</v>
      </c>
    </row>
    <row r="994" spans="1:34">
      <c r="A994" s="432">
        <v>36</v>
      </c>
      <c r="B994" s="439">
        <v>39</v>
      </c>
      <c r="C994" s="439">
        <v>41</v>
      </c>
      <c r="D994" s="439">
        <v>42</v>
      </c>
      <c r="E994" s="411">
        <v>43</v>
      </c>
      <c r="F994" s="439">
        <v>43.32</v>
      </c>
      <c r="G994" s="439">
        <v>43.33</v>
      </c>
      <c r="H994" s="439">
        <v>44.34</v>
      </c>
      <c r="I994" s="439">
        <v>44.34</v>
      </c>
      <c r="J994" s="439">
        <v>44.34</v>
      </c>
      <c r="K994" s="439">
        <v>44.34</v>
      </c>
      <c r="L994" s="439">
        <v>45.35</v>
      </c>
      <c r="M994" s="439">
        <v>45.35</v>
      </c>
      <c r="N994" s="439">
        <v>45.35</v>
      </c>
      <c r="O994" s="439">
        <v>45.35</v>
      </c>
      <c r="P994" s="439">
        <v>47.35</v>
      </c>
      <c r="Q994" s="439">
        <v>47.35</v>
      </c>
      <c r="R994" s="439">
        <v>45.35</v>
      </c>
      <c r="S994" s="439">
        <v>45.35</v>
      </c>
      <c r="T994" s="439">
        <v>45.35</v>
      </c>
      <c r="U994" s="439">
        <v>45.35</v>
      </c>
      <c r="V994" s="439">
        <v>44.34</v>
      </c>
      <c r="W994" s="439">
        <v>44.34</v>
      </c>
      <c r="X994" s="439">
        <v>44.34</v>
      </c>
      <c r="Y994" s="439">
        <v>44.34</v>
      </c>
      <c r="Z994" s="439">
        <v>43.33</v>
      </c>
      <c r="AA994" s="439">
        <v>43.32</v>
      </c>
      <c r="AB994" s="432">
        <v>43</v>
      </c>
      <c r="AC994" s="439">
        <v>42</v>
      </c>
      <c r="AD994" s="439">
        <v>41</v>
      </c>
      <c r="AE994" s="439">
        <v>39</v>
      </c>
      <c r="AF994" s="411">
        <v>35</v>
      </c>
    </row>
    <row r="995" spans="1:34">
      <c r="A995" s="432">
        <v>36</v>
      </c>
      <c r="B995" s="439">
        <v>39</v>
      </c>
      <c r="D995" s="439">
        <v>42</v>
      </c>
      <c r="E995" s="411">
        <v>43</v>
      </c>
      <c r="F995" s="439">
        <v>43.32</v>
      </c>
      <c r="G995" s="439">
        <v>43.33</v>
      </c>
      <c r="H995" s="439">
        <v>44.34</v>
      </c>
      <c r="I995" s="439">
        <v>44.34</v>
      </c>
      <c r="J995" s="439">
        <v>44.34</v>
      </c>
      <c r="K995" s="439">
        <v>44.34</v>
      </c>
      <c r="L995" s="439">
        <v>45.35</v>
      </c>
      <c r="M995" s="439">
        <v>45.35</v>
      </c>
      <c r="N995" s="439">
        <v>45.35</v>
      </c>
      <c r="O995" s="439">
        <v>45.35</v>
      </c>
      <c r="P995" s="439">
        <v>47.35</v>
      </c>
      <c r="Q995" s="439">
        <v>47.35</v>
      </c>
      <c r="R995" s="439">
        <v>45.35</v>
      </c>
      <c r="S995" s="439">
        <v>45.35</v>
      </c>
      <c r="T995" s="439">
        <v>45.35</v>
      </c>
      <c r="U995" s="439">
        <v>45.35</v>
      </c>
      <c r="V995" s="439">
        <v>44.34</v>
      </c>
      <c r="W995" s="439">
        <v>44.34</v>
      </c>
      <c r="X995" s="439">
        <v>44.34</v>
      </c>
      <c r="Y995" s="439">
        <v>44.34</v>
      </c>
      <c r="Z995" s="439">
        <v>43.33</v>
      </c>
      <c r="AA995" s="439">
        <v>43.32</v>
      </c>
      <c r="AB995" s="432">
        <v>43</v>
      </c>
      <c r="AC995" s="439">
        <v>42</v>
      </c>
      <c r="AE995" s="439">
        <v>39</v>
      </c>
      <c r="AF995" s="411">
        <v>35</v>
      </c>
    </row>
    <row r="996" spans="1:34">
      <c r="AH996">
        <v>995</v>
      </c>
    </row>
    <row r="997" spans="1:34">
      <c r="AH997">
        <v>994</v>
      </c>
    </row>
    <row r="998" spans="1:34">
      <c r="A998" s="411">
        <v>35</v>
      </c>
      <c r="B998" s="411">
        <v>37</v>
      </c>
      <c r="C998" s="411">
        <v>39</v>
      </c>
      <c r="D998" s="411">
        <v>40</v>
      </c>
      <c r="E998" s="411">
        <v>41</v>
      </c>
      <c r="F998" s="411">
        <v>41.32</v>
      </c>
      <c r="G998" s="411">
        <v>41.33</v>
      </c>
      <c r="H998" s="411">
        <v>42.34</v>
      </c>
      <c r="I998" s="411">
        <v>42.34</v>
      </c>
      <c r="J998" s="411">
        <v>42.34</v>
      </c>
      <c r="K998" s="411">
        <v>42.34</v>
      </c>
      <c r="L998" s="411">
        <v>43.35</v>
      </c>
      <c r="M998" s="411">
        <v>43.35</v>
      </c>
      <c r="N998" s="411">
        <v>43.35</v>
      </c>
      <c r="O998" s="411">
        <v>43.35</v>
      </c>
      <c r="P998" s="411">
        <v>45.35</v>
      </c>
      <c r="Q998" s="411">
        <v>45.35</v>
      </c>
      <c r="R998" s="411">
        <v>43.35</v>
      </c>
      <c r="S998" s="411">
        <v>43.35</v>
      </c>
      <c r="T998" s="411">
        <v>43.35</v>
      </c>
      <c r="U998" s="411">
        <v>43.35</v>
      </c>
      <c r="V998" s="411">
        <v>42.34</v>
      </c>
      <c r="W998" s="411">
        <v>42.34</v>
      </c>
      <c r="X998" s="411">
        <v>42.34</v>
      </c>
      <c r="Y998" s="411">
        <v>42.34</v>
      </c>
      <c r="Z998" s="411">
        <v>41.33</v>
      </c>
      <c r="AA998" s="411">
        <v>41.32</v>
      </c>
      <c r="AB998" s="411">
        <v>41</v>
      </c>
      <c r="AC998" s="411">
        <v>40</v>
      </c>
      <c r="AD998" s="411">
        <v>39</v>
      </c>
      <c r="AE998" s="411">
        <v>37</v>
      </c>
      <c r="AF998" s="411">
        <v>35</v>
      </c>
    </row>
    <row r="999" spans="1:34">
      <c r="A999" s="699"/>
      <c r="B999" s="93"/>
      <c r="C999" s="93"/>
      <c r="D999" s="93"/>
      <c r="E999" s="93"/>
      <c r="F999" s="291">
        <v>32</v>
      </c>
      <c r="G999" s="93"/>
      <c r="H999" s="93"/>
      <c r="I999" s="93"/>
      <c r="J999" s="93"/>
      <c r="K999" s="93"/>
      <c r="L999" s="93"/>
      <c r="M999" s="93"/>
      <c r="N999" s="93"/>
      <c r="O999" s="93"/>
      <c r="P999" s="93"/>
      <c r="Q999" s="93"/>
      <c r="R999" s="93"/>
      <c r="S999" s="93"/>
      <c r="T999" s="93"/>
      <c r="U999" s="93"/>
      <c r="V999" s="93"/>
      <c r="W999" s="93"/>
      <c r="X999" s="93"/>
      <c r="Y999" s="93"/>
      <c r="Z999" s="93"/>
      <c r="AA999" s="291">
        <v>32</v>
      </c>
      <c r="AB999" s="93"/>
      <c r="AC999" s="93"/>
      <c r="AD999" s="93"/>
      <c r="AE999" s="93"/>
      <c r="AF999" s="79"/>
    </row>
    <row r="1000" spans="1:34">
      <c r="A1000" s="699"/>
      <c r="B1000" s="93"/>
      <c r="C1000" s="93"/>
      <c r="D1000" s="93"/>
      <c r="E1000" s="93"/>
      <c r="F1000" s="291">
        <v>2.2999999999999998</v>
      </c>
      <c r="G1000" s="93"/>
      <c r="H1000" s="93"/>
      <c r="I1000" s="93"/>
      <c r="J1000" s="93"/>
      <c r="K1000" s="93"/>
      <c r="L1000" s="93"/>
      <c r="M1000" s="93"/>
      <c r="N1000" s="93"/>
      <c r="O1000" s="93"/>
      <c r="P1000" s="93"/>
      <c r="Q1000" s="93"/>
      <c r="R1000" s="93"/>
      <c r="S1000" s="93"/>
      <c r="T1000" s="93"/>
      <c r="U1000" s="93"/>
      <c r="V1000" s="93"/>
      <c r="W1000" s="93"/>
      <c r="X1000" s="93"/>
      <c r="Y1000" s="93"/>
      <c r="Z1000" s="93"/>
      <c r="AA1000" s="291">
        <v>2.2999999999999998</v>
      </c>
      <c r="AB1000" s="93"/>
      <c r="AC1000" s="93"/>
      <c r="AD1000" s="93"/>
      <c r="AE1000" s="93"/>
      <c r="AF1000" s="79"/>
    </row>
    <row r="1001" spans="1:34">
      <c r="AH1001">
        <v>1000</v>
      </c>
    </row>
    <row r="1002" spans="1:34">
      <c r="AH1002">
        <v>999</v>
      </c>
    </row>
    <row r="1003" spans="1:34">
      <c r="AH1003">
        <v>1000</v>
      </c>
    </row>
    <row r="1004" spans="1:34">
      <c r="AH1004">
        <v>1000</v>
      </c>
    </row>
    <row r="1005" spans="1:34">
      <c r="AH1005">
        <v>999</v>
      </c>
    </row>
    <row r="1006" spans="1:34">
      <c r="AH1006">
        <v>1000</v>
      </c>
    </row>
    <row r="1007" spans="1:34">
      <c r="AH1007">
        <v>1000</v>
      </c>
    </row>
    <row r="1008" spans="1:34">
      <c r="A1008" s="699"/>
      <c r="B1008" s="93"/>
      <c r="C1008" s="93"/>
      <c r="D1008" s="93"/>
      <c r="E1008" s="206">
        <v>14.13</v>
      </c>
      <c r="F1008" s="291">
        <v>32</v>
      </c>
      <c r="G1008" s="93"/>
      <c r="H1008" s="93"/>
      <c r="I1008" s="93"/>
      <c r="J1008" s="93"/>
      <c r="K1008" s="93"/>
      <c r="L1008" s="93"/>
      <c r="M1008" s="93"/>
      <c r="N1008" s="93"/>
      <c r="O1008" s="93"/>
      <c r="P1008" s="93"/>
      <c r="Q1008" s="93"/>
      <c r="R1008" s="93"/>
      <c r="S1008" s="93"/>
      <c r="T1008" s="93"/>
      <c r="U1008" s="93"/>
      <c r="V1008" s="93"/>
      <c r="W1008" s="93"/>
      <c r="X1008" s="93"/>
      <c r="Y1008" s="93"/>
      <c r="Z1008" s="93"/>
      <c r="AA1008" s="291">
        <v>32</v>
      </c>
      <c r="AB1008" s="206">
        <v>14.13</v>
      </c>
      <c r="AC1008" s="93"/>
      <c r="AD1008" s="93"/>
      <c r="AE1008" s="93"/>
      <c r="AF1008" s="79"/>
    </row>
    <row r="1009" spans="1:32">
      <c r="A1009" s="699"/>
      <c r="B1009" s="93"/>
      <c r="C1009" s="93"/>
      <c r="D1009" s="93"/>
      <c r="E1009" s="206">
        <v>14.13</v>
      </c>
      <c r="F1009" s="291">
        <v>32</v>
      </c>
      <c r="G1009" s="93"/>
      <c r="H1009" s="93"/>
      <c r="I1009" s="93"/>
      <c r="J1009" s="93"/>
      <c r="K1009" s="93"/>
      <c r="L1009" s="93"/>
      <c r="M1009" s="93"/>
      <c r="N1009" s="93"/>
      <c r="O1009" s="93"/>
      <c r="P1009" s="93"/>
      <c r="Q1009" s="93"/>
      <c r="R1009" s="93"/>
      <c r="S1009" s="93"/>
      <c r="T1009" s="93"/>
      <c r="U1009" s="93"/>
      <c r="V1009" s="93"/>
      <c r="W1009" s="93"/>
      <c r="X1009" s="93"/>
      <c r="Y1009" s="93"/>
      <c r="Z1009" s="93"/>
      <c r="AA1009" s="291">
        <v>32</v>
      </c>
      <c r="AB1009" s="206">
        <v>14.13</v>
      </c>
      <c r="AC1009" s="93"/>
      <c r="AD1009" s="93"/>
      <c r="AE1009" s="93"/>
      <c r="AF1009" s="79"/>
    </row>
    <row r="1010" spans="1:32">
      <c r="A1010" s="699"/>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c r="AF1010" s="79"/>
    </row>
    <row r="1011" spans="1:32">
      <c r="A1011" s="699"/>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c r="AF1011" s="79"/>
    </row>
    <row r="1012" spans="1:32">
      <c r="A1012" s="699"/>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c r="AF1012" s="79"/>
    </row>
    <row r="1013" spans="1:32">
      <c r="A1013" s="699"/>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c r="AF1013" s="79"/>
    </row>
    <row r="1014" spans="1:32">
      <c r="A1014" s="699"/>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c r="AF1014" s="79"/>
    </row>
    <row r="1015" spans="1:32">
      <c r="A1015" s="699"/>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c r="AF1015" s="79"/>
    </row>
    <row r="1016" spans="1:32">
      <c r="A1016" s="699"/>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c r="AF1016" s="79"/>
    </row>
    <row r="1017" spans="1:32">
      <c r="A1017" s="699"/>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c r="AF1017" s="79"/>
    </row>
    <row r="1018" spans="1:32">
      <c r="A1018" s="699"/>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c r="AF1018" s="79"/>
    </row>
    <row r="1019" spans="1:32">
      <c r="A1019" s="699"/>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c r="AF1019" s="79"/>
    </row>
    <row r="1020" spans="1:32">
      <c r="A1020" s="699"/>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c r="AF1020" s="79"/>
    </row>
    <row r="1021" spans="1:32">
      <c r="A1021" s="699"/>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c r="AF1021" s="79"/>
    </row>
    <row r="1022" spans="1:32">
      <c r="A1022" s="699"/>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c r="AF1022" s="79"/>
    </row>
    <row r="1023" spans="1:32">
      <c r="A1023" s="699"/>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c r="AF1023" s="79"/>
    </row>
    <row r="1024" spans="1:32">
      <c r="A1024" s="700"/>
      <c r="B1024" s="73"/>
      <c r="C1024" s="73"/>
      <c r="D1024" s="73"/>
      <c r="E1024" s="73"/>
      <c r="F1024" s="73"/>
      <c r="G1024" s="73"/>
      <c r="H1024" s="73"/>
      <c r="I1024" s="73"/>
      <c r="J1024" s="73"/>
      <c r="K1024" s="73"/>
      <c r="L1024" s="73"/>
      <c r="M1024" s="73"/>
      <c r="N1024" s="73"/>
      <c r="O1024" s="73"/>
      <c r="P1024" s="73"/>
      <c r="Q1024" s="73"/>
      <c r="R1024" s="73"/>
      <c r="S1024" s="73"/>
      <c r="T1024" s="73"/>
      <c r="U1024" s="73"/>
      <c r="V1024" s="73"/>
      <c r="W1024" s="73"/>
      <c r="X1024" s="73"/>
      <c r="Y1024" s="73"/>
      <c r="Z1024" s="73"/>
      <c r="AA1024" s="73"/>
      <c r="AB1024" s="73"/>
      <c r="AC1024" s="73"/>
      <c r="AD1024" s="73"/>
      <c r="AE1024" s="73"/>
      <c r="AF1024" s="701"/>
    </row>
    <row r="1025" spans="1:34">
      <c r="AF1025" s="530"/>
      <c r="AG1025">
        <v>33</v>
      </c>
    </row>
    <row r="1026" spans="1:34">
      <c r="AF1026" s="79"/>
    </row>
    <row r="1027" spans="1:34">
      <c r="A1027" s="699"/>
      <c r="B1027" s="93"/>
      <c r="C1027" s="93"/>
      <c r="D1027" s="93"/>
      <c r="E1027" s="93"/>
      <c r="F1027" s="93"/>
      <c r="G1027" s="93"/>
      <c r="H1027" s="93"/>
      <c r="I1027" s="93"/>
      <c r="J1027" s="93"/>
      <c r="K1027" s="421">
        <v>2</v>
      </c>
      <c r="L1027" s="432">
        <v>2</v>
      </c>
      <c r="M1027" s="432">
        <v>2</v>
      </c>
      <c r="N1027" s="432">
        <v>2</v>
      </c>
      <c r="O1027" s="432">
        <v>2</v>
      </c>
      <c r="P1027" s="432">
        <v>2</v>
      </c>
      <c r="Q1027" s="432">
        <v>2</v>
      </c>
      <c r="R1027" s="432">
        <v>2</v>
      </c>
      <c r="S1027" s="432">
        <v>2</v>
      </c>
      <c r="T1027" s="432">
        <v>2</v>
      </c>
      <c r="U1027" s="432">
        <v>2</v>
      </c>
      <c r="V1027" s="439">
        <v>2</v>
      </c>
      <c r="W1027" s="93"/>
      <c r="X1027" s="93"/>
      <c r="Y1027" s="93"/>
      <c r="Z1027" s="93"/>
      <c r="AA1027" s="93"/>
      <c r="AF1027" s="79"/>
    </row>
    <row r="1028" spans="1:34">
      <c r="AH1028">
        <v>1027</v>
      </c>
    </row>
    <row r="1029" spans="1:34">
      <c r="A1029" s="699"/>
      <c r="B1029" s="93"/>
      <c r="C1029" s="93"/>
      <c r="D1029" s="93"/>
      <c r="E1029" s="93"/>
      <c r="F1029" s="93"/>
      <c r="G1029" s="93"/>
      <c r="H1029" s="93"/>
      <c r="I1029" s="93"/>
      <c r="J1029" s="93"/>
      <c r="K1029" s="421">
        <v>2</v>
      </c>
      <c r="L1029" s="206">
        <v>2</v>
      </c>
      <c r="M1029" s="206">
        <v>2</v>
      </c>
      <c r="N1029" s="432">
        <v>2</v>
      </c>
      <c r="O1029" s="206">
        <v>2</v>
      </c>
      <c r="P1029" s="432">
        <v>2</v>
      </c>
      <c r="Q1029" s="432">
        <v>2</v>
      </c>
      <c r="R1029" s="206">
        <v>2</v>
      </c>
      <c r="S1029" s="206">
        <v>2</v>
      </c>
      <c r="T1029" s="432">
        <v>2</v>
      </c>
      <c r="U1029" s="206">
        <v>2</v>
      </c>
      <c r="V1029" s="439">
        <v>2</v>
      </c>
      <c r="W1029" s="93"/>
      <c r="X1029" s="93"/>
      <c r="Y1029" s="93"/>
      <c r="Z1029" s="93"/>
      <c r="AA1029" s="93"/>
      <c r="AF1029" s="79"/>
    </row>
    <row r="1030" spans="1:34">
      <c r="A1030" s="699"/>
      <c r="B1030" s="93"/>
      <c r="C1030" s="93"/>
      <c r="D1030" s="93"/>
      <c r="E1030" s="93"/>
      <c r="F1030" s="93"/>
      <c r="G1030" s="93"/>
      <c r="H1030" s="93"/>
      <c r="I1030" s="93"/>
      <c r="J1030" s="93"/>
      <c r="K1030" s="421">
        <v>2</v>
      </c>
      <c r="L1030" s="206">
        <v>2</v>
      </c>
      <c r="M1030" s="432">
        <v>2</v>
      </c>
      <c r="N1030" s="432">
        <v>2</v>
      </c>
      <c r="O1030" s="206">
        <v>2</v>
      </c>
      <c r="P1030" s="432">
        <v>2</v>
      </c>
      <c r="Q1030" s="432">
        <v>2</v>
      </c>
      <c r="R1030" s="206">
        <v>2</v>
      </c>
      <c r="S1030" s="432">
        <v>2</v>
      </c>
      <c r="T1030" s="432">
        <v>2</v>
      </c>
      <c r="U1030" s="206">
        <v>2</v>
      </c>
      <c r="V1030" s="439">
        <v>2</v>
      </c>
      <c r="W1030" s="93"/>
      <c r="X1030" s="93"/>
      <c r="Y1030" s="93"/>
      <c r="Z1030" s="93"/>
      <c r="AA1030" s="93"/>
      <c r="AF1030" s="79"/>
    </row>
    <row r="1031" spans="1:34">
      <c r="A1031" s="699"/>
      <c r="B1031" s="93"/>
      <c r="C1031" s="93"/>
      <c r="D1031" s="93"/>
      <c r="E1031" s="93"/>
      <c r="F1031" s="93"/>
      <c r="G1031" s="93"/>
      <c r="H1031" s="93"/>
      <c r="I1031" s="93"/>
      <c r="J1031" s="93"/>
      <c r="K1031" s="421">
        <v>2</v>
      </c>
      <c r="L1031" s="206">
        <v>2</v>
      </c>
      <c r="M1031" s="206">
        <v>2</v>
      </c>
      <c r="N1031" s="432">
        <v>2</v>
      </c>
      <c r="O1031" s="206">
        <v>2</v>
      </c>
      <c r="P1031" s="432">
        <v>2</v>
      </c>
      <c r="Q1031" s="432">
        <v>2</v>
      </c>
      <c r="R1031" s="206">
        <v>2</v>
      </c>
      <c r="S1031" s="206">
        <v>2</v>
      </c>
      <c r="T1031" s="432">
        <v>2</v>
      </c>
      <c r="U1031" s="206">
        <v>2</v>
      </c>
      <c r="V1031" s="439">
        <v>2</v>
      </c>
      <c r="W1031" s="93"/>
      <c r="X1031" s="93"/>
      <c r="Y1031" s="93"/>
      <c r="Z1031" s="93"/>
      <c r="AA1031" s="93"/>
      <c r="AF1031" s="79"/>
    </row>
    <row r="1032" spans="1:34">
      <c r="A1032" s="699"/>
      <c r="B1032" s="93"/>
      <c r="C1032" s="93"/>
      <c r="D1032" s="93"/>
      <c r="E1032" s="93"/>
      <c r="F1032" s="93"/>
      <c r="G1032" s="93"/>
      <c r="H1032" s="93"/>
      <c r="I1032" s="93"/>
      <c r="J1032" s="93"/>
      <c r="K1032" s="421">
        <v>2</v>
      </c>
      <c r="L1032" s="206">
        <v>2</v>
      </c>
      <c r="M1032" s="206">
        <v>2</v>
      </c>
      <c r="N1032" s="432">
        <v>2</v>
      </c>
      <c r="O1032" s="206">
        <v>2</v>
      </c>
      <c r="P1032" s="206">
        <v>2</v>
      </c>
      <c r="Q1032" s="432">
        <v>2</v>
      </c>
      <c r="R1032" s="206">
        <v>2</v>
      </c>
      <c r="S1032" s="206">
        <v>2</v>
      </c>
      <c r="T1032" s="432">
        <v>2</v>
      </c>
      <c r="U1032" s="206">
        <v>2</v>
      </c>
      <c r="V1032" s="439">
        <v>2</v>
      </c>
      <c r="W1032" s="93"/>
      <c r="X1032" s="93"/>
      <c r="Y1032" s="93"/>
      <c r="Z1032" s="93"/>
      <c r="AA1032" s="93"/>
      <c r="AF1032" s="79"/>
    </row>
    <row r="1033" spans="1:34">
      <c r="AH1033">
        <v>1027</v>
      </c>
    </row>
    <row r="1034" spans="1:34">
      <c r="AH1034">
        <v>1027</v>
      </c>
    </row>
    <row r="1035" spans="1:34">
      <c r="A1035" s="699"/>
      <c r="B1035" s="93"/>
      <c r="C1035" s="93"/>
      <c r="D1035" s="93"/>
      <c r="E1035" s="93"/>
      <c r="F1035" s="93"/>
      <c r="G1035" s="93"/>
      <c r="H1035" s="93"/>
      <c r="I1035" s="93"/>
      <c r="J1035" s="93"/>
      <c r="K1035" s="421">
        <v>2</v>
      </c>
      <c r="L1035" s="432">
        <v>2</v>
      </c>
      <c r="M1035" s="432">
        <v>2</v>
      </c>
      <c r="N1035" s="421">
        <v>2</v>
      </c>
      <c r="O1035" s="432">
        <v>2</v>
      </c>
      <c r="P1035" s="432">
        <v>2</v>
      </c>
      <c r="Q1035" s="421">
        <v>2</v>
      </c>
      <c r="R1035" s="421">
        <v>2</v>
      </c>
      <c r="S1035" s="432">
        <v>2</v>
      </c>
      <c r="T1035" s="432">
        <v>2</v>
      </c>
      <c r="U1035" s="421">
        <v>2</v>
      </c>
      <c r="V1035" s="439">
        <v>2</v>
      </c>
      <c r="W1035" s="93"/>
      <c r="X1035" s="93"/>
      <c r="Y1035" s="93"/>
      <c r="Z1035" s="93"/>
      <c r="AA1035" s="93"/>
      <c r="AF1035" s="79"/>
    </row>
    <row r="1036" spans="1:34">
      <c r="A1036" s="699"/>
      <c r="B1036" s="93"/>
      <c r="C1036" s="93"/>
      <c r="D1036" s="93"/>
      <c r="E1036" s="93"/>
      <c r="F1036" s="93"/>
      <c r="G1036" s="93"/>
      <c r="H1036" s="93"/>
      <c r="I1036" s="93"/>
      <c r="J1036" s="93"/>
      <c r="K1036" s="421">
        <v>2</v>
      </c>
      <c r="L1036" s="432">
        <v>2</v>
      </c>
      <c r="M1036" s="421">
        <v>2</v>
      </c>
      <c r="N1036" s="421">
        <v>2</v>
      </c>
      <c r="O1036" s="421">
        <v>2</v>
      </c>
      <c r="P1036" s="421">
        <v>2</v>
      </c>
      <c r="Q1036" s="432">
        <v>2</v>
      </c>
      <c r="R1036" s="432">
        <v>2</v>
      </c>
      <c r="S1036" s="421">
        <v>2</v>
      </c>
      <c r="T1036" s="421">
        <v>2</v>
      </c>
      <c r="U1036" s="432">
        <v>2</v>
      </c>
      <c r="V1036" s="439">
        <v>2</v>
      </c>
      <c r="W1036" s="93"/>
      <c r="X1036" s="93"/>
      <c r="Y1036" s="93"/>
      <c r="Z1036" s="93"/>
      <c r="AA1036" s="93"/>
      <c r="AF1036" s="79"/>
    </row>
    <row r="1037" spans="1:34">
      <c r="AH1037">
        <v>1027</v>
      </c>
    </row>
    <row r="1038" spans="1:34">
      <c r="K1038" s="421">
        <v>2</v>
      </c>
      <c r="L1038" s="432">
        <v>2</v>
      </c>
      <c r="M1038" s="421">
        <v>2</v>
      </c>
      <c r="N1038" s="421">
        <v>2</v>
      </c>
      <c r="O1038" s="432">
        <v>2</v>
      </c>
      <c r="P1038" s="421">
        <v>2</v>
      </c>
      <c r="Q1038" s="432">
        <v>2</v>
      </c>
      <c r="R1038" s="421">
        <v>2</v>
      </c>
      <c r="S1038" s="421">
        <v>2</v>
      </c>
      <c r="T1038" s="432">
        <v>2</v>
      </c>
      <c r="U1038" s="432">
        <v>2</v>
      </c>
      <c r="V1038" s="439">
        <v>2</v>
      </c>
      <c r="AF1038" s="79"/>
    </row>
    <row r="1039" spans="1:34">
      <c r="K1039" s="421">
        <v>2</v>
      </c>
      <c r="L1039" s="421">
        <v>2</v>
      </c>
      <c r="M1039" s="421">
        <v>2</v>
      </c>
      <c r="N1039" s="432">
        <v>2</v>
      </c>
      <c r="O1039" s="432">
        <v>2</v>
      </c>
      <c r="P1039" s="432">
        <v>2</v>
      </c>
      <c r="Q1039" s="421">
        <v>2</v>
      </c>
      <c r="R1039" s="432">
        <v>2</v>
      </c>
      <c r="S1039" s="432">
        <v>2</v>
      </c>
      <c r="T1039" s="421">
        <v>2</v>
      </c>
      <c r="U1039" s="421">
        <v>2</v>
      </c>
      <c r="V1039" s="439">
        <v>2</v>
      </c>
      <c r="AF1039" s="79"/>
    </row>
    <row r="1040" spans="1:34">
      <c r="AH1040">
        <v>1027</v>
      </c>
    </row>
    <row r="1041" spans="1:34">
      <c r="K1041" s="421">
        <v>2</v>
      </c>
      <c r="L1041" s="432">
        <v>2</v>
      </c>
      <c r="M1041" s="432">
        <v>2</v>
      </c>
      <c r="N1041" s="411">
        <v>2</v>
      </c>
      <c r="O1041" s="432">
        <v>2</v>
      </c>
      <c r="P1041" s="411">
        <v>2</v>
      </c>
      <c r="Q1041" s="432">
        <v>2</v>
      </c>
      <c r="R1041" s="411">
        <v>2</v>
      </c>
      <c r="S1041" s="432">
        <v>2</v>
      </c>
      <c r="T1041" s="411">
        <v>2</v>
      </c>
      <c r="U1041" s="432">
        <v>2</v>
      </c>
      <c r="V1041" s="439">
        <v>2</v>
      </c>
      <c r="AF1041" s="79"/>
    </row>
    <row r="1042" spans="1:34">
      <c r="K1042" s="421">
        <v>2</v>
      </c>
      <c r="L1042" s="411">
        <v>2</v>
      </c>
      <c r="M1042" s="411">
        <v>2</v>
      </c>
      <c r="N1042" s="411">
        <v>2</v>
      </c>
      <c r="O1042" s="432">
        <v>2</v>
      </c>
      <c r="P1042" s="411">
        <v>2</v>
      </c>
      <c r="Q1042" s="432">
        <v>2</v>
      </c>
      <c r="R1042" s="432">
        <v>2</v>
      </c>
      <c r="S1042" s="411">
        <v>2</v>
      </c>
      <c r="T1042" s="411">
        <v>2</v>
      </c>
      <c r="U1042" s="432">
        <v>2</v>
      </c>
      <c r="V1042" s="439">
        <v>2</v>
      </c>
      <c r="AF1042" s="79"/>
    </row>
    <row r="1043" spans="1:34">
      <c r="K1043" s="421">
        <v>2</v>
      </c>
      <c r="L1043" s="411">
        <v>2</v>
      </c>
      <c r="M1043" s="411">
        <v>2</v>
      </c>
      <c r="N1043" s="411">
        <v>2</v>
      </c>
      <c r="O1043" s="432">
        <v>2</v>
      </c>
      <c r="P1043" s="411">
        <v>2</v>
      </c>
      <c r="Q1043" s="432">
        <v>2</v>
      </c>
      <c r="R1043" s="411">
        <v>2</v>
      </c>
      <c r="S1043" s="411">
        <v>2</v>
      </c>
      <c r="T1043" s="411">
        <v>2</v>
      </c>
      <c r="U1043" s="432">
        <v>2</v>
      </c>
      <c r="V1043" s="439">
        <v>2</v>
      </c>
      <c r="AB1043" s="93"/>
      <c r="AC1043" s="93"/>
      <c r="AD1043" s="93"/>
      <c r="AE1043" s="93"/>
      <c r="AF1043" s="79"/>
    </row>
    <row r="1044" spans="1:34">
      <c r="K1044" s="421">
        <v>2</v>
      </c>
      <c r="L1044" s="411">
        <v>2</v>
      </c>
      <c r="M1044" s="432">
        <v>2</v>
      </c>
      <c r="N1044" s="411">
        <v>2</v>
      </c>
      <c r="O1044" s="432">
        <v>2</v>
      </c>
      <c r="P1044" s="411">
        <v>2</v>
      </c>
      <c r="Q1044" s="432">
        <v>2</v>
      </c>
      <c r="R1044" s="411">
        <v>2</v>
      </c>
      <c r="S1044" s="432">
        <v>2</v>
      </c>
      <c r="T1044" s="411">
        <v>2</v>
      </c>
      <c r="U1044" s="432">
        <v>2</v>
      </c>
      <c r="V1044" s="439">
        <v>2</v>
      </c>
      <c r="AB1044" s="93"/>
      <c r="AC1044" s="93"/>
      <c r="AD1044" s="93"/>
      <c r="AE1044" s="93"/>
      <c r="AF1044" s="79"/>
    </row>
    <row r="1045" spans="1:34">
      <c r="AH1045">
        <v>1044</v>
      </c>
    </row>
    <row r="1046" spans="1:34">
      <c r="K1046" s="421">
        <v>2</v>
      </c>
      <c r="L1046" s="432">
        <v>2</v>
      </c>
      <c r="M1046" s="411">
        <v>2</v>
      </c>
      <c r="N1046" s="411">
        <v>2</v>
      </c>
      <c r="O1046" s="432">
        <v>2</v>
      </c>
      <c r="P1046" s="411">
        <v>2</v>
      </c>
      <c r="Q1046" s="432">
        <v>2</v>
      </c>
      <c r="R1046" s="432">
        <v>2</v>
      </c>
      <c r="S1046" s="411">
        <v>2</v>
      </c>
      <c r="T1046" s="411">
        <v>2</v>
      </c>
      <c r="U1046" s="432">
        <v>2</v>
      </c>
      <c r="V1046" s="439">
        <v>2</v>
      </c>
      <c r="AB1046" s="93"/>
      <c r="AC1046" s="93"/>
      <c r="AD1046" s="93"/>
      <c r="AE1046" s="93"/>
      <c r="AF1046" s="79"/>
    </row>
    <row r="1047" spans="1:34">
      <c r="AH1047">
        <v>1027</v>
      </c>
    </row>
    <row r="1048" spans="1:34">
      <c r="K1048" s="432">
        <v>2</v>
      </c>
      <c r="L1048" s="421">
        <v>2</v>
      </c>
      <c r="M1048" s="421">
        <v>2</v>
      </c>
      <c r="N1048" s="421">
        <v>2</v>
      </c>
      <c r="O1048" s="421">
        <v>2</v>
      </c>
      <c r="P1048" s="421">
        <v>2</v>
      </c>
      <c r="Q1048" s="421">
        <v>2</v>
      </c>
      <c r="R1048" s="421">
        <v>2</v>
      </c>
      <c r="S1048" s="421">
        <v>2</v>
      </c>
      <c r="T1048" s="421">
        <v>2</v>
      </c>
      <c r="U1048" s="421">
        <v>2</v>
      </c>
      <c r="V1048" s="432">
        <v>2</v>
      </c>
      <c r="AB1048" s="93"/>
      <c r="AC1048" s="93"/>
      <c r="AD1048" s="93"/>
      <c r="AE1048" s="93"/>
      <c r="AF1048" s="79"/>
    </row>
    <row r="1049" spans="1:34">
      <c r="AB1049" s="93"/>
      <c r="AC1049" s="93"/>
      <c r="AD1049" s="93"/>
      <c r="AE1049" s="93"/>
      <c r="AF1049" s="79"/>
    </row>
    <row r="1050" spans="1:34">
      <c r="J1050" s="411">
        <v>12.09</v>
      </c>
      <c r="K1050" s="411">
        <v>12.09</v>
      </c>
      <c r="L1050" s="411">
        <v>12.09</v>
      </c>
      <c r="M1050" s="411">
        <v>12.09</v>
      </c>
      <c r="N1050" s="411">
        <v>12.09</v>
      </c>
      <c r="O1050" s="411">
        <v>17</v>
      </c>
      <c r="P1050" s="411">
        <v>17</v>
      </c>
      <c r="Q1050" s="411">
        <v>17</v>
      </c>
      <c r="R1050" s="411">
        <v>17</v>
      </c>
      <c r="S1050" s="411">
        <v>12.09</v>
      </c>
      <c r="T1050" s="411">
        <v>12.09</v>
      </c>
      <c r="U1050" s="411">
        <v>12.09</v>
      </c>
      <c r="V1050" s="411">
        <v>12.09</v>
      </c>
      <c r="W1050" s="411">
        <v>12.09</v>
      </c>
      <c r="AB1050" s="93"/>
      <c r="AC1050" s="93"/>
      <c r="AD1050" s="93"/>
      <c r="AE1050" s="93"/>
      <c r="AF1050" s="79"/>
    </row>
    <row r="1051" spans="1:34">
      <c r="J1051" s="411">
        <v>12.09</v>
      </c>
      <c r="K1051" s="439">
        <v>12.09</v>
      </c>
      <c r="L1051" s="439">
        <v>12.09</v>
      </c>
      <c r="M1051" s="439">
        <v>12.09</v>
      </c>
      <c r="N1051" s="439">
        <v>12.09</v>
      </c>
      <c r="O1051" s="411">
        <v>17</v>
      </c>
      <c r="P1051" s="439">
        <v>17</v>
      </c>
      <c r="Q1051" s="439">
        <v>17</v>
      </c>
      <c r="R1051" s="432">
        <v>17</v>
      </c>
      <c r="S1051" s="439">
        <v>12.09</v>
      </c>
      <c r="T1051" s="439">
        <v>12.09</v>
      </c>
      <c r="U1051" s="439">
        <v>12.09</v>
      </c>
      <c r="V1051" s="439">
        <v>12.09</v>
      </c>
      <c r="W1051" s="439">
        <v>12.09</v>
      </c>
      <c r="AB1051" s="93"/>
      <c r="AC1051" s="93"/>
      <c r="AD1051" s="93"/>
      <c r="AE1051" s="93"/>
      <c r="AF1051" s="79"/>
    </row>
    <row r="1052" spans="1:34">
      <c r="AH1052">
        <v>1051</v>
      </c>
    </row>
    <row r="1053" spans="1:34">
      <c r="J1053" s="432">
        <v>12.09</v>
      </c>
      <c r="K1053" s="432">
        <v>12.09</v>
      </c>
      <c r="L1053" s="432">
        <v>12.09</v>
      </c>
      <c r="M1053" s="432">
        <v>12.09</v>
      </c>
      <c r="N1053" s="432">
        <v>12.09</v>
      </c>
      <c r="O1053" s="432">
        <v>17</v>
      </c>
      <c r="P1053" s="432">
        <v>17</v>
      </c>
      <c r="Q1053" s="432">
        <v>17</v>
      </c>
      <c r="R1053" s="432">
        <v>17</v>
      </c>
      <c r="S1053" s="432">
        <v>12.09</v>
      </c>
      <c r="T1053" s="432">
        <v>12.09</v>
      </c>
      <c r="U1053" s="432">
        <v>12.09</v>
      </c>
      <c r="V1053" s="432">
        <v>12.09</v>
      </c>
      <c r="W1053" s="432">
        <v>12.09</v>
      </c>
      <c r="AB1053" s="93"/>
      <c r="AC1053" s="93"/>
      <c r="AD1053" s="93"/>
      <c r="AE1053" s="93"/>
      <c r="AF1053" s="79"/>
    </row>
    <row r="1054" spans="1:34">
      <c r="A1054" s="699"/>
      <c r="B1054" s="93"/>
      <c r="C1054" s="93"/>
      <c r="D1054" s="93"/>
      <c r="E1054" s="93"/>
      <c r="F1054" s="93"/>
      <c r="G1054" s="93"/>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c r="AF1054" s="79"/>
    </row>
    <row r="1055" spans="1:34">
      <c r="A1055" s="699"/>
      <c r="B1055" s="93"/>
      <c r="C1055" s="93"/>
      <c r="D1055" s="93"/>
      <c r="E1055" s="93"/>
      <c r="F1055" s="93"/>
      <c r="G1055" s="93"/>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c r="AF1055" s="79"/>
    </row>
    <row r="1056" spans="1:34">
      <c r="A1056" s="700"/>
      <c r="B1056" s="73"/>
      <c r="C1056" s="73"/>
      <c r="D1056" s="73"/>
      <c r="E1056" s="73"/>
      <c r="F1056" s="73"/>
      <c r="G1056" s="73"/>
      <c r="H1056" s="73"/>
      <c r="I1056" s="73"/>
      <c r="J1056" s="73"/>
      <c r="K1056" s="73"/>
      <c r="L1056" s="73"/>
      <c r="M1056" s="73"/>
      <c r="N1056" s="73"/>
      <c r="O1056" s="73"/>
      <c r="P1056" s="73"/>
      <c r="Q1056" s="73"/>
      <c r="R1056" s="73"/>
      <c r="S1056" s="73"/>
      <c r="T1056" s="73"/>
      <c r="U1056" s="73"/>
      <c r="V1056" s="73"/>
      <c r="W1056" s="73"/>
      <c r="X1056" s="73"/>
      <c r="Y1056" s="73"/>
      <c r="Z1056" s="73"/>
      <c r="AA1056" s="73"/>
      <c r="AB1056" s="73"/>
      <c r="AC1056" s="73"/>
      <c r="AD1056" s="73"/>
      <c r="AE1056" s="73"/>
      <c r="AF1056" s="701"/>
    </row>
    <row r="1057" spans="1:33">
      <c r="A1057" s="1249">
        <v>31</v>
      </c>
      <c r="B1057" s="1250">
        <v>31</v>
      </c>
      <c r="C1057" s="1250">
        <v>30</v>
      </c>
      <c r="D1057" s="1250">
        <v>31</v>
      </c>
      <c r="E1057" s="490">
        <v>31</v>
      </c>
      <c r="F1057" s="1250">
        <v>31</v>
      </c>
      <c r="G1057" s="1250">
        <v>30</v>
      </c>
      <c r="H1057" s="1250">
        <v>31</v>
      </c>
      <c r="I1057" s="490">
        <v>31</v>
      </c>
      <c r="J1057" s="1250">
        <v>31</v>
      </c>
      <c r="K1057" s="1250">
        <v>30</v>
      </c>
      <c r="L1057" s="1250">
        <v>31</v>
      </c>
      <c r="M1057" s="490">
        <v>31</v>
      </c>
      <c r="N1057" s="1250">
        <v>31</v>
      </c>
      <c r="O1057" s="1250">
        <v>30</v>
      </c>
      <c r="P1057" s="1250">
        <v>31</v>
      </c>
      <c r="Q1057" s="490">
        <v>31</v>
      </c>
      <c r="R1057" s="1250">
        <v>31</v>
      </c>
      <c r="S1057" s="1250">
        <v>30</v>
      </c>
      <c r="T1057" s="1250">
        <v>31</v>
      </c>
      <c r="U1057" s="490">
        <v>31</v>
      </c>
      <c r="V1057" s="1250">
        <v>31</v>
      </c>
      <c r="W1057" s="1250">
        <v>30</v>
      </c>
      <c r="X1057" s="1250">
        <v>31</v>
      </c>
      <c r="Y1057" s="490">
        <v>31</v>
      </c>
      <c r="Z1057" s="1250">
        <v>31</v>
      </c>
      <c r="AA1057" s="1250">
        <v>30</v>
      </c>
      <c r="AB1057" s="1250">
        <v>31</v>
      </c>
      <c r="AC1057" s="490">
        <v>31</v>
      </c>
      <c r="AD1057" s="1250">
        <v>31</v>
      </c>
      <c r="AE1057" s="1250">
        <v>30</v>
      </c>
      <c r="AF1057" s="1250">
        <v>31</v>
      </c>
      <c r="AG1057">
        <v>34</v>
      </c>
    </row>
    <row r="1058" spans="1:33">
      <c r="A1058" s="1251">
        <v>31</v>
      </c>
      <c r="B1058" s="415">
        <v>32</v>
      </c>
      <c r="C1058" s="415">
        <v>32</v>
      </c>
      <c r="D1058" s="415">
        <v>32</v>
      </c>
      <c r="E1058" s="415">
        <v>32</v>
      </c>
      <c r="F1058" s="415">
        <v>32</v>
      </c>
      <c r="G1058" s="415">
        <v>32</v>
      </c>
      <c r="H1058" s="415">
        <v>32</v>
      </c>
      <c r="I1058" s="415">
        <v>32</v>
      </c>
      <c r="J1058" s="415">
        <v>32</v>
      </c>
      <c r="K1058" s="415">
        <v>32</v>
      </c>
      <c r="L1058" s="415">
        <v>32</v>
      </c>
      <c r="M1058" s="415">
        <v>32</v>
      </c>
      <c r="N1058" s="415">
        <v>32</v>
      </c>
      <c r="O1058" s="415">
        <v>32</v>
      </c>
      <c r="P1058" s="415">
        <v>32</v>
      </c>
      <c r="Q1058" s="415">
        <v>32</v>
      </c>
      <c r="R1058" s="415">
        <v>32</v>
      </c>
      <c r="S1058" s="415">
        <v>32</v>
      </c>
      <c r="T1058" s="415">
        <v>32</v>
      </c>
      <c r="U1058" s="415">
        <v>32</v>
      </c>
      <c r="V1058" s="415">
        <v>32</v>
      </c>
      <c r="W1058" s="415">
        <v>32</v>
      </c>
      <c r="X1058" s="415">
        <v>32</v>
      </c>
      <c r="Y1058" s="415">
        <v>32</v>
      </c>
      <c r="Z1058" s="415">
        <v>32</v>
      </c>
      <c r="AA1058" s="415">
        <v>32</v>
      </c>
      <c r="AB1058" s="415">
        <v>32</v>
      </c>
      <c r="AC1058" s="415">
        <v>32</v>
      </c>
      <c r="AD1058" s="415">
        <v>32</v>
      </c>
      <c r="AE1058" s="415">
        <v>32</v>
      </c>
      <c r="AF1058" s="409">
        <v>31</v>
      </c>
    </row>
    <row r="1059" spans="1:33">
      <c r="A1059" s="1250">
        <v>31</v>
      </c>
      <c r="B1059" s="415">
        <v>32</v>
      </c>
      <c r="C1059" s="1285"/>
      <c r="D1059" s="411">
        <v>54.52</v>
      </c>
      <c r="E1059" s="439">
        <v>54.52</v>
      </c>
      <c r="F1059" s="1285"/>
      <c r="G1059" s="1285"/>
      <c r="H1059" s="1285"/>
      <c r="I1059" s="1285"/>
      <c r="J1059" s="1285"/>
      <c r="K1059" s="1285"/>
      <c r="L1059" s="1285"/>
      <c r="M1059" s="1285"/>
      <c r="N1059" s="1285"/>
      <c r="O1059" s="1285"/>
      <c r="P1059" s="411">
        <v>54.52</v>
      </c>
      <c r="Q1059" s="439">
        <v>54.52</v>
      </c>
      <c r="R1059" s="1285"/>
      <c r="S1059" s="1285"/>
      <c r="T1059" s="1285"/>
      <c r="U1059" s="1285"/>
      <c r="V1059" s="1285"/>
      <c r="W1059" s="1285"/>
      <c r="X1059" s="1285"/>
      <c r="Y1059" s="1285"/>
      <c r="Z1059" s="1285"/>
      <c r="AA1059" s="1285"/>
      <c r="AB1059" s="411">
        <v>54.52</v>
      </c>
      <c r="AC1059" s="439">
        <v>54.52</v>
      </c>
      <c r="AD1059" s="1285"/>
      <c r="AE1059" s="1250">
        <v>32</v>
      </c>
      <c r="AF1059" s="1250">
        <v>31</v>
      </c>
    </row>
    <row r="1060" spans="1:33">
      <c r="A1060" s="1251">
        <v>31</v>
      </c>
      <c r="B1060" s="415">
        <v>32</v>
      </c>
      <c r="C1060" s="1285"/>
      <c r="D1060" s="411">
        <v>52.5</v>
      </c>
      <c r="E1060" s="439">
        <v>52.5</v>
      </c>
      <c r="F1060" s="1286">
        <v>51.51</v>
      </c>
      <c r="G1060" s="1286">
        <v>51.51</v>
      </c>
      <c r="H1060" s="1286">
        <v>51.51</v>
      </c>
      <c r="I1060" s="1286">
        <v>52.5</v>
      </c>
      <c r="J1060" s="1286">
        <v>51.51</v>
      </c>
      <c r="K1060" s="1286">
        <v>51.51</v>
      </c>
      <c r="L1060" s="1286">
        <v>52.5</v>
      </c>
      <c r="M1060" s="1286">
        <v>51.51</v>
      </c>
      <c r="N1060" s="1286">
        <v>51.51</v>
      </c>
      <c r="O1060" s="1286">
        <v>51.51</v>
      </c>
      <c r="P1060" s="411">
        <v>52.5</v>
      </c>
      <c r="Q1060" s="439">
        <v>52.5</v>
      </c>
      <c r="R1060" s="1286">
        <v>51.51</v>
      </c>
      <c r="S1060" s="1286">
        <v>51.51</v>
      </c>
      <c r="T1060" s="1286">
        <v>51.51</v>
      </c>
      <c r="U1060" s="1286">
        <v>52.5</v>
      </c>
      <c r="V1060" s="1286">
        <v>51.51</v>
      </c>
      <c r="W1060" s="1286">
        <v>51.51</v>
      </c>
      <c r="X1060" s="1286">
        <v>52.5</v>
      </c>
      <c r="Y1060" s="1286">
        <v>51.51</v>
      </c>
      <c r="Z1060" s="1286">
        <v>51.51</v>
      </c>
      <c r="AA1060" s="1286">
        <v>51.51</v>
      </c>
      <c r="AB1060" s="411">
        <v>52.5</v>
      </c>
      <c r="AC1060" s="439">
        <v>52.5</v>
      </c>
      <c r="AD1060" s="1285"/>
      <c r="AE1060" s="415">
        <v>32</v>
      </c>
      <c r="AF1060" s="409">
        <v>31</v>
      </c>
    </row>
    <row r="1061" spans="1:33">
      <c r="A1061" s="491">
        <v>30</v>
      </c>
      <c r="B1061" s="415">
        <v>32</v>
      </c>
      <c r="C1061" s="1287"/>
      <c r="D1061" s="411">
        <v>50.48</v>
      </c>
      <c r="E1061" s="439">
        <v>50.48</v>
      </c>
      <c r="F1061" s="1287"/>
      <c r="G1061" s="1287"/>
      <c r="H1061" s="1287"/>
      <c r="I1061" s="1285"/>
      <c r="J1061" s="1285"/>
      <c r="K1061" s="1285"/>
      <c r="L1061" s="1285"/>
      <c r="M1061" s="1285"/>
      <c r="N1061" s="1285"/>
      <c r="O1061" s="1285"/>
      <c r="P1061" s="411">
        <v>50.48</v>
      </c>
      <c r="Q1061" s="439">
        <v>50.48</v>
      </c>
      <c r="R1061" s="1285"/>
      <c r="S1061" s="1285"/>
      <c r="T1061" s="1285"/>
      <c r="U1061" s="1285"/>
      <c r="V1061" s="1285"/>
      <c r="W1061" s="1285"/>
      <c r="X1061" s="1285"/>
      <c r="Y1061" s="1285"/>
      <c r="Z1061" s="1287"/>
      <c r="AA1061" s="1287"/>
      <c r="AB1061" s="411">
        <v>50.48</v>
      </c>
      <c r="AC1061" s="439">
        <v>50.48</v>
      </c>
      <c r="AD1061" s="1285"/>
      <c r="AE1061" s="420">
        <v>32</v>
      </c>
      <c r="AF1061" s="409">
        <v>31</v>
      </c>
    </row>
    <row r="1062" spans="1:33">
      <c r="A1062" s="1251">
        <v>31</v>
      </c>
      <c r="B1062" s="415">
        <v>32</v>
      </c>
      <c r="C1062" s="1287"/>
      <c r="D1062" s="411">
        <v>48</v>
      </c>
      <c r="E1062" s="439">
        <v>48</v>
      </c>
      <c r="F1062" s="1286">
        <v>40.4</v>
      </c>
      <c r="G1062" s="1286">
        <v>40.4</v>
      </c>
      <c r="H1062" s="1286">
        <v>40.4</v>
      </c>
      <c r="I1062" s="1286">
        <v>41.39</v>
      </c>
      <c r="J1062" s="1286">
        <v>40.4</v>
      </c>
      <c r="K1062" s="1286">
        <v>40.4</v>
      </c>
      <c r="L1062" s="1286">
        <v>41.39</v>
      </c>
      <c r="M1062" s="1286">
        <v>40.4</v>
      </c>
      <c r="N1062" s="1286">
        <v>40.4</v>
      </c>
      <c r="O1062" s="1286">
        <v>40.4</v>
      </c>
      <c r="P1062" s="411">
        <v>48</v>
      </c>
      <c r="Q1062" s="439">
        <v>48</v>
      </c>
      <c r="R1062" s="1286">
        <v>40.4</v>
      </c>
      <c r="S1062" s="1286">
        <v>40.4</v>
      </c>
      <c r="T1062" s="1286">
        <v>40.4</v>
      </c>
      <c r="U1062" s="1286">
        <v>41.39</v>
      </c>
      <c r="V1062" s="1286">
        <v>40.4</v>
      </c>
      <c r="W1062" s="1286">
        <v>40.4</v>
      </c>
      <c r="X1062" s="1286">
        <v>41.39</v>
      </c>
      <c r="Y1062" s="1286">
        <v>40.4</v>
      </c>
      <c r="Z1062" s="1286">
        <v>40.4</v>
      </c>
      <c r="AA1062" s="1286">
        <v>40.4</v>
      </c>
      <c r="AB1062" s="411">
        <v>48</v>
      </c>
      <c r="AC1062" s="439">
        <v>48</v>
      </c>
      <c r="AD1062" s="1285"/>
      <c r="AE1062" s="420">
        <v>32</v>
      </c>
      <c r="AF1062" s="409">
        <v>31</v>
      </c>
    </row>
    <row r="1063" spans="1:33">
      <c r="A1063" s="1251">
        <v>31</v>
      </c>
      <c r="B1063" s="415">
        <v>32</v>
      </c>
      <c r="C1063" s="1287"/>
      <c r="D1063" s="439">
        <v>46</v>
      </c>
      <c r="E1063" s="421">
        <v>46</v>
      </c>
      <c r="F1063" s="1287"/>
      <c r="G1063" s="1287"/>
      <c r="H1063" s="1287"/>
      <c r="I1063" s="1285"/>
      <c r="J1063" s="1285"/>
      <c r="K1063" s="1285"/>
      <c r="L1063" s="1285"/>
      <c r="M1063" s="1285"/>
      <c r="N1063" s="1285"/>
      <c r="O1063" s="1285"/>
      <c r="P1063" s="439">
        <v>46</v>
      </c>
      <c r="Q1063" s="421">
        <v>46</v>
      </c>
      <c r="R1063" s="1285"/>
      <c r="S1063" s="1285"/>
      <c r="T1063" s="1285"/>
      <c r="U1063" s="1285"/>
      <c r="V1063" s="1285"/>
      <c r="W1063" s="1285"/>
      <c r="X1063" s="1285"/>
      <c r="Y1063" s="1285"/>
      <c r="Z1063" s="1287"/>
      <c r="AA1063" s="1287"/>
      <c r="AB1063" s="439">
        <v>46</v>
      </c>
      <c r="AC1063" s="421">
        <v>46</v>
      </c>
      <c r="AD1063" s="1285"/>
      <c r="AE1063" s="420">
        <v>32</v>
      </c>
      <c r="AF1063" s="420">
        <v>31</v>
      </c>
    </row>
    <row r="1064" spans="1:33">
      <c r="A1064" s="1250">
        <v>31</v>
      </c>
      <c r="B1064" s="420">
        <v>32</v>
      </c>
      <c r="C1064" s="420">
        <v>32</v>
      </c>
      <c r="D1064" s="420">
        <v>32</v>
      </c>
      <c r="E1064" s="420">
        <v>32</v>
      </c>
      <c r="F1064" s="420">
        <v>32</v>
      </c>
      <c r="G1064" s="420">
        <v>32</v>
      </c>
      <c r="H1064" s="420">
        <v>32</v>
      </c>
      <c r="I1064" s="420">
        <v>32</v>
      </c>
      <c r="J1064" s="420">
        <v>32</v>
      </c>
      <c r="K1064" s="420">
        <v>32</v>
      </c>
      <c r="L1064" s="420">
        <v>32</v>
      </c>
      <c r="M1064" s="420">
        <v>32</v>
      </c>
      <c r="N1064" s="420">
        <v>32</v>
      </c>
      <c r="O1064" s="420">
        <v>32</v>
      </c>
      <c r="P1064" s="420">
        <v>32</v>
      </c>
      <c r="Q1064" s="420">
        <v>32</v>
      </c>
      <c r="R1064" s="420">
        <v>32</v>
      </c>
      <c r="S1064" s="420">
        <v>32</v>
      </c>
      <c r="T1064" s="420">
        <v>32</v>
      </c>
      <c r="U1064" s="420">
        <v>32</v>
      </c>
      <c r="V1064" s="420">
        <v>32</v>
      </c>
      <c r="W1064" s="420">
        <v>32</v>
      </c>
      <c r="X1064" s="420">
        <v>32</v>
      </c>
      <c r="Y1064" s="420">
        <v>32</v>
      </c>
      <c r="Z1064" s="420">
        <v>32</v>
      </c>
      <c r="AA1064" s="420">
        <v>32</v>
      </c>
      <c r="AB1064" s="420">
        <v>32</v>
      </c>
      <c r="AC1064" s="420">
        <v>32</v>
      </c>
      <c r="AD1064" s="420">
        <v>32</v>
      </c>
      <c r="AE1064" s="420">
        <v>32</v>
      </c>
      <c r="AF1064" s="409">
        <v>31</v>
      </c>
    </row>
    <row r="1065" spans="1:33">
      <c r="A1065" s="415">
        <v>31</v>
      </c>
      <c r="B1065" s="409">
        <v>31</v>
      </c>
      <c r="C1065" s="409">
        <v>30</v>
      </c>
      <c r="D1065" s="409">
        <v>31</v>
      </c>
      <c r="E1065" s="420">
        <v>31</v>
      </c>
      <c r="F1065" s="409">
        <v>31</v>
      </c>
      <c r="G1065" s="409">
        <v>30</v>
      </c>
      <c r="H1065" s="409">
        <v>31</v>
      </c>
      <c r="I1065" s="420">
        <v>31</v>
      </c>
      <c r="J1065" s="409">
        <v>31</v>
      </c>
      <c r="K1065" s="409">
        <v>30</v>
      </c>
      <c r="L1065" s="409">
        <v>31</v>
      </c>
      <c r="M1065" s="420">
        <v>31</v>
      </c>
      <c r="N1065" s="409">
        <v>31</v>
      </c>
      <c r="O1065" s="409">
        <v>30</v>
      </c>
      <c r="P1065" s="409">
        <v>31</v>
      </c>
      <c r="Q1065" s="420">
        <v>31</v>
      </c>
      <c r="R1065" s="409">
        <v>31</v>
      </c>
      <c r="S1065" s="409">
        <v>30</v>
      </c>
      <c r="T1065" s="409">
        <v>31</v>
      </c>
      <c r="U1065" s="420">
        <v>31</v>
      </c>
      <c r="V1065" s="409">
        <v>31</v>
      </c>
      <c r="W1065" s="409">
        <v>30</v>
      </c>
      <c r="X1065" s="409">
        <v>31</v>
      </c>
      <c r="Y1065" s="420">
        <v>31</v>
      </c>
      <c r="Z1065" s="409">
        <v>31</v>
      </c>
      <c r="AA1065" s="409">
        <v>30</v>
      </c>
      <c r="AB1065" s="409">
        <v>31</v>
      </c>
      <c r="AC1065" s="420">
        <v>31</v>
      </c>
      <c r="AD1065" s="409">
        <v>31</v>
      </c>
      <c r="AE1065" s="409">
        <v>30</v>
      </c>
      <c r="AF1065" s="420">
        <v>31</v>
      </c>
    </row>
    <row r="1066" spans="1:33">
      <c r="A1066" s="1288"/>
      <c r="B1066" s="1287"/>
      <c r="C1066" s="1287"/>
      <c r="D1066" s="1287"/>
      <c r="E1066" s="1287"/>
      <c r="F1066" s="1287"/>
      <c r="G1066" s="1287"/>
      <c r="H1066" s="1287"/>
      <c r="I1066" s="1285"/>
      <c r="J1066" s="1285"/>
      <c r="K1066" s="1285"/>
      <c r="L1066" s="1285"/>
      <c r="M1066" s="1285"/>
      <c r="N1066" s="1285"/>
      <c r="O1066" s="1285"/>
      <c r="P1066" s="1285"/>
      <c r="Q1066" s="1285"/>
      <c r="R1066" s="1285"/>
      <c r="S1066" s="1285"/>
      <c r="T1066" s="1285"/>
      <c r="U1066" s="1285"/>
      <c r="V1066" s="1285"/>
      <c r="W1066" s="1285"/>
      <c r="X1066" s="1285"/>
      <c r="Y1066" s="1285"/>
      <c r="Z1066" s="1287"/>
      <c r="AA1066" s="1287"/>
      <c r="AB1066" s="1285"/>
      <c r="AC1066" s="1285"/>
      <c r="AD1066" s="1285"/>
      <c r="AE1066" s="1285"/>
      <c r="AF1066" s="1289"/>
    </row>
    <row r="1067" spans="1:33">
      <c r="A1067" s="1288"/>
      <c r="B1067" s="1287"/>
      <c r="C1067" s="1287"/>
      <c r="D1067" s="1287"/>
      <c r="E1067" s="1287"/>
      <c r="F1067" s="1287"/>
      <c r="G1067" s="1287"/>
      <c r="H1067" s="1287"/>
      <c r="I1067" s="1285"/>
      <c r="J1067" s="1285"/>
      <c r="K1067" s="1285"/>
      <c r="L1067" s="1285"/>
      <c r="M1067" s="1285"/>
      <c r="N1067" s="1285"/>
      <c r="O1067" s="1285"/>
      <c r="P1067" s="1285"/>
      <c r="Q1067" s="1285"/>
      <c r="R1067" s="1285"/>
      <c r="S1067" s="1285"/>
      <c r="T1067" s="1285"/>
      <c r="U1067" s="1285"/>
      <c r="V1067" s="1285"/>
      <c r="W1067" s="1285"/>
      <c r="X1067" s="1285"/>
      <c r="Y1067" s="1285"/>
      <c r="Z1067" s="1287"/>
      <c r="AA1067" s="1287"/>
      <c r="AB1067" s="1285"/>
      <c r="AC1067" s="1285"/>
      <c r="AD1067" s="1285"/>
      <c r="AE1067" s="1285"/>
      <c r="AF1067" s="1289"/>
    </row>
    <row r="1068" spans="1:33">
      <c r="A1068" s="1288"/>
      <c r="B1068" s="1287"/>
      <c r="C1068" s="1287"/>
      <c r="D1068" s="1287"/>
      <c r="E1068" s="1287"/>
      <c r="F1068" s="1287"/>
      <c r="G1068" s="1287"/>
      <c r="H1068" s="1287"/>
      <c r="I1068" s="1285"/>
      <c r="J1068" s="1285"/>
      <c r="K1068" s="1285"/>
      <c r="L1068" s="1285"/>
      <c r="M1068" s="1285"/>
      <c r="N1068" s="1285"/>
      <c r="O1068" s="1285"/>
      <c r="P1068" s="1285"/>
      <c r="Q1068" s="1285"/>
      <c r="R1068" s="1285"/>
      <c r="S1068" s="1285"/>
      <c r="T1068" s="1285"/>
      <c r="U1068" s="1285"/>
      <c r="V1068" s="1285"/>
      <c r="W1068" s="1285"/>
      <c r="X1068" s="1285"/>
      <c r="Y1068" s="1285"/>
      <c r="Z1068" s="1287"/>
      <c r="AA1068" s="1287"/>
      <c r="AB1068" s="1285"/>
      <c r="AC1068" s="1285"/>
      <c r="AD1068" s="1285"/>
      <c r="AE1068" s="1285"/>
      <c r="AF1068" s="1289"/>
    </row>
    <row r="1069" spans="1:33">
      <c r="A1069" s="1288"/>
      <c r="B1069" s="1287"/>
      <c r="C1069" s="1287"/>
      <c r="D1069" s="1287"/>
      <c r="E1069" s="1287"/>
      <c r="F1069" s="1287"/>
      <c r="G1069" s="1287"/>
      <c r="H1069" s="1287"/>
      <c r="I1069" s="1285"/>
      <c r="J1069" s="1285"/>
      <c r="K1069" s="1285"/>
      <c r="L1069" s="1285"/>
      <c r="M1069" s="1285"/>
      <c r="N1069" s="1285"/>
      <c r="O1069" s="1285"/>
      <c r="P1069" s="1285"/>
      <c r="Q1069" s="1285"/>
      <c r="R1069" s="1285"/>
      <c r="S1069" s="1285"/>
      <c r="T1069" s="1285"/>
      <c r="U1069" s="1285"/>
      <c r="V1069" s="1285"/>
      <c r="W1069" s="1285"/>
      <c r="X1069" s="1285"/>
      <c r="Y1069" s="1285"/>
      <c r="Z1069" s="1287"/>
      <c r="AA1069" s="1285"/>
      <c r="AB1069" s="1285"/>
      <c r="AC1069" s="1285"/>
      <c r="AD1069" s="1285"/>
      <c r="AE1069" s="1285"/>
      <c r="AF1069" s="1289"/>
    </row>
    <row r="1070" spans="1:33">
      <c r="A1070" s="1285"/>
      <c r="B1070" s="1285"/>
      <c r="C1070" s="1285"/>
      <c r="D1070" s="1285"/>
      <c r="E1070" s="1285"/>
      <c r="F1070" s="1285"/>
      <c r="G1070" s="1285"/>
      <c r="H1070" s="1285"/>
      <c r="I1070" s="1285"/>
      <c r="J1070" s="1285"/>
      <c r="K1070" s="1285"/>
      <c r="L1070" s="1285"/>
      <c r="M1070" s="1285"/>
      <c r="N1070" s="1285"/>
      <c r="O1070" s="1285"/>
      <c r="P1070" s="1285"/>
      <c r="Q1070" s="1285"/>
      <c r="R1070" s="1285"/>
      <c r="S1070" s="1285"/>
      <c r="T1070" s="1285"/>
      <c r="U1070" s="1285"/>
      <c r="V1070" s="1285"/>
      <c r="W1070" s="1285"/>
      <c r="X1070" s="1285"/>
      <c r="Y1070" s="1285"/>
      <c r="Z1070" s="1285"/>
      <c r="AA1070" s="1285"/>
      <c r="AB1070" s="1285"/>
      <c r="AC1070" s="1285"/>
      <c r="AD1070" s="1285"/>
      <c r="AE1070" s="1285"/>
      <c r="AF1070" s="1289"/>
    </row>
    <row r="1071" spans="1:33">
      <c r="A1071" s="1285"/>
      <c r="B1071" s="1285"/>
      <c r="C1071" s="1285"/>
      <c r="D1071" s="1285"/>
      <c r="E1071" s="1285"/>
      <c r="F1071" s="1285"/>
      <c r="G1071" s="1285"/>
      <c r="H1071" s="1285"/>
      <c r="I1071" s="1285"/>
      <c r="J1071" s="1285"/>
      <c r="K1071" s="1285"/>
      <c r="L1071" s="1285"/>
      <c r="M1071" s="1285"/>
      <c r="N1071" s="1285"/>
      <c r="O1071" s="1285"/>
      <c r="P1071" s="1285"/>
      <c r="Q1071" s="1285"/>
      <c r="R1071" s="1285"/>
      <c r="S1071" s="1285"/>
      <c r="T1071" s="1285"/>
      <c r="U1071" s="1285"/>
      <c r="V1071" s="1285"/>
      <c r="W1071" s="1285"/>
      <c r="X1071" s="1285"/>
      <c r="Y1071" s="1285"/>
      <c r="Z1071" s="1285"/>
      <c r="AA1071" s="1285"/>
      <c r="AB1071" s="1285"/>
      <c r="AC1071" s="1285"/>
      <c r="AD1071" s="1285"/>
      <c r="AE1071" s="1285"/>
      <c r="AF1071" s="1289"/>
    </row>
    <row r="1072" spans="1:33">
      <c r="A1072" s="1285"/>
      <c r="B1072" s="1285"/>
      <c r="C1072" s="1285"/>
      <c r="D1072" s="1285"/>
      <c r="E1072" s="1285"/>
      <c r="F1072" s="1285"/>
      <c r="G1072" s="1285"/>
      <c r="H1072" s="1285"/>
      <c r="I1072" s="1285"/>
      <c r="J1072" s="1285"/>
      <c r="K1072" s="1285"/>
      <c r="L1072" s="1285"/>
      <c r="M1072" s="1285"/>
      <c r="N1072" s="1285"/>
      <c r="O1072" s="1285"/>
      <c r="P1072" s="1285"/>
      <c r="Q1072" s="1285"/>
      <c r="R1072" s="1285"/>
      <c r="S1072" s="1285"/>
      <c r="T1072" s="1285"/>
      <c r="U1072" s="1285"/>
      <c r="V1072" s="1285"/>
      <c r="W1072" s="1285"/>
      <c r="X1072" s="1285"/>
      <c r="Y1072" s="1285"/>
      <c r="Z1072" s="1285"/>
      <c r="AA1072" s="1285"/>
      <c r="AB1072" s="1285"/>
      <c r="AC1072" s="1285"/>
      <c r="AD1072" s="1285"/>
      <c r="AE1072" s="1285"/>
      <c r="AF1072" s="1289"/>
    </row>
    <row r="1073" spans="1:32">
      <c r="A1073" s="1285"/>
      <c r="B1073" s="1285"/>
      <c r="C1073" s="1285"/>
      <c r="D1073" s="1285"/>
      <c r="E1073" s="1285"/>
      <c r="F1073" s="1285"/>
      <c r="G1073" s="1285"/>
      <c r="H1073" s="1285"/>
      <c r="I1073" s="1285"/>
      <c r="J1073" s="1285"/>
      <c r="K1073" s="1285"/>
      <c r="L1073" s="1285"/>
      <c r="M1073" s="1285"/>
      <c r="N1073" s="1285"/>
      <c r="O1073" s="1285"/>
      <c r="P1073" s="1285"/>
      <c r="Q1073" s="1285"/>
      <c r="R1073" s="1285"/>
      <c r="S1073" s="1285"/>
      <c r="T1073" s="1285"/>
      <c r="U1073" s="1285"/>
      <c r="V1073" s="1285"/>
      <c r="W1073" s="1285"/>
      <c r="X1073" s="1285"/>
      <c r="Y1073" s="1285"/>
      <c r="Z1073" s="1285"/>
      <c r="AA1073" s="1285"/>
      <c r="AB1073" s="1285"/>
      <c r="AC1073" s="1285"/>
      <c r="AD1073" s="1285"/>
      <c r="AE1073" s="1285"/>
      <c r="AF1073" s="1289"/>
    </row>
    <row r="1074" spans="1:32">
      <c r="A1074" s="1285"/>
      <c r="B1074" s="1285"/>
      <c r="C1074" s="1285"/>
      <c r="D1074" s="1285"/>
      <c r="E1074" s="1285"/>
      <c r="F1074" s="1285"/>
      <c r="G1074" s="1285"/>
      <c r="H1074" s="1285"/>
      <c r="I1074" s="1285"/>
      <c r="J1074" s="1285"/>
      <c r="K1074" s="1285"/>
      <c r="L1074" s="1285"/>
      <c r="M1074" s="1285"/>
      <c r="N1074" s="1285"/>
      <c r="O1074" s="1285"/>
      <c r="P1074" s="1285"/>
      <c r="Q1074" s="1285"/>
      <c r="R1074" s="1285"/>
      <c r="S1074" s="1285"/>
      <c r="T1074" s="1285"/>
      <c r="U1074" s="1285"/>
      <c r="V1074" s="1285"/>
      <c r="W1074" s="1285"/>
      <c r="X1074" s="1285"/>
      <c r="Y1074" s="1285"/>
      <c r="Z1074" s="1285"/>
      <c r="AA1074" s="1285"/>
      <c r="AB1074" s="1285"/>
      <c r="AC1074" s="1285"/>
      <c r="AD1074" s="1285"/>
      <c r="AE1074" s="1285"/>
      <c r="AF1074" s="1289"/>
    </row>
    <row r="1075" spans="1:32">
      <c r="A1075" s="1285"/>
      <c r="B1075" s="1285"/>
      <c r="C1075" s="1285"/>
      <c r="D1075" s="1285"/>
      <c r="E1075" s="1285"/>
      <c r="F1075" s="1285"/>
      <c r="G1075" s="1285"/>
      <c r="H1075" s="1285"/>
      <c r="I1075" s="1285"/>
      <c r="J1075" s="1285"/>
      <c r="K1075" s="1285"/>
      <c r="L1075" s="1285"/>
      <c r="M1075" s="1285"/>
      <c r="N1075" s="1285"/>
      <c r="O1075" s="1285"/>
      <c r="P1075" s="1285"/>
      <c r="Q1075" s="1285"/>
      <c r="R1075" s="1285"/>
      <c r="S1075" s="1285"/>
      <c r="T1075" s="1285"/>
      <c r="U1075" s="1285"/>
      <c r="V1075" s="1285"/>
      <c r="W1075" s="1285"/>
      <c r="X1075" s="1285"/>
      <c r="Y1075" s="1285"/>
      <c r="Z1075" s="1285"/>
      <c r="AA1075" s="1285"/>
      <c r="AB1075" s="1287"/>
      <c r="AC1075" s="1287"/>
      <c r="AD1075" s="1287"/>
      <c r="AE1075" s="1287"/>
      <c r="AF1075" s="1289"/>
    </row>
    <row r="1076" spans="1:32">
      <c r="A1076" s="1285"/>
      <c r="B1076" s="1285"/>
      <c r="C1076" s="1285"/>
      <c r="D1076" s="1285"/>
      <c r="E1076" s="1285"/>
      <c r="F1076" s="1285"/>
      <c r="G1076" s="1285"/>
      <c r="H1076" s="1285"/>
      <c r="I1076" s="1285"/>
      <c r="J1076" s="1285"/>
      <c r="K1076" s="1285"/>
      <c r="L1076" s="1285"/>
      <c r="M1076" s="1285"/>
      <c r="N1076" s="1285"/>
      <c r="O1076" s="1285"/>
      <c r="P1076" s="1285"/>
      <c r="Q1076" s="1285"/>
      <c r="R1076" s="1285"/>
      <c r="S1076" s="1285"/>
      <c r="T1076" s="1285"/>
      <c r="U1076" s="1285"/>
      <c r="V1076" s="1285"/>
      <c r="W1076" s="1285"/>
      <c r="X1076" s="1285"/>
      <c r="Y1076" s="1285"/>
      <c r="Z1076" s="1285"/>
      <c r="AA1076" s="1285"/>
      <c r="AB1076" s="1287"/>
      <c r="AC1076" s="1287"/>
      <c r="AD1076" s="1287"/>
      <c r="AE1076" s="1287"/>
      <c r="AF1076" s="1289"/>
    </row>
    <row r="1077" spans="1:32">
      <c r="A1077" s="1285"/>
      <c r="B1077" s="1285"/>
      <c r="C1077" s="1285"/>
      <c r="D1077" s="1285"/>
      <c r="E1077" s="1285"/>
      <c r="F1077" s="1285"/>
      <c r="G1077" s="1285"/>
      <c r="H1077" s="1285"/>
      <c r="I1077" s="1285"/>
      <c r="J1077" s="1285"/>
      <c r="K1077" s="1285"/>
      <c r="L1077" s="1285"/>
      <c r="M1077" s="1285"/>
      <c r="N1077" s="1285"/>
      <c r="O1077" s="1285"/>
      <c r="P1077" s="1285"/>
      <c r="Q1077" s="1285"/>
      <c r="R1077" s="1285"/>
      <c r="S1077" s="1285"/>
      <c r="T1077" s="1285"/>
      <c r="U1077" s="1285"/>
      <c r="V1077" s="1285"/>
      <c r="W1077" s="1285"/>
      <c r="X1077" s="1285"/>
      <c r="Y1077" s="1285"/>
      <c r="Z1077" s="1285"/>
      <c r="AA1077" s="1285"/>
      <c r="AB1077" s="1287"/>
      <c r="AC1077" s="1287"/>
      <c r="AD1077" s="1287"/>
      <c r="AE1077" s="1287"/>
      <c r="AF1077" s="1289"/>
    </row>
    <row r="1078" spans="1:32">
      <c r="A1078" s="1285"/>
      <c r="B1078" s="1285"/>
      <c r="C1078" s="1285"/>
      <c r="D1078" s="1285"/>
      <c r="E1078" s="1285"/>
      <c r="F1078" s="1285"/>
      <c r="G1078" s="1285"/>
      <c r="H1078" s="1285"/>
      <c r="I1078" s="1285"/>
      <c r="J1078" s="1285"/>
      <c r="K1078" s="1285"/>
      <c r="L1078" s="1285"/>
      <c r="M1078" s="1285"/>
      <c r="N1078" s="1285"/>
      <c r="O1078" s="1285"/>
      <c r="P1078" s="1285"/>
      <c r="Q1078" s="1285"/>
      <c r="R1078" s="1285"/>
      <c r="S1078" s="1285"/>
      <c r="T1078" s="1285"/>
      <c r="U1078" s="1285"/>
      <c r="V1078" s="1285"/>
      <c r="W1078" s="1285"/>
      <c r="X1078" s="1285"/>
      <c r="Y1078" s="1285"/>
      <c r="Z1078" s="1285"/>
      <c r="AA1078" s="1285"/>
      <c r="AB1078" s="1287"/>
      <c r="AC1078" s="1287"/>
      <c r="AD1078" s="1287"/>
      <c r="AE1078" s="1287"/>
      <c r="AF1078" s="1289"/>
    </row>
    <row r="1079" spans="1:32">
      <c r="A1079" s="1285"/>
      <c r="B1079" s="1285"/>
      <c r="C1079" s="1285"/>
      <c r="D1079" s="1285"/>
      <c r="E1079" s="1285"/>
      <c r="F1079" s="1285"/>
      <c r="G1079" s="1285"/>
      <c r="H1079" s="1285"/>
      <c r="I1079" s="1285"/>
      <c r="J1079" s="1285"/>
      <c r="K1079" s="1285"/>
      <c r="L1079" s="1285"/>
      <c r="M1079" s="1285"/>
      <c r="N1079" s="1285"/>
      <c r="O1079" s="1285"/>
      <c r="P1079" s="1285"/>
      <c r="Q1079" s="1285"/>
      <c r="R1079" s="1285"/>
      <c r="S1079" s="1285"/>
      <c r="T1079" s="1285"/>
      <c r="U1079" s="1285"/>
      <c r="V1079" s="1285"/>
      <c r="W1079" s="1285"/>
      <c r="X1079" s="1285"/>
      <c r="Y1079" s="1285"/>
      <c r="Z1079" s="1285"/>
      <c r="AA1079" s="1285"/>
      <c r="AB1079" s="1287"/>
      <c r="AC1079" s="1287"/>
      <c r="AD1079" s="1287"/>
      <c r="AE1079" s="1287"/>
      <c r="AF1079" s="1289"/>
    </row>
    <row r="1080" spans="1:32">
      <c r="A1080" s="1285"/>
      <c r="B1080" s="1285"/>
      <c r="C1080" s="1285"/>
      <c r="D1080" s="1285"/>
      <c r="E1080" s="1285"/>
      <c r="F1080" s="1285"/>
      <c r="G1080" s="1285"/>
      <c r="H1080" s="1285"/>
      <c r="I1080" s="1285"/>
      <c r="J1080" s="1285"/>
      <c r="K1080" s="1285"/>
      <c r="L1080" s="1285"/>
      <c r="M1080" s="1285"/>
      <c r="N1080" s="1285"/>
      <c r="O1080" s="1285"/>
      <c r="P1080" s="1285"/>
      <c r="Q1080" s="1285"/>
      <c r="R1080" s="1285"/>
      <c r="S1080" s="1285"/>
      <c r="T1080" s="1285"/>
      <c r="U1080" s="1285"/>
      <c r="V1080" s="1285"/>
      <c r="W1080" s="1285"/>
      <c r="X1080" s="1285"/>
      <c r="Y1080" s="1285"/>
      <c r="Z1080" s="1285"/>
      <c r="AA1080" s="1285"/>
      <c r="AB1080" s="1287"/>
      <c r="AC1080" s="1287"/>
      <c r="AD1080" s="1287"/>
      <c r="AE1080" s="1287"/>
      <c r="AF1080" s="1289"/>
    </row>
    <row r="1081" spans="1:32">
      <c r="A1081" s="1285"/>
      <c r="B1081" s="1285"/>
      <c r="C1081" s="1285"/>
      <c r="D1081" s="1285"/>
      <c r="E1081" s="1285"/>
      <c r="F1081" s="1285"/>
      <c r="G1081" s="1285"/>
      <c r="H1081" s="1285"/>
      <c r="I1081" s="1285"/>
      <c r="J1081" s="1285"/>
      <c r="K1081" s="1285"/>
      <c r="L1081" s="1285"/>
      <c r="M1081" s="1285"/>
      <c r="N1081" s="1285"/>
      <c r="O1081" s="1285"/>
      <c r="P1081" s="1285"/>
      <c r="Q1081" s="1285"/>
      <c r="R1081" s="1285"/>
      <c r="S1081" s="1285"/>
      <c r="T1081" s="1285"/>
      <c r="U1081" s="1285"/>
      <c r="V1081" s="1285"/>
      <c r="W1081" s="1285"/>
      <c r="X1081" s="1285"/>
      <c r="Y1081" s="1285"/>
      <c r="Z1081" s="1285"/>
      <c r="AA1081" s="1285"/>
      <c r="AB1081" s="1287"/>
      <c r="AC1081" s="1287"/>
      <c r="AD1081" s="1287"/>
      <c r="AE1081" s="1287"/>
      <c r="AF1081" s="1289"/>
    </row>
    <row r="1082" spans="1:32">
      <c r="A1082" s="1285"/>
      <c r="B1082" s="1285"/>
      <c r="C1082" s="1285"/>
      <c r="D1082" s="1285"/>
      <c r="E1082" s="1285"/>
      <c r="F1082" s="1285"/>
      <c r="G1082" s="1285"/>
      <c r="H1082" s="1285"/>
      <c r="I1082" s="1285"/>
      <c r="J1082" s="1285"/>
      <c r="K1082" s="1285"/>
      <c r="L1082" s="1285"/>
      <c r="M1082" s="1285"/>
      <c r="N1082" s="1285"/>
      <c r="O1082" s="1285"/>
      <c r="P1082" s="1285"/>
      <c r="Q1082" s="1285"/>
      <c r="R1082" s="1285"/>
      <c r="S1082" s="1285"/>
      <c r="T1082" s="1285"/>
      <c r="U1082" s="1285"/>
      <c r="V1082" s="1285"/>
      <c r="W1082" s="1285"/>
      <c r="X1082" s="1285"/>
      <c r="Y1082" s="1285"/>
      <c r="Z1082" s="1285"/>
      <c r="AA1082" s="1285"/>
      <c r="AB1082" s="1287"/>
      <c r="AC1082" s="1287"/>
      <c r="AD1082" s="1287"/>
      <c r="AE1082" s="1287"/>
      <c r="AF1082" s="1289"/>
    </row>
    <row r="1083" spans="1:32">
      <c r="A1083" s="1285"/>
      <c r="B1083" s="1285"/>
      <c r="C1083" s="1285"/>
      <c r="D1083" s="1285"/>
      <c r="E1083" s="1285"/>
      <c r="F1083" s="1285"/>
      <c r="G1083" s="1285"/>
      <c r="H1083" s="1285"/>
      <c r="I1083" s="1285"/>
      <c r="J1083" s="1285"/>
      <c r="K1083" s="1285"/>
      <c r="L1083" s="1285"/>
      <c r="M1083" s="1285"/>
      <c r="N1083" s="1285"/>
      <c r="O1083" s="1285"/>
      <c r="P1083" s="1285"/>
      <c r="Q1083" s="1285"/>
      <c r="R1083" s="1285"/>
      <c r="S1083" s="1285"/>
      <c r="T1083" s="1285"/>
      <c r="U1083" s="1285"/>
      <c r="V1083" s="1285"/>
      <c r="W1083" s="1285"/>
      <c r="X1083" s="1285"/>
      <c r="Y1083" s="1285"/>
      <c r="Z1083" s="1285"/>
      <c r="AA1083" s="1285"/>
      <c r="AB1083" s="1287"/>
      <c r="AC1083" s="1287"/>
      <c r="AD1083" s="1287"/>
      <c r="AE1083" s="1287"/>
      <c r="AF1083" s="1289"/>
    </row>
    <row r="1084" spans="1:32">
      <c r="A1084" s="1285"/>
      <c r="B1084" s="1285"/>
      <c r="C1084" s="1285"/>
      <c r="D1084" s="1285"/>
      <c r="E1084" s="1285"/>
      <c r="F1084" s="1285"/>
      <c r="G1084" s="1285"/>
      <c r="H1084" s="1285"/>
      <c r="I1084" s="1285"/>
      <c r="J1084" s="1285"/>
      <c r="K1084" s="1285"/>
      <c r="L1084" s="1285"/>
      <c r="M1084" s="1285"/>
      <c r="N1084" s="1285"/>
      <c r="O1084" s="1285"/>
      <c r="P1084" s="1285"/>
      <c r="Q1084" s="1285"/>
      <c r="R1084" s="1285"/>
      <c r="S1084" s="1285"/>
      <c r="T1084" s="1285"/>
      <c r="U1084" s="1285"/>
      <c r="V1084" s="1285"/>
      <c r="W1084" s="1285"/>
      <c r="X1084" s="1285"/>
      <c r="Y1084" s="1285"/>
      <c r="Z1084" s="1285"/>
      <c r="AA1084" s="1285"/>
      <c r="AB1084" s="1287"/>
      <c r="AC1084" s="1287"/>
      <c r="AD1084" s="1287"/>
      <c r="AE1084" s="1287"/>
      <c r="AF1084" s="1289"/>
    </row>
    <row r="1085" spans="1:32">
      <c r="A1085" s="1285"/>
      <c r="B1085" s="1285"/>
      <c r="C1085" s="1285"/>
      <c r="D1085" s="1285"/>
      <c r="E1085" s="1285"/>
      <c r="F1085" s="1285"/>
      <c r="G1085" s="1285"/>
      <c r="H1085" s="1285"/>
      <c r="I1085" s="1285"/>
      <c r="J1085" s="1285"/>
      <c r="K1085" s="1285"/>
      <c r="L1085" s="1285"/>
      <c r="M1085" s="1285"/>
      <c r="N1085" s="1285"/>
      <c r="O1085" s="1285"/>
      <c r="P1085" s="1285"/>
      <c r="Q1085" s="1285"/>
      <c r="R1085" s="1285"/>
      <c r="S1085" s="1285"/>
      <c r="T1085" s="1285"/>
      <c r="U1085" s="1285"/>
      <c r="V1085" s="1285"/>
      <c r="W1085" s="1285"/>
      <c r="X1085" s="1285"/>
      <c r="Y1085" s="1285"/>
      <c r="Z1085" s="1285"/>
      <c r="AA1085" s="1285"/>
      <c r="AB1085" s="1287"/>
      <c r="AC1085" s="1287"/>
      <c r="AD1085" s="1287"/>
      <c r="AE1085" s="1287"/>
      <c r="AF1085" s="1289"/>
    </row>
    <row r="1086" spans="1:32">
      <c r="A1086" s="1288"/>
      <c r="B1086" s="1287"/>
      <c r="C1086" s="1287"/>
      <c r="D1086" s="1287"/>
      <c r="E1086" s="1287"/>
      <c r="F1086" s="1287"/>
      <c r="G1086" s="1287"/>
      <c r="H1086" s="1287"/>
      <c r="I1086" s="1285"/>
      <c r="J1086" s="1285"/>
      <c r="K1086" s="1285"/>
      <c r="L1086" s="1285"/>
      <c r="M1086" s="1285"/>
      <c r="N1086" s="1285"/>
      <c r="O1086" s="1285"/>
      <c r="P1086" s="1285"/>
      <c r="Q1086" s="1285"/>
      <c r="R1086" s="1285"/>
      <c r="S1086" s="1285"/>
      <c r="T1086" s="1285"/>
      <c r="U1086" s="1285"/>
      <c r="V1086" s="1285"/>
      <c r="W1086" s="1285"/>
      <c r="X1086" s="1285"/>
      <c r="Y1086" s="1285"/>
      <c r="Z1086" s="1287"/>
      <c r="AA1086" s="1287"/>
      <c r="AB1086" s="1287"/>
      <c r="AC1086" s="1287"/>
      <c r="AD1086" s="1287"/>
      <c r="AE1086" s="1287"/>
      <c r="AF1086" s="1289"/>
    </row>
    <row r="1087" spans="1:32">
      <c r="A1087" s="1288"/>
      <c r="B1087" s="1287"/>
      <c r="C1087" s="1287"/>
      <c r="D1087" s="1287"/>
      <c r="E1087" s="1287"/>
      <c r="F1087" s="1287"/>
      <c r="G1087" s="1287"/>
      <c r="H1087" s="1287"/>
      <c r="I1087" s="1287"/>
      <c r="J1087" s="1287"/>
      <c r="K1087" s="1287"/>
      <c r="L1087" s="1287"/>
      <c r="M1087" s="1287"/>
      <c r="N1087" s="1287"/>
      <c r="O1087" s="1287"/>
      <c r="P1087" s="1287"/>
      <c r="Q1087" s="1287"/>
      <c r="R1087" s="1287"/>
      <c r="S1087" s="1287"/>
      <c r="T1087" s="1287"/>
      <c r="U1087" s="1287"/>
      <c r="V1087" s="1287"/>
      <c r="W1087" s="1287"/>
      <c r="X1087" s="1287"/>
      <c r="Y1087" s="1287"/>
      <c r="Z1087" s="1287"/>
      <c r="AA1087" s="1287"/>
      <c r="AB1087" s="1287"/>
      <c r="AC1087" s="1287"/>
      <c r="AD1087" s="1287"/>
      <c r="AE1087" s="1287"/>
      <c r="AF1087" s="1289"/>
    </row>
    <row r="1088" spans="1:32">
      <c r="A1088" s="1288"/>
      <c r="B1088" s="1287"/>
      <c r="C1088" s="1287"/>
      <c r="D1088" s="1287"/>
      <c r="E1088" s="1287"/>
      <c r="F1088" s="1287"/>
      <c r="G1088" s="1287"/>
      <c r="H1088" s="1287"/>
      <c r="I1088" s="1287"/>
      <c r="J1088" s="1287"/>
      <c r="K1088" s="1287"/>
      <c r="L1088" s="1287"/>
      <c r="M1088" s="1287"/>
      <c r="N1088" s="1287"/>
      <c r="O1088" s="1287"/>
      <c r="P1088" s="1287"/>
      <c r="Q1088" s="1287"/>
      <c r="R1088" s="1287"/>
      <c r="S1088" s="1287"/>
      <c r="T1088" s="1287"/>
      <c r="U1088" s="1287"/>
      <c r="V1088" s="1287"/>
      <c r="W1088" s="1287"/>
      <c r="X1088" s="1287"/>
      <c r="Y1088" s="1287"/>
      <c r="Z1088" s="1287"/>
      <c r="AA1088" s="1287"/>
      <c r="AB1088" s="1287"/>
      <c r="AC1088" s="1287"/>
      <c r="AD1088" s="1287"/>
      <c r="AE1088" s="1287"/>
      <c r="AF1088" s="1289"/>
    </row>
    <row r="1089" spans="1:34">
      <c r="A1089" s="1290"/>
      <c r="B1089" s="1291"/>
      <c r="C1089" s="1252">
        <v>5.04</v>
      </c>
      <c r="D1089" s="1253">
        <v>5.04</v>
      </c>
      <c r="E1089" s="1254">
        <v>5.04</v>
      </c>
      <c r="F1089" s="1291"/>
      <c r="G1089" s="1291"/>
      <c r="H1089" s="1291"/>
      <c r="I1089" s="1291"/>
      <c r="J1089" s="1291"/>
      <c r="K1089" s="1291"/>
      <c r="L1089" s="1291"/>
      <c r="M1089" s="1291"/>
      <c r="N1089" s="1291"/>
      <c r="O1089" s="1291"/>
      <c r="P1089" s="1291"/>
      <c r="Q1089" s="1291"/>
      <c r="R1089" s="1291"/>
      <c r="S1089" s="1291"/>
      <c r="T1089" s="1291"/>
      <c r="U1089" s="1291"/>
      <c r="V1089" s="1291"/>
      <c r="W1089" s="1291"/>
      <c r="X1089" s="1291"/>
      <c r="Y1089" s="1291"/>
      <c r="Z1089" s="1291"/>
      <c r="AA1089" s="1291"/>
      <c r="AB1089" s="1252">
        <v>5.04</v>
      </c>
      <c r="AC1089" s="1253">
        <v>5.04</v>
      </c>
      <c r="AD1089" s="1254">
        <v>5.04</v>
      </c>
      <c r="AE1089" s="1291"/>
      <c r="AF1089" s="1292"/>
      <c r="AG1089">
        <v>35</v>
      </c>
    </row>
    <row r="1090" spans="1:34">
      <c r="A1090" s="1288"/>
      <c r="B1090" s="303">
        <v>5.04</v>
      </c>
      <c r="C1090" s="300">
        <v>5.04</v>
      </c>
      <c r="D1090" s="300">
        <v>5.04</v>
      </c>
      <c r="E1090" s="300">
        <v>5.04</v>
      </c>
      <c r="F1090" s="296">
        <v>5.04</v>
      </c>
      <c r="G1090" s="1287"/>
      <c r="H1090" s="1287"/>
      <c r="I1090" s="1287"/>
      <c r="J1090" s="1287"/>
      <c r="K1090" s="1287"/>
      <c r="L1090" s="1287"/>
      <c r="M1090" s="1287"/>
      <c r="N1090" s="1287"/>
      <c r="O1090" s="1287"/>
      <c r="P1090" s="1287"/>
      <c r="Q1090" s="1287"/>
      <c r="R1090" s="1287"/>
      <c r="S1090" s="1287"/>
      <c r="T1090" s="1287"/>
      <c r="U1090" s="1287"/>
      <c r="V1090" s="1287"/>
      <c r="W1090" s="1287"/>
      <c r="X1090" s="1287"/>
      <c r="Y1090" s="1287"/>
      <c r="Z1090" s="1287"/>
      <c r="AA1090" s="303">
        <v>5.04</v>
      </c>
      <c r="AB1090" s="300">
        <v>5.04</v>
      </c>
      <c r="AC1090" s="300">
        <v>5.04</v>
      </c>
      <c r="AD1090" s="300">
        <v>5.04</v>
      </c>
      <c r="AE1090" s="296">
        <v>5.04</v>
      </c>
      <c r="AF1090" s="1289"/>
      <c r="AG1090">
        <v>200</v>
      </c>
    </row>
    <row r="1091" spans="1:34">
      <c r="A1091" s="712">
        <v>5.04</v>
      </c>
      <c r="B1091" s="300">
        <v>5.04</v>
      </c>
      <c r="C1091" s="292">
        <v>1</v>
      </c>
      <c r="D1091" s="292">
        <v>4</v>
      </c>
      <c r="E1091" s="292">
        <v>1</v>
      </c>
      <c r="F1091" s="300">
        <v>5.04</v>
      </c>
      <c r="G1091" s="296">
        <v>5.04</v>
      </c>
      <c r="H1091" s="1287"/>
      <c r="I1091" s="1287"/>
      <c r="J1091" s="1287"/>
      <c r="K1091" s="1287"/>
      <c r="L1091" s="1287"/>
      <c r="M1091" s="1287"/>
      <c r="N1091" s="1287"/>
      <c r="O1091" s="294">
        <v>7.07</v>
      </c>
      <c r="P1091" s="294">
        <v>7.07</v>
      </c>
      <c r="Q1091" s="294">
        <v>7.07</v>
      </c>
      <c r="R1091" s="294">
        <v>7.07</v>
      </c>
      <c r="S1091" s="1287"/>
      <c r="T1091" s="1287"/>
      <c r="U1091" s="1287"/>
      <c r="V1091" s="1287"/>
      <c r="W1091" s="1287"/>
      <c r="X1091" s="1287"/>
      <c r="Y1091" s="1287"/>
      <c r="Z1091" s="303">
        <v>5.04</v>
      </c>
      <c r="AA1091" s="300">
        <v>5.04</v>
      </c>
      <c r="AB1091" s="292">
        <v>1</v>
      </c>
      <c r="AC1091" s="292">
        <v>4</v>
      </c>
      <c r="AD1091" s="292">
        <v>1</v>
      </c>
      <c r="AE1091" s="300">
        <v>5.04</v>
      </c>
      <c r="AF1091" s="1255">
        <v>5.04</v>
      </c>
    </row>
    <row r="1092" spans="1:34">
      <c r="A1092" s="1256">
        <v>5.04</v>
      </c>
      <c r="B1092" s="300">
        <v>5.04</v>
      </c>
      <c r="C1092" s="292">
        <v>4</v>
      </c>
      <c r="D1092" s="300">
        <v>5</v>
      </c>
      <c r="E1092" s="292">
        <v>4</v>
      </c>
      <c r="F1092" s="300">
        <v>5.04</v>
      </c>
      <c r="G1092" s="300">
        <v>5.04</v>
      </c>
      <c r="H1092" s="1287"/>
      <c r="I1092" s="1287"/>
      <c r="J1092" s="1287"/>
      <c r="K1092" s="1287"/>
      <c r="L1092" s="294">
        <v>7.07</v>
      </c>
      <c r="M1092" s="294">
        <v>7.07</v>
      </c>
      <c r="N1092" s="294">
        <v>7.07</v>
      </c>
      <c r="O1092" s="294">
        <v>7.07</v>
      </c>
      <c r="P1092" s="298">
        <v>8.07</v>
      </c>
      <c r="Q1092" s="298">
        <v>8.07</v>
      </c>
      <c r="R1092" s="294">
        <v>7.07</v>
      </c>
      <c r="S1092" s="294">
        <v>7.07</v>
      </c>
      <c r="T1092" s="294">
        <v>7.07</v>
      </c>
      <c r="U1092" s="294">
        <v>7.07</v>
      </c>
      <c r="V1092" s="1287"/>
      <c r="W1092" s="1287"/>
      <c r="X1092" s="1287"/>
      <c r="Y1092" s="1287"/>
      <c r="Z1092" s="300">
        <v>5.04</v>
      </c>
      <c r="AA1092" s="300">
        <v>5.04</v>
      </c>
      <c r="AB1092" s="292">
        <v>4</v>
      </c>
      <c r="AC1092" s="300">
        <v>5</v>
      </c>
      <c r="AD1092" s="292">
        <v>4</v>
      </c>
      <c r="AE1092" s="300">
        <v>5.04</v>
      </c>
      <c r="AF1092" s="1257">
        <v>5.04</v>
      </c>
    </row>
    <row r="1093" spans="1:34">
      <c r="A1093" s="748">
        <v>5.04</v>
      </c>
      <c r="B1093" s="300">
        <v>5.04</v>
      </c>
      <c r="C1093" s="292">
        <v>1</v>
      </c>
      <c r="D1093" s="292">
        <v>4</v>
      </c>
      <c r="E1093" s="292">
        <v>1</v>
      </c>
      <c r="F1093" s="300">
        <v>5.04</v>
      </c>
      <c r="G1093" s="303">
        <v>5.04</v>
      </c>
      <c r="H1093" s="1287"/>
      <c r="I1093" s="294">
        <v>7.07</v>
      </c>
      <c r="J1093" s="294">
        <v>7.07</v>
      </c>
      <c r="K1093" s="294">
        <v>7.07</v>
      </c>
      <c r="L1093" s="294">
        <v>7.07</v>
      </c>
      <c r="M1093" s="298">
        <v>8.07</v>
      </c>
      <c r="N1093" s="298">
        <v>8.07</v>
      </c>
      <c r="O1093" s="298">
        <v>8.07</v>
      </c>
      <c r="P1093" s="298">
        <v>8.07</v>
      </c>
      <c r="Q1093" s="298">
        <v>8.07</v>
      </c>
      <c r="R1093" s="298">
        <v>8.07</v>
      </c>
      <c r="S1093" s="298">
        <v>8.07</v>
      </c>
      <c r="T1093" s="298">
        <v>8.07</v>
      </c>
      <c r="U1093" s="294">
        <v>7.07</v>
      </c>
      <c r="V1093" s="294">
        <v>7.07</v>
      </c>
      <c r="W1093" s="294">
        <v>7.07</v>
      </c>
      <c r="X1093" s="294">
        <v>7.07</v>
      </c>
      <c r="Y1093" s="1287"/>
      <c r="Z1093" s="296">
        <v>5.04</v>
      </c>
      <c r="AA1093" s="300">
        <v>5.04</v>
      </c>
      <c r="AB1093" s="292">
        <v>1</v>
      </c>
      <c r="AC1093" s="292">
        <v>4</v>
      </c>
      <c r="AD1093" s="292">
        <v>1</v>
      </c>
      <c r="AE1093" s="300">
        <v>5.04</v>
      </c>
      <c r="AF1093" s="1258">
        <v>5.04</v>
      </c>
    </row>
    <row r="1094" spans="1:34">
      <c r="A1094" s="1288"/>
      <c r="B1094" s="296">
        <v>5.04</v>
      </c>
      <c r="C1094" s="300">
        <v>5.04</v>
      </c>
      <c r="D1094" s="300">
        <v>5.04</v>
      </c>
      <c r="E1094" s="300">
        <v>5.04</v>
      </c>
      <c r="F1094" s="303">
        <v>5.04</v>
      </c>
      <c r="G1094" s="1287"/>
      <c r="H1094" s="294">
        <v>7.07</v>
      </c>
      <c r="I1094" s="294">
        <v>7.07</v>
      </c>
      <c r="J1094" s="298">
        <v>8.07</v>
      </c>
      <c r="K1094" s="298">
        <v>8.07</v>
      </c>
      <c r="L1094" s="298">
        <v>8.07</v>
      </c>
      <c r="M1094" s="298">
        <v>8.07</v>
      </c>
      <c r="N1094" s="298">
        <v>8.07</v>
      </c>
      <c r="O1094" s="298">
        <v>8.07</v>
      </c>
      <c r="P1094" s="298">
        <v>8.07</v>
      </c>
      <c r="Q1094" s="298">
        <v>8.07</v>
      </c>
      <c r="R1094" s="298">
        <v>8.07</v>
      </c>
      <c r="S1094" s="298">
        <v>8.07</v>
      </c>
      <c r="T1094" s="298">
        <v>8.07</v>
      </c>
      <c r="U1094" s="298">
        <v>8.07</v>
      </c>
      <c r="V1094" s="298">
        <v>8.07</v>
      </c>
      <c r="W1094" s="298">
        <v>8.07</v>
      </c>
      <c r="X1094" s="294">
        <v>7.07</v>
      </c>
      <c r="Y1094" s="294">
        <v>7.07</v>
      </c>
      <c r="Z1094" s="1287"/>
      <c r="AA1094" s="296">
        <v>5.04</v>
      </c>
      <c r="AB1094" s="300">
        <v>5.04</v>
      </c>
      <c r="AC1094" s="300">
        <v>5.04</v>
      </c>
      <c r="AD1094" s="300">
        <v>5.04</v>
      </c>
      <c r="AE1094" s="303">
        <v>5.04</v>
      </c>
      <c r="AF1094" s="1289"/>
    </row>
    <row r="1095" spans="1:34">
      <c r="A1095" s="1288"/>
      <c r="B1095" s="1287"/>
      <c r="C1095" s="296">
        <v>5.04</v>
      </c>
      <c r="D1095" s="300">
        <v>5.04</v>
      </c>
      <c r="E1095" s="303">
        <v>5.04</v>
      </c>
      <c r="F1095" s="1287"/>
      <c r="G1095" s="294">
        <v>7.07</v>
      </c>
      <c r="H1095" s="294">
        <v>7.07</v>
      </c>
      <c r="I1095" s="298">
        <v>8.07</v>
      </c>
      <c r="J1095" s="298">
        <v>8.07</v>
      </c>
      <c r="K1095" s="298">
        <v>8.07</v>
      </c>
      <c r="L1095" s="298">
        <v>8.07</v>
      </c>
      <c r="M1095" s="298">
        <v>8.07</v>
      </c>
      <c r="N1095" s="298">
        <v>8.07</v>
      </c>
      <c r="O1095" s="298">
        <v>8.07</v>
      </c>
      <c r="P1095" s="298">
        <v>8.07</v>
      </c>
      <c r="Q1095" s="298">
        <v>8.07</v>
      </c>
      <c r="R1095" s="298">
        <v>8.07</v>
      </c>
      <c r="S1095" s="298">
        <v>8.07</v>
      </c>
      <c r="T1095" s="298">
        <v>8.07</v>
      </c>
      <c r="U1095" s="298">
        <v>8.07</v>
      </c>
      <c r="V1095" s="298">
        <v>8.07</v>
      </c>
      <c r="W1095" s="298">
        <v>8.07</v>
      </c>
      <c r="X1095" s="298">
        <v>8.07</v>
      </c>
      <c r="Y1095" s="294">
        <v>7.07</v>
      </c>
      <c r="Z1095" s="294">
        <v>7.07</v>
      </c>
      <c r="AA1095" s="1287"/>
      <c r="AB1095" s="296">
        <v>5.04</v>
      </c>
      <c r="AC1095" s="300">
        <v>5.04</v>
      </c>
      <c r="AD1095" s="303">
        <v>5.04</v>
      </c>
      <c r="AE1095" s="1287"/>
      <c r="AF1095" s="1289"/>
    </row>
    <row r="1096" spans="1:34">
      <c r="A1096" s="1288"/>
      <c r="B1096" s="1287"/>
      <c r="C1096" s="1287"/>
      <c r="D1096" s="1287"/>
      <c r="E1096" s="1287"/>
      <c r="F1096" s="294">
        <v>7.07</v>
      </c>
      <c r="G1096" s="294">
        <v>7.07</v>
      </c>
      <c r="H1096" s="298">
        <v>8.07</v>
      </c>
      <c r="I1096" s="298">
        <v>8.07</v>
      </c>
      <c r="J1096" s="298">
        <v>8.07</v>
      </c>
      <c r="K1096" s="298">
        <v>8.07</v>
      </c>
      <c r="L1096" s="298">
        <v>8.07</v>
      </c>
      <c r="M1096" s="298">
        <v>8.07</v>
      </c>
      <c r="N1096" s="298">
        <v>8.07</v>
      </c>
      <c r="O1096" s="298">
        <v>8.07</v>
      </c>
      <c r="P1096" s="298">
        <v>8.07</v>
      </c>
      <c r="Q1096" s="298">
        <v>8.07</v>
      </c>
      <c r="R1096" s="298">
        <v>8.07</v>
      </c>
      <c r="S1096" s="298">
        <v>8.07</v>
      </c>
      <c r="T1096" s="298">
        <v>8.07</v>
      </c>
      <c r="U1096" s="298">
        <v>8.07</v>
      </c>
      <c r="V1096" s="298">
        <v>8.07</v>
      </c>
      <c r="W1096" s="298">
        <v>8.07</v>
      </c>
      <c r="X1096" s="298">
        <v>8.07</v>
      </c>
      <c r="Y1096" s="298">
        <v>8.07</v>
      </c>
      <c r="Z1096" s="294">
        <v>7.07</v>
      </c>
      <c r="AA1096" s="294">
        <v>7.07</v>
      </c>
      <c r="AB1096" s="1287"/>
      <c r="AC1096" s="1287"/>
      <c r="AD1096" s="1287"/>
      <c r="AE1096" s="1287"/>
      <c r="AF1096" s="1289"/>
    </row>
    <row r="1097" spans="1:34">
      <c r="A1097" s="1288"/>
      <c r="B1097" s="1287"/>
      <c r="C1097" s="1287"/>
      <c r="D1097" s="1287"/>
      <c r="E1097" s="294">
        <v>7.07</v>
      </c>
      <c r="F1097" s="294">
        <v>7.07</v>
      </c>
      <c r="G1097" s="298">
        <v>8.07</v>
      </c>
      <c r="H1097" s="298">
        <v>8.07</v>
      </c>
      <c r="I1097" s="298">
        <v>8.07</v>
      </c>
      <c r="J1097" s="298">
        <v>8.07</v>
      </c>
      <c r="K1097" s="298">
        <v>8.07</v>
      </c>
      <c r="L1097" s="298">
        <v>8.07</v>
      </c>
      <c r="M1097" s="298">
        <v>8.07</v>
      </c>
      <c r="N1097" s="298">
        <v>8.07</v>
      </c>
      <c r="O1097" s="298">
        <v>8.07</v>
      </c>
      <c r="P1097" s="298">
        <v>8.07</v>
      </c>
      <c r="Q1097" s="298">
        <v>8.07</v>
      </c>
      <c r="R1097" s="298">
        <v>8.07</v>
      </c>
      <c r="S1097" s="298">
        <v>8.07</v>
      </c>
      <c r="T1097" s="298">
        <v>8.07</v>
      </c>
      <c r="U1097" s="298">
        <v>8.07</v>
      </c>
      <c r="V1097" s="298">
        <v>8.07</v>
      </c>
      <c r="W1097" s="298">
        <v>8.07</v>
      </c>
      <c r="X1097" s="298">
        <v>8.07</v>
      </c>
      <c r="Y1097" s="298">
        <v>8.07</v>
      </c>
      <c r="Z1097" s="298">
        <v>8.07</v>
      </c>
      <c r="AA1097" s="294">
        <v>7.07</v>
      </c>
      <c r="AB1097" s="294">
        <v>7.07</v>
      </c>
      <c r="AC1097" s="1287"/>
      <c r="AD1097" s="1287"/>
      <c r="AE1097" s="1287"/>
      <c r="AF1097" s="1289"/>
    </row>
    <row r="1098" spans="1:34">
      <c r="A1098" s="1288"/>
      <c r="B1098" s="1287"/>
      <c r="C1098" s="1287"/>
      <c r="D1098" s="1287"/>
      <c r="E1098" s="294">
        <v>7.07</v>
      </c>
      <c r="F1098" s="298">
        <v>8.07</v>
      </c>
      <c r="G1098" s="298">
        <v>8.07</v>
      </c>
      <c r="H1098" s="298">
        <v>8.07</v>
      </c>
      <c r="I1098" s="298">
        <v>8.07</v>
      </c>
      <c r="J1098" s="298">
        <v>8.07</v>
      </c>
      <c r="K1098" s="298">
        <v>8.07</v>
      </c>
      <c r="L1098" s="298">
        <v>8.07</v>
      </c>
      <c r="M1098" s="298">
        <v>8.07</v>
      </c>
      <c r="N1098" s="298">
        <v>8.07</v>
      </c>
      <c r="O1098" s="298">
        <v>8.07</v>
      </c>
      <c r="P1098" s="298">
        <v>8.07</v>
      </c>
      <c r="Q1098" s="298">
        <v>8.07</v>
      </c>
      <c r="R1098" s="298">
        <v>8.07</v>
      </c>
      <c r="S1098" s="298">
        <v>8.07</v>
      </c>
      <c r="T1098" s="298">
        <v>8.07</v>
      </c>
      <c r="U1098" s="298">
        <v>8.07</v>
      </c>
      <c r="V1098" s="298">
        <v>8.07</v>
      </c>
      <c r="W1098" s="298">
        <v>8.07</v>
      </c>
      <c r="X1098" s="298">
        <v>8.07</v>
      </c>
      <c r="Y1098" s="298">
        <v>8.07</v>
      </c>
      <c r="Z1098" s="298">
        <v>8.07</v>
      </c>
      <c r="AA1098" s="298">
        <v>8.07</v>
      </c>
      <c r="AB1098" s="294">
        <v>7.07</v>
      </c>
      <c r="AC1098" s="1287"/>
      <c r="AD1098" s="1287"/>
      <c r="AE1098" s="1287"/>
      <c r="AF1098" s="1289"/>
    </row>
    <row r="1099" spans="1:34">
      <c r="AH1099">
        <v>1098</v>
      </c>
    </row>
    <row r="1100" spans="1:34">
      <c r="A1100" s="1288"/>
      <c r="B1100" s="1287"/>
      <c r="C1100" s="1287"/>
      <c r="D1100" s="294">
        <v>7.07</v>
      </c>
      <c r="E1100" s="294">
        <v>7.07</v>
      </c>
      <c r="F1100" s="298">
        <v>8.07</v>
      </c>
      <c r="G1100" s="298">
        <v>8.07</v>
      </c>
      <c r="H1100" s="298">
        <v>8.07</v>
      </c>
      <c r="I1100" s="298">
        <v>8.07</v>
      </c>
      <c r="J1100" s="298">
        <v>8.07</v>
      </c>
      <c r="K1100" s="298">
        <v>8.07</v>
      </c>
      <c r="L1100" s="298">
        <v>8.07</v>
      </c>
      <c r="M1100" s="298">
        <v>8.07</v>
      </c>
      <c r="N1100" s="298">
        <v>8.07</v>
      </c>
      <c r="O1100" s="298">
        <v>8.07</v>
      </c>
      <c r="P1100" s="298">
        <v>8.07</v>
      </c>
      <c r="Q1100" s="298">
        <v>8.07</v>
      </c>
      <c r="R1100" s="298">
        <v>8.07</v>
      </c>
      <c r="S1100" s="298">
        <v>8.07</v>
      </c>
      <c r="T1100" s="298">
        <v>8.07</v>
      </c>
      <c r="U1100" s="298">
        <v>8.07</v>
      </c>
      <c r="V1100" s="298">
        <v>8.07</v>
      </c>
      <c r="W1100" s="298">
        <v>8.07</v>
      </c>
      <c r="X1100" s="298">
        <v>8.07</v>
      </c>
      <c r="Y1100" s="298">
        <v>8.07</v>
      </c>
      <c r="Z1100" s="298">
        <v>8.07</v>
      </c>
      <c r="AA1100" s="298">
        <v>8.07</v>
      </c>
      <c r="AB1100" s="294">
        <v>7.07</v>
      </c>
      <c r="AC1100" s="294">
        <v>7.07</v>
      </c>
      <c r="AD1100" s="1287"/>
      <c r="AE1100" s="1287"/>
      <c r="AF1100" s="1289"/>
    </row>
    <row r="1101" spans="1:34">
      <c r="A1101" s="1288"/>
      <c r="B1101" s="1287"/>
      <c r="C1101" s="1287"/>
      <c r="D1101" s="294">
        <v>7.07</v>
      </c>
      <c r="E1101" s="298">
        <v>8.07</v>
      </c>
      <c r="F1101" s="298">
        <v>8.07</v>
      </c>
      <c r="G1101" s="298">
        <v>8.07</v>
      </c>
      <c r="H1101" s="298">
        <v>8.07</v>
      </c>
      <c r="I1101" s="298">
        <v>8.07</v>
      </c>
      <c r="J1101" s="298">
        <v>8.07</v>
      </c>
      <c r="K1101" s="298">
        <v>8.07</v>
      </c>
      <c r="L1101" s="298">
        <v>8.07</v>
      </c>
      <c r="M1101" s="298">
        <v>8.07</v>
      </c>
      <c r="N1101" s="298">
        <v>8.07</v>
      </c>
      <c r="O1101" s="290">
        <v>7</v>
      </c>
      <c r="P1101" s="290">
        <v>7</v>
      </c>
      <c r="Q1101" s="290">
        <v>7</v>
      </c>
      <c r="R1101" s="290">
        <v>7</v>
      </c>
      <c r="S1101" s="298">
        <v>8.07</v>
      </c>
      <c r="T1101" s="298">
        <v>8.07</v>
      </c>
      <c r="U1101" s="298">
        <v>8.07</v>
      </c>
      <c r="V1101" s="298">
        <v>8.07</v>
      </c>
      <c r="W1101" s="298">
        <v>8.07</v>
      </c>
      <c r="X1101" s="298">
        <v>8.07</v>
      </c>
      <c r="Y1101" s="298">
        <v>8.07</v>
      </c>
      <c r="Z1101" s="298">
        <v>8.07</v>
      </c>
      <c r="AA1101" s="298">
        <v>8.07</v>
      </c>
      <c r="AB1101" s="298">
        <v>8.07</v>
      </c>
      <c r="AC1101" s="294">
        <v>7.07</v>
      </c>
      <c r="AD1101" s="1287"/>
      <c r="AE1101" s="1287"/>
      <c r="AF1101" s="1289"/>
    </row>
    <row r="1102" spans="1:34">
      <c r="A1102" s="1288"/>
      <c r="B1102" s="1287"/>
      <c r="C1102" s="1287"/>
      <c r="D1102" s="294">
        <v>7.07</v>
      </c>
      <c r="E1102" s="298">
        <v>8.07</v>
      </c>
      <c r="F1102" s="298">
        <v>8.07</v>
      </c>
      <c r="G1102" s="298">
        <v>8.07</v>
      </c>
      <c r="H1102" s="298">
        <v>8.07</v>
      </c>
      <c r="I1102" s="298">
        <v>8.07</v>
      </c>
      <c r="J1102" s="298">
        <v>8.07</v>
      </c>
      <c r="K1102" s="298">
        <v>8.07</v>
      </c>
      <c r="L1102" s="298">
        <v>8.07</v>
      </c>
      <c r="M1102" s="298">
        <v>8.07</v>
      </c>
      <c r="N1102" s="290">
        <v>7</v>
      </c>
      <c r="O1102" s="161">
        <v>28.23</v>
      </c>
      <c r="P1102" s="161">
        <v>28.23</v>
      </c>
      <c r="Q1102" s="161">
        <v>28.23</v>
      </c>
      <c r="R1102" s="293">
        <v>28.23</v>
      </c>
      <c r="S1102" s="290">
        <v>7</v>
      </c>
      <c r="T1102" s="298">
        <v>8.07</v>
      </c>
      <c r="U1102" s="298">
        <v>8.07</v>
      </c>
      <c r="V1102" s="298">
        <v>8.07</v>
      </c>
      <c r="W1102" s="298">
        <v>8.07</v>
      </c>
      <c r="X1102" s="298">
        <v>8.07</v>
      </c>
      <c r="Y1102" s="298">
        <v>8.07</v>
      </c>
      <c r="Z1102" s="298">
        <v>8.07</v>
      </c>
      <c r="AA1102" s="298">
        <v>8.07</v>
      </c>
      <c r="AB1102" s="298">
        <v>8.07</v>
      </c>
      <c r="AC1102" s="294">
        <v>7.07</v>
      </c>
      <c r="AD1102" s="1287"/>
      <c r="AE1102" s="1287"/>
      <c r="AF1102" s="1289"/>
    </row>
    <row r="1103" spans="1:34">
      <c r="A1103" s="1288"/>
      <c r="B1103" s="1287"/>
      <c r="C1103" s="294">
        <v>7.07</v>
      </c>
      <c r="D1103" s="294">
        <v>7.07</v>
      </c>
      <c r="E1103" s="298">
        <v>8.07</v>
      </c>
      <c r="F1103" s="298">
        <v>8.07</v>
      </c>
      <c r="G1103" s="298">
        <v>8.07</v>
      </c>
      <c r="H1103" s="298">
        <v>8.07</v>
      </c>
      <c r="I1103" s="298">
        <v>8.07</v>
      </c>
      <c r="J1103" s="298">
        <v>8.07</v>
      </c>
      <c r="K1103" s="298">
        <v>8.07</v>
      </c>
      <c r="L1103" s="298">
        <v>8.07</v>
      </c>
      <c r="M1103" s="290">
        <v>7</v>
      </c>
      <c r="N1103" s="161">
        <v>28.23</v>
      </c>
      <c r="O1103" s="297">
        <v>28.23</v>
      </c>
      <c r="P1103" s="481">
        <v>27.24</v>
      </c>
      <c r="Q1103" s="481">
        <v>27.23</v>
      </c>
      <c r="R1103" s="297">
        <v>28.23</v>
      </c>
      <c r="S1103" s="293">
        <v>28.23</v>
      </c>
      <c r="T1103" s="290">
        <v>7</v>
      </c>
      <c r="U1103" s="298">
        <v>8.07</v>
      </c>
      <c r="V1103" s="298">
        <v>8.07</v>
      </c>
      <c r="W1103" s="298">
        <v>8.07</v>
      </c>
      <c r="X1103" s="298">
        <v>8.07</v>
      </c>
      <c r="Y1103" s="298">
        <v>8.07</v>
      </c>
      <c r="Z1103" s="298">
        <v>8.07</v>
      </c>
      <c r="AA1103" s="298">
        <v>8.07</v>
      </c>
      <c r="AB1103" s="298">
        <v>8.07</v>
      </c>
      <c r="AC1103" s="294">
        <v>7.07</v>
      </c>
      <c r="AD1103" s="294">
        <v>7.07</v>
      </c>
      <c r="AE1103" s="1287"/>
      <c r="AF1103" s="1289"/>
    </row>
    <row r="1104" spans="1:34">
      <c r="A1104" s="1288"/>
      <c r="B1104" s="1287"/>
      <c r="C1104" s="294">
        <v>7.07</v>
      </c>
      <c r="D1104" s="298">
        <v>8.07</v>
      </c>
      <c r="E1104" s="298">
        <v>8.07</v>
      </c>
      <c r="F1104" s="298">
        <v>8.07</v>
      </c>
      <c r="G1104" s="298">
        <v>8.07</v>
      </c>
      <c r="H1104" s="298">
        <v>8.07</v>
      </c>
      <c r="I1104" s="298">
        <v>8.07</v>
      </c>
      <c r="J1104" s="298">
        <v>8.07</v>
      </c>
      <c r="K1104" s="298">
        <v>8.07</v>
      </c>
      <c r="L1104" s="298">
        <v>8.07</v>
      </c>
      <c r="M1104" s="290">
        <v>7</v>
      </c>
      <c r="N1104" s="161">
        <v>28.23</v>
      </c>
      <c r="O1104" s="481">
        <v>27.24</v>
      </c>
      <c r="P1104" s="205">
        <v>7.28</v>
      </c>
      <c r="Q1104" s="307">
        <v>27.23</v>
      </c>
      <c r="R1104" s="481">
        <v>27.24</v>
      </c>
      <c r="S1104" s="161">
        <v>28.23</v>
      </c>
      <c r="T1104" s="290">
        <v>7</v>
      </c>
      <c r="U1104" s="298">
        <v>8.07</v>
      </c>
      <c r="V1104" s="298">
        <v>8.07</v>
      </c>
      <c r="W1104" s="298">
        <v>8.07</v>
      </c>
      <c r="X1104" s="298">
        <v>8.07</v>
      </c>
      <c r="Y1104" s="298">
        <v>8.07</v>
      </c>
      <c r="Z1104" s="298">
        <v>8.07</v>
      </c>
      <c r="AA1104" s="298">
        <v>8.07</v>
      </c>
      <c r="AB1104" s="298">
        <v>8.07</v>
      </c>
      <c r="AC1104" s="298">
        <v>8.07</v>
      </c>
      <c r="AD1104" s="294">
        <v>7.07</v>
      </c>
      <c r="AE1104" s="1287"/>
      <c r="AF1104" s="1289"/>
    </row>
    <row r="1105" spans="1:34">
      <c r="A1105" s="1288"/>
      <c r="B1105" s="1287"/>
      <c r="C1105" s="294">
        <v>7.07</v>
      </c>
      <c r="D1105" s="298">
        <v>8.07</v>
      </c>
      <c r="E1105" s="298">
        <v>8.07</v>
      </c>
      <c r="F1105" s="298">
        <v>8.07</v>
      </c>
      <c r="G1105" s="298">
        <v>8.07</v>
      </c>
      <c r="H1105" s="298">
        <v>8.07</v>
      </c>
      <c r="I1105" s="298">
        <v>8.07</v>
      </c>
      <c r="J1105" s="298">
        <v>8.07</v>
      </c>
      <c r="K1105" s="298">
        <v>8.07</v>
      </c>
      <c r="L1105" s="298">
        <v>8.07</v>
      </c>
      <c r="M1105" s="290">
        <v>7</v>
      </c>
      <c r="N1105" s="161">
        <v>28.23</v>
      </c>
      <c r="O1105" s="481">
        <v>27.24</v>
      </c>
      <c r="P1105" s="307">
        <v>27.23</v>
      </c>
      <c r="Q1105" s="205">
        <v>7.28</v>
      </c>
      <c r="R1105" s="481">
        <v>27.24</v>
      </c>
      <c r="S1105" s="161">
        <v>28.23</v>
      </c>
      <c r="T1105" s="290">
        <v>7</v>
      </c>
      <c r="U1105" s="298">
        <v>8.07</v>
      </c>
      <c r="V1105" s="298">
        <v>8.07</v>
      </c>
      <c r="W1105" s="298">
        <v>8.07</v>
      </c>
      <c r="X1105" s="298">
        <v>8.07</v>
      </c>
      <c r="Y1105" s="298">
        <v>8.07</v>
      </c>
      <c r="Z1105" s="298">
        <v>8.07</v>
      </c>
      <c r="AA1105" s="298">
        <v>8.07</v>
      </c>
      <c r="AB1105" s="298">
        <v>8.07</v>
      </c>
      <c r="AC1105" s="298">
        <v>8.07</v>
      </c>
      <c r="AD1105" s="294">
        <v>7.07</v>
      </c>
      <c r="AE1105" s="1287"/>
      <c r="AF1105" s="1289"/>
    </row>
    <row r="1106" spans="1:34">
      <c r="A1106" s="1288"/>
      <c r="B1106" s="1287"/>
      <c r="C1106" s="294">
        <v>7.07</v>
      </c>
      <c r="D1106" s="294">
        <v>7.07</v>
      </c>
      <c r="E1106" s="298">
        <v>8.07</v>
      </c>
      <c r="F1106" s="298">
        <v>8.07</v>
      </c>
      <c r="G1106" s="298">
        <v>8.07</v>
      </c>
      <c r="H1106" s="298">
        <v>8.07</v>
      </c>
      <c r="I1106" s="298">
        <v>8.07</v>
      </c>
      <c r="J1106" s="298">
        <v>8.07</v>
      </c>
      <c r="K1106" s="298">
        <v>8.07</v>
      </c>
      <c r="L1106" s="298">
        <v>8.07</v>
      </c>
      <c r="M1106" s="290">
        <v>7</v>
      </c>
      <c r="N1106" s="293">
        <v>28.23</v>
      </c>
      <c r="O1106" s="297">
        <v>28.23</v>
      </c>
      <c r="P1106" s="481">
        <v>27.222999999999999</v>
      </c>
      <c r="Q1106" s="481">
        <v>27.24</v>
      </c>
      <c r="R1106" s="297">
        <v>28.23</v>
      </c>
      <c r="S1106" s="161">
        <v>28.23</v>
      </c>
      <c r="T1106" s="290">
        <v>7</v>
      </c>
      <c r="U1106" s="298">
        <v>8.07</v>
      </c>
      <c r="V1106" s="298">
        <v>8.07</v>
      </c>
      <c r="W1106" s="298">
        <v>8.07</v>
      </c>
      <c r="X1106" s="298">
        <v>8.07</v>
      </c>
      <c r="Y1106" s="298">
        <v>8.07</v>
      </c>
      <c r="Z1106" s="298">
        <v>8.07</v>
      </c>
      <c r="AA1106" s="298">
        <v>8.07</v>
      </c>
      <c r="AB1106" s="298">
        <v>8.07</v>
      </c>
      <c r="AC1106" s="294">
        <v>7.07</v>
      </c>
      <c r="AD1106" s="294">
        <v>7.07</v>
      </c>
      <c r="AE1106" s="1287"/>
      <c r="AF1106" s="1289"/>
    </row>
    <row r="1107" spans="1:34">
      <c r="A1107" s="1288"/>
      <c r="B1107" s="1287"/>
      <c r="C1107" s="1287"/>
      <c r="D1107" s="294">
        <v>7.07</v>
      </c>
      <c r="E1107" s="298">
        <v>8.07</v>
      </c>
      <c r="F1107" s="298">
        <v>8.07</v>
      </c>
      <c r="G1107" s="298">
        <v>8.07</v>
      </c>
      <c r="H1107" s="298">
        <v>8.07</v>
      </c>
      <c r="I1107" s="298">
        <v>8.07</v>
      </c>
      <c r="J1107" s="298">
        <v>8.07</v>
      </c>
      <c r="K1107" s="298">
        <v>8.07</v>
      </c>
      <c r="L1107" s="298">
        <v>8.07</v>
      </c>
      <c r="M1107" s="298">
        <v>8.07</v>
      </c>
      <c r="N1107" s="290">
        <v>7</v>
      </c>
      <c r="O1107" s="293">
        <v>28.23</v>
      </c>
      <c r="P1107" s="161">
        <v>28.23</v>
      </c>
      <c r="Q1107" s="161">
        <v>28.23</v>
      </c>
      <c r="R1107" s="161">
        <v>28.23</v>
      </c>
      <c r="S1107" s="290">
        <v>7</v>
      </c>
      <c r="T1107" s="298">
        <v>8.07</v>
      </c>
      <c r="U1107" s="298">
        <v>8.07</v>
      </c>
      <c r="V1107" s="298">
        <v>8.07</v>
      </c>
      <c r="W1107" s="298">
        <v>8.07</v>
      </c>
      <c r="X1107" s="298">
        <v>8.07</v>
      </c>
      <c r="Y1107" s="298">
        <v>8.07</v>
      </c>
      <c r="Z1107" s="298">
        <v>8.07</v>
      </c>
      <c r="AA1107" s="298">
        <v>8.07</v>
      </c>
      <c r="AB1107" s="298">
        <v>8.07</v>
      </c>
      <c r="AC1107" s="294">
        <v>7.07</v>
      </c>
      <c r="AD1107" s="1287"/>
      <c r="AE1107" s="1287"/>
      <c r="AF1107" s="1289"/>
    </row>
    <row r="1108" spans="1:34">
      <c r="AH1108">
        <v>1101</v>
      </c>
    </row>
    <row r="1109" spans="1:34">
      <c r="AH1109">
        <v>1100</v>
      </c>
    </row>
    <row r="1110" spans="1:34">
      <c r="AH1110">
        <v>1098</v>
      </c>
    </row>
    <row r="1111" spans="1:34">
      <c r="AH1111">
        <v>1098</v>
      </c>
    </row>
    <row r="1112" spans="1:34">
      <c r="AH1112">
        <v>1097</v>
      </c>
    </row>
    <row r="1113" spans="1:34">
      <c r="AH1113">
        <v>1096</v>
      </c>
    </row>
    <row r="1114" spans="1:34">
      <c r="AH1114">
        <v>1095</v>
      </c>
    </row>
    <row r="1115" spans="1:34">
      <c r="AH1115">
        <v>1094</v>
      </c>
    </row>
    <row r="1116" spans="1:34">
      <c r="AH1116">
        <v>1093</v>
      </c>
    </row>
    <row r="1117" spans="1:34">
      <c r="AH1117">
        <v>1092</v>
      </c>
    </row>
    <row r="1118" spans="1:34">
      <c r="AH1118">
        <v>1091</v>
      </c>
    </row>
    <row r="1119" spans="1:34">
      <c r="AH1119">
        <v>1090</v>
      </c>
    </row>
    <row r="1120" spans="1:34">
      <c r="AH1120">
        <v>1089</v>
      </c>
    </row>
    <row r="1121" spans="1:34">
      <c r="A1121" s="749">
        <v>10.08</v>
      </c>
      <c r="B1121" s="158">
        <v>10.08</v>
      </c>
      <c r="C1121" s="158">
        <v>10.08</v>
      </c>
      <c r="D1121" s="158">
        <v>10.08</v>
      </c>
      <c r="E1121" s="163">
        <v>9.2799999999999994</v>
      </c>
      <c r="F1121" s="158">
        <v>10.29</v>
      </c>
      <c r="G1121" s="158">
        <v>10.29</v>
      </c>
      <c r="H1121" s="158">
        <v>10.29</v>
      </c>
      <c r="I1121" s="158">
        <v>10.29</v>
      </c>
      <c r="J1121" s="158">
        <v>10.29</v>
      </c>
      <c r="K1121" s="158">
        <v>10.29</v>
      </c>
      <c r="L1121" s="163">
        <v>9.2799999999999994</v>
      </c>
      <c r="M1121" s="158">
        <v>10.08</v>
      </c>
      <c r="N1121" s="158">
        <v>10.08</v>
      </c>
      <c r="O1121" s="158">
        <v>10.08</v>
      </c>
      <c r="P1121" s="162">
        <v>10.08</v>
      </c>
      <c r="Q1121" s="93"/>
      <c r="R1121" s="93"/>
      <c r="S1121" s="93"/>
      <c r="T1121" s="93"/>
      <c r="U1121" s="93"/>
      <c r="V1121" s="93"/>
      <c r="W1121" s="93"/>
      <c r="X1121" s="93"/>
      <c r="Y1121" s="93"/>
      <c r="Z1121" s="93"/>
      <c r="AA1121" s="93"/>
      <c r="AB1121" s="93"/>
      <c r="AC1121" s="93"/>
      <c r="AD1121" s="93"/>
      <c r="AE1121" s="93"/>
      <c r="AF1121" s="79"/>
      <c r="AG1121">
        <v>36</v>
      </c>
    </row>
    <row r="1122" spans="1:34">
      <c r="Q1122" s="93"/>
      <c r="R1122" s="93"/>
      <c r="S1122" s="93"/>
      <c r="T1122" s="93"/>
      <c r="U1122" s="93"/>
      <c r="V1122" s="93"/>
      <c r="W1122" s="93"/>
      <c r="X1122" s="93"/>
      <c r="Y1122" s="93"/>
      <c r="Z1122" s="93"/>
      <c r="AA1122" s="93"/>
      <c r="AB1122" s="93"/>
      <c r="AC1122" s="93"/>
      <c r="AD1122" s="93"/>
      <c r="AE1122" s="93"/>
      <c r="AF1122" s="79"/>
      <c r="AG1122">
        <v>200</v>
      </c>
      <c r="AH1122">
        <v>1121</v>
      </c>
    </row>
    <row r="1123" spans="1:34">
      <c r="Q1123" s="93"/>
      <c r="R1123" s="93"/>
      <c r="S1123" s="93"/>
      <c r="T1123" s="93"/>
      <c r="U1123" s="93"/>
      <c r="V1123" s="93"/>
      <c r="W1123" s="93"/>
      <c r="X1123" s="93"/>
      <c r="Y1123" s="93"/>
      <c r="Z1123" s="93"/>
      <c r="AA1123" s="93"/>
      <c r="AB1123" s="93"/>
      <c r="AC1123" s="93"/>
      <c r="AD1123" s="93"/>
      <c r="AE1123" s="93"/>
      <c r="AF1123" s="79"/>
      <c r="AH1123">
        <v>1121</v>
      </c>
    </row>
    <row r="1124" spans="1:34">
      <c r="Q1124" s="93"/>
      <c r="R1124" s="93"/>
      <c r="S1124" s="93"/>
      <c r="T1124" s="93"/>
      <c r="U1124" s="93"/>
      <c r="V1124" s="93"/>
      <c r="W1124" s="93"/>
      <c r="X1124" s="93"/>
      <c r="Y1124" s="93"/>
      <c r="Z1124" s="93"/>
      <c r="AA1124" s="93"/>
      <c r="AB1124" s="93"/>
      <c r="AC1124" s="93"/>
      <c r="AD1124" s="93"/>
      <c r="AE1124" s="93"/>
      <c r="AF1124" s="79"/>
      <c r="AH1124">
        <v>1121</v>
      </c>
    </row>
    <row r="1125" spans="1:34">
      <c r="A1125" s="749">
        <v>10.08</v>
      </c>
      <c r="B1125" s="158">
        <v>10.08</v>
      </c>
      <c r="C1125" s="158">
        <v>10.08</v>
      </c>
      <c r="D1125" s="158">
        <v>10.08</v>
      </c>
      <c r="E1125" s="163">
        <v>9.2799999999999994</v>
      </c>
      <c r="F1125" s="158">
        <v>10.29</v>
      </c>
      <c r="G1125" s="158">
        <v>10.29</v>
      </c>
      <c r="H1125" s="307">
        <v>30.28</v>
      </c>
      <c r="I1125" s="62">
        <v>30.28</v>
      </c>
      <c r="J1125" s="158">
        <v>10.29</v>
      </c>
      <c r="K1125" s="158">
        <v>10.29</v>
      </c>
      <c r="L1125" s="163">
        <v>9.2799999999999994</v>
      </c>
      <c r="M1125" s="158">
        <v>10.08</v>
      </c>
      <c r="N1125" s="158">
        <v>10.08</v>
      </c>
      <c r="O1125" s="158">
        <v>10.08</v>
      </c>
      <c r="P1125" s="162">
        <v>10.08</v>
      </c>
      <c r="Q1125" s="93"/>
      <c r="R1125" s="93"/>
      <c r="S1125" s="93"/>
      <c r="T1125" s="93"/>
      <c r="U1125" s="93"/>
      <c r="V1125" s="93"/>
      <c r="W1125" s="93"/>
      <c r="X1125" s="93"/>
      <c r="Y1125" s="93"/>
      <c r="Z1125" s="93"/>
      <c r="AA1125" s="93"/>
      <c r="AB1125" s="93"/>
      <c r="AC1125" s="93"/>
      <c r="AD1125" s="93"/>
      <c r="AE1125" s="93"/>
      <c r="AF1125" s="79"/>
    </row>
    <row r="1126" spans="1:34">
      <c r="A1126" s="749">
        <v>10.08</v>
      </c>
      <c r="B1126" s="158">
        <v>10.08</v>
      </c>
      <c r="C1126" s="158">
        <v>10.08</v>
      </c>
      <c r="D1126" s="158">
        <v>10.08</v>
      </c>
      <c r="E1126" s="163">
        <v>9.2799999999999994</v>
      </c>
      <c r="F1126" s="158">
        <v>10.29</v>
      </c>
      <c r="G1126" s="158">
        <v>10.29</v>
      </c>
      <c r="H1126" s="62">
        <v>30.28</v>
      </c>
      <c r="I1126" s="307">
        <v>30.28</v>
      </c>
      <c r="J1126" s="158">
        <v>10.29</v>
      </c>
      <c r="K1126" s="158">
        <v>10.29</v>
      </c>
      <c r="L1126" s="163">
        <v>9.2799999999999994</v>
      </c>
      <c r="M1126" s="158">
        <v>10.08</v>
      </c>
      <c r="N1126" s="158">
        <v>10.08</v>
      </c>
      <c r="O1126" s="158">
        <v>10.08</v>
      </c>
      <c r="P1126" s="162">
        <v>10.08</v>
      </c>
      <c r="Q1126" s="93"/>
      <c r="R1126" s="93"/>
      <c r="S1126" s="93"/>
      <c r="T1126" s="93"/>
      <c r="U1126" s="93"/>
      <c r="V1126" s="93"/>
      <c r="W1126" s="93"/>
      <c r="X1126" s="93"/>
      <c r="Y1126" s="93"/>
      <c r="Z1126" s="93"/>
      <c r="AA1126" s="93"/>
      <c r="AB1126" s="93"/>
      <c r="AC1126" s="93"/>
      <c r="AD1126" s="93"/>
      <c r="AE1126" s="93"/>
      <c r="AF1126" s="79"/>
    </row>
    <row r="1127" spans="1:34">
      <c r="AH1127">
        <v>1121</v>
      </c>
    </row>
    <row r="1128" spans="1:34">
      <c r="AH1128">
        <v>1121</v>
      </c>
    </row>
    <row r="1129" spans="1:34">
      <c r="AH1129">
        <v>1121</v>
      </c>
    </row>
    <row r="1130" spans="1:34">
      <c r="AH1130">
        <v>1121</v>
      </c>
    </row>
    <row r="1131" spans="1:34">
      <c r="AH1131">
        <v>1121</v>
      </c>
    </row>
    <row r="1132" spans="1:34">
      <c r="AH1132">
        <v>1121</v>
      </c>
    </row>
    <row r="1133" spans="1:34">
      <c r="A1133" s="749">
        <v>10.08</v>
      </c>
      <c r="B1133" s="158">
        <v>10.08</v>
      </c>
      <c r="C1133" s="158">
        <v>10.08</v>
      </c>
      <c r="D1133" s="158">
        <v>10.08</v>
      </c>
      <c r="E1133" s="163">
        <v>9.2799999999999994</v>
      </c>
      <c r="F1133" s="158">
        <v>10.29</v>
      </c>
      <c r="G1133" s="158">
        <v>10.29</v>
      </c>
      <c r="H1133" s="158">
        <v>10.29</v>
      </c>
      <c r="I1133" s="158">
        <v>10.29</v>
      </c>
      <c r="J1133" s="158">
        <v>10.29</v>
      </c>
      <c r="K1133" s="158">
        <v>10.29</v>
      </c>
      <c r="L1133" s="163">
        <v>9.2799999999999994</v>
      </c>
      <c r="M1133" s="158">
        <v>10.08</v>
      </c>
      <c r="N1133" s="158">
        <v>10.08</v>
      </c>
      <c r="O1133" s="158">
        <v>10.08</v>
      </c>
      <c r="P1133" s="158">
        <v>10.08</v>
      </c>
      <c r="Q1133" s="162">
        <v>10.08</v>
      </c>
      <c r="R1133" s="93"/>
      <c r="S1133" s="93"/>
      <c r="T1133" s="93"/>
      <c r="U1133" s="93"/>
      <c r="V1133" s="93"/>
      <c r="W1133" s="93"/>
      <c r="X1133" s="93"/>
      <c r="Y1133" s="93"/>
      <c r="Z1133" s="93"/>
      <c r="AA1133" s="93"/>
      <c r="AB1133" s="93"/>
      <c r="AC1133" s="93"/>
      <c r="AD1133" s="93"/>
      <c r="AE1133" s="93"/>
      <c r="AF1133" s="79"/>
    </row>
    <row r="1134" spans="1:34">
      <c r="AH1134">
        <v>1133</v>
      </c>
    </row>
    <row r="1135" spans="1:34">
      <c r="A1135" s="749">
        <v>10.08</v>
      </c>
      <c r="B1135" s="158">
        <v>10.08</v>
      </c>
      <c r="C1135" s="158">
        <v>10.08</v>
      </c>
      <c r="D1135" s="158">
        <v>10.08</v>
      </c>
      <c r="E1135" s="163">
        <v>9.2799999999999994</v>
      </c>
      <c r="F1135" s="158">
        <v>10.29</v>
      </c>
      <c r="G1135" s="158">
        <v>10.29</v>
      </c>
      <c r="H1135" s="307">
        <v>30.28</v>
      </c>
      <c r="I1135" s="62">
        <v>30.28</v>
      </c>
      <c r="J1135" s="158">
        <v>10.29</v>
      </c>
      <c r="K1135" s="158">
        <v>10.29</v>
      </c>
      <c r="L1135" s="163">
        <v>9.2799999999999994</v>
      </c>
      <c r="M1135" s="158">
        <v>10.08</v>
      </c>
      <c r="N1135" s="158">
        <v>10.08</v>
      </c>
      <c r="O1135" s="158">
        <v>10.08</v>
      </c>
      <c r="P1135" s="158">
        <v>10.08</v>
      </c>
      <c r="Q1135" s="158">
        <v>10.08</v>
      </c>
      <c r="R1135" s="162">
        <v>10.08</v>
      </c>
      <c r="S1135" s="93"/>
      <c r="T1135" s="93"/>
      <c r="U1135" s="93"/>
      <c r="V1135" s="93"/>
      <c r="W1135" s="93"/>
      <c r="X1135" s="93"/>
      <c r="Y1135" s="93"/>
      <c r="Z1135" s="93"/>
      <c r="AA1135" s="93"/>
      <c r="AB1135" s="93"/>
      <c r="AC1135" s="93"/>
      <c r="AD1135" s="93"/>
      <c r="AE1135" s="93"/>
      <c r="AF1135" s="79"/>
    </row>
    <row r="1136" spans="1:34">
      <c r="A1136" s="749">
        <v>10.08</v>
      </c>
      <c r="B1136" s="158">
        <v>10.08</v>
      </c>
      <c r="C1136" s="158">
        <v>10.08</v>
      </c>
      <c r="D1136" s="158">
        <v>10.08</v>
      </c>
      <c r="E1136" s="163">
        <v>9.2799999999999994</v>
      </c>
      <c r="F1136" s="158">
        <v>10.29</v>
      </c>
      <c r="G1136" s="158">
        <v>10.29</v>
      </c>
      <c r="H1136" s="62">
        <v>30.28</v>
      </c>
      <c r="I1136" s="307">
        <v>30.28</v>
      </c>
      <c r="J1136" s="158">
        <v>10.29</v>
      </c>
      <c r="K1136" s="158">
        <v>10.29</v>
      </c>
      <c r="L1136" s="158">
        <v>10.29</v>
      </c>
      <c r="M1136" s="163">
        <v>9.2799999999999994</v>
      </c>
      <c r="N1136" s="158">
        <v>10.08</v>
      </c>
      <c r="O1136" s="158">
        <v>10.08</v>
      </c>
      <c r="P1136" s="158">
        <v>10.08</v>
      </c>
      <c r="Q1136" s="158">
        <v>10.08</v>
      </c>
      <c r="R1136" s="158">
        <v>10.08</v>
      </c>
      <c r="S1136" s="162">
        <v>10.08</v>
      </c>
      <c r="T1136" s="162">
        <v>10.08</v>
      </c>
      <c r="U1136" s="93"/>
      <c r="V1136" s="93"/>
      <c r="W1136" s="93"/>
      <c r="X1136" s="93"/>
      <c r="Y1136" s="93"/>
      <c r="Z1136" s="93"/>
      <c r="AA1136" s="93"/>
      <c r="AB1136" s="93"/>
      <c r="AC1136" s="93"/>
      <c r="AD1136" s="93"/>
      <c r="AE1136" s="93"/>
      <c r="AF1136" s="79"/>
    </row>
    <row r="1137" spans="1:32">
      <c r="A1137" s="749">
        <v>10.08</v>
      </c>
      <c r="B1137" s="158">
        <v>10.08</v>
      </c>
      <c r="C1137" s="158">
        <v>10.08</v>
      </c>
      <c r="D1137" s="158">
        <v>10.08</v>
      </c>
      <c r="E1137" s="158">
        <v>10.08</v>
      </c>
      <c r="F1137" s="163">
        <v>9.2799999999999994</v>
      </c>
      <c r="G1137" s="158">
        <v>10.29</v>
      </c>
      <c r="H1137" s="158">
        <v>10.29</v>
      </c>
      <c r="I1137" s="158">
        <v>10.29</v>
      </c>
      <c r="J1137" s="158">
        <v>10.29</v>
      </c>
      <c r="K1137" s="158">
        <v>10.29</v>
      </c>
      <c r="L1137" s="158">
        <v>10.29</v>
      </c>
      <c r="M1137" s="163">
        <v>9.2799999999999994</v>
      </c>
      <c r="N1137" s="158">
        <v>10.08</v>
      </c>
      <c r="O1137" s="158">
        <v>10.08</v>
      </c>
      <c r="P1137" s="158">
        <v>10.08</v>
      </c>
      <c r="Q1137" s="158">
        <v>10.08</v>
      </c>
      <c r="R1137" s="158">
        <v>10.08</v>
      </c>
      <c r="S1137" s="158">
        <v>10.08</v>
      </c>
      <c r="T1137" s="158">
        <v>10.08</v>
      </c>
      <c r="U1137" s="162">
        <v>10.08</v>
      </c>
      <c r="V1137" s="162">
        <v>10.08</v>
      </c>
      <c r="W1137" s="162">
        <v>10.08</v>
      </c>
      <c r="X1137" s="162">
        <v>10.08</v>
      </c>
      <c r="Y1137" s="162">
        <v>10.08</v>
      </c>
      <c r="Z1137" s="162">
        <v>10.08</v>
      </c>
      <c r="AA1137" s="162">
        <v>10.08</v>
      </c>
      <c r="AB1137" s="162">
        <v>10.08</v>
      </c>
      <c r="AC1137" s="162">
        <v>10.08</v>
      </c>
      <c r="AD1137" s="162">
        <v>10.08</v>
      </c>
      <c r="AE1137" s="162">
        <v>10.08</v>
      </c>
      <c r="AF1137" s="1259">
        <v>10.08</v>
      </c>
    </row>
    <row r="1138" spans="1:32">
      <c r="A1138" s="749">
        <v>10.08</v>
      </c>
      <c r="B1138" s="158">
        <v>10.08</v>
      </c>
      <c r="C1138" s="158">
        <v>10.08</v>
      </c>
      <c r="D1138" s="158">
        <v>10.08</v>
      </c>
      <c r="E1138" s="158">
        <v>10.08</v>
      </c>
      <c r="F1138" s="163">
        <v>9.2799999999999994</v>
      </c>
      <c r="G1138" s="158">
        <v>10.29</v>
      </c>
      <c r="H1138" s="158">
        <v>10.29</v>
      </c>
      <c r="I1138" s="158">
        <v>10.29</v>
      </c>
      <c r="J1138" s="158">
        <v>10.29</v>
      </c>
      <c r="K1138" s="158">
        <v>10.29</v>
      </c>
      <c r="L1138" s="158">
        <v>10.29</v>
      </c>
      <c r="M1138" s="158">
        <v>10.29</v>
      </c>
      <c r="N1138" s="163">
        <v>9.2799999999999994</v>
      </c>
      <c r="O1138" s="158">
        <v>10.08</v>
      </c>
      <c r="P1138" s="158">
        <v>10.08</v>
      </c>
      <c r="Q1138" s="158">
        <v>10.08</v>
      </c>
      <c r="R1138" s="158">
        <v>10.08</v>
      </c>
      <c r="S1138" s="158">
        <v>10.08</v>
      </c>
      <c r="T1138" s="158">
        <v>10.08</v>
      </c>
      <c r="U1138" s="158">
        <v>10.08</v>
      </c>
      <c r="V1138" s="158">
        <v>10.08</v>
      </c>
      <c r="W1138" s="158">
        <v>10.08</v>
      </c>
      <c r="X1138" s="158">
        <v>10.08</v>
      </c>
      <c r="Y1138" s="158">
        <v>10.08</v>
      </c>
      <c r="Z1138" s="158">
        <v>10.08</v>
      </c>
      <c r="AA1138" s="158">
        <v>10.08</v>
      </c>
      <c r="AB1138" s="158">
        <v>10.08</v>
      </c>
      <c r="AC1138" s="158">
        <v>10.08</v>
      </c>
      <c r="AD1138" s="158">
        <v>10.08</v>
      </c>
      <c r="AE1138" s="158">
        <v>10.08</v>
      </c>
      <c r="AF1138" s="1260">
        <v>10.08</v>
      </c>
    </row>
    <row r="1139" spans="1:32">
      <c r="A1139" s="749">
        <v>10.08</v>
      </c>
      <c r="B1139" s="158">
        <v>10.08</v>
      </c>
      <c r="C1139" s="158">
        <v>10.08</v>
      </c>
      <c r="D1139" s="158">
        <v>10.08</v>
      </c>
      <c r="E1139" s="158">
        <v>10.08</v>
      </c>
      <c r="F1139" s="163">
        <v>9.2799999999999994</v>
      </c>
      <c r="G1139" s="158">
        <v>10.29</v>
      </c>
      <c r="H1139" s="158">
        <v>10.29</v>
      </c>
      <c r="I1139" s="158">
        <v>10.29</v>
      </c>
      <c r="J1139" s="158">
        <v>10.29</v>
      </c>
      <c r="K1139" s="158">
        <v>10.29</v>
      </c>
      <c r="L1139" s="158">
        <v>10.29</v>
      </c>
      <c r="M1139" s="158">
        <v>10.29</v>
      </c>
      <c r="N1139" s="158">
        <v>10.29</v>
      </c>
      <c r="O1139" s="163">
        <v>9.2799999999999994</v>
      </c>
      <c r="P1139" s="158">
        <v>10.08</v>
      </c>
      <c r="Q1139" s="158">
        <v>10.08</v>
      </c>
      <c r="R1139" s="158">
        <v>10.08</v>
      </c>
      <c r="S1139" s="158">
        <v>10.08</v>
      </c>
      <c r="T1139" s="158">
        <v>10.08</v>
      </c>
      <c r="U1139" s="158">
        <v>10.08</v>
      </c>
      <c r="V1139" s="158">
        <v>10.08</v>
      </c>
      <c r="W1139" s="158">
        <v>10.08</v>
      </c>
      <c r="X1139" s="158">
        <v>10.08</v>
      </c>
      <c r="Y1139" s="158">
        <v>10.08</v>
      </c>
      <c r="Z1139" s="158">
        <v>10.08</v>
      </c>
      <c r="AA1139" s="158">
        <v>10.08</v>
      </c>
      <c r="AB1139" s="158">
        <v>10.08</v>
      </c>
      <c r="AC1139" s="158">
        <v>10.08</v>
      </c>
      <c r="AD1139" s="158">
        <v>10.08</v>
      </c>
      <c r="AE1139" s="158">
        <v>10.08</v>
      </c>
      <c r="AF1139" s="1260">
        <v>10.08</v>
      </c>
    </row>
    <row r="1140" spans="1:32">
      <c r="A1140" s="699"/>
      <c r="B1140" s="162">
        <v>10.08</v>
      </c>
      <c r="C1140" s="158">
        <v>10.08</v>
      </c>
      <c r="D1140" s="158">
        <v>10.08</v>
      </c>
      <c r="E1140" s="158">
        <v>10.08</v>
      </c>
      <c r="F1140" s="158">
        <v>10.08</v>
      </c>
      <c r="G1140" s="163">
        <v>9.2799999999999994</v>
      </c>
      <c r="H1140" s="158">
        <v>10.29</v>
      </c>
      <c r="I1140" s="158">
        <v>10.29</v>
      </c>
      <c r="J1140" s="158">
        <v>10.29</v>
      </c>
      <c r="K1140" s="158">
        <v>10.29</v>
      </c>
      <c r="L1140" s="158">
        <v>10.29</v>
      </c>
      <c r="M1140" s="158">
        <v>10.29</v>
      </c>
      <c r="N1140" s="158">
        <v>10.29</v>
      </c>
      <c r="O1140" s="158">
        <v>10.29</v>
      </c>
      <c r="P1140" s="163">
        <v>9.2799999999999994</v>
      </c>
      <c r="Q1140" s="163">
        <v>9.2799999999999994</v>
      </c>
      <c r="R1140" s="158">
        <v>10.08</v>
      </c>
      <c r="S1140" s="158">
        <v>10.08</v>
      </c>
      <c r="T1140" s="158">
        <v>10.08</v>
      </c>
      <c r="U1140" s="158">
        <v>10.08</v>
      </c>
      <c r="V1140" s="158">
        <v>10.08</v>
      </c>
      <c r="W1140" s="158">
        <v>10.08</v>
      </c>
      <c r="X1140" s="158">
        <v>10.08</v>
      </c>
      <c r="Y1140" s="158">
        <v>10.08</v>
      </c>
      <c r="Z1140" s="158">
        <v>10.08</v>
      </c>
      <c r="AA1140" s="158">
        <v>10.08</v>
      </c>
      <c r="AB1140" s="158">
        <v>10.08</v>
      </c>
      <c r="AC1140" s="158">
        <v>10.08</v>
      </c>
      <c r="AD1140" s="158">
        <v>10.08</v>
      </c>
      <c r="AE1140" s="158">
        <v>10.08</v>
      </c>
      <c r="AF1140" s="1260">
        <v>10.08</v>
      </c>
    </row>
    <row r="1141" spans="1:32">
      <c r="A1141" s="699"/>
      <c r="B1141" s="162">
        <v>10.08</v>
      </c>
      <c r="C1141" s="158">
        <v>10.08</v>
      </c>
      <c r="D1141" s="158">
        <v>10.08</v>
      </c>
      <c r="E1141" s="158">
        <v>10.08</v>
      </c>
      <c r="F1141" s="158">
        <v>10.08</v>
      </c>
      <c r="G1141" s="163">
        <v>9.2799999999999994</v>
      </c>
      <c r="H1141" s="158">
        <v>10.29</v>
      </c>
      <c r="I1141" s="158">
        <v>10.29</v>
      </c>
      <c r="J1141" s="158">
        <v>10.29</v>
      </c>
      <c r="K1141" s="158">
        <v>10.29</v>
      </c>
      <c r="L1141" s="158">
        <v>10.29</v>
      </c>
      <c r="M1141" s="158">
        <v>10.29</v>
      </c>
      <c r="N1141" s="158">
        <v>10.29</v>
      </c>
      <c r="O1141" s="158">
        <v>10.29</v>
      </c>
      <c r="P1141" s="158">
        <v>10.29</v>
      </c>
      <c r="Q1141" s="158">
        <v>10.29</v>
      </c>
      <c r="R1141" s="163">
        <v>9.2799999999999994</v>
      </c>
      <c r="S1141" s="163">
        <v>9.2799999999999994</v>
      </c>
      <c r="T1141" s="163">
        <v>9.2799999999999994</v>
      </c>
      <c r="U1141" s="163">
        <v>9.2799999999999994</v>
      </c>
      <c r="V1141" s="163">
        <v>9.2799999999999994</v>
      </c>
      <c r="W1141" s="163">
        <v>9.2799999999999994</v>
      </c>
      <c r="X1141" s="163">
        <v>9.2799999999999994</v>
      </c>
      <c r="Y1141" s="163">
        <v>9.2799999999999994</v>
      </c>
      <c r="Z1141" s="163">
        <v>9.2799999999999994</v>
      </c>
      <c r="AA1141" s="163">
        <v>9.2799999999999994</v>
      </c>
      <c r="AB1141" s="163">
        <v>9.2799999999999994</v>
      </c>
      <c r="AC1141" s="163">
        <v>9.2799999999999994</v>
      </c>
      <c r="AD1141" s="163">
        <v>9.2799999999999994</v>
      </c>
      <c r="AE1141" s="163">
        <v>9.2799999999999994</v>
      </c>
      <c r="AF1141" s="1261">
        <v>9.2799999999999994</v>
      </c>
    </row>
    <row r="1142" spans="1:32">
      <c r="A1142" s="699"/>
      <c r="B1142" s="162">
        <v>10.08</v>
      </c>
      <c r="C1142" s="158">
        <v>10.08</v>
      </c>
      <c r="D1142" s="158">
        <v>10.08</v>
      </c>
      <c r="E1142" s="158">
        <v>10.08</v>
      </c>
      <c r="F1142" s="158">
        <v>10.08</v>
      </c>
      <c r="G1142" s="158">
        <v>10.08</v>
      </c>
      <c r="H1142" s="163">
        <v>9.2799999999999994</v>
      </c>
      <c r="I1142" s="158">
        <v>10.29</v>
      </c>
      <c r="J1142" s="158">
        <v>10.29</v>
      </c>
      <c r="K1142" s="158">
        <v>10.29</v>
      </c>
      <c r="L1142" s="158">
        <v>10.29</v>
      </c>
      <c r="M1142" s="158">
        <v>10.29</v>
      </c>
      <c r="N1142" s="158">
        <v>10.29</v>
      </c>
      <c r="O1142" s="158">
        <v>10.29</v>
      </c>
      <c r="P1142" s="158">
        <v>10.29</v>
      </c>
      <c r="Q1142" s="158">
        <v>10.29</v>
      </c>
      <c r="R1142" s="158">
        <v>10.29</v>
      </c>
      <c r="S1142" s="158">
        <v>10.29</v>
      </c>
      <c r="T1142" s="158">
        <v>10.29</v>
      </c>
      <c r="U1142" s="158">
        <v>10.29</v>
      </c>
      <c r="V1142" s="158">
        <v>10.29</v>
      </c>
      <c r="W1142" s="158">
        <v>10.29</v>
      </c>
      <c r="X1142" s="158">
        <v>10.29</v>
      </c>
      <c r="Y1142" s="158">
        <v>10.29</v>
      </c>
      <c r="Z1142" s="158">
        <v>10.29</v>
      </c>
      <c r="AA1142" s="158">
        <v>10.29</v>
      </c>
      <c r="AB1142" s="158">
        <v>10.29</v>
      </c>
      <c r="AC1142" s="158">
        <v>10.29</v>
      </c>
      <c r="AD1142" s="158">
        <v>10.29</v>
      </c>
      <c r="AE1142" s="158">
        <v>10.29</v>
      </c>
      <c r="AF1142" s="1260">
        <v>10.29</v>
      </c>
    </row>
    <row r="1143" spans="1:32">
      <c r="A1143" s="699"/>
      <c r="B1143" s="93"/>
      <c r="C1143" s="162">
        <v>10.08</v>
      </c>
      <c r="D1143" s="158">
        <v>10.08</v>
      </c>
      <c r="E1143" s="158">
        <v>10.08</v>
      </c>
      <c r="F1143" s="158">
        <v>10.08</v>
      </c>
      <c r="G1143" s="158">
        <v>10.08</v>
      </c>
      <c r="H1143" s="163">
        <v>9.2799999999999994</v>
      </c>
      <c r="I1143" s="158">
        <v>10.29</v>
      </c>
      <c r="J1143" s="158">
        <v>10.29</v>
      </c>
      <c r="K1143" s="158">
        <v>10.29</v>
      </c>
      <c r="L1143" s="158">
        <v>10.29</v>
      </c>
      <c r="M1143" s="158">
        <v>10.29</v>
      </c>
      <c r="N1143" s="158">
        <v>10.29</v>
      </c>
      <c r="O1143" s="158">
        <v>10.29</v>
      </c>
      <c r="P1143" s="158">
        <v>10.29</v>
      </c>
      <c r="Q1143" s="158">
        <v>10.29</v>
      </c>
      <c r="R1143" s="158">
        <v>10.29</v>
      </c>
      <c r="S1143" s="158">
        <v>10.29</v>
      </c>
      <c r="T1143" s="158">
        <v>10.29</v>
      </c>
      <c r="U1143" s="158">
        <v>10.29</v>
      </c>
      <c r="V1143" s="158">
        <v>10.29</v>
      </c>
      <c r="W1143" s="158">
        <v>10.29</v>
      </c>
      <c r="X1143" s="158">
        <v>10.29</v>
      </c>
      <c r="Y1143" s="158">
        <v>10.29</v>
      </c>
      <c r="Z1143" s="158">
        <v>10.29</v>
      </c>
      <c r="AA1143" s="158">
        <v>10.29</v>
      </c>
      <c r="AB1143" s="158">
        <v>10.29</v>
      </c>
      <c r="AC1143" s="158">
        <v>10.29</v>
      </c>
      <c r="AD1143" s="158">
        <v>10.29</v>
      </c>
      <c r="AE1143" s="158">
        <v>10.29</v>
      </c>
      <c r="AF1143" s="1260">
        <v>10.29</v>
      </c>
    </row>
    <row r="1144" spans="1:32">
      <c r="A1144" s="699"/>
      <c r="B1144" s="93"/>
      <c r="C1144" s="162">
        <v>10.08</v>
      </c>
      <c r="D1144" s="158">
        <v>10.08</v>
      </c>
      <c r="E1144" s="158">
        <v>10.08</v>
      </c>
      <c r="F1144" s="158">
        <v>10.08</v>
      </c>
      <c r="G1144" s="158">
        <v>10.08</v>
      </c>
      <c r="H1144" s="158">
        <v>10.08</v>
      </c>
      <c r="I1144" s="163">
        <v>9.2799999999999994</v>
      </c>
      <c r="J1144" s="158">
        <v>10.29</v>
      </c>
      <c r="K1144" s="158">
        <v>10.29</v>
      </c>
      <c r="L1144" s="158">
        <v>10.29</v>
      </c>
      <c r="M1144" s="158">
        <v>10.29</v>
      </c>
      <c r="N1144" s="158">
        <v>10.29</v>
      </c>
      <c r="O1144" s="158">
        <v>10.29</v>
      </c>
      <c r="P1144" s="158">
        <v>10.29</v>
      </c>
      <c r="Q1144" s="307">
        <v>30.28</v>
      </c>
      <c r="R1144" s="62">
        <v>30.28</v>
      </c>
      <c r="S1144" s="158">
        <v>10.29</v>
      </c>
      <c r="T1144" s="158">
        <v>10.29</v>
      </c>
      <c r="U1144" s="158">
        <v>10.29</v>
      </c>
      <c r="V1144" s="158">
        <v>10.29</v>
      </c>
      <c r="W1144" s="158">
        <v>10.29</v>
      </c>
      <c r="X1144" s="158">
        <v>10.29</v>
      </c>
      <c r="Y1144" s="158">
        <v>10.29</v>
      </c>
      <c r="Z1144" s="158">
        <v>10.29</v>
      </c>
      <c r="AA1144" s="307">
        <v>30.28</v>
      </c>
      <c r="AB1144" s="62">
        <v>30.28</v>
      </c>
      <c r="AC1144" s="158">
        <v>10.29</v>
      </c>
      <c r="AD1144" s="158">
        <v>10.29</v>
      </c>
      <c r="AE1144" s="158">
        <v>10.29</v>
      </c>
      <c r="AF1144" s="1260">
        <v>10.29</v>
      </c>
    </row>
    <row r="1145" spans="1:32">
      <c r="A1145" s="699"/>
      <c r="B1145" s="93"/>
      <c r="C1145" s="93"/>
      <c r="D1145" s="162">
        <v>10.08</v>
      </c>
      <c r="E1145" s="158">
        <v>10.08</v>
      </c>
      <c r="F1145" s="158">
        <v>10.08</v>
      </c>
      <c r="G1145" s="158">
        <v>10.08</v>
      </c>
      <c r="H1145" s="158">
        <v>10.08</v>
      </c>
      <c r="I1145" s="158">
        <v>10.08</v>
      </c>
      <c r="J1145" s="163">
        <v>9.2799999999999994</v>
      </c>
      <c r="K1145" s="163">
        <v>9.2799999999999994</v>
      </c>
      <c r="L1145" s="158">
        <v>10.29</v>
      </c>
      <c r="M1145" s="158">
        <v>10.29</v>
      </c>
      <c r="N1145" s="158">
        <v>10.29</v>
      </c>
      <c r="O1145" s="158">
        <v>10.29</v>
      </c>
      <c r="P1145" s="158">
        <v>10.29</v>
      </c>
      <c r="Q1145" s="62">
        <v>30.28</v>
      </c>
      <c r="R1145" s="307">
        <v>30.28</v>
      </c>
      <c r="S1145" s="158">
        <v>10.29</v>
      </c>
      <c r="T1145" s="158">
        <v>10.29</v>
      </c>
      <c r="U1145" s="158">
        <v>10.29</v>
      </c>
      <c r="V1145" s="158">
        <v>10.29</v>
      </c>
      <c r="W1145" s="158">
        <v>10.29</v>
      </c>
      <c r="X1145" s="158">
        <v>10.29</v>
      </c>
      <c r="Y1145" s="158">
        <v>10.29</v>
      </c>
      <c r="Z1145" s="158">
        <v>10.29</v>
      </c>
      <c r="AA1145" s="62">
        <v>30.28</v>
      </c>
      <c r="AB1145" s="307">
        <v>30.28</v>
      </c>
      <c r="AC1145" s="158">
        <v>10.29</v>
      </c>
      <c r="AD1145" s="158">
        <v>10.29</v>
      </c>
      <c r="AE1145" s="158">
        <v>10.29</v>
      </c>
      <c r="AF1145" s="1260">
        <v>10.29</v>
      </c>
    </row>
    <row r="1146" spans="1:32">
      <c r="A1146" s="699"/>
      <c r="B1146" s="93"/>
      <c r="C1146" s="93"/>
      <c r="D1146" s="162">
        <v>10.08</v>
      </c>
      <c r="E1146" s="158">
        <v>10.08</v>
      </c>
      <c r="F1146" s="158">
        <v>10.08</v>
      </c>
      <c r="G1146" s="158">
        <v>10.08</v>
      </c>
      <c r="H1146" s="158">
        <v>10.08</v>
      </c>
      <c r="I1146" s="158">
        <v>10.08</v>
      </c>
      <c r="J1146" s="158">
        <v>10.08</v>
      </c>
      <c r="K1146" s="158">
        <v>10.08</v>
      </c>
      <c r="L1146" s="163">
        <v>9.2799999999999994</v>
      </c>
      <c r="M1146" s="163">
        <v>9.2799999999999994</v>
      </c>
      <c r="N1146" s="158">
        <v>10.29</v>
      </c>
      <c r="O1146" s="158">
        <v>10.29</v>
      </c>
      <c r="P1146" s="158">
        <v>10.29</v>
      </c>
      <c r="Q1146" s="158">
        <v>10.29</v>
      </c>
      <c r="R1146" s="158">
        <v>10.29</v>
      </c>
      <c r="S1146" s="158">
        <v>10.29</v>
      </c>
      <c r="T1146" s="158">
        <v>10.29</v>
      </c>
      <c r="U1146" s="158">
        <v>10.29</v>
      </c>
      <c r="V1146" s="158">
        <v>10.29</v>
      </c>
      <c r="W1146" s="158">
        <v>10.29</v>
      </c>
      <c r="X1146" s="158">
        <v>10.29</v>
      </c>
      <c r="Y1146" s="158">
        <v>10.29</v>
      </c>
      <c r="Z1146" s="158">
        <v>10.29</v>
      </c>
      <c r="AA1146" s="158">
        <v>10.29</v>
      </c>
      <c r="AB1146" s="158">
        <v>10.29</v>
      </c>
      <c r="AC1146" s="158">
        <v>10.29</v>
      </c>
      <c r="AD1146" s="158">
        <v>10.29</v>
      </c>
      <c r="AE1146" s="158">
        <v>10.29</v>
      </c>
      <c r="AF1146" s="1260">
        <v>10.29</v>
      </c>
    </row>
    <row r="1147" spans="1:32">
      <c r="A1147" s="699"/>
      <c r="B1147" s="93"/>
      <c r="C1147" s="93"/>
      <c r="D1147" s="93"/>
      <c r="E1147" s="162">
        <v>10.08</v>
      </c>
      <c r="F1147" s="158">
        <v>10.08</v>
      </c>
      <c r="G1147" s="158">
        <v>10.08</v>
      </c>
      <c r="H1147" s="158">
        <v>10.08</v>
      </c>
      <c r="I1147" s="158">
        <v>10.08</v>
      </c>
      <c r="J1147" s="158">
        <v>10.08</v>
      </c>
      <c r="K1147" s="158">
        <v>10.08</v>
      </c>
      <c r="L1147" s="158">
        <v>10.08</v>
      </c>
      <c r="M1147" s="158">
        <v>10.08</v>
      </c>
      <c r="N1147" s="163">
        <v>9.2799999999999994</v>
      </c>
      <c r="O1147" s="163">
        <v>9.2799999999999994</v>
      </c>
      <c r="P1147" s="163">
        <v>9.2799999999999994</v>
      </c>
      <c r="Q1147" s="158">
        <v>10.29</v>
      </c>
      <c r="R1147" s="158">
        <v>10.29</v>
      </c>
      <c r="S1147" s="158">
        <v>10.29</v>
      </c>
      <c r="T1147" s="158">
        <v>10.29</v>
      </c>
      <c r="U1147" s="158">
        <v>10.29</v>
      </c>
      <c r="V1147" s="158">
        <v>10.29</v>
      </c>
      <c r="W1147" s="158">
        <v>10.29</v>
      </c>
      <c r="X1147" s="158">
        <v>10.29</v>
      </c>
      <c r="Y1147" s="158">
        <v>10.29</v>
      </c>
      <c r="Z1147" s="158">
        <v>10.29</v>
      </c>
      <c r="AA1147" s="158">
        <v>10.29</v>
      </c>
      <c r="AB1147" s="158">
        <v>10.29</v>
      </c>
      <c r="AC1147" s="158">
        <v>10.29</v>
      </c>
      <c r="AD1147" s="158">
        <v>10.29</v>
      </c>
      <c r="AE1147" s="158">
        <v>10.29</v>
      </c>
      <c r="AF1147" s="1260">
        <v>10.29</v>
      </c>
    </row>
    <row r="1148" spans="1:32">
      <c r="A1148" s="699"/>
      <c r="B1148" s="93"/>
      <c r="C1148" s="93"/>
      <c r="D1148" s="93"/>
      <c r="E1148" s="93"/>
      <c r="F1148" s="162">
        <v>10.08</v>
      </c>
      <c r="G1148" s="158">
        <v>10.08</v>
      </c>
      <c r="H1148" s="158">
        <v>10.08</v>
      </c>
      <c r="I1148" s="158">
        <v>10.08</v>
      </c>
      <c r="J1148" s="158">
        <v>10.08</v>
      </c>
      <c r="K1148" s="158">
        <v>10.08</v>
      </c>
      <c r="L1148" s="158">
        <v>10.08</v>
      </c>
      <c r="M1148" s="158">
        <v>10.08</v>
      </c>
      <c r="N1148" s="158">
        <v>10.08</v>
      </c>
      <c r="O1148" s="158">
        <v>10.08</v>
      </c>
      <c r="P1148" s="158">
        <v>10.08</v>
      </c>
      <c r="Q1148" s="163">
        <v>9.2799999999999994</v>
      </c>
      <c r="R1148" s="163">
        <v>9.2799999999999994</v>
      </c>
      <c r="S1148" s="163">
        <v>9.2799999999999994</v>
      </c>
      <c r="T1148" s="163">
        <v>9.2799999999999994</v>
      </c>
      <c r="U1148" s="163">
        <v>9.2799999999999994</v>
      </c>
      <c r="V1148" s="163">
        <v>9.2799999999999994</v>
      </c>
      <c r="W1148" s="163">
        <v>9.2799999999999994</v>
      </c>
      <c r="X1148" s="163">
        <v>9.2799999999999994</v>
      </c>
      <c r="Y1148" s="163">
        <v>9.2799999999999994</v>
      </c>
      <c r="Z1148" s="163">
        <v>9.2799999999999994</v>
      </c>
      <c r="AA1148" s="163">
        <v>9.2799999999999994</v>
      </c>
      <c r="AB1148" s="163">
        <v>9.2799999999999994</v>
      </c>
      <c r="AC1148" s="163">
        <v>9.2799999999999994</v>
      </c>
      <c r="AD1148" s="163">
        <v>9.2799999999999994</v>
      </c>
      <c r="AE1148" s="163">
        <v>9.2799999999999994</v>
      </c>
      <c r="AF1148" s="1261">
        <v>9.2799999999999994</v>
      </c>
    </row>
    <row r="1149" spans="1:32">
      <c r="A1149" s="699"/>
      <c r="B1149" s="93"/>
      <c r="C1149" s="93"/>
      <c r="D1149" s="93"/>
      <c r="E1149" s="93"/>
      <c r="F1149" s="93"/>
      <c r="G1149" s="162">
        <v>10.08</v>
      </c>
      <c r="H1149" s="162">
        <v>10.08</v>
      </c>
      <c r="I1149" s="158">
        <v>10.08</v>
      </c>
      <c r="J1149" s="158">
        <v>10.08</v>
      </c>
      <c r="K1149" s="158">
        <v>10.08</v>
      </c>
      <c r="L1149" s="158">
        <v>10.08</v>
      </c>
      <c r="M1149" s="158">
        <v>10.08</v>
      </c>
      <c r="N1149" s="158">
        <v>10.08</v>
      </c>
      <c r="O1149" s="158">
        <v>10.08</v>
      </c>
      <c r="P1149" s="158">
        <v>10.08</v>
      </c>
      <c r="Q1149" s="158">
        <v>10.08</v>
      </c>
      <c r="R1149" s="158">
        <v>10.08</v>
      </c>
      <c r="S1149" s="158">
        <v>10.08</v>
      </c>
      <c r="T1149" s="158">
        <v>10.08</v>
      </c>
      <c r="U1149" s="158">
        <v>10.08</v>
      </c>
      <c r="V1149" s="158">
        <v>10.08</v>
      </c>
      <c r="W1149" s="158">
        <v>10.08</v>
      </c>
      <c r="X1149" s="158">
        <v>10.08</v>
      </c>
      <c r="Y1149" s="158">
        <v>10.08</v>
      </c>
      <c r="Z1149" s="158">
        <v>10.08</v>
      </c>
      <c r="AA1149" s="158">
        <v>10.08</v>
      </c>
      <c r="AB1149" s="158">
        <v>10.08</v>
      </c>
      <c r="AC1149" s="158">
        <v>10.08</v>
      </c>
      <c r="AD1149" s="158">
        <v>10.08</v>
      </c>
      <c r="AE1149" s="158">
        <v>10.08</v>
      </c>
      <c r="AF1149" s="1260">
        <v>10.08</v>
      </c>
    </row>
    <row r="1150" spans="1:32">
      <c r="A1150" s="699"/>
      <c r="B1150" s="93"/>
      <c r="C1150" s="93"/>
      <c r="D1150" s="93"/>
      <c r="E1150" s="93"/>
      <c r="F1150" s="93"/>
      <c r="G1150" s="93"/>
      <c r="H1150" s="93"/>
      <c r="I1150" s="162">
        <v>10.08</v>
      </c>
      <c r="J1150" s="162">
        <v>10.08</v>
      </c>
      <c r="K1150" s="158">
        <v>10.08</v>
      </c>
      <c r="L1150" s="158">
        <v>10.08</v>
      </c>
      <c r="M1150" s="158">
        <v>10.08</v>
      </c>
      <c r="N1150" s="158">
        <v>10.08</v>
      </c>
      <c r="O1150" s="158">
        <v>10.08</v>
      </c>
      <c r="P1150" s="158">
        <v>10.08</v>
      </c>
      <c r="Q1150" s="158">
        <v>10.08</v>
      </c>
      <c r="R1150" s="158">
        <v>10.08</v>
      </c>
      <c r="S1150" s="158">
        <v>10.08</v>
      </c>
      <c r="T1150" s="158">
        <v>10.08</v>
      </c>
      <c r="U1150" s="158">
        <v>10.08</v>
      </c>
      <c r="V1150" s="158">
        <v>10.08</v>
      </c>
      <c r="W1150" s="158">
        <v>10.08</v>
      </c>
      <c r="X1150" s="158">
        <v>10.08</v>
      </c>
      <c r="Y1150" s="158">
        <v>10.08</v>
      </c>
      <c r="Z1150" s="158">
        <v>10.08</v>
      </c>
      <c r="AA1150" s="158">
        <v>10.08</v>
      </c>
      <c r="AB1150" s="158">
        <v>10.08</v>
      </c>
      <c r="AC1150" s="158">
        <v>10.08</v>
      </c>
      <c r="AD1150" s="158">
        <v>10.08</v>
      </c>
      <c r="AE1150" s="158">
        <v>10.08</v>
      </c>
      <c r="AF1150" s="1260">
        <v>10.08</v>
      </c>
    </row>
    <row r="1151" spans="1:32">
      <c r="A1151" s="699"/>
      <c r="B1151" s="93"/>
      <c r="C1151" s="93"/>
      <c r="D1151" s="93"/>
      <c r="E1151" s="93"/>
      <c r="F1151" s="93"/>
      <c r="G1151" s="93"/>
      <c r="H1151" s="93"/>
      <c r="I1151" s="93"/>
      <c r="J1151" s="93"/>
      <c r="K1151" s="162">
        <v>10.08</v>
      </c>
      <c r="L1151" s="162">
        <v>10.08</v>
      </c>
      <c r="M1151" s="162">
        <v>10.08</v>
      </c>
      <c r="N1151" s="158">
        <v>10.08</v>
      </c>
      <c r="O1151" s="158">
        <v>10.08</v>
      </c>
      <c r="P1151" s="158">
        <v>10.08</v>
      </c>
      <c r="Q1151" s="158">
        <v>10.08</v>
      </c>
      <c r="R1151" s="158">
        <v>10.08</v>
      </c>
      <c r="S1151" s="158">
        <v>10.08</v>
      </c>
      <c r="T1151" s="158">
        <v>10.08</v>
      </c>
      <c r="U1151" s="158">
        <v>10.08</v>
      </c>
      <c r="V1151" s="158">
        <v>10.08</v>
      </c>
      <c r="W1151" s="158">
        <v>10.08</v>
      </c>
      <c r="X1151" s="158">
        <v>10.08</v>
      </c>
      <c r="Y1151" s="158">
        <v>10.08</v>
      </c>
      <c r="Z1151" s="158">
        <v>10.08</v>
      </c>
      <c r="AA1151" s="158">
        <v>10.08</v>
      </c>
      <c r="AB1151" s="158">
        <v>10.08</v>
      </c>
      <c r="AC1151" s="158">
        <v>10.08</v>
      </c>
      <c r="AD1151" s="158">
        <v>10.08</v>
      </c>
      <c r="AE1151" s="158">
        <v>10.08</v>
      </c>
      <c r="AF1151" s="1260">
        <v>10.08</v>
      </c>
    </row>
    <row r="1152" spans="1:32">
      <c r="A1152" s="699"/>
      <c r="B1152" s="93"/>
      <c r="C1152" s="93"/>
      <c r="D1152" s="93"/>
      <c r="E1152" s="93"/>
      <c r="F1152" s="93"/>
      <c r="G1152" s="93"/>
      <c r="H1152" s="93"/>
      <c r="I1152" s="93"/>
      <c r="J1152" s="93"/>
      <c r="K1152" s="93"/>
      <c r="L1152" s="93"/>
      <c r="M1152" s="93"/>
      <c r="N1152" s="162">
        <v>10.08</v>
      </c>
      <c r="O1152" s="162">
        <v>10.08</v>
      </c>
      <c r="P1152" s="162">
        <v>10.08</v>
      </c>
      <c r="Q1152" s="162">
        <v>10.08</v>
      </c>
      <c r="R1152" s="162">
        <v>10.08</v>
      </c>
      <c r="S1152" s="162">
        <v>10.08</v>
      </c>
      <c r="T1152" s="162">
        <v>10.08</v>
      </c>
      <c r="U1152" s="162">
        <v>10.08</v>
      </c>
      <c r="V1152" s="162">
        <v>10.08</v>
      </c>
      <c r="W1152" s="162">
        <v>10.08</v>
      </c>
      <c r="X1152" s="162">
        <v>10.08</v>
      </c>
      <c r="Y1152" s="162">
        <v>10.08</v>
      </c>
      <c r="Z1152" s="162">
        <v>10.08</v>
      </c>
      <c r="AA1152" s="162">
        <v>10.08</v>
      </c>
      <c r="AB1152" s="162">
        <v>10.08</v>
      </c>
      <c r="AC1152" s="162">
        <v>10.08</v>
      </c>
      <c r="AD1152" s="162">
        <v>10.08</v>
      </c>
      <c r="AE1152" s="162">
        <v>10.08</v>
      </c>
      <c r="AF1152" s="1259">
        <v>10.08</v>
      </c>
    </row>
    <row r="1153" spans="1:34">
      <c r="A1153" s="679"/>
      <c r="B1153" s="484"/>
      <c r="C1153" s="484"/>
      <c r="D1153" s="484"/>
      <c r="E1153" s="484"/>
      <c r="F1153" s="484"/>
      <c r="G1153" s="484"/>
      <c r="H1153" s="484"/>
      <c r="I1153" s="484"/>
      <c r="J1153" s="484"/>
      <c r="K1153" s="484"/>
      <c r="L1153" s="484"/>
      <c r="M1153" s="484"/>
      <c r="N1153" s="484"/>
      <c r="O1153" s="484"/>
      <c r="P1153" s="484"/>
      <c r="Q1153" s="484"/>
      <c r="R1153" s="484"/>
      <c r="S1153" s="484"/>
      <c r="T1153" s="484"/>
      <c r="U1153" s="484"/>
      <c r="V1153" s="484"/>
      <c r="W1153" s="484"/>
      <c r="X1153" s="484"/>
      <c r="Y1153" s="484"/>
      <c r="Z1153" s="484"/>
      <c r="AA1153" s="484"/>
      <c r="AB1153" s="484"/>
      <c r="AC1153" s="484"/>
      <c r="AD1153" s="484"/>
      <c r="AE1153" s="484"/>
      <c r="AF1153" s="696"/>
      <c r="AG1153">
        <v>37</v>
      </c>
    </row>
    <row r="1154" spans="1:34">
      <c r="A1154" s="483"/>
      <c r="B1154" s="321"/>
      <c r="C1154" s="321"/>
      <c r="D1154" s="321"/>
      <c r="E1154" s="321"/>
      <c r="F1154" s="321"/>
      <c r="G1154" s="321"/>
      <c r="H1154" s="321"/>
      <c r="I1154" s="321"/>
      <c r="J1154" s="321"/>
      <c r="K1154" s="321"/>
      <c r="L1154" s="321"/>
      <c r="M1154" s="321"/>
      <c r="N1154" s="321"/>
      <c r="O1154" s="321"/>
      <c r="P1154" s="321"/>
      <c r="Q1154" s="321"/>
      <c r="R1154" s="321"/>
      <c r="S1154" s="321"/>
      <c r="T1154" s="321"/>
      <c r="U1154" s="321"/>
      <c r="V1154" s="321"/>
      <c r="W1154" s="321"/>
      <c r="X1154" s="321"/>
      <c r="Y1154" s="321"/>
      <c r="Z1154" s="321"/>
      <c r="AA1154" s="321"/>
      <c r="AB1154" s="321"/>
      <c r="AC1154" s="321"/>
      <c r="AD1154" s="321"/>
      <c r="AE1154" s="321"/>
      <c r="AF1154" s="564"/>
    </row>
    <row r="1155" spans="1:34">
      <c r="A1155" s="483"/>
      <c r="B1155" s="321"/>
      <c r="C1155" s="321"/>
      <c r="D1155" s="321"/>
      <c r="E1155" s="321"/>
      <c r="F1155" s="321"/>
      <c r="G1155" s="321"/>
      <c r="H1155" s="321"/>
      <c r="I1155" s="321"/>
      <c r="J1155" s="321"/>
      <c r="K1155" s="321"/>
      <c r="L1155" s="321"/>
      <c r="M1155" s="321"/>
      <c r="N1155" s="321"/>
      <c r="O1155" s="321"/>
      <c r="P1155" s="321"/>
      <c r="Q1155" s="321"/>
      <c r="R1155" s="321"/>
      <c r="S1155" s="321"/>
      <c r="T1155" s="321"/>
      <c r="U1155" s="321"/>
      <c r="V1155" s="321"/>
      <c r="W1155" s="321"/>
      <c r="X1155" s="321"/>
      <c r="Y1155" s="321"/>
      <c r="Z1155" s="321"/>
      <c r="AA1155" s="321"/>
      <c r="AB1155" s="321"/>
      <c r="AC1155" s="321"/>
      <c r="AD1155" s="321"/>
      <c r="AE1155" s="321"/>
      <c r="AF1155" s="564"/>
    </row>
    <row r="1156" spans="1:34">
      <c r="A1156" s="483"/>
      <c r="B1156" s="321"/>
      <c r="C1156" s="321"/>
      <c r="D1156" s="321"/>
      <c r="E1156" s="321"/>
      <c r="F1156" s="321"/>
      <c r="G1156" s="321"/>
      <c r="H1156" s="321"/>
      <c r="I1156" s="321"/>
      <c r="J1156" s="321"/>
      <c r="K1156" s="321"/>
      <c r="L1156" s="321"/>
      <c r="M1156" s="321"/>
      <c r="N1156" s="321"/>
      <c r="O1156" s="321"/>
      <c r="P1156" s="321"/>
      <c r="Q1156" s="321"/>
      <c r="R1156" s="321"/>
      <c r="S1156" s="321"/>
      <c r="T1156" s="321"/>
      <c r="U1156" s="321"/>
      <c r="V1156" s="321"/>
      <c r="W1156" s="321"/>
      <c r="X1156" s="321"/>
      <c r="Y1156" s="321"/>
      <c r="Z1156" s="321"/>
      <c r="AA1156" s="321"/>
      <c r="AB1156" s="321"/>
      <c r="AC1156" s="321"/>
      <c r="AD1156" s="321"/>
      <c r="AE1156" s="321"/>
      <c r="AF1156" s="564"/>
      <c r="AG1156">
        <v>1</v>
      </c>
    </row>
    <row r="1157" spans="1:34">
      <c r="A1157" s="483"/>
      <c r="B1157" s="321"/>
      <c r="C1157" s="321"/>
      <c r="D1157" s="321"/>
      <c r="E1157" s="321"/>
      <c r="F1157" s="321"/>
      <c r="G1157" s="321"/>
      <c r="H1157" s="321"/>
      <c r="I1157" s="321"/>
      <c r="J1157" s="321"/>
      <c r="K1157" s="321"/>
      <c r="L1157" s="321"/>
      <c r="M1157" s="321"/>
      <c r="N1157" s="321"/>
      <c r="O1157" s="321"/>
      <c r="P1157" s="321"/>
      <c r="Q1157" s="321"/>
      <c r="R1157" s="321"/>
      <c r="S1157" s="321"/>
      <c r="T1157" s="321"/>
      <c r="U1157" s="321"/>
      <c r="V1157" s="321"/>
      <c r="W1157" s="321"/>
      <c r="X1157" s="321"/>
      <c r="Y1157" s="321"/>
      <c r="Z1157" s="321"/>
      <c r="AA1157" s="321"/>
      <c r="AB1157" s="321"/>
      <c r="AC1157" s="321"/>
      <c r="AD1157" s="321"/>
      <c r="AE1157" s="321"/>
      <c r="AF1157" s="564"/>
    </row>
    <row r="1158" spans="1:34">
      <c r="A1158" s="483"/>
      <c r="B1158" s="321"/>
      <c r="C1158" s="321"/>
      <c r="D1158" s="321"/>
      <c r="E1158" s="321"/>
      <c r="F1158" s="321"/>
      <c r="G1158" s="321"/>
      <c r="H1158" s="321"/>
      <c r="I1158" s="321"/>
      <c r="J1158" s="321"/>
      <c r="K1158" s="321"/>
      <c r="L1158" s="321"/>
      <c r="M1158" s="321"/>
      <c r="N1158" s="321"/>
      <c r="O1158" s="321"/>
      <c r="P1158" s="321"/>
      <c r="Q1158" s="321"/>
      <c r="R1158" s="321"/>
      <c r="S1158" s="321"/>
      <c r="T1158" s="321"/>
      <c r="U1158" s="321"/>
      <c r="V1158" s="321"/>
      <c r="W1158" s="321"/>
      <c r="X1158" s="321"/>
      <c r="Y1158" s="321"/>
      <c r="Z1158" s="321"/>
      <c r="AA1158" s="321"/>
      <c r="AB1158" s="321"/>
      <c r="AC1158" s="321"/>
      <c r="AD1158" s="321"/>
      <c r="AE1158" s="321"/>
      <c r="AF1158" s="564"/>
    </row>
    <row r="1159" spans="1:34">
      <c r="A1159" s="483"/>
      <c r="B1159" s="321"/>
      <c r="C1159" s="321"/>
      <c r="D1159" s="321"/>
      <c r="E1159" s="321"/>
      <c r="F1159" s="321"/>
      <c r="G1159" s="321"/>
      <c r="H1159" s="321"/>
      <c r="I1159" s="321"/>
      <c r="J1159" s="321"/>
      <c r="K1159" s="321"/>
      <c r="L1159" s="321"/>
      <c r="M1159" s="321"/>
      <c r="N1159" s="321"/>
      <c r="O1159" s="321"/>
      <c r="P1159" s="321"/>
      <c r="Q1159" s="321"/>
      <c r="R1159" s="321"/>
      <c r="S1159" s="321"/>
      <c r="T1159" s="321"/>
      <c r="U1159" s="321"/>
      <c r="V1159" s="321"/>
      <c r="W1159" s="321"/>
      <c r="X1159" s="321"/>
      <c r="Y1159" s="321"/>
      <c r="Z1159" s="321"/>
      <c r="AA1159" s="321"/>
      <c r="AB1159" s="321"/>
      <c r="AC1159" s="321"/>
      <c r="AD1159" s="321"/>
      <c r="AE1159" s="321"/>
      <c r="AF1159" s="564"/>
    </row>
    <row r="1160" spans="1:34">
      <c r="A1160" s="483"/>
      <c r="B1160" s="321"/>
      <c r="C1160" s="321"/>
      <c r="D1160" s="321"/>
      <c r="E1160" s="321"/>
      <c r="F1160" s="321"/>
      <c r="G1160" s="321"/>
      <c r="H1160" s="321"/>
      <c r="I1160" s="321"/>
      <c r="J1160" s="321"/>
      <c r="K1160" s="321"/>
      <c r="L1160" s="321"/>
      <c r="M1160" s="321"/>
      <c r="N1160" s="321"/>
      <c r="O1160" s="321"/>
      <c r="P1160" s="321"/>
      <c r="Q1160" s="321"/>
      <c r="R1160" s="321"/>
      <c r="S1160" s="321"/>
      <c r="T1160" s="321"/>
      <c r="U1160" s="321"/>
      <c r="V1160" s="321"/>
      <c r="W1160" s="321"/>
      <c r="X1160" s="321"/>
      <c r="Y1160" s="321"/>
      <c r="Z1160" s="321"/>
      <c r="AA1160" s="321"/>
      <c r="AB1160" s="321"/>
      <c r="AC1160" s="321"/>
      <c r="AD1160" s="321"/>
      <c r="AE1160" s="321"/>
      <c r="AF1160" s="564"/>
    </row>
    <row r="1161" spans="1:34">
      <c r="A1161" s="483"/>
      <c r="B1161" s="321"/>
      <c r="C1161" s="321"/>
      <c r="D1161" s="321"/>
      <c r="E1161" s="321"/>
      <c r="F1161" s="321"/>
      <c r="G1161" s="321"/>
      <c r="H1161" s="321"/>
      <c r="I1161" s="321"/>
      <c r="J1161" s="321"/>
      <c r="K1161" s="321"/>
      <c r="L1161" s="321"/>
      <c r="M1161" s="321"/>
      <c r="N1161" s="321"/>
      <c r="O1161" s="321"/>
      <c r="P1161" s="321"/>
      <c r="Q1161" s="321"/>
      <c r="R1161" s="321"/>
      <c r="S1161" s="321"/>
      <c r="T1161" s="321"/>
      <c r="U1161" s="321"/>
      <c r="V1161" s="321"/>
      <c r="W1161" s="321"/>
      <c r="X1161" s="321"/>
      <c r="Y1161" s="321"/>
      <c r="Z1161" s="321"/>
      <c r="AA1161" s="321"/>
      <c r="AB1161" s="321"/>
      <c r="AC1161" s="321"/>
      <c r="AD1161" s="321"/>
      <c r="AE1161" s="321"/>
      <c r="AF1161" s="564"/>
    </row>
    <row r="1162" spans="1:34">
      <c r="A1162" s="483"/>
      <c r="B1162" s="321"/>
      <c r="C1162" s="321"/>
      <c r="D1162" s="321"/>
      <c r="E1162" s="321"/>
      <c r="F1162" s="321"/>
      <c r="G1162" s="321"/>
      <c r="H1162" s="321"/>
      <c r="I1162" s="321"/>
      <c r="J1162" s="321"/>
      <c r="K1162" s="321"/>
      <c r="L1162" s="321"/>
      <c r="M1162" s="321"/>
      <c r="N1162" s="321"/>
      <c r="O1162" s="321"/>
      <c r="P1162" s="321"/>
      <c r="Q1162" s="321"/>
      <c r="R1162" s="321"/>
      <c r="S1162" s="321"/>
      <c r="T1162" s="321"/>
      <c r="U1162" s="321"/>
      <c r="V1162" s="321"/>
      <c r="W1162" s="321"/>
      <c r="X1162" s="321"/>
      <c r="Y1162" s="321"/>
      <c r="Z1162" s="321"/>
      <c r="AA1162" s="321"/>
      <c r="AB1162" s="321"/>
      <c r="AC1162" s="321"/>
      <c r="AD1162" s="321"/>
      <c r="AE1162" s="321"/>
      <c r="AF1162" s="564"/>
    </row>
    <row r="1163" spans="1:34">
      <c r="A1163" s="483"/>
      <c r="B1163" s="321"/>
      <c r="C1163" s="321"/>
      <c r="D1163" s="321"/>
      <c r="E1163" s="321"/>
      <c r="F1163" s="321"/>
      <c r="G1163" s="321"/>
      <c r="H1163" s="321"/>
      <c r="I1163" s="432">
        <v>29</v>
      </c>
      <c r="J1163" s="432">
        <v>29.28</v>
      </c>
      <c r="K1163" s="432">
        <v>29.28</v>
      </c>
      <c r="L1163" s="432">
        <v>29.28</v>
      </c>
      <c r="M1163" s="432">
        <v>29.28</v>
      </c>
      <c r="N1163" s="432">
        <v>29.28</v>
      </c>
      <c r="O1163" s="432">
        <v>29.28</v>
      </c>
      <c r="P1163" s="432">
        <v>29.28</v>
      </c>
      <c r="Q1163" s="432">
        <v>29.28</v>
      </c>
      <c r="R1163" s="432">
        <v>29.28</v>
      </c>
      <c r="S1163" s="432">
        <v>29.28</v>
      </c>
      <c r="T1163" s="421">
        <v>29</v>
      </c>
      <c r="U1163" s="421">
        <v>29</v>
      </c>
      <c r="V1163" s="421">
        <v>29</v>
      </c>
      <c r="W1163" s="421">
        <v>29</v>
      </c>
      <c r="X1163" s="432">
        <v>29</v>
      </c>
      <c r="Y1163" s="321"/>
      <c r="Z1163" s="321"/>
      <c r="AA1163" s="321"/>
      <c r="AB1163" s="321"/>
      <c r="AC1163" s="321"/>
      <c r="AD1163" s="321"/>
      <c r="AE1163" s="321"/>
      <c r="AF1163" s="564"/>
    </row>
    <row r="1164" spans="1:34">
      <c r="A1164" s="483"/>
      <c r="B1164" s="321"/>
      <c r="C1164" s="321"/>
      <c r="D1164" s="321"/>
      <c r="E1164" s="321"/>
      <c r="F1164" s="321"/>
      <c r="G1164" s="321"/>
      <c r="H1164" s="321"/>
      <c r="I1164" s="421">
        <v>29</v>
      </c>
      <c r="J1164" s="421">
        <v>5</v>
      </c>
      <c r="K1164" s="421">
        <v>5</v>
      </c>
      <c r="L1164" s="421">
        <v>5</v>
      </c>
      <c r="M1164" s="421">
        <v>5</v>
      </c>
      <c r="N1164" s="421">
        <v>5</v>
      </c>
      <c r="O1164" s="421">
        <v>5</v>
      </c>
      <c r="P1164" s="421">
        <v>5</v>
      </c>
      <c r="Q1164" s="421">
        <v>5</v>
      </c>
      <c r="R1164" s="421">
        <v>5</v>
      </c>
      <c r="S1164" s="421">
        <v>5</v>
      </c>
      <c r="T1164" s="421">
        <v>29</v>
      </c>
      <c r="U1164" s="421">
        <v>29.29</v>
      </c>
      <c r="V1164" s="421">
        <v>29.29</v>
      </c>
      <c r="W1164" s="421">
        <v>29</v>
      </c>
      <c r="X1164" s="421">
        <v>29</v>
      </c>
      <c r="Y1164" s="321"/>
      <c r="Z1164" s="321"/>
      <c r="AA1164" s="321"/>
      <c r="AB1164" s="321"/>
      <c r="AC1164" s="321"/>
      <c r="AD1164" s="321"/>
      <c r="AE1164" s="321"/>
      <c r="AF1164" s="564"/>
    </row>
    <row r="1165" spans="1:34">
      <c r="A1165" s="483"/>
      <c r="B1165" s="321"/>
      <c r="C1165" s="321"/>
      <c r="D1165" s="321"/>
      <c r="E1165" s="321"/>
      <c r="F1165" s="321"/>
      <c r="G1165" s="321"/>
      <c r="H1165" s="321"/>
      <c r="I1165" s="421">
        <v>29</v>
      </c>
      <c r="J1165" s="421">
        <v>29</v>
      </c>
      <c r="K1165" s="421">
        <v>29</v>
      </c>
      <c r="L1165" s="421">
        <v>29</v>
      </c>
      <c r="M1165" s="421">
        <v>29</v>
      </c>
      <c r="N1165" s="421">
        <v>29</v>
      </c>
      <c r="O1165" s="421">
        <v>29</v>
      </c>
      <c r="P1165" s="421">
        <v>29</v>
      </c>
      <c r="Q1165" s="421">
        <v>29</v>
      </c>
      <c r="R1165" s="421">
        <v>29</v>
      </c>
      <c r="S1165" s="421">
        <v>29</v>
      </c>
      <c r="T1165" s="421">
        <v>29</v>
      </c>
      <c r="U1165" s="421">
        <v>29.29</v>
      </c>
      <c r="V1165" s="421">
        <v>29.29</v>
      </c>
      <c r="W1165" s="421">
        <v>29</v>
      </c>
      <c r="X1165" s="421">
        <v>29</v>
      </c>
      <c r="Y1165" s="321"/>
      <c r="Z1165" s="321"/>
      <c r="AA1165" s="321"/>
      <c r="AB1165" s="321"/>
      <c r="AC1165" s="321"/>
      <c r="AD1165" s="321"/>
      <c r="AE1165" s="321"/>
      <c r="AF1165" s="564"/>
    </row>
    <row r="1166" spans="1:34">
      <c r="A1166" s="483"/>
      <c r="B1166" s="321"/>
      <c r="C1166" s="321"/>
      <c r="D1166" s="321"/>
      <c r="E1166" s="321"/>
      <c r="F1166" s="321"/>
      <c r="G1166" s="321"/>
      <c r="H1166" s="321"/>
      <c r="I1166" s="421">
        <v>29</v>
      </c>
      <c r="J1166" s="421">
        <v>29</v>
      </c>
      <c r="K1166" s="421">
        <v>29</v>
      </c>
      <c r="L1166" s="421">
        <v>29</v>
      </c>
      <c r="M1166" s="421">
        <v>29</v>
      </c>
      <c r="N1166" s="421">
        <v>29</v>
      </c>
      <c r="O1166" s="421">
        <v>29</v>
      </c>
      <c r="P1166" s="421">
        <v>29</v>
      </c>
      <c r="Q1166" s="421">
        <v>29</v>
      </c>
      <c r="R1166" s="421">
        <v>29</v>
      </c>
      <c r="S1166" s="421">
        <v>29</v>
      </c>
      <c r="T1166" s="421">
        <v>29</v>
      </c>
      <c r="U1166" s="421">
        <v>29</v>
      </c>
      <c r="V1166" s="421">
        <v>29</v>
      </c>
      <c r="W1166" s="421">
        <v>29</v>
      </c>
      <c r="X1166" s="421">
        <v>29</v>
      </c>
      <c r="Y1166" s="321"/>
      <c r="Z1166" s="321"/>
      <c r="AA1166" s="321"/>
      <c r="AB1166" s="321"/>
      <c r="AC1166" s="321"/>
      <c r="AD1166" s="321"/>
      <c r="AE1166" s="321"/>
      <c r="AF1166" s="564"/>
    </row>
    <row r="1167" spans="1:34">
      <c r="A1167" s="483"/>
      <c r="B1167" s="321"/>
      <c r="C1167" s="321"/>
      <c r="D1167" s="321"/>
      <c r="E1167" s="321"/>
      <c r="F1167" s="321"/>
      <c r="G1167" s="321"/>
      <c r="H1167" s="321"/>
      <c r="I1167" s="421">
        <v>29</v>
      </c>
      <c r="J1167" s="421">
        <v>29</v>
      </c>
      <c r="K1167" s="421">
        <v>29.29</v>
      </c>
      <c r="L1167" s="421">
        <v>29.29</v>
      </c>
      <c r="M1167" s="421">
        <v>29.29</v>
      </c>
      <c r="N1167" s="421">
        <v>29.29</v>
      </c>
      <c r="O1167" s="421">
        <v>29.29</v>
      </c>
      <c r="P1167" s="421">
        <v>29.29</v>
      </c>
      <c r="Q1167" s="421">
        <v>29.29</v>
      </c>
      <c r="R1167" s="421">
        <v>29.29</v>
      </c>
      <c r="S1167" s="421">
        <v>29.29</v>
      </c>
      <c r="T1167" s="421">
        <v>29.29</v>
      </c>
      <c r="U1167" s="421">
        <v>29.29</v>
      </c>
      <c r="V1167" s="421">
        <v>29.29</v>
      </c>
      <c r="W1167" s="421">
        <v>29</v>
      </c>
      <c r="X1167" s="421">
        <v>29</v>
      </c>
      <c r="Y1167" s="321"/>
      <c r="Z1167" s="321"/>
      <c r="AA1167" s="321"/>
      <c r="AB1167" s="321"/>
      <c r="AC1167" s="321"/>
      <c r="AD1167" s="321"/>
      <c r="AE1167" s="321"/>
      <c r="AF1167" s="564"/>
    </row>
    <row r="1168" spans="1:34">
      <c r="AH1168">
        <v>1167</v>
      </c>
    </row>
    <row r="1169" spans="1:34">
      <c r="AH1169">
        <v>1167</v>
      </c>
    </row>
    <row r="1170" spans="1:34">
      <c r="AH1170">
        <v>1167</v>
      </c>
    </row>
    <row r="1171" spans="1:34">
      <c r="AH1171">
        <v>1167</v>
      </c>
    </row>
    <row r="1172" spans="1:34">
      <c r="AH1172">
        <v>1167</v>
      </c>
    </row>
    <row r="1173" spans="1:34">
      <c r="AH1173">
        <v>1167</v>
      </c>
    </row>
    <row r="1174" spans="1:34">
      <c r="AH1174">
        <v>1167</v>
      </c>
    </row>
    <row r="1175" spans="1:34">
      <c r="AH1175">
        <v>1167</v>
      </c>
    </row>
    <row r="1176" spans="1:34">
      <c r="AH1176">
        <v>1167</v>
      </c>
    </row>
    <row r="1177" spans="1:34">
      <c r="AH1177">
        <v>1167</v>
      </c>
    </row>
    <row r="1178" spans="1:34">
      <c r="AH1178">
        <v>1167</v>
      </c>
    </row>
    <row r="1179" spans="1:34">
      <c r="AH1179">
        <v>1167</v>
      </c>
    </row>
    <row r="1180" spans="1:34">
      <c r="AH1180">
        <v>1167</v>
      </c>
    </row>
    <row r="1181" spans="1:34">
      <c r="AH1181">
        <v>1166</v>
      </c>
    </row>
    <row r="1182" spans="1:34">
      <c r="A1182" s="483"/>
      <c r="B1182" s="321"/>
      <c r="C1182" s="321"/>
      <c r="D1182" s="321"/>
      <c r="E1182" s="321"/>
      <c r="F1182" s="321"/>
      <c r="G1182" s="321"/>
      <c r="H1182" s="321"/>
      <c r="I1182" s="432">
        <v>29</v>
      </c>
      <c r="J1182" s="421">
        <v>29</v>
      </c>
      <c r="K1182" s="421">
        <v>29</v>
      </c>
      <c r="L1182" s="421">
        <v>29</v>
      </c>
      <c r="M1182" s="421">
        <v>29</v>
      </c>
      <c r="N1182" s="421">
        <v>29</v>
      </c>
      <c r="O1182" s="421">
        <v>29</v>
      </c>
      <c r="P1182" s="421">
        <v>29</v>
      </c>
      <c r="Q1182" s="421">
        <v>29</v>
      </c>
      <c r="R1182" s="421">
        <v>29</v>
      </c>
      <c r="S1182" s="421">
        <v>29</v>
      </c>
      <c r="T1182" s="421">
        <v>29</v>
      </c>
      <c r="U1182" s="421">
        <v>29</v>
      </c>
      <c r="V1182" s="421">
        <v>29</v>
      </c>
      <c r="W1182" s="421">
        <v>29</v>
      </c>
      <c r="X1182" s="432">
        <v>29</v>
      </c>
      <c r="Y1182" s="321"/>
      <c r="Z1182" s="321"/>
      <c r="AA1182" s="321"/>
      <c r="AB1182" s="321"/>
      <c r="AC1182" s="321"/>
      <c r="AD1182" s="321"/>
      <c r="AE1182" s="321"/>
      <c r="AF1182" s="564"/>
    </row>
    <row r="1183" spans="1:34">
      <c r="A1183" s="483"/>
      <c r="B1183" s="321"/>
      <c r="C1183" s="321"/>
      <c r="D1183" s="321"/>
      <c r="E1183" s="321"/>
      <c r="F1183" s="321"/>
      <c r="AA1183" s="321"/>
      <c r="AB1183" s="321"/>
      <c r="AC1183" s="321"/>
      <c r="AD1183" s="321"/>
      <c r="AE1183" s="321"/>
      <c r="AF1183" s="564"/>
    </row>
    <row r="1184" spans="1:34">
      <c r="A1184" s="651"/>
      <c r="B1184" s="569"/>
      <c r="C1184" s="569"/>
      <c r="D1184" s="569"/>
      <c r="E1184" s="569"/>
      <c r="F1184" s="569"/>
      <c r="AA1184" s="321"/>
      <c r="AB1184" s="321"/>
      <c r="AC1184" s="569"/>
      <c r="AD1184" s="569"/>
      <c r="AE1184" s="569"/>
      <c r="AF1184" s="570"/>
    </row>
    <row r="1185" spans="1:34">
      <c r="A1185" s="679"/>
      <c r="B1185" s="484"/>
      <c r="C1185" s="484"/>
      <c r="D1185" s="484"/>
      <c r="E1185" s="484"/>
      <c r="F1185" s="484"/>
      <c r="G1185" s="484"/>
      <c r="H1185" s="484"/>
      <c r="I1185" s="45">
        <v>20.18</v>
      </c>
      <c r="J1185" s="44">
        <v>20.18</v>
      </c>
      <c r="K1185" s="44">
        <v>20.18</v>
      </c>
      <c r="L1185" s="44">
        <v>20.18</v>
      </c>
      <c r="M1185" s="44">
        <v>20.18</v>
      </c>
      <c r="N1185" s="44">
        <v>20.18</v>
      </c>
      <c r="O1185" s="44">
        <v>20.18</v>
      </c>
      <c r="P1185" s="44">
        <v>20.18</v>
      </c>
      <c r="Q1185" s="44">
        <v>20.18</v>
      </c>
      <c r="R1185" s="44">
        <v>20.18</v>
      </c>
      <c r="S1185" s="44">
        <v>20.18</v>
      </c>
      <c r="T1185" s="44">
        <v>20.18</v>
      </c>
      <c r="U1185" s="44">
        <v>20.18</v>
      </c>
      <c r="V1185" s="44">
        <v>20.18</v>
      </c>
      <c r="W1185" s="44">
        <v>20.18</v>
      </c>
      <c r="X1185" s="321"/>
      <c r="Y1185" s="484"/>
      <c r="Z1185" s="484"/>
      <c r="AA1185" s="484"/>
      <c r="AB1185" s="484"/>
      <c r="AC1185" s="484"/>
      <c r="AD1185" s="484"/>
      <c r="AE1185" s="484"/>
      <c r="AF1185" s="696"/>
      <c r="AG1185">
        <v>38</v>
      </c>
    </row>
    <row r="1186" spans="1:34">
      <c r="A1186" s="483"/>
      <c r="B1186" s="321"/>
      <c r="C1186" s="321"/>
      <c r="D1186" s="321"/>
      <c r="E1186" s="321"/>
      <c r="F1186" s="321"/>
      <c r="G1186" s="321"/>
      <c r="H1186" s="321"/>
      <c r="I1186" s="45">
        <v>20.18</v>
      </c>
      <c r="J1186" s="63">
        <v>20.190000000000001</v>
      </c>
      <c r="K1186" s="59">
        <v>20.190000000000001</v>
      </c>
      <c r="L1186" s="59">
        <v>20.190000000000001</v>
      </c>
      <c r="M1186" s="63">
        <v>20.190000000000001</v>
      </c>
      <c r="N1186" s="59">
        <v>20.190000000000001</v>
      </c>
      <c r="O1186" s="59">
        <v>20.190000000000001</v>
      </c>
      <c r="P1186" s="63">
        <v>20.190000000000001</v>
      </c>
      <c r="Q1186" s="59">
        <v>20.190000000000001</v>
      </c>
      <c r="R1186" s="59">
        <v>20.190000000000001</v>
      </c>
      <c r="S1186" s="63">
        <v>20.190000000000001</v>
      </c>
      <c r="T1186" s="59">
        <v>20.190000000000001</v>
      </c>
      <c r="U1186" s="59">
        <v>20.190000000000001</v>
      </c>
      <c r="V1186" s="63">
        <v>20.190000000000001</v>
      </c>
      <c r="W1186" s="47">
        <v>20.18</v>
      </c>
      <c r="X1186" s="321"/>
      <c r="Y1186" s="321"/>
      <c r="Z1186" s="321"/>
      <c r="AA1186" s="321"/>
      <c r="AB1186" s="321"/>
      <c r="AC1186" s="321"/>
      <c r="AD1186" s="321"/>
      <c r="AE1186" s="321"/>
      <c r="AF1186" s="564"/>
    </row>
    <row r="1187" spans="1:34">
      <c r="A1187" s="483"/>
      <c r="B1187" s="321"/>
      <c r="C1187" s="321"/>
      <c r="D1187" s="321"/>
      <c r="E1187" s="321"/>
      <c r="F1187" s="321"/>
      <c r="G1187" s="321"/>
      <c r="H1187" s="321"/>
      <c r="I1187" s="45">
        <v>20.18</v>
      </c>
      <c r="J1187" s="59">
        <v>20.190000000000001</v>
      </c>
      <c r="K1187" s="45">
        <v>20.190000000000001</v>
      </c>
      <c r="L1187" s="44">
        <v>20.190000000000001</v>
      </c>
      <c r="M1187" s="45">
        <v>20.190000000000001</v>
      </c>
      <c r="N1187" s="45">
        <v>20.190000000000001</v>
      </c>
      <c r="O1187" s="44">
        <v>20.190000000000001</v>
      </c>
      <c r="P1187" s="45">
        <v>20.190000000000001</v>
      </c>
      <c r="Q1187" s="45">
        <v>20.190000000000001</v>
      </c>
      <c r="R1187" s="44">
        <v>20.190000000000001</v>
      </c>
      <c r="S1187" s="45">
        <v>20.190000000000001</v>
      </c>
      <c r="T1187" s="45">
        <v>20.190000000000001</v>
      </c>
      <c r="U1187" s="44">
        <v>20.190000000000001</v>
      </c>
      <c r="V1187" s="59">
        <v>20.190000000000001</v>
      </c>
      <c r="W1187" s="47">
        <v>20.18</v>
      </c>
      <c r="X1187" s="321"/>
      <c r="Y1187" s="321"/>
      <c r="Z1187" s="321"/>
      <c r="AA1187" s="321"/>
      <c r="AB1187" s="321"/>
      <c r="AC1187" s="321"/>
      <c r="AD1187" s="321"/>
      <c r="AE1187" s="321"/>
      <c r="AF1187" s="564"/>
    </row>
    <row r="1188" spans="1:34">
      <c r="A1188" s="483"/>
      <c r="B1188" s="321"/>
      <c r="C1188" s="321"/>
      <c r="D1188" s="321"/>
      <c r="E1188" s="321"/>
      <c r="F1188" s="321"/>
      <c r="G1188" s="321"/>
      <c r="H1188" s="321"/>
      <c r="I1188" s="45">
        <v>20.18</v>
      </c>
      <c r="J1188" s="59">
        <v>20.190000000000001</v>
      </c>
      <c r="K1188" s="44">
        <v>20.190000000000001</v>
      </c>
      <c r="L1188" s="45">
        <v>20.190000000000001</v>
      </c>
      <c r="M1188" s="45">
        <v>20.190000000000001</v>
      </c>
      <c r="N1188" s="44">
        <v>20.190000000000001</v>
      </c>
      <c r="O1188" s="45">
        <v>20.190000000000001</v>
      </c>
      <c r="P1188" s="45">
        <v>20.190000000000001</v>
      </c>
      <c r="Q1188" s="44">
        <v>20.190000000000001</v>
      </c>
      <c r="R1188" s="45">
        <v>20.190000000000001</v>
      </c>
      <c r="S1188" s="45">
        <v>20.190000000000001</v>
      </c>
      <c r="T1188" s="44">
        <v>20.190000000000001</v>
      </c>
      <c r="U1188" s="45">
        <v>20.190000000000001</v>
      </c>
      <c r="V1188" s="59">
        <v>20.190000000000001</v>
      </c>
      <c r="W1188" s="47">
        <v>20.18</v>
      </c>
      <c r="X1188" s="321"/>
      <c r="Y1188" s="321"/>
      <c r="Z1188" s="321"/>
      <c r="AA1188" s="321"/>
      <c r="AB1188" s="321"/>
      <c r="AC1188" s="321"/>
      <c r="AD1188" s="321"/>
      <c r="AE1188" s="321"/>
      <c r="AF1188" s="564"/>
    </row>
    <row r="1189" spans="1:34">
      <c r="A1189" s="483"/>
      <c r="B1189" s="321"/>
      <c r="C1189" s="321"/>
      <c r="D1189" s="321"/>
      <c r="E1189" s="321"/>
      <c r="F1189" s="321"/>
      <c r="G1189" s="321"/>
      <c r="H1189" s="321"/>
      <c r="I1189" s="45">
        <v>20.18</v>
      </c>
      <c r="J1189" s="63">
        <v>20.190000000000001</v>
      </c>
      <c r="K1189" s="45">
        <v>20.190000000000001</v>
      </c>
      <c r="L1189" s="45">
        <v>20.190000000000001</v>
      </c>
      <c r="M1189" s="45">
        <v>20.190000000000001</v>
      </c>
      <c r="N1189" s="45">
        <v>20.190000000000001</v>
      </c>
      <c r="O1189" s="45">
        <v>20.190000000000001</v>
      </c>
      <c r="P1189" s="45">
        <v>20.190000000000001</v>
      </c>
      <c r="Q1189" s="45">
        <v>20.190000000000001</v>
      </c>
      <c r="R1189" s="45">
        <v>20.190000000000001</v>
      </c>
      <c r="S1189" s="45">
        <v>20.190000000000001</v>
      </c>
      <c r="T1189" s="45">
        <v>20.190000000000001</v>
      </c>
      <c r="U1189" s="45">
        <v>20.190000000000001</v>
      </c>
      <c r="V1189" s="63">
        <v>20.190000000000001</v>
      </c>
      <c r="W1189" s="47">
        <v>20.18</v>
      </c>
      <c r="X1189" s="321"/>
      <c r="Y1189" s="321"/>
      <c r="Z1189" s="321"/>
      <c r="AA1189" s="321"/>
      <c r="AB1189" s="321"/>
      <c r="AC1189" s="321"/>
      <c r="AD1189" s="321"/>
      <c r="AE1189" s="321"/>
      <c r="AF1189" s="564"/>
    </row>
    <row r="1190" spans="1:34">
      <c r="AH1190">
        <v>1187</v>
      </c>
    </row>
    <row r="1191" spans="1:34">
      <c r="AH1191">
        <v>1188</v>
      </c>
    </row>
    <row r="1192" spans="1:34">
      <c r="AH1192">
        <v>1189</v>
      </c>
    </row>
    <row r="1193" spans="1:34">
      <c r="AH1193">
        <v>1187</v>
      </c>
    </row>
    <row r="1194" spans="1:34">
      <c r="AH1194">
        <v>1188</v>
      </c>
    </row>
    <row r="1195" spans="1:34">
      <c r="AH1195">
        <v>1186</v>
      </c>
    </row>
    <row r="1196" spans="1:34">
      <c r="A1196" s="483"/>
      <c r="B1196" s="321"/>
      <c r="C1196" s="321"/>
      <c r="D1196" s="321"/>
      <c r="E1196" s="321"/>
      <c r="F1196" s="321"/>
      <c r="G1196" s="321"/>
      <c r="H1196" s="321"/>
      <c r="I1196" s="45">
        <v>20.18</v>
      </c>
      <c r="J1196" s="45">
        <v>20.18</v>
      </c>
      <c r="K1196" s="45">
        <v>20.18</v>
      </c>
      <c r="L1196" s="45">
        <v>20.18</v>
      </c>
      <c r="M1196" s="45">
        <v>20.18</v>
      </c>
      <c r="N1196" s="45">
        <v>20.18</v>
      </c>
      <c r="O1196" s="45">
        <v>20.18</v>
      </c>
      <c r="P1196" s="45">
        <v>20.18</v>
      </c>
      <c r="Q1196" s="45">
        <v>20.18</v>
      </c>
      <c r="R1196" s="45">
        <v>20.18</v>
      </c>
      <c r="S1196" s="45">
        <v>20.18</v>
      </c>
      <c r="T1196" s="45">
        <v>20.18</v>
      </c>
      <c r="U1196" s="45">
        <v>20.18</v>
      </c>
      <c r="V1196" s="45">
        <v>20.18</v>
      </c>
      <c r="W1196" s="47">
        <v>20.18</v>
      </c>
      <c r="X1196" s="321"/>
      <c r="Y1196" s="321"/>
      <c r="Z1196" s="321"/>
      <c r="AA1196" s="321"/>
      <c r="AB1196" s="321"/>
      <c r="AC1196" s="321"/>
      <c r="AD1196" s="321"/>
      <c r="AE1196" s="321"/>
      <c r="AF1196" s="564"/>
    </row>
    <row r="1197" spans="1:34">
      <c r="A1197" s="483"/>
      <c r="B1197" s="321"/>
      <c r="C1197" s="321"/>
      <c r="D1197" s="321"/>
      <c r="E1197" s="321"/>
      <c r="F1197" s="321"/>
      <c r="G1197" s="321"/>
      <c r="H1197" s="321"/>
      <c r="I1197" s="45">
        <v>20.010000000000002</v>
      </c>
      <c r="J1197" s="44">
        <v>20.010000000000002</v>
      </c>
      <c r="K1197" s="44">
        <v>20.010000000000002</v>
      </c>
      <c r="L1197" s="44">
        <v>20.010000000000002</v>
      </c>
      <c r="M1197" s="44">
        <v>20.010000000000002</v>
      </c>
      <c r="N1197" s="44">
        <v>20.010000000000002</v>
      </c>
      <c r="O1197" s="44">
        <v>20.010000000000002</v>
      </c>
      <c r="P1197" s="44">
        <v>20.010000000000002</v>
      </c>
      <c r="Q1197" s="44">
        <v>20.010000000000002</v>
      </c>
      <c r="R1197" s="44">
        <v>20.010000000000002</v>
      </c>
      <c r="S1197" s="44">
        <v>20.010000000000002</v>
      </c>
      <c r="T1197" s="44">
        <v>20.010000000000002</v>
      </c>
      <c r="U1197" s="44">
        <v>20.010000000000002</v>
      </c>
      <c r="V1197" s="44">
        <v>20.010000000000002</v>
      </c>
      <c r="W1197" s="47">
        <v>20.010000000000002</v>
      </c>
      <c r="X1197" s="321"/>
      <c r="Y1197" s="321"/>
      <c r="Z1197" s="321"/>
      <c r="AA1197" s="321"/>
      <c r="AB1197" s="321"/>
      <c r="AC1197" s="321"/>
      <c r="AD1197" s="321"/>
      <c r="AE1197" s="321"/>
      <c r="AF1197" s="564"/>
    </row>
    <row r="1198" spans="1:34">
      <c r="A1198" s="483"/>
      <c r="B1198" s="321"/>
      <c r="C1198" s="321"/>
      <c r="D1198" s="321"/>
      <c r="E1198" s="321"/>
      <c r="F1198" s="321"/>
      <c r="G1198" s="321"/>
      <c r="H1198" s="321"/>
      <c r="I1198" s="45">
        <v>20.010000000000002</v>
      </c>
      <c r="J1198" s="44">
        <v>20.010000000000002</v>
      </c>
      <c r="K1198" s="45">
        <v>20.010000000000002</v>
      </c>
      <c r="L1198" s="44">
        <v>20.010000000000002</v>
      </c>
      <c r="M1198" s="45">
        <v>20.010000000000002</v>
      </c>
      <c r="N1198" s="44">
        <v>20.010000000000002</v>
      </c>
      <c r="O1198" s="45">
        <v>20.010000000000002</v>
      </c>
      <c r="P1198" s="44">
        <v>20.010000000000002</v>
      </c>
      <c r="Q1198" s="45">
        <v>20.010000000000002</v>
      </c>
      <c r="R1198" s="44">
        <v>20.010000000000002</v>
      </c>
      <c r="S1198" s="45">
        <v>20.010000000000002</v>
      </c>
      <c r="T1198" s="44">
        <v>20.010000000000002</v>
      </c>
      <c r="U1198" s="45">
        <v>20.010000000000002</v>
      </c>
      <c r="V1198" s="44">
        <v>20.010000000000002</v>
      </c>
      <c r="W1198" s="47">
        <v>20.010000000000002</v>
      </c>
      <c r="X1198" s="321"/>
      <c r="Y1198" s="321"/>
      <c r="Z1198" s="321"/>
      <c r="AA1198" s="321"/>
      <c r="AB1198" s="321"/>
      <c r="AC1198" s="321"/>
      <c r="AD1198" s="321"/>
      <c r="AE1198" s="321"/>
      <c r="AF1198" s="564"/>
    </row>
    <row r="1199" spans="1:34">
      <c r="AH1199">
        <v>1198</v>
      </c>
    </row>
    <row r="1200" spans="1:34">
      <c r="AH1200">
        <v>1198</v>
      </c>
    </row>
    <row r="1201" spans="1:32">
      <c r="A1201" s="483"/>
      <c r="B1201" s="321"/>
      <c r="C1201" s="321"/>
      <c r="D1201" s="321"/>
      <c r="E1201" s="321"/>
      <c r="F1201" s="321"/>
      <c r="G1201" s="321"/>
      <c r="H1201" s="321"/>
      <c r="I1201" s="45">
        <v>19.010000000000002</v>
      </c>
      <c r="J1201" s="44">
        <v>16.010000000000002</v>
      </c>
      <c r="K1201" s="45">
        <v>16.010000000000002</v>
      </c>
      <c r="L1201" s="44">
        <v>16.010000000000002</v>
      </c>
      <c r="M1201" s="45">
        <v>16.010000000000002</v>
      </c>
      <c r="N1201" s="44">
        <v>16.010000000000002</v>
      </c>
      <c r="O1201" s="45">
        <v>16.010000000000002</v>
      </c>
      <c r="P1201" s="44">
        <v>16.010000000000002</v>
      </c>
      <c r="Q1201" s="45">
        <v>16.010000000000002</v>
      </c>
      <c r="R1201" s="44">
        <v>16.010000000000002</v>
      </c>
      <c r="S1201" s="45">
        <v>16.010000000000002</v>
      </c>
      <c r="T1201" s="44">
        <v>16.010000000000002</v>
      </c>
      <c r="U1201" s="45">
        <v>16.010000000000002</v>
      </c>
      <c r="V1201" s="44">
        <v>16.010000000000002</v>
      </c>
      <c r="W1201" s="47">
        <v>19.010000000000002</v>
      </c>
      <c r="X1201" s="321"/>
      <c r="Y1201" s="321"/>
      <c r="Z1201" s="321"/>
      <c r="AA1201" s="321"/>
      <c r="AB1201" s="321"/>
      <c r="AC1201" s="321"/>
      <c r="AD1201" s="321"/>
      <c r="AE1201" s="321"/>
      <c r="AF1201" s="564"/>
    </row>
    <row r="1202" spans="1:32">
      <c r="A1202" s="483"/>
      <c r="B1202" s="321"/>
      <c r="C1202" s="321"/>
      <c r="D1202" s="321"/>
      <c r="E1202" s="321"/>
      <c r="F1202" s="321"/>
      <c r="G1202" s="321"/>
      <c r="H1202" s="321"/>
      <c r="I1202" s="45">
        <v>18.010000000000002</v>
      </c>
      <c r="J1202" s="44">
        <v>16.010000000000002</v>
      </c>
      <c r="K1202" s="45">
        <v>16.010000000000002</v>
      </c>
      <c r="L1202" s="44">
        <v>16.010000000000002</v>
      </c>
      <c r="M1202" s="45">
        <v>16.010000000000002</v>
      </c>
      <c r="N1202" s="44">
        <v>16.010000000000002</v>
      </c>
      <c r="O1202" s="45">
        <v>16.010000000000002</v>
      </c>
      <c r="P1202" s="44">
        <v>16.010000000000002</v>
      </c>
      <c r="Q1202" s="45">
        <v>16.010000000000002</v>
      </c>
      <c r="R1202" s="44">
        <v>16.010000000000002</v>
      </c>
      <c r="S1202" s="45">
        <v>16.010000000000002</v>
      </c>
      <c r="T1202" s="44">
        <v>16.010000000000002</v>
      </c>
      <c r="U1202" s="45">
        <v>16.010000000000002</v>
      </c>
      <c r="V1202" s="44">
        <v>16.010000000000002</v>
      </c>
      <c r="W1202" s="47">
        <v>18.010000000000002</v>
      </c>
      <c r="X1202" s="321"/>
      <c r="Y1202" s="321"/>
      <c r="Z1202" s="321"/>
      <c r="AA1202" s="321"/>
      <c r="AB1202" s="321"/>
      <c r="AC1202" s="321"/>
      <c r="AD1202" s="321"/>
      <c r="AE1202" s="321"/>
      <c r="AF1202" s="564"/>
    </row>
    <row r="1203" spans="1:32">
      <c r="A1203" s="483"/>
      <c r="B1203" s="321"/>
      <c r="C1203" s="321"/>
      <c r="D1203" s="321"/>
      <c r="E1203" s="321"/>
      <c r="F1203" s="321"/>
      <c r="G1203" s="321"/>
      <c r="H1203" s="321"/>
      <c r="I1203" s="45">
        <v>17.010000000000002</v>
      </c>
      <c r="J1203" s="44">
        <v>16.010000000000002</v>
      </c>
      <c r="K1203" s="45">
        <v>16.010000000000002</v>
      </c>
      <c r="L1203" s="44">
        <v>16.010000000000002</v>
      </c>
      <c r="M1203" s="45">
        <v>16.010000000000002</v>
      </c>
      <c r="N1203" s="44">
        <v>16.010000000000002</v>
      </c>
      <c r="O1203" s="45">
        <v>16.010000000000002</v>
      </c>
      <c r="P1203" s="44">
        <v>16.010000000000002</v>
      </c>
      <c r="Q1203" s="45">
        <v>16.010000000000002</v>
      </c>
      <c r="R1203" s="44">
        <v>16.010000000000002</v>
      </c>
      <c r="S1203" s="45">
        <v>16.010000000000002</v>
      </c>
      <c r="T1203" s="44">
        <v>16.010000000000002</v>
      </c>
      <c r="U1203" s="45">
        <v>16.010000000000002</v>
      </c>
      <c r="V1203" s="44">
        <v>16.010000000000002</v>
      </c>
      <c r="W1203" s="47">
        <v>17.010000000000002</v>
      </c>
      <c r="X1203" s="321"/>
      <c r="Y1203" s="321"/>
      <c r="Z1203" s="321"/>
      <c r="AA1203" s="321"/>
      <c r="AB1203" s="321"/>
      <c r="AC1203" s="321"/>
      <c r="AD1203" s="321"/>
      <c r="AE1203" s="321"/>
      <c r="AF1203" s="564"/>
    </row>
    <row r="1204" spans="1:32">
      <c r="A1204" s="483"/>
      <c r="B1204" s="321"/>
      <c r="C1204" s="321"/>
      <c r="D1204" s="321"/>
      <c r="E1204" s="321"/>
      <c r="F1204" s="321"/>
      <c r="G1204" s="321"/>
      <c r="H1204" s="321"/>
      <c r="I1204" s="45">
        <v>16.010000000000002</v>
      </c>
      <c r="J1204" s="44">
        <v>16.010000000000002</v>
      </c>
      <c r="K1204" s="45">
        <v>16.010000000000002</v>
      </c>
      <c r="L1204" s="44">
        <v>16.010000000000002</v>
      </c>
      <c r="M1204" s="45">
        <v>16.010000000000002</v>
      </c>
      <c r="N1204" s="44">
        <v>16.010000000000002</v>
      </c>
      <c r="O1204" s="45">
        <v>16.010000000000002</v>
      </c>
      <c r="P1204" s="44">
        <v>16.010000000000002</v>
      </c>
      <c r="Q1204" s="45">
        <v>16.010000000000002</v>
      </c>
      <c r="R1204" s="44">
        <v>16.010000000000002</v>
      </c>
      <c r="S1204" s="45">
        <v>16.010000000000002</v>
      </c>
      <c r="T1204" s="44">
        <v>16.010000000000002</v>
      </c>
      <c r="U1204" s="45">
        <v>16.010000000000002</v>
      </c>
      <c r="V1204" s="44">
        <v>16.010000000000002</v>
      </c>
      <c r="W1204" s="47">
        <v>16.010000000000002</v>
      </c>
      <c r="X1204" s="321"/>
      <c r="Y1204" s="321"/>
      <c r="Z1204" s="321"/>
      <c r="AA1204" s="321"/>
      <c r="AB1204" s="321"/>
      <c r="AC1204" s="321"/>
      <c r="AD1204" s="321"/>
      <c r="AE1204" s="321"/>
      <c r="AF1204" s="564"/>
    </row>
    <row r="1205" spans="1:32">
      <c r="A1205" s="483"/>
      <c r="B1205" s="321"/>
      <c r="C1205" s="321"/>
      <c r="D1205" s="321"/>
      <c r="E1205" s="321"/>
      <c r="F1205" s="321"/>
      <c r="G1205" s="321"/>
      <c r="H1205" s="321"/>
      <c r="I1205" s="45">
        <v>15.01</v>
      </c>
      <c r="J1205" s="44">
        <v>12.01</v>
      </c>
      <c r="K1205" s="45">
        <v>12.01</v>
      </c>
      <c r="L1205" s="44">
        <v>12.01</v>
      </c>
      <c r="M1205" s="45">
        <v>12.01</v>
      </c>
      <c r="N1205" s="44">
        <v>12.01</v>
      </c>
      <c r="O1205" s="45">
        <v>12.01</v>
      </c>
      <c r="P1205" s="44">
        <v>12.01</v>
      </c>
      <c r="Q1205" s="45">
        <v>12.01</v>
      </c>
      <c r="R1205" s="44">
        <v>12.01</v>
      </c>
      <c r="S1205" s="45">
        <v>12.01</v>
      </c>
      <c r="T1205" s="44">
        <v>12.01</v>
      </c>
      <c r="U1205" s="45">
        <v>12.01</v>
      </c>
      <c r="V1205" s="44">
        <v>12.01</v>
      </c>
      <c r="W1205" s="47">
        <v>15.01</v>
      </c>
      <c r="X1205" s="321"/>
      <c r="Y1205" s="321"/>
      <c r="Z1205" s="321"/>
      <c r="AA1205" s="321"/>
      <c r="AB1205" s="321"/>
      <c r="AC1205" s="321"/>
      <c r="AD1205" s="321"/>
      <c r="AE1205" s="321"/>
      <c r="AF1205" s="564"/>
    </row>
    <row r="1206" spans="1:32">
      <c r="A1206" s="483"/>
      <c r="B1206" s="321"/>
      <c r="C1206" s="321"/>
      <c r="D1206" s="321"/>
      <c r="E1206" s="321"/>
      <c r="F1206" s="321"/>
      <c r="G1206" s="321"/>
      <c r="H1206" s="321"/>
      <c r="I1206" s="45">
        <v>14.01</v>
      </c>
      <c r="J1206" s="44">
        <v>12.01</v>
      </c>
      <c r="K1206" s="45">
        <v>12.01</v>
      </c>
      <c r="L1206" s="44">
        <v>12.01</v>
      </c>
      <c r="M1206" s="45">
        <v>12.01</v>
      </c>
      <c r="N1206" s="44">
        <v>12.01</v>
      </c>
      <c r="O1206" s="45">
        <v>12.01</v>
      </c>
      <c r="P1206" s="44">
        <v>12.01</v>
      </c>
      <c r="Q1206" s="45">
        <v>12.01</v>
      </c>
      <c r="R1206" s="44">
        <v>12.01</v>
      </c>
      <c r="S1206" s="45">
        <v>12.01</v>
      </c>
      <c r="T1206" s="44">
        <v>12.01</v>
      </c>
      <c r="U1206" s="45">
        <v>12.01</v>
      </c>
      <c r="V1206" s="44">
        <v>12.01</v>
      </c>
      <c r="W1206" s="47">
        <v>14.01</v>
      </c>
      <c r="X1206" s="321"/>
      <c r="Y1206" s="321"/>
      <c r="Z1206" s="321"/>
      <c r="AA1206" s="321"/>
      <c r="AB1206" s="321"/>
      <c r="AC1206" s="321"/>
      <c r="AD1206" s="321"/>
      <c r="AE1206" s="321"/>
      <c r="AF1206" s="564"/>
    </row>
    <row r="1207" spans="1:32">
      <c r="A1207" s="483"/>
      <c r="B1207" s="321"/>
      <c r="C1207" s="321"/>
      <c r="D1207" s="321"/>
      <c r="E1207" s="321"/>
      <c r="F1207" s="321"/>
      <c r="G1207" s="321"/>
      <c r="H1207" s="321"/>
      <c r="I1207" s="45">
        <v>13.01</v>
      </c>
      <c r="J1207" s="44">
        <v>12.01</v>
      </c>
      <c r="K1207" s="45">
        <v>12.01</v>
      </c>
      <c r="L1207" s="44">
        <v>12.01</v>
      </c>
      <c r="M1207" s="45">
        <v>12.01</v>
      </c>
      <c r="N1207" s="44">
        <v>12.01</v>
      </c>
      <c r="O1207" s="45">
        <v>12.01</v>
      </c>
      <c r="P1207" s="44">
        <v>12.01</v>
      </c>
      <c r="Q1207" s="45">
        <v>12.01</v>
      </c>
      <c r="R1207" s="44">
        <v>12.01</v>
      </c>
      <c r="S1207" s="45">
        <v>12.01</v>
      </c>
      <c r="T1207" s="44">
        <v>12.01</v>
      </c>
      <c r="U1207" s="45">
        <v>12.01</v>
      </c>
      <c r="V1207" s="44">
        <v>12.01</v>
      </c>
      <c r="W1207" s="47">
        <v>13.01</v>
      </c>
      <c r="X1207" s="321"/>
      <c r="Y1207" s="321"/>
      <c r="Z1207" s="321"/>
      <c r="AA1207" s="321"/>
      <c r="AB1207" s="321"/>
      <c r="AC1207" s="321"/>
      <c r="AD1207" s="321"/>
      <c r="AE1207" s="321"/>
      <c r="AF1207" s="564"/>
    </row>
    <row r="1208" spans="1:32">
      <c r="A1208" s="483"/>
      <c r="B1208" s="321"/>
      <c r="C1208" s="321"/>
      <c r="D1208" s="321"/>
      <c r="E1208" s="321"/>
      <c r="F1208" s="321"/>
      <c r="G1208" s="321"/>
      <c r="H1208" s="321"/>
      <c r="I1208" s="45">
        <v>12.01</v>
      </c>
      <c r="J1208" s="44">
        <v>12.01</v>
      </c>
      <c r="K1208" s="45">
        <v>12.01</v>
      </c>
      <c r="L1208" s="44">
        <v>12.01</v>
      </c>
      <c r="M1208" s="45">
        <v>12.01</v>
      </c>
      <c r="N1208" s="44">
        <v>12.01</v>
      </c>
      <c r="O1208" s="45">
        <v>12.01</v>
      </c>
      <c r="P1208" s="44">
        <v>12.01</v>
      </c>
      <c r="Q1208" s="45">
        <v>12.01</v>
      </c>
      <c r="R1208" s="44">
        <v>12.01</v>
      </c>
      <c r="S1208" s="45">
        <v>12.01</v>
      </c>
      <c r="T1208" s="44">
        <v>12.01</v>
      </c>
      <c r="U1208" s="45">
        <v>12.01</v>
      </c>
      <c r="V1208" s="44">
        <v>12.01</v>
      </c>
      <c r="W1208" s="47">
        <v>12.01</v>
      </c>
      <c r="X1208" s="321"/>
      <c r="Y1208" s="321"/>
      <c r="Z1208" s="321"/>
      <c r="AA1208" s="321"/>
      <c r="AB1208" s="321"/>
      <c r="AC1208" s="321"/>
      <c r="AD1208" s="321"/>
      <c r="AE1208" s="321"/>
      <c r="AF1208" s="564"/>
    </row>
    <row r="1209" spans="1:32">
      <c r="A1209" s="483"/>
      <c r="B1209" s="321"/>
      <c r="C1209" s="321"/>
      <c r="D1209" s="321"/>
      <c r="E1209" s="321"/>
      <c r="F1209" s="321"/>
      <c r="G1209" s="321"/>
      <c r="H1209" s="321"/>
      <c r="I1209" s="45">
        <v>11.01</v>
      </c>
      <c r="J1209" s="44">
        <v>8.01</v>
      </c>
      <c r="K1209" s="45">
        <v>8.01</v>
      </c>
      <c r="L1209" s="44">
        <v>8.01</v>
      </c>
      <c r="M1209" s="45">
        <v>8.01</v>
      </c>
      <c r="N1209" s="44">
        <v>8.01</v>
      </c>
      <c r="O1209" s="45">
        <v>8.01</v>
      </c>
      <c r="P1209" s="44">
        <v>8.01</v>
      </c>
      <c r="Q1209" s="45">
        <v>8.01</v>
      </c>
      <c r="R1209" s="44">
        <v>8.01</v>
      </c>
      <c r="S1209" s="45">
        <v>8.01</v>
      </c>
      <c r="T1209" s="44">
        <v>8.01</v>
      </c>
      <c r="U1209" s="45">
        <v>8.01</v>
      </c>
      <c r="V1209" s="44">
        <v>8.01</v>
      </c>
      <c r="W1209" s="47">
        <v>11.01</v>
      </c>
      <c r="X1209" s="321"/>
      <c r="Y1209" s="321"/>
      <c r="Z1209" s="321"/>
      <c r="AA1209" s="321"/>
      <c r="AB1209" s="321"/>
      <c r="AC1209" s="321"/>
      <c r="AD1209" s="321"/>
      <c r="AE1209" s="321"/>
      <c r="AF1209" s="564"/>
    </row>
    <row r="1210" spans="1:32">
      <c r="A1210" s="483"/>
      <c r="B1210" s="321"/>
      <c r="C1210" s="321"/>
      <c r="D1210" s="321"/>
      <c r="E1210" s="321"/>
      <c r="F1210" s="321"/>
      <c r="G1210" s="321"/>
      <c r="H1210" s="321"/>
      <c r="I1210" s="45">
        <v>10.01</v>
      </c>
      <c r="J1210" s="44">
        <v>8.01</v>
      </c>
      <c r="K1210" s="45">
        <v>8.01</v>
      </c>
      <c r="L1210" s="44">
        <v>8.01</v>
      </c>
      <c r="M1210" s="45">
        <v>8.01</v>
      </c>
      <c r="N1210" s="44">
        <v>8.01</v>
      </c>
      <c r="O1210" s="45">
        <v>8.01</v>
      </c>
      <c r="P1210" s="44">
        <v>8.01</v>
      </c>
      <c r="Q1210" s="45">
        <v>8.01</v>
      </c>
      <c r="R1210" s="44">
        <v>8.01</v>
      </c>
      <c r="S1210" s="45">
        <v>8.01</v>
      </c>
      <c r="T1210" s="44">
        <v>8.01</v>
      </c>
      <c r="U1210" s="45">
        <v>8.01</v>
      </c>
      <c r="V1210" s="44">
        <v>8.01</v>
      </c>
      <c r="W1210" s="47">
        <v>10.01</v>
      </c>
      <c r="X1210" s="321"/>
      <c r="Y1210" s="321"/>
      <c r="Z1210" s="321"/>
      <c r="AA1210" s="321"/>
      <c r="AB1210" s="321"/>
      <c r="AC1210" s="321"/>
      <c r="AD1210" s="321"/>
      <c r="AE1210" s="321"/>
      <c r="AF1210" s="564"/>
    </row>
    <row r="1211" spans="1:32">
      <c r="A1211" s="483"/>
      <c r="B1211" s="321"/>
      <c r="C1211" s="321"/>
      <c r="D1211" s="321"/>
      <c r="E1211" s="321"/>
      <c r="F1211" s="321"/>
      <c r="G1211" s="321"/>
      <c r="H1211" s="321"/>
      <c r="I1211" s="45">
        <v>9.01</v>
      </c>
      <c r="J1211" s="44">
        <v>8.01</v>
      </c>
      <c r="K1211" s="45">
        <v>8.01</v>
      </c>
      <c r="L1211" s="44">
        <v>8.01</v>
      </c>
      <c r="M1211" s="45">
        <v>8.01</v>
      </c>
      <c r="N1211" s="44">
        <v>8.01</v>
      </c>
      <c r="O1211" s="45">
        <v>8.01</v>
      </c>
      <c r="P1211" s="44">
        <v>8.01</v>
      </c>
      <c r="Q1211" s="45">
        <v>8.01</v>
      </c>
      <c r="R1211" s="44">
        <v>8.01</v>
      </c>
      <c r="S1211" s="45">
        <v>8.01</v>
      </c>
      <c r="T1211" s="44">
        <v>8.01</v>
      </c>
      <c r="U1211" s="45">
        <v>8.01</v>
      </c>
      <c r="V1211" s="44">
        <v>8.01</v>
      </c>
      <c r="W1211" s="47">
        <v>9.01</v>
      </c>
      <c r="X1211" s="321"/>
      <c r="Y1211" s="321"/>
      <c r="Z1211" s="321"/>
      <c r="AA1211" s="321"/>
      <c r="AB1211" s="321"/>
      <c r="AC1211" s="321"/>
      <c r="AD1211" s="321"/>
      <c r="AE1211" s="321"/>
      <c r="AF1211" s="564"/>
    </row>
    <row r="1212" spans="1:32">
      <c r="A1212" s="483"/>
      <c r="B1212" s="321"/>
      <c r="C1212" s="321"/>
      <c r="D1212" s="321"/>
      <c r="E1212" s="321"/>
      <c r="F1212" s="321"/>
      <c r="G1212" s="321"/>
      <c r="H1212" s="321"/>
      <c r="I1212" s="45">
        <v>8.01</v>
      </c>
      <c r="J1212" s="44">
        <v>8.01</v>
      </c>
      <c r="K1212" s="45">
        <v>8.01</v>
      </c>
      <c r="L1212" s="44">
        <v>8.01</v>
      </c>
      <c r="M1212" s="45">
        <v>8.01</v>
      </c>
      <c r="N1212" s="44">
        <v>8.01</v>
      </c>
      <c r="O1212" s="45">
        <v>8.01</v>
      </c>
      <c r="P1212" s="44">
        <v>8.01</v>
      </c>
      <c r="Q1212" s="45">
        <v>8.01</v>
      </c>
      <c r="R1212" s="44">
        <v>8.01</v>
      </c>
      <c r="S1212" s="45">
        <v>8.01</v>
      </c>
      <c r="T1212" s="44">
        <v>8.01</v>
      </c>
      <c r="U1212" s="45">
        <v>8.01</v>
      </c>
      <c r="V1212" s="44">
        <v>8.01</v>
      </c>
      <c r="W1212" s="47">
        <v>8.01</v>
      </c>
      <c r="X1212" s="321"/>
      <c r="Y1212" s="321"/>
      <c r="Z1212" s="321"/>
      <c r="AA1212" s="321"/>
      <c r="AB1212" s="321"/>
      <c r="AC1212" s="321"/>
      <c r="AD1212" s="321"/>
      <c r="AE1212" s="321"/>
      <c r="AF1212" s="564"/>
    </row>
    <row r="1213" spans="1:32">
      <c r="A1213" s="483"/>
      <c r="B1213" s="321"/>
      <c r="C1213" s="321"/>
      <c r="D1213" s="321"/>
      <c r="E1213" s="321"/>
      <c r="F1213" s="321"/>
      <c r="G1213" s="321"/>
      <c r="H1213" s="321"/>
      <c r="I1213" s="45">
        <v>7.01</v>
      </c>
      <c r="J1213" s="44">
        <v>4.01</v>
      </c>
      <c r="K1213" s="45">
        <v>4.01</v>
      </c>
      <c r="L1213" s="44">
        <v>4.01</v>
      </c>
      <c r="M1213" s="45">
        <v>4.01</v>
      </c>
      <c r="N1213" s="44">
        <v>4.01</v>
      </c>
      <c r="O1213" s="45">
        <v>4.01</v>
      </c>
      <c r="P1213" s="44">
        <v>4.01</v>
      </c>
      <c r="Q1213" s="45">
        <v>4.01</v>
      </c>
      <c r="R1213" s="44">
        <v>4.01</v>
      </c>
      <c r="S1213" s="45">
        <v>4.01</v>
      </c>
      <c r="T1213" s="44">
        <v>4.01</v>
      </c>
      <c r="U1213" s="45">
        <v>4.01</v>
      </c>
      <c r="V1213" s="44">
        <v>4.01</v>
      </c>
      <c r="W1213" s="47">
        <v>7.01</v>
      </c>
      <c r="X1213" s="321"/>
      <c r="Y1213" s="321"/>
      <c r="Z1213" s="321"/>
      <c r="AA1213" s="321"/>
      <c r="AB1213" s="321"/>
      <c r="AC1213" s="321"/>
      <c r="AD1213" s="321"/>
      <c r="AE1213" s="321"/>
      <c r="AF1213" s="564"/>
    </row>
    <row r="1214" spans="1:32">
      <c r="A1214" s="483"/>
      <c r="B1214" s="321"/>
      <c r="C1214" s="321"/>
      <c r="D1214" s="321"/>
      <c r="E1214" s="321"/>
      <c r="F1214" s="321"/>
      <c r="G1214" s="321"/>
      <c r="H1214" s="321"/>
      <c r="I1214" s="45">
        <v>6.01</v>
      </c>
      <c r="J1214" s="44">
        <v>4.01</v>
      </c>
      <c r="K1214" s="45">
        <v>4.01</v>
      </c>
      <c r="L1214" s="44">
        <v>4.01</v>
      </c>
      <c r="M1214" s="45">
        <v>4.01</v>
      </c>
      <c r="N1214" s="44">
        <v>4.01</v>
      </c>
      <c r="O1214" s="45">
        <v>4.01</v>
      </c>
      <c r="P1214" s="44">
        <v>4.01</v>
      </c>
      <c r="Q1214" s="45">
        <v>4.01</v>
      </c>
      <c r="R1214" s="44">
        <v>4.01</v>
      </c>
      <c r="S1214" s="45">
        <v>4.01</v>
      </c>
      <c r="T1214" s="44">
        <v>4.01</v>
      </c>
      <c r="U1214" s="45">
        <v>4.01</v>
      </c>
      <c r="V1214" s="44">
        <v>4.01</v>
      </c>
      <c r="W1214" s="47">
        <v>6.01</v>
      </c>
      <c r="X1214" s="321"/>
      <c r="Y1214" s="321"/>
      <c r="Z1214" s="321"/>
      <c r="AA1214" s="321"/>
      <c r="AB1214" s="321"/>
      <c r="AC1214" s="321"/>
      <c r="AD1214" s="321"/>
      <c r="AE1214" s="321"/>
      <c r="AF1214" s="564"/>
    </row>
    <row r="1215" spans="1:32">
      <c r="A1215" s="483"/>
      <c r="B1215" s="321"/>
      <c r="C1215" s="321"/>
      <c r="D1215" s="321"/>
      <c r="E1215" s="321"/>
      <c r="F1215" s="321"/>
      <c r="G1215" s="321"/>
      <c r="H1215" s="321"/>
      <c r="I1215" s="45">
        <v>5.01</v>
      </c>
      <c r="J1215" s="44">
        <v>4.01</v>
      </c>
      <c r="K1215" s="45">
        <v>4.01</v>
      </c>
      <c r="L1215" s="44">
        <v>4.01</v>
      </c>
      <c r="M1215" s="45">
        <v>4.01</v>
      </c>
      <c r="N1215" s="44">
        <v>4.01</v>
      </c>
      <c r="O1215" s="45">
        <v>4.01</v>
      </c>
      <c r="P1215" s="44">
        <v>4.01</v>
      </c>
      <c r="Q1215" s="45">
        <v>4.01</v>
      </c>
      <c r="R1215" s="44">
        <v>4.01</v>
      </c>
      <c r="S1215" s="45">
        <v>4.01</v>
      </c>
      <c r="T1215" s="44">
        <v>4.01</v>
      </c>
      <c r="U1215" s="45">
        <v>4.01</v>
      </c>
      <c r="V1215" s="44">
        <v>4.01</v>
      </c>
      <c r="W1215" s="47">
        <v>5.01</v>
      </c>
      <c r="X1215" s="321"/>
      <c r="Y1215" s="321"/>
      <c r="Z1215" s="321"/>
      <c r="AA1215" s="321"/>
      <c r="AB1215" s="321"/>
      <c r="AC1215" s="321"/>
      <c r="AD1215" s="321"/>
      <c r="AE1215" s="321"/>
      <c r="AF1215" s="564"/>
    </row>
    <row r="1216" spans="1:32">
      <c r="A1216" s="483"/>
      <c r="B1216" s="321"/>
      <c r="C1216" s="321"/>
      <c r="D1216" s="321"/>
      <c r="E1216" s="321"/>
      <c r="F1216" s="321"/>
      <c r="G1216" s="321"/>
      <c r="H1216" s="321"/>
      <c r="I1216" s="45">
        <v>4.01</v>
      </c>
      <c r="J1216" s="44">
        <v>4.01</v>
      </c>
      <c r="K1216" s="45">
        <v>4.01</v>
      </c>
      <c r="L1216" s="44">
        <v>4.01</v>
      </c>
      <c r="M1216" s="45">
        <v>4.01</v>
      </c>
      <c r="N1216" s="44">
        <v>4.01</v>
      </c>
      <c r="O1216" s="45">
        <v>4.01</v>
      </c>
      <c r="P1216" s="44">
        <v>4.01</v>
      </c>
      <c r="Q1216" s="45">
        <v>4.01</v>
      </c>
      <c r="R1216" s="44">
        <v>4.01</v>
      </c>
      <c r="S1216" s="45">
        <v>4.01</v>
      </c>
      <c r="T1216" s="44">
        <v>4.01</v>
      </c>
      <c r="U1216" s="45">
        <v>4.01</v>
      </c>
      <c r="V1216" s="44">
        <v>4.01</v>
      </c>
      <c r="W1216" s="47">
        <v>4.01</v>
      </c>
      <c r="X1216" s="321"/>
      <c r="Y1216" s="321"/>
      <c r="Z1216" s="321"/>
      <c r="AA1216" s="321"/>
      <c r="AB1216" s="321"/>
      <c r="AC1216" s="321"/>
      <c r="AD1216" s="321"/>
      <c r="AE1216" s="321"/>
      <c r="AF1216" s="564"/>
    </row>
    <row r="1217" spans="1:34">
      <c r="A1217" s="753"/>
      <c r="B1217" s="711"/>
      <c r="C1217" s="711"/>
      <c r="D1217" s="711"/>
      <c r="E1217" s="711"/>
      <c r="F1217" s="711"/>
      <c r="G1217" s="711"/>
      <c r="H1217" s="711"/>
      <c r="I1217" s="711"/>
      <c r="J1217" s="711"/>
      <c r="K1217" s="711"/>
      <c r="L1217" s="711"/>
      <c r="M1217" s="199">
        <v>3.02</v>
      </c>
      <c r="N1217" s="294">
        <v>3.02</v>
      </c>
      <c r="O1217" s="298">
        <v>3.02</v>
      </c>
      <c r="P1217" s="294">
        <v>3.02</v>
      </c>
      <c r="Q1217" s="294">
        <v>3.02</v>
      </c>
      <c r="R1217" s="294">
        <v>3.02</v>
      </c>
      <c r="S1217" s="294">
        <v>3.02</v>
      </c>
      <c r="T1217" s="199">
        <v>3.02</v>
      </c>
      <c r="U1217" s="711"/>
      <c r="V1217" s="711"/>
      <c r="W1217" s="711"/>
      <c r="X1217" s="711"/>
      <c r="Y1217" s="711"/>
      <c r="Z1217" s="711"/>
      <c r="AA1217" s="711"/>
      <c r="AB1217" s="711"/>
      <c r="AC1217" s="711"/>
      <c r="AD1217" s="711"/>
      <c r="AE1217" s="711"/>
      <c r="AF1217" s="530"/>
      <c r="AG1217">
        <v>39</v>
      </c>
    </row>
    <row r="1218" spans="1:34">
      <c r="AH1218">
        <v>1217</v>
      </c>
    </row>
    <row r="1219" spans="1:34">
      <c r="A1219" s="699"/>
      <c r="B1219" s="93"/>
      <c r="C1219" s="93"/>
      <c r="D1219" s="93"/>
      <c r="E1219" s="93"/>
      <c r="F1219" s="93"/>
      <c r="G1219" s="93"/>
      <c r="H1219" s="93"/>
      <c r="I1219" s="93"/>
      <c r="J1219" s="93"/>
      <c r="K1219" s="93"/>
      <c r="L1219" s="93"/>
      <c r="M1219" s="199">
        <v>3.02</v>
      </c>
      <c r="N1219" s="294">
        <v>3.02</v>
      </c>
      <c r="O1219" s="294">
        <v>3.02</v>
      </c>
      <c r="P1219" s="294">
        <v>3.02</v>
      </c>
      <c r="Q1219" s="294">
        <v>3.02</v>
      </c>
      <c r="R1219" s="294">
        <v>3.02</v>
      </c>
      <c r="S1219" s="294">
        <v>3.02</v>
      </c>
      <c r="T1219" s="199">
        <v>3.02</v>
      </c>
      <c r="U1219" s="93"/>
      <c r="V1219" s="93"/>
      <c r="W1219" s="93"/>
      <c r="X1219" s="93"/>
      <c r="Y1219" s="93"/>
      <c r="Z1219" s="93"/>
      <c r="AA1219" s="93"/>
      <c r="AB1219" s="93"/>
      <c r="AC1219" s="93"/>
      <c r="AD1219" s="93"/>
      <c r="AE1219" s="93"/>
      <c r="AF1219" s="79"/>
    </row>
    <row r="1220" spans="1:34">
      <c r="A1220" s="699"/>
      <c r="B1220" s="93"/>
      <c r="C1220" s="93"/>
      <c r="D1220" s="93"/>
      <c r="E1220" s="93"/>
      <c r="F1220" s="93"/>
      <c r="G1220" s="93"/>
      <c r="H1220" s="93"/>
      <c r="I1220" s="93"/>
      <c r="J1220" s="93"/>
      <c r="K1220" s="93"/>
      <c r="L1220" s="93"/>
      <c r="M1220" s="199">
        <v>3.02</v>
      </c>
      <c r="N1220" s="294">
        <v>3.02</v>
      </c>
      <c r="O1220" s="294">
        <v>3.02</v>
      </c>
      <c r="P1220" s="294">
        <v>3.02</v>
      </c>
      <c r="Q1220" s="294">
        <v>3.02</v>
      </c>
      <c r="R1220" s="298">
        <v>3.02</v>
      </c>
      <c r="S1220" s="294">
        <v>3.02</v>
      </c>
      <c r="T1220" s="199">
        <v>3.02</v>
      </c>
      <c r="U1220" s="93"/>
      <c r="V1220" s="93"/>
      <c r="W1220" s="93"/>
      <c r="X1220" s="93"/>
      <c r="Y1220" s="93"/>
      <c r="Z1220" s="93"/>
      <c r="AA1220" s="93"/>
      <c r="AB1220" s="93"/>
      <c r="AC1220" s="93"/>
      <c r="AD1220" s="93"/>
      <c r="AE1220" s="93"/>
      <c r="AF1220" s="79"/>
    </row>
    <row r="1221" spans="1:34">
      <c r="AH1221">
        <v>1220</v>
      </c>
    </row>
    <row r="1222" spans="1:34">
      <c r="AH1222">
        <v>1220</v>
      </c>
    </row>
    <row r="1223" spans="1:34">
      <c r="AH1223">
        <v>1219</v>
      </c>
    </row>
    <row r="1224" spans="1:34">
      <c r="A1224" s="699"/>
      <c r="B1224" s="93"/>
      <c r="C1224" s="93"/>
      <c r="D1224" s="93"/>
      <c r="E1224" s="93"/>
      <c r="F1224" s="93"/>
      <c r="G1224" s="93"/>
      <c r="H1224" s="93"/>
      <c r="I1224" s="93"/>
      <c r="J1224" s="93"/>
      <c r="K1224" s="93"/>
      <c r="L1224" s="93"/>
      <c r="M1224" s="199">
        <v>3.02</v>
      </c>
      <c r="N1224" s="294">
        <v>3.02</v>
      </c>
      <c r="O1224" s="294">
        <v>3.02</v>
      </c>
      <c r="P1224" s="298">
        <v>3.02</v>
      </c>
      <c r="Q1224" s="294">
        <v>3.02</v>
      </c>
      <c r="R1224" s="294">
        <v>3.02</v>
      </c>
      <c r="S1224" s="294">
        <v>3.02</v>
      </c>
      <c r="T1224" s="199">
        <v>3.02</v>
      </c>
      <c r="U1224" s="93"/>
      <c r="V1224" s="93"/>
      <c r="W1224" s="93"/>
      <c r="X1224" s="93"/>
      <c r="Y1224" s="93"/>
      <c r="Z1224" s="93"/>
      <c r="AA1224" s="93"/>
      <c r="AB1224" s="93"/>
      <c r="AC1224" s="93"/>
      <c r="AD1224" s="93"/>
      <c r="AE1224" s="93"/>
      <c r="AF1224" s="79"/>
    </row>
    <row r="1225" spans="1:34">
      <c r="AH1225">
        <v>1224</v>
      </c>
    </row>
    <row r="1226" spans="1:34">
      <c r="AH1226">
        <v>1219</v>
      </c>
    </row>
    <row r="1227" spans="1:34">
      <c r="AH1227">
        <v>1219</v>
      </c>
    </row>
    <row r="1228" spans="1:34">
      <c r="A1228" s="699"/>
      <c r="B1228" s="93"/>
      <c r="C1228" s="93"/>
      <c r="D1228" s="93"/>
      <c r="E1228" s="93"/>
      <c r="F1228" s="93"/>
      <c r="G1228" s="93"/>
      <c r="H1228" s="93"/>
      <c r="I1228" s="93"/>
      <c r="J1228" s="93"/>
      <c r="K1228" s="93"/>
      <c r="L1228" s="93"/>
      <c r="M1228" s="199">
        <v>3.02</v>
      </c>
      <c r="N1228" s="294">
        <v>3.02</v>
      </c>
      <c r="O1228" s="294">
        <v>3.02</v>
      </c>
      <c r="P1228" s="294">
        <v>3.02</v>
      </c>
      <c r="Q1228" s="298">
        <v>3.02</v>
      </c>
      <c r="R1228" s="294">
        <v>3.02</v>
      </c>
      <c r="S1228" s="294">
        <v>3.02</v>
      </c>
      <c r="T1228" s="199">
        <v>3.02</v>
      </c>
      <c r="U1228" s="93"/>
      <c r="V1228" s="93"/>
      <c r="W1228" s="93"/>
      <c r="X1228" s="93"/>
      <c r="Y1228" s="93"/>
      <c r="Z1228" s="93"/>
      <c r="AA1228" s="93"/>
      <c r="AB1228" s="93"/>
      <c r="AC1228" s="93"/>
      <c r="AD1228" s="93"/>
      <c r="AE1228" s="93"/>
      <c r="AF1228" s="79"/>
    </row>
    <row r="1229" spans="1:34">
      <c r="AH1229">
        <v>1228</v>
      </c>
    </row>
    <row r="1230" spans="1:34">
      <c r="AH1230">
        <v>1228</v>
      </c>
    </row>
    <row r="1231" spans="1:34">
      <c r="AH1231">
        <v>1219</v>
      </c>
    </row>
    <row r="1232" spans="1:34">
      <c r="AH1232">
        <v>1217</v>
      </c>
    </row>
    <row r="1233" spans="1:34">
      <c r="AH1233">
        <v>1217</v>
      </c>
    </row>
    <row r="1234" spans="1:34">
      <c r="AH1234">
        <v>1217</v>
      </c>
    </row>
    <row r="1235" spans="1:34">
      <c r="AH1235">
        <v>1217</v>
      </c>
    </row>
    <row r="1236" spans="1:34">
      <c r="AH1236">
        <v>1219</v>
      </c>
    </row>
    <row r="1237" spans="1:34">
      <c r="AH1237">
        <v>1219</v>
      </c>
    </row>
    <row r="1238" spans="1:34">
      <c r="AH1238">
        <v>1219</v>
      </c>
    </row>
    <row r="1239" spans="1:34">
      <c r="AH1239">
        <v>1228</v>
      </c>
    </row>
    <row r="1240" spans="1:34">
      <c r="AH1240">
        <v>1228</v>
      </c>
    </row>
    <row r="1241" spans="1:34">
      <c r="AH1241">
        <v>1228</v>
      </c>
    </row>
    <row r="1242" spans="1:34">
      <c r="A1242" s="699"/>
      <c r="B1242" s="93"/>
      <c r="C1242" s="93"/>
      <c r="D1242" s="93"/>
      <c r="E1242" s="93"/>
      <c r="F1242" s="93"/>
      <c r="G1242" s="93"/>
      <c r="H1242" s="93"/>
      <c r="I1242" s="93"/>
      <c r="J1242" s="93"/>
      <c r="K1242" s="93"/>
      <c r="L1242" s="93"/>
      <c r="M1242" s="199">
        <v>3.02</v>
      </c>
      <c r="N1242" s="294">
        <v>3.02</v>
      </c>
      <c r="O1242" s="294">
        <v>3.02</v>
      </c>
      <c r="P1242" s="298">
        <v>3.02</v>
      </c>
      <c r="Q1242" s="298">
        <v>3.02</v>
      </c>
      <c r="R1242" s="294">
        <v>3.02</v>
      </c>
      <c r="S1242" s="294">
        <v>3.02</v>
      </c>
      <c r="T1242" s="199">
        <v>3.02</v>
      </c>
      <c r="U1242" s="93"/>
      <c r="V1242" s="93"/>
      <c r="W1242" s="93"/>
      <c r="X1242" s="93"/>
      <c r="Y1242" s="93"/>
      <c r="Z1242" s="93"/>
      <c r="AA1242" s="93"/>
      <c r="AB1242" s="93"/>
      <c r="AC1242" s="93"/>
      <c r="AD1242" s="93"/>
      <c r="AE1242" s="93"/>
      <c r="AF1242" s="79"/>
    </row>
    <row r="1243" spans="1:34">
      <c r="AH1243">
        <v>1242</v>
      </c>
    </row>
    <row r="1244" spans="1:34">
      <c r="AH1244">
        <v>1224</v>
      </c>
    </row>
    <row r="1245" spans="1:34">
      <c r="AH1245">
        <v>1224</v>
      </c>
    </row>
    <row r="1246" spans="1:34">
      <c r="AH1246">
        <v>1219</v>
      </c>
    </row>
    <row r="1247" spans="1:34">
      <c r="AH1247">
        <v>1219</v>
      </c>
    </row>
    <row r="1248" spans="1:34">
      <c r="AH1248">
        <v>1217</v>
      </c>
    </row>
    <row r="1249" spans="1:34">
      <c r="A1249" s="753"/>
      <c r="B1249" s="711"/>
      <c r="C1249" s="711"/>
      <c r="D1249" s="711"/>
      <c r="E1249" s="711"/>
      <c r="F1249" s="711"/>
      <c r="G1249" s="711"/>
      <c r="H1249" s="711"/>
      <c r="I1249" s="711"/>
      <c r="J1249" s="711"/>
      <c r="K1249" s="711"/>
      <c r="L1249" s="711"/>
      <c r="M1249" s="199">
        <v>38.369999999999997</v>
      </c>
      <c r="N1249" s="201">
        <v>38.369999999999997</v>
      </c>
      <c r="O1249" s="199">
        <v>38.369999999999997</v>
      </c>
      <c r="P1249" s="201">
        <v>38.369999999999997</v>
      </c>
      <c r="Q1249" s="201">
        <v>38.369999999999997</v>
      </c>
      <c r="R1249" s="201">
        <v>38.369999999999997</v>
      </c>
      <c r="S1249" s="201">
        <v>38.369999999999997</v>
      </c>
      <c r="T1249" s="199">
        <v>38.369999999999997</v>
      </c>
      <c r="U1249" s="711"/>
      <c r="V1249" s="711"/>
      <c r="W1249" s="711"/>
      <c r="X1249" s="711"/>
      <c r="Y1249" s="711"/>
      <c r="Z1249" s="711"/>
      <c r="AA1249" s="711"/>
      <c r="AB1249" s="711"/>
      <c r="AC1249" s="711"/>
      <c r="AD1249" s="711"/>
      <c r="AE1249" s="711"/>
      <c r="AF1249" s="530"/>
      <c r="AG1249">
        <v>40</v>
      </c>
    </row>
    <row r="1250" spans="1:34">
      <c r="AH1250">
        <v>1249</v>
      </c>
    </row>
    <row r="1251" spans="1:34">
      <c r="A1251" s="699"/>
      <c r="B1251" s="93"/>
      <c r="C1251" s="93"/>
      <c r="D1251" s="93"/>
      <c r="E1251" s="93"/>
      <c r="F1251" s="93"/>
      <c r="G1251" s="93"/>
      <c r="H1251" s="93"/>
      <c r="I1251" s="93"/>
      <c r="J1251" s="93"/>
      <c r="K1251" s="93"/>
      <c r="L1251" s="93"/>
      <c r="M1251" s="199">
        <v>38.369999999999997</v>
      </c>
      <c r="N1251" s="201">
        <v>38.369999999999997</v>
      </c>
      <c r="O1251" s="201">
        <v>38.369999999999997</v>
      </c>
      <c r="P1251" s="201">
        <v>38.369999999999997</v>
      </c>
      <c r="Q1251" s="201">
        <v>38.369999999999997</v>
      </c>
      <c r="R1251" s="201">
        <v>38.369999999999997</v>
      </c>
      <c r="S1251" s="201">
        <v>38.369999999999997</v>
      </c>
      <c r="T1251" s="199">
        <v>38.369999999999997</v>
      </c>
      <c r="U1251" s="93"/>
      <c r="V1251" s="93"/>
      <c r="W1251" s="93"/>
      <c r="X1251" s="93"/>
      <c r="Y1251" s="93"/>
      <c r="Z1251" s="93"/>
      <c r="AA1251" s="93"/>
      <c r="AB1251" s="93"/>
      <c r="AC1251" s="93"/>
      <c r="AD1251" s="93"/>
      <c r="AE1251" s="93"/>
      <c r="AF1251" s="79"/>
    </row>
    <row r="1252" spans="1:34">
      <c r="A1252" s="699"/>
      <c r="B1252" s="93"/>
      <c r="C1252" s="93"/>
      <c r="D1252" s="93"/>
      <c r="E1252" s="93"/>
      <c r="F1252" s="93"/>
      <c r="G1252" s="93"/>
      <c r="H1252" s="93"/>
      <c r="I1252" s="93"/>
      <c r="J1252" s="93"/>
      <c r="K1252" s="93"/>
      <c r="L1252" s="93"/>
      <c r="M1252" s="199">
        <v>38.369999999999997</v>
      </c>
      <c r="N1252" s="201">
        <v>38.369999999999997</v>
      </c>
      <c r="O1252" s="201">
        <v>38.369999999999997</v>
      </c>
      <c r="P1252" s="201">
        <v>38.369999999999997</v>
      </c>
      <c r="Q1252" s="201">
        <v>38.369999999999997</v>
      </c>
      <c r="R1252" s="199">
        <v>38.369999999999997</v>
      </c>
      <c r="S1252" s="201">
        <v>38.369999999999997</v>
      </c>
      <c r="T1252" s="199">
        <v>38.369999999999997</v>
      </c>
      <c r="U1252" s="93"/>
      <c r="V1252" s="93"/>
      <c r="W1252" s="93"/>
      <c r="X1252" s="93"/>
      <c r="Y1252" s="93"/>
      <c r="Z1252" s="93"/>
      <c r="AA1252" s="93"/>
      <c r="AB1252" s="93"/>
      <c r="AC1252" s="93"/>
      <c r="AD1252" s="93"/>
      <c r="AE1252" s="93"/>
      <c r="AF1252" s="79"/>
    </row>
    <row r="1253" spans="1:34">
      <c r="AH1253">
        <v>1252</v>
      </c>
    </row>
    <row r="1254" spans="1:34">
      <c r="AH1254">
        <v>1252</v>
      </c>
    </row>
    <row r="1255" spans="1:34">
      <c r="AH1255">
        <v>1251</v>
      </c>
    </row>
    <row r="1256" spans="1:34">
      <c r="A1256" s="699"/>
      <c r="B1256" s="93"/>
      <c r="C1256" s="93"/>
      <c r="D1256" s="93"/>
      <c r="E1256" s="93"/>
      <c r="F1256" s="93"/>
      <c r="G1256" s="93"/>
      <c r="H1256" s="93"/>
      <c r="I1256" s="93"/>
      <c r="J1256" s="93"/>
      <c r="K1256" s="93"/>
      <c r="L1256" s="93"/>
      <c r="M1256" s="199">
        <v>38.369999999999997</v>
      </c>
      <c r="N1256" s="201">
        <v>38.369999999999997</v>
      </c>
      <c r="O1256" s="201">
        <v>38.369999999999997</v>
      </c>
      <c r="P1256" s="199">
        <v>38.369999999999997</v>
      </c>
      <c r="Q1256" s="201">
        <v>38.369999999999997</v>
      </c>
      <c r="R1256" s="201">
        <v>38.369999999999997</v>
      </c>
      <c r="S1256" s="201">
        <v>38.369999999999997</v>
      </c>
      <c r="T1256" s="199">
        <v>38.369999999999997</v>
      </c>
      <c r="U1256" s="93"/>
      <c r="V1256" s="93"/>
      <c r="W1256" s="93"/>
      <c r="X1256" s="93"/>
      <c r="Y1256" s="93"/>
      <c r="Z1256" s="93"/>
      <c r="AA1256" s="93"/>
      <c r="AB1256" s="93"/>
      <c r="AC1256" s="93"/>
      <c r="AD1256" s="93"/>
      <c r="AE1256" s="93"/>
      <c r="AF1256" s="79"/>
    </row>
    <row r="1257" spans="1:34">
      <c r="AH1257">
        <v>1256</v>
      </c>
    </row>
    <row r="1258" spans="1:34">
      <c r="AH1258">
        <v>1251</v>
      </c>
    </row>
    <row r="1259" spans="1:34">
      <c r="AH1259">
        <v>1251</v>
      </c>
    </row>
    <row r="1260" spans="1:34">
      <c r="A1260" s="699"/>
      <c r="B1260" s="93"/>
      <c r="C1260" s="93"/>
      <c r="D1260" s="93"/>
      <c r="E1260" s="93"/>
      <c r="F1260" s="93"/>
      <c r="G1260" s="93"/>
      <c r="H1260" s="93"/>
      <c r="I1260" s="93"/>
      <c r="J1260" s="93"/>
      <c r="K1260" s="93"/>
      <c r="L1260" s="93"/>
      <c r="M1260" s="199">
        <v>38.369999999999997</v>
      </c>
      <c r="N1260" s="201">
        <v>38.369999999999997</v>
      </c>
      <c r="O1260" s="201">
        <v>38.369999999999997</v>
      </c>
      <c r="P1260" s="201">
        <v>38.369999999999997</v>
      </c>
      <c r="Q1260" s="199">
        <v>38.369999999999997</v>
      </c>
      <c r="R1260" s="201">
        <v>38.369999999999997</v>
      </c>
      <c r="S1260" s="201">
        <v>38.369999999999997</v>
      </c>
      <c r="T1260" s="199">
        <v>38.369999999999997</v>
      </c>
      <c r="U1260" s="93"/>
      <c r="V1260" s="93"/>
      <c r="W1260" s="93"/>
      <c r="X1260" s="93"/>
      <c r="Y1260" s="93"/>
      <c r="Z1260" s="93"/>
      <c r="AA1260" s="93"/>
      <c r="AB1260" s="93"/>
      <c r="AC1260" s="93"/>
      <c r="AD1260" s="93"/>
      <c r="AE1260" s="93"/>
      <c r="AF1260" s="79"/>
    </row>
    <row r="1261" spans="1:34">
      <c r="AH1261">
        <v>1260</v>
      </c>
    </row>
    <row r="1262" spans="1:34">
      <c r="AH1262">
        <v>1260</v>
      </c>
    </row>
    <row r="1263" spans="1:34">
      <c r="AH1263">
        <v>1251</v>
      </c>
    </row>
    <row r="1264" spans="1:34">
      <c r="AH1264">
        <v>1249</v>
      </c>
    </row>
    <row r="1265" spans="1:34">
      <c r="AH1265">
        <v>1249</v>
      </c>
    </row>
    <row r="1266" spans="1:34">
      <c r="AH1266">
        <v>1249</v>
      </c>
    </row>
    <row r="1267" spans="1:34">
      <c r="AH1267">
        <v>1249</v>
      </c>
    </row>
    <row r="1268" spans="1:34">
      <c r="AH1268">
        <v>1251</v>
      </c>
    </row>
    <row r="1269" spans="1:34">
      <c r="AH1269">
        <v>1251</v>
      </c>
    </row>
    <row r="1270" spans="1:34">
      <c r="AH1270">
        <v>1251</v>
      </c>
    </row>
    <row r="1271" spans="1:34">
      <c r="AH1271">
        <v>1260</v>
      </c>
    </row>
    <row r="1272" spans="1:34">
      <c r="AH1272">
        <v>1260</v>
      </c>
    </row>
    <row r="1273" spans="1:34">
      <c r="AH1273">
        <v>1260</v>
      </c>
    </row>
    <row r="1274" spans="1:34">
      <c r="A1274" s="699"/>
      <c r="B1274" s="93"/>
      <c r="C1274" s="93"/>
      <c r="D1274" s="93"/>
      <c r="E1274" s="93"/>
      <c r="F1274" s="93"/>
      <c r="G1274" s="93"/>
      <c r="H1274" s="93"/>
      <c r="I1274" s="93"/>
      <c r="J1274" s="93"/>
      <c r="K1274" s="93"/>
      <c r="L1274" s="93"/>
      <c r="M1274" s="199">
        <v>38.369999999999997</v>
      </c>
      <c r="N1274" s="201">
        <v>38.369999999999997</v>
      </c>
      <c r="O1274" s="201">
        <v>38.369999999999997</v>
      </c>
      <c r="P1274" s="199">
        <v>38.369999999999997</v>
      </c>
      <c r="Q1274" s="199">
        <v>38.369999999999997</v>
      </c>
      <c r="R1274" s="201">
        <v>38.369999999999997</v>
      </c>
      <c r="S1274" s="201">
        <v>38.369999999999997</v>
      </c>
      <c r="T1274" s="199">
        <v>38.369999999999997</v>
      </c>
      <c r="U1274" s="93"/>
      <c r="V1274" s="93"/>
      <c r="W1274" s="93"/>
      <c r="X1274" s="93"/>
      <c r="Y1274" s="93"/>
      <c r="Z1274" s="93"/>
      <c r="AA1274" s="93"/>
      <c r="AB1274" s="93"/>
      <c r="AC1274" s="93"/>
      <c r="AD1274" s="93"/>
      <c r="AE1274" s="93"/>
      <c r="AF1274" s="79"/>
    </row>
    <row r="1275" spans="1:34">
      <c r="AH1275">
        <v>1274</v>
      </c>
    </row>
    <row r="1276" spans="1:34">
      <c r="AH1276">
        <v>1256</v>
      </c>
    </row>
    <row r="1277" spans="1:34">
      <c r="AH1277">
        <v>1256</v>
      </c>
    </row>
    <row r="1278" spans="1:34">
      <c r="AH1278">
        <v>1251</v>
      </c>
    </row>
    <row r="1279" spans="1:34">
      <c r="AH1279">
        <v>1251</v>
      </c>
    </row>
    <row r="1280" spans="1:34">
      <c r="AH1280">
        <v>1249</v>
      </c>
    </row>
    <row r="1281" spans="1:34">
      <c r="A1281" s="291">
        <v>10.01</v>
      </c>
      <c r="B1281" s="291">
        <v>10.01</v>
      </c>
      <c r="C1281" s="291">
        <v>10.01</v>
      </c>
      <c r="D1281" s="291">
        <v>10.01</v>
      </c>
      <c r="E1281" s="291">
        <v>10.01</v>
      </c>
      <c r="F1281" s="291">
        <v>10.01</v>
      </c>
      <c r="G1281" s="291">
        <v>10.01</v>
      </c>
      <c r="H1281" s="291">
        <v>10.01</v>
      </c>
      <c r="I1281" s="291">
        <v>10.01</v>
      </c>
      <c r="J1281" s="291">
        <v>10.01</v>
      </c>
      <c r="K1281" s="291">
        <v>10.01</v>
      </c>
      <c r="L1281" s="291">
        <v>10.01</v>
      </c>
      <c r="M1281" s="291">
        <v>10.01</v>
      </c>
      <c r="N1281" s="291">
        <v>10.01</v>
      </c>
      <c r="O1281" s="291">
        <v>10.01</v>
      </c>
      <c r="P1281" s="291">
        <v>10.01</v>
      </c>
      <c r="Q1281" s="291">
        <v>10.01</v>
      </c>
      <c r="R1281" s="291">
        <v>10.01</v>
      </c>
      <c r="S1281" s="291">
        <v>10.01</v>
      </c>
      <c r="T1281" s="291">
        <v>10.01</v>
      </c>
      <c r="U1281" s="291">
        <v>10.01</v>
      </c>
      <c r="V1281" s="291">
        <v>10.01</v>
      </c>
      <c r="W1281" s="291">
        <v>10.01</v>
      </c>
      <c r="X1281" s="291">
        <v>10.01</v>
      </c>
      <c r="Y1281" s="291">
        <v>10.01</v>
      </c>
      <c r="Z1281" s="291">
        <v>10.01</v>
      </c>
      <c r="AA1281" s="291">
        <v>10.01</v>
      </c>
      <c r="AB1281" s="291">
        <v>10.01</v>
      </c>
      <c r="AC1281" s="291">
        <v>10.01</v>
      </c>
      <c r="AD1281" s="291">
        <v>10.01</v>
      </c>
      <c r="AE1281" s="291">
        <v>10.01</v>
      </c>
      <c r="AF1281" s="291">
        <v>10.01</v>
      </c>
      <c r="AG1281">
        <v>41</v>
      </c>
    </row>
    <row r="1282" spans="1:34">
      <c r="A1282" s="297">
        <v>32.01</v>
      </c>
      <c r="B1282" s="201">
        <v>10.08</v>
      </c>
      <c r="C1282" s="201">
        <v>10.08</v>
      </c>
      <c r="D1282" s="201">
        <v>10.08</v>
      </c>
      <c r="E1282" s="201">
        <v>10.08</v>
      </c>
      <c r="F1282" s="201">
        <v>10.08</v>
      </c>
      <c r="G1282" s="201">
        <v>10.08</v>
      </c>
      <c r="H1282" s="201">
        <v>10.08</v>
      </c>
      <c r="I1282" s="201">
        <v>10.08</v>
      </c>
      <c r="J1282" s="201">
        <v>10.08</v>
      </c>
      <c r="K1282" s="201">
        <v>10.08</v>
      </c>
      <c r="L1282" s="201">
        <v>10.08</v>
      </c>
      <c r="M1282" s="201">
        <v>10.08</v>
      </c>
      <c r="N1282" s="201">
        <v>10.08</v>
      </c>
      <c r="O1282" s="201">
        <v>10.08</v>
      </c>
      <c r="P1282" s="201">
        <v>10.08</v>
      </c>
      <c r="Q1282" s="201">
        <v>10.08</v>
      </c>
      <c r="R1282" s="201">
        <v>10.08</v>
      </c>
      <c r="S1282" s="201">
        <v>10.08</v>
      </c>
      <c r="T1282" s="201">
        <v>10.08</v>
      </c>
      <c r="U1282" s="201">
        <v>10.08</v>
      </c>
      <c r="V1282" s="201">
        <v>10.08</v>
      </c>
      <c r="W1282" s="201">
        <v>10.08</v>
      </c>
      <c r="X1282" s="201">
        <v>10.08</v>
      </c>
      <c r="Y1282" s="201">
        <v>10.08</v>
      </c>
      <c r="Z1282" s="201">
        <v>10.08</v>
      </c>
      <c r="AA1282" s="201">
        <v>10.08</v>
      </c>
      <c r="AB1282" s="201">
        <v>10.08</v>
      </c>
      <c r="AC1282" s="201">
        <v>10.08</v>
      </c>
      <c r="AD1282" s="201">
        <v>10.08</v>
      </c>
      <c r="AE1282" s="201">
        <v>10.08</v>
      </c>
      <c r="AF1282" s="293">
        <v>32.01</v>
      </c>
    </row>
    <row r="1283" spans="1:34">
      <c r="AH1283">
        <v>1282</v>
      </c>
    </row>
    <row r="1284" spans="1:34">
      <c r="AH1284">
        <v>1282</v>
      </c>
    </row>
    <row r="1285" spans="1:34">
      <c r="AH1285">
        <v>1282</v>
      </c>
    </row>
    <row r="1286" spans="1:34">
      <c r="AH1286">
        <v>1282</v>
      </c>
    </row>
    <row r="1287" spans="1:34">
      <c r="AH1287">
        <v>1282</v>
      </c>
    </row>
    <row r="1288" spans="1:34">
      <c r="AH1288">
        <v>1282</v>
      </c>
    </row>
    <row r="1289" spans="1:34">
      <c r="AH1289">
        <v>1282</v>
      </c>
    </row>
    <row r="1290" spans="1:34">
      <c r="AH1290">
        <v>1282</v>
      </c>
    </row>
    <row r="1291" spans="1:34">
      <c r="AH1291">
        <v>1282</v>
      </c>
    </row>
    <row r="1292" spans="1:34">
      <c r="A1292" s="297">
        <v>32.01</v>
      </c>
      <c r="B1292" s="291">
        <v>10.01</v>
      </c>
      <c r="C1292" s="291">
        <v>10.01</v>
      </c>
      <c r="D1292" s="291">
        <v>10.01</v>
      </c>
      <c r="E1292" s="291">
        <v>10.01</v>
      </c>
      <c r="F1292" s="291">
        <v>10.01</v>
      </c>
      <c r="G1292" s="291">
        <v>10.01</v>
      </c>
      <c r="H1292" s="291">
        <v>10.01</v>
      </c>
      <c r="I1292" s="291">
        <v>10.01</v>
      </c>
      <c r="J1292" s="291">
        <v>10.01</v>
      </c>
      <c r="K1292" s="291">
        <v>10.01</v>
      </c>
      <c r="L1292" s="291">
        <v>10.01</v>
      </c>
      <c r="M1292" s="291">
        <v>10.01</v>
      </c>
      <c r="N1292" s="291">
        <v>10.01</v>
      </c>
      <c r="O1292" s="291">
        <v>10.01</v>
      </c>
      <c r="P1292" s="291">
        <v>10.01</v>
      </c>
      <c r="Q1292" s="291">
        <v>10.01</v>
      </c>
      <c r="R1292" s="291">
        <v>10.01</v>
      </c>
      <c r="S1292" s="291">
        <v>10.01</v>
      </c>
      <c r="T1292" s="291">
        <v>10.01</v>
      </c>
      <c r="U1292" s="291">
        <v>10.01</v>
      </c>
      <c r="V1292" s="291">
        <v>10.01</v>
      </c>
      <c r="W1292" s="291">
        <v>10.01</v>
      </c>
      <c r="X1292" s="291">
        <v>10.01</v>
      </c>
      <c r="Y1292" s="291">
        <v>10.01</v>
      </c>
      <c r="Z1292" s="291">
        <v>10.01</v>
      </c>
      <c r="AA1292" s="291">
        <v>10.01</v>
      </c>
      <c r="AB1292" s="291">
        <v>10.01</v>
      </c>
      <c r="AC1292" s="291">
        <v>10.01</v>
      </c>
      <c r="AD1292" s="291">
        <v>10.01</v>
      </c>
      <c r="AE1292" s="291">
        <v>10.01</v>
      </c>
      <c r="AF1292" s="293">
        <v>32.01</v>
      </c>
    </row>
    <row r="1293" spans="1:34">
      <c r="A1293" s="297">
        <v>32.01</v>
      </c>
      <c r="B1293" s="294">
        <v>2.0099999999999998</v>
      </c>
      <c r="C1293" s="294">
        <v>2.0099999999999998</v>
      </c>
      <c r="D1293" s="294">
        <v>2.0099999999999998</v>
      </c>
      <c r="E1293" s="294">
        <v>2.0099999999999998</v>
      </c>
      <c r="F1293" s="294">
        <v>2.0099999999999998</v>
      </c>
      <c r="G1293" s="294">
        <v>2.0099999999999998</v>
      </c>
      <c r="H1293" s="294">
        <v>2.0099999999999998</v>
      </c>
      <c r="I1293" s="294">
        <v>2.0099999999999998</v>
      </c>
      <c r="J1293" s="294">
        <v>2.0099999999999998</v>
      </c>
      <c r="K1293" s="294">
        <v>2.0099999999999998</v>
      </c>
      <c r="L1293" s="294">
        <v>2.0099999999999998</v>
      </c>
      <c r="M1293" s="294">
        <v>2.0099999999999998</v>
      </c>
      <c r="N1293" s="294">
        <v>2.0099999999999998</v>
      </c>
      <c r="O1293" s="294">
        <v>2.0099999999999998</v>
      </c>
      <c r="P1293" s="294">
        <v>2.0099999999999998</v>
      </c>
      <c r="Q1293" s="294">
        <v>2.0099999999999998</v>
      </c>
      <c r="R1293" s="294">
        <v>2.0099999999999998</v>
      </c>
      <c r="S1293" s="294">
        <v>2.0099999999999998</v>
      </c>
      <c r="T1293" s="294">
        <v>2.0099999999999998</v>
      </c>
      <c r="U1293" s="294">
        <v>2.0099999999999998</v>
      </c>
      <c r="V1293" s="294">
        <v>2.0099999999999998</v>
      </c>
      <c r="W1293" s="294">
        <v>2.0099999999999998</v>
      </c>
      <c r="X1293" s="294">
        <v>2.0099999999999998</v>
      </c>
      <c r="Y1293" s="294">
        <v>2.0099999999999998</v>
      </c>
      <c r="Z1293" s="294">
        <v>2.0099999999999998</v>
      </c>
      <c r="AA1293" s="294">
        <v>2.0099999999999998</v>
      </c>
      <c r="AB1293" s="294">
        <v>2.0099999999999998</v>
      </c>
      <c r="AC1293" s="294">
        <v>2.0099999999999998</v>
      </c>
      <c r="AD1293" s="294">
        <v>2.0099999999999998</v>
      </c>
      <c r="AE1293" s="294">
        <v>2.0099999999999998</v>
      </c>
      <c r="AF1293" s="293">
        <v>32.01</v>
      </c>
    </row>
    <row r="1294" spans="1:34">
      <c r="A1294" s="297">
        <v>32.01</v>
      </c>
      <c r="B1294" s="294">
        <v>2.0099999999999998</v>
      </c>
      <c r="C1294" s="294">
        <v>2.0099999999999998</v>
      </c>
      <c r="D1294" s="294">
        <v>2.0099999999999998</v>
      </c>
      <c r="E1294" s="294">
        <v>2.0099999999999998</v>
      </c>
      <c r="F1294" s="294">
        <v>2.0099999999999998</v>
      </c>
      <c r="G1294" s="294">
        <v>2.0099999999999998</v>
      </c>
      <c r="H1294" s="294">
        <v>2.0099999999999998</v>
      </c>
      <c r="I1294" s="294">
        <v>2.0099999999999998</v>
      </c>
      <c r="J1294" s="294">
        <v>2.0099999999999998</v>
      </c>
      <c r="K1294" s="294">
        <v>2.0099999999999998</v>
      </c>
      <c r="L1294" s="294">
        <v>2.0099999999999998</v>
      </c>
      <c r="M1294" s="294">
        <v>2.0099999999999998</v>
      </c>
      <c r="N1294" s="294">
        <v>2.0099999999999998</v>
      </c>
      <c r="O1294" s="294">
        <v>2.0099999999999998</v>
      </c>
      <c r="P1294" s="294">
        <v>2.0099999999999998</v>
      </c>
      <c r="Q1294" s="294">
        <v>2.0099999999999998</v>
      </c>
      <c r="R1294" s="294">
        <v>2.0099999999999998</v>
      </c>
      <c r="S1294" s="294">
        <v>2.0099999999999998</v>
      </c>
      <c r="T1294" s="294">
        <v>2.0099999999999998</v>
      </c>
      <c r="U1294" s="294">
        <v>2.0099999999999998</v>
      </c>
      <c r="V1294" s="294">
        <v>2.0099999999999998</v>
      </c>
      <c r="W1294" s="294">
        <v>2.0099999999999998</v>
      </c>
      <c r="X1294" s="294">
        <v>2.0099999999999998</v>
      </c>
      <c r="Y1294" s="294">
        <v>2.0099999999999998</v>
      </c>
      <c r="Z1294" s="294">
        <v>2.0099999999999998</v>
      </c>
      <c r="AA1294" s="298">
        <v>2.0099999999999998</v>
      </c>
      <c r="AB1294" s="298">
        <v>2.0099999999999998</v>
      </c>
      <c r="AC1294" s="298">
        <v>2.0099999999999998</v>
      </c>
      <c r="AD1294" s="294">
        <v>2.0099999999999998</v>
      </c>
      <c r="AE1294" s="294">
        <v>2.0099999999999998</v>
      </c>
      <c r="AF1294" s="293">
        <v>32.01</v>
      </c>
    </row>
    <row r="1295" spans="1:34">
      <c r="A1295" s="297">
        <v>32.01</v>
      </c>
      <c r="B1295" s="294">
        <v>2.0099999999999998</v>
      </c>
      <c r="C1295" s="294">
        <v>2.0099999999999998</v>
      </c>
      <c r="D1295" s="294">
        <v>2.0099999999999998</v>
      </c>
      <c r="E1295" s="294">
        <v>2.0099999999999998</v>
      </c>
      <c r="F1295" s="294">
        <v>2.0099999999999998</v>
      </c>
      <c r="G1295" s="298">
        <v>2.0099999999999998</v>
      </c>
      <c r="H1295" s="298">
        <v>2.0099999999999998</v>
      </c>
      <c r="I1295" s="298">
        <v>2.0099999999999998</v>
      </c>
      <c r="J1295" s="298">
        <v>2.0099999999999998</v>
      </c>
      <c r="K1295" s="294">
        <v>2.0099999999999998</v>
      </c>
      <c r="L1295" s="294">
        <v>2.0099999999999998</v>
      </c>
      <c r="M1295" s="294">
        <v>2.0099999999999998</v>
      </c>
      <c r="N1295" s="294">
        <v>2.0099999999999998</v>
      </c>
      <c r="O1295" s="294">
        <v>2.0099999999999998</v>
      </c>
      <c r="P1295" s="294">
        <v>2.0099999999999998</v>
      </c>
      <c r="Q1295" s="294">
        <v>2.0099999999999998</v>
      </c>
      <c r="R1295" s="294">
        <v>2.0099999999999998</v>
      </c>
      <c r="S1295" s="294">
        <v>2.0099999999999998</v>
      </c>
      <c r="T1295" s="294">
        <v>2.0099999999999998</v>
      </c>
      <c r="U1295" s="294">
        <v>2.0099999999999998</v>
      </c>
      <c r="V1295" s="294">
        <v>2.0099999999999998</v>
      </c>
      <c r="W1295" s="294">
        <v>2.0099999999999998</v>
      </c>
      <c r="X1295" s="294">
        <v>2.0099999999999998</v>
      </c>
      <c r="Y1295" s="294">
        <v>2.0099999999999998</v>
      </c>
      <c r="Z1295" s="294">
        <v>2.0099999999999998</v>
      </c>
      <c r="AA1295" s="294">
        <v>2.0099999999999998</v>
      </c>
      <c r="AB1295" s="294">
        <v>2.0099999999999998</v>
      </c>
      <c r="AC1295" s="294">
        <v>2.0099999999999998</v>
      </c>
      <c r="AD1295" s="294">
        <v>2.0099999999999998</v>
      </c>
      <c r="AE1295" s="294">
        <v>2.0099999999999998</v>
      </c>
      <c r="AF1295" s="293">
        <v>32.01</v>
      </c>
    </row>
    <row r="1296" spans="1:34">
      <c r="A1296" s="297">
        <v>32.01</v>
      </c>
      <c r="B1296" s="294">
        <v>2.0099999999999998</v>
      </c>
      <c r="C1296" s="294">
        <v>2.0099999999999998</v>
      </c>
      <c r="D1296" s="294">
        <v>2.0099999999999998</v>
      </c>
      <c r="E1296" s="294">
        <v>2.0099999999999998</v>
      </c>
      <c r="F1296" s="294">
        <v>2.0099999999999998</v>
      </c>
      <c r="G1296" s="294">
        <v>2.0099999999999998</v>
      </c>
      <c r="H1296" s="294">
        <v>2.0099999999999998</v>
      </c>
      <c r="I1296" s="294">
        <v>2.0099999999999998</v>
      </c>
      <c r="J1296" s="294">
        <v>2.0099999999999998</v>
      </c>
      <c r="K1296" s="294">
        <v>2.0099999999999998</v>
      </c>
      <c r="L1296" s="294">
        <v>2.0099999999999998</v>
      </c>
      <c r="M1296" s="294">
        <v>2.0099999999999998</v>
      </c>
      <c r="N1296" s="294">
        <v>2.0099999999999998</v>
      </c>
      <c r="O1296" s="294">
        <v>2.0099999999999998</v>
      </c>
      <c r="P1296" s="294">
        <v>2.0099999999999998</v>
      </c>
      <c r="Q1296" s="294">
        <v>2.0099999999999998</v>
      </c>
      <c r="R1296" s="298">
        <v>2.0099999999999998</v>
      </c>
      <c r="S1296" s="298">
        <v>2.0099999999999998</v>
      </c>
      <c r="T1296" s="298">
        <v>2.0099999999999998</v>
      </c>
      <c r="U1296" s="298">
        <v>2.0099999999999998</v>
      </c>
      <c r="V1296" s="298">
        <v>2.0099999999999998</v>
      </c>
      <c r="W1296" s="298">
        <v>2.0099999999999998</v>
      </c>
      <c r="X1296" s="298">
        <v>2.0099999999999998</v>
      </c>
      <c r="Y1296" s="294">
        <v>2.0099999999999998</v>
      </c>
      <c r="Z1296" s="294">
        <v>2.0099999999999998</v>
      </c>
      <c r="AA1296" s="294">
        <v>2.0099999999999998</v>
      </c>
      <c r="AB1296" s="294">
        <v>2.0099999999999998</v>
      </c>
      <c r="AC1296" s="294">
        <v>2.0099999999999998</v>
      </c>
      <c r="AD1296" s="294">
        <v>2.0099999999999998</v>
      </c>
      <c r="AE1296" s="294">
        <v>2.0099999999999998</v>
      </c>
      <c r="AF1296" s="293">
        <v>32.01</v>
      </c>
    </row>
    <row r="1297" spans="1:34">
      <c r="AH1297">
        <v>1293</v>
      </c>
    </row>
    <row r="1298" spans="1:34">
      <c r="A1298" s="297">
        <v>32.01</v>
      </c>
      <c r="B1298" s="290">
        <v>2.0099999999999998</v>
      </c>
      <c r="C1298" s="290">
        <v>2.0099999999999998</v>
      </c>
      <c r="D1298" s="290">
        <v>2.0099999999999998</v>
      </c>
      <c r="E1298" s="290">
        <v>2.0099999999999998</v>
      </c>
      <c r="F1298" s="290">
        <v>2.0099999999999998</v>
      </c>
      <c r="G1298" s="290">
        <v>2.0099999999999998</v>
      </c>
      <c r="H1298" s="290">
        <v>2.0099999999999998</v>
      </c>
      <c r="I1298" s="290">
        <v>2.0099999999999998</v>
      </c>
      <c r="J1298" s="290">
        <v>2.0099999999999998</v>
      </c>
      <c r="K1298" s="290">
        <v>2.0099999999999998</v>
      </c>
      <c r="L1298" s="290">
        <v>2.0099999999999998</v>
      </c>
      <c r="M1298" s="290">
        <v>2.0099999999999998</v>
      </c>
      <c r="N1298" s="290">
        <v>2.0099999999999998</v>
      </c>
      <c r="O1298" s="290">
        <v>2.0099999999999998</v>
      </c>
      <c r="P1298" s="290">
        <v>2.0099999999999998</v>
      </c>
      <c r="Q1298" s="290">
        <v>2.0099999999999998</v>
      </c>
      <c r="R1298" s="290">
        <v>2.0099999999999998</v>
      </c>
      <c r="S1298" s="290">
        <v>2.0099999999999998</v>
      </c>
      <c r="T1298" s="290">
        <v>2.0099999999999998</v>
      </c>
      <c r="U1298" s="290">
        <v>2.0099999999999998</v>
      </c>
      <c r="V1298" s="290">
        <v>2.0099999999999998</v>
      </c>
      <c r="W1298" s="290">
        <v>2.0099999999999998</v>
      </c>
      <c r="X1298" s="290">
        <v>2.0099999999999998</v>
      </c>
      <c r="Y1298" s="290">
        <v>2.0099999999999998</v>
      </c>
      <c r="Z1298" s="290">
        <v>2.0099999999999998</v>
      </c>
      <c r="AA1298" s="290">
        <v>2.0099999999999998</v>
      </c>
      <c r="AB1298" s="290">
        <v>2.0099999999999998</v>
      </c>
      <c r="AC1298" s="290">
        <v>2.0099999999999998</v>
      </c>
      <c r="AD1298" s="290">
        <v>2.0099999999999998</v>
      </c>
      <c r="AE1298" s="290">
        <v>2.0099999999999998</v>
      </c>
      <c r="AF1298" s="293">
        <v>32.01</v>
      </c>
    </row>
    <row r="1299" spans="1:34">
      <c r="AH1299">
        <v>1293</v>
      </c>
    </row>
    <row r="1300" spans="1:34">
      <c r="A1300" s="297">
        <v>32.01</v>
      </c>
      <c r="B1300" s="298">
        <v>2.0099999999999998</v>
      </c>
      <c r="C1300" s="298">
        <v>2.0099999999999998</v>
      </c>
      <c r="D1300" s="294">
        <v>2.0099999999999998</v>
      </c>
      <c r="E1300" s="294">
        <v>2.0099999999999998</v>
      </c>
      <c r="F1300" s="294">
        <v>2.0099999999999998</v>
      </c>
      <c r="G1300" s="294">
        <v>2.0099999999999998</v>
      </c>
      <c r="H1300" s="294">
        <v>2.0099999999999998</v>
      </c>
      <c r="I1300" s="294">
        <v>2.0099999999999998</v>
      </c>
      <c r="J1300" s="294">
        <v>2.0099999999999998</v>
      </c>
      <c r="K1300" s="294">
        <v>2.0099999999999998</v>
      </c>
      <c r="L1300" s="294">
        <v>2.0099999999999998</v>
      </c>
      <c r="M1300" s="294">
        <v>2.0099999999999998</v>
      </c>
      <c r="N1300" s="294">
        <v>2.0099999999999998</v>
      </c>
      <c r="O1300" s="294">
        <v>2.0099999999999998</v>
      </c>
      <c r="P1300" s="294">
        <v>2.0099999999999998</v>
      </c>
      <c r="Q1300" s="294">
        <v>2.0099999999999998</v>
      </c>
      <c r="R1300" s="294">
        <v>2.0099999999999998</v>
      </c>
      <c r="S1300" s="294">
        <v>2.0099999999999998</v>
      </c>
      <c r="T1300" s="294">
        <v>2.0099999999999998</v>
      </c>
      <c r="U1300" s="294">
        <v>2.0099999999999998</v>
      </c>
      <c r="V1300" s="294">
        <v>2.0099999999999998</v>
      </c>
      <c r="W1300" s="294">
        <v>2.0099999999999998</v>
      </c>
      <c r="X1300" s="294">
        <v>2.0099999999999998</v>
      </c>
      <c r="Y1300" s="298">
        <v>2.0099999999999998</v>
      </c>
      <c r="Z1300" s="298">
        <v>2.0099999999999998</v>
      </c>
      <c r="AA1300" s="298">
        <v>2.0099999999999998</v>
      </c>
      <c r="AB1300" s="294">
        <v>2.0099999999999998</v>
      </c>
      <c r="AC1300" s="294">
        <v>2.0099999999999998</v>
      </c>
      <c r="AD1300" s="294">
        <v>2.0099999999999998</v>
      </c>
      <c r="AE1300" s="294">
        <v>2.0099999999999998</v>
      </c>
      <c r="AF1300" s="293">
        <v>32.01</v>
      </c>
    </row>
    <row r="1301" spans="1:34">
      <c r="A1301" s="294">
        <v>2.0099999999999998</v>
      </c>
      <c r="B1301" s="294">
        <v>2.0099999999999998</v>
      </c>
      <c r="C1301" s="294">
        <v>2.0099999999999998</v>
      </c>
      <c r="D1301" s="294">
        <v>2.0099999999999998</v>
      </c>
      <c r="E1301" s="294">
        <v>2.0099999999999998</v>
      </c>
      <c r="F1301" s="294">
        <v>2.0099999999999998</v>
      </c>
      <c r="G1301" s="294">
        <v>2.0099999999999998</v>
      </c>
      <c r="H1301" s="294">
        <v>2.0099999999999998</v>
      </c>
      <c r="I1301" s="294">
        <v>2.0099999999999998</v>
      </c>
      <c r="J1301" s="298">
        <v>2.0099999999999998</v>
      </c>
      <c r="K1301" s="298">
        <v>2.0099999999999998</v>
      </c>
      <c r="L1301" s="298">
        <v>2.0099999999999998</v>
      </c>
      <c r="M1301" s="298">
        <v>2.0099999999999998</v>
      </c>
      <c r="N1301" s="294">
        <v>2.0099999999999998</v>
      </c>
      <c r="O1301" s="294">
        <v>2.0099999999999998</v>
      </c>
      <c r="P1301" s="294">
        <v>2.0099999999999998</v>
      </c>
      <c r="Q1301" s="294">
        <v>2.0099999999999998</v>
      </c>
      <c r="R1301" s="294">
        <v>2.0099999999999998</v>
      </c>
      <c r="S1301" s="294">
        <v>2.0099999999999998</v>
      </c>
      <c r="T1301" s="294">
        <v>2.0099999999999998</v>
      </c>
      <c r="U1301" s="294">
        <v>2.0099999999999998</v>
      </c>
      <c r="V1301" s="294">
        <v>2.0099999999999998</v>
      </c>
      <c r="W1301" s="294">
        <v>2.0099999999999998</v>
      </c>
      <c r="X1301" s="294">
        <v>2.0099999999999998</v>
      </c>
      <c r="Y1301" s="294">
        <v>2.0099999999999998</v>
      </c>
      <c r="Z1301" s="294">
        <v>2.0099999999999998</v>
      </c>
      <c r="AA1301" s="294">
        <v>2.0099999999999998</v>
      </c>
      <c r="AB1301" s="294">
        <v>2.0099999999999998</v>
      </c>
      <c r="AC1301" s="294">
        <v>2.0099999999999998</v>
      </c>
      <c r="AD1301" s="294">
        <v>2.0099999999999998</v>
      </c>
      <c r="AE1301" s="294">
        <v>2.0099999999999998</v>
      </c>
      <c r="AF1301" s="294">
        <v>2.0099999999999998</v>
      </c>
    </row>
    <row r="1302" spans="1:34">
      <c r="A1302" s="294">
        <v>2.0099999999999998</v>
      </c>
      <c r="B1302" s="294">
        <v>2.0099999999999998</v>
      </c>
      <c r="C1302" s="294">
        <v>2.0099999999999998</v>
      </c>
      <c r="D1302" s="294">
        <v>2.0099999999999998</v>
      </c>
      <c r="E1302" s="294">
        <v>2.0099999999999998</v>
      </c>
      <c r="F1302" s="294">
        <v>2.0099999999999998</v>
      </c>
      <c r="G1302" s="294">
        <v>2.0099999999999998</v>
      </c>
      <c r="H1302" s="294">
        <v>2.0099999999999998</v>
      </c>
      <c r="I1302" s="294">
        <v>2.0099999999999998</v>
      </c>
      <c r="J1302" s="294">
        <v>2.0099999999999998</v>
      </c>
      <c r="K1302" s="294">
        <v>2.0099999999999998</v>
      </c>
      <c r="L1302" s="294">
        <v>2.0099999999999998</v>
      </c>
      <c r="M1302" s="294">
        <v>2.0099999999999998</v>
      </c>
      <c r="N1302" s="294">
        <v>2.0099999999999998</v>
      </c>
      <c r="O1302" s="294">
        <v>2.0099999999999998</v>
      </c>
      <c r="P1302" s="294">
        <v>2.0099999999999998</v>
      </c>
      <c r="Q1302" s="294">
        <v>2.0099999999999998</v>
      </c>
      <c r="R1302" s="294">
        <v>2.0099999999999998</v>
      </c>
      <c r="S1302" s="294">
        <v>2.0099999999999998</v>
      </c>
      <c r="T1302" s="294">
        <v>2.0099999999999998</v>
      </c>
      <c r="U1302" s="294">
        <v>2.0099999999999998</v>
      </c>
      <c r="V1302" s="294">
        <v>2.0099999999999998</v>
      </c>
      <c r="W1302" s="294">
        <v>2.0099999999999998</v>
      </c>
      <c r="X1302" s="294">
        <v>2.0099999999999998</v>
      </c>
      <c r="Y1302" s="294">
        <v>2.0099999999999998</v>
      </c>
      <c r="Z1302" s="294">
        <v>2.0099999999999998</v>
      </c>
      <c r="AA1302" s="294">
        <v>2.0099999999999998</v>
      </c>
      <c r="AB1302" s="294">
        <v>2.0099999999999998</v>
      </c>
      <c r="AC1302" s="294">
        <v>2.0099999999999998</v>
      </c>
      <c r="AD1302" s="294">
        <v>2.0099999999999998</v>
      </c>
      <c r="AE1302" s="294">
        <v>2.0099999999999998</v>
      </c>
      <c r="AF1302" s="294">
        <v>2.0099999999999998</v>
      </c>
    </row>
    <row r="1303" spans="1:34">
      <c r="A1303" s="290">
        <v>2.0099999999999998</v>
      </c>
      <c r="B1303" s="290">
        <v>2.0099999999999998</v>
      </c>
      <c r="C1303" s="290">
        <v>2.0099999999999998</v>
      </c>
      <c r="D1303" s="290">
        <v>2.0099999999999998</v>
      </c>
      <c r="E1303" s="290">
        <v>2.0099999999999998</v>
      </c>
      <c r="F1303" s="290">
        <v>2.0099999999999998</v>
      </c>
      <c r="G1303" s="290">
        <v>2.0099999999999998</v>
      </c>
      <c r="H1303" s="290">
        <v>2.0099999999999998</v>
      </c>
      <c r="I1303" s="290">
        <v>2.0099999999999998</v>
      </c>
      <c r="J1303" s="290">
        <v>2.0099999999999998</v>
      </c>
      <c r="K1303" s="290">
        <v>2.0099999999999998</v>
      </c>
      <c r="L1303" s="290">
        <v>2.0099999999999998</v>
      </c>
      <c r="M1303" s="290">
        <v>2.0099999999999998</v>
      </c>
      <c r="N1303" s="290">
        <v>2.0099999999999998</v>
      </c>
      <c r="O1303" s="290">
        <v>2.0099999999999998</v>
      </c>
      <c r="P1303" s="290">
        <v>2.0099999999999998</v>
      </c>
      <c r="Q1303" s="290">
        <v>2.0099999999999998</v>
      </c>
      <c r="R1303" s="290">
        <v>2.0099999999999998</v>
      </c>
      <c r="S1303" s="290">
        <v>2.0099999999999998</v>
      </c>
      <c r="T1303" s="290">
        <v>2.0099999999999998</v>
      </c>
      <c r="U1303" s="290">
        <v>2.0099999999999998</v>
      </c>
      <c r="V1303" s="290">
        <v>2.0099999999999998</v>
      </c>
      <c r="W1303" s="290">
        <v>2.0099999999999998</v>
      </c>
      <c r="X1303" s="290">
        <v>2.0099999999999998</v>
      </c>
      <c r="Y1303" s="290">
        <v>2.0099999999999998</v>
      </c>
      <c r="Z1303" s="290">
        <v>2.0099999999999998</v>
      </c>
      <c r="AA1303" s="290">
        <v>2.0099999999999998</v>
      </c>
      <c r="AB1303" s="290">
        <v>2.0099999999999998</v>
      </c>
      <c r="AC1303" s="290">
        <v>2.0099999999999998</v>
      </c>
      <c r="AD1303" s="290">
        <v>2.0099999999999998</v>
      </c>
      <c r="AE1303" s="290">
        <v>2.0099999999999998</v>
      </c>
      <c r="AF1303" s="290">
        <v>2.0099999999999998</v>
      </c>
    </row>
    <row r="1304" spans="1:34">
      <c r="A1304" s="294">
        <v>1.01</v>
      </c>
      <c r="B1304" s="294">
        <v>1.01</v>
      </c>
      <c r="C1304" s="294">
        <v>1.01</v>
      </c>
      <c r="D1304" s="294">
        <v>1.01</v>
      </c>
      <c r="E1304" s="294">
        <v>1.01</v>
      </c>
      <c r="F1304" s="294">
        <v>1.01</v>
      </c>
      <c r="G1304" s="294">
        <v>1.01</v>
      </c>
      <c r="H1304" s="294">
        <v>1.01</v>
      </c>
      <c r="I1304" s="294">
        <v>1.01</v>
      </c>
      <c r="J1304" s="294">
        <v>1.01</v>
      </c>
      <c r="K1304" s="294">
        <v>1.01</v>
      </c>
      <c r="L1304" s="294">
        <v>1.01</v>
      </c>
      <c r="M1304" s="294">
        <v>1.01</v>
      </c>
      <c r="N1304" s="294">
        <v>1.01</v>
      </c>
      <c r="O1304" s="294">
        <v>1.01</v>
      </c>
      <c r="P1304" s="294">
        <v>1.01</v>
      </c>
      <c r="Q1304" s="294">
        <v>1.01</v>
      </c>
      <c r="R1304" s="294">
        <v>1.01</v>
      </c>
      <c r="S1304" s="294">
        <v>1.01</v>
      </c>
      <c r="T1304" s="294">
        <v>1.01</v>
      </c>
      <c r="U1304" s="294">
        <v>1.01</v>
      </c>
      <c r="V1304" s="294">
        <v>1.01</v>
      </c>
      <c r="W1304" s="294">
        <v>1.01</v>
      </c>
      <c r="X1304" s="294">
        <v>1.01</v>
      </c>
      <c r="Y1304" s="294">
        <v>1.01</v>
      </c>
      <c r="Z1304" s="294">
        <v>1.01</v>
      </c>
      <c r="AA1304" s="294">
        <v>1.01</v>
      </c>
      <c r="AB1304" s="294">
        <v>1.01</v>
      </c>
      <c r="AC1304" s="294">
        <v>1.01</v>
      </c>
      <c r="AD1304" s="294">
        <v>1.01</v>
      </c>
      <c r="AE1304" s="294">
        <v>1.01</v>
      </c>
      <c r="AF1304" s="294">
        <v>1.01</v>
      </c>
    </row>
    <row r="1305" spans="1:34">
      <c r="A1305" s="294">
        <v>1.01</v>
      </c>
      <c r="B1305" s="294">
        <v>1.01</v>
      </c>
      <c r="C1305" s="294">
        <v>1.01</v>
      </c>
      <c r="D1305" s="298">
        <v>1.01</v>
      </c>
      <c r="E1305" s="298">
        <v>1.01</v>
      </c>
      <c r="F1305" s="298">
        <v>1.01</v>
      </c>
      <c r="G1305" s="298">
        <v>1.01</v>
      </c>
      <c r="H1305" s="294">
        <v>1.01</v>
      </c>
      <c r="I1305" s="294">
        <v>1.01</v>
      </c>
      <c r="J1305" s="294">
        <v>1.01</v>
      </c>
      <c r="K1305" s="294">
        <v>1.01</v>
      </c>
      <c r="L1305" s="294">
        <v>1.01</v>
      </c>
      <c r="M1305" s="294">
        <v>1.01</v>
      </c>
      <c r="N1305" s="294">
        <v>1.01</v>
      </c>
      <c r="O1305" s="294">
        <v>1.01</v>
      </c>
      <c r="P1305" s="294">
        <v>1.01</v>
      </c>
      <c r="Q1305" s="294">
        <v>1.01</v>
      </c>
      <c r="R1305" s="294">
        <v>1.01</v>
      </c>
      <c r="S1305" s="294">
        <v>1.01</v>
      </c>
      <c r="T1305" s="294">
        <v>1.01</v>
      </c>
      <c r="U1305" s="294">
        <v>1.01</v>
      </c>
      <c r="V1305" s="294">
        <v>1.01</v>
      </c>
      <c r="W1305" s="294">
        <v>1.01</v>
      </c>
      <c r="X1305" s="294">
        <v>1.01</v>
      </c>
      <c r="Y1305" s="294">
        <v>1.01</v>
      </c>
      <c r="Z1305" s="294">
        <v>1.01</v>
      </c>
      <c r="AA1305" s="294">
        <v>1.01</v>
      </c>
      <c r="AB1305" s="294">
        <v>1.01</v>
      </c>
      <c r="AC1305" s="294">
        <v>1.01</v>
      </c>
      <c r="AD1305" s="294">
        <v>1.01</v>
      </c>
      <c r="AE1305" s="294">
        <v>1.01</v>
      </c>
      <c r="AF1305" s="294">
        <v>1.01</v>
      </c>
    </row>
    <row r="1306" spans="1:34">
      <c r="A1306" s="294">
        <v>1.01</v>
      </c>
      <c r="B1306" s="294">
        <v>1.01</v>
      </c>
      <c r="C1306" s="294">
        <v>1.01</v>
      </c>
      <c r="D1306" s="294">
        <v>1.01</v>
      </c>
      <c r="E1306" s="294">
        <v>1.01</v>
      </c>
      <c r="F1306" s="294">
        <v>1.01</v>
      </c>
      <c r="G1306" s="294">
        <v>1.01</v>
      </c>
      <c r="H1306" s="294">
        <v>1.01</v>
      </c>
      <c r="I1306" s="294">
        <v>1.01</v>
      </c>
      <c r="J1306" s="294">
        <v>1.01</v>
      </c>
      <c r="K1306" s="294">
        <v>1.01</v>
      </c>
      <c r="L1306" s="294">
        <v>1.01</v>
      </c>
      <c r="M1306" s="294">
        <v>1.01</v>
      </c>
      <c r="N1306" s="294">
        <v>1.01</v>
      </c>
      <c r="O1306" s="294">
        <v>1.01</v>
      </c>
      <c r="P1306" s="294">
        <v>1.01</v>
      </c>
      <c r="Q1306" s="298">
        <v>1.01</v>
      </c>
      <c r="R1306" s="298">
        <v>1.01</v>
      </c>
      <c r="S1306" s="298">
        <v>1.01</v>
      </c>
      <c r="T1306" s="298">
        <v>1.01</v>
      </c>
      <c r="U1306" s="294">
        <v>1.01</v>
      </c>
      <c r="V1306" s="294">
        <v>1.01</v>
      </c>
      <c r="W1306" s="294">
        <v>1.01</v>
      </c>
      <c r="X1306" s="294">
        <v>1.01</v>
      </c>
      <c r="Y1306" s="294">
        <v>1.01</v>
      </c>
      <c r="Z1306" s="294">
        <v>1.01</v>
      </c>
      <c r="AA1306" s="294">
        <v>1.01</v>
      </c>
      <c r="AB1306" s="294">
        <v>1.01</v>
      </c>
      <c r="AC1306" s="294">
        <v>1.01</v>
      </c>
      <c r="AD1306" s="294">
        <v>1.01</v>
      </c>
      <c r="AE1306" s="294">
        <v>1.01</v>
      </c>
      <c r="AF1306" s="294">
        <v>1.01</v>
      </c>
    </row>
    <row r="1307" spans="1:34">
      <c r="AH1307">
        <v>1304</v>
      </c>
    </row>
    <row r="1308" spans="1:34">
      <c r="A1308" s="290">
        <v>1.01</v>
      </c>
      <c r="B1308" s="290">
        <v>1.01</v>
      </c>
      <c r="C1308" s="290">
        <v>1.01</v>
      </c>
      <c r="D1308" s="290">
        <v>1.01</v>
      </c>
      <c r="E1308" s="290">
        <v>1.01</v>
      </c>
      <c r="F1308" s="290">
        <v>1.01</v>
      </c>
      <c r="G1308" s="290">
        <v>1.01</v>
      </c>
      <c r="H1308" s="290">
        <v>1.01</v>
      </c>
      <c r="I1308" s="290">
        <v>1.01</v>
      </c>
      <c r="J1308" s="290">
        <v>1.01</v>
      </c>
      <c r="K1308" s="290">
        <v>1.01</v>
      </c>
      <c r="L1308" s="290">
        <v>1.01</v>
      </c>
      <c r="M1308" s="290">
        <v>1.01</v>
      </c>
      <c r="N1308" s="290">
        <v>1.01</v>
      </c>
      <c r="O1308" s="290">
        <v>1.01</v>
      </c>
      <c r="P1308" s="290">
        <v>1.01</v>
      </c>
      <c r="Q1308" s="290">
        <v>1.01</v>
      </c>
      <c r="R1308" s="290">
        <v>1.01</v>
      </c>
      <c r="S1308" s="290">
        <v>1.01</v>
      </c>
      <c r="T1308" s="290">
        <v>1.01</v>
      </c>
      <c r="U1308" s="290">
        <v>1.01</v>
      </c>
      <c r="V1308" s="290">
        <v>1.01</v>
      </c>
      <c r="W1308" s="290">
        <v>1.01</v>
      </c>
      <c r="X1308" s="290">
        <v>1.01</v>
      </c>
      <c r="Y1308" s="290">
        <v>1.01</v>
      </c>
      <c r="Z1308" s="290">
        <v>1.01</v>
      </c>
      <c r="AA1308" s="290">
        <v>1.01</v>
      </c>
      <c r="AB1308" s="290">
        <v>1.01</v>
      </c>
      <c r="AC1308" s="290">
        <v>1.01</v>
      </c>
      <c r="AD1308" s="290">
        <v>1.01</v>
      </c>
      <c r="AE1308" s="290">
        <v>1.01</v>
      </c>
      <c r="AF1308" s="290">
        <v>1.01</v>
      </c>
    </row>
    <row r="1309" spans="1:34">
      <c r="AH1309">
        <v>1304</v>
      </c>
    </row>
    <row r="1310" spans="1:34">
      <c r="A1310" s="298">
        <v>1.01</v>
      </c>
      <c r="B1310" s="298">
        <v>1.01</v>
      </c>
      <c r="C1310" s="298">
        <v>1.01</v>
      </c>
      <c r="D1310" s="298">
        <v>1.01</v>
      </c>
      <c r="E1310" s="294">
        <v>1.01</v>
      </c>
      <c r="F1310" s="294">
        <v>1.01</v>
      </c>
      <c r="G1310" s="294">
        <v>1.01</v>
      </c>
      <c r="H1310" s="294">
        <v>1.01</v>
      </c>
      <c r="I1310" s="294">
        <v>1.01</v>
      </c>
      <c r="J1310" s="294">
        <v>1.01</v>
      </c>
      <c r="K1310" s="294">
        <v>1.01</v>
      </c>
      <c r="L1310" s="294">
        <v>1.01</v>
      </c>
      <c r="M1310" s="294">
        <v>1.01</v>
      </c>
      <c r="N1310" s="294">
        <v>1.01</v>
      </c>
      <c r="O1310" s="294">
        <v>1.01</v>
      </c>
      <c r="P1310" s="294">
        <v>1.01</v>
      </c>
      <c r="Q1310" s="294">
        <v>1.01</v>
      </c>
      <c r="R1310" s="294">
        <v>1.01</v>
      </c>
      <c r="S1310" s="294">
        <v>1.01</v>
      </c>
      <c r="T1310" s="294">
        <v>1.01</v>
      </c>
      <c r="U1310" s="294">
        <v>1.01</v>
      </c>
      <c r="V1310" s="294">
        <v>1.01</v>
      </c>
      <c r="W1310" s="294">
        <v>1.01</v>
      </c>
      <c r="X1310" s="294">
        <v>1.01</v>
      </c>
      <c r="Y1310" s="294">
        <v>1.01</v>
      </c>
      <c r="Z1310" s="298">
        <v>1.01</v>
      </c>
      <c r="AA1310" s="298">
        <v>1.01</v>
      </c>
      <c r="AB1310" s="298">
        <v>1.01</v>
      </c>
      <c r="AC1310" s="294">
        <v>1.01</v>
      </c>
      <c r="AD1310" s="294">
        <v>1.01</v>
      </c>
      <c r="AE1310" s="294">
        <v>1.01</v>
      </c>
      <c r="AF1310" s="294">
        <v>1.01</v>
      </c>
    </row>
    <row r="1311" spans="1:34">
      <c r="A1311" s="294">
        <v>1.01</v>
      </c>
      <c r="B1311" s="294">
        <v>1.01</v>
      </c>
      <c r="C1311" s="294">
        <v>1.01</v>
      </c>
      <c r="D1311" s="294">
        <v>1.01</v>
      </c>
      <c r="E1311" s="294">
        <v>1.01</v>
      </c>
      <c r="F1311" s="294">
        <v>1.01</v>
      </c>
      <c r="G1311" s="294">
        <v>1.01</v>
      </c>
      <c r="H1311" s="294">
        <v>1.01</v>
      </c>
      <c r="I1311" s="294">
        <v>1.01</v>
      </c>
      <c r="J1311" s="294">
        <v>1.01</v>
      </c>
      <c r="K1311" s="294">
        <v>1.01</v>
      </c>
      <c r="L1311" s="294">
        <v>1.01</v>
      </c>
      <c r="M1311" s="294">
        <v>1.01</v>
      </c>
      <c r="N1311" s="298">
        <v>1.01</v>
      </c>
      <c r="O1311" s="298">
        <v>1.01</v>
      </c>
      <c r="P1311" s="298">
        <v>1.01</v>
      </c>
      <c r="Q1311" s="294">
        <v>1.01</v>
      </c>
      <c r="R1311" s="294">
        <v>1.01</v>
      </c>
      <c r="S1311" s="294">
        <v>1.01</v>
      </c>
      <c r="T1311" s="294">
        <v>1.01</v>
      </c>
      <c r="U1311" s="294">
        <v>1.01</v>
      </c>
      <c r="V1311" s="294">
        <v>1.01</v>
      </c>
      <c r="W1311" s="294">
        <v>1.01</v>
      </c>
      <c r="X1311" s="294">
        <v>1.01</v>
      </c>
      <c r="Y1311" s="294">
        <v>1.01</v>
      </c>
      <c r="Z1311" s="294">
        <v>1.01</v>
      </c>
      <c r="AA1311" s="294">
        <v>1.01</v>
      </c>
      <c r="AB1311" s="294">
        <v>1.01</v>
      </c>
      <c r="AC1311" s="294">
        <v>1.01</v>
      </c>
      <c r="AD1311" s="294">
        <v>1.01</v>
      </c>
      <c r="AE1311" s="294">
        <v>1.01</v>
      </c>
      <c r="AF1311" s="294">
        <v>1.01</v>
      </c>
    </row>
    <row r="1312" spans="1:34">
      <c r="AH1312">
        <v>1304</v>
      </c>
    </row>
    <row r="1313" spans="1:34">
      <c r="A1313" s="753"/>
      <c r="B1313" s="711"/>
      <c r="C1313" s="711"/>
      <c r="D1313" s="711"/>
      <c r="E1313" s="711"/>
      <c r="F1313" s="711"/>
      <c r="G1313" s="711"/>
      <c r="H1313" s="711"/>
      <c r="I1313" s="1262">
        <v>12.02</v>
      </c>
      <c r="J1313" s="1262">
        <v>13.02</v>
      </c>
      <c r="K1313" s="1262">
        <v>13.02</v>
      </c>
      <c r="L1313" s="1262">
        <v>13.02</v>
      </c>
      <c r="M1313" s="1262">
        <v>13.02</v>
      </c>
      <c r="N1313" s="1262">
        <v>13.02</v>
      </c>
      <c r="O1313" s="1262">
        <v>13.02</v>
      </c>
      <c r="P1313" s="1262">
        <v>13.02</v>
      </c>
      <c r="Q1313" s="1262">
        <v>13.02</v>
      </c>
      <c r="R1313" s="1262">
        <v>13.02</v>
      </c>
      <c r="S1313" s="1262">
        <v>13.02</v>
      </c>
      <c r="T1313" s="1262">
        <v>13.02</v>
      </c>
      <c r="U1313" s="1262">
        <v>13.02</v>
      </c>
      <c r="V1313" s="1262">
        <v>13.02</v>
      </c>
      <c r="W1313" s="1262">
        <v>12.02</v>
      </c>
      <c r="X1313" s="711"/>
      <c r="Y1313" s="711"/>
      <c r="Z1313" s="711"/>
      <c r="AA1313" s="711"/>
      <c r="AB1313" s="711"/>
      <c r="AC1313" s="711"/>
      <c r="AD1313" s="711"/>
      <c r="AE1313" s="711"/>
      <c r="AF1313" s="711"/>
      <c r="AG1313">
        <v>42</v>
      </c>
    </row>
    <row r="1314" spans="1:34">
      <c r="A1314" s="699"/>
      <c r="B1314" s="93"/>
      <c r="C1314" s="93"/>
      <c r="D1314" s="93"/>
      <c r="E1314" s="93"/>
      <c r="F1314" s="93"/>
      <c r="G1314" s="93"/>
      <c r="H1314" s="93"/>
      <c r="I1314" s="297">
        <v>6.01</v>
      </c>
      <c r="J1314" s="293">
        <v>6.01</v>
      </c>
      <c r="K1314" s="301">
        <v>6.05</v>
      </c>
      <c r="L1314" s="294">
        <v>6.05</v>
      </c>
      <c r="M1314" s="301">
        <v>6.05</v>
      </c>
      <c r="N1314" s="294">
        <v>6.05</v>
      </c>
      <c r="O1314" s="301">
        <v>6.05</v>
      </c>
      <c r="P1314" s="294">
        <v>6.05</v>
      </c>
      <c r="Q1314" s="301">
        <v>6.05</v>
      </c>
      <c r="R1314" s="294">
        <v>6.05</v>
      </c>
      <c r="S1314" s="301">
        <v>6.05</v>
      </c>
      <c r="T1314" s="294">
        <v>6.05</v>
      </c>
      <c r="U1314" s="301">
        <v>6.05</v>
      </c>
      <c r="V1314" s="293">
        <v>6.01</v>
      </c>
      <c r="W1314" s="293">
        <v>6.01</v>
      </c>
      <c r="X1314" s="93"/>
      <c r="Y1314" s="93"/>
      <c r="Z1314" s="93"/>
      <c r="AA1314" s="93"/>
      <c r="AB1314" s="93"/>
      <c r="AC1314" s="93"/>
      <c r="AD1314" s="93"/>
      <c r="AE1314" s="93"/>
      <c r="AF1314" s="93"/>
    </row>
    <row r="1315" spans="1:34">
      <c r="A1315" s="699"/>
      <c r="B1315" s="93"/>
      <c r="C1315" s="93"/>
      <c r="D1315" s="93"/>
      <c r="E1315" s="93"/>
      <c r="F1315" s="93"/>
      <c r="G1315" s="93"/>
      <c r="H1315" s="93"/>
      <c r="I1315" s="297">
        <v>6.01</v>
      </c>
      <c r="J1315" s="307">
        <v>7.05</v>
      </c>
      <c r="K1315" s="307">
        <v>7.05</v>
      </c>
      <c r="L1315" s="307">
        <v>7.05</v>
      </c>
      <c r="M1315" s="307">
        <v>7.05</v>
      </c>
      <c r="N1315" s="307">
        <v>7.05</v>
      </c>
      <c r="O1315" s="307">
        <v>7.05</v>
      </c>
      <c r="P1315" s="307">
        <v>7.05</v>
      </c>
      <c r="Q1315" s="307">
        <v>7.05</v>
      </c>
      <c r="R1315" s="307">
        <v>7.05</v>
      </c>
      <c r="S1315" s="307">
        <v>7.05</v>
      </c>
      <c r="T1315" s="307">
        <v>7.05</v>
      </c>
      <c r="U1315" s="307">
        <v>7.05</v>
      </c>
      <c r="V1315" s="307">
        <v>7.05</v>
      </c>
      <c r="W1315" s="293">
        <v>6.01</v>
      </c>
      <c r="X1315" s="93"/>
      <c r="Y1315" s="93"/>
      <c r="Z1315" s="93"/>
      <c r="AA1315" s="93"/>
      <c r="AB1315" s="93"/>
      <c r="AC1315" s="93"/>
      <c r="AD1315" s="93"/>
      <c r="AE1315" s="93"/>
      <c r="AF1315" s="93"/>
    </row>
    <row r="1316" spans="1:34">
      <c r="A1316" s="699"/>
      <c r="B1316" s="93"/>
      <c r="C1316" s="93"/>
      <c r="D1316" s="93"/>
      <c r="E1316" s="93"/>
      <c r="F1316" s="93"/>
      <c r="G1316" s="93"/>
      <c r="H1316" s="93"/>
      <c r="I1316" s="297">
        <v>6.05</v>
      </c>
      <c r="J1316" s="307">
        <v>7.05</v>
      </c>
      <c r="K1316" s="307">
        <v>7.05</v>
      </c>
      <c r="L1316" s="307">
        <v>7.05</v>
      </c>
      <c r="M1316" s="307">
        <v>7.05</v>
      </c>
      <c r="N1316" s="307">
        <v>7.05</v>
      </c>
      <c r="O1316" s="307">
        <v>7.05</v>
      </c>
      <c r="P1316" s="307">
        <v>7.05</v>
      </c>
      <c r="Q1316" s="307">
        <v>7.05</v>
      </c>
      <c r="R1316" s="307">
        <v>7.05</v>
      </c>
      <c r="S1316" s="307">
        <v>7.05</v>
      </c>
      <c r="T1316" s="307">
        <v>7.05</v>
      </c>
      <c r="U1316" s="307">
        <v>7.05</v>
      </c>
      <c r="V1316" s="307">
        <v>7.05</v>
      </c>
      <c r="W1316" s="293">
        <v>6.05</v>
      </c>
      <c r="X1316" s="93"/>
      <c r="Y1316" s="93"/>
      <c r="Z1316" s="93"/>
      <c r="AA1316" s="93"/>
      <c r="AB1316" s="93"/>
      <c r="AC1316" s="93"/>
      <c r="AD1316" s="93"/>
      <c r="AE1316" s="93"/>
      <c r="AF1316" s="93"/>
    </row>
    <row r="1317" spans="1:34">
      <c r="A1317" s="699"/>
      <c r="B1317" s="93"/>
      <c r="C1317" s="93"/>
      <c r="D1317" s="93"/>
      <c r="E1317" s="93"/>
      <c r="F1317" s="93"/>
      <c r="G1317" s="93"/>
      <c r="H1317" s="93"/>
      <c r="X1317" s="93"/>
      <c r="Y1317" s="93"/>
      <c r="Z1317" s="93"/>
      <c r="AA1317" s="93"/>
      <c r="AB1317" s="93"/>
      <c r="AC1317" s="93"/>
      <c r="AD1317" s="93"/>
      <c r="AE1317" s="93"/>
      <c r="AF1317" s="93"/>
      <c r="AH1317">
        <v>1316</v>
      </c>
    </row>
    <row r="1318" spans="1:34">
      <c r="A1318" s="699"/>
      <c r="B1318" s="93"/>
      <c r="C1318" s="93"/>
      <c r="D1318" s="93"/>
      <c r="E1318" s="93"/>
      <c r="F1318" s="93"/>
      <c r="G1318" s="93"/>
      <c r="H1318" s="93"/>
      <c r="X1318" s="93"/>
      <c r="Y1318" s="93"/>
      <c r="Z1318" s="93"/>
      <c r="AA1318" s="93"/>
      <c r="AB1318" s="93"/>
      <c r="AC1318" s="93"/>
      <c r="AD1318" s="93"/>
      <c r="AE1318" s="93"/>
      <c r="AF1318" s="93"/>
      <c r="AH1318">
        <v>1316</v>
      </c>
    </row>
    <row r="1319" spans="1:34">
      <c r="A1319" s="699"/>
      <c r="B1319" s="93"/>
      <c r="C1319" s="93"/>
      <c r="D1319" s="93"/>
      <c r="E1319" s="93"/>
      <c r="F1319" s="93"/>
      <c r="G1319" s="93"/>
      <c r="H1319" s="93"/>
      <c r="X1319" s="93"/>
      <c r="Y1319" s="93"/>
      <c r="Z1319" s="93"/>
      <c r="AA1319" s="93"/>
      <c r="AB1319" s="93"/>
      <c r="AC1319" s="93"/>
      <c r="AD1319" s="93"/>
      <c r="AE1319" s="93"/>
      <c r="AF1319" s="93"/>
      <c r="AH1319">
        <v>1316</v>
      </c>
    </row>
    <row r="1320" spans="1:34">
      <c r="A1320" s="699"/>
      <c r="B1320" s="93"/>
      <c r="C1320" s="93"/>
      <c r="D1320" s="93"/>
      <c r="E1320" s="93"/>
      <c r="F1320" s="93"/>
      <c r="G1320" s="93"/>
      <c r="H1320" s="93"/>
      <c r="X1320" s="93"/>
      <c r="Y1320" s="93"/>
      <c r="Z1320" s="93"/>
      <c r="AA1320" s="93"/>
      <c r="AB1320" s="93"/>
      <c r="AC1320" s="93"/>
      <c r="AD1320" s="93"/>
      <c r="AE1320" s="93"/>
      <c r="AF1320" s="93"/>
      <c r="AH1320">
        <v>1316</v>
      </c>
    </row>
    <row r="1321" spans="1:34">
      <c r="A1321" s="699"/>
      <c r="B1321" s="93"/>
      <c r="C1321" s="93"/>
      <c r="D1321" s="93"/>
      <c r="E1321" s="93"/>
      <c r="F1321" s="93"/>
      <c r="G1321" s="93"/>
      <c r="H1321" s="93"/>
      <c r="X1321" s="93"/>
      <c r="Y1321" s="93"/>
      <c r="Z1321" s="93"/>
      <c r="AA1321" s="93"/>
      <c r="AB1321" s="93"/>
      <c r="AC1321" s="93"/>
      <c r="AD1321" s="93"/>
      <c r="AE1321" s="93"/>
      <c r="AF1321" s="93"/>
      <c r="AH1321">
        <v>1316</v>
      </c>
    </row>
    <row r="1322" spans="1:34">
      <c r="A1322" s="699"/>
      <c r="B1322" s="93"/>
      <c r="C1322" s="93"/>
      <c r="D1322" s="93"/>
      <c r="E1322" s="93"/>
      <c r="F1322" s="93"/>
      <c r="G1322" s="93"/>
      <c r="H1322" s="93"/>
      <c r="I1322" s="297">
        <v>6.05</v>
      </c>
      <c r="J1322" s="307">
        <v>7.05</v>
      </c>
      <c r="K1322" s="307">
        <v>7.05</v>
      </c>
      <c r="L1322" s="307">
        <v>7.05</v>
      </c>
      <c r="M1322" s="307">
        <v>7.05</v>
      </c>
      <c r="N1322" s="307">
        <v>7.05</v>
      </c>
      <c r="O1322" s="307">
        <v>7.05</v>
      </c>
      <c r="P1322" s="295">
        <v>7.05</v>
      </c>
      <c r="Q1322" s="307">
        <v>7.05</v>
      </c>
      <c r="R1322" s="307">
        <v>7.05</v>
      </c>
      <c r="S1322" s="307">
        <v>7.05</v>
      </c>
      <c r="T1322" s="307">
        <v>7.05</v>
      </c>
      <c r="U1322" s="307">
        <v>7.05</v>
      </c>
      <c r="V1322" s="307">
        <v>7.05</v>
      </c>
      <c r="W1322" s="293">
        <v>6.05</v>
      </c>
      <c r="X1322" s="93"/>
      <c r="Y1322" s="93"/>
      <c r="Z1322" s="93"/>
      <c r="AA1322" s="93"/>
      <c r="AB1322" s="93"/>
      <c r="AC1322" s="93"/>
      <c r="AD1322" s="93"/>
      <c r="AE1322" s="93"/>
      <c r="AF1322" s="93"/>
    </row>
    <row r="1323" spans="1:34">
      <c r="A1323" s="699"/>
      <c r="B1323" s="93"/>
      <c r="C1323" s="93"/>
      <c r="D1323" s="93"/>
      <c r="E1323" s="93"/>
      <c r="F1323" s="93"/>
      <c r="G1323" s="93"/>
      <c r="H1323" s="93"/>
      <c r="I1323" s="297">
        <v>6.05</v>
      </c>
      <c r="J1323" s="307">
        <v>7.05</v>
      </c>
      <c r="K1323" s="307">
        <v>7.05</v>
      </c>
      <c r="L1323" s="307">
        <v>7.05</v>
      </c>
      <c r="M1323" s="307">
        <v>7.05</v>
      </c>
      <c r="N1323" s="307">
        <v>7.05</v>
      </c>
      <c r="O1323" s="299">
        <v>7.05</v>
      </c>
      <c r="P1323" s="302">
        <v>7.05</v>
      </c>
      <c r="Q1323" s="299">
        <v>7.05</v>
      </c>
      <c r="R1323" s="307">
        <v>7.05</v>
      </c>
      <c r="S1323" s="307">
        <v>7.05</v>
      </c>
      <c r="T1323" s="307">
        <v>7.05</v>
      </c>
      <c r="U1323" s="307">
        <v>7.05</v>
      </c>
      <c r="V1323" s="307">
        <v>7.05</v>
      </c>
      <c r="W1323" s="293">
        <v>6.05</v>
      </c>
      <c r="X1323" s="93"/>
      <c r="Y1323" s="93"/>
      <c r="Z1323" s="93"/>
      <c r="AA1323" s="93"/>
      <c r="AB1323" s="93"/>
      <c r="AC1323" s="93"/>
      <c r="AD1323" s="93"/>
      <c r="AE1323" s="93"/>
      <c r="AF1323" s="93"/>
    </row>
    <row r="1324" spans="1:34">
      <c r="A1324" s="699"/>
      <c r="B1324" s="93"/>
      <c r="C1324" s="93"/>
      <c r="D1324" s="93"/>
      <c r="E1324" s="93"/>
      <c r="F1324" s="93"/>
      <c r="G1324" s="93"/>
      <c r="H1324" s="93"/>
      <c r="I1324" s="297">
        <v>6.05</v>
      </c>
      <c r="J1324" s="307">
        <v>7.05</v>
      </c>
      <c r="K1324" s="307">
        <v>7.05</v>
      </c>
      <c r="L1324" s="307">
        <v>7.05</v>
      </c>
      <c r="M1324" s="307">
        <v>7.05</v>
      </c>
      <c r="N1324" s="295">
        <v>7.05</v>
      </c>
      <c r="O1324" s="302">
        <v>7.05</v>
      </c>
      <c r="P1324" s="295">
        <v>7.05</v>
      </c>
      <c r="Q1324" s="302">
        <v>7.05</v>
      </c>
      <c r="R1324" s="295">
        <v>7.05</v>
      </c>
      <c r="S1324" s="307">
        <v>7.05</v>
      </c>
      <c r="T1324" s="307">
        <v>7.05</v>
      </c>
      <c r="U1324" s="307">
        <v>7.05</v>
      </c>
      <c r="V1324" s="307">
        <v>7.05</v>
      </c>
      <c r="W1324" s="293">
        <v>6.05</v>
      </c>
      <c r="X1324" s="93"/>
      <c r="Y1324" s="93"/>
      <c r="Z1324" s="93"/>
      <c r="AA1324" s="93"/>
      <c r="AB1324" s="93"/>
      <c r="AC1324" s="93"/>
      <c r="AD1324" s="93"/>
      <c r="AE1324" s="93"/>
      <c r="AF1324" s="93"/>
    </row>
    <row r="1325" spans="1:34">
      <c r="A1325" s="699"/>
      <c r="B1325" s="93"/>
      <c r="C1325" s="93"/>
      <c r="D1325" s="93"/>
      <c r="E1325" s="93"/>
      <c r="F1325" s="93"/>
      <c r="G1325" s="93"/>
      <c r="H1325" s="93"/>
      <c r="I1325" s="297">
        <v>6.05</v>
      </c>
      <c r="J1325" s="307">
        <v>7.05</v>
      </c>
      <c r="K1325" s="307">
        <v>7.05</v>
      </c>
      <c r="L1325" s="307">
        <v>7.05</v>
      </c>
      <c r="M1325" s="299">
        <v>7.05</v>
      </c>
      <c r="N1325" s="302">
        <v>7.05</v>
      </c>
      <c r="O1325" s="299">
        <v>7.05</v>
      </c>
      <c r="P1325" s="302">
        <v>7.05</v>
      </c>
      <c r="Q1325" s="299">
        <v>7.05</v>
      </c>
      <c r="R1325" s="302">
        <v>7.05</v>
      </c>
      <c r="S1325" s="299">
        <v>7.05</v>
      </c>
      <c r="T1325" s="307">
        <v>7.05</v>
      </c>
      <c r="U1325" s="307">
        <v>7.05</v>
      </c>
      <c r="V1325" s="307">
        <v>7.05</v>
      </c>
      <c r="W1325" s="293">
        <v>6.05</v>
      </c>
      <c r="X1325" s="93"/>
      <c r="Y1325" s="93"/>
      <c r="Z1325" s="93"/>
      <c r="AA1325" s="93"/>
      <c r="AB1325" s="93"/>
      <c r="AC1325" s="93"/>
      <c r="AD1325" s="93"/>
      <c r="AE1325" s="93"/>
      <c r="AF1325" s="93"/>
    </row>
    <row r="1326" spans="1:34">
      <c r="A1326" s="699"/>
      <c r="B1326" s="93"/>
      <c r="C1326" s="93"/>
      <c r="D1326" s="93"/>
      <c r="E1326" s="93"/>
      <c r="F1326" s="93"/>
      <c r="G1326" s="93"/>
      <c r="H1326" s="93"/>
      <c r="I1326" s="297">
        <v>6.05</v>
      </c>
      <c r="J1326" s="307">
        <v>7.05</v>
      </c>
      <c r="K1326" s="307">
        <v>7.05</v>
      </c>
      <c r="L1326" s="295">
        <v>7.05</v>
      </c>
      <c r="M1326" s="302">
        <v>7.05</v>
      </c>
      <c r="N1326" s="295">
        <v>7.05</v>
      </c>
      <c r="O1326" s="302">
        <v>7.05</v>
      </c>
      <c r="P1326" s="295">
        <v>7.05</v>
      </c>
      <c r="Q1326" s="302">
        <v>7.05</v>
      </c>
      <c r="R1326" s="295">
        <v>7.05</v>
      </c>
      <c r="S1326" s="302">
        <v>7.05</v>
      </c>
      <c r="T1326" s="295">
        <v>7.05</v>
      </c>
      <c r="U1326" s="307">
        <v>7.05</v>
      </c>
      <c r="V1326" s="307">
        <v>7.05</v>
      </c>
      <c r="W1326" s="293">
        <v>6.05</v>
      </c>
      <c r="X1326" s="93"/>
      <c r="Y1326" s="93"/>
      <c r="Z1326" s="93"/>
      <c r="AA1326" s="93"/>
      <c r="AB1326" s="93"/>
      <c r="AC1326" s="93"/>
      <c r="AD1326" s="93"/>
      <c r="AE1326" s="93"/>
      <c r="AF1326" s="93"/>
    </row>
    <row r="1327" spans="1:34">
      <c r="AH1327">
        <v>1325</v>
      </c>
    </row>
    <row r="1328" spans="1:34">
      <c r="AH1328">
        <v>1324</v>
      </c>
    </row>
    <row r="1329" spans="1:34">
      <c r="AH1329">
        <v>1323</v>
      </c>
    </row>
    <row r="1330" spans="1:34">
      <c r="AH1330">
        <v>1322</v>
      </c>
    </row>
    <row r="1331" spans="1:34">
      <c r="AH1331">
        <v>1316</v>
      </c>
    </row>
    <row r="1332" spans="1:34">
      <c r="AH1332">
        <v>1316</v>
      </c>
    </row>
    <row r="1333" spans="1:34">
      <c r="AH1333">
        <v>1316</v>
      </c>
    </row>
    <row r="1334" spans="1:34">
      <c r="A1334" s="699"/>
      <c r="B1334" s="93"/>
      <c r="C1334" s="93"/>
      <c r="D1334" s="93"/>
      <c r="E1334" s="93"/>
      <c r="F1334" s="93"/>
      <c r="G1334" s="93"/>
      <c r="H1334" s="93"/>
      <c r="I1334" s="297">
        <v>6.05</v>
      </c>
      <c r="J1334" s="189">
        <v>8.0500000000000007</v>
      </c>
      <c r="K1334" s="189">
        <v>8.0500000000000007</v>
      </c>
      <c r="L1334" s="189">
        <v>8.0500000000000007</v>
      </c>
      <c r="M1334" s="189">
        <v>8.0500000000000007</v>
      </c>
      <c r="N1334" s="189">
        <v>8.0500000000000007</v>
      </c>
      <c r="O1334" s="189">
        <v>8.0500000000000007</v>
      </c>
      <c r="P1334" s="189">
        <v>8.0500000000000007</v>
      </c>
      <c r="Q1334" s="189">
        <v>8.0500000000000007</v>
      </c>
      <c r="R1334" s="189">
        <v>8.0500000000000007</v>
      </c>
      <c r="S1334" s="189">
        <v>8.0500000000000007</v>
      </c>
      <c r="T1334" s="189">
        <v>8.0500000000000007</v>
      </c>
      <c r="U1334" s="189">
        <v>8.0500000000000007</v>
      </c>
      <c r="V1334" s="189">
        <v>8.0500000000000007</v>
      </c>
      <c r="W1334" s="293">
        <v>6.05</v>
      </c>
      <c r="X1334" s="93"/>
      <c r="Y1334" s="93"/>
      <c r="Z1334" s="93"/>
      <c r="AA1334" s="93"/>
      <c r="AB1334" s="93"/>
      <c r="AC1334" s="93"/>
      <c r="AD1334" s="93"/>
      <c r="AE1334" s="93"/>
      <c r="AF1334" s="93"/>
    </row>
    <row r="1335" spans="1:34">
      <c r="A1335" s="699"/>
      <c r="B1335" s="93"/>
      <c r="C1335" s="93"/>
      <c r="D1335" s="93"/>
      <c r="E1335" s="93"/>
      <c r="F1335" s="93"/>
      <c r="G1335" s="93"/>
      <c r="H1335" s="93"/>
      <c r="I1335" s="297">
        <v>6.05</v>
      </c>
      <c r="J1335" s="189">
        <v>8.0500000000000007</v>
      </c>
      <c r="K1335" s="189">
        <v>9.0500000000000007</v>
      </c>
      <c r="L1335" s="189">
        <v>9.0500000000000007</v>
      </c>
      <c r="M1335" s="189">
        <v>9.0500000000000007</v>
      </c>
      <c r="N1335" s="189">
        <v>9.0500000000000007</v>
      </c>
      <c r="O1335" s="189">
        <v>9.0500000000000007</v>
      </c>
      <c r="P1335" s="189">
        <v>9.0500000000000007</v>
      </c>
      <c r="Q1335" s="189">
        <v>9.0500000000000007</v>
      </c>
      <c r="R1335" s="189">
        <v>9.0500000000000007</v>
      </c>
      <c r="S1335" s="189">
        <v>9.0500000000000007</v>
      </c>
      <c r="T1335" s="189">
        <v>9.0500000000000007</v>
      </c>
      <c r="U1335" s="189">
        <v>9.0500000000000007</v>
      </c>
      <c r="V1335" s="189">
        <v>8.0500000000000007</v>
      </c>
      <c r="W1335" s="293">
        <v>6.05</v>
      </c>
      <c r="X1335" s="93"/>
      <c r="Y1335" s="93"/>
      <c r="Z1335" s="93"/>
      <c r="AA1335" s="93"/>
      <c r="AB1335" s="93"/>
      <c r="AC1335" s="93"/>
      <c r="AD1335" s="93"/>
      <c r="AE1335" s="93"/>
      <c r="AF1335" s="93"/>
    </row>
    <row r="1336" spans="1:34">
      <c r="A1336" s="699"/>
      <c r="B1336" s="93"/>
      <c r="C1336" s="93"/>
      <c r="D1336" s="93"/>
      <c r="E1336" s="93"/>
      <c r="F1336" s="93"/>
      <c r="G1336" s="93"/>
      <c r="H1336" s="93"/>
      <c r="I1336" s="297">
        <v>6.05</v>
      </c>
      <c r="J1336" s="189">
        <v>8.0500000000000007</v>
      </c>
      <c r="K1336" s="307">
        <v>9.0500000000000007</v>
      </c>
      <c r="L1336" s="189">
        <v>9.0500000000000007</v>
      </c>
      <c r="M1336" s="189">
        <v>9.0500000000000007</v>
      </c>
      <c r="N1336" s="189">
        <v>9.0500000000000007</v>
      </c>
      <c r="O1336" s="189">
        <v>9.0500000000000007</v>
      </c>
      <c r="P1336" s="189">
        <v>9.0500000000000007</v>
      </c>
      <c r="Q1336" s="189">
        <v>9.0500000000000007</v>
      </c>
      <c r="R1336" s="189">
        <v>9.0500000000000007</v>
      </c>
      <c r="S1336" s="189">
        <v>9.0500000000000007</v>
      </c>
      <c r="T1336" s="189">
        <v>9.0500000000000007</v>
      </c>
      <c r="U1336" s="189">
        <v>9.0500000000000007</v>
      </c>
      <c r="V1336" s="189">
        <v>8.0500000000000007</v>
      </c>
      <c r="W1336" s="293">
        <v>6.05</v>
      </c>
      <c r="X1336" s="93"/>
      <c r="Y1336" s="300">
        <v>10.01</v>
      </c>
      <c r="Z1336" s="300">
        <v>5.0199999999999996</v>
      </c>
      <c r="AA1336" s="300">
        <v>5.0199999999999996</v>
      </c>
      <c r="AB1336" s="300">
        <v>5.0199999999999996</v>
      </c>
      <c r="AC1336" s="300">
        <v>5.0199999999999996</v>
      </c>
      <c r="AD1336" s="300">
        <v>5.0199999999999996</v>
      </c>
      <c r="AE1336" s="300">
        <v>5.0199999999999996</v>
      </c>
      <c r="AF1336" s="300">
        <v>10.01</v>
      </c>
    </row>
    <row r="1337" spans="1:34">
      <c r="A1337" s="699"/>
      <c r="B1337" s="93"/>
      <c r="C1337" s="93"/>
      <c r="D1337" s="93"/>
      <c r="E1337" s="93"/>
      <c r="F1337" s="93"/>
      <c r="G1337" s="93"/>
      <c r="H1337" s="93"/>
      <c r="I1337" s="297">
        <v>6.05</v>
      </c>
      <c r="J1337" s="189">
        <v>8.0500000000000007</v>
      </c>
      <c r="K1337" s="307">
        <v>9.0500000000000007</v>
      </c>
      <c r="L1337" s="189">
        <v>9.0500000000000007</v>
      </c>
      <c r="M1337" s="189">
        <v>9.0500000000000007</v>
      </c>
      <c r="N1337" s="189">
        <v>9.0500000000000007</v>
      </c>
      <c r="O1337" s="189">
        <v>9.0500000000000007</v>
      </c>
      <c r="P1337" s="189">
        <v>9.0500000000000007</v>
      </c>
      <c r="Q1337" s="189">
        <v>9.0500000000000007</v>
      </c>
      <c r="R1337" s="189">
        <v>9.0500000000000007</v>
      </c>
      <c r="S1337" s="189">
        <v>9.0500000000000007</v>
      </c>
      <c r="T1337" s="189">
        <v>9.0500000000000007</v>
      </c>
      <c r="U1337" s="189">
        <v>9.0500000000000007</v>
      </c>
      <c r="V1337" s="189">
        <v>8.0500000000000007</v>
      </c>
      <c r="W1337" s="293">
        <v>6.05</v>
      </c>
      <c r="X1337" s="93"/>
      <c r="Y1337" s="303">
        <v>11.02</v>
      </c>
      <c r="Z1337" s="300">
        <v>12.09</v>
      </c>
      <c r="AA1337" s="300">
        <v>12.09</v>
      </c>
      <c r="AB1337" s="300">
        <v>12.09</v>
      </c>
      <c r="AC1337" s="300">
        <v>12.09</v>
      </c>
      <c r="AD1337" s="300">
        <v>12.09</v>
      </c>
      <c r="AE1337" s="300">
        <v>12.09</v>
      </c>
      <c r="AF1337" s="296">
        <v>11.02</v>
      </c>
    </row>
    <row r="1338" spans="1:34">
      <c r="A1338" s="699"/>
      <c r="B1338" s="93"/>
      <c r="C1338" s="93"/>
      <c r="D1338" s="93"/>
      <c r="E1338" s="93"/>
      <c r="F1338" s="93"/>
      <c r="G1338" s="93"/>
      <c r="H1338" s="93"/>
      <c r="I1338" s="297">
        <v>6.05</v>
      </c>
      <c r="J1338" s="189">
        <v>8.0500000000000007</v>
      </c>
      <c r="K1338" s="307">
        <v>9.0500000000000007</v>
      </c>
      <c r="L1338" s="189">
        <v>9.0500000000000007</v>
      </c>
      <c r="M1338" s="189">
        <v>9.0500000000000007</v>
      </c>
      <c r="N1338" s="189">
        <v>9.0500000000000007</v>
      </c>
      <c r="O1338" s="189">
        <v>9.0500000000000007</v>
      </c>
      <c r="P1338" s="189">
        <v>9.0500000000000007</v>
      </c>
      <c r="Q1338" s="189">
        <v>9.0500000000000007</v>
      </c>
      <c r="R1338" s="189">
        <v>9.0500000000000007</v>
      </c>
      <c r="S1338" s="189">
        <v>9.0500000000000007</v>
      </c>
      <c r="T1338" s="189">
        <v>9.0500000000000007</v>
      </c>
      <c r="U1338" s="189">
        <v>9.0500000000000007</v>
      </c>
      <c r="V1338" s="189">
        <v>8.0500000000000007</v>
      </c>
      <c r="W1338" s="293">
        <v>6.05</v>
      </c>
      <c r="X1338" s="93"/>
      <c r="Y1338" s="303">
        <v>12.02</v>
      </c>
      <c r="Z1338" s="156">
        <v>12.02</v>
      </c>
      <c r="AA1338" s="156">
        <v>12.02</v>
      </c>
      <c r="AB1338" s="156">
        <v>12.02</v>
      </c>
      <c r="AC1338" s="156">
        <v>12.02</v>
      </c>
      <c r="AD1338" s="156">
        <v>12.02</v>
      </c>
      <c r="AE1338" s="156">
        <v>12.02</v>
      </c>
      <c r="AF1338" s="296">
        <v>12.02</v>
      </c>
    </row>
    <row r="1339" spans="1:34">
      <c r="A1339" s="699"/>
      <c r="B1339" s="93"/>
      <c r="C1339" s="93"/>
      <c r="D1339" s="159">
        <v>22.19</v>
      </c>
      <c r="E1339" s="93"/>
      <c r="F1339" s="93"/>
      <c r="G1339" s="93"/>
      <c r="H1339" s="93"/>
      <c r="I1339" s="297">
        <v>6.05</v>
      </c>
      <c r="J1339" s="189">
        <v>8.0500000000000007</v>
      </c>
      <c r="K1339" s="307">
        <v>9.0500000000000007</v>
      </c>
      <c r="L1339" s="189">
        <v>9.0500000000000007</v>
      </c>
      <c r="M1339" s="189">
        <v>9.0500000000000007</v>
      </c>
      <c r="N1339" s="189">
        <v>9.0500000000000007</v>
      </c>
      <c r="O1339" s="189">
        <v>9.0500000000000007</v>
      </c>
      <c r="P1339" s="189">
        <v>9.0500000000000007</v>
      </c>
      <c r="Q1339" s="189">
        <v>9.0500000000000007</v>
      </c>
      <c r="R1339" s="189">
        <v>9.0500000000000007</v>
      </c>
      <c r="S1339" s="189">
        <v>9.0500000000000007</v>
      </c>
      <c r="T1339" s="189">
        <v>9.0500000000000007</v>
      </c>
      <c r="U1339" s="189">
        <v>9.0500000000000007</v>
      </c>
      <c r="V1339" s="189">
        <v>8.0500000000000007</v>
      </c>
      <c r="W1339" s="293">
        <v>6.05</v>
      </c>
      <c r="X1339" s="93"/>
      <c r="Y1339" s="303">
        <v>13.02</v>
      </c>
      <c r="Z1339" s="156">
        <v>13.1</v>
      </c>
      <c r="AA1339" s="156">
        <v>13.1</v>
      </c>
      <c r="AB1339" s="156">
        <v>13.1</v>
      </c>
      <c r="AC1339" s="156">
        <v>13.1</v>
      </c>
      <c r="AD1339" s="156">
        <v>13.1</v>
      </c>
      <c r="AE1339" s="156">
        <v>13.1</v>
      </c>
      <c r="AF1339" s="296">
        <v>13.02</v>
      </c>
    </row>
    <row r="1340" spans="1:34">
      <c r="A1340" s="699"/>
      <c r="B1340" s="293">
        <v>1.01</v>
      </c>
      <c r="C1340" s="167">
        <v>22.19</v>
      </c>
      <c r="D1340" s="307">
        <v>24.08</v>
      </c>
      <c r="E1340" s="159">
        <v>22.19</v>
      </c>
      <c r="F1340" s="293">
        <v>1.01</v>
      </c>
      <c r="G1340" s="93"/>
      <c r="H1340" s="93"/>
      <c r="I1340" s="297">
        <v>6.05</v>
      </c>
      <c r="J1340" s="189">
        <v>8.0500000000000007</v>
      </c>
      <c r="K1340" s="307">
        <v>9.0500000000000007</v>
      </c>
      <c r="L1340" s="189">
        <v>9.0500000000000007</v>
      </c>
      <c r="M1340" s="189">
        <v>9.0500000000000007</v>
      </c>
      <c r="N1340" s="189">
        <v>9.0500000000000007</v>
      </c>
      <c r="O1340" s="189">
        <v>9.0500000000000007</v>
      </c>
      <c r="P1340" s="189">
        <v>9.0500000000000007</v>
      </c>
      <c r="Q1340" s="189">
        <v>9.0500000000000007</v>
      </c>
      <c r="R1340" s="189">
        <v>9.0500000000000007</v>
      </c>
      <c r="S1340" s="189">
        <v>9.0500000000000007</v>
      </c>
      <c r="T1340" s="189">
        <v>9.0500000000000007</v>
      </c>
      <c r="U1340" s="189">
        <v>9.0500000000000007</v>
      </c>
      <c r="V1340" s="189">
        <v>8.0500000000000007</v>
      </c>
      <c r="W1340" s="293">
        <v>6.05</v>
      </c>
      <c r="X1340" s="93"/>
      <c r="Y1340" s="303">
        <v>14.02</v>
      </c>
      <c r="Z1340" s="157">
        <v>14.11</v>
      </c>
      <c r="AA1340" s="157">
        <v>14.11</v>
      </c>
      <c r="AB1340" s="157">
        <v>14.11</v>
      </c>
      <c r="AC1340" s="157">
        <v>14.11</v>
      </c>
      <c r="AD1340" s="157">
        <v>14.11</v>
      </c>
      <c r="AE1340" s="157">
        <v>14.11</v>
      </c>
      <c r="AF1340" s="296">
        <v>14.02</v>
      </c>
    </row>
    <row r="1341" spans="1:34">
      <c r="A1341" s="699"/>
      <c r="B1341" s="93"/>
      <c r="C1341" s="293">
        <v>2.0099999999999998</v>
      </c>
      <c r="D1341" s="167">
        <v>22.19</v>
      </c>
      <c r="E1341" s="293">
        <v>2.0099999999999998</v>
      </c>
      <c r="F1341" s="93"/>
      <c r="G1341" s="93"/>
      <c r="H1341" s="93"/>
      <c r="I1341" s="297">
        <v>6.05</v>
      </c>
      <c r="J1341" s="189">
        <v>8.0500000000000007</v>
      </c>
      <c r="K1341" s="307">
        <v>9.0500000000000007</v>
      </c>
      <c r="L1341" s="307">
        <v>9.0500000000000007</v>
      </c>
      <c r="M1341" s="307">
        <v>9.0500000000000007</v>
      </c>
      <c r="N1341" s="307">
        <v>9.0500000000000007</v>
      </c>
      <c r="O1341" s="307">
        <v>9.0500000000000007</v>
      </c>
      <c r="P1341" s="307">
        <v>9.0500000000000007</v>
      </c>
      <c r="Q1341" s="307">
        <v>9.0500000000000007</v>
      </c>
      <c r="R1341" s="307">
        <v>9.0500000000000007</v>
      </c>
      <c r="S1341" s="307">
        <v>9.0500000000000007</v>
      </c>
      <c r="T1341" s="307">
        <v>9.0500000000000007</v>
      </c>
      <c r="U1341" s="189">
        <v>9.0500000000000007</v>
      </c>
      <c r="V1341" s="189">
        <v>8.0500000000000007</v>
      </c>
      <c r="W1341" s="293">
        <v>6.05</v>
      </c>
      <c r="X1341" s="93"/>
      <c r="Y1341" s="303">
        <v>15.02</v>
      </c>
      <c r="Z1341" s="156">
        <v>15.12</v>
      </c>
      <c r="AA1341" s="156">
        <v>15.12</v>
      </c>
      <c r="AB1341" s="156">
        <v>15.12</v>
      </c>
      <c r="AC1341" s="156">
        <v>15.12</v>
      </c>
      <c r="AD1341" s="156">
        <v>15.12</v>
      </c>
      <c r="AE1341" s="156">
        <v>15.12</v>
      </c>
      <c r="AF1341" s="296">
        <v>15.02</v>
      </c>
    </row>
    <row r="1342" spans="1:34">
      <c r="A1342" s="699"/>
      <c r="B1342" s="93"/>
      <c r="C1342" s="93"/>
      <c r="D1342" s="293">
        <v>24.02</v>
      </c>
      <c r="E1342" s="93"/>
      <c r="F1342" s="93"/>
      <c r="G1342" s="93"/>
      <c r="H1342" s="93"/>
      <c r="I1342" s="297">
        <v>6.01</v>
      </c>
      <c r="J1342" s="189">
        <v>8.0500000000000007</v>
      </c>
      <c r="K1342" s="189">
        <v>8.0500000000000007</v>
      </c>
      <c r="L1342" s="189">
        <v>8.0500000000000007</v>
      </c>
      <c r="M1342" s="189">
        <v>8.0500000000000007</v>
      </c>
      <c r="N1342" s="189">
        <v>8.0500000000000007</v>
      </c>
      <c r="O1342" s="189">
        <v>8.0500000000000007</v>
      </c>
      <c r="P1342" s="189">
        <v>8.0500000000000007</v>
      </c>
      <c r="Q1342" s="189">
        <v>8.0500000000000007</v>
      </c>
      <c r="R1342" s="189">
        <v>8.0500000000000007</v>
      </c>
      <c r="S1342" s="189">
        <v>8.0500000000000007</v>
      </c>
      <c r="T1342" s="189">
        <v>8.0500000000000007</v>
      </c>
      <c r="U1342" s="189">
        <v>8.0500000000000007</v>
      </c>
      <c r="V1342" s="189">
        <v>8.0500000000000007</v>
      </c>
      <c r="W1342" s="293">
        <v>6.01</v>
      </c>
      <c r="X1342" s="93"/>
      <c r="Y1342" s="303">
        <v>16.02</v>
      </c>
      <c r="Z1342" s="316">
        <v>16.13</v>
      </c>
      <c r="AA1342" s="316">
        <v>16.13</v>
      </c>
      <c r="AB1342" s="156">
        <v>16.13</v>
      </c>
      <c r="AC1342" s="156">
        <v>16.13</v>
      </c>
      <c r="AD1342" s="156">
        <v>16.13</v>
      </c>
      <c r="AE1342" s="156">
        <v>16.13</v>
      </c>
      <c r="AF1342" s="296">
        <v>16.02</v>
      </c>
    </row>
    <row r="1343" spans="1:34">
      <c r="A1343" s="699"/>
      <c r="B1343" s="93"/>
      <c r="C1343" s="93"/>
      <c r="D1343" s="293">
        <v>2.0099999999999998</v>
      </c>
      <c r="E1343" s="93"/>
      <c r="F1343" s="93"/>
      <c r="G1343" s="93"/>
      <c r="H1343" s="93"/>
      <c r="I1343" s="297">
        <v>6.01</v>
      </c>
      <c r="J1343" s="293">
        <v>6.01</v>
      </c>
      <c r="K1343" s="301">
        <v>6.05</v>
      </c>
      <c r="L1343" s="294">
        <v>6.05</v>
      </c>
      <c r="M1343" s="301">
        <v>6.05</v>
      </c>
      <c r="N1343" s="294">
        <v>6.05</v>
      </c>
      <c r="O1343" s="301">
        <v>6.05</v>
      </c>
      <c r="P1343" s="294">
        <v>6.05</v>
      </c>
      <c r="Q1343" s="301">
        <v>6.05</v>
      </c>
      <c r="R1343" s="294">
        <v>6.05</v>
      </c>
      <c r="S1343" s="301">
        <v>6.05</v>
      </c>
      <c r="T1343" s="294">
        <v>6.05</v>
      </c>
      <c r="U1343" s="301">
        <v>6.05</v>
      </c>
      <c r="V1343" s="293">
        <v>6.01</v>
      </c>
      <c r="W1343" s="293">
        <v>6.01</v>
      </c>
      <c r="X1343" s="93"/>
      <c r="Y1343" s="303">
        <v>17.02</v>
      </c>
      <c r="Z1343" s="300">
        <v>17.14</v>
      </c>
      <c r="AA1343" s="297">
        <v>18.14</v>
      </c>
      <c r="AB1343" s="300">
        <v>17.14</v>
      </c>
      <c r="AC1343" s="297">
        <v>18.14</v>
      </c>
      <c r="AD1343" s="300">
        <v>17.14</v>
      </c>
      <c r="AE1343" s="297">
        <v>18.14</v>
      </c>
      <c r="AF1343" s="296">
        <v>17.02</v>
      </c>
    </row>
    <row r="1344" spans="1:34">
      <c r="A1344" s="699"/>
      <c r="B1344" s="93"/>
      <c r="C1344" s="93"/>
      <c r="D1344" s="293">
        <v>1.01</v>
      </c>
      <c r="E1344" s="93"/>
      <c r="F1344" s="93"/>
      <c r="G1344" s="93"/>
      <c r="H1344" s="93"/>
      <c r="I1344" s="201">
        <v>12.04</v>
      </c>
      <c r="J1344" s="201">
        <v>13.04</v>
      </c>
      <c r="K1344" s="201">
        <v>14.04</v>
      </c>
      <c r="L1344" s="201">
        <v>14.04</v>
      </c>
      <c r="M1344" s="201">
        <v>14.04</v>
      </c>
      <c r="N1344" s="201">
        <v>14.04</v>
      </c>
      <c r="O1344" s="201">
        <v>14.04</v>
      </c>
      <c r="P1344" s="201">
        <v>14.04</v>
      </c>
      <c r="Q1344" s="201">
        <v>14.04</v>
      </c>
      <c r="R1344" s="201">
        <v>14.04</v>
      </c>
      <c r="S1344" s="201">
        <v>14.04</v>
      </c>
      <c r="T1344" s="201">
        <v>14.04</v>
      </c>
      <c r="U1344" s="201">
        <v>14.04</v>
      </c>
      <c r="V1344" s="201">
        <v>13.04</v>
      </c>
      <c r="W1344" s="201">
        <v>12.04</v>
      </c>
      <c r="X1344" s="93"/>
      <c r="Y1344" s="303">
        <v>17.02</v>
      </c>
      <c r="Z1344" s="300">
        <v>17.02</v>
      </c>
      <c r="AA1344" s="300">
        <v>17.02</v>
      </c>
      <c r="AB1344" s="300">
        <v>17.02</v>
      </c>
      <c r="AC1344" s="300">
        <v>17.02</v>
      </c>
      <c r="AD1344" s="300">
        <v>17.02</v>
      </c>
      <c r="AE1344" s="300">
        <v>17.02</v>
      </c>
      <c r="AF1344" s="296">
        <v>17.02</v>
      </c>
    </row>
    <row r="1345" spans="1:34">
      <c r="A1345" s="753"/>
      <c r="B1345" s="711"/>
      <c r="C1345" s="711"/>
      <c r="D1345" s="1263">
        <v>8.08</v>
      </c>
      <c r="E1345" s="1263">
        <v>8.08</v>
      </c>
      <c r="F1345" s="1263">
        <v>8.08</v>
      </c>
      <c r="G1345" s="1263">
        <v>8.08</v>
      </c>
      <c r="H1345" s="1263">
        <v>8.08</v>
      </c>
      <c r="I1345" s="1263">
        <v>8.08</v>
      </c>
      <c r="J1345" s="1263">
        <v>8.08</v>
      </c>
      <c r="K1345" s="1263">
        <v>8.08</v>
      </c>
      <c r="L1345" s="1263">
        <v>8.08</v>
      </c>
      <c r="M1345" s="1263">
        <v>8.08</v>
      </c>
      <c r="N1345" s="1263">
        <v>8.08</v>
      </c>
      <c r="O1345" s="1263">
        <v>8.08</v>
      </c>
      <c r="P1345" s="1263">
        <v>8.08</v>
      </c>
      <c r="Q1345" s="1263">
        <v>8.08</v>
      </c>
      <c r="R1345" s="1263">
        <v>8.08</v>
      </c>
      <c r="S1345" s="1263">
        <v>8.08</v>
      </c>
      <c r="T1345" s="1263">
        <v>8.08</v>
      </c>
      <c r="U1345" s="1263">
        <v>8.08</v>
      </c>
      <c r="V1345" s="1263">
        <v>8.08</v>
      </c>
      <c r="W1345" s="1263">
        <v>8.08</v>
      </c>
      <c r="X1345" s="1263">
        <v>8.08</v>
      </c>
      <c r="Y1345" s="1263">
        <v>8.08</v>
      </c>
      <c r="Z1345" s="1263">
        <v>8.08</v>
      </c>
      <c r="AA1345" s="1263">
        <v>8.08</v>
      </c>
      <c r="AB1345" s="1263">
        <v>8.08</v>
      </c>
      <c r="AC1345" s="1263">
        <v>8.08</v>
      </c>
      <c r="AD1345" s="711"/>
      <c r="AE1345" s="711"/>
      <c r="AF1345" s="530"/>
      <c r="AG1345">
        <v>43</v>
      </c>
    </row>
    <row r="1346" spans="1:34">
      <c r="A1346" s="699"/>
      <c r="B1346" s="93"/>
      <c r="C1346" s="189">
        <v>8.08</v>
      </c>
      <c r="D1346" s="189">
        <v>8.02</v>
      </c>
      <c r="E1346" s="307">
        <v>8.02</v>
      </c>
      <c r="F1346" s="307">
        <v>8.02</v>
      </c>
      <c r="G1346" s="307">
        <v>8.02</v>
      </c>
      <c r="H1346" s="307">
        <v>8.02</v>
      </c>
      <c r="I1346" s="307">
        <v>8.02</v>
      </c>
      <c r="J1346" s="307">
        <v>8.02</v>
      </c>
      <c r="K1346" s="307">
        <v>8.02</v>
      </c>
      <c r="L1346" s="307">
        <v>8.02</v>
      </c>
      <c r="M1346" s="307">
        <v>8.02</v>
      </c>
      <c r="N1346" s="307">
        <v>8.02</v>
      </c>
      <c r="O1346" s="307">
        <v>8.02</v>
      </c>
      <c r="P1346" s="307">
        <v>8.02</v>
      </c>
      <c r="Q1346" s="307">
        <v>8.02</v>
      </c>
      <c r="R1346" s="307">
        <v>8.02</v>
      </c>
      <c r="S1346" s="307">
        <v>8.02</v>
      </c>
      <c r="T1346" s="307">
        <v>8.02</v>
      </c>
      <c r="U1346" s="307">
        <v>8.02</v>
      </c>
      <c r="V1346" s="307">
        <v>8.02</v>
      </c>
      <c r="W1346" s="307">
        <v>8.02</v>
      </c>
      <c r="X1346" s="307">
        <v>8.02</v>
      </c>
      <c r="Y1346" s="307">
        <v>8.02</v>
      </c>
      <c r="Z1346" s="307">
        <v>8.02</v>
      </c>
      <c r="AA1346" s="307">
        <v>8.02</v>
      </c>
      <c r="AB1346" s="307">
        <v>8.02</v>
      </c>
      <c r="AC1346" s="189">
        <v>8.02</v>
      </c>
      <c r="AD1346" s="189">
        <v>8.08</v>
      </c>
      <c r="AE1346" s="93"/>
      <c r="AF1346" s="79"/>
    </row>
    <row r="1347" spans="1:34">
      <c r="A1347" s="699"/>
      <c r="B1347" s="189">
        <v>8.08</v>
      </c>
      <c r="C1347" s="189">
        <v>8.02</v>
      </c>
      <c r="D1347" s="307">
        <v>8.01</v>
      </c>
      <c r="E1347" s="307">
        <v>8.01</v>
      </c>
      <c r="F1347" s="307">
        <v>8.07</v>
      </c>
      <c r="G1347" s="307">
        <v>8.07</v>
      </c>
      <c r="H1347" s="307">
        <v>8.07</v>
      </c>
      <c r="I1347" s="307">
        <v>8.07</v>
      </c>
      <c r="J1347" s="307">
        <v>8.07</v>
      </c>
      <c r="K1347" s="307">
        <v>8.02</v>
      </c>
      <c r="L1347" s="307">
        <v>8.07</v>
      </c>
      <c r="M1347" s="307">
        <v>8.07</v>
      </c>
      <c r="N1347" s="307">
        <v>8.07</v>
      </c>
      <c r="O1347" s="307">
        <v>8.07</v>
      </c>
      <c r="P1347" s="307">
        <v>8.07</v>
      </c>
      <c r="Q1347" s="307">
        <v>8.07</v>
      </c>
      <c r="R1347" s="307">
        <v>8.07</v>
      </c>
      <c r="S1347" s="307">
        <v>8.07</v>
      </c>
      <c r="T1347" s="307">
        <v>8.07</v>
      </c>
      <c r="U1347" s="307">
        <v>8.07</v>
      </c>
      <c r="V1347" s="307">
        <v>8.02</v>
      </c>
      <c r="W1347" s="307">
        <v>8.07</v>
      </c>
      <c r="X1347" s="307">
        <v>8.07</v>
      </c>
      <c r="Y1347" s="307">
        <v>8.07</v>
      </c>
      <c r="Z1347" s="307">
        <v>8.07</v>
      </c>
      <c r="AA1347" s="307">
        <v>8.07</v>
      </c>
      <c r="AB1347" s="307">
        <v>8.01</v>
      </c>
      <c r="AC1347" s="307">
        <v>8.01</v>
      </c>
      <c r="AD1347" s="189">
        <v>8.02</v>
      </c>
      <c r="AE1347" s="189">
        <v>8.08</v>
      </c>
      <c r="AF1347" s="79"/>
    </row>
    <row r="1348" spans="1:34">
      <c r="A1348" s="531">
        <v>8.08</v>
      </c>
      <c r="B1348" s="189">
        <v>8.02</v>
      </c>
      <c r="C1348" s="307">
        <v>8.07</v>
      </c>
      <c r="D1348" s="307">
        <v>8.01</v>
      </c>
      <c r="E1348" s="307">
        <v>8.01</v>
      </c>
      <c r="F1348" s="307">
        <v>8.07</v>
      </c>
      <c r="G1348" s="307">
        <v>8.07</v>
      </c>
      <c r="H1348" s="307">
        <v>8.07</v>
      </c>
      <c r="I1348" s="307">
        <v>8.07</v>
      </c>
      <c r="J1348" s="307">
        <v>8.07</v>
      </c>
      <c r="K1348" s="307">
        <v>8.02</v>
      </c>
      <c r="L1348" s="307">
        <v>8.07</v>
      </c>
      <c r="M1348" s="307">
        <v>8.07</v>
      </c>
      <c r="N1348" s="307">
        <v>8.07</v>
      </c>
      <c r="O1348" s="307">
        <v>8.07</v>
      </c>
      <c r="P1348" s="307">
        <v>8.07</v>
      </c>
      <c r="Q1348" s="307">
        <v>8.07</v>
      </c>
      <c r="R1348" s="307">
        <v>8.07</v>
      </c>
      <c r="S1348" s="307">
        <v>8.07</v>
      </c>
      <c r="T1348" s="307">
        <v>8.07</v>
      </c>
      <c r="U1348" s="307">
        <v>8.07</v>
      </c>
      <c r="V1348" s="307">
        <v>8.02</v>
      </c>
      <c r="W1348" s="307">
        <v>8.07</v>
      </c>
      <c r="X1348" s="307">
        <v>8.07</v>
      </c>
      <c r="Y1348" s="307">
        <v>8.07</v>
      </c>
      <c r="Z1348" s="307">
        <v>8.07</v>
      </c>
      <c r="AA1348" s="307">
        <v>8.07</v>
      </c>
      <c r="AB1348" s="307">
        <v>8.01</v>
      </c>
      <c r="AC1348" s="307">
        <v>8.01</v>
      </c>
      <c r="AD1348" s="307">
        <v>8.07</v>
      </c>
      <c r="AE1348" s="189">
        <v>8.02</v>
      </c>
      <c r="AF1348" s="472">
        <v>8.08</v>
      </c>
    </row>
    <row r="1349" spans="1:34">
      <c r="A1349" s="531">
        <v>8.08</v>
      </c>
      <c r="B1349" s="189">
        <v>8.02</v>
      </c>
      <c r="C1349" s="307">
        <v>8.07</v>
      </c>
      <c r="D1349" s="307">
        <v>8.07</v>
      </c>
      <c r="E1349" s="307">
        <v>8.07</v>
      </c>
      <c r="F1349" s="307">
        <v>8.07</v>
      </c>
      <c r="G1349" s="307">
        <v>8.07</v>
      </c>
      <c r="H1349" s="307">
        <v>8.07</v>
      </c>
      <c r="I1349" s="307">
        <v>8.07</v>
      </c>
      <c r="J1349" s="307">
        <v>8.07</v>
      </c>
      <c r="K1349" s="307">
        <v>8.02</v>
      </c>
      <c r="L1349" s="307">
        <v>8.07</v>
      </c>
      <c r="M1349" s="307">
        <v>8.07</v>
      </c>
      <c r="N1349" s="307">
        <v>8.07</v>
      </c>
      <c r="O1349" s="307">
        <v>8.07</v>
      </c>
      <c r="P1349" s="307">
        <v>8.07</v>
      </c>
      <c r="Q1349" s="307">
        <v>8.07</v>
      </c>
      <c r="R1349" s="307">
        <v>8.07</v>
      </c>
      <c r="S1349" s="307">
        <v>8.07</v>
      </c>
      <c r="T1349" s="307">
        <v>8.07</v>
      </c>
      <c r="U1349" s="307">
        <v>8.07</v>
      </c>
      <c r="V1349" s="307">
        <v>8.02</v>
      </c>
      <c r="W1349" s="307">
        <v>8.07</v>
      </c>
      <c r="X1349" s="307">
        <v>8.07</v>
      </c>
      <c r="Y1349" s="307">
        <v>8.07</v>
      </c>
      <c r="Z1349" s="307">
        <v>8.07</v>
      </c>
      <c r="AA1349" s="307">
        <v>8.07</v>
      </c>
      <c r="AB1349" s="307">
        <v>8.07</v>
      </c>
      <c r="AC1349" s="307">
        <v>8.07</v>
      </c>
      <c r="AD1349" s="307">
        <v>8.07</v>
      </c>
      <c r="AE1349" s="189">
        <v>8.02</v>
      </c>
      <c r="AF1349" s="472">
        <v>8.08</v>
      </c>
    </row>
    <row r="1350" spans="1:34">
      <c r="AH1350">
        <v>1349</v>
      </c>
    </row>
    <row r="1351" spans="1:34">
      <c r="AH1351">
        <v>1349</v>
      </c>
    </row>
    <row r="1352" spans="1:34">
      <c r="AH1352">
        <v>1349</v>
      </c>
    </row>
    <row r="1353" spans="1:34">
      <c r="AH1353">
        <v>1349</v>
      </c>
    </row>
    <row r="1354" spans="1:34">
      <c r="AH1354">
        <v>1349</v>
      </c>
    </row>
    <row r="1355" spans="1:34">
      <c r="AH1355">
        <v>1349</v>
      </c>
    </row>
    <row r="1356" spans="1:34">
      <c r="AH1356">
        <v>1349</v>
      </c>
    </row>
    <row r="1357" spans="1:34">
      <c r="AH1357">
        <v>1349</v>
      </c>
    </row>
    <row r="1358" spans="1:34">
      <c r="AH1358">
        <v>1349</v>
      </c>
    </row>
    <row r="1359" spans="1:34">
      <c r="AH1359">
        <v>1349</v>
      </c>
    </row>
    <row r="1360" spans="1:34">
      <c r="A1360" s="531">
        <v>8.08</v>
      </c>
      <c r="B1360" s="189">
        <v>8.02</v>
      </c>
      <c r="C1360" s="307">
        <v>8.07</v>
      </c>
      <c r="D1360" s="307">
        <v>8.01</v>
      </c>
      <c r="E1360" s="307">
        <v>8.01</v>
      </c>
      <c r="F1360" s="307">
        <v>8.07</v>
      </c>
      <c r="G1360" s="307">
        <v>8.07</v>
      </c>
      <c r="H1360" s="307">
        <v>8.07</v>
      </c>
      <c r="I1360" s="307">
        <v>8.07</v>
      </c>
      <c r="J1360" s="307">
        <v>8.07</v>
      </c>
      <c r="K1360" s="307">
        <v>8.02</v>
      </c>
      <c r="L1360" s="307">
        <v>8.07</v>
      </c>
      <c r="M1360" s="189">
        <v>8.08</v>
      </c>
      <c r="N1360" s="189">
        <v>8.08</v>
      </c>
      <c r="O1360" s="189">
        <v>8.08</v>
      </c>
      <c r="P1360" s="189">
        <v>8.08</v>
      </c>
      <c r="Q1360" s="189">
        <v>8.08</v>
      </c>
      <c r="R1360" s="189">
        <v>8.08</v>
      </c>
      <c r="S1360" s="189">
        <v>8.08</v>
      </c>
      <c r="T1360" s="307">
        <v>8.07</v>
      </c>
      <c r="U1360" s="307">
        <v>8.07</v>
      </c>
      <c r="V1360" s="307">
        <v>8.02</v>
      </c>
      <c r="W1360" s="307">
        <v>8.07</v>
      </c>
      <c r="X1360" s="307">
        <v>8.07</v>
      </c>
      <c r="Y1360" s="307">
        <v>8.07</v>
      </c>
      <c r="Z1360" s="307">
        <v>8.07</v>
      </c>
      <c r="AA1360" s="307">
        <v>8.07</v>
      </c>
      <c r="AB1360" s="307">
        <v>8.01</v>
      </c>
      <c r="AC1360" s="307">
        <v>8.01</v>
      </c>
      <c r="AD1360" s="307">
        <v>8.07</v>
      </c>
      <c r="AE1360" s="189">
        <v>8.02</v>
      </c>
      <c r="AF1360" s="472">
        <v>8.08</v>
      </c>
    </row>
    <row r="1361" spans="1:34">
      <c r="A1361" s="531">
        <v>8.08</v>
      </c>
      <c r="B1361" s="189">
        <v>8.02</v>
      </c>
      <c r="C1361" s="307">
        <v>8.07</v>
      </c>
      <c r="D1361" s="307">
        <v>8.01</v>
      </c>
      <c r="E1361" s="307">
        <v>8.01</v>
      </c>
      <c r="F1361" s="307">
        <v>8.07</v>
      </c>
      <c r="G1361" s="307">
        <v>8.07</v>
      </c>
      <c r="H1361" s="307">
        <v>8.07</v>
      </c>
      <c r="I1361" s="307">
        <v>8.07</v>
      </c>
      <c r="J1361" s="307">
        <v>8.07</v>
      </c>
      <c r="K1361" s="307">
        <v>8.02</v>
      </c>
      <c r="L1361" s="189">
        <v>8.08</v>
      </c>
      <c r="M1361" s="93"/>
      <c r="N1361" s="93"/>
      <c r="O1361" s="93"/>
      <c r="P1361" s="93"/>
      <c r="Q1361" s="93"/>
      <c r="R1361" s="93"/>
      <c r="S1361" s="93"/>
      <c r="T1361" s="189">
        <v>8.08</v>
      </c>
      <c r="U1361" s="307">
        <v>8.07</v>
      </c>
      <c r="V1361" s="307">
        <v>8.02</v>
      </c>
      <c r="W1361" s="307">
        <v>8.07</v>
      </c>
      <c r="X1361" s="307">
        <v>8.07</v>
      </c>
      <c r="Y1361" s="307">
        <v>8.07</v>
      </c>
      <c r="Z1361" s="307">
        <v>8.07</v>
      </c>
      <c r="AA1361" s="307">
        <v>8.07</v>
      </c>
      <c r="AB1361" s="307">
        <v>8.01</v>
      </c>
      <c r="AC1361" s="307">
        <v>8.01</v>
      </c>
      <c r="AD1361" s="307">
        <v>8.07</v>
      </c>
      <c r="AE1361" s="189">
        <v>8.02</v>
      </c>
      <c r="AF1361" s="472">
        <v>8.08</v>
      </c>
    </row>
    <row r="1362" spans="1:34">
      <c r="A1362" s="531">
        <v>8.08</v>
      </c>
      <c r="B1362" s="189">
        <v>8.02</v>
      </c>
      <c r="C1362" s="189">
        <v>8.02</v>
      </c>
      <c r="D1362" s="189">
        <v>8.02</v>
      </c>
      <c r="E1362" s="189">
        <v>8.02</v>
      </c>
      <c r="F1362" s="189">
        <v>8.02</v>
      </c>
      <c r="G1362" s="189">
        <v>8.02</v>
      </c>
      <c r="H1362" s="189">
        <v>8.02</v>
      </c>
      <c r="I1362" s="189">
        <v>8.02</v>
      </c>
      <c r="J1362" s="189">
        <v>8.02</v>
      </c>
      <c r="K1362" s="189">
        <v>8.08</v>
      </c>
      <c r="L1362" s="93"/>
      <c r="M1362" s="93"/>
      <c r="N1362" s="93"/>
      <c r="O1362" s="93"/>
      <c r="P1362" s="93"/>
      <c r="Q1362" s="93"/>
      <c r="R1362" s="93"/>
      <c r="S1362" s="93"/>
      <c r="T1362" s="93"/>
      <c r="U1362" s="189">
        <v>8.08</v>
      </c>
      <c r="V1362" s="189">
        <v>8.02</v>
      </c>
      <c r="W1362" s="189">
        <v>8.02</v>
      </c>
      <c r="X1362" s="189">
        <v>8.02</v>
      </c>
      <c r="Y1362" s="189">
        <v>8.02</v>
      </c>
      <c r="Z1362" s="189">
        <v>8.02</v>
      </c>
      <c r="AA1362" s="189">
        <v>8.02</v>
      </c>
      <c r="AB1362" s="189">
        <v>8.02</v>
      </c>
      <c r="AC1362" s="189">
        <v>8.02</v>
      </c>
      <c r="AD1362" s="189">
        <v>8.02</v>
      </c>
      <c r="AE1362" s="189">
        <v>8.02</v>
      </c>
      <c r="AF1362" s="472">
        <v>8.08</v>
      </c>
    </row>
    <row r="1363" spans="1:34">
      <c r="A1363" s="531">
        <v>8.08</v>
      </c>
      <c r="B1363" s="189">
        <v>8.08</v>
      </c>
      <c r="C1363" s="189">
        <v>8.08</v>
      </c>
      <c r="D1363" s="189">
        <v>8.08</v>
      </c>
      <c r="E1363" s="189">
        <v>8.08</v>
      </c>
      <c r="F1363" s="189">
        <v>8.08</v>
      </c>
      <c r="G1363" s="189">
        <v>8.08</v>
      </c>
      <c r="H1363" s="189">
        <v>8.08</v>
      </c>
      <c r="I1363" s="189">
        <v>8.08</v>
      </c>
      <c r="J1363" s="189">
        <v>8.08</v>
      </c>
      <c r="K1363" s="93"/>
      <c r="L1363" s="93"/>
      <c r="M1363" s="93"/>
      <c r="N1363" s="93"/>
      <c r="O1363" s="93"/>
      <c r="P1363" s="93"/>
      <c r="Q1363" s="93"/>
      <c r="R1363" s="93"/>
      <c r="S1363" s="93"/>
      <c r="T1363" s="93"/>
      <c r="U1363" s="93"/>
      <c r="V1363" s="189">
        <v>8.08</v>
      </c>
      <c r="W1363" s="189">
        <v>8.08</v>
      </c>
      <c r="X1363" s="189">
        <v>8.08</v>
      </c>
      <c r="Y1363" s="189">
        <v>8.08</v>
      </c>
      <c r="Z1363" s="189">
        <v>8.08</v>
      </c>
      <c r="AA1363" s="189">
        <v>8.08</v>
      </c>
      <c r="AB1363" s="189">
        <v>8.08</v>
      </c>
      <c r="AC1363" s="189">
        <v>8.08</v>
      </c>
      <c r="AD1363" s="189">
        <v>8.08</v>
      </c>
      <c r="AE1363" s="189">
        <v>8.08</v>
      </c>
      <c r="AF1363" s="472">
        <v>8.08</v>
      </c>
    </row>
    <row r="1364" spans="1:34">
      <c r="A1364" s="699"/>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c r="AF1364" s="79"/>
    </row>
    <row r="1365" spans="1:34">
      <c r="A1365" s="699"/>
      <c r="B1365" s="93"/>
      <c r="C1365" s="93"/>
      <c r="D1365" s="93"/>
      <c r="E1365" s="93"/>
      <c r="F1365" s="93"/>
      <c r="G1365" s="93"/>
      <c r="H1365" s="93"/>
      <c r="I1365" s="93"/>
      <c r="J1365" s="93"/>
      <c r="K1365" s="93"/>
      <c r="L1365" s="93"/>
      <c r="M1365" s="189">
        <v>4.04</v>
      </c>
      <c r="N1365" s="189">
        <v>4.04</v>
      </c>
      <c r="O1365" s="189">
        <v>4.04</v>
      </c>
      <c r="P1365" s="189">
        <v>4.04</v>
      </c>
      <c r="Q1365" s="189">
        <v>4.04</v>
      </c>
      <c r="R1365" s="189">
        <v>4.04</v>
      </c>
      <c r="S1365" s="189">
        <v>4.04</v>
      </c>
      <c r="T1365" s="93"/>
      <c r="U1365" s="93"/>
      <c r="V1365" s="93"/>
      <c r="W1365" s="93"/>
      <c r="X1365" s="93"/>
      <c r="Y1365" s="93"/>
      <c r="Z1365" s="93"/>
      <c r="AA1365" s="93"/>
      <c r="AB1365" s="93"/>
      <c r="AC1365" s="93"/>
      <c r="AD1365" s="93"/>
      <c r="AE1365" s="93"/>
      <c r="AF1365" s="79"/>
    </row>
    <row r="1366" spans="1:34">
      <c r="A1366" s="699"/>
      <c r="B1366" s="93"/>
      <c r="C1366" s="93"/>
      <c r="D1366" s="93"/>
      <c r="E1366" s="93"/>
      <c r="F1366" s="93"/>
      <c r="G1366" s="93"/>
      <c r="H1366" s="93"/>
      <c r="I1366" s="93"/>
      <c r="J1366" s="93"/>
      <c r="K1366" s="93"/>
      <c r="L1366" s="189">
        <v>4.04</v>
      </c>
      <c r="M1366" s="307">
        <v>4.01</v>
      </c>
      <c r="N1366" s="307">
        <v>4.01</v>
      </c>
      <c r="O1366" s="307">
        <v>4.04</v>
      </c>
      <c r="P1366" s="307">
        <v>4.04</v>
      </c>
      <c r="Q1366" s="307">
        <v>4.04</v>
      </c>
      <c r="R1366" s="307">
        <v>4.01</v>
      </c>
      <c r="S1366" s="307">
        <v>4.01</v>
      </c>
      <c r="T1366" s="189">
        <v>4.04</v>
      </c>
      <c r="U1366" s="93"/>
      <c r="V1366" s="93"/>
      <c r="W1366" s="93"/>
      <c r="X1366" s="93"/>
      <c r="Y1366" s="93"/>
      <c r="Z1366" s="93"/>
      <c r="AA1366" s="93"/>
      <c r="AB1366" s="93"/>
      <c r="AC1366" s="93"/>
      <c r="AD1366" s="93"/>
      <c r="AE1366" s="93"/>
      <c r="AF1366" s="79"/>
    </row>
    <row r="1367" spans="1:34">
      <c r="A1367" s="699"/>
      <c r="B1367" s="93"/>
      <c r="C1367" s="93"/>
      <c r="D1367" s="93"/>
      <c r="E1367" s="93"/>
      <c r="F1367" s="93"/>
      <c r="G1367" s="93"/>
      <c r="H1367" s="93"/>
      <c r="I1367" s="93"/>
      <c r="J1367" s="93"/>
      <c r="K1367" s="93"/>
      <c r="L1367" s="189">
        <v>4.04</v>
      </c>
      <c r="M1367" s="307">
        <v>4.01</v>
      </c>
      <c r="N1367" s="307">
        <v>4.04</v>
      </c>
      <c r="O1367" s="307">
        <v>4.04</v>
      </c>
      <c r="P1367" s="307">
        <v>4.04</v>
      </c>
      <c r="Q1367" s="307">
        <v>4.04</v>
      </c>
      <c r="R1367" s="307">
        <v>4.04</v>
      </c>
      <c r="S1367" s="307">
        <v>4.01</v>
      </c>
      <c r="T1367" s="189">
        <v>4.04</v>
      </c>
      <c r="U1367" s="93"/>
      <c r="V1367" s="93"/>
      <c r="W1367" s="93"/>
      <c r="X1367" s="93"/>
      <c r="Y1367" s="93"/>
      <c r="Z1367" s="93"/>
      <c r="AA1367" s="93"/>
      <c r="AB1367" s="93"/>
      <c r="AC1367" s="93"/>
      <c r="AD1367" s="93"/>
      <c r="AE1367" s="93"/>
      <c r="AF1367" s="79"/>
    </row>
    <row r="1368" spans="1:34">
      <c r="A1368" s="699"/>
      <c r="B1368" s="93"/>
      <c r="C1368" s="93"/>
      <c r="D1368" s="93"/>
      <c r="E1368" s="93"/>
      <c r="F1368" s="93"/>
      <c r="G1368" s="93"/>
      <c r="H1368" s="93"/>
      <c r="I1368" s="93"/>
      <c r="J1368" s="93"/>
      <c r="K1368" s="93"/>
      <c r="L1368" s="189">
        <v>4.04</v>
      </c>
      <c r="M1368" s="307">
        <v>4.04</v>
      </c>
      <c r="N1368" s="307">
        <v>4.04</v>
      </c>
      <c r="O1368" s="307">
        <v>4.04</v>
      </c>
      <c r="P1368" s="307">
        <v>4.04</v>
      </c>
      <c r="Q1368" s="307">
        <v>4.04</v>
      </c>
      <c r="R1368" s="307">
        <v>4.04</v>
      </c>
      <c r="S1368" s="307">
        <v>4.04</v>
      </c>
      <c r="T1368" s="189">
        <v>4.04</v>
      </c>
      <c r="U1368" s="93"/>
      <c r="V1368" s="93"/>
      <c r="W1368" s="93"/>
      <c r="X1368" s="93"/>
      <c r="Y1368" s="93"/>
      <c r="Z1368" s="93"/>
      <c r="AA1368" s="93"/>
      <c r="AB1368" s="93"/>
      <c r="AC1368" s="93"/>
      <c r="AD1368" s="93"/>
      <c r="AE1368" s="93"/>
      <c r="AF1368" s="79"/>
    </row>
    <row r="1369" spans="1:34">
      <c r="AH1369">
        <v>1368</v>
      </c>
    </row>
    <row r="1370" spans="1:34">
      <c r="AH1370">
        <v>1368</v>
      </c>
    </row>
    <row r="1371" spans="1:34">
      <c r="AH1371">
        <v>1368</v>
      </c>
    </row>
    <row r="1372" spans="1:34">
      <c r="AH1372">
        <v>1368</v>
      </c>
    </row>
    <row r="1373" spans="1:34">
      <c r="AH1373">
        <v>1367</v>
      </c>
    </row>
    <row r="1374" spans="1:34">
      <c r="AH1374">
        <v>1366</v>
      </c>
    </row>
    <row r="1375" spans="1:34">
      <c r="AH1375">
        <v>1365</v>
      </c>
    </row>
    <row r="1376" spans="1:34">
      <c r="A1376" s="699"/>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c r="AF1376" s="79"/>
    </row>
    <row r="1377" spans="1:33">
      <c r="A1377" s="753"/>
      <c r="B1377" s="711"/>
      <c r="C1377" s="711"/>
      <c r="D1377" s="711"/>
      <c r="E1377" s="711"/>
      <c r="F1377" s="711"/>
      <c r="G1377" s="1264">
        <v>29.28</v>
      </c>
      <c r="H1377" s="1264">
        <v>30.29</v>
      </c>
      <c r="I1377" s="1264">
        <v>30.29</v>
      </c>
      <c r="J1377" s="1264">
        <v>30.29</v>
      </c>
      <c r="K1377" s="1264">
        <v>30.29</v>
      </c>
      <c r="L1377" s="711"/>
      <c r="M1377" s="711"/>
      <c r="N1377" s="711"/>
      <c r="O1377" s="711"/>
      <c r="P1377" s="711"/>
      <c r="Q1377" s="711"/>
      <c r="R1377" s="1265">
        <v>7.07</v>
      </c>
      <c r="S1377" s="1265">
        <v>7.07</v>
      </c>
      <c r="T1377" s="1265">
        <v>7.07</v>
      </c>
      <c r="U1377" s="1265">
        <v>7.07</v>
      </c>
      <c r="V1377" s="1265">
        <v>7.07</v>
      </c>
      <c r="W1377" s="1265">
        <v>7.07</v>
      </c>
      <c r="X1377" s="1265">
        <v>7.07</v>
      </c>
      <c r="Y1377" s="1265">
        <v>7.07</v>
      </c>
      <c r="Z1377" s="1265">
        <v>7.07</v>
      </c>
      <c r="AA1377" s="1265">
        <v>7.07</v>
      </c>
      <c r="AB1377" s="1265">
        <v>7.07</v>
      </c>
      <c r="AC1377" s="1265">
        <v>7.07</v>
      </c>
      <c r="AD1377" s="1265">
        <v>7.07</v>
      </c>
      <c r="AE1377" s="1265">
        <v>7.07</v>
      </c>
      <c r="AF1377" s="1266">
        <v>7.07</v>
      </c>
      <c r="AG1377">
        <v>44</v>
      </c>
    </row>
    <row r="1378" spans="1:33">
      <c r="A1378" s="699"/>
      <c r="B1378" s="93"/>
      <c r="C1378" s="93"/>
      <c r="D1378" s="93"/>
      <c r="E1378" s="156">
        <v>29.28</v>
      </c>
      <c r="F1378" s="156">
        <v>29.28</v>
      </c>
      <c r="G1378" s="159">
        <v>29.28</v>
      </c>
      <c r="H1378" s="159">
        <v>30.29</v>
      </c>
      <c r="I1378" s="159">
        <v>30.29</v>
      </c>
      <c r="J1378" s="159">
        <v>30.29</v>
      </c>
      <c r="K1378" s="159">
        <v>30.29</v>
      </c>
      <c r="L1378" s="156">
        <v>31.3</v>
      </c>
      <c r="M1378" s="156">
        <v>31.3</v>
      </c>
      <c r="N1378" s="93"/>
      <c r="O1378" s="93"/>
      <c r="P1378" s="93"/>
      <c r="Q1378" s="93"/>
      <c r="R1378" s="158">
        <v>7.07</v>
      </c>
      <c r="S1378" s="163">
        <v>7.07</v>
      </c>
      <c r="T1378" s="163">
        <v>7.07</v>
      </c>
      <c r="U1378" s="163">
        <v>7.07</v>
      </c>
      <c r="V1378" s="163">
        <v>7.07</v>
      </c>
      <c r="W1378" s="163">
        <v>7.07</v>
      </c>
      <c r="X1378" s="292">
        <v>10.07</v>
      </c>
      <c r="Y1378" s="292">
        <v>10.07</v>
      </c>
      <c r="Z1378" s="292">
        <v>10.07</v>
      </c>
      <c r="AA1378" s="163">
        <v>7.07</v>
      </c>
      <c r="AB1378" s="163">
        <v>7.07</v>
      </c>
      <c r="AC1378" s="163">
        <v>7.07</v>
      </c>
      <c r="AD1378" s="163">
        <v>7.07</v>
      </c>
      <c r="AE1378" s="163">
        <v>7.07</v>
      </c>
      <c r="AF1378" s="726">
        <v>7.07</v>
      </c>
      <c r="AG1378">
        <v>200</v>
      </c>
    </row>
    <row r="1379" spans="1:33">
      <c r="A1379" s="699"/>
      <c r="B1379" s="93"/>
      <c r="C1379" s="93"/>
      <c r="D1379" s="156">
        <v>28.27</v>
      </c>
      <c r="E1379" s="159">
        <v>29.28</v>
      </c>
      <c r="F1379" s="159">
        <v>29.28</v>
      </c>
      <c r="G1379" s="159">
        <v>29.28</v>
      </c>
      <c r="H1379" s="159">
        <v>30.29</v>
      </c>
      <c r="I1379" s="159">
        <v>30.29</v>
      </c>
      <c r="J1379" s="159">
        <v>30.29</v>
      </c>
      <c r="K1379" s="159">
        <v>30.29</v>
      </c>
      <c r="L1379" s="159">
        <v>31.3</v>
      </c>
      <c r="M1379" s="159">
        <v>31.3</v>
      </c>
      <c r="N1379" s="156">
        <v>31.3</v>
      </c>
      <c r="O1379" s="93"/>
      <c r="P1379" s="93"/>
      <c r="Q1379" s="93"/>
      <c r="R1379" s="158">
        <v>7.07</v>
      </c>
      <c r="S1379" s="163">
        <v>7.07</v>
      </c>
      <c r="T1379" s="163">
        <v>7.01</v>
      </c>
      <c r="U1379" s="163">
        <v>7.01</v>
      </c>
      <c r="V1379" s="163">
        <v>7.07</v>
      </c>
      <c r="W1379" s="292">
        <v>10.07</v>
      </c>
      <c r="X1379" s="292">
        <v>11.07</v>
      </c>
      <c r="Y1379" s="292">
        <v>11.07</v>
      </c>
      <c r="Z1379" s="292">
        <v>11.07</v>
      </c>
      <c r="AA1379" s="292">
        <v>10.07</v>
      </c>
      <c r="AB1379" s="163">
        <v>7.07</v>
      </c>
      <c r="AC1379" s="163">
        <v>7.01</v>
      </c>
      <c r="AD1379" s="163">
        <v>7.01</v>
      </c>
      <c r="AE1379" s="163">
        <v>7.07</v>
      </c>
      <c r="AF1379" s="726">
        <v>7.07</v>
      </c>
    </row>
    <row r="1380" spans="1:33">
      <c r="A1380" s="699"/>
      <c r="B1380" s="93"/>
      <c r="C1380" s="156">
        <v>28.27</v>
      </c>
      <c r="D1380" s="156">
        <v>28.27</v>
      </c>
      <c r="E1380" s="159">
        <v>29.28</v>
      </c>
      <c r="F1380" s="159">
        <v>29.28</v>
      </c>
      <c r="G1380" s="159">
        <v>29.28</v>
      </c>
      <c r="H1380" s="159">
        <v>30.29</v>
      </c>
      <c r="I1380" s="159">
        <v>30.29</v>
      </c>
      <c r="J1380" s="159">
        <v>30.29</v>
      </c>
      <c r="K1380" s="159">
        <v>30.29</v>
      </c>
      <c r="L1380" s="159">
        <v>31.3</v>
      </c>
      <c r="M1380" s="159">
        <v>31.3</v>
      </c>
      <c r="N1380" s="159">
        <v>31.3</v>
      </c>
      <c r="O1380" s="156">
        <v>32.31</v>
      </c>
      <c r="P1380" s="93"/>
      <c r="Q1380" s="93"/>
      <c r="R1380" s="158">
        <v>7.07</v>
      </c>
      <c r="S1380" s="163">
        <v>7.07</v>
      </c>
      <c r="T1380" s="163">
        <v>7.01</v>
      </c>
      <c r="U1380" s="163">
        <v>7.01</v>
      </c>
      <c r="V1380" s="163">
        <v>7.07</v>
      </c>
      <c r="W1380" s="292">
        <v>10.07</v>
      </c>
      <c r="X1380" s="292">
        <v>11.07</v>
      </c>
      <c r="Y1380" s="199">
        <v>10.07</v>
      </c>
      <c r="Z1380" s="292">
        <v>11.07</v>
      </c>
      <c r="AA1380" s="292">
        <v>10.07</v>
      </c>
      <c r="AB1380" s="163">
        <v>7.07</v>
      </c>
      <c r="AC1380" s="163">
        <v>7.01</v>
      </c>
      <c r="AD1380" s="163">
        <v>7.01</v>
      </c>
      <c r="AE1380" s="163">
        <v>7.07</v>
      </c>
      <c r="AF1380" s="726">
        <v>7.07</v>
      </c>
    </row>
    <row r="1381" spans="1:33">
      <c r="A1381" s="699"/>
      <c r="B1381" s="93"/>
      <c r="C1381" s="156">
        <v>28.27</v>
      </c>
      <c r="D1381" s="156">
        <v>28.27</v>
      </c>
      <c r="E1381" s="481">
        <v>29.27</v>
      </c>
      <c r="F1381" s="481">
        <v>29.27</v>
      </c>
      <c r="G1381" s="481">
        <v>29.27</v>
      </c>
      <c r="H1381" s="159">
        <v>30.29</v>
      </c>
      <c r="I1381" s="159">
        <v>30.29</v>
      </c>
      <c r="J1381" s="159">
        <v>30.29</v>
      </c>
      <c r="K1381" s="481">
        <v>30.28</v>
      </c>
      <c r="L1381" s="481">
        <v>31.29</v>
      </c>
      <c r="M1381" s="481">
        <v>31.29</v>
      </c>
      <c r="N1381" s="159">
        <v>31.3</v>
      </c>
      <c r="O1381" s="156">
        <v>32.31</v>
      </c>
      <c r="P1381" s="93"/>
      <c r="Q1381" s="93"/>
      <c r="R1381" s="158">
        <v>7.07</v>
      </c>
      <c r="S1381" s="163">
        <v>7.07</v>
      </c>
      <c r="T1381" s="163">
        <v>7.07</v>
      </c>
      <c r="U1381" s="163">
        <v>7.07</v>
      </c>
      <c r="V1381" s="291">
        <v>9.07</v>
      </c>
      <c r="W1381" s="292">
        <v>10.07</v>
      </c>
      <c r="X1381" s="189">
        <v>10.07</v>
      </c>
      <c r="Y1381" s="199">
        <v>10.07</v>
      </c>
      <c r="Z1381" s="189">
        <v>10.07</v>
      </c>
      <c r="AA1381" s="292">
        <v>10.07</v>
      </c>
      <c r="AB1381" s="291">
        <v>9.07</v>
      </c>
      <c r="AC1381" s="163">
        <v>7.07</v>
      </c>
      <c r="AD1381" s="163">
        <v>7.07</v>
      </c>
      <c r="AE1381" s="163">
        <v>7.07</v>
      </c>
      <c r="AF1381" s="726">
        <v>7.07</v>
      </c>
    </row>
    <row r="1382" spans="1:33">
      <c r="A1382" s="699"/>
      <c r="B1382" s="156">
        <v>28.26</v>
      </c>
      <c r="C1382" s="159">
        <v>28.27</v>
      </c>
      <c r="D1382" s="481">
        <v>28.26</v>
      </c>
      <c r="E1382" s="481">
        <v>29.27</v>
      </c>
      <c r="F1382" s="481">
        <v>29.27</v>
      </c>
      <c r="G1382" s="481">
        <v>29.27</v>
      </c>
      <c r="H1382" s="159">
        <v>30.29</v>
      </c>
      <c r="I1382" s="159">
        <v>30.29</v>
      </c>
      <c r="J1382" s="159">
        <v>30.29</v>
      </c>
      <c r="K1382" s="481">
        <v>30.28</v>
      </c>
      <c r="L1382" s="481">
        <v>31.29</v>
      </c>
      <c r="M1382" s="481">
        <v>31.29</v>
      </c>
      <c r="N1382" s="481">
        <v>31.29</v>
      </c>
      <c r="O1382" s="159">
        <v>32.31</v>
      </c>
      <c r="P1382" s="156">
        <v>32.31</v>
      </c>
      <c r="Q1382" s="93"/>
      <c r="R1382" s="158">
        <v>7.07</v>
      </c>
      <c r="S1382" s="163">
        <v>7.07</v>
      </c>
      <c r="T1382" s="163">
        <v>7.07</v>
      </c>
      <c r="U1382" s="163">
        <v>7.07</v>
      </c>
      <c r="V1382" s="163">
        <v>7.07</v>
      </c>
      <c r="W1382" s="291">
        <v>9.07</v>
      </c>
      <c r="X1382" s="199">
        <v>10.07</v>
      </c>
      <c r="Y1382" s="199">
        <v>11.07</v>
      </c>
      <c r="Z1382" s="199">
        <v>10.07</v>
      </c>
      <c r="AA1382" s="291">
        <v>9.07</v>
      </c>
      <c r="AB1382" s="163">
        <v>7.07</v>
      </c>
      <c r="AC1382" s="163">
        <v>7.07</v>
      </c>
      <c r="AD1382" s="163">
        <v>7.07</v>
      </c>
      <c r="AE1382" s="163">
        <v>7.07</v>
      </c>
      <c r="AF1382" s="726">
        <v>7.07</v>
      </c>
    </row>
    <row r="1383" spans="1:33">
      <c r="A1383" s="699"/>
      <c r="B1383" s="156">
        <v>28.26</v>
      </c>
      <c r="C1383" s="159">
        <v>28.27</v>
      </c>
      <c r="D1383" s="481">
        <v>28.26</v>
      </c>
      <c r="E1383" s="481">
        <v>29.27</v>
      </c>
      <c r="F1383" s="481">
        <v>29.27</v>
      </c>
      <c r="G1383" s="481">
        <v>29.27</v>
      </c>
      <c r="H1383" s="159">
        <v>30.29</v>
      </c>
      <c r="I1383" s="159">
        <v>30.29</v>
      </c>
      <c r="J1383" s="159">
        <v>30.29</v>
      </c>
      <c r="K1383" s="481">
        <v>30.28</v>
      </c>
      <c r="L1383" s="481">
        <v>31.29</v>
      </c>
      <c r="M1383" s="481">
        <v>31.29</v>
      </c>
      <c r="N1383" s="481">
        <v>31.29</v>
      </c>
      <c r="O1383" s="159">
        <v>32.31</v>
      </c>
      <c r="P1383" s="156">
        <v>32.31</v>
      </c>
      <c r="Q1383" s="93"/>
      <c r="R1383" s="158">
        <v>7.07</v>
      </c>
      <c r="S1383" s="163">
        <v>7.07</v>
      </c>
      <c r="T1383" s="163">
        <v>7.07</v>
      </c>
      <c r="U1383" s="163">
        <v>7.07</v>
      </c>
      <c r="V1383" s="291">
        <v>8.07</v>
      </c>
      <c r="W1383" s="291">
        <v>8.07</v>
      </c>
      <c r="X1383" s="201">
        <v>9.07</v>
      </c>
      <c r="Y1383" s="199">
        <v>10.07</v>
      </c>
      <c r="Z1383" s="201">
        <v>9.07</v>
      </c>
      <c r="AA1383" s="291">
        <v>8.07</v>
      </c>
      <c r="AB1383" s="291">
        <v>8.07</v>
      </c>
      <c r="AC1383" s="163">
        <v>7.07</v>
      </c>
      <c r="AD1383" s="163">
        <v>7.07</v>
      </c>
      <c r="AE1383" s="163">
        <v>7.07</v>
      </c>
      <c r="AF1383" s="726">
        <v>7.07</v>
      </c>
    </row>
    <row r="1384" spans="1:33">
      <c r="A1384" s="699"/>
      <c r="B1384" s="156">
        <v>28.26</v>
      </c>
      <c r="C1384" s="159">
        <v>28.27</v>
      </c>
      <c r="D1384" s="481">
        <v>28.26</v>
      </c>
      <c r="E1384" s="481">
        <v>29.27</v>
      </c>
      <c r="F1384" s="481">
        <v>29.27</v>
      </c>
      <c r="G1384" s="159">
        <v>29.28</v>
      </c>
      <c r="H1384" s="159">
        <v>30.29</v>
      </c>
      <c r="I1384" s="159">
        <v>30.29</v>
      </c>
      <c r="J1384" s="159">
        <v>30.29</v>
      </c>
      <c r="K1384" s="159">
        <v>30.29</v>
      </c>
      <c r="L1384" s="159">
        <v>31.3</v>
      </c>
      <c r="M1384" s="481">
        <v>31.29</v>
      </c>
      <c r="N1384" s="481">
        <v>31.29</v>
      </c>
      <c r="O1384" s="159">
        <v>32.31</v>
      </c>
      <c r="P1384" s="156">
        <v>32.31</v>
      </c>
      <c r="Q1384" s="93"/>
      <c r="R1384" s="158">
        <v>7.07</v>
      </c>
      <c r="S1384" s="163">
        <v>7.07</v>
      </c>
      <c r="T1384" s="163">
        <v>7.07</v>
      </c>
      <c r="U1384" s="163">
        <v>7.07</v>
      </c>
      <c r="V1384" s="291">
        <v>8.07</v>
      </c>
      <c r="W1384" s="163">
        <v>7.07</v>
      </c>
      <c r="X1384" s="163">
        <v>7.07</v>
      </c>
      <c r="Y1384" s="199">
        <v>9.07</v>
      </c>
      <c r="Z1384" s="163">
        <v>7.07</v>
      </c>
      <c r="AA1384" s="163">
        <v>7.07</v>
      </c>
      <c r="AB1384" s="291">
        <v>8.07</v>
      </c>
      <c r="AC1384" s="163">
        <v>7.07</v>
      </c>
      <c r="AD1384" s="163">
        <v>7.07</v>
      </c>
      <c r="AE1384" s="163">
        <v>7.07</v>
      </c>
      <c r="AF1384" s="726">
        <v>7.07</v>
      </c>
    </row>
    <row r="1385" spans="1:33">
      <c r="A1385" s="1267">
        <v>29.26</v>
      </c>
      <c r="B1385" s="159">
        <v>27.26</v>
      </c>
      <c r="C1385" s="159">
        <v>28.27</v>
      </c>
      <c r="D1385" s="156">
        <v>28.27</v>
      </c>
      <c r="E1385" s="159">
        <v>29.28</v>
      </c>
      <c r="F1385" s="159">
        <v>29.28</v>
      </c>
      <c r="G1385" s="159">
        <v>29.28</v>
      </c>
      <c r="H1385" s="159">
        <v>30.29</v>
      </c>
      <c r="I1385" s="159">
        <v>30.29</v>
      </c>
      <c r="J1385" s="159">
        <v>30.29</v>
      </c>
      <c r="K1385" s="159">
        <v>30.29</v>
      </c>
      <c r="L1385" s="159">
        <v>31.3</v>
      </c>
      <c r="M1385" s="159">
        <v>31.3</v>
      </c>
      <c r="N1385" s="159">
        <v>31.3</v>
      </c>
      <c r="O1385" s="159">
        <v>32.31</v>
      </c>
      <c r="P1385" s="159">
        <v>32.31</v>
      </c>
      <c r="Q1385" s="156">
        <v>32.31</v>
      </c>
      <c r="R1385" s="158">
        <v>7.07</v>
      </c>
      <c r="S1385" s="163">
        <v>7.07</v>
      </c>
      <c r="T1385" s="163">
        <v>7.07</v>
      </c>
      <c r="U1385" s="163">
        <v>7.07</v>
      </c>
      <c r="V1385" s="163">
        <v>7.07</v>
      </c>
      <c r="W1385" s="199">
        <v>9.07</v>
      </c>
      <c r="X1385" s="199">
        <v>10.07</v>
      </c>
      <c r="Y1385" s="199">
        <v>10.08</v>
      </c>
      <c r="Z1385" s="199">
        <v>10.07</v>
      </c>
      <c r="AA1385" s="201">
        <v>9.07</v>
      </c>
      <c r="AB1385" s="163">
        <v>7.07</v>
      </c>
      <c r="AC1385" s="163">
        <v>7.07</v>
      </c>
      <c r="AD1385" s="163">
        <v>7.07</v>
      </c>
      <c r="AE1385" s="163">
        <v>7.07</v>
      </c>
      <c r="AF1385" s="726">
        <v>7.07</v>
      </c>
    </row>
    <row r="1386" spans="1:33">
      <c r="A1386" s="1267">
        <v>29.26</v>
      </c>
      <c r="B1386" s="159">
        <v>27.26</v>
      </c>
      <c r="C1386" s="159">
        <v>28.27</v>
      </c>
      <c r="D1386" s="156">
        <v>28.27</v>
      </c>
      <c r="E1386" s="159">
        <v>29.28</v>
      </c>
      <c r="F1386" s="159">
        <v>29.28</v>
      </c>
      <c r="G1386" s="159">
        <v>29.28</v>
      </c>
      <c r="H1386" s="159">
        <v>30.29</v>
      </c>
      <c r="I1386" s="159">
        <v>30.29</v>
      </c>
      <c r="J1386" s="159">
        <v>30.29</v>
      </c>
      <c r="K1386" s="159">
        <v>30.29</v>
      </c>
      <c r="L1386" s="159">
        <v>31.3</v>
      </c>
      <c r="M1386" s="159">
        <v>31.3</v>
      </c>
      <c r="N1386" s="159">
        <v>31.3</v>
      </c>
      <c r="O1386" s="159">
        <v>32.31</v>
      </c>
      <c r="P1386" s="159">
        <v>32.31</v>
      </c>
      <c r="Q1386" s="156">
        <v>32.31</v>
      </c>
      <c r="R1386" s="158">
        <v>7.07</v>
      </c>
      <c r="S1386" s="163">
        <v>7.07</v>
      </c>
      <c r="T1386" s="163">
        <v>7.07</v>
      </c>
      <c r="U1386" s="163">
        <v>7.07</v>
      </c>
      <c r="V1386" s="199">
        <v>9.07</v>
      </c>
      <c r="W1386" s="199">
        <v>9.07</v>
      </c>
      <c r="X1386" s="199">
        <v>10.08</v>
      </c>
      <c r="Y1386" s="204">
        <v>10.07</v>
      </c>
      <c r="Z1386" s="199">
        <v>10.08</v>
      </c>
      <c r="AA1386" s="199">
        <v>9.07</v>
      </c>
      <c r="AB1386" s="201">
        <v>9.07</v>
      </c>
      <c r="AC1386" s="163">
        <v>7.07</v>
      </c>
      <c r="AD1386" s="163">
        <v>7.07</v>
      </c>
      <c r="AE1386" s="163">
        <v>7.07</v>
      </c>
      <c r="AF1386" s="726">
        <v>7.07</v>
      </c>
    </row>
    <row r="1387" spans="1:33">
      <c r="A1387" s="1267">
        <v>29.26</v>
      </c>
      <c r="B1387" s="159">
        <v>27.26</v>
      </c>
      <c r="C1387" s="159">
        <v>28.27</v>
      </c>
      <c r="D1387" s="156">
        <v>28.27</v>
      </c>
      <c r="E1387" s="159">
        <v>29.28</v>
      </c>
      <c r="F1387" s="159">
        <v>29.28</v>
      </c>
      <c r="G1387" s="159">
        <v>29.28</v>
      </c>
      <c r="H1387" s="159">
        <v>30.29</v>
      </c>
      <c r="I1387" s="159">
        <v>30.29</v>
      </c>
      <c r="J1387" s="159">
        <v>30.29</v>
      </c>
      <c r="K1387" s="159">
        <v>30.29</v>
      </c>
      <c r="L1387" s="159">
        <v>31.3</v>
      </c>
      <c r="M1387" s="159">
        <v>31.3</v>
      </c>
      <c r="N1387" s="159">
        <v>31.3</v>
      </c>
      <c r="O1387" s="159">
        <v>32.31</v>
      </c>
      <c r="P1387" s="159">
        <v>32.31</v>
      </c>
      <c r="Q1387" s="156">
        <v>32.31</v>
      </c>
      <c r="R1387" s="158">
        <v>7.07</v>
      </c>
      <c r="S1387" s="163">
        <v>7.07</v>
      </c>
      <c r="T1387" s="163">
        <v>7.07</v>
      </c>
      <c r="U1387" s="163">
        <v>7.07</v>
      </c>
      <c r="V1387" s="199">
        <v>9.07</v>
      </c>
      <c r="W1387" s="199">
        <v>9.07</v>
      </c>
      <c r="X1387" s="308">
        <v>10.08</v>
      </c>
      <c r="Y1387" s="298">
        <v>8.07</v>
      </c>
      <c r="Z1387" s="308">
        <v>10.08</v>
      </c>
      <c r="AA1387" s="199">
        <v>9.07</v>
      </c>
      <c r="AB1387" s="199">
        <v>9.07</v>
      </c>
      <c r="AC1387" s="163">
        <v>7.07</v>
      </c>
      <c r="AD1387" s="163">
        <v>7.07</v>
      </c>
      <c r="AE1387" s="163">
        <v>7.07</v>
      </c>
      <c r="AF1387" s="726">
        <v>7.07</v>
      </c>
    </row>
    <row r="1388" spans="1:33">
      <c r="A1388" s="1267">
        <v>29.26</v>
      </c>
      <c r="B1388" s="159">
        <v>27.26</v>
      </c>
      <c r="C1388" s="159">
        <v>28.27</v>
      </c>
      <c r="D1388" s="156">
        <v>28.27</v>
      </c>
      <c r="E1388" s="159">
        <v>29.28</v>
      </c>
      <c r="F1388" s="159">
        <v>29.28</v>
      </c>
      <c r="G1388" s="159">
        <v>29.28</v>
      </c>
      <c r="H1388" s="163">
        <v>32.299999999999997</v>
      </c>
      <c r="I1388" s="163">
        <v>32.299999999999997</v>
      </c>
      <c r="J1388" s="163">
        <v>32.299999999999997</v>
      </c>
      <c r="K1388" s="159">
        <v>30.29</v>
      </c>
      <c r="L1388" s="159">
        <v>31.3</v>
      </c>
      <c r="M1388" s="159">
        <v>31.3</v>
      </c>
      <c r="N1388" s="159">
        <v>31.3</v>
      </c>
      <c r="O1388" s="159">
        <v>32.31</v>
      </c>
      <c r="P1388" s="159">
        <v>32.31</v>
      </c>
      <c r="Q1388" s="156">
        <v>32.31</v>
      </c>
      <c r="R1388" s="158">
        <v>7.07</v>
      </c>
      <c r="S1388" s="163">
        <v>7.07</v>
      </c>
      <c r="T1388" s="163">
        <v>7.07</v>
      </c>
      <c r="U1388" s="163">
        <v>7.07</v>
      </c>
      <c r="V1388" s="199">
        <v>9.07</v>
      </c>
      <c r="W1388" s="199">
        <v>9.07</v>
      </c>
      <c r="X1388" s="207">
        <v>10.08</v>
      </c>
      <c r="Y1388" s="298">
        <v>8.07</v>
      </c>
      <c r="Z1388" s="207">
        <v>10.08</v>
      </c>
      <c r="AA1388" s="201">
        <v>9.07</v>
      </c>
      <c r="AB1388" s="199">
        <v>9.07</v>
      </c>
      <c r="AC1388" s="163">
        <v>7.07</v>
      </c>
      <c r="AD1388" s="163">
        <v>7.07</v>
      </c>
      <c r="AE1388" s="163">
        <v>7.07</v>
      </c>
      <c r="AF1388" s="726">
        <v>7.07</v>
      </c>
    </row>
    <row r="1389" spans="1:33">
      <c r="A1389" s="1267">
        <v>29.26</v>
      </c>
      <c r="B1389" s="159">
        <v>27.26</v>
      </c>
      <c r="C1389" s="481">
        <v>28.26</v>
      </c>
      <c r="D1389" s="481">
        <v>28.26</v>
      </c>
      <c r="E1389" s="159">
        <v>29.28</v>
      </c>
      <c r="F1389" s="159">
        <v>29.28</v>
      </c>
      <c r="G1389" s="159">
        <v>29.28</v>
      </c>
      <c r="H1389" s="163">
        <v>32.299999999999997</v>
      </c>
      <c r="I1389" s="481">
        <v>30.28</v>
      </c>
      <c r="J1389" s="163">
        <v>32.299999999999997</v>
      </c>
      <c r="K1389" s="159">
        <v>30.29</v>
      </c>
      <c r="L1389" s="159">
        <v>31.3</v>
      </c>
      <c r="M1389" s="159">
        <v>31.3</v>
      </c>
      <c r="N1389" s="481">
        <v>31.29</v>
      </c>
      <c r="O1389" s="481">
        <v>32.299999999999997</v>
      </c>
      <c r="P1389" s="159">
        <v>32.31</v>
      </c>
      <c r="Q1389" s="156">
        <v>32.31</v>
      </c>
      <c r="R1389" s="158">
        <v>7.07</v>
      </c>
      <c r="S1389" s="163">
        <v>7.07</v>
      </c>
      <c r="T1389" s="163">
        <v>7.07</v>
      </c>
      <c r="U1389" s="199">
        <v>9.07</v>
      </c>
      <c r="V1389" s="199">
        <v>9.07</v>
      </c>
      <c r="W1389" s="199">
        <v>9.07</v>
      </c>
      <c r="X1389" s="308">
        <v>10.08</v>
      </c>
      <c r="Y1389" s="298">
        <v>8.07</v>
      </c>
      <c r="Z1389" s="308">
        <v>10.08</v>
      </c>
      <c r="AA1389" s="201">
        <v>9.07</v>
      </c>
      <c r="AB1389" s="199">
        <v>9.07</v>
      </c>
      <c r="AC1389" s="201">
        <v>9.07</v>
      </c>
      <c r="AD1389" s="163">
        <v>7.07</v>
      </c>
      <c r="AE1389" s="163">
        <v>7.07</v>
      </c>
      <c r="AF1389" s="726">
        <v>7.07</v>
      </c>
    </row>
    <row r="1390" spans="1:33">
      <c r="A1390" s="1267">
        <v>29.26</v>
      </c>
      <c r="B1390" s="481">
        <v>27.25</v>
      </c>
      <c r="C1390" s="481">
        <v>28.26</v>
      </c>
      <c r="D1390" s="481">
        <v>28.26</v>
      </c>
      <c r="E1390" s="481">
        <v>29.27</v>
      </c>
      <c r="F1390" s="159">
        <v>29.28</v>
      </c>
      <c r="G1390" s="163">
        <v>32.299999999999997</v>
      </c>
      <c r="H1390" s="481">
        <v>30.28</v>
      </c>
      <c r="I1390" s="481">
        <v>30.28</v>
      </c>
      <c r="J1390" s="481">
        <v>30.28</v>
      </c>
      <c r="K1390" s="163">
        <v>32.299999999999997</v>
      </c>
      <c r="L1390" s="159">
        <v>31.3</v>
      </c>
      <c r="M1390" s="481">
        <v>31.29</v>
      </c>
      <c r="N1390" s="481">
        <v>31.29</v>
      </c>
      <c r="O1390" s="481">
        <v>32.299999999999997</v>
      </c>
      <c r="P1390" s="481">
        <v>32.299999999999997</v>
      </c>
      <c r="Q1390" s="156">
        <v>32.31</v>
      </c>
      <c r="R1390" s="158">
        <v>7.07</v>
      </c>
      <c r="S1390" s="163">
        <v>7.07</v>
      </c>
      <c r="T1390" s="163">
        <v>7.07</v>
      </c>
      <c r="U1390" s="199">
        <v>9.07</v>
      </c>
      <c r="V1390" s="201">
        <v>8.07</v>
      </c>
      <c r="W1390" s="199">
        <v>8.07</v>
      </c>
      <c r="X1390" s="207">
        <v>10.08</v>
      </c>
      <c r="Y1390" s="298">
        <v>8.07</v>
      </c>
      <c r="Z1390" s="207">
        <v>10.08</v>
      </c>
      <c r="AA1390" s="201">
        <v>8.07</v>
      </c>
      <c r="AB1390" s="199">
        <v>9.07</v>
      </c>
      <c r="AC1390" s="199">
        <v>9.07</v>
      </c>
      <c r="AD1390" s="163">
        <v>7.07</v>
      </c>
      <c r="AE1390" s="163">
        <v>7.07</v>
      </c>
      <c r="AF1390" s="726">
        <v>7.07</v>
      </c>
    </row>
    <row r="1391" spans="1:33">
      <c r="A1391" s="1267">
        <v>29.26</v>
      </c>
      <c r="B1391" s="481">
        <v>27.25</v>
      </c>
      <c r="C1391" s="481">
        <v>28.26</v>
      </c>
      <c r="D1391" s="481">
        <v>28.26</v>
      </c>
      <c r="E1391" s="481">
        <v>29.27</v>
      </c>
      <c r="F1391" s="159">
        <v>29.28</v>
      </c>
      <c r="G1391" s="163">
        <v>32.299999999999997</v>
      </c>
      <c r="H1391" s="481">
        <v>30.28</v>
      </c>
      <c r="I1391" s="481">
        <v>30.28</v>
      </c>
      <c r="J1391" s="481">
        <v>30.28</v>
      </c>
      <c r="K1391" s="163">
        <v>32.299999999999997</v>
      </c>
      <c r="L1391" s="159">
        <v>31.3</v>
      </c>
      <c r="M1391" s="481">
        <v>31.29</v>
      </c>
      <c r="N1391" s="481">
        <v>31.29</v>
      </c>
      <c r="O1391" s="481">
        <v>32.299999999999997</v>
      </c>
      <c r="P1391" s="481">
        <v>32.299999999999997</v>
      </c>
      <c r="Q1391" s="156">
        <v>32.31</v>
      </c>
      <c r="R1391" s="158">
        <v>7.07</v>
      </c>
      <c r="S1391" s="163">
        <v>7.07</v>
      </c>
      <c r="T1391" s="163">
        <v>7.07</v>
      </c>
      <c r="U1391" s="199">
        <v>9.07</v>
      </c>
      <c r="V1391" s="163">
        <v>7.07</v>
      </c>
      <c r="W1391" s="199">
        <v>8.07</v>
      </c>
      <c r="X1391" s="199">
        <v>10.08</v>
      </c>
      <c r="Y1391" s="298">
        <v>9.07</v>
      </c>
      <c r="Z1391" s="199">
        <v>10.08</v>
      </c>
      <c r="AA1391" s="201">
        <v>8.07</v>
      </c>
      <c r="AB1391" s="163">
        <v>7.07</v>
      </c>
      <c r="AC1391" s="199">
        <v>9.07</v>
      </c>
      <c r="AD1391" s="163">
        <v>7.07</v>
      </c>
      <c r="AE1391" s="163">
        <v>7.07</v>
      </c>
      <c r="AF1391" s="726">
        <v>7.07</v>
      </c>
    </row>
    <row r="1392" spans="1:33">
      <c r="A1392" s="1267">
        <v>29.26</v>
      </c>
      <c r="B1392" s="481">
        <v>27.25</v>
      </c>
      <c r="C1392" s="481">
        <v>28.26</v>
      </c>
      <c r="D1392" s="481">
        <v>28.26</v>
      </c>
      <c r="E1392" s="481">
        <v>29.27</v>
      </c>
      <c r="F1392" s="159">
        <v>29.28</v>
      </c>
      <c r="G1392" s="163">
        <v>32.299999999999997</v>
      </c>
      <c r="H1392" s="481">
        <v>30.28</v>
      </c>
      <c r="I1392" s="481">
        <v>30.28</v>
      </c>
      <c r="J1392" s="481">
        <v>30.28</v>
      </c>
      <c r="K1392" s="163">
        <v>32.299999999999997</v>
      </c>
      <c r="L1392" s="159">
        <v>31.3</v>
      </c>
      <c r="M1392" s="481">
        <v>31.29</v>
      </c>
      <c r="N1392" s="481">
        <v>31.29</v>
      </c>
      <c r="O1392" s="481">
        <v>32.299999999999997</v>
      </c>
      <c r="P1392" s="481">
        <v>32.299999999999997</v>
      </c>
      <c r="Q1392" s="156">
        <v>32.31</v>
      </c>
      <c r="R1392" s="158">
        <v>7.07</v>
      </c>
      <c r="S1392" s="163">
        <v>7.07</v>
      </c>
      <c r="T1392" s="199">
        <v>8.07</v>
      </c>
      <c r="U1392" s="199">
        <v>8.07</v>
      </c>
      <c r="V1392" s="163">
        <v>7.07</v>
      </c>
      <c r="W1392" s="199">
        <v>8.07</v>
      </c>
      <c r="X1392" s="199">
        <v>10.08</v>
      </c>
      <c r="Y1392" s="204">
        <v>10.07</v>
      </c>
      <c r="Z1392" s="199">
        <v>10.08</v>
      </c>
      <c r="AA1392" s="201">
        <v>8.07</v>
      </c>
      <c r="AB1392" s="163">
        <v>7.07</v>
      </c>
      <c r="AC1392" s="199">
        <v>8.07</v>
      </c>
      <c r="AD1392" s="201">
        <v>8.07</v>
      </c>
      <c r="AE1392" s="163">
        <v>7.07</v>
      </c>
      <c r="AF1392" s="726">
        <v>7.07</v>
      </c>
    </row>
    <row r="1393" spans="1:34">
      <c r="A1393" s="1267">
        <v>29.26</v>
      </c>
      <c r="B1393" s="481">
        <v>27.25</v>
      </c>
      <c r="C1393" s="481">
        <v>28.26</v>
      </c>
      <c r="D1393" s="481">
        <v>28.26</v>
      </c>
      <c r="E1393" s="481">
        <v>29.27</v>
      </c>
      <c r="F1393" s="159">
        <v>29.28</v>
      </c>
      <c r="G1393" s="163">
        <v>32.299999999999997</v>
      </c>
      <c r="H1393" s="481">
        <v>30.28</v>
      </c>
      <c r="I1393" s="481">
        <v>30.28</v>
      </c>
      <c r="J1393" s="481">
        <v>30.28</v>
      </c>
      <c r="K1393" s="163">
        <v>32.299999999999997</v>
      </c>
      <c r="L1393" s="159">
        <v>31.3</v>
      </c>
      <c r="M1393" s="481">
        <v>31.29</v>
      </c>
      <c r="N1393" s="481">
        <v>31.29</v>
      </c>
      <c r="O1393" s="481">
        <v>32.299999999999997</v>
      </c>
      <c r="P1393" s="481">
        <v>32.299999999999997</v>
      </c>
      <c r="Q1393" s="156">
        <v>32.31</v>
      </c>
      <c r="R1393" s="158">
        <v>7.07</v>
      </c>
      <c r="S1393" s="163">
        <v>7.07</v>
      </c>
      <c r="T1393" s="199">
        <v>8.07</v>
      </c>
      <c r="U1393" s="201">
        <v>8.07</v>
      </c>
      <c r="V1393" s="163">
        <v>7.07</v>
      </c>
      <c r="W1393" s="199">
        <v>8.07</v>
      </c>
      <c r="X1393" s="199">
        <v>9.07</v>
      </c>
      <c r="Y1393" s="207">
        <v>9.07</v>
      </c>
      <c r="Z1393" s="199">
        <v>9.07</v>
      </c>
      <c r="AA1393" s="201">
        <v>8.07</v>
      </c>
      <c r="AB1393" s="163">
        <v>7.07</v>
      </c>
      <c r="AC1393" s="199">
        <v>8.07</v>
      </c>
      <c r="AD1393" s="199">
        <v>8.07</v>
      </c>
      <c r="AE1393" s="163">
        <v>7.07</v>
      </c>
      <c r="AF1393" s="726">
        <v>7.07</v>
      </c>
    </row>
    <row r="1394" spans="1:34">
      <c r="A1394" s="1267">
        <v>29.26</v>
      </c>
      <c r="B1394" s="159">
        <v>27.26</v>
      </c>
      <c r="C1394" s="481">
        <v>28.26</v>
      </c>
      <c r="D1394" s="481">
        <v>28.26</v>
      </c>
      <c r="E1394" s="159">
        <v>29.28</v>
      </c>
      <c r="F1394" s="159">
        <v>29.28</v>
      </c>
      <c r="G1394" s="159">
        <v>29.28</v>
      </c>
      <c r="H1394" s="163">
        <v>32.299999999999997</v>
      </c>
      <c r="I1394" s="481">
        <v>30.28</v>
      </c>
      <c r="J1394" s="163">
        <v>32.299999999999997</v>
      </c>
      <c r="K1394" s="159">
        <v>30.29</v>
      </c>
      <c r="L1394" s="159">
        <v>31.3</v>
      </c>
      <c r="M1394" s="159">
        <v>31.3</v>
      </c>
      <c r="N1394" s="481">
        <v>31.29</v>
      </c>
      <c r="O1394" s="481">
        <v>32.299999999999997</v>
      </c>
      <c r="P1394" s="159">
        <v>32.31</v>
      </c>
      <c r="Q1394" s="156">
        <v>32.31</v>
      </c>
      <c r="R1394" s="158">
        <v>7.07</v>
      </c>
      <c r="S1394" s="163">
        <v>7.07</v>
      </c>
      <c r="T1394" s="199">
        <v>8.07</v>
      </c>
      <c r="U1394" s="163">
        <v>7.07</v>
      </c>
      <c r="V1394" s="163">
        <v>7.07</v>
      </c>
      <c r="W1394" s="199">
        <v>9.07</v>
      </c>
      <c r="X1394" s="199">
        <v>9.07</v>
      </c>
      <c r="Y1394" s="199">
        <v>9.07</v>
      </c>
      <c r="Z1394" s="199">
        <v>9.07</v>
      </c>
      <c r="AA1394" s="201">
        <v>9.07</v>
      </c>
      <c r="AB1394" s="163">
        <v>7.07</v>
      </c>
      <c r="AC1394" s="163">
        <v>7.07</v>
      </c>
      <c r="AD1394" s="199">
        <v>8.07</v>
      </c>
      <c r="AE1394" s="163">
        <v>7.07</v>
      </c>
      <c r="AF1394" s="726">
        <v>7.07</v>
      </c>
    </row>
    <row r="1395" spans="1:34">
      <c r="A1395" s="1267">
        <v>29.26</v>
      </c>
      <c r="B1395" s="159">
        <v>27.26</v>
      </c>
      <c r="C1395" s="159">
        <v>28.27</v>
      </c>
      <c r="D1395" s="156">
        <v>28.27</v>
      </c>
      <c r="E1395" s="159">
        <v>29.28</v>
      </c>
      <c r="F1395" s="159">
        <v>29.28</v>
      </c>
      <c r="G1395" s="159">
        <v>29.28</v>
      </c>
      <c r="H1395" s="163">
        <v>32.299999999999997</v>
      </c>
      <c r="I1395" s="163">
        <v>32.299999999999997</v>
      </c>
      <c r="J1395" s="163">
        <v>32.299999999999997</v>
      </c>
      <c r="K1395" s="159">
        <v>30.29</v>
      </c>
      <c r="L1395" s="159">
        <v>31.3</v>
      </c>
      <c r="M1395" s="159">
        <v>31.3</v>
      </c>
      <c r="N1395" s="159">
        <v>31.3</v>
      </c>
      <c r="O1395" s="159">
        <v>32.31</v>
      </c>
      <c r="P1395" s="159">
        <v>32.31</v>
      </c>
      <c r="Q1395" s="156">
        <v>32.31</v>
      </c>
      <c r="R1395" s="158">
        <v>7.07</v>
      </c>
      <c r="S1395" s="199">
        <v>8.07</v>
      </c>
      <c r="T1395" s="199">
        <v>8.07</v>
      </c>
      <c r="U1395" s="163">
        <v>7.07</v>
      </c>
      <c r="V1395" s="163">
        <v>7.07</v>
      </c>
      <c r="W1395" s="199">
        <v>9.07</v>
      </c>
      <c r="X1395" s="201">
        <v>9.07</v>
      </c>
      <c r="Y1395" s="201">
        <v>8.07</v>
      </c>
      <c r="Z1395" s="201">
        <v>9.07</v>
      </c>
      <c r="AA1395" s="201">
        <v>9.07</v>
      </c>
      <c r="AB1395" s="163">
        <v>7.07</v>
      </c>
      <c r="AC1395" s="163">
        <v>7.07</v>
      </c>
      <c r="AD1395" s="199">
        <v>8.07</v>
      </c>
      <c r="AE1395" s="201">
        <v>8.07</v>
      </c>
      <c r="AF1395" s="726">
        <v>7.07</v>
      </c>
    </row>
    <row r="1396" spans="1:34">
      <c r="A1396" s="1267">
        <v>29.26</v>
      </c>
      <c r="B1396" s="159">
        <v>27.26</v>
      </c>
      <c r="C1396" s="159">
        <v>28.27</v>
      </c>
      <c r="D1396" s="156">
        <v>28.27</v>
      </c>
      <c r="E1396" s="159">
        <v>29.28</v>
      </c>
      <c r="F1396" s="159">
        <v>29.28</v>
      </c>
      <c r="G1396" s="159">
        <v>29.28</v>
      </c>
      <c r="H1396" s="159">
        <v>30.29</v>
      </c>
      <c r="I1396" s="159">
        <v>30.29</v>
      </c>
      <c r="J1396" s="159">
        <v>30.29</v>
      </c>
      <c r="K1396" s="159">
        <v>30.29</v>
      </c>
      <c r="L1396" s="159">
        <v>31.3</v>
      </c>
      <c r="M1396" s="159">
        <v>31.3</v>
      </c>
      <c r="N1396" s="159">
        <v>31.3</v>
      </c>
      <c r="O1396" s="159">
        <v>32.31</v>
      </c>
      <c r="P1396" s="159">
        <v>32.31</v>
      </c>
      <c r="Q1396" s="156">
        <v>32.31</v>
      </c>
      <c r="R1396" s="158">
        <v>7.07</v>
      </c>
      <c r="S1396" s="199">
        <v>8.07</v>
      </c>
      <c r="T1396" s="199">
        <v>8.07</v>
      </c>
      <c r="U1396" s="201">
        <v>8.07</v>
      </c>
      <c r="V1396" s="163">
        <v>7.07</v>
      </c>
      <c r="W1396" s="199">
        <v>9.07</v>
      </c>
      <c r="X1396" s="201">
        <v>9.07</v>
      </c>
      <c r="Y1396" s="163">
        <v>7.07</v>
      </c>
      <c r="Z1396" s="199">
        <v>9.07</v>
      </c>
      <c r="AA1396" s="201">
        <v>9.07</v>
      </c>
      <c r="AB1396" s="163">
        <v>7.07</v>
      </c>
      <c r="AC1396" s="199">
        <v>8.07</v>
      </c>
      <c r="AD1396" s="199">
        <v>8.07</v>
      </c>
      <c r="AE1396" s="199">
        <v>8.07</v>
      </c>
      <c r="AF1396" s="726">
        <v>7.07</v>
      </c>
    </row>
    <row r="1397" spans="1:34">
      <c r="A1397" s="1267">
        <v>29.26</v>
      </c>
      <c r="B1397" s="159">
        <v>27.26</v>
      </c>
      <c r="C1397" s="159">
        <v>28.27</v>
      </c>
      <c r="D1397" s="156">
        <v>28.27</v>
      </c>
      <c r="E1397" s="159">
        <v>29.28</v>
      </c>
      <c r="F1397" s="159">
        <v>29.28</v>
      </c>
      <c r="G1397" s="159">
        <v>29.28</v>
      </c>
      <c r="H1397" s="159">
        <v>30.29</v>
      </c>
      <c r="I1397" s="159">
        <v>30.29</v>
      </c>
      <c r="J1397" s="159">
        <v>30.29</v>
      </c>
      <c r="K1397" s="159">
        <v>30.29</v>
      </c>
      <c r="L1397" s="159">
        <v>31.3</v>
      </c>
      <c r="M1397" s="159">
        <v>31.3</v>
      </c>
      <c r="N1397" s="159">
        <v>31.3</v>
      </c>
      <c r="O1397" s="159">
        <v>32.31</v>
      </c>
      <c r="P1397" s="159">
        <v>32.31</v>
      </c>
      <c r="Q1397" s="156">
        <v>32.31</v>
      </c>
      <c r="R1397" s="158">
        <v>7.07</v>
      </c>
      <c r="S1397" s="163">
        <v>7.07</v>
      </c>
      <c r="T1397" s="201">
        <v>8.07</v>
      </c>
      <c r="U1397" s="163">
        <v>7.07</v>
      </c>
      <c r="V1397" s="163">
        <v>7.07</v>
      </c>
      <c r="W1397" s="199">
        <v>9.07</v>
      </c>
      <c r="X1397" s="201">
        <v>9.07</v>
      </c>
      <c r="Y1397" s="163">
        <v>7.07</v>
      </c>
      <c r="Z1397" s="199">
        <v>9.07</v>
      </c>
      <c r="AA1397" s="201">
        <v>9.07</v>
      </c>
      <c r="AB1397" s="163">
        <v>7.07</v>
      </c>
      <c r="AC1397" s="163">
        <v>7.07</v>
      </c>
      <c r="AD1397" s="199">
        <v>8.07</v>
      </c>
      <c r="AE1397" s="163">
        <v>7.07</v>
      </c>
      <c r="AF1397" s="726">
        <v>7.07</v>
      </c>
    </row>
    <row r="1398" spans="1:34">
      <c r="A1398" s="1267">
        <v>29.26</v>
      </c>
      <c r="B1398" s="159">
        <v>27.26</v>
      </c>
      <c r="C1398" s="159">
        <v>28.27</v>
      </c>
      <c r="D1398" s="156">
        <v>28.27</v>
      </c>
      <c r="E1398" s="159">
        <v>29.28</v>
      </c>
      <c r="F1398" s="159">
        <v>29.28</v>
      </c>
      <c r="G1398" s="159">
        <v>29.28</v>
      </c>
      <c r="H1398" s="159">
        <v>30.29</v>
      </c>
      <c r="I1398" s="159">
        <v>30.29</v>
      </c>
      <c r="J1398" s="159">
        <v>30.29</v>
      </c>
      <c r="K1398" s="159">
        <v>30.29</v>
      </c>
      <c r="L1398" s="159">
        <v>31.3</v>
      </c>
      <c r="M1398" s="159">
        <v>31.3</v>
      </c>
      <c r="N1398" s="159">
        <v>31.3</v>
      </c>
      <c r="O1398" s="159">
        <v>32.31</v>
      </c>
      <c r="P1398" s="159">
        <v>32.31</v>
      </c>
      <c r="Q1398" s="156">
        <v>32.31</v>
      </c>
      <c r="R1398" s="158">
        <v>7.07</v>
      </c>
      <c r="S1398" s="163">
        <v>7.07</v>
      </c>
      <c r="T1398" s="163">
        <v>7.07</v>
      </c>
      <c r="U1398" s="163">
        <v>7.07</v>
      </c>
      <c r="V1398" s="163">
        <v>7.07</v>
      </c>
      <c r="W1398" s="199">
        <v>9.07</v>
      </c>
      <c r="X1398" s="201">
        <v>9.07</v>
      </c>
      <c r="Y1398" s="163">
        <v>7.07</v>
      </c>
      <c r="Z1398" s="199">
        <v>9.07</v>
      </c>
      <c r="AA1398" s="201">
        <v>9.07</v>
      </c>
      <c r="AB1398" s="163">
        <v>7.07</v>
      </c>
      <c r="AC1398" s="163">
        <v>7.07</v>
      </c>
      <c r="AD1398" s="163">
        <v>7.07</v>
      </c>
      <c r="AE1398" s="163">
        <v>7.07</v>
      </c>
      <c r="AF1398" s="726">
        <v>7.07</v>
      </c>
    </row>
    <row r="1399" spans="1:34">
      <c r="AH1399">
        <v>1398</v>
      </c>
    </row>
    <row r="1400" spans="1:34">
      <c r="A1400" s="699"/>
      <c r="B1400" s="156">
        <v>28.26</v>
      </c>
      <c r="C1400" s="481">
        <v>28.26</v>
      </c>
      <c r="D1400" s="481">
        <v>28.26</v>
      </c>
      <c r="E1400" s="481">
        <v>29.27</v>
      </c>
      <c r="F1400" s="159">
        <v>29.28</v>
      </c>
      <c r="G1400" s="159">
        <v>29.28</v>
      </c>
      <c r="H1400" s="159">
        <v>30.29</v>
      </c>
      <c r="I1400" s="159">
        <v>30.29</v>
      </c>
      <c r="J1400" s="159">
        <v>30.29</v>
      </c>
      <c r="K1400" s="159">
        <v>30.29</v>
      </c>
      <c r="L1400" s="481">
        <v>31.29</v>
      </c>
      <c r="M1400" s="481">
        <v>31.29</v>
      </c>
      <c r="N1400" s="481">
        <v>31.29</v>
      </c>
      <c r="O1400" s="159">
        <v>32.31</v>
      </c>
      <c r="P1400" s="156">
        <v>32.31</v>
      </c>
      <c r="Q1400" s="93"/>
      <c r="R1400" s="158">
        <v>7.07</v>
      </c>
      <c r="S1400" s="163">
        <v>7.07</v>
      </c>
      <c r="T1400" s="163">
        <v>7.07</v>
      </c>
      <c r="U1400" s="163">
        <v>7.07</v>
      </c>
      <c r="V1400" s="163">
        <v>7.07</v>
      </c>
      <c r="W1400" s="199">
        <v>9.07</v>
      </c>
      <c r="X1400" s="201">
        <v>9.07</v>
      </c>
      <c r="Y1400" s="163">
        <v>7.07</v>
      </c>
      <c r="Z1400" s="199">
        <v>9.07</v>
      </c>
      <c r="AA1400" s="201">
        <v>9.07</v>
      </c>
      <c r="AB1400" s="163">
        <v>7.07</v>
      </c>
      <c r="AC1400" s="163">
        <v>7.07</v>
      </c>
      <c r="AD1400" s="163">
        <v>7.07</v>
      </c>
      <c r="AE1400" s="163">
        <v>7.07</v>
      </c>
      <c r="AF1400" s="726">
        <v>7.07</v>
      </c>
    </row>
    <row r="1401" spans="1:34">
      <c r="A1401" s="699"/>
      <c r="B1401" s="156">
        <v>28.26</v>
      </c>
      <c r="C1401" s="481">
        <v>28.26</v>
      </c>
      <c r="D1401" s="481">
        <v>28.26</v>
      </c>
      <c r="E1401" s="481">
        <v>29.27</v>
      </c>
      <c r="F1401" s="481">
        <v>29.27</v>
      </c>
      <c r="G1401" s="159">
        <v>29.28</v>
      </c>
      <c r="H1401" s="159">
        <v>30.29</v>
      </c>
      <c r="I1401" s="159">
        <v>30.29</v>
      </c>
      <c r="J1401" s="159">
        <v>30.29</v>
      </c>
      <c r="K1401" s="481">
        <v>30.28</v>
      </c>
      <c r="L1401" s="481">
        <v>31.29</v>
      </c>
      <c r="M1401" s="481">
        <v>31.29</v>
      </c>
      <c r="N1401" s="481">
        <v>31.29</v>
      </c>
      <c r="O1401" s="159">
        <v>32.31</v>
      </c>
      <c r="P1401" s="156">
        <v>32.31</v>
      </c>
      <c r="Q1401" s="93"/>
      <c r="R1401" s="158">
        <v>7.07</v>
      </c>
      <c r="S1401" s="163">
        <v>7.07</v>
      </c>
      <c r="T1401" s="163">
        <v>7.07</v>
      </c>
      <c r="U1401" s="163">
        <v>7.07</v>
      </c>
      <c r="V1401" s="163">
        <v>7.07</v>
      </c>
      <c r="W1401" s="199">
        <v>9.07</v>
      </c>
      <c r="X1401" s="201">
        <v>9.07</v>
      </c>
      <c r="Y1401" s="163">
        <v>7.07</v>
      </c>
      <c r="Z1401" s="199">
        <v>9.07</v>
      </c>
      <c r="AA1401" s="201">
        <v>9.07</v>
      </c>
      <c r="AB1401" s="163">
        <v>7.07</v>
      </c>
      <c r="AC1401" s="163">
        <v>7.07</v>
      </c>
      <c r="AD1401" s="163">
        <v>7.07</v>
      </c>
      <c r="AE1401" s="163">
        <v>7.07</v>
      </c>
      <c r="AF1401" s="726">
        <v>7.07</v>
      </c>
    </row>
    <row r="1402" spans="1:34">
      <c r="AH1402">
        <v>1401</v>
      </c>
    </row>
    <row r="1403" spans="1:34">
      <c r="A1403" s="699"/>
      <c r="B1403" s="156">
        <v>28.26</v>
      </c>
      <c r="C1403" s="159">
        <v>28.27</v>
      </c>
      <c r="D1403" s="481">
        <v>28.26</v>
      </c>
      <c r="E1403" s="481">
        <v>29.27</v>
      </c>
      <c r="F1403" s="481">
        <v>29.27</v>
      </c>
      <c r="G1403" s="159">
        <v>29.28</v>
      </c>
      <c r="H1403" s="159">
        <v>30.29</v>
      </c>
      <c r="I1403" s="159">
        <v>30.29</v>
      </c>
      <c r="J1403" s="159">
        <v>30.29</v>
      </c>
      <c r="K1403" s="481">
        <v>30.28</v>
      </c>
      <c r="L1403" s="481">
        <v>31.29</v>
      </c>
      <c r="M1403" s="481">
        <v>31.29</v>
      </c>
      <c r="N1403" s="159">
        <v>31.3</v>
      </c>
      <c r="O1403" s="156">
        <v>32.31</v>
      </c>
      <c r="P1403" s="93"/>
      <c r="Q1403" s="93"/>
      <c r="R1403" s="158">
        <v>7.07</v>
      </c>
      <c r="S1403" s="163">
        <v>7.07</v>
      </c>
      <c r="T1403" s="163">
        <v>7.07</v>
      </c>
      <c r="U1403" s="163">
        <v>7.07</v>
      </c>
      <c r="V1403" s="163">
        <v>7.07</v>
      </c>
      <c r="W1403" s="199">
        <v>9.07</v>
      </c>
      <c r="X1403" s="201">
        <v>9.07</v>
      </c>
      <c r="Y1403" s="163">
        <v>7.07</v>
      </c>
      <c r="Z1403" s="199">
        <v>9.07</v>
      </c>
      <c r="AA1403" s="201">
        <v>9.07</v>
      </c>
      <c r="AB1403" s="163">
        <v>7.07</v>
      </c>
      <c r="AC1403" s="163">
        <v>7.07</v>
      </c>
      <c r="AD1403" s="163">
        <v>7.07</v>
      </c>
      <c r="AE1403" s="163">
        <v>7.07</v>
      </c>
      <c r="AF1403" s="726">
        <v>7.07</v>
      </c>
    </row>
    <row r="1404" spans="1:34">
      <c r="AH1404">
        <v>1403</v>
      </c>
    </row>
    <row r="1405" spans="1:34">
      <c r="A1405" s="699"/>
      <c r="B1405" s="93"/>
      <c r="C1405" s="156">
        <v>28.27</v>
      </c>
      <c r="D1405" s="156">
        <v>28.27</v>
      </c>
      <c r="E1405" s="159">
        <v>29.28</v>
      </c>
      <c r="F1405" s="159">
        <v>29.28</v>
      </c>
      <c r="G1405" s="159">
        <v>29.28</v>
      </c>
      <c r="H1405" s="159">
        <v>30.29</v>
      </c>
      <c r="I1405" s="159">
        <v>30.29</v>
      </c>
      <c r="J1405" s="159">
        <v>30.29</v>
      </c>
      <c r="K1405" s="159">
        <v>30.29</v>
      </c>
      <c r="L1405" s="159">
        <v>31.3</v>
      </c>
      <c r="M1405" s="159">
        <v>31.3</v>
      </c>
      <c r="N1405" s="159">
        <v>31.3</v>
      </c>
      <c r="O1405" s="156">
        <v>32.31</v>
      </c>
      <c r="P1405" s="93"/>
      <c r="Q1405" s="93"/>
      <c r="R1405" s="158">
        <v>7.07</v>
      </c>
      <c r="S1405" s="163">
        <v>7.07</v>
      </c>
      <c r="T1405" s="163">
        <v>7.01</v>
      </c>
      <c r="U1405" s="163">
        <v>7.01</v>
      </c>
      <c r="V1405" s="163">
        <v>7.07</v>
      </c>
      <c r="W1405" s="199">
        <v>9.07</v>
      </c>
      <c r="X1405" s="201">
        <v>9.07</v>
      </c>
      <c r="Y1405" s="163">
        <v>7.07</v>
      </c>
      <c r="Z1405" s="199">
        <v>9.07</v>
      </c>
      <c r="AA1405" s="201">
        <v>9.07</v>
      </c>
      <c r="AB1405" s="163">
        <v>7.07</v>
      </c>
      <c r="AC1405" s="163">
        <v>7.01</v>
      </c>
      <c r="AD1405" s="163">
        <v>7.01</v>
      </c>
      <c r="AE1405" s="163">
        <v>7.07</v>
      </c>
      <c r="AF1405" s="726">
        <v>7.07</v>
      </c>
    </row>
    <row r="1406" spans="1:34">
      <c r="A1406" s="699"/>
      <c r="B1406" s="93"/>
      <c r="C1406" s="93"/>
      <c r="D1406" s="156">
        <v>28.27</v>
      </c>
      <c r="E1406" s="159">
        <v>29.28</v>
      </c>
      <c r="F1406" s="159">
        <v>29.28</v>
      </c>
      <c r="G1406" s="159">
        <v>29.28</v>
      </c>
      <c r="H1406" s="159">
        <v>30.29</v>
      </c>
      <c r="I1406" s="159">
        <v>30.29</v>
      </c>
      <c r="J1406" s="159">
        <v>30.29</v>
      </c>
      <c r="K1406" s="159">
        <v>30.29</v>
      </c>
      <c r="L1406" s="159">
        <v>31.3</v>
      </c>
      <c r="M1406" s="159">
        <v>31.3</v>
      </c>
      <c r="N1406" s="156">
        <v>31.3</v>
      </c>
      <c r="O1406" s="93"/>
      <c r="P1406" s="93"/>
      <c r="Q1406" s="93"/>
      <c r="R1406" s="158">
        <v>7.07</v>
      </c>
      <c r="S1406" s="163">
        <v>7.07</v>
      </c>
      <c r="T1406" s="163">
        <v>7.01</v>
      </c>
      <c r="U1406" s="163">
        <v>7.01</v>
      </c>
      <c r="V1406" s="163">
        <v>7.07</v>
      </c>
      <c r="W1406" s="199">
        <v>9.07</v>
      </c>
      <c r="X1406" s="201">
        <v>9.07</v>
      </c>
      <c r="Y1406" s="163">
        <v>7.07</v>
      </c>
      <c r="Z1406" s="199">
        <v>9.07</v>
      </c>
      <c r="AA1406" s="201">
        <v>9.07</v>
      </c>
      <c r="AB1406" s="163">
        <v>7.07</v>
      </c>
      <c r="AC1406" s="163">
        <v>7.01</v>
      </c>
      <c r="AD1406" s="163">
        <v>7.01</v>
      </c>
      <c r="AE1406" s="163">
        <v>7.07</v>
      </c>
      <c r="AF1406" s="726">
        <v>7.07</v>
      </c>
    </row>
    <row r="1407" spans="1:34">
      <c r="A1407" s="699"/>
      <c r="B1407" s="93"/>
      <c r="C1407" s="93"/>
      <c r="D1407" s="93"/>
      <c r="E1407" s="156">
        <v>29.28</v>
      </c>
      <c r="F1407" s="156">
        <v>29.28</v>
      </c>
      <c r="G1407" s="159">
        <v>29.28</v>
      </c>
      <c r="H1407" s="159">
        <v>30.29</v>
      </c>
      <c r="I1407" s="159">
        <v>30.29</v>
      </c>
      <c r="J1407" s="159">
        <v>30.29</v>
      </c>
      <c r="K1407" s="159">
        <v>30.29</v>
      </c>
      <c r="L1407" s="156">
        <v>31.3</v>
      </c>
      <c r="M1407" s="156">
        <v>31.3</v>
      </c>
      <c r="N1407" s="93"/>
      <c r="O1407" s="93"/>
      <c r="P1407" s="93"/>
      <c r="Q1407" s="93"/>
      <c r="R1407" s="158">
        <v>7.07</v>
      </c>
      <c r="S1407" s="163">
        <v>7.07</v>
      </c>
      <c r="T1407" s="163">
        <v>7.07</v>
      </c>
      <c r="U1407" s="163">
        <v>7.07</v>
      </c>
      <c r="V1407" s="199">
        <v>11.09</v>
      </c>
      <c r="W1407" s="199">
        <v>12.07</v>
      </c>
      <c r="X1407" s="201">
        <v>9.07</v>
      </c>
      <c r="Y1407" s="163">
        <v>7.07</v>
      </c>
      <c r="Z1407" s="201">
        <v>9.07</v>
      </c>
      <c r="AA1407" s="199">
        <v>12.07</v>
      </c>
      <c r="AB1407" s="199">
        <v>11.09</v>
      </c>
      <c r="AC1407" s="163">
        <v>7.07</v>
      </c>
      <c r="AD1407" s="163">
        <v>7.07</v>
      </c>
      <c r="AE1407" s="163">
        <v>7.07</v>
      </c>
      <c r="AF1407" s="726">
        <v>7.07</v>
      </c>
    </row>
    <row r="1408" spans="1:34">
      <c r="A1408" s="699"/>
      <c r="B1408" s="93"/>
      <c r="C1408" s="93"/>
      <c r="D1408" s="93"/>
      <c r="E1408" s="93"/>
      <c r="F1408" s="93"/>
      <c r="G1408" s="156">
        <v>29.28</v>
      </c>
      <c r="H1408" s="156">
        <v>30.29</v>
      </c>
      <c r="I1408" s="156">
        <v>30.29</v>
      </c>
      <c r="J1408" s="156">
        <v>30.29</v>
      </c>
      <c r="K1408" s="156">
        <v>30.29</v>
      </c>
      <c r="L1408" s="93"/>
      <c r="M1408" s="93"/>
      <c r="N1408" s="93"/>
      <c r="O1408" s="93"/>
      <c r="P1408" s="93"/>
      <c r="Q1408" s="93"/>
      <c r="R1408" s="158">
        <v>7.07</v>
      </c>
      <c r="S1408" s="161">
        <v>7.07</v>
      </c>
      <c r="T1408" s="161">
        <v>7.07</v>
      </c>
      <c r="U1408" s="161">
        <v>7.07</v>
      </c>
      <c r="V1408" s="161">
        <v>7.07</v>
      </c>
      <c r="W1408" s="161">
        <v>7.07</v>
      </c>
      <c r="X1408" s="161">
        <v>7.07</v>
      </c>
      <c r="Y1408" s="161">
        <v>7.07</v>
      </c>
      <c r="Z1408" s="161">
        <v>7.07</v>
      </c>
      <c r="AA1408" s="161">
        <v>7.07</v>
      </c>
      <c r="AB1408" s="161">
        <v>7.07</v>
      </c>
      <c r="AC1408" s="161">
        <v>7.07</v>
      </c>
      <c r="AD1408" s="161">
        <v>7.07</v>
      </c>
      <c r="AE1408" s="161">
        <v>7.07</v>
      </c>
      <c r="AF1408" s="726">
        <v>7.07</v>
      </c>
    </row>
    <row r="1409" spans="1:34">
      <c r="A1409" s="753"/>
      <c r="B1409" s="711"/>
      <c r="C1409" s="1269">
        <v>11.01</v>
      </c>
      <c r="D1409" s="1270">
        <v>11.01</v>
      </c>
      <c r="E1409" s="1270">
        <v>11.01</v>
      </c>
      <c r="F1409" s="1270">
        <v>11.01</v>
      </c>
      <c r="G1409" s="1270">
        <v>11.01</v>
      </c>
      <c r="H1409" s="1270">
        <v>11.01</v>
      </c>
      <c r="I1409" s="1270">
        <v>11.01</v>
      </c>
      <c r="J1409" s="1270">
        <v>11.01</v>
      </c>
      <c r="K1409" s="711"/>
      <c r="L1409" s="711"/>
      <c r="M1409" s="1269">
        <v>11.01</v>
      </c>
      <c r="N1409" s="1270">
        <v>11.01</v>
      </c>
      <c r="O1409" s="1270">
        <v>11.01</v>
      </c>
      <c r="P1409" s="1270">
        <v>11.01</v>
      </c>
      <c r="Q1409" s="1270">
        <v>11.01</v>
      </c>
      <c r="R1409" s="1270">
        <v>11.01</v>
      </c>
      <c r="S1409" s="1270">
        <v>11.01</v>
      </c>
      <c r="T1409" s="1270">
        <v>11.01</v>
      </c>
      <c r="U1409" s="711"/>
      <c r="V1409" s="711"/>
      <c r="W1409" s="1269">
        <v>11.01</v>
      </c>
      <c r="X1409" s="1270">
        <v>11.01</v>
      </c>
      <c r="Y1409" s="1270">
        <v>11.01</v>
      </c>
      <c r="Z1409" s="1270">
        <v>11.01</v>
      </c>
      <c r="AA1409" s="1270">
        <v>11.01</v>
      </c>
      <c r="AB1409" s="1270">
        <v>11.01</v>
      </c>
      <c r="AC1409" s="1270">
        <v>11.01</v>
      </c>
      <c r="AD1409" s="1270">
        <v>11.01</v>
      </c>
      <c r="AE1409" s="711"/>
      <c r="AF1409" s="530"/>
      <c r="AG1409">
        <v>45</v>
      </c>
    </row>
    <row r="1410" spans="1:34">
      <c r="A1410" s="699"/>
      <c r="B1410" s="93"/>
      <c r="C1410" s="298">
        <v>11.01</v>
      </c>
      <c r="D1410" s="298">
        <v>11.01</v>
      </c>
      <c r="E1410" s="298">
        <v>11.01</v>
      </c>
      <c r="F1410" s="298">
        <v>11.01</v>
      </c>
      <c r="G1410" s="298">
        <v>11.01</v>
      </c>
      <c r="H1410" s="298">
        <v>11.01</v>
      </c>
      <c r="I1410" s="294">
        <v>11.01</v>
      </c>
      <c r="J1410" s="294">
        <v>11.01</v>
      </c>
      <c r="K1410" s="93"/>
      <c r="L1410" s="93"/>
      <c r="M1410" s="298">
        <v>11.01</v>
      </c>
      <c r="N1410" s="298">
        <v>11.01</v>
      </c>
      <c r="O1410" s="298">
        <v>11.01</v>
      </c>
      <c r="P1410" s="298">
        <v>11.01</v>
      </c>
      <c r="Q1410" s="298">
        <v>11.01</v>
      </c>
      <c r="R1410" s="298">
        <v>11.01</v>
      </c>
      <c r="S1410" s="294">
        <v>11.01</v>
      </c>
      <c r="T1410" s="294">
        <v>11.01</v>
      </c>
      <c r="U1410" s="93"/>
      <c r="V1410" s="93"/>
      <c r="W1410" s="298">
        <v>11.01</v>
      </c>
      <c r="X1410" s="298">
        <v>11.01</v>
      </c>
      <c r="Y1410" s="298">
        <v>11.01</v>
      </c>
      <c r="Z1410" s="298">
        <v>11.01</v>
      </c>
      <c r="AA1410" s="298">
        <v>11.01</v>
      </c>
      <c r="AB1410" s="298">
        <v>11.01</v>
      </c>
      <c r="AC1410" s="294">
        <v>11.01</v>
      </c>
      <c r="AD1410" s="294">
        <v>11.01</v>
      </c>
      <c r="AE1410" s="93"/>
      <c r="AF1410" s="79"/>
    </row>
    <row r="1411" spans="1:34">
      <c r="A1411" s="762">
        <v>8.01</v>
      </c>
      <c r="B1411" s="294">
        <v>8.01</v>
      </c>
      <c r="C1411" s="290">
        <v>6.06</v>
      </c>
      <c r="D1411" s="290">
        <v>6.06</v>
      </c>
      <c r="E1411" s="290">
        <v>6.06</v>
      </c>
      <c r="F1411" s="290">
        <v>6.06</v>
      </c>
      <c r="G1411" s="290">
        <v>6.06</v>
      </c>
      <c r="H1411" s="290">
        <v>6.06</v>
      </c>
      <c r="I1411" s="290">
        <v>6.06</v>
      </c>
      <c r="J1411" s="290">
        <v>6.06</v>
      </c>
      <c r="K1411" s="294">
        <v>8.01</v>
      </c>
      <c r="L1411" s="294">
        <v>8.01</v>
      </c>
      <c r="M1411" s="290">
        <v>6.06</v>
      </c>
      <c r="N1411" s="290">
        <v>6.06</v>
      </c>
      <c r="O1411" s="290">
        <v>6.06</v>
      </c>
      <c r="P1411" s="290">
        <v>6.06</v>
      </c>
      <c r="Q1411" s="290">
        <v>6.06</v>
      </c>
      <c r="R1411" s="290">
        <v>6.06</v>
      </c>
      <c r="S1411" s="290">
        <v>6.06</v>
      </c>
      <c r="T1411" s="290">
        <v>6.06</v>
      </c>
      <c r="U1411" s="294">
        <v>8.01</v>
      </c>
      <c r="V1411" s="294">
        <v>8.01</v>
      </c>
      <c r="W1411" s="290">
        <v>6.06</v>
      </c>
      <c r="X1411" s="290">
        <v>6.06</v>
      </c>
      <c r="Y1411" s="290">
        <v>6.06</v>
      </c>
      <c r="Z1411" s="290">
        <v>6.06</v>
      </c>
      <c r="AA1411" s="290">
        <v>6.06</v>
      </c>
      <c r="AB1411" s="290">
        <v>6.06</v>
      </c>
      <c r="AC1411" s="290">
        <v>6.06</v>
      </c>
      <c r="AD1411" s="290">
        <v>6.06</v>
      </c>
      <c r="AE1411" s="294">
        <v>8.01</v>
      </c>
      <c r="AF1411" s="494">
        <v>8.01</v>
      </c>
    </row>
    <row r="1412" spans="1:34">
      <c r="AH1412">
        <v>1411</v>
      </c>
    </row>
    <row r="1413" spans="1:34">
      <c r="A1413" s="763">
        <v>8.01</v>
      </c>
      <c r="B1413" s="294">
        <v>8.01</v>
      </c>
      <c r="C1413" s="290">
        <v>6.06</v>
      </c>
      <c r="D1413" s="290">
        <v>6.06</v>
      </c>
      <c r="E1413" s="290">
        <v>6.06</v>
      </c>
      <c r="F1413" s="290">
        <v>6.06</v>
      </c>
      <c r="G1413" s="290">
        <v>6.06</v>
      </c>
      <c r="H1413" s="290">
        <v>6.06</v>
      </c>
      <c r="I1413" s="290">
        <v>6.06</v>
      </c>
      <c r="J1413" s="290">
        <v>6.06</v>
      </c>
      <c r="K1413" s="298">
        <v>8.01</v>
      </c>
      <c r="L1413" s="294">
        <v>8.01</v>
      </c>
      <c r="M1413" s="290">
        <v>6.06</v>
      </c>
      <c r="N1413" s="290">
        <v>6.06</v>
      </c>
      <c r="O1413" s="290">
        <v>6.06</v>
      </c>
      <c r="P1413" s="290">
        <v>6.06</v>
      </c>
      <c r="Q1413" s="290">
        <v>6.06</v>
      </c>
      <c r="R1413" s="290">
        <v>6.06</v>
      </c>
      <c r="S1413" s="290">
        <v>6.06</v>
      </c>
      <c r="T1413" s="290">
        <v>6.06</v>
      </c>
      <c r="U1413" s="298">
        <v>8.01</v>
      </c>
      <c r="V1413" s="294">
        <v>8.01</v>
      </c>
      <c r="W1413" s="290">
        <v>6.06</v>
      </c>
      <c r="X1413" s="290">
        <v>6.06</v>
      </c>
      <c r="Y1413" s="290">
        <v>6.06</v>
      </c>
      <c r="Z1413" s="290">
        <v>6.06</v>
      </c>
      <c r="AA1413" s="290">
        <v>6.06</v>
      </c>
      <c r="AB1413" s="290">
        <v>6.06</v>
      </c>
      <c r="AC1413" s="290">
        <v>6.06</v>
      </c>
      <c r="AD1413" s="290">
        <v>6.06</v>
      </c>
      <c r="AE1413" s="298">
        <v>8.01</v>
      </c>
      <c r="AF1413" s="494">
        <v>8.01</v>
      </c>
    </row>
    <row r="1414" spans="1:34">
      <c r="AH1414">
        <v>1413</v>
      </c>
    </row>
    <row r="1415" spans="1:34">
      <c r="AH1415">
        <v>1413</v>
      </c>
    </row>
    <row r="1416" spans="1:34">
      <c r="AH1416">
        <v>1413</v>
      </c>
    </row>
    <row r="1417" spans="1:34">
      <c r="AH1417">
        <v>1413</v>
      </c>
    </row>
    <row r="1418" spans="1:34">
      <c r="AH1418">
        <v>1413</v>
      </c>
    </row>
    <row r="1419" spans="1:34">
      <c r="A1419" s="763">
        <v>8.01</v>
      </c>
      <c r="B1419" s="298">
        <v>8.01</v>
      </c>
      <c r="C1419" s="290">
        <v>6.06</v>
      </c>
      <c r="D1419" s="290">
        <v>6.06</v>
      </c>
      <c r="E1419" s="290">
        <v>6.06</v>
      </c>
      <c r="F1419" s="290">
        <v>6.06</v>
      </c>
      <c r="G1419" s="290">
        <v>6.06</v>
      </c>
      <c r="H1419" s="290">
        <v>6.06</v>
      </c>
      <c r="I1419" s="290">
        <v>6.06</v>
      </c>
      <c r="J1419" s="290">
        <v>6.06</v>
      </c>
      <c r="K1419" s="298">
        <v>8.01</v>
      </c>
      <c r="L1419" s="298">
        <v>8.01</v>
      </c>
      <c r="M1419" s="290">
        <v>6.06</v>
      </c>
      <c r="N1419" s="290">
        <v>6.06</v>
      </c>
      <c r="O1419" s="290">
        <v>6.06</v>
      </c>
      <c r="P1419" s="290">
        <v>6.06</v>
      </c>
      <c r="Q1419" s="290">
        <v>6.06</v>
      </c>
      <c r="R1419" s="290">
        <v>6.06</v>
      </c>
      <c r="S1419" s="290">
        <v>6.06</v>
      </c>
      <c r="T1419" s="290">
        <v>6.06</v>
      </c>
      <c r="U1419" s="298">
        <v>8.01</v>
      </c>
      <c r="V1419" s="298">
        <v>8.01</v>
      </c>
      <c r="W1419" s="290">
        <v>6.06</v>
      </c>
      <c r="X1419" s="290">
        <v>6.06</v>
      </c>
      <c r="Y1419" s="290">
        <v>6.06</v>
      </c>
      <c r="Z1419" s="290">
        <v>6.06</v>
      </c>
      <c r="AA1419" s="290">
        <v>6.06</v>
      </c>
      <c r="AB1419" s="290">
        <v>6.06</v>
      </c>
      <c r="AC1419" s="290">
        <v>6.06</v>
      </c>
      <c r="AD1419" s="290">
        <v>6.06</v>
      </c>
      <c r="AE1419" s="298">
        <v>8.01</v>
      </c>
      <c r="AF1419" s="764">
        <v>8.01</v>
      </c>
    </row>
    <row r="1420" spans="1:34">
      <c r="A1420" s="699"/>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c r="AF1420" s="79"/>
    </row>
    <row r="1421" spans="1:34">
      <c r="A1421" s="699"/>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c r="AF1421" s="79"/>
    </row>
    <row r="1422" spans="1:34">
      <c r="A1422" s="699"/>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c r="AF1422" s="79"/>
    </row>
    <row r="1423" spans="1:34">
      <c r="A1423" s="699"/>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c r="AF1423" s="79"/>
    </row>
    <row r="1424" spans="1:34">
      <c r="A1424" s="699"/>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c r="AF1424" s="79"/>
    </row>
    <row r="1425" spans="1:34">
      <c r="AH1425">
        <v>1409</v>
      </c>
    </row>
    <row r="1426" spans="1:34">
      <c r="AH1426">
        <v>1410</v>
      </c>
    </row>
    <row r="1427" spans="1:34">
      <c r="AH1427">
        <v>1411</v>
      </c>
    </row>
    <row r="1428" spans="1:34">
      <c r="AH1428">
        <v>1411</v>
      </c>
    </row>
    <row r="1429" spans="1:34">
      <c r="AH1429">
        <v>1413</v>
      </c>
    </row>
    <row r="1430" spans="1:34">
      <c r="AH1430">
        <v>1413</v>
      </c>
    </row>
    <row r="1431" spans="1:34">
      <c r="AH1431">
        <v>1413</v>
      </c>
    </row>
    <row r="1432" spans="1:34">
      <c r="AH1432">
        <v>1413</v>
      </c>
    </row>
    <row r="1433" spans="1:34">
      <c r="AH1433">
        <v>1413</v>
      </c>
    </row>
    <row r="1434" spans="1:34">
      <c r="AH1434">
        <v>1413</v>
      </c>
    </row>
    <row r="1435" spans="1:34">
      <c r="AH1435">
        <v>1419</v>
      </c>
    </row>
    <row r="1436" spans="1:34">
      <c r="A1436" s="699"/>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c r="AF1436" s="79"/>
    </row>
    <row r="1437" spans="1:34">
      <c r="A1437" s="699"/>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c r="AF1437" s="79"/>
    </row>
    <row r="1438" spans="1:34">
      <c r="A1438" s="699"/>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c r="AF1438" s="79"/>
    </row>
    <row r="1439" spans="1:34">
      <c r="A1439" s="699"/>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c r="AF1439" s="79"/>
    </row>
    <row r="1440" spans="1:34">
      <c r="A1440" s="700"/>
      <c r="B1440" s="73"/>
      <c r="C1440" s="73"/>
      <c r="D1440" s="73"/>
      <c r="E1440" s="73"/>
      <c r="F1440" s="73"/>
      <c r="G1440" s="73"/>
      <c r="H1440" s="73"/>
      <c r="I1440" s="73"/>
      <c r="J1440" s="73"/>
      <c r="K1440" s="73"/>
      <c r="L1440" s="73"/>
      <c r="M1440" s="73"/>
      <c r="N1440" s="73"/>
      <c r="O1440" s="73"/>
      <c r="P1440" s="73"/>
      <c r="Q1440" s="73"/>
      <c r="R1440" s="73"/>
      <c r="S1440" s="73"/>
      <c r="T1440" s="73"/>
      <c r="U1440" s="73"/>
      <c r="V1440" s="73"/>
      <c r="W1440" s="73"/>
      <c r="X1440" s="73"/>
      <c r="Y1440" s="73"/>
      <c r="Z1440" s="73"/>
      <c r="AA1440" s="73"/>
      <c r="AB1440" s="73"/>
      <c r="AC1440" s="73"/>
      <c r="AD1440" s="73"/>
      <c r="AE1440" s="73"/>
      <c r="AF1440" s="701"/>
    </row>
    <row r="1441" spans="1:34">
      <c r="A1441" s="699"/>
      <c r="B1441" s="93"/>
      <c r="C1441" s="298">
        <v>9.01</v>
      </c>
      <c r="D1441" s="294">
        <v>9.01</v>
      </c>
      <c r="E1441" s="294">
        <v>9.01</v>
      </c>
      <c r="F1441" s="294">
        <v>9.01</v>
      </c>
      <c r="G1441" s="294">
        <v>9.01</v>
      </c>
      <c r="H1441" s="294">
        <v>9.01</v>
      </c>
      <c r="I1441" s="294">
        <v>9.01</v>
      </c>
      <c r="J1441" s="294">
        <v>9.01</v>
      </c>
      <c r="K1441" s="93"/>
      <c r="L1441" s="93"/>
      <c r="M1441" s="298">
        <v>9.01</v>
      </c>
      <c r="N1441" s="294">
        <v>9.01</v>
      </c>
      <c r="O1441" s="294">
        <v>9.01</v>
      </c>
      <c r="P1441" s="294">
        <v>9.01</v>
      </c>
      <c r="Q1441" s="294">
        <v>9.01</v>
      </c>
      <c r="R1441" s="294">
        <v>9.01</v>
      </c>
      <c r="S1441" s="294">
        <v>9.01</v>
      </c>
      <c r="T1441" s="294">
        <v>9.01</v>
      </c>
      <c r="U1441" s="93"/>
      <c r="V1441" s="93"/>
      <c r="W1441" s="298">
        <v>9.01</v>
      </c>
      <c r="X1441" s="294">
        <v>9.01</v>
      </c>
      <c r="Y1441" s="294">
        <v>9.01</v>
      </c>
      <c r="Z1441" s="294">
        <v>9.01</v>
      </c>
      <c r="AA1441" s="294">
        <v>9.01</v>
      </c>
      <c r="AB1441" s="294">
        <v>9.01</v>
      </c>
      <c r="AC1441" s="294">
        <v>9.01</v>
      </c>
      <c r="AD1441" s="294">
        <v>9.01</v>
      </c>
      <c r="AE1441" s="93"/>
      <c r="AF1441" s="79"/>
      <c r="AG1441">
        <v>46</v>
      </c>
    </row>
    <row r="1442" spans="1:34">
      <c r="A1442" s="699"/>
      <c r="B1442" s="93"/>
      <c r="C1442" s="298">
        <v>9.01</v>
      </c>
      <c r="D1442" s="298">
        <v>9.01</v>
      </c>
      <c r="E1442" s="298">
        <v>9.01</v>
      </c>
      <c r="F1442" s="298">
        <v>9.01</v>
      </c>
      <c r="G1442" s="298">
        <v>9.01</v>
      </c>
      <c r="H1442" s="298">
        <v>9.01</v>
      </c>
      <c r="I1442" s="294">
        <v>9.01</v>
      </c>
      <c r="J1442" s="294">
        <v>9.01</v>
      </c>
      <c r="K1442" s="93"/>
      <c r="L1442" s="93"/>
      <c r="M1442" s="298">
        <v>9.01</v>
      </c>
      <c r="N1442" s="298">
        <v>9.01</v>
      </c>
      <c r="O1442" s="298">
        <v>9.01</v>
      </c>
      <c r="P1442" s="298">
        <v>9.01</v>
      </c>
      <c r="Q1442" s="298">
        <v>9.01</v>
      </c>
      <c r="R1442" s="298">
        <v>9.01</v>
      </c>
      <c r="S1442" s="294">
        <v>9.01</v>
      </c>
      <c r="T1442" s="294">
        <v>9.01</v>
      </c>
      <c r="U1442" s="93"/>
      <c r="V1442" s="93"/>
      <c r="W1442" s="298">
        <v>9.01</v>
      </c>
      <c r="X1442" s="298">
        <v>9.01</v>
      </c>
      <c r="Y1442" s="298">
        <v>9.01</v>
      </c>
      <c r="Z1442" s="298">
        <v>9.01</v>
      </c>
      <c r="AA1442" s="298">
        <v>9.01</v>
      </c>
      <c r="AB1442" s="298">
        <v>9.01</v>
      </c>
      <c r="AC1442" s="298">
        <v>9.01</v>
      </c>
      <c r="AD1442" s="294">
        <v>9.01</v>
      </c>
      <c r="AE1442" s="93"/>
      <c r="AF1442" s="79"/>
    </row>
    <row r="1443" spans="1:34">
      <c r="A1443" s="762">
        <v>6.01</v>
      </c>
      <c r="B1443" s="294">
        <v>6.01</v>
      </c>
      <c r="C1443" s="290">
        <v>4.04</v>
      </c>
      <c r="D1443" s="290">
        <v>4.04</v>
      </c>
      <c r="E1443" s="290">
        <v>4.04</v>
      </c>
      <c r="F1443" s="290">
        <v>4.04</v>
      </c>
      <c r="G1443" s="290">
        <v>4.04</v>
      </c>
      <c r="H1443" s="290">
        <v>4.04</v>
      </c>
      <c r="I1443" s="290">
        <v>4.04</v>
      </c>
      <c r="J1443" s="290">
        <v>4.04</v>
      </c>
      <c r="K1443" s="294">
        <v>6.01</v>
      </c>
      <c r="L1443" s="294">
        <v>6.01</v>
      </c>
      <c r="M1443" s="290">
        <v>4.04</v>
      </c>
      <c r="N1443" s="290">
        <v>4.04</v>
      </c>
      <c r="O1443" s="290">
        <v>4.04</v>
      </c>
      <c r="P1443" s="290">
        <v>4.04</v>
      </c>
      <c r="Q1443" s="290">
        <v>4.04</v>
      </c>
      <c r="R1443" s="290">
        <v>4.04</v>
      </c>
      <c r="S1443" s="290">
        <v>4.04</v>
      </c>
      <c r="T1443" s="290">
        <v>4.04</v>
      </c>
      <c r="U1443" s="294">
        <v>6.01</v>
      </c>
      <c r="V1443" s="294">
        <v>6.01</v>
      </c>
      <c r="W1443" s="290">
        <v>4.04</v>
      </c>
      <c r="X1443" s="290">
        <v>4.04</v>
      </c>
      <c r="Y1443" s="290">
        <v>4.04</v>
      </c>
      <c r="Z1443" s="290">
        <v>4.04</v>
      </c>
      <c r="AA1443" s="290">
        <v>4.04</v>
      </c>
      <c r="AB1443" s="290">
        <v>4.04</v>
      </c>
      <c r="AC1443" s="290">
        <v>4.04</v>
      </c>
      <c r="AD1443" s="290">
        <v>4.04</v>
      </c>
      <c r="AE1443" s="294">
        <v>6.01</v>
      </c>
      <c r="AF1443" s="494">
        <v>6.01</v>
      </c>
    </row>
    <row r="1444" spans="1:34">
      <c r="AH1444">
        <v>1443</v>
      </c>
    </row>
    <row r="1445" spans="1:34">
      <c r="A1445" s="763">
        <v>6.01</v>
      </c>
      <c r="B1445" s="294">
        <v>6.01</v>
      </c>
      <c r="C1445" s="290">
        <v>4.04</v>
      </c>
      <c r="D1445" s="290">
        <v>4.04</v>
      </c>
      <c r="E1445" s="290">
        <v>4.04</v>
      </c>
      <c r="F1445" s="290">
        <v>4.04</v>
      </c>
      <c r="G1445" s="290">
        <v>4.04</v>
      </c>
      <c r="H1445" s="290">
        <v>4.04</v>
      </c>
      <c r="I1445" s="290">
        <v>4.04</v>
      </c>
      <c r="J1445" s="290">
        <v>4.04</v>
      </c>
      <c r="K1445" s="298">
        <v>6.01</v>
      </c>
      <c r="L1445" s="294">
        <v>6.01</v>
      </c>
      <c r="M1445" s="290">
        <v>4.04</v>
      </c>
      <c r="N1445" s="290">
        <v>4.04</v>
      </c>
      <c r="O1445" s="290">
        <v>4.04</v>
      </c>
      <c r="P1445" s="290">
        <v>4.04</v>
      </c>
      <c r="Q1445" s="290">
        <v>4.04</v>
      </c>
      <c r="R1445" s="290">
        <v>4.04</v>
      </c>
      <c r="S1445" s="290">
        <v>4.04</v>
      </c>
      <c r="T1445" s="290">
        <v>4.04</v>
      </c>
      <c r="U1445" s="298">
        <v>6.01</v>
      </c>
      <c r="V1445" s="294">
        <v>6.01</v>
      </c>
      <c r="W1445" s="290">
        <v>4.04</v>
      </c>
      <c r="X1445" s="290">
        <v>4.04</v>
      </c>
      <c r="Y1445" s="290">
        <v>4.04</v>
      </c>
      <c r="Z1445" s="290">
        <v>4.04</v>
      </c>
      <c r="AA1445" s="290">
        <v>4.04</v>
      </c>
      <c r="AB1445" s="290">
        <v>4.04</v>
      </c>
      <c r="AC1445" s="290">
        <v>4.04</v>
      </c>
      <c r="AD1445" s="290">
        <v>4.04</v>
      </c>
      <c r="AE1445" s="298">
        <v>6.01</v>
      </c>
      <c r="AF1445" s="494">
        <v>6.01</v>
      </c>
    </row>
    <row r="1446" spans="1:34">
      <c r="AH1446">
        <v>1445</v>
      </c>
    </row>
    <row r="1447" spans="1:34">
      <c r="AH1447">
        <v>1445</v>
      </c>
    </row>
    <row r="1448" spans="1:34">
      <c r="AH1448">
        <v>1445</v>
      </c>
    </row>
    <row r="1449" spans="1:34">
      <c r="AH1449">
        <v>1445</v>
      </c>
    </row>
    <row r="1450" spans="1:34">
      <c r="AH1450">
        <v>1445</v>
      </c>
    </row>
    <row r="1451" spans="1:34">
      <c r="A1451" s="763">
        <v>6.01</v>
      </c>
      <c r="B1451" s="298">
        <v>6.01</v>
      </c>
      <c r="C1451" s="290">
        <v>4.04</v>
      </c>
      <c r="D1451" s="290">
        <v>4.04</v>
      </c>
      <c r="E1451" s="290">
        <v>4.04</v>
      </c>
      <c r="F1451" s="290">
        <v>4.04</v>
      </c>
      <c r="G1451" s="290">
        <v>4.04</v>
      </c>
      <c r="H1451" s="290">
        <v>4.04</v>
      </c>
      <c r="I1451" s="290">
        <v>4.04</v>
      </c>
      <c r="J1451" s="290">
        <v>4.04</v>
      </c>
      <c r="K1451" s="298">
        <v>6.01</v>
      </c>
      <c r="L1451" s="298">
        <v>6.01</v>
      </c>
      <c r="M1451" s="290">
        <v>4.04</v>
      </c>
      <c r="N1451" s="290">
        <v>4.04</v>
      </c>
      <c r="O1451" s="290">
        <v>4.04</v>
      </c>
      <c r="P1451" s="290">
        <v>4.04</v>
      </c>
      <c r="Q1451" s="290">
        <v>4.04</v>
      </c>
      <c r="R1451" s="290">
        <v>4.04</v>
      </c>
      <c r="S1451" s="290">
        <v>4.04</v>
      </c>
      <c r="T1451" s="290">
        <v>4.04</v>
      </c>
      <c r="U1451" s="298">
        <v>6.01</v>
      </c>
      <c r="V1451" s="298">
        <v>6.01</v>
      </c>
      <c r="W1451" s="290">
        <v>4.04</v>
      </c>
      <c r="X1451" s="290">
        <v>4.04</v>
      </c>
      <c r="Y1451" s="290">
        <v>4.04</v>
      </c>
      <c r="Z1451" s="290">
        <v>4.04</v>
      </c>
      <c r="AA1451" s="290">
        <v>4.04</v>
      </c>
      <c r="AB1451" s="290">
        <v>4.04</v>
      </c>
      <c r="AC1451" s="290">
        <v>4.04</v>
      </c>
      <c r="AD1451" s="290">
        <v>4.04</v>
      </c>
      <c r="AE1451" s="298">
        <v>6.01</v>
      </c>
      <c r="AF1451" s="764">
        <v>6.01</v>
      </c>
    </row>
    <row r="1452" spans="1:34">
      <c r="A1452" s="699"/>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c r="AF1452" s="79"/>
    </row>
    <row r="1453" spans="1:34">
      <c r="A1453" s="699"/>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c r="AF1453" s="79"/>
    </row>
    <row r="1454" spans="1:34">
      <c r="A1454" s="699"/>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c r="AF1454" s="79"/>
    </row>
    <row r="1455" spans="1:34">
      <c r="A1455" s="699"/>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c r="AF1455" s="79"/>
    </row>
    <row r="1456" spans="1:34">
      <c r="A1456" s="699"/>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c r="AF1456" s="79"/>
    </row>
    <row r="1457" spans="1:34">
      <c r="AH1457">
        <v>1441</v>
      </c>
    </row>
    <row r="1458" spans="1:34">
      <c r="AH1458">
        <v>1442</v>
      </c>
    </row>
    <row r="1459" spans="1:34">
      <c r="AH1459">
        <v>1443</v>
      </c>
    </row>
    <row r="1460" spans="1:34">
      <c r="AH1460">
        <v>1443</v>
      </c>
    </row>
    <row r="1461" spans="1:34">
      <c r="AH1461">
        <v>1445</v>
      </c>
    </row>
    <row r="1462" spans="1:34">
      <c r="AH1462">
        <v>1445</v>
      </c>
    </row>
    <row r="1463" spans="1:34">
      <c r="AH1463">
        <v>1445</v>
      </c>
    </row>
    <row r="1464" spans="1:34">
      <c r="AH1464">
        <v>1445</v>
      </c>
    </row>
    <row r="1465" spans="1:34">
      <c r="AH1465">
        <v>1445</v>
      </c>
    </row>
    <row r="1466" spans="1:34">
      <c r="AH1466">
        <v>1445</v>
      </c>
    </row>
    <row r="1467" spans="1:34">
      <c r="AH1467">
        <v>1451</v>
      </c>
    </row>
    <row r="1468" spans="1:34">
      <c r="A1468" s="699"/>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c r="AF1468" s="79"/>
    </row>
    <row r="1469" spans="1:34">
      <c r="A1469" s="699"/>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c r="AF1469" s="79"/>
    </row>
    <row r="1470" spans="1:34">
      <c r="A1470" s="699"/>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c r="AF1470" s="79"/>
    </row>
    <row r="1471" spans="1:34">
      <c r="A1471" s="699"/>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c r="AF1471" s="79"/>
    </row>
    <row r="1472" spans="1:34">
      <c r="A1472" s="699"/>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c r="AF1472" s="79"/>
    </row>
    <row r="1473" spans="1:34">
      <c r="A1473" s="1271">
        <v>32.01</v>
      </c>
      <c r="B1473" s="1272">
        <v>32.01</v>
      </c>
      <c r="C1473" s="1272">
        <v>32.01</v>
      </c>
      <c r="D1473" s="1272">
        <v>32.01</v>
      </c>
      <c r="E1473" s="1272">
        <v>32.01</v>
      </c>
      <c r="F1473" s="1272">
        <v>32.01</v>
      </c>
      <c r="G1473" s="1272">
        <v>32.01</v>
      </c>
      <c r="H1473" s="1272">
        <v>32.01</v>
      </c>
      <c r="I1473" s="1272">
        <v>11.19</v>
      </c>
      <c r="J1473" s="1272">
        <v>11.19</v>
      </c>
      <c r="K1473" s="1272">
        <v>11.19</v>
      </c>
      <c r="L1473" s="1272">
        <v>11.19</v>
      </c>
      <c r="M1473" s="1272">
        <v>11.19</v>
      </c>
      <c r="N1473" s="1272">
        <v>11.19</v>
      </c>
      <c r="O1473" s="1272">
        <v>11.19</v>
      </c>
      <c r="P1473" s="1272">
        <v>11.19</v>
      </c>
      <c r="Q1473" s="1272">
        <v>11.19</v>
      </c>
      <c r="R1473" s="1272">
        <v>11.19</v>
      </c>
      <c r="S1473" s="1272">
        <v>11.19</v>
      </c>
      <c r="T1473" s="1272">
        <v>11.19</v>
      </c>
      <c r="U1473" s="1272">
        <v>11.19</v>
      </c>
      <c r="V1473" s="1272">
        <v>11.19</v>
      </c>
      <c r="W1473" s="1272">
        <v>11.19</v>
      </c>
      <c r="X1473" s="1272">
        <v>11.19</v>
      </c>
      <c r="Y1473" s="1272">
        <v>32.01</v>
      </c>
      <c r="Z1473" s="1272">
        <v>32.01</v>
      </c>
      <c r="AA1473" s="1272">
        <v>32.01</v>
      </c>
      <c r="AB1473" s="1272">
        <v>32.01</v>
      </c>
      <c r="AC1473" s="1272">
        <v>32.01</v>
      </c>
      <c r="AD1473" s="1272">
        <v>32.01</v>
      </c>
      <c r="AE1473" s="1272">
        <v>32.01</v>
      </c>
      <c r="AF1473" s="1273">
        <v>32.01</v>
      </c>
      <c r="AG1473">
        <v>47</v>
      </c>
    </row>
    <row r="1474" spans="1:34">
      <c r="A1474" s="1274">
        <v>32.01</v>
      </c>
      <c r="B1474" s="45">
        <v>32.01</v>
      </c>
      <c r="C1474" s="45">
        <v>32.01</v>
      </c>
      <c r="D1474" s="45">
        <v>32.01</v>
      </c>
      <c r="E1474" s="45">
        <v>32.01</v>
      </c>
      <c r="F1474" s="45">
        <v>32.01</v>
      </c>
      <c r="G1474" s="45">
        <v>32.01</v>
      </c>
      <c r="H1474" s="45">
        <v>32.01</v>
      </c>
      <c r="I1474" s="45">
        <v>11.19</v>
      </c>
      <c r="J1474" s="45">
        <v>11.19</v>
      </c>
      <c r="K1474" s="45">
        <v>11.19</v>
      </c>
      <c r="L1474" s="45">
        <v>11.19</v>
      </c>
      <c r="M1474" s="45">
        <v>11.19</v>
      </c>
      <c r="N1474" s="45">
        <v>11.19</v>
      </c>
      <c r="O1474" s="45">
        <v>11.19</v>
      </c>
      <c r="P1474" s="45">
        <v>11.19</v>
      </c>
      <c r="Q1474" s="45">
        <v>11.19</v>
      </c>
      <c r="R1474" s="45">
        <v>11.19</v>
      </c>
      <c r="S1474" s="45">
        <v>11.19</v>
      </c>
      <c r="T1474" s="45">
        <v>11.19</v>
      </c>
      <c r="U1474" s="45">
        <v>11.19</v>
      </c>
      <c r="V1474" s="45">
        <v>11.19</v>
      </c>
      <c r="W1474" s="45">
        <v>11.19</v>
      </c>
      <c r="X1474" s="45">
        <v>11.19</v>
      </c>
      <c r="Y1474" s="45">
        <v>32.01</v>
      </c>
      <c r="Z1474" s="45">
        <v>32.01</v>
      </c>
      <c r="AA1474" s="45">
        <v>32.01</v>
      </c>
      <c r="AB1474" s="45">
        <v>32.01</v>
      </c>
      <c r="AC1474" s="45">
        <v>32.01</v>
      </c>
      <c r="AD1474" s="45">
        <v>32.01</v>
      </c>
      <c r="AE1474" s="45">
        <v>32.01</v>
      </c>
      <c r="AF1474" s="1275">
        <v>32.01</v>
      </c>
    </row>
    <row r="1475" spans="1:34">
      <c r="AH1475">
        <v>1474</v>
      </c>
    </row>
    <row r="1476" spans="1:34">
      <c r="A1476" s="1276">
        <v>32.01</v>
      </c>
      <c r="B1476" s="50">
        <v>32.01</v>
      </c>
      <c r="C1476" s="50">
        <v>32.01</v>
      </c>
      <c r="D1476" s="50">
        <v>32.01</v>
      </c>
      <c r="E1476" s="50">
        <v>32.01</v>
      </c>
      <c r="F1476" s="50">
        <v>32.01</v>
      </c>
      <c r="G1476" s="50">
        <v>32.01</v>
      </c>
      <c r="H1476" s="50">
        <v>32.01</v>
      </c>
      <c r="I1476" s="50">
        <v>11.19</v>
      </c>
      <c r="J1476" s="50">
        <v>11.19</v>
      </c>
      <c r="K1476" s="50">
        <v>11.19</v>
      </c>
      <c r="L1476" s="50">
        <v>11.19</v>
      </c>
      <c r="M1476" s="50">
        <v>11.19</v>
      </c>
      <c r="N1476" s="50">
        <v>11.19</v>
      </c>
      <c r="O1476" s="50">
        <v>11.19</v>
      </c>
      <c r="P1476" s="50">
        <v>11.19</v>
      </c>
      <c r="Q1476" s="50">
        <v>11.19</v>
      </c>
      <c r="R1476" s="50">
        <v>11.19</v>
      </c>
      <c r="S1476" s="50">
        <v>11.19</v>
      </c>
      <c r="T1476" s="50">
        <v>11.19</v>
      </c>
      <c r="U1476" s="50">
        <v>11.19</v>
      </c>
      <c r="V1476" s="50">
        <v>11.19</v>
      </c>
      <c r="W1476" s="50">
        <v>11.19</v>
      </c>
      <c r="X1476" s="50">
        <v>11.19</v>
      </c>
      <c r="Y1476" s="50">
        <v>32.01</v>
      </c>
      <c r="Z1476" s="50">
        <v>32.01</v>
      </c>
      <c r="AA1476" s="50">
        <v>32.01</v>
      </c>
      <c r="AB1476" s="50">
        <v>32.01</v>
      </c>
      <c r="AC1476" s="50">
        <v>32.01</v>
      </c>
      <c r="AD1476" s="50">
        <v>32.01</v>
      </c>
      <c r="AE1476" s="50">
        <v>32.01</v>
      </c>
      <c r="AF1476" s="1277">
        <v>32.01</v>
      </c>
    </row>
    <row r="1477" spans="1:34">
      <c r="A1477" s="1268"/>
      <c r="B1477" s="540"/>
      <c r="C1477" s="540"/>
      <c r="D1477" s="540"/>
      <c r="E1477" s="540"/>
      <c r="F1477" s="540"/>
      <c r="G1477" s="540"/>
      <c r="H1477" s="540"/>
      <c r="I1477" s="540"/>
      <c r="J1477" s="540"/>
      <c r="K1477" s="540"/>
      <c r="L1477" s="540"/>
      <c r="M1477" s="540"/>
      <c r="N1477" s="540"/>
      <c r="O1477" s="540"/>
      <c r="P1477" s="540"/>
      <c r="Q1477" s="540"/>
      <c r="R1477" s="540"/>
      <c r="S1477" s="540"/>
      <c r="T1477" s="540"/>
      <c r="U1477" s="540"/>
      <c r="V1477" s="540"/>
      <c r="W1477" s="540"/>
      <c r="X1477" s="540"/>
      <c r="Y1477" s="540"/>
      <c r="Z1477" s="540"/>
      <c r="AA1477" s="540"/>
      <c r="AB1477" s="540"/>
      <c r="AC1477" s="540"/>
      <c r="AD1477" s="540"/>
      <c r="AE1477" s="540"/>
      <c r="AF1477" s="738"/>
    </row>
    <row r="1478" spans="1:34">
      <c r="A1478" s="1268"/>
      <c r="B1478" s="540"/>
      <c r="C1478" s="540"/>
      <c r="D1478" s="540"/>
      <c r="E1478" s="540"/>
      <c r="F1478" s="540"/>
      <c r="G1478" s="540"/>
      <c r="H1478" s="540"/>
      <c r="I1478" s="540"/>
      <c r="J1478" s="540"/>
      <c r="K1478" s="540"/>
      <c r="L1478" s="540"/>
      <c r="M1478" s="540"/>
      <c r="N1478" s="540"/>
      <c r="O1478" s="540"/>
      <c r="P1478" s="540"/>
      <c r="Q1478" s="540"/>
      <c r="R1478" s="540"/>
      <c r="S1478" s="540"/>
      <c r="T1478" s="540"/>
      <c r="U1478" s="540"/>
      <c r="V1478" s="540"/>
      <c r="W1478" s="540"/>
      <c r="X1478" s="540"/>
      <c r="Y1478" s="540"/>
      <c r="Z1478" s="540"/>
      <c r="AA1478" s="540"/>
      <c r="AB1478" s="540"/>
      <c r="AC1478" s="540"/>
      <c r="AD1478" s="540"/>
      <c r="AE1478" s="540"/>
      <c r="AF1478" s="738"/>
    </row>
    <row r="1479" spans="1:34">
      <c r="A1479" s="1268"/>
      <c r="B1479" s="540"/>
      <c r="C1479" s="540"/>
      <c r="D1479" s="540"/>
      <c r="E1479" s="540"/>
      <c r="F1479" s="540"/>
      <c r="G1479" s="540"/>
      <c r="H1479" s="540"/>
      <c r="I1479" s="540"/>
      <c r="J1479" s="540"/>
      <c r="K1479" s="540"/>
      <c r="L1479" s="540"/>
      <c r="M1479" s="540"/>
      <c r="N1479" s="540"/>
      <c r="O1479" s="540"/>
      <c r="P1479" s="540"/>
      <c r="Q1479" s="540"/>
      <c r="R1479" s="540"/>
      <c r="S1479" s="540"/>
      <c r="T1479" s="540"/>
      <c r="U1479" s="540"/>
      <c r="V1479" s="540"/>
      <c r="W1479" s="540"/>
      <c r="X1479" s="540"/>
      <c r="Y1479" s="540"/>
      <c r="Z1479" s="540"/>
      <c r="AA1479" s="540"/>
      <c r="AB1479" s="540"/>
      <c r="AC1479" s="540"/>
      <c r="AD1479" s="540"/>
      <c r="AE1479" s="540"/>
      <c r="AF1479" s="738"/>
    </row>
    <row r="1480" spans="1:34">
      <c r="A1480" s="1268"/>
      <c r="B1480" s="540"/>
      <c r="C1480" s="540"/>
      <c r="D1480" s="540"/>
      <c r="E1480" s="540"/>
      <c r="F1480" s="540"/>
      <c r="G1480" s="540"/>
      <c r="H1480" s="540"/>
      <c r="I1480" s="540"/>
      <c r="J1480" s="540"/>
      <c r="K1480" s="540"/>
      <c r="L1480" s="540"/>
      <c r="M1480" s="540"/>
      <c r="N1480" s="540"/>
      <c r="O1480" s="540"/>
      <c r="P1480" s="540"/>
      <c r="Q1480" s="540"/>
      <c r="R1480" s="540"/>
      <c r="S1480" s="540"/>
      <c r="T1480" s="540"/>
      <c r="U1480" s="540"/>
      <c r="V1480" s="540"/>
      <c r="W1480" s="540"/>
      <c r="X1480" s="540"/>
      <c r="Y1480" s="540"/>
      <c r="Z1480" s="540"/>
      <c r="AA1480" s="540"/>
      <c r="AB1480" s="540"/>
      <c r="AC1480" s="540"/>
      <c r="AD1480" s="540"/>
      <c r="AE1480" s="540"/>
      <c r="AF1480" s="738"/>
    </row>
    <row r="1481" spans="1:34">
      <c r="A1481" s="1268"/>
      <c r="B1481" s="540"/>
      <c r="C1481" s="540"/>
      <c r="D1481" s="540"/>
      <c r="E1481" s="540"/>
      <c r="F1481" s="540"/>
      <c r="G1481" s="540"/>
      <c r="H1481" s="540"/>
      <c r="I1481" s="540"/>
      <c r="J1481" s="540"/>
      <c r="K1481" s="540"/>
      <c r="L1481" s="540"/>
      <c r="M1481" s="540"/>
      <c r="N1481" s="540"/>
      <c r="O1481" s="540"/>
      <c r="P1481" s="540"/>
      <c r="Q1481" s="540"/>
      <c r="R1481" s="540"/>
      <c r="S1481" s="540"/>
      <c r="T1481" s="540"/>
      <c r="U1481" s="540"/>
      <c r="V1481" s="540"/>
      <c r="W1481" s="540"/>
      <c r="X1481" s="540"/>
      <c r="Y1481" s="540"/>
      <c r="Z1481" s="540"/>
      <c r="AA1481" s="540"/>
      <c r="AB1481" s="540"/>
      <c r="AC1481" s="540"/>
      <c r="AD1481" s="540"/>
      <c r="AE1481" s="540"/>
      <c r="AF1481" s="738"/>
    </row>
    <row r="1482" spans="1:34">
      <c r="A1482" s="1268"/>
      <c r="B1482" s="540"/>
      <c r="C1482" s="540"/>
      <c r="D1482" s="540"/>
      <c r="E1482" s="540"/>
      <c r="F1482" s="540"/>
      <c r="G1482" s="540"/>
      <c r="H1482" s="540"/>
      <c r="I1482" s="540"/>
      <c r="J1482" s="540"/>
      <c r="K1482" s="540"/>
      <c r="L1482" s="540"/>
      <c r="M1482" s="540"/>
      <c r="N1482" s="540"/>
      <c r="O1482" s="62">
        <v>13.120000000000001</v>
      </c>
      <c r="P1482" s="62">
        <v>14.11</v>
      </c>
      <c r="Q1482" s="62">
        <v>14.11</v>
      </c>
      <c r="R1482" s="62">
        <v>13.120000000000001</v>
      </c>
      <c r="S1482" s="540"/>
      <c r="T1482" s="540"/>
      <c r="U1482" s="540"/>
      <c r="V1482" s="540"/>
      <c r="W1482" s="540"/>
      <c r="X1482" s="540"/>
      <c r="Y1482" s="540"/>
      <c r="Z1482" s="540"/>
      <c r="AA1482" s="540"/>
      <c r="AB1482" s="540"/>
      <c r="AC1482" s="540"/>
      <c r="AD1482" s="540"/>
      <c r="AE1482" s="540"/>
      <c r="AF1482" s="738"/>
    </row>
    <row r="1483" spans="1:34">
      <c r="A1483" s="1268"/>
      <c r="B1483" s="540"/>
      <c r="C1483" s="540"/>
      <c r="D1483" s="540"/>
      <c r="E1483" s="540"/>
      <c r="F1483" s="540"/>
      <c r="G1483" s="540"/>
      <c r="H1483" s="540"/>
      <c r="I1483" s="540"/>
      <c r="J1483" s="540"/>
      <c r="K1483" s="540"/>
      <c r="L1483" s="540"/>
      <c r="M1483" s="540"/>
      <c r="N1483" s="540"/>
      <c r="O1483" s="684">
        <v>13.120000000000001</v>
      </c>
      <c r="P1483" s="684">
        <v>14.11</v>
      </c>
      <c r="Q1483" s="684">
        <v>14.11</v>
      </c>
      <c r="R1483" s="684">
        <v>13.120000000000001</v>
      </c>
      <c r="S1483" s="540"/>
      <c r="T1483" s="540"/>
      <c r="U1483" s="540"/>
      <c r="V1483" s="540"/>
      <c r="W1483" s="540"/>
      <c r="X1483" s="540"/>
      <c r="Y1483" s="540"/>
      <c r="Z1483" s="540"/>
      <c r="AA1483" s="540"/>
      <c r="AB1483" s="540"/>
      <c r="AC1483" s="540"/>
      <c r="AD1483" s="540"/>
      <c r="AE1483" s="540"/>
      <c r="AF1483" s="738"/>
    </row>
    <row r="1484" spans="1:34">
      <c r="A1484" s="1268"/>
      <c r="B1484" s="540"/>
      <c r="C1484" s="540"/>
      <c r="D1484" s="540"/>
      <c r="E1484" s="540"/>
      <c r="F1484" s="540"/>
      <c r="G1484" s="540"/>
      <c r="H1484" s="540"/>
      <c r="I1484" s="540"/>
      <c r="J1484" s="540"/>
      <c r="K1484" s="540"/>
      <c r="L1484" s="540"/>
      <c r="M1484" s="540"/>
      <c r="N1484" s="540"/>
      <c r="O1484" s="540"/>
      <c r="P1484" s="688">
        <v>13.120000000000001</v>
      </c>
      <c r="Q1484" s="688">
        <v>13.120000000000001</v>
      </c>
      <c r="R1484" s="540"/>
      <c r="S1484" s="540"/>
      <c r="T1484" s="540"/>
      <c r="U1484" s="540"/>
      <c r="V1484" s="540"/>
      <c r="W1484" s="540"/>
      <c r="X1484" s="540"/>
      <c r="Y1484" s="540"/>
      <c r="Z1484" s="540"/>
      <c r="AA1484" s="540"/>
      <c r="AB1484" s="540"/>
      <c r="AC1484" s="540"/>
      <c r="AD1484" s="540"/>
      <c r="AE1484" s="540"/>
      <c r="AF1484" s="738"/>
    </row>
    <row r="1485" spans="1:34">
      <c r="A1485" s="1268"/>
      <c r="B1485" s="540"/>
      <c r="C1485" s="540"/>
      <c r="D1485" s="540"/>
      <c r="E1485" s="540"/>
      <c r="F1485" s="540"/>
      <c r="G1485" s="540"/>
      <c r="H1485" s="540"/>
      <c r="I1485" s="540"/>
      <c r="J1485" s="540"/>
      <c r="K1485" s="540"/>
      <c r="L1485" s="58">
        <v>16.13</v>
      </c>
      <c r="M1485" s="540"/>
      <c r="N1485" s="540"/>
      <c r="O1485" s="540"/>
      <c r="P1485" s="682">
        <v>13.120000000000001</v>
      </c>
      <c r="Q1485" s="682">
        <v>13.120000000000001</v>
      </c>
      <c r="R1485" s="540"/>
      <c r="S1485" s="540"/>
      <c r="T1485" s="540"/>
      <c r="U1485" s="540"/>
      <c r="V1485" s="540"/>
      <c r="W1485" s="540"/>
      <c r="X1485" s="540"/>
      <c r="Y1485" s="540"/>
      <c r="Z1485" s="540"/>
      <c r="AA1485" s="540"/>
      <c r="AB1485" s="540"/>
      <c r="AC1485" s="540"/>
      <c r="AD1485" s="540"/>
      <c r="AE1485" s="540"/>
      <c r="AF1485" s="738"/>
    </row>
    <row r="1486" spans="1:34">
      <c r="A1486" s="1268"/>
      <c r="B1486" s="540"/>
      <c r="C1486" s="540"/>
      <c r="D1486" s="540"/>
      <c r="E1486" s="540"/>
      <c r="F1486" s="540"/>
      <c r="G1486" s="540"/>
      <c r="H1486" s="540"/>
      <c r="I1486" s="540"/>
      <c r="J1486" s="540"/>
      <c r="K1486" s="540"/>
      <c r="L1486" s="58">
        <v>18.11</v>
      </c>
      <c r="M1486" s="540"/>
      <c r="N1486" s="684">
        <v>14.08</v>
      </c>
      <c r="O1486" s="684">
        <v>14.08</v>
      </c>
      <c r="P1486" s="684">
        <v>14.08</v>
      </c>
      <c r="Q1486" s="684">
        <v>14.08</v>
      </c>
      <c r="R1486" s="684">
        <v>14.08</v>
      </c>
      <c r="S1486" s="684">
        <v>14.08</v>
      </c>
      <c r="T1486" s="540"/>
      <c r="U1486" s="540"/>
      <c r="V1486" s="540"/>
      <c r="W1486" s="540"/>
      <c r="X1486" s="540"/>
      <c r="Y1486" s="540"/>
      <c r="Z1486" s="540"/>
      <c r="AA1486" s="540"/>
      <c r="AB1486" s="540"/>
      <c r="AC1486" s="540"/>
      <c r="AD1486" s="540"/>
      <c r="AE1486" s="540"/>
      <c r="AF1486" s="738"/>
    </row>
    <row r="1487" spans="1:34">
      <c r="A1487" s="1268"/>
      <c r="B1487" s="540"/>
      <c r="C1487" s="540"/>
      <c r="D1487" s="540"/>
      <c r="E1487" s="540"/>
      <c r="F1487" s="540"/>
      <c r="G1487" s="540"/>
      <c r="H1487" s="540"/>
      <c r="I1487" s="540"/>
      <c r="J1487" s="540"/>
      <c r="K1487" s="540"/>
      <c r="L1487" s="58">
        <v>19.100000000000001</v>
      </c>
      <c r="M1487" s="683">
        <v>14.08</v>
      </c>
      <c r="N1487" s="683">
        <v>14.08</v>
      </c>
      <c r="O1487" s="683">
        <v>14.08</v>
      </c>
      <c r="P1487" s="683">
        <v>14.08</v>
      </c>
      <c r="Q1487" s="683">
        <v>14.08</v>
      </c>
      <c r="R1487" s="683">
        <v>14.08</v>
      </c>
      <c r="S1487" s="683">
        <v>14.08</v>
      </c>
      <c r="T1487" s="473">
        <v>14.08</v>
      </c>
      <c r="U1487" s="540"/>
      <c r="V1487" s="540"/>
      <c r="W1487" s="540"/>
      <c r="X1487" s="540"/>
      <c r="Y1487" s="540"/>
      <c r="Z1487" s="540"/>
      <c r="AA1487" s="540"/>
      <c r="AB1487" s="540"/>
      <c r="AC1487" s="540"/>
      <c r="AD1487" s="540"/>
      <c r="AE1487" s="540"/>
      <c r="AF1487" s="738"/>
    </row>
    <row r="1488" spans="1:34">
      <c r="A1488" s="1268"/>
      <c r="B1488" s="540"/>
      <c r="C1488" s="540"/>
      <c r="D1488" s="540"/>
      <c r="E1488" s="540"/>
      <c r="F1488" s="540"/>
      <c r="G1488" s="540"/>
      <c r="H1488" s="540"/>
      <c r="I1488" s="540"/>
      <c r="J1488" s="540"/>
      <c r="K1488" s="540"/>
      <c r="L1488" s="58">
        <v>20.09</v>
      </c>
      <c r="M1488" s="682">
        <v>16.079999999999998</v>
      </c>
      <c r="N1488" s="682">
        <v>14.01</v>
      </c>
      <c r="O1488" s="682">
        <v>14.01</v>
      </c>
      <c r="P1488" s="683">
        <v>14.08</v>
      </c>
      <c r="Q1488" s="683">
        <v>14.08</v>
      </c>
      <c r="R1488" s="682">
        <v>14.01</v>
      </c>
      <c r="S1488" s="682">
        <v>14.01</v>
      </c>
      <c r="T1488" s="473">
        <v>14.08</v>
      </c>
      <c r="U1488" s="540"/>
      <c r="V1488" s="540"/>
      <c r="W1488" s="540"/>
      <c r="X1488" s="540"/>
      <c r="Y1488" s="540"/>
      <c r="Z1488" s="540"/>
      <c r="AA1488" s="540"/>
      <c r="AB1488" s="540"/>
      <c r="AC1488" s="540"/>
      <c r="AD1488" s="540"/>
      <c r="AE1488" s="540"/>
      <c r="AF1488" s="738"/>
    </row>
    <row r="1489" spans="1:34">
      <c r="AH1489">
        <v>1488</v>
      </c>
    </row>
    <row r="1490" spans="1:34">
      <c r="A1490" s="1268"/>
      <c r="B1490" s="540"/>
      <c r="C1490" s="540"/>
      <c r="D1490" s="540"/>
      <c r="E1490" s="540"/>
      <c r="F1490" s="540"/>
      <c r="G1490" s="540"/>
      <c r="H1490" s="540"/>
      <c r="I1490" s="540"/>
      <c r="J1490" s="540"/>
      <c r="K1490" s="540"/>
      <c r="L1490" s="58">
        <v>20.09</v>
      </c>
      <c r="M1490" s="682">
        <v>16.079999999999998</v>
      </c>
      <c r="N1490" s="683">
        <v>14.12</v>
      </c>
      <c r="O1490" s="683">
        <v>14.12</v>
      </c>
      <c r="P1490" s="683">
        <v>14.12</v>
      </c>
      <c r="Q1490" s="683">
        <v>14.12</v>
      </c>
      <c r="R1490" s="683">
        <v>14.12</v>
      </c>
      <c r="S1490" s="683">
        <v>14.08</v>
      </c>
      <c r="T1490" s="540"/>
      <c r="U1490" s="540"/>
      <c r="V1490" s="540"/>
      <c r="W1490" s="540"/>
      <c r="X1490" s="540"/>
      <c r="Y1490" s="540"/>
      <c r="Z1490" s="540"/>
      <c r="AA1490" s="540"/>
      <c r="AB1490" s="540"/>
      <c r="AC1490" s="540"/>
      <c r="AD1490" s="540"/>
      <c r="AE1490" s="540"/>
      <c r="AF1490" s="738"/>
    </row>
    <row r="1491" spans="1:34">
      <c r="A1491" s="1268"/>
      <c r="B1491" s="540"/>
      <c r="C1491" s="540"/>
      <c r="D1491" s="540"/>
      <c r="E1491" s="540"/>
      <c r="F1491" s="540"/>
      <c r="G1491" s="540"/>
      <c r="H1491" s="540"/>
      <c r="I1491" s="540"/>
      <c r="J1491" s="540"/>
      <c r="K1491" s="540"/>
      <c r="L1491" s="58">
        <v>19.100000000000001</v>
      </c>
      <c r="M1491" s="683">
        <v>14.08</v>
      </c>
      <c r="N1491" s="683">
        <v>14.12</v>
      </c>
      <c r="O1491" s="683">
        <v>14.12</v>
      </c>
      <c r="P1491" s="683">
        <v>14.12</v>
      </c>
      <c r="Q1491" s="683">
        <v>14.12</v>
      </c>
      <c r="R1491" s="683">
        <v>14.12</v>
      </c>
      <c r="S1491" s="683">
        <v>14.08</v>
      </c>
      <c r="T1491" s="473">
        <v>14.08</v>
      </c>
      <c r="U1491" s="540"/>
      <c r="V1491" s="540"/>
      <c r="W1491" s="540"/>
      <c r="X1491" s="540"/>
      <c r="Y1491" s="540"/>
      <c r="Z1491" s="540"/>
      <c r="AA1491" s="540"/>
      <c r="AB1491" s="540"/>
      <c r="AC1491" s="540"/>
      <c r="AD1491" s="540"/>
      <c r="AE1491" s="540"/>
      <c r="AF1491" s="738"/>
    </row>
    <row r="1492" spans="1:34">
      <c r="A1492" s="1268"/>
      <c r="B1492" s="540"/>
      <c r="C1492" s="540"/>
      <c r="D1492" s="540"/>
      <c r="E1492" s="540"/>
      <c r="F1492" s="540"/>
      <c r="G1492" s="540"/>
      <c r="H1492" s="540"/>
      <c r="I1492" s="540"/>
      <c r="J1492" s="540"/>
      <c r="K1492" s="540"/>
      <c r="L1492" s="58">
        <v>18.11</v>
      </c>
      <c r="M1492" s="683">
        <v>14.08</v>
      </c>
      <c r="N1492" s="683">
        <v>14.08</v>
      </c>
      <c r="O1492" s="682">
        <v>14.12</v>
      </c>
      <c r="P1492" s="683">
        <v>14.08</v>
      </c>
      <c r="Q1492" s="682">
        <v>14.12</v>
      </c>
      <c r="R1492" s="316">
        <v>15.12</v>
      </c>
      <c r="S1492" s="683">
        <v>14.08</v>
      </c>
      <c r="T1492" s="540"/>
      <c r="U1492" s="540"/>
      <c r="V1492" s="540"/>
      <c r="W1492" s="540"/>
      <c r="X1492" s="540"/>
      <c r="Y1492" s="540"/>
      <c r="Z1492" s="540"/>
      <c r="AA1492" s="540"/>
      <c r="AB1492" s="540"/>
      <c r="AC1492" s="540"/>
      <c r="AD1492" s="540"/>
      <c r="AE1492" s="540"/>
      <c r="AF1492" s="738"/>
    </row>
    <row r="1493" spans="1:34">
      <c r="A1493" s="1268"/>
      <c r="B1493" s="540"/>
      <c r="C1493" s="540"/>
      <c r="D1493" s="540"/>
      <c r="E1493" s="540"/>
      <c r="F1493" s="540"/>
      <c r="G1493" s="540"/>
      <c r="H1493" s="540"/>
      <c r="I1493" s="540"/>
      <c r="J1493" s="540"/>
      <c r="K1493" s="540"/>
      <c r="L1493" s="58">
        <v>16.13</v>
      </c>
      <c r="M1493" s="683">
        <v>14.08</v>
      </c>
      <c r="N1493" s="683">
        <v>14.08</v>
      </c>
      <c r="O1493" s="682">
        <v>14.12</v>
      </c>
      <c r="P1493" s="683">
        <v>14.08</v>
      </c>
      <c r="Q1493" s="682">
        <v>14.12</v>
      </c>
      <c r="R1493" s="683">
        <v>14.08</v>
      </c>
      <c r="S1493" s="683">
        <v>14.08</v>
      </c>
      <c r="T1493" s="473">
        <v>14.08</v>
      </c>
      <c r="U1493" s="540"/>
      <c r="V1493" s="540"/>
      <c r="W1493" s="540"/>
      <c r="X1493" s="540"/>
      <c r="Y1493" s="540"/>
      <c r="Z1493" s="540"/>
      <c r="AA1493" s="540"/>
      <c r="AB1493" s="540"/>
      <c r="AC1493" s="540"/>
      <c r="AD1493" s="540"/>
      <c r="AE1493" s="540"/>
      <c r="AF1493" s="738"/>
    </row>
    <row r="1494" spans="1:34">
      <c r="A1494" s="1268"/>
      <c r="B1494" s="540"/>
      <c r="C1494" s="540"/>
      <c r="D1494" s="540"/>
      <c r="E1494" s="540"/>
      <c r="F1494" s="540"/>
      <c r="G1494" s="540"/>
      <c r="H1494" s="540"/>
      <c r="I1494" s="540"/>
      <c r="J1494" s="540"/>
      <c r="K1494" s="540"/>
      <c r="L1494" s="540"/>
      <c r="M1494" s="683">
        <v>14.08</v>
      </c>
      <c r="N1494" s="683">
        <v>14.08</v>
      </c>
      <c r="O1494" s="682">
        <v>14.12</v>
      </c>
      <c r="P1494" s="683">
        <v>14.08</v>
      </c>
      <c r="Q1494" s="682">
        <v>14.12</v>
      </c>
      <c r="R1494" s="317">
        <v>15.12</v>
      </c>
      <c r="S1494" s="683">
        <v>14.08</v>
      </c>
      <c r="T1494" s="540"/>
      <c r="U1494" s="540"/>
      <c r="V1494" s="540"/>
      <c r="W1494" s="540"/>
      <c r="X1494" s="540"/>
      <c r="Y1494" s="540"/>
      <c r="Z1494" s="540"/>
      <c r="AA1494" s="540"/>
      <c r="AB1494" s="540"/>
      <c r="AC1494" s="540"/>
      <c r="AD1494" s="540"/>
      <c r="AE1494" s="540"/>
      <c r="AF1494" s="738"/>
    </row>
    <row r="1495" spans="1:34">
      <c r="A1495" s="1268"/>
      <c r="B1495" s="540"/>
      <c r="C1495" s="540"/>
      <c r="D1495" s="540"/>
      <c r="E1495" s="540"/>
      <c r="F1495" s="540"/>
      <c r="G1495" s="540"/>
      <c r="H1495" s="540"/>
      <c r="I1495" s="540"/>
      <c r="J1495" s="540"/>
      <c r="K1495" s="540"/>
      <c r="L1495" s="58">
        <v>14.11</v>
      </c>
      <c r="M1495" s="683">
        <v>14.08</v>
      </c>
      <c r="N1495" s="683">
        <v>14.08</v>
      </c>
      <c r="O1495" s="682">
        <v>14.12</v>
      </c>
      <c r="P1495" s="683">
        <v>14.08</v>
      </c>
      <c r="Q1495" s="682">
        <v>14.12</v>
      </c>
      <c r="R1495" s="683">
        <v>14.08</v>
      </c>
      <c r="S1495" s="683">
        <v>14.08</v>
      </c>
      <c r="T1495" s="473">
        <v>14.08</v>
      </c>
      <c r="U1495" s="540"/>
      <c r="V1495" s="540"/>
      <c r="W1495" s="540"/>
      <c r="X1495" s="540"/>
      <c r="Y1495" s="540"/>
      <c r="Z1495" s="540"/>
      <c r="AA1495" s="540"/>
      <c r="AB1495" s="540"/>
      <c r="AC1495" s="540"/>
      <c r="AD1495" s="540"/>
      <c r="AE1495" s="540"/>
      <c r="AF1495" s="738"/>
    </row>
    <row r="1496" spans="1:34">
      <c r="A1496" s="1268"/>
      <c r="B1496" s="298">
        <v>8.08</v>
      </c>
      <c r="C1496" s="298">
        <v>8.08</v>
      </c>
      <c r="D1496" s="298">
        <v>8.08</v>
      </c>
      <c r="E1496" s="298">
        <v>8.08</v>
      </c>
      <c r="F1496" s="298">
        <v>8.08</v>
      </c>
      <c r="G1496" s="298">
        <v>8.08</v>
      </c>
      <c r="H1496" s="298">
        <v>8.08</v>
      </c>
      <c r="I1496" s="540"/>
      <c r="J1496" s="540"/>
      <c r="K1496" s="540"/>
      <c r="L1496" s="58">
        <v>16.09</v>
      </c>
      <c r="M1496" s="683">
        <v>14.08</v>
      </c>
      <c r="N1496" s="683">
        <v>14.08</v>
      </c>
      <c r="O1496" s="682">
        <v>14.12</v>
      </c>
      <c r="P1496" s="683">
        <v>14.08</v>
      </c>
      <c r="Q1496" s="682">
        <v>14.12</v>
      </c>
      <c r="R1496" s="683">
        <v>14.08</v>
      </c>
      <c r="S1496" s="683">
        <v>14.08</v>
      </c>
      <c r="T1496" s="540"/>
      <c r="U1496" s="540"/>
      <c r="V1496" s="540"/>
      <c r="W1496" s="540"/>
      <c r="X1496" s="540"/>
      <c r="Y1496" s="540"/>
      <c r="Z1496" s="540"/>
      <c r="AA1496" s="540"/>
      <c r="AB1496" s="540"/>
      <c r="AC1496" s="540"/>
      <c r="AD1496" s="540"/>
      <c r="AE1496" s="540"/>
      <c r="AF1496" s="738"/>
    </row>
    <row r="1497" spans="1:34">
      <c r="A1497" s="1268"/>
      <c r="B1497" s="298">
        <v>8.08</v>
      </c>
      <c r="C1497" s="290">
        <v>8.01</v>
      </c>
      <c r="D1497" s="290">
        <v>8.01</v>
      </c>
      <c r="E1497" s="290">
        <v>8.08</v>
      </c>
      <c r="F1497" s="290">
        <v>8.01</v>
      </c>
      <c r="G1497" s="290">
        <v>8.01</v>
      </c>
      <c r="H1497" s="298">
        <v>8.08</v>
      </c>
      <c r="I1497" s="540"/>
      <c r="J1497" s="540"/>
      <c r="K1497" s="540"/>
      <c r="L1497" s="58">
        <v>17.079999999999998</v>
      </c>
      <c r="M1497" s="683">
        <v>14.08</v>
      </c>
      <c r="N1497" s="683">
        <v>14.08</v>
      </c>
      <c r="O1497" s="682">
        <v>14.12</v>
      </c>
      <c r="P1497" s="683">
        <v>14.08</v>
      </c>
      <c r="Q1497" s="682">
        <v>14.12</v>
      </c>
      <c r="R1497" s="683">
        <v>14.08</v>
      </c>
      <c r="S1497" s="683">
        <v>14.08</v>
      </c>
      <c r="T1497" s="473">
        <v>14.08</v>
      </c>
      <c r="U1497" s="540"/>
      <c r="V1497" s="540"/>
      <c r="W1497" s="540"/>
      <c r="X1497" s="540"/>
      <c r="Y1497" s="540"/>
      <c r="Z1497" s="540"/>
      <c r="AA1497" s="540"/>
      <c r="AB1497" s="540"/>
      <c r="AC1497" s="540"/>
      <c r="AD1497" s="540"/>
      <c r="AE1497" s="540"/>
      <c r="AF1497" s="738"/>
    </row>
    <row r="1498" spans="1:34">
      <c r="A1498" s="1268"/>
      <c r="B1498" s="298">
        <v>8.08</v>
      </c>
      <c r="C1498" s="290">
        <v>8.01</v>
      </c>
      <c r="D1498" s="290">
        <v>8.01</v>
      </c>
      <c r="E1498" s="290">
        <v>8.08</v>
      </c>
      <c r="F1498" s="290">
        <v>8.01</v>
      </c>
      <c r="G1498" s="290">
        <v>8.01</v>
      </c>
      <c r="H1498" s="298">
        <v>8.08</v>
      </c>
      <c r="I1498" s="540"/>
      <c r="J1498" s="540"/>
      <c r="K1498" s="540"/>
      <c r="L1498" s="58">
        <v>18.07</v>
      </c>
      <c r="M1498" s="682">
        <v>14.08</v>
      </c>
      <c r="N1498" s="683">
        <v>14.08</v>
      </c>
      <c r="O1498" s="682">
        <v>14.12</v>
      </c>
      <c r="P1498" s="683">
        <v>14.08</v>
      </c>
      <c r="Q1498" s="682">
        <v>14.12</v>
      </c>
      <c r="R1498" s="683">
        <v>14.08</v>
      </c>
      <c r="S1498" s="683">
        <v>14.08</v>
      </c>
      <c r="T1498" s="540"/>
      <c r="U1498" s="540"/>
      <c r="V1498" s="540"/>
      <c r="W1498" s="540"/>
      <c r="X1498" s="540"/>
      <c r="Y1498" s="540"/>
      <c r="Z1498" s="540"/>
      <c r="AA1498" s="540"/>
      <c r="AB1498" s="540"/>
      <c r="AC1498" s="540"/>
      <c r="AD1498" s="540"/>
      <c r="AE1498" s="540"/>
      <c r="AF1498" s="738"/>
    </row>
    <row r="1499" spans="1:34">
      <c r="A1499" s="1268"/>
      <c r="B1499" s="298">
        <v>8.08</v>
      </c>
      <c r="C1499" s="290">
        <v>8.08</v>
      </c>
      <c r="D1499" s="290">
        <v>8.08</v>
      </c>
      <c r="E1499" s="290">
        <v>8.08</v>
      </c>
      <c r="F1499" s="290">
        <v>8.08</v>
      </c>
      <c r="G1499" s="290">
        <v>8.08</v>
      </c>
      <c r="H1499" s="298">
        <v>8.08</v>
      </c>
      <c r="I1499" s="540"/>
      <c r="J1499" s="540"/>
      <c r="K1499" s="540"/>
      <c r="L1499" s="58">
        <v>18.07</v>
      </c>
      <c r="M1499" s="682">
        <v>14.08</v>
      </c>
      <c r="N1499" s="683">
        <v>14.08</v>
      </c>
      <c r="O1499" s="682">
        <v>14.12</v>
      </c>
      <c r="P1499" s="683">
        <v>14.08</v>
      </c>
      <c r="Q1499" s="682">
        <v>14.12</v>
      </c>
      <c r="R1499" s="683">
        <v>14.08</v>
      </c>
      <c r="S1499" s="683">
        <v>14.08</v>
      </c>
      <c r="T1499" s="473">
        <v>14.08</v>
      </c>
      <c r="U1499" s="540"/>
      <c r="V1499" s="540"/>
      <c r="W1499" s="540"/>
      <c r="X1499" s="540"/>
      <c r="Y1499" s="540"/>
      <c r="Z1499" s="540"/>
      <c r="AA1499" s="540"/>
      <c r="AB1499" s="540"/>
      <c r="AC1499" s="540"/>
      <c r="AD1499" s="540"/>
      <c r="AE1499" s="540"/>
      <c r="AF1499" s="738"/>
    </row>
    <row r="1500" spans="1:34">
      <c r="A1500" s="1268"/>
      <c r="B1500" s="298">
        <v>8.08</v>
      </c>
      <c r="C1500" s="290">
        <v>8.08</v>
      </c>
      <c r="D1500" s="290">
        <v>8.08</v>
      </c>
      <c r="E1500" s="290">
        <v>8.08</v>
      </c>
      <c r="F1500" s="290">
        <v>8.08</v>
      </c>
      <c r="G1500" s="290">
        <v>8.08</v>
      </c>
      <c r="H1500" s="298">
        <v>8.08</v>
      </c>
      <c r="I1500" s="540"/>
      <c r="J1500" s="540"/>
      <c r="K1500" s="540"/>
      <c r="L1500" s="58">
        <v>18.07</v>
      </c>
      <c r="M1500" s="682">
        <v>14.08</v>
      </c>
      <c r="N1500" s="683">
        <v>14.12</v>
      </c>
      <c r="O1500" s="683">
        <v>14.12</v>
      </c>
      <c r="P1500" s="683">
        <v>14.12</v>
      </c>
      <c r="Q1500" s="683">
        <v>14.12</v>
      </c>
      <c r="R1500" s="683">
        <v>14.12</v>
      </c>
      <c r="S1500" s="683">
        <v>14.08</v>
      </c>
      <c r="T1500" s="540"/>
      <c r="U1500" s="540"/>
      <c r="V1500" s="540"/>
      <c r="W1500" s="540"/>
      <c r="X1500" s="540"/>
      <c r="Y1500" s="540"/>
      <c r="Z1500" s="540"/>
      <c r="AA1500" s="540"/>
      <c r="AB1500" s="540"/>
      <c r="AC1500" s="540"/>
      <c r="AD1500" s="540"/>
      <c r="AE1500" s="540"/>
      <c r="AF1500" s="738"/>
    </row>
    <row r="1501" spans="1:34">
      <c r="A1501" s="1268"/>
      <c r="B1501" s="298">
        <v>8.08</v>
      </c>
      <c r="C1501" s="290">
        <v>8.01</v>
      </c>
      <c r="D1501" s="290">
        <v>8.01</v>
      </c>
      <c r="E1501" s="290">
        <v>8.08</v>
      </c>
      <c r="F1501" s="290">
        <v>8.01</v>
      </c>
      <c r="G1501" s="290">
        <v>8.01</v>
      </c>
      <c r="H1501" s="298">
        <v>8.08</v>
      </c>
      <c r="I1501" s="540"/>
      <c r="J1501" s="540"/>
      <c r="K1501" s="540"/>
      <c r="L1501" s="58">
        <v>17.079999999999998</v>
      </c>
      <c r="M1501" s="683">
        <v>14.08</v>
      </c>
      <c r="N1501" s="682">
        <v>14.01</v>
      </c>
      <c r="O1501" s="682">
        <v>14.01</v>
      </c>
      <c r="P1501" s="683">
        <v>14.08</v>
      </c>
      <c r="Q1501" s="683">
        <v>14.08</v>
      </c>
      <c r="R1501" s="682">
        <v>14.01</v>
      </c>
      <c r="S1501" s="682">
        <v>14.01</v>
      </c>
      <c r="T1501" s="473">
        <v>14.08</v>
      </c>
      <c r="U1501" s="540"/>
      <c r="V1501" s="540"/>
      <c r="W1501" s="540"/>
      <c r="X1501" s="540"/>
      <c r="Y1501" s="540"/>
      <c r="Z1501" s="540"/>
      <c r="AA1501" s="540"/>
      <c r="AB1501" s="540"/>
      <c r="AC1501" s="540"/>
      <c r="AD1501" s="540"/>
      <c r="AE1501" s="540"/>
      <c r="AF1501" s="738"/>
    </row>
    <row r="1502" spans="1:34">
      <c r="A1502" s="1268"/>
      <c r="B1502" s="298">
        <v>8.08</v>
      </c>
      <c r="C1502" s="290">
        <v>8.01</v>
      </c>
      <c r="D1502" s="290">
        <v>8.01</v>
      </c>
      <c r="E1502" s="290">
        <v>8.08</v>
      </c>
      <c r="F1502" s="290">
        <v>8.01</v>
      </c>
      <c r="G1502" s="290">
        <v>8.01</v>
      </c>
      <c r="H1502" s="298">
        <v>8.08</v>
      </c>
      <c r="I1502" s="540"/>
      <c r="J1502" s="540"/>
      <c r="K1502" s="540"/>
      <c r="L1502" s="58">
        <v>14.11</v>
      </c>
      <c r="M1502" s="683">
        <v>14.08</v>
      </c>
      <c r="N1502" s="682">
        <v>14.01</v>
      </c>
      <c r="O1502" s="682">
        <v>14.01</v>
      </c>
      <c r="P1502" s="683">
        <v>14.08</v>
      </c>
      <c r="Q1502" s="683">
        <v>14.08</v>
      </c>
      <c r="R1502" s="682">
        <v>14.01</v>
      </c>
      <c r="S1502" s="682">
        <v>14.01</v>
      </c>
      <c r="T1502" s="473">
        <v>14.08</v>
      </c>
      <c r="U1502" s="540"/>
      <c r="V1502" s="540"/>
      <c r="W1502" s="540"/>
      <c r="X1502" s="540"/>
      <c r="Y1502" s="540"/>
      <c r="Z1502" s="540"/>
      <c r="AA1502" s="540"/>
      <c r="AB1502" s="540"/>
      <c r="AC1502" s="540"/>
      <c r="AD1502" s="540"/>
      <c r="AE1502" s="540"/>
      <c r="AF1502" s="738"/>
    </row>
    <row r="1503" spans="1:34">
      <c r="A1503" s="1268"/>
      <c r="B1503" s="298">
        <v>10.08</v>
      </c>
      <c r="C1503" s="298">
        <v>8.08</v>
      </c>
      <c r="D1503" s="298">
        <v>10.08</v>
      </c>
      <c r="E1503" s="298">
        <v>8.08</v>
      </c>
      <c r="F1503" s="298">
        <v>10.08</v>
      </c>
      <c r="G1503" s="298">
        <v>8.08</v>
      </c>
      <c r="H1503" s="298">
        <v>10.08</v>
      </c>
      <c r="I1503" s="540"/>
      <c r="J1503" s="540"/>
      <c r="K1503" s="540"/>
      <c r="L1503" s="540"/>
      <c r="M1503" s="683">
        <v>14.08</v>
      </c>
      <c r="N1503" s="683">
        <v>14.08</v>
      </c>
      <c r="O1503" s="683">
        <v>14.08</v>
      </c>
      <c r="P1503" s="683">
        <v>14.08</v>
      </c>
      <c r="Q1503" s="683">
        <v>14.08</v>
      </c>
      <c r="R1503" s="683">
        <v>14.08</v>
      </c>
      <c r="S1503" s="683">
        <v>14.08</v>
      </c>
      <c r="T1503" s="473">
        <v>14.08</v>
      </c>
      <c r="U1503" s="540"/>
      <c r="V1503" s="540"/>
      <c r="W1503" s="540"/>
      <c r="X1503" s="540"/>
      <c r="Y1503" s="540"/>
      <c r="Z1503" s="540"/>
      <c r="AA1503" s="540"/>
      <c r="AB1503" s="540"/>
      <c r="AC1503" s="540"/>
      <c r="AD1503" s="540"/>
      <c r="AE1503" s="540"/>
      <c r="AF1503" s="738"/>
    </row>
    <row r="1504" spans="1:34">
      <c r="A1504" s="1268"/>
      <c r="B1504" s="298">
        <v>12.1</v>
      </c>
      <c r="C1504" s="298">
        <v>12.12</v>
      </c>
      <c r="D1504" s="298">
        <v>12.1</v>
      </c>
      <c r="E1504" s="298">
        <v>12.12</v>
      </c>
      <c r="F1504" s="298">
        <v>12.1</v>
      </c>
      <c r="G1504" s="298">
        <v>12.12</v>
      </c>
      <c r="H1504" s="298">
        <v>12.1</v>
      </c>
      <c r="I1504" s="540"/>
      <c r="J1504" s="540"/>
      <c r="K1504" s="540"/>
      <c r="L1504" s="540"/>
      <c r="M1504" s="540"/>
      <c r="N1504" s="473">
        <v>14.08</v>
      </c>
      <c r="O1504" s="473">
        <v>14.08</v>
      </c>
      <c r="P1504" s="473">
        <v>14.08</v>
      </c>
      <c r="Q1504" s="473">
        <v>14.08</v>
      </c>
      <c r="R1504" s="473">
        <v>14.08</v>
      </c>
      <c r="S1504" s="473">
        <v>14.08</v>
      </c>
      <c r="T1504" s="540"/>
      <c r="U1504" s="540"/>
      <c r="V1504" s="540"/>
      <c r="W1504" s="540"/>
      <c r="X1504" s="540"/>
      <c r="Y1504" s="540"/>
      <c r="Z1504" s="540"/>
      <c r="AA1504" s="540"/>
      <c r="AB1504" s="540"/>
      <c r="AC1504" s="540"/>
      <c r="AD1504" s="540"/>
      <c r="AE1504" s="540"/>
      <c r="AF1504" s="738"/>
    </row>
    <row r="1505" spans="1:33">
      <c r="A1505" s="753"/>
      <c r="B1505" s="711"/>
      <c r="C1505" s="711"/>
      <c r="D1505" s="711"/>
      <c r="E1505" s="711"/>
      <c r="F1505" s="711"/>
      <c r="G1505" s="711"/>
      <c r="H1505" s="711"/>
      <c r="I1505" s="711"/>
      <c r="J1505" s="711"/>
      <c r="K1505" s="711"/>
      <c r="L1505" s="711"/>
      <c r="M1505" s="711"/>
      <c r="N1505" s="711"/>
      <c r="O1505" s="711"/>
      <c r="P1505" s="711"/>
      <c r="Q1505" s="711"/>
      <c r="R1505" s="711"/>
      <c r="S1505" s="711"/>
      <c r="T1505" s="711"/>
      <c r="U1505" s="711"/>
      <c r="V1505" s="711"/>
      <c r="W1505" s="711"/>
      <c r="X1505" s="711"/>
      <c r="Y1505" s="711"/>
      <c r="Z1505" s="711"/>
      <c r="AA1505" s="711"/>
      <c r="AB1505" s="711"/>
      <c r="AC1505" s="711"/>
      <c r="AD1505" s="711"/>
      <c r="AE1505" s="711"/>
      <c r="AF1505" s="530"/>
      <c r="AG1505">
        <v>48</v>
      </c>
    </row>
    <row r="1506" spans="1:33">
      <c r="A1506" s="699"/>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c r="AF1506" s="79"/>
    </row>
    <row r="1507" spans="1:33">
      <c r="A1507" s="699"/>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c r="AF1507" s="79"/>
    </row>
    <row r="1508" spans="1:33">
      <c r="A1508" s="699"/>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c r="AF1508" s="79"/>
    </row>
    <row r="1509" spans="1:33">
      <c r="A1509" s="699"/>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c r="AF1509" s="79"/>
    </row>
    <row r="1510" spans="1:33">
      <c r="A1510" s="699"/>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c r="AF1510" s="79"/>
    </row>
    <row r="1511" spans="1:33">
      <c r="A1511" s="699"/>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c r="AF1511" s="79"/>
    </row>
    <row r="1512" spans="1:33">
      <c r="A1512" s="699"/>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c r="AF1512" s="79"/>
    </row>
    <row r="1513" spans="1:33">
      <c r="A1513" s="699"/>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c r="AF1513" s="79"/>
    </row>
    <row r="1514" spans="1:33">
      <c r="A1514" s="699"/>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c r="AF1514" s="79"/>
    </row>
    <row r="1515" spans="1:33">
      <c r="A1515" s="699"/>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c r="AF1515" s="79"/>
    </row>
    <row r="1516" spans="1:33">
      <c r="A1516" s="699"/>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c r="AF1516" s="79"/>
    </row>
    <row r="1517" spans="1:33">
      <c r="A1517" s="699"/>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c r="AF1517" s="79"/>
    </row>
    <row r="1518" spans="1:33">
      <c r="A1518" s="699"/>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c r="AF1518" s="79"/>
    </row>
    <row r="1519" spans="1:33">
      <c r="A1519" s="699"/>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c r="AF1519" s="79"/>
    </row>
    <row r="1520" spans="1:33">
      <c r="A1520" s="699"/>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c r="AF1520" s="79"/>
    </row>
    <row r="1521" spans="1:34">
      <c r="A1521" s="699"/>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c r="AF1521" s="79"/>
    </row>
    <row r="1522" spans="1:34">
      <c r="A1522" s="699"/>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c r="AF1522" s="79"/>
    </row>
    <row r="1523" spans="1:34">
      <c r="A1523" s="699"/>
      <c r="B1523" s="93"/>
      <c r="C1523" s="298">
        <v>32.01</v>
      </c>
      <c r="D1523" s="294">
        <v>32.01</v>
      </c>
      <c r="E1523" s="294">
        <v>32.01</v>
      </c>
      <c r="F1523" s="294">
        <v>32.01</v>
      </c>
      <c r="G1523" s="294">
        <v>2.2999999999999998</v>
      </c>
      <c r="H1523" s="294">
        <v>2.2999999999999998</v>
      </c>
      <c r="I1523" s="294">
        <v>2.2999999999999998</v>
      </c>
      <c r="J1523" s="294">
        <v>2.2999999999999998</v>
      </c>
      <c r="K1523" s="294">
        <v>2.2999999999999998</v>
      </c>
      <c r="L1523" s="294">
        <v>2.2999999999999998</v>
      </c>
      <c r="M1523" s="294">
        <v>2.2999999999999998</v>
      </c>
      <c r="N1523" s="294">
        <v>2.2999999999999998</v>
      </c>
      <c r="O1523" s="294">
        <v>2.2999999999999998</v>
      </c>
      <c r="P1523" s="294">
        <v>2.2999999999999998</v>
      </c>
      <c r="Q1523" s="294">
        <v>2.2999999999999998</v>
      </c>
      <c r="R1523" s="294">
        <v>2.2999999999999998</v>
      </c>
      <c r="S1523" s="294">
        <v>2.2999999999999998</v>
      </c>
      <c r="T1523" s="294">
        <v>2.2999999999999998</v>
      </c>
      <c r="U1523" s="294">
        <v>2.2999999999999998</v>
      </c>
      <c r="V1523" s="294">
        <v>2.2999999999999998</v>
      </c>
      <c r="W1523" s="294">
        <v>2.2999999999999998</v>
      </c>
      <c r="X1523" s="294">
        <v>2.2999999999999998</v>
      </c>
      <c r="Y1523" s="294">
        <v>2.2999999999999998</v>
      </c>
      <c r="Z1523" s="294">
        <v>2.2999999999999998</v>
      </c>
      <c r="AA1523" s="294">
        <v>32.01</v>
      </c>
      <c r="AB1523" s="294">
        <v>32.01</v>
      </c>
      <c r="AC1523" s="294">
        <v>32.01</v>
      </c>
      <c r="AD1523" s="298">
        <v>32.01</v>
      </c>
      <c r="AE1523" s="93"/>
      <c r="AF1523" s="79"/>
    </row>
    <row r="1524" spans="1:34">
      <c r="A1524" s="699"/>
      <c r="B1524" s="93"/>
      <c r="C1524" s="294">
        <v>32.01</v>
      </c>
      <c r="D1524" s="297">
        <v>32.01</v>
      </c>
      <c r="E1524" s="297">
        <v>32.01</v>
      </c>
      <c r="F1524" s="297">
        <v>32.01</v>
      </c>
      <c r="G1524" s="297">
        <v>32.01</v>
      </c>
      <c r="H1524" s="297">
        <v>32.01</v>
      </c>
      <c r="I1524" s="297">
        <v>3.29</v>
      </c>
      <c r="J1524" s="297">
        <v>3.29</v>
      </c>
      <c r="K1524" s="297">
        <v>3.29</v>
      </c>
      <c r="L1524" s="297">
        <v>3.29</v>
      </c>
      <c r="M1524" s="297">
        <v>3.29</v>
      </c>
      <c r="N1524" s="297">
        <v>3.29</v>
      </c>
      <c r="O1524" s="297">
        <v>3.29</v>
      </c>
      <c r="P1524" s="297">
        <v>3.29</v>
      </c>
      <c r="Q1524" s="297">
        <v>3.29</v>
      </c>
      <c r="R1524" s="297">
        <v>3.29</v>
      </c>
      <c r="S1524" s="297">
        <v>3.29</v>
      </c>
      <c r="T1524" s="297">
        <v>3.29</v>
      </c>
      <c r="U1524" s="297">
        <v>3.29</v>
      </c>
      <c r="V1524" s="297">
        <v>3.29</v>
      </c>
      <c r="W1524" s="297">
        <v>3.29</v>
      </c>
      <c r="X1524" s="297">
        <v>3.29</v>
      </c>
      <c r="Y1524" s="297">
        <v>32.01</v>
      </c>
      <c r="Z1524" s="297">
        <v>32.01</v>
      </c>
      <c r="AA1524" s="297">
        <v>32.01</v>
      </c>
      <c r="AB1524" s="297">
        <v>32.01</v>
      </c>
      <c r="AC1524" s="297">
        <v>32.01</v>
      </c>
      <c r="AD1524" s="294">
        <v>32.01</v>
      </c>
      <c r="AE1524" s="93"/>
      <c r="AF1524" s="79"/>
    </row>
    <row r="1525" spans="1:34">
      <c r="A1525" s="699"/>
      <c r="B1525" s="93"/>
      <c r="C1525" s="294">
        <v>32.01</v>
      </c>
      <c r="D1525" s="294">
        <v>32.01</v>
      </c>
      <c r="E1525" s="93"/>
      <c r="F1525" s="93"/>
      <c r="G1525" s="93"/>
      <c r="H1525" s="205">
        <v>32.01</v>
      </c>
      <c r="I1525" s="205">
        <v>32.01</v>
      </c>
      <c r="J1525" s="205">
        <v>32.01</v>
      </c>
      <c r="K1525" s="205">
        <v>32.01</v>
      </c>
      <c r="L1525" s="205">
        <v>32.01</v>
      </c>
      <c r="M1525" s="205">
        <v>32.01</v>
      </c>
      <c r="N1525" s="205">
        <v>32.01</v>
      </c>
      <c r="O1525" s="205">
        <v>32.01</v>
      </c>
      <c r="P1525" s="205">
        <v>32.01</v>
      </c>
      <c r="Q1525" s="205">
        <v>32.01</v>
      </c>
      <c r="R1525" s="205">
        <v>32.01</v>
      </c>
      <c r="S1525" s="205">
        <v>32.01</v>
      </c>
      <c r="T1525" s="205">
        <v>32.01</v>
      </c>
      <c r="U1525" s="205">
        <v>32.01</v>
      </c>
      <c r="V1525" s="205">
        <v>32.01</v>
      </c>
      <c r="W1525" s="205">
        <v>32.01</v>
      </c>
      <c r="X1525" s="205">
        <v>32.01</v>
      </c>
      <c r="Y1525" s="205">
        <v>32.01</v>
      </c>
      <c r="Z1525" s="93"/>
      <c r="AA1525" s="93"/>
      <c r="AB1525" s="93"/>
      <c r="AC1525" s="294">
        <v>32.01</v>
      </c>
      <c r="AD1525" s="294">
        <v>32.01</v>
      </c>
      <c r="AE1525" s="93"/>
      <c r="AF1525" s="79"/>
    </row>
    <row r="1526" spans="1:34">
      <c r="A1526" s="699"/>
      <c r="B1526" s="93"/>
      <c r="C1526" s="294">
        <v>32.01</v>
      </c>
      <c r="D1526" s="294">
        <v>32.01</v>
      </c>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294">
        <v>32.01</v>
      </c>
      <c r="AD1526" s="294">
        <v>32.01</v>
      </c>
      <c r="AE1526" s="93"/>
      <c r="AF1526" s="79"/>
    </row>
    <row r="1527" spans="1:34">
      <c r="AH1527">
        <v>1526</v>
      </c>
    </row>
    <row r="1528" spans="1:34">
      <c r="AH1528">
        <v>1526</v>
      </c>
    </row>
    <row r="1529" spans="1:34">
      <c r="AH1529">
        <v>1526</v>
      </c>
    </row>
    <row r="1530" spans="1:34">
      <c r="AH1530">
        <v>1526</v>
      </c>
    </row>
    <row r="1531" spans="1:34">
      <c r="AH1531">
        <v>1526</v>
      </c>
    </row>
    <row r="1532" spans="1:34">
      <c r="AH1532">
        <v>1526</v>
      </c>
    </row>
    <row r="1533" spans="1:34">
      <c r="AH1533">
        <v>1526</v>
      </c>
    </row>
    <row r="1534" spans="1:34">
      <c r="A1534" s="699"/>
      <c r="B1534" s="93"/>
      <c r="C1534" s="294">
        <v>32.01</v>
      </c>
      <c r="D1534" s="294">
        <v>32.01</v>
      </c>
      <c r="E1534" s="294">
        <v>32.01</v>
      </c>
      <c r="F1534" s="294">
        <v>32.01</v>
      </c>
      <c r="G1534" s="294">
        <v>32.01</v>
      </c>
      <c r="H1534" s="294">
        <v>32.01</v>
      </c>
      <c r="I1534" s="294">
        <v>32.01</v>
      </c>
      <c r="J1534" s="294">
        <v>32.01</v>
      </c>
      <c r="K1534" s="294">
        <v>32.01</v>
      </c>
      <c r="L1534" s="294">
        <v>32.01</v>
      </c>
      <c r="M1534" s="294">
        <v>32.01</v>
      </c>
      <c r="N1534" s="294">
        <v>32.01</v>
      </c>
      <c r="O1534" s="294">
        <v>32.01</v>
      </c>
      <c r="P1534" s="294">
        <v>32.01</v>
      </c>
      <c r="Q1534" s="294">
        <v>32.01</v>
      </c>
      <c r="R1534" s="294">
        <v>32.01</v>
      </c>
      <c r="S1534" s="294">
        <v>32.01</v>
      </c>
      <c r="T1534" s="294">
        <v>32.01</v>
      </c>
      <c r="U1534" s="294">
        <v>32.01</v>
      </c>
      <c r="V1534" s="294">
        <v>32.01</v>
      </c>
      <c r="W1534" s="294">
        <v>32.01</v>
      </c>
      <c r="X1534" s="294">
        <v>32.01</v>
      </c>
      <c r="Y1534" s="294">
        <v>32.01</v>
      </c>
      <c r="Z1534" s="294">
        <v>32.01</v>
      </c>
      <c r="AA1534" s="294">
        <v>32.01</v>
      </c>
      <c r="AB1534" s="294">
        <v>32.01</v>
      </c>
      <c r="AC1534" s="294">
        <v>32.01</v>
      </c>
      <c r="AD1534" s="294">
        <v>32.01</v>
      </c>
      <c r="AE1534" s="93"/>
      <c r="AF1534" s="79"/>
    </row>
    <row r="1535" spans="1:34">
      <c r="AH1535">
        <v>1534</v>
      </c>
    </row>
    <row r="1536" spans="1:34">
      <c r="A1536" s="700"/>
      <c r="B1536" s="73"/>
      <c r="C1536" s="73"/>
      <c r="D1536" s="73"/>
      <c r="E1536" s="73"/>
      <c r="F1536" s="73"/>
      <c r="G1536" s="73"/>
      <c r="H1536" s="73"/>
      <c r="I1536" s="73"/>
      <c r="J1536" s="73"/>
      <c r="K1536" s="73"/>
      <c r="L1536" s="73"/>
      <c r="M1536" s="73"/>
      <c r="N1536" s="73"/>
      <c r="O1536" s="73"/>
      <c r="P1536" s="73"/>
      <c r="Q1536" s="73"/>
      <c r="R1536" s="73"/>
      <c r="S1536" s="73"/>
      <c r="T1536" s="73"/>
      <c r="U1536" s="73"/>
      <c r="V1536" s="73"/>
      <c r="W1536" s="73"/>
      <c r="X1536" s="73"/>
      <c r="Y1536" s="73"/>
      <c r="Z1536" s="73"/>
      <c r="AA1536" s="73"/>
      <c r="AB1536" s="73"/>
      <c r="AC1536" s="73"/>
      <c r="AD1536" s="73"/>
      <c r="AE1536" s="73"/>
      <c r="AF1536" s="701"/>
    </row>
    <row r="1537" spans="1:34">
      <c r="A1537" s="679"/>
      <c r="B1537" s="484"/>
      <c r="C1537" s="484"/>
      <c r="D1537" s="484"/>
      <c r="E1537" s="484"/>
      <c r="F1537" s="484"/>
      <c r="G1537" s="484"/>
      <c r="H1537" s="484"/>
      <c r="I1537" s="484"/>
      <c r="J1537" s="484"/>
      <c r="K1537" s="1241">
        <v>8</v>
      </c>
      <c r="L1537" s="1280">
        <v>9.09</v>
      </c>
      <c r="M1537" s="1280">
        <v>9.09</v>
      </c>
      <c r="N1537" s="1241">
        <v>9.09</v>
      </c>
      <c r="O1537" s="1241">
        <v>9.09</v>
      </c>
      <c r="P1537" s="1241">
        <v>9.09</v>
      </c>
      <c r="Q1537" s="1241">
        <v>9.09</v>
      </c>
      <c r="R1537" s="1280">
        <v>9.09</v>
      </c>
      <c r="S1537" s="1280">
        <v>9.09</v>
      </c>
      <c r="T1537" s="1280">
        <v>9.09</v>
      </c>
      <c r="U1537" s="1241">
        <v>9.09</v>
      </c>
      <c r="V1537" s="1241">
        <v>8</v>
      </c>
      <c r="W1537" s="484"/>
      <c r="X1537" s="484"/>
      <c r="Y1537" s="484"/>
      <c r="Z1537" s="484"/>
      <c r="AA1537" s="484"/>
      <c r="AB1537" s="484"/>
      <c r="AC1537" s="484"/>
      <c r="AD1537" s="484"/>
      <c r="AE1537" s="484"/>
      <c r="AF1537" s="696"/>
      <c r="AG1537">
        <v>49</v>
      </c>
    </row>
    <row r="1538" spans="1:34">
      <c r="A1538" s="483"/>
      <c r="B1538" s="321"/>
      <c r="C1538" s="321"/>
      <c r="D1538" s="321"/>
      <c r="E1538" s="321"/>
      <c r="F1538" s="321"/>
      <c r="G1538" s="321"/>
      <c r="H1538" s="321"/>
      <c r="I1538" s="321"/>
      <c r="J1538" s="321"/>
      <c r="K1538" s="439">
        <v>4.04</v>
      </c>
      <c r="L1538" s="1246">
        <v>4.04</v>
      </c>
      <c r="M1538" s="1246">
        <v>4.04</v>
      </c>
      <c r="N1538" s="1246">
        <v>4.04</v>
      </c>
      <c r="O1538" s="1246">
        <v>4.04</v>
      </c>
      <c r="P1538" s="1246">
        <v>4.04</v>
      </c>
      <c r="Q1538" s="1246">
        <v>4.04</v>
      </c>
      <c r="R1538" s="1246">
        <v>4.04</v>
      </c>
      <c r="S1538" s="1246">
        <v>4.04</v>
      </c>
      <c r="T1538" s="1246">
        <v>4.04</v>
      </c>
      <c r="U1538" s="1246">
        <v>4.04</v>
      </c>
      <c r="V1538" s="439">
        <v>4.04</v>
      </c>
      <c r="W1538" s="321"/>
      <c r="X1538" s="321"/>
      <c r="Y1538" s="321"/>
      <c r="Z1538" s="321"/>
      <c r="AA1538" s="321"/>
      <c r="AB1538" s="321"/>
      <c r="AC1538" s="321"/>
      <c r="AD1538" s="321"/>
      <c r="AE1538" s="321"/>
      <c r="AF1538" s="564"/>
    </row>
    <row r="1539" spans="1:34">
      <c r="AH1539">
        <v>1538</v>
      </c>
    </row>
    <row r="1540" spans="1:34">
      <c r="AH1540">
        <v>1538</v>
      </c>
    </row>
    <row r="1541" spans="1:34">
      <c r="AH1541">
        <v>1538</v>
      </c>
    </row>
    <row r="1542" spans="1:34">
      <c r="AH1542">
        <v>1538</v>
      </c>
    </row>
    <row r="1543" spans="1:34">
      <c r="AH1543">
        <v>1538</v>
      </c>
    </row>
    <row r="1544" spans="1:34">
      <c r="AH1544">
        <v>1538</v>
      </c>
    </row>
    <row r="1545" spans="1:34">
      <c r="A1545" s="483"/>
      <c r="B1545" s="321"/>
      <c r="C1545" s="321"/>
      <c r="D1545" s="321"/>
      <c r="E1545" s="321"/>
      <c r="F1545" s="321"/>
      <c r="G1545" s="321"/>
      <c r="H1545" s="321"/>
      <c r="I1545" s="321"/>
      <c r="J1545" s="321"/>
      <c r="K1545" s="439">
        <v>4</v>
      </c>
      <c r="L1545" s="1246">
        <v>4.04</v>
      </c>
      <c r="M1545" s="1246">
        <v>4.04</v>
      </c>
      <c r="N1545" s="1246">
        <v>4.04</v>
      </c>
      <c r="O1545" s="1246">
        <v>4.04</v>
      </c>
      <c r="P1545" s="1246">
        <v>4.04</v>
      </c>
      <c r="Q1545" s="1246">
        <v>4.04</v>
      </c>
      <c r="R1545" s="1246">
        <v>4.04</v>
      </c>
      <c r="S1545" s="1246">
        <v>4.04</v>
      </c>
      <c r="T1545" s="1246">
        <v>4.04</v>
      </c>
      <c r="U1545" s="1246">
        <v>4.04</v>
      </c>
      <c r="V1545" s="439">
        <v>4</v>
      </c>
      <c r="W1545" s="321"/>
      <c r="X1545" s="321"/>
      <c r="Y1545" s="321"/>
      <c r="Z1545" s="321"/>
      <c r="AA1545" s="321"/>
      <c r="AB1545" s="321"/>
      <c r="AC1545" s="321"/>
      <c r="AD1545" s="321"/>
      <c r="AE1545" s="321"/>
      <c r="AF1545" s="564"/>
    </row>
    <row r="1546" spans="1:34">
      <c r="A1546" s="483"/>
      <c r="B1546" s="321"/>
      <c r="C1546" s="321"/>
      <c r="D1546" s="321"/>
      <c r="E1546" s="321"/>
      <c r="F1546" s="321"/>
      <c r="G1546" s="321"/>
      <c r="H1546" s="321"/>
      <c r="I1546" s="321"/>
      <c r="J1546" s="321"/>
      <c r="K1546" s="321"/>
      <c r="L1546" s="321"/>
      <c r="M1546" s="321"/>
      <c r="N1546" s="321"/>
      <c r="O1546" s="321"/>
      <c r="P1546" s="321"/>
      <c r="Q1546" s="321"/>
      <c r="R1546" s="321"/>
      <c r="S1546" s="321"/>
      <c r="T1546" s="321"/>
      <c r="U1546" s="321"/>
      <c r="V1546" s="321"/>
      <c r="W1546" s="321"/>
      <c r="X1546" s="321"/>
      <c r="Y1546" s="321"/>
      <c r="Z1546" s="321"/>
      <c r="AA1546" s="321"/>
      <c r="AB1546" s="321"/>
      <c r="AC1546" s="321"/>
      <c r="AD1546" s="321"/>
      <c r="AE1546" s="321"/>
      <c r="AF1546" s="564"/>
    </row>
    <row r="1547" spans="1:34">
      <c r="A1547" s="1251">
        <v>7.07</v>
      </c>
      <c r="B1547" s="420">
        <v>7.07</v>
      </c>
      <c r="C1547" s="420">
        <v>7.07</v>
      </c>
      <c r="D1547" s="420">
        <v>7.07</v>
      </c>
      <c r="E1547" s="420">
        <v>7.07</v>
      </c>
      <c r="F1547" s="420">
        <v>7.07</v>
      </c>
      <c r="G1547" s="420">
        <v>7.07</v>
      </c>
      <c r="H1547" s="420">
        <v>7.07</v>
      </c>
      <c r="I1547" s="420">
        <v>7.07</v>
      </c>
      <c r="J1547" s="420">
        <v>7.07</v>
      </c>
      <c r="K1547" s="420">
        <v>7.07</v>
      </c>
      <c r="L1547" s="420">
        <v>7.07</v>
      </c>
      <c r="M1547" s="420">
        <v>7.07</v>
      </c>
      <c r="N1547" s="420">
        <v>7.07</v>
      </c>
      <c r="O1547" s="420">
        <v>7.07</v>
      </c>
      <c r="P1547" s="420">
        <v>7.07</v>
      </c>
      <c r="Q1547" s="420">
        <v>7.07</v>
      </c>
      <c r="R1547" s="420">
        <v>7.07</v>
      </c>
      <c r="S1547" s="420">
        <v>7.07</v>
      </c>
      <c r="T1547" s="420">
        <v>7.07</v>
      </c>
      <c r="U1547" s="420">
        <v>7.07</v>
      </c>
      <c r="V1547" s="420">
        <v>7.07</v>
      </c>
      <c r="W1547" s="420">
        <v>7.07</v>
      </c>
      <c r="X1547" s="420">
        <v>7.07</v>
      </c>
      <c r="Y1547" s="420">
        <v>7.07</v>
      </c>
      <c r="Z1547" s="420">
        <v>7.07</v>
      </c>
      <c r="AA1547" s="420">
        <v>7.07</v>
      </c>
      <c r="AB1547" s="420">
        <v>7.07</v>
      </c>
      <c r="AC1547" s="420">
        <v>7.07</v>
      </c>
      <c r="AD1547" s="420">
        <v>7.07</v>
      </c>
      <c r="AE1547" s="420">
        <v>7.07</v>
      </c>
      <c r="AF1547" s="1281">
        <v>7.07</v>
      </c>
    </row>
    <row r="1548" spans="1:34">
      <c r="A1548" s="1251">
        <v>7.07</v>
      </c>
      <c r="B1548" s="409">
        <v>7.04</v>
      </c>
      <c r="C1548" s="409">
        <v>7.04</v>
      </c>
      <c r="D1548" s="409">
        <v>7.04</v>
      </c>
      <c r="E1548" s="409">
        <v>7.04</v>
      </c>
      <c r="F1548" s="409">
        <v>7.04</v>
      </c>
      <c r="G1548" s="409">
        <v>7.04</v>
      </c>
      <c r="H1548" s="409">
        <v>7.04</v>
      </c>
      <c r="I1548" s="6">
        <v>7.07</v>
      </c>
      <c r="J1548" s="6">
        <v>7.07</v>
      </c>
      <c r="K1548" s="6">
        <v>7.07</v>
      </c>
      <c r="L1548" s="6">
        <v>7.07</v>
      </c>
      <c r="M1548" s="6">
        <v>7.07</v>
      </c>
      <c r="N1548" s="6">
        <v>7.07</v>
      </c>
      <c r="O1548" s="5">
        <v>7.07</v>
      </c>
      <c r="P1548" s="5">
        <v>7.07</v>
      </c>
      <c r="Q1548" s="6">
        <v>7.07</v>
      </c>
      <c r="R1548" s="6">
        <v>7.07</v>
      </c>
      <c r="S1548" s="6">
        <v>7.07</v>
      </c>
      <c r="T1548" s="6">
        <v>7.07</v>
      </c>
      <c r="U1548" s="6">
        <v>7.07</v>
      </c>
      <c r="V1548" s="6">
        <v>7.07</v>
      </c>
      <c r="W1548" s="409">
        <v>7.04</v>
      </c>
      <c r="X1548" s="409">
        <v>7.04</v>
      </c>
      <c r="Y1548" s="409">
        <v>7.04</v>
      </c>
      <c r="Z1548" s="409">
        <v>7.04</v>
      </c>
      <c r="AA1548" s="409">
        <v>7.04</v>
      </c>
      <c r="AB1548" s="409">
        <v>7.04</v>
      </c>
      <c r="AC1548" s="409">
        <v>7.04</v>
      </c>
      <c r="AD1548" s="409">
        <v>7.04</v>
      </c>
      <c r="AE1548" s="409">
        <v>7.04</v>
      </c>
      <c r="AF1548" s="1281">
        <v>7.07</v>
      </c>
    </row>
    <row r="1549" spans="1:34">
      <c r="A1549" s="1251">
        <v>7.07</v>
      </c>
      <c r="B1549" s="409">
        <v>7.04</v>
      </c>
      <c r="C1549" s="409">
        <v>7.01</v>
      </c>
      <c r="D1549" s="409">
        <v>7.01</v>
      </c>
      <c r="E1549" s="409">
        <v>7.07</v>
      </c>
      <c r="F1549" s="409">
        <v>7.07</v>
      </c>
      <c r="G1549" s="409">
        <v>7.07</v>
      </c>
      <c r="H1549" s="409">
        <v>7.04</v>
      </c>
      <c r="I1549" s="6">
        <v>7.07</v>
      </c>
      <c r="J1549" s="47">
        <v>9.07</v>
      </c>
      <c r="K1549" s="47">
        <v>9.07</v>
      </c>
      <c r="L1549" s="47">
        <v>9.07</v>
      </c>
      <c r="M1549" s="47">
        <v>9.07</v>
      </c>
      <c r="N1549" s="47">
        <v>9.07</v>
      </c>
      <c r="O1549" s="44">
        <v>9.07</v>
      </c>
      <c r="P1549" s="47">
        <v>8.07</v>
      </c>
      <c r="Q1549" s="47">
        <v>8.07</v>
      </c>
      <c r="R1549" s="47">
        <v>8.07</v>
      </c>
      <c r="S1549" s="47">
        <v>8.07</v>
      </c>
      <c r="T1549" s="47">
        <v>8.07</v>
      </c>
      <c r="U1549" s="47">
        <v>8.07</v>
      </c>
      <c r="V1549" s="6">
        <v>7.07</v>
      </c>
      <c r="W1549" s="409">
        <v>7.04</v>
      </c>
      <c r="X1549" s="409">
        <v>7.07</v>
      </c>
      <c r="Y1549" s="409">
        <v>7.07</v>
      </c>
      <c r="Z1549" s="409">
        <v>7.07</v>
      </c>
      <c r="AA1549" s="409">
        <v>7.07</v>
      </c>
      <c r="AB1549" s="409">
        <v>7.07</v>
      </c>
      <c r="AC1549" s="409">
        <v>7.01</v>
      </c>
      <c r="AD1549" s="409">
        <v>7.01</v>
      </c>
      <c r="AE1549" s="409">
        <v>7.04</v>
      </c>
      <c r="AF1549" s="1281">
        <v>7.07</v>
      </c>
    </row>
    <row r="1550" spans="1:34">
      <c r="A1550" s="1251">
        <v>7.07</v>
      </c>
      <c r="B1550" s="409">
        <v>7.04</v>
      </c>
      <c r="C1550" s="409">
        <v>7.01</v>
      </c>
      <c r="D1550" s="409">
        <v>7.01</v>
      </c>
      <c r="E1550" s="409">
        <v>7.07</v>
      </c>
      <c r="F1550" s="409">
        <v>7.07</v>
      </c>
      <c r="G1550" s="409">
        <v>7.07</v>
      </c>
      <c r="H1550" s="409">
        <v>7.04</v>
      </c>
      <c r="I1550" s="6">
        <v>7.07</v>
      </c>
      <c r="J1550" s="47">
        <v>9.07</v>
      </c>
      <c r="K1550" s="45">
        <v>9.07</v>
      </c>
      <c r="L1550" s="45">
        <v>9.07</v>
      </c>
      <c r="M1550" s="45">
        <v>9.07</v>
      </c>
      <c r="N1550" s="45">
        <v>9.07</v>
      </c>
      <c r="O1550" s="44">
        <v>9.07</v>
      </c>
      <c r="P1550" s="47">
        <v>8.07</v>
      </c>
      <c r="Q1550" s="47">
        <v>8.07</v>
      </c>
      <c r="R1550" s="45">
        <v>8.07</v>
      </c>
      <c r="S1550" s="45">
        <v>8.07</v>
      </c>
      <c r="T1550" s="45">
        <v>8.07</v>
      </c>
      <c r="U1550" s="47">
        <v>8.07</v>
      </c>
      <c r="V1550" s="6">
        <v>7.07</v>
      </c>
      <c r="W1550" s="409">
        <v>7.04</v>
      </c>
      <c r="X1550" s="409">
        <v>7.07</v>
      </c>
      <c r="Y1550" s="409">
        <v>7.07</v>
      </c>
      <c r="Z1550" s="409">
        <v>7.07</v>
      </c>
      <c r="AA1550" s="409">
        <v>7.07</v>
      </c>
      <c r="AB1550" s="409">
        <v>7.07</v>
      </c>
      <c r="AC1550" s="409">
        <v>7.01</v>
      </c>
      <c r="AD1550" s="409">
        <v>7.01</v>
      </c>
      <c r="AE1550" s="409">
        <v>7.04</v>
      </c>
      <c r="AF1550" s="1281">
        <v>7.07</v>
      </c>
    </row>
    <row r="1551" spans="1:34">
      <c r="A1551" s="1251">
        <v>7.07</v>
      </c>
      <c r="B1551" s="409">
        <v>7.04</v>
      </c>
      <c r="C1551" s="409">
        <v>7.07</v>
      </c>
      <c r="D1551" s="409">
        <v>7.07</v>
      </c>
      <c r="E1551" s="409">
        <v>7.07</v>
      </c>
      <c r="F1551" s="409">
        <v>7.07</v>
      </c>
      <c r="G1551" s="409">
        <v>7.07</v>
      </c>
      <c r="H1551" s="409">
        <v>7.04</v>
      </c>
      <c r="I1551" s="6">
        <v>7.07</v>
      </c>
      <c r="J1551" s="47">
        <v>9.07</v>
      </c>
      <c r="K1551" s="47">
        <v>9.07</v>
      </c>
      <c r="L1551" s="47">
        <v>9.07</v>
      </c>
      <c r="M1551" s="47">
        <v>9.07</v>
      </c>
      <c r="N1551" s="47">
        <v>9.07</v>
      </c>
      <c r="O1551" s="44">
        <v>9.07</v>
      </c>
      <c r="P1551" s="47">
        <v>8.07</v>
      </c>
      <c r="Q1551" s="47">
        <v>8.07</v>
      </c>
      <c r="R1551" s="47">
        <v>8.07</v>
      </c>
      <c r="S1551" s="47">
        <v>8.07</v>
      </c>
      <c r="T1551" s="47">
        <v>8.07</v>
      </c>
      <c r="U1551" s="47">
        <v>8.07</v>
      </c>
      <c r="V1551" s="6">
        <v>7.07</v>
      </c>
      <c r="W1551" s="409">
        <v>7.04</v>
      </c>
      <c r="X1551" s="409">
        <v>7.07</v>
      </c>
      <c r="Y1551" s="409">
        <v>7.07</v>
      </c>
      <c r="Z1551" s="409">
        <v>7.07</v>
      </c>
      <c r="AA1551" s="409">
        <v>7.07</v>
      </c>
      <c r="AB1551" s="409">
        <v>7.07</v>
      </c>
      <c r="AC1551" s="409">
        <v>7.07</v>
      </c>
      <c r="AD1551" s="409">
        <v>7.07</v>
      </c>
      <c r="AE1551" s="409">
        <v>7.04</v>
      </c>
      <c r="AF1551" s="1281">
        <v>7.07</v>
      </c>
    </row>
    <row r="1552" spans="1:34">
      <c r="A1552" s="1251">
        <v>7.07</v>
      </c>
      <c r="B1552" s="409">
        <v>7.04</v>
      </c>
      <c r="C1552" s="409">
        <v>7.07</v>
      </c>
      <c r="D1552" s="409">
        <v>7.07</v>
      </c>
      <c r="E1552" s="409">
        <v>7.07</v>
      </c>
      <c r="F1552" s="409">
        <v>7.07</v>
      </c>
      <c r="G1552" s="409">
        <v>7.07</v>
      </c>
      <c r="H1552" s="409">
        <v>7.04</v>
      </c>
      <c r="I1552" s="6">
        <v>7.07</v>
      </c>
      <c r="J1552" s="47">
        <v>9.07</v>
      </c>
      <c r="K1552" s="47">
        <v>9.07</v>
      </c>
      <c r="L1552" s="45">
        <v>9.07</v>
      </c>
      <c r="M1552" s="45">
        <v>9.07</v>
      </c>
      <c r="N1552" s="45">
        <v>9.07</v>
      </c>
      <c r="O1552" s="44">
        <v>9.07</v>
      </c>
      <c r="P1552" s="47">
        <v>8.07</v>
      </c>
      <c r="Q1552" s="45">
        <v>8.07</v>
      </c>
      <c r="R1552" s="45">
        <v>8.07</v>
      </c>
      <c r="S1552" s="45">
        <v>8.07</v>
      </c>
      <c r="T1552" s="45">
        <v>8.07</v>
      </c>
      <c r="U1552" s="47">
        <v>8.07</v>
      </c>
      <c r="V1552" s="6">
        <v>7.07</v>
      </c>
      <c r="W1552" s="409">
        <v>7.04</v>
      </c>
      <c r="X1552" s="409">
        <v>7.07</v>
      </c>
      <c r="Y1552" s="409">
        <v>7.07</v>
      </c>
      <c r="Z1552" s="409">
        <v>7.07</v>
      </c>
      <c r="AA1552" s="409">
        <v>7.07</v>
      </c>
      <c r="AB1552" s="409">
        <v>7.07</v>
      </c>
      <c r="AC1552" s="409">
        <v>7.07</v>
      </c>
      <c r="AD1552" s="409">
        <v>7.07</v>
      </c>
      <c r="AE1552" s="409">
        <v>7.04</v>
      </c>
      <c r="AF1552" s="1281">
        <v>7.07</v>
      </c>
    </row>
    <row r="1553" spans="1:34">
      <c r="A1553" s="1251">
        <v>7.07</v>
      </c>
      <c r="B1553" s="409">
        <v>7.04</v>
      </c>
      <c r="C1553" s="409">
        <v>7.07</v>
      </c>
      <c r="D1553" s="409">
        <v>7.07</v>
      </c>
      <c r="E1553" s="409">
        <v>7.07</v>
      </c>
      <c r="F1553" s="409">
        <v>7.07</v>
      </c>
      <c r="G1553" s="409">
        <v>7.07</v>
      </c>
      <c r="H1553" s="409">
        <v>7.04</v>
      </c>
      <c r="I1553" s="6">
        <v>7.07</v>
      </c>
      <c r="J1553" s="47">
        <v>9.07</v>
      </c>
      <c r="K1553" s="47">
        <v>9.07</v>
      </c>
      <c r="L1553" s="47">
        <v>9.07</v>
      </c>
      <c r="M1553" s="47">
        <v>9.07</v>
      </c>
      <c r="N1553" s="47">
        <v>9.07</v>
      </c>
      <c r="O1553" s="44">
        <v>9.07</v>
      </c>
      <c r="P1553" s="47">
        <v>8.07</v>
      </c>
      <c r="Q1553" s="47">
        <v>8.07</v>
      </c>
      <c r="R1553" s="47">
        <v>8.07</v>
      </c>
      <c r="S1553" s="47">
        <v>8.07</v>
      </c>
      <c r="T1553" s="47">
        <v>8.07</v>
      </c>
      <c r="U1553" s="47">
        <v>8.07</v>
      </c>
      <c r="V1553" s="6">
        <v>7.07</v>
      </c>
      <c r="W1553" s="409">
        <v>7.04</v>
      </c>
      <c r="X1553" s="409">
        <v>7.07</v>
      </c>
      <c r="Y1553" s="409">
        <v>7.07</v>
      </c>
      <c r="Z1553" s="409">
        <v>7.07</v>
      </c>
      <c r="AA1553" s="409">
        <v>7.07</v>
      </c>
      <c r="AB1553" s="409">
        <v>7.07</v>
      </c>
      <c r="AC1553" s="409">
        <v>7.07</v>
      </c>
      <c r="AD1553" s="409">
        <v>7.07</v>
      </c>
      <c r="AE1553" s="409">
        <v>7.04</v>
      </c>
      <c r="AF1553" s="1281">
        <v>7.07</v>
      </c>
    </row>
    <row r="1554" spans="1:34">
      <c r="A1554" s="1251">
        <v>7.07</v>
      </c>
      <c r="B1554" s="409">
        <v>7.04</v>
      </c>
      <c r="C1554" s="409">
        <v>7.07</v>
      </c>
      <c r="D1554" s="409">
        <v>7.07</v>
      </c>
      <c r="E1554" s="409">
        <v>7.07</v>
      </c>
      <c r="F1554" s="409">
        <v>7.07</v>
      </c>
      <c r="G1554" s="409">
        <v>7.07</v>
      </c>
      <c r="H1554" s="409">
        <v>7.04</v>
      </c>
      <c r="I1554" s="6">
        <v>7.07</v>
      </c>
      <c r="J1554" s="47">
        <v>9.07</v>
      </c>
      <c r="K1554" s="45">
        <v>9.07</v>
      </c>
      <c r="L1554" s="45">
        <v>9.07</v>
      </c>
      <c r="M1554" s="45">
        <v>9.07</v>
      </c>
      <c r="N1554" s="45">
        <v>9.07</v>
      </c>
      <c r="O1554" s="44">
        <v>9.07</v>
      </c>
      <c r="P1554" s="47">
        <v>8.07</v>
      </c>
      <c r="Q1554" s="44">
        <v>8.07</v>
      </c>
      <c r="R1554" s="45">
        <v>8.07</v>
      </c>
      <c r="S1554" s="45">
        <v>8.07</v>
      </c>
      <c r="T1554" s="45">
        <v>8.07</v>
      </c>
      <c r="U1554" s="47">
        <v>8.07</v>
      </c>
      <c r="V1554" s="6">
        <v>7.07</v>
      </c>
      <c r="W1554" s="409">
        <v>7.07</v>
      </c>
      <c r="X1554" s="409">
        <v>7.04</v>
      </c>
      <c r="Y1554" s="409">
        <v>7.04</v>
      </c>
      <c r="Z1554" s="409">
        <v>7.04</v>
      </c>
      <c r="AA1554" s="409">
        <v>7.04</v>
      </c>
      <c r="AB1554" s="409">
        <v>7.04</v>
      </c>
      <c r="AC1554" s="409">
        <v>7.04</v>
      </c>
      <c r="AD1554" s="409">
        <v>7.04</v>
      </c>
      <c r="AE1554" s="409">
        <v>7.04</v>
      </c>
      <c r="AF1554" s="1281">
        <v>7.07</v>
      </c>
    </row>
    <row r="1555" spans="1:34">
      <c r="A1555" s="1251">
        <v>7.07</v>
      </c>
      <c r="B1555" s="409">
        <v>7.04</v>
      </c>
      <c r="C1555" s="409">
        <v>7.07</v>
      </c>
      <c r="D1555" s="409">
        <v>7.07</v>
      </c>
      <c r="E1555" s="409">
        <v>7.07</v>
      </c>
      <c r="F1555" s="409">
        <v>7.07</v>
      </c>
      <c r="G1555" s="409">
        <v>7.07</v>
      </c>
      <c r="H1555" s="409">
        <v>7.04</v>
      </c>
      <c r="I1555" s="6">
        <v>7.07</v>
      </c>
      <c r="J1555" s="47">
        <v>9.07</v>
      </c>
      <c r="K1555" s="47">
        <v>9.07</v>
      </c>
      <c r="L1555" s="47">
        <v>9.07</v>
      </c>
      <c r="M1555" s="47">
        <v>9.07</v>
      </c>
      <c r="N1555" s="47">
        <v>9.07</v>
      </c>
      <c r="O1555" s="44">
        <v>9.07</v>
      </c>
      <c r="P1555" s="47">
        <v>8.07</v>
      </c>
      <c r="Q1555" s="47">
        <v>8.07</v>
      </c>
      <c r="R1555" s="47">
        <v>8.07</v>
      </c>
      <c r="S1555" s="47">
        <v>8.07</v>
      </c>
      <c r="T1555" s="47">
        <v>8.07</v>
      </c>
      <c r="U1555" s="47">
        <v>8.07</v>
      </c>
      <c r="V1555" s="6">
        <v>7.07</v>
      </c>
      <c r="W1555" s="409">
        <v>7.07</v>
      </c>
      <c r="X1555" s="409">
        <v>7.07</v>
      </c>
      <c r="Y1555" s="409">
        <v>7.07</v>
      </c>
      <c r="Z1555" s="409">
        <v>7.07</v>
      </c>
      <c r="AA1555" s="409">
        <v>7.07</v>
      </c>
      <c r="AB1555" s="409">
        <v>7.07</v>
      </c>
      <c r="AC1555" s="409">
        <v>7.07</v>
      </c>
      <c r="AD1555" s="409">
        <v>7.07</v>
      </c>
      <c r="AE1555" s="409">
        <v>7.07</v>
      </c>
      <c r="AF1555" s="1281">
        <v>7.07</v>
      </c>
    </row>
    <row r="1556" spans="1:34">
      <c r="A1556" s="1251">
        <v>7.07</v>
      </c>
      <c r="B1556" s="409">
        <v>7.04</v>
      </c>
      <c r="C1556" s="409">
        <v>7.07</v>
      </c>
      <c r="D1556" s="409">
        <v>7.07</v>
      </c>
      <c r="E1556" s="409">
        <v>7.07</v>
      </c>
      <c r="F1556" s="409">
        <v>7.07</v>
      </c>
      <c r="G1556" s="409">
        <v>7.07</v>
      </c>
      <c r="H1556" s="409">
        <v>7.04</v>
      </c>
      <c r="I1556" s="6">
        <v>7.07</v>
      </c>
      <c r="J1556" s="47">
        <v>9.07</v>
      </c>
      <c r="K1556" s="47">
        <v>9.07</v>
      </c>
      <c r="L1556" s="47">
        <v>9.07</v>
      </c>
      <c r="M1556" s="45">
        <v>9.07</v>
      </c>
      <c r="N1556" s="45">
        <v>9.07</v>
      </c>
      <c r="O1556" s="44">
        <v>9.07</v>
      </c>
      <c r="P1556" s="47">
        <v>8.07</v>
      </c>
      <c r="Q1556" s="45">
        <v>8.07</v>
      </c>
      <c r="R1556" s="45">
        <v>8.07</v>
      </c>
      <c r="S1556" s="45">
        <v>8.07</v>
      </c>
      <c r="T1556" s="45">
        <v>8.07</v>
      </c>
      <c r="U1556" s="47">
        <v>8.07</v>
      </c>
      <c r="V1556" s="6">
        <v>7.07</v>
      </c>
      <c r="W1556" s="409">
        <v>7.07</v>
      </c>
      <c r="X1556" s="44">
        <v>10.07</v>
      </c>
      <c r="Y1556" s="44">
        <v>10.07</v>
      </c>
      <c r="Z1556" s="44">
        <v>10.07</v>
      </c>
      <c r="AA1556" s="44">
        <v>10.07</v>
      </c>
      <c r="AB1556" s="44">
        <v>10.07</v>
      </c>
      <c r="AC1556" s="44">
        <v>10.07</v>
      </c>
      <c r="AD1556" s="44">
        <v>10.07</v>
      </c>
      <c r="AE1556" s="409">
        <v>7.07</v>
      </c>
      <c r="AF1556" s="1281">
        <v>7.07</v>
      </c>
    </row>
    <row r="1557" spans="1:34">
      <c r="A1557" s="1251">
        <v>7.07</v>
      </c>
      <c r="B1557" s="409">
        <v>7.04</v>
      </c>
      <c r="C1557" s="409">
        <v>7.07</v>
      </c>
      <c r="D1557" s="409">
        <v>7.07</v>
      </c>
      <c r="E1557" s="409">
        <v>7.07</v>
      </c>
      <c r="F1557" s="409">
        <v>7.07</v>
      </c>
      <c r="G1557" s="409">
        <v>7.07</v>
      </c>
      <c r="H1557" s="409">
        <v>7.04</v>
      </c>
      <c r="I1557" s="6">
        <v>7.07</v>
      </c>
      <c r="J1557" s="47">
        <v>9.07</v>
      </c>
      <c r="K1557" s="47">
        <v>9.07</v>
      </c>
      <c r="L1557" s="47">
        <v>9.07</v>
      </c>
      <c r="M1557" s="47">
        <v>9.07</v>
      </c>
      <c r="N1557" s="47">
        <v>9.07</v>
      </c>
      <c r="O1557" s="44">
        <v>9.07</v>
      </c>
      <c r="P1557" s="47">
        <v>8.07</v>
      </c>
      <c r="Q1557" s="47">
        <v>8.07</v>
      </c>
      <c r="R1557" s="47">
        <v>8.07</v>
      </c>
      <c r="S1557" s="47">
        <v>8.07</v>
      </c>
      <c r="T1557" s="47">
        <v>8.07</v>
      </c>
      <c r="U1557" s="47">
        <v>8.07</v>
      </c>
      <c r="V1557" s="6">
        <v>7.07</v>
      </c>
      <c r="W1557" s="409">
        <v>7.07</v>
      </c>
      <c r="X1557" s="44">
        <v>10.07</v>
      </c>
      <c r="Y1557" s="45">
        <v>10.07</v>
      </c>
      <c r="Z1557" s="45">
        <v>10.07</v>
      </c>
      <c r="AA1557" s="45">
        <v>10.07</v>
      </c>
      <c r="AB1557" s="45">
        <v>10.07</v>
      </c>
      <c r="AC1557" s="45">
        <v>10.07</v>
      </c>
      <c r="AD1557" s="44">
        <v>10.07</v>
      </c>
      <c r="AE1557" s="409">
        <v>7.07</v>
      </c>
      <c r="AF1557" s="1281">
        <v>7.07</v>
      </c>
    </row>
    <row r="1558" spans="1:34">
      <c r="A1558" s="1251">
        <v>7.07</v>
      </c>
      <c r="B1558" s="409">
        <v>7.04</v>
      </c>
      <c r="C1558" s="409">
        <v>7.07</v>
      </c>
      <c r="D1558" s="409">
        <v>7.07</v>
      </c>
      <c r="E1558" s="409">
        <v>7.07</v>
      </c>
      <c r="F1558" s="409">
        <v>7.07</v>
      </c>
      <c r="G1558" s="409">
        <v>7.07</v>
      </c>
      <c r="H1558" s="409">
        <v>7.04</v>
      </c>
      <c r="I1558" s="6">
        <v>7.07</v>
      </c>
      <c r="J1558" s="6">
        <v>7.07</v>
      </c>
      <c r="K1558" s="6">
        <v>7.07</v>
      </c>
      <c r="L1558" s="6">
        <v>7.07</v>
      </c>
      <c r="M1558" s="6">
        <v>7.07</v>
      </c>
      <c r="N1558" s="6">
        <v>7.07</v>
      </c>
      <c r="O1558" s="5">
        <v>7.07</v>
      </c>
      <c r="P1558" s="5">
        <v>7.07</v>
      </c>
      <c r="Q1558" s="6">
        <v>7.07</v>
      </c>
      <c r="R1558" s="6">
        <v>7.07</v>
      </c>
      <c r="S1558" s="6">
        <v>7.07</v>
      </c>
      <c r="T1558" s="6">
        <v>7.07</v>
      </c>
      <c r="U1558" s="6">
        <v>7.07</v>
      </c>
      <c r="V1558" s="6">
        <v>7.07</v>
      </c>
      <c r="W1558" s="409">
        <v>7.07</v>
      </c>
      <c r="X1558" s="44">
        <v>10.07</v>
      </c>
      <c r="Y1558" s="44">
        <v>10.07</v>
      </c>
      <c r="Z1558" s="44">
        <v>10.07</v>
      </c>
      <c r="AA1558" s="44">
        <v>10.07</v>
      </c>
      <c r="AB1558" s="44">
        <v>10.07</v>
      </c>
      <c r="AC1558" s="44">
        <v>10.07</v>
      </c>
      <c r="AD1558" s="44">
        <v>10.07</v>
      </c>
      <c r="AE1558" s="409">
        <v>7.07</v>
      </c>
      <c r="AF1558" s="1281">
        <v>7.07</v>
      </c>
    </row>
    <row r="1559" spans="1:34">
      <c r="A1559" s="1251">
        <v>7.07</v>
      </c>
      <c r="B1559" s="409">
        <v>7.04</v>
      </c>
      <c r="C1559" s="409">
        <v>7.04</v>
      </c>
      <c r="D1559" s="409">
        <v>7.04</v>
      </c>
      <c r="E1559" s="409">
        <v>7.04</v>
      </c>
      <c r="F1559" s="409">
        <v>7.04</v>
      </c>
      <c r="G1559" s="409">
        <v>7.04</v>
      </c>
      <c r="H1559" s="409">
        <v>7.04</v>
      </c>
      <c r="I1559" s="409">
        <v>7.07</v>
      </c>
      <c r="J1559" s="409">
        <v>7.07</v>
      </c>
      <c r="K1559" s="409">
        <v>7.07</v>
      </c>
      <c r="L1559" s="409">
        <v>7.07</v>
      </c>
      <c r="M1559" s="409">
        <v>7.07</v>
      </c>
      <c r="N1559" s="409">
        <v>7.07</v>
      </c>
      <c r="O1559" s="409">
        <v>7.07</v>
      </c>
      <c r="P1559" s="409">
        <v>7.07</v>
      </c>
      <c r="Q1559" s="409">
        <v>7.07</v>
      </c>
      <c r="R1559" s="409">
        <v>7.07</v>
      </c>
      <c r="S1559" s="409">
        <v>7.07</v>
      </c>
      <c r="T1559" s="409">
        <v>7.07</v>
      </c>
      <c r="U1559" s="409">
        <v>7.07</v>
      </c>
      <c r="V1559" s="409">
        <v>7.07</v>
      </c>
      <c r="W1559" s="409">
        <v>7.07</v>
      </c>
      <c r="X1559" s="44">
        <v>10.07</v>
      </c>
      <c r="Y1559" s="44">
        <v>10.07</v>
      </c>
      <c r="Z1559" s="44">
        <v>10.07</v>
      </c>
      <c r="AA1559" s="45">
        <v>10.07</v>
      </c>
      <c r="AB1559" s="45">
        <v>10.07</v>
      </c>
      <c r="AC1559" s="45">
        <v>10.07</v>
      </c>
      <c r="AD1559" s="44">
        <v>10.07</v>
      </c>
      <c r="AE1559" s="409">
        <v>7.07</v>
      </c>
      <c r="AF1559" s="1281">
        <v>7.07</v>
      </c>
    </row>
    <row r="1560" spans="1:34">
      <c r="A1560" s="1251">
        <v>7.07</v>
      </c>
      <c r="B1560" s="409">
        <v>7.04</v>
      </c>
      <c r="C1560" s="409">
        <v>7.07</v>
      </c>
      <c r="D1560" s="409">
        <v>7.07</v>
      </c>
      <c r="E1560" s="409">
        <v>7.07</v>
      </c>
      <c r="F1560" s="1278">
        <v>8.07</v>
      </c>
      <c r="G1560" s="1278">
        <v>8.07</v>
      </c>
      <c r="H1560" s="1278">
        <v>8.07</v>
      </c>
      <c r="I1560" s="1278">
        <v>8.07</v>
      </c>
      <c r="J1560" s="1278">
        <v>8.07</v>
      </c>
      <c r="K1560" s="1278">
        <v>8.07</v>
      </c>
      <c r="L1560" s="1278">
        <v>8.07</v>
      </c>
      <c r="M1560" s="1278">
        <v>8.07</v>
      </c>
      <c r="N1560" s="1278">
        <v>8.07</v>
      </c>
      <c r="O1560" s="1278">
        <v>8.07</v>
      </c>
      <c r="P1560" s="1278">
        <v>8.07</v>
      </c>
      <c r="Q1560" s="409">
        <v>7.07</v>
      </c>
      <c r="R1560" s="409">
        <v>7.07</v>
      </c>
      <c r="S1560" s="409">
        <v>7.07</v>
      </c>
      <c r="T1560" s="409">
        <v>7.07</v>
      </c>
      <c r="U1560" s="409">
        <v>7.07</v>
      </c>
      <c r="V1560" s="409">
        <v>7.07</v>
      </c>
      <c r="W1560" s="409">
        <v>7.07</v>
      </c>
      <c r="X1560" s="44">
        <v>10.07</v>
      </c>
      <c r="Y1560" s="44">
        <v>10.07</v>
      </c>
      <c r="Z1560" s="44">
        <v>10.07</v>
      </c>
      <c r="AA1560" s="44">
        <v>10.07</v>
      </c>
      <c r="AB1560" s="44">
        <v>10.07</v>
      </c>
      <c r="AC1560" s="44">
        <v>10.07</v>
      </c>
      <c r="AD1560" s="44">
        <v>10.07</v>
      </c>
      <c r="AE1560" s="409">
        <v>7.07</v>
      </c>
      <c r="AF1560" s="1281">
        <v>7.07</v>
      </c>
    </row>
    <row r="1561" spans="1:34">
      <c r="A1561" s="1251">
        <v>7.07</v>
      </c>
      <c r="B1561" s="409">
        <v>7.04</v>
      </c>
      <c r="C1561" s="409">
        <v>7.07</v>
      </c>
      <c r="D1561" s="409">
        <v>7.07</v>
      </c>
      <c r="E1561" s="409">
        <v>7.07</v>
      </c>
      <c r="F1561" s="1279">
        <v>8.07</v>
      </c>
      <c r="G1561" s="1279">
        <v>8.07</v>
      </c>
      <c r="H1561" s="1279">
        <v>8.07</v>
      </c>
      <c r="I1561" s="1279">
        <v>8.07</v>
      </c>
      <c r="J1561" s="1279">
        <v>8.07</v>
      </c>
      <c r="K1561" s="1279">
        <v>8.07</v>
      </c>
      <c r="L1561" s="1279">
        <v>8.07</v>
      </c>
      <c r="M1561" s="1279">
        <v>8.07</v>
      </c>
      <c r="N1561" s="1279">
        <v>8.07</v>
      </c>
      <c r="O1561" s="1279">
        <v>8.07</v>
      </c>
      <c r="P1561" s="1279">
        <v>8.07</v>
      </c>
      <c r="Q1561" s="409">
        <v>7.07</v>
      </c>
      <c r="R1561" s="409">
        <v>7.07</v>
      </c>
      <c r="S1561" s="409">
        <v>7.07</v>
      </c>
      <c r="T1561" s="409">
        <v>7.07</v>
      </c>
      <c r="U1561" s="409">
        <v>7.07</v>
      </c>
      <c r="V1561" s="409">
        <v>7.07</v>
      </c>
      <c r="W1561" s="409">
        <v>7.07</v>
      </c>
      <c r="X1561" s="44">
        <v>10.07</v>
      </c>
      <c r="Y1561" s="45">
        <v>10.07</v>
      </c>
      <c r="Z1561" s="45">
        <v>10.07</v>
      </c>
      <c r="AA1561" s="45">
        <v>10.07</v>
      </c>
      <c r="AB1561" s="45">
        <v>10.07</v>
      </c>
      <c r="AC1561" s="45">
        <v>10.07</v>
      </c>
      <c r="AD1561" s="44">
        <v>10.07</v>
      </c>
      <c r="AE1561" s="409">
        <v>7.07</v>
      </c>
      <c r="AF1561" s="1281">
        <v>7.07</v>
      </c>
    </row>
    <row r="1562" spans="1:34">
      <c r="A1562" s="1251">
        <v>7.07</v>
      </c>
      <c r="B1562" s="409">
        <v>7.04</v>
      </c>
      <c r="C1562" s="409">
        <v>7.07</v>
      </c>
      <c r="D1562" s="409">
        <v>7.07</v>
      </c>
      <c r="E1562" s="409">
        <v>7.07</v>
      </c>
      <c r="F1562" s="1279">
        <v>8.07</v>
      </c>
      <c r="G1562" s="1279">
        <v>8.07</v>
      </c>
      <c r="H1562" s="1279">
        <v>8.07</v>
      </c>
      <c r="I1562" s="1279">
        <v>8.07</v>
      </c>
      <c r="J1562" s="1279">
        <v>8.07</v>
      </c>
      <c r="K1562" s="1279">
        <v>8.07</v>
      </c>
      <c r="L1562" s="47">
        <v>8.07</v>
      </c>
      <c r="M1562" s="47">
        <v>8.07</v>
      </c>
      <c r="N1562" s="47">
        <v>8.07</v>
      </c>
      <c r="O1562" s="1279">
        <v>8.07</v>
      </c>
      <c r="P1562" s="1279">
        <v>8.07</v>
      </c>
      <c r="Q1562" s="409">
        <v>7.07</v>
      </c>
      <c r="R1562" s="409">
        <v>7.07</v>
      </c>
      <c r="S1562" s="409">
        <v>7.07</v>
      </c>
      <c r="T1562" s="409">
        <v>7.07</v>
      </c>
      <c r="U1562" s="409">
        <v>7.07</v>
      </c>
      <c r="V1562" s="409">
        <v>7.07</v>
      </c>
      <c r="W1562" s="409">
        <v>7.07</v>
      </c>
      <c r="X1562" s="44">
        <v>10.07</v>
      </c>
      <c r="Y1562" s="44">
        <v>10.07</v>
      </c>
      <c r="Z1562" s="44">
        <v>10.07</v>
      </c>
      <c r="AA1562" s="44">
        <v>10.07</v>
      </c>
      <c r="AB1562" s="44">
        <v>10.07</v>
      </c>
      <c r="AC1562" s="44">
        <v>10.07</v>
      </c>
      <c r="AD1562" s="44">
        <v>10.07</v>
      </c>
      <c r="AE1562" s="409">
        <v>7.07</v>
      </c>
      <c r="AF1562" s="1281">
        <v>7.07</v>
      </c>
    </row>
    <row r="1563" spans="1:34">
      <c r="A1563" s="1251">
        <v>7.07</v>
      </c>
      <c r="B1563" s="409">
        <v>7.04</v>
      </c>
      <c r="C1563" s="409">
        <v>7.07</v>
      </c>
      <c r="D1563" s="409">
        <v>7.07</v>
      </c>
      <c r="E1563" s="409">
        <v>7.07</v>
      </c>
      <c r="F1563" s="1279">
        <v>8.07</v>
      </c>
      <c r="G1563" s="1279">
        <v>8.07</v>
      </c>
      <c r="H1563" s="1279">
        <v>8.07</v>
      </c>
      <c r="I1563" s="1279">
        <v>8.07</v>
      </c>
      <c r="J1563" s="1279">
        <v>8.07</v>
      </c>
      <c r="K1563" s="1279">
        <v>8.07</v>
      </c>
      <c r="L1563" s="47">
        <v>8.07</v>
      </c>
      <c r="M1563" s="45">
        <v>8.07</v>
      </c>
      <c r="N1563" s="47">
        <v>8.07</v>
      </c>
      <c r="O1563" s="1279">
        <v>8.07</v>
      </c>
      <c r="P1563" s="1279">
        <v>8.07</v>
      </c>
      <c r="Q1563" s="409">
        <v>7.07</v>
      </c>
      <c r="R1563" s="409">
        <v>7.07</v>
      </c>
      <c r="S1563" s="58">
        <v>11.07</v>
      </c>
      <c r="T1563" s="58">
        <v>11.07</v>
      </c>
      <c r="U1563" s="58">
        <v>11.07</v>
      </c>
      <c r="V1563" s="58">
        <v>11.07</v>
      </c>
      <c r="W1563" s="409">
        <v>7.07</v>
      </c>
      <c r="X1563" s="44">
        <v>10.07</v>
      </c>
      <c r="Y1563" s="45">
        <v>10.07</v>
      </c>
      <c r="Z1563" s="45">
        <v>10.07</v>
      </c>
      <c r="AA1563" s="45">
        <v>10.07</v>
      </c>
      <c r="AB1563" s="45">
        <v>10.07</v>
      </c>
      <c r="AC1563" s="45">
        <v>10.07</v>
      </c>
      <c r="AD1563" s="44">
        <v>10.07</v>
      </c>
      <c r="AE1563" s="409">
        <v>7.07</v>
      </c>
      <c r="AF1563" s="1281">
        <v>7.07</v>
      </c>
    </row>
    <row r="1564" spans="1:34">
      <c r="A1564" s="1251">
        <v>7.07</v>
      </c>
      <c r="B1564" s="409">
        <v>7.04</v>
      </c>
      <c r="C1564" s="409">
        <v>7.07</v>
      </c>
      <c r="D1564" s="409">
        <v>7.07</v>
      </c>
      <c r="E1564" s="409">
        <v>7.07</v>
      </c>
      <c r="F1564" s="1279">
        <v>8.07</v>
      </c>
      <c r="G1564" s="1279">
        <v>8.07</v>
      </c>
      <c r="H1564" s="1279">
        <v>8.07</v>
      </c>
      <c r="I1564" s="1279">
        <v>8.07</v>
      </c>
      <c r="J1564" s="1279">
        <v>8.07</v>
      </c>
      <c r="K1564" s="1279">
        <v>8.07</v>
      </c>
      <c r="L1564" s="47">
        <v>8.07</v>
      </c>
      <c r="M1564" s="45">
        <v>8.07</v>
      </c>
      <c r="N1564" s="47">
        <v>8.07</v>
      </c>
      <c r="O1564" s="1279">
        <v>8.07</v>
      </c>
      <c r="P1564" s="1279">
        <v>8.07</v>
      </c>
      <c r="Q1564" s="409">
        <v>7.07</v>
      </c>
      <c r="R1564" s="409">
        <v>7.07</v>
      </c>
      <c r="S1564" s="58">
        <v>11.07</v>
      </c>
      <c r="T1564" s="38">
        <v>13.07</v>
      </c>
      <c r="U1564" s="409">
        <v>7.07</v>
      </c>
      <c r="V1564" s="58">
        <v>11.07</v>
      </c>
      <c r="W1564" s="409">
        <v>7.07</v>
      </c>
      <c r="X1564" s="44">
        <v>10.07</v>
      </c>
      <c r="Y1564" s="44">
        <v>10.07</v>
      </c>
      <c r="Z1564" s="44">
        <v>10.07</v>
      </c>
      <c r="AA1564" s="44">
        <v>10.07</v>
      </c>
      <c r="AB1564" s="44">
        <v>10.07</v>
      </c>
      <c r="AC1564" s="44">
        <v>10.07</v>
      </c>
      <c r="AD1564" s="44">
        <v>10.07</v>
      </c>
      <c r="AE1564" s="409">
        <v>7.07</v>
      </c>
      <c r="AF1564" s="1281">
        <v>7.07</v>
      </c>
    </row>
    <row r="1565" spans="1:34">
      <c r="A1565" s="1251">
        <v>7.07</v>
      </c>
      <c r="B1565" s="409">
        <v>7.07</v>
      </c>
      <c r="C1565" s="409">
        <v>7.01</v>
      </c>
      <c r="D1565" s="409">
        <v>7.01</v>
      </c>
      <c r="E1565" s="409">
        <v>7.07</v>
      </c>
      <c r="F1565" s="1279">
        <v>8.07</v>
      </c>
      <c r="G1565" s="1279">
        <v>8.07</v>
      </c>
      <c r="H1565" s="1279">
        <v>8.07</v>
      </c>
      <c r="I1565" s="1279">
        <v>8.07</v>
      </c>
      <c r="J1565" s="1279">
        <v>8.07</v>
      </c>
      <c r="K1565" s="1279">
        <v>8.07</v>
      </c>
      <c r="L1565" s="47">
        <v>8.07</v>
      </c>
      <c r="M1565" s="45">
        <v>8.07</v>
      </c>
      <c r="N1565" s="47">
        <v>8.07</v>
      </c>
      <c r="O1565" s="1279">
        <v>8.07</v>
      </c>
      <c r="P1565" s="1279">
        <v>8.07</v>
      </c>
      <c r="Q1565" s="409">
        <v>7.07</v>
      </c>
      <c r="R1565" s="409">
        <v>7.07</v>
      </c>
      <c r="S1565" s="58">
        <v>11.07</v>
      </c>
      <c r="T1565" s="409">
        <v>7.07</v>
      </c>
      <c r="U1565" s="9">
        <v>12.07</v>
      </c>
      <c r="V1565" s="58">
        <v>11.07</v>
      </c>
      <c r="W1565" s="409">
        <v>7.07</v>
      </c>
      <c r="X1565" s="409">
        <v>7.07</v>
      </c>
      <c r="Y1565" s="409">
        <v>7.07</v>
      </c>
      <c r="Z1565" s="409">
        <v>7.07</v>
      </c>
      <c r="AA1565" s="409">
        <v>7.07</v>
      </c>
      <c r="AB1565" s="409">
        <v>7.07</v>
      </c>
      <c r="AC1565" s="409">
        <v>7.01</v>
      </c>
      <c r="AD1565" s="409">
        <v>7.01</v>
      </c>
      <c r="AE1565" s="409">
        <v>7.07</v>
      </c>
      <c r="AF1565" s="1281">
        <v>7.07</v>
      </c>
    </row>
    <row r="1566" spans="1:34">
      <c r="A1566" s="1251">
        <v>7.07</v>
      </c>
      <c r="B1566" s="409">
        <v>7.07</v>
      </c>
      <c r="C1566" s="409">
        <v>7.01</v>
      </c>
      <c r="D1566" s="409">
        <v>7.01</v>
      </c>
      <c r="E1566" s="409">
        <v>7.07</v>
      </c>
      <c r="F1566" s="1279">
        <v>8.07</v>
      </c>
      <c r="G1566" s="1279">
        <v>8.07</v>
      </c>
      <c r="H1566" s="1279">
        <v>8.07</v>
      </c>
      <c r="I1566" s="1279">
        <v>8.07</v>
      </c>
      <c r="J1566" s="1279">
        <v>8.07</v>
      </c>
      <c r="K1566" s="1279">
        <v>8.07</v>
      </c>
      <c r="L1566" s="47">
        <v>8.07</v>
      </c>
      <c r="M1566" s="47">
        <v>8.07</v>
      </c>
      <c r="N1566" s="47">
        <v>8.07</v>
      </c>
      <c r="O1566" s="1279">
        <v>8.07</v>
      </c>
      <c r="P1566" s="1279">
        <v>8.07</v>
      </c>
      <c r="Q1566" s="409">
        <v>7.07</v>
      </c>
      <c r="R1566" s="409">
        <v>7.07</v>
      </c>
      <c r="S1566" s="58">
        <v>11.07</v>
      </c>
      <c r="T1566" s="58">
        <v>11.07</v>
      </c>
      <c r="U1566" s="58">
        <v>11.07</v>
      </c>
      <c r="V1566" s="58">
        <v>11.07</v>
      </c>
      <c r="W1566" s="409">
        <v>7.07</v>
      </c>
      <c r="X1566" s="409">
        <v>7.07</v>
      </c>
      <c r="Y1566" s="409">
        <v>7.07</v>
      </c>
      <c r="Z1566" s="409">
        <v>7.07</v>
      </c>
      <c r="AA1566" s="409">
        <v>7.07</v>
      </c>
      <c r="AB1566" s="409">
        <v>7.07</v>
      </c>
      <c r="AC1566" s="409">
        <v>7.01</v>
      </c>
      <c r="AD1566" s="409">
        <v>7.01</v>
      </c>
      <c r="AE1566" s="409">
        <v>7.07</v>
      </c>
      <c r="AF1566" s="1281">
        <v>7.07</v>
      </c>
    </row>
    <row r="1567" spans="1:34">
      <c r="A1567" s="1251">
        <v>7.07</v>
      </c>
      <c r="B1567" s="409">
        <v>7.07</v>
      </c>
      <c r="C1567" s="409">
        <v>7.07</v>
      </c>
      <c r="D1567" s="409">
        <v>7.07</v>
      </c>
      <c r="E1567" s="409">
        <v>7.07</v>
      </c>
      <c r="F1567" s="1279">
        <v>8.07</v>
      </c>
      <c r="G1567" s="1279">
        <v>8.07</v>
      </c>
      <c r="H1567" s="1279">
        <v>8.07</v>
      </c>
      <c r="I1567" s="1279">
        <v>8.07</v>
      </c>
      <c r="J1567" s="1279">
        <v>8.07</v>
      </c>
      <c r="K1567" s="1279">
        <v>8.07</v>
      </c>
      <c r="L1567" s="1279">
        <v>8.07</v>
      </c>
      <c r="M1567" s="1279">
        <v>8.07</v>
      </c>
      <c r="N1567" s="1279">
        <v>8.07</v>
      </c>
      <c r="O1567" s="1279">
        <v>8.07</v>
      </c>
      <c r="P1567" s="1279">
        <v>8.07</v>
      </c>
      <c r="Q1567" s="409">
        <v>7.07</v>
      </c>
      <c r="R1567" s="409">
        <v>7.07</v>
      </c>
      <c r="S1567" s="409">
        <v>7.07</v>
      </c>
      <c r="T1567" s="409">
        <v>7.07</v>
      </c>
      <c r="U1567" s="409">
        <v>7.07</v>
      </c>
      <c r="V1567" s="409">
        <v>7.07</v>
      </c>
      <c r="W1567" s="409">
        <v>7.07</v>
      </c>
      <c r="X1567" s="409">
        <v>7.07</v>
      </c>
      <c r="Y1567" s="409">
        <v>7.07</v>
      </c>
      <c r="Z1567" s="409">
        <v>7.07</v>
      </c>
      <c r="AA1567" s="409">
        <v>7.07</v>
      </c>
      <c r="AB1567" s="409">
        <v>7.07</v>
      </c>
      <c r="AC1567" s="409">
        <v>7.07</v>
      </c>
      <c r="AD1567" s="409">
        <v>7.07</v>
      </c>
      <c r="AE1567" s="409">
        <v>7.07</v>
      </c>
      <c r="AF1567" s="1281">
        <v>7.07</v>
      </c>
    </row>
    <row r="1568" spans="1:34">
      <c r="AH1568">
        <v>1547</v>
      </c>
    </row>
    <row r="1569" spans="1:34">
      <c r="A1569" s="417">
        <v>18.149999999999999</v>
      </c>
      <c r="B1569" s="417">
        <v>18.149999999999999</v>
      </c>
      <c r="C1569" s="417">
        <v>18.149999999999999</v>
      </c>
      <c r="D1569" s="417">
        <v>18.149999999999999</v>
      </c>
      <c r="E1569" s="417">
        <v>18.149999999999999</v>
      </c>
      <c r="F1569" s="417">
        <v>18.149999999999999</v>
      </c>
      <c r="G1569" s="417">
        <v>18.149999999999999</v>
      </c>
      <c r="H1569" s="417">
        <v>18.149999999999999</v>
      </c>
      <c r="I1569" s="417">
        <v>18.149999999999999</v>
      </c>
      <c r="J1569" s="417">
        <v>18.149999999999999</v>
      </c>
      <c r="K1569" s="417">
        <v>18.149999999999999</v>
      </c>
      <c r="L1569" s="417">
        <v>18.149999999999999</v>
      </c>
      <c r="M1569" s="417">
        <v>18.149999999999999</v>
      </c>
      <c r="N1569" s="417">
        <v>18.149999999999999</v>
      </c>
      <c r="O1569" s="417">
        <v>18.149999999999999</v>
      </c>
      <c r="P1569" s="417">
        <v>18.149999999999999</v>
      </c>
      <c r="Q1569" s="417">
        <v>18.149999999999999</v>
      </c>
      <c r="R1569" s="417">
        <v>18.149999999999999</v>
      </c>
      <c r="S1569" s="417">
        <v>18.149999999999999</v>
      </c>
      <c r="T1569" s="417">
        <v>18.149999999999999</v>
      </c>
      <c r="U1569" s="417">
        <v>18.149999999999999</v>
      </c>
      <c r="V1569" s="417">
        <v>18.149999999999999</v>
      </c>
      <c r="W1569" s="417">
        <v>18.149999999999999</v>
      </c>
      <c r="X1569" s="417">
        <v>18.149999999999999</v>
      </c>
      <c r="Y1569" s="417">
        <v>18.149999999999999</v>
      </c>
      <c r="Z1569" s="417">
        <v>18.149999999999999</v>
      </c>
      <c r="AA1569" s="417">
        <v>18.149999999999999</v>
      </c>
      <c r="AB1569" s="417">
        <v>18.149999999999999</v>
      </c>
      <c r="AC1569" s="417">
        <v>18.149999999999999</v>
      </c>
      <c r="AD1569" s="417">
        <v>18.149999999999999</v>
      </c>
      <c r="AE1569" s="417">
        <v>18.149999999999999</v>
      </c>
      <c r="AF1569" s="415">
        <v>18.149999999999999</v>
      </c>
      <c r="AG1569">
        <v>50</v>
      </c>
    </row>
    <row r="1570" spans="1:34">
      <c r="A1570" s="415">
        <v>15.15</v>
      </c>
      <c r="B1570" s="422">
        <v>15.15</v>
      </c>
      <c r="C1570" s="422">
        <v>15.15</v>
      </c>
      <c r="D1570" s="422">
        <v>15.15</v>
      </c>
      <c r="E1570" s="422">
        <v>15.15</v>
      </c>
      <c r="F1570" s="422">
        <v>15.15</v>
      </c>
      <c r="G1570" s="422">
        <v>15.15</v>
      </c>
      <c r="H1570" s="422">
        <v>15.15</v>
      </c>
      <c r="I1570" s="422">
        <v>15.15</v>
      </c>
      <c r="J1570" s="422">
        <v>15.15</v>
      </c>
      <c r="K1570" s="422">
        <v>15.15</v>
      </c>
      <c r="L1570" s="422">
        <v>15.15</v>
      </c>
      <c r="M1570" s="422">
        <v>15.15</v>
      </c>
      <c r="N1570" s="422">
        <v>15.15</v>
      </c>
      <c r="O1570" s="422">
        <v>15.15</v>
      </c>
      <c r="P1570" s="422">
        <v>15.15</v>
      </c>
      <c r="Q1570" s="422">
        <v>15.15</v>
      </c>
      <c r="R1570" s="422">
        <v>15.15</v>
      </c>
      <c r="S1570" s="422">
        <v>15.15</v>
      </c>
      <c r="T1570" s="422">
        <v>15.15</v>
      </c>
      <c r="U1570" s="422">
        <v>15.15</v>
      </c>
      <c r="V1570" s="422">
        <v>15.15</v>
      </c>
      <c r="W1570" s="422">
        <v>15.15</v>
      </c>
      <c r="X1570" s="422">
        <v>15.15</v>
      </c>
      <c r="Y1570" s="422">
        <v>15.15</v>
      </c>
      <c r="Z1570" s="422">
        <v>15.15</v>
      </c>
      <c r="AA1570" s="422">
        <v>15.15</v>
      </c>
      <c r="AB1570" s="422">
        <v>15.15</v>
      </c>
      <c r="AC1570" s="422">
        <v>15.15</v>
      </c>
      <c r="AD1570" s="422">
        <v>15.15</v>
      </c>
      <c r="AE1570" s="422">
        <v>15.15</v>
      </c>
      <c r="AF1570" s="415">
        <v>15.15</v>
      </c>
    </row>
    <row r="1571" spans="1:34">
      <c r="A1571" s="415">
        <v>15.15</v>
      </c>
      <c r="B1571" s="417">
        <v>14.01</v>
      </c>
      <c r="C1571" s="422">
        <v>15.01</v>
      </c>
      <c r="D1571" s="422">
        <v>15.15</v>
      </c>
      <c r="E1571" s="422">
        <v>15.15</v>
      </c>
      <c r="F1571" s="422">
        <v>15.15</v>
      </c>
      <c r="G1571" s="422">
        <v>15.15</v>
      </c>
      <c r="H1571" s="422">
        <v>15.15</v>
      </c>
      <c r="I1571" s="422">
        <v>15.15</v>
      </c>
      <c r="J1571" s="422">
        <v>15.15</v>
      </c>
      <c r="K1571" s="422">
        <v>15.15</v>
      </c>
      <c r="L1571" s="422">
        <v>15.15</v>
      </c>
      <c r="M1571" s="422">
        <v>15.15</v>
      </c>
      <c r="N1571" s="417">
        <v>15.15</v>
      </c>
      <c r="O1571" s="417">
        <v>15.15</v>
      </c>
      <c r="P1571" s="417">
        <v>15.15</v>
      </c>
      <c r="Q1571" s="417">
        <v>15.15</v>
      </c>
      <c r="R1571" s="417">
        <v>15.15</v>
      </c>
      <c r="S1571" s="417">
        <v>15.15</v>
      </c>
      <c r="T1571" s="422">
        <v>15.15</v>
      </c>
      <c r="U1571" s="422">
        <v>15.15</v>
      </c>
      <c r="V1571" s="422">
        <v>15.15</v>
      </c>
      <c r="W1571" s="422">
        <v>15.15</v>
      </c>
      <c r="X1571" s="422">
        <v>15.15</v>
      </c>
      <c r="Y1571" s="422">
        <v>15.15</v>
      </c>
      <c r="Z1571" s="422">
        <v>15.15</v>
      </c>
      <c r="AA1571" s="422">
        <v>15.15</v>
      </c>
      <c r="AB1571" s="422">
        <v>15.15</v>
      </c>
      <c r="AC1571" s="422">
        <v>15.15</v>
      </c>
      <c r="AD1571" s="422">
        <v>15.01</v>
      </c>
      <c r="AE1571" s="417">
        <v>14.01</v>
      </c>
      <c r="AF1571" s="415">
        <v>15.15</v>
      </c>
    </row>
    <row r="1572" spans="1:34">
      <c r="A1572" s="415">
        <v>15.15</v>
      </c>
      <c r="B1572" s="422">
        <v>15.01</v>
      </c>
      <c r="C1572" s="415">
        <v>15.01</v>
      </c>
      <c r="D1572" s="422">
        <v>15.15</v>
      </c>
      <c r="E1572" s="422">
        <v>15.15</v>
      </c>
      <c r="F1572" s="422">
        <v>15.15</v>
      </c>
      <c r="G1572" s="417">
        <v>15.15</v>
      </c>
      <c r="H1572" s="417">
        <v>15.15</v>
      </c>
      <c r="I1572" s="417">
        <v>15.15</v>
      </c>
      <c r="J1572" s="417">
        <v>15.15</v>
      </c>
      <c r="K1572" s="417">
        <v>15.15</v>
      </c>
      <c r="L1572" s="417">
        <v>15.15</v>
      </c>
      <c r="M1572" s="417">
        <v>15.15</v>
      </c>
      <c r="N1572" s="417">
        <v>15.15</v>
      </c>
      <c r="O1572" s="417">
        <v>15.15</v>
      </c>
      <c r="P1572" s="422">
        <v>15.15</v>
      </c>
      <c r="Q1572" s="422">
        <v>15.15</v>
      </c>
      <c r="R1572" s="422">
        <v>15.15</v>
      </c>
      <c r="S1572" s="422">
        <v>15.15</v>
      </c>
      <c r="T1572" s="422">
        <v>15.15</v>
      </c>
      <c r="U1572" s="422">
        <v>15.15</v>
      </c>
      <c r="V1572" s="422">
        <v>15.15</v>
      </c>
      <c r="W1572" s="422">
        <v>15.15</v>
      </c>
      <c r="X1572" s="422">
        <v>15.15</v>
      </c>
      <c r="Y1572" s="422">
        <v>15.15</v>
      </c>
      <c r="Z1572" s="422">
        <v>15.15</v>
      </c>
      <c r="AA1572" s="422">
        <v>15.15</v>
      </c>
      <c r="AB1572" s="422">
        <v>15.15</v>
      </c>
      <c r="AC1572" s="422">
        <v>15.15</v>
      </c>
      <c r="AD1572" s="415">
        <v>15.01</v>
      </c>
      <c r="AE1572" s="422">
        <v>15.01</v>
      </c>
      <c r="AF1572" s="415">
        <v>15.15</v>
      </c>
    </row>
    <row r="1573" spans="1:34">
      <c r="A1573" s="415">
        <v>15.15</v>
      </c>
      <c r="B1573" s="422">
        <v>15.15</v>
      </c>
      <c r="C1573" s="422">
        <v>15.15</v>
      </c>
      <c r="D1573" s="422">
        <v>15.15</v>
      </c>
      <c r="E1573" s="422">
        <v>15.15</v>
      </c>
      <c r="F1573" s="422">
        <v>15.15</v>
      </c>
      <c r="G1573" s="422">
        <v>15.15</v>
      </c>
      <c r="H1573" s="422">
        <v>15.15</v>
      </c>
      <c r="I1573" s="422">
        <v>15.15</v>
      </c>
      <c r="J1573" s="422">
        <v>15.15</v>
      </c>
      <c r="K1573" s="422">
        <v>15.15</v>
      </c>
      <c r="L1573" s="422">
        <v>15.15</v>
      </c>
      <c r="M1573" s="422">
        <v>15.15</v>
      </c>
      <c r="N1573" s="422">
        <v>15.15</v>
      </c>
      <c r="O1573" s="422">
        <v>15.15</v>
      </c>
      <c r="P1573" s="422">
        <v>15.15</v>
      </c>
      <c r="Q1573" s="422">
        <v>15.15</v>
      </c>
      <c r="R1573" s="422">
        <v>15.15</v>
      </c>
      <c r="S1573" s="422">
        <v>15.15</v>
      </c>
      <c r="T1573" s="422">
        <v>15.15</v>
      </c>
      <c r="U1573" s="422">
        <v>15.15</v>
      </c>
      <c r="V1573" s="417">
        <v>15.15</v>
      </c>
      <c r="W1573" s="417">
        <v>15.15</v>
      </c>
      <c r="X1573" s="417">
        <v>15.15</v>
      </c>
      <c r="Y1573" s="422">
        <v>15.15</v>
      </c>
      <c r="Z1573" s="422">
        <v>15.15</v>
      </c>
      <c r="AA1573" s="422">
        <v>15.15</v>
      </c>
      <c r="AB1573" s="422">
        <v>15.15</v>
      </c>
      <c r="AC1573" s="422">
        <v>15.15</v>
      </c>
      <c r="AD1573" s="422">
        <v>15.15</v>
      </c>
      <c r="AE1573" s="422">
        <v>15.15</v>
      </c>
      <c r="AF1573" s="415">
        <v>15.15</v>
      </c>
    </row>
    <row r="1574" spans="1:34">
      <c r="AH1574">
        <v>1570</v>
      </c>
    </row>
    <row r="1575" spans="1:34">
      <c r="A1575" s="415">
        <v>15.12</v>
      </c>
      <c r="B1575" s="417">
        <v>15.12</v>
      </c>
      <c r="C1575" s="417">
        <v>15.12</v>
      </c>
      <c r="D1575" s="417">
        <v>15.12</v>
      </c>
      <c r="E1575" s="417">
        <v>15.12</v>
      </c>
      <c r="F1575" s="417">
        <v>15.12</v>
      </c>
      <c r="G1575" s="417">
        <v>15.12</v>
      </c>
      <c r="H1575" s="417">
        <v>15.12</v>
      </c>
      <c r="I1575" s="417">
        <v>15.12</v>
      </c>
      <c r="J1575" s="417">
        <v>15.12</v>
      </c>
      <c r="K1575" s="417">
        <v>15.12</v>
      </c>
      <c r="L1575" s="417">
        <v>15.12</v>
      </c>
      <c r="M1575" s="417">
        <v>15.12</v>
      </c>
      <c r="N1575" s="417">
        <v>15.12</v>
      </c>
      <c r="O1575" s="417">
        <v>15.12</v>
      </c>
      <c r="P1575" s="417">
        <v>15.12</v>
      </c>
      <c r="Q1575" s="417">
        <v>15.12</v>
      </c>
      <c r="R1575" s="417">
        <v>15.12</v>
      </c>
      <c r="S1575" s="417">
        <v>15.12</v>
      </c>
      <c r="T1575" s="417">
        <v>15.12</v>
      </c>
      <c r="U1575" s="417">
        <v>15.12</v>
      </c>
      <c r="V1575" s="417">
        <v>15.12</v>
      </c>
      <c r="W1575" s="417">
        <v>15.12</v>
      </c>
      <c r="X1575" s="417">
        <v>15.12</v>
      </c>
      <c r="Y1575" s="417">
        <v>15.12</v>
      </c>
      <c r="Z1575" s="417">
        <v>15.12</v>
      </c>
      <c r="AA1575" s="417">
        <v>15.12</v>
      </c>
      <c r="AB1575" s="417">
        <v>15.12</v>
      </c>
      <c r="AC1575" s="417">
        <v>15.12</v>
      </c>
      <c r="AD1575" s="417">
        <v>15.12</v>
      </c>
      <c r="AE1575" s="417">
        <v>15.12</v>
      </c>
      <c r="AF1575" s="415">
        <v>15.12</v>
      </c>
    </row>
    <row r="1576" spans="1:34">
      <c r="A1576" s="415">
        <v>12.12</v>
      </c>
      <c r="B1576" s="422">
        <v>12.12</v>
      </c>
      <c r="C1576" s="422">
        <v>12.12</v>
      </c>
      <c r="D1576" s="422">
        <v>12.12</v>
      </c>
      <c r="E1576" s="422">
        <v>12.12</v>
      </c>
      <c r="F1576" s="422">
        <v>12.12</v>
      </c>
      <c r="G1576" s="422">
        <v>12.12</v>
      </c>
      <c r="H1576" s="422">
        <v>12.12</v>
      </c>
      <c r="I1576" s="422">
        <v>12.12</v>
      </c>
      <c r="J1576" s="422">
        <v>12.12</v>
      </c>
      <c r="K1576" s="422">
        <v>12.12</v>
      </c>
      <c r="L1576" s="422">
        <v>12.12</v>
      </c>
      <c r="M1576" s="422">
        <v>12.12</v>
      </c>
      <c r="N1576" s="422">
        <v>12.12</v>
      </c>
      <c r="O1576" s="422">
        <v>12.12</v>
      </c>
      <c r="P1576" s="422">
        <v>12.12</v>
      </c>
      <c r="Q1576" s="422">
        <v>12.12</v>
      </c>
      <c r="R1576" s="422">
        <v>12.12</v>
      </c>
      <c r="S1576" s="422">
        <v>12.12</v>
      </c>
      <c r="T1576" s="422">
        <v>12.12</v>
      </c>
      <c r="U1576" s="422">
        <v>12.12</v>
      </c>
      <c r="V1576" s="422">
        <v>12.12</v>
      </c>
      <c r="W1576" s="422">
        <v>12.12</v>
      </c>
      <c r="X1576" s="422">
        <v>12.12</v>
      </c>
      <c r="Y1576" s="422">
        <v>12.12</v>
      </c>
      <c r="Z1576" s="422">
        <v>12.12</v>
      </c>
      <c r="AA1576" s="422">
        <v>12.12</v>
      </c>
      <c r="AB1576" s="422">
        <v>12.12</v>
      </c>
      <c r="AC1576" s="422">
        <v>12.12</v>
      </c>
      <c r="AD1576" s="422">
        <v>12.12</v>
      </c>
      <c r="AE1576" s="422">
        <v>12.12</v>
      </c>
      <c r="AF1576" s="415">
        <v>12.12</v>
      </c>
    </row>
    <row r="1577" spans="1:34">
      <c r="A1577" s="415">
        <v>12.12</v>
      </c>
      <c r="B1577" s="417">
        <v>11.01</v>
      </c>
      <c r="C1577" s="422">
        <v>12.01</v>
      </c>
      <c r="D1577" s="422">
        <v>12.12</v>
      </c>
      <c r="E1577" s="422">
        <v>12.12</v>
      </c>
      <c r="F1577" s="422">
        <v>12.12</v>
      </c>
      <c r="G1577" s="422">
        <v>12.12</v>
      </c>
      <c r="H1577" s="422">
        <v>12.12</v>
      </c>
      <c r="I1577" s="422">
        <v>12.12</v>
      </c>
      <c r="J1577" s="422">
        <v>12.12</v>
      </c>
      <c r="K1577" s="422">
        <v>12.12</v>
      </c>
      <c r="L1577" s="422">
        <v>12.12</v>
      </c>
      <c r="M1577" s="422">
        <v>12.12</v>
      </c>
      <c r="N1577" s="422">
        <v>12.12</v>
      </c>
      <c r="O1577" s="422">
        <v>12.12</v>
      </c>
      <c r="P1577" s="422">
        <v>12.12</v>
      </c>
      <c r="Q1577" s="422">
        <v>12.12</v>
      </c>
      <c r="R1577" s="422">
        <v>12.12</v>
      </c>
      <c r="S1577" s="417">
        <v>12.12</v>
      </c>
      <c r="T1577" s="417">
        <v>12.12</v>
      </c>
      <c r="U1577" s="417">
        <v>12.12</v>
      </c>
      <c r="V1577" s="417">
        <v>12.12</v>
      </c>
      <c r="W1577" s="417">
        <v>12.12</v>
      </c>
      <c r="X1577" s="417">
        <v>12.12</v>
      </c>
      <c r="Y1577" s="417">
        <v>12.12</v>
      </c>
      <c r="Z1577" s="422">
        <v>12.12</v>
      </c>
      <c r="AA1577" s="422">
        <v>12.12</v>
      </c>
      <c r="AB1577" s="422">
        <v>12.12</v>
      </c>
      <c r="AC1577" s="422">
        <v>12.12</v>
      </c>
      <c r="AD1577" s="422">
        <v>12.01</v>
      </c>
      <c r="AE1577" s="417">
        <v>11.01</v>
      </c>
      <c r="AF1577" s="415">
        <v>12.12</v>
      </c>
    </row>
    <row r="1578" spans="1:34">
      <c r="A1578" s="415">
        <v>12.12</v>
      </c>
      <c r="B1578" s="422">
        <v>12.01</v>
      </c>
      <c r="C1578" s="415">
        <v>12.01</v>
      </c>
      <c r="D1578" s="422">
        <v>12.12</v>
      </c>
      <c r="E1578" s="422">
        <v>12.12</v>
      </c>
      <c r="F1578" s="422">
        <v>12.12</v>
      </c>
      <c r="G1578" s="422">
        <v>12.12</v>
      </c>
      <c r="H1578" s="417">
        <v>12.12</v>
      </c>
      <c r="I1578" s="417">
        <v>12.12</v>
      </c>
      <c r="J1578" s="417">
        <v>12.12</v>
      </c>
      <c r="K1578" s="417">
        <v>12.12</v>
      </c>
      <c r="L1578" s="417">
        <v>12.12</v>
      </c>
      <c r="M1578" s="417">
        <v>12.12</v>
      </c>
      <c r="N1578" s="417">
        <v>12.12</v>
      </c>
      <c r="O1578" s="417">
        <v>12.12</v>
      </c>
      <c r="P1578" s="422">
        <v>12.12</v>
      </c>
      <c r="Q1578" s="422">
        <v>12.12</v>
      </c>
      <c r="R1578" s="422">
        <v>12.12</v>
      </c>
      <c r="S1578" s="422">
        <v>12.12</v>
      </c>
      <c r="T1578" s="422">
        <v>12.12</v>
      </c>
      <c r="U1578" s="422">
        <v>12.12</v>
      </c>
      <c r="V1578" s="422">
        <v>12.12</v>
      </c>
      <c r="W1578" s="422">
        <v>12.12</v>
      </c>
      <c r="X1578" s="422">
        <v>12.12</v>
      </c>
      <c r="Y1578" s="422">
        <v>12.12</v>
      </c>
      <c r="Z1578" s="422">
        <v>12.12</v>
      </c>
      <c r="AA1578" s="422">
        <v>12.12</v>
      </c>
      <c r="AB1578" s="422">
        <v>12.12</v>
      </c>
      <c r="AC1578" s="422">
        <v>12.12</v>
      </c>
      <c r="AD1578" s="415">
        <v>12.01</v>
      </c>
      <c r="AE1578" s="422">
        <v>12.01</v>
      </c>
      <c r="AF1578" s="415">
        <v>12.12</v>
      </c>
    </row>
    <row r="1579" spans="1:34">
      <c r="A1579" s="415">
        <v>12.12</v>
      </c>
      <c r="B1579" s="422">
        <v>12.12</v>
      </c>
      <c r="C1579" s="422">
        <v>12.12</v>
      </c>
      <c r="D1579" s="422">
        <v>12.12</v>
      </c>
      <c r="E1579" s="422">
        <v>12.12</v>
      </c>
      <c r="F1579" s="422">
        <v>12.12</v>
      </c>
      <c r="G1579" s="422">
        <v>12.12</v>
      </c>
      <c r="H1579" s="422">
        <v>12.12</v>
      </c>
      <c r="I1579" s="422">
        <v>12.12</v>
      </c>
      <c r="J1579" s="422">
        <v>12.12</v>
      </c>
      <c r="K1579" s="422">
        <v>12.12</v>
      </c>
      <c r="L1579" s="422">
        <v>12.12</v>
      </c>
      <c r="M1579" s="422">
        <v>12.12</v>
      </c>
      <c r="N1579" s="422">
        <v>12.12</v>
      </c>
      <c r="O1579" s="422">
        <v>12.12</v>
      </c>
      <c r="P1579" s="422">
        <v>12.12</v>
      </c>
      <c r="Q1579" s="422">
        <v>12.12</v>
      </c>
      <c r="R1579" s="422">
        <v>12.12</v>
      </c>
      <c r="S1579" s="422">
        <v>12.12</v>
      </c>
      <c r="T1579" s="422">
        <v>12.12</v>
      </c>
      <c r="U1579" s="422">
        <v>12.12</v>
      </c>
      <c r="V1579" s="422">
        <v>12.12</v>
      </c>
      <c r="W1579" s="422">
        <v>12.12</v>
      </c>
      <c r="X1579" s="422">
        <v>12.12</v>
      </c>
      <c r="Y1579" s="422">
        <v>12.12</v>
      </c>
      <c r="Z1579" s="422">
        <v>12.12</v>
      </c>
      <c r="AA1579" s="422">
        <v>12.12</v>
      </c>
      <c r="AB1579" s="422">
        <v>12.12</v>
      </c>
      <c r="AC1579" s="422">
        <v>12.12</v>
      </c>
      <c r="AD1579" s="422">
        <v>12.12</v>
      </c>
      <c r="AE1579" s="422">
        <v>12.12</v>
      </c>
      <c r="AF1579" s="415">
        <v>12.12</v>
      </c>
    </row>
    <row r="1580" spans="1:34">
      <c r="AH1580">
        <v>1576</v>
      </c>
    </row>
    <row r="1581" spans="1:34">
      <c r="A1581" s="415">
        <v>12.09</v>
      </c>
      <c r="B1581" s="417">
        <v>12.09</v>
      </c>
      <c r="C1581" s="417">
        <v>12.09</v>
      </c>
      <c r="D1581" s="417">
        <v>12.09</v>
      </c>
      <c r="E1581" s="417">
        <v>12.09</v>
      </c>
      <c r="F1581" s="417">
        <v>12.09</v>
      </c>
      <c r="G1581" s="417">
        <v>12.09</v>
      </c>
      <c r="H1581" s="417">
        <v>12.09</v>
      </c>
      <c r="I1581" s="417">
        <v>12.09</v>
      </c>
      <c r="J1581" s="417">
        <v>12.09</v>
      </c>
      <c r="K1581" s="417">
        <v>12.09</v>
      </c>
      <c r="L1581" s="417">
        <v>12.09</v>
      </c>
      <c r="M1581" s="417">
        <v>12.09</v>
      </c>
      <c r="N1581" s="417">
        <v>12.09</v>
      </c>
      <c r="O1581" s="417">
        <v>12.09</v>
      </c>
      <c r="P1581" s="417">
        <v>12.09</v>
      </c>
      <c r="Q1581" s="417">
        <v>12.09</v>
      </c>
      <c r="R1581" s="417">
        <v>12.09</v>
      </c>
      <c r="S1581" s="417">
        <v>12.09</v>
      </c>
      <c r="T1581" s="417">
        <v>12.09</v>
      </c>
      <c r="U1581" s="417">
        <v>12.09</v>
      </c>
      <c r="V1581" s="417">
        <v>12.09</v>
      </c>
      <c r="W1581" s="417">
        <v>12.09</v>
      </c>
      <c r="X1581" s="417">
        <v>12.09</v>
      </c>
      <c r="Y1581" s="417">
        <v>12.09</v>
      </c>
      <c r="Z1581" s="417">
        <v>12.09</v>
      </c>
      <c r="AA1581" s="417">
        <v>12.09</v>
      </c>
      <c r="AB1581" s="417">
        <v>12.09</v>
      </c>
      <c r="AC1581" s="417">
        <v>12.09</v>
      </c>
      <c r="AD1581" s="417">
        <v>12.09</v>
      </c>
      <c r="AE1581" s="417">
        <v>12.09</v>
      </c>
      <c r="AF1581" s="415">
        <v>12.09</v>
      </c>
    </row>
    <row r="1582" spans="1:34">
      <c r="A1582" s="415">
        <v>9.09</v>
      </c>
      <c r="B1582" s="422">
        <v>9.09</v>
      </c>
      <c r="C1582" s="422">
        <v>9.09</v>
      </c>
      <c r="D1582" s="422">
        <v>9.09</v>
      </c>
      <c r="E1582" s="422">
        <v>9.09</v>
      </c>
      <c r="F1582" s="422">
        <v>9.09</v>
      </c>
      <c r="G1582" s="422">
        <v>9.09</v>
      </c>
      <c r="H1582" s="422">
        <v>9.09</v>
      </c>
      <c r="I1582" s="422">
        <v>9.09</v>
      </c>
      <c r="J1582" s="422">
        <v>9.09</v>
      </c>
      <c r="K1582" s="422">
        <v>9.09</v>
      </c>
      <c r="L1582" s="422">
        <v>9.09</v>
      </c>
      <c r="M1582" s="422">
        <v>9.09</v>
      </c>
      <c r="N1582" s="422">
        <v>9.09</v>
      </c>
      <c r="O1582" s="422">
        <v>9.09</v>
      </c>
      <c r="P1582" s="422">
        <v>9.09</v>
      </c>
      <c r="Q1582" s="422">
        <v>9.09</v>
      </c>
      <c r="R1582" s="422">
        <v>9.09</v>
      </c>
      <c r="S1582" s="422">
        <v>9.09</v>
      </c>
      <c r="T1582" s="422">
        <v>9.09</v>
      </c>
      <c r="U1582" s="422">
        <v>9.09</v>
      </c>
      <c r="V1582" s="422">
        <v>9.09</v>
      </c>
      <c r="W1582" s="422">
        <v>9.09</v>
      </c>
      <c r="X1582" s="422">
        <v>9.09</v>
      </c>
      <c r="Y1582" s="422">
        <v>9.09</v>
      </c>
      <c r="Z1582" s="422">
        <v>9.09</v>
      </c>
      <c r="AA1582" s="422">
        <v>9.09</v>
      </c>
      <c r="AB1582" s="422">
        <v>9.09</v>
      </c>
      <c r="AC1582" s="422">
        <v>9.09</v>
      </c>
      <c r="AD1582" s="422">
        <v>9.09</v>
      </c>
      <c r="AE1582" s="422">
        <v>9.09</v>
      </c>
      <c r="AF1582" s="415">
        <v>9.09</v>
      </c>
    </row>
    <row r="1583" spans="1:34">
      <c r="A1583" s="415">
        <v>9.09</v>
      </c>
      <c r="B1583" s="417">
        <v>8.01</v>
      </c>
      <c r="C1583" s="422">
        <v>9.01</v>
      </c>
      <c r="D1583" s="422">
        <v>9.09</v>
      </c>
      <c r="E1583" s="417">
        <v>9.09</v>
      </c>
      <c r="F1583" s="417">
        <v>9.09</v>
      </c>
      <c r="G1583" s="417">
        <v>9.09</v>
      </c>
      <c r="H1583" s="417">
        <v>9.09</v>
      </c>
      <c r="I1583" s="422">
        <v>9.09</v>
      </c>
      <c r="J1583" s="422">
        <v>9.09</v>
      </c>
      <c r="K1583" s="422">
        <v>9.09</v>
      </c>
      <c r="L1583" s="422">
        <v>9.09</v>
      </c>
      <c r="M1583" s="422">
        <v>9.09</v>
      </c>
      <c r="N1583" s="422">
        <v>9.09</v>
      </c>
      <c r="O1583" s="422">
        <v>9.09</v>
      </c>
      <c r="P1583" s="422">
        <v>9.09</v>
      </c>
      <c r="Q1583" s="422">
        <v>9.09</v>
      </c>
      <c r="R1583" s="422">
        <v>9.09</v>
      </c>
      <c r="S1583" s="422">
        <v>9.09</v>
      </c>
      <c r="T1583" s="422">
        <v>9.09</v>
      </c>
      <c r="U1583" s="422">
        <v>9.09</v>
      </c>
      <c r="V1583" s="417">
        <v>9.09</v>
      </c>
      <c r="W1583" s="417">
        <v>9.09</v>
      </c>
      <c r="X1583" s="417">
        <v>9.09</v>
      </c>
      <c r="Y1583" s="417">
        <v>9.09</v>
      </c>
      <c r="Z1583" s="417">
        <v>9.09</v>
      </c>
      <c r="AA1583" s="422">
        <v>9.09</v>
      </c>
      <c r="AB1583" s="422">
        <v>9.09</v>
      </c>
      <c r="AC1583" s="422">
        <v>9.09</v>
      </c>
      <c r="AD1583" s="422">
        <v>9.01</v>
      </c>
      <c r="AE1583" s="417">
        <v>8.01</v>
      </c>
      <c r="AF1583" s="415">
        <v>9.09</v>
      </c>
    </row>
    <row r="1584" spans="1:34">
      <c r="A1584" s="415">
        <v>9.09</v>
      </c>
      <c r="B1584" s="422">
        <v>9.01</v>
      </c>
      <c r="C1584" s="415">
        <v>9.01</v>
      </c>
      <c r="D1584" s="422">
        <v>9.09</v>
      </c>
      <c r="E1584" s="422">
        <v>9.09</v>
      </c>
      <c r="F1584" s="422">
        <v>9.09</v>
      </c>
      <c r="G1584" s="422">
        <v>9.09</v>
      </c>
      <c r="H1584" s="422">
        <v>9.09</v>
      </c>
      <c r="I1584" s="422">
        <v>9.09</v>
      </c>
      <c r="J1584" s="422">
        <v>9.09</v>
      </c>
      <c r="K1584" s="422">
        <v>9.09</v>
      </c>
      <c r="L1584" s="422">
        <v>9.09</v>
      </c>
      <c r="M1584" s="422">
        <v>9.09</v>
      </c>
      <c r="N1584" s="422">
        <v>9.09</v>
      </c>
      <c r="O1584" s="422">
        <v>9.09</v>
      </c>
      <c r="P1584" s="422">
        <v>9.09</v>
      </c>
      <c r="Q1584" s="422">
        <v>9.09</v>
      </c>
      <c r="R1584" s="422">
        <v>9.09</v>
      </c>
      <c r="S1584" s="422">
        <v>9.09</v>
      </c>
      <c r="T1584" s="422">
        <v>9.09</v>
      </c>
      <c r="U1584" s="422">
        <v>9.09</v>
      </c>
      <c r="V1584" s="422">
        <v>9.09</v>
      </c>
      <c r="W1584" s="422">
        <v>9.09</v>
      </c>
      <c r="X1584" s="422">
        <v>9.09</v>
      </c>
      <c r="Y1584" s="422">
        <v>9.09</v>
      </c>
      <c r="Z1584" s="422">
        <v>9.09</v>
      </c>
      <c r="AA1584" s="422">
        <v>9.09</v>
      </c>
      <c r="AB1584" s="422">
        <v>9.09</v>
      </c>
      <c r="AC1584" s="422">
        <v>9.09</v>
      </c>
      <c r="AD1584" s="415">
        <v>9.01</v>
      </c>
      <c r="AE1584" s="422">
        <v>9.01</v>
      </c>
      <c r="AF1584" s="415">
        <v>9.09</v>
      </c>
    </row>
    <row r="1585" spans="1:34">
      <c r="A1585" s="415">
        <v>9.09</v>
      </c>
      <c r="B1585" s="422">
        <v>9.09</v>
      </c>
      <c r="C1585" s="422">
        <v>9.09</v>
      </c>
      <c r="D1585" s="422">
        <v>9.09</v>
      </c>
      <c r="E1585" s="422">
        <v>9.09</v>
      </c>
      <c r="F1585" s="422">
        <v>9.09</v>
      </c>
      <c r="G1585" s="422">
        <v>9.09</v>
      </c>
      <c r="H1585" s="422">
        <v>9.09</v>
      </c>
      <c r="I1585" s="422">
        <v>9.09</v>
      </c>
      <c r="J1585" s="422">
        <v>9.09</v>
      </c>
      <c r="K1585" s="422">
        <v>9.09</v>
      </c>
      <c r="L1585" s="422">
        <v>9.09</v>
      </c>
      <c r="M1585" s="417">
        <v>9.09</v>
      </c>
      <c r="N1585" s="417">
        <v>9.09</v>
      </c>
      <c r="O1585" s="417">
        <v>9.09</v>
      </c>
      <c r="P1585" s="417">
        <v>9.09</v>
      </c>
      <c r="Q1585" s="417">
        <v>9.09</v>
      </c>
      <c r="R1585" s="417">
        <v>9.09</v>
      </c>
      <c r="S1585" s="417">
        <v>9.09</v>
      </c>
      <c r="T1585" s="422">
        <v>9.09</v>
      </c>
      <c r="U1585" s="422">
        <v>9.09</v>
      </c>
      <c r="V1585" s="422">
        <v>9.09</v>
      </c>
      <c r="W1585" s="422">
        <v>9.09</v>
      </c>
      <c r="X1585" s="422">
        <v>9.09</v>
      </c>
      <c r="Y1585" s="422">
        <v>9.09</v>
      </c>
      <c r="Z1585" s="422">
        <v>9.09</v>
      </c>
      <c r="AA1585" s="422">
        <v>9.09</v>
      </c>
      <c r="AB1585" s="422">
        <v>9.09</v>
      </c>
      <c r="AC1585" s="422">
        <v>9.09</v>
      </c>
      <c r="AD1585" s="422">
        <v>9.09</v>
      </c>
      <c r="AE1585" s="422">
        <v>9.09</v>
      </c>
      <c r="AF1585" s="415">
        <v>9.09</v>
      </c>
    </row>
    <row r="1586" spans="1:34">
      <c r="AH1586">
        <v>1582</v>
      </c>
    </row>
    <row r="1587" spans="1:34">
      <c r="A1587" s="415">
        <v>9.06</v>
      </c>
      <c r="B1587" s="417">
        <v>9.06</v>
      </c>
      <c r="C1587" s="417">
        <v>9.06</v>
      </c>
      <c r="D1587" s="417">
        <v>9.06</v>
      </c>
      <c r="E1587" s="417">
        <v>9.06</v>
      </c>
      <c r="F1587" s="417">
        <v>9.06</v>
      </c>
      <c r="G1587" s="417">
        <v>9.06</v>
      </c>
      <c r="H1587" s="417">
        <v>9.06</v>
      </c>
      <c r="I1587" s="417">
        <v>9.06</v>
      </c>
      <c r="J1587" s="417">
        <v>9.06</v>
      </c>
      <c r="K1587" s="417">
        <v>9.06</v>
      </c>
      <c r="L1587" s="417">
        <v>9.06</v>
      </c>
      <c r="M1587" s="417">
        <v>9.06</v>
      </c>
      <c r="N1587" s="417">
        <v>9.06</v>
      </c>
      <c r="O1587" s="417">
        <v>9.06</v>
      </c>
      <c r="P1587" s="417">
        <v>9.06</v>
      </c>
      <c r="Q1587" s="417">
        <v>9.06</v>
      </c>
      <c r="R1587" s="417">
        <v>9.06</v>
      </c>
      <c r="S1587" s="417">
        <v>9.06</v>
      </c>
      <c r="T1587" s="417">
        <v>9.06</v>
      </c>
      <c r="U1587" s="417">
        <v>9.06</v>
      </c>
      <c r="V1587" s="417">
        <v>9.06</v>
      </c>
      <c r="W1587" s="417">
        <v>9.06</v>
      </c>
      <c r="X1587" s="417">
        <v>9.06</v>
      </c>
      <c r="Y1587" s="417">
        <v>9.06</v>
      </c>
      <c r="Z1587" s="417">
        <v>9.06</v>
      </c>
      <c r="AA1587" s="417">
        <v>9.06</v>
      </c>
      <c r="AB1587" s="417">
        <v>9.06</v>
      </c>
      <c r="AC1587" s="417">
        <v>9.06</v>
      </c>
      <c r="AD1587" s="417">
        <v>9.06</v>
      </c>
      <c r="AE1587" s="417">
        <v>9.06</v>
      </c>
      <c r="AF1587" s="415">
        <v>9.06</v>
      </c>
    </row>
    <row r="1588" spans="1:34">
      <c r="A1588" s="415">
        <v>6.06</v>
      </c>
      <c r="B1588" s="422">
        <v>6.06</v>
      </c>
      <c r="C1588" s="422">
        <v>6.06</v>
      </c>
      <c r="D1588" s="422">
        <v>6.06</v>
      </c>
      <c r="E1588" s="422">
        <v>6.06</v>
      </c>
      <c r="F1588" s="422">
        <v>6.06</v>
      </c>
      <c r="G1588" s="422">
        <v>6.06</v>
      </c>
      <c r="H1588" s="422">
        <v>6.06</v>
      </c>
      <c r="I1588" s="422">
        <v>6.06</v>
      </c>
      <c r="J1588" s="422">
        <v>6.06</v>
      </c>
      <c r="K1588" s="422">
        <v>6.06</v>
      </c>
      <c r="L1588" s="422">
        <v>6.06</v>
      </c>
      <c r="M1588" s="422">
        <v>6.06</v>
      </c>
      <c r="N1588" s="422">
        <v>6.06</v>
      </c>
      <c r="O1588" s="422">
        <v>6.06</v>
      </c>
      <c r="P1588" s="422">
        <v>6.06</v>
      </c>
      <c r="Q1588" s="422">
        <v>6.06</v>
      </c>
      <c r="R1588" s="422">
        <v>6.06</v>
      </c>
      <c r="S1588" s="422">
        <v>6.06</v>
      </c>
      <c r="T1588" s="422">
        <v>6.06</v>
      </c>
      <c r="U1588" s="422">
        <v>6.06</v>
      </c>
      <c r="V1588" s="422">
        <v>6.06</v>
      </c>
      <c r="W1588" s="422">
        <v>6.06</v>
      </c>
      <c r="X1588" s="422">
        <v>6.06</v>
      </c>
      <c r="Y1588" s="422">
        <v>6.06</v>
      </c>
      <c r="Z1588" s="422">
        <v>6.06</v>
      </c>
      <c r="AA1588" s="422">
        <v>6.06</v>
      </c>
      <c r="AB1588" s="422">
        <v>6.06</v>
      </c>
      <c r="AC1588" s="422">
        <v>6.06</v>
      </c>
      <c r="AD1588" s="422">
        <v>6.06</v>
      </c>
      <c r="AE1588" s="422">
        <v>6.06</v>
      </c>
      <c r="AF1588" s="415">
        <v>6.06</v>
      </c>
    </row>
    <row r="1589" spans="1:34">
      <c r="A1589" s="415">
        <v>6.06</v>
      </c>
      <c r="B1589" s="417">
        <v>5.01</v>
      </c>
      <c r="C1589" s="422">
        <v>6.01</v>
      </c>
      <c r="D1589" s="422">
        <v>6.06</v>
      </c>
      <c r="E1589" s="422">
        <v>6.06</v>
      </c>
      <c r="F1589" s="422">
        <v>6.06</v>
      </c>
      <c r="G1589" s="422">
        <v>6.06</v>
      </c>
      <c r="H1589" s="422">
        <v>6.06</v>
      </c>
      <c r="I1589" s="422">
        <v>6.06</v>
      </c>
      <c r="J1589" s="422">
        <v>6.06</v>
      </c>
      <c r="K1589" s="422">
        <v>6.06</v>
      </c>
      <c r="L1589" s="422">
        <v>6.06</v>
      </c>
      <c r="M1589" s="422">
        <v>6.06</v>
      </c>
      <c r="N1589" s="422">
        <v>6.06</v>
      </c>
      <c r="O1589" s="422">
        <v>6.06</v>
      </c>
      <c r="P1589" s="422">
        <v>6.06</v>
      </c>
      <c r="Q1589" s="422">
        <v>6.06</v>
      </c>
      <c r="R1589" s="422">
        <v>6.06</v>
      </c>
      <c r="S1589" s="422">
        <v>6.06</v>
      </c>
      <c r="T1589" s="422">
        <v>6.06</v>
      </c>
      <c r="U1589" s="422">
        <v>6.06</v>
      </c>
      <c r="V1589" s="422">
        <v>6.06</v>
      </c>
      <c r="W1589" s="422">
        <v>6.06</v>
      </c>
      <c r="X1589" s="422">
        <v>6.06</v>
      </c>
      <c r="Y1589" s="422">
        <v>6.06</v>
      </c>
      <c r="Z1589" s="422">
        <v>6.06</v>
      </c>
      <c r="AA1589" s="422">
        <v>6.06</v>
      </c>
      <c r="AB1589" s="422">
        <v>6.06</v>
      </c>
      <c r="AC1589" s="422">
        <v>6.06</v>
      </c>
      <c r="AD1589" s="422">
        <v>6.01</v>
      </c>
      <c r="AE1589" s="417">
        <v>5.01</v>
      </c>
      <c r="AF1589" s="415">
        <v>6.06</v>
      </c>
    </row>
    <row r="1590" spans="1:34">
      <c r="A1590" s="415">
        <v>6.06</v>
      </c>
      <c r="B1590" s="422">
        <v>6.01</v>
      </c>
      <c r="C1590" s="415">
        <v>6.01</v>
      </c>
      <c r="D1590" s="422">
        <v>6.06</v>
      </c>
      <c r="E1590" s="422">
        <v>6.06</v>
      </c>
      <c r="F1590" s="422">
        <v>6.06</v>
      </c>
      <c r="G1590" s="422">
        <v>6.06</v>
      </c>
      <c r="H1590" s="422">
        <v>6.06</v>
      </c>
      <c r="I1590" s="422">
        <v>6.06</v>
      </c>
      <c r="J1590" s="422">
        <v>6.06</v>
      </c>
      <c r="K1590" s="422">
        <v>6.06</v>
      </c>
      <c r="L1590" s="422">
        <v>6.06</v>
      </c>
      <c r="M1590" s="422">
        <v>6.06</v>
      </c>
      <c r="N1590" s="422">
        <v>6.06</v>
      </c>
      <c r="O1590" s="422">
        <v>6.06</v>
      </c>
      <c r="P1590" s="422">
        <v>6.06</v>
      </c>
      <c r="Q1590" s="422">
        <v>6.06</v>
      </c>
      <c r="R1590" s="417">
        <v>6.06</v>
      </c>
      <c r="S1590" s="417">
        <v>6.06</v>
      </c>
      <c r="T1590" s="417">
        <v>6.06</v>
      </c>
      <c r="U1590" s="417">
        <v>6.06</v>
      </c>
      <c r="V1590" s="417">
        <v>6.06</v>
      </c>
      <c r="W1590" s="417">
        <v>6.06</v>
      </c>
      <c r="X1590" s="422">
        <v>6.06</v>
      </c>
      <c r="Y1590" s="422">
        <v>6.06</v>
      </c>
      <c r="Z1590" s="422">
        <v>6.06</v>
      </c>
      <c r="AA1590" s="422">
        <v>6.06</v>
      </c>
      <c r="AB1590" s="422">
        <v>6.06</v>
      </c>
      <c r="AC1590" s="422">
        <v>6.06</v>
      </c>
      <c r="AD1590" s="415">
        <v>6.01</v>
      </c>
      <c r="AE1590" s="422">
        <v>6.01</v>
      </c>
      <c r="AF1590" s="415">
        <v>6.06</v>
      </c>
    </row>
    <row r="1591" spans="1:34">
      <c r="A1591" s="415">
        <v>6.06</v>
      </c>
      <c r="B1591" s="422">
        <v>6.06</v>
      </c>
      <c r="C1591" s="422">
        <v>6.06</v>
      </c>
      <c r="D1591" s="422">
        <v>6.06</v>
      </c>
      <c r="E1591" s="422">
        <v>6.06</v>
      </c>
      <c r="F1591" s="417">
        <v>6.06</v>
      </c>
      <c r="G1591" s="417">
        <v>6.06</v>
      </c>
      <c r="H1591" s="417">
        <v>6.06</v>
      </c>
      <c r="I1591" s="417">
        <v>6.06</v>
      </c>
      <c r="J1591" s="417">
        <v>6.06</v>
      </c>
      <c r="K1591" s="417">
        <v>6.06</v>
      </c>
      <c r="L1591" s="417">
        <v>6.06</v>
      </c>
      <c r="M1591" s="422">
        <v>6.06</v>
      </c>
      <c r="N1591" s="422">
        <v>6.06</v>
      </c>
      <c r="O1591" s="422">
        <v>6.06</v>
      </c>
      <c r="P1591" s="422">
        <v>6.06</v>
      </c>
      <c r="Q1591" s="422">
        <v>6.06</v>
      </c>
      <c r="R1591" s="422">
        <v>6.06</v>
      </c>
      <c r="S1591" s="422">
        <v>6.06</v>
      </c>
      <c r="T1591" s="422">
        <v>6.06</v>
      </c>
      <c r="U1591" s="422">
        <v>6.06</v>
      </c>
      <c r="V1591" s="422">
        <v>6.06</v>
      </c>
      <c r="W1591" s="422">
        <v>6.06</v>
      </c>
      <c r="X1591" s="422">
        <v>6.06</v>
      </c>
      <c r="Y1591" s="422">
        <v>6.06</v>
      </c>
      <c r="Z1591" s="422">
        <v>6.06</v>
      </c>
      <c r="AA1591" s="422">
        <v>6.06</v>
      </c>
      <c r="AB1591" s="422">
        <v>6.06</v>
      </c>
      <c r="AC1591" s="422">
        <v>6.06</v>
      </c>
      <c r="AD1591" s="422">
        <v>6.06</v>
      </c>
      <c r="AE1591" s="422">
        <v>6.06</v>
      </c>
      <c r="AF1591" s="415">
        <v>6.06</v>
      </c>
    </row>
    <row r="1592" spans="1:34">
      <c r="AH1592">
        <v>1588</v>
      </c>
    </row>
    <row r="1593" spans="1:34">
      <c r="A1593" s="415">
        <v>6.03</v>
      </c>
      <c r="B1593" s="417">
        <v>6.03</v>
      </c>
      <c r="C1593" s="417">
        <v>6.03</v>
      </c>
      <c r="D1593" s="417">
        <v>6.03</v>
      </c>
      <c r="E1593" s="417">
        <v>6.03</v>
      </c>
      <c r="F1593" s="417">
        <v>6.03</v>
      </c>
      <c r="G1593" s="417">
        <v>6.03</v>
      </c>
      <c r="H1593" s="417">
        <v>6.03</v>
      </c>
      <c r="I1593" s="417">
        <v>6.03</v>
      </c>
      <c r="J1593" s="417">
        <v>6.03</v>
      </c>
      <c r="K1593" s="417">
        <v>6.03</v>
      </c>
      <c r="L1593" s="417">
        <v>6.03</v>
      </c>
      <c r="M1593" s="417">
        <v>6.03</v>
      </c>
      <c r="N1593" s="417">
        <v>6.03</v>
      </c>
      <c r="O1593" s="417">
        <v>6.03</v>
      </c>
      <c r="P1593" s="417">
        <v>6.03</v>
      </c>
      <c r="Q1593" s="417">
        <v>6.03</v>
      </c>
      <c r="R1593" s="417">
        <v>6.03</v>
      </c>
      <c r="S1593" s="417">
        <v>6.03</v>
      </c>
      <c r="T1593" s="417">
        <v>6.03</v>
      </c>
      <c r="U1593" s="417">
        <v>6.03</v>
      </c>
      <c r="V1593" s="417">
        <v>6.03</v>
      </c>
      <c r="W1593" s="417">
        <v>6.03</v>
      </c>
      <c r="X1593" s="417">
        <v>6.03</v>
      </c>
      <c r="Y1593" s="417">
        <v>6.03</v>
      </c>
      <c r="Z1593" s="417">
        <v>6.03</v>
      </c>
      <c r="AA1593" s="417">
        <v>6.03</v>
      </c>
      <c r="AB1593" s="417">
        <v>6.03</v>
      </c>
      <c r="AC1593" s="417">
        <v>6.03</v>
      </c>
      <c r="AD1593" s="417">
        <v>6.03</v>
      </c>
      <c r="AE1593" s="417">
        <v>6.03</v>
      </c>
      <c r="AF1593" s="415">
        <v>6.03</v>
      </c>
    </row>
    <row r="1594" spans="1:34">
      <c r="A1594" s="415">
        <v>3</v>
      </c>
      <c r="B1594" s="422">
        <v>3.03</v>
      </c>
      <c r="C1594" s="422">
        <v>3.03</v>
      </c>
      <c r="D1594" s="422">
        <v>3.03</v>
      </c>
      <c r="E1594" s="422">
        <v>3.03</v>
      </c>
      <c r="F1594" s="422">
        <v>3.03</v>
      </c>
      <c r="G1594" s="422">
        <v>3.03</v>
      </c>
      <c r="H1594" s="422">
        <v>3.03</v>
      </c>
      <c r="I1594" s="422">
        <v>3.03</v>
      </c>
      <c r="J1594" s="422">
        <v>3.03</v>
      </c>
      <c r="K1594" s="422">
        <v>3.03</v>
      </c>
      <c r="L1594" s="422">
        <v>3.03</v>
      </c>
      <c r="M1594" s="422">
        <v>3.03</v>
      </c>
      <c r="N1594" s="422">
        <v>3.03</v>
      </c>
      <c r="O1594" s="422">
        <v>3.03</v>
      </c>
      <c r="P1594" s="422">
        <v>3.03</v>
      </c>
      <c r="Q1594" s="422">
        <v>3.03</v>
      </c>
      <c r="R1594" s="422">
        <v>3.03</v>
      </c>
      <c r="S1594" s="422">
        <v>3.03</v>
      </c>
      <c r="T1594" s="422">
        <v>3.03</v>
      </c>
      <c r="U1594" s="422">
        <v>3.03</v>
      </c>
      <c r="V1594" s="422">
        <v>3.03</v>
      </c>
      <c r="W1594" s="422">
        <v>3.03</v>
      </c>
      <c r="X1594" s="422">
        <v>3.03</v>
      </c>
      <c r="Y1594" s="422">
        <v>3.03</v>
      </c>
      <c r="Z1594" s="422">
        <v>3.03</v>
      </c>
      <c r="AA1594" s="422">
        <v>3.03</v>
      </c>
      <c r="AB1594" s="422">
        <v>3.03</v>
      </c>
      <c r="AC1594" s="422">
        <v>3.03</v>
      </c>
      <c r="AD1594" s="422">
        <v>3.03</v>
      </c>
      <c r="AE1594" s="422">
        <v>3.03</v>
      </c>
      <c r="AF1594" s="415">
        <v>3</v>
      </c>
    </row>
    <row r="1595" spans="1:34">
      <c r="A1595" s="415">
        <v>3</v>
      </c>
      <c r="B1595" s="422">
        <v>3.03</v>
      </c>
      <c r="C1595" s="422">
        <v>3.03</v>
      </c>
      <c r="D1595" s="422">
        <v>3.03</v>
      </c>
      <c r="E1595" s="422">
        <v>3.03</v>
      </c>
      <c r="F1595" s="422">
        <v>3.03</v>
      </c>
      <c r="G1595" s="422">
        <v>3.03</v>
      </c>
      <c r="H1595" s="422">
        <v>3.03</v>
      </c>
      <c r="I1595" s="422">
        <v>3.03</v>
      </c>
      <c r="J1595" s="422">
        <v>3.03</v>
      </c>
      <c r="K1595" s="422">
        <v>3.03</v>
      </c>
      <c r="L1595" s="417">
        <v>3.03</v>
      </c>
      <c r="M1595" s="417">
        <v>3.03</v>
      </c>
      <c r="N1595" s="417">
        <v>3.03</v>
      </c>
      <c r="O1595" s="417">
        <v>3.03</v>
      </c>
      <c r="P1595" s="417">
        <v>3.03</v>
      </c>
      <c r="Q1595" s="422">
        <v>3.03</v>
      </c>
      <c r="R1595" s="422">
        <v>3.03</v>
      </c>
      <c r="S1595" s="422">
        <v>3.03</v>
      </c>
      <c r="T1595" s="422">
        <v>3.03</v>
      </c>
      <c r="U1595" s="422">
        <v>3.03</v>
      </c>
      <c r="V1595" s="422">
        <v>3.03</v>
      </c>
      <c r="W1595" s="422">
        <v>3.03</v>
      </c>
      <c r="X1595" s="422">
        <v>3.03</v>
      </c>
      <c r="Y1595" s="422">
        <v>3.03</v>
      </c>
      <c r="Z1595" s="422">
        <v>3.03</v>
      </c>
      <c r="AA1595" s="422">
        <v>3.03</v>
      </c>
      <c r="AB1595" s="422">
        <v>3.03</v>
      </c>
      <c r="AC1595" s="422">
        <v>3.03</v>
      </c>
      <c r="AD1595" s="422">
        <v>3.03</v>
      </c>
      <c r="AE1595" s="422">
        <v>3.03</v>
      </c>
      <c r="AF1595" s="415">
        <v>3</v>
      </c>
    </row>
    <row r="1596" spans="1:34">
      <c r="AH1596">
        <v>1594</v>
      </c>
    </row>
    <row r="1597" spans="1:34">
      <c r="A1597" s="415">
        <v>3</v>
      </c>
      <c r="B1597" s="422">
        <v>3.03</v>
      </c>
      <c r="C1597" s="415">
        <v>3.03</v>
      </c>
      <c r="D1597" s="422">
        <v>3.03</v>
      </c>
      <c r="E1597" s="422">
        <v>3.03</v>
      </c>
      <c r="F1597" s="417">
        <v>3.03</v>
      </c>
      <c r="G1597" s="417">
        <v>3.03</v>
      </c>
      <c r="H1597" s="417">
        <v>3.03</v>
      </c>
      <c r="I1597" s="422">
        <v>3.03</v>
      </c>
      <c r="J1597" s="422">
        <v>3.03</v>
      </c>
      <c r="K1597" s="422">
        <v>3.03</v>
      </c>
      <c r="L1597" s="422">
        <v>3.03</v>
      </c>
      <c r="M1597" s="422">
        <v>3.03</v>
      </c>
      <c r="N1597" s="422">
        <v>3.03</v>
      </c>
      <c r="O1597" s="422">
        <v>3.03</v>
      </c>
      <c r="P1597" s="422">
        <v>3.03</v>
      </c>
      <c r="Q1597" s="422">
        <v>3.03</v>
      </c>
      <c r="R1597" s="422">
        <v>3.03</v>
      </c>
      <c r="S1597" s="422">
        <v>3.03</v>
      </c>
      <c r="T1597" s="422">
        <v>3.03</v>
      </c>
      <c r="U1597" s="422">
        <v>3.03</v>
      </c>
      <c r="V1597" s="422">
        <v>3.03</v>
      </c>
      <c r="W1597" s="422">
        <v>3.03</v>
      </c>
      <c r="X1597" s="422">
        <v>3.03</v>
      </c>
      <c r="Y1597" s="422">
        <v>3.03</v>
      </c>
      <c r="Z1597" s="422">
        <v>3.03</v>
      </c>
      <c r="AA1597" s="422">
        <v>3.03</v>
      </c>
      <c r="AB1597" s="422">
        <v>3.03</v>
      </c>
      <c r="AC1597" s="422">
        <v>3.03</v>
      </c>
      <c r="AD1597" s="415">
        <v>3.03</v>
      </c>
      <c r="AE1597" s="422">
        <v>3.03</v>
      </c>
      <c r="AF1597" s="415">
        <v>3</v>
      </c>
    </row>
    <row r="1598" spans="1:34">
      <c r="A1598" s="415">
        <v>3</v>
      </c>
      <c r="B1598" s="422">
        <v>3.03</v>
      </c>
      <c r="C1598" s="422">
        <v>3.03</v>
      </c>
      <c r="D1598" s="422">
        <v>3.03</v>
      </c>
      <c r="E1598" s="422">
        <v>3.03</v>
      </c>
      <c r="F1598" s="422">
        <v>3.03</v>
      </c>
      <c r="G1598" s="422">
        <v>3.03</v>
      </c>
      <c r="H1598" s="422">
        <v>3.03</v>
      </c>
      <c r="I1598" s="422">
        <v>3.03</v>
      </c>
      <c r="J1598" s="422">
        <v>3.03</v>
      </c>
      <c r="K1598" s="422">
        <v>3.03</v>
      </c>
      <c r="L1598" s="422">
        <v>3.03</v>
      </c>
      <c r="M1598" s="422">
        <v>3.03</v>
      </c>
      <c r="N1598" s="422">
        <v>3.03</v>
      </c>
      <c r="O1598" s="422">
        <v>3.03</v>
      </c>
      <c r="P1598" s="422">
        <v>3.03</v>
      </c>
      <c r="Q1598" s="422">
        <v>3.03</v>
      </c>
      <c r="R1598" s="422">
        <v>3.03</v>
      </c>
      <c r="S1598" s="422">
        <v>3.03</v>
      </c>
      <c r="T1598" s="417">
        <v>3.03</v>
      </c>
      <c r="U1598" s="417">
        <v>3.03</v>
      </c>
      <c r="V1598" s="417">
        <v>3.03</v>
      </c>
      <c r="W1598" s="417">
        <v>3.03</v>
      </c>
      <c r="X1598" s="417">
        <v>3.03</v>
      </c>
      <c r="Y1598" s="417">
        <v>3.03</v>
      </c>
      <c r="Z1598" s="417">
        <v>3.03</v>
      </c>
      <c r="AA1598" s="422">
        <v>3.03</v>
      </c>
      <c r="AB1598" s="422">
        <v>3.03</v>
      </c>
      <c r="AC1598" s="422">
        <v>3.03</v>
      </c>
      <c r="AD1598" s="422">
        <v>3.03</v>
      </c>
      <c r="AE1598" s="422">
        <v>3.03</v>
      </c>
      <c r="AF1598" s="415">
        <v>3</v>
      </c>
    </row>
    <row r="1599" spans="1:34">
      <c r="AH1599">
        <v>1594</v>
      </c>
    </row>
    <row r="1600" spans="1:34">
      <c r="A1600" s="417">
        <v>3</v>
      </c>
      <c r="B1600" s="417">
        <v>3</v>
      </c>
      <c r="C1600" s="417">
        <v>3</v>
      </c>
      <c r="D1600" s="417">
        <v>3</v>
      </c>
      <c r="E1600" s="417">
        <v>3</v>
      </c>
      <c r="F1600" s="417">
        <v>3</v>
      </c>
      <c r="G1600" s="417">
        <v>3</v>
      </c>
      <c r="H1600" s="417">
        <v>3</v>
      </c>
      <c r="I1600" s="417">
        <v>3</v>
      </c>
      <c r="J1600" s="417">
        <v>3</v>
      </c>
      <c r="K1600" s="417">
        <v>3</v>
      </c>
      <c r="L1600" s="417">
        <v>3</v>
      </c>
      <c r="M1600" s="417">
        <v>3</v>
      </c>
      <c r="N1600" s="417">
        <v>3</v>
      </c>
      <c r="O1600" s="417">
        <v>3</v>
      </c>
      <c r="P1600" s="417">
        <v>3</v>
      </c>
      <c r="Q1600" s="417">
        <v>3</v>
      </c>
      <c r="R1600" s="417">
        <v>3</v>
      </c>
      <c r="S1600" s="417">
        <v>3</v>
      </c>
      <c r="T1600" s="417">
        <v>3</v>
      </c>
      <c r="U1600" s="417">
        <v>3</v>
      </c>
      <c r="V1600" s="417">
        <v>3</v>
      </c>
      <c r="W1600" s="417">
        <v>3</v>
      </c>
      <c r="X1600" s="417">
        <v>3</v>
      </c>
      <c r="Y1600" s="417">
        <v>3</v>
      </c>
      <c r="Z1600" s="417">
        <v>3</v>
      </c>
      <c r="AA1600" s="417">
        <v>3</v>
      </c>
      <c r="AB1600" s="417">
        <v>3</v>
      </c>
      <c r="AC1600" s="417">
        <v>3</v>
      </c>
      <c r="AD1600" s="417">
        <v>3</v>
      </c>
      <c r="AE1600" s="417">
        <v>3</v>
      </c>
      <c r="AF1600" s="415">
        <v>3</v>
      </c>
    </row>
    <row r="1601" spans="1:33">
      <c r="A1601" s="67">
        <v>64.180000000000007</v>
      </c>
      <c r="B1601" s="67">
        <v>64.180000000000007</v>
      </c>
      <c r="C1601" s="417">
        <v>64.180000000000007</v>
      </c>
      <c r="F1601" s="67">
        <v>64.180000000000007</v>
      </c>
      <c r="G1601" s="417">
        <v>64.180000000000007</v>
      </c>
      <c r="J1601" s="67">
        <v>64.180000000000007</v>
      </c>
      <c r="K1601" s="417">
        <v>64.180000000000007</v>
      </c>
      <c r="N1601" s="67">
        <v>64.180000000000007</v>
      </c>
      <c r="O1601" s="417">
        <v>64.180000000000007</v>
      </c>
      <c r="R1601" s="67">
        <v>64.180000000000007</v>
      </c>
      <c r="S1601" s="417">
        <v>64.180000000000007</v>
      </c>
      <c r="V1601" s="67">
        <v>64.180000000000007</v>
      </c>
      <c r="W1601" s="417">
        <v>64.180000000000007</v>
      </c>
      <c r="Z1601" s="67">
        <v>64.180000000000007</v>
      </c>
      <c r="AA1601" s="417">
        <v>64.180000000000007</v>
      </c>
      <c r="AD1601" s="67">
        <v>64.180000000000007</v>
      </c>
      <c r="AE1601" s="417">
        <v>64.180000000000007</v>
      </c>
      <c r="AF1601" s="417">
        <v>64.180000000000007</v>
      </c>
      <c r="AG1601">
        <v>51</v>
      </c>
    </row>
    <row r="1602" spans="1:33">
      <c r="A1602" s="417">
        <v>64.180000000000007</v>
      </c>
      <c r="B1602" s="417">
        <v>18.18</v>
      </c>
      <c r="C1602" s="422">
        <v>64.180000000000007</v>
      </c>
      <c r="F1602" s="417">
        <v>64.180000000000007</v>
      </c>
      <c r="G1602" s="422">
        <v>64.180000000000007</v>
      </c>
      <c r="J1602" s="417">
        <v>64.180000000000007</v>
      </c>
      <c r="K1602" s="422">
        <v>64.180000000000007</v>
      </c>
      <c r="N1602" s="417">
        <v>64.180000000000007</v>
      </c>
      <c r="O1602" s="422">
        <v>64.180000000000007</v>
      </c>
      <c r="R1602" s="417">
        <v>64.180000000000007</v>
      </c>
      <c r="S1602" s="422">
        <v>64.180000000000007</v>
      </c>
      <c r="V1602" s="417">
        <v>64.180000000000007</v>
      </c>
      <c r="W1602" s="422">
        <v>64.180000000000007</v>
      </c>
      <c r="Z1602" s="417">
        <v>64.180000000000007</v>
      </c>
      <c r="AA1602" s="422">
        <v>64.180000000000007</v>
      </c>
      <c r="AD1602" s="417">
        <v>64.180000000000007</v>
      </c>
      <c r="AE1602" s="417">
        <v>18.18</v>
      </c>
      <c r="AF1602" s="422">
        <v>64.180000000000007</v>
      </c>
    </row>
    <row r="1603" spans="1:33">
      <c r="A1603" s="417">
        <v>64.180000000000007</v>
      </c>
      <c r="B1603" s="417">
        <v>64.180000000000007</v>
      </c>
      <c r="C1603" s="422">
        <v>64.180000000000007</v>
      </c>
      <c r="AD1603" s="417">
        <v>64.180000000000007</v>
      </c>
      <c r="AE1603" s="422">
        <v>64.180000000000007</v>
      </c>
      <c r="AF1603" s="422">
        <v>64.180000000000007</v>
      </c>
    </row>
    <row r="1633" spans="1:34">
      <c r="A1633" s="555">
        <v>17.02</v>
      </c>
      <c r="B1633" s="557">
        <v>17.02</v>
      </c>
      <c r="C1633" s="411">
        <v>17.02</v>
      </c>
      <c r="D1633" s="411">
        <v>17.02</v>
      </c>
      <c r="E1633" s="411">
        <v>17.02</v>
      </c>
      <c r="F1633" s="411">
        <v>17.02</v>
      </c>
      <c r="G1633" s="411">
        <v>17.02</v>
      </c>
      <c r="H1633" s="555">
        <v>17.02</v>
      </c>
      <c r="I1633" s="557">
        <v>17.02</v>
      </c>
      <c r="J1633" s="411">
        <v>17.02</v>
      </c>
      <c r="K1633" s="411">
        <v>17.02</v>
      </c>
      <c r="L1633" s="411">
        <v>17.02</v>
      </c>
      <c r="M1633" s="411">
        <v>17.02</v>
      </c>
      <c r="N1633" s="411">
        <v>17.02</v>
      </c>
      <c r="O1633" s="411">
        <v>17.02</v>
      </c>
      <c r="P1633" s="555">
        <v>17.02</v>
      </c>
      <c r="Q1633" s="557">
        <v>17.02</v>
      </c>
      <c r="R1633" s="411">
        <v>17.02</v>
      </c>
      <c r="S1633" s="411">
        <v>17.02</v>
      </c>
      <c r="T1633" s="411">
        <v>17.02</v>
      </c>
      <c r="U1633" s="411">
        <v>17.02</v>
      </c>
      <c r="V1633" s="411">
        <v>17.02</v>
      </c>
      <c r="W1633" s="411">
        <v>17.02</v>
      </c>
      <c r="X1633" s="555">
        <v>17.02</v>
      </c>
      <c r="Y1633" s="557">
        <v>17.02</v>
      </c>
      <c r="Z1633" s="411">
        <v>17.02</v>
      </c>
      <c r="AA1633" s="411">
        <v>17.02</v>
      </c>
      <c r="AB1633" s="411">
        <v>17.02</v>
      </c>
      <c r="AC1633" s="411">
        <v>17.02</v>
      </c>
      <c r="AD1633" s="411">
        <v>17.02</v>
      </c>
      <c r="AE1633" s="555">
        <v>17.02</v>
      </c>
      <c r="AF1633" s="439">
        <v>17.02</v>
      </c>
      <c r="AG1633">
        <v>52</v>
      </c>
    </row>
    <row r="1634" spans="1:34">
      <c r="A1634" s="555">
        <v>17.02</v>
      </c>
      <c r="B1634" s="555">
        <v>18</v>
      </c>
      <c r="C1634" s="452">
        <v>18</v>
      </c>
      <c r="D1634" s="452">
        <v>18</v>
      </c>
      <c r="E1634" s="452">
        <v>18</v>
      </c>
      <c r="F1634" s="452">
        <v>18</v>
      </c>
      <c r="G1634" s="452">
        <v>18</v>
      </c>
      <c r="H1634" s="452">
        <v>18</v>
      </c>
      <c r="I1634" s="452">
        <v>18</v>
      </c>
      <c r="J1634" s="452">
        <v>18</v>
      </c>
      <c r="K1634" s="452">
        <v>18</v>
      </c>
      <c r="L1634" s="452">
        <v>18</v>
      </c>
      <c r="M1634" s="452">
        <v>18</v>
      </c>
      <c r="N1634" s="452">
        <v>18</v>
      </c>
      <c r="O1634" s="452">
        <v>18</v>
      </c>
      <c r="P1634" s="555">
        <v>18</v>
      </c>
      <c r="Q1634" s="452">
        <v>18</v>
      </c>
      <c r="R1634" s="452">
        <v>18</v>
      </c>
      <c r="S1634" s="452">
        <v>18</v>
      </c>
      <c r="T1634" s="452">
        <v>18</v>
      </c>
      <c r="U1634" s="452">
        <v>18</v>
      </c>
      <c r="V1634" s="452">
        <v>18</v>
      </c>
      <c r="W1634" s="452">
        <v>18</v>
      </c>
      <c r="X1634" s="452">
        <v>18</v>
      </c>
      <c r="Y1634" s="452">
        <v>18</v>
      </c>
      <c r="Z1634" s="452">
        <v>18</v>
      </c>
      <c r="AA1634" s="452">
        <v>18</v>
      </c>
      <c r="AB1634" s="452">
        <v>18</v>
      </c>
      <c r="AC1634" s="452">
        <v>18</v>
      </c>
      <c r="AD1634" s="452">
        <v>18</v>
      </c>
      <c r="AE1634" s="555">
        <v>18</v>
      </c>
      <c r="AF1634" s="555">
        <v>17.02</v>
      </c>
    </row>
    <row r="1635" spans="1:34">
      <c r="A1635" s="439">
        <v>17.02</v>
      </c>
      <c r="B1635" s="555">
        <v>18</v>
      </c>
      <c r="C1635" s="557">
        <v>18</v>
      </c>
      <c r="D1635" s="557">
        <v>18</v>
      </c>
      <c r="E1635" s="557">
        <v>18</v>
      </c>
      <c r="F1635" s="557">
        <v>18</v>
      </c>
      <c r="G1635" s="557">
        <v>18</v>
      </c>
      <c r="H1635" s="557">
        <v>18</v>
      </c>
      <c r="I1635" s="557">
        <v>18</v>
      </c>
      <c r="J1635" s="557">
        <v>18</v>
      </c>
      <c r="K1635" s="557">
        <v>18</v>
      </c>
      <c r="L1635" s="557">
        <v>18</v>
      </c>
      <c r="M1635" s="557">
        <v>18</v>
      </c>
      <c r="N1635" s="557">
        <v>18</v>
      </c>
      <c r="O1635" s="557">
        <v>18</v>
      </c>
      <c r="P1635" s="555">
        <v>18</v>
      </c>
      <c r="Q1635" s="452">
        <v>18</v>
      </c>
      <c r="R1635" s="557">
        <v>18</v>
      </c>
      <c r="S1635" s="557">
        <v>18</v>
      </c>
      <c r="T1635" s="557">
        <v>18</v>
      </c>
      <c r="U1635" s="557">
        <v>18</v>
      </c>
      <c r="V1635" s="557">
        <v>18</v>
      </c>
      <c r="W1635" s="557">
        <v>18</v>
      </c>
      <c r="X1635" s="557">
        <v>18</v>
      </c>
      <c r="Y1635" s="557">
        <v>18</v>
      </c>
      <c r="Z1635" s="557">
        <v>18</v>
      </c>
      <c r="AA1635" s="557">
        <v>18</v>
      </c>
      <c r="AB1635" s="557">
        <v>18</v>
      </c>
      <c r="AC1635" s="557">
        <v>18</v>
      </c>
      <c r="AD1635" s="557">
        <v>18</v>
      </c>
      <c r="AE1635" s="555">
        <v>18</v>
      </c>
      <c r="AF1635" s="439">
        <v>17.02</v>
      </c>
    </row>
    <row r="1636" spans="1:34">
      <c r="A1636" s="439">
        <v>17.02</v>
      </c>
      <c r="B1636" s="555">
        <v>18</v>
      </c>
      <c r="C1636" s="557">
        <v>18</v>
      </c>
      <c r="D1636" s="557">
        <v>18.16</v>
      </c>
      <c r="E1636" s="557">
        <v>18.16</v>
      </c>
      <c r="F1636" s="557">
        <v>18.16</v>
      </c>
      <c r="G1636" s="557">
        <v>18.16</v>
      </c>
      <c r="H1636" s="557">
        <v>18.16</v>
      </c>
      <c r="I1636" s="557">
        <v>18.16</v>
      </c>
      <c r="J1636" s="557">
        <v>18.16</v>
      </c>
      <c r="K1636" s="557">
        <v>18.16</v>
      </c>
      <c r="L1636" s="557">
        <v>18.16</v>
      </c>
      <c r="M1636" s="557">
        <v>18.16</v>
      </c>
      <c r="N1636" s="557">
        <v>18.16</v>
      </c>
      <c r="O1636" s="557">
        <v>18.16</v>
      </c>
      <c r="P1636" s="555">
        <v>18.16</v>
      </c>
      <c r="Q1636" s="452">
        <v>18.16</v>
      </c>
      <c r="R1636" s="557">
        <v>18.16</v>
      </c>
      <c r="S1636" s="557">
        <v>18.16</v>
      </c>
      <c r="T1636" s="557">
        <v>18.16</v>
      </c>
      <c r="U1636" s="557">
        <v>18.16</v>
      </c>
      <c r="V1636" s="557">
        <v>18.16</v>
      </c>
      <c r="W1636" s="557">
        <v>18.16</v>
      </c>
      <c r="X1636" s="557">
        <v>18.16</v>
      </c>
      <c r="Y1636" s="557">
        <v>18.16</v>
      </c>
      <c r="Z1636" s="557">
        <v>18.16</v>
      </c>
      <c r="AA1636" s="557">
        <v>18.16</v>
      </c>
      <c r="AB1636" s="557">
        <v>18.16</v>
      </c>
      <c r="AC1636" s="557">
        <v>18.16</v>
      </c>
      <c r="AD1636" s="557">
        <v>18</v>
      </c>
      <c r="AE1636" s="555">
        <v>18</v>
      </c>
      <c r="AF1636" s="439">
        <v>17.02</v>
      </c>
    </row>
    <row r="1637" spans="1:34">
      <c r="AH1637">
        <v>1636</v>
      </c>
    </row>
    <row r="1638" spans="1:34">
      <c r="AH1638">
        <v>1636</v>
      </c>
    </row>
    <row r="1639" spans="1:34">
      <c r="AH1639">
        <v>1636</v>
      </c>
    </row>
    <row r="1640" spans="1:34">
      <c r="AH1640">
        <v>1636</v>
      </c>
    </row>
    <row r="1641" spans="1:34">
      <c r="A1641" s="555">
        <v>17.02</v>
      </c>
      <c r="B1641" s="555">
        <v>18</v>
      </c>
      <c r="C1641" s="557">
        <v>18</v>
      </c>
      <c r="D1641" s="557">
        <v>18.16</v>
      </c>
      <c r="E1641" s="557">
        <v>18.16</v>
      </c>
      <c r="F1641" s="557">
        <v>18.16</v>
      </c>
      <c r="G1641" s="557">
        <v>18.16</v>
      </c>
      <c r="H1641" s="557">
        <v>18.16</v>
      </c>
      <c r="I1641" s="557">
        <v>18.16</v>
      </c>
      <c r="J1641" s="557">
        <v>18.16</v>
      </c>
      <c r="K1641" s="557">
        <v>18.16</v>
      </c>
      <c r="L1641" s="557">
        <v>18.16</v>
      </c>
      <c r="M1641" s="557">
        <v>18.16</v>
      </c>
      <c r="N1641" s="557">
        <v>18.16</v>
      </c>
      <c r="O1641" s="557">
        <v>18.16</v>
      </c>
      <c r="P1641" s="555">
        <v>18.16</v>
      </c>
      <c r="Q1641" s="452">
        <v>18.16</v>
      </c>
      <c r="R1641" s="557">
        <v>18.16</v>
      </c>
      <c r="S1641" s="557">
        <v>18.16</v>
      </c>
      <c r="T1641" s="557">
        <v>18.16</v>
      </c>
      <c r="U1641" s="557">
        <v>18.16</v>
      </c>
      <c r="V1641" s="557">
        <v>18.16</v>
      </c>
      <c r="W1641" s="557">
        <v>18.16</v>
      </c>
      <c r="X1641" s="557">
        <v>18.16</v>
      </c>
      <c r="Y1641" s="557">
        <v>18.16</v>
      </c>
      <c r="Z1641" s="557">
        <v>18.16</v>
      </c>
      <c r="AA1641" s="557">
        <v>18.16</v>
      </c>
      <c r="AB1641" s="557">
        <v>18.16</v>
      </c>
      <c r="AC1641" s="557">
        <v>18.16</v>
      </c>
      <c r="AD1641" s="557">
        <v>18</v>
      </c>
      <c r="AE1641" s="555">
        <v>18</v>
      </c>
      <c r="AF1641" s="555">
        <v>17.02</v>
      </c>
    </row>
    <row r="1642" spans="1:34">
      <c r="AH1642">
        <v>1636</v>
      </c>
    </row>
    <row r="1643" spans="1:34">
      <c r="AH1643">
        <v>1636</v>
      </c>
    </row>
    <row r="1644" spans="1:34">
      <c r="AH1644">
        <v>1636</v>
      </c>
    </row>
    <row r="1645" spans="1:34">
      <c r="AH1645">
        <v>1636</v>
      </c>
    </row>
    <row r="1646" spans="1:34">
      <c r="AH1646">
        <v>1636</v>
      </c>
    </row>
    <row r="1647" spans="1:34">
      <c r="AH1647">
        <v>1636</v>
      </c>
    </row>
    <row r="1648" spans="1:34">
      <c r="A1648" s="555">
        <v>17.02</v>
      </c>
      <c r="B1648" s="555">
        <v>18</v>
      </c>
      <c r="C1648" s="555">
        <v>18</v>
      </c>
      <c r="D1648" s="555">
        <v>18.16</v>
      </c>
      <c r="E1648" s="555">
        <v>18.16</v>
      </c>
      <c r="F1648" s="555">
        <v>18.16</v>
      </c>
      <c r="G1648" s="555">
        <v>18.16</v>
      </c>
      <c r="H1648" s="555">
        <v>18.16</v>
      </c>
      <c r="I1648" s="555">
        <v>18.16</v>
      </c>
      <c r="J1648" s="555">
        <v>18.16</v>
      </c>
      <c r="K1648" s="555">
        <v>18.16</v>
      </c>
      <c r="L1648" s="555">
        <v>18.16</v>
      </c>
      <c r="M1648" s="555">
        <v>18.16</v>
      </c>
      <c r="N1648" s="555">
        <v>18.16</v>
      </c>
      <c r="O1648" s="555">
        <v>18.16</v>
      </c>
      <c r="P1648" s="555">
        <v>18.16</v>
      </c>
      <c r="Q1648" s="411">
        <v>18.16</v>
      </c>
      <c r="R1648" s="555">
        <v>18.16</v>
      </c>
      <c r="S1648" s="555">
        <v>18.16</v>
      </c>
      <c r="T1648" s="555">
        <v>18.16</v>
      </c>
      <c r="U1648" s="555">
        <v>18.16</v>
      </c>
      <c r="V1648" s="555">
        <v>18.16</v>
      </c>
      <c r="W1648" s="555">
        <v>18.16</v>
      </c>
      <c r="X1648" s="555">
        <v>18.16</v>
      </c>
      <c r="Y1648" s="555">
        <v>18.16</v>
      </c>
      <c r="Z1648" s="555">
        <v>18.16</v>
      </c>
      <c r="AA1648" s="555">
        <v>18.16</v>
      </c>
      <c r="AB1648" s="555">
        <v>18.16</v>
      </c>
      <c r="AC1648" s="555">
        <v>18.16</v>
      </c>
      <c r="AD1648" s="555">
        <v>18</v>
      </c>
      <c r="AE1648" s="555">
        <v>18</v>
      </c>
      <c r="AF1648" s="555">
        <v>17.02</v>
      </c>
    </row>
    <row r="1649" spans="1:34">
      <c r="A1649" s="555">
        <v>17.02</v>
      </c>
      <c r="B1649" s="452">
        <v>18</v>
      </c>
      <c r="C1649" s="452">
        <v>18</v>
      </c>
      <c r="D1649" s="452">
        <v>18.16</v>
      </c>
      <c r="E1649" s="452">
        <v>18.16</v>
      </c>
      <c r="F1649" s="452">
        <v>18.16</v>
      </c>
      <c r="G1649" s="452">
        <v>18.16</v>
      </c>
      <c r="H1649" s="452">
        <v>18.16</v>
      </c>
      <c r="I1649" s="452">
        <v>18.16</v>
      </c>
      <c r="J1649" s="452">
        <v>18.16</v>
      </c>
      <c r="K1649" s="452">
        <v>18.16</v>
      </c>
      <c r="L1649" s="452">
        <v>18.16</v>
      </c>
      <c r="M1649" s="452">
        <v>18.16</v>
      </c>
      <c r="N1649" s="452">
        <v>18.16</v>
      </c>
      <c r="O1649" s="452">
        <v>18.16</v>
      </c>
      <c r="P1649" s="557">
        <v>18.16</v>
      </c>
      <c r="Q1649" s="452">
        <v>18.16</v>
      </c>
      <c r="R1649" s="452">
        <v>18.16</v>
      </c>
      <c r="S1649" s="452">
        <v>18.16</v>
      </c>
      <c r="T1649" s="452">
        <v>18.16</v>
      </c>
      <c r="U1649" s="452">
        <v>18.16</v>
      </c>
      <c r="V1649" s="452">
        <v>18.16</v>
      </c>
      <c r="W1649" s="452">
        <v>18.16</v>
      </c>
      <c r="X1649" s="452">
        <v>18.16</v>
      </c>
      <c r="Y1649" s="452">
        <v>18.16</v>
      </c>
      <c r="Z1649" s="452">
        <v>18.16</v>
      </c>
      <c r="AA1649" s="452">
        <v>18.16</v>
      </c>
      <c r="AB1649" s="452">
        <v>18.16</v>
      </c>
      <c r="AC1649" s="452">
        <v>18.16</v>
      </c>
      <c r="AD1649" s="452">
        <v>18</v>
      </c>
      <c r="AE1649" s="452">
        <v>18</v>
      </c>
      <c r="AF1649" s="555">
        <v>17.02</v>
      </c>
    </row>
    <row r="1650" spans="1:34">
      <c r="AH1650">
        <v>1636</v>
      </c>
    </row>
    <row r="1651" spans="1:34">
      <c r="AH1651">
        <v>1636</v>
      </c>
    </row>
    <row r="1652" spans="1:34">
      <c r="AH1652">
        <v>1636</v>
      </c>
    </row>
    <row r="1653" spans="1:34">
      <c r="AH1653">
        <v>1636</v>
      </c>
    </row>
    <row r="1654" spans="1:34">
      <c r="AH1654">
        <v>1636</v>
      </c>
    </row>
    <row r="1655" spans="1:34">
      <c r="AH1655">
        <v>1636</v>
      </c>
    </row>
    <row r="1656" spans="1:34">
      <c r="AH1656">
        <v>1641</v>
      </c>
    </row>
    <row r="1657" spans="1:34">
      <c r="AH1657">
        <v>1636</v>
      </c>
    </row>
    <row r="1658" spans="1:34">
      <c r="AH1658">
        <v>1636</v>
      </c>
    </row>
    <row r="1659" spans="1:34">
      <c r="AH1659">
        <v>1636</v>
      </c>
    </row>
    <row r="1660" spans="1:34">
      <c r="AH1660">
        <v>1636</v>
      </c>
    </row>
    <row r="1661" spans="1:34">
      <c r="AH1661">
        <v>1636</v>
      </c>
    </row>
    <row r="1662" spans="1:34">
      <c r="AH1662">
        <v>1635</v>
      </c>
    </row>
    <row r="1663" spans="1:34">
      <c r="A1663" s="555">
        <v>17.02</v>
      </c>
      <c r="B1663" s="555">
        <v>18</v>
      </c>
      <c r="C1663" s="555">
        <v>18</v>
      </c>
      <c r="D1663" s="555">
        <v>18</v>
      </c>
      <c r="E1663" s="555">
        <v>18</v>
      </c>
      <c r="F1663" s="555">
        <v>18</v>
      </c>
      <c r="G1663" s="555">
        <v>18</v>
      </c>
      <c r="H1663" s="555">
        <v>18</v>
      </c>
      <c r="I1663" s="555">
        <v>18</v>
      </c>
      <c r="J1663" s="555">
        <v>18</v>
      </c>
      <c r="K1663" s="555">
        <v>18</v>
      </c>
      <c r="L1663" s="555">
        <v>18</v>
      </c>
      <c r="M1663" s="555">
        <v>18</v>
      </c>
      <c r="N1663" s="555">
        <v>18</v>
      </c>
      <c r="O1663" s="555">
        <v>18</v>
      </c>
      <c r="P1663" s="555">
        <v>18</v>
      </c>
      <c r="Q1663" s="452">
        <v>18</v>
      </c>
      <c r="R1663" s="555">
        <v>18</v>
      </c>
      <c r="S1663" s="555">
        <v>18</v>
      </c>
      <c r="T1663" s="555">
        <v>18</v>
      </c>
      <c r="U1663" s="555">
        <v>18</v>
      </c>
      <c r="V1663" s="555">
        <v>18</v>
      </c>
      <c r="W1663" s="555">
        <v>18</v>
      </c>
      <c r="X1663" s="555">
        <v>18</v>
      </c>
      <c r="Y1663" s="555">
        <v>18</v>
      </c>
      <c r="Z1663" s="555">
        <v>18</v>
      </c>
      <c r="AA1663" s="555">
        <v>18</v>
      </c>
      <c r="AB1663" s="555">
        <v>18</v>
      </c>
      <c r="AC1663" s="555">
        <v>18</v>
      </c>
      <c r="AD1663" s="555">
        <v>18</v>
      </c>
      <c r="AE1663" s="555">
        <v>18</v>
      </c>
      <c r="AF1663" s="555">
        <v>17.02</v>
      </c>
    </row>
    <row r="1664" spans="1:34">
      <c r="A1664" s="557">
        <v>17.02</v>
      </c>
      <c r="B1664" s="555">
        <v>17.02</v>
      </c>
      <c r="C1664" s="411">
        <v>17.02</v>
      </c>
      <c r="D1664" s="411">
        <v>17.02</v>
      </c>
      <c r="E1664" s="411">
        <v>17.02</v>
      </c>
      <c r="F1664" s="411">
        <v>17.02</v>
      </c>
      <c r="G1664" s="411">
        <v>17.02</v>
      </c>
      <c r="H1664" s="557">
        <v>17.02</v>
      </c>
      <c r="I1664" s="555">
        <v>17.02</v>
      </c>
      <c r="J1664" s="411">
        <v>17.02</v>
      </c>
      <c r="K1664" s="411">
        <v>17.02</v>
      </c>
      <c r="L1664" s="411">
        <v>17.02</v>
      </c>
      <c r="M1664" s="411">
        <v>17.02</v>
      </c>
      <c r="N1664" s="411">
        <v>17.02</v>
      </c>
      <c r="O1664" s="411">
        <v>17.02</v>
      </c>
      <c r="P1664" s="557">
        <v>17.02</v>
      </c>
      <c r="Q1664" s="555">
        <v>17.02</v>
      </c>
      <c r="R1664" s="411">
        <v>17.02</v>
      </c>
      <c r="S1664" s="411">
        <v>17.02</v>
      </c>
      <c r="T1664" s="411">
        <v>17.02</v>
      </c>
      <c r="U1664" s="411">
        <v>17.02</v>
      </c>
      <c r="V1664" s="411">
        <v>17.02</v>
      </c>
      <c r="W1664" s="411">
        <v>17.02</v>
      </c>
      <c r="X1664" s="557">
        <v>17.02</v>
      </c>
      <c r="Y1664" s="555">
        <v>17.02</v>
      </c>
      <c r="Z1664" s="411">
        <v>17.02</v>
      </c>
      <c r="AA1664" s="411">
        <v>17.02</v>
      </c>
      <c r="AB1664" s="411">
        <v>17.02</v>
      </c>
      <c r="AC1664" s="411">
        <v>17.02</v>
      </c>
      <c r="AD1664" s="411">
        <v>17.02</v>
      </c>
      <c r="AE1664" s="557">
        <v>17.02</v>
      </c>
      <c r="AF1664" s="555">
        <v>17.02</v>
      </c>
    </row>
    <row r="1665" spans="1:34">
      <c r="A1665" s="555">
        <v>31.19</v>
      </c>
      <c r="B1665" s="557">
        <v>31.19</v>
      </c>
      <c r="C1665" s="411">
        <v>31.19</v>
      </c>
      <c r="D1665" s="411">
        <v>31.19</v>
      </c>
      <c r="E1665" s="411">
        <v>31.19</v>
      </c>
      <c r="F1665" s="411">
        <v>31.19</v>
      </c>
      <c r="G1665" s="411">
        <v>31.19</v>
      </c>
      <c r="H1665" s="555">
        <v>31.19</v>
      </c>
      <c r="I1665" s="557">
        <v>31.19</v>
      </c>
      <c r="J1665" s="411">
        <v>31.19</v>
      </c>
      <c r="K1665" s="411">
        <v>31.19</v>
      </c>
      <c r="L1665" s="411">
        <v>31.19</v>
      </c>
      <c r="M1665" s="411">
        <v>31.19</v>
      </c>
      <c r="N1665" s="411">
        <v>31.19</v>
      </c>
      <c r="O1665" s="411">
        <v>31.19</v>
      </c>
      <c r="P1665" s="555">
        <v>31.19</v>
      </c>
      <c r="Q1665" s="557">
        <v>31.19</v>
      </c>
      <c r="R1665" s="411">
        <v>31.19</v>
      </c>
      <c r="S1665" s="411">
        <v>31.19</v>
      </c>
      <c r="T1665" s="411">
        <v>31.19</v>
      </c>
      <c r="U1665" s="411">
        <v>31.19</v>
      </c>
      <c r="V1665" s="411">
        <v>31.19</v>
      </c>
      <c r="W1665" s="411">
        <v>31.19</v>
      </c>
      <c r="X1665" s="555">
        <v>31.19</v>
      </c>
      <c r="Y1665" s="557">
        <v>31.19</v>
      </c>
      <c r="Z1665" s="411">
        <v>31.19</v>
      </c>
      <c r="AA1665" s="411">
        <v>31.19</v>
      </c>
      <c r="AB1665" s="411">
        <v>31.19</v>
      </c>
      <c r="AC1665" s="411">
        <v>31.19</v>
      </c>
      <c r="AD1665" s="411">
        <v>31.19</v>
      </c>
      <c r="AE1665" s="555">
        <v>31.19</v>
      </c>
      <c r="AF1665" s="439">
        <v>31.19</v>
      </c>
      <c r="AG1665">
        <v>53</v>
      </c>
    </row>
    <row r="1666" spans="1:34">
      <c r="A1666" s="555">
        <v>31.19</v>
      </c>
      <c r="B1666" s="439">
        <v>32.18</v>
      </c>
      <c r="C1666" s="439">
        <v>32.18</v>
      </c>
      <c r="D1666" s="439">
        <v>32.18</v>
      </c>
      <c r="E1666" s="439">
        <v>32.18</v>
      </c>
      <c r="F1666" s="439">
        <v>32.18</v>
      </c>
      <c r="G1666" s="439">
        <v>32.18</v>
      </c>
      <c r="H1666" s="439">
        <v>32.18</v>
      </c>
      <c r="I1666" s="439">
        <v>32.18</v>
      </c>
      <c r="J1666" s="439">
        <v>32.18</v>
      </c>
      <c r="K1666" s="439">
        <v>32.18</v>
      </c>
      <c r="L1666" s="439">
        <v>32.18</v>
      </c>
      <c r="M1666" s="439">
        <v>32.18</v>
      </c>
      <c r="N1666" s="439">
        <v>32.18</v>
      </c>
      <c r="O1666" s="439">
        <v>32.18</v>
      </c>
      <c r="P1666" s="555">
        <v>32.18</v>
      </c>
      <c r="Q1666" s="552">
        <v>32.18</v>
      </c>
      <c r="R1666" s="439">
        <v>32.18</v>
      </c>
      <c r="S1666" s="439">
        <v>32.18</v>
      </c>
      <c r="T1666" s="439">
        <v>32.18</v>
      </c>
      <c r="U1666" s="439">
        <v>32.18</v>
      </c>
      <c r="V1666" s="439">
        <v>32.18</v>
      </c>
      <c r="W1666" s="439">
        <v>32.18</v>
      </c>
      <c r="X1666" s="439">
        <v>32.18</v>
      </c>
      <c r="Y1666" s="439">
        <v>32.18</v>
      </c>
      <c r="Z1666" s="439">
        <v>32.18</v>
      </c>
      <c r="AA1666" s="439">
        <v>32.18</v>
      </c>
      <c r="AB1666" s="439">
        <v>32.18</v>
      </c>
      <c r="AC1666" s="439">
        <v>32.18</v>
      </c>
      <c r="AD1666" s="439">
        <v>32.18</v>
      </c>
      <c r="AE1666" s="439">
        <v>32.18</v>
      </c>
      <c r="AF1666" s="555">
        <v>31.19</v>
      </c>
    </row>
    <row r="1667" spans="1:34">
      <c r="A1667" s="439">
        <v>31.19</v>
      </c>
      <c r="B1667" s="411">
        <v>32.18</v>
      </c>
      <c r="C1667" s="411">
        <v>19.18</v>
      </c>
      <c r="D1667" s="411">
        <v>19.18</v>
      </c>
      <c r="E1667" s="411">
        <v>19.18</v>
      </c>
      <c r="F1667" s="411">
        <v>19.18</v>
      </c>
      <c r="G1667" s="411">
        <v>19.18</v>
      </c>
      <c r="H1667" s="411">
        <v>19.18</v>
      </c>
      <c r="I1667" s="411">
        <v>19.18</v>
      </c>
      <c r="J1667" s="411">
        <v>19.18</v>
      </c>
      <c r="K1667" s="411">
        <v>19.18</v>
      </c>
      <c r="L1667" s="411">
        <v>19.18</v>
      </c>
      <c r="M1667" s="411">
        <v>19.18</v>
      </c>
      <c r="N1667" s="411">
        <v>19.18</v>
      </c>
      <c r="O1667" s="411">
        <v>19.18</v>
      </c>
      <c r="P1667" s="555">
        <v>19.18</v>
      </c>
      <c r="Q1667" s="552">
        <v>19.18</v>
      </c>
      <c r="R1667" s="411">
        <v>19.18</v>
      </c>
      <c r="S1667" s="411">
        <v>19.18</v>
      </c>
      <c r="T1667" s="411">
        <v>19.18</v>
      </c>
      <c r="U1667" s="411">
        <v>19.18</v>
      </c>
      <c r="V1667" s="411">
        <v>19.18</v>
      </c>
      <c r="W1667" s="411">
        <v>19.18</v>
      </c>
      <c r="X1667" s="411">
        <v>19.18</v>
      </c>
      <c r="Y1667" s="411">
        <v>19.18</v>
      </c>
      <c r="Z1667" s="411">
        <v>19.18</v>
      </c>
      <c r="AA1667" s="411">
        <v>19.18</v>
      </c>
      <c r="AB1667" s="411">
        <v>19.18</v>
      </c>
      <c r="AC1667" s="411">
        <v>19.18</v>
      </c>
      <c r="AD1667" s="411">
        <v>19.18</v>
      </c>
      <c r="AE1667" s="411">
        <v>32.18</v>
      </c>
      <c r="AF1667" s="439">
        <v>31.19</v>
      </c>
    </row>
    <row r="1668" spans="1:34">
      <c r="AH1668">
        <v>1667</v>
      </c>
    </row>
    <row r="1669" spans="1:34">
      <c r="AH1669">
        <v>1667</v>
      </c>
    </row>
    <row r="1670" spans="1:34">
      <c r="AH1670">
        <v>1667</v>
      </c>
    </row>
    <row r="1671" spans="1:34">
      <c r="AH1671">
        <v>1667</v>
      </c>
    </row>
    <row r="1672" spans="1:34">
      <c r="AH1672">
        <v>1667</v>
      </c>
    </row>
    <row r="1673" spans="1:34">
      <c r="A1673" s="555">
        <v>31.19</v>
      </c>
      <c r="B1673" s="411">
        <v>32.18</v>
      </c>
      <c r="C1673" s="411">
        <v>19.18</v>
      </c>
      <c r="D1673" s="411">
        <v>19.18</v>
      </c>
      <c r="E1673" s="411">
        <v>19.18</v>
      </c>
      <c r="F1673" s="411">
        <v>19.18</v>
      </c>
      <c r="G1673" s="411">
        <v>19.18</v>
      </c>
      <c r="H1673" s="411">
        <v>19.18</v>
      </c>
      <c r="I1673" s="411">
        <v>19.18</v>
      </c>
      <c r="J1673" s="411">
        <v>19.18</v>
      </c>
      <c r="K1673" s="411">
        <v>19.18</v>
      </c>
      <c r="L1673" s="411">
        <v>19.18</v>
      </c>
      <c r="M1673" s="411">
        <v>19.18</v>
      </c>
      <c r="N1673" s="411">
        <v>19.18</v>
      </c>
      <c r="O1673" s="411">
        <v>19.18</v>
      </c>
      <c r="P1673" s="555">
        <v>19.18</v>
      </c>
      <c r="Q1673" s="552">
        <v>19.18</v>
      </c>
      <c r="R1673" s="411">
        <v>19.18</v>
      </c>
      <c r="S1673" s="411">
        <v>19.18</v>
      </c>
      <c r="T1673" s="411">
        <v>19.18</v>
      </c>
      <c r="U1673" s="411">
        <v>19.18</v>
      </c>
      <c r="V1673" s="411">
        <v>19.18</v>
      </c>
      <c r="W1673" s="411">
        <v>19.18</v>
      </c>
      <c r="X1673" s="411">
        <v>19.18</v>
      </c>
      <c r="Y1673" s="411">
        <v>19.18</v>
      </c>
      <c r="Z1673" s="411">
        <v>19.18</v>
      </c>
      <c r="AA1673" s="411">
        <v>19.18</v>
      </c>
      <c r="AB1673" s="411">
        <v>19.18</v>
      </c>
      <c r="AC1673" s="411">
        <v>19.18</v>
      </c>
      <c r="AD1673" s="411">
        <v>19.18</v>
      </c>
      <c r="AE1673" s="411">
        <v>32.18</v>
      </c>
      <c r="AF1673" s="555">
        <v>31.19</v>
      </c>
    </row>
    <row r="1674" spans="1:34">
      <c r="AH1674">
        <v>1667</v>
      </c>
    </row>
    <row r="1675" spans="1:34">
      <c r="AH1675">
        <v>1667</v>
      </c>
    </row>
    <row r="1676" spans="1:34">
      <c r="AH1676">
        <v>1667</v>
      </c>
    </row>
    <row r="1677" spans="1:34">
      <c r="AH1677">
        <v>1667</v>
      </c>
    </row>
    <row r="1678" spans="1:34">
      <c r="AH1678">
        <v>1667</v>
      </c>
    </row>
    <row r="1679" spans="1:34">
      <c r="AH1679">
        <v>1667</v>
      </c>
    </row>
    <row r="1680" spans="1:34">
      <c r="A1680" s="555">
        <v>31.19</v>
      </c>
      <c r="B1680" s="555">
        <v>32.18</v>
      </c>
      <c r="C1680" s="555">
        <v>19.18</v>
      </c>
      <c r="D1680" s="555">
        <v>19.18</v>
      </c>
      <c r="E1680" s="555">
        <v>19.18</v>
      </c>
      <c r="F1680" s="555">
        <v>19.18</v>
      </c>
      <c r="G1680" s="555">
        <v>19.18</v>
      </c>
      <c r="H1680" s="555">
        <v>19.18</v>
      </c>
      <c r="I1680" s="555">
        <v>19.18</v>
      </c>
      <c r="J1680" s="555">
        <v>19.18</v>
      </c>
      <c r="K1680" s="555">
        <v>19.18</v>
      </c>
      <c r="L1680" s="555">
        <v>19.18</v>
      </c>
      <c r="M1680" s="555">
        <v>19.18</v>
      </c>
      <c r="N1680" s="555">
        <v>32.18</v>
      </c>
      <c r="O1680" s="555">
        <v>32.18</v>
      </c>
      <c r="P1680" s="555">
        <v>32.18</v>
      </c>
      <c r="Q1680" s="553">
        <v>32.18</v>
      </c>
      <c r="R1680" s="555">
        <v>32.18</v>
      </c>
      <c r="S1680" s="555">
        <v>32.18</v>
      </c>
      <c r="T1680" s="555">
        <v>19.18</v>
      </c>
      <c r="U1680" s="555">
        <v>19.18</v>
      </c>
      <c r="V1680" s="555">
        <v>19.18</v>
      </c>
      <c r="W1680" s="555">
        <v>19.18</v>
      </c>
      <c r="X1680" s="555">
        <v>19.18</v>
      </c>
      <c r="Y1680" s="555">
        <v>19.18</v>
      </c>
      <c r="Z1680" s="555">
        <v>19.18</v>
      </c>
      <c r="AA1680" s="555">
        <v>19.18</v>
      </c>
      <c r="AB1680" s="555">
        <v>19.18</v>
      </c>
      <c r="AC1680" s="555">
        <v>19.18</v>
      </c>
      <c r="AD1680" s="555">
        <v>19.18</v>
      </c>
      <c r="AE1680" s="555">
        <v>32.18</v>
      </c>
      <c r="AF1680" s="555">
        <v>31.19</v>
      </c>
    </row>
    <row r="1681" spans="1:34">
      <c r="A1681" s="555">
        <v>31.19</v>
      </c>
      <c r="B1681" s="552">
        <v>32.18</v>
      </c>
      <c r="C1681" s="552">
        <v>19.18</v>
      </c>
      <c r="D1681" s="552">
        <v>19.18</v>
      </c>
      <c r="E1681" s="552">
        <v>19.18</v>
      </c>
      <c r="F1681" s="552">
        <v>19.18</v>
      </c>
      <c r="G1681" s="552">
        <v>19.18</v>
      </c>
      <c r="H1681" s="552">
        <v>19.18</v>
      </c>
      <c r="I1681" s="552">
        <v>19.18</v>
      </c>
      <c r="J1681" s="552">
        <v>19.18</v>
      </c>
      <c r="K1681" s="552">
        <v>19.18</v>
      </c>
      <c r="L1681" s="552">
        <v>19.18</v>
      </c>
      <c r="M1681" s="552">
        <v>19.18</v>
      </c>
      <c r="N1681" s="552">
        <v>32.18</v>
      </c>
      <c r="O1681" s="552">
        <v>32.18</v>
      </c>
      <c r="P1681" s="557">
        <v>32.18</v>
      </c>
      <c r="Q1681" s="552">
        <v>32.18</v>
      </c>
      <c r="R1681" s="552">
        <v>32.18</v>
      </c>
      <c r="S1681" s="552">
        <v>32.18</v>
      </c>
      <c r="T1681" s="552">
        <v>19.18</v>
      </c>
      <c r="U1681" s="552">
        <v>19.18</v>
      </c>
      <c r="V1681" s="552">
        <v>19.18</v>
      </c>
      <c r="W1681" s="552">
        <v>19.18</v>
      </c>
      <c r="X1681" s="552">
        <v>19.18</v>
      </c>
      <c r="Y1681" s="552">
        <v>19.18</v>
      </c>
      <c r="Z1681" s="552">
        <v>19.18</v>
      </c>
      <c r="AA1681" s="552">
        <v>19.18</v>
      </c>
      <c r="AB1681" s="552">
        <v>19.18</v>
      </c>
      <c r="AC1681" s="552">
        <v>19.18</v>
      </c>
      <c r="AD1681" s="552">
        <v>19.18</v>
      </c>
      <c r="AE1681" s="552">
        <v>32.18</v>
      </c>
      <c r="AF1681" s="555">
        <v>31.19</v>
      </c>
    </row>
    <row r="1682" spans="1:34">
      <c r="AH1682">
        <v>1667</v>
      </c>
    </row>
    <row r="1683" spans="1:34">
      <c r="AH1683">
        <v>1667</v>
      </c>
    </row>
    <row r="1684" spans="1:34">
      <c r="AH1684">
        <v>1667</v>
      </c>
    </row>
    <row r="1685" spans="1:34">
      <c r="AH1685">
        <v>1667</v>
      </c>
    </row>
    <row r="1686" spans="1:34">
      <c r="AH1686">
        <v>1667</v>
      </c>
    </row>
    <row r="1687" spans="1:34">
      <c r="AH1687">
        <v>1667</v>
      </c>
    </row>
    <row r="1688" spans="1:34">
      <c r="AH1688">
        <v>1673</v>
      </c>
    </row>
    <row r="1689" spans="1:34">
      <c r="AH1689">
        <v>1667</v>
      </c>
    </row>
    <row r="1690" spans="1:34">
      <c r="AH1690">
        <v>1667</v>
      </c>
    </row>
    <row r="1691" spans="1:34">
      <c r="AH1691">
        <v>1667</v>
      </c>
    </row>
    <row r="1692" spans="1:34">
      <c r="AH1692">
        <v>1667</v>
      </c>
    </row>
    <row r="1693" spans="1:34">
      <c r="AH1693">
        <v>1667</v>
      </c>
    </row>
    <row r="1694" spans="1:34">
      <c r="AH1694">
        <v>1667</v>
      </c>
    </row>
    <row r="1695" spans="1:34">
      <c r="AH1695">
        <v>1666</v>
      </c>
    </row>
    <row r="1696" spans="1:34">
      <c r="A1696" s="557">
        <v>31.19</v>
      </c>
      <c r="B1696" s="555">
        <v>31.19</v>
      </c>
      <c r="C1696" s="411">
        <v>31.19</v>
      </c>
      <c r="D1696" s="411">
        <v>31.19</v>
      </c>
      <c r="E1696" s="411">
        <v>31.19</v>
      </c>
      <c r="F1696" s="411">
        <v>31.19</v>
      </c>
      <c r="G1696" s="411">
        <v>31.19</v>
      </c>
      <c r="H1696" s="557">
        <v>31.19</v>
      </c>
      <c r="I1696" s="555">
        <v>31.19</v>
      </c>
      <c r="J1696" s="411">
        <v>31.19</v>
      </c>
      <c r="K1696" s="411">
        <v>31.19</v>
      </c>
      <c r="L1696" s="411">
        <v>31.19</v>
      </c>
      <c r="M1696" s="411">
        <v>31.19</v>
      </c>
      <c r="N1696" s="411">
        <v>31.19</v>
      </c>
      <c r="O1696" s="411">
        <v>31.19</v>
      </c>
      <c r="P1696" s="557">
        <v>31.19</v>
      </c>
      <c r="Q1696" s="555">
        <v>31.19</v>
      </c>
      <c r="R1696" s="411">
        <v>31.19</v>
      </c>
      <c r="S1696" s="411">
        <v>31.19</v>
      </c>
      <c r="T1696" s="411">
        <v>31.19</v>
      </c>
      <c r="U1696" s="411">
        <v>31.19</v>
      </c>
      <c r="V1696" s="411">
        <v>31.19</v>
      </c>
      <c r="W1696" s="411">
        <v>31.19</v>
      </c>
      <c r="X1696" s="557">
        <v>31.19</v>
      </c>
      <c r="Y1696" s="555">
        <v>31.19</v>
      </c>
      <c r="Z1696" s="411">
        <v>31.19</v>
      </c>
      <c r="AA1696" s="411">
        <v>31.19</v>
      </c>
      <c r="AB1696" s="411">
        <v>31.19</v>
      </c>
      <c r="AC1696" s="411">
        <v>31.19</v>
      </c>
      <c r="AD1696" s="411">
        <v>31.19</v>
      </c>
      <c r="AE1696" s="557">
        <v>31.19</v>
      </c>
      <c r="AF1696" s="555">
        <v>31.19</v>
      </c>
    </row>
    <row r="1697" spans="1:33">
      <c r="AF1697" s="530"/>
      <c r="AG1697">
        <v>54</v>
      </c>
    </row>
    <row r="1698" spans="1:33">
      <c r="AF1698" s="79"/>
    </row>
    <row r="1699" spans="1:33">
      <c r="A1699" s="699"/>
      <c r="B1699" s="93"/>
      <c r="C1699" s="93"/>
      <c r="D1699" s="93"/>
      <c r="E1699" s="93"/>
      <c r="F1699" s="93"/>
      <c r="G1699" s="93"/>
      <c r="H1699" s="93"/>
      <c r="AA1699" s="93"/>
      <c r="AF1699" s="79"/>
    </row>
    <row r="1700" spans="1:33">
      <c r="A1700" s="699"/>
      <c r="B1700" s="93"/>
      <c r="C1700" s="93"/>
      <c r="D1700" s="93"/>
      <c r="E1700" s="93"/>
      <c r="F1700" s="93"/>
      <c r="G1700" s="93"/>
      <c r="H1700" s="93"/>
      <c r="AA1700" s="93"/>
      <c r="AF1700" s="79"/>
      <c r="AG1700">
        <v>-1</v>
      </c>
    </row>
    <row r="1701" spans="1:33">
      <c r="A1701" s="699"/>
      <c r="B1701" s="93"/>
      <c r="C1701" s="93"/>
      <c r="D1701" s="93"/>
      <c r="E1701" s="93"/>
      <c r="F1701" s="93"/>
      <c r="G1701" s="93"/>
      <c r="H1701" s="93"/>
      <c r="AA1701" s="93"/>
      <c r="AF1701" s="79"/>
    </row>
    <row r="1702" spans="1:33">
      <c r="A1702" s="699"/>
      <c r="B1702" s="93"/>
      <c r="C1702" s="93"/>
      <c r="D1702" s="93"/>
      <c r="E1702" s="93"/>
      <c r="F1702" s="93"/>
      <c r="G1702" s="93"/>
      <c r="H1702" s="93"/>
      <c r="AA1702" s="93"/>
      <c r="AF1702" s="79"/>
    </row>
    <row r="1703" spans="1:33">
      <c r="A1703" s="699"/>
      <c r="B1703" s="93"/>
      <c r="C1703" s="93"/>
      <c r="D1703" s="93"/>
      <c r="E1703" s="93"/>
      <c r="F1703" s="93"/>
      <c r="G1703" s="93"/>
      <c r="H1703" s="93"/>
      <c r="AA1703" s="93"/>
      <c r="AF1703" s="79"/>
    </row>
    <row r="1704" spans="1:33">
      <c r="A1704" s="699"/>
      <c r="B1704" s="93"/>
      <c r="C1704" s="93"/>
      <c r="D1704" s="93"/>
      <c r="E1704" s="93"/>
      <c r="F1704" s="93"/>
      <c r="G1704" s="93"/>
      <c r="H1704" s="93"/>
      <c r="AA1704" s="93"/>
      <c r="AF1704" s="79"/>
    </row>
    <row r="1705" spans="1:33">
      <c r="A1705" s="699"/>
      <c r="B1705" s="93"/>
      <c r="C1705" s="93"/>
      <c r="D1705" s="93"/>
      <c r="E1705" s="93"/>
      <c r="F1705" s="93"/>
      <c r="G1705" s="93"/>
      <c r="H1705" s="93"/>
      <c r="AA1705" s="93"/>
      <c r="AF1705" s="79"/>
    </row>
    <row r="1706" spans="1:33">
      <c r="A1706" s="699"/>
      <c r="B1706" s="93"/>
      <c r="C1706" s="93"/>
      <c r="D1706" s="93"/>
      <c r="E1706" s="93"/>
      <c r="F1706" s="93"/>
      <c r="G1706" s="93"/>
      <c r="H1706" s="93"/>
      <c r="AA1706" s="93"/>
      <c r="AF1706" s="79"/>
    </row>
    <row r="1707" spans="1:33">
      <c r="A1707" s="699"/>
      <c r="B1707" s="93"/>
      <c r="C1707" s="93"/>
      <c r="D1707" s="93"/>
      <c r="E1707" s="93"/>
      <c r="F1707" s="93"/>
      <c r="G1707" s="93"/>
      <c r="H1707" s="93"/>
      <c r="AA1707" s="93"/>
      <c r="AF1707" s="79"/>
    </row>
    <row r="1708" spans="1:33">
      <c r="A1708" s="699"/>
      <c r="B1708" s="93"/>
      <c r="C1708" s="93"/>
      <c r="D1708" s="93"/>
      <c r="E1708" s="93"/>
      <c r="F1708" s="93"/>
      <c r="G1708" s="93"/>
      <c r="H1708" s="93"/>
      <c r="AA1708" s="93"/>
      <c r="AF1708" s="79"/>
    </row>
    <row r="1709" spans="1:33">
      <c r="A1709" s="699"/>
      <c r="B1709" s="93"/>
      <c r="C1709" s="93"/>
      <c r="D1709" s="93"/>
      <c r="E1709" s="93"/>
      <c r="F1709" s="93"/>
      <c r="G1709" s="93"/>
      <c r="H1709" s="93"/>
      <c r="AF1709" s="79"/>
    </row>
    <row r="1710" spans="1:33">
      <c r="AF1710" s="79"/>
    </row>
    <row r="1711" spans="1:33">
      <c r="AF1711" s="79"/>
    </row>
    <row r="1712" spans="1:33">
      <c r="AF1712" s="79"/>
    </row>
    <row r="1713" spans="1:32">
      <c r="AF1713" s="79"/>
    </row>
    <row r="1714" spans="1:32">
      <c r="AF1714" s="79"/>
    </row>
    <row r="1715" spans="1:32">
      <c r="AB1715" s="93"/>
      <c r="AC1715" s="93"/>
      <c r="AD1715" s="93"/>
      <c r="AE1715" s="93"/>
      <c r="AF1715" s="79"/>
    </row>
    <row r="1716" spans="1:32">
      <c r="AB1716" s="93"/>
      <c r="AC1716" s="93"/>
      <c r="AD1716" s="93"/>
      <c r="AE1716" s="93"/>
      <c r="AF1716" s="79"/>
    </row>
    <row r="1717" spans="1:32">
      <c r="AB1717" s="93"/>
      <c r="AC1717" s="93"/>
      <c r="AD1717" s="93"/>
      <c r="AE1717" s="93"/>
      <c r="AF1717" s="79"/>
    </row>
    <row r="1718" spans="1:32">
      <c r="AB1718" s="93"/>
      <c r="AC1718" s="93"/>
      <c r="AD1718" s="93"/>
      <c r="AE1718" s="93"/>
      <c r="AF1718" s="79"/>
    </row>
    <row r="1719" spans="1:32">
      <c r="AB1719" s="93"/>
      <c r="AC1719" s="93"/>
      <c r="AD1719" s="93"/>
      <c r="AE1719" s="93"/>
      <c r="AF1719" s="79"/>
    </row>
    <row r="1720" spans="1:32">
      <c r="AB1720" s="93"/>
      <c r="AC1720" s="93"/>
      <c r="AD1720" s="93"/>
      <c r="AE1720" s="93"/>
      <c r="AF1720" s="79"/>
    </row>
    <row r="1721" spans="1:32">
      <c r="AB1721" s="93"/>
      <c r="AC1721" s="93"/>
      <c r="AD1721" s="93"/>
      <c r="AE1721" s="93"/>
      <c r="AF1721" s="79"/>
    </row>
    <row r="1722" spans="1:32">
      <c r="I1722" s="432">
        <v>29.23</v>
      </c>
      <c r="J1722" s="432">
        <v>30.22</v>
      </c>
      <c r="K1722" s="432">
        <v>30.22</v>
      </c>
      <c r="L1722" s="432">
        <v>30.22</v>
      </c>
      <c r="M1722" s="432">
        <v>30.22</v>
      </c>
      <c r="N1722" s="432">
        <v>30.22</v>
      </c>
      <c r="O1722" s="432">
        <v>30.22</v>
      </c>
      <c r="P1722" s="432">
        <v>30.22</v>
      </c>
      <c r="Q1722" s="432">
        <v>30.22</v>
      </c>
      <c r="R1722" s="432">
        <v>30.22</v>
      </c>
      <c r="S1722" s="432">
        <v>30.22</v>
      </c>
      <c r="T1722" s="432">
        <v>30.22</v>
      </c>
      <c r="U1722" s="432">
        <v>30.22</v>
      </c>
      <c r="V1722" s="432">
        <v>30.22</v>
      </c>
      <c r="W1722" s="432">
        <v>30.22</v>
      </c>
      <c r="X1722" s="432">
        <v>29.23</v>
      </c>
      <c r="AB1722" s="93"/>
      <c r="AC1722" s="93"/>
      <c r="AD1722" s="93"/>
      <c r="AE1722" s="93"/>
      <c r="AF1722" s="79"/>
    </row>
    <row r="1723" spans="1:32">
      <c r="I1723" s="432">
        <v>29.23</v>
      </c>
      <c r="J1723" s="432">
        <v>30.22</v>
      </c>
      <c r="K1723" s="432">
        <v>30.22</v>
      </c>
      <c r="L1723" s="45">
        <v>32.22</v>
      </c>
      <c r="M1723" s="432">
        <v>32.22</v>
      </c>
      <c r="N1723" s="432">
        <v>30.22</v>
      </c>
      <c r="O1723" s="432">
        <v>30.22</v>
      </c>
      <c r="P1723" s="432">
        <v>30.22</v>
      </c>
      <c r="Q1723" s="432">
        <v>30.22</v>
      </c>
      <c r="R1723" s="432">
        <v>30.22</v>
      </c>
      <c r="S1723" s="432">
        <v>30.22</v>
      </c>
      <c r="T1723" s="45">
        <v>32.22</v>
      </c>
      <c r="U1723" s="432">
        <v>32.22</v>
      </c>
      <c r="V1723" s="432">
        <v>30.22</v>
      </c>
      <c r="W1723" s="432">
        <v>30.22</v>
      </c>
      <c r="X1723" s="432">
        <v>29.23</v>
      </c>
      <c r="AB1723" s="93"/>
      <c r="AC1723" s="93"/>
      <c r="AD1723" s="93"/>
      <c r="AE1723" s="93"/>
      <c r="AF1723" s="79"/>
    </row>
    <row r="1724" spans="1:32">
      <c r="I1724" s="432">
        <v>29.23</v>
      </c>
      <c r="J1724" s="432">
        <v>30.22</v>
      </c>
      <c r="K1724" s="432">
        <v>30.22</v>
      </c>
      <c r="L1724" s="432">
        <v>32.22</v>
      </c>
      <c r="M1724" s="471">
        <v>32.22</v>
      </c>
      <c r="N1724" s="432">
        <v>30.22</v>
      </c>
      <c r="O1724" s="432">
        <v>30.22</v>
      </c>
      <c r="P1724" s="432">
        <v>30.22</v>
      </c>
      <c r="Q1724" s="432">
        <v>30.22</v>
      </c>
      <c r="R1724" s="432">
        <v>30.22</v>
      </c>
      <c r="S1724" s="432">
        <v>30.22</v>
      </c>
      <c r="T1724" s="432">
        <v>32.22</v>
      </c>
      <c r="U1724" s="471">
        <v>32.22</v>
      </c>
      <c r="V1724" s="432">
        <v>30.22</v>
      </c>
      <c r="W1724" s="432">
        <v>30.22</v>
      </c>
      <c r="X1724" s="432">
        <v>29.23</v>
      </c>
      <c r="AB1724" s="93"/>
      <c r="AC1724" s="93"/>
      <c r="AD1724" s="93"/>
      <c r="AE1724" s="93"/>
      <c r="AF1724" s="79"/>
    </row>
    <row r="1725" spans="1:32">
      <c r="I1725" s="471">
        <v>29.23</v>
      </c>
      <c r="J1725" s="471">
        <v>30.22</v>
      </c>
      <c r="K1725" s="471">
        <v>30.22</v>
      </c>
      <c r="L1725" s="471">
        <v>30.22</v>
      </c>
      <c r="M1725" s="471">
        <v>30.22</v>
      </c>
      <c r="N1725" s="471">
        <v>30.22</v>
      </c>
      <c r="O1725" s="471">
        <v>30.22</v>
      </c>
      <c r="P1725" s="471">
        <v>30.22</v>
      </c>
      <c r="Q1725" s="471">
        <v>30.22</v>
      </c>
      <c r="R1725" s="471">
        <v>30.22</v>
      </c>
      <c r="S1725" s="471">
        <v>30.22</v>
      </c>
      <c r="T1725" s="471">
        <v>30.22</v>
      </c>
      <c r="U1725" s="471">
        <v>30.22</v>
      </c>
      <c r="V1725" s="471">
        <v>30.22</v>
      </c>
      <c r="W1725" s="471">
        <v>30.22</v>
      </c>
      <c r="X1725" s="471">
        <v>29.23</v>
      </c>
      <c r="AB1725" s="93"/>
      <c r="AC1725" s="93"/>
      <c r="AD1725" s="93"/>
      <c r="AE1725" s="93"/>
      <c r="AF1725" s="79"/>
    </row>
    <row r="1726" spans="1:32">
      <c r="A1726" s="699"/>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c r="AF1726" s="79"/>
    </row>
    <row r="1727" spans="1:32">
      <c r="A1727" s="699"/>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c r="AF1727" s="79"/>
    </row>
    <row r="1728" spans="1:32">
      <c r="A1728" s="699"/>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c r="AF1728" s="79"/>
    </row>
    <row r="1729" spans="1:34">
      <c r="A1729" s="753"/>
      <c r="B1729" s="44">
        <v>15.17</v>
      </c>
      <c r="C1729" s="44">
        <v>15.17</v>
      </c>
      <c r="D1729" s="44">
        <v>15.17</v>
      </c>
      <c r="E1729" s="44">
        <v>15.17</v>
      </c>
      <c r="F1729" s="607">
        <v>32.01</v>
      </c>
      <c r="G1729" s="44">
        <v>6.3</v>
      </c>
      <c r="H1729" s="44">
        <v>6.3</v>
      </c>
      <c r="I1729" s="44">
        <v>6.3</v>
      </c>
      <c r="J1729" s="44">
        <v>6.3</v>
      </c>
      <c r="K1729" s="44">
        <v>6.3</v>
      </c>
      <c r="L1729" s="44">
        <v>6.3</v>
      </c>
      <c r="M1729" s="44">
        <v>6.3</v>
      </c>
      <c r="N1729" s="44">
        <v>6.3</v>
      </c>
      <c r="O1729" s="44">
        <v>6.3</v>
      </c>
      <c r="P1729" s="44">
        <v>6.3</v>
      </c>
      <c r="S1729" s="44">
        <v>6.3</v>
      </c>
      <c r="T1729" s="44">
        <v>6.3</v>
      </c>
      <c r="U1729" s="44">
        <v>6.3</v>
      </c>
      <c r="V1729" s="44">
        <v>6.3</v>
      </c>
      <c r="W1729" s="44">
        <v>6.3</v>
      </c>
      <c r="X1729" s="44">
        <v>6.3</v>
      </c>
      <c r="Y1729" s="44">
        <v>6.3</v>
      </c>
      <c r="Z1729" s="44">
        <v>6.3</v>
      </c>
      <c r="AA1729" s="607">
        <v>32.01</v>
      </c>
      <c r="AB1729" s="44">
        <v>15.17</v>
      </c>
      <c r="AC1729" s="44">
        <v>15.17</v>
      </c>
      <c r="AD1729" s="44">
        <v>15.17</v>
      </c>
      <c r="AE1729" s="44">
        <v>15.17</v>
      </c>
      <c r="AF1729" s="530"/>
      <c r="AG1729">
        <v>55</v>
      </c>
    </row>
    <row r="1730" spans="1:34">
      <c r="A1730" s="491">
        <v>32.01</v>
      </c>
      <c r="B1730" s="421">
        <v>32.01</v>
      </c>
      <c r="C1730" s="421">
        <v>32.01</v>
      </c>
      <c r="D1730" s="421">
        <v>32.01</v>
      </c>
      <c r="E1730" s="432">
        <v>32.01</v>
      </c>
      <c r="F1730" s="45">
        <v>32.01</v>
      </c>
      <c r="G1730" s="683">
        <v>7.01</v>
      </c>
      <c r="H1730" s="45">
        <v>6.3</v>
      </c>
      <c r="I1730" s="45">
        <v>6.3</v>
      </c>
      <c r="J1730" s="45">
        <v>6.3</v>
      </c>
      <c r="K1730" s="45">
        <v>6.3</v>
      </c>
      <c r="L1730" s="683">
        <v>7.01</v>
      </c>
      <c r="M1730" s="683">
        <v>7.01</v>
      </c>
      <c r="N1730" s="683">
        <v>7.01</v>
      </c>
      <c r="O1730" s="45">
        <v>6.3</v>
      </c>
      <c r="P1730" s="45">
        <v>6.3</v>
      </c>
      <c r="Q1730" s="415">
        <v>5.3</v>
      </c>
      <c r="R1730" s="421">
        <v>5.3</v>
      </c>
      <c r="S1730" s="45">
        <v>6.3</v>
      </c>
      <c r="T1730" s="45">
        <v>6.3</v>
      </c>
      <c r="U1730" s="683">
        <v>7.01</v>
      </c>
      <c r="V1730" s="683">
        <v>7.01</v>
      </c>
      <c r="W1730" s="683">
        <v>7.01</v>
      </c>
      <c r="X1730" s="682">
        <v>7.01</v>
      </c>
      <c r="Y1730" s="682">
        <v>7.01</v>
      </c>
      <c r="Z1730" s="45">
        <v>6.3</v>
      </c>
      <c r="AA1730" s="45">
        <v>32.01</v>
      </c>
      <c r="AB1730" s="421">
        <v>32.01</v>
      </c>
      <c r="AC1730" s="421">
        <v>32.01</v>
      </c>
      <c r="AD1730" s="421">
        <v>32.01</v>
      </c>
      <c r="AE1730" s="421">
        <v>32.01</v>
      </c>
      <c r="AF1730" s="607">
        <v>32.01</v>
      </c>
    </row>
    <row r="1731" spans="1:34">
      <c r="A1731" s="491">
        <v>32.01</v>
      </c>
      <c r="B1731" s="421">
        <v>32.01</v>
      </c>
      <c r="C1731" s="44">
        <v>32.01</v>
      </c>
      <c r="D1731" s="44">
        <v>32.01</v>
      </c>
      <c r="E1731" s="44">
        <v>32.01</v>
      </c>
      <c r="F1731" s="44">
        <v>32.01</v>
      </c>
      <c r="G1731" s="682">
        <v>7.01</v>
      </c>
      <c r="H1731" s="683">
        <v>7.01</v>
      </c>
      <c r="I1731" s="44">
        <v>6.3</v>
      </c>
      <c r="J1731" s="44">
        <v>6.3</v>
      </c>
      <c r="K1731" s="44">
        <v>6.3</v>
      </c>
      <c r="L1731" s="44">
        <v>6.3</v>
      </c>
      <c r="M1731" s="682">
        <v>7.01</v>
      </c>
      <c r="N1731" s="682">
        <v>7.01</v>
      </c>
      <c r="O1731" s="44">
        <v>6.3</v>
      </c>
      <c r="P1731" s="44">
        <v>6.3</v>
      </c>
      <c r="Q1731" s="415">
        <v>5.3</v>
      </c>
      <c r="R1731" s="421">
        <v>5.3</v>
      </c>
      <c r="S1731" s="44">
        <v>6.3</v>
      </c>
      <c r="T1731" s="44">
        <v>6.3</v>
      </c>
      <c r="U1731" s="44">
        <v>6.3</v>
      </c>
      <c r="V1731" s="682">
        <v>7.01</v>
      </c>
      <c r="W1731" s="682">
        <v>7.01</v>
      </c>
      <c r="X1731" s="682">
        <v>7.01</v>
      </c>
      <c r="Y1731" s="44">
        <v>6.3</v>
      </c>
      <c r="Z1731" s="44">
        <v>6.3</v>
      </c>
      <c r="AA1731" s="44">
        <v>32.01</v>
      </c>
      <c r="AB1731" s="44">
        <v>32.01</v>
      </c>
      <c r="AC1731" s="44">
        <v>32.01</v>
      </c>
      <c r="AD1731" s="44">
        <v>32.01</v>
      </c>
      <c r="AE1731" s="44">
        <v>32.01</v>
      </c>
      <c r="AF1731" s="45">
        <v>32.01</v>
      </c>
    </row>
    <row r="1732" spans="1:34">
      <c r="A1732" s="491">
        <v>32.01</v>
      </c>
      <c r="B1732" s="421">
        <v>32.01</v>
      </c>
      <c r="C1732" s="44">
        <v>32.01</v>
      </c>
      <c r="D1732" s="44">
        <v>32.01</v>
      </c>
      <c r="E1732" s="44">
        <v>32.01</v>
      </c>
      <c r="F1732" s="44">
        <v>32.01</v>
      </c>
      <c r="G1732" s="44">
        <v>6.3</v>
      </c>
      <c r="H1732" s="682">
        <v>7.01</v>
      </c>
      <c r="I1732" s="682">
        <v>7.01</v>
      </c>
      <c r="J1732" s="683">
        <v>7.01</v>
      </c>
      <c r="K1732" s="44">
        <v>6.3</v>
      </c>
      <c r="L1732" s="44">
        <v>6.3</v>
      </c>
      <c r="M1732" s="44">
        <v>6.3</v>
      </c>
      <c r="N1732" s="682">
        <v>7.01</v>
      </c>
      <c r="O1732" s="44">
        <v>6.3</v>
      </c>
      <c r="P1732" s="44">
        <v>6.3</v>
      </c>
      <c r="Q1732" s="415">
        <v>5.3</v>
      </c>
      <c r="R1732" s="421">
        <v>5.3</v>
      </c>
      <c r="S1732" s="44">
        <v>6.3</v>
      </c>
      <c r="T1732" s="44">
        <v>6.3</v>
      </c>
      <c r="U1732" s="44">
        <v>6.3</v>
      </c>
      <c r="V1732" s="44">
        <v>6.3</v>
      </c>
      <c r="W1732" s="682">
        <v>7.01</v>
      </c>
      <c r="X1732" s="44">
        <v>6.3</v>
      </c>
      <c r="Y1732" s="44">
        <v>6.3</v>
      </c>
      <c r="Z1732" s="44">
        <v>6.3</v>
      </c>
      <c r="AA1732" s="44">
        <v>32.01</v>
      </c>
      <c r="AB1732" s="44">
        <v>32.01</v>
      </c>
      <c r="AC1732" s="44">
        <v>32.01</v>
      </c>
      <c r="AD1732" s="44">
        <v>32.01</v>
      </c>
      <c r="AE1732" s="44">
        <v>32.01</v>
      </c>
      <c r="AF1732" s="45">
        <v>32.01</v>
      </c>
    </row>
    <row r="1733" spans="1:34">
      <c r="A1733" s="491">
        <v>32.01</v>
      </c>
      <c r="B1733" s="421">
        <v>32.01</v>
      </c>
      <c r="E1733" s="44">
        <v>32.01</v>
      </c>
      <c r="F1733" s="44">
        <v>32.01</v>
      </c>
      <c r="G1733" s="12">
        <v>32.01</v>
      </c>
      <c r="H1733" s="12">
        <v>32.01</v>
      </c>
      <c r="I1733" s="12">
        <v>8.2799999999999994</v>
      </c>
      <c r="J1733" s="12">
        <v>8.2799999999999994</v>
      </c>
      <c r="K1733" s="12">
        <v>8.2799999999999994</v>
      </c>
      <c r="L1733" s="12">
        <v>8.2799999999999994</v>
      </c>
      <c r="M1733" s="12">
        <v>8.2799999999999994</v>
      </c>
      <c r="N1733" s="12">
        <v>8.2799999999999994</v>
      </c>
      <c r="O1733" s="12">
        <v>8.2799999999999994</v>
      </c>
      <c r="P1733" s="12">
        <v>8.2799999999999994</v>
      </c>
      <c r="Q1733" s="12">
        <v>8.2799999999999994</v>
      </c>
      <c r="R1733" s="12">
        <v>8.2799999999999994</v>
      </c>
      <c r="S1733" s="12">
        <v>8.2799999999999994</v>
      </c>
      <c r="T1733" s="12">
        <v>8.2799999999999994</v>
      </c>
      <c r="U1733" s="12">
        <v>8.2799999999999994</v>
      </c>
      <c r="V1733" s="12">
        <v>8.2799999999999994</v>
      </c>
      <c r="W1733" s="12">
        <v>8.2799999999999994</v>
      </c>
      <c r="X1733" s="12">
        <v>8.2799999999999994</v>
      </c>
      <c r="Y1733" s="12">
        <v>32.01</v>
      </c>
      <c r="Z1733" s="12">
        <v>32.01</v>
      </c>
      <c r="AA1733" s="44">
        <v>32.01</v>
      </c>
      <c r="AB1733" s="44">
        <v>32.01</v>
      </c>
      <c r="AE1733" s="44">
        <v>32.01</v>
      </c>
      <c r="AF1733" s="45">
        <v>32.01</v>
      </c>
    </row>
    <row r="1734" spans="1:34">
      <c r="AH1734">
        <v>1733</v>
      </c>
    </row>
    <row r="1735" spans="1:34">
      <c r="A1735" s="491">
        <v>32.01</v>
      </c>
      <c r="B1735" s="421">
        <v>32.01</v>
      </c>
      <c r="E1735" s="44">
        <v>32.01</v>
      </c>
      <c r="F1735" s="44">
        <v>32.01</v>
      </c>
      <c r="G1735" s="12">
        <v>32.01</v>
      </c>
      <c r="H1735" s="12">
        <v>32.01</v>
      </c>
      <c r="I1735" s="683">
        <v>12.2</v>
      </c>
      <c r="J1735" s="683">
        <v>11.18</v>
      </c>
      <c r="K1735" s="683">
        <v>10.199999999999999</v>
      </c>
      <c r="L1735" s="683">
        <v>9.24</v>
      </c>
      <c r="M1735" s="683">
        <v>30.26</v>
      </c>
      <c r="N1735" s="683">
        <v>30.27</v>
      </c>
      <c r="O1735" s="12">
        <v>6.3</v>
      </c>
      <c r="P1735" s="683">
        <v>9.2899999999999991</v>
      </c>
      <c r="Q1735" s="683">
        <v>10.27</v>
      </c>
      <c r="R1735" s="683">
        <v>11.25</v>
      </c>
      <c r="S1735" s="683">
        <v>10.23</v>
      </c>
      <c r="T1735" s="683">
        <v>9.2100000000000009</v>
      </c>
      <c r="U1735" s="683">
        <v>8.2200000000000006</v>
      </c>
      <c r="V1735" s="683">
        <v>30.23</v>
      </c>
      <c r="W1735" s="683">
        <v>30.24</v>
      </c>
      <c r="X1735" s="683">
        <v>30.25</v>
      </c>
      <c r="Y1735" s="12">
        <v>32.01</v>
      </c>
      <c r="Z1735" s="12">
        <v>32.01</v>
      </c>
      <c r="AA1735" s="44">
        <v>32.01</v>
      </c>
      <c r="AB1735" s="44">
        <v>32.01</v>
      </c>
      <c r="AE1735" s="44">
        <v>32.01</v>
      </c>
      <c r="AF1735" s="45">
        <v>32.01</v>
      </c>
    </row>
    <row r="1736" spans="1:34">
      <c r="A1736" s="491">
        <v>32.01</v>
      </c>
      <c r="B1736" s="421">
        <v>32.01</v>
      </c>
      <c r="E1736" s="415">
        <v>32.01</v>
      </c>
      <c r="F1736" s="415">
        <v>32.01</v>
      </c>
      <c r="G1736" s="20">
        <v>32.01</v>
      </c>
      <c r="H1736" s="20">
        <v>32.01</v>
      </c>
      <c r="I1736" s="20">
        <v>8.2799999999999994</v>
      </c>
      <c r="J1736" s="20">
        <v>8.2799999999999994</v>
      </c>
      <c r="K1736" s="20">
        <v>8.2799999999999994</v>
      </c>
      <c r="L1736" s="20">
        <v>8.2799999999999994</v>
      </c>
      <c r="M1736" s="20">
        <v>8.2799999999999994</v>
      </c>
      <c r="N1736" s="20">
        <v>8.2799999999999994</v>
      </c>
      <c r="O1736" s="20">
        <v>8.2799999999999994</v>
      </c>
      <c r="P1736" s="20">
        <v>8.2799999999999994</v>
      </c>
      <c r="Q1736" s="20">
        <v>8.2799999999999994</v>
      </c>
      <c r="R1736" s="20">
        <v>8.2799999999999994</v>
      </c>
      <c r="S1736" s="20">
        <v>8.2799999999999994</v>
      </c>
      <c r="T1736" s="20">
        <v>8.2799999999999994</v>
      </c>
      <c r="U1736" s="20">
        <v>8.2799999999999994</v>
      </c>
      <c r="V1736" s="20">
        <v>8.2799999999999994</v>
      </c>
      <c r="W1736" s="20">
        <v>8.2799999999999994</v>
      </c>
      <c r="X1736" s="20">
        <v>8.2799999999999994</v>
      </c>
      <c r="Y1736" s="20">
        <v>32.01</v>
      </c>
      <c r="Z1736" s="20">
        <v>32.01</v>
      </c>
      <c r="AA1736" s="415">
        <v>32.01</v>
      </c>
      <c r="AB1736" s="415">
        <v>32.01</v>
      </c>
      <c r="AE1736" s="415">
        <v>32.01</v>
      </c>
      <c r="AF1736" s="607">
        <v>32.01</v>
      </c>
    </row>
    <row r="1737" spans="1:34">
      <c r="A1737" s="1242">
        <v>32.01</v>
      </c>
      <c r="B1737" s="432">
        <v>32.01</v>
      </c>
      <c r="E1737" s="432">
        <v>32.01</v>
      </c>
      <c r="F1737" s="432">
        <v>32.01</v>
      </c>
      <c r="G1737" s="20">
        <v>32.01</v>
      </c>
      <c r="H1737" s="20">
        <v>32.01</v>
      </c>
      <c r="I1737" s="20">
        <v>8.2799999999999994</v>
      </c>
      <c r="J1737" s="20">
        <v>8.2799999999999994</v>
      </c>
      <c r="K1737" s="20">
        <v>8.2799999999999994</v>
      </c>
      <c r="L1737" s="20">
        <v>8.2799999999999994</v>
      </c>
      <c r="M1737" s="20">
        <v>8.2799999999999994</v>
      </c>
      <c r="N1737" s="20">
        <v>8.2799999999999994</v>
      </c>
      <c r="O1737" s="20">
        <v>8.2799999999999994</v>
      </c>
      <c r="P1737" s="20">
        <v>8.2799999999999994</v>
      </c>
      <c r="Q1737" s="20">
        <v>8.2799999999999994</v>
      </c>
      <c r="R1737" s="20">
        <v>8.2799999999999994</v>
      </c>
      <c r="S1737" s="20">
        <v>8.2799999999999994</v>
      </c>
      <c r="T1737" s="20">
        <v>8.2799999999999994</v>
      </c>
      <c r="U1737" s="20">
        <v>8.2799999999999994</v>
      </c>
      <c r="V1737" s="20">
        <v>8.2799999999999994</v>
      </c>
      <c r="W1737" s="20">
        <v>8.2799999999999994</v>
      </c>
      <c r="X1737" s="20">
        <v>8.2799999999999994</v>
      </c>
      <c r="Y1737" s="20">
        <v>32.01</v>
      </c>
      <c r="Z1737" s="20">
        <v>32.01</v>
      </c>
      <c r="AA1737" s="432">
        <v>32.01</v>
      </c>
      <c r="AB1737" s="432">
        <v>32.01</v>
      </c>
      <c r="AE1737" s="432">
        <v>32.01</v>
      </c>
      <c r="AF1737" s="556">
        <v>32.01</v>
      </c>
    </row>
    <row r="1738" spans="1:34">
      <c r="A1738" s="1284">
        <v>32.01</v>
      </c>
      <c r="B1738" s="44">
        <v>32.01</v>
      </c>
      <c r="E1738" s="44">
        <v>32.01</v>
      </c>
      <c r="F1738" s="44">
        <v>32.01</v>
      </c>
      <c r="G1738" s="44">
        <v>6.3</v>
      </c>
      <c r="H1738" s="44">
        <v>6.3</v>
      </c>
      <c r="I1738" s="432">
        <v>6.3</v>
      </c>
      <c r="J1738" s="439">
        <v>6.3</v>
      </c>
      <c r="K1738" s="44">
        <v>6.3</v>
      </c>
      <c r="L1738" s="44">
        <v>6.3</v>
      </c>
      <c r="M1738" s="44">
        <v>6.3</v>
      </c>
      <c r="N1738" s="44">
        <v>6.3</v>
      </c>
      <c r="O1738" s="44">
        <v>6.3</v>
      </c>
      <c r="P1738" s="44">
        <v>6.3</v>
      </c>
      <c r="Q1738" s="44">
        <v>6.3</v>
      </c>
      <c r="R1738" s="44">
        <v>6.3</v>
      </c>
      <c r="S1738" s="44">
        <v>6.3</v>
      </c>
      <c r="T1738" s="44">
        <v>6.3</v>
      </c>
      <c r="U1738" s="44">
        <v>6.3</v>
      </c>
      <c r="V1738" s="44">
        <v>6.3</v>
      </c>
      <c r="W1738" s="44">
        <v>6.3</v>
      </c>
      <c r="X1738" s="439">
        <v>6.3</v>
      </c>
      <c r="Y1738" s="432">
        <v>6.3</v>
      </c>
      <c r="Z1738" s="44">
        <v>6.3</v>
      </c>
      <c r="AA1738" s="44">
        <v>32.01</v>
      </c>
      <c r="AB1738" s="44">
        <v>32.01</v>
      </c>
      <c r="AE1738" s="44">
        <v>32.01</v>
      </c>
      <c r="AF1738" s="1283">
        <v>32.01</v>
      </c>
    </row>
    <row r="1739" spans="1:34">
      <c r="A1739" s="1284">
        <v>32.01</v>
      </c>
      <c r="B1739" s="44">
        <v>32.01</v>
      </c>
      <c r="E1739" s="44">
        <v>32.01</v>
      </c>
      <c r="F1739" s="44">
        <v>32.01</v>
      </c>
      <c r="G1739" s="44">
        <v>6.3</v>
      </c>
      <c r="H1739" s="44">
        <v>6.3</v>
      </c>
      <c r="I1739" s="432">
        <v>6.3</v>
      </c>
      <c r="J1739" s="439">
        <v>6.3</v>
      </c>
      <c r="K1739" s="44">
        <v>6.3</v>
      </c>
      <c r="L1739" s="44">
        <v>6.3</v>
      </c>
      <c r="M1739" s="44">
        <v>6.3</v>
      </c>
      <c r="N1739" s="44">
        <v>6.3</v>
      </c>
      <c r="O1739" s="44">
        <v>6.3</v>
      </c>
      <c r="P1739" s="44">
        <v>6.3</v>
      </c>
      <c r="Q1739" s="44">
        <v>6.3</v>
      </c>
      <c r="R1739" s="44">
        <v>6.3</v>
      </c>
      <c r="S1739" s="44">
        <v>6.3</v>
      </c>
      <c r="T1739" s="683">
        <v>7.01</v>
      </c>
      <c r="U1739" s="682">
        <v>7.01</v>
      </c>
      <c r="V1739" s="682">
        <v>7.01</v>
      </c>
      <c r="W1739" s="682">
        <v>7.01</v>
      </c>
      <c r="X1739" s="439">
        <v>6.3</v>
      </c>
      <c r="Y1739" s="432">
        <v>6.3</v>
      </c>
      <c r="Z1739" s="44">
        <v>6.3</v>
      </c>
      <c r="AA1739" s="44">
        <v>32.01</v>
      </c>
      <c r="AB1739" s="44">
        <v>32.01</v>
      </c>
      <c r="AE1739" s="44">
        <v>32.01</v>
      </c>
      <c r="AF1739" s="1283">
        <v>32.01</v>
      </c>
    </row>
    <row r="1740" spans="1:34">
      <c r="A1740" s="1284">
        <v>32.01</v>
      </c>
      <c r="B1740" s="44">
        <v>32.01</v>
      </c>
      <c r="E1740" s="44">
        <v>32.01</v>
      </c>
      <c r="F1740" s="44">
        <v>32.01</v>
      </c>
      <c r="G1740" s="44">
        <v>6.3</v>
      </c>
      <c r="H1740" s="44">
        <v>6.3</v>
      </c>
      <c r="I1740" s="432">
        <v>6.3</v>
      </c>
      <c r="J1740" s="439">
        <v>6.3</v>
      </c>
      <c r="K1740" s="44">
        <v>6.3</v>
      </c>
      <c r="L1740" s="44">
        <v>6.3</v>
      </c>
      <c r="M1740" s="44">
        <v>6.3</v>
      </c>
      <c r="N1740" s="44">
        <v>6.3</v>
      </c>
      <c r="O1740" s="44">
        <v>6.3</v>
      </c>
      <c r="P1740" s="44">
        <v>6.3</v>
      </c>
      <c r="Q1740" s="44">
        <v>6.3</v>
      </c>
      <c r="R1740" s="44">
        <v>6.3</v>
      </c>
      <c r="S1740" s="683">
        <v>7.01</v>
      </c>
      <c r="T1740" s="682">
        <v>7.01</v>
      </c>
      <c r="U1740" s="682">
        <v>7.01</v>
      </c>
      <c r="V1740" s="44">
        <v>6.3</v>
      </c>
      <c r="W1740" s="44">
        <v>6.3</v>
      </c>
      <c r="X1740" s="439">
        <v>6.3</v>
      </c>
      <c r="Y1740" s="432">
        <v>6.3</v>
      </c>
      <c r="Z1740" s="44">
        <v>6.3</v>
      </c>
      <c r="AA1740" s="44">
        <v>32.01</v>
      </c>
      <c r="AB1740" s="44">
        <v>32.01</v>
      </c>
      <c r="AE1740" s="44">
        <v>32.01</v>
      </c>
      <c r="AF1740" s="1283">
        <v>32.01</v>
      </c>
    </row>
    <row r="1741" spans="1:34">
      <c r="A1741" s="1284">
        <v>32.01</v>
      </c>
      <c r="B1741" s="44">
        <v>32.01</v>
      </c>
      <c r="E1741" s="44">
        <v>32.01</v>
      </c>
      <c r="F1741" s="44">
        <v>32.01</v>
      </c>
      <c r="G1741" s="44">
        <v>6.3</v>
      </c>
      <c r="H1741" s="44">
        <v>6.3</v>
      </c>
      <c r="I1741" s="432">
        <v>6.3</v>
      </c>
      <c r="J1741" s="439">
        <v>6.3</v>
      </c>
      <c r="K1741" s="44">
        <v>6.3</v>
      </c>
      <c r="L1741" s="44">
        <v>6.3</v>
      </c>
      <c r="M1741" s="44">
        <v>6.3</v>
      </c>
      <c r="N1741" s="44">
        <v>6.3</v>
      </c>
      <c r="O1741" s="44">
        <v>6.3</v>
      </c>
      <c r="P1741" s="44">
        <v>6.3</v>
      </c>
      <c r="Q1741" s="44">
        <v>6.3</v>
      </c>
      <c r="R1741" s="683">
        <v>7.01</v>
      </c>
      <c r="S1741" s="682">
        <v>7.01</v>
      </c>
      <c r="T1741" s="44">
        <v>6.3</v>
      </c>
      <c r="U1741" s="44">
        <v>6.3</v>
      </c>
      <c r="V1741" s="44">
        <v>6.3</v>
      </c>
      <c r="W1741" s="44">
        <v>6.3</v>
      </c>
      <c r="X1741" s="439">
        <v>6.3</v>
      </c>
      <c r="Y1741" s="432">
        <v>6.3</v>
      </c>
      <c r="Z1741" s="44">
        <v>6.3</v>
      </c>
      <c r="AA1741" s="44">
        <v>32.01</v>
      </c>
      <c r="AB1741" s="44">
        <v>32.01</v>
      </c>
      <c r="AE1741" s="44">
        <v>32.01</v>
      </c>
      <c r="AF1741" s="1283">
        <v>32.01</v>
      </c>
    </row>
    <row r="1742" spans="1:34">
      <c r="A1742" s="1284">
        <v>32.01</v>
      </c>
      <c r="B1742" s="44">
        <v>32.01</v>
      </c>
      <c r="C1742" s="44">
        <v>32.01</v>
      </c>
      <c r="D1742" s="44">
        <v>32.01</v>
      </c>
      <c r="E1742" s="44">
        <v>32.01</v>
      </c>
      <c r="F1742" s="44">
        <v>32.01</v>
      </c>
      <c r="G1742" s="44">
        <v>6.3</v>
      </c>
      <c r="H1742" s="44">
        <v>6.3</v>
      </c>
      <c r="I1742" s="432">
        <v>6.3</v>
      </c>
      <c r="J1742" s="439">
        <v>6.3</v>
      </c>
      <c r="K1742" s="44">
        <v>6.3</v>
      </c>
      <c r="L1742" s="44">
        <v>6.3</v>
      </c>
      <c r="M1742" s="44">
        <v>6.3</v>
      </c>
      <c r="N1742" s="44">
        <v>6.3</v>
      </c>
      <c r="O1742" s="44">
        <v>6.3</v>
      </c>
      <c r="P1742" s="44">
        <v>6.3</v>
      </c>
      <c r="Q1742" s="682">
        <v>7.3</v>
      </c>
      <c r="R1742" s="44">
        <v>6.3</v>
      </c>
      <c r="S1742" s="44">
        <v>6.3</v>
      </c>
      <c r="T1742" s="44">
        <v>6.3</v>
      </c>
      <c r="U1742" s="44">
        <v>6.3</v>
      </c>
      <c r="V1742" s="44">
        <v>6.3</v>
      </c>
      <c r="W1742" s="44">
        <v>6.3</v>
      </c>
      <c r="X1742" s="439">
        <v>6.3</v>
      </c>
      <c r="Y1742" s="432">
        <v>6.3</v>
      </c>
      <c r="Z1742" s="44">
        <v>6.3</v>
      </c>
      <c r="AA1742" s="44">
        <v>32.01</v>
      </c>
      <c r="AB1742" s="44">
        <v>32.01</v>
      </c>
      <c r="AC1742" s="44">
        <v>32.01</v>
      </c>
      <c r="AD1742" s="44">
        <v>32.01</v>
      </c>
      <c r="AE1742" s="44">
        <v>32.01</v>
      </c>
      <c r="AF1742" s="1283">
        <v>32.01</v>
      </c>
    </row>
    <row r="1743" spans="1:34">
      <c r="A1743" s="421">
        <v>32.01</v>
      </c>
      <c r="B1743" s="421">
        <v>32.01</v>
      </c>
      <c r="C1743" s="421">
        <v>32.01</v>
      </c>
      <c r="D1743" s="421">
        <v>32.01</v>
      </c>
      <c r="E1743" s="421">
        <v>32.01</v>
      </c>
      <c r="F1743" s="421">
        <v>32.01</v>
      </c>
      <c r="G1743" s="44">
        <v>6.3</v>
      </c>
      <c r="H1743" s="44">
        <v>6.3</v>
      </c>
      <c r="I1743" s="421">
        <v>6.3</v>
      </c>
      <c r="J1743" s="432">
        <v>6.3</v>
      </c>
      <c r="K1743" s="44">
        <v>6.3</v>
      </c>
      <c r="L1743" s="44">
        <v>6.3</v>
      </c>
      <c r="M1743" s="44">
        <v>6.3</v>
      </c>
      <c r="N1743" s="44">
        <v>6.3</v>
      </c>
      <c r="O1743" s="44">
        <v>6.3</v>
      </c>
      <c r="P1743" s="44">
        <v>6.3</v>
      </c>
      <c r="Q1743" s="44">
        <v>6.3</v>
      </c>
      <c r="R1743" s="44">
        <v>6.3</v>
      </c>
      <c r="S1743" s="44">
        <v>6.3</v>
      </c>
      <c r="T1743" s="44">
        <v>6.3</v>
      </c>
      <c r="U1743" s="44">
        <v>6.3</v>
      </c>
      <c r="V1743" s="44">
        <v>6.3</v>
      </c>
      <c r="W1743" s="44">
        <v>6.3</v>
      </c>
      <c r="X1743" s="432">
        <v>6.3</v>
      </c>
      <c r="Y1743" s="421">
        <v>6.3</v>
      </c>
      <c r="Z1743" s="44">
        <v>6.3</v>
      </c>
      <c r="AA1743" s="421">
        <v>32.01</v>
      </c>
      <c r="AB1743" s="421">
        <v>32.01</v>
      </c>
      <c r="AC1743" s="421">
        <v>32.01</v>
      </c>
      <c r="AD1743" s="421">
        <v>32.01</v>
      </c>
      <c r="AE1743" s="421">
        <v>32.01</v>
      </c>
      <c r="AF1743" s="421">
        <v>32.01</v>
      </c>
    </row>
    <row r="1744" spans="1:34">
      <c r="A1744" s="432">
        <v>15.17</v>
      </c>
      <c r="B1744" s="432">
        <v>15.17</v>
      </c>
      <c r="C1744" s="432">
        <v>15.17</v>
      </c>
      <c r="D1744" s="432">
        <v>15.17</v>
      </c>
      <c r="E1744" s="432">
        <v>15.17</v>
      </c>
      <c r="F1744" s="432">
        <v>15.17</v>
      </c>
      <c r="G1744" s="432">
        <v>6.3</v>
      </c>
      <c r="H1744" s="432">
        <v>6.3</v>
      </c>
      <c r="I1744" s="93"/>
      <c r="J1744" s="93"/>
      <c r="K1744" s="432">
        <v>6.3</v>
      </c>
      <c r="L1744" s="432">
        <v>6.3</v>
      </c>
      <c r="M1744" s="432">
        <v>6.3</v>
      </c>
      <c r="N1744" s="432">
        <v>6.3</v>
      </c>
      <c r="O1744" s="432">
        <v>6.3</v>
      </c>
      <c r="P1744" s="432">
        <v>6.3</v>
      </c>
      <c r="Q1744" s="432">
        <v>6.3</v>
      </c>
      <c r="R1744" s="432">
        <v>6.3</v>
      </c>
      <c r="S1744" s="432">
        <v>6.3</v>
      </c>
      <c r="T1744" s="432">
        <v>6.3</v>
      </c>
      <c r="U1744" s="432">
        <v>6.3</v>
      </c>
      <c r="V1744" s="432">
        <v>6.3</v>
      </c>
      <c r="W1744" s="432">
        <v>6.3</v>
      </c>
      <c r="X1744" s="93"/>
      <c r="Y1744" s="93"/>
      <c r="Z1744" s="432">
        <v>6.3</v>
      </c>
      <c r="AA1744" s="432">
        <v>15.17</v>
      </c>
      <c r="AB1744" s="432">
        <v>15.17</v>
      </c>
      <c r="AC1744" s="432">
        <v>15.17</v>
      </c>
      <c r="AD1744" s="432">
        <v>15.17</v>
      </c>
      <c r="AE1744" s="432">
        <v>15.17</v>
      </c>
      <c r="AF1744" s="432">
        <v>15.17</v>
      </c>
    </row>
    <row r="1745" spans="1:32">
      <c r="A1745" s="699"/>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c r="AF1745" s="79"/>
    </row>
    <row r="1746" spans="1:32">
      <c r="A1746" s="699"/>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c r="AF1746" s="79"/>
    </row>
    <row r="1747" spans="1:32">
      <c r="A1747" s="699"/>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c r="AF1747" s="79"/>
    </row>
    <row r="1748" spans="1:32">
      <c r="A1748" s="699"/>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c r="AF1748" s="79"/>
    </row>
    <row r="1749" spans="1:32">
      <c r="A1749" s="699"/>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c r="AF1749" s="79"/>
    </row>
    <row r="1750" spans="1:32">
      <c r="A1750" s="699"/>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c r="AF1750" s="79"/>
    </row>
    <row r="1751" spans="1:32">
      <c r="A1751" s="699"/>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c r="AF1751" s="79"/>
    </row>
    <row r="1752" spans="1:32">
      <c r="A1752" s="699"/>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c r="AF1752" s="79"/>
    </row>
    <row r="1753" spans="1:32">
      <c r="A1753" s="699"/>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c r="AF1753" s="79"/>
    </row>
    <row r="1754" spans="1:32">
      <c r="A1754" s="699"/>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c r="AF1754" s="79"/>
    </row>
    <row r="1755" spans="1:32">
      <c r="A1755" s="699"/>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c r="AF1755" s="79"/>
    </row>
    <row r="1756" spans="1:32">
      <c r="A1756" s="699"/>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c r="AF1756" s="79"/>
    </row>
    <row r="1757" spans="1:32">
      <c r="A1757" s="699"/>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c r="AF1757" s="79"/>
    </row>
    <row r="1758" spans="1:32">
      <c r="A1758" s="699"/>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c r="AF1758" s="79"/>
    </row>
    <row r="1759" spans="1:32">
      <c r="A1759" s="699"/>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c r="AF1759" s="79"/>
    </row>
    <row r="1760" spans="1:32">
      <c r="A1760" s="700"/>
      <c r="B1760" s="73"/>
      <c r="C1760" s="73"/>
      <c r="D1760" s="73"/>
      <c r="E1760" s="73"/>
      <c r="F1760" s="73"/>
      <c r="G1760" s="73"/>
      <c r="H1760" s="73"/>
      <c r="I1760" s="73"/>
      <c r="J1760" s="73"/>
      <c r="K1760" s="73"/>
      <c r="L1760" s="73"/>
      <c r="M1760" s="73"/>
      <c r="N1760" s="73"/>
      <c r="O1760" s="73"/>
      <c r="P1760" s="73"/>
      <c r="Q1760" s="73"/>
      <c r="R1760" s="73"/>
      <c r="S1760" s="73"/>
      <c r="T1760" s="73"/>
      <c r="U1760" s="73"/>
      <c r="V1760" s="73"/>
      <c r="W1760" s="73"/>
      <c r="X1760" s="73"/>
      <c r="Y1760" s="73"/>
      <c r="Z1760" s="73"/>
      <c r="AA1760" s="73"/>
      <c r="AB1760" s="73"/>
      <c r="AC1760" s="73"/>
      <c r="AD1760" s="73"/>
      <c r="AE1760" s="73"/>
      <c r="AF1760" s="701"/>
    </row>
    <row r="1761" spans="1:34">
      <c r="A1761" s="753"/>
      <c r="B1761" s="711"/>
      <c r="C1761" s="711"/>
      <c r="D1761" s="711"/>
      <c r="E1761" s="711"/>
      <c r="F1761" s="711"/>
      <c r="G1761" s="711"/>
      <c r="H1761" s="711"/>
      <c r="I1761" s="711"/>
      <c r="J1761" s="711"/>
      <c r="K1761" s="711"/>
      <c r="L1761" s="711"/>
      <c r="M1761" s="711"/>
      <c r="N1761" s="711"/>
      <c r="O1761" s="711"/>
      <c r="P1761" s="711"/>
      <c r="Q1761" s="711"/>
      <c r="R1761" s="711"/>
      <c r="S1761" s="711"/>
      <c r="T1761" s="711"/>
      <c r="U1761" s="711"/>
      <c r="V1761" s="711"/>
      <c r="W1761" s="711"/>
      <c r="X1761" s="711"/>
      <c r="Y1761" s="711"/>
      <c r="Z1761" s="711"/>
      <c r="AA1761" s="711"/>
      <c r="AB1761" s="711"/>
      <c r="AC1761" s="711"/>
      <c r="AD1761" s="711"/>
      <c r="AE1761" s="711"/>
      <c r="AF1761" s="530"/>
      <c r="AG1761">
        <v>56</v>
      </c>
    </row>
    <row r="1762" spans="1:34">
      <c r="A1762" s="699"/>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c r="AF1762" s="79"/>
    </row>
    <row r="1763" spans="1:34">
      <c r="A1763" s="699"/>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c r="AF1763" s="79"/>
    </row>
    <row r="1764" spans="1:34">
      <c r="A1764" s="699"/>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c r="AF1764" s="79"/>
    </row>
    <row r="1765" spans="1:34">
      <c r="A1765" s="699"/>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c r="AF1765" s="79"/>
    </row>
    <row r="1766" spans="1:34">
      <c r="A1766" s="699"/>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c r="AF1766" s="79"/>
    </row>
    <row r="1767" spans="1:34">
      <c r="A1767" s="699"/>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c r="AF1767" s="79"/>
    </row>
    <row r="1768" spans="1:34">
      <c r="A1768" s="699"/>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c r="AF1768" s="79"/>
    </row>
    <row r="1769" spans="1:34">
      <c r="A1769" s="699"/>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c r="AF1769" s="79"/>
    </row>
    <row r="1770" spans="1:34">
      <c r="A1770" s="699"/>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c r="AF1770" s="79"/>
    </row>
    <row r="1771" spans="1:34">
      <c r="A1771" s="699"/>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c r="AF1771" s="79"/>
    </row>
    <row r="1772" spans="1:34">
      <c r="A1772" s="699"/>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c r="AF1772" s="79"/>
    </row>
    <row r="1773" spans="1:34">
      <c r="A1773" s="699"/>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c r="AF1773" s="79"/>
    </row>
    <row r="1774" spans="1:34">
      <c r="A1774" s="294">
        <v>32.01</v>
      </c>
      <c r="B1774" s="93"/>
      <c r="C1774" s="93"/>
      <c r="D1774" s="93"/>
      <c r="E1774" s="93"/>
      <c r="F1774" s="93"/>
      <c r="G1774" s="93"/>
      <c r="H1774" s="93"/>
      <c r="I1774" s="93"/>
      <c r="J1774" s="93"/>
      <c r="K1774" s="93"/>
      <c r="L1774" s="93"/>
      <c r="M1774" s="93"/>
      <c r="N1774" s="93"/>
      <c r="O1774" s="93"/>
      <c r="P1774" s="294">
        <v>32.01</v>
      </c>
      <c r="Q1774" s="294">
        <v>32.01</v>
      </c>
      <c r="R1774" s="93"/>
      <c r="S1774" s="93"/>
      <c r="T1774" s="93"/>
      <c r="U1774" s="93"/>
      <c r="V1774" s="93"/>
      <c r="W1774" s="93"/>
      <c r="X1774" s="93"/>
      <c r="Y1774" s="93"/>
      <c r="Z1774" s="93"/>
      <c r="AA1774" s="93"/>
      <c r="AB1774" s="93"/>
      <c r="AC1774" s="93"/>
      <c r="AD1774" s="93"/>
      <c r="AE1774" s="93"/>
      <c r="AF1774" s="294">
        <v>32.01</v>
      </c>
    </row>
    <row r="1775" spans="1:34">
      <c r="AH1775">
        <v>1774</v>
      </c>
    </row>
    <row r="1776" spans="1:34">
      <c r="AH1776">
        <v>1774</v>
      </c>
    </row>
    <row r="1777" spans="1:34">
      <c r="AH1777">
        <v>1774</v>
      </c>
    </row>
    <row r="1778" spans="1:34">
      <c r="AH1778">
        <v>1774</v>
      </c>
    </row>
    <row r="1779" spans="1:34">
      <c r="AH1779">
        <v>1774</v>
      </c>
    </row>
    <row r="1780" spans="1:34">
      <c r="AH1780">
        <v>1774</v>
      </c>
    </row>
    <row r="1781" spans="1:34">
      <c r="AH1781">
        <v>1774</v>
      </c>
    </row>
    <row r="1782" spans="1:34">
      <c r="AH1782">
        <v>1774</v>
      </c>
    </row>
    <row r="1783" spans="1:34">
      <c r="AH1783">
        <v>1774</v>
      </c>
    </row>
    <row r="1784" spans="1:34">
      <c r="AH1784">
        <v>1774</v>
      </c>
    </row>
    <row r="1785" spans="1:34">
      <c r="A1785" s="294">
        <v>32.01</v>
      </c>
      <c r="B1785" s="93"/>
      <c r="C1785" s="93"/>
      <c r="D1785" s="93"/>
      <c r="E1785" s="91">
        <v>3.01</v>
      </c>
      <c r="F1785" s="91">
        <v>3.01</v>
      </c>
      <c r="G1785" s="91">
        <v>3.01</v>
      </c>
      <c r="H1785" s="91">
        <v>3.01</v>
      </c>
      <c r="I1785" s="91">
        <v>3.01</v>
      </c>
      <c r="J1785" s="91">
        <v>3.01</v>
      </c>
      <c r="K1785" s="91">
        <v>3.01</v>
      </c>
      <c r="L1785" s="93"/>
      <c r="M1785" s="93"/>
      <c r="N1785" s="93"/>
      <c r="O1785" s="93"/>
      <c r="P1785" s="294">
        <v>32.01</v>
      </c>
      <c r="Q1785" s="294">
        <v>32.01</v>
      </c>
      <c r="R1785" s="93"/>
      <c r="S1785" s="93"/>
      <c r="T1785" s="93"/>
      <c r="U1785" s="93"/>
      <c r="V1785" s="91">
        <v>3.01</v>
      </c>
      <c r="W1785" s="91">
        <v>3.01</v>
      </c>
      <c r="X1785" s="91">
        <v>3.01</v>
      </c>
      <c r="Y1785" s="91">
        <v>3.01</v>
      </c>
      <c r="Z1785" s="91">
        <v>3.01</v>
      </c>
      <c r="AA1785" s="91">
        <v>3.01</v>
      </c>
      <c r="AB1785" s="91">
        <v>3.01</v>
      </c>
      <c r="AC1785" s="93"/>
      <c r="AD1785" s="93"/>
      <c r="AE1785" s="93"/>
      <c r="AF1785" s="294">
        <v>32.01</v>
      </c>
    </row>
    <row r="1786" spans="1:34">
      <c r="A1786" s="294">
        <v>32.01</v>
      </c>
      <c r="B1786" s="93"/>
      <c r="C1786" s="93"/>
      <c r="D1786" s="91">
        <v>3.01</v>
      </c>
      <c r="E1786" s="91">
        <v>3.01</v>
      </c>
      <c r="F1786" s="91">
        <v>3.01</v>
      </c>
      <c r="G1786" s="91">
        <v>3.01</v>
      </c>
      <c r="H1786" s="91">
        <v>3.01</v>
      </c>
      <c r="I1786" s="91">
        <v>3.01</v>
      </c>
      <c r="J1786" s="91">
        <v>3.01</v>
      </c>
      <c r="K1786" s="91">
        <v>3.01</v>
      </c>
      <c r="L1786" s="91">
        <v>3.01</v>
      </c>
      <c r="M1786" s="93"/>
      <c r="N1786" s="93"/>
      <c r="O1786" s="93"/>
      <c r="P1786" s="294">
        <v>32.01</v>
      </c>
      <c r="Q1786" s="294">
        <v>32.01</v>
      </c>
      <c r="R1786" s="93"/>
      <c r="S1786" s="93"/>
      <c r="T1786" s="93"/>
      <c r="U1786" s="91">
        <v>3.01</v>
      </c>
      <c r="V1786" s="91">
        <v>3.01</v>
      </c>
      <c r="W1786" s="91">
        <v>3.01</v>
      </c>
      <c r="X1786" s="91">
        <v>3.01</v>
      </c>
      <c r="Y1786" s="91">
        <v>3.01</v>
      </c>
      <c r="Z1786" s="91">
        <v>3.01</v>
      </c>
      <c r="AA1786" s="91">
        <v>3.01</v>
      </c>
      <c r="AB1786" s="91">
        <v>3.01</v>
      </c>
      <c r="AC1786" s="91">
        <v>3.01</v>
      </c>
      <c r="AD1786" s="93"/>
      <c r="AE1786" s="93"/>
      <c r="AF1786" s="294">
        <v>32.01</v>
      </c>
    </row>
    <row r="1787" spans="1:34">
      <c r="A1787" s="294">
        <v>32.01</v>
      </c>
      <c r="B1787" s="93"/>
      <c r="C1787" s="47">
        <v>3.01</v>
      </c>
      <c r="D1787" s="91">
        <v>3.01</v>
      </c>
      <c r="E1787" s="47">
        <v>2.0099999999999998</v>
      </c>
      <c r="F1787" s="47">
        <v>2.0099999999999998</v>
      </c>
      <c r="G1787" s="47">
        <v>2.0099999999999998</v>
      </c>
      <c r="H1787" s="47">
        <v>2.0099999999999998</v>
      </c>
      <c r="I1787" s="47">
        <v>2.0099999999999998</v>
      </c>
      <c r="J1787" s="47">
        <v>2.0099999999999998</v>
      </c>
      <c r="K1787" s="47">
        <v>2.0099999999999998</v>
      </c>
      <c r="L1787" s="91">
        <v>3.01</v>
      </c>
      <c r="M1787" s="91">
        <v>3.01</v>
      </c>
      <c r="N1787" s="93"/>
      <c r="O1787" s="93"/>
      <c r="P1787" s="294">
        <v>32.01</v>
      </c>
      <c r="Q1787" s="294">
        <v>32.01</v>
      </c>
      <c r="R1787" s="93"/>
      <c r="S1787" s="93"/>
      <c r="T1787" s="47">
        <v>3.01</v>
      </c>
      <c r="U1787" s="91">
        <v>3.01</v>
      </c>
      <c r="V1787" s="47">
        <v>2.0099999999999998</v>
      </c>
      <c r="W1787" s="47">
        <v>2.0099999999999998</v>
      </c>
      <c r="X1787" s="47">
        <v>2.0099999999999998</v>
      </c>
      <c r="Y1787" s="47">
        <v>2.0099999999999998</v>
      </c>
      <c r="Z1787" s="47">
        <v>2.0099999999999998</v>
      </c>
      <c r="AA1787" s="47">
        <v>2.0099999999999998</v>
      </c>
      <c r="AB1787" s="47">
        <v>2.0099999999999998</v>
      </c>
      <c r="AC1787" s="91">
        <v>3.01</v>
      </c>
      <c r="AD1787" s="91">
        <v>3.01</v>
      </c>
      <c r="AE1787" s="93"/>
      <c r="AF1787" s="294">
        <v>32.01</v>
      </c>
    </row>
    <row r="1788" spans="1:34">
      <c r="A1788" s="294">
        <v>32.01</v>
      </c>
      <c r="B1788" s="93"/>
      <c r="C1788" s="47">
        <v>3.01</v>
      </c>
      <c r="D1788" s="91">
        <v>3.01</v>
      </c>
      <c r="E1788" s="91">
        <v>2.0099999999999998</v>
      </c>
      <c r="F1788" s="91">
        <v>2.0099999999999998</v>
      </c>
      <c r="G1788" s="46">
        <v>1.01</v>
      </c>
      <c r="H1788" s="4">
        <v>1.01</v>
      </c>
      <c r="I1788" s="46">
        <v>1.01</v>
      </c>
      <c r="J1788" s="91">
        <v>2.0099999999999998</v>
      </c>
      <c r="K1788" s="47">
        <v>2.0099999999999998</v>
      </c>
      <c r="L1788" s="47">
        <v>3.01</v>
      </c>
      <c r="M1788" s="91">
        <v>3.01</v>
      </c>
      <c r="N1788" s="93"/>
      <c r="O1788" s="93"/>
      <c r="P1788" s="294">
        <v>32.01</v>
      </c>
      <c r="Q1788" s="294">
        <v>32.01</v>
      </c>
      <c r="R1788" s="93"/>
      <c r="S1788" s="93"/>
      <c r="T1788" s="47">
        <v>3.01</v>
      </c>
      <c r="U1788" s="91">
        <v>3.01</v>
      </c>
      <c r="V1788" s="91">
        <v>2.0099999999999998</v>
      </c>
      <c r="W1788" s="91">
        <v>2.0099999999999998</v>
      </c>
      <c r="X1788" s="46">
        <v>1.01</v>
      </c>
      <c r="Y1788" s="4">
        <v>1.01</v>
      </c>
      <c r="Z1788" s="46">
        <v>1.01</v>
      </c>
      <c r="AA1788" s="91">
        <v>2.0099999999999998</v>
      </c>
      <c r="AB1788" s="47">
        <v>2.0099999999999998</v>
      </c>
      <c r="AC1788" s="47">
        <v>3.01</v>
      </c>
      <c r="AD1788" s="91">
        <v>3.01</v>
      </c>
      <c r="AE1788" s="93"/>
      <c r="AF1788" s="294">
        <v>32.01</v>
      </c>
    </row>
    <row r="1789" spans="1:34">
      <c r="A1789" s="294">
        <v>32.01</v>
      </c>
      <c r="B1789" s="93"/>
      <c r="C1789" s="47">
        <v>3.01</v>
      </c>
      <c r="D1789" s="91">
        <v>3.01</v>
      </c>
      <c r="E1789" s="91">
        <v>2.0099999999999998</v>
      </c>
      <c r="F1789" s="91">
        <v>2.0099999999999998</v>
      </c>
      <c r="G1789" s="4">
        <v>1.01</v>
      </c>
      <c r="H1789" s="4">
        <v>1.01</v>
      </c>
      <c r="I1789" s="4">
        <v>1.01</v>
      </c>
      <c r="J1789" s="91">
        <v>2.0099999999999998</v>
      </c>
      <c r="K1789" s="47">
        <v>2.0099999999999998</v>
      </c>
      <c r="L1789" s="47">
        <v>3.01</v>
      </c>
      <c r="M1789" s="91">
        <v>3.01</v>
      </c>
      <c r="N1789" s="93"/>
      <c r="O1789" s="93"/>
      <c r="P1789" s="294">
        <v>32.01</v>
      </c>
      <c r="Q1789" s="294">
        <v>32.01</v>
      </c>
      <c r="R1789" s="93"/>
      <c r="S1789" s="93"/>
      <c r="T1789" s="47">
        <v>3.01</v>
      </c>
      <c r="U1789" s="91">
        <v>3.01</v>
      </c>
      <c r="V1789" s="91">
        <v>2.0099999999999998</v>
      </c>
      <c r="W1789" s="91">
        <v>2.0099999999999998</v>
      </c>
      <c r="X1789" s="4">
        <v>1.01</v>
      </c>
      <c r="Y1789" s="4">
        <v>1.01</v>
      </c>
      <c r="Z1789" s="4">
        <v>1.01</v>
      </c>
      <c r="AA1789" s="91">
        <v>2.0099999999999998</v>
      </c>
      <c r="AB1789" s="47">
        <v>2.0099999999999998</v>
      </c>
      <c r="AC1789" s="47">
        <v>3.01</v>
      </c>
      <c r="AD1789" s="91">
        <v>3.01</v>
      </c>
      <c r="AE1789" s="93"/>
      <c r="AF1789" s="294">
        <v>32.01</v>
      </c>
    </row>
    <row r="1790" spans="1:34">
      <c r="A1790" s="294">
        <v>32.01</v>
      </c>
      <c r="B1790" s="93"/>
      <c r="C1790" s="47">
        <v>8.01</v>
      </c>
      <c r="D1790" s="91">
        <v>8.01</v>
      </c>
      <c r="E1790" s="91">
        <v>2.0099999999999998</v>
      </c>
      <c r="F1790" s="91">
        <v>2.0099999999999998</v>
      </c>
      <c r="G1790" s="46">
        <v>1.01</v>
      </c>
      <c r="H1790" s="4">
        <v>1.01</v>
      </c>
      <c r="I1790" s="46">
        <v>1.01</v>
      </c>
      <c r="J1790" s="91">
        <v>2.0099999999999998</v>
      </c>
      <c r="K1790" s="47">
        <v>2.0099999999999998</v>
      </c>
      <c r="L1790" s="47">
        <v>8.01</v>
      </c>
      <c r="M1790" s="91">
        <v>8.01</v>
      </c>
      <c r="N1790" s="93"/>
      <c r="O1790" s="93"/>
      <c r="P1790" s="294">
        <v>32.01</v>
      </c>
      <c r="Q1790" s="294">
        <v>32.01</v>
      </c>
      <c r="R1790" s="93"/>
      <c r="S1790" s="93"/>
      <c r="T1790" s="47">
        <v>8.01</v>
      </c>
      <c r="U1790" s="91">
        <v>8.01</v>
      </c>
      <c r="V1790" s="91">
        <v>2.0099999999999998</v>
      </c>
      <c r="W1790" s="91">
        <v>2.0099999999999998</v>
      </c>
      <c r="X1790" s="46">
        <v>1.01</v>
      </c>
      <c r="Y1790" s="4">
        <v>1.01</v>
      </c>
      <c r="Z1790" s="46">
        <v>1.01</v>
      </c>
      <c r="AA1790" s="91">
        <v>2.0099999999999998</v>
      </c>
      <c r="AB1790" s="47">
        <v>2.0099999999999998</v>
      </c>
      <c r="AC1790" s="47">
        <v>8.01</v>
      </c>
      <c r="AD1790" s="91">
        <v>8.01</v>
      </c>
      <c r="AE1790" s="93"/>
      <c r="AF1790" s="294">
        <v>32.01</v>
      </c>
    </row>
    <row r="1791" spans="1:34">
      <c r="A1791" s="294">
        <v>32.01</v>
      </c>
      <c r="B1791" s="93"/>
      <c r="C1791" s="47">
        <v>12.01</v>
      </c>
      <c r="D1791" s="91">
        <v>13.01</v>
      </c>
      <c r="E1791" s="91">
        <v>14.01</v>
      </c>
      <c r="F1791" s="91">
        <v>15.01</v>
      </c>
      <c r="G1791" s="91">
        <v>15.01</v>
      </c>
      <c r="H1791" s="91">
        <v>15.01</v>
      </c>
      <c r="I1791" s="91">
        <v>15.01</v>
      </c>
      <c r="J1791" s="91">
        <v>15.01</v>
      </c>
      <c r="K1791" s="91">
        <v>14.01</v>
      </c>
      <c r="L1791" s="91">
        <v>13.01</v>
      </c>
      <c r="M1791" s="91">
        <v>12.01</v>
      </c>
      <c r="N1791" s="93"/>
      <c r="O1791" s="93"/>
      <c r="P1791" s="294">
        <v>32.01</v>
      </c>
      <c r="Q1791" s="294">
        <v>32.01</v>
      </c>
      <c r="R1791" s="93"/>
      <c r="S1791" s="93"/>
      <c r="T1791" s="47">
        <v>12.01</v>
      </c>
      <c r="U1791" s="91">
        <v>13.01</v>
      </c>
      <c r="V1791" s="91">
        <v>14.01</v>
      </c>
      <c r="W1791" s="91">
        <v>15.01</v>
      </c>
      <c r="X1791" s="91">
        <v>15.01</v>
      </c>
      <c r="Y1791" s="91">
        <v>15.01</v>
      </c>
      <c r="Z1791" s="91">
        <v>15.01</v>
      </c>
      <c r="AA1791" s="91">
        <v>15.01</v>
      </c>
      <c r="AB1791" s="91">
        <v>14.01</v>
      </c>
      <c r="AC1791" s="91">
        <v>13.01</v>
      </c>
      <c r="AD1791" s="91">
        <v>12.01</v>
      </c>
      <c r="AE1791" s="93"/>
      <c r="AF1791" s="294">
        <v>32.01</v>
      </c>
    </row>
    <row r="1792" spans="1:34">
      <c r="AH1792">
        <v>1791</v>
      </c>
    </row>
    <row r="1793" spans="1:34">
      <c r="A1793" s="557">
        <v>32.01</v>
      </c>
      <c r="B1793" s="557">
        <v>32.01</v>
      </c>
      <c r="C1793" s="565">
        <v>32.01</v>
      </c>
      <c r="D1793" s="565">
        <v>32.01</v>
      </c>
      <c r="E1793" s="565">
        <v>32.01</v>
      </c>
      <c r="F1793" s="565">
        <v>32.01</v>
      </c>
      <c r="G1793" s="565">
        <v>32.01</v>
      </c>
      <c r="H1793" s="565">
        <v>32.01</v>
      </c>
      <c r="I1793" s="565">
        <v>32.01</v>
      </c>
      <c r="J1793" s="565">
        <v>32.01</v>
      </c>
      <c r="K1793" s="565">
        <v>32.01</v>
      </c>
      <c r="L1793" s="565">
        <v>32.01</v>
      </c>
      <c r="M1793" s="565">
        <v>32.01</v>
      </c>
      <c r="N1793" s="557">
        <v>32.01</v>
      </c>
      <c r="O1793" s="420">
        <v>32.01</v>
      </c>
      <c r="P1793" s="420">
        <v>32.01</v>
      </c>
      <c r="Q1793" s="420">
        <v>32.01</v>
      </c>
      <c r="R1793" s="420">
        <v>32.01</v>
      </c>
      <c r="S1793" s="557">
        <v>32.01</v>
      </c>
      <c r="T1793" s="565">
        <v>32.01</v>
      </c>
      <c r="U1793" s="565">
        <v>32.01</v>
      </c>
      <c r="V1793" s="565">
        <v>32.01</v>
      </c>
      <c r="W1793" s="565">
        <v>32.01</v>
      </c>
      <c r="X1793" s="565">
        <v>32.01</v>
      </c>
      <c r="Y1793" s="565">
        <v>32.01</v>
      </c>
      <c r="Z1793" s="565">
        <v>32.01</v>
      </c>
      <c r="AA1793" s="565">
        <v>32.01</v>
      </c>
      <c r="AB1793" s="565">
        <v>32.01</v>
      </c>
      <c r="AC1793" s="565">
        <v>32.01</v>
      </c>
      <c r="AD1793" s="565">
        <v>32.01</v>
      </c>
      <c r="AE1793" s="557">
        <v>32.01</v>
      </c>
      <c r="AF1793" s="557">
        <v>32.01</v>
      </c>
      <c r="AG1793">
        <v>57</v>
      </c>
    </row>
    <row r="1794" spans="1:34">
      <c r="A1794" s="557">
        <v>32.01</v>
      </c>
      <c r="B1794" s="420">
        <v>32.01</v>
      </c>
      <c r="C1794" s="420">
        <v>32.01</v>
      </c>
      <c r="D1794" s="420">
        <v>32.01</v>
      </c>
      <c r="E1794" s="420">
        <v>32.01</v>
      </c>
      <c r="F1794" s="420">
        <v>32.01</v>
      </c>
      <c r="G1794" s="420">
        <v>32.01</v>
      </c>
      <c r="H1794" s="420">
        <v>32.01</v>
      </c>
      <c r="I1794" s="420">
        <v>32.01</v>
      </c>
      <c r="J1794" s="420">
        <v>32.01</v>
      </c>
      <c r="K1794" s="420">
        <v>32.01</v>
      </c>
      <c r="L1794" s="420">
        <v>32.01</v>
      </c>
      <c r="M1794" s="420">
        <v>32.01</v>
      </c>
      <c r="N1794" s="420">
        <v>32.01</v>
      </c>
      <c r="O1794" s="420">
        <v>32.01</v>
      </c>
      <c r="P1794" s="420">
        <v>32.01</v>
      </c>
      <c r="Q1794" s="420">
        <v>32.01</v>
      </c>
      <c r="R1794" s="420">
        <v>32.01</v>
      </c>
      <c r="S1794" s="420">
        <v>32.01</v>
      </c>
      <c r="T1794" s="420">
        <v>32.01</v>
      </c>
      <c r="U1794" s="420">
        <v>32.01</v>
      </c>
      <c r="V1794" s="420">
        <v>32.01</v>
      </c>
      <c r="W1794" s="420">
        <v>32.01</v>
      </c>
      <c r="X1794" s="420">
        <v>32.01</v>
      </c>
      <c r="Y1794" s="420">
        <v>32.01</v>
      </c>
      <c r="Z1794" s="420">
        <v>32.01</v>
      </c>
      <c r="AA1794" s="420">
        <v>32.01</v>
      </c>
      <c r="AB1794" s="420">
        <v>32.01</v>
      </c>
      <c r="AC1794" s="420">
        <v>32.01</v>
      </c>
      <c r="AD1794" s="420">
        <v>32.01</v>
      </c>
      <c r="AE1794" s="420">
        <v>32.01</v>
      </c>
      <c r="AF1794" s="557">
        <v>32.01</v>
      </c>
    </row>
    <row r="1795" spans="1:34">
      <c r="A1795" s="565">
        <v>32.01</v>
      </c>
      <c r="B1795" s="420">
        <v>32.01</v>
      </c>
      <c r="C1795" s="420">
        <v>32.01</v>
      </c>
      <c r="D1795" s="420">
        <v>32.01</v>
      </c>
      <c r="E1795" s="420">
        <v>32.01</v>
      </c>
      <c r="F1795" s="420">
        <v>32.01</v>
      </c>
      <c r="G1795" s="420">
        <v>32.01</v>
      </c>
      <c r="H1795" s="420">
        <v>32.01</v>
      </c>
      <c r="I1795" s="420">
        <v>32.01</v>
      </c>
      <c r="J1795" s="420">
        <v>32.01</v>
      </c>
      <c r="K1795" s="420">
        <v>32.01</v>
      </c>
      <c r="L1795" s="420">
        <v>32.01</v>
      </c>
      <c r="M1795" s="420">
        <v>32.01</v>
      </c>
      <c r="N1795" s="420">
        <v>32.01</v>
      </c>
      <c r="O1795" s="420">
        <v>32.01</v>
      </c>
      <c r="P1795" s="420">
        <v>32.01</v>
      </c>
      <c r="Q1795" s="420">
        <v>32.01</v>
      </c>
      <c r="R1795" s="420">
        <v>32.01</v>
      </c>
      <c r="S1795" s="420">
        <v>32.01</v>
      </c>
      <c r="T1795" s="420">
        <v>32.01</v>
      </c>
      <c r="U1795" s="420">
        <v>32.01</v>
      </c>
      <c r="V1795" s="420">
        <v>32.01</v>
      </c>
      <c r="W1795" s="420">
        <v>32.01</v>
      </c>
      <c r="X1795" s="420">
        <v>32.01</v>
      </c>
      <c r="Y1795" s="420">
        <v>32.01</v>
      </c>
      <c r="Z1795" s="420">
        <v>32.01</v>
      </c>
      <c r="AA1795" s="420">
        <v>32.01</v>
      </c>
      <c r="AB1795" s="420">
        <v>32.01</v>
      </c>
      <c r="AC1795" s="420">
        <v>32.01</v>
      </c>
      <c r="AD1795" s="420">
        <v>32.01</v>
      </c>
      <c r="AE1795" s="420">
        <v>32.01</v>
      </c>
      <c r="AF1795" s="415">
        <v>32.01</v>
      </c>
    </row>
    <row r="1796" spans="1:34">
      <c r="A1796" s="565">
        <v>32.01</v>
      </c>
      <c r="B1796" s="420">
        <v>32.01</v>
      </c>
      <c r="C1796" s="420">
        <v>32.01</v>
      </c>
      <c r="D1796" s="557">
        <v>32.01</v>
      </c>
      <c r="E1796" s="565">
        <v>32.01</v>
      </c>
      <c r="F1796" s="420">
        <v>32.01</v>
      </c>
      <c r="G1796" s="420">
        <v>32.01</v>
      </c>
      <c r="H1796" s="420">
        <v>32.01</v>
      </c>
      <c r="I1796" s="420">
        <v>32.01</v>
      </c>
      <c r="J1796" s="420">
        <v>32.01</v>
      </c>
      <c r="K1796" s="420">
        <v>32.01</v>
      </c>
      <c r="L1796" s="557">
        <v>32.01</v>
      </c>
      <c r="M1796" s="565">
        <v>32.01</v>
      </c>
      <c r="N1796" s="420">
        <v>32.01</v>
      </c>
      <c r="O1796" s="420">
        <v>32.01</v>
      </c>
      <c r="P1796" s="420">
        <v>32.01</v>
      </c>
      <c r="Q1796" s="420">
        <v>32.01</v>
      </c>
      <c r="R1796" s="420">
        <v>32.01</v>
      </c>
      <c r="S1796" s="420">
        <v>32.01</v>
      </c>
      <c r="T1796" s="557">
        <v>32.01</v>
      </c>
      <c r="U1796" s="565">
        <v>32.01</v>
      </c>
      <c r="V1796" s="420">
        <v>32.01</v>
      </c>
      <c r="W1796" s="420">
        <v>32.01</v>
      </c>
      <c r="X1796" s="420">
        <v>32.01</v>
      </c>
      <c r="Y1796" s="420">
        <v>32.01</v>
      </c>
      <c r="Z1796" s="420">
        <v>32.01</v>
      </c>
      <c r="AA1796" s="420">
        <v>32.01</v>
      </c>
      <c r="AB1796" s="557">
        <v>32.01</v>
      </c>
      <c r="AC1796" s="565">
        <v>32.01</v>
      </c>
      <c r="AD1796" s="420">
        <v>32.01</v>
      </c>
      <c r="AE1796" s="420">
        <v>32.01</v>
      </c>
      <c r="AF1796" s="415">
        <v>32.01</v>
      </c>
    </row>
    <row r="1797" spans="1:34">
      <c r="A1797" s="565">
        <v>32.01</v>
      </c>
      <c r="B1797" s="420">
        <v>32.01</v>
      </c>
      <c r="C1797" s="420">
        <v>32.01</v>
      </c>
      <c r="D1797" s="555">
        <v>32.01</v>
      </c>
      <c r="E1797" s="415">
        <v>32.01</v>
      </c>
      <c r="F1797" s="420">
        <v>32.01</v>
      </c>
      <c r="G1797" s="420">
        <v>32.01</v>
      </c>
      <c r="H1797" s="420">
        <v>32.01</v>
      </c>
      <c r="I1797" s="420">
        <v>32.01</v>
      </c>
      <c r="J1797" s="420">
        <v>32.01</v>
      </c>
      <c r="K1797" s="420">
        <v>32.01</v>
      </c>
      <c r="L1797" s="565">
        <v>32.01</v>
      </c>
      <c r="M1797" s="415">
        <v>32.01</v>
      </c>
      <c r="N1797" s="420">
        <v>32.01</v>
      </c>
      <c r="O1797" s="420">
        <v>32.01</v>
      </c>
      <c r="P1797" s="420">
        <v>32.01</v>
      </c>
      <c r="Q1797" s="420">
        <v>32.01</v>
      </c>
      <c r="R1797" s="420">
        <v>32.01</v>
      </c>
      <c r="S1797" s="420">
        <v>32.01</v>
      </c>
      <c r="T1797" s="565">
        <v>32.01</v>
      </c>
      <c r="U1797" s="415">
        <v>32.01</v>
      </c>
      <c r="V1797" s="420">
        <v>32.01</v>
      </c>
      <c r="W1797" s="420">
        <v>32.01</v>
      </c>
      <c r="X1797" s="420">
        <v>32.01</v>
      </c>
      <c r="Y1797" s="420">
        <v>32.01</v>
      </c>
      <c r="Z1797" s="420">
        <v>32.01</v>
      </c>
      <c r="AA1797" s="420">
        <v>32.01</v>
      </c>
      <c r="AB1797" s="555">
        <v>32.01</v>
      </c>
      <c r="AC1797" s="415">
        <v>32.01</v>
      </c>
      <c r="AD1797" s="420">
        <v>32.01</v>
      </c>
      <c r="AE1797" s="420">
        <v>32.01</v>
      </c>
      <c r="AF1797" s="415">
        <v>32.01</v>
      </c>
    </row>
    <row r="1798" spans="1:34">
      <c r="A1798" s="565">
        <v>32.01</v>
      </c>
      <c r="B1798" s="420">
        <v>32.01</v>
      </c>
      <c r="C1798" s="420">
        <v>32.01</v>
      </c>
      <c r="D1798" s="420">
        <v>32.01</v>
      </c>
      <c r="E1798" s="420">
        <v>10.01</v>
      </c>
      <c r="F1798" s="420">
        <v>10.01</v>
      </c>
      <c r="G1798" s="420">
        <v>10.01</v>
      </c>
      <c r="H1798" s="420">
        <v>10.01</v>
      </c>
      <c r="I1798" s="420">
        <v>10.01</v>
      </c>
      <c r="J1798" s="420">
        <v>10.01</v>
      </c>
      <c r="K1798" s="420">
        <v>10.01</v>
      </c>
      <c r="L1798" s="420">
        <v>10.01</v>
      </c>
      <c r="M1798" s="420">
        <v>10.01</v>
      </c>
      <c r="N1798" s="420">
        <v>10.01</v>
      </c>
      <c r="O1798" s="420">
        <v>10.01</v>
      </c>
      <c r="P1798" s="420">
        <v>10.01</v>
      </c>
      <c r="Q1798" s="420">
        <v>10.01</v>
      </c>
      <c r="R1798" s="420">
        <v>10.01</v>
      </c>
      <c r="S1798" s="420">
        <v>10.01</v>
      </c>
      <c r="T1798" s="420">
        <v>10.01</v>
      </c>
      <c r="U1798" s="420">
        <v>10.01</v>
      </c>
      <c r="V1798" s="420">
        <v>10.01</v>
      </c>
      <c r="W1798" s="420">
        <v>10.01</v>
      </c>
      <c r="X1798" s="420">
        <v>10.01</v>
      </c>
      <c r="Y1798" s="420">
        <v>10.01</v>
      </c>
      <c r="Z1798" s="420">
        <v>10.01</v>
      </c>
      <c r="AA1798" s="420">
        <v>10.01</v>
      </c>
      <c r="AB1798" s="420">
        <v>10.01</v>
      </c>
      <c r="AC1798" s="420">
        <v>32.01</v>
      </c>
      <c r="AD1798" s="420">
        <v>32.01</v>
      </c>
      <c r="AE1798" s="420">
        <v>32.01</v>
      </c>
      <c r="AF1798" s="415">
        <v>32.01</v>
      </c>
    </row>
    <row r="1799" spans="1:34">
      <c r="A1799" s="565">
        <v>32.01</v>
      </c>
      <c r="B1799" s="420">
        <v>32.01</v>
      </c>
      <c r="C1799" s="420">
        <v>32.01</v>
      </c>
      <c r="D1799" s="420">
        <v>32.01</v>
      </c>
      <c r="E1799" s="420">
        <v>10.01</v>
      </c>
      <c r="F1799" s="420">
        <v>10.01</v>
      </c>
      <c r="G1799" s="415">
        <v>10.01</v>
      </c>
      <c r="H1799" s="415">
        <v>10.01</v>
      </c>
      <c r="I1799" s="415">
        <v>10.01</v>
      </c>
      <c r="J1799" s="415">
        <v>10.01</v>
      </c>
      <c r="K1799" s="415">
        <v>10.01</v>
      </c>
      <c r="L1799" s="415">
        <v>10.01</v>
      </c>
      <c r="M1799" s="415">
        <v>10.01</v>
      </c>
      <c r="N1799" s="415">
        <v>10.01</v>
      </c>
      <c r="O1799" s="415">
        <v>10.01</v>
      </c>
      <c r="P1799" s="415">
        <v>10.01</v>
      </c>
      <c r="Q1799" s="415">
        <v>10.01</v>
      </c>
      <c r="R1799" s="415">
        <v>10.01</v>
      </c>
      <c r="S1799" s="415">
        <v>10.01</v>
      </c>
      <c r="T1799" s="415">
        <v>10.01</v>
      </c>
      <c r="U1799" s="415">
        <v>10.01</v>
      </c>
      <c r="V1799" s="415">
        <v>10.01</v>
      </c>
      <c r="W1799" s="415">
        <v>10.01</v>
      </c>
      <c r="X1799" s="415">
        <v>10.01</v>
      </c>
      <c r="Y1799" s="415">
        <v>10.01</v>
      </c>
      <c r="Z1799" s="565">
        <v>10.01</v>
      </c>
      <c r="AA1799" s="420">
        <v>10.01</v>
      </c>
      <c r="AB1799" s="420">
        <v>10.01</v>
      </c>
      <c r="AC1799" s="420">
        <v>32.01</v>
      </c>
      <c r="AD1799" s="420">
        <v>32.01</v>
      </c>
      <c r="AE1799" s="420">
        <v>32.01</v>
      </c>
      <c r="AF1799" s="415">
        <v>32.01</v>
      </c>
    </row>
    <row r="1800" spans="1:34">
      <c r="A1800" s="565">
        <v>32.01</v>
      </c>
      <c r="B1800" s="420">
        <v>32.01</v>
      </c>
      <c r="C1800" s="420">
        <v>32.01</v>
      </c>
      <c r="D1800" s="420">
        <v>32.01</v>
      </c>
      <c r="E1800" s="420">
        <v>10.01</v>
      </c>
      <c r="F1800" s="420">
        <v>10.01</v>
      </c>
      <c r="G1800" s="415">
        <v>10.01</v>
      </c>
      <c r="H1800" s="420">
        <v>10.01</v>
      </c>
      <c r="I1800" s="420">
        <v>10.01</v>
      </c>
      <c r="J1800" s="420">
        <v>10.01</v>
      </c>
      <c r="K1800" s="420">
        <v>10.01</v>
      </c>
      <c r="L1800" s="420">
        <v>10.01</v>
      </c>
      <c r="M1800" s="420">
        <v>10.01</v>
      </c>
      <c r="N1800" s="420">
        <v>10.01</v>
      </c>
      <c r="O1800" s="420">
        <v>10.01</v>
      </c>
      <c r="P1800" s="420">
        <v>10.01</v>
      </c>
      <c r="Q1800" s="420">
        <v>10.01</v>
      </c>
      <c r="R1800" s="420">
        <v>10.01</v>
      </c>
      <c r="S1800" s="420">
        <v>10.01</v>
      </c>
      <c r="T1800" s="420">
        <v>10.01</v>
      </c>
      <c r="U1800" s="420">
        <v>10.01</v>
      </c>
      <c r="V1800" s="420">
        <v>10.01</v>
      </c>
      <c r="W1800" s="420">
        <v>10.01</v>
      </c>
      <c r="X1800" s="420">
        <v>10.01</v>
      </c>
      <c r="Y1800" s="420">
        <v>10.01</v>
      </c>
      <c r="Z1800" s="565">
        <v>10.01</v>
      </c>
      <c r="AA1800" s="420">
        <v>10.01</v>
      </c>
      <c r="AB1800" s="420">
        <v>10.01</v>
      </c>
      <c r="AC1800" s="420">
        <v>32.01</v>
      </c>
      <c r="AD1800" s="420">
        <v>32.01</v>
      </c>
      <c r="AE1800" s="420">
        <v>32.01</v>
      </c>
      <c r="AF1800" s="415">
        <v>32.01</v>
      </c>
    </row>
    <row r="1801" spans="1:34">
      <c r="AH1801">
        <v>1800</v>
      </c>
    </row>
    <row r="1802" spans="1:34">
      <c r="AH1802">
        <v>1800</v>
      </c>
    </row>
    <row r="1803" spans="1:34">
      <c r="AH1803">
        <v>1800</v>
      </c>
    </row>
    <row r="1804" spans="1:34">
      <c r="A1804" s="565">
        <v>32.01</v>
      </c>
      <c r="B1804" s="420">
        <v>32.01</v>
      </c>
      <c r="C1804" s="420">
        <v>32.01</v>
      </c>
      <c r="D1804" s="557">
        <v>32.01</v>
      </c>
      <c r="E1804" s="565">
        <v>10.01</v>
      </c>
      <c r="F1804" s="420">
        <v>10.01</v>
      </c>
      <c r="G1804" s="415">
        <v>10.01</v>
      </c>
      <c r="H1804" s="420">
        <v>10.01</v>
      </c>
      <c r="I1804" s="420">
        <v>10.01</v>
      </c>
      <c r="J1804" s="420">
        <v>10.01</v>
      </c>
      <c r="K1804" s="420">
        <v>10.01</v>
      </c>
      <c r="L1804" s="420">
        <v>7.01</v>
      </c>
      <c r="M1804" s="420">
        <v>7.01</v>
      </c>
      <c r="N1804" s="420">
        <v>7.01</v>
      </c>
      <c r="O1804" s="420">
        <v>7.01</v>
      </c>
      <c r="P1804" s="420">
        <v>7.01</v>
      </c>
      <c r="Q1804" s="420">
        <v>7.01</v>
      </c>
      <c r="R1804" s="420">
        <v>7.01</v>
      </c>
      <c r="S1804" s="420">
        <v>7.01</v>
      </c>
      <c r="T1804" s="420">
        <v>7.01</v>
      </c>
      <c r="U1804" s="420">
        <v>7.01</v>
      </c>
      <c r="V1804" s="420">
        <v>10.01</v>
      </c>
      <c r="W1804" s="420">
        <v>10.01</v>
      </c>
      <c r="X1804" s="420">
        <v>10.01</v>
      </c>
      <c r="Y1804" s="420">
        <v>10.01</v>
      </c>
      <c r="Z1804" s="565">
        <v>10.01</v>
      </c>
      <c r="AA1804" s="420">
        <v>10.01</v>
      </c>
      <c r="AB1804" s="557">
        <v>10.01</v>
      </c>
      <c r="AC1804" s="565">
        <v>32.01</v>
      </c>
      <c r="AD1804" s="420">
        <v>32.01</v>
      </c>
      <c r="AE1804" s="420">
        <v>32.01</v>
      </c>
      <c r="AF1804" s="415">
        <v>32.01</v>
      </c>
    </row>
    <row r="1805" spans="1:34">
      <c r="A1805" s="565">
        <v>32.01</v>
      </c>
      <c r="B1805" s="420">
        <v>32.01</v>
      </c>
      <c r="C1805" s="420">
        <v>32.01</v>
      </c>
      <c r="D1805" s="555">
        <v>32.01</v>
      </c>
      <c r="E1805" s="415">
        <v>10.01</v>
      </c>
      <c r="F1805" s="420">
        <v>10.01</v>
      </c>
      <c r="G1805" s="415">
        <v>10.01</v>
      </c>
      <c r="H1805" s="420">
        <v>10.01</v>
      </c>
      <c r="I1805" s="420">
        <v>10.01</v>
      </c>
      <c r="J1805" s="420">
        <v>10.01</v>
      </c>
      <c r="K1805" s="420">
        <v>10.01</v>
      </c>
      <c r="L1805" s="420">
        <v>7.01</v>
      </c>
      <c r="M1805" s="420">
        <v>7.01</v>
      </c>
      <c r="N1805" s="420">
        <v>7.01</v>
      </c>
      <c r="O1805" s="420">
        <v>7.01</v>
      </c>
      <c r="P1805" s="420">
        <v>7.01</v>
      </c>
      <c r="Q1805" s="420">
        <v>7.01</v>
      </c>
      <c r="R1805" s="420">
        <v>7.01</v>
      </c>
      <c r="S1805" s="420">
        <v>7.01</v>
      </c>
      <c r="T1805" s="420">
        <v>7.01</v>
      </c>
      <c r="U1805" s="420">
        <v>7.01</v>
      </c>
      <c r="V1805" s="420">
        <v>10.01</v>
      </c>
      <c r="W1805" s="420">
        <v>10.01</v>
      </c>
      <c r="X1805" s="420">
        <v>10.01</v>
      </c>
      <c r="Y1805" s="420">
        <v>10.01</v>
      </c>
      <c r="Z1805" s="565">
        <v>10.01</v>
      </c>
      <c r="AA1805" s="420">
        <v>10.01</v>
      </c>
      <c r="AB1805" s="555">
        <v>10.01</v>
      </c>
      <c r="AC1805" s="415">
        <v>32.01</v>
      </c>
      <c r="AD1805" s="420">
        <v>32.01</v>
      </c>
      <c r="AE1805" s="420">
        <v>32.01</v>
      </c>
      <c r="AF1805" s="415">
        <v>32.01</v>
      </c>
    </row>
    <row r="1806" spans="1:34">
      <c r="A1806" s="557">
        <v>32.01</v>
      </c>
      <c r="B1806" s="420">
        <v>32.01</v>
      </c>
      <c r="C1806" s="420">
        <v>32.01</v>
      </c>
      <c r="D1806" s="420">
        <v>32.01</v>
      </c>
      <c r="E1806" s="420">
        <v>10.01</v>
      </c>
      <c r="F1806" s="420">
        <v>10.01</v>
      </c>
      <c r="G1806" s="415">
        <v>10.01</v>
      </c>
      <c r="H1806" s="420">
        <v>10.01</v>
      </c>
      <c r="I1806" s="420">
        <v>10.01</v>
      </c>
      <c r="J1806" s="420">
        <v>10.01</v>
      </c>
      <c r="K1806" s="420">
        <v>10.01</v>
      </c>
      <c r="L1806" s="420">
        <v>7.01</v>
      </c>
      <c r="M1806" s="420">
        <v>7.01</v>
      </c>
      <c r="N1806" s="420">
        <v>7.01</v>
      </c>
      <c r="O1806" s="420">
        <v>7.01</v>
      </c>
      <c r="P1806" s="420">
        <v>7.01</v>
      </c>
      <c r="Q1806" s="420">
        <v>7.01</v>
      </c>
      <c r="R1806" s="420">
        <v>7.01</v>
      </c>
      <c r="S1806" s="420">
        <v>7.01</v>
      </c>
      <c r="T1806" s="420">
        <v>7.01</v>
      </c>
      <c r="U1806" s="420">
        <v>7.01</v>
      </c>
      <c r="V1806" s="420">
        <v>10.01</v>
      </c>
      <c r="W1806" s="420">
        <v>10.01</v>
      </c>
      <c r="X1806" s="420">
        <v>10.01</v>
      </c>
      <c r="Y1806" s="420">
        <v>10.01</v>
      </c>
      <c r="Z1806" s="565">
        <v>10.01</v>
      </c>
      <c r="AA1806" s="420">
        <v>10.01</v>
      </c>
      <c r="AB1806" s="420">
        <v>10.01</v>
      </c>
      <c r="AC1806" s="420">
        <v>32.01</v>
      </c>
      <c r="AD1806" s="420">
        <v>32.01</v>
      </c>
      <c r="AE1806" s="420">
        <v>32.01</v>
      </c>
      <c r="AF1806" s="557">
        <v>32.01</v>
      </c>
    </row>
    <row r="1807" spans="1:34">
      <c r="A1807" s="420">
        <v>32.01</v>
      </c>
      <c r="B1807" s="420">
        <v>32.01</v>
      </c>
      <c r="C1807" s="420">
        <v>32.01</v>
      </c>
      <c r="D1807" s="420">
        <v>32.01</v>
      </c>
      <c r="E1807" s="420">
        <v>10.01</v>
      </c>
      <c r="F1807" s="420">
        <v>10.01</v>
      </c>
      <c r="G1807" s="415">
        <v>10.01</v>
      </c>
      <c r="H1807" s="420">
        <v>10.01</v>
      </c>
      <c r="I1807" s="420">
        <v>10.01</v>
      </c>
      <c r="J1807" s="420">
        <v>10.01</v>
      </c>
      <c r="K1807" s="420">
        <v>10.01</v>
      </c>
      <c r="L1807" s="420">
        <v>7.01</v>
      </c>
      <c r="M1807" s="420">
        <v>7.01</v>
      </c>
      <c r="N1807" s="420">
        <v>7.01</v>
      </c>
      <c r="O1807" s="420">
        <v>7.01</v>
      </c>
      <c r="P1807" s="420">
        <v>7.01</v>
      </c>
      <c r="Q1807" s="420">
        <v>7.01</v>
      </c>
      <c r="R1807" s="420">
        <v>7.01</v>
      </c>
      <c r="S1807" s="420">
        <v>7.01</v>
      </c>
      <c r="T1807" s="420">
        <v>7.01</v>
      </c>
      <c r="U1807" s="420">
        <v>7.01</v>
      </c>
      <c r="V1807" s="420">
        <v>10.01</v>
      </c>
      <c r="W1807" s="420">
        <v>10.01</v>
      </c>
      <c r="X1807" s="420">
        <v>10.01</v>
      </c>
      <c r="Y1807" s="420">
        <v>10.01</v>
      </c>
      <c r="Z1807" s="565">
        <v>10.01</v>
      </c>
      <c r="AA1807" s="420">
        <v>10.01</v>
      </c>
      <c r="AB1807" s="420">
        <v>10.01</v>
      </c>
      <c r="AC1807" s="420">
        <v>32.01</v>
      </c>
      <c r="AD1807" s="420">
        <v>32.01</v>
      </c>
      <c r="AE1807" s="420">
        <v>32.01</v>
      </c>
      <c r="AF1807" s="565">
        <v>32.01</v>
      </c>
    </row>
    <row r="1808" spans="1:34">
      <c r="AH1808">
        <v>1807</v>
      </c>
    </row>
    <row r="1809" spans="1:34">
      <c r="AH1809">
        <v>1807</v>
      </c>
    </row>
    <row r="1810" spans="1:34">
      <c r="AH1810">
        <v>1807</v>
      </c>
    </row>
    <row r="1811" spans="1:34">
      <c r="AH1811">
        <v>1806</v>
      </c>
    </row>
    <row r="1812" spans="1:34">
      <c r="AH1812">
        <v>1804</v>
      </c>
    </row>
    <row r="1813" spans="1:34">
      <c r="AH1813">
        <v>1805</v>
      </c>
    </row>
    <row r="1814" spans="1:34">
      <c r="AH1814">
        <v>1800</v>
      </c>
    </row>
    <row r="1815" spans="1:34">
      <c r="AH1815">
        <v>1800</v>
      </c>
    </row>
    <row r="1816" spans="1:34">
      <c r="AH1816">
        <v>1800</v>
      </c>
    </row>
    <row r="1817" spans="1:34">
      <c r="AH1817">
        <v>1800</v>
      </c>
    </row>
    <row r="1818" spans="1:34">
      <c r="A1818" s="565">
        <v>32.01</v>
      </c>
      <c r="B1818" s="420">
        <v>32.01</v>
      </c>
      <c r="C1818" s="420">
        <v>32.01</v>
      </c>
      <c r="D1818" s="420">
        <v>32.01</v>
      </c>
      <c r="E1818" s="420">
        <v>10.01</v>
      </c>
      <c r="F1818" s="420">
        <v>10.01</v>
      </c>
      <c r="G1818" s="415">
        <v>10.01</v>
      </c>
      <c r="H1818" s="565">
        <v>10.01</v>
      </c>
      <c r="I1818" s="565">
        <v>10.01</v>
      </c>
      <c r="J1818" s="565">
        <v>10.01</v>
      </c>
      <c r="K1818" s="565">
        <v>10.01</v>
      </c>
      <c r="L1818" s="565">
        <v>10.01</v>
      </c>
      <c r="M1818" s="565">
        <v>10.01</v>
      </c>
      <c r="N1818" s="565">
        <v>10.01</v>
      </c>
      <c r="O1818" s="565">
        <v>10.01</v>
      </c>
      <c r="P1818" s="565">
        <v>10.01</v>
      </c>
      <c r="Q1818" s="565">
        <v>10.01</v>
      </c>
      <c r="R1818" s="565">
        <v>10.01</v>
      </c>
      <c r="S1818" s="565">
        <v>10.01</v>
      </c>
      <c r="T1818" s="565">
        <v>10.01</v>
      </c>
      <c r="U1818" s="565">
        <v>10.01</v>
      </c>
      <c r="V1818" s="565">
        <v>10.01</v>
      </c>
      <c r="W1818" s="565">
        <v>10.01</v>
      </c>
      <c r="X1818" s="565">
        <v>10.01</v>
      </c>
      <c r="Y1818" s="565">
        <v>10.01</v>
      </c>
      <c r="Z1818" s="565">
        <v>10.01</v>
      </c>
      <c r="AA1818" s="420">
        <v>10.01</v>
      </c>
      <c r="AB1818" s="420">
        <v>10.01</v>
      </c>
      <c r="AC1818" s="420">
        <v>32.01</v>
      </c>
      <c r="AD1818" s="420">
        <v>32.01</v>
      </c>
      <c r="AE1818" s="420">
        <v>32.01</v>
      </c>
      <c r="AF1818" s="415">
        <v>32.01</v>
      </c>
    </row>
    <row r="1819" spans="1:34">
      <c r="AH1819">
        <v>1798</v>
      </c>
    </row>
    <row r="1820" spans="1:34">
      <c r="AH1820">
        <v>1796</v>
      </c>
    </row>
    <row r="1821" spans="1:34">
      <c r="AH1821">
        <v>1797</v>
      </c>
    </row>
    <row r="1822" spans="1:34">
      <c r="AH1822">
        <v>1795</v>
      </c>
    </row>
    <row r="1823" spans="1:34">
      <c r="AH1823">
        <v>1794</v>
      </c>
    </row>
    <row r="1824" spans="1:34">
      <c r="A1824" s="557">
        <v>32.01</v>
      </c>
      <c r="B1824" s="557">
        <v>32.01</v>
      </c>
      <c r="C1824" s="415">
        <v>32.01</v>
      </c>
      <c r="D1824" s="415">
        <v>32.01</v>
      </c>
      <c r="E1824" s="415">
        <v>32.01</v>
      </c>
      <c r="F1824" s="415">
        <v>32.01</v>
      </c>
      <c r="G1824" s="415">
        <v>32.01</v>
      </c>
      <c r="H1824" s="415">
        <v>32.01</v>
      </c>
      <c r="I1824" s="415">
        <v>32.01</v>
      </c>
      <c r="J1824" s="415">
        <v>32.01</v>
      </c>
      <c r="K1824" s="415">
        <v>32.01</v>
      </c>
      <c r="L1824" s="415">
        <v>32.01</v>
      </c>
      <c r="M1824" s="415">
        <v>32.01</v>
      </c>
      <c r="N1824" s="557">
        <v>32.01</v>
      </c>
      <c r="O1824" s="565">
        <v>32.01</v>
      </c>
      <c r="P1824" s="565">
        <v>32.01</v>
      </c>
      <c r="Q1824" s="565">
        <v>32.01</v>
      </c>
      <c r="R1824" s="565">
        <v>32.01</v>
      </c>
      <c r="S1824" s="557">
        <v>32.01</v>
      </c>
      <c r="T1824" s="415">
        <v>32.01</v>
      </c>
      <c r="U1824" s="415">
        <v>32.01</v>
      </c>
      <c r="V1824" s="415">
        <v>32.01</v>
      </c>
      <c r="W1824" s="415">
        <v>32.01</v>
      </c>
      <c r="X1824" s="415">
        <v>32.01</v>
      </c>
      <c r="Y1824" s="415">
        <v>32.01</v>
      </c>
      <c r="Z1824" s="415">
        <v>32.01</v>
      </c>
      <c r="AA1824" s="415">
        <v>32.01</v>
      </c>
      <c r="AB1824" s="415">
        <v>32.01</v>
      </c>
      <c r="AC1824" s="415">
        <v>32.01</v>
      </c>
      <c r="AD1824" s="415">
        <v>32.01</v>
      </c>
      <c r="AE1824" s="557">
        <v>32.01</v>
      </c>
      <c r="AF1824" s="557">
        <v>32.01</v>
      </c>
    </row>
    <row r="1825" spans="1:33">
      <c r="A1825" s="411">
        <v>32.01</v>
      </c>
      <c r="B1825" s="452">
        <v>15.17</v>
      </c>
      <c r="C1825" s="452">
        <v>15.17</v>
      </c>
      <c r="D1825" s="452">
        <v>15.17</v>
      </c>
      <c r="E1825" s="452">
        <v>15.17</v>
      </c>
      <c r="F1825" s="452">
        <v>15.17</v>
      </c>
      <c r="G1825" s="452">
        <v>15.17</v>
      </c>
      <c r="H1825" s="452">
        <v>15.17</v>
      </c>
      <c r="I1825" s="452">
        <v>1.1499999999999999</v>
      </c>
      <c r="J1825" s="452">
        <v>1.1499999999999999</v>
      </c>
      <c r="K1825" s="452">
        <v>1.1499999999999999</v>
      </c>
      <c r="L1825" s="452">
        <v>1.1499999999999999</v>
      </c>
      <c r="M1825" s="452">
        <v>1.1499999999999999</v>
      </c>
      <c r="N1825" s="452">
        <v>1.1499999999999999</v>
      </c>
      <c r="O1825" s="452">
        <v>1.1499999999999999</v>
      </c>
      <c r="P1825" s="452">
        <v>1.1499999999999999</v>
      </c>
      <c r="Q1825" s="452">
        <v>1.1499999999999999</v>
      </c>
      <c r="R1825" s="452">
        <v>1.1499999999999999</v>
      </c>
      <c r="S1825" s="452">
        <v>1.1499999999999999</v>
      </c>
      <c r="T1825" s="452">
        <v>1.1499999999999999</v>
      </c>
      <c r="U1825" s="452">
        <v>1.1499999999999999</v>
      </c>
      <c r="V1825" s="452">
        <v>1.1499999999999999</v>
      </c>
      <c r="W1825" s="452">
        <v>1.1499999999999999</v>
      </c>
      <c r="X1825" s="452">
        <v>1.1499999999999999</v>
      </c>
      <c r="Y1825" s="452">
        <v>15.17</v>
      </c>
      <c r="Z1825" s="452">
        <v>15.17</v>
      </c>
      <c r="AA1825" s="452">
        <v>15.17</v>
      </c>
      <c r="AB1825" s="452">
        <v>15.17</v>
      </c>
      <c r="AC1825" s="452">
        <v>15.17</v>
      </c>
      <c r="AD1825" s="452">
        <v>15.17</v>
      </c>
      <c r="AE1825" s="452">
        <v>15.17</v>
      </c>
      <c r="AF1825" s="452">
        <v>15.17</v>
      </c>
      <c r="AG1825">
        <v>58</v>
      </c>
    </row>
    <row r="1826" spans="1:33">
      <c r="A1826" s="411">
        <v>32.01</v>
      </c>
      <c r="B1826" s="411">
        <v>32.01</v>
      </c>
      <c r="C1826" s="411">
        <v>32.01</v>
      </c>
      <c r="D1826" s="411">
        <v>32.01</v>
      </c>
      <c r="E1826" s="411">
        <v>32.01</v>
      </c>
      <c r="F1826" s="411">
        <v>32.01</v>
      </c>
      <c r="G1826" s="411">
        <v>32.01</v>
      </c>
      <c r="H1826" s="411">
        <v>32.01</v>
      </c>
      <c r="I1826" s="411">
        <v>1.1499999999999999</v>
      </c>
      <c r="J1826" s="411">
        <v>1.1499999999999999</v>
      </c>
      <c r="K1826" s="411">
        <v>1.1499999999999999</v>
      </c>
      <c r="L1826" s="411">
        <v>1.1499999999999999</v>
      </c>
      <c r="M1826" s="411">
        <v>1.1499999999999999</v>
      </c>
      <c r="N1826" s="411">
        <v>1.1499999999999999</v>
      </c>
      <c r="O1826" s="411">
        <v>1.1499999999999999</v>
      </c>
      <c r="P1826" s="411">
        <v>1.1499999999999999</v>
      </c>
      <c r="Q1826" s="411">
        <v>1.1499999999999999</v>
      </c>
      <c r="R1826" s="411">
        <v>1.1499999999999999</v>
      </c>
      <c r="S1826" s="411">
        <v>1.1499999999999999</v>
      </c>
      <c r="T1826" s="411">
        <v>1.1499999999999999</v>
      </c>
      <c r="U1826" s="411">
        <v>1.1499999999999999</v>
      </c>
      <c r="V1826" s="411">
        <v>1.1499999999999999</v>
      </c>
      <c r="W1826" s="411">
        <v>1.1499999999999999</v>
      </c>
      <c r="X1826" s="411">
        <v>1.1499999999999999</v>
      </c>
      <c r="Y1826" s="411">
        <v>32.01</v>
      </c>
      <c r="Z1826" s="411">
        <v>32.01</v>
      </c>
      <c r="AA1826" s="411">
        <v>32.01</v>
      </c>
      <c r="AB1826" s="411">
        <v>32.01</v>
      </c>
      <c r="AC1826" s="411">
        <v>32.01</v>
      </c>
      <c r="AD1826" s="411">
        <v>32.01</v>
      </c>
      <c r="AE1826" s="411">
        <v>32.01</v>
      </c>
      <c r="AF1826" s="411">
        <v>32.01</v>
      </c>
    </row>
    <row r="1827" spans="1:33">
      <c r="A1827" s="411">
        <v>15.17</v>
      </c>
      <c r="B1827" s="452">
        <v>32.01</v>
      </c>
      <c r="C1827" s="411">
        <v>32.01</v>
      </c>
      <c r="D1827" s="411">
        <v>32.01</v>
      </c>
      <c r="E1827" s="411">
        <v>32.01</v>
      </c>
      <c r="F1827" s="411">
        <v>32.01</v>
      </c>
      <c r="G1827" s="439">
        <v>32.01</v>
      </c>
      <c r="H1827" s="411">
        <v>2.13</v>
      </c>
      <c r="I1827" s="439">
        <v>1.1499999999999999</v>
      </c>
      <c r="J1827" s="411">
        <v>1.1499999999999999</v>
      </c>
      <c r="K1827" s="411">
        <v>1.1499999999999999</v>
      </c>
      <c r="L1827" s="411">
        <v>1.1499999999999999</v>
      </c>
      <c r="M1827" s="411">
        <v>1.1499999999999999</v>
      </c>
      <c r="N1827" s="411">
        <v>1.1499999999999999</v>
      </c>
      <c r="O1827" s="411">
        <v>1.1499999999999999</v>
      </c>
      <c r="P1827" s="411">
        <v>1.1499999999999999</v>
      </c>
      <c r="Q1827" s="411">
        <v>1.1499999999999999</v>
      </c>
      <c r="R1827" s="411">
        <v>1.1499999999999999</v>
      </c>
      <c r="S1827" s="411">
        <v>1.1499999999999999</v>
      </c>
      <c r="T1827" s="411">
        <v>1.1499999999999999</v>
      </c>
      <c r="U1827" s="411">
        <v>1.1499999999999999</v>
      </c>
      <c r="V1827" s="411">
        <v>1.1499999999999999</v>
      </c>
      <c r="W1827" s="411">
        <v>1.1499999999999999</v>
      </c>
      <c r="X1827" s="439">
        <v>1.1499999999999999</v>
      </c>
      <c r="Y1827" s="411">
        <v>2.13</v>
      </c>
      <c r="Z1827" s="439">
        <v>32.01</v>
      </c>
      <c r="AA1827" s="411">
        <v>32.01</v>
      </c>
      <c r="AB1827" s="411">
        <v>32.01</v>
      </c>
      <c r="AC1827" s="411">
        <v>32.01</v>
      </c>
      <c r="AD1827" s="411">
        <v>32.01</v>
      </c>
      <c r="AE1827" s="452">
        <v>32.01</v>
      </c>
      <c r="AF1827" s="411">
        <v>15.17</v>
      </c>
    </row>
    <row r="1828" spans="1:33">
      <c r="A1828" s="411">
        <v>15.17</v>
      </c>
      <c r="B1828" s="452">
        <v>32.01</v>
      </c>
      <c r="C1828" s="411">
        <v>32.01</v>
      </c>
      <c r="D1828" s="326"/>
      <c r="E1828" s="326"/>
      <c r="F1828" s="326"/>
      <c r="G1828" s="439">
        <v>32.01</v>
      </c>
      <c r="H1828" s="411">
        <v>3.12</v>
      </c>
      <c r="I1828" s="439">
        <v>1.1499999999999999</v>
      </c>
      <c r="J1828" s="439">
        <v>1.1499999999999999</v>
      </c>
      <c r="K1828" s="411">
        <v>1.1499999999999999</v>
      </c>
      <c r="L1828" s="411">
        <v>1.1499999999999999</v>
      </c>
      <c r="M1828" s="411">
        <v>1.1499999999999999</v>
      </c>
      <c r="N1828" s="411">
        <v>1.1499999999999999</v>
      </c>
      <c r="O1828" s="411">
        <v>1.1499999999999999</v>
      </c>
      <c r="P1828" s="411">
        <v>1.1499999999999999</v>
      </c>
      <c r="Q1828" s="411">
        <v>1.1499999999999999</v>
      </c>
      <c r="R1828" s="411">
        <v>1.1499999999999999</v>
      </c>
      <c r="S1828" s="411">
        <v>1.1499999999999999</v>
      </c>
      <c r="T1828" s="411">
        <v>1.1499999999999999</v>
      </c>
      <c r="U1828" s="411">
        <v>1.1499999999999999</v>
      </c>
      <c r="V1828" s="411">
        <v>1.1499999999999999</v>
      </c>
      <c r="W1828" s="439">
        <v>1.1499999999999999</v>
      </c>
      <c r="X1828" s="439">
        <v>1.1499999999999999</v>
      </c>
      <c r="Y1828" s="411">
        <v>3.12</v>
      </c>
      <c r="Z1828" s="439">
        <v>32.01</v>
      </c>
      <c r="AA1828" s="326"/>
      <c r="AB1828" s="326"/>
      <c r="AC1828" s="326"/>
      <c r="AD1828" s="411">
        <v>32.01</v>
      </c>
      <c r="AE1828" s="452">
        <v>32.01</v>
      </c>
      <c r="AF1828" s="411">
        <v>15.17</v>
      </c>
    </row>
    <row r="1829" spans="1:33">
      <c r="A1829" s="411">
        <v>15.17</v>
      </c>
      <c r="B1829" s="452">
        <v>32.01</v>
      </c>
      <c r="C1829" s="411">
        <v>32.01</v>
      </c>
      <c r="D1829" s="326"/>
      <c r="E1829" s="326"/>
      <c r="F1829" s="326"/>
      <c r="G1829" s="439">
        <v>32.01</v>
      </c>
      <c r="H1829" s="411">
        <v>4.1100000000000003</v>
      </c>
      <c r="I1829" s="439">
        <v>1.1499999999999999</v>
      </c>
      <c r="J1829" s="439">
        <v>1.1499999999999999</v>
      </c>
      <c r="K1829" s="439">
        <v>1.1499999999999999</v>
      </c>
      <c r="L1829" s="411">
        <v>1.1499999999999999</v>
      </c>
      <c r="M1829" s="411">
        <v>1.1499999999999999</v>
      </c>
      <c r="N1829" s="411">
        <v>1.1499999999999999</v>
      </c>
      <c r="O1829" s="411">
        <v>1.1499999999999999</v>
      </c>
      <c r="P1829" s="411">
        <v>1.1499999999999999</v>
      </c>
      <c r="Q1829" s="411">
        <v>1.1499999999999999</v>
      </c>
      <c r="R1829" s="411">
        <v>1.1499999999999999</v>
      </c>
      <c r="S1829" s="411">
        <v>1.1499999999999999</v>
      </c>
      <c r="T1829" s="411">
        <v>1.1499999999999999</v>
      </c>
      <c r="U1829" s="411">
        <v>1.1499999999999999</v>
      </c>
      <c r="V1829" s="439">
        <v>1.1499999999999999</v>
      </c>
      <c r="W1829" s="439">
        <v>1.1499999999999999</v>
      </c>
      <c r="X1829" s="439">
        <v>1.1499999999999999</v>
      </c>
      <c r="Y1829" s="411">
        <v>4.1100000000000003</v>
      </c>
      <c r="Z1829" s="439">
        <v>32.01</v>
      </c>
      <c r="AA1829" s="326"/>
      <c r="AB1829" s="326"/>
      <c r="AC1829" s="326"/>
      <c r="AD1829" s="411">
        <v>32.01</v>
      </c>
      <c r="AE1829" s="452">
        <v>32.01</v>
      </c>
      <c r="AF1829" s="411">
        <v>15.17</v>
      </c>
    </row>
    <row r="1830" spans="1:33">
      <c r="A1830" s="411">
        <v>15.17</v>
      </c>
      <c r="B1830" s="452">
        <v>32.01</v>
      </c>
      <c r="C1830" s="411">
        <v>32.01</v>
      </c>
      <c r="D1830" s="326"/>
      <c r="E1830" s="326"/>
      <c r="F1830" s="326"/>
      <c r="G1830" s="439">
        <v>32.01</v>
      </c>
      <c r="H1830" s="411">
        <v>5.0999999999999996</v>
      </c>
      <c r="I1830" s="439">
        <v>1.1499999999999999</v>
      </c>
      <c r="J1830" s="439">
        <v>1.1499999999999999</v>
      </c>
      <c r="K1830" s="439">
        <v>1.1499999999999999</v>
      </c>
      <c r="L1830" s="439">
        <v>1.1499999999999999</v>
      </c>
      <c r="M1830" s="411">
        <v>1.1499999999999999</v>
      </c>
      <c r="N1830" s="411">
        <v>1.1499999999999999</v>
      </c>
      <c r="O1830" s="411">
        <v>1.1499999999999999</v>
      </c>
      <c r="P1830" s="411">
        <v>1.1499999999999999</v>
      </c>
      <c r="Q1830" s="411">
        <v>1.1499999999999999</v>
      </c>
      <c r="R1830" s="411">
        <v>1.1499999999999999</v>
      </c>
      <c r="S1830" s="411">
        <v>1.1499999999999999</v>
      </c>
      <c r="T1830" s="411">
        <v>1.1499999999999999</v>
      </c>
      <c r="U1830" s="439">
        <v>1.1499999999999999</v>
      </c>
      <c r="V1830" s="439">
        <v>1.1499999999999999</v>
      </c>
      <c r="W1830" s="439">
        <v>1.1499999999999999</v>
      </c>
      <c r="X1830" s="439">
        <v>1.1499999999999999</v>
      </c>
      <c r="Y1830" s="411">
        <v>5.0999999999999996</v>
      </c>
      <c r="Z1830" s="439">
        <v>32.01</v>
      </c>
      <c r="AA1830" s="326"/>
      <c r="AB1830" s="326"/>
      <c r="AC1830" s="326"/>
      <c r="AD1830" s="411">
        <v>32.01</v>
      </c>
      <c r="AE1830" s="452">
        <v>32.01</v>
      </c>
      <c r="AF1830" s="411">
        <v>15.17</v>
      </c>
    </row>
    <row r="1831" spans="1:33">
      <c r="A1831" s="411">
        <v>15.17</v>
      </c>
      <c r="B1831" s="452">
        <v>32.01</v>
      </c>
      <c r="C1831" s="411">
        <v>32.01</v>
      </c>
      <c r="D1831" s="326"/>
      <c r="E1831" s="326"/>
      <c r="F1831" s="326"/>
      <c r="G1831" s="439">
        <v>32.01</v>
      </c>
      <c r="H1831" s="411">
        <v>6.09</v>
      </c>
      <c r="I1831" s="439">
        <v>1.1499999999999999</v>
      </c>
      <c r="J1831" s="439">
        <v>1.1499999999999999</v>
      </c>
      <c r="K1831" s="439">
        <v>1.1499999999999999</v>
      </c>
      <c r="L1831" s="439">
        <v>1.1499999999999999</v>
      </c>
      <c r="M1831" s="439">
        <v>1.1499999999999999</v>
      </c>
      <c r="N1831" s="411">
        <v>1.1499999999999999</v>
      </c>
      <c r="O1831" s="411">
        <v>1.1499999999999999</v>
      </c>
      <c r="P1831" s="411">
        <v>1.1499999999999999</v>
      </c>
      <c r="Q1831" s="411">
        <v>1.1499999999999999</v>
      </c>
      <c r="R1831" s="411">
        <v>1.1499999999999999</v>
      </c>
      <c r="S1831" s="411">
        <v>1.1499999999999999</v>
      </c>
      <c r="T1831" s="439">
        <v>1.1499999999999999</v>
      </c>
      <c r="U1831" s="439">
        <v>1.1499999999999999</v>
      </c>
      <c r="V1831" s="439">
        <v>1.1499999999999999</v>
      </c>
      <c r="W1831" s="439">
        <v>1.1499999999999999</v>
      </c>
      <c r="X1831" s="439">
        <v>1.1499999999999999</v>
      </c>
      <c r="Y1831" s="411">
        <v>6.09</v>
      </c>
      <c r="Z1831" s="439">
        <v>32.01</v>
      </c>
      <c r="AA1831" s="326"/>
      <c r="AB1831" s="326"/>
      <c r="AC1831" s="326"/>
      <c r="AD1831" s="411">
        <v>32.01</v>
      </c>
      <c r="AE1831" s="452">
        <v>32.01</v>
      </c>
      <c r="AF1831" s="411">
        <v>15.17</v>
      </c>
    </row>
    <row r="1832" spans="1:33">
      <c r="A1832" s="411">
        <v>15.17</v>
      </c>
      <c r="B1832" s="452">
        <v>32.01</v>
      </c>
      <c r="C1832" s="411">
        <v>32.01</v>
      </c>
      <c r="D1832" s="326"/>
      <c r="E1832" s="326"/>
      <c r="F1832" s="326"/>
      <c r="G1832" s="439">
        <v>32.01</v>
      </c>
      <c r="H1832" s="411">
        <v>7.08</v>
      </c>
      <c r="I1832" s="439">
        <v>1.1499999999999999</v>
      </c>
      <c r="J1832" s="439">
        <v>1.1499999999999999</v>
      </c>
      <c r="K1832" s="439">
        <v>1.1499999999999999</v>
      </c>
      <c r="L1832" s="439">
        <v>1.1499999999999999</v>
      </c>
      <c r="M1832" s="439">
        <v>1.1499999999999999</v>
      </c>
      <c r="N1832" s="439">
        <v>1.1499999999999999</v>
      </c>
      <c r="O1832" s="411">
        <v>1.1499999999999999</v>
      </c>
      <c r="P1832" s="439">
        <v>1.1499999999999999</v>
      </c>
      <c r="Q1832" s="439">
        <v>1.1499999999999999</v>
      </c>
      <c r="R1832" s="411">
        <v>1.1499999999999999</v>
      </c>
      <c r="S1832" s="439">
        <v>1.1499999999999999</v>
      </c>
      <c r="T1832" s="439">
        <v>1.1499999999999999</v>
      </c>
      <c r="U1832" s="439">
        <v>1.1499999999999999</v>
      </c>
      <c r="V1832" s="439">
        <v>1.1499999999999999</v>
      </c>
      <c r="W1832" s="439">
        <v>1.1499999999999999</v>
      </c>
      <c r="X1832" s="439">
        <v>1.1499999999999999</v>
      </c>
      <c r="Y1832" s="411">
        <v>7.08</v>
      </c>
      <c r="Z1832" s="439">
        <v>32.01</v>
      </c>
      <c r="AA1832" s="326"/>
      <c r="AB1832" s="326"/>
      <c r="AC1832" s="326"/>
      <c r="AD1832" s="411">
        <v>32.01</v>
      </c>
      <c r="AE1832" s="452">
        <v>32.01</v>
      </c>
      <c r="AF1832" s="411">
        <v>15.17</v>
      </c>
    </row>
    <row r="1833" spans="1:33">
      <c r="A1833" s="411">
        <v>15.17</v>
      </c>
      <c r="B1833" s="452">
        <v>32.01</v>
      </c>
      <c r="C1833" s="411">
        <v>32.01</v>
      </c>
      <c r="D1833" s="326"/>
      <c r="E1833" s="326"/>
      <c r="F1833" s="326"/>
      <c r="G1833" s="293">
        <v>32.01</v>
      </c>
      <c r="H1833" s="411">
        <v>6.09</v>
      </c>
      <c r="I1833" s="439">
        <v>1.1499999999999999</v>
      </c>
      <c r="J1833" s="439">
        <v>1.1499999999999999</v>
      </c>
      <c r="K1833" s="439">
        <v>1.1499999999999999</v>
      </c>
      <c r="L1833" s="439">
        <v>1.1499999999999999</v>
      </c>
      <c r="M1833" s="439">
        <v>1.1499999999999999</v>
      </c>
      <c r="N1833" s="411">
        <v>1.1499999999999999</v>
      </c>
      <c r="O1833" s="439">
        <v>1.1499999999999999</v>
      </c>
      <c r="P1833" s="293">
        <v>1.1499999999999999</v>
      </c>
      <c r="Q1833" s="293">
        <v>1.1499999999999999</v>
      </c>
      <c r="R1833" s="439">
        <v>1.1499999999999999</v>
      </c>
      <c r="S1833" s="411">
        <v>1.1499999999999999</v>
      </c>
      <c r="T1833" s="439">
        <v>1.1499999999999999</v>
      </c>
      <c r="U1833" s="439">
        <v>1.1499999999999999</v>
      </c>
      <c r="V1833" s="439">
        <v>1.1499999999999999</v>
      </c>
      <c r="W1833" s="439">
        <v>1.1499999999999999</v>
      </c>
      <c r="X1833" s="439">
        <v>1.1499999999999999</v>
      </c>
      <c r="Y1833" s="411">
        <v>6.09</v>
      </c>
      <c r="Z1833" s="293">
        <v>32.01</v>
      </c>
      <c r="AA1833" s="326"/>
      <c r="AB1833" s="326"/>
      <c r="AC1833" s="326"/>
      <c r="AD1833" s="411">
        <v>32.01</v>
      </c>
      <c r="AE1833" s="452">
        <v>32.01</v>
      </c>
      <c r="AF1833" s="411">
        <v>15.17</v>
      </c>
    </row>
    <row r="1834" spans="1:33">
      <c r="A1834" s="411">
        <v>15.17</v>
      </c>
      <c r="B1834" s="452">
        <v>32.01</v>
      </c>
      <c r="C1834" s="411">
        <v>32.01</v>
      </c>
      <c r="D1834" s="326"/>
      <c r="E1834" s="326"/>
      <c r="F1834" s="326"/>
      <c r="G1834" s="293">
        <v>32.01</v>
      </c>
      <c r="H1834" s="411">
        <v>5.0999999999999996</v>
      </c>
      <c r="I1834" s="439">
        <v>1.1499999999999999</v>
      </c>
      <c r="J1834" s="439">
        <v>1.1499999999999999</v>
      </c>
      <c r="K1834" s="439">
        <v>1.1499999999999999</v>
      </c>
      <c r="L1834" s="439">
        <v>1.1499999999999999</v>
      </c>
      <c r="M1834" s="411">
        <v>1.1499999999999999</v>
      </c>
      <c r="N1834" s="439">
        <v>1.1499999999999999</v>
      </c>
      <c r="O1834" s="293">
        <v>1.1499999999999999</v>
      </c>
      <c r="P1834" s="293">
        <v>1.1499999999999999</v>
      </c>
      <c r="Q1834" s="293">
        <v>1.1499999999999999</v>
      </c>
      <c r="R1834" s="293">
        <v>1.1499999999999999</v>
      </c>
      <c r="S1834" s="439">
        <v>1.1499999999999999</v>
      </c>
      <c r="T1834" s="411">
        <v>1.1499999999999999</v>
      </c>
      <c r="U1834" s="439">
        <v>1.1499999999999999</v>
      </c>
      <c r="V1834" s="439">
        <v>1.1499999999999999</v>
      </c>
      <c r="W1834" s="439">
        <v>1.1499999999999999</v>
      </c>
      <c r="X1834" s="439">
        <v>1.1499999999999999</v>
      </c>
      <c r="Y1834" s="411">
        <v>5.0999999999999996</v>
      </c>
      <c r="Z1834" s="293">
        <v>32.01</v>
      </c>
      <c r="AA1834" s="326"/>
      <c r="AB1834" s="326"/>
      <c r="AC1834" s="326"/>
      <c r="AD1834" s="411">
        <v>32.01</v>
      </c>
      <c r="AE1834" s="452">
        <v>32.01</v>
      </c>
      <c r="AF1834" s="411">
        <v>15.17</v>
      </c>
    </row>
    <row r="1835" spans="1:33">
      <c r="A1835" s="411">
        <v>15.17</v>
      </c>
      <c r="B1835" s="452">
        <v>32.01</v>
      </c>
      <c r="C1835" s="411">
        <v>32.01</v>
      </c>
      <c r="D1835" s="326"/>
      <c r="E1835" s="326"/>
      <c r="F1835" s="326"/>
      <c r="G1835" s="293">
        <v>32.01</v>
      </c>
      <c r="H1835" s="411">
        <v>4.1100000000000003</v>
      </c>
      <c r="I1835" s="439">
        <v>1.1499999999999999</v>
      </c>
      <c r="J1835" s="439">
        <v>1.1499999999999999</v>
      </c>
      <c r="K1835" s="439">
        <v>1.1499999999999999</v>
      </c>
      <c r="L1835" s="411">
        <v>1.1499999999999999</v>
      </c>
      <c r="M1835" s="439">
        <v>1.1499999999999999</v>
      </c>
      <c r="N1835" s="293">
        <v>1.1499999999999999</v>
      </c>
      <c r="O1835" s="293">
        <v>1.1499999999999999</v>
      </c>
      <c r="P1835" s="293">
        <v>1.1499999999999999</v>
      </c>
      <c r="Q1835" s="293">
        <v>1.1499999999999999</v>
      </c>
      <c r="R1835" s="293">
        <v>1.1499999999999999</v>
      </c>
      <c r="S1835" s="293">
        <v>1.1499999999999999</v>
      </c>
      <c r="T1835" s="439">
        <v>1.1499999999999999</v>
      </c>
      <c r="U1835" s="411">
        <v>1.1499999999999999</v>
      </c>
      <c r="V1835" s="439">
        <v>1.1499999999999999</v>
      </c>
      <c r="W1835" s="439">
        <v>1.1499999999999999</v>
      </c>
      <c r="X1835" s="439">
        <v>1.1499999999999999</v>
      </c>
      <c r="Y1835" s="411">
        <v>4.1100000000000003</v>
      </c>
      <c r="Z1835" s="293">
        <v>32.01</v>
      </c>
      <c r="AA1835" s="326"/>
      <c r="AB1835" s="326"/>
      <c r="AC1835" s="326"/>
      <c r="AD1835" s="411">
        <v>32.01</v>
      </c>
      <c r="AE1835" s="452">
        <v>32.01</v>
      </c>
      <c r="AF1835" s="411">
        <v>15.17</v>
      </c>
    </row>
    <row r="1836" spans="1:33">
      <c r="A1836" s="411">
        <v>15.17</v>
      </c>
      <c r="B1836" s="452">
        <v>32.01</v>
      </c>
      <c r="C1836" s="411">
        <v>32.01</v>
      </c>
      <c r="D1836" s="326"/>
      <c r="E1836" s="326"/>
      <c r="F1836" s="326"/>
      <c r="G1836" s="293">
        <v>32.01</v>
      </c>
      <c r="H1836" s="411">
        <v>3.12</v>
      </c>
      <c r="I1836" s="439">
        <v>1.1499999999999999</v>
      </c>
      <c r="J1836" s="439">
        <v>1.1499999999999999</v>
      </c>
      <c r="K1836" s="411">
        <v>1.1499999999999999</v>
      </c>
      <c r="L1836" s="439">
        <v>1.1499999999999999</v>
      </c>
      <c r="M1836" s="293">
        <v>1.1499999999999999</v>
      </c>
      <c r="N1836" s="293">
        <v>1.1499999999999999</v>
      </c>
      <c r="O1836" s="293">
        <v>1.1499999999999999</v>
      </c>
      <c r="P1836" s="293">
        <v>1.1499999999999999</v>
      </c>
      <c r="Q1836" s="293">
        <v>1.1499999999999999</v>
      </c>
      <c r="R1836" s="293">
        <v>1.1499999999999999</v>
      </c>
      <c r="S1836" s="293">
        <v>1.1499999999999999</v>
      </c>
      <c r="T1836" s="293">
        <v>1.1499999999999999</v>
      </c>
      <c r="U1836" s="439">
        <v>1.1499999999999999</v>
      </c>
      <c r="V1836" s="411">
        <v>1.1499999999999999</v>
      </c>
      <c r="W1836" s="439">
        <v>1.1499999999999999</v>
      </c>
      <c r="X1836" s="439">
        <v>1.1499999999999999</v>
      </c>
      <c r="Y1836" s="411">
        <v>3.12</v>
      </c>
      <c r="Z1836" s="293">
        <v>32.01</v>
      </c>
      <c r="AA1836" s="326"/>
      <c r="AB1836" s="326"/>
      <c r="AC1836" s="326"/>
      <c r="AD1836" s="411">
        <v>32.01</v>
      </c>
      <c r="AE1836" s="452">
        <v>32.01</v>
      </c>
      <c r="AF1836" s="411">
        <v>15.17</v>
      </c>
    </row>
    <row r="1837" spans="1:33">
      <c r="A1837" s="411">
        <v>15.17</v>
      </c>
      <c r="B1837" s="452">
        <v>32.01</v>
      </c>
      <c r="C1837" s="411">
        <v>32.01</v>
      </c>
      <c r="D1837" s="326"/>
      <c r="E1837" s="326"/>
      <c r="F1837" s="326"/>
      <c r="G1837" s="293">
        <v>32.01</v>
      </c>
      <c r="H1837" s="411">
        <v>2.13</v>
      </c>
      <c r="I1837" s="439">
        <v>1.1499999999999999</v>
      </c>
      <c r="J1837" s="411">
        <v>1.1499999999999999</v>
      </c>
      <c r="K1837" s="439">
        <v>1.1499999999999999</v>
      </c>
      <c r="L1837" s="293">
        <v>1.1499999999999999</v>
      </c>
      <c r="M1837" s="293">
        <v>1.1499999999999999</v>
      </c>
      <c r="N1837" s="293">
        <v>1.1499999999999999</v>
      </c>
      <c r="O1837" s="293">
        <v>1.1499999999999999</v>
      </c>
      <c r="P1837" s="293">
        <v>1.1499999999999999</v>
      </c>
      <c r="Q1837" s="293">
        <v>1.1499999999999999</v>
      </c>
      <c r="R1837" s="293">
        <v>1.1499999999999999</v>
      </c>
      <c r="S1837" s="293">
        <v>1.1499999999999999</v>
      </c>
      <c r="T1837" s="293">
        <v>1.1499999999999999</v>
      </c>
      <c r="U1837" s="293">
        <v>1.1499999999999999</v>
      </c>
      <c r="V1837" s="439">
        <v>1.1499999999999999</v>
      </c>
      <c r="W1837" s="411">
        <v>1.1499999999999999</v>
      </c>
      <c r="X1837" s="439">
        <v>1.1499999999999999</v>
      </c>
      <c r="Y1837" s="411">
        <v>2.13</v>
      </c>
      <c r="Z1837" s="293">
        <v>32.01</v>
      </c>
      <c r="AA1837" s="326"/>
      <c r="AB1837" s="326"/>
      <c r="AC1837" s="326"/>
      <c r="AD1837" s="411">
        <v>32.01</v>
      </c>
      <c r="AE1837" s="452">
        <v>32.01</v>
      </c>
      <c r="AF1837" s="411">
        <v>15.17</v>
      </c>
    </row>
    <row r="1838" spans="1:33">
      <c r="A1838" s="411">
        <v>15.17</v>
      </c>
      <c r="B1838" s="452">
        <v>32.01</v>
      </c>
      <c r="C1838" s="411">
        <v>32.01</v>
      </c>
      <c r="D1838" s="326"/>
      <c r="E1838" s="326"/>
      <c r="F1838" s="326"/>
      <c r="G1838" s="293">
        <v>32.01</v>
      </c>
      <c r="H1838" s="411">
        <v>1.1399999999999999</v>
      </c>
      <c r="I1838" s="411">
        <v>1.1499999999999999</v>
      </c>
      <c r="J1838" s="439">
        <v>1.1499999999999999</v>
      </c>
      <c r="K1838" s="293">
        <v>1.1499999999999999</v>
      </c>
      <c r="L1838" s="293">
        <v>1.1499999999999999</v>
      </c>
      <c r="M1838" s="293">
        <v>1.1499999999999999</v>
      </c>
      <c r="N1838" s="293">
        <v>1.1499999999999999</v>
      </c>
      <c r="O1838" s="293">
        <v>1.1499999999999999</v>
      </c>
      <c r="P1838" s="293">
        <v>1.1499999999999999</v>
      </c>
      <c r="Q1838" s="293">
        <v>1.1499999999999999</v>
      </c>
      <c r="R1838" s="293">
        <v>1.1499999999999999</v>
      </c>
      <c r="S1838" s="293">
        <v>1.1499999999999999</v>
      </c>
      <c r="T1838" s="293">
        <v>1.1499999999999999</v>
      </c>
      <c r="U1838" s="293">
        <v>1.1499999999999999</v>
      </c>
      <c r="V1838" s="293">
        <v>1.1499999999999999</v>
      </c>
      <c r="W1838" s="439">
        <v>1.1499999999999999</v>
      </c>
      <c r="X1838" s="411">
        <v>1.1499999999999999</v>
      </c>
      <c r="Y1838" s="411">
        <v>1.1399999999999999</v>
      </c>
      <c r="Z1838" s="293">
        <v>32.01</v>
      </c>
      <c r="AA1838" s="326"/>
      <c r="AB1838" s="326"/>
      <c r="AC1838" s="326"/>
      <c r="AD1838" s="411">
        <v>32.01</v>
      </c>
      <c r="AE1838" s="452">
        <v>32.01</v>
      </c>
      <c r="AF1838" s="411">
        <v>15.17</v>
      </c>
    </row>
    <row r="1839" spans="1:33">
      <c r="A1839" s="411">
        <v>15.17</v>
      </c>
      <c r="B1839" s="452">
        <v>32.01</v>
      </c>
      <c r="C1839" s="411">
        <v>32.01</v>
      </c>
      <c r="D1839" s="326"/>
      <c r="E1839" s="326"/>
      <c r="F1839" s="326"/>
      <c r="G1839" s="439">
        <v>32.01</v>
      </c>
      <c r="H1839" s="411">
        <v>32.01</v>
      </c>
      <c r="I1839" s="439">
        <v>1.1499999999999999</v>
      </c>
      <c r="J1839" s="293">
        <v>1.1499999999999999</v>
      </c>
      <c r="K1839" s="293">
        <v>1.1499999999999999</v>
      </c>
      <c r="L1839" s="293">
        <v>1.1499999999999999</v>
      </c>
      <c r="M1839" s="293">
        <v>1.1499999999999999</v>
      </c>
      <c r="N1839" s="293">
        <v>1.1499999999999999</v>
      </c>
      <c r="O1839" s="293">
        <v>1.1499999999999999</v>
      </c>
      <c r="P1839" s="293">
        <v>1.1499999999999999</v>
      </c>
      <c r="Q1839" s="293">
        <v>1.1499999999999999</v>
      </c>
      <c r="R1839" s="293">
        <v>1.1499999999999999</v>
      </c>
      <c r="S1839" s="293">
        <v>1.1499999999999999</v>
      </c>
      <c r="T1839" s="293">
        <v>1.1499999999999999</v>
      </c>
      <c r="U1839" s="293">
        <v>1.1499999999999999</v>
      </c>
      <c r="V1839" s="293">
        <v>1.1499999999999999</v>
      </c>
      <c r="W1839" s="293">
        <v>1.1499999999999999</v>
      </c>
      <c r="X1839" s="439">
        <v>1.1499999999999999</v>
      </c>
      <c r="Y1839" s="411">
        <v>32.01</v>
      </c>
      <c r="Z1839" s="439">
        <v>32.01</v>
      </c>
      <c r="AA1839" s="326"/>
      <c r="AB1839" s="326"/>
      <c r="AC1839" s="326"/>
      <c r="AD1839" s="411">
        <v>32.01</v>
      </c>
      <c r="AE1839" s="452">
        <v>32.01</v>
      </c>
      <c r="AF1839" s="411">
        <v>15.17</v>
      </c>
    </row>
    <row r="1840" spans="1:33">
      <c r="A1840" s="411">
        <v>15.17</v>
      </c>
      <c r="B1840" s="452">
        <v>32.01</v>
      </c>
      <c r="C1840" s="411">
        <v>32.01</v>
      </c>
      <c r="D1840" s="411">
        <v>32.01</v>
      </c>
      <c r="E1840" s="411">
        <v>32.01</v>
      </c>
      <c r="F1840" s="411">
        <v>32.01</v>
      </c>
      <c r="G1840" s="439">
        <v>32.01</v>
      </c>
      <c r="H1840" s="411">
        <v>32.01</v>
      </c>
      <c r="I1840" s="411">
        <v>1.1499999999999999</v>
      </c>
      <c r="J1840" s="439">
        <v>1.1499999999999999</v>
      </c>
      <c r="K1840" s="439">
        <v>1.1499999999999999</v>
      </c>
      <c r="L1840" s="439">
        <v>1.1499999999999999</v>
      </c>
      <c r="M1840" s="439">
        <v>1.1499999999999999</v>
      </c>
      <c r="N1840" s="439">
        <v>1.1499999999999999</v>
      </c>
      <c r="O1840" s="439">
        <v>1.1499999999999999</v>
      </c>
      <c r="P1840" s="439">
        <v>1.1499999999999999</v>
      </c>
      <c r="Q1840" s="439">
        <v>1.1499999999999999</v>
      </c>
      <c r="R1840" s="439">
        <v>1.1499999999999999</v>
      </c>
      <c r="S1840" s="439">
        <v>1.1499999999999999</v>
      </c>
      <c r="T1840" s="439">
        <v>1.1499999999999999</v>
      </c>
      <c r="U1840" s="439">
        <v>1.1499999999999999</v>
      </c>
      <c r="V1840" s="439">
        <v>1.1499999999999999</v>
      </c>
      <c r="W1840" s="439">
        <v>1.1499999999999999</v>
      </c>
      <c r="X1840" s="411">
        <v>1.1499999999999999</v>
      </c>
      <c r="Y1840" s="411">
        <v>32.01</v>
      </c>
      <c r="Z1840" s="439">
        <v>32.01</v>
      </c>
      <c r="AA1840" s="411">
        <v>32.01</v>
      </c>
      <c r="AB1840" s="411">
        <v>32.01</v>
      </c>
      <c r="AC1840" s="411">
        <v>32.01</v>
      </c>
      <c r="AD1840" s="411">
        <v>32.01</v>
      </c>
      <c r="AE1840" s="452">
        <v>32.01</v>
      </c>
      <c r="AF1840" s="411">
        <v>15.17</v>
      </c>
    </row>
    <row r="1841" spans="1:34">
      <c r="AH1841">
        <v>1827</v>
      </c>
    </row>
    <row r="1842" spans="1:34">
      <c r="AH1842">
        <v>1828</v>
      </c>
    </row>
    <row r="1843" spans="1:34">
      <c r="AH1843">
        <v>1829</v>
      </c>
    </row>
    <row r="1844" spans="1:34">
      <c r="AH1844">
        <v>1830</v>
      </c>
    </row>
    <row r="1845" spans="1:34">
      <c r="AH1845">
        <v>1831</v>
      </c>
    </row>
    <row r="1846" spans="1:34">
      <c r="AH1846">
        <v>1832</v>
      </c>
    </row>
    <row r="1847" spans="1:34">
      <c r="AH1847">
        <v>1833</v>
      </c>
    </row>
    <row r="1848" spans="1:34">
      <c r="AH1848">
        <v>1834</v>
      </c>
    </row>
    <row r="1849" spans="1:34">
      <c r="AH1849">
        <v>1835</v>
      </c>
    </row>
    <row r="1850" spans="1:34">
      <c r="AH1850">
        <v>1836</v>
      </c>
    </row>
    <row r="1851" spans="1:34">
      <c r="AH1851">
        <v>1837</v>
      </c>
    </row>
    <row r="1852" spans="1:34">
      <c r="AH1852">
        <v>1838</v>
      </c>
    </row>
    <row r="1853" spans="1:34">
      <c r="AH1853">
        <v>1839</v>
      </c>
    </row>
    <row r="1854" spans="1:34">
      <c r="AH1854">
        <v>1840</v>
      </c>
    </row>
    <row r="1855" spans="1:34">
      <c r="AH1855">
        <v>1826</v>
      </c>
    </row>
    <row r="1856" spans="1:34">
      <c r="A1856" s="452">
        <v>15.17</v>
      </c>
      <c r="B1856" s="452">
        <v>15.17</v>
      </c>
      <c r="C1856" s="452">
        <v>15.17</v>
      </c>
      <c r="D1856" s="452">
        <v>15.17</v>
      </c>
      <c r="E1856" s="452">
        <v>15.17</v>
      </c>
      <c r="F1856" s="452">
        <v>15.17</v>
      </c>
      <c r="G1856" s="452">
        <v>15.17</v>
      </c>
      <c r="H1856" s="452">
        <v>15.17</v>
      </c>
      <c r="I1856" s="452">
        <v>1.1499999999999999</v>
      </c>
      <c r="J1856" s="452">
        <v>1.1499999999999999</v>
      </c>
      <c r="K1856" s="452">
        <v>1.1499999999999999</v>
      </c>
      <c r="L1856" s="452">
        <v>1.1499999999999999</v>
      </c>
      <c r="M1856" s="452">
        <v>1.1499999999999999</v>
      </c>
      <c r="N1856" s="452">
        <v>1.1499999999999999</v>
      </c>
      <c r="O1856" s="452">
        <v>1.1499999999999999</v>
      </c>
      <c r="P1856" s="452">
        <v>1.1499999999999999</v>
      </c>
      <c r="Q1856" s="452">
        <v>1.1499999999999999</v>
      </c>
      <c r="R1856" s="452">
        <v>1.1499999999999999</v>
      </c>
      <c r="S1856" s="452">
        <v>1.1499999999999999</v>
      </c>
      <c r="T1856" s="452">
        <v>1.1499999999999999</v>
      </c>
      <c r="U1856" s="452">
        <v>1.1499999999999999</v>
      </c>
      <c r="V1856" s="452">
        <v>1.1499999999999999</v>
      </c>
      <c r="W1856" s="452">
        <v>1.1499999999999999</v>
      </c>
      <c r="X1856" s="452">
        <v>1.1499999999999999</v>
      </c>
      <c r="Y1856" s="452">
        <v>15.17</v>
      </c>
      <c r="Z1856" s="452">
        <v>15.17</v>
      </c>
      <c r="AA1856" s="452">
        <v>15.17</v>
      </c>
      <c r="AB1856" s="452">
        <v>15.17</v>
      </c>
      <c r="AC1856" s="452">
        <v>15.17</v>
      </c>
      <c r="AD1856" s="452">
        <v>15.17</v>
      </c>
      <c r="AE1856" s="452">
        <v>15.17</v>
      </c>
      <c r="AF1856" s="411">
        <v>32.01</v>
      </c>
    </row>
    <row r="1857" spans="1:33">
      <c r="A1857" s="411">
        <v>32.01</v>
      </c>
      <c r="B1857" s="452">
        <v>15.17</v>
      </c>
      <c r="C1857" s="452">
        <v>15.17</v>
      </c>
      <c r="D1857" s="452">
        <v>15.17</v>
      </c>
      <c r="E1857" s="452">
        <v>15.17</v>
      </c>
      <c r="F1857" s="452">
        <v>15.17</v>
      </c>
      <c r="G1857" s="452">
        <v>15.17</v>
      </c>
      <c r="H1857" s="452">
        <v>15.17</v>
      </c>
      <c r="I1857" s="452">
        <v>1.1499999999999999</v>
      </c>
      <c r="J1857" s="452">
        <v>1.1499999999999999</v>
      </c>
      <c r="K1857" s="452">
        <v>1.1499999999999999</v>
      </c>
      <c r="L1857" s="452">
        <v>1.1499999999999999</v>
      </c>
      <c r="M1857" s="452">
        <v>1.1499999999999999</v>
      </c>
      <c r="N1857" s="452">
        <v>1.1499999999999999</v>
      </c>
      <c r="O1857" s="452">
        <v>1.1499999999999999</v>
      </c>
      <c r="P1857" s="452">
        <v>1.1499999999999999</v>
      </c>
      <c r="Q1857" s="452">
        <v>1.1499999999999999</v>
      </c>
      <c r="R1857" s="452">
        <v>1.1499999999999999</v>
      </c>
      <c r="S1857" s="452">
        <v>1.1499999999999999</v>
      </c>
      <c r="T1857" s="452">
        <v>1.1499999999999999</v>
      </c>
      <c r="U1857" s="452">
        <v>1.1499999999999999</v>
      </c>
      <c r="V1857" s="452">
        <v>1.1499999999999999</v>
      </c>
      <c r="W1857" s="452">
        <v>1.1499999999999999</v>
      </c>
      <c r="X1857" s="452">
        <v>1.1499999999999999</v>
      </c>
      <c r="Y1857" s="452">
        <v>15.17</v>
      </c>
      <c r="Z1857" s="452">
        <v>15.17</v>
      </c>
      <c r="AA1857" s="452">
        <v>15.17</v>
      </c>
      <c r="AB1857" s="452">
        <v>15.17</v>
      </c>
      <c r="AC1857" s="452">
        <v>15.17</v>
      </c>
      <c r="AD1857" s="452">
        <v>15.17</v>
      </c>
      <c r="AE1857" s="452">
        <v>15.17</v>
      </c>
      <c r="AF1857" s="452">
        <v>15.17</v>
      </c>
      <c r="AG1857">
        <v>59</v>
      </c>
    </row>
    <row r="1858" spans="1:33">
      <c r="A1858" s="411">
        <v>32.01</v>
      </c>
      <c r="B1858" s="411">
        <v>32.01</v>
      </c>
      <c r="C1858" s="411">
        <v>32.01</v>
      </c>
      <c r="D1858" s="411">
        <v>32.01</v>
      </c>
      <c r="E1858" s="411">
        <v>32.01</v>
      </c>
      <c r="F1858" s="411">
        <v>32.01</v>
      </c>
      <c r="G1858" s="411">
        <v>32.01</v>
      </c>
      <c r="H1858" s="411">
        <v>32.01</v>
      </c>
      <c r="I1858" s="411">
        <v>1.1499999999999999</v>
      </c>
      <c r="J1858" s="411">
        <v>1.1499999999999999</v>
      </c>
      <c r="K1858" s="411">
        <v>1.1499999999999999</v>
      </c>
      <c r="L1858" s="411">
        <v>1.1499999999999999</v>
      </c>
      <c r="M1858" s="411">
        <v>1.1499999999999999</v>
      </c>
      <c r="N1858" s="411">
        <v>1.1499999999999999</v>
      </c>
      <c r="O1858" s="411">
        <v>1.1499999999999999</v>
      </c>
      <c r="P1858" s="411">
        <v>1.1499999999999999</v>
      </c>
      <c r="Q1858" s="411">
        <v>1.1499999999999999</v>
      </c>
      <c r="R1858" s="411">
        <v>1.1499999999999999</v>
      </c>
      <c r="S1858" s="411">
        <v>1.1499999999999999</v>
      </c>
      <c r="T1858" s="411">
        <v>1.1499999999999999</v>
      </c>
      <c r="U1858" s="411">
        <v>1.1499999999999999</v>
      </c>
      <c r="V1858" s="411">
        <v>1.1499999999999999</v>
      </c>
      <c r="W1858" s="411">
        <v>1.1499999999999999</v>
      </c>
      <c r="X1858" s="411">
        <v>1.1499999999999999</v>
      </c>
      <c r="Y1858" s="411">
        <v>32.01</v>
      </c>
      <c r="Z1858" s="411">
        <v>32.01</v>
      </c>
      <c r="AA1858" s="411">
        <v>32.01</v>
      </c>
      <c r="AB1858" s="411">
        <v>32.01</v>
      </c>
      <c r="AC1858" s="411">
        <v>32.01</v>
      </c>
      <c r="AD1858" s="411">
        <v>32.01</v>
      </c>
      <c r="AE1858" s="411">
        <v>32.01</v>
      </c>
      <c r="AF1858" s="411">
        <v>32.01</v>
      </c>
    </row>
    <row r="1859" spans="1:33">
      <c r="A1859" s="411">
        <v>15.17</v>
      </c>
      <c r="B1859" s="411">
        <v>32.01</v>
      </c>
      <c r="C1859" s="411">
        <v>32.01</v>
      </c>
      <c r="D1859" s="411">
        <v>32.01</v>
      </c>
      <c r="E1859" s="411">
        <v>32.01</v>
      </c>
      <c r="F1859" s="411">
        <v>32.01</v>
      </c>
      <c r="G1859" s="439">
        <v>32.01</v>
      </c>
      <c r="H1859" s="411">
        <v>2.13</v>
      </c>
      <c r="I1859" s="411">
        <v>1.1499999999999999</v>
      </c>
      <c r="J1859" s="411">
        <v>1.1499999999999999</v>
      </c>
      <c r="K1859" s="439">
        <v>1.1499999999999999</v>
      </c>
      <c r="L1859" s="439">
        <v>1.1499999999999999</v>
      </c>
      <c r="M1859" s="439">
        <v>1.1499999999999999</v>
      </c>
      <c r="N1859" s="439">
        <v>1.1499999999999999</v>
      </c>
      <c r="O1859" s="439">
        <v>1.1499999999999999</v>
      </c>
      <c r="P1859" s="439">
        <v>1.1499999999999999</v>
      </c>
      <c r="Q1859" s="439">
        <v>1.1499999999999999</v>
      </c>
      <c r="R1859" s="439">
        <v>1.1499999999999999</v>
      </c>
      <c r="S1859" s="439">
        <v>1.1499999999999999</v>
      </c>
      <c r="T1859" s="439">
        <v>1.1499999999999999</v>
      </c>
      <c r="U1859" s="439">
        <v>1.1499999999999999</v>
      </c>
      <c r="V1859" s="439">
        <v>1.1499999999999999</v>
      </c>
      <c r="W1859" s="411">
        <v>1.1499999999999999</v>
      </c>
      <c r="X1859" s="411">
        <v>1.1499999999999999</v>
      </c>
      <c r="Y1859" s="411">
        <v>2.13</v>
      </c>
      <c r="Z1859" s="439">
        <v>32.01</v>
      </c>
      <c r="AA1859" s="411">
        <v>32.01</v>
      </c>
      <c r="AB1859" s="411">
        <v>32.01</v>
      </c>
      <c r="AC1859" s="411">
        <v>32.01</v>
      </c>
      <c r="AD1859" s="411">
        <v>32.01</v>
      </c>
      <c r="AE1859" s="452">
        <v>32.01</v>
      </c>
      <c r="AF1859" s="411">
        <v>15.17</v>
      </c>
    </row>
    <row r="1860" spans="1:33">
      <c r="A1860" s="411">
        <v>15.17</v>
      </c>
      <c r="B1860" s="411">
        <v>32.01</v>
      </c>
      <c r="C1860" s="326"/>
      <c r="D1860" s="326"/>
      <c r="E1860" s="326"/>
      <c r="F1860" s="326"/>
      <c r="G1860" s="293">
        <v>32.01</v>
      </c>
      <c r="H1860" s="411">
        <v>4.1100000000000003</v>
      </c>
      <c r="I1860" s="439">
        <v>1.1499999999999999</v>
      </c>
      <c r="J1860" s="411">
        <v>1.1499999999999999</v>
      </c>
      <c r="K1860" s="411">
        <v>1.1499999999999999</v>
      </c>
      <c r="L1860" s="411">
        <v>1.1499999999999999</v>
      </c>
      <c r="M1860" s="439">
        <v>1.1499999999999999</v>
      </c>
      <c r="N1860" s="439">
        <v>1.1499999999999999</v>
      </c>
      <c r="O1860" s="439">
        <v>1.1499999999999999</v>
      </c>
      <c r="P1860" s="439">
        <v>1.1499999999999999</v>
      </c>
      <c r="Q1860" s="439">
        <v>1.1499999999999999</v>
      </c>
      <c r="R1860" s="439">
        <v>1.1499999999999999</v>
      </c>
      <c r="S1860" s="439">
        <v>1.1499999999999999</v>
      </c>
      <c r="T1860" s="439">
        <v>1.1499999999999999</v>
      </c>
      <c r="U1860" s="411">
        <v>1.1499999999999999</v>
      </c>
      <c r="V1860" s="411">
        <v>1.1499999999999999</v>
      </c>
      <c r="W1860" s="411">
        <v>1.1499999999999999</v>
      </c>
      <c r="X1860" s="439">
        <v>1.1499999999999999</v>
      </c>
      <c r="Y1860" s="411">
        <v>4.1100000000000003</v>
      </c>
      <c r="Z1860" s="293">
        <v>32.01</v>
      </c>
      <c r="AA1860" s="326"/>
      <c r="AB1860" s="326"/>
      <c r="AC1860" s="326"/>
      <c r="AD1860" s="411">
        <v>32.01</v>
      </c>
      <c r="AE1860" s="452">
        <v>32.01</v>
      </c>
      <c r="AF1860" s="411">
        <v>15.17</v>
      </c>
    </row>
    <row r="1861" spans="1:33">
      <c r="A1861" s="411">
        <v>15.17</v>
      </c>
      <c r="B1861" s="411">
        <v>32.01</v>
      </c>
      <c r="C1861" s="326"/>
      <c r="D1861" s="326"/>
      <c r="E1861" s="326"/>
      <c r="F1861" s="326"/>
      <c r="G1861" s="293">
        <v>32.01</v>
      </c>
      <c r="H1861" s="411">
        <v>6.09</v>
      </c>
      <c r="I1861" s="293">
        <v>1.1499999999999999</v>
      </c>
      <c r="J1861" s="293">
        <v>1.1499999999999999</v>
      </c>
      <c r="K1861" s="439">
        <v>1.1499999999999999</v>
      </c>
      <c r="L1861" s="411">
        <v>1.1499999999999999</v>
      </c>
      <c r="M1861" s="411">
        <v>1.1499999999999999</v>
      </c>
      <c r="N1861" s="411">
        <v>1.1499999999999999</v>
      </c>
      <c r="O1861" s="439">
        <v>1.1499999999999999</v>
      </c>
      <c r="P1861" s="439">
        <v>1.1499999999999999</v>
      </c>
      <c r="Q1861" s="439">
        <v>1.1499999999999999</v>
      </c>
      <c r="R1861" s="439">
        <v>1.1499999999999999</v>
      </c>
      <c r="S1861" s="411">
        <v>1.1499999999999999</v>
      </c>
      <c r="T1861" s="411">
        <v>1.1499999999999999</v>
      </c>
      <c r="U1861" s="411">
        <v>1.1499999999999999</v>
      </c>
      <c r="V1861" s="439">
        <v>1.1499999999999999</v>
      </c>
      <c r="W1861" s="293">
        <v>1.1499999999999999</v>
      </c>
      <c r="X1861" s="293">
        <v>1.1499999999999999</v>
      </c>
      <c r="Y1861" s="411">
        <v>6.09</v>
      </c>
      <c r="Z1861" s="293">
        <v>32.01</v>
      </c>
      <c r="AA1861" s="326"/>
      <c r="AB1861" s="326"/>
      <c r="AC1861" s="326"/>
      <c r="AD1861" s="411">
        <v>32.01</v>
      </c>
      <c r="AE1861" s="452">
        <v>32.01</v>
      </c>
      <c r="AF1861" s="411">
        <v>15.17</v>
      </c>
    </row>
    <row r="1862" spans="1:33">
      <c r="A1862" s="411">
        <v>15.17</v>
      </c>
      <c r="B1862" s="411">
        <v>32.01</v>
      </c>
      <c r="C1862" s="326"/>
      <c r="D1862" s="326"/>
      <c r="E1862" s="326"/>
      <c r="F1862" s="326"/>
      <c r="G1862" s="293">
        <v>32.01</v>
      </c>
      <c r="H1862" s="411">
        <v>7.08</v>
      </c>
      <c r="I1862" s="293">
        <v>1.1499999999999999</v>
      </c>
      <c r="J1862" s="293">
        <v>1.1499999999999999</v>
      </c>
      <c r="K1862" s="293">
        <v>1.1499999999999999</v>
      </c>
      <c r="L1862" s="293">
        <v>1.1499999999999999</v>
      </c>
      <c r="M1862" s="439">
        <v>1.1499999999999999</v>
      </c>
      <c r="N1862" s="411">
        <v>1.1499999999999999</v>
      </c>
      <c r="O1862" s="411">
        <v>1.1499999999999999</v>
      </c>
      <c r="P1862" s="439">
        <v>1.1499999999999999</v>
      </c>
      <c r="Q1862" s="439">
        <v>1.1499999999999999</v>
      </c>
      <c r="R1862" s="411">
        <v>1.1499999999999999</v>
      </c>
      <c r="S1862" s="411">
        <v>1.1499999999999999</v>
      </c>
      <c r="T1862" s="439">
        <v>1.1499999999999999</v>
      </c>
      <c r="U1862" s="293">
        <v>1.1499999999999999</v>
      </c>
      <c r="V1862" s="293">
        <v>1.1499999999999999</v>
      </c>
      <c r="W1862" s="293">
        <v>1.1499999999999999</v>
      </c>
      <c r="X1862" s="293">
        <v>1.1499999999999999</v>
      </c>
      <c r="Y1862" s="411">
        <v>7.08</v>
      </c>
      <c r="Z1862" s="293">
        <v>32.01</v>
      </c>
      <c r="AA1862" s="326"/>
      <c r="AB1862" s="326"/>
      <c r="AC1862" s="326"/>
      <c r="AD1862" s="411">
        <v>32.01</v>
      </c>
      <c r="AE1862" s="452">
        <v>32.01</v>
      </c>
      <c r="AF1862" s="411">
        <v>15.17</v>
      </c>
    </row>
    <row r="1863" spans="1:33">
      <c r="A1863" s="411">
        <v>15.17</v>
      </c>
      <c r="B1863" s="411">
        <v>32.01</v>
      </c>
      <c r="C1863" s="439">
        <v>32.01</v>
      </c>
      <c r="D1863" s="439">
        <v>32.01</v>
      </c>
      <c r="E1863" s="439">
        <v>32.01</v>
      </c>
      <c r="F1863" s="439">
        <v>32.01</v>
      </c>
      <c r="G1863" s="439">
        <v>32.01</v>
      </c>
      <c r="H1863" s="411">
        <v>1.1399999999999999</v>
      </c>
      <c r="I1863" s="411">
        <v>1.1499999999999999</v>
      </c>
      <c r="J1863" s="411">
        <v>1.1499999999999999</v>
      </c>
      <c r="K1863" s="411">
        <v>1.1499999999999999</v>
      </c>
      <c r="L1863" s="411">
        <v>1.1499999999999999</v>
      </c>
      <c r="M1863" s="411">
        <v>1.1499999999999999</v>
      </c>
      <c r="N1863" s="411">
        <v>1.1499999999999999</v>
      </c>
      <c r="O1863" s="411">
        <v>1.1499999999999999</v>
      </c>
      <c r="P1863" s="411">
        <v>1.1499999999999999</v>
      </c>
      <c r="Q1863" s="411">
        <v>1.1499999999999999</v>
      </c>
      <c r="R1863" s="411">
        <v>1.1499999999999999</v>
      </c>
      <c r="S1863" s="411">
        <v>1.1499999999999999</v>
      </c>
      <c r="T1863" s="411">
        <v>1.1499999999999999</v>
      </c>
      <c r="U1863" s="411">
        <v>1.1499999999999999</v>
      </c>
      <c r="V1863" s="411">
        <v>1.1499999999999999</v>
      </c>
      <c r="W1863" s="411">
        <v>1.1499999999999999</v>
      </c>
      <c r="X1863" s="411">
        <v>1.1499999999999999</v>
      </c>
      <c r="Y1863" s="411">
        <v>1.1399999999999999</v>
      </c>
      <c r="Z1863" s="439">
        <v>32.01</v>
      </c>
      <c r="AA1863" s="326"/>
      <c r="AB1863" s="326"/>
      <c r="AC1863" s="326"/>
      <c r="AD1863" s="411">
        <v>32.01</v>
      </c>
      <c r="AE1863" s="452">
        <v>32.01</v>
      </c>
      <c r="AF1863" s="411">
        <v>15.17</v>
      </c>
    </row>
    <row r="1864" spans="1:33">
      <c r="A1864" s="411">
        <v>15.17</v>
      </c>
      <c r="B1864" s="411">
        <v>32.01</v>
      </c>
      <c r="C1864" s="411">
        <v>2.13</v>
      </c>
      <c r="D1864" s="411">
        <v>4.1100000000000003</v>
      </c>
      <c r="E1864" s="411">
        <v>6.09</v>
      </c>
      <c r="F1864" s="411">
        <v>7.08</v>
      </c>
      <c r="G1864" s="411">
        <v>1.1399999999999999</v>
      </c>
      <c r="H1864" s="411">
        <v>1.1399999999999999</v>
      </c>
      <c r="I1864" s="411">
        <v>1.1499999999999999</v>
      </c>
      <c r="J1864" s="439">
        <v>1.1499999999999999</v>
      </c>
      <c r="K1864" s="439">
        <v>1.1499999999999999</v>
      </c>
      <c r="L1864" s="439">
        <v>1.1499999999999999</v>
      </c>
      <c r="M1864" s="439">
        <v>1.1499999999999999</v>
      </c>
      <c r="N1864" s="439">
        <v>1.1499999999999999</v>
      </c>
      <c r="O1864" s="439">
        <v>1.1499999999999999</v>
      </c>
      <c r="P1864" s="439">
        <v>1.1499999999999999</v>
      </c>
      <c r="Q1864" s="439">
        <v>1.1499999999999999</v>
      </c>
      <c r="R1864" s="439">
        <v>1.1499999999999999</v>
      </c>
      <c r="S1864" s="439">
        <v>1.1499999999999999</v>
      </c>
      <c r="T1864" s="439">
        <v>1.1499999999999999</v>
      </c>
      <c r="U1864" s="439">
        <v>1.1499999999999999</v>
      </c>
      <c r="V1864" s="439">
        <v>1.1499999999999999</v>
      </c>
      <c r="W1864" s="411">
        <v>1.1499999999999999</v>
      </c>
      <c r="X1864" s="411">
        <v>1.1499999999999999</v>
      </c>
      <c r="Y1864" s="411">
        <v>32.01</v>
      </c>
      <c r="Z1864" s="439">
        <v>32.01</v>
      </c>
      <c r="AA1864" s="326"/>
      <c r="AB1864" s="326"/>
      <c r="AC1864" s="326"/>
      <c r="AD1864" s="411">
        <v>32.01</v>
      </c>
      <c r="AE1864" s="452">
        <v>32.01</v>
      </c>
      <c r="AF1864" s="411">
        <v>15.17</v>
      </c>
    </row>
    <row r="1865" spans="1:33">
      <c r="A1865" s="411">
        <v>1.1499999999999999</v>
      </c>
      <c r="B1865" s="411">
        <v>1.1499999999999999</v>
      </c>
      <c r="C1865" s="411">
        <v>1.1499999999999999</v>
      </c>
      <c r="D1865" s="411">
        <v>1.1499999999999999</v>
      </c>
      <c r="E1865" s="439">
        <v>1.1499999999999999</v>
      </c>
      <c r="F1865" s="293">
        <v>1.1499999999999999</v>
      </c>
      <c r="G1865" s="411">
        <v>1.1499999999999999</v>
      </c>
      <c r="H1865" s="439">
        <v>1.1499999999999999</v>
      </c>
      <c r="I1865" s="411">
        <v>1.1499999999999999</v>
      </c>
      <c r="J1865" s="411">
        <v>1.1499999999999999</v>
      </c>
      <c r="K1865" s="439">
        <v>1.1499999999999999</v>
      </c>
      <c r="L1865" s="439">
        <v>1.1499999999999999</v>
      </c>
      <c r="M1865" s="439">
        <v>1.1499999999999999</v>
      </c>
      <c r="N1865" s="439">
        <v>1.1499999999999999</v>
      </c>
      <c r="O1865" s="439">
        <v>1.1499999999999999</v>
      </c>
      <c r="P1865" s="439">
        <v>1.1499999999999999</v>
      </c>
      <c r="Q1865" s="439">
        <v>1.1499999999999999</v>
      </c>
      <c r="R1865" s="439">
        <v>1.1499999999999999</v>
      </c>
      <c r="S1865" s="439">
        <v>1.1499999999999999</v>
      </c>
      <c r="T1865" s="439">
        <v>1.1499999999999999</v>
      </c>
      <c r="U1865" s="439">
        <v>1.1499999999999999</v>
      </c>
      <c r="V1865" s="411">
        <v>1.1499999999999999</v>
      </c>
      <c r="W1865" s="411">
        <v>1.1499999999999999</v>
      </c>
      <c r="X1865" s="439">
        <v>1.1499999999999999</v>
      </c>
      <c r="Y1865" s="411">
        <v>1.1399999999999999</v>
      </c>
      <c r="Z1865" s="439">
        <v>32.01</v>
      </c>
      <c r="AA1865" s="326"/>
      <c r="AB1865" s="326"/>
      <c r="AC1865" s="326"/>
      <c r="AD1865" s="411">
        <v>32.01</v>
      </c>
      <c r="AE1865" s="452">
        <v>32.01</v>
      </c>
      <c r="AF1865" s="411">
        <v>15.17</v>
      </c>
    </row>
    <row r="1866" spans="1:33">
      <c r="A1866" s="411">
        <v>1.1499999999999999</v>
      </c>
      <c r="B1866" s="411">
        <v>1.1499999999999999</v>
      </c>
      <c r="C1866" s="439">
        <v>1.1499999999999999</v>
      </c>
      <c r="D1866" s="411">
        <v>1.1499999999999999</v>
      </c>
      <c r="E1866" s="439">
        <v>1.1499999999999999</v>
      </c>
      <c r="F1866" s="293">
        <v>1.1499999999999999</v>
      </c>
      <c r="G1866" s="411">
        <v>1.1499999999999999</v>
      </c>
      <c r="H1866" s="293">
        <v>1.1499999999999999</v>
      </c>
      <c r="I1866" s="439">
        <v>1.1499999999999999</v>
      </c>
      <c r="J1866" s="411">
        <v>1.1499999999999999</v>
      </c>
      <c r="K1866" s="411">
        <v>1.1499999999999999</v>
      </c>
      <c r="L1866" s="439">
        <v>1.1499999999999999</v>
      </c>
      <c r="M1866" s="439">
        <v>1.1499999999999999</v>
      </c>
      <c r="N1866" s="439">
        <v>1.1499999999999999</v>
      </c>
      <c r="O1866" s="439">
        <v>1.1499999999999999</v>
      </c>
      <c r="P1866" s="439">
        <v>1.1499999999999999</v>
      </c>
      <c r="Q1866" s="439">
        <v>1.1499999999999999</v>
      </c>
      <c r="R1866" s="439">
        <v>1.1499999999999999</v>
      </c>
      <c r="S1866" s="439">
        <v>1.1499999999999999</v>
      </c>
      <c r="T1866" s="439">
        <v>1.1499999999999999</v>
      </c>
      <c r="U1866" s="411">
        <v>1.1499999999999999</v>
      </c>
      <c r="V1866" s="411">
        <v>1.1499999999999999</v>
      </c>
      <c r="W1866" s="439">
        <v>1.1499999999999999</v>
      </c>
      <c r="X1866" s="293">
        <v>1.1499999999999999</v>
      </c>
      <c r="Y1866" s="411">
        <v>2.13</v>
      </c>
      <c r="Z1866" s="439">
        <v>32.01</v>
      </c>
      <c r="AA1866" s="326"/>
      <c r="AB1866" s="326"/>
      <c r="AC1866" s="326"/>
      <c r="AD1866" s="411">
        <v>32.01</v>
      </c>
      <c r="AE1866" s="452">
        <v>32.01</v>
      </c>
      <c r="AF1866" s="411">
        <v>15.17</v>
      </c>
    </row>
    <row r="1867" spans="1:33">
      <c r="A1867" s="411">
        <v>1.1499999999999999</v>
      </c>
      <c r="B1867" s="411">
        <v>1.1499999999999999</v>
      </c>
      <c r="C1867" s="439">
        <v>1.1499999999999999</v>
      </c>
      <c r="D1867" s="411">
        <v>1.1499999999999999</v>
      </c>
      <c r="E1867" s="411">
        <v>1.1499999999999999</v>
      </c>
      <c r="F1867" s="293">
        <v>1.1499999999999999</v>
      </c>
      <c r="G1867" s="411">
        <v>1.1499999999999999</v>
      </c>
      <c r="H1867" s="293">
        <v>1.1499999999999999</v>
      </c>
      <c r="I1867" s="293">
        <v>1.1499999999999999</v>
      </c>
      <c r="J1867" s="439">
        <v>1.1499999999999999</v>
      </c>
      <c r="K1867" s="411">
        <v>1.1499999999999999</v>
      </c>
      <c r="L1867" s="411">
        <v>1.1499999999999999</v>
      </c>
      <c r="M1867" s="439">
        <v>1.1499999999999999</v>
      </c>
      <c r="N1867" s="439">
        <v>1.1499999999999999</v>
      </c>
      <c r="O1867" s="439">
        <v>1.1499999999999999</v>
      </c>
      <c r="P1867" s="439">
        <v>1.1499999999999999</v>
      </c>
      <c r="Q1867" s="439">
        <v>1.1499999999999999</v>
      </c>
      <c r="R1867" s="439">
        <v>1.1499999999999999</v>
      </c>
      <c r="S1867" s="439">
        <v>1.1499999999999999</v>
      </c>
      <c r="T1867" s="411">
        <v>1.1499999999999999</v>
      </c>
      <c r="U1867" s="411">
        <v>1.1499999999999999</v>
      </c>
      <c r="V1867" s="439">
        <v>1.1499999999999999</v>
      </c>
      <c r="W1867" s="293">
        <v>1.1499999999999999</v>
      </c>
      <c r="X1867" s="293">
        <v>1.1499999999999999</v>
      </c>
      <c r="Y1867" s="411">
        <v>3.12</v>
      </c>
      <c r="Z1867" s="439">
        <v>32.01</v>
      </c>
      <c r="AA1867" s="326"/>
      <c r="AB1867" s="326"/>
      <c r="AC1867" s="326"/>
      <c r="AD1867" s="411">
        <v>32.01</v>
      </c>
      <c r="AE1867" s="452">
        <v>32.01</v>
      </c>
      <c r="AF1867" s="411">
        <v>15.17</v>
      </c>
    </row>
    <row r="1868" spans="1:33">
      <c r="A1868" s="411">
        <v>1.1499999999999999</v>
      </c>
      <c r="B1868" s="411">
        <v>1.1499999999999999</v>
      </c>
      <c r="C1868" s="439">
        <v>1.1499999999999999</v>
      </c>
      <c r="D1868" s="439">
        <v>1.1499999999999999</v>
      </c>
      <c r="E1868" s="411">
        <v>1.1499999999999999</v>
      </c>
      <c r="F1868" s="439">
        <v>1.1499999999999999</v>
      </c>
      <c r="G1868" s="411">
        <v>1.1499999999999999</v>
      </c>
      <c r="H1868" s="293">
        <v>1.1499999999999999</v>
      </c>
      <c r="I1868" s="293">
        <v>1.1499999999999999</v>
      </c>
      <c r="J1868" s="293">
        <v>1.1499999999999999</v>
      </c>
      <c r="K1868" s="439">
        <v>1.1499999999999999</v>
      </c>
      <c r="L1868" s="411">
        <v>1.1499999999999999</v>
      </c>
      <c r="M1868" s="411">
        <v>1.1499999999999999</v>
      </c>
      <c r="N1868" s="439">
        <v>1.1499999999999999</v>
      </c>
      <c r="O1868" s="439">
        <v>1.1499999999999999</v>
      </c>
      <c r="P1868" s="439">
        <v>1.1499999999999999</v>
      </c>
      <c r="Q1868" s="439">
        <v>1.1499999999999999</v>
      </c>
      <c r="R1868" s="439">
        <v>1.1499999999999999</v>
      </c>
      <c r="S1868" s="411">
        <v>1.1499999999999999</v>
      </c>
      <c r="T1868" s="411">
        <v>1.1499999999999999</v>
      </c>
      <c r="U1868" s="439">
        <v>1.1499999999999999</v>
      </c>
      <c r="V1868" s="293">
        <v>1.1499999999999999</v>
      </c>
      <c r="W1868" s="293">
        <v>1.1499999999999999</v>
      </c>
      <c r="X1868" s="293">
        <v>1.1499999999999999</v>
      </c>
      <c r="Y1868" s="411">
        <v>4.1100000000000003</v>
      </c>
      <c r="Z1868" s="439">
        <v>32.01</v>
      </c>
      <c r="AA1868" s="326"/>
      <c r="AB1868" s="326"/>
      <c r="AC1868" s="326"/>
      <c r="AD1868" s="411">
        <v>32.01</v>
      </c>
      <c r="AE1868" s="452">
        <v>32.01</v>
      </c>
      <c r="AF1868" s="411">
        <v>15.17</v>
      </c>
    </row>
    <row r="1869" spans="1:33">
      <c r="A1869" s="411">
        <v>1.1499999999999999</v>
      </c>
      <c r="B1869" s="411">
        <v>1.1499999999999999</v>
      </c>
      <c r="C1869" s="439">
        <v>1.1499999999999999</v>
      </c>
      <c r="D1869" s="439">
        <v>1.1499999999999999</v>
      </c>
      <c r="E1869" s="411">
        <v>1.1499999999999999</v>
      </c>
      <c r="F1869" s="411">
        <v>1.1499999999999999</v>
      </c>
      <c r="G1869" s="411">
        <v>1.1499999999999999</v>
      </c>
      <c r="H1869" s="293">
        <v>1.1499999999999999</v>
      </c>
      <c r="I1869" s="293">
        <v>1.1499999999999999</v>
      </c>
      <c r="J1869" s="293">
        <v>1.1499999999999999</v>
      </c>
      <c r="K1869" s="293">
        <v>1.1499999999999999</v>
      </c>
      <c r="L1869" s="439">
        <v>1.1499999999999999</v>
      </c>
      <c r="M1869" s="411">
        <v>1.1499999999999999</v>
      </c>
      <c r="N1869" s="411">
        <v>1.1499999999999999</v>
      </c>
      <c r="O1869" s="439">
        <v>1.1499999999999999</v>
      </c>
      <c r="P1869" s="439">
        <v>1.1499999999999999</v>
      </c>
      <c r="Q1869" s="439">
        <v>1.1499999999999999</v>
      </c>
      <c r="R1869" s="411">
        <v>1.1499999999999999</v>
      </c>
      <c r="S1869" s="411">
        <v>1.1499999999999999</v>
      </c>
      <c r="T1869" s="439">
        <v>1.1499999999999999</v>
      </c>
      <c r="U1869" s="293">
        <v>1.1499999999999999</v>
      </c>
      <c r="V1869" s="293">
        <v>1.1499999999999999</v>
      </c>
      <c r="W1869" s="293">
        <v>1.1499999999999999</v>
      </c>
      <c r="X1869" s="293">
        <v>1.1499999999999999</v>
      </c>
      <c r="Y1869" s="411">
        <v>5.0999999999999996</v>
      </c>
      <c r="Z1869" s="439">
        <v>32.01</v>
      </c>
      <c r="AA1869" s="326"/>
      <c r="AB1869" s="326"/>
      <c r="AC1869" s="326"/>
      <c r="AD1869" s="411">
        <v>32.01</v>
      </c>
      <c r="AE1869" s="452">
        <v>32.01</v>
      </c>
      <c r="AF1869" s="411">
        <v>15.17</v>
      </c>
    </row>
    <row r="1870" spans="1:33">
      <c r="A1870" s="411">
        <v>1.1499999999999999</v>
      </c>
      <c r="B1870" s="411">
        <v>1.1499999999999999</v>
      </c>
      <c r="C1870" s="439">
        <v>1.1499999999999999</v>
      </c>
      <c r="D1870" s="439">
        <v>1.1499999999999999</v>
      </c>
      <c r="E1870" s="439">
        <v>1.1499999999999999</v>
      </c>
      <c r="F1870" s="411">
        <v>1.1499999999999999</v>
      </c>
      <c r="G1870" s="411">
        <v>1.1499999999999999</v>
      </c>
      <c r="H1870" s="293">
        <v>1.1499999999999999</v>
      </c>
      <c r="I1870" s="293">
        <v>1.1499999999999999</v>
      </c>
      <c r="J1870" s="293">
        <v>1.1499999999999999</v>
      </c>
      <c r="K1870" s="293">
        <v>1.1499999999999999</v>
      </c>
      <c r="L1870" s="293">
        <v>1.1499999999999999</v>
      </c>
      <c r="M1870" s="439">
        <v>1.1499999999999999</v>
      </c>
      <c r="N1870" s="411">
        <v>1.1499999999999999</v>
      </c>
      <c r="O1870" s="411">
        <v>1.1499999999999999</v>
      </c>
      <c r="P1870" s="439">
        <v>1.1499999999999999</v>
      </c>
      <c r="Q1870" s="411">
        <v>1.1499999999999999</v>
      </c>
      <c r="R1870" s="411">
        <v>1.1499999999999999</v>
      </c>
      <c r="S1870" s="439">
        <v>1.1499999999999999</v>
      </c>
      <c r="T1870" s="293">
        <v>1.1499999999999999</v>
      </c>
      <c r="U1870" s="293">
        <v>1.1499999999999999</v>
      </c>
      <c r="V1870" s="293">
        <v>1.1499999999999999</v>
      </c>
      <c r="W1870" s="293">
        <v>1.1499999999999999</v>
      </c>
      <c r="X1870" s="293">
        <v>1.1499999999999999</v>
      </c>
      <c r="Y1870" s="411">
        <v>6.09</v>
      </c>
      <c r="Z1870" s="439">
        <v>32.01</v>
      </c>
      <c r="AA1870" s="326"/>
      <c r="AB1870" s="326"/>
      <c r="AC1870" s="326"/>
      <c r="AD1870" s="411">
        <v>32.01</v>
      </c>
      <c r="AE1870" s="452">
        <v>32.01</v>
      </c>
      <c r="AF1870" s="411">
        <v>15.17</v>
      </c>
    </row>
    <row r="1871" spans="1:33">
      <c r="A1871" s="411">
        <v>1.1499999999999999</v>
      </c>
      <c r="B1871" s="411">
        <v>1.1499999999999999</v>
      </c>
      <c r="C1871" s="439">
        <v>1.1499999999999999</v>
      </c>
      <c r="D1871" s="439">
        <v>1.1499999999999999</v>
      </c>
      <c r="E1871" s="439">
        <v>1.1499999999999999</v>
      </c>
      <c r="F1871" s="411">
        <v>1.1499999999999999</v>
      </c>
      <c r="G1871" s="411">
        <v>1.1499999999999999</v>
      </c>
      <c r="H1871" s="293">
        <v>1.1499999999999999</v>
      </c>
      <c r="I1871" s="293">
        <v>1.1499999999999999</v>
      </c>
      <c r="J1871" s="293">
        <v>1.1499999999999999</v>
      </c>
      <c r="K1871" s="293">
        <v>1.1499999999999999</v>
      </c>
      <c r="L1871" s="293">
        <v>1.1499999999999999</v>
      </c>
      <c r="M1871" s="293">
        <v>1.1499999999999999</v>
      </c>
      <c r="N1871" s="439">
        <v>1.1499999999999999</v>
      </c>
      <c r="O1871" s="411">
        <v>1.1499999999999999</v>
      </c>
      <c r="P1871" s="411">
        <v>1.1499999999999999</v>
      </c>
      <c r="Q1871" s="411">
        <v>1.1499999999999999</v>
      </c>
      <c r="R1871" s="439">
        <v>1.1499999999999999</v>
      </c>
      <c r="S1871" s="293">
        <v>1.1499999999999999</v>
      </c>
      <c r="T1871" s="293">
        <v>1.1499999999999999</v>
      </c>
      <c r="U1871" s="293">
        <v>1.1499999999999999</v>
      </c>
      <c r="V1871" s="293">
        <v>1.1499999999999999</v>
      </c>
      <c r="W1871" s="293">
        <v>1.1499999999999999</v>
      </c>
      <c r="X1871" s="293">
        <v>1.1499999999999999</v>
      </c>
      <c r="Y1871" s="411">
        <v>7.08</v>
      </c>
      <c r="Z1871" s="439">
        <v>32.01</v>
      </c>
      <c r="AA1871" s="326"/>
      <c r="AB1871" s="326"/>
      <c r="AC1871" s="326"/>
      <c r="AD1871" s="411">
        <v>32.01</v>
      </c>
      <c r="AE1871" s="452">
        <v>32.01</v>
      </c>
      <c r="AF1871" s="411">
        <v>15.17</v>
      </c>
    </row>
    <row r="1872" spans="1:33">
      <c r="A1872" s="411">
        <v>1.1499999999999999</v>
      </c>
      <c r="B1872" s="411">
        <v>1.1499999999999999</v>
      </c>
      <c r="C1872" s="439">
        <v>1.1499999999999999</v>
      </c>
      <c r="D1872" s="439">
        <v>1.1499999999999999</v>
      </c>
      <c r="E1872" s="439">
        <v>1.1499999999999999</v>
      </c>
      <c r="F1872" s="439">
        <v>1.1499999999999999</v>
      </c>
      <c r="G1872" s="411">
        <v>1.1499999999999999</v>
      </c>
      <c r="H1872" s="293">
        <v>1.1499999999999999</v>
      </c>
      <c r="I1872" s="293">
        <v>1.1499999999999999</v>
      </c>
      <c r="J1872" s="293">
        <v>1.1499999999999999</v>
      </c>
      <c r="K1872" s="293">
        <v>1.1499999999999999</v>
      </c>
      <c r="L1872" s="293">
        <v>1.1499999999999999</v>
      </c>
      <c r="M1872" s="293">
        <v>1.1499999999999999</v>
      </c>
      <c r="N1872" s="293">
        <v>1.1499999999999999</v>
      </c>
      <c r="O1872" s="439">
        <v>1.1499999999999999</v>
      </c>
      <c r="P1872" s="411">
        <v>1.1499999999999999</v>
      </c>
      <c r="Q1872" s="439">
        <v>1.1499999999999999</v>
      </c>
      <c r="R1872" s="293">
        <v>1.1499999999999999</v>
      </c>
      <c r="S1872" s="293">
        <v>1.1499999999999999</v>
      </c>
      <c r="T1872" s="293">
        <v>1.1499999999999999</v>
      </c>
      <c r="U1872" s="293">
        <v>1.1499999999999999</v>
      </c>
      <c r="V1872" s="293">
        <v>1.1499999999999999</v>
      </c>
      <c r="W1872" s="293">
        <v>1.1499999999999999</v>
      </c>
      <c r="X1872" s="293">
        <v>1.1499999999999999</v>
      </c>
      <c r="Y1872" s="411">
        <v>7.08</v>
      </c>
      <c r="Z1872" s="293">
        <v>32.01</v>
      </c>
      <c r="AA1872" s="326"/>
      <c r="AB1872" s="326"/>
      <c r="AC1872" s="326"/>
      <c r="AD1872" s="411">
        <v>32.01</v>
      </c>
      <c r="AE1872" s="452">
        <v>32.01</v>
      </c>
      <c r="AF1872" s="411">
        <v>15.17</v>
      </c>
    </row>
    <row r="1873" spans="1:34">
      <c r="A1873" s="411">
        <v>1.1499999999999999</v>
      </c>
      <c r="B1873" s="411">
        <v>1.1499999999999999</v>
      </c>
      <c r="C1873" s="439">
        <v>1.1499999999999999</v>
      </c>
      <c r="D1873" s="439">
        <v>1.1499999999999999</v>
      </c>
      <c r="E1873" s="439">
        <v>1.1499999999999999</v>
      </c>
      <c r="F1873" s="439">
        <v>1.1499999999999999</v>
      </c>
      <c r="G1873" s="411">
        <v>1.1499999999999999</v>
      </c>
      <c r="H1873" s="293">
        <v>1.1499999999999999</v>
      </c>
      <c r="I1873" s="293">
        <v>1.1499999999999999</v>
      </c>
      <c r="J1873" s="293">
        <v>1.1499999999999999</v>
      </c>
      <c r="K1873" s="293">
        <v>1.1499999999999999</v>
      </c>
      <c r="L1873" s="293">
        <v>1.1499999999999999</v>
      </c>
      <c r="M1873" s="293">
        <v>1.1499999999999999</v>
      </c>
      <c r="N1873" s="439">
        <v>1.1499999999999999</v>
      </c>
      <c r="O1873" s="411">
        <v>1.1499999999999999</v>
      </c>
      <c r="P1873" s="411">
        <v>1.1499999999999999</v>
      </c>
      <c r="Q1873" s="411">
        <v>1.1499999999999999</v>
      </c>
      <c r="R1873" s="439">
        <v>1.1499999999999999</v>
      </c>
      <c r="S1873" s="293">
        <v>1.1499999999999999</v>
      </c>
      <c r="T1873" s="293">
        <v>1.1499999999999999</v>
      </c>
      <c r="U1873" s="293">
        <v>1.1499999999999999</v>
      </c>
      <c r="V1873" s="293">
        <v>1.1499999999999999</v>
      </c>
      <c r="W1873" s="293">
        <v>1.1499999999999999</v>
      </c>
      <c r="X1873" s="293">
        <v>1.1499999999999999</v>
      </c>
      <c r="Y1873" s="411">
        <v>6.09</v>
      </c>
      <c r="Z1873" s="293">
        <v>32.01</v>
      </c>
      <c r="AA1873" s="326"/>
      <c r="AB1873" s="326"/>
      <c r="AC1873" s="326"/>
      <c r="AD1873" s="411">
        <v>32.01</v>
      </c>
      <c r="AE1873" s="452">
        <v>32.01</v>
      </c>
      <c r="AF1873" s="411">
        <v>15.17</v>
      </c>
    </row>
    <row r="1874" spans="1:34">
      <c r="A1874" s="411">
        <v>1.1499999999999999</v>
      </c>
      <c r="B1874" s="411">
        <v>1.1499999999999999</v>
      </c>
      <c r="C1874" s="439">
        <v>1.1499999999999999</v>
      </c>
      <c r="D1874" s="439">
        <v>1.1499999999999999</v>
      </c>
      <c r="E1874" s="439">
        <v>1.1499999999999999</v>
      </c>
      <c r="F1874" s="411">
        <v>1.1499999999999999</v>
      </c>
      <c r="G1874" s="411">
        <v>1.1499999999999999</v>
      </c>
      <c r="H1874" s="293">
        <v>1.1499999999999999</v>
      </c>
      <c r="I1874" s="293">
        <v>1.1499999999999999</v>
      </c>
      <c r="J1874" s="293">
        <v>1.1499999999999999</v>
      </c>
      <c r="K1874" s="293">
        <v>1.1499999999999999</v>
      </c>
      <c r="L1874" s="293">
        <v>1.1499999999999999</v>
      </c>
      <c r="M1874" s="439">
        <v>1.1499999999999999</v>
      </c>
      <c r="N1874" s="411">
        <v>1.1499999999999999</v>
      </c>
      <c r="O1874" s="411">
        <v>1.1499999999999999</v>
      </c>
      <c r="P1874" s="439">
        <v>1.1499999999999999</v>
      </c>
      <c r="Q1874" s="411">
        <v>1.1499999999999999</v>
      </c>
      <c r="R1874" s="411">
        <v>1.1499999999999999</v>
      </c>
      <c r="S1874" s="439">
        <v>1.1499999999999999</v>
      </c>
      <c r="T1874" s="293">
        <v>1.1499999999999999</v>
      </c>
      <c r="U1874" s="293">
        <v>1.1499999999999999</v>
      </c>
      <c r="V1874" s="293">
        <v>1.1499999999999999</v>
      </c>
      <c r="W1874" s="293">
        <v>1.1499999999999999</v>
      </c>
      <c r="X1874" s="293">
        <v>1.1499999999999999</v>
      </c>
      <c r="Y1874" s="411">
        <v>5.0999999999999996</v>
      </c>
      <c r="Z1874" s="293">
        <v>32.01</v>
      </c>
      <c r="AA1874" s="326"/>
      <c r="AB1874" s="326"/>
      <c r="AC1874" s="326"/>
      <c r="AD1874" s="411">
        <v>32.01</v>
      </c>
      <c r="AE1874" s="452">
        <v>32.01</v>
      </c>
      <c r="AF1874" s="411">
        <v>15.17</v>
      </c>
    </row>
    <row r="1875" spans="1:34">
      <c r="A1875" s="411">
        <v>1.1499999999999999</v>
      </c>
      <c r="B1875" s="411">
        <v>1.1499999999999999</v>
      </c>
      <c r="C1875" s="439">
        <v>1.1499999999999999</v>
      </c>
      <c r="D1875" s="439">
        <v>1.1499999999999999</v>
      </c>
      <c r="E1875" s="439">
        <v>1.1499999999999999</v>
      </c>
      <c r="F1875" s="411">
        <v>1.1499999999999999</v>
      </c>
      <c r="G1875" s="411">
        <v>1.1499999999999999</v>
      </c>
      <c r="H1875" s="293">
        <v>1.1499999999999999</v>
      </c>
      <c r="I1875" s="293">
        <v>1.1499999999999999</v>
      </c>
      <c r="J1875" s="293">
        <v>1.1499999999999999</v>
      </c>
      <c r="K1875" s="293">
        <v>1.1499999999999999</v>
      </c>
      <c r="L1875" s="439">
        <v>1.1499999999999999</v>
      </c>
      <c r="M1875" s="411">
        <v>1.1499999999999999</v>
      </c>
      <c r="N1875" s="411">
        <v>1.1499999999999999</v>
      </c>
      <c r="O1875" s="439">
        <v>1.1499999999999999</v>
      </c>
      <c r="P1875" s="439">
        <v>1.1499999999999999</v>
      </c>
      <c r="Q1875" s="439">
        <v>1.1499999999999999</v>
      </c>
      <c r="R1875" s="411">
        <v>1.1499999999999999</v>
      </c>
      <c r="S1875" s="411">
        <v>1.1499999999999999</v>
      </c>
      <c r="T1875" s="439">
        <v>1.1499999999999999</v>
      </c>
      <c r="U1875" s="293">
        <v>1.1499999999999999</v>
      </c>
      <c r="V1875" s="293">
        <v>1.1499999999999999</v>
      </c>
      <c r="W1875" s="293">
        <v>1.1499999999999999</v>
      </c>
      <c r="X1875" s="293">
        <v>1.1499999999999999</v>
      </c>
      <c r="Y1875" s="411">
        <v>4.1100000000000003</v>
      </c>
      <c r="Z1875" s="293">
        <v>32.01</v>
      </c>
      <c r="AA1875" s="326"/>
      <c r="AB1875" s="326"/>
      <c r="AC1875" s="326"/>
      <c r="AD1875" s="411">
        <v>32.01</v>
      </c>
      <c r="AE1875" s="452">
        <v>32.01</v>
      </c>
      <c r="AF1875" s="411">
        <v>15.17</v>
      </c>
    </row>
    <row r="1876" spans="1:34">
      <c r="A1876" s="411">
        <v>1.1499999999999999</v>
      </c>
      <c r="B1876" s="411">
        <v>1.1499999999999999</v>
      </c>
      <c r="C1876" s="439">
        <v>1.1499999999999999</v>
      </c>
      <c r="D1876" s="439">
        <v>1.1499999999999999</v>
      </c>
      <c r="E1876" s="411">
        <v>1.1499999999999999</v>
      </c>
      <c r="F1876" s="411">
        <v>1.1499999999999999</v>
      </c>
      <c r="G1876" s="411">
        <v>1.1499999999999999</v>
      </c>
      <c r="H1876" s="293">
        <v>1.1499999999999999</v>
      </c>
      <c r="I1876" s="293">
        <v>1.1499999999999999</v>
      </c>
      <c r="J1876" s="293">
        <v>1.1499999999999999</v>
      </c>
      <c r="K1876" s="439">
        <v>1.1499999999999999</v>
      </c>
      <c r="L1876" s="411">
        <v>1.1499999999999999</v>
      </c>
      <c r="M1876" s="411">
        <v>1.1499999999999999</v>
      </c>
      <c r="N1876" s="439">
        <v>1.1499999999999999</v>
      </c>
      <c r="O1876" s="439">
        <v>1.1499999999999999</v>
      </c>
      <c r="P1876" s="439">
        <v>1.1499999999999999</v>
      </c>
      <c r="Q1876" s="439">
        <v>1.1499999999999999</v>
      </c>
      <c r="R1876" s="439">
        <v>1.1499999999999999</v>
      </c>
      <c r="S1876" s="411">
        <v>1.1499999999999999</v>
      </c>
      <c r="T1876" s="411">
        <v>1.1499999999999999</v>
      </c>
      <c r="U1876" s="439">
        <v>1.1499999999999999</v>
      </c>
      <c r="V1876" s="293">
        <v>1.1499999999999999</v>
      </c>
      <c r="W1876" s="293">
        <v>1.1499999999999999</v>
      </c>
      <c r="X1876" s="293">
        <v>1.1499999999999999</v>
      </c>
      <c r="Y1876" s="411">
        <v>3.12</v>
      </c>
      <c r="Z1876" s="293">
        <v>32.01</v>
      </c>
      <c r="AA1876" s="326"/>
      <c r="AB1876" s="326"/>
      <c r="AC1876" s="326"/>
      <c r="AD1876" s="411">
        <v>32.01</v>
      </c>
      <c r="AE1876" s="452">
        <v>32.01</v>
      </c>
      <c r="AF1876" s="411">
        <v>15.17</v>
      </c>
    </row>
    <row r="1877" spans="1:34">
      <c r="A1877" s="411">
        <v>1.1499999999999999</v>
      </c>
      <c r="B1877" s="411">
        <v>1.1499999999999999</v>
      </c>
      <c r="C1877" s="439">
        <v>1.1499999999999999</v>
      </c>
      <c r="D1877" s="439">
        <v>1.1499999999999999</v>
      </c>
      <c r="E1877" s="411">
        <v>1.1499999999999999</v>
      </c>
      <c r="F1877" s="439">
        <v>1.1499999999999999</v>
      </c>
      <c r="G1877" s="411">
        <v>1.1499999999999999</v>
      </c>
      <c r="H1877" s="293">
        <v>1.1499999999999999</v>
      </c>
      <c r="I1877" s="293">
        <v>1.1499999999999999</v>
      </c>
      <c r="J1877" s="439">
        <v>1.1499999999999999</v>
      </c>
      <c r="K1877" s="411">
        <v>1.1499999999999999</v>
      </c>
      <c r="L1877" s="411">
        <v>1.1499999999999999</v>
      </c>
      <c r="M1877" s="439">
        <v>1.1499999999999999</v>
      </c>
      <c r="N1877" s="439">
        <v>1.1499999999999999</v>
      </c>
      <c r="O1877" s="439">
        <v>1.1499999999999999</v>
      </c>
      <c r="P1877" s="439">
        <v>1.1499999999999999</v>
      </c>
      <c r="Q1877" s="439">
        <v>1.1499999999999999</v>
      </c>
      <c r="R1877" s="439">
        <v>1.1499999999999999</v>
      </c>
      <c r="S1877" s="439">
        <v>1.1499999999999999</v>
      </c>
      <c r="T1877" s="411">
        <v>1.1499999999999999</v>
      </c>
      <c r="U1877" s="411">
        <v>1.1499999999999999</v>
      </c>
      <c r="V1877" s="439">
        <v>1.1499999999999999</v>
      </c>
      <c r="W1877" s="293">
        <v>1.1499999999999999</v>
      </c>
      <c r="X1877" s="293">
        <v>1.1499999999999999</v>
      </c>
      <c r="Y1877" s="411">
        <v>2.13</v>
      </c>
      <c r="Z1877" s="293">
        <v>32.01</v>
      </c>
      <c r="AA1877" s="326"/>
      <c r="AB1877" s="326"/>
      <c r="AC1877" s="326"/>
      <c r="AD1877" s="411">
        <v>32.01</v>
      </c>
      <c r="AE1877" s="452">
        <v>32.01</v>
      </c>
      <c r="AF1877" s="411">
        <v>15.17</v>
      </c>
    </row>
    <row r="1878" spans="1:34">
      <c r="A1878" s="411">
        <v>1.1499999999999999</v>
      </c>
      <c r="B1878" s="411">
        <v>1.1499999999999999</v>
      </c>
      <c r="C1878" s="439">
        <v>1.1499999999999999</v>
      </c>
      <c r="D1878" s="411">
        <v>1.1499999999999999</v>
      </c>
      <c r="E1878" s="411">
        <v>1.1499999999999999</v>
      </c>
      <c r="F1878" s="293">
        <v>1.1499999999999999</v>
      </c>
      <c r="G1878" s="411">
        <v>1.1499999999999999</v>
      </c>
      <c r="H1878" s="293">
        <v>1.1499999999999999</v>
      </c>
      <c r="I1878" s="439">
        <v>1.1499999999999999</v>
      </c>
      <c r="J1878" s="411">
        <v>1.1499999999999999</v>
      </c>
      <c r="K1878" s="411">
        <v>1.1499999999999999</v>
      </c>
      <c r="L1878" s="439">
        <v>1.1499999999999999</v>
      </c>
      <c r="M1878" s="439">
        <v>1.1499999999999999</v>
      </c>
      <c r="N1878" s="439">
        <v>1.1499999999999999</v>
      </c>
      <c r="O1878" s="439">
        <v>1.1499999999999999</v>
      </c>
      <c r="P1878" s="439">
        <v>1.1499999999999999</v>
      </c>
      <c r="Q1878" s="439">
        <v>1.1499999999999999</v>
      </c>
      <c r="R1878" s="439">
        <v>1.1499999999999999</v>
      </c>
      <c r="S1878" s="439">
        <v>1.1499999999999999</v>
      </c>
      <c r="T1878" s="439">
        <v>1.1499999999999999</v>
      </c>
      <c r="U1878" s="411">
        <v>1.1499999999999999</v>
      </c>
      <c r="V1878" s="411">
        <v>1.1499999999999999</v>
      </c>
      <c r="W1878" s="439">
        <v>1.1499999999999999</v>
      </c>
      <c r="X1878" s="293">
        <v>1.1499999999999999</v>
      </c>
      <c r="Y1878" s="411">
        <v>1.1399999999999999</v>
      </c>
      <c r="Z1878" s="293">
        <v>32.01</v>
      </c>
      <c r="AA1878" s="326"/>
      <c r="AB1878" s="326"/>
      <c r="AC1878" s="326"/>
      <c r="AD1878" s="411">
        <v>32.01</v>
      </c>
      <c r="AE1878" s="452">
        <v>32.01</v>
      </c>
      <c r="AF1878" s="411">
        <v>15.17</v>
      </c>
    </row>
    <row r="1879" spans="1:34">
      <c r="A1879" s="411">
        <v>1.1499999999999999</v>
      </c>
      <c r="B1879" s="411">
        <v>1.1499999999999999</v>
      </c>
      <c r="C1879" s="439">
        <v>1.1499999999999999</v>
      </c>
      <c r="D1879" s="411">
        <v>1.1499999999999999</v>
      </c>
      <c r="E1879" s="439">
        <v>1.1499999999999999</v>
      </c>
      <c r="F1879" s="293">
        <v>1.1499999999999999</v>
      </c>
      <c r="G1879" s="411">
        <v>1.1499999999999999</v>
      </c>
      <c r="H1879" s="439">
        <v>1.1499999999999999</v>
      </c>
      <c r="I1879" s="411">
        <v>1.1499999999999999</v>
      </c>
      <c r="J1879" s="411">
        <v>1.1499999999999999</v>
      </c>
      <c r="K1879" s="439">
        <v>1.1499999999999999</v>
      </c>
      <c r="L1879" s="439">
        <v>1.1499999999999999</v>
      </c>
      <c r="M1879" s="439">
        <v>1.1499999999999999</v>
      </c>
      <c r="N1879" s="439">
        <v>1.1499999999999999</v>
      </c>
      <c r="O1879" s="439">
        <v>1.1499999999999999</v>
      </c>
      <c r="P1879" s="439">
        <v>1.1499999999999999</v>
      </c>
      <c r="Q1879" s="439">
        <v>1.1499999999999999</v>
      </c>
      <c r="R1879" s="439">
        <v>1.1499999999999999</v>
      </c>
      <c r="S1879" s="439">
        <v>1.1499999999999999</v>
      </c>
      <c r="T1879" s="439">
        <v>1.1499999999999999</v>
      </c>
      <c r="U1879" s="439">
        <v>1.1499999999999999</v>
      </c>
      <c r="V1879" s="411">
        <v>1.1499999999999999</v>
      </c>
      <c r="W1879" s="411">
        <v>1.1499999999999999</v>
      </c>
      <c r="X1879" s="439">
        <v>1.1499999999999999</v>
      </c>
      <c r="Y1879" s="411">
        <v>1.1399999999999999</v>
      </c>
      <c r="Z1879" s="439">
        <v>32.01</v>
      </c>
      <c r="AA1879" s="326"/>
      <c r="AB1879" s="326"/>
      <c r="AC1879" s="326"/>
      <c r="AD1879" s="411">
        <v>32.01</v>
      </c>
      <c r="AE1879" s="452">
        <v>32.01</v>
      </c>
      <c r="AF1879" s="411">
        <v>15.17</v>
      </c>
    </row>
    <row r="1880" spans="1:34">
      <c r="A1880" s="411">
        <v>1.1499999999999999</v>
      </c>
      <c r="B1880" s="411">
        <v>1.1499999999999999</v>
      </c>
      <c r="C1880" s="411">
        <v>1.1499999999999999</v>
      </c>
      <c r="D1880" s="411">
        <v>1.1499999999999999</v>
      </c>
      <c r="E1880" s="439">
        <v>1.1499999999999999</v>
      </c>
      <c r="F1880" s="293">
        <v>1.1499999999999999</v>
      </c>
      <c r="G1880" s="411">
        <v>1.1499999999999999</v>
      </c>
      <c r="H1880" s="411">
        <v>1.1499999999999999</v>
      </c>
      <c r="I1880" s="411">
        <v>1.1499999999999999</v>
      </c>
      <c r="J1880" s="439">
        <v>1.1499999999999999</v>
      </c>
      <c r="K1880" s="439">
        <v>1.1499999999999999</v>
      </c>
      <c r="L1880" s="439">
        <v>1.1499999999999999</v>
      </c>
      <c r="M1880" s="439">
        <v>1.1499999999999999</v>
      </c>
      <c r="N1880" s="439">
        <v>1.1499999999999999</v>
      </c>
      <c r="O1880" s="439">
        <v>1.1499999999999999</v>
      </c>
      <c r="P1880" s="439">
        <v>1.1499999999999999</v>
      </c>
      <c r="Q1880" s="439">
        <v>1.1499999999999999</v>
      </c>
      <c r="R1880" s="439">
        <v>1.1499999999999999</v>
      </c>
      <c r="S1880" s="439">
        <v>1.1499999999999999</v>
      </c>
      <c r="T1880" s="439">
        <v>1.1499999999999999</v>
      </c>
      <c r="U1880" s="439">
        <v>1.1499999999999999</v>
      </c>
      <c r="V1880" s="439">
        <v>1.1499999999999999</v>
      </c>
      <c r="W1880" s="411">
        <v>1.1499999999999999</v>
      </c>
      <c r="X1880" s="411">
        <v>1.1499999999999999</v>
      </c>
      <c r="Y1880" s="411">
        <v>32.01</v>
      </c>
      <c r="Z1880" s="293">
        <v>32.01</v>
      </c>
      <c r="AA1880" s="326"/>
      <c r="AB1880" s="326"/>
      <c r="AC1880" s="326"/>
      <c r="AD1880" s="411">
        <v>32.01</v>
      </c>
      <c r="AE1880" s="452">
        <v>32.01</v>
      </c>
      <c r="AF1880" s="411">
        <v>15.17</v>
      </c>
    </row>
    <row r="1881" spans="1:34">
      <c r="A1881" s="411">
        <v>15.17</v>
      </c>
      <c r="B1881" s="411">
        <v>32.01</v>
      </c>
      <c r="C1881" s="411">
        <v>2.13</v>
      </c>
      <c r="D1881" s="411">
        <v>4.1100000000000003</v>
      </c>
      <c r="E1881" s="411">
        <v>6.09</v>
      </c>
      <c r="F1881" s="411">
        <v>7.08</v>
      </c>
      <c r="G1881" s="411">
        <v>1.1399999999999999</v>
      </c>
      <c r="H1881" s="411">
        <v>32.01</v>
      </c>
      <c r="I1881" s="411">
        <v>1.1399999999999999</v>
      </c>
      <c r="J1881" s="411">
        <v>2.13</v>
      </c>
      <c r="K1881" s="411">
        <v>3.12</v>
      </c>
      <c r="L1881" s="411">
        <v>4.1100000000000003</v>
      </c>
      <c r="M1881" s="411">
        <v>5.0999999999999996</v>
      </c>
      <c r="N1881" s="411">
        <v>6.09</v>
      </c>
      <c r="O1881" s="411">
        <v>7.08</v>
      </c>
      <c r="P1881" s="411">
        <v>7.08</v>
      </c>
      <c r="Q1881" s="411">
        <v>6.09</v>
      </c>
      <c r="R1881" s="411">
        <v>5.0999999999999996</v>
      </c>
      <c r="S1881" s="411">
        <v>4.1100000000000003</v>
      </c>
      <c r="T1881" s="411">
        <v>3.12</v>
      </c>
      <c r="U1881" s="411">
        <v>2.13</v>
      </c>
      <c r="V1881" s="411">
        <v>1.1399999999999999</v>
      </c>
      <c r="W1881" s="411">
        <v>1.1399999999999999</v>
      </c>
      <c r="X1881" s="411">
        <v>32.01</v>
      </c>
      <c r="Y1881" s="411">
        <v>32.01</v>
      </c>
      <c r="Z1881" s="293">
        <v>32.01</v>
      </c>
      <c r="AA1881" s="326"/>
      <c r="AB1881" s="326"/>
      <c r="AC1881" s="326"/>
      <c r="AD1881" s="411">
        <v>32.01</v>
      </c>
      <c r="AE1881" s="452">
        <v>32.01</v>
      </c>
      <c r="AF1881" s="411">
        <v>15.17</v>
      </c>
    </row>
    <row r="1882" spans="1:34">
      <c r="A1882" s="411">
        <v>15.17</v>
      </c>
      <c r="B1882" s="411">
        <v>32.01</v>
      </c>
      <c r="C1882" s="439">
        <v>32.01</v>
      </c>
      <c r="D1882" s="439">
        <v>32.01</v>
      </c>
      <c r="E1882" s="439">
        <v>32.01</v>
      </c>
      <c r="F1882" s="439">
        <v>32.01</v>
      </c>
      <c r="G1882" s="439">
        <v>32.01</v>
      </c>
      <c r="H1882" s="439">
        <v>32.01</v>
      </c>
      <c r="I1882" s="439">
        <v>32.01</v>
      </c>
      <c r="J1882" s="439">
        <v>32.01</v>
      </c>
      <c r="K1882" s="439">
        <v>32.01</v>
      </c>
      <c r="L1882" s="439">
        <v>32.01</v>
      </c>
      <c r="M1882" s="439">
        <v>32.01</v>
      </c>
      <c r="N1882" s="439">
        <v>32.01</v>
      </c>
      <c r="O1882" s="439">
        <v>32.01</v>
      </c>
      <c r="P1882" s="293">
        <v>32.01</v>
      </c>
      <c r="Q1882" s="293">
        <v>32.01</v>
      </c>
      <c r="R1882" s="293">
        <v>32.01</v>
      </c>
      <c r="S1882" s="293">
        <v>32.01</v>
      </c>
      <c r="T1882" s="293">
        <v>32.01</v>
      </c>
      <c r="U1882" s="293">
        <v>32.01</v>
      </c>
      <c r="V1882" s="293">
        <v>32.01</v>
      </c>
      <c r="W1882" s="439">
        <v>32.01</v>
      </c>
      <c r="X1882" s="293">
        <v>32.01</v>
      </c>
      <c r="Y1882" s="293">
        <v>32.01</v>
      </c>
      <c r="Z1882" s="293">
        <v>32.01</v>
      </c>
      <c r="AA1882" s="326"/>
      <c r="AB1882" s="326"/>
      <c r="AC1882" s="326"/>
      <c r="AD1882" s="411">
        <v>32.01</v>
      </c>
      <c r="AE1882" s="452">
        <v>32.01</v>
      </c>
      <c r="AF1882" s="411">
        <v>15.17</v>
      </c>
    </row>
    <row r="1883" spans="1:34">
      <c r="A1883" s="411">
        <v>15.17</v>
      </c>
      <c r="B1883" s="411">
        <v>32.01</v>
      </c>
      <c r="C1883" s="326"/>
      <c r="D1883" s="326"/>
      <c r="E1883" s="326"/>
      <c r="F1883" s="326"/>
      <c r="G1883" s="326"/>
      <c r="H1883" s="326"/>
      <c r="I1883" s="326"/>
      <c r="J1883" s="326"/>
      <c r="K1883" s="326"/>
      <c r="L1883" s="326"/>
      <c r="M1883" s="326"/>
      <c r="N1883" s="326"/>
      <c r="O1883" s="326"/>
      <c r="P1883" s="326"/>
      <c r="Q1883" s="326"/>
      <c r="R1883" s="326"/>
      <c r="S1883" s="326"/>
      <c r="T1883" s="326"/>
      <c r="U1883" s="326"/>
      <c r="V1883" s="326"/>
      <c r="W1883" s="326"/>
      <c r="X1883" s="326"/>
      <c r="Y1883" s="326"/>
      <c r="Z1883" s="326"/>
      <c r="AA1883" s="326"/>
      <c r="AB1883" s="326"/>
      <c r="AC1883" s="326"/>
      <c r="AD1883" s="411">
        <v>32.01</v>
      </c>
      <c r="AE1883" s="452">
        <v>32.01</v>
      </c>
      <c r="AF1883" s="411">
        <v>15.17</v>
      </c>
    </row>
    <row r="1884" spans="1:34">
      <c r="AH1884">
        <v>1883</v>
      </c>
    </row>
    <row r="1885" spans="1:34">
      <c r="AH1885">
        <v>1883</v>
      </c>
    </row>
    <row r="1886" spans="1:34">
      <c r="A1886" s="411">
        <v>15.17</v>
      </c>
      <c r="B1886" s="411">
        <v>32.01</v>
      </c>
      <c r="C1886" s="411">
        <v>32.01</v>
      </c>
      <c r="D1886" s="411">
        <v>32.01</v>
      </c>
      <c r="E1886" s="411">
        <v>32.01</v>
      </c>
      <c r="F1886" s="411">
        <v>32.01</v>
      </c>
      <c r="G1886" s="411">
        <v>32.01</v>
      </c>
      <c r="H1886" s="411">
        <v>32.01</v>
      </c>
      <c r="I1886" s="411">
        <v>32.01</v>
      </c>
      <c r="J1886" s="411">
        <v>32.01</v>
      </c>
      <c r="K1886" s="411">
        <v>32.01</v>
      </c>
      <c r="L1886" s="411">
        <v>32.01</v>
      </c>
      <c r="M1886" s="411">
        <v>32.01</v>
      </c>
      <c r="N1886" s="411">
        <v>32.01</v>
      </c>
      <c r="O1886" s="411">
        <v>32.01</v>
      </c>
      <c r="P1886" s="411">
        <v>32.01</v>
      </c>
      <c r="Q1886" s="411">
        <v>32.01</v>
      </c>
      <c r="R1886" s="411">
        <v>32.01</v>
      </c>
      <c r="S1886" s="411">
        <v>32.01</v>
      </c>
      <c r="T1886" s="411">
        <v>32.01</v>
      </c>
      <c r="U1886" s="411">
        <v>32.01</v>
      </c>
      <c r="V1886" s="411">
        <v>32.01</v>
      </c>
      <c r="W1886" s="411">
        <v>32.01</v>
      </c>
      <c r="X1886" s="411">
        <v>32.01</v>
      </c>
      <c r="Y1886" s="411">
        <v>32.01</v>
      </c>
      <c r="Z1886" s="411">
        <v>32.01</v>
      </c>
      <c r="AA1886" s="411">
        <v>32.01</v>
      </c>
      <c r="AB1886" s="411">
        <v>32.01</v>
      </c>
      <c r="AC1886" s="411">
        <v>32.01</v>
      </c>
      <c r="AD1886" s="411">
        <v>32.01</v>
      </c>
      <c r="AE1886" s="452">
        <v>32.01</v>
      </c>
      <c r="AF1886" s="411">
        <v>15.17</v>
      </c>
    </row>
    <row r="1887" spans="1:34">
      <c r="A1887" s="411">
        <v>32.01</v>
      </c>
      <c r="B1887" s="411">
        <v>32.01</v>
      </c>
      <c r="C1887" s="411">
        <v>32.01</v>
      </c>
      <c r="D1887" s="411">
        <v>32.01</v>
      </c>
      <c r="E1887" s="411">
        <v>32.01</v>
      </c>
      <c r="F1887" s="411">
        <v>32.01</v>
      </c>
      <c r="G1887" s="411">
        <v>32.01</v>
      </c>
      <c r="H1887" s="411">
        <v>32.01</v>
      </c>
      <c r="I1887" s="411">
        <v>32.01</v>
      </c>
      <c r="J1887" s="411">
        <v>32.01</v>
      </c>
      <c r="K1887" s="411">
        <v>32.01</v>
      </c>
      <c r="L1887" s="411">
        <v>32.01</v>
      </c>
      <c r="M1887" s="411">
        <v>32.01</v>
      </c>
      <c r="N1887" s="411">
        <v>32.01</v>
      </c>
      <c r="O1887" s="411">
        <v>32.01</v>
      </c>
      <c r="P1887" s="411">
        <v>32.01</v>
      </c>
      <c r="Q1887" s="411">
        <v>32.01</v>
      </c>
      <c r="R1887" s="411">
        <v>32.01</v>
      </c>
      <c r="S1887" s="411">
        <v>32.01</v>
      </c>
      <c r="T1887" s="411">
        <v>32.01</v>
      </c>
      <c r="U1887" s="411">
        <v>32.01</v>
      </c>
      <c r="V1887" s="411">
        <v>32.01</v>
      </c>
      <c r="W1887" s="411">
        <v>32.01</v>
      </c>
      <c r="X1887" s="411">
        <v>32.01</v>
      </c>
      <c r="Y1887" s="411">
        <v>32.01</v>
      </c>
      <c r="Z1887" s="411">
        <v>32.01</v>
      </c>
      <c r="AA1887" s="411">
        <v>32.01</v>
      </c>
      <c r="AB1887" s="411">
        <v>32.01</v>
      </c>
      <c r="AC1887" s="411">
        <v>32.01</v>
      </c>
      <c r="AD1887" s="411">
        <v>32.01</v>
      </c>
      <c r="AE1887" s="411">
        <v>32.01</v>
      </c>
      <c r="AF1887" s="411">
        <v>32.01</v>
      </c>
    </row>
    <row r="1888" spans="1:34">
      <c r="A1888" s="452">
        <v>15.17</v>
      </c>
      <c r="B1888" s="452">
        <v>15.17</v>
      </c>
      <c r="C1888" s="452">
        <v>15.17</v>
      </c>
      <c r="D1888" s="452">
        <v>15.17</v>
      </c>
      <c r="E1888" s="452">
        <v>15.17</v>
      </c>
      <c r="F1888" s="452">
        <v>15.17</v>
      </c>
      <c r="G1888" s="452">
        <v>15.17</v>
      </c>
      <c r="H1888" s="452">
        <v>15.17</v>
      </c>
      <c r="I1888" s="452">
        <v>15.17</v>
      </c>
      <c r="J1888" s="452">
        <v>15.17</v>
      </c>
      <c r="K1888" s="452">
        <v>15.17</v>
      </c>
      <c r="L1888" s="452">
        <v>15.17</v>
      </c>
      <c r="M1888" s="452">
        <v>15.17</v>
      </c>
      <c r="N1888" s="452">
        <v>15.17</v>
      </c>
      <c r="O1888" s="452">
        <v>15.17</v>
      </c>
      <c r="P1888" s="452">
        <v>15.17</v>
      </c>
      <c r="Q1888" s="452">
        <v>15.17</v>
      </c>
      <c r="R1888" s="452">
        <v>15.17</v>
      </c>
      <c r="S1888" s="452">
        <v>15.17</v>
      </c>
      <c r="T1888" s="452">
        <v>15.17</v>
      </c>
      <c r="U1888" s="452">
        <v>15.17</v>
      </c>
      <c r="V1888" s="452">
        <v>15.17</v>
      </c>
      <c r="W1888" s="452">
        <v>15.17</v>
      </c>
      <c r="X1888" s="452">
        <v>15.17</v>
      </c>
      <c r="Y1888" s="452">
        <v>15.17</v>
      </c>
      <c r="Z1888" s="452">
        <v>15.17</v>
      </c>
      <c r="AA1888" s="452">
        <v>15.17</v>
      </c>
      <c r="AB1888" s="452">
        <v>15.17</v>
      </c>
      <c r="AC1888" s="452">
        <v>15.17</v>
      </c>
      <c r="AD1888" s="452">
        <v>15.17</v>
      </c>
      <c r="AE1888" s="452">
        <v>15.17</v>
      </c>
      <c r="AF1888" s="411">
        <v>32.01</v>
      </c>
    </row>
    <row r="1889" spans="1:33">
      <c r="A1889" s="411">
        <v>32.01</v>
      </c>
      <c r="B1889" s="452">
        <v>15.17</v>
      </c>
      <c r="C1889" s="452">
        <v>15.17</v>
      </c>
      <c r="D1889" s="452">
        <v>15.17</v>
      </c>
      <c r="E1889" s="452">
        <v>15.17</v>
      </c>
      <c r="F1889" s="452">
        <v>15.17</v>
      </c>
      <c r="G1889" s="452">
        <v>15.17</v>
      </c>
      <c r="H1889" s="452">
        <v>1.17</v>
      </c>
      <c r="I1889" s="452">
        <v>1.17</v>
      </c>
      <c r="J1889" s="452">
        <v>1.17</v>
      </c>
      <c r="K1889" s="452">
        <v>1.17</v>
      </c>
      <c r="L1889" s="452">
        <v>1.17</v>
      </c>
      <c r="M1889" s="452">
        <v>1.17</v>
      </c>
      <c r="N1889" s="452">
        <v>1.17</v>
      </c>
      <c r="O1889" s="452">
        <v>1.17</v>
      </c>
      <c r="P1889" s="452">
        <v>1.17</v>
      </c>
      <c r="Q1889" s="452">
        <v>1.17</v>
      </c>
      <c r="R1889" s="452">
        <v>1.17</v>
      </c>
      <c r="S1889" s="452">
        <v>1.17</v>
      </c>
      <c r="T1889" s="452">
        <v>1.17</v>
      </c>
      <c r="U1889" s="452">
        <v>1.17</v>
      </c>
      <c r="V1889" s="452">
        <v>1.17</v>
      </c>
      <c r="W1889" s="452">
        <v>1.17</v>
      </c>
      <c r="X1889" s="452">
        <v>1.17</v>
      </c>
      <c r="Y1889" s="452">
        <v>1.17</v>
      </c>
      <c r="Z1889" s="452">
        <v>15.17</v>
      </c>
      <c r="AA1889" s="452">
        <v>15.17</v>
      </c>
      <c r="AB1889" s="452">
        <v>15.17</v>
      </c>
      <c r="AC1889" s="452">
        <v>15.17</v>
      </c>
      <c r="AD1889" s="452">
        <v>15.17</v>
      </c>
      <c r="AE1889" s="452">
        <v>15.17</v>
      </c>
      <c r="AF1889" s="452">
        <v>15.17</v>
      </c>
      <c r="AG1889">
        <v>60</v>
      </c>
    </row>
    <row r="1890" spans="1:33">
      <c r="A1890" s="411">
        <v>32.01</v>
      </c>
      <c r="B1890" s="411">
        <v>32.01</v>
      </c>
      <c r="C1890" s="411">
        <v>32.01</v>
      </c>
      <c r="D1890" s="411">
        <v>32.01</v>
      </c>
      <c r="E1890" s="411">
        <v>32.01</v>
      </c>
      <c r="F1890" s="411">
        <v>32.01</v>
      </c>
      <c r="G1890" s="411">
        <v>32.01</v>
      </c>
      <c r="H1890" s="162">
        <v>32.01</v>
      </c>
      <c r="I1890" s="162">
        <v>2.16</v>
      </c>
      <c r="J1890" s="162">
        <v>2.16</v>
      </c>
      <c r="K1890" s="162">
        <v>2.16</v>
      </c>
      <c r="L1890" s="162">
        <v>2.16</v>
      </c>
      <c r="M1890" s="162">
        <v>2.16</v>
      </c>
      <c r="N1890" s="162">
        <v>2.16</v>
      </c>
      <c r="O1890" s="162">
        <v>2.16</v>
      </c>
      <c r="P1890" s="162">
        <v>2.16</v>
      </c>
      <c r="Q1890" s="162">
        <v>2.16</v>
      </c>
      <c r="R1890" s="162">
        <v>2.16</v>
      </c>
      <c r="S1890" s="162">
        <v>2.16</v>
      </c>
      <c r="T1890" s="162">
        <v>2.16</v>
      </c>
      <c r="U1890" s="162">
        <v>2.16</v>
      </c>
      <c r="V1890" s="162">
        <v>2.16</v>
      </c>
      <c r="W1890" s="162">
        <v>2.16</v>
      </c>
      <c r="X1890" s="162">
        <v>2.16</v>
      </c>
      <c r="Y1890" s="162">
        <v>32.01</v>
      </c>
      <c r="Z1890" s="411">
        <v>32.01</v>
      </c>
      <c r="AA1890" s="411">
        <v>32.01</v>
      </c>
      <c r="AB1890" s="411">
        <v>32.01</v>
      </c>
      <c r="AC1890" s="411">
        <v>32.01</v>
      </c>
      <c r="AD1890" s="411">
        <v>32.01</v>
      </c>
      <c r="AE1890" s="411">
        <v>32.01</v>
      </c>
      <c r="AF1890" s="411">
        <v>32.01</v>
      </c>
    </row>
    <row r="1891" spans="1:33">
      <c r="A1891" s="411">
        <v>15.17</v>
      </c>
      <c r="B1891" s="452">
        <v>32.01</v>
      </c>
      <c r="C1891" s="411">
        <v>32.01</v>
      </c>
      <c r="D1891" s="411">
        <v>32.01</v>
      </c>
      <c r="E1891" s="411">
        <v>32.01</v>
      </c>
      <c r="F1891" s="411">
        <v>32.01</v>
      </c>
      <c r="G1891" s="439">
        <v>32.01</v>
      </c>
      <c r="H1891" s="411">
        <v>2.13</v>
      </c>
      <c r="I1891" s="439">
        <v>1.1499999999999999</v>
      </c>
      <c r="J1891" s="411">
        <v>1.1499999999999999</v>
      </c>
      <c r="K1891" s="411">
        <v>1.1499999999999999</v>
      </c>
      <c r="L1891" s="411">
        <v>1.1499999999999999</v>
      </c>
      <c r="M1891" s="411">
        <v>1.1499999999999999</v>
      </c>
      <c r="N1891" s="411">
        <v>1.1499999999999999</v>
      </c>
      <c r="O1891" s="411">
        <v>1.1499999999999999</v>
      </c>
      <c r="P1891" s="411">
        <v>1.1499999999999999</v>
      </c>
      <c r="Q1891" s="411">
        <v>1.1499999999999999</v>
      </c>
      <c r="R1891" s="411">
        <v>1.1499999999999999</v>
      </c>
      <c r="S1891" s="411">
        <v>1.1499999999999999</v>
      </c>
      <c r="T1891" s="411">
        <v>1.1499999999999999</v>
      </c>
      <c r="U1891" s="411">
        <v>1.1499999999999999</v>
      </c>
      <c r="V1891" s="411">
        <v>1.1499999999999999</v>
      </c>
      <c r="W1891" s="411">
        <v>1.1499999999999999</v>
      </c>
      <c r="X1891" s="439">
        <v>1.1499999999999999</v>
      </c>
      <c r="Y1891" s="411">
        <v>2.13</v>
      </c>
      <c r="Z1891" s="439">
        <v>32.01</v>
      </c>
      <c r="AA1891" s="411">
        <v>32.01</v>
      </c>
      <c r="AB1891" s="411">
        <v>32.01</v>
      </c>
      <c r="AC1891" s="411">
        <v>32.01</v>
      </c>
      <c r="AD1891" s="411">
        <v>32.01</v>
      </c>
      <c r="AE1891" s="452">
        <v>32.01</v>
      </c>
      <c r="AF1891" s="411">
        <v>15.17</v>
      </c>
    </row>
    <row r="1892" spans="1:33">
      <c r="A1892" s="411">
        <v>15.17</v>
      </c>
      <c r="B1892" s="452">
        <v>32.01</v>
      </c>
      <c r="C1892" s="411">
        <v>32.01</v>
      </c>
      <c r="D1892" s="326"/>
      <c r="E1892" s="326"/>
      <c r="F1892" s="326"/>
      <c r="G1892" s="439">
        <v>32.01</v>
      </c>
      <c r="H1892" s="411">
        <v>3.12</v>
      </c>
      <c r="I1892" s="439">
        <v>1.1499999999999999</v>
      </c>
      <c r="J1892" s="439">
        <v>1.1499999999999999</v>
      </c>
      <c r="K1892" s="411">
        <v>1.1499999999999999</v>
      </c>
      <c r="L1892" s="452">
        <v>1.1499999999999999</v>
      </c>
      <c r="M1892" s="452">
        <v>1.1499999999999999</v>
      </c>
      <c r="N1892" s="452">
        <v>1.1499999999999999</v>
      </c>
      <c r="O1892" s="452">
        <v>1.1499999999999999</v>
      </c>
      <c r="P1892" s="452">
        <v>1.1499999999999999</v>
      </c>
      <c r="Q1892" s="452">
        <v>1.1499999999999999</v>
      </c>
      <c r="R1892" s="452">
        <v>1.1499999999999999</v>
      </c>
      <c r="S1892" s="452">
        <v>1.1499999999999999</v>
      </c>
      <c r="T1892" s="452">
        <v>1.1499999999999999</v>
      </c>
      <c r="U1892" s="452">
        <v>1.1499999999999999</v>
      </c>
      <c r="V1892" s="411">
        <v>1.1499999999999999</v>
      </c>
      <c r="W1892" s="439">
        <v>1.1499999999999999</v>
      </c>
      <c r="X1892" s="439">
        <v>1.1499999999999999</v>
      </c>
      <c r="Y1892" s="411">
        <v>3.12</v>
      </c>
      <c r="Z1892" s="439">
        <v>32.01</v>
      </c>
      <c r="AA1892" s="326"/>
      <c r="AB1892" s="326"/>
      <c r="AC1892" s="326"/>
      <c r="AD1892" s="411">
        <v>32.01</v>
      </c>
      <c r="AE1892" s="452">
        <v>32.01</v>
      </c>
      <c r="AF1892" s="411">
        <v>15.17</v>
      </c>
      <c r="AG1892">
        <v>1</v>
      </c>
    </row>
    <row r="1893" spans="1:33">
      <c r="A1893" s="411">
        <v>15.17</v>
      </c>
      <c r="B1893" s="452">
        <v>32.01</v>
      </c>
      <c r="C1893" s="411">
        <v>32.01</v>
      </c>
      <c r="D1893" s="326"/>
      <c r="E1893" s="326"/>
      <c r="F1893" s="326"/>
      <c r="G1893" s="439">
        <v>32.01</v>
      </c>
      <c r="H1893" s="411">
        <v>4.1100000000000003</v>
      </c>
      <c r="I1893" s="439">
        <v>1.1499999999999999</v>
      </c>
      <c r="J1893" s="439">
        <v>1.1499999999999999</v>
      </c>
      <c r="K1893" s="439">
        <v>1.1499999999999999</v>
      </c>
      <c r="L1893" s="411">
        <v>1.1499999999999999</v>
      </c>
      <c r="M1893" s="452">
        <v>1.1499999999999999</v>
      </c>
      <c r="N1893" s="452">
        <v>1.1499999999999999</v>
      </c>
      <c r="O1893" s="452">
        <v>1.1499999999999999</v>
      </c>
      <c r="P1893" s="452">
        <v>1.1499999999999999</v>
      </c>
      <c r="Q1893" s="452">
        <v>1.1499999999999999</v>
      </c>
      <c r="R1893" s="452">
        <v>1.1499999999999999</v>
      </c>
      <c r="S1893" s="452">
        <v>1.1499999999999999</v>
      </c>
      <c r="T1893" s="452">
        <v>1.1499999999999999</v>
      </c>
      <c r="U1893" s="411">
        <v>1.1499999999999999</v>
      </c>
      <c r="V1893" s="439">
        <v>1.1499999999999999</v>
      </c>
      <c r="W1893" s="439">
        <v>1.1499999999999999</v>
      </c>
      <c r="X1893" s="439">
        <v>1.1499999999999999</v>
      </c>
      <c r="Y1893" s="411">
        <v>4.1100000000000003</v>
      </c>
      <c r="Z1893" s="439">
        <v>32.01</v>
      </c>
      <c r="AA1893" s="326"/>
      <c r="AB1893" s="326"/>
      <c r="AC1893" s="326"/>
      <c r="AD1893" s="411">
        <v>32.01</v>
      </c>
      <c r="AE1893" s="452">
        <v>32.01</v>
      </c>
      <c r="AF1893" s="411">
        <v>15.17</v>
      </c>
    </row>
    <row r="1894" spans="1:33">
      <c r="A1894" s="411">
        <v>15.17</v>
      </c>
      <c r="B1894" s="452">
        <v>32.01</v>
      </c>
      <c r="C1894" s="411">
        <v>32.01</v>
      </c>
      <c r="D1894" s="326"/>
      <c r="E1894" s="326"/>
      <c r="F1894" s="326"/>
      <c r="G1894" s="439">
        <v>32.01</v>
      </c>
      <c r="H1894" s="411">
        <v>5.0999999999999996</v>
      </c>
      <c r="I1894" s="439">
        <v>1.1499999999999999</v>
      </c>
      <c r="J1894" s="439">
        <v>1.1499999999999999</v>
      </c>
      <c r="K1894" s="439">
        <v>1.1499999999999999</v>
      </c>
      <c r="L1894" s="439">
        <v>1.1499999999999999</v>
      </c>
      <c r="M1894" s="411">
        <v>1.1499999999999999</v>
      </c>
      <c r="N1894" s="452">
        <v>1.1499999999999999</v>
      </c>
      <c r="O1894" s="452">
        <v>1.1499999999999999</v>
      </c>
      <c r="P1894" s="452">
        <v>1.1499999999999999</v>
      </c>
      <c r="Q1894" s="452">
        <v>1.1499999999999999</v>
      </c>
      <c r="R1894" s="452">
        <v>1.1499999999999999</v>
      </c>
      <c r="S1894" s="452">
        <v>1.1499999999999999</v>
      </c>
      <c r="T1894" s="411">
        <v>1.1499999999999999</v>
      </c>
      <c r="U1894" s="439">
        <v>1.1499999999999999</v>
      </c>
      <c r="V1894" s="439">
        <v>1.1499999999999999</v>
      </c>
      <c r="W1894" s="439">
        <v>1.1499999999999999</v>
      </c>
      <c r="X1894" s="439">
        <v>1.1499999999999999</v>
      </c>
      <c r="Y1894" s="411">
        <v>5.0999999999999996</v>
      </c>
      <c r="Z1894" s="439">
        <v>32.01</v>
      </c>
      <c r="AA1894" s="326"/>
      <c r="AB1894" s="326"/>
      <c r="AC1894" s="326"/>
      <c r="AD1894" s="411">
        <v>32.01</v>
      </c>
      <c r="AE1894" s="452">
        <v>32.01</v>
      </c>
      <c r="AF1894" s="411">
        <v>15.17</v>
      </c>
    </row>
    <row r="1895" spans="1:33">
      <c r="A1895" s="411">
        <v>15.17</v>
      </c>
      <c r="B1895" s="452">
        <v>32.01</v>
      </c>
      <c r="C1895" s="411">
        <v>32.01</v>
      </c>
      <c r="D1895" s="326"/>
      <c r="E1895" s="326"/>
      <c r="F1895" s="326"/>
      <c r="G1895" s="439">
        <v>32.01</v>
      </c>
      <c r="H1895" s="411">
        <v>6.09</v>
      </c>
      <c r="I1895" s="439">
        <v>1.1499999999999999</v>
      </c>
      <c r="J1895" s="439">
        <v>1.1499999999999999</v>
      </c>
      <c r="K1895" s="439">
        <v>1.1499999999999999</v>
      </c>
      <c r="L1895" s="439">
        <v>1.1499999999999999</v>
      </c>
      <c r="M1895" s="439">
        <v>1.1499999999999999</v>
      </c>
      <c r="N1895" s="411">
        <v>1.1499999999999999</v>
      </c>
      <c r="O1895" s="452">
        <v>1.1499999999999999</v>
      </c>
      <c r="P1895" s="452">
        <v>1.1499999999999999</v>
      </c>
      <c r="Q1895" s="452">
        <v>1.1499999999999999</v>
      </c>
      <c r="R1895" s="452">
        <v>1.1499999999999999</v>
      </c>
      <c r="S1895" s="411">
        <v>1.1499999999999999</v>
      </c>
      <c r="T1895" s="439">
        <v>1.1499999999999999</v>
      </c>
      <c r="U1895" s="439">
        <v>1.1499999999999999</v>
      </c>
      <c r="V1895" s="439">
        <v>1.1499999999999999</v>
      </c>
      <c r="W1895" s="439">
        <v>1.1499999999999999</v>
      </c>
      <c r="X1895" s="439">
        <v>1.1499999999999999</v>
      </c>
      <c r="Y1895" s="411">
        <v>6.09</v>
      </c>
      <c r="Z1895" s="439">
        <v>32.01</v>
      </c>
      <c r="AA1895" s="326"/>
      <c r="AB1895" s="326"/>
      <c r="AC1895" s="326"/>
      <c r="AD1895" s="411">
        <v>32.01</v>
      </c>
      <c r="AE1895" s="452">
        <v>32.01</v>
      </c>
      <c r="AF1895" s="411">
        <v>15.17</v>
      </c>
    </row>
    <row r="1896" spans="1:33">
      <c r="A1896" s="411">
        <v>15.17</v>
      </c>
      <c r="B1896" s="452">
        <v>32.01</v>
      </c>
      <c r="C1896" s="411">
        <v>32.01</v>
      </c>
      <c r="D1896" s="326"/>
      <c r="E1896" s="326"/>
      <c r="F1896" s="326"/>
      <c r="G1896" s="439">
        <v>32.01</v>
      </c>
      <c r="H1896" s="411">
        <v>7.08</v>
      </c>
      <c r="I1896" s="439">
        <v>1.1499999999999999</v>
      </c>
      <c r="J1896" s="439">
        <v>1.1499999999999999</v>
      </c>
      <c r="K1896" s="439">
        <v>1.1499999999999999</v>
      </c>
      <c r="L1896" s="439">
        <v>1.1499999999999999</v>
      </c>
      <c r="M1896" s="439">
        <v>1.1499999999999999</v>
      </c>
      <c r="N1896" s="439">
        <v>1.1499999999999999</v>
      </c>
      <c r="O1896" s="411">
        <v>1.1499999999999999</v>
      </c>
      <c r="P1896" s="439">
        <v>1.1499999999999999</v>
      </c>
      <c r="Q1896" s="439">
        <v>1.1499999999999999</v>
      </c>
      <c r="R1896" s="411">
        <v>1.1499999999999999</v>
      </c>
      <c r="S1896" s="439">
        <v>1.1499999999999999</v>
      </c>
      <c r="T1896" s="439">
        <v>1.1499999999999999</v>
      </c>
      <c r="U1896" s="439">
        <v>1.1499999999999999</v>
      </c>
      <c r="V1896" s="439">
        <v>1.1499999999999999</v>
      </c>
      <c r="W1896" s="439">
        <v>1.1499999999999999</v>
      </c>
      <c r="X1896" s="439">
        <v>1.1499999999999999</v>
      </c>
      <c r="Y1896" s="411">
        <v>7.08</v>
      </c>
      <c r="Z1896" s="439">
        <v>32.01</v>
      </c>
      <c r="AA1896" s="326"/>
      <c r="AB1896" s="326"/>
      <c r="AC1896" s="326"/>
      <c r="AD1896" s="411">
        <v>32.01</v>
      </c>
      <c r="AE1896" s="452">
        <v>32.01</v>
      </c>
      <c r="AF1896" s="411">
        <v>15.17</v>
      </c>
    </row>
    <row r="1897" spans="1:33">
      <c r="A1897" s="411">
        <v>15.17</v>
      </c>
      <c r="B1897" s="452">
        <v>32.01</v>
      </c>
      <c r="C1897" s="411">
        <v>32.01</v>
      </c>
      <c r="D1897" s="326"/>
      <c r="E1897" s="326"/>
      <c r="F1897" s="326"/>
      <c r="G1897" s="293">
        <v>32.01</v>
      </c>
      <c r="H1897" s="411">
        <v>6.09</v>
      </c>
      <c r="I1897" s="439">
        <v>1.1499999999999999</v>
      </c>
      <c r="J1897" s="439">
        <v>1.1499999999999999</v>
      </c>
      <c r="K1897" s="439">
        <v>1.1499999999999999</v>
      </c>
      <c r="L1897" s="439">
        <v>1.1499999999999999</v>
      </c>
      <c r="M1897" s="439">
        <v>1.1499999999999999</v>
      </c>
      <c r="N1897" s="411">
        <v>1.1499999999999999</v>
      </c>
      <c r="O1897" s="439">
        <v>1.1499999999999999</v>
      </c>
      <c r="P1897" s="293">
        <v>1.1499999999999999</v>
      </c>
      <c r="Q1897" s="293">
        <v>1.1499999999999999</v>
      </c>
      <c r="R1897" s="439">
        <v>1.1499999999999999</v>
      </c>
      <c r="S1897" s="411">
        <v>1.1499999999999999</v>
      </c>
      <c r="T1897" s="439">
        <v>1.1499999999999999</v>
      </c>
      <c r="U1897" s="439">
        <v>1.1499999999999999</v>
      </c>
      <c r="V1897" s="439">
        <v>1.1499999999999999</v>
      </c>
      <c r="W1897" s="439">
        <v>1.1499999999999999</v>
      </c>
      <c r="X1897" s="439">
        <v>1.1499999999999999</v>
      </c>
      <c r="Y1897" s="411">
        <v>6.09</v>
      </c>
      <c r="Z1897" s="293">
        <v>32.01</v>
      </c>
      <c r="AA1897" s="326"/>
      <c r="AB1897" s="326"/>
      <c r="AC1897" s="326"/>
      <c r="AD1897" s="411">
        <v>32.01</v>
      </c>
      <c r="AE1897" s="452">
        <v>32.01</v>
      </c>
      <c r="AF1897" s="411">
        <v>15.17</v>
      </c>
    </row>
    <row r="1898" spans="1:33">
      <c r="A1898" s="411">
        <v>15.17</v>
      </c>
      <c r="B1898" s="452">
        <v>32.01</v>
      </c>
      <c r="C1898" s="411">
        <v>32.01</v>
      </c>
      <c r="D1898" s="326"/>
      <c r="E1898" s="326"/>
      <c r="F1898" s="326"/>
      <c r="G1898" s="293">
        <v>32.01</v>
      </c>
      <c r="H1898" s="411">
        <v>5.0999999999999996</v>
      </c>
      <c r="I1898" s="439">
        <v>1.1499999999999999</v>
      </c>
      <c r="J1898" s="439">
        <v>1.1499999999999999</v>
      </c>
      <c r="K1898" s="439">
        <v>1.1499999999999999</v>
      </c>
      <c r="L1898" s="439">
        <v>1.1499999999999999</v>
      </c>
      <c r="M1898" s="411">
        <v>1.1499999999999999</v>
      </c>
      <c r="N1898" s="439">
        <v>1.1499999999999999</v>
      </c>
      <c r="O1898" s="293">
        <v>1.1499999999999999</v>
      </c>
      <c r="P1898" s="293">
        <v>1.1499999999999999</v>
      </c>
      <c r="Q1898" s="293">
        <v>1.1499999999999999</v>
      </c>
      <c r="R1898" s="293">
        <v>1.1499999999999999</v>
      </c>
      <c r="S1898" s="439">
        <v>1.1499999999999999</v>
      </c>
      <c r="T1898" s="411">
        <v>1.1499999999999999</v>
      </c>
      <c r="U1898" s="439">
        <v>1.1499999999999999</v>
      </c>
      <c r="V1898" s="439">
        <v>1.1499999999999999</v>
      </c>
      <c r="W1898" s="439">
        <v>1.1499999999999999</v>
      </c>
      <c r="X1898" s="439">
        <v>1.1499999999999999</v>
      </c>
      <c r="Y1898" s="411">
        <v>5.0999999999999996</v>
      </c>
      <c r="Z1898" s="293">
        <v>32.01</v>
      </c>
      <c r="AA1898" s="326"/>
      <c r="AB1898" s="326"/>
      <c r="AC1898" s="326"/>
      <c r="AD1898" s="411">
        <v>32.01</v>
      </c>
      <c r="AE1898" s="452">
        <v>32.01</v>
      </c>
      <c r="AF1898" s="411">
        <v>15.17</v>
      </c>
    </row>
    <row r="1899" spans="1:33">
      <c r="A1899" s="411">
        <v>15.17</v>
      </c>
      <c r="B1899" s="452">
        <v>32.01</v>
      </c>
      <c r="C1899" s="411">
        <v>32.01</v>
      </c>
      <c r="D1899" s="326"/>
      <c r="E1899" s="326"/>
      <c r="F1899" s="326"/>
      <c r="G1899" s="293">
        <v>32.01</v>
      </c>
      <c r="H1899" s="411">
        <v>4.1100000000000003</v>
      </c>
      <c r="I1899" s="439">
        <v>1.1499999999999999</v>
      </c>
      <c r="J1899" s="439">
        <v>1.1499999999999999</v>
      </c>
      <c r="K1899" s="439">
        <v>1.1499999999999999</v>
      </c>
      <c r="L1899" s="411">
        <v>1.1499999999999999</v>
      </c>
      <c r="M1899" s="439">
        <v>1.1499999999999999</v>
      </c>
      <c r="N1899" s="293">
        <v>1.1499999999999999</v>
      </c>
      <c r="O1899" s="293">
        <v>1.1499999999999999</v>
      </c>
      <c r="P1899" s="293">
        <v>1.1499999999999999</v>
      </c>
      <c r="Q1899" s="293">
        <v>1.1499999999999999</v>
      </c>
      <c r="R1899" s="293">
        <v>1.1499999999999999</v>
      </c>
      <c r="S1899" s="293">
        <v>1.1499999999999999</v>
      </c>
      <c r="T1899" s="439">
        <v>1.1499999999999999</v>
      </c>
      <c r="U1899" s="411">
        <v>1.1499999999999999</v>
      </c>
      <c r="V1899" s="439">
        <v>1.1499999999999999</v>
      </c>
      <c r="W1899" s="439">
        <v>1.1499999999999999</v>
      </c>
      <c r="X1899" s="439">
        <v>1.1499999999999999</v>
      </c>
      <c r="Y1899" s="411">
        <v>4.1100000000000003</v>
      </c>
      <c r="Z1899" s="293">
        <v>32.01</v>
      </c>
      <c r="AA1899" s="326"/>
      <c r="AB1899" s="326"/>
      <c r="AC1899" s="326"/>
      <c r="AD1899" s="411">
        <v>32.01</v>
      </c>
      <c r="AE1899" s="452">
        <v>32.01</v>
      </c>
      <c r="AF1899" s="411">
        <v>15.17</v>
      </c>
    </row>
    <row r="1900" spans="1:33">
      <c r="A1900" s="411">
        <v>15.17</v>
      </c>
      <c r="B1900" s="452">
        <v>32.01</v>
      </c>
      <c r="C1900" s="411">
        <v>32.01</v>
      </c>
      <c r="D1900" s="326"/>
      <c r="E1900" s="326"/>
      <c r="F1900" s="326"/>
      <c r="G1900" s="293">
        <v>32.01</v>
      </c>
      <c r="H1900" s="411">
        <v>3.12</v>
      </c>
      <c r="I1900" s="439">
        <v>1.1499999999999999</v>
      </c>
      <c r="J1900" s="439">
        <v>1.1499999999999999</v>
      </c>
      <c r="K1900" s="411">
        <v>1.1499999999999999</v>
      </c>
      <c r="L1900" s="439">
        <v>1.1499999999999999</v>
      </c>
      <c r="M1900" s="293">
        <v>1.1499999999999999</v>
      </c>
      <c r="N1900" s="293">
        <v>1.1499999999999999</v>
      </c>
      <c r="O1900" s="293">
        <v>1.1499999999999999</v>
      </c>
      <c r="P1900" s="293">
        <v>1.1499999999999999</v>
      </c>
      <c r="Q1900" s="293">
        <v>1.1499999999999999</v>
      </c>
      <c r="R1900" s="293">
        <v>1.1499999999999999</v>
      </c>
      <c r="S1900" s="293">
        <v>1.1499999999999999</v>
      </c>
      <c r="T1900" s="293">
        <v>1.1499999999999999</v>
      </c>
      <c r="U1900" s="439">
        <v>1.1499999999999999</v>
      </c>
      <c r="V1900" s="411">
        <v>1.1499999999999999</v>
      </c>
      <c r="W1900" s="439">
        <v>1.1499999999999999</v>
      </c>
      <c r="X1900" s="439">
        <v>1.1499999999999999</v>
      </c>
      <c r="Y1900" s="411">
        <v>3.12</v>
      </c>
      <c r="Z1900" s="293">
        <v>32.01</v>
      </c>
      <c r="AA1900" s="326"/>
      <c r="AB1900" s="326"/>
      <c r="AC1900" s="326"/>
      <c r="AD1900" s="411">
        <v>32.01</v>
      </c>
      <c r="AE1900" s="452">
        <v>32.01</v>
      </c>
      <c r="AF1900" s="411">
        <v>15.17</v>
      </c>
    </row>
    <row r="1901" spans="1:33">
      <c r="A1901" s="411">
        <v>15.17</v>
      </c>
      <c r="B1901" s="452">
        <v>32.01</v>
      </c>
      <c r="C1901" s="411">
        <v>32.01</v>
      </c>
      <c r="D1901" s="326"/>
      <c r="E1901" s="326"/>
      <c r="F1901" s="326"/>
      <c r="G1901" s="293">
        <v>32.01</v>
      </c>
      <c r="H1901" s="411">
        <v>2.13</v>
      </c>
      <c r="I1901" s="439">
        <v>1.1499999999999999</v>
      </c>
      <c r="J1901" s="411">
        <v>1.1499999999999999</v>
      </c>
      <c r="K1901" s="439">
        <v>1.1499999999999999</v>
      </c>
      <c r="L1901" s="293">
        <v>1.1499999999999999</v>
      </c>
      <c r="M1901" s="293">
        <v>1.1499999999999999</v>
      </c>
      <c r="N1901" s="293">
        <v>1.1499999999999999</v>
      </c>
      <c r="O1901" s="293">
        <v>1.1499999999999999</v>
      </c>
      <c r="P1901" s="293">
        <v>1.1499999999999999</v>
      </c>
      <c r="Q1901" s="293">
        <v>1.1499999999999999</v>
      </c>
      <c r="R1901" s="293">
        <v>1.1499999999999999</v>
      </c>
      <c r="S1901" s="293">
        <v>1.1499999999999999</v>
      </c>
      <c r="T1901" s="293">
        <v>1.1499999999999999</v>
      </c>
      <c r="U1901" s="293">
        <v>1.1499999999999999</v>
      </c>
      <c r="V1901" s="439">
        <v>1.1499999999999999</v>
      </c>
      <c r="W1901" s="411">
        <v>1.1499999999999999</v>
      </c>
      <c r="X1901" s="439">
        <v>1.1499999999999999</v>
      </c>
      <c r="Y1901" s="411">
        <v>2.13</v>
      </c>
      <c r="Z1901" s="293">
        <v>32.01</v>
      </c>
      <c r="AA1901" s="326"/>
      <c r="AB1901" s="326"/>
      <c r="AC1901" s="326"/>
      <c r="AD1901" s="411">
        <v>32.01</v>
      </c>
      <c r="AE1901" s="452">
        <v>32.01</v>
      </c>
      <c r="AF1901" s="411">
        <v>15.17</v>
      </c>
    </row>
    <row r="1902" spans="1:33">
      <c r="A1902" s="411">
        <v>15.17</v>
      </c>
      <c r="B1902" s="452">
        <v>32.01</v>
      </c>
      <c r="C1902" s="411">
        <v>32.01</v>
      </c>
      <c r="D1902" s="326"/>
      <c r="E1902" s="326"/>
      <c r="F1902" s="326"/>
      <c r="G1902" s="293">
        <v>32.01</v>
      </c>
      <c r="H1902" s="411">
        <v>1.1399999999999999</v>
      </c>
      <c r="I1902" s="411">
        <v>1.1499999999999999</v>
      </c>
      <c r="J1902" s="439">
        <v>1.1499999999999999</v>
      </c>
      <c r="K1902" s="293">
        <v>1.1499999999999999</v>
      </c>
      <c r="L1902" s="293">
        <v>1.1499999999999999</v>
      </c>
      <c r="M1902" s="293">
        <v>1.1499999999999999</v>
      </c>
      <c r="N1902" s="293">
        <v>1.1499999999999999</v>
      </c>
      <c r="O1902" s="293">
        <v>1.1499999999999999</v>
      </c>
      <c r="P1902" s="293">
        <v>1.1499999999999999</v>
      </c>
      <c r="Q1902" s="293">
        <v>1.1499999999999999</v>
      </c>
      <c r="R1902" s="293">
        <v>1.1499999999999999</v>
      </c>
      <c r="S1902" s="293">
        <v>1.1499999999999999</v>
      </c>
      <c r="T1902" s="293">
        <v>1.1499999999999999</v>
      </c>
      <c r="U1902" s="293">
        <v>1.1499999999999999</v>
      </c>
      <c r="V1902" s="293">
        <v>1.1499999999999999</v>
      </c>
      <c r="W1902" s="439">
        <v>1.1499999999999999</v>
      </c>
      <c r="X1902" s="411">
        <v>1.1499999999999999</v>
      </c>
      <c r="Y1902" s="411">
        <v>1.1399999999999999</v>
      </c>
      <c r="Z1902" s="293">
        <v>32.01</v>
      </c>
      <c r="AA1902" s="326"/>
      <c r="AB1902" s="326"/>
      <c r="AC1902" s="326"/>
      <c r="AD1902" s="411">
        <v>32.01</v>
      </c>
      <c r="AE1902" s="452">
        <v>32.01</v>
      </c>
      <c r="AF1902" s="411">
        <v>15.17</v>
      </c>
    </row>
    <row r="1903" spans="1:33">
      <c r="A1903" s="411">
        <v>15.17</v>
      </c>
      <c r="B1903" s="452">
        <v>32.01</v>
      </c>
      <c r="C1903" s="411">
        <v>32.01</v>
      </c>
      <c r="D1903" s="326"/>
      <c r="E1903" s="326"/>
      <c r="F1903" s="326"/>
      <c r="G1903" s="439">
        <v>32.01</v>
      </c>
      <c r="H1903" s="411">
        <v>32.01</v>
      </c>
      <c r="I1903" s="439">
        <v>1.1499999999999999</v>
      </c>
      <c r="J1903" s="293">
        <v>1.1499999999999999</v>
      </c>
      <c r="K1903" s="293">
        <v>1.1499999999999999</v>
      </c>
      <c r="L1903" s="293">
        <v>1.1499999999999999</v>
      </c>
      <c r="M1903" s="293">
        <v>1.1499999999999999</v>
      </c>
      <c r="N1903" s="293">
        <v>1.1499999999999999</v>
      </c>
      <c r="O1903" s="293">
        <v>1.1499999999999999</v>
      </c>
      <c r="P1903" s="293">
        <v>1.1499999999999999</v>
      </c>
      <c r="Q1903" s="293">
        <v>1.1499999999999999</v>
      </c>
      <c r="R1903" s="293">
        <v>1.1499999999999999</v>
      </c>
      <c r="S1903" s="293">
        <v>1.1499999999999999</v>
      </c>
      <c r="T1903" s="293">
        <v>1.1499999999999999</v>
      </c>
      <c r="U1903" s="293">
        <v>1.1499999999999999</v>
      </c>
      <c r="V1903" s="293">
        <v>1.1499999999999999</v>
      </c>
      <c r="W1903" s="293">
        <v>1.1499999999999999</v>
      </c>
      <c r="X1903" s="439">
        <v>1.1499999999999999</v>
      </c>
      <c r="Y1903" s="411">
        <v>32.01</v>
      </c>
      <c r="Z1903" s="439">
        <v>32.01</v>
      </c>
      <c r="AA1903" s="326"/>
      <c r="AB1903" s="326"/>
      <c r="AC1903" s="326"/>
      <c r="AD1903" s="411">
        <v>32.01</v>
      </c>
      <c r="AE1903" s="452">
        <v>32.01</v>
      </c>
      <c r="AF1903" s="411">
        <v>15.17</v>
      </c>
    </row>
    <row r="1904" spans="1:33">
      <c r="A1904" s="411">
        <v>15.17</v>
      </c>
      <c r="B1904" s="452">
        <v>32.01</v>
      </c>
      <c r="C1904" s="411">
        <v>32.01</v>
      </c>
      <c r="D1904" s="326"/>
      <c r="E1904" s="326"/>
      <c r="F1904" s="326"/>
      <c r="G1904" s="439">
        <v>32.01</v>
      </c>
      <c r="H1904" s="411">
        <v>32.01</v>
      </c>
      <c r="I1904" s="439">
        <v>1.1499999999999999</v>
      </c>
      <c r="J1904" s="439">
        <v>1.1499999999999999</v>
      </c>
      <c r="K1904" s="439">
        <v>1.1499999999999999</v>
      </c>
      <c r="L1904" s="439">
        <v>1.1499999999999999</v>
      </c>
      <c r="M1904" s="439">
        <v>1.1499999999999999</v>
      </c>
      <c r="N1904" s="439">
        <v>1.1499999999999999</v>
      </c>
      <c r="O1904" s="439">
        <v>1.1499999999999999</v>
      </c>
      <c r="P1904" s="439">
        <v>1.1499999999999999</v>
      </c>
      <c r="Q1904" s="439">
        <v>1.1499999999999999</v>
      </c>
      <c r="R1904" s="439">
        <v>1.1499999999999999</v>
      </c>
      <c r="S1904" s="439">
        <v>1.1499999999999999</v>
      </c>
      <c r="T1904" s="439">
        <v>1.1499999999999999</v>
      </c>
      <c r="U1904" s="439">
        <v>1.1499999999999999</v>
      </c>
      <c r="V1904" s="439">
        <v>1.1499999999999999</v>
      </c>
      <c r="W1904" s="439">
        <v>1.1499999999999999</v>
      </c>
      <c r="X1904" s="439">
        <v>1.1499999999999999</v>
      </c>
      <c r="Y1904" s="411">
        <v>32.01</v>
      </c>
      <c r="Z1904" s="439">
        <v>32.01</v>
      </c>
      <c r="AA1904" s="326"/>
      <c r="AB1904" s="326"/>
      <c r="AC1904" s="326"/>
      <c r="AD1904" s="411">
        <v>32.01</v>
      </c>
      <c r="AE1904" s="452">
        <v>32.01</v>
      </c>
      <c r="AF1904" s="411">
        <v>15.17</v>
      </c>
    </row>
    <row r="1905" spans="1:34">
      <c r="AH1905">
        <v>1891</v>
      </c>
    </row>
    <row r="1906" spans="1:34">
      <c r="AH1906">
        <v>1892</v>
      </c>
    </row>
    <row r="1907" spans="1:34">
      <c r="AH1907">
        <v>1893</v>
      </c>
    </row>
    <row r="1908" spans="1:34">
      <c r="AH1908">
        <v>1894</v>
      </c>
    </row>
    <row r="1909" spans="1:34">
      <c r="AH1909">
        <v>1895</v>
      </c>
    </row>
    <row r="1910" spans="1:34">
      <c r="AH1910">
        <v>1896</v>
      </c>
    </row>
    <row r="1911" spans="1:34">
      <c r="AH1911">
        <v>1897</v>
      </c>
    </row>
    <row r="1912" spans="1:34">
      <c r="AH1912">
        <v>1898</v>
      </c>
    </row>
    <row r="1913" spans="1:34">
      <c r="AH1913">
        <v>1899</v>
      </c>
    </row>
    <row r="1914" spans="1:34">
      <c r="AH1914">
        <v>1900</v>
      </c>
    </row>
    <row r="1915" spans="1:34">
      <c r="AH1915">
        <v>1901</v>
      </c>
    </row>
    <row r="1916" spans="1:34">
      <c r="AH1916">
        <v>1902</v>
      </c>
    </row>
    <row r="1917" spans="1:34">
      <c r="AH1917">
        <v>1903</v>
      </c>
    </row>
    <row r="1918" spans="1:34">
      <c r="AH1918">
        <v>1904</v>
      </c>
    </row>
    <row r="1919" spans="1:34">
      <c r="A1919" s="411">
        <v>32.01</v>
      </c>
      <c r="B1919" s="411">
        <v>32.01</v>
      </c>
      <c r="C1919" s="411">
        <v>32.01</v>
      </c>
      <c r="D1919" s="411">
        <v>32.01</v>
      </c>
      <c r="E1919" s="411">
        <v>32.01</v>
      </c>
      <c r="F1919" s="411">
        <v>32.01</v>
      </c>
      <c r="G1919" s="411">
        <v>32.01</v>
      </c>
      <c r="H1919" s="411">
        <v>32.01</v>
      </c>
      <c r="I1919" s="411">
        <v>1.1499999999999999</v>
      </c>
      <c r="J1919" s="411">
        <v>1.1499999999999999</v>
      </c>
      <c r="K1919" s="411">
        <v>1.1499999999999999</v>
      </c>
      <c r="L1919" s="411">
        <v>1.1499999999999999</v>
      </c>
      <c r="M1919" s="411">
        <v>1.1499999999999999</v>
      </c>
      <c r="N1919" s="411">
        <v>1.1499999999999999</v>
      </c>
      <c r="O1919" s="411">
        <v>1.1499999999999999</v>
      </c>
      <c r="P1919" s="411">
        <v>1.1499999999999999</v>
      </c>
      <c r="Q1919" s="411">
        <v>1.1499999999999999</v>
      </c>
      <c r="R1919" s="411">
        <v>1.1499999999999999</v>
      </c>
      <c r="S1919" s="411">
        <v>1.1499999999999999</v>
      </c>
      <c r="T1919" s="411">
        <v>1.1499999999999999</v>
      </c>
      <c r="U1919" s="411">
        <v>1.1499999999999999</v>
      </c>
      <c r="V1919" s="411">
        <v>1.1499999999999999</v>
      </c>
      <c r="W1919" s="411">
        <v>1.1499999999999999</v>
      </c>
      <c r="X1919" s="411">
        <v>1.1499999999999999</v>
      </c>
      <c r="Y1919" s="411">
        <v>32.01</v>
      </c>
      <c r="Z1919" s="411">
        <v>32.01</v>
      </c>
      <c r="AA1919" s="411">
        <v>32.01</v>
      </c>
      <c r="AB1919" s="411">
        <v>32.01</v>
      </c>
      <c r="AC1919" s="411">
        <v>32.01</v>
      </c>
      <c r="AD1919" s="411">
        <v>32.01</v>
      </c>
      <c r="AE1919" s="411">
        <v>32.01</v>
      </c>
      <c r="AF1919" s="411">
        <v>32.01</v>
      </c>
    </row>
    <row r="1920" spans="1:34">
      <c r="A1920" s="452">
        <v>15.17</v>
      </c>
      <c r="B1920" s="452">
        <v>15.17</v>
      </c>
      <c r="C1920" s="452">
        <v>15.17</v>
      </c>
      <c r="D1920" s="452">
        <v>15.17</v>
      </c>
      <c r="E1920" s="452">
        <v>15.17</v>
      </c>
      <c r="F1920" s="452">
        <v>15.17</v>
      </c>
      <c r="G1920" s="452">
        <v>15.17</v>
      </c>
      <c r="H1920" s="452">
        <v>15.17</v>
      </c>
      <c r="I1920" s="452">
        <v>1.1499999999999999</v>
      </c>
      <c r="J1920" s="452">
        <v>1.1499999999999999</v>
      </c>
      <c r="K1920" s="452">
        <v>1.1499999999999999</v>
      </c>
      <c r="L1920" s="452">
        <v>1.1499999999999999</v>
      </c>
      <c r="M1920" s="452">
        <v>1.1499999999999999</v>
      </c>
      <c r="N1920" s="452">
        <v>1.1499999999999999</v>
      </c>
      <c r="O1920" s="452">
        <v>1.1499999999999999</v>
      </c>
      <c r="P1920" s="452">
        <v>1.1499999999999999</v>
      </c>
      <c r="Q1920" s="452">
        <v>1.1499999999999999</v>
      </c>
      <c r="R1920" s="452">
        <v>1.1499999999999999</v>
      </c>
      <c r="S1920" s="452">
        <v>1.1499999999999999</v>
      </c>
      <c r="T1920" s="452">
        <v>1.1499999999999999</v>
      </c>
      <c r="U1920" s="452">
        <v>1.1499999999999999</v>
      </c>
      <c r="V1920" s="452">
        <v>1.1499999999999999</v>
      </c>
      <c r="W1920" s="452">
        <v>1.1499999999999999</v>
      </c>
      <c r="X1920" s="452">
        <v>1.1499999999999999</v>
      </c>
      <c r="Y1920" s="452">
        <v>15.17</v>
      </c>
      <c r="Z1920" s="452">
        <v>15.17</v>
      </c>
      <c r="AA1920" s="452">
        <v>15.17</v>
      </c>
      <c r="AB1920" s="452">
        <v>15.17</v>
      </c>
      <c r="AC1920" s="452">
        <v>15.17</v>
      </c>
      <c r="AD1920" s="452">
        <v>15.17</v>
      </c>
      <c r="AE1920" s="452">
        <v>15.17</v>
      </c>
      <c r="AF1920" s="411">
        <v>32.01</v>
      </c>
    </row>
    <row r="1921" spans="1:34">
      <c r="A1921" s="189">
        <v>64.64</v>
      </c>
      <c r="B1921" s="301">
        <v>64.64</v>
      </c>
      <c r="C1921" s="301">
        <v>64.64</v>
      </c>
      <c r="D1921" s="301">
        <v>64.64</v>
      </c>
      <c r="E1921" s="301">
        <v>64.64</v>
      </c>
      <c r="F1921" s="301">
        <v>64.64</v>
      </c>
      <c r="G1921" s="301">
        <v>64.64</v>
      </c>
      <c r="H1921" s="301">
        <v>64.64</v>
      </c>
      <c r="I1921" s="301">
        <v>64.64</v>
      </c>
      <c r="J1921" s="301">
        <v>64.64</v>
      </c>
      <c r="K1921" s="301">
        <v>64.64</v>
      </c>
      <c r="L1921" s="301">
        <v>64.64</v>
      </c>
      <c r="M1921" s="301">
        <v>64.64</v>
      </c>
      <c r="N1921" s="301">
        <v>64.64</v>
      </c>
      <c r="O1921" s="301">
        <v>64.64</v>
      </c>
      <c r="P1921" s="301">
        <v>64.64</v>
      </c>
      <c r="Q1921" s="301">
        <v>64.64</v>
      </c>
      <c r="R1921" s="301">
        <v>64.64</v>
      </c>
      <c r="S1921" s="301">
        <v>64.64</v>
      </c>
      <c r="T1921" s="301">
        <v>64.64</v>
      </c>
      <c r="U1921" s="301">
        <v>64.64</v>
      </c>
      <c r="V1921" s="301">
        <v>64.64</v>
      </c>
      <c r="W1921" s="301">
        <v>64.64</v>
      </c>
      <c r="X1921" s="301">
        <v>64.64</v>
      </c>
      <c r="Y1921" s="301">
        <v>64.64</v>
      </c>
      <c r="Z1921" s="301">
        <v>64.64</v>
      </c>
      <c r="AA1921" s="301">
        <v>64.64</v>
      </c>
      <c r="AB1921" s="301">
        <v>64.64</v>
      </c>
      <c r="AC1921" s="301">
        <v>64.64</v>
      </c>
      <c r="AD1921" s="301">
        <v>64.64</v>
      </c>
      <c r="AE1921" s="301">
        <v>64.64</v>
      </c>
      <c r="AF1921" s="297">
        <v>64.64</v>
      </c>
      <c r="AG1921">
        <v>61</v>
      </c>
    </row>
    <row r="1922" spans="1:34">
      <c r="A1922" s="301">
        <v>64.64</v>
      </c>
      <c r="AF1922" s="293">
        <v>64.64</v>
      </c>
    </row>
    <row r="1923" spans="1:34">
      <c r="AH1923">
        <v>1922</v>
      </c>
    </row>
    <row r="1924" spans="1:34">
      <c r="AH1924">
        <v>1922</v>
      </c>
    </row>
    <row r="1925" spans="1:34">
      <c r="AH1925">
        <v>1922</v>
      </c>
    </row>
    <row r="1926" spans="1:34">
      <c r="AH1926">
        <v>1922</v>
      </c>
    </row>
    <row r="1927" spans="1:34">
      <c r="AG1927">
        <v>12</v>
      </c>
      <c r="AH1927">
        <v>1922</v>
      </c>
    </row>
    <row r="1928" spans="1:34">
      <c r="AG1928">
        <v>1</v>
      </c>
      <c r="AH1928">
        <v>1922</v>
      </c>
    </row>
    <row r="1929" spans="1:34">
      <c r="A1929" s="301">
        <v>64.64</v>
      </c>
      <c r="H1929" s="326"/>
      <c r="I1929" s="326"/>
      <c r="J1929" s="326"/>
      <c r="K1929" s="326"/>
      <c r="L1929" s="326"/>
      <c r="M1929" s="326"/>
      <c r="N1929" s="326"/>
      <c r="O1929" s="411">
        <v>2</v>
      </c>
      <c r="P1929" s="411">
        <v>2</v>
      </c>
      <c r="Q1929" s="411">
        <v>2</v>
      </c>
      <c r="R1929" s="411">
        <v>2</v>
      </c>
      <c r="S1929" s="326"/>
      <c r="T1929" s="326"/>
      <c r="U1929" s="326"/>
      <c r="V1929" s="326"/>
      <c r="W1929" s="326"/>
      <c r="X1929" s="326"/>
      <c r="Y1929" s="326"/>
      <c r="AF1929" s="293">
        <v>64.64</v>
      </c>
      <c r="AG1929">
        <v>-1</v>
      </c>
    </row>
    <row r="1930" spans="1:34">
      <c r="A1930" s="301">
        <v>64.64</v>
      </c>
      <c r="H1930" s="326"/>
      <c r="I1930" s="326"/>
      <c r="J1930" s="326"/>
      <c r="K1930" s="326"/>
      <c r="L1930" s="326"/>
      <c r="M1930" s="411">
        <v>2</v>
      </c>
      <c r="N1930" s="411">
        <v>2</v>
      </c>
      <c r="O1930" s="432">
        <v>4</v>
      </c>
      <c r="P1930" s="432">
        <v>4</v>
      </c>
      <c r="Q1930" s="432">
        <v>4</v>
      </c>
      <c r="R1930" s="432">
        <v>4</v>
      </c>
      <c r="S1930" s="411">
        <v>2</v>
      </c>
      <c r="T1930" s="411">
        <v>2</v>
      </c>
      <c r="U1930" s="326"/>
      <c r="V1930" s="326"/>
      <c r="W1930" s="326"/>
      <c r="X1930" s="326"/>
      <c r="Y1930" s="326"/>
      <c r="AF1930" s="293">
        <v>64.64</v>
      </c>
    </row>
    <row r="1931" spans="1:34">
      <c r="A1931" s="301">
        <v>64.64</v>
      </c>
      <c r="H1931" s="326"/>
      <c r="I1931" s="326"/>
      <c r="J1931" s="326"/>
      <c r="K1931" s="326"/>
      <c r="L1931" s="411">
        <v>2</v>
      </c>
      <c r="M1931" s="432">
        <v>4</v>
      </c>
      <c r="N1931" s="432">
        <v>4</v>
      </c>
      <c r="O1931" s="439">
        <v>64</v>
      </c>
      <c r="P1931" s="439">
        <v>64</v>
      </c>
      <c r="Q1931" s="439">
        <v>64</v>
      </c>
      <c r="R1931" s="439">
        <v>64</v>
      </c>
      <c r="S1931" s="432">
        <v>4</v>
      </c>
      <c r="T1931" s="432">
        <v>4</v>
      </c>
      <c r="U1931" s="411">
        <v>2</v>
      </c>
      <c r="V1931" s="326"/>
      <c r="W1931" s="326"/>
      <c r="X1931" s="326"/>
      <c r="Y1931" s="326"/>
      <c r="AF1931" s="293">
        <v>64.64</v>
      </c>
    </row>
    <row r="1932" spans="1:34">
      <c r="A1932" s="301">
        <v>64.64</v>
      </c>
      <c r="H1932" s="326"/>
      <c r="I1932" s="326"/>
      <c r="J1932" s="326"/>
      <c r="K1932" s="411">
        <v>2</v>
      </c>
      <c r="L1932" s="432">
        <v>4</v>
      </c>
      <c r="M1932" s="439">
        <v>64</v>
      </c>
      <c r="N1932" s="439">
        <v>64</v>
      </c>
      <c r="O1932" s="439">
        <v>64</v>
      </c>
      <c r="P1932" s="326"/>
      <c r="Q1932" s="326"/>
      <c r="R1932" s="439">
        <v>64</v>
      </c>
      <c r="S1932" s="421">
        <v>64</v>
      </c>
      <c r="T1932" s="439">
        <v>64</v>
      </c>
      <c r="U1932" s="432">
        <v>4</v>
      </c>
      <c r="V1932" s="411">
        <v>2</v>
      </c>
      <c r="W1932" s="326"/>
      <c r="X1932" s="326"/>
      <c r="Y1932" s="326"/>
      <c r="AF1932" s="293">
        <v>64.64</v>
      </c>
    </row>
    <row r="1933" spans="1:34">
      <c r="A1933" s="301">
        <v>64.64</v>
      </c>
      <c r="H1933" s="326"/>
      <c r="I1933" s="326"/>
      <c r="J1933" s="411">
        <v>2</v>
      </c>
      <c r="K1933" s="432">
        <v>4</v>
      </c>
      <c r="L1933" s="439">
        <v>64</v>
      </c>
      <c r="M1933" s="439">
        <v>64</v>
      </c>
      <c r="N1933" s="326"/>
      <c r="O1933" s="326"/>
      <c r="P1933" s="326"/>
      <c r="Q1933" s="326"/>
      <c r="R1933" s="326"/>
      <c r="S1933" s="326"/>
      <c r="T1933" s="421">
        <v>64</v>
      </c>
      <c r="U1933" s="439">
        <v>64</v>
      </c>
      <c r="V1933" s="432">
        <v>4</v>
      </c>
      <c r="W1933" s="411">
        <v>2</v>
      </c>
      <c r="X1933" s="326"/>
      <c r="Y1933" s="326"/>
      <c r="AF1933" s="293">
        <v>64.64</v>
      </c>
    </row>
    <row r="1934" spans="1:34">
      <c r="A1934" s="301">
        <v>64.64</v>
      </c>
      <c r="H1934" s="326"/>
      <c r="I1934" s="326"/>
      <c r="J1934" s="411">
        <v>2</v>
      </c>
      <c r="K1934" s="432">
        <v>4</v>
      </c>
      <c r="L1934" s="439">
        <v>64</v>
      </c>
      <c r="M1934" s="326"/>
      <c r="N1934" s="326"/>
      <c r="O1934" s="326"/>
      <c r="P1934" s="326"/>
      <c r="Q1934" s="326"/>
      <c r="R1934" s="326"/>
      <c r="S1934" s="326"/>
      <c r="T1934" s="326"/>
      <c r="U1934" s="421">
        <v>64</v>
      </c>
      <c r="V1934" s="432">
        <v>4</v>
      </c>
      <c r="W1934" s="439">
        <v>2</v>
      </c>
      <c r="X1934" s="326"/>
      <c r="Y1934" s="326"/>
      <c r="AF1934" s="293">
        <v>64.64</v>
      </c>
    </row>
    <row r="1935" spans="1:34">
      <c r="A1935" s="301">
        <v>64.64</v>
      </c>
      <c r="H1935" s="326"/>
      <c r="I1935" s="411">
        <v>2</v>
      </c>
      <c r="J1935" s="432">
        <v>4</v>
      </c>
      <c r="K1935" s="439">
        <v>64</v>
      </c>
      <c r="L1935" s="439">
        <v>64</v>
      </c>
      <c r="M1935" s="326"/>
      <c r="N1935" s="326"/>
      <c r="O1935" s="326"/>
      <c r="P1935" s="326"/>
      <c r="Q1935" s="326"/>
      <c r="R1935" s="326"/>
      <c r="S1935" s="326"/>
      <c r="T1935" s="326"/>
      <c r="U1935" s="421">
        <v>64</v>
      </c>
      <c r="V1935" s="439">
        <v>64</v>
      </c>
      <c r="W1935" s="432">
        <v>4</v>
      </c>
      <c r="X1935" s="439">
        <v>2</v>
      </c>
      <c r="Y1935" s="326"/>
      <c r="AF1935" s="293">
        <v>64.64</v>
      </c>
    </row>
    <row r="1936" spans="1:34">
      <c r="A1936" s="301">
        <v>64.64</v>
      </c>
      <c r="H1936" s="326"/>
      <c r="I1936" s="411">
        <v>2</v>
      </c>
      <c r="J1936" s="432">
        <v>4</v>
      </c>
      <c r="K1936" s="439">
        <v>64</v>
      </c>
      <c r="L1936" s="326"/>
      <c r="M1936" s="326"/>
      <c r="N1936" s="326"/>
      <c r="O1936" s="326"/>
      <c r="P1936" s="326"/>
      <c r="Q1936" s="326"/>
      <c r="R1936" s="326"/>
      <c r="S1936" s="326"/>
      <c r="T1936" s="326"/>
      <c r="U1936" s="326"/>
      <c r="V1936" s="421">
        <v>64</v>
      </c>
      <c r="W1936" s="432">
        <v>4</v>
      </c>
      <c r="X1936" s="439">
        <v>2</v>
      </c>
      <c r="Y1936" s="326"/>
      <c r="AF1936" s="293">
        <v>64.64</v>
      </c>
    </row>
    <row r="1937" spans="1:34">
      <c r="AH1937">
        <v>1936</v>
      </c>
    </row>
    <row r="1938" spans="1:34">
      <c r="A1938" s="301">
        <v>64.64</v>
      </c>
      <c r="H1938" s="326"/>
      <c r="I1938" s="411">
        <v>2</v>
      </c>
      <c r="J1938" s="432">
        <v>4</v>
      </c>
      <c r="K1938" s="439">
        <v>64</v>
      </c>
      <c r="L1938" s="439">
        <v>64</v>
      </c>
      <c r="M1938" s="326"/>
      <c r="N1938" s="326"/>
      <c r="O1938" s="326"/>
      <c r="P1938" s="326"/>
      <c r="Q1938" s="326"/>
      <c r="R1938" s="326"/>
      <c r="S1938" s="326"/>
      <c r="T1938" s="326"/>
      <c r="U1938" s="421">
        <v>64</v>
      </c>
      <c r="V1938" s="421">
        <v>64</v>
      </c>
      <c r="W1938" s="432">
        <v>4</v>
      </c>
      <c r="X1938" s="439">
        <v>2</v>
      </c>
      <c r="Y1938" s="326"/>
      <c r="AF1938" s="293">
        <v>64.64</v>
      </c>
    </row>
    <row r="1939" spans="1:34">
      <c r="A1939" s="301">
        <v>64.64</v>
      </c>
      <c r="H1939" s="326"/>
      <c r="I1939" s="326"/>
      <c r="J1939" s="411">
        <v>2</v>
      </c>
      <c r="K1939" s="432">
        <v>4</v>
      </c>
      <c r="L1939" s="439">
        <v>64</v>
      </c>
      <c r="M1939" s="326"/>
      <c r="N1939" s="326"/>
      <c r="O1939" s="326"/>
      <c r="P1939" s="326"/>
      <c r="Q1939" s="326"/>
      <c r="R1939" s="326"/>
      <c r="S1939" s="326"/>
      <c r="T1939" s="326"/>
      <c r="U1939" s="421">
        <v>64</v>
      </c>
      <c r="V1939" s="432">
        <v>4</v>
      </c>
      <c r="W1939" s="439">
        <v>2</v>
      </c>
      <c r="X1939" s="326"/>
      <c r="Y1939" s="326"/>
      <c r="AF1939" s="293">
        <v>64.64</v>
      </c>
    </row>
    <row r="1940" spans="1:34">
      <c r="A1940" s="301">
        <v>64.64</v>
      </c>
      <c r="H1940" s="326"/>
      <c r="I1940" s="326"/>
      <c r="J1940" s="411">
        <v>2</v>
      </c>
      <c r="K1940" s="432">
        <v>4</v>
      </c>
      <c r="L1940" s="439">
        <v>64</v>
      </c>
      <c r="M1940" s="421">
        <v>64</v>
      </c>
      <c r="N1940" s="326"/>
      <c r="O1940" s="326"/>
      <c r="P1940" s="326"/>
      <c r="Q1940" s="326"/>
      <c r="R1940" s="326"/>
      <c r="S1940" s="326"/>
      <c r="T1940" s="421">
        <v>64</v>
      </c>
      <c r="U1940" s="421">
        <v>64</v>
      </c>
      <c r="V1940" s="432">
        <v>4</v>
      </c>
      <c r="W1940" s="439">
        <v>2</v>
      </c>
      <c r="X1940" s="326"/>
      <c r="Y1940" s="326"/>
      <c r="AF1940" s="293">
        <v>64.64</v>
      </c>
    </row>
    <row r="1941" spans="1:34">
      <c r="A1941" s="301">
        <v>64.64</v>
      </c>
      <c r="H1941" s="326"/>
      <c r="I1941" s="326"/>
      <c r="J1941" s="326"/>
      <c r="K1941" s="411">
        <v>2</v>
      </c>
      <c r="L1941" s="432">
        <v>4</v>
      </c>
      <c r="M1941" s="439">
        <v>64</v>
      </c>
      <c r="N1941" s="421">
        <v>64</v>
      </c>
      <c r="O1941" s="421">
        <v>64</v>
      </c>
      <c r="P1941" s="326"/>
      <c r="Q1941" s="326"/>
      <c r="R1941" s="421">
        <v>64</v>
      </c>
      <c r="S1941" s="421">
        <v>64</v>
      </c>
      <c r="T1941" s="421">
        <v>64</v>
      </c>
      <c r="U1941" s="432">
        <v>4</v>
      </c>
      <c r="V1941" s="439">
        <v>2</v>
      </c>
      <c r="W1941" s="326"/>
      <c r="X1941" s="326"/>
      <c r="Y1941" s="326"/>
      <c r="AF1941" s="293">
        <v>64.64</v>
      </c>
    </row>
    <row r="1942" spans="1:34">
      <c r="A1942" s="301">
        <v>64.64</v>
      </c>
      <c r="H1942" s="326"/>
      <c r="I1942" s="326"/>
      <c r="J1942" s="326"/>
      <c r="K1942" s="326"/>
      <c r="L1942" s="411">
        <v>2</v>
      </c>
      <c r="M1942" s="432">
        <v>4</v>
      </c>
      <c r="N1942" s="432">
        <v>4</v>
      </c>
      <c r="O1942" s="439">
        <v>64</v>
      </c>
      <c r="P1942" s="421">
        <v>64</v>
      </c>
      <c r="Q1942" s="421">
        <v>64</v>
      </c>
      <c r="R1942" s="421">
        <v>64</v>
      </c>
      <c r="S1942" s="432">
        <v>4</v>
      </c>
      <c r="T1942" s="432">
        <v>4</v>
      </c>
      <c r="U1942" s="439">
        <v>2</v>
      </c>
      <c r="V1942" s="326"/>
      <c r="W1942" s="326"/>
      <c r="X1942" s="326"/>
      <c r="Y1942" s="326"/>
      <c r="AF1942" s="293">
        <v>64.64</v>
      </c>
    </row>
    <row r="1943" spans="1:34">
      <c r="A1943" s="301">
        <v>64.64</v>
      </c>
      <c r="H1943" s="326"/>
      <c r="I1943" s="326"/>
      <c r="J1943" s="326"/>
      <c r="K1943" s="326"/>
      <c r="L1943" s="326"/>
      <c r="M1943" s="411">
        <v>2</v>
      </c>
      <c r="N1943" s="439">
        <v>2</v>
      </c>
      <c r="O1943" s="432">
        <v>4</v>
      </c>
      <c r="P1943" s="432">
        <v>4</v>
      </c>
      <c r="Q1943" s="432">
        <v>4</v>
      </c>
      <c r="R1943" s="432">
        <v>4</v>
      </c>
      <c r="S1943" s="439">
        <v>2</v>
      </c>
      <c r="T1943" s="439">
        <v>2</v>
      </c>
      <c r="U1943" s="326"/>
      <c r="V1943" s="326"/>
      <c r="W1943" s="326"/>
      <c r="X1943" s="326"/>
      <c r="Y1943" s="326"/>
      <c r="AF1943" s="293">
        <v>64.64</v>
      </c>
    </row>
    <row r="1944" spans="1:34">
      <c r="A1944" s="301">
        <v>64.64</v>
      </c>
      <c r="H1944" s="326"/>
      <c r="I1944" s="326"/>
      <c r="J1944" s="326"/>
      <c r="K1944" s="326"/>
      <c r="L1944" s="326"/>
      <c r="M1944" s="326"/>
      <c r="N1944" s="326"/>
      <c r="O1944" s="439">
        <v>2</v>
      </c>
      <c r="P1944" s="439">
        <v>2</v>
      </c>
      <c r="Q1944" s="439">
        <v>2</v>
      </c>
      <c r="R1944" s="439">
        <v>2</v>
      </c>
      <c r="S1944" s="326"/>
      <c r="T1944" s="326"/>
      <c r="U1944" s="326"/>
      <c r="V1944" s="326"/>
      <c r="W1944" s="326"/>
      <c r="X1944" s="326"/>
      <c r="Y1944" s="326"/>
      <c r="AF1944" s="293">
        <v>64.64</v>
      </c>
    </row>
    <row r="1945" spans="1:34">
      <c r="AH1945">
        <v>1922</v>
      </c>
    </row>
    <row r="1946" spans="1:34">
      <c r="AH1946">
        <v>1922</v>
      </c>
    </row>
    <row r="1947" spans="1:34">
      <c r="AH1947">
        <v>1922</v>
      </c>
    </row>
    <row r="1948" spans="1:34">
      <c r="AH1948">
        <v>1922</v>
      </c>
    </row>
    <row r="1949" spans="1:34">
      <c r="AH1949">
        <v>1922</v>
      </c>
    </row>
    <row r="1950" spans="1:34">
      <c r="AH1950">
        <v>1922</v>
      </c>
    </row>
    <row r="1951" spans="1:34">
      <c r="AH1951">
        <v>1922</v>
      </c>
    </row>
    <row r="1952" spans="1:34">
      <c r="A1952" s="297">
        <v>64.64</v>
      </c>
      <c r="B1952" s="293">
        <v>64.64</v>
      </c>
      <c r="C1952" s="293">
        <v>64.64</v>
      </c>
      <c r="D1952" s="293">
        <v>64.64</v>
      </c>
      <c r="E1952" s="293">
        <v>64.64</v>
      </c>
      <c r="F1952" s="293">
        <v>64.64</v>
      </c>
      <c r="G1952" s="293">
        <v>64.64</v>
      </c>
      <c r="H1952" s="293">
        <v>64.64</v>
      </c>
      <c r="I1952" s="293">
        <v>64.64</v>
      </c>
      <c r="J1952" s="293">
        <v>64.64</v>
      </c>
      <c r="K1952" s="293">
        <v>64.64</v>
      </c>
      <c r="L1952" s="293">
        <v>64.64</v>
      </c>
      <c r="M1952" s="293">
        <v>64.64</v>
      </c>
      <c r="N1952" s="293">
        <v>64.64</v>
      </c>
      <c r="O1952" s="293">
        <v>64.64</v>
      </c>
      <c r="P1952" s="293">
        <v>64.64</v>
      </c>
      <c r="Q1952" s="293">
        <v>64.64</v>
      </c>
      <c r="R1952" s="293">
        <v>64.64</v>
      </c>
      <c r="S1952" s="293">
        <v>64.64</v>
      </c>
      <c r="T1952" s="293">
        <v>64.64</v>
      </c>
      <c r="U1952" s="293">
        <v>64.64</v>
      </c>
      <c r="V1952" s="293">
        <v>64.64</v>
      </c>
      <c r="W1952" s="293">
        <v>64.64</v>
      </c>
      <c r="X1952" s="293">
        <v>64.64</v>
      </c>
      <c r="Y1952" s="293">
        <v>64.64</v>
      </c>
      <c r="Z1952" s="293">
        <v>64.64</v>
      </c>
      <c r="AA1952" s="293">
        <v>64.64</v>
      </c>
      <c r="AB1952" s="293">
        <v>64.64</v>
      </c>
      <c r="AC1952" s="293">
        <v>64.64</v>
      </c>
      <c r="AD1952" s="293">
        <v>64.64</v>
      </c>
      <c r="AE1952" s="293">
        <v>64.64</v>
      </c>
      <c r="AF1952" s="293">
        <v>64.64</v>
      </c>
    </row>
    <row r="1953" spans="3:33">
      <c r="Q1953" s="441">
        <v>1.32</v>
      </c>
      <c r="R1953" s="441">
        <v>1.32</v>
      </c>
      <c r="S1953" s="427">
        <v>1.32</v>
      </c>
      <c r="V1953" s="441">
        <v>24.16</v>
      </c>
      <c r="AB1953" s="441">
        <v>1.32</v>
      </c>
      <c r="AG1953">
        <v>62</v>
      </c>
    </row>
    <row r="1954" spans="3:33">
      <c r="S1954" s="441">
        <v>1.32</v>
      </c>
      <c r="T1954" s="441">
        <v>1.32</v>
      </c>
      <c r="U1954" s="427">
        <v>1.32</v>
      </c>
      <c r="V1954" s="441">
        <v>27.2</v>
      </c>
      <c r="Y1954" s="441">
        <v>1.32</v>
      </c>
      <c r="Z1954" s="441">
        <v>1.32</v>
      </c>
      <c r="AA1954" s="427">
        <v>1.32</v>
      </c>
    </row>
    <row r="1955" spans="3:33">
      <c r="T1955" s="441">
        <v>1.26</v>
      </c>
      <c r="U1955" s="441">
        <v>1.24</v>
      </c>
      <c r="V1955" s="441">
        <v>1.32</v>
      </c>
      <c r="W1955" s="441">
        <v>1.32</v>
      </c>
      <c r="X1955" s="441">
        <v>1.32</v>
      </c>
      <c r="Y1955" s="427">
        <v>1.32</v>
      </c>
    </row>
    <row r="1956" spans="3:33">
      <c r="S1956" s="441">
        <v>1.3</v>
      </c>
      <c r="T1956" s="441">
        <v>1.28</v>
      </c>
      <c r="U1956" s="427">
        <v>1.32</v>
      </c>
      <c r="V1956" s="427">
        <v>1.32</v>
      </c>
    </row>
    <row r="1957" spans="3:33">
      <c r="J1957" s="441">
        <v>1.32</v>
      </c>
      <c r="K1957" s="441">
        <v>1.32</v>
      </c>
      <c r="L1957" s="441">
        <v>1.32</v>
      </c>
      <c r="M1957" s="441">
        <v>1.32</v>
      </c>
      <c r="R1957" s="441">
        <v>1.32</v>
      </c>
      <c r="S1957" s="441">
        <v>1.31</v>
      </c>
      <c r="T1957" s="427">
        <v>1.32</v>
      </c>
    </row>
    <row r="1958" spans="3:33">
      <c r="N1958" s="441">
        <v>1.32</v>
      </c>
      <c r="O1958" s="427">
        <v>1.32</v>
      </c>
      <c r="Q1958" s="441">
        <v>1.32</v>
      </c>
      <c r="R1958" s="441">
        <v>1.32</v>
      </c>
      <c r="S1958" s="427">
        <v>1.32</v>
      </c>
    </row>
    <row r="1959" spans="3:33">
      <c r="O1959" s="441">
        <v>1.32</v>
      </c>
      <c r="P1959" s="427">
        <v>1.32</v>
      </c>
      <c r="Q1959" s="441">
        <v>1.32</v>
      </c>
      <c r="R1959" s="427">
        <v>1.32</v>
      </c>
      <c r="AG1959">
        <v>6</v>
      </c>
    </row>
    <row r="1960" spans="3:33">
      <c r="H1960" s="326"/>
      <c r="I1960" s="326"/>
      <c r="J1960" s="326"/>
      <c r="K1960" s="326"/>
      <c r="L1960" s="326"/>
      <c r="M1960" s="326"/>
      <c r="N1960" s="326"/>
      <c r="O1960" s="441">
        <v>1.32</v>
      </c>
      <c r="P1960" s="441">
        <v>1.32</v>
      </c>
      <c r="Q1960" s="427">
        <v>1.32</v>
      </c>
      <c r="R1960" s="326"/>
      <c r="S1960" s="326"/>
      <c r="T1960" s="326"/>
      <c r="U1960" s="326"/>
      <c r="V1960" s="326"/>
      <c r="W1960" s="326"/>
      <c r="X1960" s="326"/>
      <c r="Y1960" s="326"/>
      <c r="AG1960">
        <v>2</v>
      </c>
    </row>
    <row r="1961" spans="3:33">
      <c r="H1961" s="326"/>
      <c r="I1961" s="326"/>
      <c r="J1961" s="326"/>
      <c r="K1961" s="326"/>
      <c r="L1961" s="326"/>
      <c r="M1961" s="326"/>
      <c r="N1961" s="326"/>
      <c r="O1961" s="427">
        <v>1.32</v>
      </c>
      <c r="P1961" s="441">
        <v>2.31</v>
      </c>
      <c r="Q1961" s="441">
        <v>2.31</v>
      </c>
      <c r="R1961" s="427">
        <v>1.32</v>
      </c>
      <c r="S1961" s="326"/>
      <c r="T1961" s="326"/>
      <c r="U1961" s="326"/>
      <c r="V1961" s="326"/>
      <c r="W1961" s="326"/>
      <c r="X1961" s="326"/>
      <c r="Y1961" s="326"/>
      <c r="AG1961">
        <v>-1</v>
      </c>
    </row>
    <row r="1962" spans="3:33">
      <c r="H1962" s="326"/>
      <c r="I1962" s="326"/>
      <c r="J1962" s="326"/>
      <c r="K1962" s="326"/>
      <c r="L1962" s="326"/>
      <c r="M1962" s="326"/>
      <c r="N1962" s="326"/>
      <c r="O1962" s="326"/>
      <c r="P1962" s="427">
        <v>1.32</v>
      </c>
      <c r="Q1962" s="427">
        <v>3.3</v>
      </c>
      <c r="R1962" s="427">
        <v>1.32</v>
      </c>
      <c r="S1962" s="326"/>
      <c r="T1962" s="326"/>
      <c r="U1962" s="326"/>
      <c r="V1962" s="326"/>
      <c r="W1962" s="326"/>
      <c r="X1962" s="326"/>
      <c r="Y1962" s="326"/>
      <c r="AG1962">
        <v>3</v>
      </c>
    </row>
    <row r="1963" spans="3:33">
      <c r="H1963" s="326"/>
      <c r="I1963" s="326"/>
      <c r="J1963" s="326"/>
      <c r="K1963" s="326"/>
      <c r="L1963" s="326"/>
      <c r="M1963" s="326"/>
      <c r="N1963" s="441">
        <v>2.31</v>
      </c>
      <c r="O1963" s="441">
        <v>2.31</v>
      </c>
      <c r="P1963" s="427">
        <v>3.3</v>
      </c>
      <c r="Q1963" s="427">
        <v>3.3</v>
      </c>
      <c r="R1963" s="441">
        <v>2.31</v>
      </c>
      <c r="S1963" s="441">
        <v>2.31</v>
      </c>
      <c r="T1963" s="326"/>
      <c r="U1963" s="326"/>
      <c r="V1963" s="326"/>
      <c r="W1963" s="326"/>
      <c r="X1963" s="326"/>
      <c r="Y1963" s="326"/>
      <c r="AG1963">
        <v>3</v>
      </c>
    </row>
    <row r="1964" spans="3:33">
      <c r="H1964" s="326"/>
      <c r="I1964" s="326"/>
      <c r="J1964" s="326"/>
      <c r="K1964" s="326"/>
      <c r="L1964" s="326"/>
      <c r="M1964" s="441">
        <v>2.31</v>
      </c>
      <c r="N1964" s="427">
        <v>3.29</v>
      </c>
      <c r="O1964" s="427">
        <v>3.27</v>
      </c>
      <c r="P1964" s="434">
        <v>32</v>
      </c>
      <c r="Q1964" s="434">
        <v>32</v>
      </c>
      <c r="R1964" s="427">
        <v>3.3</v>
      </c>
      <c r="S1964" s="427">
        <v>3.24</v>
      </c>
      <c r="T1964" s="441">
        <v>2.2799999999999998</v>
      </c>
      <c r="U1964" s="326"/>
      <c r="V1964" s="326"/>
      <c r="W1964" s="326"/>
      <c r="X1964" s="326"/>
      <c r="Y1964" s="326"/>
      <c r="AG1964">
        <v>-2</v>
      </c>
    </row>
    <row r="1965" spans="3:33">
      <c r="E1965" s="427">
        <v>1.32</v>
      </c>
      <c r="H1965" s="326"/>
      <c r="I1965" s="326"/>
      <c r="J1965" s="326"/>
      <c r="K1965" s="326"/>
      <c r="L1965" s="441">
        <v>2.31</v>
      </c>
      <c r="M1965" s="427">
        <v>3.3</v>
      </c>
      <c r="N1965" s="434">
        <v>32</v>
      </c>
      <c r="O1965" s="434">
        <v>32</v>
      </c>
      <c r="P1965" s="434">
        <v>32</v>
      </c>
      <c r="Q1965" s="434">
        <v>32</v>
      </c>
      <c r="R1965" s="418">
        <v>32</v>
      </c>
      <c r="S1965" s="434">
        <v>32</v>
      </c>
      <c r="T1965" s="427">
        <v>3.25</v>
      </c>
      <c r="U1965" s="441">
        <v>2.31</v>
      </c>
      <c r="V1965" s="326"/>
      <c r="W1965" s="326"/>
      <c r="X1965" s="326"/>
      <c r="Y1965" s="326"/>
      <c r="AG1965">
        <v>2</v>
      </c>
    </row>
    <row r="1966" spans="3:33">
      <c r="D1966" s="441">
        <v>1.32</v>
      </c>
      <c r="E1966" s="441">
        <v>1.32</v>
      </c>
      <c r="F1966" s="427">
        <v>1.32</v>
      </c>
      <c r="H1966" s="326"/>
      <c r="I1966" s="326"/>
      <c r="J1966" s="326"/>
      <c r="K1966" s="441">
        <v>2.31</v>
      </c>
      <c r="L1966" s="427">
        <v>3.3</v>
      </c>
      <c r="M1966" s="434">
        <v>32</v>
      </c>
      <c r="N1966" s="434">
        <v>32</v>
      </c>
      <c r="O1966" s="326"/>
      <c r="P1966" s="326"/>
      <c r="Q1966" s="326"/>
      <c r="R1966" s="326"/>
      <c r="S1966" s="418">
        <v>32</v>
      </c>
      <c r="T1966" s="434">
        <v>32</v>
      </c>
      <c r="U1966" s="427">
        <v>3.28</v>
      </c>
      <c r="V1966" s="441">
        <v>2.31</v>
      </c>
      <c r="W1966" s="326"/>
      <c r="X1966" s="326"/>
      <c r="Y1966" s="326"/>
    </row>
    <row r="1967" spans="3:33">
      <c r="C1967" s="427">
        <v>1.32</v>
      </c>
      <c r="D1967" s="441">
        <v>1.32</v>
      </c>
      <c r="E1967" s="427">
        <v>1.32</v>
      </c>
      <c r="F1967" s="441">
        <v>1.32</v>
      </c>
      <c r="G1967" s="427">
        <v>1.32</v>
      </c>
      <c r="H1967" s="326"/>
      <c r="I1967" s="441">
        <v>1.32</v>
      </c>
      <c r="J1967" s="441">
        <v>1.32</v>
      </c>
      <c r="K1967" s="427">
        <v>3.3</v>
      </c>
      <c r="L1967" s="427">
        <v>3.3</v>
      </c>
      <c r="M1967" s="434">
        <v>32</v>
      </c>
      <c r="N1967" s="326"/>
      <c r="O1967" s="326"/>
      <c r="P1967" s="326"/>
      <c r="Q1967" s="326"/>
      <c r="R1967" s="326"/>
      <c r="S1967" s="326"/>
      <c r="T1967" s="427">
        <v>32</v>
      </c>
      <c r="U1967" s="427">
        <v>3.29</v>
      </c>
      <c r="V1967" s="434">
        <v>2.31</v>
      </c>
      <c r="W1967" s="326"/>
      <c r="X1967" s="441">
        <v>1.32</v>
      </c>
      <c r="Y1967" s="441">
        <v>1.32</v>
      </c>
      <c r="Z1967" s="441">
        <v>1.32</v>
      </c>
      <c r="AA1967" s="427">
        <v>1.32</v>
      </c>
      <c r="AF1967" s="441">
        <v>1.32</v>
      </c>
    </row>
    <row r="1968" spans="3:33">
      <c r="C1968" s="441">
        <v>1.32</v>
      </c>
      <c r="F1968" s="427">
        <v>1.32</v>
      </c>
      <c r="G1968" s="441">
        <v>1.32</v>
      </c>
      <c r="H1968" s="441">
        <v>1.32</v>
      </c>
      <c r="I1968" s="441">
        <v>1.27</v>
      </c>
      <c r="J1968" s="427">
        <v>3.3</v>
      </c>
      <c r="K1968" s="427">
        <v>3.3</v>
      </c>
      <c r="L1968" s="434">
        <v>32</v>
      </c>
      <c r="M1968" s="434">
        <v>32</v>
      </c>
      <c r="N1968" s="326"/>
      <c r="O1968" s="326"/>
      <c r="P1968" s="326"/>
      <c r="Q1968" s="326"/>
      <c r="R1968" s="326"/>
      <c r="S1968" s="326"/>
      <c r="T1968" s="418">
        <v>32</v>
      </c>
      <c r="U1968" s="418">
        <v>32</v>
      </c>
      <c r="V1968" s="423">
        <v>3.27</v>
      </c>
      <c r="W1968" s="427">
        <v>2.31</v>
      </c>
      <c r="X1968" s="423">
        <v>3.3</v>
      </c>
      <c r="Y1968" s="427">
        <v>1.18</v>
      </c>
      <c r="Z1968" s="427">
        <v>1.32</v>
      </c>
      <c r="AA1968" s="427">
        <v>1.26</v>
      </c>
      <c r="AB1968" s="427">
        <v>1.32</v>
      </c>
      <c r="AF1968" s="427">
        <v>1.32</v>
      </c>
    </row>
    <row r="1969" spans="2:32">
      <c r="B1969" s="441">
        <v>1.32</v>
      </c>
      <c r="C1969" s="427">
        <v>1.32</v>
      </c>
      <c r="G1969" s="427">
        <v>1.32</v>
      </c>
      <c r="H1969" s="441">
        <v>1.32</v>
      </c>
      <c r="I1969" s="427">
        <v>1.32</v>
      </c>
      <c r="J1969" s="441">
        <v>2.31</v>
      </c>
      <c r="K1969" s="427">
        <v>3.28</v>
      </c>
      <c r="L1969" s="434">
        <v>32</v>
      </c>
      <c r="M1969" s="434">
        <v>32</v>
      </c>
      <c r="N1969" s="326"/>
      <c r="O1969" s="326"/>
      <c r="P1969" s="326"/>
      <c r="Q1969" s="326"/>
      <c r="R1969" s="326"/>
      <c r="S1969" s="326"/>
      <c r="T1969" s="418">
        <v>32</v>
      </c>
      <c r="U1969" s="418">
        <v>32</v>
      </c>
      <c r="V1969" s="423">
        <v>3.2</v>
      </c>
      <c r="W1969" s="423">
        <v>3.3</v>
      </c>
      <c r="X1969" s="427">
        <v>2.31</v>
      </c>
      <c r="Y1969" s="427">
        <v>1.32</v>
      </c>
      <c r="AB1969" s="427">
        <v>1.32</v>
      </c>
      <c r="AC1969" s="427">
        <v>1.32</v>
      </c>
      <c r="AE1969" s="441">
        <v>1.32</v>
      </c>
      <c r="AF1969" s="427">
        <v>1.32</v>
      </c>
    </row>
    <row r="1970" spans="2:32">
      <c r="B1970" s="427">
        <v>1.32</v>
      </c>
      <c r="H1970" s="427">
        <v>1.32</v>
      </c>
      <c r="I1970" s="326"/>
      <c r="J1970" s="427">
        <v>1.32</v>
      </c>
      <c r="K1970" s="441">
        <v>2.2599999999999998</v>
      </c>
      <c r="L1970" s="427">
        <v>3.14</v>
      </c>
      <c r="M1970" s="434">
        <v>32</v>
      </c>
      <c r="N1970" s="326"/>
      <c r="O1970" s="326"/>
      <c r="P1970" s="326"/>
      <c r="Q1970" s="326"/>
      <c r="R1970" s="326"/>
      <c r="S1970" s="326"/>
      <c r="T1970" s="418">
        <v>32</v>
      </c>
      <c r="U1970" s="423">
        <v>3.3</v>
      </c>
      <c r="V1970" s="427">
        <v>2.31</v>
      </c>
      <c r="W1970" s="427">
        <v>1.32</v>
      </c>
      <c r="X1970" s="427">
        <v>1.32</v>
      </c>
      <c r="Y1970" s="326"/>
      <c r="AC1970" s="427">
        <v>1.32</v>
      </c>
      <c r="AD1970" s="427">
        <v>1.32</v>
      </c>
      <c r="AE1970" s="427">
        <v>1.32</v>
      </c>
    </row>
    <row r="1971" spans="2:32">
      <c r="H1971" s="326"/>
      <c r="I1971" s="326"/>
      <c r="J1971" s="326"/>
      <c r="K1971" s="441">
        <v>2.31</v>
      </c>
      <c r="L1971" s="427">
        <v>3.24</v>
      </c>
      <c r="M1971" s="434">
        <v>32</v>
      </c>
      <c r="N1971" s="418">
        <v>32</v>
      </c>
      <c r="O1971" s="326"/>
      <c r="P1971" s="326"/>
      <c r="Q1971" s="326"/>
      <c r="R1971" s="326"/>
      <c r="S1971" s="418">
        <v>32</v>
      </c>
      <c r="T1971" s="418">
        <v>32</v>
      </c>
      <c r="U1971" s="423">
        <v>3.3</v>
      </c>
      <c r="V1971" s="427">
        <v>2.31</v>
      </c>
      <c r="W1971" s="427">
        <v>1.32</v>
      </c>
      <c r="X1971" s="326"/>
      <c r="Y1971" s="326"/>
      <c r="AD1971" s="427">
        <v>1.32</v>
      </c>
    </row>
    <row r="1972" spans="2:32">
      <c r="H1972" s="326"/>
      <c r="I1972" s="326"/>
      <c r="J1972" s="326"/>
      <c r="K1972" s="326"/>
      <c r="L1972" s="441">
        <v>2.31</v>
      </c>
      <c r="M1972" s="427">
        <v>3.3</v>
      </c>
      <c r="N1972" s="434">
        <v>32</v>
      </c>
      <c r="O1972" s="418">
        <v>32</v>
      </c>
      <c r="P1972" s="418">
        <v>32</v>
      </c>
      <c r="Q1972" s="418">
        <v>32</v>
      </c>
      <c r="R1972" s="418">
        <v>32</v>
      </c>
      <c r="S1972" s="418">
        <v>32</v>
      </c>
      <c r="T1972" s="423">
        <v>3.3</v>
      </c>
      <c r="U1972" s="427">
        <v>2.31</v>
      </c>
      <c r="V1972" s="326"/>
      <c r="W1972" s="326"/>
      <c r="X1972" s="326"/>
      <c r="Y1972" s="326"/>
    </row>
    <row r="1973" spans="2:32">
      <c r="H1973" s="326"/>
      <c r="I1973" s="326"/>
      <c r="J1973" s="326"/>
      <c r="K1973" s="326"/>
      <c r="L1973" s="326"/>
      <c r="M1973" s="441">
        <v>2.31</v>
      </c>
      <c r="N1973" s="427">
        <v>3.3</v>
      </c>
      <c r="O1973" s="427">
        <v>3.3</v>
      </c>
      <c r="P1973" s="427">
        <v>32</v>
      </c>
      <c r="Q1973" s="418">
        <v>32</v>
      </c>
      <c r="R1973" s="423">
        <v>3.3</v>
      </c>
      <c r="S1973" s="423">
        <v>3.3</v>
      </c>
      <c r="T1973" s="427">
        <v>2.31</v>
      </c>
      <c r="U1973" s="326"/>
      <c r="V1973" s="326"/>
      <c r="W1973" s="326"/>
      <c r="X1973" s="326"/>
      <c r="Y1973" s="326"/>
    </row>
    <row r="1974" spans="2:32">
      <c r="H1974" s="326"/>
      <c r="I1974" s="326"/>
      <c r="J1974" s="326"/>
      <c r="K1974" s="326"/>
      <c r="L1974" s="326"/>
      <c r="M1974" s="326"/>
      <c r="N1974" s="441">
        <v>2.31</v>
      </c>
      <c r="O1974" s="441">
        <v>2.31</v>
      </c>
      <c r="P1974" s="427">
        <v>3.3</v>
      </c>
      <c r="Q1974" s="423">
        <v>3.3</v>
      </c>
      <c r="R1974" s="427">
        <v>2.31</v>
      </c>
      <c r="S1974" s="427">
        <v>2.31</v>
      </c>
      <c r="T1974" s="326"/>
      <c r="U1974" s="326"/>
      <c r="V1974" s="326"/>
      <c r="W1974" s="326"/>
      <c r="X1974" s="326"/>
      <c r="Y1974" s="326"/>
    </row>
    <row r="1975" spans="2:32">
      <c r="H1975" s="326"/>
      <c r="I1975" s="326"/>
      <c r="J1975" s="326"/>
      <c r="K1975" s="326"/>
      <c r="L1975" s="326"/>
      <c r="M1975" s="326"/>
      <c r="N1975" s="326"/>
      <c r="O1975" s="427">
        <v>1.32</v>
      </c>
      <c r="P1975" s="434">
        <v>2.31</v>
      </c>
      <c r="Q1975" s="427">
        <v>2.31</v>
      </c>
      <c r="R1975" s="427">
        <v>1.32</v>
      </c>
      <c r="S1975" s="326"/>
      <c r="T1975" s="326"/>
      <c r="U1975" s="326"/>
      <c r="V1975" s="326"/>
      <c r="W1975" s="326"/>
      <c r="X1975" s="326"/>
      <c r="Y1975" s="326"/>
    </row>
    <row r="1976" spans="2:32">
      <c r="H1976" s="326"/>
      <c r="I1976" s="326"/>
      <c r="J1976" s="326"/>
      <c r="K1976" s="326"/>
      <c r="L1976" s="326"/>
      <c r="M1976" s="326"/>
      <c r="N1976" s="326"/>
      <c r="O1976" s="326"/>
      <c r="P1976" s="427">
        <v>1.32</v>
      </c>
      <c r="Q1976" s="434">
        <v>2.19</v>
      </c>
      <c r="R1976" s="427">
        <v>2.31</v>
      </c>
      <c r="S1976" s="427">
        <v>1.32</v>
      </c>
      <c r="T1976" s="326"/>
      <c r="U1976" s="326"/>
      <c r="V1976" s="326"/>
      <c r="W1976" s="326"/>
      <c r="X1976" s="326"/>
      <c r="Y1976" s="326"/>
    </row>
    <row r="1977" spans="2:32">
      <c r="H1977" s="326"/>
      <c r="I1977" s="326"/>
      <c r="J1977" s="326"/>
      <c r="K1977" s="326"/>
      <c r="L1977" s="326"/>
      <c r="M1977" s="326"/>
      <c r="N1977" s="326"/>
      <c r="O1977" s="427">
        <v>1.32</v>
      </c>
      <c r="P1977" s="427">
        <v>1.32</v>
      </c>
      <c r="Q1977" s="427">
        <v>1.26</v>
      </c>
      <c r="R1977" s="427">
        <v>1.32</v>
      </c>
      <c r="S1977" s="427">
        <v>1.32</v>
      </c>
      <c r="T1977" s="326"/>
      <c r="U1977" s="326"/>
      <c r="V1977" s="326"/>
      <c r="W1977" s="326"/>
      <c r="X1977" s="326"/>
      <c r="Y1977" s="326"/>
    </row>
    <row r="1978" spans="2:32">
      <c r="H1978" s="326"/>
      <c r="I1978" s="326"/>
      <c r="J1978" s="326"/>
      <c r="K1978" s="326"/>
      <c r="L1978" s="326"/>
      <c r="M1978" s="326"/>
      <c r="N1978" s="326"/>
      <c r="O1978" s="326"/>
      <c r="P1978" s="427">
        <v>1.32</v>
      </c>
      <c r="Q1978" s="427">
        <v>1.32</v>
      </c>
      <c r="R1978" s="427">
        <v>1.32</v>
      </c>
      <c r="S1978" s="326"/>
      <c r="T1978" s="326"/>
      <c r="U1978" s="326"/>
      <c r="V1978" s="326"/>
      <c r="W1978" s="326"/>
      <c r="X1978" s="326"/>
      <c r="Y1978" s="326"/>
    </row>
    <row r="1979" spans="2:32">
      <c r="H1979" s="326"/>
      <c r="I1979" s="326"/>
      <c r="J1979" s="326"/>
      <c r="K1979" s="326"/>
      <c r="L1979" s="326"/>
      <c r="M1979" s="326"/>
      <c r="N1979" s="326"/>
      <c r="O1979" s="326"/>
      <c r="P1979" s="441">
        <v>1.32</v>
      </c>
      <c r="Q1979" s="427">
        <v>1.32</v>
      </c>
      <c r="R1979" s="427">
        <v>1.32</v>
      </c>
      <c r="S1979" s="326"/>
      <c r="T1979" s="326"/>
      <c r="U1979" s="326"/>
      <c r="V1979" s="326"/>
      <c r="W1979" s="326"/>
      <c r="X1979" s="326"/>
      <c r="Y1979" s="326"/>
    </row>
    <row r="1980" spans="2:32">
      <c r="Q1980" s="427">
        <v>1.24</v>
      </c>
      <c r="R1980" s="427">
        <v>1.32</v>
      </c>
      <c r="S1980" s="427">
        <v>1.32</v>
      </c>
    </row>
    <row r="1981" spans="2:32">
      <c r="Q1981" s="427">
        <v>1.32</v>
      </c>
      <c r="R1981" s="427">
        <v>1.32</v>
      </c>
    </row>
    <row r="1982" spans="2:32">
      <c r="O1982" s="441">
        <v>1.32</v>
      </c>
      <c r="P1982" s="427">
        <v>1.32</v>
      </c>
      <c r="Q1982" s="427">
        <v>1.32</v>
      </c>
    </row>
    <row r="1983" spans="2:32">
      <c r="M1983" s="441">
        <v>1.32</v>
      </c>
      <c r="N1983" s="441">
        <v>1.32</v>
      </c>
      <c r="O1983" s="427">
        <v>1.32</v>
      </c>
    </row>
    <row r="1985" spans="1:33">
      <c r="A1985" s="433">
        <v>38.380000000000003</v>
      </c>
      <c r="B1985" s="433">
        <v>38.380000000000003</v>
      </c>
      <c r="C1985" s="433">
        <v>38.380000000000003</v>
      </c>
      <c r="D1985" s="433">
        <v>38.380000000000003</v>
      </c>
      <c r="E1985" s="433">
        <v>38.380000000000003</v>
      </c>
      <c r="F1985" s="433">
        <v>38.380000000000003</v>
      </c>
      <c r="G1985" s="433">
        <v>38.380000000000003</v>
      </c>
      <c r="H1985" s="433">
        <v>38.380000000000003</v>
      </c>
      <c r="I1985" s="433">
        <v>38.380000000000003</v>
      </c>
      <c r="J1985" s="433">
        <v>38.380000000000003</v>
      </c>
      <c r="K1985" s="433">
        <v>38.380000000000003</v>
      </c>
      <c r="L1985" s="433">
        <v>38.380000000000003</v>
      </c>
      <c r="M1985" s="433">
        <v>38.380000000000003</v>
      </c>
      <c r="N1985" s="433">
        <v>38.340000000000003</v>
      </c>
      <c r="O1985" s="433">
        <v>38.340000000000003</v>
      </c>
      <c r="P1985" s="433">
        <v>38.340000000000003</v>
      </c>
      <c r="Q1985" s="433">
        <v>38.340000000000003</v>
      </c>
      <c r="R1985" s="433">
        <v>38.340000000000003</v>
      </c>
      <c r="S1985" s="433">
        <v>38.340000000000003</v>
      </c>
      <c r="T1985" s="433">
        <v>38.380000000000003</v>
      </c>
      <c r="U1985" s="433">
        <v>38.380000000000003</v>
      </c>
      <c r="V1985" s="433">
        <v>38.380000000000003</v>
      </c>
      <c r="W1985" s="433">
        <v>38.380000000000003</v>
      </c>
      <c r="X1985" s="433">
        <v>38.380000000000003</v>
      </c>
      <c r="Y1985" s="433">
        <v>38.380000000000003</v>
      </c>
      <c r="Z1985" s="433">
        <v>38.380000000000003</v>
      </c>
      <c r="AA1985" s="433">
        <v>38.380000000000003</v>
      </c>
      <c r="AB1985" s="433">
        <v>38.380000000000003</v>
      </c>
      <c r="AC1985" s="433">
        <v>38.380000000000003</v>
      </c>
      <c r="AD1985" s="433">
        <v>38.380000000000003</v>
      </c>
      <c r="AE1985" s="433">
        <v>38.380000000000003</v>
      </c>
      <c r="AF1985" s="433">
        <v>38.380000000000003</v>
      </c>
      <c r="AG1985">
        <v>63</v>
      </c>
    </row>
    <row r="1986" spans="1:33">
      <c r="A1986" s="433">
        <v>38.380000000000003</v>
      </c>
      <c r="B1986" s="93"/>
      <c r="C1986" s="93"/>
      <c r="D1986" s="93"/>
      <c r="E1986" s="93"/>
      <c r="F1986" s="93"/>
      <c r="G1986" s="93"/>
      <c r="H1986" s="93"/>
      <c r="I1986" s="93"/>
      <c r="J1986" s="93"/>
      <c r="K1986" s="93"/>
      <c r="L1986" s="433">
        <v>38.340000000000003</v>
      </c>
      <c r="M1986" s="433">
        <v>38.340000000000003</v>
      </c>
      <c r="N1986" s="426">
        <v>38.32</v>
      </c>
      <c r="O1986" s="426">
        <v>38.32</v>
      </c>
      <c r="P1986" s="426">
        <v>38.32</v>
      </c>
      <c r="Q1986" s="426">
        <v>38.32</v>
      </c>
      <c r="R1986" s="426">
        <v>38.32</v>
      </c>
      <c r="S1986" s="426">
        <v>38.32</v>
      </c>
      <c r="T1986" s="433">
        <v>38.340000000000003</v>
      </c>
      <c r="U1986" s="433">
        <v>38.340000000000003</v>
      </c>
      <c r="V1986" s="93"/>
      <c r="W1986" s="93"/>
      <c r="X1986" s="93"/>
      <c r="Y1986" s="93"/>
      <c r="Z1986" s="93"/>
      <c r="AA1986" s="93"/>
      <c r="AB1986" s="93"/>
      <c r="AC1986" s="433">
        <v>38.380000000000003</v>
      </c>
      <c r="AD1986" s="93"/>
      <c r="AE1986" s="93"/>
      <c r="AF1986" s="422">
        <v>38.380000000000003</v>
      </c>
    </row>
    <row r="1987" spans="1:33">
      <c r="A1987" s="433">
        <v>38.380000000000003</v>
      </c>
      <c r="B1987" s="93"/>
      <c r="C1987" s="433">
        <v>38.380000000000003</v>
      </c>
      <c r="D1987" s="433">
        <v>38.380000000000003</v>
      </c>
      <c r="E1987" s="93"/>
      <c r="F1987" s="93"/>
      <c r="G1987" s="93"/>
      <c r="H1987" s="93"/>
      <c r="I1987" s="433">
        <v>38.340000000000003</v>
      </c>
      <c r="J1987" s="433">
        <v>38.340000000000003</v>
      </c>
      <c r="K1987" s="433">
        <v>38.340000000000003</v>
      </c>
      <c r="L1987" s="426">
        <v>38.32</v>
      </c>
      <c r="M1987" s="426">
        <v>38.32</v>
      </c>
      <c r="N1987" s="426">
        <v>38.31</v>
      </c>
      <c r="O1987" s="426">
        <v>38.31</v>
      </c>
      <c r="P1987" s="426">
        <v>38.270000000000003</v>
      </c>
      <c r="Q1987" s="426">
        <v>38.29</v>
      </c>
      <c r="R1987" s="426">
        <v>38.31</v>
      </c>
      <c r="S1987" s="426">
        <v>38.31</v>
      </c>
      <c r="T1987" s="426">
        <v>38.32</v>
      </c>
      <c r="U1987" s="426">
        <v>38.32</v>
      </c>
      <c r="V1987" s="433">
        <v>38.340000000000003</v>
      </c>
      <c r="W1987" s="433">
        <v>38.340000000000003</v>
      </c>
      <c r="X1987" s="433">
        <v>38.340000000000003</v>
      </c>
      <c r="Y1987" s="93"/>
      <c r="Z1987" s="93"/>
      <c r="AA1987" s="93"/>
      <c r="AB1987" s="93"/>
      <c r="AC1987" s="93"/>
      <c r="AD1987" s="433">
        <v>38.380000000000003</v>
      </c>
      <c r="AE1987" s="93"/>
      <c r="AF1987" s="422">
        <v>38.380000000000003</v>
      </c>
    </row>
    <row r="1988" spans="1:33">
      <c r="A1988" s="433">
        <v>38.380000000000003</v>
      </c>
      <c r="B1988" s="433">
        <v>38.380000000000003</v>
      </c>
      <c r="C1988" s="93"/>
      <c r="D1988" s="433">
        <v>38.369999999999997</v>
      </c>
      <c r="E1988" s="433">
        <v>38.369999999999997</v>
      </c>
      <c r="F1988" s="93"/>
      <c r="G1988" s="433">
        <v>38.36</v>
      </c>
      <c r="H1988" s="433">
        <v>38.340000000000003</v>
      </c>
      <c r="I1988" s="426">
        <v>38.32</v>
      </c>
      <c r="J1988" s="426">
        <v>38.32</v>
      </c>
      <c r="K1988" s="426">
        <v>38.32</v>
      </c>
      <c r="L1988" s="426">
        <v>38.31</v>
      </c>
      <c r="M1988" s="426">
        <v>38.31</v>
      </c>
      <c r="N1988" s="422">
        <v>38.31</v>
      </c>
      <c r="O1988" s="422">
        <v>38.31</v>
      </c>
      <c r="P1988" s="422">
        <v>38.26</v>
      </c>
      <c r="Q1988" s="422">
        <v>38.28</v>
      </c>
      <c r="R1988" s="422">
        <v>38.31</v>
      </c>
      <c r="S1988" s="422">
        <v>38.31</v>
      </c>
      <c r="T1988" s="426">
        <v>38.31</v>
      </c>
      <c r="U1988" s="426">
        <v>38.31</v>
      </c>
      <c r="V1988" s="426">
        <v>38.32</v>
      </c>
      <c r="W1988" s="426">
        <v>38.32</v>
      </c>
      <c r="X1988" s="426">
        <v>38.32</v>
      </c>
      <c r="Y1988" s="433">
        <v>38.340000000000003</v>
      </c>
      <c r="Z1988" s="433">
        <v>38.36</v>
      </c>
      <c r="AA1988" s="433">
        <v>38.369999999999997</v>
      </c>
      <c r="AB1988" s="433">
        <v>38.369999999999997</v>
      </c>
      <c r="AC1988" s="433">
        <v>38.380000000000003</v>
      </c>
      <c r="AD1988" s="433">
        <v>38.380000000000003</v>
      </c>
      <c r="AE1988" s="93"/>
      <c r="AF1988" s="422">
        <v>38.380000000000003</v>
      </c>
    </row>
    <row r="1989" spans="1:33">
      <c r="A1989" s="433">
        <v>38.380000000000003</v>
      </c>
      <c r="B1989" s="93"/>
      <c r="C1989" s="93"/>
      <c r="D1989" s="433">
        <v>38.369999999999997</v>
      </c>
      <c r="E1989" s="433">
        <v>38.369999999999997</v>
      </c>
      <c r="F1989" s="433">
        <v>38.36</v>
      </c>
      <c r="G1989" s="433">
        <v>38.340000000000003</v>
      </c>
      <c r="H1989" s="426">
        <v>38.32</v>
      </c>
      <c r="I1989" s="426">
        <v>38.32</v>
      </c>
      <c r="J1989" s="426">
        <v>38.31</v>
      </c>
      <c r="K1989" s="426">
        <v>38.31</v>
      </c>
      <c r="L1989" s="422">
        <v>38.31</v>
      </c>
      <c r="M1989" s="422">
        <v>38.31</v>
      </c>
      <c r="N1989" s="422">
        <v>38.31</v>
      </c>
      <c r="O1989" s="422">
        <v>38.31</v>
      </c>
      <c r="P1989" s="422">
        <v>38.31</v>
      </c>
      <c r="Q1989" s="422">
        <v>38.31</v>
      </c>
      <c r="R1989" s="422">
        <v>38.31</v>
      </c>
      <c r="S1989" s="422">
        <v>38.31</v>
      </c>
      <c r="T1989" s="422">
        <v>38.31</v>
      </c>
      <c r="U1989" s="422">
        <v>38.31</v>
      </c>
      <c r="V1989" s="426">
        <v>38.31</v>
      </c>
      <c r="W1989" s="426">
        <v>38.31</v>
      </c>
      <c r="X1989" s="426">
        <v>38.32</v>
      </c>
      <c r="Y1989" s="426">
        <v>38.32</v>
      </c>
      <c r="Z1989" s="433">
        <v>38.340000000000003</v>
      </c>
      <c r="AA1989" s="433">
        <v>38.36</v>
      </c>
      <c r="AB1989" s="426">
        <v>38.369999999999997</v>
      </c>
      <c r="AC1989" s="426">
        <v>38.369999999999997</v>
      </c>
      <c r="AD1989" s="93"/>
      <c r="AE1989" s="93"/>
      <c r="AF1989" s="422">
        <v>38.380000000000003</v>
      </c>
    </row>
    <row r="1990" spans="1:33">
      <c r="A1990" s="433">
        <v>38.380000000000003</v>
      </c>
      <c r="B1990" s="93"/>
      <c r="C1990" s="93"/>
      <c r="D1990" s="433">
        <v>38.369999999999997</v>
      </c>
      <c r="E1990" s="433">
        <v>38.36</v>
      </c>
      <c r="F1990" s="433">
        <v>38.340000000000003</v>
      </c>
      <c r="G1990" s="426">
        <v>38.32</v>
      </c>
      <c r="H1990" s="426">
        <v>38.32</v>
      </c>
      <c r="I1990" s="426">
        <v>38.31</v>
      </c>
      <c r="J1990" s="422">
        <v>38.31</v>
      </c>
      <c r="K1990" s="422">
        <v>38.31</v>
      </c>
      <c r="L1990" s="422">
        <v>38.31</v>
      </c>
      <c r="M1990" s="422">
        <v>38.31</v>
      </c>
      <c r="N1990" s="426">
        <v>38.299999999999997</v>
      </c>
      <c r="O1990" s="426">
        <v>38.299999999999997</v>
      </c>
      <c r="P1990" s="426">
        <v>38.299999999999997</v>
      </c>
      <c r="Q1990" s="426">
        <v>38.299999999999997</v>
      </c>
      <c r="R1990" s="426">
        <v>38.299999999999997</v>
      </c>
      <c r="S1990" s="426">
        <v>38.299999999999997</v>
      </c>
      <c r="T1990" s="422">
        <v>38.31</v>
      </c>
      <c r="U1990" s="422">
        <v>38.31</v>
      </c>
      <c r="V1990" s="422">
        <v>38.31</v>
      </c>
      <c r="W1990" s="422">
        <v>38.31</v>
      </c>
      <c r="X1990" s="426">
        <v>38.31</v>
      </c>
      <c r="Y1990" s="426">
        <v>38.32</v>
      </c>
      <c r="Z1990" s="426">
        <v>38.32</v>
      </c>
      <c r="AA1990" s="433">
        <v>38.340000000000003</v>
      </c>
      <c r="AB1990" s="433">
        <v>38.36</v>
      </c>
      <c r="AC1990" s="93"/>
      <c r="AD1990" s="93"/>
      <c r="AE1990" s="93"/>
      <c r="AF1990" s="422">
        <v>38.380000000000003</v>
      </c>
    </row>
    <row r="1991" spans="1:33">
      <c r="A1991" s="433">
        <v>38.380000000000003</v>
      </c>
      <c r="B1991" s="93"/>
      <c r="C1991" s="93"/>
      <c r="D1991" s="433">
        <v>38.36</v>
      </c>
      <c r="E1991" s="433">
        <v>38.340000000000003</v>
      </c>
      <c r="F1991" s="426">
        <v>38.32</v>
      </c>
      <c r="G1991" s="426">
        <v>38.32</v>
      </c>
      <c r="H1991" s="426">
        <v>38.31</v>
      </c>
      <c r="I1991" s="422">
        <v>38.31</v>
      </c>
      <c r="J1991" s="422">
        <v>38.31</v>
      </c>
      <c r="K1991" s="422">
        <v>38.31</v>
      </c>
      <c r="L1991" s="426">
        <v>38.299999999999997</v>
      </c>
      <c r="M1991" s="426">
        <v>38.299999999999997</v>
      </c>
      <c r="N1991" s="426">
        <v>38.29</v>
      </c>
      <c r="O1991" s="426">
        <v>38.29</v>
      </c>
      <c r="P1991" s="426">
        <v>38.29</v>
      </c>
      <c r="Q1991" s="426">
        <v>38.29</v>
      </c>
      <c r="R1991" s="426">
        <v>38.29</v>
      </c>
      <c r="S1991" s="426">
        <v>38.29</v>
      </c>
      <c r="T1991" s="426">
        <v>38.299999999999997</v>
      </c>
      <c r="U1991" s="426">
        <v>38.299999999999997</v>
      </c>
      <c r="V1991" s="422">
        <v>38.31</v>
      </c>
      <c r="W1991" s="422">
        <v>38.31</v>
      </c>
      <c r="X1991" s="422">
        <v>38.31</v>
      </c>
      <c r="Y1991" s="426">
        <v>38.31</v>
      </c>
      <c r="Z1991" s="426">
        <v>38.32</v>
      </c>
      <c r="AA1991" s="426">
        <v>38.32</v>
      </c>
      <c r="AB1991" s="433">
        <v>38.340000000000003</v>
      </c>
      <c r="AC1991" s="433">
        <v>38.36</v>
      </c>
      <c r="AD1991" s="93"/>
      <c r="AE1991" s="93"/>
      <c r="AF1991" s="422">
        <v>38.380000000000003</v>
      </c>
      <c r="AG1991">
        <v>3</v>
      </c>
    </row>
    <row r="1992" spans="1:33">
      <c r="A1992" s="433">
        <v>38.380000000000003</v>
      </c>
      <c r="B1992" s="93"/>
      <c r="C1992" s="93"/>
      <c r="D1992" s="433">
        <v>38.340000000000003</v>
      </c>
      <c r="E1992" s="426">
        <v>38.32</v>
      </c>
      <c r="F1992" s="426">
        <v>38.32</v>
      </c>
      <c r="G1992" s="426">
        <v>38.31</v>
      </c>
      <c r="H1992" s="422">
        <v>38.31</v>
      </c>
      <c r="I1992" s="422">
        <v>38.31</v>
      </c>
      <c r="J1992" s="426">
        <v>38.299999999999997</v>
      </c>
      <c r="K1992" s="426">
        <v>38.299999999999997</v>
      </c>
      <c r="L1992" s="426">
        <v>38.29</v>
      </c>
      <c r="M1992" s="426">
        <v>38.29</v>
      </c>
      <c r="N1992" s="422">
        <v>32.29</v>
      </c>
      <c r="O1992" s="422">
        <v>32.29</v>
      </c>
      <c r="P1992" s="422">
        <v>32.29</v>
      </c>
      <c r="Q1992" s="422">
        <v>32.29</v>
      </c>
      <c r="R1992" s="422">
        <v>32.29</v>
      </c>
      <c r="S1992" s="422">
        <v>32.29</v>
      </c>
      <c r="T1992" s="426">
        <v>38.29</v>
      </c>
      <c r="U1992" s="426">
        <v>38.29</v>
      </c>
      <c r="V1992" s="426">
        <v>38.299999999999997</v>
      </c>
      <c r="W1992" s="426">
        <v>38.299999999999997</v>
      </c>
      <c r="X1992" s="422">
        <v>38.31</v>
      </c>
      <c r="Y1992" s="422">
        <v>38.31</v>
      </c>
      <c r="Z1992" s="426">
        <v>38.31</v>
      </c>
      <c r="AA1992" s="426">
        <v>38.32</v>
      </c>
      <c r="AB1992" s="426">
        <v>38.32</v>
      </c>
      <c r="AC1992" s="433">
        <v>38.340000000000003</v>
      </c>
      <c r="AD1992" s="93"/>
      <c r="AE1992" s="93"/>
      <c r="AF1992" s="422">
        <v>38.380000000000003</v>
      </c>
      <c r="AG1992">
        <v>1</v>
      </c>
    </row>
    <row r="1993" spans="1:33">
      <c r="A1993" s="433">
        <v>38.380000000000003</v>
      </c>
      <c r="B1993" s="93"/>
      <c r="C1993" s="433">
        <v>38.340000000000003</v>
      </c>
      <c r="D1993" s="426">
        <v>38.32</v>
      </c>
      <c r="E1993" s="426">
        <v>38.32</v>
      </c>
      <c r="F1993" s="426">
        <v>38.29</v>
      </c>
      <c r="G1993" s="422">
        <v>38.31</v>
      </c>
      <c r="H1993" s="422">
        <v>38.31</v>
      </c>
      <c r="I1993" s="426">
        <v>38.299999999999997</v>
      </c>
      <c r="J1993" s="426">
        <v>38.299999999999997</v>
      </c>
      <c r="K1993" s="426">
        <v>38.29</v>
      </c>
      <c r="L1993" s="422">
        <v>32.29</v>
      </c>
      <c r="M1993" s="422">
        <v>32.29</v>
      </c>
      <c r="N1993" s="422">
        <v>1.28</v>
      </c>
      <c r="O1993" s="422">
        <v>1.28</v>
      </c>
      <c r="P1993" s="422">
        <v>1.28</v>
      </c>
      <c r="Q1993" s="422">
        <v>1.28</v>
      </c>
      <c r="R1993" s="422">
        <v>1.28</v>
      </c>
      <c r="S1993" s="422">
        <v>1.28</v>
      </c>
      <c r="T1993" s="422">
        <v>32.29</v>
      </c>
      <c r="U1993" s="422">
        <v>32.29</v>
      </c>
      <c r="V1993" s="426">
        <v>38.29</v>
      </c>
      <c r="W1993" s="426">
        <v>38.299999999999997</v>
      </c>
      <c r="X1993" s="426">
        <v>38.299999999999997</v>
      </c>
      <c r="Y1993" s="422">
        <v>38.31</v>
      </c>
      <c r="Z1993" s="422">
        <v>38.31</v>
      </c>
      <c r="AA1993" s="426">
        <v>38.31</v>
      </c>
      <c r="AB1993" s="426">
        <v>38.32</v>
      </c>
      <c r="AC1993" s="426">
        <v>38.32</v>
      </c>
      <c r="AD1993" s="433">
        <v>38.340000000000003</v>
      </c>
      <c r="AE1993" s="93"/>
      <c r="AF1993" s="422">
        <v>38.380000000000003</v>
      </c>
      <c r="AG1993">
        <v>1</v>
      </c>
    </row>
    <row r="1994" spans="1:33">
      <c r="A1994" s="433">
        <v>38.380000000000003</v>
      </c>
      <c r="B1994" s="93"/>
      <c r="C1994" s="433">
        <v>38.31</v>
      </c>
      <c r="D1994" s="426">
        <v>38.299999999999997</v>
      </c>
      <c r="E1994" s="426">
        <v>38.28</v>
      </c>
      <c r="F1994" s="422">
        <v>38.26</v>
      </c>
      <c r="G1994" s="422">
        <v>38.31</v>
      </c>
      <c r="H1994" s="426">
        <v>38.299999999999997</v>
      </c>
      <c r="I1994" s="426">
        <v>38.299999999999997</v>
      </c>
      <c r="J1994" s="426">
        <v>38.29</v>
      </c>
      <c r="K1994" s="422">
        <v>32.29</v>
      </c>
      <c r="L1994" s="422">
        <v>1.28</v>
      </c>
      <c r="M1994" s="422">
        <v>1.28</v>
      </c>
      <c r="N1994" s="426">
        <v>1.26</v>
      </c>
      <c r="O1994" s="426">
        <v>1.26</v>
      </c>
      <c r="P1994" s="426">
        <v>1.26</v>
      </c>
      <c r="Q1994" s="426">
        <v>1.26</v>
      </c>
      <c r="R1994" s="426">
        <v>1.26</v>
      </c>
      <c r="S1994" s="426">
        <v>1.26</v>
      </c>
      <c r="T1994" s="422">
        <v>1.28</v>
      </c>
      <c r="U1994" s="422">
        <v>1.28</v>
      </c>
      <c r="V1994" s="422">
        <v>32.29</v>
      </c>
      <c r="W1994" s="426">
        <v>38.29</v>
      </c>
      <c r="X1994" s="426">
        <v>38.299999999999997</v>
      </c>
      <c r="Y1994" s="426">
        <v>38.299999999999997</v>
      </c>
      <c r="Z1994" s="422">
        <v>38.31</v>
      </c>
      <c r="AA1994" s="422">
        <v>38.31</v>
      </c>
      <c r="AB1994" s="426">
        <v>38.31</v>
      </c>
      <c r="AC1994" s="426">
        <v>38.32</v>
      </c>
      <c r="AD1994" s="433">
        <v>38.340000000000003</v>
      </c>
      <c r="AE1994" s="93"/>
      <c r="AF1994" s="422">
        <v>38.380000000000003</v>
      </c>
      <c r="AG1994">
        <v>2</v>
      </c>
    </row>
    <row r="1995" spans="1:33">
      <c r="A1995" s="433">
        <v>38.380000000000003</v>
      </c>
      <c r="B1995" s="433">
        <v>38.340000000000003</v>
      </c>
      <c r="C1995" s="426">
        <v>38.32</v>
      </c>
      <c r="D1995" s="426">
        <v>38.32</v>
      </c>
      <c r="E1995" s="426">
        <v>38.31</v>
      </c>
      <c r="F1995" s="422">
        <v>38.31</v>
      </c>
      <c r="G1995" s="422">
        <v>38.31</v>
      </c>
      <c r="H1995" s="426">
        <v>38.299999999999997</v>
      </c>
      <c r="I1995" s="426">
        <v>38.29</v>
      </c>
      <c r="J1995" s="422">
        <v>32.29</v>
      </c>
      <c r="K1995" s="422">
        <v>1.28</v>
      </c>
      <c r="L1995" s="426">
        <v>1.27</v>
      </c>
      <c r="M1995" s="426">
        <v>1.26</v>
      </c>
      <c r="N1995" s="426">
        <v>2.2400000000000002</v>
      </c>
      <c r="O1995" s="426">
        <v>2.2400000000000002</v>
      </c>
      <c r="P1995" s="426">
        <v>2.2400000000000002</v>
      </c>
      <c r="Q1995" s="426">
        <v>2.2400000000000002</v>
      </c>
      <c r="R1995" s="426">
        <v>2.2400000000000002</v>
      </c>
      <c r="S1995" s="426">
        <v>2.2400000000000002</v>
      </c>
      <c r="T1995" s="426">
        <v>1.26</v>
      </c>
      <c r="U1995" s="426">
        <v>1.27</v>
      </c>
      <c r="V1995" s="422">
        <v>1.28</v>
      </c>
      <c r="W1995" s="422">
        <v>32.29</v>
      </c>
      <c r="X1995" s="426">
        <v>38.29</v>
      </c>
      <c r="Y1995" s="426">
        <v>38.299999999999997</v>
      </c>
      <c r="Z1995" s="426">
        <v>38.299999999999997</v>
      </c>
      <c r="AA1995" s="422">
        <v>38.31</v>
      </c>
      <c r="AB1995" s="426">
        <v>38.31</v>
      </c>
      <c r="AC1995" s="426">
        <v>38.32</v>
      </c>
      <c r="AD1995" s="426">
        <v>38.32</v>
      </c>
      <c r="AE1995" s="433">
        <v>38.340000000000003</v>
      </c>
      <c r="AF1995" s="422">
        <v>38.380000000000003</v>
      </c>
      <c r="AG1995">
        <v>2</v>
      </c>
    </row>
    <row r="1996" spans="1:33">
      <c r="A1996" s="433">
        <v>38.380000000000003</v>
      </c>
      <c r="B1996" s="433">
        <v>38.340000000000003</v>
      </c>
      <c r="C1996" s="426">
        <v>38.32</v>
      </c>
      <c r="D1996" s="426">
        <v>38.31</v>
      </c>
      <c r="E1996" s="422">
        <v>38.31</v>
      </c>
      <c r="F1996" s="422">
        <v>38.31</v>
      </c>
      <c r="G1996" s="426">
        <v>38.299999999999997</v>
      </c>
      <c r="H1996" s="426">
        <v>38.29</v>
      </c>
      <c r="I1996" s="422">
        <v>32.29</v>
      </c>
      <c r="J1996" s="422">
        <v>1.28</v>
      </c>
      <c r="K1996" s="426">
        <v>1.27</v>
      </c>
      <c r="L1996" s="426">
        <v>1.26</v>
      </c>
      <c r="M1996" s="426">
        <v>2.2400000000000002</v>
      </c>
      <c r="N1996" s="433">
        <v>3.22</v>
      </c>
      <c r="O1996" s="433">
        <v>4.2</v>
      </c>
      <c r="P1996" s="433">
        <v>4.2</v>
      </c>
      <c r="Q1996" s="433">
        <v>4.2</v>
      </c>
      <c r="R1996" s="433">
        <v>4.2</v>
      </c>
      <c r="S1996" s="433">
        <v>3.22</v>
      </c>
      <c r="T1996" s="426">
        <v>2.2400000000000002</v>
      </c>
      <c r="U1996" s="426">
        <v>1.26</v>
      </c>
      <c r="V1996" s="426">
        <v>1.27</v>
      </c>
      <c r="W1996" s="422">
        <v>1.28</v>
      </c>
      <c r="X1996" s="422">
        <v>32.29</v>
      </c>
      <c r="Y1996" s="426">
        <v>38.29</v>
      </c>
      <c r="Z1996" s="426">
        <v>38.299999999999997</v>
      </c>
      <c r="AA1996" s="422">
        <v>38.31</v>
      </c>
      <c r="AB1996" s="422">
        <v>38.31</v>
      </c>
      <c r="AC1996" s="426">
        <v>38.31</v>
      </c>
      <c r="AD1996" s="426">
        <v>38.32</v>
      </c>
      <c r="AE1996" s="433">
        <v>38.340000000000003</v>
      </c>
      <c r="AF1996" s="422">
        <v>38.380000000000003</v>
      </c>
      <c r="AG1996">
        <v>2</v>
      </c>
    </row>
    <row r="1997" spans="1:33">
      <c r="A1997" s="433">
        <v>38.380000000000003</v>
      </c>
      <c r="B1997" s="433">
        <v>38.340000000000003</v>
      </c>
      <c r="C1997" s="426">
        <v>38.32</v>
      </c>
      <c r="D1997" s="426">
        <v>38.31</v>
      </c>
      <c r="E1997" s="422">
        <v>38.31</v>
      </c>
      <c r="F1997" s="422">
        <v>38.31</v>
      </c>
      <c r="G1997" s="426">
        <v>38.299999999999997</v>
      </c>
      <c r="H1997" s="426">
        <v>38.29</v>
      </c>
      <c r="I1997" s="422">
        <v>32.29</v>
      </c>
      <c r="J1997" s="422">
        <v>1.28</v>
      </c>
      <c r="K1997" s="426">
        <v>1.26</v>
      </c>
      <c r="L1997" s="426">
        <v>2.2400000000000002</v>
      </c>
      <c r="M1997" s="433">
        <v>3.22</v>
      </c>
      <c r="N1997" s="433">
        <v>4.2</v>
      </c>
      <c r="O1997" s="433">
        <v>6.12</v>
      </c>
      <c r="P1997" s="433">
        <v>6.1</v>
      </c>
      <c r="Q1997" s="433">
        <v>6.14</v>
      </c>
      <c r="R1997" s="433">
        <v>6.15</v>
      </c>
      <c r="S1997" s="433">
        <v>4.2</v>
      </c>
      <c r="T1997" s="433">
        <v>3.22</v>
      </c>
      <c r="U1997" s="426">
        <v>2.2400000000000002</v>
      </c>
      <c r="V1997" s="426">
        <v>1.26</v>
      </c>
      <c r="W1997" s="422">
        <v>1.28</v>
      </c>
      <c r="X1997" s="422">
        <v>32.29</v>
      </c>
      <c r="Y1997" s="426">
        <v>38.29</v>
      </c>
      <c r="Z1997" s="426">
        <v>38.299999999999997</v>
      </c>
      <c r="AA1997" s="422">
        <v>38.31</v>
      </c>
      <c r="AB1997" s="422">
        <v>38.31</v>
      </c>
      <c r="AC1997" s="426">
        <v>38.31</v>
      </c>
      <c r="AD1997" s="426">
        <v>38.32</v>
      </c>
      <c r="AE1997" s="433">
        <v>38.340000000000003</v>
      </c>
      <c r="AF1997" s="433">
        <v>38.340000000000003</v>
      </c>
      <c r="AG1997">
        <v>2</v>
      </c>
    </row>
    <row r="1998" spans="1:33">
      <c r="A1998" s="433">
        <v>38.340000000000003</v>
      </c>
      <c r="B1998" s="426">
        <v>38.32</v>
      </c>
      <c r="C1998" s="426">
        <v>38.31</v>
      </c>
      <c r="D1998" s="422">
        <v>38.31</v>
      </c>
      <c r="E1998" s="422">
        <v>38.31</v>
      </c>
      <c r="F1998" s="426">
        <v>38.299999999999997</v>
      </c>
      <c r="G1998" s="426">
        <v>38.29</v>
      </c>
      <c r="H1998" s="422">
        <v>32.29</v>
      </c>
      <c r="I1998" s="422">
        <v>1.28</v>
      </c>
      <c r="J1998" s="426">
        <v>1.26</v>
      </c>
      <c r="K1998" s="426">
        <v>2.2400000000000002</v>
      </c>
      <c r="L1998" s="433">
        <v>3.22</v>
      </c>
      <c r="M1998" s="433">
        <v>4.2</v>
      </c>
      <c r="N1998" s="433">
        <v>6.15</v>
      </c>
      <c r="O1998" s="426">
        <v>32</v>
      </c>
      <c r="P1998" s="426">
        <v>32</v>
      </c>
      <c r="Q1998" s="426">
        <v>32</v>
      </c>
      <c r="R1998" s="426">
        <v>32</v>
      </c>
      <c r="S1998" s="433">
        <v>6.15</v>
      </c>
      <c r="T1998" s="433">
        <v>4.2</v>
      </c>
      <c r="U1998" s="433">
        <v>3.22</v>
      </c>
      <c r="V1998" s="426">
        <v>2.2400000000000002</v>
      </c>
      <c r="W1998" s="426">
        <v>1.26</v>
      </c>
      <c r="X1998" s="422">
        <v>1.28</v>
      </c>
      <c r="Y1998" s="422">
        <v>32.29</v>
      </c>
      <c r="Z1998" s="426">
        <v>38.29</v>
      </c>
      <c r="AA1998" s="426">
        <v>38.299999999999997</v>
      </c>
      <c r="AB1998" s="422">
        <v>38.31</v>
      </c>
      <c r="AC1998" s="422">
        <v>38.31</v>
      </c>
      <c r="AD1998" s="426">
        <v>38.31</v>
      </c>
      <c r="AE1998" s="426">
        <v>38.32</v>
      </c>
      <c r="AF1998" s="433">
        <v>38.340000000000003</v>
      </c>
    </row>
    <row r="1999" spans="1:33">
      <c r="A1999" s="433">
        <v>38.340000000000003</v>
      </c>
      <c r="B1999" s="426">
        <v>38.32</v>
      </c>
      <c r="C1999" s="426">
        <v>38.31</v>
      </c>
      <c r="D1999" s="422">
        <v>38.31</v>
      </c>
      <c r="E1999" s="422">
        <v>38.31</v>
      </c>
      <c r="F1999" s="426">
        <v>38.299999999999997</v>
      </c>
      <c r="G1999" s="426">
        <v>38.29</v>
      </c>
      <c r="H1999" s="422">
        <v>32.29</v>
      </c>
      <c r="I1999" s="422">
        <v>1.28</v>
      </c>
      <c r="J1999" s="426">
        <v>1.26</v>
      </c>
      <c r="K1999" s="426">
        <v>2.2400000000000002</v>
      </c>
      <c r="L1999" s="433">
        <v>4.2</v>
      </c>
      <c r="M1999" s="433">
        <v>6.15</v>
      </c>
      <c r="N1999" s="426">
        <v>32</v>
      </c>
      <c r="O1999" s="426">
        <v>32</v>
      </c>
      <c r="P1999" s="93"/>
      <c r="Q1999" s="93"/>
      <c r="R1999" s="417">
        <v>32</v>
      </c>
      <c r="S1999" s="417">
        <v>32</v>
      </c>
      <c r="T1999" s="426">
        <v>6.15</v>
      </c>
      <c r="U1999" s="433">
        <v>4.2</v>
      </c>
      <c r="V1999" s="426">
        <v>2.2400000000000002</v>
      </c>
      <c r="W1999" s="426">
        <v>1.26</v>
      </c>
      <c r="X1999" s="422">
        <v>1.28</v>
      </c>
      <c r="Y1999" s="422">
        <v>32.26</v>
      </c>
      <c r="Z1999" s="426">
        <v>32.24</v>
      </c>
      <c r="AA1999" s="426">
        <v>38.29</v>
      </c>
      <c r="AB1999" s="422">
        <v>38.31</v>
      </c>
      <c r="AC1999" s="422">
        <v>38.31</v>
      </c>
      <c r="AD1999" s="426">
        <v>38.31</v>
      </c>
      <c r="AE1999" s="426">
        <v>38.32</v>
      </c>
      <c r="AF1999" s="433">
        <v>38.340000000000003</v>
      </c>
    </row>
    <row r="2000" spans="1:33">
      <c r="A2000" s="433">
        <v>38.340000000000003</v>
      </c>
      <c r="B2000" s="426">
        <v>38.32</v>
      </c>
      <c r="C2000" s="426">
        <v>38.31</v>
      </c>
      <c r="D2000" s="422">
        <v>38.31</v>
      </c>
      <c r="E2000" s="422">
        <v>38.31</v>
      </c>
      <c r="F2000" s="426">
        <v>38.299999999999997</v>
      </c>
      <c r="G2000" s="426">
        <v>38.29</v>
      </c>
      <c r="H2000" s="422">
        <v>32.29</v>
      </c>
      <c r="I2000" s="422">
        <v>1.28</v>
      </c>
      <c r="J2000" s="426">
        <v>1.26</v>
      </c>
      <c r="K2000" s="426">
        <v>2.2400000000000002</v>
      </c>
      <c r="L2000" s="433">
        <v>4.2</v>
      </c>
      <c r="M2000" s="433">
        <v>6.15</v>
      </c>
      <c r="N2000" s="426">
        <v>32</v>
      </c>
      <c r="O2000" s="93"/>
      <c r="P2000" s="93"/>
      <c r="Q2000" s="93"/>
      <c r="R2000" s="93"/>
      <c r="S2000" s="417">
        <v>32</v>
      </c>
      <c r="T2000" s="422">
        <v>7.14</v>
      </c>
      <c r="U2000" s="426">
        <v>4.1500000000000004</v>
      </c>
      <c r="V2000" s="426">
        <v>2.2400000000000002</v>
      </c>
      <c r="W2000" s="426">
        <v>1.26</v>
      </c>
      <c r="X2000" s="422">
        <v>1.28</v>
      </c>
      <c r="Y2000" s="422">
        <v>32.29</v>
      </c>
      <c r="Z2000" s="426">
        <v>38.29</v>
      </c>
      <c r="AA2000" s="426">
        <v>38.299999999999997</v>
      </c>
      <c r="AB2000" s="422">
        <v>38.31</v>
      </c>
      <c r="AC2000" s="422">
        <v>38.31</v>
      </c>
      <c r="AD2000" s="426">
        <v>38.31</v>
      </c>
      <c r="AE2000" s="426">
        <v>38.32</v>
      </c>
      <c r="AF2000" s="433">
        <v>38.340000000000003</v>
      </c>
    </row>
    <row r="2001" spans="1:32">
      <c r="A2001" s="433">
        <v>38.340000000000003</v>
      </c>
      <c r="B2001" s="426">
        <v>38.32</v>
      </c>
      <c r="C2001" s="426">
        <v>38.31</v>
      </c>
      <c r="D2001" s="422">
        <v>38.31</v>
      </c>
      <c r="E2001" s="422">
        <v>38.31</v>
      </c>
      <c r="F2001" s="426">
        <v>38.299999999999997</v>
      </c>
      <c r="G2001" s="426">
        <v>38.29</v>
      </c>
      <c r="H2001" s="422">
        <v>32.29</v>
      </c>
      <c r="I2001" s="422">
        <v>1.28</v>
      </c>
      <c r="J2001" s="426">
        <v>1.26</v>
      </c>
      <c r="K2001" s="426">
        <v>2.2400000000000002</v>
      </c>
      <c r="L2001" s="433">
        <v>4.2</v>
      </c>
      <c r="M2001" s="433">
        <v>6.15</v>
      </c>
      <c r="N2001" s="426">
        <v>32</v>
      </c>
      <c r="O2001" s="93"/>
      <c r="P2001" s="93"/>
      <c r="Q2001" s="93"/>
      <c r="R2001" s="93"/>
      <c r="S2001" s="417">
        <v>32</v>
      </c>
      <c r="T2001" s="422">
        <v>7.12</v>
      </c>
      <c r="U2001" s="422">
        <v>4.2</v>
      </c>
      <c r="V2001" s="426">
        <v>2.2400000000000002</v>
      </c>
      <c r="W2001" s="426">
        <v>1.26</v>
      </c>
      <c r="X2001" s="422">
        <v>1.28</v>
      </c>
      <c r="Y2001" s="422">
        <v>32.29</v>
      </c>
      <c r="Z2001" s="426">
        <v>38.29</v>
      </c>
      <c r="AA2001" s="426">
        <v>38.299999999999997</v>
      </c>
      <c r="AB2001" s="422">
        <v>38.31</v>
      </c>
      <c r="AC2001" s="422">
        <v>38.31</v>
      </c>
      <c r="AD2001" s="426">
        <v>38.31</v>
      </c>
      <c r="AE2001" s="426">
        <v>38.32</v>
      </c>
      <c r="AF2001" s="433">
        <v>38.340000000000003</v>
      </c>
    </row>
    <row r="2002" spans="1:32">
      <c r="A2002" s="433">
        <v>38.340000000000003</v>
      </c>
      <c r="B2002" s="426">
        <v>38.32</v>
      </c>
      <c r="C2002" s="426">
        <v>38.31</v>
      </c>
      <c r="D2002" s="422">
        <v>38.31</v>
      </c>
      <c r="E2002" s="422">
        <v>38.31</v>
      </c>
      <c r="F2002" s="426">
        <v>38.299999999999997</v>
      </c>
      <c r="G2002" s="426">
        <v>38.29</v>
      </c>
      <c r="H2002" s="422">
        <v>32.29</v>
      </c>
      <c r="I2002" s="422">
        <v>1.28</v>
      </c>
      <c r="J2002" s="426">
        <v>1.26</v>
      </c>
      <c r="K2002" s="426">
        <v>2.2400000000000002</v>
      </c>
      <c r="L2002" s="433">
        <v>4.2</v>
      </c>
      <c r="M2002" s="433">
        <v>6.15</v>
      </c>
      <c r="N2002" s="426">
        <v>32</v>
      </c>
      <c r="O2002" s="417">
        <v>32</v>
      </c>
      <c r="P2002" s="93"/>
      <c r="Q2002" s="93"/>
      <c r="R2002" s="417">
        <v>32</v>
      </c>
      <c r="S2002" s="417">
        <v>32</v>
      </c>
      <c r="T2002" s="422">
        <v>6.14</v>
      </c>
      <c r="U2002" s="422">
        <v>4.2</v>
      </c>
      <c r="V2002" s="426">
        <v>2.2400000000000002</v>
      </c>
      <c r="W2002" s="426">
        <v>1.26</v>
      </c>
      <c r="X2002" s="422">
        <v>1.28</v>
      </c>
      <c r="Y2002" s="422">
        <v>32.29</v>
      </c>
      <c r="Z2002" s="426">
        <v>38.29</v>
      </c>
      <c r="AA2002" s="426">
        <v>38.299999999999997</v>
      </c>
      <c r="AB2002" s="422">
        <v>38.31</v>
      </c>
      <c r="AC2002" s="422">
        <v>38.31</v>
      </c>
      <c r="AD2002" s="426">
        <v>38.31</v>
      </c>
      <c r="AE2002" s="426">
        <v>38.32</v>
      </c>
      <c r="AF2002" s="433">
        <v>38.340000000000003</v>
      </c>
    </row>
    <row r="2003" spans="1:32">
      <c r="A2003" s="433">
        <v>38.340000000000003</v>
      </c>
      <c r="B2003" s="426">
        <v>38.32</v>
      </c>
      <c r="C2003" s="426">
        <v>38.31</v>
      </c>
      <c r="D2003" s="422">
        <v>38.31</v>
      </c>
      <c r="E2003" s="422">
        <v>38.31</v>
      </c>
      <c r="F2003" s="426">
        <v>38.299999999999997</v>
      </c>
      <c r="G2003" s="426">
        <v>38.29</v>
      </c>
      <c r="H2003" s="422">
        <v>32.29</v>
      </c>
      <c r="I2003" s="422">
        <v>1.28</v>
      </c>
      <c r="J2003" s="426">
        <v>1.26</v>
      </c>
      <c r="K2003" s="426">
        <v>2.2400000000000002</v>
      </c>
      <c r="L2003" s="433">
        <v>3.22</v>
      </c>
      <c r="M2003" s="433">
        <v>4.2</v>
      </c>
      <c r="N2003" s="433">
        <v>6.8</v>
      </c>
      <c r="O2003" s="417">
        <v>32</v>
      </c>
      <c r="P2003" s="417">
        <v>32</v>
      </c>
      <c r="Q2003" s="417">
        <v>32</v>
      </c>
      <c r="R2003" s="417">
        <v>32</v>
      </c>
      <c r="S2003" s="422">
        <v>6.15</v>
      </c>
      <c r="T2003" s="422">
        <v>4.2</v>
      </c>
      <c r="U2003" s="422">
        <v>3.22</v>
      </c>
      <c r="V2003" s="426">
        <v>2.2400000000000002</v>
      </c>
      <c r="W2003" s="426">
        <v>1.26</v>
      </c>
      <c r="X2003" s="422">
        <v>1.28</v>
      </c>
      <c r="Y2003" s="422">
        <v>32.29</v>
      </c>
      <c r="Z2003" s="426">
        <v>38.29</v>
      </c>
      <c r="AA2003" s="426">
        <v>38.299999999999997</v>
      </c>
      <c r="AB2003" s="422">
        <v>38.31</v>
      </c>
      <c r="AC2003" s="422">
        <v>38.31</v>
      </c>
      <c r="AD2003" s="426">
        <v>38.31</v>
      </c>
      <c r="AE2003" s="426">
        <v>38.32</v>
      </c>
      <c r="AF2003" s="433">
        <v>38.340000000000003</v>
      </c>
    </row>
    <row r="2004" spans="1:32">
      <c r="A2004" s="433">
        <v>38.380000000000003</v>
      </c>
      <c r="B2004" s="433">
        <v>38.340000000000003</v>
      </c>
      <c r="C2004" s="426">
        <v>38.32</v>
      </c>
      <c r="D2004" s="426">
        <v>38.31</v>
      </c>
      <c r="E2004" s="422">
        <v>38.31</v>
      </c>
      <c r="F2004" s="422">
        <v>38.31</v>
      </c>
      <c r="G2004" s="426">
        <v>38.299999999999997</v>
      </c>
      <c r="H2004" s="426">
        <v>38.29</v>
      </c>
      <c r="I2004" s="422">
        <v>32.29</v>
      </c>
      <c r="J2004" s="422">
        <v>1.28</v>
      </c>
      <c r="K2004" s="426">
        <v>1.26</v>
      </c>
      <c r="L2004" s="426">
        <v>2.2400000000000002</v>
      </c>
      <c r="M2004" s="433">
        <v>3.22</v>
      </c>
      <c r="N2004" s="433">
        <v>4.2</v>
      </c>
      <c r="O2004" s="426">
        <v>6.15</v>
      </c>
      <c r="P2004" s="422">
        <v>6.15</v>
      </c>
      <c r="Q2004" s="422">
        <v>6.15</v>
      </c>
      <c r="R2004" s="422">
        <v>6.15</v>
      </c>
      <c r="S2004" s="422">
        <v>4.2</v>
      </c>
      <c r="T2004" s="422">
        <v>3.22</v>
      </c>
      <c r="U2004" s="426">
        <v>2.2400000000000002</v>
      </c>
      <c r="V2004" s="426">
        <v>1.26</v>
      </c>
      <c r="W2004" s="422">
        <v>1.28</v>
      </c>
      <c r="X2004" s="422">
        <v>32.29</v>
      </c>
      <c r="Y2004" s="426">
        <v>38.29</v>
      </c>
      <c r="Z2004" s="426">
        <v>38.299999999999997</v>
      </c>
      <c r="AA2004" s="422">
        <v>38.31</v>
      </c>
      <c r="AB2004" s="422">
        <v>38.31</v>
      </c>
      <c r="AC2004" s="426">
        <v>38.31</v>
      </c>
      <c r="AD2004" s="426">
        <v>38.32</v>
      </c>
      <c r="AE2004" s="433">
        <v>38.340000000000003</v>
      </c>
      <c r="AF2004" s="422">
        <v>38.380000000000003</v>
      </c>
    </row>
    <row r="2005" spans="1:32">
      <c r="A2005" s="433">
        <v>38.380000000000003</v>
      </c>
      <c r="B2005" s="433">
        <v>38.340000000000003</v>
      </c>
      <c r="C2005" s="426">
        <v>38.32</v>
      </c>
      <c r="D2005" s="426">
        <v>38.31</v>
      </c>
      <c r="E2005" s="422">
        <v>38.31</v>
      </c>
      <c r="F2005" s="422">
        <v>38.31</v>
      </c>
      <c r="G2005" s="426">
        <v>38.299999999999997</v>
      </c>
      <c r="H2005" s="426">
        <v>38.29</v>
      </c>
      <c r="I2005" s="422">
        <v>32.29</v>
      </c>
      <c r="J2005" s="422">
        <v>1.28</v>
      </c>
      <c r="K2005" s="426">
        <v>1.27</v>
      </c>
      <c r="L2005" s="426">
        <v>1.26</v>
      </c>
      <c r="M2005" s="426">
        <v>2.2400000000000002</v>
      </c>
      <c r="N2005" s="433">
        <v>3.22</v>
      </c>
      <c r="O2005" s="433">
        <v>4.2</v>
      </c>
      <c r="P2005" s="426">
        <v>4.2</v>
      </c>
      <c r="Q2005" s="422">
        <v>4.2</v>
      </c>
      <c r="R2005" s="422">
        <v>4.2</v>
      </c>
      <c r="S2005" s="422">
        <v>3.22</v>
      </c>
      <c r="T2005" s="426">
        <v>2.2400000000000002</v>
      </c>
      <c r="U2005" s="426">
        <v>1.26</v>
      </c>
      <c r="V2005" s="426">
        <v>1.27</v>
      </c>
      <c r="W2005" s="422">
        <v>1.28</v>
      </c>
      <c r="X2005" s="422">
        <v>32.29</v>
      </c>
      <c r="Y2005" s="426">
        <v>38.29</v>
      </c>
      <c r="Z2005" s="426">
        <v>38.299999999999997</v>
      </c>
      <c r="AA2005" s="422">
        <v>38.31</v>
      </c>
      <c r="AB2005" s="422">
        <v>38.31</v>
      </c>
      <c r="AC2005" s="426">
        <v>38.31</v>
      </c>
      <c r="AD2005" s="426">
        <v>38.32</v>
      </c>
      <c r="AE2005" s="433">
        <v>38.340000000000003</v>
      </c>
      <c r="AF2005" s="422">
        <v>38.380000000000003</v>
      </c>
    </row>
    <row r="2006" spans="1:32">
      <c r="A2006" s="433">
        <v>38.380000000000003</v>
      </c>
      <c r="B2006" s="93"/>
      <c r="C2006" s="433">
        <v>38.340000000000003</v>
      </c>
      <c r="D2006" s="426">
        <v>38.32</v>
      </c>
      <c r="E2006" s="426">
        <v>38.31</v>
      </c>
      <c r="F2006" s="422">
        <v>38.31</v>
      </c>
      <c r="G2006" s="422">
        <v>38.31</v>
      </c>
      <c r="H2006" s="426">
        <v>38.299999999999997</v>
      </c>
      <c r="I2006" s="426">
        <v>38.29</v>
      </c>
      <c r="J2006" s="422">
        <v>32.29</v>
      </c>
      <c r="K2006" s="422">
        <v>1.28</v>
      </c>
      <c r="L2006" s="426">
        <v>1.27</v>
      </c>
      <c r="M2006" s="426">
        <v>1.26</v>
      </c>
      <c r="N2006" s="426">
        <v>2.2400000000000002</v>
      </c>
      <c r="O2006" s="426">
        <v>2.2400000000000002</v>
      </c>
      <c r="P2006" s="426">
        <v>2.2400000000000002</v>
      </c>
      <c r="Q2006" s="426">
        <v>2.2400000000000002</v>
      </c>
      <c r="R2006" s="426">
        <v>2.2400000000000002</v>
      </c>
      <c r="S2006" s="426">
        <v>2.2400000000000002</v>
      </c>
      <c r="T2006" s="426">
        <v>1.26</v>
      </c>
      <c r="U2006" s="426">
        <v>1.27</v>
      </c>
      <c r="V2006" s="422">
        <v>1.28</v>
      </c>
      <c r="W2006" s="422">
        <v>32.29</v>
      </c>
      <c r="X2006" s="426">
        <v>38.29</v>
      </c>
      <c r="Y2006" s="426">
        <v>38.299999999999997</v>
      </c>
      <c r="Z2006" s="422">
        <v>38.31</v>
      </c>
      <c r="AA2006" s="422">
        <v>38.31</v>
      </c>
      <c r="AB2006" s="426">
        <v>38.31</v>
      </c>
      <c r="AC2006" s="426">
        <v>38.32</v>
      </c>
      <c r="AD2006" s="433">
        <v>38.340000000000003</v>
      </c>
      <c r="AE2006" s="93"/>
      <c r="AF2006" s="422">
        <v>38.380000000000003</v>
      </c>
    </row>
    <row r="2007" spans="1:32">
      <c r="A2007" s="433">
        <v>38.380000000000003</v>
      </c>
      <c r="B2007" s="93"/>
      <c r="C2007" s="433">
        <v>38.340000000000003</v>
      </c>
      <c r="D2007" s="426">
        <v>38.32</v>
      </c>
      <c r="E2007" s="426">
        <v>38.31</v>
      </c>
      <c r="F2007" s="422">
        <v>38.31</v>
      </c>
      <c r="G2007" s="422">
        <v>38.31</v>
      </c>
      <c r="H2007" s="426">
        <v>38.299999999999997</v>
      </c>
      <c r="I2007" s="426">
        <v>38.299999999999997</v>
      </c>
      <c r="J2007" s="426">
        <v>38.29</v>
      </c>
      <c r="K2007" s="422">
        <v>32.29</v>
      </c>
      <c r="L2007" s="422">
        <v>1.28</v>
      </c>
      <c r="M2007" s="422">
        <v>1.28</v>
      </c>
      <c r="N2007" s="426">
        <v>1.26</v>
      </c>
      <c r="O2007" s="426">
        <v>1.26</v>
      </c>
      <c r="P2007" s="426">
        <v>1.26</v>
      </c>
      <c r="Q2007" s="426">
        <v>1.26</v>
      </c>
      <c r="R2007" s="426">
        <v>1.26</v>
      </c>
      <c r="S2007" s="426">
        <v>1.26</v>
      </c>
      <c r="T2007" s="422">
        <v>1.28</v>
      </c>
      <c r="U2007" s="422">
        <v>1.28</v>
      </c>
      <c r="V2007" s="422">
        <v>32.29</v>
      </c>
      <c r="W2007" s="426">
        <v>38.29</v>
      </c>
      <c r="X2007" s="426">
        <v>38.299999999999997</v>
      </c>
      <c r="Y2007" s="426">
        <v>38.299999999999997</v>
      </c>
      <c r="Z2007" s="422">
        <v>38.31</v>
      </c>
      <c r="AA2007" s="422">
        <v>38.31</v>
      </c>
      <c r="AB2007" s="426">
        <v>38.31</v>
      </c>
      <c r="AC2007" s="426">
        <v>38.32</v>
      </c>
      <c r="AD2007" s="433">
        <v>38.340000000000003</v>
      </c>
      <c r="AE2007" s="93"/>
      <c r="AF2007" s="422">
        <v>38.380000000000003</v>
      </c>
    </row>
    <row r="2008" spans="1:32">
      <c r="A2008" s="433">
        <v>38.380000000000003</v>
      </c>
      <c r="B2008" s="93"/>
      <c r="C2008" s="433">
        <v>38.340000000000003</v>
      </c>
      <c r="D2008" s="426">
        <v>38.32</v>
      </c>
      <c r="E2008" s="426">
        <v>38.32</v>
      </c>
      <c r="F2008" s="426">
        <v>38.31</v>
      </c>
      <c r="G2008" s="422">
        <v>38.31</v>
      </c>
      <c r="H2008" s="422">
        <v>38.31</v>
      </c>
      <c r="I2008" s="426">
        <v>38.299999999999997</v>
      </c>
      <c r="J2008" s="426">
        <v>38.299999999999997</v>
      </c>
      <c r="K2008" s="426">
        <v>38.29</v>
      </c>
      <c r="L2008" s="422">
        <v>32.29</v>
      </c>
      <c r="M2008" s="422">
        <v>32.29</v>
      </c>
      <c r="N2008" s="422">
        <v>1.28</v>
      </c>
      <c r="O2008" s="422">
        <v>1.28</v>
      </c>
      <c r="P2008" s="422">
        <v>1.28</v>
      </c>
      <c r="Q2008" s="422">
        <v>1.28</v>
      </c>
      <c r="R2008" s="422">
        <v>1.28</v>
      </c>
      <c r="S2008" s="422">
        <v>1.28</v>
      </c>
      <c r="T2008" s="422">
        <v>32.29</v>
      </c>
      <c r="U2008" s="422">
        <v>32.29</v>
      </c>
      <c r="V2008" s="426">
        <v>38.29</v>
      </c>
      <c r="W2008" s="426">
        <v>38.299999999999997</v>
      </c>
      <c r="X2008" s="426">
        <v>38.299999999999997</v>
      </c>
      <c r="Y2008" s="422">
        <v>38.31</v>
      </c>
      <c r="Z2008" s="422">
        <v>38.31</v>
      </c>
      <c r="AA2008" s="426">
        <v>38.31</v>
      </c>
      <c r="AB2008" s="426">
        <v>38.32</v>
      </c>
      <c r="AC2008" s="426">
        <v>38.32</v>
      </c>
      <c r="AD2008" s="433">
        <v>38.340000000000003</v>
      </c>
      <c r="AE2008" s="93"/>
      <c r="AF2008" s="422">
        <v>38.380000000000003</v>
      </c>
    </row>
    <row r="2009" spans="1:32">
      <c r="A2009" s="433">
        <v>38.380000000000003</v>
      </c>
      <c r="B2009" s="93"/>
      <c r="C2009" s="93"/>
      <c r="D2009" s="433">
        <v>38.340000000000003</v>
      </c>
      <c r="E2009" s="426">
        <v>38.32</v>
      </c>
      <c r="F2009" s="426">
        <v>38.32</v>
      </c>
      <c r="G2009" s="426">
        <v>38.31</v>
      </c>
      <c r="H2009" s="422">
        <v>38.31</v>
      </c>
      <c r="I2009" s="422">
        <v>38.31</v>
      </c>
      <c r="J2009" s="426">
        <v>38.299999999999997</v>
      </c>
      <c r="K2009" s="426">
        <v>38.299999999999997</v>
      </c>
      <c r="L2009" s="426">
        <v>38.29</v>
      </c>
      <c r="M2009" s="426">
        <v>38.29</v>
      </c>
      <c r="N2009" s="422">
        <v>32.29</v>
      </c>
      <c r="O2009" s="422">
        <v>32.29</v>
      </c>
      <c r="P2009" s="422">
        <v>32.29</v>
      </c>
      <c r="Q2009" s="422">
        <v>32.29</v>
      </c>
      <c r="R2009" s="422">
        <v>32.29</v>
      </c>
      <c r="S2009" s="422">
        <v>32.29</v>
      </c>
      <c r="T2009" s="426">
        <v>38.29</v>
      </c>
      <c r="U2009" s="426">
        <v>38.29</v>
      </c>
      <c r="V2009" s="426">
        <v>38.299999999999997</v>
      </c>
      <c r="W2009" s="426">
        <v>38.299999999999997</v>
      </c>
      <c r="X2009" s="422">
        <v>38.31</v>
      </c>
      <c r="Y2009" s="422">
        <v>38.31</v>
      </c>
      <c r="Z2009" s="426">
        <v>38.31</v>
      </c>
      <c r="AA2009" s="426">
        <v>38.32</v>
      </c>
      <c r="AB2009" s="426">
        <v>38.32</v>
      </c>
      <c r="AC2009" s="433">
        <v>38.340000000000003</v>
      </c>
      <c r="AD2009" s="93"/>
      <c r="AE2009" s="93"/>
      <c r="AF2009" s="422">
        <v>38.380000000000003</v>
      </c>
    </row>
    <row r="2010" spans="1:32">
      <c r="A2010" s="433">
        <v>38.380000000000003</v>
      </c>
      <c r="B2010" s="93"/>
      <c r="C2010" s="93"/>
      <c r="D2010" s="433">
        <v>38.36</v>
      </c>
      <c r="E2010" s="433">
        <v>38.340000000000003</v>
      </c>
      <c r="F2010" s="426">
        <v>38.32</v>
      </c>
      <c r="G2010" s="426">
        <v>38.32</v>
      </c>
      <c r="H2010" s="426">
        <v>38.31</v>
      </c>
      <c r="I2010" s="422">
        <v>38.31</v>
      </c>
      <c r="J2010" s="422">
        <v>38.31</v>
      </c>
      <c r="K2010" s="422">
        <v>38.31</v>
      </c>
      <c r="L2010" s="426">
        <v>38.299999999999997</v>
      </c>
      <c r="M2010" s="426">
        <v>38.299999999999997</v>
      </c>
      <c r="N2010" s="426">
        <v>38.29</v>
      </c>
      <c r="O2010" s="426">
        <v>38.29</v>
      </c>
      <c r="P2010" s="426">
        <v>38.29</v>
      </c>
      <c r="Q2010" s="426">
        <v>38.29</v>
      </c>
      <c r="R2010" s="426">
        <v>38.29</v>
      </c>
      <c r="S2010" s="426">
        <v>38.29</v>
      </c>
      <c r="T2010" s="426">
        <v>38.299999999999997</v>
      </c>
      <c r="U2010" s="426">
        <v>38.299999999999997</v>
      </c>
      <c r="V2010" s="422">
        <v>38.31</v>
      </c>
      <c r="W2010" s="422">
        <v>38.31</v>
      </c>
      <c r="X2010" s="422">
        <v>38.31</v>
      </c>
      <c r="Y2010" s="426">
        <v>38.31</v>
      </c>
      <c r="Z2010" s="426">
        <v>38.32</v>
      </c>
      <c r="AA2010" s="426">
        <v>38.299999999999997</v>
      </c>
      <c r="AB2010" s="433">
        <v>38.340000000000003</v>
      </c>
      <c r="AC2010" s="433">
        <v>38.36</v>
      </c>
      <c r="AD2010" s="93"/>
      <c r="AE2010" s="93"/>
      <c r="AF2010" s="422">
        <v>38.380000000000003</v>
      </c>
    </row>
    <row r="2011" spans="1:32">
      <c r="A2011" s="433">
        <v>38.380000000000003</v>
      </c>
      <c r="B2011" s="93"/>
      <c r="C2011" s="93"/>
      <c r="D2011" s="93"/>
      <c r="E2011" s="433">
        <v>38.36</v>
      </c>
      <c r="F2011" s="433">
        <v>38.340000000000003</v>
      </c>
      <c r="G2011" s="426">
        <v>38.32</v>
      </c>
      <c r="H2011" s="426">
        <v>38.32</v>
      </c>
      <c r="I2011" s="426">
        <v>38.31</v>
      </c>
      <c r="J2011" s="422">
        <v>38.31</v>
      </c>
      <c r="K2011" s="422">
        <v>38.31</v>
      </c>
      <c r="L2011" s="422">
        <v>38.31</v>
      </c>
      <c r="M2011" s="422">
        <v>38.31</v>
      </c>
      <c r="N2011" s="426">
        <v>38.299999999999997</v>
      </c>
      <c r="O2011" s="426">
        <v>38.299999999999997</v>
      </c>
      <c r="P2011" s="426">
        <v>38.299999999999997</v>
      </c>
      <c r="Q2011" s="426">
        <v>38.299999999999997</v>
      </c>
      <c r="R2011" s="426">
        <v>38.299999999999997</v>
      </c>
      <c r="S2011" s="426">
        <v>38.299999999999997</v>
      </c>
      <c r="T2011" s="422">
        <v>38.31</v>
      </c>
      <c r="U2011" s="422">
        <v>38.31</v>
      </c>
      <c r="V2011" s="422">
        <v>38.31</v>
      </c>
      <c r="W2011" s="422">
        <v>38.31</v>
      </c>
      <c r="X2011" s="426">
        <v>38.31</v>
      </c>
      <c r="Y2011" s="426">
        <v>38.32</v>
      </c>
      <c r="Z2011" s="426">
        <v>38.29</v>
      </c>
      <c r="AA2011" s="433">
        <v>38.28</v>
      </c>
      <c r="AB2011" s="433">
        <v>38.36</v>
      </c>
      <c r="AC2011" s="426">
        <v>38.369999999999997</v>
      </c>
      <c r="AD2011" s="93"/>
      <c r="AE2011" s="93"/>
      <c r="AF2011" s="422">
        <v>38.380000000000003</v>
      </c>
    </row>
    <row r="2012" spans="1:32">
      <c r="A2012" s="433">
        <v>38.380000000000003</v>
      </c>
      <c r="B2012" s="93"/>
      <c r="C2012" s="93"/>
      <c r="D2012" s="433">
        <v>38.380000000000003</v>
      </c>
      <c r="E2012" s="433">
        <v>38.369999999999997</v>
      </c>
      <c r="F2012" s="433">
        <v>38.36</v>
      </c>
      <c r="G2012" s="433">
        <v>38.340000000000003</v>
      </c>
      <c r="H2012" s="426">
        <v>38.32</v>
      </c>
      <c r="I2012" s="426">
        <v>38.32</v>
      </c>
      <c r="J2012" s="426">
        <v>38.31</v>
      </c>
      <c r="K2012" s="426">
        <v>38.31</v>
      </c>
      <c r="L2012" s="422">
        <v>38.31</v>
      </c>
      <c r="M2012" s="422">
        <v>38.31</v>
      </c>
      <c r="N2012" s="422">
        <v>38.31</v>
      </c>
      <c r="O2012" s="422">
        <v>38.31</v>
      </c>
      <c r="P2012" s="422">
        <v>38.31</v>
      </c>
      <c r="Q2012" s="422">
        <v>38.31</v>
      </c>
      <c r="R2012" s="422">
        <v>38.31</v>
      </c>
      <c r="S2012" s="422">
        <v>38.31</v>
      </c>
      <c r="T2012" s="422">
        <v>38.31</v>
      </c>
      <c r="U2012" s="422">
        <v>38.31</v>
      </c>
      <c r="V2012" s="426">
        <v>38.31</v>
      </c>
      <c r="W2012" s="426">
        <v>38.31</v>
      </c>
      <c r="X2012" s="426">
        <v>38.32</v>
      </c>
      <c r="Y2012" s="426">
        <v>38.32</v>
      </c>
      <c r="Z2012" s="433">
        <v>38.340000000000003</v>
      </c>
      <c r="AA2012" s="433">
        <v>38.36</v>
      </c>
      <c r="AB2012" s="433">
        <v>38.369999999999997</v>
      </c>
      <c r="AC2012" s="426">
        <v>38.369999999999997</v>
      </c>
      <c r="AD2012" s="93"/>
      <c r="AE2012" s="93"/>
      <c r="AF2012" s="422">
        <v>38.380000000000003</v>
      </c>
    </row>
    <row r="2013" spans="1:32">
      <c r="A2013" s="433">
        <v>38.380000000000003</v>
      </c>
      <c r="B2013" s="93"/>
      <c r="C2013" s="433">
        <v>38.380000000000003</v>
      </c>
      <c r="D2013" s="433">
        <v>38.380000000000003</v>
      </c>
      <c r="E2013" s="433">
        <v>38.380000000000003</v>
      </c>
      <c r="F2013" s="433">
        <v>38.369999999999997</v>
      </c>
      <c r="G2013" s="433">
        <v>38.36</v>
      </c>
      <c r="H2013" s="433">
        <v>38.340000000000003</v>
      </c>
      <c r="I2013" s="426">
        <v>38.270000000000003</v>
      </c>
      <c r="J2013" s="426">
        <v>38.299999999999997</v>
      </c>
      <c r="K2013" s="426">
        <v>38.32</v>
      </c>
      <c r="L2013" s="426">
        <v>38.31</v>
      </c>
      <c r="M2013" s="426">
        <v>38.31</v>
      </c>
      <c r="N2013" s="422">
        <v>38.31</v>
      </c>
      <c r="O2013" s="422">
        <v>38.31</v>
      </c>
      <c r="P2013" s="422">
        <v>38.31</v>
      </c>
      <c r="Q2013" s="422">
        <v>38.31</v>
      </c>
      <c r="R2013" s="422">
        <v>38.31</v>
      </c>
      <c r="S2013" s="422">
        <v>38.31</v>
      </c>
      <c r="T2013" s="426">
        <v>38.31</v>
      </c>
      <c r="U2013" s="426">
        <v>38.31</v>
      </c>
      <c r="V2013" s="426">
        <v>38.32</v>
      </c>
      <c r="W2013" s="426">
        <v>38.32</v>
      </c>
      <c r="X2013" s="426">
        <v>38.32</v>
      </c>
      <c r="Y2013" s="433">
        <v>38.340000000000003</v>
      </c>
      <c r="Z2013" s="433">
        <v>38.36</v>
      </c>
      <c r="AA2013" s="426">
        <v>38.369999999999997</v>
      </c>
      <c r="AB2013" s="426">
        <v>38.369999999999997</v>
      </c>
      <c r="AC2013" s="433">
        <v>38.380000000000003</v>
      </c>
      <c r="AD2013" s="93"/>
      <c r="AE2013" s="93"/>
      <c r="AF2013" s="422">
        <v>38.380000000000003</v>
      </c>
    </row>
    <row r="2014" spans="1:32">
      <c r="A2014" s="433">
        <v>38.380000000000003</v>
      </c>
      <c r="B2014" s="93"/>
      <c r="C2014" s="433">
        <v>38.380000000000003</v>
      </c>
      <c r="D2014" s="93"/>
      <c r="E2014" s="93"/>
      <c r="F2014" s="93"/>
      <c r="G2014" s="93"/>
      <c r="H2014" s="93"/>
      <c r="I2014" s="433">
        <v>38.340000000000003</v>
      </c>
      <c r="J2014" s="433">
        <v>38.340000000000003</v>
      </c>
      <c r="K2014" s="433">
        <v>38.340000000000003</v>
      </c>
      <c r="L2014" s="426">
        <v>38.32</v>
      </c>
      <c r="M2014" s="426">
        <v>38.32</v>
      </c>
      <c r="N2014" s="426">
        <v>38.31</v>
      </c>
      <c r="O2014" s="426">
        <v>38.31</v>
      </c>
      <c r="P2014" s="426">
        <v>38.31</v>
      </c>
      <c r="Q2014" s="426">
        <v>38.31</v>
      </c>
      <c r="R2014" s="426">
        <v>38.31</v>
      </c>
      <c r="S2014" s="426">
        <v>38.31</v>
      </c>
      <c r="T2014" s="426">
        <v>38.32</v>
      </c>
      <c r="U2014" s="426">
        <v>38.32</v>
      </c>
      <c r="V2014" s="433">
        <v>38.340000000000003</v>
      </c>
      <c r="W2014" s="433">
        <v>38.340000000000003</v>
      </c>
      <c r="X2014" s="433">
        <v>38.340000000000003</v>
      </c>
      <c r="Y2014" s="93"/>
      <c r="Z2014" s="93"/>
      <c r="AA2014" s="93"/>
      <c r="AB2014" s="93"/>
      <c r="AC2014" s="433">
        <v>38.380000000000003</v>
      </c>
      <c r="AD2014" s="433">
        <v>38.380000000000003</v>
      </c>
      <c r="AE2014" s="93"/>
      <c r="AF2014" s="422">
        <v>38.380000000000003</v>
      </c>
    </row>
    <row r="2015" spans="1:32">
      <c r="A2015" s="433">
        <v>38.380000000000003</v>
      </c>
      <c r="B2015" s="93"/>
      <c r="C2015" s="93"/>
      <c r="D2015" s="93"/>
      <c r="E2015" s="93"/>
      <c r="F2015" s="93"/>
      <c r="G2015" s="93"/>
      <c r="H2015" s="93"/>
      <c r="I2015" s="93"/>
      <c r="J2015" s="93"/>
      <c r="K2015" s="93"/>
      <c r="L2015" s="433">
        <v>38.340000000000003</v>
      </c>
      <c r="M2015" s="433">
        <v>38.340000000000003</v>
      </c>
      <c r="N2015" s="426">
        <v>38.32</v>
      </c>
      <c r="O2015" s="426">
        <v>38.32</v>
      </c>
      <c r="P2015" s="426">
        <v>38.32</v>
      </c>
      <c r="Q2015" s="426">
        <v>38.32</v>
      </c>
      <c r="R2015" s="426">
        <v>38.32</v>
      </c>
      <c r="S2015" s="426">
        <v>38.32</v>
      </c>
      <c r="T2015" s="433">
        <v>38.340000000000003</v>
      </c>
      <c r="U2015" s="433">
        <v>38.340000000000003</v>
      </c>
      <c r="V2015" s="93"/>
      <c r="W2015" s="93"/>
      <c r="X2015" s="93"/>
      <c r="Y2015" s="93"/>
      <c r="Z2015" s="93"/>
      <c r="AA2015" s="93"/>
      <c r="AB2015" s="93"/>
      <c r="AC2015" s="93"/>
      <c r="AD2015" s="93"/>
      <c r="AE2015" s="93"/>
      <c r="AF2015" s="422">
        <v>38.380000000000003</v>
      </c>
    </row>
    <row r="2016" spans="1:32">
      <c r="A2016" s="422">
        <v>38.380000000000003</v>
      </c>
      <c r="B2016" s="422">
        <v>38.380000000000003</v>
      </c>
      <c r="C2016" s="422">
        <v>38.380000000000003</v>
      </c>
      <c r="D2016" s="422">
        <v>38.380000000000003</v>
      </c>
      <c r="E2016" s="422">
        <v>38.380000000000003</v>
      </c>
      <c r="F2016" s="422">
        <v>38.380000000000003</v>
      </c>
      <c r="G2016" s="422">
        <v>38.380000000000003</v>
      </c>
      <c r="H2016" s="422">
        <v>38.380000000000003</v>
      </c>
      <c r="I2016" s="422">
        <v>38.380000000000003</v>
      </c>
      <c r="J2016" s="422">
        <v>38.380000000000003</v>
      </c>
      <c r="K2016" s="422">
        <v>38.380000000000003</v>
      </c>
      <c r="L2016" s="433">
        <v>38.380000000000003</v>
      </c>
      <c r="M2016" s="433">
        <v>38.380000000000003</v>
      </c>
      <c r="N2016" s="433">
        <v>38.340000000000003</v>
      </c>
      <c r="O2016" s="433">
        <v>38.340000000000003</v>
      </c>
      <c r="P2016" s="433">
        <v>38.340000000000003</v>
      </c>
      <c r="Q2016" s="433">
        <v>38.340000000000003</v>
      </c>
      <c r="R2016" s="433">
        <v>38.340000000000003</v>
      </c>
      <c r="S2016" s="433">
        <v>38.340000000000003</v>
      </c>
      <c r="T2016" s="422">
        <v>38.380000000000003</v>
      </c>
      <c r="U2016" s="422">
        <v>38.380000000000003</v>
      </c>
      <c r="V2016" s="422">
        <v>38.380000000000003</v>
      </c>
      <c r="W2016" s="422">
        <v>38.380000000000003</v>
      </c>
      <c r="X2016" s="422">
        <v>38.380000000000003</v>
      </c>
      <c r="Y2016" s="422">
        <v>38.380000000000003</v>
      </c>
      <c r="Z2016" s="422">
        <v>38.380000000000003</v>
      </c>
      <c r="AA2016" s="422">
        <v>38.380000000000003</v>
      </c>
      <c r="AB2016" s="422">
        <v>38.380000000000003</v>
      </c>
      <c r="AC2016" s="422">
        <v>38.380000000000003</v>
      </c>
      <c r="AD2016" s="422">
        <v>38.380000000000003</v>
      </c>
      <c r="AE2016" s="422">
        <v>38.380000000000003</v>
      </c>
      <c r="AF2016" s="422">
        <v>38.380000000000003</v>
      </c>
    </row>
    <row r="2017" spans="1:33">
      <c r="A2017" s="1298"/>
      <c r="B2017" s="1244"/>
      <c r="C2017" s="1244"/>
      <c r="D2017" s="1244"/>
      <c r="E2017" s="1244"/>
      <c r="F2017" s="1244"/>
      <c r="G2017" s="1244"/>
      <c r="H2017" s="1244"/>
      <c r="I2017" s="1244"/>
      <c r="J2017" s="1244"/>
      <c r="K2017" s="1244"/>
      <c r="L2017" s="1244"/>
      <c r="M2017" s="1244"/>
      <c r="N2017" s="1244"/>
      <c r="O2017" s="1244"/>
      <c r="P2017" s="1244"/>
      <c r="Q2017" s="1244"/>
      <c r="R2017" s="1244"/>
      <c r="S2017" s="1244"/>
      <c r="T2017" s="1244"/>
      <c r="U2017" s="1244"/>
      <c r="V2017" s="1244"/>
      <c r="W2017" s="1244"/>
      <c r="X2017" s="1244"/>
      <c r="Y2017" s="1244"/>
      <c r="Z2017" s="1244"/>
      <c r="AA2017" s="1244"/>
      <c r="AB2017" s="1244"/>
      <c r="AC2017" s="1244"/>
      <c r="AD2017" s="1244"/>
      <c r="AE2017" s="1244"/>
      <c r="AF2017" s="3785"/>
      <c r="AG2017">
        <v>64</v>
      </c>
    </row>
    <row r="2018" spans="1:33">
      <c r="A2018" s="3830"/>
      <c r="B2018" s="1373"/>
      <c r="C2018" s="1373"/>
      <c r="D2018" s="1373"/>
      <c r="E2018" s="1373"/>
      <c r="F2018" s="1373"/>
      <c r="G2018" s="1373"/>
      <c r="H2018" s="1373"/>
      <c r="I2018" s="1373"/>
      <c r="J2018" s="1373"/>
      <c r="K2018" s="417">
        <v>16.149999999999999</v>
      </c>
      <c r="L2018" s="417">
        <v>16.149999999999999</v>
      </c>
      <c r="M2018" s="417">
        <v>16.149999999999999</v>
      </c>
      <c r="N2018" s="417">
        <v>16.149999999999999</v>
      </c>
      <c r="O2018" s="417">
        <v>16.149999999999999</v>
      </c>
      <c r="P2018" s="417">
        <v>16.149999999999999</v>
      </c>
      <c r="Q2018" s="417">
        <v>16.149999999999999</v>
      </c>
      <c r="R2018" s="417">
        <v>16.149999999999999</v>
      </c>
      <c r="S2018" s="417">
        <v>16.149999999999999</v>
      </c>
      <c r="T2018" s="417">
        <v>16.149999999999999</v>
      </c>
      <c r="U2018" s="1373"/>
      <c r="V2018" s="1373"/>
      <c r="W2018" s="1373"/>
      <c r="X2018" s="1373"/>
      <c r="Y2018" s="1373"/>
      <c r="Z2018" s="1373"/>
      <c r="AA2018" s="1373"/>
      <c r="AB2018" s="1373"/>
      <c r="AC2018" s="1373"/>
      <c r="AD2018" s="1373"/>
      <c r="AE2018" s="1373"/>
      <c r="AF2018" s="3768"/>
    </row>
    <row r="2019" spans="1:33">
      <c r="A2019" s="3830"/>
      <c r="B2019" s="1373"/>
      <c r="C2019" s="1373"/>
      <c r="D2019" s="1373"/>
      <c r="E2019" s="1373"/>
      <c r="F2019" s="1373"/>
      <c r="G2019" s="1373"/>
      <c r="H2019" s="1373"/>
      <c r="I2019" s="1373"/>
      <c r="J2019" s="417">
        <v>16.12</v>
      </c>
      <c r="K2019" s="417">
        <v>16.12</v>
      </c>
      <c r="L2019" s="417">
        <v>16.12</v>
      </c>
      <c r="M2019" s="417">
        <v>16.100000000000001</v>
      </c>
      <c r="N2019" s="417">
        <v>16.11</v>
      </c>
      <c r="O2019" s="417">
        <v>16.12</v>
      </c>
      <c r="P2019" s="417">
        <v>16.12</v>
      </c>
      <c r="Q2019" s="417">
        <v>16.12</v>
      </c>
      <c r="R2019" s="417">
        <v>16.11</v>
      </c>
      <c r="S2019" s="417">
        <v>16.100000000000001</v>
      </c>
      <c r="T2019" s="417">
        <v>16.12</v>
      </c>
      <c r="U2019" s="417">
        <v>16.12</v>
      </c>
      <c r="V2019" s="417">
        <v>16.12</v>
      </c>
      <c r="W2019" s="1373"/>
      <c r="X2019" s="1373"/>
      <c r="Y2019" s="1373"/>
      <c r="Z2019" s="1373"/>
      <c r="AA2019" s="1373"/>
      <c r="AB2019" s="1373"/>
      <c r="AC2019" s="1373"/>
      <c r="AD2019" s="1373"/>
      <c r="AE2019" s="1373"/>
      <c r="AF2019" s="3768"/>
    </row>
    <row r="2020" spans="1:33">
      <c r="A2020" s="3830"/>
      <c r="B2020" s="1373"/>
      <c r="C2020" s="1373"/>
      <c r="D2020" s="1373"/>
      <c r="E2020" s="1373"/>
      <c r="F2020" s="1373"/>
      <c r="G2020" s="1373"/>
      <c r="H2020" s="417">
        <v>1</v>
      </c>
      <c r="I2020" s="417">
        <v>16.079999999999998</v>
      </c>
      <c r="J2020" s="417">
        <v>16.079999999999998</v>
      </c>
      <c r="K2020" s="417">
        <v>16.079999999999998</v>
      </c>
      <c r="L2020" s="422">
        <v>16.059999999999999</v>
      </c>
      <c r="M2020" s="422">
        <v>16.05</v>
      </c>
      <c r="N2020" s="422">
        <v>16.07</v>
      </c>
      <c r="O2020" s="422">
        <v>16.059999999999999</v>
      </c>
      <c r="P2020" s="422">
        <v>16.05</v>
      </c>
      <c r="Q2020" s="422">
        <v>16.059999999999999</v>
      </c>
      <c r="R2020" s="422">
        <v>16.07</v>
      </c>
      <c r="S2020" s="422">
        <v>16.05</v>
      </c>
      <c r="T2020" s="422">
        <v>16.059999999999999</v>
      </c>
      <c r="U2020" s="417">
        <v>16.079999999999998</v>
      </c>
      <c r="V2020" s="417">
        <v>16.079999999999998</v>
      </c>
      <c r="W2020" s="417">
        <v>1</v>
      </c>
      <c r="X2020" s="1373"/>
      <c r="Y2020" s="1373"/>
      <c r="Z2020" s="1373"/>
      <c r="AA2020" s="1373"/>
      <c r="AB2020" s="1373"/>
      <c r="AC2020" s="1373"/>
      <c r="AD2020" s="1373"/>
      <c r="AE2020" s="1373"/>
      <c r="AF2020" s="3768"/>
    </row>
    <row r="2021" spans="1:33">
      <c r="A2021" s="3830"/>
      <c r="B2021" s="1373"/>
      <c r="C2021" s="1373"/>
      <c r="D2021" s="1373"/>
      <c r="E2021" s="1373"/>
      <c r="F2021" s="1373"/>
      <c r="G2021" s="417">
        <v>2</v>
      </c>
      <c r="H2021" s="417">
        <v>14</v>
      </c>
      <c r="I2021" s="417">
        <v>16</v>
      </c>
      <c r="J2021" s="417">
        <v>16</v>
      </c>
      <c r="K2021" s="417">
        <v>16</v>
      </c>
      <c r="L2021" s="417">
        <v>16</v>
      </c>
      <c r="M2021" s="417">
        <v>16</v>
      </c>
      <c r="N2021" s="417">
        <v>16</v>
      </c>
      <c r="O2021" s="417">
        <v>16</v>
      </c>
      <c r="P2021" s="417">
        <v>16</v>
      </c>
      <c r="Q2021" s="417">
        <v>16</v>
      </c>
      <c r="R2021" s="417">
        <v>16</v>
      </c>
      <c r="S2021" s="417">
        <v>16</v>
      </c>
      <c r="T2021" s="417">
        <v>16</v>
      </c>
      <c r="U2021" s="417">
        <v>16</v>
      </c>
      <c r="V2021" s="417">
        <v>16</v>
      </c>
      <c r="W2021" s="417">
        <v>15</v>
      </c>
      <c r="X2021" s="417">
        <v>1</v>
      </c>
      <c r="Y2021" s="1373"/>
      <c r="Z2021" s="1373"/>
      <c r="AA2021" s="1373"/>
      <c r="AB2021" s="1373"/>
      <c r="AC2021" s="1373"/>
      <c r="AD2021" s="1373"/>
      <c r="AE2021" s="1373"/>
      <c r="AF2021" s="3768"/>
      <c r="AG2021">
        <v>1</v>
      </c>
    </row>
    <row r="2022" spans="1:33">
      <c r="A2022" s="3830"/>
      <c r="B2022" s="1373"/>
      <c r="C2022" s="1373"/>
      <c r="D2022" s="1373"/>
      <c r="E2022" s="1373"/>
      <c r="F2022" s="417">
        <v>2</v>
      </c>
      <c r="G2022" s="417">
        <v>14</v>
      </c>
      <c r="H2022" s="420">
        <v>15.08</v>
      </c>
      <c r="I2022" s="420">
        <v>16.100000000000001</v>
      </c>
      <c r="J2022" s="420">
        <v>16.100000000000001</v>
      </c>
      <c r="K2022" s="420">
        <v>16.100000000000001</v>
      </c>
      <c r="L2022" s="420">
        <v>16.100000000000001</v>
      </c>
      <c r="M2022" s="420">
        <v>16.100000000000001</v>
      </c>
      <c r="N2022" s="420">
        <v>16.100000000000001</v>
      </c>
      <c r="O2022" s="420">
        <v>16.100000000000001</v>
      </c>
      <c r="P2022" s="420">
        <v>16.100000000000001</v>
      </c>
      <c r="Q2022" s="420">
        <v>16.100000000000001</v>
      </c>
      <c r="R2022" s="420">
        <v>16.100000000000001</v>
      </c>
      <c r="S2022" s="420">
        <v>16.100000000000001</v>
      </c>
      <c r="T2022" s="420">
        <v>16.100000000000001</v>
      </c>
      <c r="U2022" s="420">
        <v>16.100000000000001</v>
      </c>
      <c r="V2022" s="420">
        <v>16.100000000000001</v>
      </c>
      <c r="W2022" s="420">
        <v>15.08</v>
      </c>
      <c r="X2022" s="417">
        <v>14</v>
      </c>
      <c r="Y2022" s="417">
        <v>1</v>
      </c>
      <c r="Z2022" s="1373"/>
      <c r="AA2022" s="1373"/>
      <c r="AB2022" s="1373"/>
      <c r="AC2022" s="1373"/>
      <c r="AD2022" s="1373"/>
      <c r="AE2022" s="1373"/>
      <c r="AF2022" s="3768"/>
    </row>
    <row r="2023" spans="1:33">
      <c r="A2023" s="3830"/>
      <c r="B2023" s="1373"/>
      <c r="C2023" s="1373"/>
      <c r="D2023" s="1373"/>
      <c r="E2023" s="417">
        <v>2</v>
      </c>
      <c r="F2023" s="417">
        <v>14</v>
      </c>
      <c r="G2023" s="420">
        <v>15.08</v>
      </c>
      <c r="H2023" s="420">
        <v>16.100000000000001</v>
      </c>
      <c r="I2023" s="409">
        <v>16.100000000000001</v>
      </c>
      <c r="J2023" s="409">
        <v>16.100000000000001</v>
      </c>
      <c r="K2023" s="409">
        <v>16.100000000000001</v>
      </c>
      <c r="L2023" s="409">
        <v>16.100000000000001</v>
      </c>
      <c r="M2023" s="409">
        <v>16.100000000000001</v>
      </c>
      <c r="N2023" s="409">
        <v>16.100000000000001</v>
      </c>
      <c r="O2023" s="409">
        <v>16.100000000000001</v>
      </c>
      <c r="P2023" s="409">
        <v>16.100000000000001</v>
      </c>
      <c r="Q2023" s="409">
        <v>16.100000000000001</v>
      </c>
      <c r="R2023" s="409">
        <v>16.100000000000001</v>
      </c>
      <c r="S2023" s="409">
        <v>16.100000000000001</v>
      </c>
      <c r="T2023" s="409">
        <v>16.100000000000001</v>
      </c>
      <c r="U2023" s="409">
        <v>16.100000000000001</v>
      </c>
      <c r="V2023" s="409">
        <v>16.100000000000001</v>
      </c>
      <c r="W2023" s="420">
        <v>16.100000000000001</v>
      </c>
      <c r="X2023" s="420">
        <v>15.08</v>
      </c>
      <c r="Y2023" s="422">
        <v>10</v>
      </c>
      <c r="Z2023" s="417">
        <v>1</v>
      </c>
      <c r="AA2023" s="1373"/>
      <c r="AB2023" s="1373"/>
      <c r="AC2023" s="1373"/>
      <c r="AD2023" s="1373"/>
      <c r="AE2023" s="1373"/>
      <c r="AF2023" s="3768"/>
    </row>
    <row r="2024" spans="1:33">
      <c r="A2024" s="3830"/>
      <c r="B2024" s="1373"/>
      <c r="C2024" s="1373"/>
      <c r="D2024" s="1373"/>
      <c r="E2024" s="417">
        <v>2</v>
      </c>
      <c r="F2024" s="417">
        <v>13</v>
      </c>
      <c r="G2024" s="420">
        <v>15.08</v>
      </c>
      <c r="H2024" s="409">
        <v>16.100000000000001</v>
      </c>
      <c r="I2024" s="409">
        <v>16.100000000000001</v>
      </c>
      <c r="J2024" s="409">
        <v>16.100000000000001</v>
      </c>
      <c r="K2024" s="409">
        <v>16.100000000000001</v>
      </c>
      <c r="L2024" s="409">
        <v>16.100000000000001</v>
      </c>
      <c r="M2024" s="409">
        <v>16.100000000000001</v>
      </c>
      <c r="N2024" s="409">
        <v>16.100000000000001</v>
      </c>
      <c r="O2024" s="409">
        <v>16.100000000000001</v>
      </c>
      <c r="P2024" s="409">
        <v>16.100000000000001</v>
      </c>
      <c r="Q2024" s="409">
        <v>16.100000000000001</v>
      </c>
      <c r="R2024" s="409">
        <v>16.100000000000001</v>
      </c>
      <c r="S2024" s="409">
        <v>16.100000000000001</v>
      </c>
      <c r="T2024" s="409">
        <v>16.100000000000001</v>
      </c>
      <c r="U2024" s="409">
        <v>16.100000000000001</v>
      </c>
      <c r="V2024" s="409">
        <v>16.100000000000001</v>
      </c>
      <c r="W2024" s="409">
        <v>16.100000000000001</v>
      </c>
      <c r="X2024" s="422">
        <v>15.06</v>
      </c>
      <c r="Y2024" s="417">
        <v>10.029999999999999</v>
      </c>
      <c r="Z2024" s="417">
        <v>7</v>
      </c>
      <c r="AA2024" s="417">
        <v>1</v>
      </c>
      <c r="AB2024" s="1373"/>
      <c r="AC2024" s="1373"/>
      <c r="AD2024" s="1373"/>
      <c r="AE2024" s="1373"/>
      <c r="AF2024" s="3768"/>
    </row>
    <row r="2025" spans="1:33">
      <c r="A2025" s="3830"/>
      <c r="B2025" s="1373"/>
      <c r="C2025" s="1373"/>
      <c r="D2025" s="1373"/>
      <c r="E2025" s="417">
        <v>1</v>
      </c>
      <c r="F2025" s="417">
        <v>15</v>
      </c>
      <c r="G2025" s="420">
        <v>15.08</v>
      </c>
      <c r="H2025" s="409">
        <v>16.100000000000001</v>
      </c>
      <c r="I2025" s="409">
        <v>16.100000000000001</v>
      </c>
      <c r="J2025" s="409">
        <v>16.100000000000001</v>
      </c>
      <c r="K2025" s="409">
        <v>16.100000000000001</v>
      </c>
      <c r="L2025" s="409">
        <v>16.100000000000001</v>
      </c>
      <c r="M2025" s="420">
        <v>16.100000000000001</v>
      </c>
      <c r="N2025" s="420">
        <v>16.100000000000001</v>
      </c>
      <c r="O2025" s="420">
        <v>16.100000000000001</v>
      </c>
      <c r="P2025" s="420">
        <v>16.100000000000001</v>
      </c>
      <c r="Q2025" s="420">
        <v>16.100000000000001</v>
      </c>
      <c r="R2025" s="420">
        <v>16.100000000000001</v>
      </c>
      <c r="S2025" s="420">
        <v>16.100000000000001</v>
      </c>
      <c r="T2025" s="409">
        <v>16.100000000000001</v>
      </c>
      <c r="U2025" s="409">
        <v>16.100000000000001</v>
      </c>
      <c r="V2025" s="409">
        <v>16.100000000000001</v>
      </c>
      <c r="W2025" s="409">
        <v>16.100000000000001</v>
      </c>
      <c r="X2025" s="420">
        <v>15.08</v>
      </c>
      <c r="Y2025" s="422">
        <v>14</v>
      </c>
      <c r="Z2025" s="422">
        <v>5</v>
      </c>
      <c r="AA2025" s="417">
        <v>1</v>
      </c>
      <c r="AB2025" s="1373"/>
      <c r="AC2025" s="1373"/>
      <c r="AD2025" s="1373"/>
      <c r="AE2025" s="1373"/>
      <c r="AF2025" s="3768"/>
    </row>
    <row r="2026" spans="1:33">
      <c r="A2026" s="3830"/>
      <c r="B2026" s="1373"/>
      <c r="C2026" s="1373"/>
      <c r="D2026" s="1373"/>
      <c r="E2026" s="417">
        <v>1</v>
      </c>
      <c r="F2026" s="417">
        <v>14</v>
      </c>
      <c r="G2026" s="420">
        <v>15.08</v>
      </c>
      <c r="H2026" s="409">
        <v>16.100000000000001</v>
      </c>
      <c r="I2026" s="409">
        <v>16.100000000000001</v>
      </c>
      <c r="J2026" s="409">
        <v>16.100000000000001</v>
      </c>
      <c r="K2026" s="409">
        <v>16.100000000000001</v>
      </c>
      <c r="L2026" s="420">
        <v>16.100000000000001</v>
      </c>
      <c r="M2026" s="420">
        <v>16.100000000000001</v>
      </c>
      <c r="N2026" s="420">
        <v>16.100000000000001</v>
      </c>
      <c r="O2026" s="420">
        <v>16.100000000000001</v>
      </c>
      <c r="P2026" s="420">
        <v>16.100000000000001</v>
      </c>
      <c r="Q2026" s="420">
        <v>16.100000000000001</v>
      </c>
      <c r="R2026" s="420">
        <v>16.100000000000001</v>
      </c>
      <c r="S2026" s="420">
        <v>16.100000000000001</v>
      </c>
      <c r="T2026" s="420">
        <v>16.100000000000001</v>
      </c>
      <c r="U2026" s="409">
        <v>16.100000000000001</v>
      </c>
      <c r="V2026" s="409">
        <v>16.100000000000001</v>
      </c>
      <c r="W2026" s="409">
        <v>16.100000000000001</v>
      </c>
      <c r="X2026" s="420">
        <v>15.07</v>
      </c>
      <c r="Y2026" s="420">
        <v>9</v>
      </c>
      <c r="Z2026" s="422">
        <v>6</v>
      </c>
      <c r="AA2026" s="417">
        <v>1</v>
      </c>
      <c r="AB2026" s="1373"/>
      <c r="AC2026" s="1373"/>
      <c r="AD2026" s="1373"/>
      <c r="AE2026" s="1373"/>
      <c r="AF2026" s="3768"/>
    </row>
    <row r="2027" spans="1:33">
      <c r="A2027" s="3830"/>
      <c r="B2027" s="1373"/>
      <c r="C2027" s="1373"/>
      <c r="D2027" s="1373"/>
      <c r="E2027" s="417">
        <v>1</v>
      </c>
      <c r="F2027" s="417">
        <v>14</v>
      </c>
      <c r="G2027" s="420">
        <v>15.07</v>
      </c>
      <c r="H2027" s="409">
        <v>15.1</v>
      </c>
      <c r="I2027" s="409">
        <v>15.1</v>
      </c>
      <c r="J2027" s="409">
        <v>15.1</v>
      </c>
      <c r="K2027" s="409">
        <v>15.1</v>
      </c>
      <c r="L2027" s="420">
        <v>15.1</v>
      </c>
      <c r="M2027" s="420">
        <v>15.1</v>
      </c>
      <c r="N2027" s="420">
        <v>15.1</v>
      </c>
      <c r="O2027" s="420">
        <v>15.1</v>
      </c>
      <c r="P2027" s="420">
        <v>15.1</v>
      </c>
      <c r="Q2027" s="420">
        <v>15.1</v>
      </c>
      <c r="R2027" s="420">
        <v>15.1</v>
      </c>
      <c r="S2027" s="420">
        <v>15.1</v>
      </c>
      <c r="T2027" s="420">
        <v>15.1</v>
      </c>
      <c r="U2027" s="409">
        <v>15.1</v>
      </c>
      <c r="V2027" s="409">
        <v>15.1</v>
      </c>
      <c r="W2027" s="409">
        <v>15.1</v>
      </c>
      <c r="X2027" s="409">
        <v>14.07</v>
      </c>
      <c r="Y2027" s="420">
        <v>14.06</v>
      </c>
      <c r="Z2027" s="422">
        <v>8</v>
      </c>
      <c r="AA2027" s="417">
        <v>1</v>
      </c>
      <c r="AB2027" s="1373"/>
      <c r="AC2027" s="1373"/>
      <c r="AD2027" s="1373"/>
      <c r="AE2027" s="1373"/>
      <c r="AF2027" s="3768"/>
    </row>
    <row r="2028" spans="1:33">
      <c r="A2028" s="3830"/>
      <c r="B2028" s="1373"/>
      <c r="C2028" s="1373"/>
      <c r="D2028" s="1373"/>
      <c r="E2028" s="417">
        <v>1</v>
      </c>
      <c r="F2028" s="417">
        <v>13</v>
      </c>
      <c r="G2028" s="420">
        <v>14.07</v>
      </c>
      <c r="H2028" s="409">
        <v>15.1</v>
      </c>
      <c r="I2028" s="409">
        <v>15.1</v>
      </c>
      <c r="J2028" s="409">
        <v>15.1</v>
      </c>
      <c r="K2028" s="420">
        <v>15.1</v>
      </c>
      <c r="L2028" s="420">
        <v>15.1</v>
      </c>
      <c r="M2028" s="409">
        <v>16.100000000000001</v>
      </c>
      <c r="N2028" s="409">
        <v>16.100000000000001</v>
      </c>
      <c r="O2028" s="409">
        <v>16.100000000000001</v>
      </c>
      <c r="P2028" s="420">
        <v>15.1</v>
      </c>
      <c r="Q2028" s="409">
        <v>16.100000000000001</v>
      </c>
      <c r="R2028" s="409">
        <v>16.100000000000001</v>
      </c>
      <c r="S2028" s="409">
        <v>16.100000000000001</v>
      </c>
      <c r="T2028" s="420">
        <v>15.1</v>
      </c>
      <c r="U2028" s="420">
        <v>15.1</v>
      </c>
      <c r="V2028" s="409">
        <v>15.1</v>
      </c>
      <c r="W2028" s="409">
        <v>15.1</v>
      </c>
      <c r="X2028" s="420">
        <v>14.07</v>
      </c>
      <c r="Y2028" s="420">
        <v>13</v>
      </c>
      <c r="Z2028" s="417">
        <v>7</v>
      </c>
      <c r="AA2028" s="417">
        <v>1</v>
      </c>
      <c r="AB2028" s="1373"/>
      <c r="AC2028" s="1373"/>
      <c r="AD2028" s="1373"/>
      <c r="AE2028" s="1373"/>
      <c r="AF2028" s="3768"/>
    </row>
    <row r="2029" spans="1:33">
      <c r="A2029" s="3830"/>
      <c r="B2029" s="1373"/>
      <c r="C2029" s="1373"/>
      <c r="D2029" s="1373"/>
      <c r="E2029" s="417">
        <v>1</v>
      </c>
      <c r="F2029" s="417">
        <v>13</v>
      </c>
      <c r="G2029" s="420">
        <v>14.06</v>
      </c>
      <c r="H2029" s="409">
        <v>15.1</v>
      </c>
      <c r="I2029" s="409">
        <v>15.1</v>
      </c>
      <c r="J2029" s="409">
        <v>15.1</v>
      </c>
      <c r="K2029" s="420">
        <v>15.1</v>
      </c>
      <c r="L2029" s="420">
        <v>15.1</v>
      </c>
      <c r="M2029" s="409">
        <v>16.100000000000001</v>
      </c>
      <c r="N2029" s="409">
        <v>16.100000000000001</v>
      </c>
      <c r="O2029" s="420">
        <v>15.1</v>
      </c>
      <c r="P2029" s="420">
        <v>15.1</v>
      </c>
      <c r="Q2029" s="420">
        <v>15.1</v>
      </c>
      <c r="R2029" s="409">
        <v>16.100000000000001</v>
      </c>
      <c r="S2029" s="409">
        <v>16.100000000000001</v>
      </c>
      <c r="T2029" s="420">
        <v>15.1</v>
      </c>
      <c r="U2029" s="420">
        <v>15.1</v>
      </c>
      <c r="V2029" s="409">
        <v>15.1</v>
      </c>
      <c r="W2029" s="409">
        <v>15.1</v>
      </c>
      <c r="X2029" s="420">
        <v>14.06</v>
      </c>
      <c r="Y2029" s="422">
        <v>13</v>
      </c>
      <c r="Z2029" s="417">
        <v>5</v>
      </c>
      <c r="AA2029" s="417">
        <v>1</v>
      </c>
      <c r="AB2029" s="1373"/>
      <c r="AC2029" s="1373"/>
      <c r="AD2029" s="1373"/>
      <c r="AE2029" s="1373"/>
      <c r="AF2029" s="3768"/>
    </row>
    <row r="2030" spans="1:33">
      <c r="A2030" s="3830"/>
      <c r="B2030" s="1373"/>
      <c r="C2030" s="1373"/>
      <c r="D2030" s="1373"/>
      <c r="E2030" s="417">
        <v>1</v>
      </c>
      <c r="F2030" s="417">
        <v>3</v>
      </c>
      <c r="G2030" s="417">
        <v>12</v>
      </c>
      <c r="H2030" s="420">
        <v>13.06</v>
      </c>
      <c r="I2030" s="409">
        <v>14.08</v>
      </c>
      <c r="J2030" s="409">
        <v>14.08</v>
      </c>
      <c r="K2030" s="420">
        <v>14.08</v>
      </c>
      <c r="L2030" s="420">
        <v>14.08</v>
      </c>
      <c r="M2030" s="420">
        <v>14.08</v>
      </c>
      <c r="N2030" s="420">
        <v>14.08</v>
      </c>
      <c r="O2030" s="420">
        <v>14.08</v>
      </c>
      <c r="P2030" s="409">
        <v>14.08</v>
      </c>
      <c r="Q2030" s="420">
        <v>14.08</v>
      </c>
      <c r="R2030" s="420">
        <v>14.08</v>
      </c>
      <c r="S2030" s="420">
        <v>14.08</v>
      </c>
      <c r="T2030" s="420">
        <v>14.08</v>
      </c>
      <c r="U2030" s="420">
        <v>14.08</v>
      </c>
      <c r="V2030" s="409">
        <v>14.08</v>
      </c>
      <c r="W2030" s="420">
        <v>13.06</v>
      </c>
      <c r="X2030" s="420">
        <v>12</v>
      </c>
      <c r="Y2030" s="422">
        <v>6</v>
      </c>
      <c r="Z2030" s="417">
        <v>1</v>
      </c>
      <c r="AA2030" s="1373"/>
      <c r="AB2030" s="1373"/>
      <c r="AC2030" s="1373"/>
      <c r="AD2030" s="1373"/>
      <c r="AE2030" s="1373"/>
      <c r="AF2030" s="3768"/>
      <c r="AG2030">
        <v>18</v>
      </c>
    </row>
    <row r="2031" spans="1:33">
      <c r="A2031" s="3830"/>
      <c r="B2031" s="1373"/>
      <c r="C2031" s="1373"/>
      <c r="D2031" s="1373"/>
      <c r="E2031" s="417">
        <v>1</v>
      </c>
      <c r="F2031" s="417">
        <v>6</v>
      </c>
      <c r="G2031" s="417">
        <v>12</v>
      </c>
      <c r="H2031" s="420">
        <v>13.08</v>
      </c>
      <c r="I2031" s="409">
        <v>14.08</v>
      </c>
      <c r="J2031" s="409">
        <v>14.08</v>
      </c>
      <c r="K2031" s="409">
        <v>14.08</v>
      </c>
      <c r="L2031" s="420">
        <v>14.08</v>
      </c>
      <c r="M2031" s="420">
        <v>14.08</v>
      </c>
      <c r="N2031" s="420">
        <v>14.08</v>
      </c>
      <c r="O2031" s="409">
        <v>14.08</v>
      </c>
      <c r="P2031" s="409">
        <v>14.08</v>
      </c>
      <c r="Q2031" s="409">
        <v>14.08</v>
      </c>
      <c r="R2031" s="420">
        <v>14.08</v>
      </c>
      <c r="S2031" s="420">
        <v>14.08</v>
      </c>
      <c r="T2031" s="420">
        <v>14.08</v>
      </c>
      <c r="U2031" s="409">
        <v>14.08</v>
      </c>
      <c r="V2031" s="409">
        <v>14.08</v>
      </c>
      <c r="W2031" s="420">
        <v>13.06</v>
      </c>
      <c r="X2031" s="422">
        <v>12</v>
      </c>
      <c r="Y2031" s="422">
        <v>3</v>
      </c>
      <c r="Z2031" s="417">
        <v>1</v>
      </c>
      <c r="AA2031" s="1373"/>
      <c r="AB2031" s="1373"/>
      <c r="AC2031" s="1373"/>
      <c r="AD2031" s="1373"/>
      <c r="AE2031" s="1373"/>
      <c r="AF2031" s="3768"/>
    </row>
    <row r="2032" spans="1:33">
      <c r="A2032" s="3830"/>
      <c r="B2032" s="1373"/>
      <c r="C2032" s="1373"/>
      <c r="D2032" s="1373"/>
      <c r="E2032" s="417">
        <v>1</v>
      </c>
      <c r="F2032" s="417">
        <v>2</v>
      </c>
      <c r="G2032" s="420">
        <v>10</v>
      </c>
      <c r="H2032" s="420">
        <v>11.06</v>
      </c>
      <c r="I2032" s="409">
        <v>12.07</v>
      </c>
      <c r="J2032" s="409">
        <v>13.07</v>
      </c>
      <c r="K2032" s="409">
        <v>13.07</v>
      </c>
      <c r="L2032" s="420">
        <v>13.07</v>
      </c>
      <c r="M2032" s="420">
        <v>13.07</v>
      </c>
      <c r="N2032" s="420">
        <v>13.07</v>
      </c>
      <c r="O2032" s="420">
        <v>13.07</v>
      </c>
      <c r="P2032" s="420">
        <v>13.07</v>
      </c>
      <c r="Q2032" s="420">
        <v>13.07</v>
      </c>
      <c r="R2032" s="420">
        <v>13.07</v>
      </c>
      <c r="S2032" s="420">
        <v>13.07</v>
      </c>
      <c r="T2032" s="409">
        <v>13.07</v>
      </c>
      <c r="U2032" s="409">
        <v>13.07</v>
      </c>
      <c r="V2032" s="409">
        <v>13.07</v>
      </c>
      <c r="W2032" s="420">
        <v>12.05</v>
      </c>
      <c r="X2032" s="422">
        <v>11</v>
      </c>
      <c r="Y2032" s="417">
        <v>1</v>
      </c>
      <c r="Z2032" s="1373"/>
      <c r="AA2032" s="1373"/>
      <c r="AB2032" s="1373"/>
      <c r="AC2032" s="1373"/>
      <c r="AD2032" s="1373"/>
      <c r="AE2032" s="1373"/>
      <c r="AF2032" s="3768"/>
    </row>
    <row r="2033" spans="1:32">
      <c r="A2033" s="3830"/>
      <c r="B2033" s="1373"/>
      <c r="C2033" s="1373"/>
      <c r="D2033" s="1373"/>
      <c r="E2033" s="1373"/>
      <c r="F2033" s="417">
        <v>1</v>
      </c>
      <c r="G2033" s="417">
        <v>11</v>
      </c>
      <c r="H2033" s="420">
        <v>12.06</v>
      </c>
      <c r="I2033" s="409">
        <v>13.07</v>
      </c>
      <c r="J2033" s="409">
        <v>13.07</v>
      </c>
      <c r="K2033" s="409">
        <v>13.07</v>
      </c>
      <c r="L2033" s="409">
        <v>13.07</v>
      </c>
      <c r="M2033" s="420">
        <v>13.07</v>
      </c>
      <c r="N2033" s="420">
        <v>13.07</v>
      </c>
      <c r="O2033" s="420">
        <v>13.07</v>
      </c>
      <c r="P2033" s="420">
        <v>13.07</v>
      </c>
      <c r="Q2033" s="420">
        <v>13.07</v>
      </c>
      <c r="R2033" s="420">
        <v>13.07</v>
      </c>
      <c r="S2033" s="420">
        <v>13.07</v>
      </c>
      <c r="T2033" s="409">
        <v>13.07</v>
      </c>
      <c r="U2033" s="409">
        <v>13.07</v>
      </c>
      <c r="V2033" s="409">
        <v>13.07</v>
      </c>
      <c r="W2033" s="420">
        <v>12.05</v>
      </c>
      <c r="X2033" s="422">
        <v>11</v>
      </c>
      <c r="Y2033" s="417">
        <v>1</v>
      </c>
      <c r="Z2033" s="1373"/>
      <c r="AA2033" s="1373"/>
      <c r="AB2033" s="1373"/>
      <c r="AC2033" s="1373"/>
      <c r="AD2033" s="1373"/>
      <c r="AE2033" s="1373"/>
      <c r="AF2033" s="3768"/>
    </row>
    <row r="2034" spans="1:32">
      <c r="A2034" s="3830"/>
      <c r="B2034" s="1373"/>
      <c r="C2034" s="1373"/>
      <c r="D2034" s="1373"/>
      <c r="E2034" s="1373"/>
      <c r="F2034" s="417">
        <v>1</v>
      </c>
      <c r="G2034" s="417">
        <v>6</v>
      </c>
      <c r="H2034" s="420">
        <v>7</v>
      </c>
      <c r="I2034" s="409">
        <v>10.050000000000001</v>
      </c>
      <c r="J2034" s="409">
        <v>12.06</v>
      </c>
      <c r="K2034" s="409">
        <v>12.06</v>
      </c>
      <c r="L2034" s="409">
        <v>12.06</v>
      </c>
      <c r="M2034" s="409">
        <v>12.06</v>
      </c>
      <c r="N2034" s="420">
        <v>12.06</v>
      </c>
      <c r="O2034" s="409">
        <v>12.06</v>
      </c>
      <c r="P2034" s="420">
        <v>12.06</v>
      </c>
      <c r="Q2034" s="409">
        <v>12.06</v>
      </c>
      <c r="R2034" s="420">
        <v>12.06</v>
      </c>
      <c r="S2034" s="409">
        <v>12.06</v>
      </c>
      <c r="T2034" s="409">
        <v>12.06</v>
      </c>
      <c r="U2034" s="409">
        <v>12.06</v>
      </c>
      <c r="V2034" s="409">
        <v>12.06</v>
      </c>
      <c r="W2034" s="420">
        <v>10.039999999999999</v>
      </c>
      <c r="X2034" s="422">
        <v>6</v>
      </c>
      <c r="Y2034" s="417">
        <v>1</v>
      </c>
      <c r="Z2034" s="1373"/>
      <c r="AA2034" s="1373"/>
      <c r="AB2034" s="1373"/>
      <c r="AC2034" s="1373"/>
      <c r="AD2034" s="1373"/>
      <c r="AE2034" s="1373"/>
      <c r="AF2034" s="3768"/>
    </row>
    <row r="2035" spans="1:32">
      <c r="A2035" s="3830"/>
      <c r="B2035" s="1373"/>
      <c r="C2035" s="1373"/>
      <c r="D2035" s="1373"/>
      <c r="E2035" s="1373"/>
      <c r="F2035" s="417">
        <v>1</v>
      </c>
      <c r="G2035" s="417">
        <v>5</v>
      </c>
      <c r="H2035" s="420">
        <v>6</v>
      </c>
      <c r="I2035" s="420">
        <v>9</v>
      </c>
      <c r="J2035" s="409">
        <v>11.04</v>
      </c>
      <c r="K2035" s="409">
        <v>11.04</v>
      </c>
      <c r="L2035" s="409">
        <v>11.04</v>
      </c>
      <c r="M2035" s="420">
        <v>11.04</v>
      </c>
      <c r="N2035" s="420">
        <v>11.04</v>
      </c>
      <c r="O2035" s="420">
        <v>11.04</v>
      </c>
      <c r="P2035" s="420">
        <v>11.04</v>
      </c>
      <c r="Q2035" s="420">
        <v>11.04</v>
      </c>
      <c r="R2035" s="420">
        <v>11.04</v>
      </c>
      <c r="S2035" s="420">
        <v>11.04</v>
      </c>
      <c r="T2035" s="409">
        <v>11.04</v>
      </c>
      <c r="U2035" s="409">
        <v>11.04</v>
      </c>
      <c r="V2035" s="409">
        <v>11.04</v>
      </c>
      <c r="W2035" s="420">
        <v>10</v>
      </c>
      <c r="X2035" s="422">
        <v>5</v>
      </c>
      <c r="Y2035" s="417">
        <v>1</v>
      </c>
      <c r="Z2035" s="1373"/>
      <c r="AA2035" s="1373"/>
      <c r="AB2035" s="1373"/>
      <c r="AC2035" s="1373"/>
      <c r="AD2035" s="1373"/>
      <c r="AE2035" s="1373"/>
      <c r="AF2035" s="3768"/>
    </row>
    <row r="2036" spans="1:32">
      <c r="A2036" s="3830"/>
      <c r="B2036" s="1373"/>
      <c r="C2036" s="1373"/>
      <c r="D2036" s="1373"/>
      <c r="E2036" s="1373"/>
      <c r="F2036" s="1373"/>
      <c r="G2036" s="417">
        <v>1</v>
      </c>
      <c r="H2036" s="422">
        <v>7</v>
      </c>
      <c r="I2036" s="420">
        <v>8</v>
      </c>
      <c r="J2036" s="409">
        <v>10.039999999999999</v>
      </c>
      <c r="K2036" s="409">
        <v>10.039999999999999</v>
      </c>
      <c r="L2036" s="409">
        <v>10.039999999999999</v>
      </c>
      <c r="M2036" s="409">
        <v>10.039999999999999</v>
      </c>
      <c r="N2036" s="420">
        <v>10.039999999999999</v>
      </c>
      <c r="O2036" s="420">
        <v>10.039999999999999</v>
      </c>
      <c r="P2036" s="420">
        <v>10.039999999999999</v>
      </c>
      <c r="Q2036" s="420">
        <v>10.039999999999999</v>
      </c>
      <c r="R2036" s="420">
        <v>10.039999999999999</v>
      </c>
      <c r="S2036" s="409">
        <v>10.039999999999999</v>
      </c>
      <c r="T2036" s="409">
        <v>10.039999999999999</v>
      </c>
      <c r="U2036" s="409">
        <v>10.039999999999999</v>
      </c>
      <c r="V2036" s="409">
        <v>10.039999999999999</v>
      </c>
      <c r="W2036" s="420">
        <v>9</v>
      </c>
      <c r="X2036" s="422">
        <v>5</v>
      </c>
      <c r="Y2036" s="417">
        <v>1</v>
      </c>
      <c r="Z2036" s="1373"/>
      <c r="AA2036" s="1373"/>
      <c r="AB2036" s="1373"/>
      <c r="AC2036" s="1373"/>
      <c r="AD2036" s="1373"/>
      <c r="AE2036" s="1373"/>
      <c r="AF2036" s="3768"/>
    </row>
    <row r="2037" spans="1:32">
      <c r="A2037" s="3830"/>
      <c r="B2037" s="1373"/>
      <c r="C2037" s="1373"/>
      <c r="D2037" s="1373"/>
      <c r="E2037" s="1373"/>
      <c r="F2037" s="417">
        <v>1</v>
      </c>
      <c r="G2037" s="417">
        <v>3</v>
      </c>
      <c r="H2037" s="422">
        <v>6</v>
      </c>
      <c r="I2037" s="420">
        <v>7</v>
      </c>
      <c r="J2037" s="409">
        <v>9</v>
      </c>
      <c r="K2037" s="409">
        <v>9</v>
      </c>
      <c r="L2037" s="409">
        <v>9</v>
      </c>
      <c r="M2037" s="409">
        <v>9</v>
      </c>
      <c r="N2037" s="409">
        <v>9</v>
      </c>
      <c r="O2037" s="409">
        <v>9</v>
      </c>
      <c r="P2037" s="409">
        <v>9</v>
      </c>
      <c r="Q2037" s="409">
        <v>9</v>
      </c>
      <c r="R2037" s="409">
        <v>9</v>
      </c>
      <c r="S2037" s="409">
        <v>9</v>
      </c>
      <c r="T2037" s="409">
        <v>9</v>
      </c>
      <c r="U2037" s="409">
        <v>9</v>
      </c>
      <c r="V2037" s="409">
        <v>9</v>
      </c>
      <c r="W2037" s="420">
        <v>8</v>
      </c>
      <c r="X2037" s="422">
        <v>7</v>
      </c>
      <c r="Y2037" s="417">
        <v>1</v>
      </c>
      <c r="Z2037" s="417">
        <v>1</v>
      </c>
      <c r="AA2037" s="1373"/>
      <c r="AB2037" s="1373"/>
      <c r="AC2037" s="1373"/>
      <c r="AD2037" s="1373"/>
      <c r="AE2037" s="1373"/>
      <c r="AF2037" s="3768"/>
    </row>
    <row r="2038" spans="1:32">
      <c r="A2038" s="3830"/>
      <c r="B2038" s="1373"/>
      <c r="C2038" s="1373"/>
      <c r="D2038" s="1373"/>
      <c r="E2038" s="1373"/>
      <c r="F2038" s="417">
        <v>1</v>
      </c>
      <c r="G2038" s="422">
        <v>2</v>
      </c>
      <c r="H2038" s="420">
        <v>6</v>
      </c>
      <c r="I2038" s="409">
        <v>8</v>
      </c>
      <c r="J2038" s="409">
        <v>8</v>
      </c>
      <c r="K2038" s="409">
        <v>8</v>
      </c>
      <c r="L2038" s="409">
        <v>8</v>
      </c>
      <c r="M2038" s="409">
        <v>8</v>
      </c>
      <c r="N2038" s="409">
        <v>8</v>
      </c>
      <c r="O2038" s="409">
        <v>8</v>
      </c>
      <c r="P2038" s="409">
        <v>8</v>
      </c>
      <c r="Q2038" s="409">
        <v>8</v>
      </c>
      <c r="R2038" s="409">
        <v>8</v>
      </c>
      <c r="S2038" s="409">
        <v>8</v>
      </c>
      <c r="T2038" s="409">
        <v>8</v>
      </c>
      <c r="U2038" s="409">
        <v>8</v>
      </c>
      <c r="V2038" s="409">
        <v>8</v>
      </c>
      <c r="W2038" s="409">
        <v>8</v>
      </c>
      <c r="X2038" s="420">
        <v>7</v>
      </c>
      <c r="Y2038" s="422">
        <v>6</v>
      </c>
      <c r="Z2038" s="417">
        <v>1</v>
      </c>
      <c r="AA2038" s="1373"/>
      <c r="AB2038" s="1373"/>
      <c r="AC2038" s="1373"/>
      <c r="AD2038" s="1373"/>
      <c r="AE2038" s="1373"/>
      <c r="AF2038" s="3768"/>
    </row>
    <row r="2039" spans="1:32">
      <c r="A2039" s="3830"/>
      <c r="B2039" s="1373"/>
      <c r="C2039" s="1373"/>
      <c r="D2039" s="1373"/>
      <c r="E2039" s="1373"/>
      <c r="F2039" s="417">
        <v>1</v>
      </c>
      <c r="G2039" s="422">
        <v>2</v>
      </c>
      <c r="H2039" s="422">
        <v>2</v>
      </c>
      <c r="I2039" s="420">
        <v>5</v>
      </c>
      <c r="J2039" s="409">
        <v>7</v>
      </c>
      <c r="K2039" s="409">
        <v>7</v>
      </c>
      <c r="L2039" s="409">
        <v>7</v>
      </c>
      <c r="M2039" s="409">
        <v>7</v>
      </c>
      <c r="N2039" s="409">
        <v>7</v>
      </c>
      <c r="O2039" s="409">
        <v>7</v>
      </c>
      <c r="P2039" s="409">
        <v>7</v>
      </c>
      <c r="Q2039" s="409">
        <v>7</v>
      </c>
      <c r="R2039" s="409">
        <v>7</v>
      </c>
      <c r="S2039" s="409">
        <v>7</v>
      </c>
      <c r="T2039" s="409">
        <v>7</v>
      </c>
      <c r="U2039" s="409">
        <v>7</v>
      </c>
      <c r="V2039" s="409">
        <v>7</v>
      </c>
      <c r="W2039" s="409">
        <v>7</v>
      </c>
      <c r="X2039" s="420">
        <v>6</v>
      </c>
      <c r="Y2039" s="422">
        <v>2</v>
      </c>
      <c r="Z2039" s="417">
        <v>1</v>
      </c>
      <c r="AA2039" s="1373"/>
      <c r="AB2039" s="1373"/>
      <c r="AC2039" s="1373"/>
      <c r="AD2039" s="1373"/>
      <c r="AE2039" s="1373"/>
      <c r="AF2039" s="3768"/>
    </row>
    <row r="2040" spans="1:32">
      <c r="A2040" s="3830"/>
      <c r="B2040" s="1373"/>
      <c r="C2040" s="1373"/>
      <c r="D2040" s="1373"/>
      <c r="E2040" s="417">
        <v>1</v>
      </c>
      <c r="F2040" s="417">
        <v>1</v>
      </c>
      <c r="G2040" s="422">
        <v>2</v>
      </c>
      <c r="H2040" s="420">
        <v>4</v>
      </c>
      <c r="I2040" s="420">
        <v>6</v>
      </c>
      <c r="J2040" s="409">
        <v>6</v>
      </c>
      <c r="K2040" s="409">
        <v>6</v>
      </c>
      <c r="L2040" s="409">
        <v>6</v>
      </c>
      <c r="M2040" s="420">
        <v>6</v>
      </c>
      <c r="N2040" s="409">
        <v>6</v>
      </c>
      <c r="O2040" s="409">
        <v>6</v>
      </c>
      <c r="P2040" s="409">
        <v>6</v>
      </c>
      <c r="Q2040" s="420">
        <v>6</v>
      </c>
      <c r="R2040" s="420">
        <v>6</v>
      </c>
      <c r="S2040" s="409">
        <v>6</v>
      </c>
      <c r="T2040" s="409">
        <v>6</v>
      </c>
      <c r="U2040" s="409">
        <v>6</v>
      </c>
      <c r="V2040" s="420">
        <v>6</v>
      </c>
      <c r="W2040" s="420">
        <v>6</v>
      </c>
      <c r="X2040" s="420">
        <v>4</v>
      </c>
      <c r="Y2040" s="422">
        <v>2</v>
      </c>
      <c r="Z2040" s="417">
        <v>1</v>
      </c>
      <c r="AA2040" s="1373"/>
      <c r="AB2040" s="1373"/>
      <c r="AC2040" s="1373"/>
      <c r="AD2040" s="1373"/>
      <c r="AE2040" s="1373"/>
      <c r="AF2040" s="3768"/>
    </row>
    <row r="2041" spans="1:32">
      <c r="A2041" s="3830"/>
      <c r="B2041" s="1373"/>
      <c r="C2041" s="1373"/>
      <c r="D2041" s="1373"/>
      <c r="E2041" s="426">
        <v>2</v>
      </c>
      <c r="F2041" s="422">
        <v>2</v>
      </c>
      <c r="G2041" s="420">
        <v>3</v>
      </c>
      <c r="H2041" s="420">
        <v>4</v>
      </c>
      <c r="I2041" s="420">
        <v>5</v>
      </c>
      <c r="J2041" s="420">
        <v>5</v>
      </c>
      <c r="K2041" s="420">
        <v>5</v>
      </c>
      <c r="L2041" s="420">
        <v>5</v>
      </c>
      <c r="M2041" s="420">
        <v>5</v>
      </c>
      <c r="N2041" s="420">
        <v>5</v>
      </c>
      <c r="O2041" s="420">
        <v>5</v>
      </c>
      <c r="P2041" s="420">
        <v>5</v>
      </c>
      <c r="Q2041" s="420">
        <v>5</v>
      </c>
      <c r="R2041" s="420">
        <v>5</v>
      </c>
      <c r="S2041" s="420">
        <v>5</v>
      </c>
      <c r="T2041" s="420">
        <v>5</v>
      </c>
      <c r="U2041" s="420">
        <v>5</v>
      </c>
      <c r="V2041" s="420">
        <v>5</v>
      </c>
      <c r="W2041" s="420">
        <v>5</v>
      </c>
      <c r="X2041" s="420">
        <v>4</v>
      </c>
      <c r="Y2041" s="422">
        <v>2</v>
      </c>
      <c r="Z2041" s="417">
        <v>1</v>
      </c>
      <c r="AA2041" s="417">
        <v>1</v>
      </c>
      <c r="AB2041" s="1373"/>
      <c r="AC2041" s="1373"/>
      <c r="AD2041" s="1373"/>
      <c r="AE2041" s="1373"/>
      <c r="AF2041" s="3768"/>
    </row>
    <row r="2042" spans="1:32">
      <c r="A2042" s="3830"/>
      <c r="B2042" s="1373"/>
      <c r="C2042" s="1373"/>
      <c r="D2042" s="417">
        <v>1</v>
      </c>
      <c r="E2042" s="426">
        <v>2</v>
      </c>
      <c r="F2042" s="422">
        <v>2</v>
      </c>
      <c r="G2042" s="420">
        <v>3</v>
      </c>
      <c r="H2042" s="420">
        <v>4</v>
      </c>
      <c r="I2042" s="420">
        <v>4</v>
      </c>
      <c r="J2042" s="420">
        <v>4</v>
      </c>
      <c r="K2042" s="420">
        <v>4</v>
      </c>
      <c r="L2042" s="420">
        <v>4</v>
      </c>
      <c r="M2042" s="420">
        <v>4</v>
      </c>
      <c r="N2042" s="420">
        <v>4</v>
      </c>
      <c r="O2042" s="420">
        <v>4</v>
      </c>
      <c r="P2042" s="420">
        <v>4</v>
      </c>
      <c r="Q2042" s="420">
        <v>4</v>
      </c>
      <c r="R2042" s="420">
        <v>4</v>
      </c>
      <c r="S2042" s="420">
        <v>4</v>
      </c>
      <c r="T2042" s="420">
        <v>4</v>
      </c>
      <c r="U2042" s="420">
        <v>4</v>
      </c>
      <c r="V2042" s="420">
        <v>4</v>
      </c>
      <c r="W2042" s="420">
        <v>4</v>
      </c>
      <c r="X2042" s="420">
        <v>4</v>
      </c>
      <c r="Y2042" s="420">
        <v>3</v>
      </c>
      <c r="Z2042" s="422">
        <v>2</v>
      </c>
      <c r="AA2042" s="417">
        <v>1</v>
      </c>
      <c r="AB2042" s="1373"/>
      <c r="AC2042" s="1373"/>
      <c r="AD2042" s="1373"/>
      <c r="AE2042" s="1373"/>
      <c r="AF2042" s="3768"/>
    </row>
    <row r="2043" spans="1:32">
      <c r="A2043" s="3830"/>
      <c r="B2043" s="1373"/>
      <c r="C2043" s="1373"/>
      <c r="D2043" s="426">
        <v>2</v>
      </c>
      <c r="E2043" s="417">
        <v>1</v>
      </c>
      <c r="F2043" s="422">
        <v>2</v>
      </c>
      <c r="G2043" s="420">
        <v>3</v>
      </c>
      <c r="H2043" s="420">
        <v>3</v>
      </c>
      <c r="I2043" s="420">
        <v>3</v>
      </c>
      <c r="J2043" s="420">
        <v>3</v>
      </c>
      <c r="K2043" s="420">
        <v>3</v>
      </c>
      <c r="L2043" s="420">
        <v>3</v>
      </c>
      <c r="M2043" s="420">
        <v>3</v>
      </c>
      <c r="N2043" s="420">
        <v>3</v>
      </c>
      <c r="O2043" s="420">
        <v>3</v>
      </c>
      <c r="P2043" s="420">
        <v>3</v>
      </c>
      <c r="Q2043" s="420">
        <v>3</v>
      </c>
      <c r="R2043" s="420">
        <v>3</v>
      </c>
      <c r="S2043" s="420">
        <v>3</v>
      </c>
      <c r="T2043" s="420">
        <v>3</v>
      </c>
      <c r="U2043" s="420">
        <v>3</v>
      </c>
      <c r="V2043" s="420">
        <v>3</v>
      </c>
      <c r="W2043" s="420">
        <v>3</v>
      </c>
      <c r="X2043" s="420">
        <v>3</v>
      </c>
      <c r="Y2043" s="420">
        <v>3</v>
      </c>
      <c r="Z2043" s="422">
        <v>2</v>
      </c>
      <c r="AA2043" s="417">
        <v>1</v>
      </c>
      <c r="AB2043" s="417">
        <v>1</v>
      </c>
      <c r="AC2043" s="1373"/>
      <c r="AD2043" s="1373"/>
      <c r="AE2043" s="1373"/>
      <c r="AF2043" s="3768"/>
    </row>
    <row r="2044" spans="1:32">
      <c r="A2044" s="3830"/>
      <c r="B2044" s="1373"/>
      <c r="C2044" s="1373"/>
      <c r="D2044" s="417">
        <v>1</v>
      </c>
      <c r="E2044" s="417">
        <v>1</v>
      </c>
      <c r="F2044" s="422">
        <v>2</v>
      </c>
      <c r="G2044" s="420">
        <v>3</v>
      </c>
      <c r="H2044" s="420">
        <v>3</v>
      </c>
      <c r="I2044" s="420">
        <v>3</v>
      </c>
      <c r="J2044" s="420">
        <v>3</v>
      </c>
      <c r="K2044" s="420">
        <v>3</v>
      </c>
      <c r="L2044" s="420">
        <v>3</v>
      </c>
      <c r="M2044" s="420">
        <v>3</v>
      </c>
      <c r="N2044" s="420">
        <v>3</v>
      </c>
      <c r="O2044" s="420">
        <v>3</v>
      </c>
      <c r="P2044" s="420">
        <v>3</v>
      </c>
      <c r="Q2044" s="420">
        <v>3</v>
      </c>
      <c r="R2044" s="420">
        <v>3</v>
      </c>
      <c r="S2044" s="420">
        <v>3</v>
      </c>
      <c r="T2044" s="420">
        <v>3</v>
      </c>
      <c r="U2044" s="420">
        <v>3</v>
      </c>
      <c r="V2044" s="420">
        <v>3</v>
      </c>
      <c r="W2044" s="420">
        <v>3</v>
      </c>
      <c r="X2044" s="420">
        <v>3</v>
      </c>
      <c r="Y2044" s="420">
        <v>3</v>
      </c>
      <c r="Z2044" s="422">
        <v>2</v>
      </c>
      <c r="AA2044" s="417">
        <v>1</v>
      </c>
      <c r="AB2044" s="417">
        <v>1</v>
      </c>
      <c r="AC2044" s="1373"/>
      <c r="AD2044" s="1373"/>
      <c r="AE2044" s="1373"/>
      <c r="AF2044" s="3768"/>
    </row>
    <row r="2045" spans="1:32">
      <c r="A2045" s="3830"/>
      <c r="B2045" s="1373"/>
      <c r="C2045" s="417">
        <v>1</v>
      </c>
      <c r="D2045" s="417">
        <v>1</v>
      </c>
      <c r="E2045" s="426">
        <v>1</v>
      </c>
      <c r="F2045" s="422">
        <v>2</v>
      </c>
      <c r="G2045" s="422">
        <v>2</v>
      </c>
      <c r="H2045" s="422">
        <v>2</v>
      </c>
      <c r="I2045" s="422">
        <v>2</v>
      </c>
      <c r="J2045" s="422">
        <v>2</v>
      </c>
      <c r="K2045" s="422">
        <v>2</v>
      </c>
      <c r="L2045" s="422">
        <v>2</v>
      </c>
      <c r="M2045" s="422">
        <v>2</v>
      </c>
      <c r="N2045" s="422">
        <v>2</v>
      </c>
      <c r="O2045" s="422">
        <v>2</v>
      </c>
      <c r="P2045" s="422">
        <v>2</v>
      </c>
      <c r="Q2045" s="422">
        <v>2</v>
      </c>
      <c r="R2045" s="422">
        <v>2</v>
      </c>
      <c r="S2045" s="422">
        <v>2</v>
      </c>
      <c r="T2045" s="422">
        <v>2</v>
      </c>
      <c r="U2045" s="422">
        <v>2</v>
      </c>
      <c r="V2045" s="422">
        <v>2</v>
      </c>
      <c r="W2045" s="422">
        <v>2</v>
      </c>
      <c r="X2045" s="417">
        <v>1</v>
      </c>
      <c r="Y2045" s="422">
        <v>2</v>
      </c>
      <c r="Z2045" s="422">
        <v>2</v>
      </c>
      <c r="AA2045" s="422">
        <v>2</v>
      </c>
      <c r="AB2045" s="417">
        <v>1</v>
      </c>
      <c r="AC2045" s="417">
        <v>1</v>
      </c>
      <c r="AD2045" s="1373"/>
      <c r="AE2045" s="1373"/>
      <c r="AF2045" s="3768"/>
    </row>
    <row r="2046" spans="1:32">
      <c r="A2046" s="3830"/>
      <c r="B2046" s="3831"/>
      <c r="C2046" s="417">
        <v>1</v>
      </c>
      <c r="D2046" s="422">
        <v>2</v>
      </c>
      <c r="E2046" s="422">
        <v>2</v>
      </c>
      <c r="F2046" s="426">
        <v>1</v>
      </c>
      <c r="G2046" s="422">
        <v>2</v>
      </c>
      <c r="H2046" s="422">
        <v>2</v>
      </c>
      <c r="I2046" s="422">
        <v>2</v>
      </c>
      <c r="J2046" s="422">
        <v>2</v>
      </c>
      <c r="K2046" s="422">
        <v>2</v>
      </c>
      <c r="L2046" s="422">
        <v>2</v>
      </c>
      <c r="M2046" s="422">
        <v>2</v>
      </c>
      <c r="N2046" s="422">
        <v>2</v>
      </c>
      <c r="O2046" s="422">
        <v>2</v>
      </c>
      <c r="P2046" s="422">
        <v>2</v>
      </c>
      <c r="Q2046" s="422">
        <v>2</v>
      </c>
      <c r="R2046" s="422">
        <v>2</v>
      </c>
      <c r="S2046" s="422">
        <v>2</v>
      </c>
      <c r="T2046" s="422">
        <v>2</v>
      </c>
      <c r="U2046" s="422">
        <v>2</v>
      </c>
      <c r="V2046" s="422">
        <v>2</v>
      </c>
      <c r="W2046" s="422">
        <v>2</v>
      </c>
      <c r="X2046" s="422">
        <v>2</v>
      </c>
      <c r="Y2046" s="422">
        <v>2</v>
      </c>
      <c r="Z2046" s="422">
        <v>2</v>
      </c>
      <c r="AA2046" s="422">
        <v>2</v>
      </c>
      <c r="AB2046" s="417">
        <v>1</v>
      </c>
      <c r="AC2046" s="417">
        <v>1</v>
      </c>
      <c r="AD2046" s="1373"/>
      <c r="AE2046" s="1373"/>
      <c r="AF2046" s="3768"/>
    </row>
    <row r="2047" spans="1:32">
      <c r="A2047" s="3831"/>
      <c r="B2047" s="417">
        <v>1</v>
      </c>
      <c r="C2047" s="417">
        <v>1</v>
      </c>
      <c r="D2047" s="417">
        <v>1</v>
      </c>
      <c r="E2047" s="417">
        <v>1</v>
      </c>
      <c r="F2047" s="426">
        <v>2</v>
      </c>
      <c r="G2047" s="426">
        <v>1</v>
      </c>
      <c r="H2047" s="417">
        <v>1</v>
      </c>
      <c r="I2047" s="417">
        <v>1</v>
      </c>
      <c r="J2047" s="417">
        <v>1</v>
      </c>
      <c r="K2047" s="417">
        <v>1</v>
      </c>
      <c r="L2047" s="417">
        <v>1</v>
      </c>
      <c r="M2047" s="417">
        <v>1</v>
      </c>
      <c r="N2047" s="417">
        <v>1</v>
      </c>
      <c r="O2047" s="417">
        <v>1</v>
      </c>
      <c r="P2047" s="417">
        <v>1</v>
      </c>
      <c r="Q2047" s="417">
        <v>1</v>
      </c>
      <c r="R2047" s="417">
        <v>1</v>
      </c>
      <c r="S2047" s="417">
        <v>1</v>
      </c>
      <c r="T2047" s="417">
        <v>1</v>
      </c>
      <c r="U2047" s="417">
        <v>1</v>
      </c>
      <c r="V2047" s="417">
        <v>1</v>
      </c>
      <c r="W2047" s="417">
        <v>1</v>
      </c>
      <c r="X2047" s="417">
        <v>1</v>
      </c>
      <c r="Y2047" s="417">
        <v>1</v>
      </c>
      <c r="Z2047" s="417">
        <v>1</v>
      </c>
      <c r="AA2047" s="417">
        <v>1</v>
      </c>
      <c r="AB2047" s="417">
        <v>1</v>
      </c>
      <c r="AC2047" s="417">
        <v>1</v>
      </c>
      <c r="AD2047" s="417">
        <v>1</v>
      </c>
      <c r="AE2047" s="1373"/>
      <c r="AF2047" s="3768"/>
    </row>
    <row r="2048" spans="1:32">
      <c r="A2048" s="3831"/>
      <c r="B2048" s="3831"/>
      <c r="C2048" s="417">
        <v>1</v>
      </c>
      <c r="D2048" s="417">
        <v>1</v>
      </c>
      <c r="E2048" s="417">
        <v>1</v>
      </c>
      <c r="F2048" s="1333">
        <v>1</v>
      </c>
      <c r="G2048" s="1333">
        <v>1</v>
      </c>
      <c r="H2048" s="417">
        <v>1</v>
      </c>
      <c r="I2048" s="417">
        <v>1</v>
      </c>
      <c r="J2048" s="417">
        <v>1</v>
      </c>
      <c r="K2048" s="417">
        <v>1</v>
      </c>
      <c r="L2048" s="417">
        <v>1</v>
      </c>
      <c r="M2048" s="417">
        <v>1</v>
      </c>
      <c r="N2048" s="417">
        <v>1</v>
      </c>
      <c r="O2048" s="417">
        <v>1</v>
      </c>
      <c r="P2048" s="417">
        <v>1</v>
      </c>
      <c r="Q2048" s="417">
        <v>1</v>
      </c>
      <c r="R2048" s="417">
        <v>1</v>
      </c>
      <c r="S2048" s="417">
        <v>1</v>
      </c>
      <c r="T2048" s="417">
        <v>1</v>
      </c>
      <c r="U2048" s="417">
        <v>1</v>
      </c>
      <c r="V2048" s="417">
        <v>1</v>
      </c>
      <c r="W2048" s="417">
        <v>1</v>
      </c>
      <c r="X2048" s="417">
        <v>1</v>
      </c>
      <c r="Y2048" s="417">
        <v>1</v>
      </c>
      <c r="Z2048" s="417">
        <v>1</v>
      </c>
      <c r="AA2048" s="417">
        <v>1</v>
      </c>
      <c r="AB2048" s="417">
        <v>1</v>
      </c>
      <c r="AC2048" s="3784"/>
      <c r="AD2048" s="3784"/>
      <c r="AE2048" s="3784"/>
      <c r="AF2048" s="3782"/>
    </row>
    <row r="2049" spans="1:33">
      <c r="A2049" s="1288"/>
      <c r="B2049" s="1287"/>
      <c r="C2049" s="1287"/>
      <c r="D2049" s="1287"/>
      <c r="E2049" s="1287"/>
      <c r="F2049" s="1287"/>
      <c r="G2049" s="1287"/>
      <c r="H2049" s="1287"/>
      <c r="I2049" s="1287"/>
      <c r="J2049" s="1287"/>
      <c r="K2049" s="1287"/>
      <c r="L2049" s="1287"/>
      <c r="M2049" s="1287"/>
      <c r="N2049" s="1287"/>
      <c r="O2049" s="1287"/>
      <c r="P2049" s="1287"/>
      <c r="Q2049" s="1287"/>
      <c r="R2049" s="1287"/>
      <c r="S2049" s="1287"/>
      <c r="T2049" s="1287"/>
      <c r="U2049" s="1287"/>
      <c r="V2049" s="1287"/>
      <c r="W2049" s="1287"/>
      <c r="X2049" s="1287"/>
      <c r="Y2049" s="1287"/>
      <c r="Z2049" s="1287"/>
      <c r="AA2049" s="1287"/>
      <c r="AB2049" s="1287"/>
      <c r="AC2049" s="1287"/>
      <c r="AD2049" s="1287"/>
      <c r="AE2049" s="1287"/>
      <c r="AF2049" s="1289"/>
      <c r="AG2049">
        <v>65</v>
      </c>
    </row>
    <row r="2050" spans="1:33">
      <c r="A2050" s="1288"/>
      <c r="B2050" s="1287"/>
      <c r="C2050" s="1287"/>
      <c r="D2050" s="1287"/>
      <c r="E2050" s="1287"/>
      <c r="F2050" s="1287"/>
      <c r="G2050" s="1287"/>
      <c r="H2050" s="1287"/>
      <c r="I2050" s="1287"/>
      <c r="J2050" s="1287"/>
      <c r="K2050" s="1287"/>
      <c r="L2050" s="1287"/>
      <c r="M2050" s="1287"/>
      <c r="N2050" s="1287"/>
      <c r="O2050" s="1287"/>
      <c r="P2050" s="1287"/>
      <c r="Q2050" s="1287"/>
      <c r="R2050" s="1287"/>
      <c r="S2050" s="1287"/>
      <c r="T2050" s="1287"/>
      <c r="U2050" s="1287"/>
      <c r="V2050" s="1287"/>
      <c r="W2050" s="1287"/>
      <c r="X2050" s="1287"/>
      <c r="Y2050" s="1287"/>
      <c r="Z2050" s="1287"/>
      <c r="AA2050" s="1287"/>
      <c r="AB2050" s="1287"/>
      <c r="AC2050" s="1287"/>
      <c r="AD2050" s="1287"/>
      <c r="AE2050" s="1287"/>
      <c r="AF2050" s="1289"/>
    </row>
    <row r="2051" spans="1:33">
      <c r="A2051" s="1288"/>
      <c r="B2051" s="1287"/>
      <c r="C2051" s="1287"/>
      <c r="D2051" s="1287"/>
      <c r="E2051" s="1287"/>
      <c r="F2051" s="1287"/>
      <c r="G2051" s="1287"/>
      <c r="H2051" s="1287"/>
      <c r="I2051" s="1287"/>
      <c r="J2051" s="1287"/>
      <c r="K2051" s="1287"/>
      <c r="L2051" s="1287"/>
      <c r="M2051" s="1287"/>
      <c r="N2051" s="422">
        <v>19.18</v>
      </c>
      <c r="O2051" s="422">
        <v>19.18</v>
      </c>
      <c r="P2051" s="422">
        <v>19.18</v>
      </c>
      <c r="Q2051" s="422">
        <v>19.18</v>
      </c>
      <c r="R2051" s="1287"/>
      <c r="S2051" s="1287"/>
      <c r="T2051" s="1287"/>
      <c r="U2051" s="1287"/>
      <c r="V2051" s="1287"/>
      <c r="W2051" s="1287"/>
      <c r="X2051" s="1287"/>
      <c r="Y2051" s="1287"/>
      <c r="Z2051" s="1287"/>
      <c r="AA2051" s="1287"/>
      <c r="AB2051" s="1287"/>
      <c r="AC2051" s="1287"/>
      <c r="AD2051" s="1287"/>
      <c r="AE2051" s="1287"/>
      <c r="AF2051" s="1289"/>
    </row>
    <row r="2052" spans="1:33">
      <c r="A2052" s="1288"/>
      <c r="B2052" s="1287"/>
      <c r="C2052" s="1287"/>
      <c r="D2052" s="1287"/>
      <c r="E2052" s="1287"/>
      <c r="F2052" s="1287"/>
      <c r="G2052" s="1287"/>
      <c r="H2052" s="1287"/>
      <c r="I2052" s="1287"/>
      <c r="J2052" s="422">
        <v>19.18</v>
      </c>
      <c r="K2052" s="422">
        <v>19.18</v>
      </c>
      <c r="L2052" s="422">
        <v>19.170000000000002</v>
      </c>
      <c r="M2052" s="422">
        <v>19.170000000000002</v>
      </c>
      <c r="N2052" s="426">
        <v>20.16</v>
      </c>
      <c r="O2052" s="426">
        <v>20.170000000000002</v>
      </c>
      <c r="P2052" s="426">
        <v>20.170000000000002</v>
      </c>
      <c r="Q2052" s="426">
        <v>20.170000000000002</v>
      </c>
      <c r="R2052" s="422">
        <v>19.18</v>
      </c>
      <c r="S2052" s="422">
        <v>19.18</v>
      </c>
      <c r="T2052" s="1287"/>
      <c r="U2052" s="1287"/>
      <c r="V2052" s="422">
        <v>19.18</v>
      </c>
      <c r="W2052" s="422">
        <v>19.18</v>
      </c>
      <c r="X2052" s="1287"/>
      <c r="Y2052" s="1287"/>
      <c r="Z2052" s="1287"/>
      <c r="AA2052" s="1287"/>
      <c r="AB2052" s="1287"/>
      <c r="AC2052" s="1287"/>
      <c r="AD2052" s="1287"/>
      <c r="AE2052" s="1287"/>
      <c r="AF2052" s="1289"/>
    </row>
    <row r="2053" spans="1:33">
      <c r="A2053" s="1288"/>
      <c r="B2053" s="1287"/>
      <c r="C2053" s="1287"/>
      <c r="D2053" s="1287"/>
      <c r="E2053" s="1287"/>
      <c r="F2053" s="1287"/>
      <c r="G2053" s="1287"/>
      <c r="H2053" s="1287"/>
      <c r="I2053" s="422">
        <v>19.170000000000002</v>
      </c>
      <c r="J2053" s="426">
        <v>20.170000000000002</v>
      </c>
      <c r="K2053" s="426">
        <v>20.16</v>
      </c>
      <c r="L2053" s="426">
        <v>20.16</v>
      </c>
      <c r="M2053" s="426">
        <v>20.16</v>
      </c>
      <c r="N2053" s="426">
        <v>20.16</v>
      </c>
      <c r="O2053" s="426">
        <v>20.16</v>
      </c>
      <c r="P2053" s="426">
        <v>20.149999999999999</v>
      </c>
      <c r="Q2053" s="417">
        <v>20.16</v>
      </c>
      <c r="R2053" s="426">
        <v>20.16</v>
      </c>
      <c r="S2053" s="426">
        <v>20.16</v>
      </c>
      <c r="T2053" s="422">
        <v>19.18</v>
      </c>
      <c r="U2053" s="422">
        <v>19.170000000000002</v>
      </c>
      <c r="V2053" s="422">
        <v>20.170000000000002</v>
      </c>
      <c r="W2053" s="422">
        <v>20.170000000000002</v>
      </c>
      <c r="X2053" s="417">
        <v>19.18</v>
      </c>
      <c r="Y2053" s="1287"/>
      <c r="Z2053" s="1287"/>
      <c r="AA2053" s="1287"/>
      <c r="AB2053" s="1287"/>
      <c r="AC2053" s="1287"/>
      <c r="AD2053" s="1287"/>
      <c r="AE2053" s="1287"/>
      <c r="AF2053" s="1289"/>
      <c r="AG2053">
        <v>1</v>
      </c>
    </row>
    <row r="2054" spans="1:33">
      <c r="A2054" s="1288"/>
      <c r="B2054" s="1287"/>
      <c r="C2054" s="1287"/>
      <c r="D2054" s="1287"/>
      <c r="E2054" s="1287"/>
      <c r="F2054" s="422">
        <v>19.18</v>
      </c>
      <c r="G2054" s="422">
        <v>19.170000000000002</v>
      </c>
      <c r="H2054" s="422">
        <v>19.170000000000002</v>
      </c>
      <c r="I2054" s="426">
        <v>20.16</v>
      </c>
      <c r="J2054" s="426">
        <v>20.16</v>
      </c>
      <c r="K2054" s="426">
        <v>20.16</v>
      </c>
      <c r="L2054" s="417">
        <v>20.149999999999999</v>
      </c>
      <c r="M2054" s="417">
        <v>20.149999999999999</v>
      </c>
      <c r="N2054" s="426">
        <v>20.149999999999999</v>
      </c>
      <c r="O2054" s="426">
        <v>20.149999999999999</v>
      </c>
      <c r="P2054" s="426">
        <v>20.14</v>
      </c>
      <c r="Q2054" s="422">
        <v>20.149999999999999</v>
      </c>
      <c r="R2054" s="426">
        <v>20.16</v>
      </c>
      <c r="S2054" s="426">
        <v>20.149999999999999</v>
      </c>
      <c r="T2054" s="426">
        <v>20.149999999999999</v>
      </c>
      <c r="U2054" s="426">
        <v>20.16</v>
      </c>
      <c r="V2054" s="426">
        <v>20.16</v>
      </c>
      <c r="W2054" s="426">
        <v>20.16</v>
      </c>
      <c r="X2054" s="422">
        <v>20.170000000000002</v>
      </c>
      <c r="Y2054" s="417">
        <v>19.170000000000002</v>
      </c>
      <c r="Z2054" s="417">
        <v>19.170000000000002</v>
      </c>
      <c r="AA2054" s="1287"/>
      <c r="AB2054" s="1287"/>
      <c r="AC2054" s="1287"/>
      <c r="AD2054" s="1287"/>
      <c r="AE2054" s="1287"/>
      <c r="AF2054" s="1289"/>
    </row>
    <row r="2055" spans="1:33">
      <c r="A2055" s="1288"/>
      <c r="B2055" s="1287"/>
      <c r="C2055" s="1287"/>
      <c r="D2055" s="1287"/>
      <c r="E2055" s="1287"/>
      <c r="F2055" s="422">
        <v>19.170000000000002</v>
      </c>
      <c r="G2055" s="426">
        <v>20.170000000000002</v>
      </c>
      <c r="H2055" s="426">
        <v>20.16</v>
      </c>
      <c r="I2055" s="426">
        <v>20.16</v>
      </c>
      <c r="J2055" s="426">
        <v>20.149999999999999</v>
      </c>
      <c r="K2055" s="426">
        <v>20.149999999999999</v>
      </c>
      <c r="L2055" s="426">
        <v>20.14</v>
      </c>
      <c r="M2055" s="426">
        <v>20.14</v>
      </c>
      <c r="N2055" s="426">
        <v>20.14</v>
      </c>
      <c r="O2055" s="426">
        <v>20.14</v>
      </c>
      <c r="P2055" s="426">
        <v>20.14</v>
      </c>
      <c r="Q2055" s="426">
        <v>20.14</v>
      </c>
      <c r="R2055" s="426">
        <v>20.14</v>
      </c>
      <c r="S2055" s="426">
        <v>20.14</v>
      </c>
      <c r="T2055" s="426">
        <v>20.149999999999999</v>
      </c>
      <c r="U2055" s="422">
        <v>20.149999999999999</v>
      </c>
      <c r="V2055" s="417">
        <v>20.149999999999999</v>
      </c>
      <c r="W2055" s="426">
        <v>20.16</v>
      </c>
      <c r="X2055" s="426">
        <v>20.16</v>
      </c>
      <c r="Y2055" s="426">
        <v>20.16</v>
      </c>
      <c r="Z2055" s="422">
        <v>20.170000000000002</v>
      </c>
      <c r="AA2055" s="417">
        <v>19.170000000000002</v>
      </c>
      <c r="AB2055" s="1287"/>
      <c r="AC2055" s="1287"/>
      <c r="AD2055" s="1287"/>
      <c r="AE2055" s="1287"/>
      <c r="AF2055" s="1289"/>
    </row>
    <row r="2056" spans="1:33">
      <c r="A2056" s="1288"/>
      <c r="B2056" s="1287"/>
      <c r="C2056" s="1287"/>
      <c r="D2056" s="1287"/>
      <c r="E2056" s="422">
        <v>19.18</v>
      </c>
      <c r="F2056" s="426">
        <v>20.16</v>
      </c>
      <c r="G2056" s="426">
        <v>20.16</v>
      </c>
      <c r="H2056" s="433">
        <v>20.149999999999999</v>
      </c>
      <c r="I2056" s="426">
        <v>20.149999999999999</v>
      </c>
      <c r="J2056" s="426">
        <v>20.14</v>
      </c>
      <c r="K2056" s="426">
        <v>20.14</v>
      </c>
      <c r="L2056" s="426">
        <v>20.14</v>
      </c>
      <c r="M2056" s="426">
        <v>20.13</v>
      </c>
      <c r="N2056" s="426">
        <v>20.14</v>
      </c>
      <c r="O2056" s="426">
        <v>20.14</v>
      </c>
      <c r="P2056" s="422">
        <v>20.13</v>
      </c>
      <c r="Q2056" s="426">
        <v>20.14</v>
      </c>
      <c r="R2056" s="426">
        <v>20.14</v>
      </c>
      <c r="S2056" s="426">
        <v>20.14</v>
      </c>
      <c r="T2056" s="422">
        <v>20.14</v>
      </c>
      <c r="U2056" s="433">
        <v>20.14</v>
      </c>
      <c r="V2056" s="426">
        <v>20.149999999999999</v>
      </c>
      <c r="W2056" s="426">
        <v>20.149999999999999</v>
      </c>
      <c r="X2056" s="417">
        <v>20.16</v>
      </c>
      <c r="Y2056" s="426">
        <v>20.16</v>
      </c>
      <c r="Z2056" s="422">
        <v>20.170000000000002</v>
      </c>
      <c r="AA2056" s="417">
        <v>19.170000000000002</v>
      </c>
      <c r="AB2056" s="1287"/>
      <c r="AC2056" s="1287"/>
      <c r="AD2056" s="1287"/>
      <c r="AE2056" s="1287"/>
      <c r="AF2056" s="1289"/>
    </row>
    <row r="2057" spans="1:33">
      <c r="A2057" s="1288"/>
      <c r="B2057" s="1287"/>
      <c r="C2057" s="1287"/>
      <c r="D2057" s="422">
        <v>19.18</v>
      </c>
      <c r="E2057" s="426">
        <v>20.170000000000002</v>
      </c>
      <c r="F2057" s="417">
        <v>20.16</v>
      </c>
      <c r="G2057" s="426">
        <v>20.149999999999999</v>
      </c>
      <c r="H2057" s="426">
        <v>20.149999999999999</v>
      </c>
      <c r="I2057" s="426">
        <v>20.14</v>
      </c>
      <c r="J2057" s="417">
        <v>20.14</v>
      </c>
      <c r="K2057" s="422">
        <v>20.14</v>
      </c>
      <c r="L2057" s="426">
        <v>20.13</v>
      </c>
      <c r="M2057" s="426">
        <v>20.12</v>
      </c>
      <c r="N2057" s="426">
        <v>20.13</v>
      </c>
      <c r="O2057" s="433">
        <v>20.13</v>
      </c>
      <c r="P2057" s="422">
        <v>20.13</v>
      </c>
      <c r="Q2057" s="426">
        <v>20.13</v>
      </c>
      <c r="R2057" s="426">
        <v>20.13</v>
      </c>
      <c r="S2057" s="426">
        <v>20.13</v>
      </c>
      <c r="T2057" s="422">
        <v>20.13</v>
      </c>
      <c r="U2057" s="426">
        <v>20.14</v>
      </c>
      <c r="V2057" s="426">
        <v>20.14</v>
      </c>
      <c r="W2057" s="422">
        <v>20.149999999999999</v>
      </c>
      <c r="X2057" s="422">
        <v>20.149999999999999</v>
      </c>
      <c r="Y2057" s="417">
        <v>20.16</v>
      </c>
      <c r="Z2057" s="426">
        <v>20.16</v>
      </c>
      <c r="AA2057" s="422">
        <v>20.170000000000002</v>
      </c>
      <c r="AB2057" s="417">
        <v>19.18</v>
      </c>
      <c r="AC2057" s="1287"/>
      <c r="AD2057" s="1287"/>
      <c r="AE2057" s="1287"/>
      <c r="AF2057" s="1289"/>
    </row>
    <row r="2058" spans="1:33">
      <c r="A2058" s="1288"/>
      <c r="B2058" s="1287"/>
      <c r="C2058" s="1287"/>
      <c r="D2058" s="422">
        <v>19.18</v>
      </c>
      <c r="E2058" s="426">
        <v>20.16</v>
      </c>
      <c r="F2058" s="426">
        <v>20.16</v>
      </c>
      <c r="G2058" s="426">
        <v>20.149999999999999</v>
      </c>
      <c r="H2058" s="426">
        <v>20.14</v>
      </c>
      <c r="I2058" s="426">
        <v>20.14</v>
      </c>
      <c r="J2058" s="426">
        <v>20.13</v>
      </c>
      <c r="K2058" s="426">
        <v>20.13</v>
      </c>
      <c r="L2058" s="426">
        <v>20.13</v>
      </c>
      <c r="M2058" s="426">
        <v>20.11</v>
      </c>
      <c r="N2058" s="426">
        <v>20.12</v>
      </c>
      <c r="O2058" s="422">
        <v>20.12</v>
      </c>
      <c r="P2058" s="433">
        <v>20.12</v>
      </c>
      <c r="Q2058" s="422">
        <v>20.13</v>
      </c>
      <c r="R2058" s="426">
        <v>20.12</v>
      </c>
      <c r="S2058" s="426">
        <v>20.12</v>
      </c>
      <c r="T2058" s="426">
        <v>20.13</v>
      </c>
      <c r="U2058" s="417">
        <v>20.13</v>
      </c>
      <c r="V2058" s="426">
        <v>20.14</v>
      </c>
      <c r="W2058" s="422">
        <v>20.14</v>
      </c>
      <c r="X2058" s="426">
        <v>20.149999999999999</v>
      </c>
      <c r="Y2058" s="426">
        <v>20.149999999999999</v>
      </c>
      <c r="Z2058" s="426">
        <v>20.16</v>
      </c>
      <c r="AA2058" s="426">
        <v>20.170000000000002</v>
      </c>
      <c r="AB2058" s="422">
        <v>20.170000000000002</v>
      </c>
      <c r="AC2058" s="417">
        <v>19.18</v>
      </c>
      <c r="AD2058" s="1287"/>
      <c r="AE2058" s="1287"/>
      <c r="AF2058" s="1289"/>
    </row>
    <row r="2059" spans="1:33">
      <c r="A2059" s="1288"/>
      <c r="B2059" s="1287"/>
      <c r="C2059" s="422">
        <v>19.190000000000001</v>
      </c>
      <c r="D2059" s="426">
        <v>20.18</v>
      </c>
      <c r="E2059" s="417">
        <v>20.170000000000002</v>
      </c>
      <c r="F2059" s="426">
        <v>20.16</v>
      </c>
      <c r="G2059" s="426">
        <v>20.149999999999999</v>
      </c>
      <c r="H2059" s="422">
        <v>20.14</v>
      </c>
      <c r="I2059" s="422">
        <v>20.14</v>
      </c>
      <c r="J2059" s="426">
        <v>20.13</v>
      </c>
      <c r="K2059" s="426">
        <v>20.12</v>
      </c>
      <c r="L2059" s="426">
        <v>20.12</v>
      </c>
      <c r="M2059" s="426">
        <v>20.100000000000001</v>
      </c>
      <c r="N2059" s="433">
        <v>20.100000000000001</v>
      </c>
      <c r="O2059" s="422">
        <v>20.100000000000001</v>
      </c>
      <c r="P2059" s="426">
        <v>20.12</v>
      </c>
      <c r="Q2059" s="422">
        <v>20.12</v>
      </c>
      <c r="R2059" s="426">
        <v>20.11</v>
      </c>
      <c r="S2059" s="426">
        <v>20.11</v>
      </c>
      <c r="T2059" s="426">
        <v>20.12</v>
      </c>
      <c r="U2059" s="426">
        <v>20.13</v>
      </c>
      <c r="V2059" s="426">
        <v>20.13</v>
      </c>
      <c r="W2059" s="426">
        <v>20.14</v>
      </c>
      <c r="X2059" s="426">
        <v>20.14</v>
      </c>
      <c r="Y2059" s="426">
        <v>20.149999999999999</v>
      </c>
      <c r="Z2059" s="426">
        <v>20.16</v>
      </c>
      <c r="AA2059" s="422">
        <v>20.170000000000002</v>
      </c>
      <c r="AB2059" s="417">
        <v>19.170000000000002</v>
      </c>
      <c r="AC2059" s="1287"/>
      <c r="AD2059" s="1287"/>
      <c r="AE2059" s="1287"/>
      <c r="AF2059" s="1289"/>
    </row>
    <row r="2060" spans="1:33">
      <c r="A2060" s="1288"/>
      <c r="B2060" s="1287"/>
      <c r="C2060" s="422">
        <v>19.190000000000001</v>
      </c>
      <c r="D2060" s="426">
        <v>20.170000000000002</v>
      </c>
      <c r="E2060" s="417">
        <v>20.16</v>
      </c>
      <c r="F2060" s="426">
        <v>20.149999999999999</v>
      </c>
      <c r="G2060" s="426">
        <v>20.14</v>
      </c>
      <c r="H2060" s="426">
        <v>20.14</v>
      </c>
      <c r="I2060" s="426">
        <v>20.13</v>
      </c>
      <c r="J2060" s="426">
        <v>20.12</v>
      </c>
      <c r="K2060" s="426">
        <v>20.11</v>
      </c>
      <c r="L2060" s="426">
        <v>20.100000000000001</v>
      </c>
      <c r="M2060" s="426">
        <v>20.079999999999998</v>
      </c>
      <c r="N2060" s="422">
        <v>20.079999999999998</v>
      </c>
      <c r="O2060" s="426">
        <v>20.079999999999998</v>
      </c>
      <c r="P2060" s="426">
        <v>20.11</v>
      </c>
      <c r="Q2060" s="433">
        <v>20.100000000000001</v>
      </c>
      <c r="R2060" s="422">
        <v>20.09</v>
      </c>
      <c r="S2060" s="426">
        <v>20.100000000000001</v>
      </c>
      <c r="T2060" s="426">
        <v>20.12</v>
      </c>
      <c r="U2060" s="426">
        <v>20.12</v>
      </c>
      <c r="V2060" s="426">
        <v>20.12</v>
      </c>
      <c r="W2060" s="426">
        <v>20.13</v>
      </c>
      <c r="X2060" s="426">
        <v>20.14</v>
      </c>
      <c r="Y2060" s="433">
        <v>20.149999999999999</v>
      </c>
      <c r="Z2060" s="426">
        <v>20.16</v>
      </c>
      <c r="AA2060" s="422">
        <v>20.170000000000002</v>
      </c>
      <c r="AB2060" s="417">
        <v>19.170000000000002</v>
      </c>
      <c r="AC2060" s="1287"/>
      <c r="AD2060" s="1287"/>
      <c r="AE2060" s="1287"/>
      <c r="AF2060" s="1289"/>
    </row>
    <row r="2061" spans="1:33">
      <c r="A2061" s="1288"/>
      <c r="B2061" s="1287"/>
      <c r="C2061" s="1287"/>
      <c r="D2061" s="422">
        <v>19.18</v>
      </c>
      <c r="E2061" s="426">
        <v>20.16</v>
      </c>
      <c r="F2061" s="426">
        <v>20.149999999999999</v>
      </c>
      <c r="G2061" s="426">
        <v>20.13</v>
      </c>
      <c r="H2061" s="426">
        <v>20.12</v>
      </c>
      <c r="I2061" s="426">
        <v>20.11</v>
      </c>
      <c r="J2061" s="426">
        <v>20.11</v>
      </c>
      <c r="K2061" s="426">
        <v>20.100000000000001</v>
      </c>
      <c r="L2061" s="426">
        <v>20.079999999999998</v>
      </c>
      <c r="M2061" s="433">
        <v>20.07</v>
      </c>
      <c r="N2061" s="422">
        <v>20.059999999999999</v>
      </c>
      <c r="O2061" s="426">
        <v>20.059999999999999</v>
      </c>
      <c r="P2061" s="426">
        <v>20.100000000000001</v>
      </c>
      <c r="Q2061" s="426">
        <v>20.079999999999998</v>
      </c>
      <c r="R2061" s="422">
        <v>20.079999999999998</v>
      </c>
      <c r="S2061" s="426">
        <v>20.09</v>
      </c>
      <c r="T2061" s="426">
        <v>20.11</v>
      </c>
      <c r="U2061" s="426">
        <v>20.12</v>
      </c>
      <c r="V2061" s="426">
        <v>20.12</v>
      </c>
      <c r="W2061" s="426">
        <v>20.13</v>
      </c>
      <c r="X2061" s="426">
        <v>20.13</v>
      </c>
      <c r="Y2061" s="426">
        <v>20.14</v>
      </c>
      <c r="Z2061" s="426">
        <v>20.149999999999999</v>
      </c>
      <c r="AA2061" s="426">
        <v>20.16</v>
      </c>
      <c r="AB2061" s="422">
        <v>20.170000000000002</v>
      </c>
      <c r="AC2061" s="417">
        <v>19.170000000000002</v>
      </c>
      <c r="AD2061" s="1287"/>
      <c r="AE2061" s="1287"/>
      <c r="AF2061" s="1289"/>
    </row>
    <row r="2062" spans="1:33">
      <c r="A2062" s="1288"/>
      <c r="B2062" s="1287"/>
      <c r="C2062" s="1287"/>
      <c r="D2062" s="422">
        <v>19.18</v>
      </c>
      <c r="E2062" s="426">
        <v>20.16</v>
      </c>
      <c r="F2062" s="426">
        <v>20.149999999999999</v>
      </c>
      <c r="G2062" s="433">
        <v>20.14</v>
      </c>
      <c r="H2062" s="422">
        <v>20.13</v>
      </c>
      <c r="I2062" s="422">
        <v>20.12</v>
      </c>
      <c r="J2062" s="422">
        <v>20.100000000000001</v>
      </c>
      <c r="K2062" s="422">
        <v>20.079999999999998</v>
      </c>
      <c r="L2062" s="422">
        <v>20.059999999999999</v>
      </c>
      <c r="M2062" s="417">
        <v>20.05</v>
      </c>
      <c r="N2062" s="417">
        <v>20.04</v>
      </c>
      <c r="O2062" s="422">
        <v>20.03</v>
      </c>
      <c r="P2062" s="422">
        <v>20.079999999999998</v>
      </c>
      <c r="Q2062" s="422">
        <v>20.059999999999999</v>
      </c>
      <c r="R2062" s="422">
        <v>20.07</v>
      </c>
      <c r="S2062" s="417">
        <v>20.079999999999998</v>
      </c>
      <c r="T2062" s="417">
        <v>20.100000000000001</v>
      </c>
      <c r="U2062" s="422">
        <v>20.11</v>
      </c>
      <c r="V2062" s="422">
        <v>20.12</v>
      </c>
      <c r="W2062" s="422">
        <v>20.13</v>
      </c>
      <c r="X2062" s="422">
        <v>20.13</v>
      </c>
      <c r="Y2062" s="426">
        <v>20.14</v>
      </c>
      <c r="Z2062" s="426">
        <v>20.14</v>
      </c>
      <c r="AA2062" s="426">
        <v>20.149999999999999</v>
      </c>
      <c r="AB2062" s="422">
        <v>20.170000000000002</v>
      </c>
      <c r="AC2062" s="417">
        <v>19.170000000000002</v>
      </c>
      <c r="AD2062" s="1287"/>
      <c r="AE2062" s="1287"/>
      <c r="AF2062" s="1289"/>
      <c r="AG2062">
        <v>18</v>
      </c>
    </row>
    <row r="2063" spans="1:33">
      <c r="A2063" s="1288"/>
      <c r="B2063" s="1287"/>
      <c r="C2063" s="422">
        <v>19.18</v>
      </c>
      <c r="D2063" s="426">
        <v>20.16</v>
      </c>
      <c r="E2063" s="426">
        <v>20.16</v>
      </c>
      <c r="F2063" s="426">
        <v>20.149999999999999</v>
      </c>
      <c r="G2063" s="426">
        <v>20.14</v>
      </c>
      <c r="H2063" s="433">
        <v>20.13</v>
      </c>
      <c r="I2063" s="422">
        <v>20.13</v>
      </c>
      <c r="J2063" s="422">
        <v>20.100000000000001</v>
      </c>
      <c r="K2063" s="426">
        <v>20.07</v>
      </c>
      <c r="L2063" s="433">
        <v>20.04</v>
      </c>
      <c r="M2063" s="422">
        <v>20.02</v>
      </c>
      <c r="N2063" s="426">
        <v>20.010000000000002</v>
      </c>
      <c r="O2063" s="426">
        <v>20.02</v>
      </c>
      <c r="P2063" s="426">
        <v>20.059999999999999</v>
      </c>
      <c r="Q2063" s="426">
        <v>20.04</v>
      </c>
      <c r="R2063" s="433">
        <v>20.059999999999999</v>
      </c>
      <c r="S2063" s="422">
        <v>20.079999999999998</v>
      </c>
      <c r="T2063" s="426">
        <v>20.100000000000001</v>
      </c>
      <c r="U2063" s="433">
        <v>20.11</v>
      </c>
      <c r="V2063" s="422">
        <v>20.12</v>
      </c>
      <c r="W2063" s="417">
        <v>20.13</v>
      </c>
      <c r="X2063" s="426">
        <v>20.13</v>
      </c>
      <c r="Y2063" s="426">
        <v>20.14</v>
      </c>
      <c r="Z2063" s="426">
        <v>20.14</v>
      </c>
      <c r="AA2063" s="426">
        <v>20.149999999999999</v>
      </c>
      <c r="AB2063" s="426">
        <v>20.16</v>
      </c>
      <c r="AC2063" s="422">
        <v>20.170000000000002</v>
      </c>
      <c r="AD2063" s="417">
        <v>19.18</v>
      </c>
      <c r="AE2063" s="1287"/>
      <c r="AF2063" s="1289"/>
    </row>
    <row r="2064" spans="1:33">
      <c r="A2064" s="1288"/>
      <c r="B2064" s="422">
        <v>19.18</v>
      </c>
      <c r="C2064" s="426">
        <v>20.170000000000002</v>
      </c>
      <c r="D2064" s="417">
        <v>20.149999999999999</v>
      </c>
      <c r="E2064" s="417">
        <v>20.16</v>
      </c>
      <c r="F2064" s="426">
        <v>20.149999999999999</v>
      </c>
      <c r="G2064" s="426">
        <v>20.14</v>
      </c>
      <c r="H2064" s="426">
        <v>20.14</v>
      </c>
      <c r="I2064" s="426">
        <v>20.12</v>
      </c>
      <c r="J2064" s="426">
        <v>20.100000000000001</v>
      </c>
      <c r="K2064" s="422">
        <v>20.079999999999998</v>
      </c>
      <c r="L2064" s="417">
        <v>20.059999999999999</v>
      </c>
      <c r="M2064" s="426">
        <v>20.04</v>
      </c>
      <c r="N2064" s="426">
        <v>20.02</v>
      </c>
      <c r="O2064" s="426">
        <v>20.010000000000002</v>
      </c>
      <c r="P2064" s="426">
        <v>20.03</v>
      </c>
      <c r="Q2064" s="426">
        <v>20.03</v>
      </c>
      <c r="R2064" s="426">
        <v>20.059999999999999</v>
      </c>
      <c r="S2064" s="433">
        <v>20.079999999999998</v>
      </c>
      <c r="T2064" s="417">
        <v>20.100000000000001</v>
      </c>
      <c r="U2064" s="422">
        <v>20.11</v>
      </c>
      <c r="V2064" s="426">
        <v>20.12</v>
      </c>
      <c r="W2064" s="426">
        <v>20.12</v>
      </c>
      <c r="X2064" s="426">
        <v>20.13</v>
      </c>
      <c r="Y2064" s="426">
        <v>20.13</v>
      </c>
      <c r="Z2064" s="422">
        <v>20.14</v>
      </c>
      <c r="AA2064" s="417">
        <v>20.149999999999999</v>
      </c>
      <c r="AB2064" s="426">
        <v>20.16</v>
      </c>
      <c r="AC2064" s="422">
        <v>20.170000000000002</v>
      </c>
      <c r="AD2064" s="417">
        <v>19.18</v>
      </c>
      <c r="AE2064" s="1287"/>
      <c r="AF2064" s="1289"/>
    </row>
    <row r="2065" spans="1:32">
      <c r="A2065" s="1288"/>
      <c r="B2065" s="422">
        <v>19.18</v>
      </c>
      <c r="C2065" s="426">
        <v>20.170000000000002</v>
      </c>
      <c r="D2065" s="426">
        <v>20.16</v>
      </c>
      <c r="E2065" s="426">
        <v>20.149999999999999</v>
      </c>
      <c r="F2065" s="426">
        <v>20.14</v>
      </c>
      <c r="G2065" s="426">
        <v>20.14</v>
      </c>
      <c r="H2065" s="426">
        <v>20.13</v>
      </c>
      <c r="I2065" s="426">
        <v>20.13</v>
      </c>
      <c r="J2065" s="426">
        <v>20.12</v>
      </c>
      <c r="K2065" s="433">
        <v>20.11</v>
      </c>
      <c r="L2065" s="417">
        <v>20.09</v>
      </c>
      <c r="M2065" s="422">
        <v>20.07</v>
      </c>
      <c r="N2065" s="426">
        <v>20.04</v>
      </c>
      <c r="O2065" s="426">
        <v>20.02</v>
      </c>
      <c r="P2065" s="426">
        <v>20</v>
      </c>
      <c r="Q2065" s="426">
        <v>20.03</v>
      </c>
      <c r="R2065" s="433">
        <v>20.05</v>
      </c>
      <c r="S2065" s="422">
        <v>20.07</v>
      </c>
      <c r="T2065" s="417">
        <v>20.09</v>
      </c>
      <c r="U2065" s="426">
        <v>20.11</v>
      </c>
      <c r="V2065" s="426">
        <v>20.11</v>
      </c>
      <c r="W2065" s="426">
        <v>20.12</v>
      </c>
      <c r="X2065" s="426">
        <v>20.13</v>
      </c>
      <c r="Y2065" s="426">
        <v>20.14</v>
      </c>
      <c r="Z2065" s="426">
        <v>20.14</v>
      </c>
      <c r="AA2065" s="426">
        <v>20.149999999999999</v>
      </c>
      <c r="AB2065" s="422">
        <v>20.170000000000002</v>
      </c>
      <c r="AC2065" s="417">
        <v>19.170000000000002</v>
      </c>
      <c r="AD2065" s="1287"/>
      <c r="AE2065" s="1287"/>
      <c r="AF2065" s="1289"/>
    </row>
    <row r="2066" spans="1:32">
      <c r="A2066" s="1288"/>
      <c r="B2066" s="1287"/>
      <c r="C2066" s="422">
        <v>19.170000000000002</v>
      </c>
      <c r="D2066" s="426">
        <v>20.16</v>
      </c>
      <c r="E2066" s="426">
        <v>20.149999999999999</v>
      </c>
      <c r="F2066" s="426">
        <v>20.14</v>
      </c>
      <c r="G2066" s="426">
        <v>20.14</v>
      </c>
      <c r="H2066" s="426">
        <v>20.13</v>
      </c>
      <c r="I2066" s="426">
        <v>20.13</v>
      </c>
      <c r="J2066" s="426">
        <v>20.12</v>
      </c>
      <c r="K2066" s="422">
        <v>20.11</v>
      </c>
      <c r="L2066" s="426">
        <v>20.09</v>
      </c>
      <c r="M2066" s="426">
        <v>20.07</v>
      </c>
      <c r="N2066" s="422">
        <v>20.05</v>
      </c>
      <c r="O2066" s="422">
        <v>20.03</v>
      </c>
      <c r="P2066" s="433">
        <v>20.02</v>
      </c>
      <c r="Q2066" s="422">
        <v>20.04</v>
      </c>
      <c r="R2066" s="422">
        <v>20.059999999999999</v>
      </c>
      <c r="S2066" s="426">
        <v>20.079999999999998</v>
      </c>
      <c r="T2066" s="433">
        <v>20.100000000000001</v>
      </c>
      <c r="U2066" s="422">
        <v>20.11</v>
      </c>
      <c r="V2066" s="426">
        <v>20.12</v>
      </c>
      <c r="W2066" s="426">
        <v>20.12</v>
      </c>
      <c r="X2066" s="426">
        <v>20.13</v>
      </c>
      <c r="Y2066" s="426">
        <v>20.13</v>
      </c>
      <c r="Z2066" s="426">
        <v>20.14</v>
      </c>
      <c r="AA2066" s="426">
        <v>20.16</v>
      </c>
      <c r="AB2066" s="422">
        <v>20.170000000000002</v>
      </c>
      <c r="AC2066" s="417">
        <v>19.170000000000002</v>
      </c>
      <c r="AD2066" s="1287"/>
      <c r="AE2066" s="1287"/>
      <c r="AF2066" s="1289"/>
    </row>
    <row r="2067" spans="1:32">
      <c r="A2067" s="1288"/>
      <c r="B2067" s="1287"/>
      <c r="C2067" s="422">
        <v>19.170000000000002</v>
      </c>
      <c r="D2067" s="426">
        <v>20.16</v>
      </c>
      <c r="E2067" s="417">
        <v>20.149999999999999</v>
      </c>
      <c r="F2067" s="422">
        <v>20.14</v>
      </c>
      <c r="G2067" s="426">
        <v>20.14</v>
      </c>
      <c r="H2067" s="426">
        <v>20.13</v>
      </c>
      <c r="I2067" s="426">
        <v>20.13</v>
      </c>
      <c r="J2067" s="433">
        <v>20.12</v>
      </c>
      <c r="K2067" s="422">
        <v>20.11</v>
      </c>
      <c r="L2067" s="426">
        <v>20.09</v>
      </c>
      <c r="M2067" s="426">
        <v>20.079999999999998</v>
      </c>
      <c r="N2067" s="433">
        <v>20.07</v>
      </c>
      <c r="O2067" s="422">
        <v>20.05</v>
      </c>
      <c r="P2067" s="422">
        <v>20.04</v>
      </c>
      <c r="Q2067" s="422">
        <v>20.07</v>
      </c>
      <c r="R2067" s="426">
        <v>20.07</v>
      </c>
      <c r="S2067" s="426">
        <v>20.079999999999998</v>
      </c>
      <c r="T2067" s="426">
        <v>20.09</v>
      </c>
      <c r="U2067" s="422">
        <v>20.100000000000001</v>
      </c>
      <c r="V2067" s="426">
        <v>20.11</v>
      </c>
      <c r="W2067" s="426">
        <v>20.12</v>
      </c>
      <c r="X2067" s="422">
        <v>20.13</v>
      </c>
      <c r="Y2067" s="417">
        <v>20.14</v>
      </c>
      <c r="Z2067" s="426">
        <v>20.149999999999999</v>
      </c>
      <c r="AA2067" s="422">
        <v>20.170000000000002</v>
      </c>
      <c r="AB2067" s="417">
        <v>19.170000000000002</v>
      </c>
      <c r="AC2067" s="1287"/>
      <c r="AD2067" s="1287"/>
      <c r="AE2067" s="1287"/>
      <c r="AF2067" s="1289"/>
    </row>
    <row r="2068" spans="1:32">
      <c r="A2068" s="1288"/>
      <c r="B2068" s="422">
        <v>19.18</v>
      </c>
      <c r="C2068" s="426">
        <v>20.170000000000002</v>
      </c>
      <c r="D2068" s="426">
        <v>20.16</v>
      </c>
      <c r="E2068" s="426">
        <v>20.149999999999999</v>
      </c>
      <c r="F2068" s="426">
        <v>20.149999999999999</v>
      </c>
      <c r="G2068" s="426">
        <v>20.14</v>
      </c>
      <c r="H2068" s="426">
        <v>20.14</v>
      </c>
      <c r="I2068" s="426">
        <v>20.13</v>
      </c>
      <c r="J2068" s="422">
        <v>20.13</v>
      </c>
      <c r="K2068" s="426">
        <v>20.12</v>
      </c>
      <c r="L2068" s="433">
        <v>20.11</v>
      </c>
      <c r="M2068" s="422">
        <v>20.09</v>
      </c>
      <c r="N2068" s="422">
        <v>20.079999999999998</v>
      </c>
      <c r="O2068" s="426">
        <v>20.07</v>
      </c>
      <c r="P2068" s="426">
        <v>20.059999999999999</v>
      </c>
      <c r="Q2068" s="426">
        <v>20.09</v>
      </c>
      <c r="R2068" s="422">
        <v>20.079999999999998</v>
      </c>
      <c r="S2068" s="422">
        <v>20.09</v>
      </c>
      <c r="T2068" s="426">
        <v>20.100000000000001</v>
      </c>
      <c r="U2068" s="433">
        <v>20.11</v>
      </c>
      <c r="V2068" s="422">
        <v>20.12</v>
      </c>
      <c r="W2068" s="426">
        <v>20.13</v>
      </c>
      <c r="X2068" s="426">
        <v>20.14</v>
      </c>
      <c r="Y2068" s="426">
        <v>20.149999999999999</v>
      </c>
      <c r="Z2068" s="426">
        <v>20.16</v>
      </c>
      <c r="AA2068" s="422">
        <v>20.170000000000002</v>
      </c>
      <c r="AB2068" s="417">
        <v>19.170000000000002</v>
      </c>
      <c r="AC2068" s="1287"/>
      <c r="AD2068" s="1287"/>
      <c r="AE2068" s="1287"/>
      <c r="AF2068" s="1289"/>
    </row>
    <row r="2069" spans="1:32">
      <c r="A2069" s="1288"/>
      <c r="B2069" s="422">
        <v>19.18</v>
      </c>
      <c r="C2069" s="426">
        <v>20.170000000000002</v>
      </c>
      <c r="D2069" s="426">
        <v>20.16</v>
      </c>
      <c r="E2069" s="426">
        <v>20.149999999999999</v>
      </c>
      <c r="F2069" s="417">
        <v>20.149999999999999</v>
      </c>
      <c r="G2069" s="426">
        <v>20.14</v>
      </c>
      <c r="H2069" s="426">
        <v>20.14</v>
      </c>
      <c r="I2069" s="433">
        <v>20.13</v>
      </c>
      <c r="J2069" s="422">
        <v>20.13</v>
      </c>
      <c r="K2069" s="422">
        <v>20.12</v>
      </c>
      <c r="L2069" s="422">
        <v>20.12</v>
      </c>
      <c r="M2069" s="426">
        <v>20.100000000000001</v>
      </c>
      <c r="N2069" s="426">
        <v>20.09</v>
      </c>
      <c r="O2069" s="426">
        <v>20.09</v>
      </c>
      <c r="P2069" s="426">
        <v>20.079999999999998</v>
      </c>
      <c r="Q2069" s="426">
        <v>20.11</v>
      </c>
      <c r="R2069" s="426">
        <v>20.09</v>
      </c>
      <c r="S2069" s="426">
        <v>20.100000000000001</v>
      </c>
      <c r="T2069" s="422">
        <v>20.100000000000001</v>
      </c>
      <c r="U2069" s="422">
        <v>20.12</v>
      </c>
      <c r="V2069" s="422">
        <v>20.12</v>
      </c>
      <c r="W2069" s="426">
        <v>20.13</v>
      </c>
      <c r="X2069" s="426">
        <v>20.14</v>
      </c>
      <c r="Y2069" s="426">
        <v>20.149999999999999</v>
      </c>
      <c r="Z2069" s="426">
        <v>20.16</v>
      </c>
      <c r="AA2069" s="417">
        <v>19.170000000000002</v>
      </c>
      <c r="AB2069" s="1287"/>
      <c r="AC2069" s="1287"/>
      <c r="AD2069" s="1287"/>
      <c r="AE2069" s="1287"/>
      <c r="AF2069" s="1289"/>
    </row>
    <row r="2070" spans="1:32">
      <c r="A2070" s="1288"/>
      <c r="B2070" s="422">
        <v>19.18</v>
      </c>
      <c r="C2070" s="422">
        <v>19.170000000000002</v>
      </c>
      <c r="D2070" s="426">
        <v>20.16</v>
      </c>
      <c r="E2070" s="426">
        <v>20.16</v>
      </c>
      <c r="F2070" s="422">
        <v>20.149999999999999</v>
      </c>
      <c r="G2070" s="426">
        <v>20.149999999999999</v>
      </c>
      <c r="H2070" s="426">
        <v>20.14</v>
      </c>
      <c r="I2070" s="422">
        <v>20.14</v>
      </c>
      <c r="J2070" s="422">
        <v>20.14</v>
      </c>
      <c r="K2070" s="426">
        <v>20.13</v>
      </c>
      <c r="L2070" s="426">
        <v>20.13</v>
      </c>
      <c r="M2070" s="426">
        <v>20.11</v>
      </c>
      <c r="N2070" s="426">
        <v>20.11</v>
      </c>
      <c r="O2070" s="426">
        <v>20.11</v>
      </c>
      <c r="P2070" s="426">
        <v>20.100000000000001</v>
      </c>
      <c r="Q2070" s="422">
        <v>20.12</v>
      </c>
      <c r="R2070" s="426">
        <v>20.100000000000001</v>
      </c>
      <c r="S2070" s="426">
        <v>20.11</v>
      </c>
      <c r="T2070" s="426">
        <v>20.11</v>
      </c>
      <c r="U2070" s="426">
        <v>20.13</v>
      </c>
      <c r="V2070" s="422">
        <v>20.13</v>
      </c>
      <c r="W2070" s="422">
        <v>20.14</v>
      </c>
      <c r="X2070" s="426">
        <v>20.14</v>
      </c>
      <c r="Y2070" s="426">
        <v>20.149999999999999</v>
      </c>
      <c r="Z2070" s="426">
        <v>20.16</v>
      </c>
      <c r="AA2070" s="417">
        <v>19.170000000000002</v>
      </c>
      <c r="AB2070" s="1287"/>
      <c r="AC2070" s="1287"/>
      <c r="AD2070" s="1287"/>
      <c r="AE2070" s="1287"/>
      <c r="AF2070" s="1289"/>
    </row>
    <row r="2071" spans="1:32">
      <c r="A2071" s="1288"/>
      <c r="B2071" s="1287"/>
      <c r="C2071" s="1287"/>
      <c r="D2071" s="422">
        <v>19.170000000000002</v>
      </c>
      <c r="E2071" s="426">
        <v>20.170000000000002</v>
      </c>
      <c r="F2071" s="426">
        <v>20.16</v>
      </c>
      <c r="G2071" s="426">
        <v>20.149999999999999</v>
      </c>
      <c r="H2071" s="433">
        <v>20.149999999999999</v>
      </c>
      <c r="I2071" s="422">
        <v>20.14</v>
      </c>
      <c r="J2071" s="426">
        <v>20.14</v>
      </c>
      <c r="K2071" s="426">
        <v>20.13</v>
      </c>
      <c r="L2071" s="422">
        <v>20.13</v>
      </c>
      <c r="M2071" s="422">
        <v>20.12</v>
      </c>
      <c r="N2071" s="426">
        <v>20.12</v>
      </c>
      <c r="O2071" s="426">
        <v>20.12</v>
      </c>
      <c r="P2071" s="422">
        <v>20.11</v>
      </c>
      <c r="Q2071" s="426">
        <v>20.13</v>
      </c>
      <c r="R2071" s="426">
        <v>20.11</v>
      </c>
      <c r="S2071" s="426">
        <v>20.12</v>
      </c>
      <c r="T2071" s="426">
        <v>20.12</v>
      </c>
      <c r="U2071" s="426">
        <v>20.13</v>
      </c>
      <c r="V2071" s="426">
        <v>20.13</v>
      </c>
      <c r="W2071" s="422">
        <v>20.14</v>
      </c>
      <c r="X2071" s="426">
        <v>20.14</v>
      </c>
      <c r="Y2071" s="426">
        <v>20.149999999999999</v>
      </c>
      <c r="Z2071" s="426">
        <v>20.16</v>
      </c>
      <c r="AA2071" s="422">
        <v>20.170000000000002</v>
      </c>
      <c r="AB2071" s="417">
        <v>19.18</v>
      </c>
      <c r="AC2071" s="1287"/>
      <c r="AD2071" s="1287"/>
      <c r="AE2071" s="1287"/>
      <c r="AF2071" s="1289"/>
    </row>
    <row r="2072" spans="1:32">
      <c r="A2072" s="1288"/>
      <c r="B2072" s="1287"/>
      <c r="C2072" s="1287"/>
      <c r="D2072" s="1287"/>
      <c r="E2072" s="422">
        <v>19.170000000000002</v>
      </c>
      <c r="F2072" s="426">
        <v>20.16</v>
      </c>
      <c r="G2072" s="426">
        <v>20.149999999999999</v>
      </c>
      <c r="H2072" s="426">
        <v>20.149999999999999</v>
      </c>
      <c r="I2072" s="426">
        <v>20.149999999999999</v>
      </c>
      <c r="J2072" s="426">
        <v>20.14</v>
      </c>
      <c r="K2072" s="426">
        <v>20.14</v>
      </c>
      <c r="L2072" s="426">
        <v>20.14</v>
      </c>
      <c r="M2072" s="426">
        <v>20.13</v>
      </c>
      <c r="N2072" s="426">
        <v>20.13</v>
      </c>
      <c r="O2072" s="426">
        <v>20.13</v>
      </c>
      <c r="P2072" s="422">
        <v>20.12</v>
      </c>
      <c r="Q2072" s="426">
        <v>20.13</v>
      </c>
      <c r="R2072" s="426">
        <v>20.12</v>
      </c>
      <c r="S2072" s="426">
        <v>20.13</v>
      </c>
      <c r="T2072" s="426">
        <v>20.13</v>
      </c>
      <c r="U2072" s="422">
        <v>20.14</v>
      </c>
      <c r="V2072" s="426">
        <v>20.14</v>
      </c>
      <c r="W2072" s="426">
        <v>20.149999999999999</v>
      </c>
      <c r="X2072" s="426">
        <v>20.149999999999999</v>
      </c>
      <c r="Y2072" s="426">
        <v>20.16</v>
      </c>
      <c r="Z2072" s="426">
        <v>20.16</v>
      </c>
      <c r="AA2072" s="422">
        <v>20.170000000000002</v>
      </c>
      <c r="AB2072" s="417">
        <v>19.18</v>
      </c>
      <c r="AC2072" s="1287"/>
      <c r="AD2072" s="1287"/>
      <c r="AE2072" s="1287"/>
      <c r="AF2072" s="1289"/>
    </row>
    <row r="2073" spans="1:32">
      <c r="A2073" s="1288"/>
      <c r="B2073" s="1287"/>
      <c r="C2073" s="1287"/>
      <c r="D2073" s="1287"/>
      <c r="E2073" s="422">
        <v>19.170000000000002</v>
      </c>
      <c r="F2073" s="426">
        <v>20.170000000000002</v>
      </c>
      <c r="G2073" s="426">
        <v>20.16</v>
      </c>
      <c r="H2073" s="426">
        <v>20.16</v>
      </c>
      <c r="I2073" s="426">
        <v>20.149999999999999</v>
      </c>
      <c r="J2073" s="422">
        <v>20.149999999999999</v>
      </c>
      <c r="K2073" s="417">
        <v>20.14</v>
      </c>
      <c r="L2073" s="422">
        <v>20.14</v>
      </c>
      <c r="M2073" s="422">
        <v>20.14</v>
      </c>
      <c r="N2073" s="422">
        <v>20.14</v>
      </c>
      <c r="O2073" s="422">
        <v>20.13</v>
      </c>
      <c r="P2073" s="426">
        <v>20.13</v>
      </c>
      <c r="Q2073" s="426">
        <v>20.14</v>
      </c>
      <c r="R2073" s="422">
        <v>20.13</v>
      </c>
      <c r="S2073" s="422">
        <v>20.14</v>
      </c>
      <c r="T2073" s="426">
        <v>20.14</v>
      </c>
      <c r="U2073" s="426">
        <v>20.14</v>
      </c>
      <c r="V2073" s="426">
        <v>20.14</v>
      </c>
      <c r="W2073" s="417">
        <v>20.149999999999999</v>
      </c>
      <c r="X2073" s="417">
        <v>20.16</v>
      </c>
      <c r="Y2073" s="426">
        <v>20.16</v>
      </c>
      <c r="Z2073" s="422">
        <v>20.170000000000002</v>
      </c>
      <c r="AA2073" s="417">
        <v>19.170000000000002</v>
      </c>
      <c r="AB2073" s="1287"/>
      <c r="AC2073" s="1287"/>
      <c r="AD2073" s="1287"/>
      <c r="AE2073" s="1287"/>
      <c r="AF2073" s="1289"/>
    </row>
    <row r="2074" spans="1:32">
      <c r="A2074" s="1288"/>
      <c r="B2074" s="1287"/>
      <c r="C2074" s="1287"/>
      <c r="D2074" s="1287"/>
      <c r="E2074" s="1287"/>
      <c r="F2074" s="422">
        <v>19.18</v>
      </c>
      <c r="G2074" s="422">
        <v>19.170000000000002</v>
      </c>
      <c r="H2074" s="426">
        <v>20.16</v>
      </c>
      <c r="I2074" s="417">
        <v>20.149999999999999</v>
      </c>
      <c r="J2074" s="426">
        <v>20.16</v>
      </c>
      <c r="K2074" s="426">
        <v>20.149999999999999</v>
      </c>
      <c r="L2074" s="426">
        <v>20.149999999999999</v>
      </c>
      <c r="M2074" s="426">
        <v>20.14</v>
      </c>
      <c r="N2074" s="422">
        <v>20.149999999999999</v>
      </c>
      <c r="O2074" s="426">
        <v>20.14</v>
      </c>
      <c r="P2074" s="426">
        <v>20.14</v>
      </c>
      <c r="Q2074" s="426">
        <v>20.14</v>
      </c>
      <c r="R2074" s="426">
        <v>20.14</v>
      </c>
      <c r="S2074" s="426">
        <v>20.14</v>
      </c>
      <c r="T2074" s="426">
        <v>20.14</v>
      </c>
      <c r="U2074" s="426">
        <v>20.149999999999999</v>
      </c>
      <c r="V2074" s="426">
        <v>20.149999999999999</v>
      </c>
      <c r="W2074" s="426">
        <v>20.16</v>
      </c>
      <c r="X2074" s="426">
        <v>20.16</v>
      </c>
      <c r="Y2074" s="426">
        <v>20.16</v>
      </c>
      <c r="Z2074" s="422">
        <v>20.170000000000002</v>
      </c>
      <c r="AA2074" s="417">
        <v>19.18</v>
      </c>
      <c r="AB2074" s="1287"/>
      <c r="AC2074" s="1287"/>
      <c r="AD2074" s="1287"/>
      <c r="AE2074" s="1287"/>
      <c r="AF2074" s="1289"/>
    </row>
    <row r="2075" spans="1:32">
      <c r="A2075" s="1288"/>
      <c r="B2075" s="1287"/>
      <c r="C2075" s="1287"/>
      <c r="D2075" s="1287"/>
      <c r="E2075" s="1287"/>
      <c r="F2075" s="1287"/>
      <c r="G2075" s="422">
        <v>19.190000000000001</v>
      </c>
      <c r="H2075" s="417">
        <v>19.18</v>
      </c>
      <c r="I2075" s="417">
        <v>19.170000000000002</v>
      </c>
      <c r="J2075" s="426">
        <v>20.170000000000002</v>
      </c>
      <c r="K2075" s="426">
        <v>20.16</v>
      </c>
      <c r="L2075" s="426">
        <v>20.16</v>
      </c>
      <c r="M2075" s="426">
        <v>20.149999999999999</v>
      </c>
      <c r="N2075" s="426">
        <v>20.16</v>
      </c>
      <c r="O2075" s="417">
        <v>20.149999999999999</v>
      </c>
      <c r="P2075" s="426">
        <v>20.149999999999999</v>
      </c>
      <c r="Q2075" s="426">
        <v>20.149999999999999</v>
      </c>
      <c r="R2075" s="426">
        <v>20.149999999999999</v>
      </c>
      <c r="S2075" s="426">
        <v>20.149999999999999</v>
      </c>
      <c r="T2075" s="417">
        <v>20.149999999999999</v>
      </c>
      <c r="U2075" s="417">
        <v>20.16</v>
      </c>
      <c r="V2075" s="426">
        <v>20.16</v>
      </c>
      <c r="W2075" s="422">
        <v>20.170000000000002</v>
      </c>
      <c r="X2075" s="422">
        <v>20.170000000000002</v>
      </c>
      <c r="Y2075" s="417">
        <v>19.170000000000002</v>
      </c>
      <c r="Z2075" s="417">
        <v>19.18</v>
      </c>
      <c r="AA2075" s="1287"/>
      <c r="AB2075" s="1287"/>
      <c r="AC2075" s="1287"/>
      <c r="AD2075" s="1287"/>
      <c r="AE2075" s="1287"/>
      <c r="AF2075" s="1289"/>
    </row>
    <row r="2076" spans="1:32">
      <c r="A2076" s="1288"/>
      <c r="B2076" s="1287"/>
      <c r="C2076" s="1287"/>
      <c r="D2076" s="1287"/>
      <c r="E2076" s="1287"/>
      <c r="F2076" s="1287"/>
      <c r="G2076" s="1287"/>
      <c r="H2076" s="1287"/>
      <c r="I2076" s="1287"/>
      <c r="J2076" s="417">
        <v>19.18</v>
      </c>
      <c r="K2076" s="422">
        <v>19.170000000000002</v>
      </c>
      <c r="L2076" s="417">
        <v>20.170000000000002</v>
      </c>
      <c r="M2076" s="426">
        <v>20.170000000000002</v>
      </c>
      <c r="N2076" s="426">
        <v>20.170000000000002</v>
      </c>
      <c r="O2076" s="426">
        <v>20.170000000000002</v>
      </c>
      <c r="P2076" s="417">
        <v>20.16</v>
      </c>
      <c r="Q2076" s="426">
        <v>20.16</v>
      </c>
      <c r="R2076" s="426">
        <v>20.16</v>
      </c>
      <c r="S2076" s="426">
        <v>20.16</v>
      </c>
      <c r="T2076" s="426">
        <v>20.16</v>
      </c>
      <c r="U2076" s="422">
        <v>20.170000000000002</v>
      </c>
      <c r="V2076" s="417">
        <v>19.170000000000002</v>
      </c>
      <c r="W2076" s="417">
        <v>19.18</v>
      </c>
      <c r="X2076" s="417">
        <v>19.18</v>
      </c>
      <c r="Y2076" s="1287"/>
      <c r="Z2076" s="1287"/>
      <c r="AA2076" s="1287"/>
      <c r="AB2076" s="1287"/>
      <c r="AC2076" s="1287"/>
      <c r="AD2076" s="1287"/>
      <c r="AE2076" s="1287"/>
      <c r="AF2076" s="1289"/>
    </row>
    <row r="2077" spans="1:32">
      <c r="A2077" s="1288"/>
      <c r="B2077" s="1287"/>
      <c r="C2077" s="1287"/>
      <c r="D2077" s="1287"/>
      <c r="E2077" s="1287"/>
      <c r="F2077" s="1287"/>
      <c r="G2077" s="1287"/>
      <c r="H2077" s="1287"/>
      <c r="I2077" s="1287"/>
      <c r="J2077" s="1287"/>
      <c r="K2077" s="422">
        <v>19.190000000000001</v>
      </c>
      <c r="L2077" s="417">
        <v>19.18</v>
      </c>
      <c r="M2077" s="417">
        <v>19.18</v>
      </c>
      <c r="N2077" s="417">
        <v>19.18</v>
      </c>
      <c r="O2077" s="417">
        <v>19.170000000000002</v>
      </c>
      <c r="P2077" s="417">
        <v>19.170000000000002</v>
      </c>
      <c r="Q2077" s="417">
        <v>19.170000000000002</v>
      </c>
      <c r="R2077" s="426">
        <v>20.170000000000002</v>
      </c>
      <c r="S2077" s="422">
        <v>20.170000000000002</v>
      </c>
      <c r="T2077" s="422">
        <v>20.170000000000002</v>
      </c>
      <c r="U2077" s="417">
        <v>19.170000000000002</v>
      </c>
      <c r="V2077" s="1287"/>
      <c r="W2077" s="1287"/>
      <c r="X2077" s="1287"/>
      <c r="Y2077" s="1287"/>
      <c r="Z2077" s="1287"/>
      <c r="AA2077" s="1287"/>
      <c r="AB2077" s="1287"/>
      <c r="AC2077" s="1287"/>
      <c r="AD2077" s="1287"/>
      <c r="AE2077" s="1287"/>
      <c r="AF2077" s="1289"/>
    </row>
    <row r="2078" spans="1:32">
      <c r="A2078" s="1288"/>
      <c r="B2078" s="1287"/>
      <c r="C2078" s="1287"/>
      <c r="D2078" s="1287"/>
      <c r="E2078" s="1287"/>
      <c r="F2078" s="1287"/>
      <c r="G2078" s="1287"/>
      <c r="H2078" s="1287"/>
      <c r="I2078" s="1287"/>
      <c r="J2078" s="1287"/>
      <c r="K2078" s="1287"/>
      <c r="L2078" s="1287"/>
      <c r="M2078" s="1287"/>
      <c r="N2078" s="1287"/>
      <c r="O2078" s="1287"/>
      <c r="P2078" s="1287"/>
      <c r="Q2078" s="1287"/>
      <c r="R2078" s="417">
        <v>19.170000000000002</v>
      </c>
      <c r="S2078" s="417">
        <v>19.18</v>
      </c>
      <c r="T2078" s="417">
        <v>19.18</v>
      </c>
      <c r="U2078" s="1287"/>
      <c r="V2078" s="1287"/>
      <c r="W2078" s="1287"/>
      <c r="X2078" s="1287"/>
      <c r="Y2078" s="1287"/>
      <c r="Z2078" s="1287"/>
      <c r="AA2078" s="1287"/>
      <c r="AB2078" s="1287"/>
      <c r="AC2078" s="1287"/>
      <c r="AD2078" s="1287"/>
      <c r="AE2078" s="1287"/>
      <c r="AF2078" s="1289"/>
    </row>
    <row r="2079" spans="1:32">
      <c r="A2079" s="1288"/>
      <c r="B2079" s="1287"/>
      <c r="C2079" s="1287"/>
      <c r="D2079" s="1287"/>
      <c r="E2079" s="1287"/>
      <c r="F2079" s="1287"/>
      <c r="G2079" s="1287"/>
      <c r="H2079" s="1287"/>
      <c r="I2079" s="1287"/>
      <c r="J2079" s="1287"/>
      <c r="K2079" s="1287"/>
      <c r="L2079" s="1287"/>
      <c r="M2079" s="1287"/>
      <c r="N2079" s="1287"/>
      <c r="O2079" s="1287"/>
      <c r="P2079" s="1287"/>
      <c r="Q2079" s="1287"/>
      <c r="R2079" s="1287"/>
      <c r="S2079" s="1287"/>
      <c r="T2079" s="1287"/>
      <c r="U2079" s="1287"/>
      <c r="V2079" s="1287"/>
      <c r="W2079" s="1287"/>
      <c r="X2079" s="1287"/>
      <c r="Y2079" s="1287"/>
      <c r="Z2079" s="1287"/>
      <c r="AA2079" s="1287"/>
      <c r="AB2079" s="1287"/>
      <c r="AC2079" s="1287"/>
      <c r="AD2079" s="1287"/>
      <c r="AE2079" s="1287"/>
      <c r="AF2079" s="1289"/>
    </row>
    <row r="2080" spans="1:32">
      <c r="A2080" s="1293"/>
      <c r="B2080" s="1294"/>
      <c r="C2080" s="1294"/>
      <c r="D2080" s="1294"/>
      <c r="E2080" s="1294"/>
      <c r="F2080" s="1294"/>
      <c r="G2080" s="1294"/>
      <c r="H2080" s="1294"/>
      <c r="I2080" s="1294"/>
      <c r="J2080" s="1294"/>
      <c r="K2080" s="1294"/>
      <c r="L2080" s="1294"/>
      <c r="M2080" s="1294"/>
      <c r="N2080" s="1294"/>
      <c r="O2080" s="1294"/>
      <c r="P2080" s="1294"/>
      <c r="Q2080" s="1294"/>
      <c r="R2080" s="1294"/>
      <c r="S2080" s="1294"/>
      <c r="T2080" s="1294"/>
      <c r="U2080" s="1294"/>
      <c r="V2080" s="1294"/>
      <c r="W2080" s="1294"/>
      <c r="X2080" s="1294"/>
      <c r="Y2080" s="1294"/>
      <c r="Z2080" s="1294"/>
      <c r="AA2080" s="1294"/>
      <c r="AB2080" s="1294"/>
      <c r="AC2080" s="1294"/>
      <c r="AD2080" s="1294"/>
      <c r="AE2080" s="1294"/>
      <c r="AF2080" s="1295"/>
    </row>
    <row r="2081" spans="1:34">
      <c r="A2081" s="753"/>
      <c r="B2081" s="711"/>
      <c r="C2081" s="711"/>
      <c r="D2081" s="711"/>
      <c r="E2081" s="711"/>
      <c r="F2081" s="711"/>
      <c r="G2081" s="711"/>
      <c r="H2081" s="711"/>
      <c r="I2081" s="711"/>
      <c r="J2081" s="711"/>
      <c r="K2081" s="711"/>
      <c r="L2081" s="711"/>
      <c r="M2081" s="711"/>
      <c r="N2081" s="1243">
        <v>13.11</v>
      </c>
      <c r="O2081" s="1243">
        <v>14.1</v>
      </c>
      <c r="P2081" s="1243">
        <v>14.1</v>
      </c>
      <c r="Q2081" s="1243">
        <v>14.1</v>
      </c>
      <c r="R2081" s="1243">
        <v>13.11</v>
      </c>
      <c r="S2081" s="711"/>
      <c r="T2081" s="711"/>
      <c r="U2081" s="711"/>
      <c r="V2081" s="711"/>
      <c r="W2081" s="711"/>
      <c r="X2081" s="711"/>
      <c r="Y2081" s="711"/>
      <c r="Z2081" s="711"/>
      <c r="AA2081" s="711"/>
      <c r="AB2081" s="711"/>
      <c r="AC2081" s="711"/>
      <c r="AD2081" s="711"/>
      <c r="AE2081" s="711"/>
      <c r="AF2081" s="530"/>
      <c r="AG2081">
        <v>66</v>
      </c>
    </row>
    <row r="2082" spans="1:34">
      <c r="A2082" s="699"/>
      <c r="B2082" s="93"/>
      <c r="C2082" s="93"/>
      <c r="D2082" s="93"/>
      <c r="E2082" s="93"/>
      <c r="F2082" s="93"/>
      <c r="G2082" s="93"/>
      <c r="H2082" s="93"/>
      <c r="I2082" s="93"/>
      <c r="J2082" s="93"/>
      <c r="K2082" s="93"/>
      <c r="L2082" s="93"/>
      <c r="M2082" s="93"/>
      <c r="N2082" s="439">
        <v>13.11</v>
      </c>
      <c r="O2082" s="439">
        <v>14.1</v>
      </c>
      <c r="P2082" s="439">
        <v>14.1</v>
      </c>
      <c r="Q2082" s="439">
        <v>14.1</v>
      </c>
      <c r="R2082" s="439">
        <v>13.11</v>
      </c>
      <c r="S2082" s="93"/>
      <c r="T2082" s="93"/>
      <c r="U2082" s="93"/>
      <c r="V2082" s="93"/>
      <c r="W2082" s="93"/>
      <c r="X2082" s="93"/>
      <c r="Y2082" s="93"/>
      <c r="Z2082" s="93"/>
      <c r="AA2082" s="93"/>
      <c r="AB2082" s="93"/>
      <c r="AC2082" s="93"/>
      <c r="AD2082" s="93"/>
      <c r="AE2082" s="93"/>
      <c r="AF2082" s="79"/>
    </row>
    <row r="2083" spans="1:34">
      <c r="A2083" s="699"/>
      <c r="B2083" s="93"/>
      <c r="C2083" s="93"/>
      <c r="D2083" s="93"/>
      <c r="E2083" s="93"/>
      <c r="F2083" s="93"/>
      <c r="G2083" s="93"/>
      <c r="H2083" s="93"/>
      <c r="I2083" s="93"/>
      <c r="J2083" s="93"/>
      <c r="K2083" s="93"/>
      <c r="L2083" s="93"/>
      <c r="M2083" s="93"/>
      <c r="N2083" s="414">
        <v>13.11</v>
      </c>
      <c r="O2083" s="432">
        <v>14.1</v>
      </c>
      <c r="P2083" s="432">
        <v>14.1</v>
      </c>
      <c r="Q2083" s="432">
        <v>14.1</v>
      </c>
      <c r="R2083" s="414">
        <v>13.11</v>
      </c>
      <c r="S2083" s="93"/>
      <c r="T2083" s="93"/>
      <c r="U2083" s="93"/>
      <c r="V2083" s="93"/>
      <c r="W2083" s="93"/>
      <c r="X2083" s="93"/>
      <c r="Y2083" s="93"/>
      <c r="Z2083" s="93"/>
      <c r="AA2083" s="93"/>
      <c r="AB2083" s="93"/>
      <c r="AC2083" s="93"/>
      <c r="AD2083" s="93"/>
      <c r="AE2083" s="93"/>
      <c r="AF2083" s="79"/>
    </row>
    <row r="2084" spans="1:34">
      <c r="AG2084">
        <v>1</v>
      </c>
      <c r="AH2084">
        <v>2082</v>
      </c>
    </row>
    <row r="2085" spans="1:34">
      <c r="AH2085">
        <v>2081</v>
      </c>
    </row>
    <row r="2086" spans="1:34">
      <c r="A2086" s="699"/>
      <c r="B2086" s="93"/>
      <c r="C2086" s="93"/>
      <c r="D2086" s="93"/>
      <c r="E2086" s="93"/>
      <c r="F2086" s="93"/>
      <c r="G2086" s="93"/>
      <c r="H2086" s="93"/>
      <c r="I2086" s="93"/>
      <c r="J2086" s="93"/>
      <c r="K2086" s="93"/>
      <c r="L2086" s="93"/>
      <c r="M2086" s="93"/>
      <c r="N2086" s="93"/>
      <c r="O2086" s="439">
        <v>12.12</v>
      </c>
      <c r="P2086" s="432">
        <v>13.11</v>
      </c>
      <c r="Q2086" s="439">
        <v>12.12</v>
      </c>
      <c r="R2086" s="93"/>
      <c r="S2086" s="93"/>
      <c r="T2086" s="93"/>
      <c r="U2086" s="93"/>
      <c r="V2086" s="93"/>
      <c r="W2086" s="93"/>
      <c r="X2086" s="93"/>
      <c r="Y2086" s="93"/>
      <c r="Z2086" s="93"/>
      <c r="AA2086" s="93"/>
      <c r="AB2086" s="93"/>
      <c r="AC2086" s="93"/>
      <c r="AD2086" s="93"/>
      <c r="AE2086" s="93"/>
      <c r="AF2086" s="79"/>
    </row>
    <row r="2087" spans="1:34">
      <c r="AH2087">
        <v>2086</v>
      </c>
    </row>
    <row r="2088" spans="1:34">
      <c r="AH2088">
        <v>2086</v>
      </c>
    </row>
    <row r="2089" spans="1:34">
      <c r="AH2089">
        <v>2086</v>
      </c>
    </row>
    <row r="2090" spans="1:34">
      <c r="AH2090">
        <v>2086</v>
      </c>
    </row>
    <row r="2091" spans="1:34">
      <c r="AH2091">
        <v>2086</v>
      </c>
    </row>
    <row r="2092" spans="1:34">
      <c r="A2092" s="699"/>
      <c r="B2092" s="93"/>
      <c r="C2092" s="93"/>
      <c r="D2092" s="93"/>
      <c r="E2092" s="93"/>
      <c r="F2092" s="93"/>
      <c r="G2092" s="93"/>
      <c r="H2092" s="93"/>
      <c r="I2092" s="93"/>
      <c r="J2092" s="431">
        <v>2</v>
      </c>
      <c r="K2092" s="431">
        <v>2</v>
      </c>
      <c r="L2092" s="412">
        <v>2</v>
      </c>
      <c r="M2092" s="93"/>
      <c r="N2092" s="93"/>
      <c r="O2092" s="439">
        <v>12.12</v>
      </c>
      <c r="P2092" s="432">
        <v>13.11</v>
      </c>
      <c r="Q2092" s="439">
        <v>12.12</v>
      </c>
      <c r="R2092" s="93"/>
      <c r="S2092" s="93"/>
      <c r="T2092" s="431">
        <v>2</v>
      </c>
      <c r="U2092" s="431">
        <v>2</v>
      </c>
      <c r="V2092" s="412">
        <v>2</v>
      </c>
      <c r="W2092" s="93"/>
      <c r="X2092" s="93"/>
      <c r="Y2092" s="93"/>
      <c r="Z2092" s="93"/>
      <c r="AA2092" s="93"/>
      <c r="AB2092" s="93"/>
      <c r="AC2092" s="93"/>
      <c r="AD2092" s="93"/>
      <c r="AE2092" s="93"/>
      <c r="AF2092" s="79"/>
    </row>
    <row r="2093" spans="1:34">
      <c r="A2093" s="699"/>
      <c r="B2093" s="93"/>
      <c r="C2093" s="93"/>
      <c r="D2093" s="93"/>
      <c r="E2093" s="93"/>
      <c r="F2093" s="93"/>
      <c r="G2093" s="93"/>
      <c r="H2093" s="93"/>
      <c r="I2093" s="93"/>
      <c r="J2093" s="431">
        <v>2</v>
      </c>
      <c r="K2093" s="431">
        <v>4</v>
      </c>
      <c r="L2093" s="412">
        <v>4</v>
      </c>
      <c r="M2093" s="93"/>
      <c r="N2093" s="93"/>
      <c r="O2093" s="439">
        <v>12.12</v>
      </c>
      <c r="P2093" s="432">
        <v>13.11</v>
      </c>
      <c r="Q2093" s="439">
        <v>12.12</v>
      </c>
      <c r="R2093" s="93"/>
      <c r="S2093" s="93"/>
      <c r="T2093" s="431">
        <v>4</v>
      </c>
      <c r="U2093" s="412">
        <v>4</v>
      </c>
      <c r="V2093" s="421">
        <v>2</v>
      </c>
      <c r="W2093" s="93"/>
      <c r="X2093" s="93"/>
      <c r="Y2093" s="93"/>
      <c r="Z2093" s="93"/>
      <c r="AA2093" s="93"/>
      <c r="AB2093" s="93"/>
      <c r="AC2093" s="93"/>
      <c r="AD2093" s="93"/>
      <c r="AE2093" s="93"/>
      <c r="AF2093" s="79"/>
    </row>
    <row r="2094" spans="1:34">
      <c r="A2094" s="699"/>
      <c r="B2094" s="93"/>
      <c r="C2094" s="93"/>
      <c r="D2094" s="93"/>
      <c r="E2094" s="93"/>
      <c r="F2094" s="93"/>
      <c r="G2094" s="93"/>
      <c r="H2094" s="93"/>
      <c r="I2094" s="93"/>
      <c r="J2094" s="431">
        <v>2</v>
      </c>
      <c r="K2094" s="431">
        <v>5.04</v>
      </c>
      <c r="L2094" s="421">
        <v>5.04</v>
      </c>
      <c r="M2094" s="93"/>
      <c r="N2094" s="93"/>
      <c r="O2094" s="439">
        <v>12.12</v>
      </c>
      <c r="P2094" s="432">
        <v>13.11</v>
      </c>
      <c r="Q2094" s="439">
        <v>12.12</v>
      </c>
      <c r="R2094" s="93"/>
      <c r="S2094" s="93"/>
      <c r="T2094" s="431">
        <v>5.04</v>
      </c>
      <c r="U2094" s="421">
        <v>5.04</v>
      </c>
      <c r="V2094" s="421">
        <v>2</v>
      </c>
      <c r="W2094" s="93"/>
      <c r="X2094" s="93"/>
      <c r="Y2094" s="93"/>
      <c r="Z2094" s="93"/>
      <c r="AA2094" s="93"/>
      <c r="AB2094" s="93"/>
      <c r="AC2094" s="93"/>
      <c r="AD2094" s="93"/>
      <c r="AE2094" s="93"/>
      <c r="AF2094" s="79"/>
    </row>
    <row r="2095" spans="1:34">
      <c r="A2095" s="699"/>
      <c r="B2095" s="93"/>
      <c r="C2095" s="93"/>
      <c r="D2095" s="93"/>
      <c r="E2095" s="93"/>
      <c r="F2095" s="93"/>
      <c r="G2095" s="93"/>
      <c r="H2095" s="93"/>
      <c r="I2095" s="93"/>
      <c r="J2095" s="93"/>
      <c r="K2095" s="431">
        <v>6.05</v>
      </c>
      <c r="L2095" s="412">
        <v>6.05</v>
      </c>
      <c r="M2095" s="93"/>
      <c r="N2095" s="93"/>
      <c r="O2095" s="439">
        <v>12.12</v>
      </c>
      <c r="P2095" s="432">
        <v>13.11</v>
      </c>
      <c r="Q2095" s="439">
        <v>12.12</v>
      </c>
      <c r="R2095" s="93"/>
      <c r="S2095" s="93"/>
      <c r="T2095" s="431">
        <v>6.05</v>
      </c>
      <c r="U2095" s="412">
        <v>6.05</v>
      </c>
      <c r="V2095" s="93"/>
      <c r="W2095" s="93"/>
      <c r="X2095" s="93"/>
      <c r="Y2095" s="93"/>
      <c r="Z2095" s="93"/>
      <c r="AA2095" s="93"/>
      <c r="AB2095" s="93"/>
      <c r="AC2095" s="93"/>
      <c r="AD2095" s="93"/>
      <c r="AE2095" s="93"/>
      <c r="AF2095" s="79"/>
    </row>
    <row r="2096" spans="1:34">
      <c r="A2096" s="699"/>
      <c r="B2096" s="93"/>
      <c r="C2096" s="93"/>
      <c r="D2096" s="93"/>
      <c r="E2096" s="93"/>
      <c r="F2096" s="93"/>
      <c r="G2096" s="93"/>
      <c r="H2096" s="93"/>
      <c r="I2096" s="93"/>
      <c r="J2096" s="93"/>
      <c r="K2096" s="93"/>
      <c r="L2096" s="431">
        <v>7.06</v>
      </c>
      <c r="M2096" s="412">
        <v>8.07</v>
      </c>
      <c r="N2096" s="93"/>
      <c r="O2096" s="439">
        <v>12.12</v>
      </c>
      <c r="P2096" s="432">
        <v>13.11</v>
      </c>
      <c r="Q2096" s="439">
        <v>12.12</v>
      </c>
      <c r="R2096" s="93"/>
      <c r="S2096" s="431">
        <v>8.07</v>
      </c>
      <c r="T2096" s="412">
        <v>7.06</v>
      </c>
      <c r="U2096" s="93"/>
      <c r="V2096" s="93"/>
      <c r="W2096" s="93"/>
      <c r="X2096" s="93"/>
      <c r="Y2096" s="93"/>
      <c r="Z2096" s="93"/>
      <c r="AA2096" s="93"/>
      <c r="AB2096" s="93"/>
      <c r="AC2096" s="93"/>
      <c r="AD2096" s="93"/>
      <c r="AE2096" s="93"/>
      <c r="AF2096" s="79"/>
    </row>
    <row r="2097" spans="1:32">
      <c r="A2097" s="699"/>
      <c r="B2097" s="93"/>
      <c r="C2097" s="93"/>
      <c r="D2097" s="93"/>
      <c r="E2097" s="93"/>
      <c r="F2097" s="93"/>
      <c r="G2097" s="93"/>
      <c r="H2097" s="93"/>
      <c r="I2097" s="93"/>
      <c r="J2097" s="93"/>
      <c r="K2097" s="93"/>
      <c r="L2097" s="431">
        <v>8.07</v>
      </c>
      <c r="M2097" s="420">
        <v>11.09</v>
      </c>
      <c r="N2097" s="420">
        <v>11.09</v>
      </c>
      <c r="O2097" s="439">
        <v>12.12</v>
      </c>
      <c r="P2097" s="432">
        <v>13.11</v>
      </c>
      <c r="Q2097" s="439">
        <v>12.12</v>
      </c>
      <c r="R2097" s="420">
        <v>11.09</v>
      </c>
      <c r="S2097" s="420">
        <v>11.09</v>
      </c>
      <c r="T2097" s="412">
        <v>8.07</v>
      </c>
      <c r="U2097" s="93"/>
      <c r="V2097" s="93"/>
      <c r="W2097" s="93"/>
      <c r="X2097" s="93"/>
      <c r="Y2097" s="93"/>
      <c r="Z2097" s="93"/>
      <c r="AA2097" s="93"/>
      <c r="AB2097" s="93"/>
      <c r="AC2097" s="93"/>
      <c r="AD2097" s="93"/>
      <c r="AE2097" s="93"/>
      <c r="AF2097" s="79"/>
    </row>
    <row r="2098" spans="1:32">
      <c r="A2098" s="699"/>
      <c r="B2098" s="93"/>
      <c r="C2098" s="93"/>
      <c r="D2098" s="93"/>
      <c r="E2098" s="93"/>
      <c r="F2098" s="93"/>
      <c r="G2098" s="93"/>
      <c r="H2098" s="93"/>
      <c r="I2098" s="93"/>
      <c r="J2098" s="93"/>
      <c r="K2098" s="93"/>
      <c r="L2098" s="420">
        <v>12.09</v>
      </c>
      <c r="M2098" s="420">
        <v>12.09</v>
      </c>
      <c r="N2098" s="420">
        <v>12.09</v>
      </c>
      <c r="O2098" s="439">
        <v>12.12</v>
      </c>
      <c r="P2098" s="432">
        <v>13.11</v>
      </c>
      <c r="Q2098" s="439">
        <v>12.12</v>
      </c>
      <c r="R2098" s="420">
        <v>12.09</v>
      </c>
      <c r="S2098" s="420">
        <v>12.09</v>
      </c>
      <c r="T2098" s="420">
        <v>12.09</v>
      </c>
      <c r="U2098" s="93"/>
      <c r="V2098" s="421">
        <v>12.12</v>
      </c>
      <c r="W2098" s="414">
        <v>13.11</v>
      </c>
      <c r="X2098" s="413">
        <v>12.12</v>
      </c>
      <c r="Y2098" s="93"/>
      <c r="Z2098" s="93"/>
      <c r="AA2098" s="93"/>
      <c r="AB2098" s="93"/>
      <c r="AC2098" s="93"/>
      <c r="AD2098" s="93"/>
      <c r="AE2098" s="93"/>
      <c r="AF2098" s="79"/>
    </row>
    <row r="2099" spans="1:32">
      <c r="A2099" s="699"/>
      <c r="B2099" s="93"/>
      <c r="C2099" s="93"/>
      <c r="D2099" s="93"/>
      <c r="E2099" s="93"/>
      <c r="F2099" s="93"/>
      <c r="G2099" s="93"/>
      <c r="H2099" s="93"/>
      <c r="I2099" s="93"/>
      <c r="J2099" s="93"/>
      <c r="K2099" s="93"/>
      <c r="L2099" s="420">
        <v>13.09</v>
      </c>
      <c r="M2099" s="420">
        <v>13.09</v>
      </c>
      <c r="N2099" s="420">
        <v>13.09</v>
      </c>
      <c r="O2099" s="420">
        <v>13.09</v>
      </c>
      <c r="P2099" s="432">
        <v>13.11</v>
      </c>
      <c r="Q2099" s="420">
        <v>13.09</v>
      </c>
      <c r="R2099" s="420">
        <v>13.09</v>
      </c>
      <c r="S2099" s="420">
        <v>13.09</v>
      </c>
      <c r="T2099" s="420">
        <v>13.09</v>
      </c>
      <c r="U2099" s="420">
        <v>13.13</v>
      </c>
      <c r="V2099" s="421">
        <v>12.12</v>
      </c>
      <c r="W2099" s="414">
        <v>15.11</v>
      </c>
      <c r="X2099" s="413">
        <v>12.12</v>
      </c>
      <c r="Y2099" s="93"/>
      <c r="Z2099" s="93"/>
      <c r="AA2099" s="93"/>
      <c r="AB2099" s="93"/>
      <c r="AC2099" s="93"/>
      <c r="AD2099" s="93"/>
      <c r="AE2099" s="93"/>
      <c r="AF2099" s="79"/>
    </row>
    <row r="2100" spans="1:32">
      <c r="A2100" s="699"/>
      <c r="B2100" s="93"/>
      <c r="C2100" s="93"/>
      <c r="D2100" s="93"/>
      <c r="E2100" s="93"/>
      <c r="F2100" s="93"/>
      <c r="G2100" s="93"/>
      <c r="H2100" s="93"/>
      <c r="I2100" s="93"/>
      <c r="J2100" s="93"/>
      <c r="K2100" s="93"/>
      <c r="L2100" s="420">
        <v>14.09</v>
      </c>
      <c r="M2100" s="420">
        <v>14.09</v>
      </c>
      <c r="N2100" s="420">
        <v>14.09</v>
      </c>
      <c r="O2100" s="420">
        <v>14.09</v>
      </c>
      <c r="P2100" s="420">
        <v>14.09</v>
      </c>
      <c r="Q2100" s="420">
        <v>14.09</v>
      </c>
      <c r="R2100" s="420">
        <v>14.09</v>
      </c>
      <c r="S2100" s="420">
        <v>14.09</v>
      </c>
      <c r="T2100" s="420">
        <v>14.09</v>
      </c>
      <c r="U2100" s="93"/>
      <c r="V2100" s="421">
        <v>12.12</v>
      </c>
      <c r="W2100" s="414">
        <v>13.11</v>
      </c>
      <c r="X2100" s="413">
        <v>12.12</v>
      </c>
      <c r="Y2100" s="93"/>
      <c r="Z2100" s="93"/>
      <c r="AA2100" s="93"/>
      <c r="AB2100" s="93"/>
      <c r="AC2100" s="93"/>
      <c r="AD2100" s="93"/>
      <c r="AE2100" s="93"/>
      <c r="AF2100" s="79"/>
    </row>
    <row r="2101" spans="1:32">
      <c r="A2101" s="699"/>
      <c r="B2101" s="93"/>
      <c r="C2101" s="93"/>
      <c r="D2101" s="93"/>
      <c r="E2101" s="93"/>
      <c r="F2101" s="93"/>
      <c r="G2101" s="93"/>
      <c r="H2101" s="93"/>
      <c r="I2101" s="93"/>
      <c r="J2101" s="93"/>
      <c r="K2101" s="93"/>
      <c r="L2101" s="432">
        <v>15.09</v>
      </c>
      <c r="M2101" s="420">
        <v>15.12</v>
      </c>
      <c r="N2101" s="420">
        <v>15.12</v>
      </c>
      <c r="O2101" s="420">
        <v>15.12</v>
      </c>
      <c r="P2101" s="420">
        <v>15.12</v>
      </c>
      <c r="Q2101" s="420">
        <v>15.12</v>
      </c>
      <c r="R2101" s="420">
        <v>15.12</v>
      </c>
      <c r="S2101" s="420">
        <v>15.12</v>
      </c>
      <c r="T2101" s="432">
        <v>15.09</v>
      </c>
      <c r="U2101" s="93"/>
      <c r="V2101" s="93"/>
      <c r="W2101" s="414">
        <v>12.12</v>
      </c>
      <c r="X2101" s="93"/>
      <c r="Y2101" s="93"/>
      <c r="Z2101" s="93"/>
      <c r="AA2101" s="93"/>
      <c r="AB2101" s="93"/>
      <c r="AC2101" s="93"/>
      <c r="AD2101" s="93"/>
      <c r="AE2101" s="93"/>
      <c r="AF2101" s="79"/>
    </row>
    <row r="2102" spans="1:32">
      <c r="A2102" s="699"/>
      <c r="B2102" s="93"/>
      <c r="C2102" s="93"/>
      <c r="D2102" s="93"/>
      <c r="E2102" s="93"/>
      <c r="F2102" s="93"/>
      <c r="G2102" s="93"/>
      <c r="H2102" s="93"/>
      <c r="I2102" s="93"/>
      <c r="J2102" s="93"/>
      <c r="K2102" s="93"/>
      <c r="L2102" s="414">
        <v>14.1</v>
      </c>
      <c r="M2102" s="420">
        <v>15.12</v>
      </c>
      <c r="N2102" s="431">
        <v>16.14</v>
      </c>
      <c r="O2102" s="431">
        <v>16.14</v>
      </c>
      <c r="P2102" s="431">
        <v>16.14</v>
      </c>
      <c r="Q2102" s="431">
        <v>16.14</v>
      </c>
      <c r="R2102" s="431">
        <v>16.14</v>
      </c>
      <c r="S2102" s="420">
        <v>15.12</v>
      </c>
      <c r="T2102" s="414">
        <v>14.1</v>
      </c>
      <c r="U2102" s="93"/>
      <c r="V2102" s="93"/>
      <c r="W2102" s="93"/>
      <c r="X2102" s="93"/>
      <c r="Y2102" s="93"/>
      <c r="Z2102" s="93"/>
      <c r="AA2102" s="93"/>
      <c r="AB2102" s="93"/>
      <c r="AC2102" s="93"/>
      <c r="AD2102" s="93"/>
      <c r="AE2102" s="93"/>
      <c r="AF2102" s="79"/>
    </row>
    <row r="2103" spans="1:32">
      <c r="A2103" s="699"/>
      <c r="B2103" s="93"/>
      <c r="C2103" s="93"/>
      <c r="D2103" s="93"/>
      <c r="E2103" s="93"/>
      <c r="F2103" s="93"/>
      <c r="G2103" s="93"/>
      <c r="H2103" s="93"/>
      <c r="I2103" s="93"/>
      <c r="J2103" s="93"/>
      <c r="K2103" s="93"/>
      <c r="L2103" s="432">
        <v>15.09</v>
      </c>
      <c r="M2103" s="420">
        <v>15.12</v>
      </c>
      <c r="N2103" s="431">
        <v>16.14</v>
      </c>
      <c r="O2103" s="431">
        <v>16.14</v>
      </c>
      <c r="P2103" s="431">
        <v>16.14</v>
      </c>
      <c r="Q2103" s="431">
        <v>16.14</v>
      </c>
      <c r="R2103" s="431">
        <v>16.14</v>
      </c>
      <c r="S2103" s="420">
        <v>15.12</v>
      </c>
      <c r="T2103" s="432">
        <v>15.09</v>
      </c>
      <c r="U2103" s="93"/>
      <c r="V2103" s="93"/>
      <c r="W2103" s="93"/>
      <c r="X2103" s="93"/>
      <c r="Y2103" s="93"/>
      <c r="Z2103" s="93"/>
      <c r="AA2103" s="93"/>
      <c r="AB2103" s="93"/>
      <c r="AC2103" s="93"/>
      <c r="AD2103" s="93"/>
      <c r="AE2103" s="93"/>
      <c r="AF2103" s="79"/>
    </row>
    <row r="2104" spans="1:32">
      <c r="A2104" s="699"/>
      <c r="B2104" s="93"/>
      <c r="C2104" s="93"/>
      <c r="D2104" s="93"/>
      <c r="E2104" s="93"/>
      <c r="F2104" s="93"/>
      <c r="G2104" s="93"/>
      <c r="H2104" s="93"/>
      <c r="I2104" s="93"/>
      <c r="J2104" s="93"/>
      <c r="K2104" s="93"/>
      <c r="L2104" s="414">
        <v>14.1</v>
      </c>
      <c r="M2104" s="420">
        <v>15.12</v>
      </c>
      <c r="N2104" s="431">
        <v>16.14</v>
      </c>
      <c r="O2104" s="431">
        <v>16.14</v>
      </c>
      <c r="P2104" s="431">
        <v>16.14</v>
      </c>
      <c r="Q2104" s="431">
        <v>16.14</v>
      </c>
      <c r="R2104" s="431">
        <v>16.14</v>
      </c>
      <c r="S2104" s="420">
        <v>15.12</v>
      </c>
      <c r="T2104" s="414">
        <v>14.1</v>
      </c>
      <c r="U2104" s="93"/>
      <c r="V2104" s="93"/>
      <c r="W2104" s="93"/>
      <c r="X2104" s="93"/>
      <c r="Y2104" s="93"/>
      <c r="Z2104" s="93"/>
      <c r="AA2104" s="93"/>
      <c r="AB2104" s="93"/>
      <c r="AC2104" s="93"/>
      <c r="AD2104" s="93"/>
      <c r="AE2104" s="93"/>
      <c r="AF2104" s="79"/>
    </row>
    <row r="2105" spans="1:32">
      <c r="A2105" s="699"/>
      <c r="B2105" s="93"/>
      <c r="C2105" s="93"/>
      <c r="D2105" s="93"/>
      <c r="E2105" s="93"/>
      <c r="F2105" s="93"/>
      <c r="G2105" s="423">
        <v>8.02</v>
      </c>
      <c r="H2105" s="427">
        <v>9.02</v>
      </c>
      <c r="I2105" s="427">
        <v>9.02</v>
      </c>
      <c r="J2105" s="427">
        <v>9.02</v>
      </c>
      <c r="K2105" s="423">
        <v>8.02</v>
      </c>
      <c r="L2105" s="432">
        <v>15.09</v>
      </c>
      <c r="M2105" s="420">
        <v>15.12</v>
      </c>
      <c r="N2105" s="431">
        <v>16.14</v>
      </c>
      <c r="O2105" s="431">
        <v>16.14</v>
      </c>
      <c r="P2105" s="431">
        <v>16.14</v>
      </c>
      <c r="Q2105" s="431">
        <v>16.14</v>
      </c>
      <c r="R2105" s="431">
        <v>16.14</v>
      </c>
      <c r="S2105" s="420">
        <v>15.12</v>
      </c>
      <c r="T2105" s="432">
        <v>15.09</v>
      </c>
      <c r="U2105" s="423">
        <v>8.02</v>
      </c>
      <c r="V2105" s="427">
        <v>9.02</v>
      </c>
      <c r="W2105" s="427">
        <v>9.02</v>
      </c>
      <c r="X2105" s="427">
        <v>9.02</v>
      </c>
      <c r="Y2105" s="423">
        <v>8.02</v>
      </c>
      <c r="Z2105" s="93"/>
      <c r="AA2105" s="93"/>
      <c r="AB2105" s="93"/>
      <c r="AC2105" s="93"/>
      <c r="AD2105" s="93"/>
      <c r="AE2105" s="93"/>
      <c r="AF2105" s="79"/>
    </row>
    <row r="2106" spans="1:32">
      <c r="A2106" s="699"/>
      <c r="B2106" s="93"/>
      <c r="C2106" s="93"/>
      <c r="D2106" s="93"/>
      <c r="E2106" s="93"/>
      <c r="F2106" s="93"/>
      <c r="G2106" s="423">
        <v>8.02</v>
      </c>
      <c r="H2106" s="427">
        <v>9.02</v>
      </c>
      <c r="I2106" s="429">
        <v>10.08</v>
      </c>
      <c r="J2106" s="409">
        <v>11.09</v>
      </c>
      <c r="K2106" s="429">
        <v>12.1</v>
      </c>
      <c r="L2106" s="420">
        <v>15.09</v>
      </c>
      <c r="M2106" s="420">
        <v>15.12</v>
      </c>
      <c r="N2106" s="431">
        <v>16.14</v>
      </c>
      <c r="O2106" s="431">
        <v>16.14</v>
      </c>
      <c r="P2106" s="431">
        <v>16.14</v>
      </c>
      <c r="Q2106" s="431">
        <v>16.14</v>
      </c>
      <c r="R2106" s="431">
        <v>16.14</v>
      </c>
      <c r="S2106" s="420">
        <v>15.12</v>
      </c>
      <c r="T2106" s="420">
        <v>15.09</v>
      </c>
      <c r="U2106" s="429">
        <v>12.1</v>
      </c>
      <c r="V2106" s="409">
        <v>11.09</v>
      </c>
      <c r="W2106" s="429">
        <v>10.08</v>
      </c>
      <c r="X2106" s="427">
        <v>9.02</v>
      </c>
      <c r="Y2106" s="423">
        <v>8.02</v>
      </c>
      <c r="Z2106" s="93"/>
      <c r="AA2106" s="93"/>
      <c r="AB2106" s="93"/>
      <c r="AC2106" s="93"/>
      <c r="AD2106" s="93"/>
      <c r="AE2106" s="93"/>
      <c r="AF2106" s="79"/>
    </row>
    <row r="2107" spans="1:32">
      <c r="A2107" s="699"/>
      <c r="B2107" s="93"/>
      <c r="C2107" s="93"/>
      <c r="D2107" s="93"/>
      <c r="E2107" s="93"/>
      <c r="F2107" s="93"/>
      <c r="G2107" s="423">
        <v>8.02</v>
      </c>
      <c r="H2107" s="427">
        <v>9.02</v>
      </c>
      <c r="I2107" s="429">
        <v>10.08</v>
      </c>
      <c r="J2107" s="409">
        <v>11.09</v>
      </c>
      <c r="K2107" s="429">
        <v>12.1</v>
      </c>
      <c r="L2107" s="420">
        <v>15.09</v>
      </c>
      <c r="M2107" s="420">
        <v>15.12</v>
      </c>
      <c r="N2107" s="431">
        <v>16.14</v>
      </c>
      <c r="O2107" s="431">
        <v>16.14</v>
      </c>
      <c r="P2107" s="431">
        <v>16.14</v>
      </c>
      <c r="Q2107" s="431">
        <v>16.14</v>
      </c>
      <c r="R2107" s="431">
        <v>16.14</v>
      </c>
      <c r="S2107" s="420">
        <v>15.12</v>
      </c>
      <c r="T2107" s="420">
        <v>15.09</v>
      </c>
      <c r="U2107" s="429">
        <v>12.1</v>
      </c>
      <c r="V2107" s="409">
        <v>11.09</v>
      </c>
      <c r="W2107" s="429">
        <v>10.08</v>
      </c>
      <c r="X2107" s="427">
        <v>9.02</v>
      </c>
      <c r="Y2107" s="423">
        <v>8.02</v>
      </c>
      <c r="Z2107" s="93"/>
      <c r="AA2107" s="93"/>
      <c r="AB2107" s="93"/>
      <c r="AC2107" s="93"/>
      <c r="AD2107" s="93"/>
      <c r="AE2107" s="93"/>
      <c r="AF2107" s="79"/>
    </row>
    <row r="2108" spans="1:32">
      <c r="A2108" s="699"/>
      <c r="B2108" s="93"/>
      <c r="C2108" s="93"/>
      <c r="D2108" s="93"/>
      <c r="E2108" s="93"/>
      <c r="F2108" s="93"/>
      <c r="G2108" s="423">
        <v>8.02</v>
      </c>
      <c r="H2108" s="427">
        <v>9.02</v>
      </c>
      <c r="I2108" s="429">
        <v>10.08</v>
      </c>
      <c r="J2108" s="409">
        <v>11.09</v>
      </c>
      <c r="K2108" s="429">
        <v>12.1</v>
      </c>
      <c r="L2108" s="420">
        <v>15.09</v>
      </c>
      <c r="M2108" s="420">
        <v>15.09</v>
      </c>
      <c r="N2108" s="420">
        <v>15.12</v>
      </c>
      <c r="O2108" s="420">
        <v>15.12</v>
      </c>
      <c r="P2108" s="420">
        <v>15.12</v>
      </c>
      <c r="Q2108" s="420">
        <v>15.12</v>
      </c>
      <c r="R2108" s="420">
        <v>15.12</v>
      </c>
      <c r="S2108" s="420">
        <v>15.09</v>
      </c>
      <c r="T2108" s="420">
        <v>15.09</v>
      </c>
      <c r="U2108" s="429">
        <v>12.1</v>
      </c>
      <c r="V2108" s="409">
        <v>11.09</v>
      </c>
      <c r="W2108" s="429">
        <v>10.08</v>
      </c>
      <c r="X2108" s="427">
        <v>9.02</v>
      </c>
      <c r="Y2108" s="423">
        <v>8.02</v>
      </c>
      <c r="Z2108" s="93"/>
      <c r="AA2108" s="93"/>
      <c r="AB2108" s="93"/>
      <c r="AC2108" s="93"/>
      <c r="AD2108" s="93"/>
      <c r="AE2108" s="93"/>
      <c r="AF2108" s="79"/>
    </row>
    <row r="2109" spans="1:32">
      <c r="A2109" s="699"/>
      <c r="B2109" s="93"/>
      <c r="C2109" s="93"/>
      <c r="D2109" s="93"/>
      <c r="E2109" s="93"/>
      <c r="F2109" s="93"/>
      <c r="G2109" s="423">
        <v>8.02</v>
      </c>
      <c r="H2109" s="427">
        <v>9.02</v>
      </c>
      <c r="I2109" s="427">
        <v>9.08</v>
      </c>
      <c r="J2109" s="427">
        <v>9.02</v>
      </c>
      <c r="K2109" s="423">
        <v>8.02</v>
      </c>
      <c r="L2109" s="412">
        <v>10.06</v>
      </c>
      <c r="M2109" s="420">
        <v>14.09</v>
      </c>
      <c r="N2109" s="420">
        <v>14.09</v>
      </c>
      <c r="O2109" s="420">
        <v>14.09</v>
      </c>
      <c r="P2109" s="420">
        <v>14.09</v>
      </c>
      <c r="Q2109" s="420">
        <v>14.09</v>
      </c>
      <c r="R2109" s="420">
        <v>14.09</v>
      </c>
      <c r="S2109" s="420">
        <v>14.09</v>
      </c>
      <c r="T2109" s="412">
        <v>10.06</v>
      </c>
      <c r="U2109" s="423">
        <v>8.02</v>
      </c>
      <c r="V2109" s="427">
        <v>9.02</v>
      </c>
      <c r="W2109" s="427">
        <v>9.08</v>
      </c>
      <c r="X2109" s="427">
        <v>9.02</v>
      </c>
      <c r="Y2109" s="423">
        <v>8.02</v>
      </c>
      <c r="Z2109" s="93"/>
      <c r="AA2109" s="93"/>
      <c r="AB2109" s="93"/>
      <c r="AC2109" s="93"/>
      <c r="AD2109" s="93"/>
      <c r="AE2109" s="93"/>
      <c r="AF2109" s="79"/>
    </row>
    <row r="2110" spans="1:32">
      <c r="A2110" s="699"/>
      <c r="B2110" s="93"/>
      <c r="C2110" s="93"/>
      <c r="D2110" s="93"/>
      <c r="E2110" s="93"/>
      <c r="F2110" s="93"/>
      <c r="G2110" s="423">
        <v>8.02</v>
      </c>
      <c r="H2110" s="427">
        <v>9.08</v>
      </c>
      <c r="I2110" s="427">
        <v>9.08</v>
      </c>
      <c r="J2110" s="427">
        <v>9.02</v>
      </c>
      <c r="K2110" s="423">
        <v>8.02</v>
      </c>
      <c r="L2110" s="412">
        <v>10.06</v>
      </c>
      <c r="M2110" s="431">
        <v>10.06</v>
      </c>
      <c r="N2110" s="328">
        <v>10.119999999999999</v>
      </c>
      <c r="O2110" s="328"/>
      <c r="P2110" s="328"/>
      <c r="Q2110" s="328"/>
      <c r="R2110" s="328">
        <v>10.119999999999999</v>
      </c>
      <c r="S2110" s="431">
        <v>10.06</v>
      </c>
      <c r="T2110" s="412">
        <v>10.06</v>
      </c>
      <c r="U2110" s="423">
        <v>8.02</v>
      </c>
      <c r="V2110" s="427">
        <v>9.08</v>
      </c>
      <c r="W2110" s="427">
        <v>9.08</v>
      </c>
      <c r="X2110" s="427">
        <v>9.02</v>
      </c>
      <c r="Y2110" s="423">
        <v>8.02</v>
      </c>
      <c r="Z2110" s="93"/>
      <c r="AA2110" s="93"/>
      <c r="AB2110" s="93"/>
      <c r="AC2110" s="93"/>
      <c r="AD2110" s="93"/>
      <c r="AE2110" s="93"/>
      <c r="AF2110" s="79"/>
    </row>
    <row r="2111" spans="1:32">
      <c r="A2111" s="699"/>
      <c r="B2111" s="93"/>
      <c r="C2111" s="93"/>
      <c r="D2111" s="93"/>
      <c r="E2111" s="93"/>
      <c r="F2111" s="93"/>
      <c r="G2111" s="423">
        <v>8.02</v>
      </c>
      <c r="H2111" s="427">
        <v>9.02</v>
      </c>
      <c r="I2111" s="427">
        <v>9.02</v>
      </c>
      <c r="J2111" s="427">
        <v>9.02</v>
      </c>
      <c r="K2111" s="423">
        <v>8.02</v>
      </c>
      <c r="L2111" s="431">
        <v>5</v>
      </c>
      <c r="M2111" s="412">
        <v>5</v>
      </c>
      <c r="N2111" s="328">
        <v>10.119999999999999</v>
      </c>
      <c r="O2111" s="328"/>
      <c r="P2111" s="328"/>
      <c r="Q2111" s="328"/>
      <c r="R2111" s="328">
        <v>10.119999999999999</v>
      </c>
      <c r="S2111" s="431">
        <v>5</v>
      </c>
      <c r="T2111" s="412">
        <v>5</v>
      </c>
      <c r="U2111" s="423">
        <v>8.02</v>
      </c>
      <c r="V2111" s="427">
        <v>9.02</v>
      </c>
      <c r="W2111" s="427">
        <v>9.02</v>
      </c>
      <c r="X2111" s="427">
        <v>9.02</v>
      </c>
      <c r="Y2111" s="423">
        <v>8.02</v>
      </c>
      <c r="Z2111" s="93"/>
      <c r="AA2111" s="93"/>
      <c r="AB2111" s="93"/>
      <c r="AC2111" s="93"/>
      <c r="AD2111" s="93"/>
      <c r="AE2111" s="93"/>
      <c r="AF2111" s="79"/>
    </row>
    <row r="2112" spans="1:32">
      <c r="A2112" s="700"/>
      <c r="B2112" s="73"/>
      <c r="C2112" s="73"/>
      <c r="D2112" s="73"/>
      <c r="E2112" s="73"/>
      <c r="F2112" s="73"/>
      <c r="G2112" s="73"/>
      <c r="H2112" s="73"/>
      <c r="I2112" s="73"/>
      <c r="J2112" s="73"/>
      <c r="K2112" s="1239">
        <v>2</v>
      </c>
      <c r="L2112" s="1296">
        <v>2</v>
      </c>
      <c r="M2112" s="1296">
        <v>2</v>
      </c>
      <c r="N2112" s="580">
        <v>13.1</v>
      </c>
      <c r="O2112" s="479"/>
      <c r="P2112" s="479"/>
      <c r="Q2112" s="479"/>
      <c r="R2112" s="580">
        <v>13.1</v>
      </c>
      <c r="S2112" s="1239">
        <v>2</v>
      </c>
      <c r="T2112" s="1296">
        <v>2</v>
      </c>
      <c r="U2112" s="1296">
        <v>2</v>
      </c>
      <c r="V2112" s="73"/>
      <c r="W2112" s="73"/>
      <c r="X2112" s="73"/>
      <c r="Y2112" s="73"/>
      <c r="Z2112" s="73"/>
      <c r="AA2112" s="73"/>
      <c r="AB2112" s="73"/>
      <c r="AC2112" s="73"/>
      <c r="AD2112" s="73"/>
      <c r="AE2112" s="73"/>
      <c r="AF2112" s="701"/>
    </row>
    <row r="2113" spans="1:34">
      <c r="A2113" s="753"/>
      <c r="B2113" s="711"/>
      <c r="C2113" s="711"/>
      <c r="D2113" s="711"/>
      <c r="E2113" s="711"/>
      <c r="F2113" s="711"/>
      <c r="G2113" s="711"/>
      <c r="H2113" s="711"/>
      <c r="I2113" s="711"/>
      <c r="J2113" s="711"/>
      <c r="K2113" s="711"/>
      <c r="L2113" s="711"/>
      <c r="M2113" s="711"/>
      <c r="N2113" s="422">
        <v>32.28</v>
      </c>
      <c r="O2113" s="422">
        <v>32.28</v>
      </c>
      <c r="P2113" s="417">
        <v>32.28</v>
      </c>
      <c r="Q2113" s="422">
        <v>32.28</v>
      </c>
      <c r="R2113" s="422">
        <v>32.28</v>
      </c>
      <c r="S2113" s="422">
        <v>32.28</v>
      </c>
      <c r="T2113" s="711"/>
      <c r="U2113" s="711"/>
      <c r="V2113" s="711"/>
      <c r="W2113" s="711"/>
      <c r="X2113" s="711"/>
      <c r="Y2113" s="711"/>
      <c r="Z2113" s="711"/>
      <c r="AA2113" s="711"/>
      <c r="AB2113" s="711"/>
      <c r="AC2113" s="711"/>
      <c r="AD2113" s="711"/>
      <c r="AE2113" s="711"/>
      <c r="AF2113" s="530"/>
      <c r="AG2113">
        <v>67</v>
      </c>
    </row>
    <row r="2114" spans="1:34">
      <c r="A2114" s="699"/>
      <c r="B2114" s="93"/>
      <c r="C2114" s="93"/>
      <c r="D2114" s="93"/>
      <c r="E2114" s="93"/>
      <c r="F2114" s="93"/>
      <c r="G2114" s="93"/>
      <c r="H2114" s="93"/>
      <c r="I2114" s="93"/>
      <c r="J2114" s="93"/>
      <c r="K2114" s="93"/>
      <c r="L2114" s="93"/>
      <c r="M2114" s="93"/>
      <c r="N2114" s="422">
        <v>32.28</v>
      </c>
      <c r="O2114" s="422">
        <v>32.28</v>
      </c>
      <c r="P2114" s="417">
        <v>32.28</v>
      </c>
      <c r="Q2114" s="422">
        <v>32.28</v>
      </c>
      <c r="R2114" s="417">
        <v>32.28</v>
      </c>
      <c r="S2114" s="422">
        <v>32.28</v>
      </c>
      <c r="T2114" s="93"/>
      <c r="U2114" s="93"/>
      <c r="V2114" s="93"/>
      <c r="W2114" s="93"/>
      <c r="X2114" s="93"/>
      <c r="Y2114" s="93"/>
      <c r="Z2114" s="93"/>
      <c r="AA2114" s="93"/>
      <c r="AB2114" s="93"/>
      <c r="AC2114" s="93"/>
      <c r="AD2114" s="93"/>
      <c r="AE2114" s="93"/>
      <c r="AF2114" s="79"/>
    </row>
    <row r="2115" spans="1:34">
      <c r="AH2115">
        <v>2114</v>
      </c>
    </row>
    <row r="2116" spans="1:34">
      <c r="AG2116">
        <v>-1</v>
      </c>
      <c r="AH2116">
        <v>2114</v>
      </c>
    </row>
    <row r="2117" spans="1:34">
      <c r="A2117" s="699"/>
      <c r="B2117" s="93"/>
      <c r="C2117" s="93"/>
      <c r="D2117" s="93"/>
      <c r="E2117" s="93"/>
      <c r="F2117" s="93"/>
      <c r="G2117" s="93"/>
      <c r="H2117" s="93"/>
      <c r="I2117" s="93"/>
      <c r="J2117" s="93"/>
      <c r="K2117" s="93"/>
      <c r="L2117" s="93"/>
      <c r="M2117" s="93"/>
      <c r="N2117" s="422">
        <v>32.28</v>
      </c>
      <c r="O2117" s="417">
        <v>32.28</v>
      </c>
      <c r="P2117" s="417">
        <v>32.28</v>
      </c>
      <c r="Q2117" s="422">
        <v>32.28</v>
      </c>
      <c r="R2117" s="422">
        <v>32.28</v>
      </c>
      <c r="S2117" s="422">
        <v>32.28</v>
      </c>
      <c r="T2117" s="93"/>
      <c r="U2117" s="93"/>
      <c r="V2117" s="93"/>
      <c r="W2117" s="93"/>
      <c r="X2117" s="93"/>
      <c r="Y2117" s="93"/>
      <c r="Z2117" s="93"/>
      <c r="AA2117" s="93"/>
      <c r="AB2117" s="93"/>
      <c r="AC2117" s="93"/>
      <c r="AD2117" s="93"/>
      <c r="AE2117" s="93"/>
      <c r="AF2117" s="79"/>
    </row>
    <row r="2118" spans="1:34">
      <c r="AH2118">
        <v>2117</v>
      </c>
    </row>
    <row r="2119" spans="1:34">
      <c r="A2119" s="699"/>
      <c r="B2119" s="93"/>
      <c r="C2119" s="93"/>
      <c r="D2119" s="93"/>
      <c r="E2119" s="93"/>
      <c r="F2119" s="93"/>
      <c r="G2119" s="93"/>
      <c r="H2119" s="93"/>
      <c r="I2119" s="93"/>
      <c r="J2119" s="93"/>
      <c r="K2119" s="93"/>
      <c r="L2119" s="93"/>
      <c r="M2119" s="93"/>
      <c r="N2119" s="422">
        <v>32.28</v>
      </c>
      <c r="O2119" s="417">
        <v>32.28</v>
      </c>
      <c r="P2119" s="422">
        <v>32.28</v>
      </c>
      <c r="Q2119" s="417">
        <v>32.28</v>
      </c>
      <c r="R2119" s="422">
        <v>32.28</v>
      </c>
      <c r="S2119" s="422">
        <v>32.28</v>
      </c>
      <c r="T2119" s="93"/>
      <c r="U2119" s="93"/>
      <c r="V2119" s="93"/>
      <c r="W2119" s="93"/>
      <c r="X2119" s="93"/>
      <c r="Y2119" s="93"/>
      <c r="Z2119" s="93"/>
      <c r="AA2119" s="93"/>
      <c r="AB2119" s="93"/>
      <c r="AC2119" s="93"/>
      <c r="AD2119" s="93"/>
      <c r="AE2119" s="93"/>
      <c r="AF2119" s="79"/>
    </row>
    <row r="2120" spans="1:34">
      <c r="AH2120">
        <v>2119</v>
      </c>
    </row>
    <row r="2121" spans="1:34">
      <c r="AH2121">
        <v>2119</v>
      </c>
    </row>
    <row r="2122" spans="1:34">
      <c r="AH2122">
        <v>2119</v>
      </c>
    </row>
    <row r="2123" spans="1:34">
      <c r="A2123" s="699"/>
      <c r="B2123" s="93"/>
      <c r="C2123" s="93"/>
      <c r="D2123" s="93"/>
      <c r="E2123" s="93"/>
      <c r="F2123" s="93"/>
      <c r="G2123" s="93"/>
      <c r="H2123" s="93"/>
      <c r="I2123" s="93"/>
      <c r="J2123" s="93"/>
      <c r="K2123" s="93"/>
      <c r="L2123" s="93"/>
      <c r="M2123" s="93"/>
      <c r="N2123" s="422">
        <v>32.28</v>
      </c>
      <c r="O2123" s="422">
        <v>32.28</v>
      </c>
      <c r="P2123" s="422">
        <v>32.28</v>
      </c>
      <c r="Q2123" s="417">
        <v>32.28</v>
      </c>
      <c r="R2123" s="417">
        <v>32.28</v>
      </c>
      <c r="S2123" s="422">
        <v>32.28</v>
      </c>
      <c r="T2123" s="93"/>
      <c r="U2123" s="93"/>
      <c r="V2123" s="93"/>
      <c r="W2123" s="93"/>
      <c r="X2123" s="93"/>
      <c r="Y2123" s="93"/>
      <c r="Z2123" s="93"/>
      <c r="AA2123" s="93"/>
      <c r="AB2123" s="93"/>
      <c r="AC2123" s="93"/>
      <c r="AD2123" s="93"/>
      <c r="AE2123" s="93"/>
      <c r="AF2123" s="79"/>
    </row>
    <row r="2124" spans="1:34">
      <c r="AH2124">
        <v>2123</v>
      </c>
    </row>
    <row r="2125" spans="1:34">
      <c r="A2125" s="699"/>
      <c r="B2125" s="93"/>
      <c r="C2125" s="93"/>
      <c r="D2125" s="93"/>
      <c r="E2125" s="93"/>
      <c r="F2125" s="93"/>
      <c r="G2125" s="93"/>
      <c r="H2125" s="93"/>
      <c r="I2125" s="93"/>
      <c r="J2125" s="93"/>
      <c r="K2125" s="93"/>
      <c r="L2125" s="93"/>
      <c r="M2125" s="93"/>
      <c r="N2125" s="422">
        <v>32.28</v>
      </c>
      <c r="O2125" s="422">
        <v>32.28</v>
      </c>
      <c r="P2125" s="422">
        <v>32.28</v>
      </c>
      <c r="Q2125" s="422">
        <v>32.28</v>
      </c>
      <c r="R2125" s="417">
        <v>32.28</v>
      </c>
      <c r="S2125" s="422">
        <v>32.28</v>
      </c>
      <c r="T2125" s="93"/>
      <c r="U2125" s="93"/>
      <c r="V2125" s="93"/>
      <c r="W2125" s="93"/>
      <c r="X2125" s="93"/>
      <c r="Y2125" s="93"/>
      <c r="Z2125" s="93"/>
      <c r="AA2125" s="93"/>
      <c r="AB2125" s="93"/>
      <c r="AC2125" s="93"/>
      <c r="AD2125" s="93"/>
      <c r="AE2125" s="93"/>
      <c r="AF2125" s="79"/>
    </row>
    <row r="2126" spans="1:34">
      <c r="A2126" s="699"/>
      <c r="B2126" s="93"/>
      <c r="C2126" s="93"/>
      <c r="D2126" s="93"/>
      <c r="E2126" s="93"/>
      <c r="F2126" s="93"/>
      <c r="G2126" s="93"/>
      <c r="H2126" s="93"/>
      <c r="I2126" s="93"/>
      <c r="J2126" s="93"/>
      <c r="K2126" s="93"/>
      <c r="L2126" s="93"/>
      <c r="M2126" s="93"/>
      <c r="N2126" s="422">
        <v>32.28</v>
      </c>
      <c r="O2126" s="417">
        <v>32.28</v>
      </c>
      <c r="P2126" s="422">
        <v>32.28</v>
      </c>
      <c r="Q2126" s="422">
        <v>32.28</v>
      </c>
      <c r="R2126" s="417">
        <v>32.28</v>
      </c>
      <c r="S2126" s="422">
        <v>32.28</v>
      </c>
      <c r="T2126" s="93"/>
      <c r="U2126" s="93"/>
      <c r="V2126" s="93"/>
      <c r="W2126" s="93"/>
      <c r="X2126" s="93"/>
      <c r="Y2126" s="93"/>
      <c r="Z2126" s="93"/>
      <c r="AA2126" s="93"/>
      <c r="AB2126" s="93"/>
      <c r="AC2126" s="93"/>
      <c r="AD2126" s="93"/>
      <c r="AE2126" s="93"/>
      <c r="AF2126" s="79"/>
    </row>
    <row r="2127" spans="1:34">
      <c r="A2127" s="699"/>
      <c r="B2127" s="93"/>
      <c r="C2127" s="93"/>
      <c r="D2127" s="93"/>
      <c r="E2127" s="93"/>
      <c r="F2127" s="93"/>
      <c r="G2127" s="93"/>
      <c r="H2127" s="93"/>
      <c r="I2127" s="93"/>
      <c r="J2127" s="93"/>
      <c r="K2127" s="93"/>
      <c r="L2127" s="93"/>
      <c r="M2127" s="93"/>
      <c r="N2127" s="422">
        <v>32.28</v>
      </c>
      <c r="O2127" s="417">
        <v>32.28</v>
      </c>
      <c r="P2127" s="422">
        <v>32.28</v>
      </c>
      <c r="Q2127" s="417">
        <v>32.28</v>
      </c>
      <c r="R2127" s="417">
        <v>32.28</v>
      </c>
      <c r="S2127" s="422">
        <v>32.28</v>
      </c>
      <c r="T2127" s="93"/>
      <c r="U2127" s="93"/>
      <c r="V2127" s="93"/>
      <c r="W2127" s="93"/>
      <c r="X2127" s="93"/>
      <c r="Y2127" s="93"/>
      <c r="Z2127" s="93"/>
      <c r="AA2127" s="93"/>
      <c r="AB2127" s="93"/>
      <c r="AC2127" s="93"/>
      <c r="AD2127" s="93"/>
      <c r="AE2127" s="93"/>
      <c r="AF2127" s="79"/>
    </row>
    <row r="2128" spans="1:34">
      <c r="AH2128">
        <v>2119</v>
      </c>
    </row>
    <row r="2129" spans="1:34">
      <c r="AH2129">
        <v>2119</v>
      </c>
    </row>
    <row r="2130" spans="1:34">
      <c r="A2130" s="699"/>
      <c r="B2130" s="93"/>
      <c r="C2130" s="93"/>
      <c r="D2130" s="93"/>
      <c r="E2130" s="93"/>
      <c r="F2130" s="93"/>
      <c r="G2130" s="93"/>
      <c r="H2130" s="93"/>
      <c r="I2130" s="93"/>
      <c r="J2130" s="93"/>
      <c r="K2130" s="93"/>
      <c r="L2130" s="93"/>
      <c r="M2130" s="93"/>
      <c r="N2130" s="422">
        <v>32.28</v>
      </c>
      <c r="O2130" s="422">
        <v>32.28</v>
      </c>
      <c r="P2130" s="422">
        <v>32.28</v>
      </c>
      <c r="Q2130" s="417">
        <v>32.28</v>
      </c>
      <c r="R2130" s="422">
        <v>32.28</v>
      </c>
      <c r="S2130" s="422">
        <v>32.28</v>
      </c>
      <c r="T2130" s="93"/>
      <c r="U2130" s="93"/>
      <c r="V2130" s="93"/>
      <c r="W2130" s="93"/>
      <c r="X2130" s="93"/>
      <c r="Y2130" s="93"/>
      <c r="Z2130" s="93"/>
      <c r="AA2130" s="93"/>
      <c r="AB2130" s="93"/>
      <c r="AC2130" s="93"/>
      <c r="AD2130" s="93"/>
      <c r="AE2130" s="93"/>
      <c r="AF2130" s="79"/>
    </row>
    <row r="2131" spans="1:34">
      <c r="AH2131">
        <v>2130</v>
      </c>
    </row>
    <row r="2132" spans="1:34">
      <c r="AH2132">
        <v>2130</v>
      </c>
    </row>
    <row r="2133" spans="1:34">
      <c r="AH2133">
        <v>2130</v>
      </c>
    </row>
    <row r="2134" spans="1:34">
      <c r="AH2134">
        <v>2119</v>
      </c>
    </row>
    <row r="2135" spans="1:34">
      <c r="A2135" s="699"/>
      <c r="B2135" s="93"/>
      <c r="C2135" s="93"/>
      <c r="D2135" s="93"/>
      <c r="E2135" s="93"/>
      <c r="F2135" s="93"/>
      <c r="G2135" s="93"/>
      <c r="H2135" s="93"/>
      <c r="I2135" s="93"/>
      <c r="J2135" s="93"/>
      <c r="K2135" s="93"/>
      <c r="L2135" s="93"/>
      <c r="M2135" s="93"/>
      <c r="N2135" s="422">
        <v>32.28</v>
      </c>
      <c r="O2135" s="417">
        <v>32.28</v>
      </c>
      <c r="P2135" s="422">
        <v>32.28</v>
      </c>
      <c r="Q2135" s="422">
        <v>32.28</v>
      </c>
      <c r="R2135" s="422">
        <v>32.28</v>
      </c>
      <c r="S2135" s="422">
        <v>32.28</v>
      </c>
      <c r="T2135" s="93"/>
      <c r="U2135" s="93"/>
      <c r="V2135" s="93"/>
      <c r="W2135" s="93"/>
      <c r="X2135" s="93"/>
      <c r="Y2135" s="93"/>
      <c r="Z2135" s="93"/>
      <c r="AA2135" s="93"/>
      <c r="AB2135" s="93"/>
      <c r="AC2135" s="93"/>
      <c r="AD2135" s="93"/>
      <c r="AE2135" s="93"/>
      <c r="AF2135" s="79"/>
    </row>
    <row r="2136" spans="1:34">
      <c r="AH2136">
        <v>2126</v>
      </c>
    </row>
    <row r="2137" spans="1:34">
      <c r="AH2137">
        <v>2126</v>
      </c>
    </row>
    <row r="2138" spans="1:34">
      <c r="AH2138">
        <v>2126</v>
      </c>
    </row>
    <row r="2139" spans="1:34">
      <c r="AH2139">
        <v>2114</v>
      </c>
    </row>
    <row r="2140" spans="1:34">
      <c r="AH2140">
        <v>2113</v>
      </c>
    </row>
    <row r="2141" spans="1:34">
      <c r="A2141" s="699"/>
      <c r="B2141" s="93"/>
      <c r="C2141" s="93"/>
      <c r="D2141" s="93"/>
      <c r="E2141" s="93"/>
      <c r="F2141" s="93"/>
      <c r="G2141" s="93"/>
      <c r="H2141" s="93"/>
      <c r="I2141" s="93"/>
      <c r="J2141" s="93"/>
      <c r="K2141" s="93"/>
      <c r="L2141" s="93"/>
      <c r="M2141" s="93"/>
      <c r="N2141" s="417">
        <v>32</v>
      </c>
      <c r="O2141" s="422">
        <v>20.28</v>
      </c>
      <c r="P2141" s="422">
        <v>8.18</v>
      </c>
      <c r="Q2141" s="422">
        <v>16.2</v>
      </c>
      <c r="R2141" s="422">
        <v>15.2</v>
      </c>
      <c r="S2141" s="417">
        <v>32</v>
      </c>
      <c r="T2141" s="93"/>
      <c r="U2141" s="93"/>
      <c r="V2141" s="93"/>
      <c r="W2141" s="93"/>
      <c r="X2141" s="93"/>
      <c r="Y2141" s="93"/>
      <c r="Z2141" s="93"/>
      <c r="AA2141" s="93"/>
      <c r="AB2141" s="93"/>
      <c r="AC2141" s="93"/>
      <c r="AD2141" s="93"/>
      <c r="AE2141" s="93"/>
      <c r="AF2141" s="79"/>
    </row>
    <row r="2142" spans="1:34">
      <c r="A2142" s="699"/>
      <c r="B2142" s="93"/>
      <c r="C2142" s="93"/>
      <c r="D2142" s="93"/>
      <c r="E2142" s="93"/>
      <c r="F2142" s="93"/>
      <c r="G2142" s="93"/>
      <c r="H2142" s="93"/>
      <c r="I2142" s="93"/>
      <c r="J2142" s="93"/>
      <c r="K2142" s="93"/>
      <c r="L2142" s="93"/>
      <c r="M2142" s="93"/>
      <c r="N2142" s="422">
        <v>32.17</v>
      </c>
      <c r="O2142" s="417">
        <v>28.29</v>
      </c>
      <c r="P2142" s="417">
        <v>32</v>
      </c>
      <c r="Q2142" s="417">
        <v>32</v>
      </c>
      <c r="R2142" s="417">
        <v>30.31</v>
      </c>
      <c r="S2142" s="422">
        <v>32.08</v>
      </c>
      <c r="T2142" s="93"/>
      <c r="U2142" s="93"/>
      <c r="V2142" s="93"/>
      <c r="W2142" s="93"/>
      <c r="X2142" s="93"/>
      <c r="Y2142" s="93"/>
      <c r="Z2142" s="93"/>
      <c r="AA2142" s="93"/>
      <c r="AB2142" s="93"/>
      <c r="AC2142" s="93"/>
      <c r="AD2142" s="93"/>
      <c r="AE2142" s="93"/>
      <c r="AF2142" s="79"/>
    </row>
    <row r="2143" spans="1:34">
      <c r="A2143" s="699"/>
      <c r="B2143" s="93"/>
      <c r="C2143" s="93"/>
      <c r="D2143" s="93"/>
      <c r="E2143" s="93"/>
      <c r="F2143" s="93"/>
      <c r="G2143" s="93"/>
      <c r="H2143" s="93"/>
      <c r="I2143" s="93"/>
      <c r="J2143" s="93"/>
      <c r="K2143" s="93"/>
      <c r="L2143" s="93"/>
      <c r="M2143" s="93"/>
      <c r="N2143" s="422">
        <v>31.06</v>
      </c>
      <c r="O2143" s="417">
        <v>30.31</v>
      </c>
      <c r="P2143" s="417">
        <v>28.29</v>
      </c>
      <c r="Q2143" s="417">
        <v>30.31</v>
      </c>
      <c r="R2143" s="417">
        <v>28.29</v>
      </c>
      <c r="S2143" s="422">
        <v>31.18</v>
      </c>
      <c r="T2143" s="93"/>
      <c r="U2143" s="93"/>
      <c r="V2143" s="93"/>
      <c r="W2143" s="93"/>
      <c r="X2143" s="93"/>
      <c r="Y2143" s="93"/>
      <c r="Z2143" s="93"/>
      <c r="AA2143" s="93"/>
      <c r="AB2143" s="93"/>
      <c r="AC2143" s="93"/>
      <c r="AD2143" s="93"/>
      <c r="AE2143" s="93"/>
      <c r="AF2143" s="79"/>
    </row>
    <row r="2144" spans="1:34">
      <c r="A2144" s="73"/>
      <c r="B2144" s="73"/>
      <c r="C2144" s="73"/>
      <c r="D2144" s="73"/>
      <c r="E2144" s="73"/>
      <c r="F2144" s="73"/>
      <c r="G2144" s="73"/>
      <c r="H2144" s="73"/>
      <c r="I2144" s="73"/>
      <c r="J2144" s="73"/>
      <c r="K2144" s="73"/>
      <c r="L2144" s="73"/>
      <c r="M2144" s="73"/>
      <c r="N2144" s="73"/>
      <c r="O2144" s="73"/>
      <c r="P2144" s="73"/>
      <c r="Q2144" s="73"/>
      <c r="R2144" s="73"/>
      <c r="S2144" s="73"/>
      <c r="T2144" s="73"/>
      <c r="U2144" s="73"/>
      <c r="V2144" s="73"/>
      <c r="W2144" s="73"/>
      <c r="X2144" s="73"/>
      <c r="Y2144" s="73"/>
      <c r="Z2144" s="73"/>
      <c r="AA2144" s="73"/>
      <c r="AB2144" s="73"/>
      <c r="AC2144" s="73"/>
      <c r="AD2144" s="73"/>
      <c r="AE2144" s="73"/>
      <c r="AF2144" s="73"/>
      <c r="AH2144">
        <v>2141</v>
      </c>
    </row>
    <row r="2145" spans="1:33">
      <c r="A2145" s="753"/>
      <c r="B2145" s="711"/>
      <c r="C2145" s="711"/>
      <c r="D2145" s="711"/>
      <c r="E2145" s="711"/>
      <c r="F2145" s="711"/>
      <c r="G2145" s="711"/>
      <c r="H2145" s="711"/>
      <c r="I2145" s="711"/>
      <c r="J2145" s="711"/>
      <c r="K2145" s="711"/>
      <c r="L2145" s="711"/>
      <c r="M2145" s="711"/>
      <c r="N2145" s="711"/>
      <c r="O2145" s="711"/>
      <c r="P2145" s="711"/>
      <c r="Q2145" s="711"/>
      <c r="R2145" s="711"/>
      <c r="S2145" s="711"/>
      <c r="T2145" s="711"/>
      <c r="U2145" s="711"/>
      <c r="V2145" s="711"/>
      <c r="W2145" s="711"/>
      <c r="X2145" s="711"/>
      <c r="Y2145" s="711"/>
      <c r="Z2145" s="711"/>
      <c r="AA2145" s="711"/>
      <c r="AB2145" s="711"/>
      <c r="AC2145" s="711"/>
      <c r="AD2145" s="711"/>
      <c r="AE2145" s="711"/>
      <c r="AF2145" s="530"/>
      <c r="AG2145">
        <v>68</v>
      </c>
    </row>
    <row r="2146" spans="1:33">
      <c r="A2146" s="699"/>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c r="AF2146" s="79"/>
    </row>
    <row r="2147" spans="1:33">
      <c r="A2147" s="699"/>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c r="AF2147" s="79"/>
    </row>
    <row r="2148" spans="1:33">
      <c r="A2148" s="699"/>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c r="AF2148" s="79"/>
      <c r="AG2148">
        <v>1</v>
      </c>
    </row>
    <row r="2149" spans="1:33">
      <c r="A2149" s="699"/>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c r="AF2149" s="79"/>
    </row>
    <row r="2150" spans="1:33">
      <c r="A2150" s="699"/>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c r="AF2150" s="79"/>
    </row>
    <row r="2151" spans="1:33">
      <c r="A2151" s="699"/>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c r="AF2151" s="79"/>
    </row>
    <row r="2152" spans="1:33">
      <c r="A2152" s="699"/>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c r="AF2152" s="79"/>
    </row>
    <row r="2153" spans="1:33">
      <c r="A2153" s="699"/>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c r="AF2153" s="79"/>
    </row>
    <row r="2154" spans="1:33">
      <c r="A2154" s="699"/>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c r="AF2154" s="79"/>
    </row>
    <row r="2155" spans="1:33">
      <c r="A2155" s="699"/>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c r="AF2155" s="79"/>
    </row>
    <row r="2156" spans="1:33">
      <c r="A2156" s="699"/>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c r="AF2156" s="79"/>
    </row>
    <row r="2157" spans="1:33">
      <c r="A2157" s="699"/>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c r="AF2157" s="79"/>
    </row>
    <row r="2158" spans="1:33">
      <c r="A2158" s="699"/>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c r="AF2158" s="79"/>
    </row>
    <row r="2159" spans="1:33">
      <c r="A2159" s="416">
        <v>2.2999999999999998</v>
      </c>
      <c r="B2159" s="416">
        <v>2.2999999999999998</v>
      </c>
      <c r="C2159" s="416">
        <v>2.2999999999999998</v>
      </c>
      <c r="D2159" s="416">
        <v>2.2999999999999998</v>
      </c>
      <c r="E2159" s="416">
        <v>2.2999999999999998</v>
      </c>
      <c r="F2159" s="416">
        <v>2.2999999999999998</v>
      </c>
      <c r="G2159" s="416">
        <v>2.2999999999999998</v>
      </c>
      <c r="H2159" s="416">
        <v>2.2999999999999998</v>
      </c>
      <c r="I2159" s="416">
        <v>2.2999999999999998</v>
      </c>
      <c r="J2159" s="416">
        <v>2.2999999999999998</v>
      </c>
      <c r="K2159" s="416">
        <v>2.2999999999999998</v>
      </c>
      <c r="L2159" s="416">
        <v>2.2999999999999998</v>
      </c>
      <c r="M2159" s="416">
        <v>2.2999999999999998</v>
      </c>
      <c r="N2159" s="416">
        <v>2.2999999999999998</v>
      </c>
      <c r="O2159" s="416">
        <v>2.2999999999999998</v>
      </c>
      <c r="P2159" s="416">
        <v>2.2999999999999998</v>
      </c>
      <c r="Q2159" s="416">
        <v>2.2999999999999998</v>
      </c>
      <c r="R2159" s="416">
        <v>2.2999999999999998</v>
      </c>
      <c r="S2159" s="416">
        <v>2.2999999999999998</v>
      </c>
      <c r="T2159" s="416">
        <v>2.2999999999999998</v>
      </c>
      <c r="U2159" s="416">
        <v>2.2999999999999998</v>
      </c>
      <c r="V2159" s="416">
        <v>2.2999999999999998</v>
      </c>
      <c r="W2159" s="416">
        <v>2.2999999999999998</v>
      </c>
      <c r="X2159" s="416">
        <v>2.2999999999999998</v>
      </c>
      <c r="Y2159" s="416">
        <v>2.2999999999999998</v>
      </c>
      <c r="Z2159" s="416">
        <v>2.2999999999999998</v>
      </c>
      <c r="AA2159" s="416">
        <v>2.2999999999999998</v>
      </c>
      <c r="AB2159" s="416">
        <v>2.2999999999999998</v>
      </c>
      <c r="AC2159" s="416">
        <v>2.2999999999999998</v>
      </c>
      <c r="AD2159" s="416">
        <v>2.2999999999999998</v>
      </c>
      <c r="AE2159" s="416">
        <v>2.2999999999999998</v>
      </c>
      <c r="AF2159" s="416">
        <v>2.2999999999999998</v>
      </c>
    </row>
    <row r="2160" spans="1:33">
      <c r="A2160" s="421">
        <v>32</v>
      </c>
      <c r="B2160" s="432">
        <v>32</v>
      </c>
      <c r="C2160" s="420">
        <v>32</v>
      </c>
      <c r="D2160" s="416">
        <v>3</v>
      </c>
      <c r="E2160" s="416">
        <v>3</v>
      </c>
      <c r="F2160" s="432">
        <v>32</v>
      </c>
      <c r="G2160" s="420">
        <v>32</v>
      </c>
      <c r="H2160" s="416">
        <v>3</v>
      </c>
      <c r="I2160" s="416">
        <v>3</v>
      </c>
      <c r="J2160" s="432">
        <v>32</v>
      </c>
      <c r="K2160" s="420">
        <v>32</v>
      </c>
      <c r="L2160" s="416">
        <v>3</v>
      </c>
      <c r="M2160" s="416">
        <v>3</v>
      </c>
      <c r="N2160" s="432">
        <v>32</v>
      </c>
      <c r="O2160" s="420">
        <v>32</v>
      </c>
      <c r="P2160" s="416">
        <v>3</v>
      </c>
      <c r="Q2160" s="416">
        <v>3</v>
      </c>
      <c r="R2160" s="432">
        <v>32</v>
      </c>
      <c r="S2160" s="420">
        <v>32</v>
      </c>
      <c r="T2160" s="416">
        <v>3</v>
      </c>
      <c r="U2160" s="416">
        <v>3</v>
      </c>
      <c r="V2160" s="432">
        <v>32</v>
      </c>
      <c r="W2160" s="420">
        <v>32</v>
      </c>
      <c r="X2160" s="416">
        <v>3</v>
      </c>
      <c r="Y2160" s="416">
        <v>3</v>
      </c>
      <c r="Z2160" s="432">
        <v>32</v>
      </c>
      <c r="AA2160" s="420">
        <v>32</v>
      </c>
      <c r="AB2160" s="416">
        <v>3</v>
      </c>
      <c r="AC2160" s="416">
        <v>3</v>
      </c>
      <c r="AD2160" s="432">
        <v>32</v>
      </c>
      <c r="AE2160" s="432">
        <v>32</v>
      </c>
      <c r="AF2160" s="420">
        <v>32</v>
      </c>
    </row>
    <row r="2161" spans="1:34">
      <c r="A2161" s="421">
        <v>32</v>
      </c>
      <c r="B2161" s="416">
        <v>32</v>
      </c>
      <c r="C2161" s="417">
        <v>32</v>
      </c>
      <c r="D2161" s="416">
        <v>3</v>
      </c>
      <c r="E2161" s="416">
        <v>3</v>
      </c>
      <c r="F2161" s="421">
        <v>32</v>
      </c>
      <c r="G2161" s="417">
        <v>32</v>
      </c>
      <c r="H2161" s="416">
        <v>3</v>
      </c>
      <c r="I2161" s="416">
        <v>3</v>
      </c>
      <c r="J2161" s="421">
        <v>32</v>
      </c>
      <c r="K2161" s="417">
        <v>32</v>
      </c>
      <c r="L2161" s="416">
        <v>3</v>
      </c>
      <c r="M2161" s="416">
        <v>3</v>
      </c>
      <c r="N2161" s="421">
        <v>32</v>
      </c>
      <c r="O2161" s="417">
        <v>32</v>
      </c>
      <c r="P2161" s="416">
        <v>3</v>
      </c>
      <c r="Q2161" s="416">
        <v>3</v>
      </c>
      <c r="R2161" s="421">
        <v>32</v>
      </c>
      <c r="S2161" s="417">
        <v>32</v>
      </c>
      <c r="T2161" s="416">
        <v>3</v>
      </c>
      <c r="U2161" s="416">
        <v>3</v>
      </c>
      <c r="V2161" s="421">
        <v>32</v>
      </c>
      <c r="W2161" s="417">
        <v>32</v>
      </c>
      <c r="X2161" s="416">
        <v>3</v>
      </c>
      <c r="Y2161" s="416">
        <v>3</v>
      </c>
      <c r="Z2161" s="421">
        <v>32</v>
      </c>
      <c r="AA2161" s="417">
        <v>32</v>
      </c>
      <c r="AB2161" s="416">
        <v>3</v>
      </c>
      <c r="AC2161" s="416">
        <v>3</v>
      </c>
      <c r="AD2161" s="421">
        <v>32</v>
      </c>
      <c r="AE2161" s="417">
        <v>32</v>
      </c>
      <c r="AF2161" s="416">
        <v>32</v>
      </c>
    </row>
    <row r="2162" spans="1:34">
      <c r="AH2162">
        <v>2159</v>
      </c>
    </row>
    <row r="2163" spans="1:34">
      <c r="A2163" s="699"/>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c r="AF2163" s="79"/>
    </row>
    <row r="2164" spans="1:34">
      <c r="A2164" s="699"/>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c r="AF2164" s="79"/>
    </row>
    <row r="2165" spans="1:34">
      <c r="A2165" s="699"/>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c r="AF2165" s="79"/>
    </row>
    <row r="2166" spans="1:34">
      <c r="A2166" s="699"/>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c r="AF2166" s="79"/>
    </row>
    <row r="2167" spans="1:34">
      <c r="A2167" s="699"/>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c r="AF2167" s="79"/>
    </row>
    <row r="2168" spans="1:34">
      <c r="A2168" s="699"/>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c r="AF2168" s="79"/>
    </row>
    <row r="2169" spans="1:34">
      <c r="A2169" s="699"/>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c r="AF2169" s="79"/>
    </row>
    <row r="2170" spans="1:34">
      <c r="A2170" s="699"/>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c r="AF2170" s="79"/>
    </row>
    <row r="2171" spans="1:34">
      <c r="A2171" s="699"/>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c r="AF2171" s="79"/>
    </row>
    <row r="2172" spans="1:34">
      <c r="A2172" s="699"/>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c r="AF2172" s="79"/>
    </row>
    <row r="2173" spans="1:34">
      <c r="A2173" s="699"/>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c r="AF2173" s="79"/>
    </row>
    <row r="2174" spans="1:34">
      <c r="A2174" s="699"/>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c r="AF2174" s="79"/>
    </row>
    <row r="2175" spans="1:34">
      <c r="A2175" s="699"/>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c r="AF2175" s="79"/>
    </row>
    <row r="2176" spans="1:34">
      <c r="A2176" s="700"/>
      <c r="B2176" s="73"/>
      <c r="C2176" s="73"/>
      <c r="D2176" s="73"/>
      <c r="E2176" s="73"/>
      <c r="F2176" s="73"/>
      <c r="G2176" s="73"/>
      <c r="H2176" s="73"/>
      <c r="I2176" s="73"/>
      <c r="J2176" s="73"/>
      <c r="K2176" s="73"/>
      <c r="L2176" s="73"/>
      <c r="M2176" s="73"/>
      <c r="N2176" s="73"/>
      <c r="O2176" s="73"/>
      <c r="P2176" s="73"/>
      <c r="Q2176" s="73"/>
      <c r="R2176" s="73"/>
      <c r="S2176" s="73"/>
      <c r="T2176" s="73"/>
      <c r="U2176" s="73"/>
      <c r="V2176" s="73"/>
      <c r="W2176" s="73"/>
      <c r="X2176" s="73"/>
      <c r="Y2176" s="73"/>
      <c r="Z2176" s="73"/>
      <c r="AA2176" s="73"/>
      <c r="AB2176" s="73"/>
      <c r="AC2176" s="73"/>
      <c r="AD2176" s="73"/>
      <c r="AE2176" s="73"/>
      <c r="AF2176" s="701"/>
    </row>
    <row r="2177" spans="1:33">
      <c r="A2177" s="753"/>
      <c r="B2177" s="711"/>
      <c r="C2177" s="711"/>
      <c r="D2177" s="711"/>
      <c r="E2177" s="711"/>
      <c r="F2177" s="711"/>
      <c r="G2177" s="711"/>
      <c r="H2177" s="711"/>
      <c r="I2177" s="711"/>
      <c r="J2177" s="711"/>
      <c r="K2177" s="711"/>
      <c r="L2177" s="711"/>
      <c r="M2177" s="711"/>
      <c r="N2177" s="711"/>
      <c r="O2177" s="711"/>
      <c r="P2177" s="711"/>
      <c r="Q2177" s="711"/>
      <c r="R2177" s="711"/>
      <c r="S2177" s="711"/>
      <c r="T2177" s="711"/>
      <c r="U2177" s="711"/>
      <c r="V2177" s="711"/>
      <c r="W2177" s="711"/>
      <c r="X2177" s="711"/>
      <c r="Y2177" s="711"/>
      <c r="Z2177" s="711"/>
      <c r="AA2177" s="711"/>
      <c r="AB2177" s="711"/>
      <c r="AC2177" s="711"/>
      <c r="AD2177" s="711"/>
      <c r="AE2177" s="711"/>
      <c r="AF2177" s="530"/>
      <c r="AG2177">
        <v>69</v>
      </c>
    </row>
    <row r="2178" spans="1:33">
      <c r="A2178" s="699"/>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c r="AF2178" s="79"/>
    </row>
    <row r="2179" spans="1:33">
      <c r="A2179" s="699"/>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c r="AF2179" s="79"/>
    </row>
    <row r="2180" spans="1:33">
      <c r="A2180" s="699"/>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c r="AF2180" s="79"/>
    </row>
    <row r="2181" spans="1:33">
      <c r="A2181" s="699"/>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c r="AF2181" s="79"/>
    </row>
    <row r="2182" spans="1:33">
      <c r="A2182" s="699"/>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c r="AF2182" s="79"/>
    </row>
    <row r="2183" spans="1:33">
      <c r="A2183" s="699"/>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c r="AF2183" s="79"/>
      <c r="AG2183">
        <v>32</v>
      </c>
    </row>
    <row r="2184" spans="1:33">
      <c r="A2184" s="699"/>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c r="AF2184" s="79"/>
      <c r="AG2184">
        <v>11</v>
      </c>
    </row>
    <row r="2185" spans="1:33">
      <c r="A2185" s="699"/>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c r="AF2185" s="79"/>
    </row>
    <row r="2186" spans="1:33">
      <c r="A2186" s="699"/>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c r="AF2186" s="79"/>
    </row>
    <row r="2187" spans="1:33">
      <c r="A2187" s="699"/>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c r="AF2187" s="79"/>
      <c r="AG2187">
        <v>22</v>
      </c>
    </row>
    <row r="2188" spans="1:33">
      <c r="A2188" s="699"/>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c r="AF2188" s="79"/>
      <c r="AG2188">
        <v>-1</v>
      </c>
    </row>
    <row r="2189" spans="1:33">
      <c r="A2189" s="699"/>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c r="AF2189" s="79"/>
      <c r="AG2189">
        <v>5</v>
      </c>
    </row>
    <row r="2190" spans="1:33">
      <c r="A2190" s="439">
        <v>8.25</v>
      </c>
      <c r="B2190" s="439">
        <v>8.25</v>
      </c>
      <c r="C2190" s="411">
        <v>8.25</v>
      </c>
      <c r="D2190" s="439">
        <v>8.25</v>
      </c>
      <c r="E2190" s="439">
        <v>7.26</v>
      </c>
      <c r="F2190" s="439">
        <v>6.27</v>
      </c>
      <c r="G2190" s="439">
        <v>5.28</v>
      </c>
      <c r="H2190" s="439">
        <v>4.29</v>
      </c>
      <c r="I2190" s="411">
        <v>3.3</v>
      </c>
      <c r="J2190" s="439">
        <v>2.31</v>
      </c>
      <c r="K2190" s="439">
        <v>1.32</v>
      </c>
      <c r="L2190" s="439">
        <v>1.32</v>
      </c>
      <c r="M2190" s="439">
        <v>1.32</v>
      </c>
      <c r="N2190" s="439">
        <v>1.32</v>
      </c>
      <c r="O2190" s="439">
        <v>1.32</v>
      </c>
      <c r="P2190" s="439">
        <v>1.32</v>
      </c>
      <c r="Q2190" s="439">
        <v>1.32</v>
      </c>
      <c r="R2190" s="439">
        <v>1.32</v>
      </c>
      <c r="S2190" s="439">
        <v>1.32</v>
      </c>
      <c r="T2190" s="439">
        <v>1.32</v>
      </c>
      <c r="U2190" s="439">
        <v>1.32</v>
      </c>
      <c r="V2190" s="439">
        <v>1.32</v>
      </c>
      <c r="W2190" s="439">
        <v>2.31</v>
      </c>
      <c r="X2190" s="411">
        <v>3.3</v>
      </c>
      <c r="Y2190" s="439">
        <v>4.29</v>
      </c>
      <c r="Z2190" s="439">
        <v>5.28</v>
      </c>
      <c r="AA2190" s="439">
        <v>6.27</v>
      </c>
      <c r="AB2190" s="439">
        <v>7.26</v>
      </c>
      <c r="AC2190" s="439">
        <v>8.25</v>
      </c>
      <c r="AD2190" s="411">
        <v>8.25</v>
      </c>
      <c r="AE2190" s="439">
        <v>8.25</v>
      </c>
      <c r="AF2190" s="439">
        <v>8.25</v>
      </c>
    </row>
    <row r="2191" spans="1:33">
      <c r="A2191" s="432">
        <v>31.32</v>
      </c>
      <c r="B2191" s="432">
        <v>9.24</v>
      </c>
      <c r="C2191" s="432">
        <v>9.24</v>
      </c>
      <c r="D2191" s="432">
        <v>9.24</v>
      </c>
      <c r="E2191" s="432">
        <v>8.25</v>
      </c>
      <c r="F2191" s="432">
        <v>7.26</v>
      </c>
      <c r="G2191" s="432">
        <v>6.27</v>
      </c>
      <c r="H2191" s="432">
        <v>5.28</v>
      </c>
      <c r="I2191" s="432">
        <v>4.29</v>
      </c>
      <c r="J2191" s="432">
        <v>3.3</v>
      </c>
      <c r="K2191" s="432">
        <v>2.31</v>
      </c>
      <c r="L2191" s="432">
        <v>2.31</v>
      </c>
      <c r="M2191" s="432">
        <v>2.31</v>
      </c>
      <c r="N2191" s="432">
        <v>2.31</v>
      </c>
      <c r="O2191" s="432">
        <v>2.31</v>
      </c>
      <c r="P2191" s="432">
        <v>2.31</v>
      </c>
      <c r="Q2191" s="432">
        <v>2.31</v>
      </c>
      <c r="R2191" s="432">
        <v>2.31</v>
      </c>
      <c r="S2191" s="432">
        <v>2.31</v>
      </c>
      <c r="T2191" s="432">
        <v>2.31</v>
      </c>
      <c r="U2191" s="432">
        <v>2.31</v>
      </c>
      <c r="V2191" s="432">
        <v>2.31</v>
      </c>
      <c r="W2191" s="432">
        <v>3.3</v>
      </c>
      <c r="X2191" s="432">
        <v>4.29</v>
      </c>
      <c r="Y2191" s="432">
        <v>5.28</v>
      </c>
      <c r="Z2191" s="432">
        <v>6.27</v>
      </c>
      <c r="AA2191" s="432">
        <v>7.26</v>
      </c>
      <c r="AB2191" s="432">
        <v>8.25</v>
      </c>
      <c r="AC2191" s="432">
        <v>9.24</v>
      </c>
      <c r="AD2191" s="432">
        <v>9.24</v>
      </c>
      <c r="AE2191" s="432">
        <v>9.24</v>
      </c>
      <c r="AF2191" s="432">
        <v>31.32</v>
      </c>
    </row>
    <row r="2192" spans="1:33">
      <c r="A2192" s="421">
        <v>1.02</v>
      </c>
      <c r="B2192" s="411">
        <v>32.08</v>
      </c>
      <c r="C2192" s="439">
        <v>32.08</v>
      </c>
      <c r="D2192" s="439">
        <v>32.07</v>
      </c>
      <c r="E2192" s="439">
        <v>32.06</v>
      </c>
      <c r="F2192" s="439">
        <v>32.049999999999997</v>
      </c>
      <c r="G2192" s="439">
        <v>32.04</v>
      </c>
      <c r="H2192" s="439">
        <v>32.03</v>
      </c>
      <c r="I2192" s="439">
        <v>32.020000000000003</v>
      </c>
      <c r="J2192" s="439">
        <v>32</v>
      </c>
      <c r="K2192" s="439">
        <v>32</v>
      </c>
      <c r="L2192" s="439">
        <v>32</v>
      </c>
      <c r="M2192" s="439">
        <v>32</v>
      </c>
      <c r="N2192" s="439">
        <v>32</v>
      </c>
      <c r="O2192" s="439">
        <v>32</v>
      </c>
      <c r="P2192" s="439">
        <v>32</v>
      </c>
      <c r="Q2192" s="439">
        <v>32</v>
      </c>
      <c r="R2192" s="439">
        <v>32</v>
      </c>
      <c r="S2192" s="439">
        <v>32</v>
      </c>
      <c r="T2192" s="439">
        <v>32</v>
      </c>
      <c r="U2192" s="439">
        <v>32</v>
      </c>
      <c r="V2192" s="439">
        <v>32</v>
      </c>
      <c r="W2192" s="439">
        <v>32</v>
      </c>
      <c r="X2192" s="439">
        <v>32.020000000000003</v>
      </c>
      <c r="Y2192" s="439">
        <v>32.03</v>
      </c>
      <c r="Z2192" s="439">
        <v>32.04</v>
      </c>
      <c r="AA2192" s="439">
        <v>32.049999999999997</v>
      </c>
      <c r="AB2192" s="439">
        <v>32.06</v>
      </c>
      <c r="AC2192" s="439">
        <v>32.07</v>
      </c>
      <c r="AD2192" s="439">
        <v>32.08</v>
      </c>
      <c r="AE2192" s="411">
        <v>32.08</v>
      </c>
      <c r="AF2192" s="421">
        <v>1.02</v>
      </c>
    </row>
    <row r="2193" spans="1:34">
      <c r="A2193" s="421">
        <v>1.02</v>
      </c>
      <c r="B2193" s="439">
        <v>32.08</v>
      </c>
      <c r="C2193" s="438">
        <v>32.08</v>
      </c>
      <c r="D2193" s="439">
        <v>32.07</v>
      </c>
      <c r="E2193" s="439">
        <v>32.06</v>
      </c>
      <c r="F2193" s="438">
        <v>32.049999999999997</v>
      </c>
      <c r="G2193" s="439">
        <v>32.04</v>
      </c>
      <c r="H2193" s="439">
        <v>32.03</v>
      </c>
      <c r="I2193" s="438">
        <v>32.020000000000003</v>
      </c>
      <c r="J2193" s="439">
        <v>32</v>
      </c>
      <c r="K2193" s="439">
        <v>32</v>
      </c>
      <c r="L2193" s="438">
        <v>32</v>
      </c>
      <c r="M2193" s="439">
        <v>32</v>
      </c>
      <c r="N2193" s="439">
        <v>32</v>
      </c>
      <c r="O2193" s="438">
        <v>32</v>
      </c>
      <c r="P2193" s="439">
        <v>32</v>
      </c>
      <c r="Q2193" s="439">
        <v>32</v>
      </c>
      <c r="R2193" s="438">
        <v>32</v>
      </c>
      <c r="S2193" s="439">
        <v>32</v>
      </c>
      <c r="T2193" s="439">
        <v>32</v>
      </c>
      <c r="U2193" s="438">
        <v>32</v>
      </c>
      <c r="V2193" s="439">
        <v>32</v>
      </c>
      <c r="W2193" s="439">
        <v>32</v>
      </c>
      <c r="X2193" s="438">
        <v>32.020000000000003</v>
      </c>
      <c r="Y2193" s="439">
        <v>32.03</v>
      </c>
      <c r="Z2193" s="439">
        <v>32.04</v>
      </c>
      <c r="AA2193" s="438">
        <v>32.049999999999997</v>
      </c>
      <c r="AB2193" s="439">
        <v>32.06</v>
      </c>
      <c r="AC2193" s="439">
        <v>32.07</v>
      </c>
      <c r="AD2193" s="438">
        <v>32.08</v>
      </c>
      <c r="AE2193" s="439">
        <v>32.08</v>
      </c>
      <c r="AF2193" s="421">
        <v>1.02</v>
      </c>
    </row>
    <row r="2194" spans="1:34">
      <c r="AH2194">
        <v>2192</v>
      </c>
    </row>
    <row r="2195" spans="1:34">
      <c r="AH2195">
        <v>2191</v>
      </c>
    </row>
    <row r="2196" spans="1:34">
      <c r="AH2196">
        <v>2190</v>
      </c>
    </row>
    <row r="2197" spans="1:34">
      <c r="A2197" s="699"/>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c r="AF2197" s="79"/>
    </row>
    <row r="2198" spans="1:34">
      <c r="A2198" s="699"/>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c r="AF2198" s="79"/>
    </row>
    <row r="2199" spans="1:34">
      <c r="A2199" s="699"/>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c r="AF2199" s="79"/>
    </row>
    <row r="2200" spans="1:34">
      <c r="A2200" s="699"/>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c r="AF2200" s="79"/>
    </row>
    <row r="2201" spans="1:34">
      <c r="A2201" s="699"/>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c r="AF2201" s="79"/>
    </row>
    <row r="2202" spans="1:34">
      <c r="A2202" s="699"/>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c r="AF2202" s="79"/>
    </row>
    <row r="2203" spans="1:34">
      <c r="A2203" s="699"/>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c r="AF2203" s="79"/>
    </row>
    <row r="2204" spans="1:34">
      <c r="A2204" s="699"/>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c r="AF2204" s="79"/>
    </row>
    <row r="2205" spans="1:34">
      <c r="A2205" s="699"/>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c r="AF2205" s="79"/>
    </row>
    <row r="2206" spans="1:34">
      <c r="A2206" s="699"/>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c r="AF2206" s="79"/>
    </row>
    <row r="2207" spans="1:34">
      <c r="A2207" s="699"/>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c r="AF2207" s="79"/>
    </row>
    <row r="2208" spans="1:34">
      <c r="A2208" s="700"/>
      <c r="B2208" s="73"/>
      <c r="C2208" s="73"/>
      <c r="D2208" s="73"/>
      <c r="E2208" s="73"/>
      <c r="F2208" s="73"/>
      <c r="G2208" s="73"/>
      <c r="H2208" s="73"/>
      <c r="I2208" s="73"/>
      <c r="J2208" s="73"/>
      <c r="K2208" s="73"/>
      <c r="L2208" s="73"/>
      <c r="M2208" s="73"/>
      <c r="N2208" s="73"/>
      <c r="O2208" s="73"/>
      <c r="P2208" s="73"/>
      <c r="Q2208" s="73"/>
      <c r="R2208" s="73"/>
      <c r="S2208" s="73"/>
      <c r="T2208" s="73"/>
      <c r="U2208" s="73"/>
      <c r="V2208" s="73"/>
      <c r="W2208" s="73"/>
      <c r="X2208" s="73"/>
      <c r="Y2208" s="73"/>
      <c r="Z2208" s="73"/>
      <c r="AA2208" s="73"/>
      <c r="AB2208" s="73"/>
      <c r="AC2208" s="73"/>
      <c r="AD2208" s="73"/>
      <c r="AE2208" s="73"/>
      <c r="AF2208" s="701"/>
    </row>
    <row r="2209" spans="1:34">
      <c r="A2209" s="432">
        <v>18.18</v>
      </c>
      <c r="B2209" s="432">
        <v>18.18</v>
      </c>
      <c r="C2209" s="432">
        <v>18.18</v>
      </c>
      <c r="D2209" s="432">
        <v>18.18</v>
      </c>
      <c r="E2209" s="432">
        <v>18.18</v>
      </c>
      <c r="F2209" s="432">
        <v>18.18</v>
      </c>
      <c r="G2209" s="432">
        <v>18.18</v>
      </c>
      <c r="H2209" s="432">
        <v>18.18</v>
      </c>
      <c r="I2209" s="432">
        <v>18.18</v>
      </c>
      <c r="J2209" s="432">
        <v>18.18</v>
      </c>
      <c r="K2209" s="432">
        <v>18.18</v>
      </c>
      <c r="L2209" s="432">
        <v>18.18</v>
      </c>
      <c r="M2209" s="432">
        <v>18.18</v>
      </c>
      <c r="N2209" s="432">
        <v>18.18</v>
      </c>
      <c r="O2209" s="432">
        <v>18.18</v>
      </c>
      <c r="P2209" s="432">
        <v>18.18</v>
      </c>
      <c r="Q2209" s="432">
        <v>18.18</v>
      </c>
      <c r="R2209" s="432">
        <v>18.18</v>
      </c>
      <c r="S2209" s="432">
        <v>18.18</v>
      </c>
      <c r="T2209" s="432">
        <v>18.18</v>
      </c>
      <c r="U2209" s="432">
        <v>18.18</v>
      </c>
      <c r="V2209" s="432">
        <v>18.18</v>
      </c>
      <c r="W2209" s="432">
        <v>18.18</v>
      </c>
      <c r="X2209" s="432">
        <v>18.18</v>
      </c>
      <c r="Y2209" s="432">
        <v>18.18</v>
      </c>
      <c r="Z2209" s="432">
        <v>18.18</v>
      </c>
      <c r="AA2209" s="432">
        <v>18.18</v>
      </c>
      <c r="AB2209" s="432">
        <v>18.18</v>
      </c>
      <c r="AC2209" s="432">
        <v>18.18</v>
      </c>
      <c r="AD2209" s="432">
        <v>18.18</v>
      </c>
      <c r="AE2209" s="432">
        <v>18.18</v>
      </c>
      <c r="AF2209" s="432">
        <v>18.18</v>
      </c>
      <c r="AG2209">
        <v>70</v>
      </c>
    </row>
    <row r="2210" spans="1:34">
      <c r="A2210" s="432">
        <v>18.18</v>
      </c>
      <c r="B2210" s="410">
        <v>18.18</v>
      </c>
      <c r="C2210" s="411">
        <v>18.18</v>
      </c>
      <c r="D2210" s="439">
        <v>18.18</v>
      </c>
      <c r="E2210" s="411">
        <v>18.18</v>
      </c>
      <c r="F2210" s="411">
        <v>18.18</v>
      </c>
      <c r="G2210" s="411">
        <v>18.18</v>
      </c>
      <c r="H2210" s="411">
        <v>18.18</v>
      </c>
      <c r="I2210" s="452">
        <v>18.18</v>
      </c>
      <c r="J2210" s="452">
        <v>18.18</v>
      </c>
      <c r="K2210" s="452">
        <v>18.18</v>
      </c>
      <c r="L2210" s="452">
        <v>18.18</v>
      </c>
      <c r="M2210" s="452">
        <v>18.18</v>
      </c>
      <c r="N2210" s="452">
        <v>18.18</v>
      </c>
      <c r="O2210" s="452">
        <v>18.18</v>
      </c>
      <c r="P2210" s="452">
        <v>18.18</v>
      </c>
      <c r="Q2210" s="411">
        <v>18.18</v>
      </c>
      <c r="R2210" s="411">
        <v>18.18</v>
      </c>
      <c r="S2210" s="411">
        <v>18.18</v>
      </c>
      <c r="T2210" s="411">
        <v>18.18</v>
      </c>
      <c r="U2210" s="411">
        <v>18.18</v>
      </c>
      <c r="V2210" s="411">
        <v>18.18</v>
      </c>
      <c r="W2210" s="411">
        <v>18.18</v>
      </c>
      <c r="X2210" s="411">
        <v>18.18</v>
      </c>
      <c r="Y2210" s="411">
        <v>18.18</v>
      </c>
      <c r="Z2210" s="411">
        <v>18.18</v>
      </c>
      <c r="AA2210" s="411">
        <v>18.18</v>
      </c>
      <c r="AB2210" s="411">
        <v>18.18</v>
      </c>
      <c r="AC2210" s="439">
        <v>18.18</v>
      </c>
      <c r="AD2210" s="410">
        <v>18.18</v>
      </c>
      <c r="AE2210" s="411">
        <v>18.18</v>
      </c>
      <c r="AF2210" s="432">
        <v>18.18</v>
      </c>
    </row>
    <row r="2211" spans="1:34">
      <c r="A2211" s="432">
        <v>18.18</v>
      </c>
      <c r="B2211" s="452">
        <v>18.18</v>
      </c>
      <c r="C2211" s="421">
        <v>18.18</v>
      </c>
      <c r="D2211" s="439">
        <v>18.18</v>
      </c>
      <c r="E2211" s="432">
        <v>18.18</v>
      </c>
      <c r="F2211" s="432">
        <v>18.18</v>
      </c>
      <c r="G2211" s="432">
        <v>18.18</v>
      </c>
      <c r="H2211" s="432">
        <v>18.18</v>
      </c>
      <c r="I2211" s="432">
        <v>18.18</v>
      </c>
      <c r="J2211" s="432">
        <v>18.18</v>
      </c>
      <c r="K2211" s="432">
        <v>18.18</v>
      </c>
      <c r="L2211" s="432">
        <v>18.18</v>
      </c>
      <c r="M2211" s="432">
        <v>18.18</v>
      </c>
      <c r="N2211" s="432">
        <v>18.18</v>
      </c>
      <c r="O2211" s="432">
        <v>18.18</v>
      </c>
      <c r="P2211" s="432">
        <v>18.18</v>
      </c>
      <c r="Q2211" s="432">
        <v>18.18</v>
      </c>
      <c r="R2211" s="432">
        <v>18.18</v>
      </c>
      <c r="S2211" s="432">
        <v>18.18</v>
      </c>
      <c r="T2211" s="432">
        <v>18.18</v>
      </c>
      <c r="U2211" s="432">
        <v>18.18</v>
      </c>
      <c r="V2211" s="432">
        <v>18.18</v>
      </c>
      <c r="W2211" s="432">
        <v>18.18</v>
      </c>
      <c r="X2211" s="432">
        <v>18.18</v>
      </c>
      <c r="Y2211" s="432">
        <v>18.18</v>
      </c>
      <c r="Z2211" s="432">
        <v>18.18</v>
      </c>
      <c r="AA2211" s="432">
        <v>18.18</v>
      </c>
      <c r="AB2211" s="432">
        <v>18.18</v>
      </c>
      <c r="AC2211" s="432">
        <v>18.18</v>
      </c>
      <c r="AD2211" s="452">
        <v>18.18</v>
      </c>
      <c r="AE2211" s="421">
        <v>18.18</v>
      </c>
      <c r="AF2211" s="432">
        <v>18.18</v>
      </c>
    </row>
    <row r="2212" spans="1:34">
      <c r="A2212" s="432">
        <v>18.18</v>
      </c>
      <c r="B2212" s="432">
        <v>18.18</v>
      </c>
      <c r="C2212" s="432">
        <v>18.18</v>
      </c>
      <c r="D2212" s="439">
        <v>18.18</v>
      </c>
      <c r="E2212" s="439">
        <v>18.18</v>
      </c>
      <c r="F2212" s="439">
        <v>18.18</v>
      </c>
      <c r="G2212" s="439">
        <v>18.18</v>
      </c>
      <c r="H2212" s="439">
        <v>18.18</v>
      </c>
      <c r="I2212" s="439">
        <v>18.18</v>
      </c>
      <c r="J2212" s="439">
        <v>18.18</v>
      </c>
      <c r="K2212" s="439">
        <v>18.18</v>
      </c>
      <c r="L2212" s="439">
        <v>18.18</v>
      </c>
      <c r="M2212" s="439">
        <v>18.18</v>
      </c>
      <c r="N2212" s="439">
        <v>18.18</v>
      </c>
      <c r="O2212" s="439">
        <v>18.18</v>
      </c>
      <c r="P2212" s="439">
        <v>18.18</v>
      </c>
      <c r="Q2212" s="439">
        <v>18.18</v>
      </c>
      <c r="R2212" s="439">
        <v>18.18</v>
      </c>
      <c r="S2212" s="439">
        <v>18.18</v>
      </c>
      <c r="T2212" s="439">
        <v>18.18</v>
      </c>
      <c r="U2212" s="439">
        <v>18.18</v>
      </c>
      <c r="V2212" s="439">
        <v>18.18</v>
      </c>
      <c r="W2212" s="439">
        <v>18.18</v>
      </c>
      <c r="X2212" s="439">
        <v>18.18</v>
      </c>
      <c r="Y2212" s="439">
        <v>18.18</v>
      </c>
      <c r="Z2212" s="439">
        <v>18.18</v>
      </c>
      <c r="AA2212" s="439">
        <v>18.18</v>
      </c>
      <c r="AB2212" s="439">
        <v>18.18</v>
      </c>
      <c r="AC2212" s="439">
        <v>18.18</v>
      </c>
      <c r="AD2212" s="432">
        <v>18.18</v>
      </c>
      <c r="AE2212" s="432">
        <v>18.18</v>
      </c>
      <c r="AF2212" s="432">
        <v>18.18</v>
      </c>
    </row>
    <row r="2213" spans="1:34">
      <c r="A2213" s="432">
        <v>18.18</v>
      </c>
      <c r="B2213" s="452">
        <v>18.18</v>
      </c>
      <c r="C2213" s="439">
        <v>18.18</v>
      </c>
      <c r="D2213" s="439">
        <v>18.18</v>
      </c>
      <c r="E2213" s="439">
        <v>18.18</v>
      </c>
      <c r="F2213" s="439">
        <v>18.18</v>
      </c>
      <c r="G2213" s="439">
        <v>18.18</v>
      </c>
      <c r="H2213" s="439">
        <v>18.18</v>
      </c>
      <c r="I2213" s="439">
        <v>18.18</v>
      </c>
      <c r="J2213" s="439">
        <v>18.18</v>
      </c>
      <c r="K2213" s="439">
        <v>18.18</v>
      </c>
      <c r="L2213" s="439">
        <v>18.18</v>
      </c>
      <c r="M2213" s="439">
        <v>18.18</v>
      </c>
      <c r="N2213" s="439">
        <v>18.18</v>
      </c>
      <c r="O2213" s="439">
        <v>18.18</v>
      </c>
      <c r="P2213" s="439">
        <v>18.18</v>
      </c>
      <c r="Q2213" s="439">
        <v>18.18</v>
      </c>
      <c r="R2213" s="439">
        <v>18.18</v>
      </c>
      <c r="S2213" s="439">
        <v>18.18</v>
      </c>
      <c r="T2213" s="439">
        <v>18.18</v>
      </c>
      <c r="U2213" s="439">
        <v>18.18</v>
      </c>
      <c r="V2213" s="439">
        <v>18.18</v>
      </c>
      <c r="W2213" s="439">
        <v>18.18</v>
      </c>
      <c r="X2213" s="439">
        <v>18.18</v>
      </c>
      <c r="Y2213" s="439">
        <v>18.18</v>
      </c>
      <c r="Z2213" s="439">
        <v>18.18</v>
      </c>
      <c r="AA2213" s="439">
        <v>18.18</v>
      </c>
      <c r="AB2213" s="439">
        <v>18.18</v>
      </c>
      <c r="AC2213" s="439">
        <v>18.18</v>
      </c>
      <c r="AD2213" s="439">
        <v>18.18</v>
      </c>
      <c r="AE2213" s="411">
        <v>18.18</v>
      </c>
      <c r="AF2213" s="432">
        <v>18.18</v>
      </c>
    </row>
    <row r="2214" spans="1:34">
      <c r="A2214" s="432">
        <v>18.18</v>
      </c>
      <c r="B2214" s="411">
        <v>18.18</v>
      </c>
      <c r="C2214" s="432">
        <v>18.18</v>
      </c>
      <c r="D2214" s="439">
        <v>18.18</v>
      </c>
      <c r="E2214" s="439">
        <v>18.18</v>
      </c>
      <c r="F2214" s="439">
        <v>18.18</v>
      </c>
      <c r="G2214" s="411">
        <v>18.18</v>
      </c>
      <c r="H2214" s="411">
        <v>18.18</v>
      </c>
      <c r="I2214" s="439">
        <v>18.18</v>
      </c>
      <c r="J2214" s="439">
        <v>18.18</v>
      </c>
      <c r="K2214" s="439">
        <v>18.18</v>
      </c>
      <c r="L2214" s="411">
        <v>18.18</v>
      </c>
      <c r="M2214" s="411">
        <v>18.18</v>
      </c>
      <c r="N2214" s="439">
        <v>18.18</v>
      </c>
      <c r="O2214" s="439">
        <v>18.18</v>
      </c>
      <c r="P2214" s="439">
        <v>18.18</v>
      </c>
      <c r="Q2214" s="411">
        <v>18.18</v>
      </c>
      <c r="R2214" s="411">
        <v>18.18</v>
      </c>
      <c r="S2214" s="439">
        <v>18.18</v>
      </c>
      <c r="T2214" s="439">
        <v>18.18</v>
      </c>
      <c r="U2214" s="439">
        <v>18.18</v>
      </c>
      <c r="V2214" s="411">
        <v>18.18</v>
      </c>
      <c r="W2214" s="411">
        <v>18.18</v>
      </c>
      <c r="X2214" s="439">
        <v>18.18</v>
      </c>
      <c r="Y2214" s="439">
        <v>18.18</v>
      </c>
      <c r="Z2214" s="439">
        <v>18.18</v>
      </c>
      <c r="AA2214" s="411">
        <v>18.18</v>
      </c>
      <c r="AB2214" s="411">
        <v>18.18</v>
      </c>
      <c r="AC2214" s="439">
        <v>18.18</v>
      </c>
      <c r="AD2214" s="439">
        <v>18.18</v>
      </c>
      <c r="AE2214" s="411">
        <v>18.18</v>
      </c>
      <c r="AF2214" s="432">
        <v>18.18</v>
      </c>
    </row>
    <row r="2215" spans="1:34">
      <c r="A2215" s="432">
        <v>18.18</v>
      </c>
      <c r="B2215" s="411">
        <v>18.18</v>
      </c>
      <c r="C2215" s="432">
        <v>18.18</v>
      </c>
      <c r="D2215" s="439">
        <v>18.18</v>
      </c>
      <c r="E2215" s="439">
        <v>18.18</v>
      </c>
      <c r="F2215" s="411">
        <v>18.18</v>
      </c>
      <c r="G2215" s="452">
        <v>18.18</v>
      </c>
      <c r="H2215" s="432">
        <v>18.18</v>
      </c>
      <c r="I2215" s="439">
        <v>18.18</v>
      </c>
      <c r="J2215" s="439">
        <v>18.18</v>
      </c>
      <c r="K2215" s="411">
        <v>18.18</v>
      </c>
      <c r="L2215" s="452">
        <v>18.18</v>
      </c>
      <c r="M2215" s="432">
        <v>18.18</v>
      </c>
      <c r="N2215" s="439">
        <v>18.18</v>
      </c>
      <c r="O2215" s="439">
        <v>18.18</v>
      </c>
      <c r="P2215" s="411">
        <v>18.18</v>
      </c>
      <c r="Q2215" s="452">
        <v>18.18</v>
      </c>
      <c r="R2215" s="432">
        <v>18.18</v>
      </c>
      <c r="S2215" s="439">
        <v>18.18</v>
      </c>
      <c r="T2215" s="439">
        <v>18.18</v>
      </c>
      <c r="U2215" s="411">
        <v>18.18</v>
      </c>
      <c r="V2215" s="452">
        <v>18.18</v>
      </c>
      <c r="W2215" s="432">
        <v>18.18</v>
      </c>
      <c r="X2215" s="439">
        <v>18.18</v>
      </c>
      <c r="Y2215" s="439">
        <v>18.18</v>
      </c>
      <c r="Z2215" s="411">
        <v>18.18</v>
      </c>
      <c r="AA2215" s="452">
        <v>18.18</v>
      </c>
      <c r="AB2215" s="432">
        <v>18.18</v>
      </c>
      <c r="AC2215" s="439">
        <v>18.18</v>
      </c>
      <c r="AD2215" s="439">
        <v>18.18</v>
      </c>
      <c r="AE2215" s="411">
        <v>18.18</v>
      </c>
      <c r="AF2215" s="432">
        <v>18.18</v>
      </c>
    </row>
    <row r="2216" spans="1:34">
      <c r="A2216" s="432">
        <v>18.18</v>
      </c>
      <c r="B2216" s="411">
        <v>18.18</v>
      </c>
      <c r="C2216" s="432">
        <v>18.18</v>
      </c>
      <c r="D2216" s="439">
        <v>18.18</v>
      </c>
      <c r="E2216" s="439">
        <v>18.18</v>
      </c>
      <c r="F2216" s="411">
        <v>18.18</v>
      </c>
      <c r="G2216" s="432">
        <v>18.18</v>
      </c>
      <c r="H2216" s="439">
        <v>18.18</v>
      </c>
      <c r="I2216" s="439">
        <v>18.18</v>
      </c>
      <c r="J2216" s="439">
        <v>18.18</v>
      </c>
      <c r="K2216" s="411">
        <v>18.18</v>
      </c>
      <c r="L2216" s="432">
        <v>18.18</v>
      </c>
      <c r="M2216" s="439">
        <v>18.18</v>
      </c>
      <c r="N2216" s="439">
        <v>18.18</v>
      </c>
      <c r="O2216" s="439">
        <v>18.18</v>
      </c>
      <c r="P2216" s="411">
        <v>18.18</v>
      </c>
      <c r="Q2216" s="432">
        <v>18.18</v>
      </c>
      <c r="R2216" s="439">
        <v>18.18</v>
      </c>
      <c r="S2216" s="439">
        <v>18.18</v>
      </c>
      <c r="T2216" s="439">
        <v>18.18</v>
      </c>
      <c r="U2216" s="411">
        <v>18.18</v>
      </c>
      <c r="V2216" s="432">
        <v>18.18</v>
      </c>
      <c r="W2216" s="439">
        <v>18.18</v>
      </c>
      <c r="X2216" s="439">
        <v>18.18</v>
      </c>
      <c r="Y2216" s="439">
        <v>18.18</v>
      </c>
      <c r="Z2216" s="411">
        <v>18.18</v>
      </c>
      <c r="AA2216" s="432">
        <v>18.18</v>
      </c>
      <c r="AB2216" s="439">
        <v>18.18</v>
      </c>
      <c r="AC2216" s="439">
        <v>18.18</v>
      </c>
      <c r="AD2216" s="439">
        <v>18.18</v>
      </c>
      <c r="AE2216" s="411">
        <v>18.18</v>
      </c>
      <c r="AF2216" s="432">
        <v>18.18</v>
      </c>
    </row>
    <row r="2217" spans="1:34">
      <c r="A2217" s="432">
        <v>18.18</v>
      </c>
      <c r="B2217" s="411">
        <v>18.18</v>
      </c>
      <c r="C2217" s="432">
        <v>18.18</v>
      </c>
      <c r="D2217" s="439">
        <v>18.18</v>
      </c>
      <c r="E2217" s="439">
        <v>18.18</v>
      </c>
      <c r="F2217" s="439">
        <v>18.18</v>
      </c>
      <c r="G2217" s="439">
        <v>18.18</v>
      </c>
      <c r="H2217" s="439">
        <v>18.18</v>
      </c>
      <c r="I2217" s="439">
        <v>18.18</v>
      </c>
      <c r="J2217" s="439">
        <v>18.18</v>
      </c>
      <c r="K2217" s="439">
        <v>18.18</v>
      </c>
      <c r="L2217" s="439">
        <v>18.18</v>
      </c>
      <c r="M2217" s="439">
        <v>18.18</v>
      </c>
      <c r="N2217" s="439">
        <v>18.18</v>
      </c>
      <c r="O2217" s="439">
        <v>18.18</v>
      </c>
      <c r="P2217" s="439">
        <v>18.18</v>
      </c>
      <c r="Q2217" s="439">
        <v>18.18</v>
      </c>
      <c r="R2217" s="439">
        <v>18.18</v>
      </c>
      <c r="S2217" s="439">
        <v>18.18</v>
      </c>
      <c r="T2217" s="439">
        <v>18.18</v>
      </c>
      <c r="U2217" s="439">
        <v>18.18</v>
      </c>
      <c r="V2217" s="439">
        <v>18.18</v>
      </c>
      <c r="W2217" s="439">
        <v>18.18</v>
      </c>
      <c r="X2217" s="439">
        <v>18.18</v>
      </c>
      <c r="Y2217" s="439">
        <v>18.18</v>
      </c>
      <c r="Z2217" s="439">
        <v>18.18</v>
      </c>
      <c r="AA2217" s="439">
        <v>18.18</v>
      </c>
      <c r="AB2217" s="439">
        <v>18.18</v>
      </c>
      <c r="AC2217" s="439">
        <v>18.18</v>
      </c>
      <c r="AD2217" s="439">
        <v>18.18</v>
      </c>
      <c r="AE2217" s="411">
        <v>18.18</v>
      </c>
      <c r="AF2217" s="432">
        <v>18.18</v>
      </c>
    </row>
    <row r="2218" spans="1:34">
      <c r="AH2218">
        <v>2217</v>
      </c>
    </row>
    <row r="2219" spans="1:34">
      <c r="AH2219">
        <v>2214</v>
      </c>
    </row>
    <row r="2220" spans="1:34">
      <c r="AH2220">
        <v>2215</v>
      </c>
    </row>
    <row r="2221" spans="1:34">
      <c r="AH2221">
        <v>2216</v>
      </c>
    </row>
    <row r="2222" spans="1:34">
      <c r="AH2222">
        <v>2217</v>
      </c>
    </row>
    <row r="2223" spans="1:34">
      <c r="AH2223">
        <v>2217</v>
      </c>
    </row>
    <row r="2224" spans="1:34">
      <c r="AH2224">
        <v>2214</v>
      </c>
    </row>
    <row r="2225" spans="1:34">
      <c r="AH2225">
        <v>2215</v>
      </c>
    </row>
    <row r="2226" spans="1:34">
      <c r="AH2226">
        <v>2216</v>
      </c>
    </row>
    <row r="2227" spans="1:34">
      <c r="AH2227">
        <v>2217</v>
      </c>
    </row>
    <row r="2228" spans="1:34">
      <c r="AH2228">
        <v>2217</v>
      </c>
    </row>
    <row r="2229" spans="1:34">
      <c r="AH2229">
        <v>2214</v>
      </c>
    </row>
    <row r="2230" spans="1:34">
      <c r="AH2230">
        <v>2215</v>
      </c>
    </row>
    <row r="2231" spans="1:34">
      <c r="AH2231">
        <v>2216</v>
      </c>
    </row>
    <row r="2232" spans="1:34">
      <c r="AH2232">
        <v>2217</v>
      </c>
    </row>
    <row r="2233" spans="1:34">
      <c r="AH2233">
        <v>2217</v>
      </c>
    </row>
    <row r="2234" spans="1:34">
      <c r="AH2234">
        <v>2214</v>
      </c>
    </row>
    <row r="2235" spans="1:34">
      <c r="AH2235">
        <v>2215</v>
      </c>
    </row>
    <row r="2236" spans="1:34">
      <c r="A2236" s="432">
        <v>18.18</v>
      </c>
      <c r="B2236" s="432">
        <v>18.18</v>
      </c>
      <c r="C2236" s="432">
        <v>18.18</v>
      </c>
      <c r="D2236" s="439">
        <v>18.18</v>
      </c>
      <c r="E2236" s="439">
        <v>18.18</v>
      </c>
      <c r="F2236" s="411">
        <v>18.18</v>
      </c>
      <c r="G2236" s="432">
        <v>18.18</v>
      </c>
      <c r="H2236" s="439">
        <v>18.18</v>
      </c>
      <c r="I2236" s="439">
        <v>18.18</v>
      </c>
      <c r="J2236" s="439">
        <v>18.18</v>
      </c>
      <c r="K2236" s="411">
        <v>18.18</v>
      </c>
      <c r="L2236" s="432">
        <v>18.18</v>
      </c>
      <c r="M2236" s="439">
        <v>18.18</v>
      </c>
      <c r="N2236" s="439">
        <v>18.18</v>
      </c>
      <c r="O2236" s="439">
        <v>18.18</v>
      </c>
      <c r="P2236" s="411">
        <v>18.18</v>
      </c>
      <c r="Q2236" s="432">
        <v>18.18</v>
      </c>
      <c r="R2236" s="439">
        <v>18.18</v>
      </c>
      <c r="S2236" s="439">
        <v>18.18</v>
      </c>
      <c r="T2236" s="439">
        <v>18.18</v>
      </c>
      <c r="U2236" s="411">
        <v>18.18</v>
      </c>
      <c r="V2236" s="432">
        <v>18.18</v>
      </c>
      <c r="W2236" s="439">
        <v>18.18</v>
      </c>
      <c r="X2236" s="439">
        <v>18.18</v>
      </c>
      <c r="Y2236" s="439">
        <v>18.18</v>
      </c>
      <c r="Z2236" s="411">
        <v>18.18</v>
      </c>
      <c r="AA2236" s="432">
        <v>18.18</v>
      </c>
      <c r="AB2236" s="439">
        <v>18.18</v>
      </c>
      <c r="AC2236" s="439">
        <v>18.18</v>
      </c>
      <c r="AD2236" s="439">
        <v>18.18</v>
      </c>
      <c r="AE2236" s="452">
        <v>18.18</v>
      </c>
      <c r="AF2236" s="432">
        <v>18.18</v>
      </c>
    </row>
    <row r="2237" spans="1:34">
      <c r="A2237" s="432">
        <v>18.18</v>
      </c>
      <c r="B2237" s="439">
        <v>18.18</v>
      </c>
      <c r="C2237" s="432">
        <v>18.18</v>
      </c>
      <c r="D2237" s="439">
        <v>18.18</v>
      </c>
      <c r="E2237" s="439">
        <v>18.18</v>
      </c>
      <c r="F2237" s="439">
        <v>18.18</v>
      </c>
      <c r="G2237" s="439">
        <v>18.18</v>
      </c>
      <c r="H2237" s="439">
        <v>18.18</v>
      </c>
      <c r="I2237" s="439">
        <v>18.18</v>
      </c>
      <c r="J2237" s="439">
        <v>18.18</v>
      </c>
      <c r="K2237" s="439">
        <v>18.18</v>
      </c>
      <c r="L2237" s="439">
        <v>18.18</v>
      </c>
      <c r="M2237" s="439">
        <v>18.18</v>
      </c>
      <c r="N2237" s="439">
        <v>18.18</v>
      </c>
      <c r="O2237" s="439">
        <v>18.18</v>
      </c>
      <c r="P2237" s="439">
        <v>18.18</v>
      </c>
      <c r="Q2237" s="439">
        <v>18.18</v>
      </c>
      <c r="R2237" s="439">
        <v>18.18</v>
      </c>
      <c r="S2237" s="439">
        <v>18.18</v>
      </c>
      <c r="T2237" s="439">
        <v>18.18</v>
      </c>
      <c r="U2237" s="439">
        <v>18.18</v>
      </c>
      <c r="V2237" s="439">
        <v>18.18</v>
      </c>
      <c r="W2237" s="439">
        <v>18.18</v>
      </c>
      <c r="X2237" s="439">
        <v>18.18</v>
      </c>
      <c r="Y2237" s="439">
        <v>18.18</v>
      </c>
      <c r="Z2237" s="439">
        <v>18.18</v>
      </c>
      <c r="AA2237" s="439">
        <v>18.18</v>
      </c>
      <c r="AB2237" s="439">
        <v>18.18</v>
      </c>
      <c r="AC2237" s="439">
        <v>18.18</v>
      </c>
      <c r="AD2237" s="439">
        <v>18.18</v>
      </c>
      <c r="AE2237" s="411">
        <v>18.18</v>
      </c>
      <c r="AF2237" s="432">
        <v>18.18</v>
      </c>
    </row>
    <row r="2238" spans="1:34">
      <c r="A2238" s="432">
        <v>18.18</v>
      </c>
      <c r="B2238" s="410">
        <v>18.18</v>
      </c>
      <c r="C2238" s="411">
        <v>18.18</v>
      </c>
      <c r="D2238" s="439">
        <v>18.18</v>
      </c>
      <c r="E2238" s="439">
        <v>18.18</v>
      </c>
      <c r="F2238" s="439">
        <v>18.18</v>
      </c>
      <c r="G2238" s="439">
        <v>18.18</v>
      </c>
      <c r="H2238" s="439">
        <v>18.18</v>
      </c>
      <c r="I2238" s="439">
        <v>18.18</v>
      </c>
      <c r="J2238" s="439">
        <v>18.18</v>
      </c>
      <c r="K2238" s="439">
        <v>18.18</v>
      </c>
      <c r="L2238" s="439">
        <v>18.18</v>
      </c>
      <c r="M2238" s="439">
        <v>18.18</v>
      </c>
      <c r="N2238" s="439">
        <v>18.18</v>
      </c>
      <c r="O2238" s="439">
        <v>18.18</v>
      </c>
      <c r="P2238" s="439">
        <v>18.18</v>
      </c>
      <c r="Q2238" s="439">
        <v>18.18</v>
      </c>
      <c r="R2238" s="439">
        <v>18.18</v>
      </c>
      <c r="S2238" s="439">
        <v>18.18</v>
      </c>
      <c r="T2238" s="439">
        <v>18.18</v>
      </c>
      <c r="U2238" s="439">
        <v>18.18</v>
      </c>
      <c r="V2238" s="439">
        <v>18.18</v>
      </c>
      <c r="W2238" s="439">
        <v>18.18</v>
      </c>
      <c r="X2238" s="439">
        <v>18.18</v>
      </c>
      <c r="Y2238" s="439">
        <v>18.18</v>
      </c>
      <c r="Z2238" s="439">
        <v>18.18</v>
      </c>
      <c r="AA2238" s="439">
        <v>18.18</v>
      </c>
      <c r="AB2238" s="439">
        <v>18.18</v>
      </c>
      <c r="AC2238" s="439">
        <v>18.18</v>
      </c>
      <c r="AD2238" s="410">
        <v>18.18</v>
      </c>
      <c r="AE2238" s="411">
        <v>18.18</v>
      </c>
      <c r="AF2238" s="432">
        <v>18.18</v>
      </c>
    </row>
    <row r="2239" spans="1:34">
      <c r="A2239" s="432">
        <v>18.18</v>
      </c>
      <c r="B2239" s="452">
        <v>18.18</v>
      </c>
      <c r="C2239" s="421">
        <v>18.18</v>
      </c>
      <c r="D2239" s="439">
        <v>18.18</v>
      </c>
      <c r="E2239" s="411">
        <v>18.18</v>
      </c>
      <c r="F2239" s="411">
        <v>18.18</v>
      </c>
      <c r="G2239" s="411">
        <v>18.18</v>
      </c>
      <c r="H2239" s="411">
        <v>18.18</v>
      </c>
      <c r="I2239" s="411">
        <v>18.18</v>
      </c>
      <c r="J2239" s="411">
        <v>18.18</v>
      </c>
      <c r="K2239" s="411">
        <v>18.18</v>
      </c>
      <c r="L2239" s="411">
        <v>18.18</v>
      </c>
      <c r="M2239" s="411">
        <v>18.18</v>
      </c>
      <c r="N2239" s="411">
        <v>18.18</v>
      </c>
      <c r="O2239" s="411">
        <v>18.18</v>
      </c>
      <c r="P2239" s="411">
        <v>18.18</v>
      </c>
      <c r="Q2239" s="452">
        <v>18.18</v>
      </c>
      <c r="R2239" s="452">
        <v>18.18</v>
      </c>
      <c r="S2239" s="452">
        <v>18.18</v>
      </c>
      <c r="T2239" s="452">
        <v>18.18</v>
      </c>
      <c r="U2239" s="452">
        <v>18.18</v>
      </c>
      <c r="V2239" s="452">
        <v>18.18</v>
      </c>
      <c r="W2239" s="452">
        <v>18.18</v>
      </c>
      <c r="X2239" s="452">
        <v>18.18</v>
      </c>
      <c r="Y2239" s="411">
        <v>18.18</v>
      </c>
      <c r="Z2239" s="411">
        <v>18.18</v>
      </c>
      <c r="AA2239" s="411">
        <v>18.18</v>
      </c>
      <c r="AB2239" s="432">
        <v>18.18</v>
      </c>
      <c r="AC2239" s="439">
        <v>18.18</v>
      </c>
      <c r="AD2239" s="452">
        <v>18.18</v>
      </c>
      <c r="AE2239" s="421">
        <v>18.18</v>
      </c>
      <c r="AF2239" s="432">
        <v>18.18</v>
      </c>
    </row>
    <row r="2240" spans="1:34">
      <c r="AH2240">
        <v>2209</v>
      </c>
    </row>
    <row r="2241" spans="1:33">
      <c r="A2241" s="432">
        <v>18.14</v>
      </c>
      <c r="B2241" s="410">
        <v>18.18</v>
      </c>
      <c r="C2241" s="411">
        <v>18.18</v>
      </c>
      <c r="D2241" s="439">
        <v>18.18</v>
      </c>
      <c r="E2241" s="411">
        <v>18.18</v>
      </c>
      <c r="F2241" s="411">
        <v>18.18</v>
      </c>
      <c r="G2241" s="411">
        <v>18.18</v>
      </c>
      <c r="H2241" s="411">
        <v>18.18</v>
      </c>
      <c r="I2241" s="452">
        <v>18.18</v>
      </c>
      <c r="J2241" s="452">
        <v>18.18</v>
      </c>
      <c r="K2241" s="452">
        <v>18.18</v>
      </c>
      <c r="L2241" s="452">
        <v>18.18</v>
      </c>
      <c r="M2241" s="452">
        <v>18.18</v>
      </c>
      <c r="N2241" s="452">
        <v>18.18</v>
      </c>
      <c r="O2241" s="452">
        <v>18.18</v>
      </c>
      <c r="P2241" s="452">
        <v>18.18</v>
      </c>
      <c r="Q2241" s="411">
        <v>18.18</v>
      </c>
      <c r="R2241" s="411">
        <v>18.18</v>
      </c>
      <c r="S2241" s="411">
        <v>18.18</v>
      </c>
      <c r="T2241" s="411">
        <v>18.18</v>
      </c>
      <c r="U2241" s="411">
        <v>18.18</v>
      </c>
      <c r="V2241" s="411">
        <v>18.18</v>
      </c>
      <c r="W2241" s="411">
        <v>18.18</v>
      </c>
      <c r="X2241" s="411">
        <v>18.18</v>
      </c>
      <c r="Y2241" s="411">
        <v>18.18</v>
      </c>
      <c r="Z2241" s="411">
        <v>18.18</v>
      </c>
      <c r="AA2241" s="411">
        <v>18.18</v>
      </c>
      <c r="AB2241" s="411">
        <v>18.18</v>
      </c>
      <c r="AC2241" s="439">
        <v>18.18</v>
      </c>
      <c r="AD2241" s="410">
        <v>18.18</v>
      </c>
      <c r="AE2241" s="411">
        <v>18.18</v>
      </c>
      <c r="AF2241" s="432">
        <v>18.14</v>
      </c>
      <c r="AG2241">
        <v>71</v>
      </c>
    </row>
    <row r="2242" spans="1:33">
      <c r="A2242" s="432">
        <v>18.13</v>
      </c>
      <c r="B2242" s="452">
        <v>18.18</v>
      </c>
      <c r="C2242" s="421">
        <v>18.18</v>
      </c>
      <c r="D2242" s="439">
        <v>18.18</v>
      </c>
      <c r="E2242" s="432">
        <v>18.18</v>
      </c>
      <c r="F2242" s="432">
        <v>18.18</v>
      </c>
      <c r="G2242" s="432">
        <v>18.18</v>
      </c>
      <c r="H2242" s="432">
        <v>18.18</v>
      </c>
      <c r="I2242" s="432">
        <v>18.18</v>
      </c>
      <c r="J2242" s="432">
        <v>18.18</v>
      </c>
      <c r="K2242" s="432">
        <v>18.18</v>
      </c>
      <c r="L2242" s="432">
        <v>18.18</v>
      </c>
      <c r="M2242" s="432">
        <v>18.18</v>
      </c>
      <c r="N2242" s="432">
        <v>18.18</v>
      </c>
      <c r="O2242" s="432">
        <v>18.18</v>
      </c>
      <c r="P2242" s="432">
        <v>18.18</v>
      </c>
      <c r="Q2242" s="432">
        <v>18.18</v>
      </c>
      <c r="R2242" s="432">
        <v>18.18</v>
      </c>
      <c r="S2242" s="432">
        <v>18.18</v>
      </c>
      <c r="T2242" s="432">
        <v>18.18</v>
      </c>
      <c r="U2242" s="432">
        <v>18.18</v>
      </c>
      <c r="V2242" s="432">
        <v>18.18</v>
      </c>
      <c r="W2242" s="432">
        <v>18.18</v>
      </c>
      <c r="X2242" s="432">
        <v>18.18</v>
      </c>
      <c r="Y2242" s="432">
        <v>18.18</v>
      </c>
      <c r="Z2242" s="432">
        <v>18.18</v>
      </c>
      <c r="AA2242" s="432">
        <v>18.18</v>
      </c>
      <c r="AB2242" s="432">
        <v>18.18</v>
      </c>
      <c r="AC2242" s="432">
        <v>18.18</v>
      </c>
      <c r="AD2242" s="452">
        <v>18.18</v>
      </c>
      <c r="AE2242" s="421">
        <v>18.18</v>
      </c>
      <c r="AF2242" s="432">
        <v>18.13</v>
      </c>
    </row>
    <row r="2243" spans="1:33">
      <c r="A2243" s="432">
        <v>18.12</v>
      </c>
      <c r="B2243" s="411">
        <v>18.18</v>
      </c>
      <c r="C2243" s="432">
        <v>18.18</v>
      </c>
      <c r="D2243" s="439">
        <v>18.18</v>
      </c>
      <c r="E2243" s="439">
        <v>18.18</v>
      </c>
      <c r="F2243" s="439">
        <v>18.18</v>
      </c>
      <c r="G2243" s="411">
        <v>18.18</v>
      </c>
      <c r="H2243" s="411">
        <v>18.18</v>
      </c>
      <c r="I2243" s="439">
        <v>18.18</v>
      </c>
      <c r="J2243" s="439">
        <v>18.18</v>
      </c>
      <c r="K2243" s="439">
        <v>18.18</v>
      </c>
      <c r="L2243" s="411">
        <v>18.18</v>
      </c>
      <c r="M2243" s="411">
        <v>18.18</v>
      </c>
      <c r="N2243" s="439">
        <v>18.18</v>
      </c>
      <c r="O2243" s="439">
        <v>18.18</v>
      </c>
      <c r="P2243" s="439">
        <v>18.18</v>
      </c>
      <c r="Q2243" s="411">
        <v>18.18</v>
      </c>
      <c r="R2243" s="411">
        <v>18.18</v>
      </c>
      <c r="S2243" s="439">
        <v>18.18</v>
      </c>
      <c r="T2243" s="439">
        <v>18.18</v>
      </c>
      <c r="U2243" s="439">
        <v>18.18</v>
      </c>
      <c r="V2243" s="411">
        <v>18.18</v>
      </c>
      <c r="W2243" s="411">
        <v>18.18</v>
      </c>
      <c r="X2243" s="439">
        <v>18.18</v>
      </c>
      <c r="Y2243" s="439">
        <v>18.18</v>
      </c>
      <c r="Z2243" s="439">
        <v>18.18</v>
      </c>
      <c r="AA2243" s="411">
        <v>18.18</v>
      </c>
      <c r="AB2243" s="411">
        <v>18.18</v>
      </c>
      <c r="AC2243" s="439">
        <v>18.18</v>
      </c>
      <c r="AD2243" s="439">
        <v>18.18</v>
      </c>
      <c r="AE2243" s="411">
        <v>18.18</v>
      </c>
      <c r="AF2243" s="432">
        <v>18.12</v>
      </c>
    </row>
    <row r="2244" spans="1:33">
      <c r="A2244" s="432">
        <v>18.12</v>
      </c>
      <c r="B2244" s="411">
        <v>18.18</v>
      </c>
      <c r="C2244" s="432">
        <v>18.18</v>
      </c>
      <c r="D2244" s="439">
        <v>18.18</v>
      </c>
      <c r="E2244" s="439">
        <v>18.18</v>
      </c>
      <c r="F2244" s="411">
        <v>18.18</v>
      </c>
      <c r="G2244" s="452">
        <v>18.18</v>
      </c>
      <c r="H2244" s="432">
        <v>18.18</v>
      </c>
      <c r="I2244" s="439">
        <v>18.18</v>
      </c>
      <c r="J2244" s="439">
        <v>18.18</v>
      </c>
      <c r="K2244" s="411">
        <v>18.18</v>
      </c>
      <c r="L2244" s="452">
        <v>18.18</v>
      </c>
      <c r="M2244" s="432">
        <v>18.18</v>
      </c>
      <c r="N2244" s="439">
        <v>18.18</v>
      </c>
      <c r="O2244" s="439">
        <v>18.18</v>
      </c>
      <c r="P2244" s="411">
        <v>18.18</v>
      </c>
      <c r="Q2244" s="452">
        <v>18.18</v>
      </c>
      <c r="R2244" s="432">
        <v>18.18</v>
      </c>
      <c r="S2244" s="439">
        <v>18.18</v>
      </c>
      <c r="T2244" s="439">
        <v>18.18</v>
      </c>
      <c r="U2244" s="411">
        <v>18.18</v>
      </c>
      <c r="V2244" s="452">
        <v>18.18</v>
      </c>
      <c r="W2244" s="432">
        <v>18.18</v>
      </c>
      <c r="X2244" s="439">
        <v>18.18</v>
      </c>
      <c r="Y2244" s="439">
        <v>18.18</v>
      </c>
      <c r="Z2244" s="411">
        <v>18.18</v>
      </c>
      <c r="AA2244" s="452">
        <v>18.18</v>
      </c>
      <c r="AB2244" s="432">
        <v>18.18</v>
      </c>
      <c r="AC2244" s="439">
        <v>18.18</v>
      </c>
      <c r="AD2244" s="439">
        <v>18.18</v>
      </c>
      <c r="AE2244" s="411">
        <v>18.18</v>
      </c>
      <c r="AF2244" s="432">
        <v>18.12</v>
      </c>
    </row>
    <row r="2245" spans="1:33">
      <c r="A2245" s="432">
        <v>18.11</v>
      </c>
      <c r="B2245" s="411">
        <v>18.18</v>
      </c>
      <c r="C2245" s="432">
        <v>18.18</v>
      </c>
      <c r="D2245" s="439">
        <v>18.18</v>
      </c>
      <c r="E2245" s="439">
        <v>18.18</v>
      </c>
      <c r="F2245" s="411">
        <v>18.18</v>
      </c>
      <c r="G2245" s="432">
        <v>18.18</v>
      </c>
      <c r="H2245" s="439">
        <v>18.18</v>
      </c>
      <c r="I2245" s="439">
        <v>18.18</v>
      </c>
      <c r="J2245" s="439">
        <v>18.18</v>
      </c>
      <c r="K2245" s="411">
        <v>18.18</v>
      </c>
      <c r="L2245" s="432">
        <v>18.18</v>
      </c>
      <c r="M2245" s="439">
        <v>18.18</v>
      </c>
      <c r="N2245" s="439">
        <v>18.18</v>
      </c>
      <c r="O2245" s="439">
        <v>18.18</v>
      </c>
      <c r="P2245" s="411">
        <v>18.18</v>
      </c>
      <c r="Q2245" s="432">
        <v>18.18</v>
      </c>
      <c r="R2245" s="439">
        <v>18.18</v>
      </c>
      <c r="S2245" s="439">
        <v>18.18</v>
      </c>
      <c r="T2245" s="439">
        <v>18.18</v>
      </c>
      <c r="U2245" s="411">
        <v>18.18</v>
      </c>
      <c r="V2245" s="432">
        <v>18.18</v>
      </c>
      <c r="W2245" s="439">
        <v>18.18</v>
      </c>
      <c r="X2245" s="439">
        <v>18.18</v>
      </c>
      <c r="Y2245" s="439">
        <v>18.18</v>
      </c>
      <c r="Z2245" s="411">
        <v>18.18</v>
      </c>
      <c r="AA2245" s="432">
        <v>18.18</v>
      </c>
      <c r="AB2245" s="439">
        <v>18.18</v>
      </c>
      <c r="AC2245" s="439">
        <v>18.18</v>
      </c>
      <c r="AD2245" s="439">
        <v>18.18</v>
      </c>
      <c r="AE2245" s="411">
        <v>18.18</v>
      </c>
      <c r="AF2245" s="432">
        <v>18.11</v>
      </c>
    </row>
    <row r="2246" spans="1:33">
      <c r="A2246" s="432">
        <v>17.100000000000001</v>
      </c>
      <c r="B2246" s="452">
        <v>18.18</v>
      </c>
      <c r="C2246" s="452">
        <v>18.18</v>
      </c>
      <c r="D2246" s="439">
        <v>18.18</v>
      </c>
      <c r="E2246" s="432">
        <v>18.18</v>
      </c>
      <c r="F2246" s="432">
        <v>18.18</v>
      </c>
      <c r="G2246" s="432">
        <v>18.18</v>
      </c>
      <c r="H2246" s="432">
        <v>18.18</v>
      </c>
      <c r="I2246" s="432">
        <v>18.18</v>
      </c>
      <c r="J2246" s="432">
        <v>18.18</v>
      </c>
      <c r="K2246" s="432">
        <v>18.18</v>
      </c>
      <c r="L2246" s="432">
        <v>18.18</v>
      </c>
      <c r="M2246" s="432">
        <v>18.18</v>
      </c>
      <c r="N2246" s="432">
        <v>18.18</v>
      </c>
      <c r="O2246" s="432">
        <v>18.18</v>
      </c>
      <c r="P2246" s="432">
        <v>18.18</v>
      </c>
      <c r="Q2246" s="432">
        <v>18.18</v>
      </c>
      <c r="R2246" s="432">
        <v>18.18</v>
      </c>
      <c r="S2246" s="432">
        <v>18.18</v>
      </c>
      <c r="T2246" s="432">
        <v>18.18</v>
      </c>
      <c r="U2246" s="432">
        <v>18.18</v>
      </c>
      <c r="V2246" s="432">
        <v>18.18</v>
      </c>
      <c r="W2246" s="432">
        <v>18.18</v>
      </c>
      <c r="X2246" s="432">
        <v>18.18</v>
      </c>
      <c r="Y2246" s="432">
        <v>18.18</v>
      </c>
      <c r="Z2246" s="432">
        <v>18.18</v>
      </c>
      <c r="AA2246" s="432">
        <v>18.18</v>
      </c>
      <c r="AB2246" s="432">
        <v>18.18</v>
      </c>
      <c r="AC2246" s="432">
        <v>18.18</v>
      </c>
      <c r="AD2246" s="452">
        <v>18.18</v>
      </c>
      <c r="AE2246" s="452">
        <v>18.18</v>
      </c>
      <c r="AF2246" s="432">
        <v>17.100000000000001</v>
      </c>
    </row>
    <row r="2247" spans="1:33">
      <c r="A2247" s="432">
        <v>17.100000000000001</v>
      </c>
      <c r="B2247" s="410">
        <v>18.18</v>
      </c>
      <c r="C2247" s="432">
        <v>18.18</v>
      </c>
      <c r="D2247" s="439">
        <v>18.18</v>
      </c>
      <c r="E2247" s="411">
        <v>18.18</v>
      </c>
      <c r="F2247" s="411">
        <v>18.18</v>
      </c>
      <c r="G2247" s="411">
        <v>18.18</v>
      </c>
      <c r="H2247" s="411">
        <v>18.18</v>
      </c>
      <c r="I2247" s="452">
        <v>18.18</v>
      </c>
      <c r="J2247" s="452">
        <v>18.18</v>
      </c>
      <c r="K2247" s="452">
        <v>18.18</v>
      </c>
      <c r="L2247" s="452">
        <v>18.18</v>
      </c>
      <c r="M2247" s="452">
        <v>18.18</v>
      </c>
      <c r="N2247" s="452">
        <v>18.18</v>
      </c>
      <c r="O2247" s="452">
        <v>18.18</v>
      </c>
      <c r="P2247" s="452">
        <v>18.18</v>
      </c>
      <c r="Q2247" s="411">
        <v>18.18</v>
      </c>
      <c r="R2247" s="411">
        <v>18.18</v>
      </c>
      <c r="S2247" s="411">
        <v>18.18</v>
      </c>
      <c r="T2247" s="411">
        <v>18.18</v>
      </c>
      <c r="U2247" s="411">
        <v>18.18</v>
      </c>
      <c r="V2247" s="411">
        <v>18.18</v>
      </c>
      <c r="W2247" s="411">
        <v>18.18</v>
      </c>
      <c r="X2247" s="411">
        <v>18.18</v>
      </c>
      <c r="Y2247" s="411">
        <v>18.18</v>
      </c>
      <c r="Z2247" s="411">
        <v>18.18</v>
      </c>
      <c r="AA2247" s="411">
        <v>18.18</v>
      </c>
      <c r="AB2247" s="411">
        <v>18.18</v>
      </c>
      <c r="AC2247" s="439">
        <v>18.18</v>
      </c>
      <c r="AD2247" s="410">
        <v>18.18</v>
      </c>
      <c r="AE2247" s="421">
        <v>18.18</v>
      </c>
      <c r="AF2247" s="432">
        <v>17.100000000000001</v>
      </c>
    </row>
    <row r="2248" spans="1:33">
      <c r="A2248" s="432">
        <v>16.09</v>
      </c>
      <c r="B2248" s="452">
        <v>14.14</v>
      </c>
      <c r="C2248" s="421">
        <v>14.14</v>
      </c>
      <c r="D2248" s="439">
        <v>14.14</v>
      </c>
      <c r="E2248" s="432">
        <v>14.14</v>
      </c>
      <c r="F2248" s="432">
        <v>14.14</v>
      </c>
      <c r="G2248" s="432">
        <v>14.14</v>
      </c>
      <c r="H2248" s="432">
        <v>14.14</v>
      </c>
      <c r="I2248" s="432">
        <v>14.14</v>
      </c>
      <c r="J2248" s="432">
        <v>14.14</v>
      </c>
      <c r="K2248" s="432">
        <v>14.14</v>
      </c>
      <c r="L2248" s="432">
        <v>14.14</v>
      </c>
      <c r="M2248" s="432">
        <v>14.14</v>
      </c>
      <c r="N2248" s="432">
        <v>14.14</v>
      </c>
      <c r="O2248" s="432">
        <v>14.14</v>
      </c>
      <c r="P2248" s="432">
        <v>14.14</v>
      </c>
      <c r="Q2248" s="432">
        <v>14.14</v>
      </c>
      <c r="R2248" s="432">
        <v>14.14</v>
      </c>
      <c r="S2248" s="432">
        <v>14.14</v>
      </c>
      <c r="T2248" s="432">
        <v>14.14</v>
      </c>
      <c r="U2248" s="432">
        <v>14.14</v>
      </c>
      <c r="V2248" s="432">
        <v>14.14</v>
      </c>
      <c r="W2248" s="432">
        <v>14.14</v>
      </c>
      <c r="X2248" s="432">
        <v>14.14</v>
      </c>
      <c r="Y2248" s="432">
        <v>14.14</v>
      </c>
      <c r="Z2248" s="432">
        <v>14.14</v>
      </c>
      <c r="AA2248" s="432">
        <v>14.14</v>
      </c>
      <c r="AB2248" s="432">
        <v>14.14</v>
      </c>
      <c r="AC2248" s="432">
        <v>14.14</v>
      </c>
      <c r="AD2248" s="452">
        <v>14.14</v>
      </c>
      <c r="AE2248" s="421">
        <v>14.14</v>
      </c>
      <c r="AF2248" s="432">
        <v>16.09</v>
      </c>
    </row>
    <row r="2249" spans="1:33">
      <c r="A2249" s="432">
        <v>15.08</v>
      </c>
      <c r="B2249" s="411">
        <v>14.14</v>
      </c>
      <c r="C2249" s="432">
        <v>14.14</v>
      </c>
      <c r="D2249" s="439">
        <v>14.14</v>
      </c>
      <c r="E2249" s="439">
        <v>14.14</v>
      </c>
      <c r="F2249" s="439">
        <v>14.14</v>
      </c>
      <c r="G2249" s="411">
        <v>14.14</v>
      </c>
      <c r="H2249" s="411">
        <v>14.14</v>
      </c>
      <c r="I2249" s="439">
        <v>14.14</v>
      </c>
      <c r="J2249" s="439">
        <v>14.14</v>
      </c>
      <c r="K2249" s="439">
        <v>14.14</v>
      </c>
      <c r="L2249" s="411">
        <v>14.14</v>
      </c>
      <c r="M2249" s="411">
        <v>14.14</v>
      </c>
      <c r="N2249" s="439">
        <v>14.14</v>
      </c>
      <c r="O2249" s="439">
        <v>14.14</v>
      </c>
      <c r="P2249" s="439">
        <v>14.14</v>
      </c>
      <c r="Q2249" s="411">
        <v>14.14</v>
      </c>
      <c r="R2249" s="411">
        <v>14.14</v>
      </c>
      <c r="S2249" s="439">
        <v>14.14</v>
      </c>
      <c r="T2249" s="439">
        <v>14.14</v>
      </c>
      <c r="U2249" s="439">
        <v>14.14</v>
      </c>
      <c r="V2249" s="411">
        <v>14.14</v>
      </c>
      <c r="W2249" s="411">
        <v>14.14</v>
      </c>
      <c r="X2249" s="439">
        <v>14.14</v>
      </c>
      <c r="Y2249" s="439">
        <v>14.14</v>
      </c>
      <c r="Z2249" s="439">
        <v>14.14</v>
      </c>
      <c r="AA2249" s="411">
        <v>14.14</v>
      </c>
      <c r="AB2249" s="411">
        <v>14.14</v>
      </c>
      <c r="AC2249" s="439">
        <v>14.14</v>
      </c>
      <c r="AD2249" s="439">
        <v>14.14</v>
      </c>
      <c r="AE2249" s="411">
        <v>14.14</v>
      </c>
      <c r="AF2249" s="432">
        <v>15.08</v>
      </c>
    </row>
    <row r="2250" spans="1:33">
      <c r="A2250" s="432">
        <v>15.08</v>
      </c>
      <c r="B2250" s="411">
        <v>14.14</v>
      </c>
      <c r="C2250" s="432">
        <v>14.14</v>
      </c>
      <c r="D2250" s="439">
        <v>14.14</v>
      </c>
      <c r="E2250" s="439">
        <v>14.14</v>
      </c>
      <c r="F2250" s="411">
        <v>14.14</v>
      </c>
      <c r="G2250" s="452">
        <v>14.14</v>
      </c>
      <c r="H2250" s="432">
        <v>14.14</v>
      </c>
      <c r="I2250" s="439">
        <v>14.14</v>
      </c>
      <c r="J2250" s="439">
        <v>14.14</v>
      </c>
      <c r="K2250" s="411">
        <v>14.14</v>
      </c>
      <c r="L2250" s="452">
        <v>14.14</v>
      </c>
      <c r="M2250" s="432">
        <v>14.14</v>
      </c>
      <c r="N2250" s="439">
        <v>14.14</v>
      </c>
      <c r="O2250" s="439">
        <v>14.14</v>
      </c>
      <c r="P2250" s="411">
        <v>14.14</v>
      </c>
      <c r="Q2250" s="452">
        <v>14.14</v>
      </c>
      <c r="R2250" s="432">
        <v>14.14</v>
      </c>
      <c r="S2250" s="439">
        <v>14.14</v>
      </c>
      <c r="T2250" s="439">
        <v>14.14</v>
      </c>
      <c r="U2250" s="411">
        <v>14.14</v>
      </c>
      <c r="V2250" s="452">
        <v>14.14</v>
      </c>
      <c r="W2250" s="432">
        <v>14.14</v>
      </c>
      <c r="X2250" s="439">
        <v>14.14</v>
      </c>
      <c r="Y2250" s="439">
        <v>14.14</v>
      </c>
      <c r="Z2250" s="411">
        <v>14.14</v>
      </c>
      <c r="AA2250" s="452">
        <v>14.14</v>
      </c>
      <c r="AB2250" s="432">
        <v>14.14</v>
      </c>
      <c r="AC2250" s="439">
        <v>14.14</v>
      </c>
      <c r="AD2250" s="439">
        <v>14.14</v>
      </c>
      <c r="AE2250" s="411">
        <v>14.14</v>
      </c>
      <c r="AF2250" s="432">
        <v>15.08</v>
      </c>
    </row>
    <row r="2251" spans="1:33">
      <c r="A2251" s="432">
        <v>14.07</v>
      </c>
      <c r="B2251" s="411">
        <v>14.14</v>
      </c>
      <c r="C2251" s="432">
        <v>14.14</v>
      </c>
      <c r="D2251" s="439">
        <v>14.14</v>
      </c>
      <c r="E2251" s="439">
        <v>14.14</v>
      </c>
      <c r="F2251" s="411">
        <v>14.14</v>
      </c>
      <c r="G2251" s="432">
        <v>14.14</v>
      </c>
      <c r="H2251" s="439">
        <v>14.14</v>
      </c>
      <c r="I2251" s="439">
        <v>14.14</v>
      </c>
      <c r="J2251" s="439">
        <v>14.14</v>
      </c>
      <c r="K2251" s="411">
        <v>14.14</v>
      </c>
      <c r="L2251" s="432">
        <v>14.14</v>
      </c>
      <c r="M2251" s="439">
        <v>14.14</v>
      </c>
      <c r="N2251" s="439">
        <v>14.14</v>
      </c>
      <c r="O2251" s="439">
        <v>14.14</v>
      </c>
      <c r="P2251" s="411">
        <v>14.14</v>
      </c>
      <c r="Q2251" s="432">
        <v>14.14</v>
      </c>
      <c r="R2251" s="439">
        <v>14.14</v>
      </c>
      <c r="S2251" s="439">
        <v>14.14</v>
      </c>
      <c r="T2251" s="439">
        <v>14.14</v>
      </c>
      <c r="U2251" s="411">
        <v>14.14</v>
      </c>
      <c r="V2251" s="432">
        <v>14.14</v>
      </c>
      <c r="W2251" s="439">
        <v>14.14</v>
      </c>
      <c r="X2251" s="439">
        <v>14.14</v>
      </c>
      <c r="Y2251" s="439">
        <v>14.14</v>
      </c>
      <c r="Z2251" s="411">
        <v>14.14</v>
      </c>
      <c r="AA2251" s="432">
        <v>14.14</v>
      </c>
      <c r="AB2251" s="439">
        <v>14.14</v>
      </c>
      <c r="AC2251" s="439">
        <v>14.14</v>
      </c>
      <c r="AD2251" s="439">
        <v>14.14</v>
      </c>
      <c r="AE2251" s="411">
        <v>14.14</v>
      </c>
      <c r="AF2251" s="432">
        <v>14.07</v>
      </c>
    </row>
    <row r="2252" spans="1:33">
      <c r="A2252" s="432">
        <v>13.06</v>
      </c>
      <c r="B2252" s="452">
        <v>14.14</v>
      </c>
      <c r="C2252" s="452">
        <v>14.14</v>
      </c>
      <c r="D2252" s="439">
        <v>14.14</v>
      </c>
      <c r="E2252" s="432">
        <v>14.14</v>
      </c>
      <c r="F2252" s="432">
        <v>14.14</v>
      </c>
      <c r="G2252" s="432">
        <v>14.14</v>
      </c>
      <c r="H2252" s="432">
        <v>14.14</v>
      </c>
      <c r="I2252" s="432">
        <v>14.14</v>
      </c>
      <c r="J2252" s="432">
        <v>14.14</v>
      </c>
      <c r="K2252" s="432">
        <v>14.14</v>
      </c>
      <c r="L2252" s="432">
        <v>14.14</v>
      </c>
      <c r="M2252" s="432">
        <v>14.14</v>
      </c>
      <c r="N2252" s="432">
        <v>14.14</v>
      </c>
      <c r="O2252" s="432">
        <v>14.14</v>
      </c>
      <c r="P2252" s="432">
        <v>14.14</v>
      </c>
      <c r="Q2252" s="432">
        <v>14.14</v>
      </c>
      <c r="R2252" s="432">
        <v>14.14</v>
      </c>
      <c r="S2252" s="432">
        <v>14.14</v>
      </c>
      <c r="T2252" s="432">
        <v>14.14</v>
      </c>
      <c r="U2252" s="432">
        <v>14.14</v>
      </c>
      <c r="V2252" s="432">
        <v>14.14</v>
      </c>
      <c r="W2252" s="432">
        <v>14.14</v>
      </c>
      <c r="X2252" s="432">
        <v>14.14</v>
      </c>
      <c r="Y2252" s="432">
        <v>14.14</v>
      </c>
      <c r="Z2252" s="432">
        <v>14.14</v>
      </c>
      <c r="AA2252" s="432">
        <v>14.14</v>
      </c>
      <c r="AB2252" s="432">
        <v>14.14</v>
      </c>
      <c r="AC2252" s="432">
        <v>14.14</v>
      </c>
      <c r="AD2252" s="452">
        <v>14.14</v>
      </c>
      <c r="AE2252" s="452">
        <v>14.14</v>
      </c>
      <c r="AF2252" s="432">
        <v>13.06</v>
      </c>
    </row>
    <row r="2253" spans="1:33">
      <c r="A2253" s="432">
        <v>13.06</v>
      </c>
      <c r="B2253" s="410">
        <v>14.14</v>
      </c>
      <c r="C2253" s="432">
        <v>14.14</v>
      </c>
      <c r="D2253" s="439">
        <v>14.14</v>
      </c>
      <c r="E2253" s="411">
        <v>14.14</v>
      </c>
      <c r="F2253" s="411">
        <v>14.14</v>
      </c>
      <c r="G2253" s="411">
        <v>14.14</v>
      </c>
      <c r="H2253" s="411">
        <v>14.14</v>
      </c>
      <c r="I2253" s="452">
        <v>14.14</v>
      </c>
      <c r="J2253" s="452">
        <v>14.14</v>
      </c>
      <c r="K2253" s="452">
        <v>14.14</v>
      </c>
      <c r="L2253" s="452">
        <v>14.14</v>
      </c>
      <c r="M2253" s="452">
        <v>14.14</v>
      </c>
      <c r="N2253" s="452">
        <v>14.14</v>
      </c>
      <c r="O2253" s="452">
        <v>14.14</v>
      </c>
      <c r="P2253" s="452">
        <v>14.14</v>
      </c>
      <c r="Q2253" s="411">
        <v>14.14</v>
      </c>
      <c r="R2253" s="411">
        <v>14.14</v>
      </c>
      <c r="S2253" s="411">
        <v>14.14</v>
      </c>
      <c r="T2253" s="411">
        <v>14.14</v>
      </c>
      <c r="U2253" s="411">
        <v>14.14</v>
      </c>
      <c r="V2253" s="411">
        <v>14.14</v>
      </c>
      <c r="W2253" s="411">
        <v>14.14</v>
      </c>
      <c r="X2253" s="411">
        <v>14.14</v>
      </c>
      <c r="Y2253" s="411">
        <v>14.14</v>
      </c>
      <c r="Z2253" s="411">
        <v>14.14</v>
      </c>
      <c r="AA2253" s="411">
        <v>14.14</v>
      </c>
      <c r="AB2253" s="411">
        <v>14.14</v>
      </c>
      <c r="AC2253" s="439">
        <v>14.14</v>
      </c>
      <c r="AD2253" s="410">
        <v>14.14</v>
      </c>
      <c r="AE2253" s="421">
        <v>14.14</v>
      </c>
      <c r="AF2253" s="432">
        <v>13.06</v>
      </c>
    </row>
    <row r="2254" spans="1:33">
      <c r="A2254" s="432">
        <v>12.05</v>
      </c>
      <c r="B2254" s="452">
        <v>10.1</v>
      </c>
      <c r="C2254" s="421">
        <v>10.1</v>
      </c>
      <c r="D2254" s="439">
        <v>10.1</v>
      </c>
      <c r="E2254" s="432">
        <v>10.1</v>
      </c>
      <c r="F2254" s="432">
        <v>10.1</v>
      </c>
      <c r="G2254" s="432">
        <v>10.1</v>
      </c>
      <c r="H2254" s="432">
        <v>10.1</v>
      </c>
      <c r="I2254" s="432">
        <v>10.1</v>
      </c>
      <c r="J2254" s="432">
        <v>10.1</v>
      </c>
      <c r="K2254" s="432">
        <v>10.1</v>
      </c>
      <c r="L2254" s="432">
        <v>10.1</v>
      </c>
      <c r="M2254" s="432">
        <v>10.1</v>
      </c>
      <c r="N2254" s="432">
        <v>10.1</v>
      </c>
      <c r="O2254" s="432">
        <v>10.1</v>
      </c>
      <c r="P2254" s="432">
        <v>10.1</v>
      </c>
      <c r="Q2254" s="432">
        <v>10.1</v>
      </c>
      <c r="R2254" s="432">
        <v>10.1</v>
      </c>
      <c r="S2254" s="432">
        <v>10.1</v>
      </c>
      <c r="T2254" s="432">
        <v>10.1</v>
      </c>
      <c r="U2254" s="432">
        <v>10.1</v>
      </c>
      <c r="V2254" s="432">
        <v>10.1</v>
      </c>
      <c r="W2254" s="432">
        <v>10.1</v>
      </c>
      <c r="X2254" s="432">
        <v>10.1</v>
      </c>
      <c r="Y2254" s="432">
        <v>10.1</v>
      </c>
      <c r="Z2254" s="432">
        <v>10.1</v>
      </c>
      <c r="AA2254" s="432">
        <v>10.1</v>
      </c>
      <c r="AB2254" s="432">
        <v>10.1</v>
      </c>
      <c r="AC2254" s="432">
        <v>10.1</v>
      </c>
      <c r="AD2254" s="452">
        <v>10.1</v>
      </c>
      <c r="AE2254" s="421">
        <v>10.1</v>
      </c>
      <c r="AF2254" s="432">
        <v>12.05</v>
      </c>
    </row>
    <row r="2255" spans="1:33">
      <c r="A2255" s="432">
        <v>11.04</v>
      </c>
      <c r="B2255" s="411">
        <v>10.1</v>
      </c>
      <c r="C2255" s="432">
        <v>10.1</v>
      </c>
      <c r="D2255" s="439">
        <v>10.1</v>
      </c>
      <c r="E2255" s="439">
        <v>10.1</v>
      </c>
      <c r="F2255" s="439">
        <v>10.1</v>
      </c>
      <c r="G2255" s="411">
        <v>10.1</v>
      </c>
      <c r="H2255" s="411">
        <v>10.1</v>
      </c>
      <c r="I2255" s="439">
        <v>10.1</v>
      </c>
      <c r="J2255" s="439">
        <v>10.1</v>
      </c>
      <c r="K2255" s="439">
        <v>10.1</v>
      </c>
      <c r="L2255" s="411">
        <v>10.1</v>
      </c>
      <c r="M2255" s="411">
        <v>10.1</v>
      </c>
      <c r="N2255" s="439">
        <v>10.1</v>
      </c>
      <c r="O2255" s="439">
        <v>10.1</v>
      </c>
      <c r="P2255" s="439">
        <v>10.1</v>
      </c>
      <c r="Q2255" s="411">
        <v>10.1</v>
      </c>
      <c r="R2255" s="411">
        <v>10.1</v>
      </c>
      <c r="S2255" s="439">
        <v>10.1</v>
      </c>
      <c r="T2255" s="439">
        <v>10.1</v>
      </c>
      <c r="U2255" s="439">
        <v>10.1</v>
      </c>
      <c r="V2255" s="411">
        <v>10.1</v>
      </c>
      <c r="W2255" s="411">
        <v>10.1</v>
      </c>
      <c r="X2255" s="439">
        <v>10.1</v>
      </c>
      <c r="Y2255" s="439">
        <v>10.1</v>
      </c>
      <c r="Z2255" s="439">
        <v>10.1</v>
      </c>
      <c r="AA2255" s="411">
        <v>10.1</v>
      </c>
      <c r="AB2255" s="411">
        <v>10.1</v>
      </c>
      <c r="AC2255" s="439">
        <v>10.1</v>
      </c>
      <c r="AD2255" s="439">
        <v>10.1</v>
      </c>
      <c r="AE2255" s="411">
        <v>10.1</v>
      </c>
      <c r="AF2255" s="432">
        <v>11.04</v>
      </c>
    </row>
    <row r="2256" spans="1:33">
      <c r="A2256" s="432">
        <v>11.04</v>
      </c>
      <c r="B2256" s="411">
        <v>10.1</v>
      </c>
      <c r="C2256" s="432">
        <v>10.1</v>
      </c>
      <c r="D2256" s="439">
        <v>10.1</v>
      </c>
      <c r="E2256" s="439">
        <v>10.1</v>
      </c>
      <c r="F2256" s="411">
        <v>10.1</v>
      </c>
      <c r="G2256" s="452">
        <v>10.1</v>
      </c>
      <c r="H2256" s="432">
        <v>10.1</v>
      </c>
      <c r="I2256" s="439">
        <v>10.1</v>
      </c>
      <c r="J2256" s="439">
        <v>10.1</v>
      </c>
      <c r="K2256" s="411">
        <v>10.1</v>
      </c>
      <c r="L2256" s="452">
        <v>10.1</v>
      </c>
      <c r="M2256" s="432">
        <v>10.1</v>
      </c>
      <c r="N2256" s="439">
        <v>10.1</v>
      </c>
      <c r="O2256" s="439">
        <v>10.1</v>
      </c>
      <c r="P2256" s="411">
        <v>10.1</v>
      </c>
      <c r="Q2256" s="452">
        <v>10.1</v>
      </c>
      <c r="R2256" s="432">
        <v>10.1</v>
      </c>
      <c r="S2256" s="439">
        <v>10.1</v>
      </c>
      <c r="T2256" s="439">
        <v>10.1</v>
      </c>
      <c r="U2256" s="411">
        <v>10.1</v>
      </c>
      <c r="V2256" s="452">
        <v>10.1</v>
      </c>
      <c r="W2256" s="432">
        <v>10.1</v>
      </c>
      <c r="X2256" s="439">
        <v>10.1</v>
      </c>
      <c r="Y2256" s="439">
        <v>10.1</v>
      </c>
      <c r="Z2256" s="411">
        <v>10.1</v>
      </c>
      <c r="AA2256" s="452">
        <v>10.1</v>
      </c>
      <c r="AB2256" s="432">
        <v>10.1</v>
      </c>
      <c r="AC2256" s="439">
        <v>10.1</v>
      </c>
      <c r="AD2256" s="439">
        <v>10.1</v>
      </c>
      <c r="AE2256" s="411">
        <v>10.1</v>
      </c>
      <c r="AF2256" s="432">
        <v>11.04</v>
      </c>
    </row>
    <row r="2257" spans="1:32">
      <c r="A2257" s="432">
        <v>10.029999999999999</v>
      </c>
      <c r="B2257" s="411">
        <v>10.1</v>
      </c>
      <c r="C2257" s="432">
        <v>10.1</v>
      </c>
      <c r="D2257" s="439">
        <v>10.1</v>
      </c>
      <c r="E2257" s="439">
        <v>10.1</v>
      </c>
      <c r="F2257" s="411">
        <v>10.1</v>
      </c>
      <c r="G2257" s="432">
        <v>10.1</v>
      </c>
      <c r="H2257" s="439">
        <v>10.1</v>
      </c>
      <c r="I2257" s="439">
        <v>10.1</v>
      </c>
      <c r="J2257" s="439">
        <v>10.1</v>
      </c>
      <c r="K2257" s="411">
        <v>10.1</v>
      </c>
      <c r="L2257" s="432">
        <v>10.1</v>
      </c>
      <c r="M2257" s="439">
        <v>10.1</v>
      </c>
      <c r="N2257" s="439">
        <v>10.1</v>
      </c>
      <c r="O2257" s="439">
        <v>10.1</v>
      </c>
      <c r="P2257" s="411">
        <v>10.1</v>
      </c>
      <c r="Q2257" s="432">
        <v>10.1</v>
      </c>
      <c r="R2257" s="439">
        <v>10.1</v>
      </c>
      <c r="S2257" s="439">
        <v>10.1</v>
      </c>
      <c r="T2257" s="439">
        <v>10.1</v>
      </c>
      <c r="U2257" s="411">
        <v>10.1</v>
      </c>
      <c r="V2257" s="432">
        <v>10.1</v>
      </c>
      <c r="W2257" s="439">
        <v>10.1</v>
      </c>
      <c r="X2257" s="439">
        <v>10.1</v>
      </c>
      <c r="Y2257" s="439">
        <v>10.1</v>
      </c>
      <c r="Z2257" s="411">
        <v>10.1</v>
      </c>
      <c r="AA2257" s="432">
        <v>10.1</v>
      </c>
      <c r="AB2257" s="439">
        <v>10.1</v>
      </c>
      <c r="AC2257" s="439">
        <v>10.1</v>
      </c>
      <c r="AD2257" s="439">
        <v>10.1</v>
      </c>
      <c r="AE2257" s="411">
        <v>10.1</v>
      </c>
      <c r="AF2257" s="432">
        <v>10.029999999999999</v>
      </c>
    </row>
    <row r="2258" spans="1:32">
      <c r="A2258" s="432">
        <v>9.02</v>
      </c>
      <c r="B2258" s="452">
        <v>10.1</v>
      </c>
      <c r="C2258" s="452">
        <v>10.1</v>
      </c>
      <c r="D2258" s="439">
        <v>10.1</v>
      </c>
      <c r="E2258" s="432">
        <v>10.1</v>
      </c>
      <c r="F2258" s="432">
        <v>10.1</v>
      </c>
      <c r="G2258" s="432">
        <v>10.1</v>
      </c>
      <c r="H2258" s="432">
        <v>10.1</v>
      </c>
      <c r="I2258" s="432">
        <v>10.1</v>
      </c>
      <c r="J2258" s="432">
        <v>10.1</v>
      </c>
      <c r="K2258" s="432">
        <v>10.1</v>
      </c>
      <c r="L2258" s="432">
        <v>10.1</v>
      </c>
      <c r="M2258" s="432">
        <v>10.1</v>
      </c>
      <c r="N2258" s="432">
        <v>10.1</v>
      </c>
      <c r="O2258" s="432">
        <v>10.1</v>
      </c>
      <c r="P2258" s="432">
        <v>10.1</v>
      </c>
      <c r="Q2258" s="432">
        <v>10.1</v>
      </c>
      <c r="R2258" s="432">
        <v>10.1</v>
      </c>
      <c r="S2258" s="432">
        <v>10.1</v>
      </c>
      <c r="T2258" s="432">
        <v>10.1</v>
      </c>
      <c r="U2258" s="432">
        <v>10.1</v>
      </c>
      <c r="V2258" s="432">
        <v>10.1</v>
      </c>
      <c r="W2258" s="432">
        <v>10.1</v>
      </c>
      <c r="X2258" s="432">
        <v>10.1</v>
      </c>
      <c r="Y2258" s="432">
        <v>10.1</v>
      </c>
      <c r="Z2258" s="432">
        <v>10.1</v>
      </c>
      <c r="AA2258" s="432">
        <v>10.1</v>
      </c>
      <c r="AB2258" s="432">
        <v>10.1</v>
      </c>
      <c r="AC2258" s="432">
        <v>10.1</v>
      </c>
      <c r="AD2258" s="452">
        <v>10.1</v>
      </c>
      <c r="AE2258" s="452">
        <v>10.1</v>
      </c>
      <c r="AF2258" s="432">
        <v>9.02</v>
      </c>
    </row>
    <row r="2259" spans="1:32">
      <c r="A2259" s="432">
        <v>9.02</v>
      </c>
      <c r="B2259" s="410">
        <v>10.1</v>
      </c>
      <c r="C2259" s="432">
        <v>10.1</v>
      </c>
      <c r="D2259" s="439">
        <v>10.1</v>
      </c>
      <c r="E2259" s="411">
        <v>10.1</v>
      </c>
      <c r="F2259" s="411">
        <v>10.1</v>
      </c>
      <c r="G2259" s="411">
        <v>10.1</v>
      </c>
      <c r="H2259" s="411">
        <v>10.1</v>
      </c>
      <c r="I2259" s="452">
        <v>10.1</v>
      </c>
      <c r="J2259" s="452">
        <v>10.1</v>
      </c>
      <c r="K2259" s="452">
        <v>10.1</v>
      </c>
      <c r="L2259" s="452">
        <v>10.1</v>
      </c>
      <c r="M2259" s="452">
        <v>10.1</v>
      </c>
      <c r="N2259" s="452">
        <v>10.1</v>
      </c>
      <c r="O2259" s="452">
        <v>10.1</v>
      </c>
      <c r="P2259" s="452">
        <v>10.1</v>
      </c>
      <c r="Q2259" s="411">
        <v>10.1</v>
      </c>
      <c r="R2259" s="411">
        <v>10.1</v>
      </c>
      <c r="S2259" s="411">
        <v>10.1</v>
      </c>
      <c r="T2259" s="411">
        <v>10.1</v>
      </c>
      <c r="U2259" s="411">
        <v>10.1</v>
      </c>
      <c r="V2259" s="411">
        <v>10.1</v>
      </c>
      <c r="W2259" s="411">
        <v>10.1</v>
      </c>
      <c r="X2259" s="411">
        <v>10.1</v>
      </c>
      <c r="Y2259" s="411">
        <v>10.1</v>
      </c>
      <c r="Z2259" s="411">
        <v>10.1</v>
      </c>
      <c r="AA2259" s="411">
        <v>10.1</v>
      </c>
      <c r="AB2259" s="411">
        <v>10.1</v>
      </c>
      <c r="AC2259" s="439">
        <v>10.1</v>
      </c>
      <c r="AD2259" s="410">
        <v>10.1</v>
      </c>
      <c r="AE2259" s="421">
        <v>10.1</v>
      </c>
      <c r="AF2259" s="432">
        <v>9.02</v>
      </c>
    </row>
    <row r="2260" spans="1:32">
      <c r="A2260" s="432">
        <v>8.01</v>
      </c>
      <c r="B2260" s="452">
        <v>6.06</v>
      </c>
      <c r="C2260" s="421">
        <v>6.06</v>
      </c>
      <c r="D2260" s="439">
        <v>6.06</v>
      </c>
      <c r="E2260" s="432">
        <v>6.06</v>
      </c>
      <c r="F2260" s="432">
        <v>6.06</v>
      </c>
      <c r="G2260" s="432">
        <v>6.06</v>
      </c>
      <c r="H2260" s="432">
        <v>6.06</v>
      </c>
      <c r="I2260" s="432">
        <v>6.06</v>
      </c>
      <c r="J2260" s="432">
        <v>6.06</v>
      </c>
      <c r="K2260" s="432">
        <v>6.06</v>
      </c>
      <c r="L2260" s="432">
        <v>6.06</v>
      </c>
      <c r="M2260" s="432">
        <v>6.06</v>
      </c>
      <c r="N2260" s="432">
        <v>6.06</v>
      </c>
      <c r="O2260" s="432">
        <v>6.06</v>
      </c>
      <c r="P2260" s="432">
        <v>6.06</v>
      </c>
      <c r="Q2260" s="432">
        <v>6.06</v>
      </c>
      <c r="R2260" s="432">
        <v>6.06</v>
      </c>
      <c r="S2260" s="432">
        <v>6.06</v>
      </c>
      <c r="T2260" s="432">
        <v>6.06</v>
      </c>
      <c r="U2260" s="432">
        <v>6.06</v>
      </c>
      <c r="V2260" s="432">
        <v>6.06</v>
      </c>
      <c r="W2260" s="432">
        <v>6.06</v>
      </c>
      <c r="X2260" s="432">
        <v>6.06</v>
      </c>
      <c r="Y2260" s="432">
        <v>6.06</v>
      </c>
      <c r="Z2260" s="432">
        <v>6.06</v>
      </c>
      <c r="AA2260" s="432">
        <v>6.06</v>
      </c>
      <c r="AB2260" s="432">
        <v>6.06</v>
      </c>
      <c r="AC2260" s="432">
        <v>6.06</v>
      </c>
      <c r="AD2260" s="452">
        <v>6.06</v>
      </c>
      <c r="AE2260" s="421">
        <v>6.06</v>
      </c>
      <c r="AF2260" s="432">
        <v>8.01</v>
      </c>
    </row>
    <row r="2261" spans="1:32">
      <c r="A2261" s="432">
        <v>7</v>
      </c>
      <c r="B2261" s="411">
        <v>6.06</v>
      </c>
      <c r="C2261" s="432">
        <v>6.06</v>
      </c>
      <c r="D2261" s="439">
        <v>6.06</v>
      </c>
      <c r="E2261" s="439">
        <v>6.06</v>
      </c>
      <c r="F2261" s="439">
        <v>6.06</v>
      </c>
      <c r="G2261" s="411">
        <v>6.06</v>
      </c>
      <c r="H2261" s="411">
        <v>6.06</v>
      </c>
      <c r="I2261" s="439">
        <v>6.06</v>
      </c>
      <c r="J2261" s="439">
        <v>6.06</v>
      </c>
      <c r="K2261" s="439">
        <v>6.06</v>
      </c>
      <c r="L2261" s="411">
        <v>6.06</v>
      </c>
      <c r="M2261" s="411">
        <v>6.06</v>
      </c>
      <c r="N2261" s="439">
        <v>6.06</v>
      </c>
      <c r="O2261" s="439">
        <v>6.06</v>
      </c>
      <c r="P2261" s="439">
        <v>6.06</v>
      </c>
      <c r="Q2261" s="411">
        <v>6.06</v>
      </c>
      <c r="R2261" s="411">
        <v>6.06</v>
      </c>
      <c r="S2261" s="439">
        <v>6.06</v>
      </c>
      <c r="T2261" s="439">
        <v>6.06</v>
      </c>
      <c r="U2261" s="439">
        <v>6.06</v>
      </c>
      <c r="V2261" s="411">
        <v>6.06</v>
      </c>
      <c r="W2261" s="411">
        <v>6.06</v>
      </c>
      <c r="X2261" s="439">
        <v>6.06</v>
      </c>
      <c r="Y2261" s="439">
        <v>6.06</v>
      </c>
      <c r="Z2261" s="439">
        <v>6.06</v>
      </c>
      <c r="AA2261" s="411">
        <v>6.06</v>
      </c>
      <c r="AB2261" s="411">
        <v>6.06</v>
      </c>
      <c r="AC2261" s="439">
        <v>6.06</v>
      </c>
      <c r="AD2261" s="439">
        <v>6.06</v>
      </c>
      <c r="AE2261" s="411">
        <v>6.06</v>
      </c>
      <c r="AF2261" s="432">
        <v>7</v>
      </c>
    </row>
    <row r="2262" spans="1:32">
      <c r="A2262" s="432">
        <v>7</v>
      </c>
      <c r="B2262" s="411">
        <v>6.06</v>
      </c>
      <c r="C2262" s="432">
        <v>6.06</v>
      </c>
      <c r="D2262" s="439">
        <v>6.06</v>
      </c>
      <c r="E2262" s="439">
        <v>6.06</v>
      </c>
      <c r="F2262" s="411">
        <v>6.06</v>
      </c>
      <c r="G2262" s="452">
        <v>6.06</v>
      </c>
      <c r="H2262" s="432">
        <v>6.06</v>
      </c>
      <c r="I2262" s="439">
        <v>6.06</v>
      </c>
      <c r="J2262" s="439">
        <v>6.06</v>
      </c>
      <c r="K2262" s="411">
        <v>6.06</v>
      </c>
      <c r="L2262" s="452">
        <v>6.06</v>
      </c>
      <c r="M2262" s="432">
        <v>6.06</v>
      </c>
      <c r="N2262" s="439">
        <v>6.06</v>
      </c>
      <c r="O2262" s="439">
        <v>6.06</v>
      </c>
      <c r="P2262" s="411">
        <v>6.06</v>
      </c>
      <c r="Q2262" s="452">
        <v>6.06</v>
      </c>
      <c r="R2262" s="432">
        <v>6.06</v>
      </c>
      <c r="S2262" s="439">
        <v>6.06</v>
      </c>
      <c r="T2262" s="439">
        <v>6.06</v>
      </c>
      <c r="U2262" s="411">
        <v>6.06</v>
      </c>
      <c r="V2262" s="452">
        <v>6.06</v>
      </c>
      <c r="W2262" s="432">
        <v>6.06</v>
      </c>
      <c r="X2262" s="439">
        <v>6.06</v>
      </c>
      <c r="Y2262" s="439">
        <v>6.06</v>
      </c>
      <c r="Z2262" s="411">
        <v>6.06</v>
      </c>
      <c r="AA2262" s="452">
        <v>6.06</v>
      </c>
      <c r="AB2262" s="432">
        <v>6.06</v>
      </c>
      <c r="AC2262" s="439">
        <v>6.06</v>
      </c>
      <c r="AD2262" s="439">
        <v>6.06</v>
      </c>
      <c r="AE2262" s="411">
        <v>6.06</v>
      </c>
      <c r="AF2262" s="432">
        <v>7</v>
      </c>
    </row>
    <row r="2263" spans="1:32">
      <c r="A2263" s="432">
        <v>6</v>
      </c>
      <c r="B2263" s="411">
        <v>6.06</v>
      </c>
      <c r="C2263" s="432">
        <v>6.06</v>
      </c>
      <c r="D2263" s="439">
        <v>6.06</v>
      </c>
      <c r="E2263" s="439">
        <v>6.06</v>
      </c>
      <c r="F2263" s="411">
        <v>6.06</v>
      </c>
      <c r="G2263" s="432">
        <v>6.06</v>
      </c>
      <c r="H2263" s="439">
        <v>6.06</v>
      </c>
      <c r="I2263" s="439">
        <v>6.06</v>
      </c>
      <c r="J2263" s="439">
        <v>6.06</v>
      </c>
      <c r="K2263" s="411">
        <v>6.06</v>
      </c>
      <c r="L2263" s="432">
        <v>6.06</v>
      </c>
      <c r="M2263" s="439">
        <v>6.06</v>
      </c>
      <c r="N2263" s="439">
        <v>6.06</v>
      </c>
      <c r="O2263" s="439">
        <v>6.06</v>
      </c>
      <c r="P2263" s="411">
        <v>6.06</v>
      </c>
      <c r="Q2263" s="432">
        <v>6.06</v>
      </c>
      <c r="R2263" s="439">
        <v>6.06</v>
      </c>
      <c r="S2263" s="439">
        <v>6.06</v>
      </c>
      <c r="T2263" s="439">
        <v>6.06</v>
      </c>
      <c r="U2263" s="411">
        <v>6.06</v>
      </c>
      <c r="V2263" s="432">
        <v>6.06</v>
      </c>
      <c r="W2263" s="439">
        <v>6.06</v>
      </c>
      <c r="X2263" s="439">
        <v>6.06</v>
      </c>
      <c r="Y2263" s="439">
        <v>6.06</v>
      </c>
      <c r="Z2263" s="411">
        <v>6.06</v>
      </c>
      <c r="AA2263" s="432">
        <v>6.06</v>
      </c>
      <c r="AB2263" s="439">
        <v>6.06</v>
      </c>
      <c r="AC2263" s="439">
        <v>6.06</v>
      </c>
      <c r="AD2263" s="439">
        <v>6.06</v>
      </c>
      <c r="AE2263" s="411">
        <v>6.06</v>
      </c>
      <c r="AF2263" s="432">
        <v>6</v>
      </c>
    </row>
    <row r="2264" spans="1:32">
      <c r="A2264" s="432">
        <v>6</v>
      </c>
      <c r="B2264" s="452">
        <v>6.06</v>
      </c>
      <c r="C2264" s="452">
        <v>6.06</v>
      </c>
      <c r="D2264" s="439">
        <v>6.06</v>
      </c>
      <c r="E2264" s="432">
        <v>6.06</v>
      </c>
      <c r="F2264" s="432">
        <v>6.06</v>
      </c>
      <c r="G2264" s="432">
        <v>6.06</v>
      </c>
      <c r="H2264" s="432">
        <v>6.06</v>
      </c>
      <c r="I2264" s="432">
        <v>6.06</v>
      </c>
      <c r="J2264" s="432">
        <v>6.06</v>
      </c>
      <c r="K2264" s="432">
        <v>6.06</v>
      </c>
      <c r="L2264" s="432">
        <v>6.06</v>
      </c>
      <c r="M2264" s="432">
        <v>6.06</v>
      </c>
      <c r="N2264" s="432">
        <v>6.06</v>
      </c>
      <c r="O2264" s="432">
        <v>6.06</v>
      </c>
      <c r="P2264" s="432">
        <v>6.06</v>
      </c>
      <c r="Q2264" s="432">
        <v>6.06</v>
      </c>
      <c r="R2264" s="432">
        <v>6.06</v>
      </c>
      <c r="S2264" s="432">
        <v>6.06</v>
      </c>
      <c r="T2264" s="432">
        <v>6.06</v>
      </c>
      <c r="U2264" s="432">
        <v>6.06</v>
      </c>
      <c r="V2264" s="432">
        <v>6.06</v>
      </c>
      <c r="W2264" s="432">
        <v>6.06</v>
      </c>
      <c r="X2264" s="432">
        <v>6.06</v>
      </c>
      <c r="Y2264" s="432">
        <v>6.06</v>
      </c>
      <c r="Z2264" s="432">
        <v>6.06</v>
      </c>
      <c r="AA2264" s="432">
        <v>6.06</v>
      </c>
      <c r="AB2264" s="432">
        <v>6.06</v>
      </c>
      <c r="AC2264" s="432">
        <v>6.06</v>
      </c>
      <c r="AD2264" s="452">
        <v>6.06</v>
      </c>
      <c r="AE2264" s="452">
        <v>6.06</v>
      </c>
      <c r="AF2264" s="432">
        <v>6</v>
      </c>
    </row>
    <row r="2265" spans="1:32">
      <c r="A2265" s="432">
        <v>5</v>
      </c>
      <c r="B2265" s="410">
        <v>6.06</v>
      </c>
      <c r="C2265" s="432">
        <v>6.06</v>
      </c>
      <c r="D2265" s="439">
        <v>6.06</v>
      </c>
      <c r="E2265" s="411">
        <v>6.06</v>
      </c>
      <c r="F2265" s="411">
        <v>6.06</v>
      </c>
      <c r="G2265" s="411">
        <v>6.06</v>
      </c>
      <c r="H2265" s="411">
        <v>6.06</v>
      </c>
      <c r="I2265" s="452">
        <v>6.06</v>
      </c>
      <c r="J2265" s="452">
        <v>6.06</v>
      </c>
      <c r="K2265" s="452">
        <v>6.06</v>
      </c>
      <c r="L2265" s="452">
        <v>6.06</v>
      </c>
      <c r="M2265" s="452">
        <v>6.06</v>
      </c>
      <c r="N2265" s="452">
        <v>6.06</v>
      </c>
      <c r="O2265" s="452">
        <v>6.06</v>
      </c>
      <c r="P2265" s="452">
        <v>6.06</v>
      </c>
      <c r="Q2265" s="411">
        <v>6.06</v>
      </c>
      <c r="R2265" s="411">
        <v>6.06</v>
      </c>
      <c r="S2265" s="411">
        <v>6.06</v>
      </c>
      <c r="T2265" s="411">
        <v>6.06</v>
      </c>
      <c r="U2265" s="411">
        <v>6.06</v>
      </c>
      <c r="V2265" s="411">
        <v>6.06</v>
      </c>
      <c r="W2265" s="411">
        <v>6.06</v>
      </c>
      <c r="X2265" s="411">
        <v>6.06</v>
      </c>
      <c r="Y2265" s="411">
        <v>6.06</v>
      </c>
      <c r="Z2265" s="411">
        <v>6.06</v>
      </c>
      <c r="AA2265" s="411">
        <v>6.06</v>
      </c>
      <c r="AB2265" s="411">
        <v>6.06</v>
      </c>
      <c r="AC2265" s="439">
        <v>6.06</v>
      </c>
      <c r="AD2265" s="410">
        <v>6.06</v>
      </c>
      <c r="AE2265" s="421">
        <v>6.06</v>
      </c>
      <c r="AF2265" s="432">
        <v>5</v>
      </c>
    </row>
    <row r="2266" spans="1:32">
      <c r="A2266" s="432">
        <v>4</v>
      </c>
      <c r="B2266" s="452">
        <v>6.06</v>
      </c>
      <c r="C2266" s="421">
        <v>6.06</v>
      </c>
      <c r="D2266" s="439">
        <v>6.06</v>
      </c>
      <c r="E2266" s="432">
        <v>6.06</v>
      </c>
      <c r="F2266" s="432">
        <v>6.06</v>
      </c>
      <c r="G2266" s="432">
        <v>6.06</v>
      </c>
      <c r="H2266" s="432">
        <v>6.06</v>
      </c>
      <c r="I2266" s="432">
        <v>6.06</v>
      </c>
      <c r="J2266" s="432">
        <v>6.06</v>
      </c>
      <c r="K2266" s="432">
        <v>6.06</v>
      </c>
      <c r="L2266" s="432">
        <v>6.06</v>
      </c>
      <c r="M2266" s="432">
        <v>6.06</v>
      </c>
      <c r="N2266" s="432">
        <v>6.06</v>
      </c>
      <c r="O2266" s="432">
        <v>6.06</v>
      </c>
      <c r="P2266" s="432">
        <v>6.06</v>
      </c>
      <c r="Q2266" s="432">
        <v>6.06</v>
      </c>
      <c r="R2266" s="432">
        <v>6.06</v>
      </c>
      <c r="S2266" s="432">
        <v>6.06</v>
      </c>
      <c r="T2266" s="432">
        <v>6.06</v>
      </c>
      <c r="U2266" s="432">
        <v>6.06</v>
      </c>
      <c r="V2266" s="432">
        <v>6.06</v>
      </c>
      <c r="W2266" s="432">
        <v>6.06</v>
      </c>
      <c r="X2266" s="432">
        <v>6.06</v>
      </c>
      <c r="Y2266" s="432">
        <v>6.06</v>
      </c>
      <c r="Z2266" s="432">
        <v>6.06</v>
      </c>
      <c r="AA2266" s="432">
        <v>6.06</v>
      </c>
      <c r="AB2266" s="432">
        <v>6.06</v>
      </c>
      <c r="AC2266" s="432">
        <v>6.06</v>
      </c>
      <c r="AD2266" s="452">
        <v>6.06</v>
      </c>
      <c r="AE2266" s="421">
        <v>6.06</v>
      </c>
      <c r="AF2266" s="432">
        <v>4</v>
      </c>
    </row>
    <row r="2267" spans="1:32">
      <c r="A2267" s="432">
        <v>4</v>
      </c>
      <c r="B2267" s="411">
        <v>2</v>
      </c>
      <c r="C2267" s="432">
        <v>2</v>
      </c>
      <c r="D2267" s="439">
        <v>2</v>
      </c>
      <c r="E2267" s="439">
        <v>2</v>
      </c>
      <c r="F2267" s="439">
        <v>2</v>
      </c>
      <c r="G2267" s="411">
        <v>2</v>
      </c>
      <c r="H2267" s="411">
        <v>2</v>
      </c>
      <c r="I2267" s="439">
        <v>2</v>
      </c>
      <c r="J2267" s="439">
        <v>2</v>
      </c>
      <c r="K2267" s="439">
        <v>2</v>
      </c>
      <c r="L2267" s="411">
        <v>2</v>
      </c>
      <c r="M2267" s="411">
        <v>2</v>
      </c>
      <c r="N2267" s="439">
        <v>2</v>
      </c>
      <c r="O2267" s="439">
        <v>2</v>
      </c>
      <c r="P2267" s="439">
        <v>2</v>
      </c>
      <c r="Q2267" s="411">
        <v>2</v>
      </c>
      <c r="R2267" s="411">
        <v>2</v>
      </c>
      <c r="S2267" s="439">
        <v>2</v>
      </c>
      <c r="T2267" s="439">
        <v>2</v>
      </c>
      <c r="U2267" s="439">
        <v>2</v>
      </c>
      <c r="V2267" s="411">
        <v>2</v>
      </c>
      <c r="W2267" s="411">
        <v>2</v>
      </c>
      <c r="X2267" s="439">
        <v>2</v>
      </c>
      <c r="Y2267" s="439">
        <v>2</v>
      </c>
      <c r="Z2267" s="439">
        <v>2</v>
      </c>
      <c r="AA2267" s="411">
        <v>2</v>
      </c>
      <c r="AB2267" s="411">
        <v>2</v>
      </c>
      <c r="AC2267" s="439">
        <v>2</v>
      </c>
      <c r="AD2267" s="439">
        <v>2</v>
      </c>
      <c r="AE2267" s="411">
        <v>2</v>
      </c>
      <c r="AF2267" s="432">
        <v>4</v>
      </c>
    </row>
    <row r="2268" spans="1:32">
      <c r="A2268" s="432">
        <v>3</v>
      </c>
      <c r="B2268" s="411">
        <v>2</v>
      </c>
      <c r="C2268" s="432">
        <v>2</v>
      </c>
      <c r="D2268" s="439">
        <v>2</v>
      </c>
      <c r="E2268" s="439">
        <v>2</v>
      </c>
      <c r="F2268" s="411">
        <v>2</v>
      </c>
      <c r="G2268" s="452">
        <v>2</v>
      </c>
      <c r="H2268" s="432">
        <v>2</v>
      </c>
      <c r="I2268" s="439">
        <v>2</v>
      </c>
      <c r="J2268" s="439">
        <v>2</v>
      </c>
      <c r="K2268" s="411">
        <v>2</v>
      </c>
      <c r="L2268" s="452">
        <v>2</v>
      </c>
      <c r="M2268" s="432">
        <v>2</v>
      </c>
      <c r="N2268" s="439">
        <v>2</v>
      </c>
      <c r="O2268" s="439">
        <v>2</v>
      </c>
      <c r="P2268" s="411">
        <v>2</v>
      </c>
      <c r="Q2268" s="452">
        <v>2</v>
      </c>
      <c r="R2268" s="432">
        <v>2</v>
      </c>
      <c r="S2268" s="439">
        <v>2</v>
      </c>
      <c r="T2268" s="439">
        <v>2</v>
      </c>
      <c r="U2268" s="411">
        <v>2</v>
      </c>
      <c r="V2268" s="452">
        <v>2</v>
      </c>
      <c r="W2268" s="432">
        <v>2</v>
      </c>
      <c r="X2268" s="439">
        <v>2</v>
      </c>
      <c r="Y2268" s="439">
        <v>2</v>
      </c>
      <c r="Z2268" s="411">
        <v>2</v>
      </c>
      <c r="AA2268" s="452">
        <v>2</v>
      </c>
      <c r="AB2268" s="432">
        <v>2</v>
      </c>
      <c r="AC2268" s="439">
        <v>2</v>
      </c>
      <c r="AD2268" s="439">
        <v>2</v>
      </c>
      <c r="AE2268" s="411">
        <v>2</v>
      </c>
      <c r="AF2268" s="432">
        <v>3</v>
      </c>
    </row>
    <row r="2269" spans="1:32">
      <c r="A2269" s="432">
        <v>3</v>
      </c>
      <c r="B2269" s="411">
        <v>2</v>
      </c>
      <c r="C2269" s="432">
        <v>2</v>
      </c>
      <c r="D2269" s="439">
        <v>2</v>
      </c>
      <c r="E2269" s="439">
        <v>2</v>
      </c>
      <c r="F2269" s="411">
        <v>2</v>
      </c>
      <c r="G2269" s="432">
        <v>2</v>
      </c>
      <c r="H2269" s="439">
        <v>2</v>
      </c>
      <c r="I2269" s="439">
        <v>2</v>
      </c>
      <c r="J2269" s="439">
        <v>2</v>
      </c>
      <c r="K2269" s="411">
        <v>2</v>
      </c>
      <c r="L2269" s="432">
        <v>2</v>
      </c>
      <c r="M2269" s="439">
        <v>2</v>
      </c>
      <c r="N2269" s="439">
        <v>2</v>
      </c>
      <c r="O2269" s="439">
        <v>2</v>
      </c>
      <c r="P2269" s="411">
        <v>2</v>
      </c>
      <c r="Q2269" s="432">
        <v>2</v>
      </c>
      <c r="R2269" s="439">
        <v>2</v>
      </c>
      <c r="S2269" s="439">
        <v>2</v>
      </c>
      <c r="T2269" s="439">
        <v>2</v>
      </c>
      <c r="U2269" s="411">
        <v>2</v>
      </c>
      <c r="V2269" s="432">
        <v>2</v>
      </c>
      <c r="W2269" s="439">
        <v>2</v>
      </c>
      <c r="X2269" s="439">
        <v>2</v>
      </c>
      <c r="Y2269" s="439">
        <v>2</v>
      </c>
      <c r="Z2269" s="411">
        <v>2</v>
      </c>
      <c r="AA2269" s="432">
        <v>2</v>
      </c>
      <c r="AB2269" s="439">
        <v>2</v>
      </c>
      <c r="AC2269" s="439">
        <v>2</v>
      </c>
      <c r="AD2269" s="439">
        <v>2</v>
      </c>
      <c r="AE2269" s="411">
        <v>2</v>
      </c>
      <c r="AF2269" s="432">
        <v>3</v>
      </c>
    </row>
    <row r="2270" spans="1:32">
      <c r="A2270" s="432">
        <v>2</v>
      </c>
      <c r="B2270" s="452">
        <v>2</v>
      </c>
      <c r="C2270" s="452">
        <v>2</v>
      </c>
      <c r="D2270" s="439">
        <v>2</v>
      </c>
      <c r="E2270" s="432">
        <v>2</v>
      </c>
      <c r="F2270" s="432">
        <v>2</v>
      </c>
      <c r="G2270" s="432">
        <v>2</v>
      </c>
      <c r="H2270" s="432">
        <v>2</v>
      </c>
      <c r="I2270" s="432">
        <v>2</v>
      </c>
      <c r="J2270" s="432">
        <v>2</v>
      </c>
      <c r="K2270" s="432">
        <v>2</v>
      </c>
      <c r="L2270" s="432">
        <v>2</v>
      </c>
      <c r="M2270" s="432">
        <v>2</v>
      </c>
      <c r="N2270" s="432">
        <v>2</v>
      </c>
      <c r="O2270" s="432">
        <v>2</v>
      </c>
      <c r="P2270" s="432">
        <v>2</v>
      </c>
      <c r="Q2270" s="432">
        <v>2</v>
      </c>
      <c r="R2270" s="432">
        <v>2</v>
      </c>
      <c r="S2270" s="432">
        <v>2</v>
      </c>
      <c r="T2270" s="432">
        <v>2</v>
      </c>
      <c r="U2270" s="432">
        <v>2</v>
      </c>
      <c r="V2270" s="432">
        <v>2</v>
      </c>
      <c r="W2270" s="432">
        <v>2</v>
      </c>
      <c r="X2270" s="432">
        <v>2</v>
      </c>
      <c r="Y2270" s="432">
        <v>2</v>
      </c>
      <c r="Z2270" s="432">
        <v>2</v>
      </c>
      <c r="AA2270" s="432">
        <v>2</v>
      </c>
      <c r="AB2270" s="432">
        <v>2</v>
      </c>
      <c r="AC2270" s="432">
        <v>2</v>
      </c>
      <c r="AD2270" s="452">
        <v>2</v>
      </c>
      <c r="AE2270" s="452">
        <v>2</v>
      </c>
      <c r="AF2270" s="432">
        <v>2</v>
      </c>
    </row>
    <row r="2271" spans="1:32">
      <c r="A2271" s="432">
        <v>2</v>
      </c>
      <c r="B2271" s="410">
        <v>2</v>
      </c>
      <c r="C2271" s="432">
        <v>2</v>
      </c>
      <c r="D2271" s="439">
        <v>2</v>
      </c>
      <c r="E2271" s="411">
        <v>2</v>
      </c>
      <c r="F2271" s="411">
        <v>2</v>
      </c>
      <c r="G2271" s="411">
        <v>2</v>
      </c>
      <c r="H2271" s="411">
        <v>2</v>
      </c>
      <c r="I2271" s="452">
        <v>2</v>
      </c>
      <c r="J2271" s="452">
        <v>2</v>
      </c>
      <c r="K2271" s="452">
        <v>2</v>
      </c>
      <c r="L2271" s="452">
        <v>2</v>
      </c>
      <c r="M2271" s="452">
        <v>2</v>
      </c>
      <c r="N2271" s="452">
        <v>2</v>
      </c>
      <c r="O2271" s="452">
        <v>2</v>
      </c>
      <c r="P2271" s="452">
        <v>2</v>
      </c>
      <c r="Q2271" s="411">
        <v>2</v>
      </c>
      <c r="R2271" s="411">
        <v>2</v>
      </c>
      <c r="S2271" s="411">
        <v>2</v>
      </c>
      <c r="T2271" s="411">
        <v>2</v>
      </c>
      <c r="U2271" s="411">
        <v>2</v>
      </c>
      <c r="V2271" s="411">
        <v>2</v>
      </c>
      <c r="W2271" s="411">
        <v>2</v>
      </c>
      <c r="X2271" s="411">
        <v>2</v>
      </c>
      <c r="Y2271" s="411">
        <v>2</v>
      </c>
      <c r="Z2271" s="411">
        <v>2</v>
      </c>
      <c r="AA2271" s="411">
        <v>2</v>
      </c>
      <c r="AB2271" s="411">
        <v>2</v>
      </c>
      <c r="AC2271" s="439">
        <v>2</v>
      </c>
      <c r="AD2271" s="410">
        <v>2</v>
      </c>
      <c r="AE2271" s="421">
        <v>2</v>
      </c>
      <c r="AF2271" s="432">
        <v>2</v>
      </c>
    </row>
    <row r="2272" spans="1:32">
      <c r="A2272" s="439">
        <v>1</v>
      </c>
      <c r="B2272" s="432">
        <v>2</v>
      </c>
      <c r="C2272" s="432">
        <v>2</v>
      </c>
      <c r="D2272" s="432">
        <v>2</v>
      </c>
      <c r="E2272" s="432">
        <v>2</v>
      </c>
      <c r="F2272" s="432">
        <v>2</v>
      </c>
      <c r="G2272" s="432">
        <v>2</v>
      </c>
      <c r="H2272" s="432">
        <v>2</v>
      </c>
      <c r="I2272" s="432">
        <v>2</v>
      </c>
      <c r="J2272" s="432">
        <v>2</v>
      </c>
      <c r="K2272" s="432">
        <v>2</v>
      </c>
      <c r="L2272" s="432">
        <v>2</v>
      </c>
      <c r="M2272" s="432">
        <v>2</v>
      </c>
      <c r="N2272" s="432">
        <v>2</v>
      </c>
      <c r="O2272" s="432">
        <v>2</v>
      </c>
      <c r="P2272" s="432">
        <v>2</v>
      </c>
      <c r="Q2272" s="432">
        <v>2</v>
      </c>
      <c r="R2272" s="432">
        <v>2</v>
      </c>
      <c r="S2272" s="432">
        <v>2</v>
      </c>
      <c r="T2272" s="432">
        <v>2</v>
      </c>
      <c r="U2272" s="432">
        <v>2</v>
      </c>
      <c r="V2272" s="432">
        <v>2</v>
      </c>
      <c r="W2272" s="432">
        <v>2</v>
      </c>
      <c r="X2272" s="432">
        <v>2</v>
      </c>
      <c r="Y2272" s="432">
        <v>2</v>
      </c>
      <c r="Z2272" s="432">
        <v>2</v>
      </c>
      <c r="AA2272" s="432">
        <v>2</v>
      </c>
      <c r="AB2272" s="432">
        <v>2</v>
      </c>
      <c r="AC2272" s="432">
        <v>2</v>
      </c>
      <c r="AD2272" s="432">
        <v>2</v>
      </c>
      <c r="AE2272" s="432">
        <v>2</v>
      </c>
      <c r="AF2272" s="432">
        <v>1</v>
      </c>
    </row>
    <row r="2273" spans="1:33">
      <c r="A2273" s="753"/>
      <c r="B2273" s="711"/>
      <c r="C2273" s="711"/>
      <c r="D2273" s="711"/>
      <c r="E2273" s="711"/>
      <c r="F2273" s="711"/>
      <c r="G2273" s="711"/>
      <c r="H2273" s="711"/>
      <c r="I2273" s="711"/>
      <c r="J2273" s="711"/>
      <c r="K2273" s="711"/>
      <c r="L2273" s="711"/>
      <c r="M2273" s="711"/>
      <c r="N2273" s="711"/>
      <c r="O2273" s="711"/>
      <c r="P2273" s="711"/>
      <c r="Q2273" s="711"/>
      <c r="R2273" s="711"/>
      <c r="S2273" s="711"/>
      <c r="T2273" s="711"/>
      <c r="U2273" s="711"/>
      <c r="V2273" s="711"/>
      <c r="W2273" s="711"/>
      <c r="X2273" s="711"/>
      <c r="Y2273" s="711"/>
      <c r="Z2273" s="711"/>
      <c r="AA2273" s="711"/>
      <c r="AB2273" s="711"/>
      <c r="AC2273" s="711"/>
      <c r="AD2273" s="711"/>
      <c r="AE2273" s="711"/>
      <c r="AF2273" s="530"/>
      <c r="AG2273">
        <v>72</v>
      </c>
    </row>
    <row r="2274" spans="1:33">
      <c r="A2274" s="699"/>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c r="AF2274" s="79"/>
    </row>
    <row r="2275" spans="1:33">
      <c r="A2275" s="699"/>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c r="AF2275" s="79"/>
    </row>
    <row r="2276" spans="1:33">
      <c r="A2276" s="699"/>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c r="AF2276" s="79"/>
    </row>
    <row r="2277" spans="1:33">
      <c r="A2277" s="699"/>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c r="AF2277" s="79"/>
    </row>
    <row r="2278" spans="1:33">
      <c r="A2278" s="699"/>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c r="AF2278" s="79"/>
    </row>
    <row r="2279" spans="1:33">
      <c r="A2279" s="699"/>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c r="AF2279" s="79"/>
      <c r="AG2279">
        <v>42</v>
      </c>
    </row>
    <row r="2280" spans="1:33">
      <c r="A2280" s="699"/>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c r="AF2280" s="79"/>
      <c r="AG2280">
        <v>21</v>
      </c>
    </row>
    <row r="2281" spans="1:33">
      <c r="A2281" s="699"/>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c r="AF2281" s="79"/>
    </row>
    <row r="2282" spans="1:33">
      <c r="A2282" s="699"/>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c r="AF2282" s="79"/>
    </row>
    <row r="2283" spans="1:33">
      <c r="A2283" s="439">
        <v>1.32</v>
      </c>
      <c r="B2283" s="439">
        <v>1.32</v>
      </c>
      <c r="C2283" s="411">
        <v>1.32</v>
      </c>
      <c r="D2283" s="439">
        <v>1.32</v>
      </c>
      <c r="E2283" s="439">
        <v>1.32</v>
      </c>
      <c r="F2283" s="439">
        <v>1.32</v>
      </c>
      <c r="G2283" s="439">
        <v>1.32</v>
      </c>
      <c r="H2283" s="439">
        <v>1.32</v>
      </c>
      <c r="I2283" s="411">
        <v>1.32</v>
      </c>
      <c r="J2283" s="439">
        <v>1.32</v>
      </c>
      <c r="K2283" s="439">
        <v>1.32</v>
      </c>
      <c r="L2283" s="439">
        <v>1.32</v>
      </c>
      <c r="M2283" s="439">
        <v>1.32</v>
      </c>
      <c r="N2283" s="439">
        <v>1.32</v>
      </c>
      <c r="O2283" s="439">
        <v>1.32</v>
      </c>
      <c r="P2283" s="439">
        <v>1.32</v>
      </c>
      <c r="Q2283" s="439">
        <v>1.32</v>
      </c>
      <c r="R2283" s="439">
        <v>1.32</v>
      </c>
      <c r="S2283" s="439">
        <v>1.32</v>
      </c>
      <c r="T2283" s="439">
        <v>1.32</v>
      </c>
      <c r="U2283" s="439">
        <v>1.32</v>
      </c>
      <c r="V2283" s="439">
        <v>1.32</v>
      </c>
      <c r="W2283" s="439">
        <v>1.32</v>
      </c>
      <c r="X2283" s="411">
        <v>1.32</v>
      </c>
      <c r="Y2283" s="439">
        <v>1.32</v>
      </c>
      <c r="Z2283" s="439">
        <v>1.32</v>
      </c>
      <c r="AA2283" s="439">
        <v>1.32</v>
      </c>
      <c r="AB2283" s="439">
        <v>1.32</v>
      </c>
      <c r="AC2283" s="439">
        <v>1.32</v>
      </c>
      <c r="AD2283" s="411">
        <v>1.32</v>
      </c>
      <c r="AE2283" s="439">
        <v>1.32</v>
      </c>
      <c r="AF2283" s="439">
        <v>1.32</v>
      </c>
      <c r="AG2283">
        <v>32</v>
      </c>
    </row>
    <row r="2284" spans="1:33">
      <c r="A2284" s="432">
        <v>2.31</v>
      </c>
      <c r="B2284" s="432">
        <v>2.31</v>
      </c>
      <c r="C2284" s="432">
        <v>2.31</v>
      </c>
      <c r="D2284" s="432">
        <v>2.31</v>
      </c>
      <c r="E2284" s="432">
        <v>2.31</v>
      </c>
      <c r="F2284" s="432">
        <v>2.31</v>
      </c>
      <c r="G2284" s="432">
        <v>2.31</v>
      </c>
      <c r="H2284" s="432">
        <v>2.31</v>
      </c>
      <c r="I2284" s="432">
        <v>2.31</v>
      </c>
      <c r="J2284" s="432">
        <v>2.31</v>
      </c>
      <c r="K2284" s="432">
        <v>2.31</v>
      </c>
      <c r="L2284" s="432">
        <v>2.31</v>
      </c>
      <c r="M2284" s="432">
        <v>2.31</v>
      </c>
      <c r="N2284" s="432">
        <v>2.31</v>
      </c>
      <c r="O2284" s="432">
        <v>2.31</v>
      </c>
      <c r="P2284" s="432">
        <v>2.31</v>
      </c>
      <c r="Q2284" s="432">
        <v>2.31</v>
      </c>
      <c r="R2284" s="432">
        <v>2.31</v>
      </c>
      <c r="S2284" s="432">
        <v>2.31</v>
      </c>
      <c r="T2284" s="432">
        <v>2.31</v>
      </c>
      <c r="U2284" s="432">
        <v>2.31</v>
      </c>
      <c r="V2284" s="432">
        <v>2.31</v>
      </c>
      <c r="W2284" s="432">
        <v>2.31</v>
      </c>
      <c r="X2284" s="432">
        <v>2.31</v>
      </c>
      <c r="Y2284" s="432">
        <v>2.31</v>
      </c>
      <c r="Z2284" s="432">
        <v>2.31</v>
      </c>
      <c r="AA2284" s="432">
        <v>2.31</v>
      </c>
      <c r="AB2284" s="432">
        <v>2.31</v>
      </c>
      <c r="AC2284" s="432">
        <v>2.31</v>
      </c>
      <c r="AD2284" s="432">
        <v>2.31</v>
      </c>
      <c r="AE2284" s="432">
        <v>2.31</v>
      </c>
      <c r="AF2284" s="432">
        <v>2.31</v>
      </c>
      <c r="AG2284">
        <v>-1</v>
      </c>
    </row>
    <row r="2285" spans="1:33">
      <c r="A2285" s="301">
        <v>42.01</v>
      </c>
      <c r="B2285" s="439">
        <v>42.01</v>
      </c>
      <c r="C2285" s="293">
        <v>42.01</v>
      </c>
      <c r="D2285" s="439">
        <v>42.01</v>
      </c>
      <c r="E2285" s="301">
        <v>42.01</v>
      </c>
      <c r="F2285" s="439">
        <v>42.01</v>
      </c>
      <c r="G2285" s="293">
        <v>42.01</v>
      </c>
      <c r="H2285" s="439">
        <v>42.01</v>
      </c>
      <c r="I2285" s="301">
        <v>42.01</v>
      </c>
      <c r="J2285" s="439">
        <v>42.01</v>
      </c>
      <c r="K2285" s="293">
        <v>42.01</v>
      </c>
      <c r="L2285" s="439">
        <v>42.01</v>
      </c>
      <c r="M2285" s="301">
        <v>42.01</v>
      </c>
      <c r="N2285" s="439">
        <v>42.01</v>
      </c>
      <c r="O2285" s="293">
        <v>42.01</v>
      </c>
      <c r="P2285" s="439">
        <v>42.01</v>
      </c>
      <c r="Q2285" s="301">
        <v>42.01</v>
      </c>
      <c r="R2285" s="439">
        <v>42.01</v>
      </c>
      <c r="S2285" s="293">
        <v>42.01</v>
      </c>
      <c r="T2285" s="439">
        <v>42.01</v>
      </c>
      <c r="U2285" s="301">
        <v>42.01</v>
      </c>
      <c r="V2285" s="439">
        <v>42.01</v>
      </c>
      <c r="W2285" s="293">
        <v>42.01</v>
      </c>
      <c r="X2285" s="439">
        <v>42.01</v>
      </c>
      <c r="Y2285" s="301">
        <v>42.01</v>
      </c>
      <c r="Z2285" s="439">
        <v>42.01</v>
      </c>
      <c r="AA2285" s="293">
        <v>42.01</v>
      </c>
      <c r="AB2285" s="439">
        <v>42.01</v>
      </c>
      <c r="AC2285" s="301">
        <v>42.01</v>
      </c>
      <c r="AD2285" s="439">
        <v>42.01</v>
      </c>
      <c r="AE2285" s="293">
        <v>42.01</v>
      </c>
      <c r="AF2285" s="439">
        <v>42.01</v>
      </c>
      <c r="AG2285">
        <v>5</v>
      </c>
    </row>
    <row r="2286" spans="1:33">
      <c r="A2286" s="432">
        <v>42.01</v>
      </c>
      <c r="B2286" s="432">
        <v>42.01</v>
      </c>
      <c r="C2286" s="432">
        <v>42.01</v>
      </c>
      <c r="D2286" s="432">
        <v>42.01</v>
      </c>
      <c r="E2286" s="432">
        <v>42.01</v>
      </c>
      <c r="F2286" s="432">
        <v>42.01</v>
      </c>
      <c r="G2286" s="432">
        <v>42.01</v>
      </c>
      <c r="H2286" s="432">
        <v>42.01</v>
      </c>
      <c r="I2286" s="432">
        <v>42.01</v>
      </c>
      <c r="J2286" s="432">
        <v>42.01</v>
      </c>
      <c r="K2286" s="432">
        <v>42.01</v>
      </c>
      <c r="L2286" s="432">
        <v>42.01</v>
      </c>
      <c r="M2286" s="432">
        <v>42.01</v>
      </c>
      <c r="N2286" s="432">
        <v>42.01</v>
      </c>
      <c r="O2286" s="432">
        <v>42.01</v>
      </c>
      <c r="P2286" s="432">
        <v>42.01</v>
      </c>
      <c r="Q2286" s="432">
        <v>42.01</v>
      </c>
      <c r="R2286" s="432">
        <v>42.01</v>
      </c>
      <c r="S2286" s="432">
        <v>42.01</v>
      </c>
      <c r="T2286" s="432">
        <v>42.01</v>
      </c>
      <c r="U2286" s="432">
        <v>42.01</v>
      </c>
      <c r="V2286" s="432">
        <v>42.01</v>
      </c>
      <c r="W2286" s="432">
        <v>42.01</v>
      </c>
      <c r="X2286" s="432">
        <v>42.01</v>
      </c>
      <c r="Y2286" s="432">
        <v>42.01</v>
      </c>
      <c r="Z2286" s="432">
        <v>42.01</v>
      </c>
      <c r="AA2286" s="432">
        <v>42.01</v>
      </c>
      <c r="AB2286" s="432">
        <v>42.01</v>
      </c>
      <c r="AC2286" s="432">
        <v>42.01</v>
      </c>
      <c r="AD2286" s="432">
        <v>42.01</v>
      </c>
      <c r="AE2286" s="432">
        <v>42.01</v>
      </c>
      <c r="AF2286" s="432">
        <v>42.01</v>
      </c>
      <c r="AG2286">
        <v>31</v>
      </c>
    </row>
    <row r="2287" spans="1:33">
      <c r="A2287" s="432">
        <v>42.01</v>
      </c>
      <c r="B2287" s="161">
        <v>10.01</v>
      </c>
      <c r="C2287" s="161">
        <v>10.01</v>
      </c>
      <c r="D2287" s="432">
        <v>10.01</v>
      </c>
      <c r="E2287" s="432">
        <v>10.01</v>
      </c>
      <c r="F2287" s="161">
        <v>10.01</v>
      </c>
      <c r="G2287" s="161">
        <v>10.01</v>
      </c>
      <c r="H2287" s="432">
        <v>10.01</v>
      </c>
      <c r="I2287" s="432">
        <v>10.01</v>
      </c>
      <c r="J2287" s="161">
        <v>10.01</v>
      </c>
      <c r="K2287" s="161">
        <v>10.01</v>
      </c>
      <c r="L2287" s="432">
        <v>10.01</v>
      </c>
      <c r="M2287" s="432">
        <v>10.01</v>
      </c>
      <c r="N2287" s="161">
        <v>10.01</v>
      </c>
      <c r="O2287" s="161">
        <v>10.01</v>
      </c>
      <c r="P2287" s="432">
        <v>10.01</v>
      </c>
      <c r="Q2287" s="432">
        <v>10.01</v>
      </c>
      <c r="R2287" s="161">
        <v>10.01</v>
      </c>
      <c r="S2287" s="161">
        <v>10.01</v>
      </c>
      <c r="T2287" s="432">
        <v>10.01</v>
      </c>
      <c r="U2287" s="432">
        <v>10.01</v>
      </c>
      <c r="V2287" s="161">
        <v>10.01</v>
      </c>
      <c r="W2287" s="161">
        <v>10.01</v>
      </c>
      <c r="X2287" s="432">
        <v>10.01</v>
      </c>
      <c r="Y2287" s="432">
        <v>10.01</v>
      </c>
      <c r="Z2287" s="161">
        <v>10.01</v>
      </c>
      <c r="AA2287" s="161">
        <v>10.01</v>
      </c>
      <c r="AB2287" s="432">
        <v>10.01</v>
      </c>
      <c r="AC2287" s="432">
        <v>10.01</v>
      </c>
      <c r="AD2287" s="161">
        <v>10.01</v>
      </c>
      <c r="AE2287" s="161">
        <v>10.01</v>
      </c>
      <c r="AF2287" s="432">
        <v>42.01</v>
      </c>
    </row>
    <row r="2288" spans="1:33">
      <c r="A2288" s="161">
        <v>42.01</v>
      </c>
      <c r="B2288" s="158">
        <v>10.01</v>
      </c>
      <c r="C2288" s="438">
        <v>10.01</v>
      </c>
      <c r="D2288" s="439">
        <v>10.01</v>
      </c>
      <c r="E2288" s="161">
        <v>10.01</v>
      </c>
      <c r="F2288" s="158">
        <v>10.01</v>
      </c>
      <c r="G2288" s="438">
        <v>10.01</v>
      </c>
      <c r="H2288" s="439">
        <v>10.01</v>
      </c>
      <c r="I2288" s="161">
        <v>10.01</v>
      </c>
      <c r="J2288" s="158">
        <v>10.01</v>
      </c>
      <c r="K2288" s="438">
        <v>10.01</v>
      </c>
      <c r="L2288" s="439">
        <v>10.01</v>
      </c>
      <c r="M2288" s="161">
        <v>10.01</v>
      </c>
      <c r="N2288" s="158">
        <v>10.01</v>
      </c>
      <c r="O2288" s="438">
        <v>10.01</v>
      </c>
      <c r="P2288" s="439">
        <v>10.01</v>
      </c>
      <c r="Q2288" s="161">
        <v>10.01</v>
      </c>
      <c r="R2288" s="158">
        <v>10.01</v>
      </c>
      <c r="S2288" s="438">
        <v>10.01</v>
      </c>
      <c r="T2288" s="439">
        <v>10.01</v>
      </c>
      <c r="U2288" s="161">
        <v>10.01</v>
      </c>
      <c r="V2288" s="158">
        <v>10.01</v>
      </c>
      <c r="W2288" s="438">
        <v>10.01</v>
      </c>
      <c r="X2288" s="439">
        <v>10.01</v>
      </c>
      <c r="Y2288" s="161">
        <v>10.01</v>
      </c>
      <c r="Z2288" s="158">
        <v>10.01</v>
      </c>
      <c r="AA2288" s="438">
        <v>10.01</v>
      </c>
      <c r="AB2288" s="439">
        <v>10.01</v>
      </c>
      <c r="AC2288" s="161">
        <v>10.01</v>
      </c>
      <c r="AD2288" s="158">
        <v>10.01</v>
      </c>
      <c r="AE2288" s="438">
        <v>10.01</v>
      </c>
      <c r="AF2288" s="439">
        <v>42.01</v>
      </c>
    </row>
    <row r="2289" spans="1:34">
      <c r="A2289" s="161">
        <v>42.01</v>
      </c>
      <c r="B2289" s="438">
        <v>10.01</v>
      </c>
      <c r="C2289" s="156">
        <v>10.01</v>
      </c>
      <c r="D2289" s="439">
        <v>10.01</v>
      </c>
      <c r="E2289" s="161">
        <v>10.01</v>
      </c>
      <c r="F2289" s="438">
        <v>10.01</v>
      </c>
      <c r="G2289" s="156">
        <v>10.01</v>
      </c>
      <c r="H2289" s="439">
        <v>10.01</v>
      </c>
      <c r="I2289" s="161">
        <v>10.01</v>
      </c>
      <c r="J2289" s="438">
        <v>10.01</v>
      </c>
      <c r="K2289" s="156">
        <v>10.01</v>
      </c>
      <c r="L2289" s="439">
        <v>10.01</v>
      </c>
      <c r="M2289" s="161">
        <v>10.01</v>
      </c>
      <c r="N2289" s="438">
        <v>10.01</v>
      </c>
      <c r="O2289" s="156">
        <v>10.01</v>
      </c>
      <c r="P2289" s="439">
        <v>10.01</v>
      </c>
      <c r="Q2289" s="161">
        <v>10.01</v>
      </c>
      <c r="R2289" s="438">
        <v>10.01</v>
      </c>
      <c r="S2289" s="156">
        <v>10.01</v>
      </c>
      <c r="T2289" s="439">
        <v>10.01</v>
      </c>
      <c r="U2289" s="161">
        <v>10.01</v>
      </c>
      <c r="V2289" s="438">
        <v>10.01</v>
      </c>
      <c r="W2289" s="156">
        <v>10.01</v>
      </c>
      <c r="X2289" s="439">
        <v>10.01</v>
      </c>
      <c r="Y2289" s="161">
        <v>10.01</v>
      </c>
      <c r="Z2289" s="438">
        <v>10.01</v>
      </c>
      <c r="AA2289" s="156">
        <v>10.01</v>
      </c>
      <c r="AB2289" s="439">
        <v>10.01</v>
      </c>
      <c r="AC2289" s="161">
        <v>10.01</v>
      </c>
      <c r="AD2289" s="438">
        <v>10.01</v>
      </c>
      <c r="AE2289" s="156">
        <v>10.01</v>
      </c>
      <c r="AF2289" s="439">
        <v>42.01</v>
      </c>
    </row>
    <row r="2290" spans="1:34">
      <c r="A2290" s="432">
        <v>42.01</v>
      </c>
      <c r="B2290" s="439">
        <v>10.01</v>
      </c>
      <c r="C2290" s="439">
        <v>10.01</v>
      </c>
      <c r="D2290" s="432">
        <v>10.01</v>
      </c>
      <c r="E2290" s="432">
        <v>10.01</v>
      </c>
      <c r="F2290" s="439">
        <v>10.01</v>
      </c>
      <c r="G2290" s="439">
        <v>10.01</v>
      </c>
      <c r="H2290" s="432">
        <v>10.01</v>
      </c>
      <c r="I2290" s="432">
        <v>10.01</v>
      </c>
      <c r="J2290" s="439">
        <v>10.01</v>
      </c>
      <c r="K2290" s="439">
        <v>10.01</v>
      </c>
      <c r="L2290" s="432">
        <v>10.01</v>
      </c>
      <c r="M2290" s="432">
        <v>10.01</v>
      </c>
      <c r="N2290" s="439">
        <v>10.01</v>
      </c>
      <c r="O2290" s="439">
        <v>10.01</v>
      </c>
      <c r="P2290" s="432">
        <v>10.01</v>
      </c>
      <c r="Q2290" s="432">
        <v>10.01</v>
      </c>
      <c r="R2290" s="439">
        <v>10.01</v>
      </c>
      <c r="S2290" s="439">
        <v>10.01</v>
      </c>
      <c r="T2290" s="432">
        <v>10.01</v>
      </c>
      <c r="U2290" s="432">
        <v>10.01</v>
      </c>
      <c r="V2290" s="439">
        <v>10.01</v>
      </c>
      <c r="W2290" s="439">
        <v>10.01</v>
      </c>
      <c r="X2290" s="432">
        <v>10.01</v>
      </c>
      <c r="Y2290" s="432">
        <v>10.01</v>
      </c>
      <c r="Z2290" s="439">
        <v>10.01</v>
      </c>
      <c r="AA2290" s="439">
        <v>10.01</v>
      </c>
      <c r="AB2290" s="432">
        <v>10.01</v>
      </c>
      <c r="AC2290" s="432">
        <v>10.01</v>
      </c>
      <c r="AD2290" s="439">
        <v>10.01</v>
      </c>
      <c r="AE2290" s="439">
        <v>10.01</v>
      </c>
      <c r="AF2290" s="432">
        <v>42.01</v>
      </c>
    </row>
    <row r="2291" spans="1:34">
      <c r="AH2291">
        <v>2286</v>
      </c>
    </row>
    <row r="2292" spans="1:34">
      <c r="AH2292">
        <v>2285</v>
      </c>
    </row>
    <row r="2293" spans="1:34">
      <c r="AH2293">
        <v>2284</v>
      </c>
    </row>
    <row r="2294" spans="1:34">
      <c r="AH2294">
        <v>2283</v>
      </c>
    </row>
    <row r="2295" spans="1:34">
      <c r="A2295" s="699"/>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c r="AF2295" s="79"/>
    </row>
    <row r="2296" spans="1:34">
      <c r="A2296" s="699"/>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c r="AF2296" s="79"/>
    </row>
    <row r="2297" spans="1:34">
      <c r="A2297" s="699"/>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c r="AF2297" s="79"/>
    </row>
    <row r="2298" spans="1:34">
      <c r="A2298" s="699"/>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c r="AF2298" s="79"/>
    </row>
    <row r="2299" spans="1:34">
      <c r="A2299" s="699"/>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c r="AF2299" s="79"/>
    </row>
    <row r="2300" spans="1:34">
      <c r="A2300" s="699"/>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c r="AF2300" s="79"/>
    </row>
    <row r="2301" spans="1:34">
      <c r="A2301" s="699"/>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c r="AF2301" s="79"/>
    </row>
    <row r="2302" spans="1:34">
      <c r="A2302" s="699"/>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c r="AF2302" s="79"/>
    </row>
    <row r="2303" spans="1:34">
      <c r="A2303" s="699"/>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c r="AF2303" s="79"/>
    </row>
    <row r="2304" spans="1:34">
      <c r="A2304" s="700"/>
      <c r="B2304" s="73"/>
      <c r="C2304" s="73"/>
      <c r="D2304" s="73"/>
      <c r="E2304" s="73"/>
      <c r="F2304" s="73"/>
      <c r="G2304" s="73"/>
      <c r="H2304" s="73"/>
      <c r="I2304" s="73"/>
      <c r="J2304" s="73"/>
      <c r="K2304" s="73"/>
      <c r="L2304" s="73"/>
      <c r="M2304" s="73"/>
      <c r="N2304" s="73"/>
      <c r="O2304" s="73"/>
      <c r="P2304" s="73"/>
      <c r="Q2304" s="73"/>
      <c r="R2304" s="73"/>
      <c r="S2304" s="73"/>
      <c r="T2304" s="73"/>
      <c r="U2304" s="73"/>
      <c r="V2304" s="73"/>
      <c r="W2304" s="73"/>
      <c r="X2304" s="73"/>
      <c r="Y2304" s="73"/>
      <c r="Z2304" s="73"/>
      <c r="AA2304" s="73"/>
      <c r="AB2304" s="73"/>
      <c r="AC2304" s="73"/>
      <c r="AD2304" s="73"/>
      <c r="AE2304" s="73"/>
      <c r="AF2304" s="701"/>
    </row>
    <row r="2305" spans="1:34">
      <c r="A2305" s="452">
        <v>18.18</v>
      </c>
      <c r="B2305" s="452">
        <v>18.18</v>
      </c>
      <c r="C2305" s="411">
        <v>18.18</v>
      </c>
      <c r="D2305" s="411">
        <v>18.18</v>
      </c>
      <c r="E2305" s="411">
        <v>18.18</v>
      </c>
      <c r="F2305" s="411">
        <v>18.18</v>
      </c>
      <c r="G2305" s="411">
        <v>18.18</v>
      </c>
      <c r="H2305" s="411">
        <v>18.18</v>
      </c>
      <c r="I2305" s="411">
        <v>18.18</v>
      </c>
      <c r="J2305" s="411">
        <v>18.18</v>
      </c>
      <c r="K2305" s="411">
        <v>18.18</v>
      </c>
      <c r="L2305" s="411">
        <v>18.18</v>
      </c>
      <c r="M2305" s="411">
        <v>18.18</v>
      </c>
      <c r="N2305" s="411">
        <v>18.18</v>
      </c>
      <c r="O2305" s="411">
        <v>18.18</v>
      </c>
      <c r="P2305" s="411">
        <v>18.18</v>
      </c>
      <c r="Q2305" s="452">
        <v>18.18</v>
      </c>
      <c r="R2305" s="452">
        <v>18.18</v>
      </c>
      <c r="S2305" s="411">
        <v>18.18</v>
      </c>
      <c r="T2305" s="411">
        <v>18.18</v>
      </c>
      <c r="U2305" s="411">
        <v>18.18</v>
      </c>
      <c r="V2305" s="411">
        <v>18.18</v>
      </c>
      <c r="W2305" s="411">
        <v>18.18</v>
      </c>
      <c r="X2305" s="411">
        <v>18.18</v>
      </c>
      <c r="Y2305" s="411">
        <v>18.18</v>
      </c>
      <c r="Z2305" s="411">
        <v>18.18</v>
      </c>
      <c r="AA2305" s="411">
        <v>18.18</v>
      </c>
      <c r="AB2305" s="411">
        <v>18.18</v>
      </c>
      <c r="AC2305" s="411">
        <v>18.18</v>
      </c>
      <c r="AD2305" s="411">
        <v>18.18</v>
      </c>
      <c r="AE2305" s="411">
        <v>18.18</v>
      </c>
      <c r="AF2305" s="411">
        <v>18.18</v>
      </c>
      <c r="AG2305">
        <v>73</v>
      </c>
    </row>
    <row r="2306" spans="1:34">
      <c r="A2306" s="452">
        <v>18.18</v>
      </c>
      <c r="B2306" s="557">
        <v>18.18</v>
      </c>
      <c r="C2306" s="557">
        <v>18.18</v>
      </c>
      <c r="D2306" s="557">
        <v>18.18</v>
      </c>
      <c r="E2306" s="557">
        <v>18.18</v>
      </c>
      <c r="F2306" s="557">
        <v>18.18</v>
      </c>
      <c r="G2306" s="557">
        <v>18.18</v>
      </c>
      <c r="H2306" s="557">
        <v>18.18</v>
      </c>
      <c r="I2306" s="557">
        <v>18.18</v>
      </c>
      <c r="J2306" s="557">
        <v>18.18</v>
      </c>
      <c r="K2306" s="557">
        <v>18.18</v>
      </c>
      <c r="L2306" s="557">
        <v>18.18</v>
      </c>
      <c r="M2306" s="557">
        <v>18.18</v>
      </c>
      <c r="N2306" s="557">
        <v>18.18</v>
      </c>
      <c r="O2306" s="557">
        <v>18.18</v>
      </c>
      <c r="P2306" s="439">
        <v>18.18</v>
      </c>
      <c r="Q2306" s="452">
        <v>18.18</v>
      </c>
      <c r="R2306" s="557">
        <v>18.18</v>
      </c>
      <c r="S2306" s="557">
        <v>18.18</v>
      </c>
      <c r="T2306" s="557">
        <v>18.18</v>
      </c>
      <c r="U2306" s="557">
        <v>18.18</v>
      </c>
      <c r="V2306" s="557">
        <v>18.18</v>
      </c>
      <c r="W2306" s="557">
        <v>18.18</v>
      </c>
      <c r="X2306" s="557">
        <v>18.18</v>
      </c>
      <c r="Y2306" s="557">
        <v>18.18</v>
      </c>
      <c r="Z2306" s="557">
        <v>18.18</v>
      </c>
      <c r="AA2306" s="557">
        <v>18.18</v>
      </c>
      <c r="AB2306" s="557">
        <v>18.18</v>
      </c>
      <c r="AC2306" s="557">
        <v>18.18</v>
      </c>
      <c r="AD2306" s="557">
        <v>18.18</v>
      </c>
      <c r="AE2306" s="557">
        <v>18.18</v>
      </c>
      <c r="AF2306" s="439">
        <v>18.18</v>
      </c>
    </row>
    <row r="2307" spans="1:34">
      <c r="A2307" s="411">
        <v>18.18</v>
      </c>
      <c r="B2307" s="557">
        <v>18.18</v>
      </c>
      <c r="C2307" s="557">
        <v>18.18</v>
      </c>
      <c r="D2307" s="557">
        <v>18.18</v>
      </c>
      <c r="E2307" s="557">
        <v>18.18</v>
      </c>
      <c r="F2307" s="557">
        <v>18.18</v>
      </c>
      <c r="G2307" s="557">
        <v>18.18</v>
      </c>
      <c r="H2307" s="557">
        <v>18.18</v>
      </c>
      <c r="I2307" s="557">
        <v>18.18</v>
      </c>
      <c r="J2307" s="557">
        <v>18.18</v>
      </c>
      <c r="K2307" s="557">
        <v>18.18</v>
      </c>
      <c r="L2307" s="557">
        <v>18.18</v>
      </c>
      <c r="M2307" s="557">
        <v>18.18</v>
      </c>
      <c r="N2307" s="557">
        <v>18.18</v>
      </c>
      <c r="O2307" s="557">
        <v>18.18</v>
      </c>
      <c r="P2307" s="439">
        <v>18.18</v>
      </c>
      <c r="Q2307" s="411">
        <v>18.18</v>
      </c>
      <c r="R2307" s="557">
        <v>18.18</v>
      </c>
      <c r="S2307" s="557">
        <v>18.18</v>
      </c>
      <c r="T2307" s="557">
        <v>18.18</v>
      </c>
      <c r="U2307" s="557">
        <v>18.18</v>
      </c>
      <c r="V2307" s="557">
        <v>18.18</v>
      </c>
      <c r="W2307" s="557">
        <v>18.18</v>
      </c>
      <c r="X2307" s="557">
        <v>18.18</v>
      </c>
      <c r="Y2307" s="557">
        <v>18.18</v>
      </c>
      <c r="Z2307" s="557">
        <v>18.18</v>
      </c>
      <c r="AA2307" s="557">
        <v>18.18</v>
      </c>
      <c r="AB2307" s="557">
        <v>18.18</v>
      </c>
      <c r="AC2307" s="557">
        <v>18.18</v>
      </c>
      <c r="AD2307" s="557">
        <v>18.18</v>
      </c>
      <c r="AE2307" s="557">
        <v>18.18</v>
      </c>
      <c r="AF2307" s="439">
        <v>18.18</v>
      </c>
    </row>
    <row r="2308" spans="1:34">
      <c r="AH2308">
        <v>2307</v>
      </c>
    </row>
    <row r="2309" spans="1:34">
      <c r="AH2309">
        <v>2307</v>
      </c>
    </row>
    <row r="2310" spans="1:34">
      <c r="AH2310">
        <v>2307</v>
      </c>
    </row>
    <row r="2311" spans="1:34">
      <c r="AH2311">
        <v>2307</v>
      </c>
    </row>
    <row r="2312" spans="1:34">
      <c r="AH2312">
        <v>2307</v>
      </c>
    </row>
    <row r="2313" spans="1:34">
      <c r="AH2313">
        <v>2307</v>
      </c>
    </row>
    <row r="2314" spans="1:34">
      <c r="AH2314">
        <v>2307</v>
      </c>
    </row>
    <row r="2315" spans="1:34">
      <c r="AH2315">
        <v>2307</v>
      </c>
    </row>
    <row r="2316" spans="1:34">
      <c r="AH2316">
        <v>2307</v>
      </c>
    </row>
    <row r="2317" spans="1:34">
      <c r="AH2317">
        <v>2307</v>
      </c>
    </row>
    <row r="2318" spans="1:34">
      <c r="AH2318">
        <v>2307</v>
      </c>
    </row>
    <row r="2319" spans="1:34">
      <c r="A2319" s="411">
        <v>18.18</v>
      </c>
      <c r="B2319" s="557">
        <v>18.18</v>
      </c>
      <c r="C2319" s="557">
        <v>18.18</v>
      </c>
      <c r="D2319" s="557">
        <v>18.18</v>
      </c>
      <c r="E2319" s="557">
        <v>18.18</v>
      </c>
      <c r="F2319" s="557">
        <v>18.18</v>
      </c>
      <c r="G2319" s="557">
        <v>18.18</v>
      </c>
      <c r="H2319" s="557">
        <v>18.18</v>
      </c>
      <c r="I2319" s="557">
        <v>18.18</v>
      </c>
      <c r="J2319" s="557">
        <v>18.18</v>
      </c>
      <c r="K2319" s="557">
        <v>18.18</v>
      </c>
      <c r="L2319" s="557">
        <v>18.18</v>
      </c>
      <c r="M2319" s="557">
        <v>18.18</v>
      </c>
      <c r="N2319" s="557">
        <v>18.18</v>
      </c>
      <c r="O2319" s="557">
        <v>18.18</v>
      </c>
      <c r="P2319" s="555">
        <v>18.18</v>
      </c>
      <c r="Q2319" s="411">
        <v>18.18</v>
      </c>
      <c r="R2319" s="557">
        <v>18.18</v>
      </c>
      <c r="S2319" s="557">
        <v>18.18</v>
      </c>
      <c r="T2319" s="557">
        <v>18.18</v>
      </c>
      <c r="U2319" s="557">
        <v>18.18</v>
      </c>
      <c r="V2319" s="557">
        <v>18.18</v>
      </c>
      <c r="W2319" s="557">
        <v>18.18</v>
      </c>
      <c r="X2319" s="557">
        <v>18.18</v>
      </c>
      <c r="Y2319" s="557">
        <v>18.18</v>
      </c>
      <c r="Z2319" s="557">
        <v>18.18</v>
      </c>
      <c r="AA2319" s="557">
        <v>18.18</v>
      </c>
      <c r="AB2319" s="557">
        <v>18.18</v>
      </c>
      <c r="AC2319" s="557">
        <v>18.18</v>
      </c>
      <c r="AD2319" s="557">
        <v>18.18</v>
      </c>
      <c r="AE2319" s="557">
        <v>18.18</v>
      </c>
      <c r="AF2319" s="555">
        <v>18.18</v>
      </c>
    </row>
    <row r="2320" spans="1:34">
      <c r="A2320" s="411">
        <v>18.18</v>
      </c>
      <c r="B2320" s="555">
        <v>18.18</v>
      </c>
      <c r="C2320" s="555">
        <v>18.18</v>
      </c>
      <c r="D2320" s="555">
        <v>18.18</v>
      </c>
      <c r="E2320" s="555">
        <v>18.18</v>
      </c>
      <c r="F2320" s="555">
        <v>18.18</v>
      </c>
      <c r="G2320" s="555">
        <v>18.18</v>
      </c>
      <c r="H2320" s="555">
        <v>18.18</v>
      </c>
      <c r="I2320" s="555">
        <v>18.18</v>
      </c>
      <c r="J2320" s="555">
        <v>18.18</v>
      </c>
      <c r="K2320" s="555">
        <v>18.18</v>
      </c>
      <c r="L2320" s="555">
        <v>18.18</v>
      </c>
      <c r="M2320" s="555">
        <v>18.18</v>
      </c>
      <c r="N2320" s="555">
        <v>18.18</v>
      </c>
      <c r="O2320" s="555">
        <v>18.18</v>
      </c>
      <c r="P2320" s="555">
        <v>18.18</v>
      </c>
      <c r="Q2320" s="411">
        <v>18.18</v>
      </c>
      <c r="R2320" s="555">
        <v>18.18</v>
      </c>
      <c r="S2320" s="555">
        <v>18.18</v>
      </c>
      <c r="T2320" s="555">
        <v>18.18</v>
      </c>
      <c r="U2320" s="555">
        <v>18.18</v>
      </c>
      <c r="V2320" s="555">
        <v>18.18</v>
      </c>
      <c r="W2320" s="555">
        <v>18.18</v>
      </c>
      <c r="X2320" s="555">
        <v>18.18</v>
      </c>
      <c r="Y2320" s="555">
        <v>18.18</v>
      </c>
      <c r="Z2320" s="555">
        <v>18.18</v>
      </c>
      <c r="AA2320" s="555">
        <v>18.18</v>
      </c>
      <c r="AB2320" s="555">
        <v>18.18</v>
      </c>
      <c r="AC2320" s="555">
        <v>18.18</v>
      </c>
      <c r="AD2320" s="555">
        <v>18.18</v>
      </c>
      <c r="AE2320" s="555">
        <v>18.18</v>
      </c>
      <c r="AF2320" s="555">
        <v>18.18</v>
      </c>
    </row>
    <row r="2321" spans="34:34">
      <c r="AH2321">
        <v>2305</v>
      </c>
    </row>
    <row r="2322" spans="34:34">
      <c r="AH2322">
        <v>2306</v>
      </c>
    </row>
    <row r="2323" spans="34:34">
      <c r="AH2323">
        <v>2307</v>
      </c>
    </row>
    <row r="2324" spans="34:34">
      <c r="AH2324">
        <v>2307</v>
      </c>
    </row>
    <row r="2325" spans="34:34">
      <c r="AH2325">
        <v>2307</v>
      </c>
    </row>
    <row r="2326" spans="34:34">
      <c r="AH2326">
        <v>2307</v>
      </c>
    </row>
    <row r="2327" spans="34:34">
      <c r="AH2327">
        <v>2307</v>
      </c>
    </row>
    <row r="2328" spans="34:34">
      <c r="AH2328">
        <v>2307</v>
      </c>
    </row>
    <row r="2329" spans="34:34">
      <c r="AH2329">
        <v>2307</v>
      </c>
    </row>
    <row r="2330" spans="34:34">
      <c r="AH2330">
        <v>2307</v>
      </c>
    </row>
    <row r="2331" spans="34:34">
      <c r="AH2331">
        <v>2307</v>
      </c>
    </row>
    <row r="2332" spans="34:34">
      <c r="AH2332">
        <v>2307</v>
      </c>
    </row>
    <row r="2333" spans="34:34">
      <c r="AH2333">
        <v>2307</v>
      </c>
    </row>
    <row r="2334" spans="34:34">
      <c r="AH2334">
        <v>2307</v>
      </c>
    </row>
    <row r="2335" spans="34:34">
      <c r="AH2335">
        <v>2319</v>
      </c>
    </row>
    <row r="2336" spans="34:34">
      <c r="AH2336">
        <v>2320</v>
      </c>
    </row>
    <row r="2337" spans="1:33">
      <c r="A2337" s="555">
        <v>33.33</v>
      </c>
      <c r="B2337" s="557">
        <v>33.33</v>
      </c>
      <c r="C2337" s="411">
        <v>33.33</v>
      </c>
      <c r="D2337" s="411">
        <v>33.33</v>
      </c>
      <c r="E2337" s="411">
        <v>33.33</v>
      </c>
      <c r="F2337" s="411">
        <v>33.33</v>
      </c>
      <c r="G2337" s="411">
        <v>33.33</v>
      </c>
      <c r="H2337" s="555">
        <v>33.33</v>
      </c>
      <c r="I2337" s="557">
        <v>33.33</v>
      </c>
      <c r="J2337" s="411">
        <v>33.33</v>
      </c>
      <c r="K2337" s="411">
        <v>33.33</v>
      </c>
      <c r="L2337" s="411">
        <v>33.33</v>
      </c>
      <c r="M2337" s="411">
        <v>33.33</v>
      </c>
      <c r="N2337" s="411">
        <v>33.33</v>
      </c>
      <c r="O2337" s="411">
        <v>33.33</v>
      </c>
      <c r="P2337" s="555">
        <v>33.33</v>
      </c>
      <c r="Q2337" s="557">
        <v>33.33</v>
      </c>
      <c r="R2337" s="411">
        <v>33.33</v>
      </c>
      <c r="S2337" s="411">
        <v>33.33</v>
      </c>
      <c r="T2337" s="411">
        <v>33.33</v>
      </c>
      <c r="U2337" s="411">
        <v>33.33</v>
      </c>
      <c r="V2337" s="411">
        <v>33.33</v>
      </c>
      <c r="W2337" s="411">
        <v>33.33</v>
      </c>
      <c r="X2337" s="555">
        <v>33.33</v>
      </c>
      <c r="Y2337" s="557">
        <v>33.33</v>
      </c>
      <c r="Z2337" s="411">
        <v>33.33</v>
      </c>
      <c r="AA2337" s="411">
        <v>33.33</v>
      </c>
      <c r="AB2337" s="411">
        <v>33.33</v>
      </c>
      <c r="AC2337" s="411">
        <v>33.33</v>
      </c>
      <c r="AD2337" s="411">
        <v>33.33</v>
      </c>
      <c r="AE2337" s="555">
        <v>33.33</v>
      </c>
      <c r="AF2337" s="439">
        <v>33.33</v>
      </c>
      <c r="AG2337">
        <v>74</v>
      </c>
    </row>
    <row r="2338" spans="1:33">
      <c r="A2338" s="555">
        <v>32.32</v>
      </c>
      <c r="B2338" s="439">
        <v>33.32</v>
      </c>
      <c r="C2338" s="439">
        <v>33.32</v>
      </c>
      <c r="D2338" s="439">
        <v>33.32</v>
      </c>
      <c r="E2338" s="439">
        <v>33.32</v>
      </c>
      <c r="F2338" s="439">
        <v>33.32</v>
      </c>
      <c r="G2338" s="439">
        <v>33.32</v>
      </c>
      <c r="H2338" s="439">
        <v>33.32</v>
      </c>
      <c r="I2338" s="439">
        <v>33.32</v>
      </c>
      <c r="J2338" s="439">
        <v>33.32</v>
      </c>
      <c r="K2338" s="439">
        <v>33.32</v>
      </c>
      <c r="L2338" s="439">
        <v>33.32</v>
      </c>
      <c r="M2338" s="439">
        <v>33.32</v>
      </c>
      <c r="N2338" s="439">
        <v>33.32</v>
      </c>
      <c r="O2338" s="439">
        <v>33.32</v>
      </c>
      <c r="P2338" s="555">
        <v>33.32</v>
      </c>
      <c r="Q2338" s="552">
        <v>33.32</v>
      </c>
      <c r="R2338" s="439">
        <v>33.32</v>
      </c>
      <c r="S2338" s="439">
        <v>33.32</v>
      </c>
      <c r="T2338" s="439">
        <v>33.32</v>
      </c>
      <c r="U2338" s="439">
        <v>33.32</v>
      </c>
      <c r="V2338" s="439">
        <v>33.32</v>
      </c>
      <c r="W2338" s="439">
        <v>33.32</v>
      </c>
      <c r="X2338" s="439">
        <v>33.32</v>
      </c>
      <c r="Y2338" s="439">
        <v>33.32</v>
      </c>
      <c r="Z2338" s="439">
        <v>33.32</v>
      </c>
      <c r="AA2338" s="439">
        <v>33.32</v>
      </c>
      <c r="AB2338" s="439">
        <v>33.32</v>
      </c>
      <c r="AC2338" s="439">
        <v>33.32</v>
      </c>
      <c r="AD2338" s="439">
        <v>33.32</v>
      </c>
      <c r="AE2338" s="439">
        <v>33.32</v>
      </c>
      <c r="AF2338" s="555">
        <v>33.32</v>
      </c>
    </row>
    <row r="2339" spans="1:33">
      <c r="A2339" s="439">
        <v>31.31</v>
      </c>
      <c r="B2339" s="411">
        <v>32.31</v>
      </c>
      <c r="C2339" s="411">
        <v>33.31</v>
      </c>
      <c r="D2339" s="411">
        <v>33.31</v>
      </c>
      <c r="E2339" s="411">
        <v>33.31</v>
      </c>
      <c r="F2339" s="411">
        <v>33.31</v>
      </c>
      <c r="G2339" s="411">
        <v>33.31</v>
      </c>
      <c r="H2339" s="411">
        <v>33.31</v>
      </c>
      <c r="I2339" s="411">
        <v>33.31</v>
      </c>
      <c r="J2339" s="411">
        <v>33.31</v>
      </c>
      <c r="K2339" s="411">
        <v>33.31</v>
      </c>
      <c r="L2339" s="411">
        <v>33.31</v>
      </c>
      <c r="M2339" s="411">
        <v>33.31</v>
      </c>
      <c r="N2339" s="411">
        <v>33.31</v>
      </c>
      <c r="O2339" s="411">
        <v>33.31</v>
      </c>
      <c r="P2339" s="555">
        <v>33.31</v>
      </c>
      <c r="Q2339" s="552">
        <v>33.31</v>
      </c>
      <c r="R2339" s="411">
        <v>33.31</v>
      </c>
      <c r="S2339" s="411">
        <v>33.31</v>
      </c>
      <c r="T2339" s="411">
        <v>33.31</v>
      </c>
      <c r="U2339" s="411">
        <v>33.31</v>
      </c>
      <c r="V2339" s="411">
        <v>33.31</v>
      </c>
      <c r="W2339" s="411">
        <v>33.31</v>
      </c>
      <c r="X2339" s="411">
        <v>33.31</v>
      </c>
      <c r="Y2339" s="411">
        <v>33.31</v>
      </c>
      <c r="Z2339" s="411">
        <v>33.31</v>
      </c>
      <c r="AA2339" s="411">
        <v>33.31</v>
      </c>
      <c r="AB2339" s="411">
        <v>33.31</v>
      </c>
      <c r="AC2339" s="411">
        <v>33.31</v>
      </c>
      <c r="AD2339" s="411">
        <v>33.31</v>
      </c>
      <c r="AE2339" s="411">
        <v>32.31</v>
      </c>
      <c r="AF2339" s="439">
        <v>31.31</v>
      </c>
    </row>
    <row r="2340" spans="1:33">
      <c r="A2340" s="439">
        <v>31.31</v>
      </c>
      <c r="B2340" s="411">
        <v>32.31</v>
      </c>
      <c r="C2340" s="411">
        <v>32.31</v>
      </c>
      <c r="D2340" s="411">
        <v>32.31</v>
      </c>
      <c r="E2340" s="411">
        <v>32.31</v>
      </c>
      <c r="F2340" s="411">
        <v>32.31</v>
      </c>
      <c r="G2340" s="411">
        <v>32.31</v>
      </c>
      <c r="H2340" s="411">
        <v>32.31</v>
      </c>
      <c r="I2340" s="411">
        <v>32.31</v>
      </c>
      <c r="J2340" s="411">
        <v>32.31</v>
      </c>
      <c r="K2340" s="411">
        <v>32.31</v>
      </c>
      <c r="L2340" s="411">
        <v>32.31</v>
      </c>
      <c r="M2340" s="411">
        <v>32.31</v>
      </c>
      <c r="N2340" s="411">
        <v>32.31</v>
      </c>
      <c r="O2340" s="411">
        <v>32.31</v>
      </c>
      <c r="P2340" s="555">
        <v>32.31</v>
      </c>
      <c r="Q2340" s="552">
        <v>32.31</v>
      </c>
      <c r="R2340" s="411">
        <v>32.31</v>
      </c>
      <c r="S2340" s="411">
        <v>32.31</v>
      </c>
      <c r="T2340" s="411">
        <v>32.31</v>
      </c>
      <c r="U2340" s="411">
        <v>32.31</v>
      </c>
      <c r="V2340" s="411">
        <v>32.31</v>
      </c>
      <c r="W2340" s="411">
        <v>32.31</v>
      </c>
      <c r="X2340" s="411">
        <v>32.31</v>
      </c>
      <c r="Y2340" s="411">
        <v>32.31</v>
      </c>
      <c r="Z2340" s="411">
        <v>32.31</v>
      </c>
      <c r="AA2340" s="411">
        <v>32.31</v>
      </c>
      <c r="AB2340" s="411">
        <v>32.31</v>
      </c>
      <c r="AC2340" s="411">
        <v>32.31</v>
      </c>
      <c r="AD2340" s="411">
        <v>32.31</v>
      </c>
      <c r="AE2340" s="411">
        <v>32.31</v>
      </c>
      <c r="AF2340" s="439">
        <v>31.31</v>
      </c>
      <c r="AG2340">
        <v>-1</v>
      </c>
    </row>
    <row r="2341" spans="1:33">
      <c r="A2341" s="439">
        <v>31.31</v>
      </c>
      <c r="B2341" s="411">
        <v>32.299999999999997</v>
      </c>
      <c r="C2341" s="411">
        <v>32.299999999999997</v>
      </c>
      <c r="D2341" s="411">
        <v>32.299999999999997</v>
      </c>
      <c r="E2341" s="411">
        <v>32.299999999999997</v>
      </c>
      <c r="F2341" s="411">
        <v>32.299999999999997</v>
      </c>
      <c r="G2341" s="411">
        <v>32.299999999999997</v>
      </c>
      <c r="H2341" s="411">
        <v>32.299999999999997</v>
      </c>
      <c r="I2341" s="411">
        <v>32.299999999999997</v>
      </c>
      <c r="J2341" s="411">
        <v>32.299999999999997</v>
      </c>
      <c r="K2341" s="411">
        <v>32.299999999999997</v>
      </c>
      <c r="L2341" s="411">
        <v>32.299999999999997</v>
      </c>
      <c r="M2341" s="411">
        <v>32.299999999999997</v>
      </c>
      <c r="N2341" s="411">
        <v>32.299999999999997</v>
      </c>
      <c r="O2341" s="411">
        <v>32.299999999999997</v>
      </c>
      <c r="P2341" s="555">
        <v>32.299999999999997</v>
      </c>
      <c r="Q2341" s="552">
        <v>32.299999999999997</v>
      </c>
      <c r="R2341" s="411">
        <v>32.299999999999997</v>
      </c>
      <c r="S2341" s="411">
        <v>32.299999999999997</v>
      </c>
      <c r="T2341" s="411">
        <v>32.299999999999997</v>
      </c>
      <c r="U2341" s="411">
        <v>32.299999999999997</v>
      </c>
      <c r="V2341" s="411">
        <v>32.299999999999997</v>
      </c>
      <c r="W2341" s="411">
        <v>32.299999999999997</v>
      </c>
      <c r="X2341" s="411">
        <v>32.299999999999997</v>
      </c>
      <c r="Y2341" s="411">
        <v>32.299999999999997</v>
      </c>
      <c r="Z2341" s="411">
        <v>32.299999999999997</v>
      </c>
      <c r="AA2341" s="411">
        <v>32.299999999999997</v>
      </c>
      <c r="AB2341" s="411">
        <v>32.299999999999997</v>
      </c>
      <c r="AC2341" s="411">
        <v>32.299999999999997</v>
      </c>
      <c r="AD2341" s="411">
        <v>32.299999999999997</v>
      </c>
      <c r="AE2341" s="411">
        <v>32.299999999999997</v>
      </c>
      <c r="AF2341" s="439">
        <v>31.31</v>
      </c>
    </row>
    <row r="2342" spans="1:33">
      <c r="A2342" s="439">
        <v>31.31</v>
      </c>
      <c r="B2342" s="411">
        <v>32.299999999999997</v>
      </c>
      <c r="C2342" s="411">
        <v>31.3</v>
      </c>
      <c r="D2342" s="411">
        <v>31.3</v>
      </c>
      <c r="E2342" s="411">
        <v>31.3</v>
      </c>
      <c r="F2342" s="411">
        <v>31.3</v>
      </c>
      <c r="G2342" s="411">
        <v>31.3</v>
      </c>
      <c r="H2342" s="411">
        <v>31.3</v>
      </c>
      <c r="I2342" s="411">
        <v>31.3</v>
      </c>
      <c r="J2342" s="411">
        <v>31.3</v>
      </c>
      <c r="K2342" s="411">
        <v>31.3</v>
      </c>
      <c r="L2342" s="411">
        <v>31.3</v>
      </c>
      <c r="M2342" s="411">
        <v>31.3</v>
      </c>
      <c r="N2342" s="411">
        <v>31.3</v>
      </c>
      <c r="O2342" s="411">
        <v>31.3</v>
      </c>
      <c r="P2342" s="555">
        <v>31.3</v>
      </c>
      <c r="Q2342" s="552">
        <v>31.3</v>
      </c>
      <c r="R2342" s="411">
        <v>31.3</v>
      </c>
      <c r="S2342" s="411">
        <v>31.3</v>
      </c>
      <c r="T2342" s="411">
        <v>31.3</v>
      </c>
      <c r="U2342" s="411">
        <v>31.3</v>
      </c>
      <c r="V2342" s="411">
        <v>31.3</v>
      </c>
      <c r="W2342" s="411">
        <v>31.3</v>
      </c>
      <c r="X2342" s="411">
        <v>31.3</v>
      </c>
      <c r="Y2342" s="411">
        <v>31.3</v>
      </c>
      <c r="Z2342" s="411">
        <v>31.3</v>
      </c>
      <c r="AA2342" s="411">
        <v>31.3</v>
      </c>
      <c r="AB2342" s="411">
        <v>31.3</v>
      </c>
      <c r="AC2342" s="411">
        <v>31.3</v>
      </c>
      <c r="AD2342" s="411">
        <v>31.3</v>
      </c>
      <c r="AE2342" s="411">
        <v>32.299999999999997</v>
      </c>
      <c r="AF2342" s="439">
        <v>31.31</v>
      </c>
    </row>
    <row r="2343" spans="1:33">
      <c r="A2343" s="439">
        <v>31.3</v>
      </c>
      <c r="B2343" s="411">
        <v>32.29</v>
      </c>
      <c r="C2343" s="411">
        <v>31.29</v>
      </c>
      <c r="D2343" s="411">
        <v>31.29</v>
      </c>
      <c r="E2343" s="411">
        <v>31.29</v>
      </c>
      <c r="F2343" s="411">
        <v>31.29</v>
      </c>
      <c r="G2343" s="411">
        <v>31.29</v>
      </c>
      <c r="H2343" s="411">
        <v>31.29</v>
      </c>
      <c r="I2343" s="411">
        <v>31.29</v>
      </c>
      <c r="J2343" s="411">
        <v>31.29</v>
      </c>
      <c r="K2343" s="411">
        <v>31.29</v>
      </c>
      <c r="L2343" s="411">
        <v>31.29</v>
      </c>
      <c r="M2343" s="411">
        <v>31.29</v>
      </c>
      <c r="N2343" s="411">
        <v>31.29</v>
      </c>
      <c r="O2343" s="411">
        <v>31.29</v>
      </c>
      <c r="P2343" s="555">
        <v>31.29</v>
      </c>
      <c r="Q2343" s="552">
        <v>31.29</v>
      </c>
      <c r="R2343" s="411">
        <v>31.29</v>
      </c>
      <c r="S2343" s="411">
        <v>31.29</v>
      </c>
      <c r="T2343" s="411">
        <v>31.29</v>
      </c>
      <c r="U2343" s="411">
        <v>31.29</v>
      </c>
      <c r="V2343" s="411">
        <v>31.29</v>
      </c>
      <c r="W2343" s="411">
        <v>31.29</v>
      </c>
      <c r="X2343" s="411">
        <v>31.29</v>
      </c>
      <c r="Y2343" s="411">
        <v>31.29</v>
      </c>
      <c r="Z2343" s="411">
        <v>31.29</v>
      </c>
      <c r="AA2343" s="411">
        <v>31.29</v>
      </c>
      <c r="AB2343" s="411">
        <v>31.29</v>
      </c>
      <c r="AC2343" s="411">
        <v>31.29</v>
      </c>
      <c r="AD2343" s="411">
        <v>31.29</v>
      </c>
      <c r="AE2343" s="411">
        <v>32.29</v>
      </c>
      <c r="AF2343" s="439">
        <v>31.3</v>
      </c>
    </row>
    <row r="2344" spans="1:33">
      <c r="A2344" s="439">
        <v>31.3</v>
      </c>
      <c r="B2344" s="411">
        <v>32.29</v>
      </c>
      <c r="C2344" s="411">
        <v>30.29</v>
      </c>
      <c r="D2344" s="411">
        <v>30.29</v>
      </c>
      <c r="E2344" s="411">
        <v>30.29</v>
      </c>
      <c r="F2344" s="411">
        <v>30.29</v>
      </c>
      <c r="G2344" s="411">
        <v>30.29</v>
      </c>
      <c r="H2344" s="411">
        <v>30.29</v>
      </c>
      <c r="I2344" s="411">
        <v>30.29</v>
      </c>
      <c r="J2344" s="411">
        <v>30.29</v>
      </c>
      <c r="K2344" s="411">
        <v>30.29</v>
      </c>
      <c r="L2344" s="411">
        <v>30.29</v>
      </c>
      <c r="M2344" s="411">
        <v>30.29</v>
      </c>
      <c r="N2344" s="411">
        <v>30.29</v>
      </c>
      <c r="O2344" s="411">
        <v>30.29</v>
      </c>
      <c r="P2344" s="555">
        <v>30.29</v>
      </c>
      <c r="Q2344" s="552">
        <v>30.29</v>
      </c>
      <c r="R2344" s="411">
        <v>30.29</v>
      </c>
      <c r="S2344" s="411">
        <v>30.29</v>
      </c>
      <c r="T2344" s="411">
        <v>30.29</v>
      </c>
      <c r="U2344" s="411">
        <v>30.29</v>
      </c>
      <c r="V2344" s="411">
        <v>30.29</v>
      </c>
      <c r="W2344" s="411">
        <v>30.29</v>
      </c>
      <c r="X2344" s="411">
        <v>30.29</v>
      </c>
      <c r="Y2344" s="411">
        <v>30.29</v>
      </c>
      <c r="Z2344" s="411">
        <v>30.29</v>
      </c>
      <c r="AA2344" s="411">
        <v>30.29</v>
      </c>
      <c r="AB2344" s="411">
        <v>30.29</v>
      </c>
      <c r="AC2344" s="411">
        <v>30.29</v>
      </c>
      <c r="AD2344" s="411">
        <v>30.29</v>
      </c>
      <c r="AE2344" s="411">
        <v>32.29</v>
      </c>
      <c r="AF2344" s="439">
        <v>31.3</v>
      </c>
    </row>
    <row r="2345" spans="1:33">
      <c r="A2345" s="555">
        <v>31.29</v>
      </c>
      <c r="B2345" s="411">
        <v>32.28</v>
      </c>
      <c r="C2345" s="411">
        <v>30.28</v>
      </c>
      <c r="D2345" s="411">
        <v>30.28</v>
      </c>
      <c r="E2345" s="411">
        <v>30.28</v>
      </c>
      <c r="F2345" s="411">
        <v>30.28</v>
      </c>
      <c r="G2345" s="411">
        <v>30.28</v>
      </c>
      <c r="H2345" s="411">
        <v>30.28</v>
      </c>
      <c r="I2345" s="411">
        <v>30.28</v>
      </c>
      <c r="J2345" s="411">
        <v>30.28</v>
      </c>
      <c r="K2345" s="411">
        <v>30.28</v>
      </c>
      <c r="L2345" s="411">
        <v>30.28</v>
      </c>
      <c r="M2345" s="411">
        <v>30.28</v>
      </c>
      <c r="N2345" s="411">
        <v>30.28</v>
      </c>
      <c r="O2345" s="411">
        <v>30.28</v>
      </c>
      <c r="P2345" s="555">
        <v>30.28</v>
      </c>
      <c r="Q2345" s="552">
        <v>30.28</v>
      </c>
      <c r="R2345" s="411">
        <v>30.28</v>
      </c>
      <c r="S2345" s="411">
        <v>30.28</v>
      </c>
      <c r="T2345" s="411">
        <v>30.28</v>
      </c>
      <c r="U2345" s="411">
        <v>30.28</v>
      </c>
      <c r="V2345" s="411">
        <v>30.28</v>
      </c>
      <c r="W2345" s="411">
        <v>30.28</v>
      </c>
      <c r="X2345" s="411">
        <v>30.28</v>
      </c>
      <c r="Y2345" s="411">
        <v>30.28</v>
      </c>
      <c r="Z2345" s="411">
        <v>30.28</v>
      </c>
      <c r="AA2345" s="411">
        <v>30.28</v>
      </c>
      <c r="AB2345" s="411">
        <v>30.28</v>
      </c>
      <c r="AC2345" s="411">
        <v>30.28</v>
      </c>
      <c r="AD2345" s="411">
        <v>30.28</v>
      </c>
      <c r="AE2345" s="411">
        <v>32.28</v>
      </c>
      <c r="AF2345" s="555">
        <v>31.29</v>
      </c>
    </row>
    <row r="2346" spans="1:33">
      <c r="A2346" s="439">
        <v>31.29</v>
      </c>
      <c r="B2346" s="411">
        <v>32.28</v>
      </c>
      <c r="C2346" s="411">
        <v>29.28</v>
      </c>
      <c r="D2346" s="411">
        <v>29.28</v>
      </c>
      <c r="E2346" s="411">
        <v>29.28</v>
      </c>
      <c r="F2346" s="411">
        <v>29.28</v>
      </c>
      <c r="G2346" s="411">
        <v>29.28</v>
      </c>
      <c r="H2346" s="411">
        <v>29.28</v>
      </c>
      <c r="I2346" s="411">
        <v>29.28</v>
      </c>
      <c r="J2346" s="411">
        <v>29.28</v>
      </c>
      <c r="K2346" s="411">
        <v>29.28</v>
      </c>
      <c r="L2346" s="411">
        <v>29.28</v>
      </c>
      <c r="M2346" s="411">
        <v>29.28</v>
      </c>
      <c r="N2346" s="411">
        <v>29.28</v>
      </c>
      <c r="O2346" s="411">
        <v>29.28</v>
      </c>
      <c r="P2346" s="555">
        <v>29.28</v>
      </c>
      <c r="Q2346" s="552">
        <v>29.28</v>
      </c>
      <c r="R2346" s="411">
        <v>29.28</v>
      </c>
      <c r="S2346" s="411">
        <v>29.28</v>
      </c>
      <c r="T2346" s="411">
        <v>29.28</v>
      </c>
      <c r="U2346" s="411">
        <v>29.28</v>
      </c>
      <c r="V2346" s="411">
        <v>29.28</v>
      </c>
      <c r="W2346" s="411">
        <v>29.28</v>
      </c>
      <c r="X2346" s="411">
        <v>29.28</v>
      </c>
      <c r="Y2346" s="411">
        <v>29.28</v>
      </c>
      <c r="Z2346" s="411">
        <v>29.28</v>
      </c>
      <c r="AA2346" s="411">
        <v>29.28</v>
      </c>
      <c r="AB2346" s="411">
        <v>29.28</v>
      </c>
      <c r="AC2346" s="411">
        <v>29.28</v>
      </c>
      <c r="AD2346" s="411">
        <v>29.28</v>
      </c>
      <c r="AE2346" s="411">
        <v>32.28</v>
      </c>
      <c r="AF2346" s="439">
        <v>31.29</v>
      </c>
    </row>
    <row r="2347" spans="1:33">
      <c r="A2347" s="439">
        <v>31.28</v>
      </c>
      <c r="B2347" s="411">
        <v>32.270000000000003</v>
      </c>
      <c r="C2347" s="411">
        <v>29.27</v>
      </c>
      <c r="D2347" s="411">
        <v>29.27</v>
      </c>
      <c r="E2347" s="411">
        <v>29.27</v>
      </c>
      <c r="F2347" s="411">
        <v>29.27</v>
      </c>
      <c r="G2347" s="411">
        <v>29.27</v>
      </c>
      <c r="H2347" s="411">
        <v>29.27</v>
      </c>
      <c r="I2347" s="411">
        <v>29.27</v>
      </c>
      <c r="J2347" s="411">
        <v>29.27</v>
      </c>
      <c r="K2347" s="411">
        <v>29.27</v>
      </c>
      <c r="L2347" s="411">
        <v>29.27</v>
      </c>
      <c r="M2347" s="411">
        <v>29.27</v>
      </c>
      <c r="N2347" s="411">
        <v>29.27</v>
      </c>
      <c r="O2347" s="411">
        <v>29.27</v>
      </c>
      <c r="P2347" s="555">
        <v>29.27</v>
      </c>
      <c r="Q2347" s="552">
        <v>29.27</v>
      </c>
      <c r="R2347" s="411">
        <v>29.27</v>
      </c>
      <c r="S2347" s="411">
        <v>29.27</v>
      </c>
      <c r="T2347" s="411">
        <v>29.27</v>
      </c>
      <c r="U2347" s="411">
        <v>29.27</v>
      </c>
      <c r="V2347" s="411">
        <v>29.27</v>
      </c>
      <c r="W2347" s="411">
        <v>29.27</v>
      </c>
      <c r="X2347" s="411">
        <v>29.27</v>
      </c>
      <c r="Y2347" s="411">
        <v>29.27</v>
      </c>
      <c r="Z2347" s="411">
        <v>29.27</v>
      </c>
      <c r="AA2347" s="411">
        <v>29.27</v>
      </c>
      <c r="AB2347" s="411">
        <v>29.27</v>
      </c>
      <c r="AC2347" s="411">
        <v>29.27</v>
      </c>
      <c r="AD2347" s="411">
        <v>29.27</v>
      </c>
      <c r="AE2347" s="411">
        <v>32.270000000000003</v>
      </c>
      <c r="AF2347" s="439">
        <v>31.28</v>
      </c>
    </row>
    <row r="2348" spans="1:33">
      <c r="A2348" s="439">
        <v>31.28</v>
      </c>
      <c r="B2348" s="411">
        <v>32.270000000000003</v>
      </c>
      <c r="C2348" s="411">
        <v>28.27</v>
      </c>
      <c r="D2348" s="411">
        <v>28.27</v>
      </c>
      <c r="E2348" s="411">
        <v>28.27</v>
      </c>
      <c r="F2348" s="411">
        <v>28.27</v>
      </c>
      <c r="G2348" s="411">
        <v>28.27</v>
      </c>
      <c r="H2348" s="411">
        <v>28.27</v>
      </c>
      <c r="I2348" s="411">
        <v>28.27</v>
      </c>
      <c r="J2348" s="411">
        <v>28.27</v>
      </c>
      <c r="K2348" s="411">
        <v>28.27</v>
      </c>
      <c r="L2348" s="411">
        <v>28.27</v>
      </c>
      <c r="M2348" s="411">
        <v>28.27</v>
      </c>
      <c r="N2348" s="411">
        <v>28.27</v>
      </c>
      <c r="O2348" s="411">
        <v>28.27</v>
      </c>
      <c r="P2348" s="555">
        <v>28.27</v>
      </c>
      <c r="Q2348" s="552">
        <v>28.27</v>
      </c>
      <c r="R2348" s="411">
        <v>28.27</v>
      </c>
      <c r="S2348" s="411">
        <v>28.27</v>
      </c>
      <c r="T2348" s="411">
        <v>28.27</v>
      </c>
      <c r="U2348" s="411">
        <v>28.27</v>
      </c>
      <c r="V2348" s="411">
        <v>28.27</v>
      </c>
      <c r="W2348" s="411">
        <v>28.27</v>
      </c>
      <c r="X2348" s="411">
        <v>28.27</v>
      </c>
      <c r="Y2348" s="411">
        <v>28.27</v>
      </c>
      <c r="Z2348" s="411">
        <v>28.27</v>
      </c>
      <c r="AA2348" s="411">
        <v>28.27</v>
      </c>
      <c r="AB2348" s="411">
        <v>28.27</v>
      </c>
      <c r="AC2348" s="411">
        <v>28.27</v>
      </c>
      <c r="AD2348" s="411">
        <v>28.27</v>
      </c>
      <c r="AE2348" s="411">
        <v>32.270000000000003</v>
      </c>
      <c r="AF2348" s="439">
        <v>31.28</v>
      </c>
    </row>
    <row r="2349" spans="1:33">
      <c r="A2349" s="439">
        <v>31.27</v>
      </c>
      <c r="B2349" s="411">
        <v>32.26</v>
      </c>
      <c r="C2349" s="411">
        <v>28.26</v>
      </c>
      <c r="D2349" s="411">
        <v>28.26</v>
      </c>
      <c r="E2349" s="411">
        <v>28.26</v>
      </c>
      <c r="F2349" s="411">
        <v>28.26</v>
      </c>
      <c r="G2349" s="411">
        <v>28.26</v>
      </c>
      <c r="H2349" s="411">
        <v>28.26</v>
      </c>
      <c r="I2349" s="411">
        <v>28.26</v>
      </c>
      <c r="J2349" s="411">
        <v>28.26</v>
      </c>
      <c r="K2349" s="411">
        <v>28.26</v>
      </c>
      <c r="L2349" s="411">
        <v>28.26</v>
      </c>
      <c r="M2349" s="411">
        <v>28.26</v>
      </c>
      <c r="N2349" s="411">
        <v>28.26</v>
      </c>
      <c r="O2349" s="411">
        <v>28.26</v>
      </c>
      <c r="P2349" s="555">
        <v>28.26</v>
      </c>
      <c r="Q2349" s="552">
        <v>28.26</v>
      </c>
      <c r="R2349" s="411">
        <v>28.26</v>
      </c>
      <c r="S2349" s="411">
        <v>28.26</v>
      </c>
      <c r="T2349" s="411">
        <v>28.26</v>
      </c>
      <c r="U2349" s="411">
        <v>28.26</v>
      </c>
      <c r="V2349" s="411">
        <v>28.26</v>
      </c>
      <c r="W2349" s="411">
        <v>28.26</v>
      </c>
      <c r="X2349" s="411">
        <v>28.26</v>
      </c>
      <c r="Y2349" s="411">
        <v>28.26</v>
      </c>
      <c r="Z2349" s="411">
        <v>28.26</v>
      </c>
      <c r="AA2349" s="411">
        <v>28.26</v>
      </c>
      <c r="AB2349" s="411">
        <v>28.26</v>
      </c>
      <c r="AC2349" s="411">
        <v>28.26</v>
      </c>
      <c r="AD2349" s="411">
        <v>28.26</v>
      </c>
      <c r="AE2349" s="411">
        <v>32.26</v>
      </c>
      <c r="AF2349" s="439">
        <v>31.27</v>
      </c>
    </row>
    <row r="2350" spans="1:33">
      <c r="A2350" s="439">
        <v>31.27</v>
      </c>
      <c r="B2350" s="411">
        <v>32.26</v>
      </c>
      <c r="C2350" s="411">
        <v>27.26</v>
      </c>
      <c r="D2350" s="411">
        <v>27.26</v>
      </c>
      <c r="E2350" s="411">
        <v>27.26</v>
      </c>
      <c r="F2350" s="411">
        <v>27.26</v>
      </c>
      <c r="G2350" s="411">
        <v>27.26</v>
      </c>
      <c r="H2350" s="411">
        <v>27.26</v>
      </c>
      <c r="I2350" s="411">
        <v>27.26</v>
      </c>
      <c r="J2350" s="411">
        <v>27.26</v>
      </c>
      <c r="K2350" s="411">
        <v>27.26</v>
      </c>
      <c r="L2350" s="411">
        <v>27.26</v>
      </c>
      <c r="M2350" s="411">
        <v>27.26</v>
      </c>
      <c r="N2350" s="411">
        <v>27.26</v>
      </c>
      <c r="O2350" s="411">
        <v>27.26</v>
      </c>
      <c r="P2350" s="555">
        <v>27.26</v>
      </c>
      <c r="Q2350" s="552">
        <v>27.26</v>
      </c>
      <c r="R2350" s="411">
        <v>27.26</v>
      </c>
      <c r="S2350" s="411">
        <v>27.26</v>
      </c>
      <c r="T2350" s="411">
        <v>27.26</v>
      </c>
      <c r="U2350" s="411">
        <v>27.26</v>
      </c>
      <c r="V2350" s="411">
        <v>27.26</v>
      </c>
      <c r="W2350" s="411">
        <v>27.26</v>
      </c>
      <c r="X2350" s="411">
        <v>27.26</v>
      </c>
      <c r="Y2350" s="411">
        <v>27.26</v>
      </c>
      <c r="Z2350" s="411">
        <v>27.26</v>
      </c>
      <c r="AA2350" s="411">
        <v>27.26</v>
      </c>
      <c r="AB2350" s="411">
        <v>27.26</v>
      </c>
      <c r="AC2350" s="411">
        <v>27.26</v>
      </c>
      <c r="AD2350" s="411">
        <v>27.26</v>
      </c>
      <c r="AE2350" s="411">
        <v>32.26</v>
      </c>
      <c r="AF2350" s="439">
        <v>31.27</v>
      </c>
    </row>
    <row r="2351" spans="1:33">
      <c r="A2351" s="439">
        <v>31.26</v>
      </c>
      <c r="B2351" s="411">
        <v>32.25</v>
      </c>
      <c r="C2351" s="411">
        <v>27.25</v>
      </c>
      <c r="D2351" s="411">
        <v>27.25</v>
      </c>
      <c r="E2351" s="411">
        <v>27.25</v>
      </c>
      <c r="F2351" s="411">
        <v>27.25</v>
      </c>
      <c r="G2351" s="411">
        <v>27.25</v>
      </c>
      <c r="H2351" s="411">
        <v>27.25</v>
      </c>
      <c r="I2351" s="411">
        <v>27.25</v>
      </c>
      <c r="J2351" s="411">
        <v>27.25</v>
      </c>
      <c r="K2351" s="411">
        <v>27.25</v>
      </c>
      <c r="L2351" s="411">
        <v>27.25</v>
      </c>
      <c r="M2351" s="411">
        <v>27.25</v>
      </c>
      <c r="N2351" s="411">
        <v>27.25</v>
      </c>
      <c r="O2351" s="411">
        <v>27.25</v>
      </c>
      <c r="P2351" s="555">
        <v>27.25</v>
      </c>
      <c r="Q2351" s="552">
        <v>27.25</v>
      </c>
      <c r="R2351" s="411">
        <v>27.25</v>
      </c>
      <c r="S2351" s="411">
        <v>27.25</v>
      </c>
      <c r="T2351" s="411">
        <v>27.25</v>
      </c>
      <c r="U2351" s="411">
        <v>27.25</v>
      </c>
      <c r="V2351" s="411">
        <v>27.25</v>
      </c>
      <c r="W2351" s="411">
        <v>27.25</v>
      </c>
      <c r="X2351" s="411">
        <v>27.25</v>
      </c>
      <c r="Y2351" s="411">
        <v>27.25</v>
      </c>
      <c r="Z2351" s="411">
        <v>27.25</v>
      </c>
      <c r="AA2351" s="411">
        <v>27.25</v>
      </c>
      <c r="AB2351" s="411">
        <v>27.25</v>
      </c>
      <c r="AC2351" s="411">
        <v>27.25</v>
      </c>
      <c r="AD2351" s="411">
        <v>27.25</v>
      </c>
      <c r="AE2351" s="411">
        <v>32.25</v>
      </c>
      <c r="AF2351" s="439">
        <v>31.26</v>
      </c>
    </row>
    <row r="2352" spans="1:33">
      <c r="A2352" s="555">
        <v>31.26</v>
      </c>
      <c r="B2352" s="555">
        <v>32.25</v>
      </c>
      <c r="C2352" s="555">
        <v>26.25</v>
      </c>
      <c r="D2352" s="555">
        <v>26.25</v>
      </c>
      <c r="E2352" s="555">
        <v>26.25</v>
      </c>
      <c r="F2352" s="555">
        <v>26.25</v>
      </c>
      <c r="G2352" s="555">
        <v>26.25</v>
      </c>
      <c r="H2352" s="555">
        <v>26.25</v>
      </c>
      <c r="I2352" s="555">
        <v>26.25</v>
      </c>
      <c r="J2352" s="555">
        <v>26.25</v>
      </c>
      <c r="K2352" s="555">
        <v>26.25</v>
      </c>
      <c r="L2352" s="555">
        <v>26.25</v>
      </c>
      <c r="M2352" s="555">
        <v>26.25</v>
      </c>
      <c r="N2352" s="555">
        <v>26.25</v>
      </c>
      <c r="O2352" s="555">
        <v>26.25</v>
      </c>
      <c r="P2352" s="555">
        <v>26.25</v>
      </c>
      <c r="Q2352" s="553">
        <v>26.25</v>
      </c>
      <c r="R2352" s="555">
        <v>26.25</v>
      </c>
      <c r="S2352" s="555">
        <v>26.25</v>
      </c>
      <c r="T2352" s="555">
        <v>26.25</v>
      </c>
      <c r="U2352" s="555">
        <v>26.25</v>
      </c>
      <c r="V2352" s="555">
        <v>26.25</v>
      </c>
      <c r="W2352" s="555">
        <v>26.25</v>
      </c>
      <c r="X2352" s="555">
        <v>26.25</v>
      </c>
      <c r="Y2352" s="555">
        <v>26.25</v>
      </c>
      <c r="Z2352" s="555">
        <v>26.25</v>
      </c>
      <c r="AA2352" s="555">
        <v>26.25</v>
      </c>
      <c r="AB2352" s="555">
        <v>26.25</v>
      </c>
      <c r="AC2352" s="555">
        <v>26.25</v>
      </c>
      <c r="AD2352" s="555">
        <v>26.25</v>
      </c>
      <c r="AE2352" s="555">
        <v>32.25</v>
      </c>
      <c r="AF2352" s="555">
        <v>31.26</v>
      </c>
    </row>
    <row r="2353" spans="1:32">
      <c r="A2353" s="555">
        <v>31.25</v>
      </c>
      <c r="B2353" s="552">
        <v>32.24</v>
      </c>
      <c r="C2353" s="552">
        <v>26.24</v>
      </c>
      <c r="D2353" s="552">
        <v>26.24</v>
      </c>
      <c r="E2353" s="552">
        <v>26.24</v>
      </c>
      <c r="F2353" s="552">
        <v>26.24</v>
      </c>
      <c r="G2353" s="552">
        <v>26.24</v>
      </c>
      <c r="H2353" s="552">
        <v>26.24</v>
      </c>
      <c r="I2353" s="552">
        <v>26.24</v>
      </c>
      <c r="J2353" s="552">
        <v>26.24</v>
      </c>
      <c r="K2353" s="552">
        <v>26.24</v>
      </c>
      <c r="L2353" s="552">
        <v>26.24</v>
      </c>
      <c r="M2353" s="552">
        <v>26.24</v>
      </c>
      <c r="N2353" s="552">
        <v>26.24</v>
      </c>
      <c r="O2353" s="552">
        <v>26.24</v>
      </c>
      <c r="P2353" s="557">
        <v>26.24</v>
      </c>
      <c r="Q2353" s="552">
        <v>26.24</v>
      </c>
      <c r="R2353" s="552">
        <v>26.24</v>
      </c>
      <c r="S2353" s="552">
        <v>26.24</v>
      </c>
      <c r="T2353" s="552">
        <v>26.24</v>
      </c>
      <c r="U2353" s="552">
        <v>26.24</v>
      </c>
      <c r="V2353" s="552">
        <v>26.24</v>
      </c>
      <c r="W2353" s="552">
        <v>26.24</v>
      </c>
      <c r="X2353" s="552">
        <v>26.24</v>
      </c>
      <c r="Y2353" s="552">
        <v>26.24</v>
      </c>
      <c r="Z2353" s="552">
        <v>26.24</v>
      </c>
      <c r="AA2353" s="552">
        <v>26.24</v>
      </c>
      <c r="AB2353" s="552">
        <v>26.24</v>
      </c>
      <c r="AC2353" s="552">
        <v>26.24</v>
      </c>
      <c r="AD2353" s="552">
        <v>26.24</v>
      </c>
      <c r="AE2353" s="552">
        <v>32.24</v>
      </c>
      <c r="AF2353" s="555">
        <v>31.25</v>
      </c>
    </row>
    <row r="2354" spans="1:32">
      <c r="A2354" s="439">
        <v>31.25</v>
      </c>
      <c r="B2354" s="411">
        <v>32.24</v>
      </c>
      <c r="C2354" s="411">
        <v>25.24</v>
      </c>
      <c r="D2354" s="411">
        <v>25.24</v>
      </c>
      <c r="E2354" s="411">
        <v>25.24</v>
      </c>
      <c r="F2354" s="411">
        <v>25.24</v>
      </c>
      <c r="G2354" s="411">
        <v>25.24</v>
      </c>
      <c r="H2354" s="411">
        <v>25.24</v>
      </c>
      <c r="I2354" s="411">
        <v>25.24</v>
      </c>
      <c r="J2354" s="411">
        <v>25.24</v>
      </c>
      <c r="K2354" s="411">
        <v>25.24</v>
      </c>
      <c r="L2354" s="411">
        <v>25.24</v>
      </c>
      <c r="M2354" s="411">
        <v>25.24</v>
      </c>
      <c r="N2354" s="411">
        <v>25.24</v>
      </c>
      <c r="O2354" s="411">
        <v>25.24</v>
      </c>
      <c r="P2354" s="555">
        <v>25.24</v>
      </c>
      <c r="Q2354" s="552">
        <v>25.24</v>
      </c>
      <c r="R2354" s="411">
        <v>25.24</v>
      </c>
      <c r="S2354" s="411">
        <v>25.24</v>
      </c>
      <c r="T2354" s="411">
        <v>25.24</v>
      </c>
      <c r="U2354" s="411">
        <v>25.24</v>
      </c>
      <c r="V2354" s="411">
        <v>25.24</v>
      </c>
      <c r="W2354" s="411">
        <v>25.24</v>
      </c>
      <c r="X2354" s="411">
        <v>25.24</v>
      </c>
      <c r="Y2354" s="411">
        <v>25.24</v>
      </c>
      <c r="Z2354" s="411">
        <v>25.24</v>
      </c>
      <c r="AA2354" s="411">
        <v>25.24</v>
      </c>
      <c r="AB2354" s="411">
        <v>25.24</v>
      </c>
      <c r="AC2354" s="411">
        <v>25.24</v>
      </c>
      <c r="AD2354" s="411">
        <v>25.24</v>
      </c>
      <c r="AE2354" s="411">
        <v>32.24</v>
      </c>
      <c r="AF2354" s="439">
        <v>31.25</v>
      </c>
    </row>
    <row r="2355" spans="1:32">
      <c r="A2355" s="439">
        <v>31.24</v>
      </c>
      <c r="B2355" s="411">
        <v>32.229999999999997</v>
      </c>
      <c r="C2355" s="411">
        <v>25.23</v>
      </c>
      <c r="D2355" s="411">
        <v>25.23</v>
      </c>
      <c r="E2355" s="411">
        <v>25.23</v>
      </c>
      <c r="F2355" s="411">
        <v>25.23</v>
      </c>
      <c r="G2355" s="411">
        <v>25.23</v>
      </c>
      <c r="H2355" s="411">
        <v>25.23</v>
      </c>
      <c r="I2355" s="411">
        <v>25.23</v>
      </c>
      <c r="J2355" s="411">
        <v>25.23</v>
      </c>
      <c r="K2355" s="411">
        <v>25.23</v>
      </c>
      <c r="L2355" s="411">
        <v>25.23</v>
      </c>
      <c r="M2355" s="411">
        <v>25.23</v>
      </c>
      <c r="N2355" s="411">
        <v>25.23</v>
      </c>
      <c r="O2355" s="411">
        <v>25.23</v>
      </c>
      <c r="P2355" s="555">
        <v>25.23</v>
      </c>
      <c r="Q2355" s="552">
        <v>25.23</v>
      </c>
      <c r="R2355" s="411">
        <v>25.23</v>
      </c>
      <c r="S2355" s="411">
        <v>25.23</v>
      </c>
      <c r="T2355" s="411">
        <v>25.23</v>
      </c>
      <c r="U2355" s="411">
        <v>25.23</v>
      </c>
      <c r="V2355" s="411">
        <v>25.23</v>
      </c>
      <c r="W2355" s="411">
        <v>25.23</v>
      </c>
      <c r="X2355" s="411">
        <v>25.23</v>
      </c>
      <c r="Y2355" s="411">
        <v>25.23</v>
      </c>
      <c r="Z2355" s="411">
        <v>25.23</v>
      </c>
      <c r="AA2355" s="411">
        <v>25.23</v>
      </c>
      <c r="AB2355" s="411">
        <v>25.23</v>
      </c>
      <c r="AC2355" s="411">
        <v>25.23</v>
      </c>
      <c r="AD2355" s="411">
        <v>25.23</v>
      </c>
      <c r="AE2355" s="411">
        <v>32.229999999999997</v>
      </c>
      <c r="AF2355" s="439">
        <v>31.24</v>
      </c>
    </row>
    <row r="2356" spans="1:32">
      <c r="A2356" s="439">
        <v>31.24</v>
      </c>
      <c r="B2356" s="411">
        <v>32.229999999999997</v>
      </c>
      <c r="C2356" s="411">
        <v>24.23</v>
      </c>
      <c r="D2356" s="411">
        <v>24.23</v>
      </c>
      <c r="E2356" s="411">
        <v>24.23</v>
      </c>
      <c r="F2356" s="411">
        <v>24.23</v>
      </c>
      <c r="G2356" s="411">
        <v>24.23</v>
      </c>
      <c r="H2356" s="411">
        <v>24.23</v>
      </c>
      <c r="I2356" s="411">
        <v>24.23</v>
      </c>
      <c r="J2356" s="411">
        <v>24.23</v>
      </c>
      <c r="K2356" s="411">
        <v>24.23</v>
      </c>
      <c r="L2356" s="411">
        <v>24.23</v>
      </c>
      <c r="M2356" s="411">
        <v>24.23</v>
      </c>
      <c r="N2356" s="411">
        <v>24.23</v>
      </c>
      <c r="O2356" s="411">
        <v>24.23</v>
      </c>
      <c r="P2356" s="555">
        <v>24.23</v>
      </c>
      <c r="Q2356" s="552">
        <v>24.23</v>
      </c>
      <c r="R2356" s="411">
        <v>24.23</v>
      </c>
      <c r="S2356" s="411">
        <v>24.23</v>
      </c>
      <c r="T2356" s="411">
        <v>24.23</v>
      </c>
      <c r="U2356" s="411">
        <v>24.23</v>
      </c>
      <c r="V2356" s="411">
        <v>24.23</v>
      </c>
      <c r="W2356" s="411">
        <v>24.23</v>
      </c>
      <c r="X2356" s="411">
        <v>24.23</v>
      </c>
      <c r="Y2356" s="411">
        <v>24.23</v>
      </c>
      <c r="Z2356" s="411">
        <v>24.23</v>
      </c>
      <c r="AA2356" s="411">
        <v>24.23</v>
      </c>
      <c r="AB2356" s="411">
        <v>24.23</v>
      </c>
      <c r="AC2356" s="411">
        <v>24.23</v>
      </c>
      <c r="AD2356" s="411">
        <v>24.23</v>
      </c>
      <c r="AE2356" s="411">
        <v>32.229999999999997</v>
      </c>
      <c r="AF2356" s="439">
        <v>31.24</v>
      </c>
    </row>
    <row r="2357" spans="1:32">
      <c r="A2357" s="439">
        <v>31.23</v>
      </c>
      <c r="B2357" s="411">
        <v>32.22</v>
      </c>
      <c r="C2357" s="411">
        <v>24.22</v>
      </c>
      <c r="D2357" s="411">
        <v>24.22</v>
      </c>
      <c r="E2357" s="411">
        <v>24.22</v>
      </c>
      <c r="F2357" s="411">
        <v>24.22</v>
      </c>
      <c r="G2357" s="411">
        <v>24.22</v>
      </c>
      <c r="H2357" s="411">
        <v>24.22</v>
      </c>
      <c r="I2357" s="411">
        <v>24.22</v>
      </c>
      <c r="J2357" s="411">
        <v>24.22</v>
      </c>
      <c r="K2357" s="411">
        <v>24.22</v>
      </c>
      <c r="L2357" s="411">
        <v>24.22</v>
      </c>
      <c r="M2357" s="411">
        <v>24.22</v>
      </c>
      <c r="N2357" s="411">
        <v>24.22</v>
      </c>
      <c r="O2357" s="411">
        <v>24.22</v>
      </c>
      <c r="P2357" s="555">
        <v>24.22</v>
      </c>
      <c r="Q2357" s="552">
        <v>24.22</v>
      </c>
      <c r="R2357" s="411">
        <v>24.22</v>
      </c>
      <c r="S2357" s="411">
        <v>24.22</v>
      </c>
      <c r="T2357" s="411">
        <v>24.22</v>
      </c>
      <c r="U2357" s="411">
        <v>24.22</v>
      </c>
      <c r="V2357" s="411">
        <v>24.22</v>
      </c>
      <c r="W2357" s="411">
        <v>24.22</v>
      </c>
      <c r="X2357" s="411">
        <v>24.22</v>
      </c>
      <c r="Y2357" s="411">
        <v>24.22</v>
      </c>
      <c r="Z2357" s="411">
        <v>24.22</v>
      </c>
      <c r="AA2357" s="411">
        <v>24.22</v>
      </c>
      <c r="AB2357" s="411">
        <v>24.22</v>
      </c>
      <c r="AC2357" s="411">
        <v>24.22</v>
      </c>
      <c r="AD2357" s="411">
        <v>24.22</v>
      </c>
      <c r="AE2357" s="411">
        <v>32.22</v>
      </c>
      <c r="AF2357" s="439">
        <v>31.23</v>
      </c>
    </row>
    <row r="2358" spans="1:32">
      <c r="A2358" s="439">
        <v>31.23</v>
      </c>
      <c r="B2358" s="411">
        <v>32.22</v>
      </c>
      <c r="C2358" s="411">
        <v>23.22</v>
      </c>
      <c r="D2358" s="411">
        <v>23.22</v>
      </c>
      <c r="E2358" s="411">
        <v>23.22</v>
      </c>
      <c r="F2358" s="411">
        <v>23.22</v>
      </c>
      <c r="G2358" s="411">
        <v>23.22</v>
      </c>
      <c r="H2358" s="411">
        <v>23.22</v>
      </c>
      <c r="I2358" s="411">
        <v>23.22</v>
      </c>
      <c r="J2358" s="411">
        <v>23.22</v>
      </c>
      <c r="K2358" s="411">
        <v>23.22</v>
      </c>
      <c r="L2358" s="411">
        <v>23.22</v>
      </c>
      <c r="M2358" s="411">
        <v>23.22</v>
      </c>
      <c r="N2358" s="411">
        <v>23.22</v>
      </c>
      <c r="O2358" s="411">
        <v>23.22</v>
      </c>
      <c r="P2358" s="555">
        <v>23.22</v>
      </c>
      <c r="Q2358" s="552">
        <v>23.22</v>
      </c>
      <c r="R2358" s="411">
        <v>23.22</v>
      </c>
      <c r="S2358" s="411">
        <v>23.22</v>
      </c>
      <c r="T2358" s="411">
        <v>23.22</v>
      </c>
      <c r="U2358" s="411">
        <v>23.22</v>
      </c>
      <c r="V2358" s="411">
        <v>23.22</v>
      </c>
      <c r="W2358" s="411">
        <v>23.22</v>
      </c>
      <c r="X2358" s="411">
        <v>23.22</v>
      </c>
      <c r="Y2358" s="411">
        <v>23.22</v>
      </c>
      <c r="Z2358" s="411">
        <v>23.22</v>
      </c>
      <c r="AA2358" s="411">
        <v>23.22</v>
      </c>
      <c r="AB2358" s="411">
        <v>23.22</v>
      </c>
      <c r="AC2358" s="411">
        <v>23.22</v>
      </c>
      <c r="AD2358" s="411">
        <v>23.22</v>
      </c>
      <c r="AE2358" s="411">
        <v>32.22</v>
      </c>
      <c r="AF2358" s="439">
        <v>31.23</v>
      </c>
    </row>
    <row r="2359" spans="1:32">
      <c r="A2359" s="439">
        <v>31.22</v>
      </c>
      <c r="B2359" s="411">
        <v>32.21</v>
      </c>
      <c r="C2359" s="411">
        <v>23.21</v>
      </c>
      <c r="D2359" s="411">
        <v>23.21</v>
      </c>
      <c r="E2359" s="411">
        <v>23.21</v>
      </c>
      <c r="F2359" s="411">
        <v>23.21</v>
      </c>
      <c r="G2359" s="411">
        <v>23.21</v>
      </c>
      <c r="H2359" s="411">
        <v>23.21</v>
      </c>
      <c r="I2359" s="411">
        <v>23.21</v>
      </c>
      <c r="J2359" s="411">
        <v>23.21</v>
      </c>
      <c r="K2359" s="411">
        <v>23.21</v>
      </c>
      <c r="L2359" s="411">
        <v>23.21</v>
      </c>
      <c r="M2359" s="411">
        <v>23.21</v>
      </c>
      <c r="N2359" s="411">
        <v>23.21</v>
      </c>
      <c r="O2359" s="411">
        <v>23.21</v>
      </c>
      <c r="P2359" s="555">
        <v>23.21</v>
      </c>
      <c r="Q2359" s="552">
        <v>23.21</v>
      </c>
      <c r="R2359" s="411">
        <v>23.21</v>
      </c>
      <c r="S2359" s="411">
        <v>23.21</v>
      </c>
      <c r="T2359" s="411">
        <v>23.21</v>
      </c>
      <c r="U2359" s="411">
        <v>23.21</v>
      </c>
      <c r="V2359" s="411">
        <v>23.21</v>
      </c>
      <c r="W2359" s="411">
        <v>23.21</v>
      </c>
      <c r="X2359" s="411">
        <v>23.21</v>
      </c>
      <c r="Y2359" s="411">
        <v>23.21</v>
      </c>
      <c r="Z2359" s="411">
        <v>23.21</v>
      </c>
      <c r="AA2359" s="411">
        <v>23.21</v>
      </c>
      <c r="AB2359" s="411">
        <v>23.21</v>
      </c>
      <c r="AC2359" s="411">
        <v>23.21</v>
      </c>
      <c r="AD2359" s="411">
        <v>23.21</v>
      </c>
      <c r="AE2359" s="411">
        <v>32.21</v>
      </c>
      <c r="AF2359" s="439">
        <v>31.22</v>
      </c>
    </row>
    <row r="2360" spans="1:32">
      <c r="A2360" s="555">
        <v>31.22</v>
      </c>
      <c r="B2360" s="411">
        <v>32.21</v>
      </c>
      <c r="C2360" s="411">
        <v>22.21</v>
      </c>
      <c r="D2360" s="411">
        <v>22.21</v>
      </c>
      <c r="E2360" s="411">
        <v>22.21</v>
      </c>
      <c r="F2360" s="411">
        <v>22.21</v>
      </c>
      <c r="G2360" s="411">
        <v>22.21</v>
      </c>
      <c r="H2360" s="411">
        <v>22.21</v>
      </c>
      <c r="I2360" s="411">
        <v>22.21</v>
      </c>
      <c r="J2360" s="411">
        <v>22.21</v>
      </c>
      <c r="K2360" s="411">
        <v>22.21</v>
      </c>
      <c r="L2360" s="411">
        <v>22.21</v>
      </c>
      <c r="M2360" s="411">
        <v>22.21</v>
      </c>
      <c r="N2360" s="411">
        <v>22.21</v>
      </c>
      <c r="O2360" s="411">
        <v>22.21</v>
      </c>
      <c r="P2360" s="555">
        <v>22.21</v>
      </c>
      <c r="Q2360" s="552">
        <v>22.21</v>
      </c>
      <c r="R2360" s="411">
        <v>22.21</v>
      </c>
      <c r="S2360" s="411">
        <v>22.21</v>
      </c>
      <c r="T2360" s="411">
        <v>22.21</v>
      </c>
      <c r="U2360" s="411">
        <v>22.21</v>
      </c>
      <c r="V2360" s="411">
        <v>22.21</v>
      </c>
      <c r="W2360" s="411">
        <v>22.21</v>
      </c>
      <c r="X2360" s="411">
        <v>22.21</v>
      </c>
      <c r="Y2360" s="411">
        <v>22.21</v>
      </c>
      <c r="Z2360" s="411">
        <v>22.21</v>
      </c>
      <c r="AA2360" s="411">
        <v>22.21</v>
      </c>
      <c r="AB2360" s="411">
        <v>22.21</v>
      </c>
      <c r="AC2360" s="411">
        <v>22.21</v>
      </c>
      <c r="AD2360" s="411">
        <v>22.21</v>
      </c>
      <c r="AE2360" s="411">
        <v>32.21</v>
      </c>
      <c r="AF2360" s="555">
        <v>31.22</v>
      </c>
    </row>
    <row r="2361" spans="1:32">
      <c r="A2361" s="439">
        <v>31.21</v>
      </c>
      <c r="B2361" s="411">
        <v>32.200000000000003</v>
      </c>
      <c r="C2361" s="411">
        <v>22.2</v>
      </c>
      <c r="D2361" s="411">
        <v>22.2</v>
      </c>
      <c r="E2361" s="411">
        <v>22.2</v>
      </c>
      <c r="F2361" s="411">
        <v>22.2</v>
      </c>
      <c r="G2361" s="411">
        <v>22.2</v>
      </c>
      <c r="H2361" s="411">
        <v>22.2</v>
      </c>
      <c r="I2361" s="411">
        <v>22.2</v>
      </c>
      <c r="J2361" s="411">
        <v>22.2</v>
      </c>
      <c r="K2361" s="411">
        <v>22.2</v>
      </c>
      <c r="L2361" s="411">
        <v>22.2</v>
      </c>
      <c r="M2361" s="411">
        <v>22.2</v>
      </c>
      <c r="N2361" s="411">
        <v>22.2</v>
      </c>
      <c r="O2361" s="411">
        <v>22.2</v>
      </c>
      <c r="P2361" s="555">
        <v>22.2</v>
      </c>
      <c r="Q2361" s="552">
        <v>22.2</v>
      </c>
      <c r="R2361" s="411">
        <v>22.2</v>
      </c>
      <c r="S2361" s="411">
        <v>22.2</v>
      </c>
      <c r="T2361" s="411">
        <v>22.2</v>
      </c>
      <c r="U2361" s="411">
        <v>22.2</v>
      </c>
      <c r="V2361" s="411">
        <v>22.2</v>
      </c>
      <c r="W2361" s="411">
        <v>22.2</v>
      </c>
      <c r="X2361" s="411">
        <v>22.2</v>
      </c>
      <c r="Y2361" s="411">
        <v>22.2</v>
      </c>
      <c r="Z2361" s="411">
        <v>22.2</v>
      </c>
      <c r="AA2361" s="411">
        <v>22.2</v>
      </c>
      <c r="AB2361" s="411">
        <v>22.2</v>
      </c>
      <c r="AC2361" s="411">
        <v>22.2</v>
      </c>
      <c r="AD2361" s="411">
        <v>22.2</v>
      </c>
      <c r="AE2361" s="411">
        <v>32.200000000000003</v>
      </c>
      <c r="AF2361" s="439">
        <v>31.21</v>
      </c>
    </row>
    <row r="2362" spans="1:32">
      <c r="A2362" s="439">
        <v>31.21</v>
      </c>
      <c r="B2362" s="411">
        <v>32.200000000000003</v>
      </c>
      <c r="C2362" s="411">
        <v>21.2</v>
      </c>
      <c r="D2362" s="411">
        <v>21.2</v>
      </c>
      <c r="E2362" s="411">
        <v>21.2</v>
      </c>
      <c r="F2362" s="411">
        <v>21.2</v>
      </c>
      <c r="G2362" s="411">
        <v>21.2</v>
      </c>
      <c r="H2362" s="411">
        <v>21.2</v>
      </c>
      <c r="I2362" s="411">
        <v>21.2</v>
      </c>
      <c r="J2362" s="411">
        <v>21.2</v>
      </c>
      <c r="K2362" s="411">
        <v>21.2</v>
      </c>
      <c r="L2362" s="411">
        <v>21.2</v>
      </c>
      <c r="M2362" s="411">
        <v>21.2</v>
      </c>
      <c r="N2362" s="411">
        <v>21.2</v>
      </c>
      <c r="O2362" s="411">
        <v>21.2</v>
      </c>
      <c r="P2362" s="555">
        <v>21.2</v>
      </c>
      <c r="Q2362" s="552">
        <v>21.2</v>
      </c>
      <c r="R2362" s="411">
        <v>21.2</v>
      </c>
      <c r="S2362" s="411">
        <v>21.2</v>
      </c>
      <c r="T2362" s="411">
        <v>21.2</v>
      </c>
      <c r="U2362" s="411">
        <v>21.2</v>
      </c>
      <c r="V2362" s="411">
        <v>21.2</v>
      </c>
      <c r="W2362" s="411">
        <v>21.2</v>
      </c>
      <c r="X2362" s="411">
        <v>21.2</v>
      </c>
      <c r="Y2362" s="411">
        <v>21.2</v>
      </c>
      <c r="Z2362" s="411">
        <v>21.2</v>
      </c>
      <c r="AA2362" s="411">
        <v>21.2</v>
      </c>
      <c r="AB2362" s="411">
        <v>21.2</v>
      </c>
      <c r="AC2362" s="411">
        <v>21.2</v>
      </c>
      <c r="AD2362" s="411">
        <v>21.2</v>
      </c>
      <c r="AE2362" s="411">
        <v>32.200000000000003</v>
      </c>
      <c r="AF2362" s="439">
        <v>31.21</v>
      </c>
    </row>
    <row r="2363" spans="1:32">
      <c r="A2363" s="439">
        <v>31.2</v>
      </c>
      <c r="B2363" s="411">
        <v>32.19</v>
      </c>
      <c r="C2363" s="411">
        <v>21.19</v>
      </c>
      <c r="D2363" s="411">
        <v>21.19</v>
      </c>
      <c r="E2363" s="411">
        <v>21.19</v>
      </c>
      <c r="F2363" s="411">
        <v>21.19</v>
      </c>
      <c r="G2363" s="411">
        <v>21.19</v>
      </c>
      <c r="H2363" s="411">
        <v>21.19</v>
      </c>
      <c r="I2363" s="411">
        <v>21.19</v>
      </c>
      <c r="J2363" s="411">
        <v>21.19</v>
      </c>
      <c r="K2363" s="411">
        <v>21.19</v>
      </c>
      <c r="L2363" s="411">
        <v>21.19</v>
      </c>
      <c r="M2363" s="411">
        <v>21.19</v>
      </c>
      <c r="N2363" s="411">
        <v>21.19</v>
      </c>
      <c r="O2363" s="411">
        <v>21.19</v>
      </c>
      <c r="P2363" s="555">
        <v>21.19</v>
      </c>
      <c r="Q2363" s="552">
        <v>21.19</v>
      </c>
      <c r="R2363" s="411">
        <v>21.19</v>
      </c>
      <c r="S2363" s="411">
        <v>21.19</v>
      </c>
      <c r="T2363" s="411">
        <v>21.19</v>
      </c>
      <c r="U2363" s="411">
        <v>21.19</v>
      </c>
      <c r="V2363" s="411">
        <v>21.19</v>
      </c>
      <c r="W2363" s="411">
        <v>21.19</v>
      </c>
      <c r="X2363" s="411">
        <v>21.19</v>
      </c>
      <c r="Y2363" s="411">
        <v>21.19</v>
      </c>
      <c r="Z2363" s="411">
        <v>21.19</v>
      </c>
      <c r="AA2363" s="411">
        <v>21.19</v>
      </c>
      <c r="AB2363" s="411">
        <v>21.19</v>
      </c>
      <c r="AC2363" s="411">
        <v>21.19</v>
      </c>
      <c r="AD2363" s="411">
        <v>21.19</v>
      </c>
      <c r="AE2363" s="411">
        <v>32.19</v>
      </c>
      <c r="AF2363" s="439">
        <v>31.2</v>
      </c>
    </row>
    <row r="2364" spans="1:32">
      <c r="A2364" s="439">
        <v>31.2</v>
      </c>
      <c r="B2364" s="411">
        <v>32.19</v>
      </c>
      <c r="C2364" s="411">
        <v>20.190000000000001</v>
      </c>
      <c r="D2364" s="411">
        <v>20.190000000000001</v>
      </c>
      <c r="E2364" s="411">
        <v>20.190000000000001</v>
      </c>
      <c r="F2364" s="411">
        <v>20.190000000000001</v>
      </c>
      <c r="G2364" s="411">
        <v>20.190000000000001</v>
      </c>
      <c r="H2364" s="411">
        <v>20.190000000000001</v>
      </c>
      <c r="I2364" s="411">
        <v>20.190000000000001</v>
      </c>
      <c r="J2364" s="411">
        <v>20.190000000000001</v>
      </c>
      <c r="K2364" s="411">
        <v>20.190000000000001</v>
      </c>
      <c r="L2364" s="411">
        <v>20.190000000000001</v>
      </c>
      <c r="M2364" s="411">
        <v>20.190000000000001</v>
      </c>
      <c r="N2364" s="411">
        <v>20.190000000000001</v>
      </c>
      <c r="O2364" s="411">
        <v>20.190000000000001</v>
      </c>
      <c r="P2364" s="555">
        <v>20.190000000000001</v>
      </c>
      <c r="Q2364" s="552">
        <v>20.190000000000001</v>
      </c>
      <c r="R2364" s="411">
        <v>20.190000000000001</v>
      </c>
      <c r="S2364" s="411">
        <v>20.190000000000001</v>
      </c>
      <c r="T2364" s="411">
        <v>20.190000000000001</v>
      </c>
      <c r="U2364" s="411">
        <v>20.190000000000001</v>
      </c>
      <c r="V2364" s="411">
        <v>20.190000000000001</v>
      </c>
      <c r="W2364" s="411">
        <v>20.190000000000001</v>
      </c>
      <c r="X2364" s="411">
        <v>20.190000000000001</v>
      </c>
      <c r="Y2364" s="411">
        <v>20.190000000000001</v>
      </c>
      <c r="Z2364" s="411">
        <v>20.190000000000001</v>
      </c>
      <c r="AA2364" s="411">
        <v>20.190000000000001</v>
      </c>
      <c r="AB2364" s="411">
        <v>20.190000000000001</v>
      </c>
      <c r="AC2364" s="411">
        <v>20.190000000000001</v>
      </c>
      <c r="AD2364" s="411">
        <v>20.190000000000001</v>
      </c>
      <c r="AE2364" s="411">
        <v>32.19</v>
      </c>
      <c r="AF2364" s="439">
        <v>31.2</v>
      </c>
    </row>
    <row r="2365" spans="1:32">
      <c r="A2365" s="439">
        <v>31.19</v>
      </c>
      <c r="B2365" s="411">
        <v>32.18</v>
      </c>
      <c r="C2365" s="411">
        <v>20.18</v>
      </c>
      <c r="D2365" s="411">
        <v>20.18</v>
      </c>
      <c r="E2365" s="411">
        <v>20.18</v>
      </c>
      <c r="F2365" s="411">
        <v>20.18</v>
      </c>
      <c r="G2365" s="411">
        <v>20.18</v>
      </c>
      <c r="H2365" s="411">
        <v>20.18</v>
      </c>
      <c r="I2365" s="411">
        <v>20.18</v>
      </c>
      <c r="J2365" s="411">
        <v>20.18</v>
      </c>
      <c r="K2365" s="411">
        <v>20.18</v>
      </c>
      <c r="L2365" s="411">
        <v>20.18</v>
      </c>
      <c r="M2365" s="411">
        <v>20.18</v>
      </c>
      <c r="N2365" s="411">
        <v>20.18</v>
      </c>
      <c r="O2365" s="411">
        <v>20.18</v>
      </c>
      <c r="P2365" s="555">
        <v>20.18</v>
      </c>
      <c r="Q2365" s="552">
        <v>20.18</v>
      </c>
      <c r="R2365" s="411">
        <v>20.18</v>
      </c>
      <c r="S2365" s="411">
        <v>20.18</v>
      </c>
      <c r="T2365" s="411">
        <v>20.18</v>
      </c>
      <c r="U2365" s="411">
        <v>20.18</v>
      </c>
      <c r="V2365" s="411">
        <v>20.18</v>
      </c>
      <c r="W2365" s="411">
        <v>20.18</v>
      </c>
      <c r="X2365" s="411">
        <v>20.18</v>
      </c>
      <c r="Y2365" s="411">
        <v>20.18</v>
      </c>
      <c r="Z2365" s="411">
        <v>20.18</v>
      </c>
      <c r="AA2365" s="411">
        <v>20.18</v>
      </c>
      <c r="AB2365" s="411">
        <v>20.18</v>
      </c>
      <c r="AC2365" s="411">
        <v>20.18</v>
      </c>
      <c r="AD2365" s="411">
        <v>20.18</v>
      </c>
      <c r="AE2365" s="411">
        <v>32.18</v>
      </c>
      <c r="AF2365" s="439">
        <v>31.19</v>
      </c>
    </row>
    <row r="2366" spans="1:32">
      <c r="A2366" s="439">
        <v>31.19</v>
      </c>
      <c r="B2366" s="411">
        <v>32.18</v>
      </c>
      <c r="C2366" s="411">
        <v>19.18</v>
      </c>
      <c r="D2366" s="411">
        <v>19.18</v>
      </c>
      <c r="E2366" s="411">
        <v>19.18</v>
      </c>
      <c r="F2366" s="411">
        <v>19.18</v>
      </c>
      <c r="G2366" s="411">
        <v>19.18</v>
      </c>
      <c r="H2366" s="411">
        <v>19.18</v>
      </c>
      <c r="I2366" s="411">
        <v>19.18</v>
      </c>
      <c r="J2366" s="411">
        <v>19.18</v>
      </c>
      <c r="K2366" s="411">
        <v>19.18</v>
      </c>
      <c r="L2366" s="411">
        <v>19.18</v>
      </c>
      <c r="M2366" s="411">
        <v>19.18</v>
      </c>
      <c r="N2366" s="411">
        <v>19.18</v>
      </c>
      <c r="O2366" s="411">
        <v>19.18</v>
      </c>
      <c r="P2366" s="555">
        <v>19.18</v>
      </c>
      <c r="Q2366" s="552">
        <v>19.18</v>
      </c>
      <c r="R2366" s="411">
        <v>19.18</v>
      </c>
      <c r="S2366" s="411">
        <v>19.18</v>
      </c>
      <c r="T2366" s="411">
        <v>19.18</v>
      </c>
      <c r="U2366" s="411">
        <v>19.18</v>
      </c>
      <c r="V2366" s="411">
        <v>19.18</v>
      </c>
      <c r="W2366" s="411">
        <v>19.18</v>
      </c>
      <c r="X2366" s="411">
        <v>19.18</v>
      </c>
      <c r="Y2366" s="411">
        <v>19.18</v>
      </c>
      <c r="Z2366" s="411">
        <v>19.18</v>
      </c>
      <c r="AA2366" s="411">
        <v>19.18</v>
      </c>
      <c r="AB2366" s="411">
        <v>19.18</v>
      </c>
      <c r="AC2366" s="411">
        <v>19.18</v>
      </c>
      <c r="AD2366" s="411">
        <v>19.18</v>
      </c>
      <c r="AE2366" s="411">
        <v>32.18</v>
      </c>
      <c r="AF2366" s="439">
        <v>31.19</v>
      </c>
    </row>
    <row r="2367" spans="1:32">
      <c r="A2367" s="555">
        <v>31.19</v>
      </c>
      <c r="B2367" s="439">
        <v>32.18</v>
      </c>
      <c r="C2367" s="439">
        <v>32.18</v>
      </c>
      <c r="D2367" s="439">
        <v>32.18</v>
      </c>
      <c r="E2367" s="439">
        <v>32.18</v>
      </c>
      <c r="F2367" s="439">
        <v>32.18</v>
      </c>
      <c r="G2367" s="439">
        <v>32.18</v>
      </c>
      <c r="H2367" s="439">
        <v>32.18</v>
      </c>
      <c r="I2367" s="439">
        <v>32.18</v>
      </c>
      <c r="J2367" s="439">
        <v>32.18</v>
      </c>
      <c r="K2367" s="439">
        <v>32.18</v>
      </c>
      <c r="L2367" s="439">
        <v>32.18</v>
      </c>
      <c r="M2367" s="439">
        <v>32.18</v>
      </c>
      <c r="N2367" s="439">
        <v>32.18</v>
      </c>
      <c r="O2367" s="439">
        <v>32.18</v>
      </c>
      <c r="P2367" s="555">
        <v>32.18</v>
      </c>
      <c r="Q2367" s="552">
        <v>32.18</v>
      </c>
      <c r="R2367" s="439">
        <v>32.18</v>
      </c>
      <c r="S2367" s="439">
        <v>32.18</v>
      </c>
      <c r="T2367" s="439">
        <v>32.18</v>
      </c>
      <c r="U2367" s="439">
        <v>32.18</v>
      </c>
      <c r="V2367" s="439">
        <v>32.18</v>
      </c>
      <c r="W2367" s="439">
        <v>32.18</v>
      </c>
      <c r="X2367" s="439">
        <v>32.18</v>
      </c>
      <c r="Y2367" s="439">
        <v>32.18</v>
      </c>
      <c r="Z2367" s="439">
        <v>32.18</v>
      </c>
      <c r="AA2367" s="439">
        <v>32.18</v>
      </c>
      <c r="AB2367" s="439">
        <v>32.18</v>
      </c>
      <c r="AC2367" s="439">
        <v>32.18</v>
      </c>
      <c r="AD2367" s="439">
        <v>32.18</v>
      </c>
      <c r="AE2367" s="439">
        <v>32.18</v>
      </c>
      <c r="AF2367" s="555">
        <v>31.19</v>
      </c>
    </row>
    <row r="2368" spans="1:32">
      <c r="A2368" s="557">
        <v>31.19</v>
      </c>
      <c r="B2368" s="555">
        <v>31.19</v>
      </c>
      <c r="C2368" s="411">
        <v>31.19</v>
      </c>
      <c r="D2368" s="411">
        <v>31.19</v>
      </c>
      <c r="E2368" s="411">
        <v>31.19</v>
      </c>
      <c r="F2368" s="411">
        <v>31.19</v>
      </c>
      <c r="G2368" s="411">
        <v>31.19</v>
      </c>
      <c r="H2368" s="557">
        <v>31.19</v>
      </c>
      <c r="I2368" s="555">
        <v>31.19</v>
      </c>
      <c r="J2368" s="411">
        <v>31.19</v>
      </c>
      <c r="K2368" s="411">
        <v>31.19</v>
      </c>
      <c r="L2368" s="411">
        <v>31.19</v>
      </c>
      <c r="M2368" s="411">
        <v>31.19</v>
      </c>
      <c r="N2368" s="411">
        <v>31.19</v>
      </c>
      <c r="O2368" s="411">
        <v>31.19</v>
      </c>
      <c r="P2368" s="557">
        <v>31.19</v>
      </c>
      <c r="Q2368" s="555">
        <v>31.19</v>
      </c>
      <c r="R2368" s="411">
        <v>31.19</v>
      </c>
      <c r="S2368" s="411">
        <v>31.19</v>
      </c>
      <c r="T2368" s="411">
        <v>31.19</v>
      </c>
      <c r="U2368" s="411">
        <v>31.19</v>
      </c>
      <c r="V2368" s="411">
        <v>31.19</v>
      </c>
      <c r="W2368" s="411">
        <v>31.19</v>
      </c>
      <c r="X2368" s="557">
        <v>31.19</v>
      </c>
      <c r="Y2368" s="555">
        <v>31.19</v>
      </c>
      <c r="Z2368" s="411">
        <v>31.19</v>
      </c>
      <c r="AA2368" s="411">
        <v>31.19</v>
      </c>
      <c r="AB2368" s="411">
        <v>31.19</v>
      </c>
      <c r="AC2368" s="411">
        <v>31.19</v>
      </c>
      <c r="AD2368" s="411">
        <v>31.19</v>
      </c>
      <c r="AE2368" s="557">
        <v>31.19</v>
      </c>
      <c r="AF2368" s="557">
        <v>31.19</v>
      </c>
    </row>
    <row r="2369" spans="1:33">
      <c r="A2369" s="301">
        <v>64</v>
      </c>
      <c r="B2369" s="1297">
        <v>64</v>
      </c>
      <c r="C2369" s="293">
        <v>64</v>
      </c>
      <c r="D2369" s="293">
        <v>64</v>
      </c>
      <c r="E2369" s="297">
        <v>64.62</v>
      </c>
      <c r="F2369" s="297">
        <v>64.62</v>
      </c>
      <c r="G2369" s="297">
        <v>64.62</v>
      </c>
      <c r="H2369" s="297">
        <v>64.62</v>
      </c>
      <c r="I2369" s="301">
        <v>64</v>
      </c>
      <c r="J2369" s="1297">
        <v>64</v>
      </c>
      <c r="K2369" s="293">
        <v>64</v>
      </c>
      <c r="L2369" s="1297">
        <v>64</v>
      </c>
      <c r="M2369" s="293">
        <v>64</v>
      </c>
      <c r="N2369" s="1297">
        <v>64</v>
      </c>
      <c r="O2369" s="293">
        <v>64</v>
      </c>
      <c r="P2369" s="93"/>
      <c r="Q2369" s="93"/>
      <c r="R2369" s="301">
        <v>64</v>
      </c>
      <c r="S2369" s="1297">
        <v>64</v>
      </c>
      <c r="T2369" s="293">
        <v>64</v>
      </c>
      <c r="U2369" s="1297">
        <v>64</v>
      </c>
      <c r="V2369" s="293">
        <v>64</v>
      </c>
      <c r="W2369" s="1297">
        <v>64</v>
      </c>
      <c r="X2369" s="293">
        <v>64</v>
      </c>
      <c r="Y2369" s="297">
        <v>64.62</v>
      </c>
      <c r="Z2369" s="297">
        <v>64.62</v>
      </c>
      <c r="AA2369" s="297">
        <v>64.62</v>
      </c>
      <c r="AB2369" s="297">
        <v>64.62</v>
      </c>
      <c r="AC2369" s="301">
        <v>64</v>
      </c>
      <c r="AD2369" s="293">
        <v>64</v>
      </c>
      <c r="AE2369" s="1297">
        <v>64</v>
      </c>
      <c r="AF2369" s="297">
        <v>64</v>
      </c>
      <c r="AG2369">
        <v>75</v>
      </c>
    </row>
    <row r="2370" spans="1:33">
      <c r="A2370" s="297">
        <v>64</v>
      </c>
      <c r="B2370" s="297">
        <v>32</v>
      </c>
      <c r="C2370" s="297">
        <v>32</v>
      </c>
      <c r="D2370" s="293">
        <v>64</v>
      </c>
      <c r="E2370" s="293">
        <v>64.61</v>
      </c>
      <c r="F2370" s="293">
        <v>64.61</v>
      </c>
      <c r="G2370" s="293">
        <v>64.61</v>
      </c>
      <c r="H2370" s="293">
        <v>64.61</v>
      </c>
      <c r="I2370" s="301">
        <v>64</v>
      </c>
      <c r="J2370" s="293">
        <v>64</v>
      </c>
      <c r="K2370" s="293">
        <v>32</v>
      </c>
      <c r="L2370" s="293">
        <v>32</v>
      </c>
      <c r="M2370" s="293">
        <v>32</v>
      </c>
      <c r="N2370" s="293">
        <v>32</v>
      </c>
      <c r="O2370" s="293">
        <v>64</v>
      </c>
      <c r="P2370" s="93"/>
      <c r="Q2370" s="93"/>
      <c r="R2370" s="301">
        <v>64</v>
      </c>
      <c r="S2370" s="293">
        <v>64</v>
      </c>
      <c r="T2370" s="293">
        <v>32</v>
      </c>
      <c r="U2370" s="293">
        <v>32</v>
      </c>
      <c r="V2370" s="293">
        <v>32</v>
      </c>
      <c r="W2370" s="293">
        <v>32</v>
      </c>
      <c r="X2370" s="293">
        <v>64</v>
      </c>
      <c r="Y2370" s="293">
        <v>64.61</v>
      </c>
      <c r="Z2370" s="293">
        <v>64.61</v>
      </c>
      <c r="AA2370" s="293">
        <v>64.61</v>
      </c>
      <c r="AB2370" s="293">
        <v>64.61</v>
      </c>
      <c r="AC2370" s="301">
        <v>64</v>
      </c>
      <c r="AD2370" s="297">
        <v>32</v>
      </c>
      <c r="AE2370" s="297">
        <v>32</v>
      </c>
      <c r="AF2370" s="293">
        <v>64</v>
      </c>
    </row>
    <row r="2371" spans="1:33">
      <c r="A2371" s="301">
        <v>64</v>
      </c>
      <c r="B2371" s="297">
        <v>32</v>
      </c>
      <c r="C2371" s="297">
        <v>32</v>
      </c>
      <c r="D2371" s="293">
        <v>64</v>
      </c>
      <c r="E2371" s="93"/>
      <c r="F2371" s="93"/>
      <c r="G2371" s="93"/>
      <c r="H2371" s="93"/>
      <c r="I2371" s="301">
        <v>64</v>
      </c>
      <c r="J2371" s="293">
        <v>32</v>
      </c>
      <c r="K2371" s="293">
        <v>32</v>
      </c>
      <c r="L2371" s="293">
        <v>32</v>
      </c>
      <c r="M2371" s="293">
        <v>32</v>
      </c>
      <c r="N2371" s="293">
        <v>32</v>
      </c>
      <c r="O2371" s="293">
        <v>64</v>
      </c>
      <c r="P2371" s="93"/>
      <c r="Q2371" s="93"/>
      <c r="R2371" s="301">
        <v>64</v>
      </c>
      <c r="S2371" s="293">
        <v>32</v>
      </c>
      <c r="T2371" s="293">
        <v>32</v>
      </c>
      <c r="U2371" s="293">
        <v>32</v>
      </c>
      <c r="V2371" s="293">
        <v>32</v>
      </c>
      <c r="W2371" s="293">
        <v>32</v>
      </c>
      <c r="X2371" s="293">
        <v>64</v>
      </c>
      <c r="Y2371" s="93"/>
      <c r="Z2371" s="93"/>
      <c r="AA2371" s="93"/>
      <c r="AB2371" s="93"/>
      <c r="AC2371" s="301">
        <v>64</v>
      </c>
      <c r="AD2371" s="297">
        <v>32</v>
      </c>
      <c r="AE2371" s="297">
        <v>32</v>
      </c>
      <c r="AF2371" s="297">
        <v>64</v>
      </c>
    </row>
    <row r="2372" spans="1:33">
      <c r="A2372" s="297">
        <v>64</v>
      </c>
      <c r="B2372" s="293">
        <v>64</v>
      </c>
      <c r="C2372" s="293">
        <v>64</v>
      </c>
      <c r="D2372" s="293">
        <v>64</v>
      </c>
      <c r="E2372" s="93"/>
      <c r="F2372" s="93"/>
      <c r="G2372" s="93"/>
      <c r="H2372" s="93"/>
      <c r="I2372" s="93"/>
      <c r="J2372" s="301">
        <v>20</v>
      </c>
      <c r="K2372" s="293">
        <v>21</v>
      </c>
      <c r="L2372" s="93"/>
      <c r="M2372" s="293">
        <v>21</v>
      </c>
      <c r="N2372" s="1297">
        <v>20</v>
      </c>
      <c r="O2372" s="93"/>
      <c r="P2372" s="93"/>
      <c r="Q2372" s="93"/>
      <c r="R2372" s="93"/>
      <c r="S2372" s="301">
        <v>20</v>
      </c>
      <c r="T2372" s="293">
        <v>21</v>
      </c>
      <c r="U2372" s="93"/>
      <c r="V2372" s="293">
        <v>21</v>
      </c>
      <c r="W2372" s="1297">
        <v>20</v>
      </c>
      <c r="X2372" s="93"/>
      <c r="Y2372" s="93"/>
      <c r="Z2372" s="93"/>
      <c r="AA2372" s="93"/>
      <c r="AB2372" s="93"/>
      <c r="AC2372" s="301">
        <v>64</v>
      </c>
      <c r="AD2372" s="293">
        <v>64</v>
      </c>
      <c r="AE2372" s="293">
        <v>64</v>
      </c>
      <c r="AF2372" s="293"/>
    </row>
    <row r="2373" spans="1:33">
      <c r="A2373" s="301">
        <v>8</v>
      </c>
      <c r="B2373" s="297">
        <v>8</v>
      </c>
      <c r="C2373" s="293">
        <v>8</v>
      </c>
      <c r="D2373" s="93"/>
      <c r="E2373" s="93"/>
      <c r="F2373" s="93"/>
      <c r="G2373" s="93"/>
      <c r="H2373" s="93"/>
      <c r="I2373" s="93"/>
      <c r="J2373" s="301">
        <v>19</v>
      </c>
      <c r="K2373" s="293">
        <v>21</v>
      </c>
      <c r="L2373" s="293">
        <v>21</v>
      </c>
      <c r="M2373" s="293">
        <v>21</v>
      </c>
      <c r="N2373" s="1297">
        <v>19</v>
      </c>
      <c r="O2373" s="293">
        <v>6</v>
      </c>
      <c r="P2373" s="93"/>
      <c r="Q2373" s="93"/>
      <c r="R2373" s="293">
        <v>6</v>
      </c>
      <c r="S2373" s="301">
        <v>19</v>
      </c>
      <c r="T2373" s="293">
        <v>21</v>
      </c>
      <c r="U2373" s="293">
        <v>21</v>
      </c>
      <c r="V2373" s="293">
        <v>21</v>
      </c>
      <c r="W2373" s="1297">
        <v>19</v>
      </c>
      <c r="X2373" s="93"/>
      <c r="Y2373" s="93"/>
      <c r="Z2373" s="93"/>
      <c r="AA2373" s="93"/>
      <c r="AB2373" s="93"/>
      <c r="AC2373" s="93"/>
      <c r="AD2373" s="301">
        <v>8</v>
      </c>
      <c r="AE2373" s="297">
        <v>8</v>
      </c>
      <c r="AF2373" s="293">
        <v>8</v>
      </c>
    </row>
    <row r="2374" spans="1:33">
      <c r="A2374" s="301">
        <v>6</v>
      </c>
      <c r="B2374" s="297">
        <v>6</v>
      </c>
      <c r="C2374" s="293">
        <v>6</v>
      </c>
      <c r="D2374" s="93"/>
      <c r="E2374" s="93"/>
      <c r="F2374" s="93"/>
      <c r="G2374" s="93"/>
      <c r="H2374" s="93"/>
      <c r="I2374" s="93"/>
      <c r="J2374" s="93"/>
      <c r="K2374" s="199">
        <v>9.0500000000000007</v>
      </c>
      <c r="L2374" s="199">
        <v>9.0500000000000007</v>
      </c>
      <c r="M2374" s="93"/>
      <c r="N2374" s="158">
        <v>8.06</v>
      </c>
      <c r="O2374" s="158">
        <v>8.06</v>
      </c>
      <c r="P2374" s="158">
        <v>8.06</v>
      </c>
      <c r="Q2374" s="158">
        <v>8.06</v>
      </c>
      <c r="R2374" s="158">
        <v>8.06</v>
      </c>
      <c r="S2374" s="158">
        <v>8.06</v>
      </c>
      <c r="T2374" s="93"/>
      <c r="U2374" s="199">
        <v>9.0500000000000007</v>
      </c>
      <c r="V2374" s="199">
        <v>9.0500000000000007</v>
      </c>
      <c r="W2374" s="93"/>
      <c r="X2374" s="93"/>
      <c r="Y2374" s="93"/>
      <c r="Z2374" s="93"/>
      <c r="AA2374" s="93"/>
      <c r="AB2374" s="93"/>
      <c r="AC2374" s="93"/>
      <c r="AD2374" s="301">
        <v>6</v>
      </c>
      <c r="AE2374" s="297">
        <v>6</v>
      </c>
      <c r="AF2374" s="293">
        <v>6</v>
      </c>
    </row>
    <row r="2375" spans="1:33">
      <c r="A2375" s="301">
        <v>4</v>
      </c>
      <c r="B2375" s="297">
        <v>4</v>
      </c>
      <c r="C2375" s="293">
        <v>4</v>
      </c>
      <c r="D2375" s="93"/>
      <c r="E2375" s="93"/>
      <c r="F2375" s="93"/>
      <c r="G2375" s="93"/>
      <c r="H2375" s="93"/>
      <c r="I2375" s="93"/>
      <c r="J2375" s="93"/>
      <c r="K2375" s="199">
        <v>8.06</v>
      </c>
      <c r="L2375" s="199">
        <v>8.06</v>
      </c>
      <c r="M2375" s="156">
        <v>9.0500000000000007</v>
      </c>
      <c r="N2375" s="158">
        <v>10.039999999999999</v>
      </c>
      <c r="O2375" s="161">
        <v>10.039999999999999</v>
      </c>
      <c r="P2375" s="161">
        <v>10.039999999999999</v>
      </c>
      <c r="Q2375" s="161">
        <v>10.039999999999999</v>
      </c>
      <c r="R2375" s="161">
        <v>10.039999999999999</v>
      </c>
      <c r="S2375" s="158">
        <v>10.039999999999999</v>
      </c>
      <c r="T2375" s="163">
        <v>9.0500000000000007</v>
      </c>
      <c r="U2375" s="199">
        <v>8.06</v>
      </c>
      <c r="V2375" s="199">
        <v>8.06</v>
      </c>
      <c r="W2375" s="93"/>
      <c r="X2375" s="93"/>
      <c r="Y2375" s="93"/>
      <c r="Z2375" s="93"/>
      <c r="AA2375" s="93"/>
      <c r="AB2375" s="93"/>
      <c r="AC2375" s="93"/>
      <c r="AD2375" s="301">
        <v>4</v>
      </c>
      <c r="AE2375" s="297">
        <v>4</v>
      </c>
      <c r="AF2375" s="293">
        <v>4</v>
      </c>
    </row>
    <row r="2376" spans="1:33">
      <c r="A2376" s="297">
        <v>2</v>
      </c>
      <c r="B2376" s="293">
        <v>2</v>
      </c>
      <c r="C2376" s="293">
        <v>2</v>
      </c>
      <c r="D2376" s="93"/>
      <c r="E2376" s="93"/>
      <c r="F2376" s="93"/>
      <c r="G2376" s="93"/>
      <c r="H2376" s="93"/>
      <c r="I2376" s="93"/>
      <c r="J2376" s="293">
        <v>7.07</v>
      </c>
      <c r="K2376" s="201">
        <v>7.07</v>
      </c>
      <c r="L2376" s="201">
        <v>7.07</v>
      </c>
      <c r="M2376" s="156">
        <v>10.039999999999999</v>
      </c>
      <c r="N2376" s="158">
        <v>11.03</v>
      </c>
      <c r="O2376" s="158">
        <v>11.03</v>
      </c>
      <c r="P2376" s="158">
        <v>11.03</v>
      </c>
      <c r="Q2376" s="158">
        <v>11.03</v>
      </c>
      <c r="R2376" s="158">
        <v>11.03</v>
      </c>
      <c r="S2376" s="158">
        <v>11.03</v>
      </c>
      <c r="T2376" s="163">
        <v>10.039999999999999</v>
      </c>
      <c r="U2376" s="201">
        <v>7.07</v>
      </c>
      <c r="V2376" s="201">
        <v>7.07</v>
      </c>
      <c r="W2376" s="293">
        <v>7.07</v>
      </c>
      <c r="X2376" s="93"/>
      <c r="Y2376" s="93"/>
      <c r="Z2376" s="93"/>
      <c r="AA2376" s="93"/>
      <c r="AB2376" s="93"/>
      <c r="AC2376" s="93"/>
      <c r="AD2376" s="301">
        <v>2</v>
      </c>
      <c r="AE2376" s="293">
        <v>2</v>
      </c>
      <c r="AF2376" s="293">
        <v>2</v>
      </c>
    </row>
    <row r="2377" spans="1:33">
      <c r="A2377" s="699"/>
      <c r="B2377" s="93"/>
      <c r="C2377" s="93"/>
      <c r="D2377" s="93"/>
      <c r="E2377" s="93"/>
      <c r="F2377" s="93"/>
      <c r="G2377" s="93"/>
      <c r="H2377" s="93"/>
      <c r="I2377" s="93"/>
      <c r="J2377" s="93"/>
      <c r="K2377" s="93"/>
      <c r="L2377" s="93"/>
      <c r="M2377" s="156">
        <v>9.0500000000000007</v>
      </c>
      <c r="N2377" s="158">
        <v>10.039999999999999</v>
      </c>
      <c r="O2377" s="161">
        <v>10.039999999999999</v>
      </c>
      <c r="P2377" s="161">
        <v>10.039999999999999</v>
      </c>
      <c r="Q2377" s="161">
        <v>10.039999999999999</v>
      </c>
      <c r="R2377" s="161">
        <v>10.039999999999999</v>
      </c>
      <c r="S2377" s="158">
        <v>10.039999999999999</v>
      </c>
      <c r="T2377" s="163">
        <v>9.0500000000000007</v>
      </c>
      <c r="U2377" s="93"/>
      <c r="V2377" s="93"/>
      <c r="W2377" s="93"/>
      <c r="X2377" s="93"/>
      <c r="Y2377" s="93"/>
      <c r="Z2377" s="93"/>
      <c r="AA2377" s="93"/>
      <c r="AB2377" s="93"/>
      <c r="AC2377" s="93"/>
      <c r="AD2377" s="93"/>
      <c r="AE2377" s="93"/>
      <c r="AF2377" s="79"/>
    </row>
    <row r="2378" spans="1:33">
      <c r="A2378" s="699"/>
      <c r="B2378" s="93"/>
      <c r="C2378" s="93"/>
      <c r="D2378" s="93"/>
      <c r="E2378" s="93"/>
      <c r="F2378" s="93"/>
      <c r="G2378" s="93"/>
      <c r="H2378" s="93"/>
      <c r="I2378" s="93"/>
      <c r="J2378" s="93"/>
      <c r="K2378" s="93"/>
      <c r="L2378" s="93"/>
      <c r="M2378" s="93"/>
      <c r="N2378" s="158">
        <v>8.06</v>
      </c>
      <c r="O2378" s="158">
        <v>8.06</v>
      </c>
      <c r="P2378" s="158">
        <v>8.06</v>
      </c>
      <c r="Q2378" s="158">
        <v>8.06</v>
      </c>
      <c r="R2378" s="158">
        <v>8.06</v>
      </c>
      <c r="S2378" s="158">
        <v>8.06</v>
      </c>
      <c r="T2378" s="93"/>
      <c r="U2378" s="93"/>
      <c r="V2378" s="93"/>
      <c r="W2378" s="93"/>
      <c r="X2378" s="93"/>
      <c r="Y2378" s="93"/>
      <c r="Z2378" s="93"/>
      <c r="AA2378" s="93"/>
      <c r="AB2378" s="93"/>
      <c r="AC2378" s="93"/>
      <c r="AD2378" s="93"/>
      <c r="AE2378" s="93"/>
      <c r="AF2378" s="79"/>
    </row>
    <row r="2379" spans="1:33">
      <c r="A2379" s="699"/>
      <c r="B2379" s="93"/>
      <c r="C2379" s="93"/>
      <c r="D2379" s="93"/>
      <c r="E2379" s="93"/>
      <c r="F2379" s="93"/>
      <c r="G2379" s="93"/>
      <c r="H2379" s="93"/>
      <c r="I2379" s="93"/>
      <c r="J2379" s="93"/>
      <c r="K2379" s="93"/>
      <c r="L2379" s="93"/>
      <c r="M2379" s="93"/>
      <c r="N2379" s="93"/>
      <c r="O2379" s="293">
        <v>6</v>
      </c>
      <c r="P2379" s="93"/>
      <c r="Q2379" s="93"/>
      <c r="R2379" s="293">
        <v>6</v>
      </c>
      <c r="S2379" s="93"/>
      <c r="T2379" s="93"/>
      <c r="U2379" s="93"/>
      <c r="V2379" s="93"/>
      <c r="W2379" s="93"/>
      <c r="X2379" s="93"/>
      <c r="Y2379" s="93"/>
      <c r="Z2379" s="93"/>
      <c r="AA2379" s="93"/>
      <c r="AB2379" s="93"/>
      <c r="AC2379" s="93"/>
      <c r="AD2379" s="93"/>
      <c r="AE2379" s="93"/>
      <c r="AF2379" s="79"/>
    </row>
    <row r="2380" spans="1:33">
      <c r="H2380" s="93"/>
      <c r="I2380" s="93"/>
      <c r="J2380" s="93"/>
      <c r="K2380" s="93"/>
      <c r="L2380" s="93"/>
      <c r="M2380" s="93"/>
      <c r="N2380" s="93"/>
      <c r="O2380" s="93"/>
      <c r="P2380" s="93"/>
      <c r="Q2380" s="93"/>
      <c r="R2380" s="93"/>
      <c r="S2380" s="93"/>
      <c r="T2380" s="93"/>
      <c r="U2380" s="93"/>
      <c r="V2380" s="93"/>
      <c r="W2380" s="93"/>
      <c r="AE2380" s="93"/>
      <c r="AF2380" s="79"/>
    </row>
    <row r="2381" spans="1:33">
      <c r="B2381" s="295">
        <v>10.02</v>
      </c>
      <c r="C2381" s="295">
        <v>9</v>
      </c>
      <c r="D2381" s="295">
        <v>8</v>
      </c>
      <c r="E2381" s="295">
        <v>7</v>
      </c>
      <c r="F2381" s="295">
        <v>6</v>
      </c>
      <c r="G2381" s="295">
        <v>5</v>
      </c>
      <c r="H2381" s="193">
        <v>4</v>
      </c>
      <c r="I2381" s="93"/>
      <c r="J2381" s="93"/>
      <c r="K2381" s="93"/>
      <c r="L2381" s="93"/>
      <c r="M2381" s="93"/>
      <c r="N2381" s="93"/>
      <c r="O2381" s="93"/>
      <c r="P2381" s="93"/>
      <c r="Q2381" s="93"/>
      <c r="R2381" s="93"/>
      <c r="S2381" s="93"/>
      <c r="T2381" s="93"/>
      <c r="U2381" s="93"/>
      <c r="V2381" s="93"/>
      <c r="W2381" s="93"/>
      <c r="AE2381" s="93"/>
      <c r="AF2381" s="79"/>
    </row>
    <row r="2382" spans="1:33">
      <c r="B2382" s="295">
        <v>10.02</v>
      </c>
      <c r="C2382" s="193">
        <v>9</v>
      </c>
      <c r="D2382" s="316">
        <v>9</v>
      </c>
      <c r="E2382" s="193">
        <v>7</v>
      </c>
      <c r="F2382" s="205">
        <v>6</v>
      </c>
      <c r="G2382" s="193">
        <v>5</v>
      </c>
      <c r="H2382" s="193">
        <v>4</v>
      </c>
      <c r="I2382" s="93"/>
      <c r="J2382" s="93"/>
      <c r="K2382" s="93"/>
      <c r="L2382" s="93"/>
      <c r="M2382" s="93"/>
      <c r="N2382" s="93"/>
      <c r="O2382" s="93"/>
      <c r="P2382" s="93"/>
      <c r="Q2382" s="93"/>
      <c r="R2382" s="93"/>
      <c r="S2382" s="93"/>
      <c r="T2382" s="93"/>
      <c r="U2382" s="93"/>
      <c r="V2382" s="93"/>
      <c r="W2382" s="93"/>
      <c r="AE2382" s="93"/>
      <c r="AF2382" s="79"/>
    </row>
    <row r="2383" spans="1:33">
      <c r="B2383" s="295">
        <v>10.02</v>
      </c>
      <c r="C2383" s="193">
        <v>9</v>
      </c>
      <c r="D2383" s="193">
        <v>8</v>
      </c>
      <c r="E2383" s="193">
        <v>7</v>
      </c>
      <c r="F2383" s="311">
        <v>7</v>
      </c>
      <c r="G2383" s="303">
        <v>6</v>
      </c>
      <c r="H2383" s="193">
        <v>4</v>
      </c>
      <c r="I2383" s="93"/>
      <c r="J2383" s="93"/>
      <c r="K2383" s="93"/>
      <c r="L2383" s="93"/>
      <c r="M2383" s="93"/>
      <c r="N2383" s="93"/>
      <c r="O2383" s="93"/>
      <c r="P2383" s="93"/>
      <c r="Q2383" s="93"/>
      <c r="R2383" s="93"/>
      <c r="S2383" s="93"/>
      <c r="T2383" s="93"/>
      <c r="U2383" s="93"/>
      <c r="V2383" s="93"/>
      <c r="W2383" s="93"/>
      <c r="AE2383" s="93"/>
      <c r="AF2383" s="79"/>
    </row>
    <row r="2384" spans="1:33">
      <c r="B2384" s="295">
        <v>10.02</v>
      </c>
      <c r="C2384" s="193">
        <v>9</v>
      </c>
      <c r="D2384" s="481">
        <v>9</v>
      </c>
      <c r="E2384" s="193">
        <v>7</v>
      </c>
      <c r="F2384" s="205">
        <v>6</v>
      </c>
      <c r="G2384" s="193">
        <v>5</v>
      </c>
      <c r="H2384" s="193">
        <v>4</v>
      </c>
      <c r="I2384" s="93"/>
      <c r="J2384" s="93"/>
      <c r="K2384" s="93"/>
      <c r="L2384" s="93"/>
      <c r="M2384" s="93"/>
      <c r="N2384" s="93"/>
      <c r="O2384" s="93"/>
      <c r="P2384" s="93"/>
      <c r="Q2384" s="93"/>
      <c r="R2384" s="93"/>
      <c r="S2384" s="93"/>
      <c r="T2384" s="93"/>
      <c r="U2384" s="93"/>
      <c r="V2384" s="93"/>
      <c r="W2384" s="93"/>
      <c r="AE2384" s="93"/>
      <c r="AF2384" s="79"/>
    </row>
    <row r="2385" spans="1:32">
      <c r="B2385" s="295">
        <v>10.02</v>
      </c>
      <c r="C2385" s="193">
        <v>9</v>
      </c>
      <c r="D2385" s="193">
        <v>8</v>
      </c>
      <c r="E2385" s="193">
        <v>7</v>
      </c>
      <c r="F2385" s="205">
        <v>6</v>
      </c>
      <c r="G2385" s="193">
        <v>5</v>
      </c>
      <c r="H2385" s="193">
        <v>4</v>
      </c>
      <c r="I2385" s="93"/>
      <c r="J2385" s="93"/>
      <c r="K2385" s="93"/>
      <c r="L2385" s="93"/>
      <c r="M2385" s="93"/>
      <c r="N2385" s="93"/>
      <c r="O2385" s="93"/>
      <c r="P2385" s="93"/>
      <c r="Q2385" s="93"/>
      <c r="R2385" s="93"/>
      <c r="S2385" s="93"/>
      <c r="T2385" s="93"/>
      <c r="U2385" s="93"/>
      <c r="V2385" s="93"/>
      <c r="W2385" s="93"/>
      <c r="AE2385" s="93"/>
      <c r="AF2385" s="79"/>
    </row>
    <row r="2386" spans="1:32">
      <c r="B2386" s="295">
        <v>10.02</v>
      </c>
      <c r="C2386" s="193">
        <v>9</v>
      </c>
      <c r="D2386" s="317">
        <v>9</v>
      </c>
      <c r="E2386" s="193">
        <v>7</v>
      </c>
      <c r="F2386" s="193">
        <v>6</v>
      </c>
      <c r="G2386" s="193">
        <v>5</v>
      </c>
      <c r="H2386" s="193">
        <v>4</v>
      </c>
      <c r="I2386" s="93"/>
      <c r="J2386" s="93"/>
      <c r="K2386" s="93"/>
      <c r="L2386" s="93"/>
      <c r="M2386" s="93"/>
      <c r="N2386" s="93"/>
      <c r="O2386" s="93"/>
      <c r="P2386" s="93"/>
      <c r="Q2386" s="93"/>
      <c r="R2386" s="93"/>
      <c r="S2386" s="93"/>
      <c r="T2386" s="93"/>
      <c r="U2386" s="93"/>
      <c r="V2386" s="93"/>
      <c r="W2386" s="93"/>
      <c r="AE2386" s="93"/>
      <c r="AF2386" s="79"/>
    </row>
    <row r="2387" spans="1:32">
      <c r="B2387" s="295">
        <v>10.02</v>
      </c>
      <c r="C2387" s="193">
        <v>9</v>
      </c>
      <c r="D2387" s="193">
        <v>8</v>
      </c>
      <c r="E2387" s="193">
        <v>7</v>
      </c>
      <c r="F2387" s="162">
        <v>7</v>
      </c>
      <c r="G2387" s="193">
        <v>5</v>
      </c>
      <c r="H2387" s="193">
        <v>4</v>
      </c>
      <c r="I2387" s="93"/>
      <c r="J2387" s="93"/>
      <c r="K2387" s="93"/>
      <c r="L2387" s="93"/>
      <c r="M2387" s="93"/>
      <c r="N2387" s="93"/>
      <c r="O2387" s="93"/>
      <c r="P2387" s="93"/>
      <c r="Q2387" s="93"/>
      <c r="R2387" s="93"/>
      <c r="S2387" s="93"/>
      <c r="T2387" s="93"/>
      <c r="U2387" s="93"/>
      <c r="V2387" s="93"/>
      <c r="W2387" s="93"/>
      <c r="AE2387" s="93"/>
      <c r="AF2387" s="79"/>
    </row>
    <row r="2388" spans="1:32">
      <c r="B2388" s="295">
        <v>10.02</v>
      </c>
      <c r="C2388" s="193">
        <v>9</v>
      </c>
      <c r="D2388" s="205">
        <v>8</v>
      </c>
      <c r="E2388" s="205">
        <v>7</v>
      </c>
      <c r="F2388" s="158">
        <v>7</v>
      </c>
      <c r="G2388" s="193">
        <v>5</v>
      </c>
      <c r="H2388" s="193">
        <v>4</v>
      </c>
      <c r="I2388" s="93"/>
      <c r="J2388" s="93"/>
      <c r="K2388" s="93"/>
      <c r="L2388" s="93"/>
      <c r="M2388" s="93"/>
      <c r="N2388" s="93"/>
      <c r="O2388" s="93"/>
      <c r="P2388" s="93"/>
      <c r="Q2388" s="93"/>
      <c r="R2388" s="93"/>
      <c r="S2388" s="93"/>
      <c r="T2388" s="93"/>
      <c r="U2388" s="93"/>
      <c r="V2388" s="93"/>
      <c r="W2388" s="93"/>
      <c r="AE2388" s="93"/>
      <c r="AF2388" s="79"/>
    </row>
    <row r="2389" spans="1:32">
      <c r="B2389" s="295">
        <v>10.02</v>
      </c>
      <c r="C2389" s="193">
        <v>9</v>
      </c>
      <c r="D2389" s="193">
        <v>8</v>
      </c>
      <c r="E2389" s="193">
        <v>7</v>
      </c>
      <c r="F2389" s="163">
        <v>7</v>
      </c>
      <c r="G2389" s="193">
        <v>5</v>
      </c>
      <c r="H2389" s="193">
        <v>4</v>
      </c>
      <c r="I2389" s="93"/>
      <c r="J2389" s="93"/>
      <c r="K2389" s="93"/>
      <c r="L2389" s="93"/>
      <c r="M2389" s="93"/>
      <c r="N2389" s="93"/>
      <c r="O2389" s="93"/>
      <c r="P2389" s="93"/>
      <c r="Q2389" s="93"/>
      <c r="R2389" s="93"/>
      <c r="S2389" s="93"/>
      <c r="T2389" s="93"/>
      <c r="U2389" s="93"/>
      <c r="V2389" s="93"/>
      <c r="W2389" s="93"/>
      <c r="AE2389" s="93"/>
      <c r="AF2389" s="79"/>
    </row>
    <row r="2390" spans="1:32">
      <c r="B2390" s="193">
        <v>10.02</v>
      </c>
      <c r="C2390" s="193">
        <v>9</v>
      </c>
      <c r="D2390" s="193">
        <v>8</v>
      </c>
      <c r="E2390" s="193">
        <v>7</v>
      </c>
      <c r="F2390" s="193">
        <v>6</v>
      </c>
      <c r="G2390" s="193">
        <v>5</v>
      </c>
      <c r="H2390" s="193">
        <v>4</v>
      </c>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c r="AF2390" s="79"/>
    </row>
    <row r="2391" spans="1:32">
      <c r="A2391" s="699"/>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c r="AF2391" s="79"/>
    </row>
    <row r="2392" spans="1:32">
      <c r="A2392" s="699"/>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c r="AF2392" s="79"/>
    </row>
    <row r="2393" spans="1:32">
      <c r="A2393" s="699"/>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c r="AF2393" s="79"/>
    </row>
    <row r="2394" spans="1:32">
      <c r="A2394" s="699"/>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c r="AF2394" s="79"/>
    </row>
    <row r="2395" spans="1:32">
      <c r="A2395" s="699"/>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c r="AF2395" s="79"/>
    </row>
    <row r="2396" spans="1:32">
      <c r="A2396" s="699"/>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c r="AF2396" s="79"/>
    </row>
    <row r="2397" spans="1:32">
      <c r="A2397" s="699"/>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c r="AF2397" s="79"/>
    </row>
    <row r="2398" spans="1:32">
      <c r="A2398" s="699"/>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c r="AF2398" s="79"/>
    </row>
    <row r="2399" spans="1:32">
      <c r="A2399" s="699"/>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c r="AF2399" s="79"/>
    </row>
    <row r="2400" spans="1:32">
      <c r="A2400" s="700"/>
      <c r="B2400" s="73"/>
      <c r="C2400" s="73"/>
      <c r="D2400" s="73"/>
      <c r="E2400" s="73"/>
      <c r="F2400" s="73"/>
      <c r="G2400" s="73"/>
      <c r="H2400" s="73"/>
      <c r="I2400" s="73"/>
      <c r="J2400" s="73"/>
      <c r="K2400" s="73"/>
      <c r="L2400" s="73"/>
      <c r="M2400" s="73"/>
      <c r="N2400" s="73"/>
      <c r="O2400" s="73"/>
      <c r="P2400" s="73"/>
      <c r="Q2400" s="73"/>
      <c r="R2400" s="73"/>
      <c r="S2400" s="73"/>
      <c r="T2400" s="73"/>
      <c r="U2400" s="73"/>
      <c r="V2400" s="73"/>
      <c r="W2400" s="73"/>
      <c r="X2400" s="73"/>
      <c r="Y2400" s="73"/>
      <c r="Z2400" s="73"/>
      <c r="AA2400" s="73"/>
      <c r="AB2400" s="73"/>
      <c r="AC2400" s="73"/>
      <c r="AD2400" s="73"/>
      <c r="AE2400" s="73"/>
      <c r="AF2400" s="701"/>
    </row>
    <row r="2401" spans="1:33">
      <c r="A2401" s="411">
        <v>8.19</v>
      </c>
      <c r="B2401" s="411">
        <v>8.19</v>
      </c>
      <c r="C2401" s="411">
        <v>8.19</v>
      </c>
      <c r="D2401" s="411">
        <v>8.19</v>
      </c>
      <c r="E2401" s="411">
        <v>8.19</v>
      </c>
      <c r="F2401" s="411">
        <v>8.19</v>
      </c>
      <c r="G2401" s="411">
        <v>8.19</v>
      </c>
      <c r="H2401" s="411">
        <v>8.19</v>
      </c>
      <c r="I2401" s="411">
        <v>8.19</v>
      </c>
      <c r="J2401" s="411">
        <v>8.19</v>
      </c>
      <c r="K2401" s="411">
        <v>8.19</v>
      </c>
      <c r="L2401" s="411">
        <v>8.19</v>
      </c>
      <c r="M2401" s="411">
        <v>8.19</v>
      </c>
      <c r="N2401" s="411">
        <v>8.19</v>
      </c>
      <c r="O2401" s="411">
        <v>8.19</v>
      </c>
      <c r="P2401" s="411">
        <v>8.19</v>
      </c>
      <c r="Q2401" s="411">
        <v>8.19</v>
      </c>
      <c r="R2401" s="411">
        <v>8.19</v>
      </c>
      <c r="S2401" s="411">
        <v>8.19</v>
      </c>
      <c r="T2401" s="411">
        <v>8.19</v>
      </c>
      <c r="U2401" s="411">
        <v>8.19</v>
      </c>
      <c r="V2401" s="411">
        <v>8.19</v>
      </c>
      <c r="W2401" s="411">
        <v>8.19</v>
      </c>
      <c r="X2401" s="411">
        <v>8.19</v>
      </c>
      <c r="Y2401" s="411">
        <v>8.19</v>
      </c>
      <c r="Z2401" s="411">
        <v>8.19</v>
      </c>
      <c r="AA2401" s="411">
        <v>8.19</v>
      </c>
      <c r="AB2401" s="411">
        <v>8.19</v>
      </c>
      <c r="AC2401" s="411">
        <v>8.19</v>
      </c>
      <c r="AD2401" s="411">
        <v>8.19</v>
      </c>
      <c r="AE2401" s="411">
        <v>8.19</v>
      </c>
      <c r="AF2401" s="411">
        <v>8.19</v>
      </c>
      <c r="AG2401">
        <v>76</v>
      </c>
    </row>
    <row r="2402" spans="1:33">
      <c r="A2402" s="411">
        <v>8.19</v>
      </c>
      <c r="B2402" s="452">
        <v>8.19</v>
      </c>
      <c r="C2402" s="439">
        <v>8.19</v>
      </c>
      <c r="D2402" s="411">
        <v>8.19</v>
      </c>
      <c r="E2402" s="411">
        <v>8.19</v>
      </c>
      <c r="F2402" s="452">
        <v>8.19</v>
      </c>
      <c r="G2402" s="439">
        <v>8.19</v>
      </c>
      <c r="H2402" s="411">
        <v>8.19</v>
      </c>
      <c r="I2402" s="411">
        <v>8.19</v>
      </c>
      <c r="J2402" s="452">
        <v>8.19</v>
      </c>
      <c r="K2402" s="439">
        <v>8.19</v>
      </c>
      <c r="L2402" s="411">
        <v>8.19</v>
      </c>
      <c r="M2402" s="411">
        <v>8.19</v>
      </c>
      <c r="N2402" s="452">
        <v>8.19</v>
      </c>
      <c r="O2402" s="439">
        <v>8.19</v>
      </c>
      <c r="P2402" s="411">
        <v>8.19</v>
      </c>
      <c r="Q2402" s="411">
        <v>8.19</v>
      </c>
      <c r="R2402" s="452">
        <v>8.19</v>
      </c>
      <c r="S2402" s="439">
        <v>8.19</v>
      </c>
      <c r="T2402" s="411">
        <v>8.19</v>
      </c>
      <c r="U2402" s="411">
        <v>8.19</v>
      </c>
      <c r="V2402" s="452">
        <v>8.19</v>
      </c>
      <c r="W2402" s="439">
        <v>8.19</v>
      </c>
      <c r="X2402" s="411">
        <v>8.19</v>
      </c>
      <c r="Y2402" s="411">
        <v>8.19</v>
      </c>
      <c r="Z2402" s="452">
        <v>8.19</v>
      </c>
      <c r="AA2402" s="439">
        <v>8.19</v>
      </c>
      <c r="AB2402" s="411">
        <v>8.19</v>
      </c>
      <c r="AC2402" s="411">
        <v>8.19</v>
      </c>
      <c r="AD2402" s="452">
        <v>8.19</v>
      </c>
      <c r="AE2402" s="439">
        <v>8.19</v>
      </c>
      <c r="AF2402" s="411">
        <v>8.19</v>
      </c>
    </row>
    <row r="2403" spans="1:33">
      <c r="A2403" s="439">
        <v>8.19</v>
      </c>
      <c r="B2403" s="439">
        <v>8.19</v>
      </c>
      <c r="C2403" s="411">
        <v>8.19</v>
      </c>
      <c r="D2403" s="411">
        <v>8.19</v>
      </c>
      <c r="E2403" s="411">
        <v>8.19</v>
      </c>
      <c r="F2403" s="411">
        <v>8.19</v>
      </c>
      <c r="G2403" s="411">
        <v>8.19</v>
      </c>
      <c r="H2403" s="411">
        <v>8.19</v>
      </c>
      <c r="I2403" s="411">
        <v>8.19</v>
      </c>
      <c r="J2403" s="411">
        <v>8.19</v>
      </c>
      <c r="K2403" s="411">
        <v>8.19</v>
      </c>
      <c r="L2403" s="411">
        <v>8.19</v>
      </c>
      <c r="M2403" s="411">
        <v>8.19</v>
      </c>
      <c r="N2403" s="411">
        <v>8.19</v>
      </c>
      <c r="O2403" s="411">
        <v>8.19</v>
      </c>
      <c r="P2403" s="411">
        <v>8.19</v>
      </c>
      <c r="Q2403" s="411">
        <v>8.19</v>
      </c>
      <c r="R2403" s="411">
        <v>8.19</v>
      </c>
      <c r="S2403" s="411">
        <v>8.19</v>
      </c>
      <c r="T2403" s="411">
        <v>8.19</v>
      </c>
      <c r="U2403" s="411">
        <v>8.19</v>
      </c>
      <c r="V2403" s="411">
        <v>8.19</v>
      </c>
      <c r="W2403" s="411">
        <v>8.19</v>
      </c>
      <c r="X2403" s="411">
        <v>8.19</v>
      </c>
      <c r="Y2403" s="411">
        <v>8.19</v>
      </c>
      <c r="Z2403" s="411">
        <v>8.19</v>
      </c>
      <c r="AA2403" s="411">
        <v>8.19</v>
      </c>
      <c r="AB2403" s="411">
        <v>8.19</v>
      </c>
      <c r="AC2403" s="411">
        <v>8.19</v>
      </c>
      <c r="AD2403" s="411">
        <v>8.19</v>
      </c>
      <c r="AE2403" s="452">
        <v>8.19</v>
      </c>
      <c r="AF2403" s="452">
        <v>8.19</v>
      </c>
    </row>
    <row r="2404" spans="1:33">
      <c r="A2404" s="452">
        <v>9.18</v>
      </c>
      <c r="B2404" s="452">
        <v>9.18</v>
      </c>
      <c r="C2404" s="439">
        <v>8.19</v>
      </c>
      <c r="D2404" s="411">
        <v>8.19</v>
      </c>
      <c r="E2404" s="411">
        <v>8.19</v>
      </c>
      <c r="F2404" s="411">
        <v>8.19</v>
      </c>
      <c r="G2404" s="411">
        <v>8.19</v>
      </c>
      <c r="H2404" s="411">
        <v>8.19</v>
      </c>
      <c r="I2404" s="411">
        <v>8.19</v>
      </c>
      <c r="J2404" s="411">
        <v>8.19</v>
      </c>
      <c r="K2404" s="411">
        <v>8.19</v>
      </c>
      <c r="L2404" s="439">
        <v>8.17</v>
      </c>
      <c r="M2404" s="439">
        <v>8.17</v>
      </c>
      <c r="N2404" s="439">
        <v>8.17</v>
      </c>
      <c r="O2404" s="439">
        <v>8.17</v>
      </c>
      <c r="P2404" s="439">
        <v>8.17</v>
      </c>
      <c r="Q2404" s="439">
        <v>8.17</v>
      </c>
      <c r="R2404" s="439">
        <v>8.17</v>
      </c>
      <c r="S2404" s="439">
        <v>8.17</v>
      </c>
      <c r="T2404" s="439">
        <v>8.17</v>
      </c>
      <c r="U2404" s="439">
        <v>8.17</v>
      </c>
      <c r="V2404" s="411">
        <v>8.19</v>
      </c>
      <c r="W2404" s="411">
        <v>8.19</v>
      </c>
      <c r="X2404" s="411">
        <v>8.19</v>
      </c>
      <c r="Y2404" s="411">
        <v>8.19</v>
      </c>
      <c r="Z2404" s="411">
        <v>8.19</v>
      </c>
      <c r="AA2404" s="439">
        <v>8.19</v>
      </c>
      <c r="AB2404" s="411">
        <v>8.19</v>
      </c>
      <c r="AC2404" s="411">
        <v>8.19</v>
      </c>
      <c r="AD2404" s="452">
        <v>8.19</v>
      </c>
      <c r="AE2404" s="452">
        <v>9.18</v>
      </c>
      <c r="AF2404" s="452">
        <v>9.18</v>
      </c>
    </row>
    <row r="2405" spans="1:33">
      <c r="A2405" s="439">
        <v>8.19</v>
      </c>
      <c r="B2405" s="439">
        <v>8.19</v>
      </c>
      <c r="C2405" s="452">
        <v>9.18</v>
      </c>
      <c r="D2405" s="439">
        <v>8.19</v>
      </c>
      <c r="E2405" s="411">
        <v>8.19</v>
      </c>
      <c r="F2405" s="411">
        <v>8.19</v>
      </c>
      <c r="G2405" s="411">
        <v>8.19</v>
      </c>
      <c r="H2405" s="311">
        <v>9.19</v>
      </c>
      <c r="I2405" s="303">
        <v>9.19</v>
      </c>
      <c r="J2405" s="439">
        <v>8.19</v>
      </c>
      <c r="K2405" s="411">
        <v>8.19</v>
      </c>
      <c r="L2405" s="439">
        <v>8.17</v>
      </c>
      <c r="M2405" s="158">
        <v>8.17</v>
      </c>
      <c r="N2405" s="158">
        <v>8.17</v>
      </c>
      <c r="O2405" s="158">
        <v>8.17</v>
      </c>
      <c r="P2405" s="158">
        <v>8.17</v>
      </c>
      <c r="Q2405" s="158">
        <v>8.17</v>
      </c>
      <c r="R2405" s="158">
        <v>8.17</v>
      </c>
      <c r="S2405" s="158">
        <v>8.17</v>
      </c>
      <c r="T2405" s="158">
        <v>8.17</v>
      </c>
      <c r="U2405" s="411">
        <v>8.19</v>
      </c>
      <c r="V2405" s="411">
        <v>8.19</v>
      </c>
      <c r="W2405" s="411">
        <v>8.19</v>
      </c>
      <c r="X2405" s="434">
        <v>9.19</v>
      </c>
      <c r="Y2405" s="295">
        <v>9.19</v>
      </c>
      <c r="Z2405" s="439">
        <v>8.19</v>
      </c>
      <c r="AA2405" s="411">
        <v>8.19</v>
      </c>
      <c r="AB2405" s="411">
        <v>8.19</v>
      </c>
      <c r="AC2405" s="452">
        <v>8.19</v>
      </c>
      <c r="AD2405" s="452">
        <v>9.18</v>
      </c>
      <c r="AE2405" s="432">
        <v>8.19</v>
      </c>
      <c r="AF2405" s="432">
        <v>8.19</v>
      </c>
    </row>
    <row r="2406" spans="1:33">
      <c r="A2406" s="411">
        <v>7.1899999999999995</v>
      </c>
      <c r="B2406" s="432">
        <v>7.1899999999999995</v>
      </c>
      <c r="C2406" s="439">
        <v>7.1899999999999995</v>
      </c>
      <c r="D2406" s="452">
        <v>9.18</v>
      </c>
      <c r="E2406" s="439">
        <v>7.1899999999999995</v>
      </c>
      <c r="F2406" s="411">
        <v>8.19</v>
      </c>
      <c r="G2406" s="411">
        <v>8.19</v>
      </c>
      <c r="H2406" s="411">
        <v>8.19</v>
      </c>
      <c r="I2406" s="411">
        <v>8.19</v>
      </c>
      <c r="J2406" s="411">
        <v>8.19</v>
      </c>
      <c r="K2406" s="411">
        <v>8.19</v>
      </c>
      <c r="L2406" s="439">
        <v>8.17</v>
      </c>
      <c r="M2406" s="158">
        <v>8.17</v>
      </c>
      <c r="N2406" s="156">
        <v>8.17</v>
      </c>
      <c r="O2406" s="156">
        <v>8.17</v>
      </c>
      <c r="P2406" s="156">
        <v>8.17</v>
      </c>
      <c r="Q2406" s="156">
        <v>8.17</v>
      </c>
      <c r="R2406" s="156">
        <v>8.17</v>
      </c>
      <c r="S2406" s="156">
        <v>8.17</v>
      </c>
      <c r="T2406" s="158">
        <v>8.17</v>
      </c>
      <c r="U2406" s="411">
        <v>8.18</v>
      </c>
      <c r="V2406" s="411">
        <v>8.19</v>
      </c>
      <c r="W2406" s="411">
        <v>8.19</v>
      </c>
      <c r="X2406" s="411">
        <v>8.19</v>
      </c>
      <c r="Y2406" s="439">
        <v>8.19</v>
      </c>
      <c r="Z2406" s="411">
        <v>8.19</v>
      </c>
      <c r="AA2406" s="411">
        <v>8.19</v>
      </c>
      <c r="AB2406" s="452">
        <v>7.1899999999999995</v>
      </c>
      <c r="AC2406" s="452">
        <v>9.18</v>
      </c>
      <c r="AD2406" s="432">
        <v>7.1899999999999995</v>
      </c>
      <c r="AE2406" s="439">
        <v>7.1899999999999995</v>
      </c>
      <c r="AF2406" s="439">
        <v>7.1899999999999995</v>
      </c>
    </row>
    <row r="2407" spans="1:33">
      <c r="A2407" s="452">
        <v>8.18</v>
      </c>
      <c r="B2407" s="452">
        <v>8.18</v>
      </c>
      <c r="C2407" s="432">
        <v>7.1899999999999995</v>
      </c>
      <c r="D2407" s="439">
        <v>7.1899999999999995</v>
      </c>
      <c r="E2407" s="452">
        <v>8.18</v>
      </c>
      <c r="F2407" s="439">
        <v>7.1899999999999995</v>
      </c>
      <c r="G2407" s="411">
        <v>7.1899999999999995</v>
      </c>
      <c r="H2407" s="411">
        <v>7.1899999999999995</v>
      </c>
      <c r="I2407" s="411">
        <v>7.1899999999999995</v>
      </c>
      <c r="J2407" s="411">
        <v>7.1899999999999995</v>
      </c>
      <c r="K2407" s="411">
        <v>7.1899999999999995</v>
      </c>
      <c r="L2407" s="439">
        <v>8.17</v>
      </c>
      <c r="M2407" s="158">
        <v>8.17</v>
      </c>
      <c r="N2407" s="156">
        <v>8.17</v>
      </c>
      <c r="O2407" s="158">
        <v>8.17</v>
      </c>
      <c r="P2407" s="158">
        <v>8.17</v>
      </c>
      <c r="Q2407" s="158">
        <v>8.17</v>
      </c>
      <c r="R2407" s="158">
        <v>8.17</v>
      </c>
      <c r="S2407" s="158">
        <v>8.17</v>
      </c>
      <c r="T2407" s="158">
        <v>8.17</v>
      </c>
      <c r="U2407" s="411">
        <v>8.17</v>
      </c>
      <c r="V2407" s="411">
        <v>7.1899999999999995</v>
      </c>
      <c r="W2407" s="411">
        <v>7.1899999999999995</v>
      </c>
      <c r="X2407" s="411">
        <v>7.1899999999999995</v>
      </c>
      <c r="Y2407" s="411">
        <v>7.1899999999999995</v>
      </c>
      <c r="Z2407" s="411">
        <v>7.1899999999999995</v>
      </c>
      <c r="AA2407" s="452">
        <v>7.1899999999999995</v>
      </c>
      <c r="AB2407" s="452">
        <v>8.18</v>
      </c>
      <c r="AC2407" s="432">
        <v>7.1899999999999995</v>
      </c>
      <c r="AD2407" s="439">
        <v>7.1899999999999995</v>
      </c>
      <c r="AE2407" s="452">
        <v>8.18</v>
      </c>
      <c r="AF2407" s="452">
        <v>8.18</v>
      </c>
    </row>
    <row r="2408" spans="1:33">
      <c r="A2408" s="432">
        <v>7.1899999999999995</v>
      </c>
      <c r="B2408" s="439">
        <v>7.1899999999999995</v>
      </c>
      <c r="C2408" s="452">
        <v>8.18</v>
      </c>
      <c r="D2408" s="432">
        <v>7.1899999999999995</v>
      </c>
      <c r="E2408" s="439">
        <v>7.1899999999999995</v>
      </c>
      <c r="F2408" s="452">
        <v>8.18</v>
      </c>
      <c r="G2408" s="439">
        <v>7.1899999999999995</v>
      </c>
      <c r="H2408" s="316">
        <v>8.19</v>
      </c>
      <c r="I2408" s="433">
        <v>8.19</v>
      </c>
      <c r="J2408" s="439">
        <v>7.1899999999999995</v>
      </c>
      <c r="K2408" s="411">
        <v>7.1899999999999995</v>
      </c>
      <c r="L2408" s="439">
        <v>7.18</v>
      </c>
      <c r="M2408" s="158">
        <v>7.18</v>
      </c>
      <c r="N2408" s="156">
        <v>7.18</v>
      </c>
      <c r="O2408" s="158">
        <v>7.18</v>
      </c>
      <c r="P2408" s="158">
        <v>7.18</v>
      </c>
      <c r="Q2408" s="158">
        <v>7.18</v>
      </c>
      <c r="R2408" s="158">
        <v>7.18</v>
      </c>
      <c r="S2408" s="158">
        <v>7.18</v>
      </c>
      <c r="T2408" s="158">
        <v>7.18</v>
      </c>
      <c r="U2408" s="411">
        <v>7.18</v>
      </c>
      <c r="V2408" s="411">
        <v>7.1899999999999995</v>
      </c>
      <c r="W2408" s="411">
        <v>7.1899999999999995</v>
      </c>
      <c r="X2408" s="411">
        <v>7.1899999999999995</v>
      </c>
      <c r="Y2408" s="411">
        <v>7.1899999999999995</v>
      </c>
      <c r="Z2408" s="452">
        <v>7.1899999999999995</v>
      </c>
      <c r="AA2408" s="452">
        <v>8.18</v>
      </c>
      <c r="AB2408" s="432">
        <v>7.1899999999999995</v>
      </c>
      <c r="AC2408" s="439">
        <v>7.1899999999999995</v>
      </c>
      <c r="AD2408" s="452">
        <v>8.18</v>
      </c>
      <c r="AE2408" s="432">
        <v>7.1899999999999995</v>
      </c>
      <c r="AF2408" s="432">
        <v>7.1899999999999995</v>
      </c>
    </row>
    <row r="2409" spans="1:33">
      <c r="A2409" s="411">
        <v>7.1899999999999995</v>
      </c>
      <c r="B2409" s="411">
        <v>7.1899999999999995</v>
      </c>
      <c r="C2409" s="439">
        <v>7.1899999999999995</v>
      </c>
      <c r="D2409" s="452">
        <v>8.18</v>
      </c>
      <c r="E2409" s="432">
        <v>7.1899999999999995</v>
      </c>
      <c r="F2409" s="439">
        <v>7.1899999999999995</v>
      </c>
      <c r="G2409" s="452">
        <v>8.18</v>
      </c>
      <c r="H2409" s="439">
        <v>7.1899999999999995</v>
      </c>
      <c r="I2409" s="411">
        <v>7.1899999999999995</v>
      </c>
      <c r="J2409" s="411">
        <v>7.1899999999999995</v>
      </c>
      <c r="K2409" s="411">
        <v>7.1899999999999995</v>
      </c>
      <c r="L2409" s="439">
        <v>7.18</v>
      </c>
      <c r="M2409" s="158">
        <v>7.18</v>
      </c>
      <c r="N2409" s="156">
        <v>7.18</v>
      </c>
      <c r="O2409" s="158">
        <v>7.18</v>
      </c>
      <c r="P2409" s="158">
        <v>7.18</v>
      </c>
      <c r="Q2409" s="158">
        <v>7.18</v>
      </c>
      <c r="R2409" s="158">
        <v>7.18</v>
      </c>
      <c r="S2409" s="158">
        <v>7.18</v>
      </c>
      <c r="T2409" s="158">
        <v>7.18</v>
      </c>
      <c r="U2409" s="411">
        <v>7.18</v>
      </c>
      <c r="V2409" s="411">
        <v>7.1899999999999995</v>
      </c>
      <c r="W2409" s="411">
        <v>7.1899999999999995</v>
      </c>
      <c r="X2409" s="411">
        <v>7.1899999999999995</v>
      </c>
      <c r="Y2409" s="452">
        <v>7.1899999999999995</v>
      </c>
      <c r="Z2409" s="452">
        <v>8.18</v>
      </c>
      <c r="AA2409" s="432">
        <v>7.1899999999999995</v>
      </c>
      <c r="AB2409" s="439">
        <v>7.1899999999999995</v>
      </c>
      <c r="AC2409" s="452">
        <v>8.18</v>
      </c>
      <c r="AD2409" s="432">
        <v>7.1899999999999995</v>
      </c>
      <c r="AE2409" s="411">
        <v>7.1899999999999995</v>
      </c>
      <c r="AF2409" s="411">
        <v>7.1899999999999995</v>
      </c>
    </row>
    <row r="2410" spans="1:33">
      <c r="A2410" s="411">
        <v>8.19</v>
      </c>
      <c r="B2410" s="411">
        <v>7.1899999999999995</v>
      </c>
      <c r="C2410" s="411">
        <v>7.1899999999999995</v>
      </c>
      <c r="D2410" s="439">
        <v>7.1899999999999995</v>
      </c>
      <c r="E2410" s="452">
        <v>8.18</v>
      </c>
      <c r="F2410" s="432">
        <v>7.1899999999999995</v>
      </c>
      <c r="G2410" s="439">
        <v>7.1899999999999995</v>
      </c>
      <c r="H2410" s="452">
        <v>8.18</v>
      </c>
      <c r="I2410" s="439">
        <v>7.1899999999999995</v>
      </c>
      <c r="J2410" s="411">
        <v>7.1899999999999995</v>
      </c>
      <c r="K2410" s="411">
        <v>7.1899999999999995</v>
      </c>
      <c r="L2410" s="439">
        <v>7.18</v>
      </c>
      <c r="M2410" s="158">
        <v>7.18</v>
      </c>
      <c r="N2410" s="158">
        <v>7.18</v>
      </c>
      <c r="O2410" s="158">
        <v>7.18</v>
      </c>
      <c r="P2410" s="158">
        <v>7.18</v>
      </c>
      <c r="Q2410" s="158">
        <v>7.18</v>
      </c>
      <c r="R2410" s="158">
        <v>7.18</v>
      </c>
      <c r="S2410" s="158">
        <v>7.18</v>
      </c>
      <c r="T2410" s="158">
        <v>7.18</v>
      </c>
      <c r="U2410" s="411">
        <v>7.18</v>
      </c>
      <c r="V2410" s="411">
        <v>7.1899999999999995</v>
      </c>
      <c r="W2410" s="411">
        <v>7.1899999999999995</v>
      </c>
      <c r="X2410" s="452">
        <v>7.1899999999999995</v>
      </c>
      <c r="Y2410" s="452">
        <v>8.18</v>
      </c>
      <c r="Z2410" s="432">
        <v>7.1899999999999995</v>
      </c>
      <c r="AA2410" s="439">
        <v>7.1899999999999995</v>
      </c>
      <c r="AB2410" s="452">
        <v>8.18</v>
      </c>
      <c r="AC2410" s="432">
        <v>7.1899999999999995</v>
      </c>
      <c r="AD2410" s="411">
        <v>7.1899999999999995</v>
      </c>
      <c r="AE2410" s="411">
        <v>7.1899999999999995</v>
      </c>
      <c r="AF2410" s="411">
        <v>8.19</v>
      </c>
    </row>
    <row r="2411" spans="1:33">
      <c r="A2411" s="411">
        <v>8.19</v>
      </c>
      <c r="B2411" s="411">
        <v>8.19</v>
      </c>
      <c r="C2411" s="411">
        <v>7.1899999999999995</v>
      </c>
      <c r="D2411" s="411">
        <v>7.1899999999999995</v>
      </c>
      <c r="E2411" s="439">
        <v>7.1899999999999995</v>
      </c>
      <c r="F2411" s="452">
        <v>8.18</v>
      </c>
      <c r="G2411" s="432">
        <v>7.1899999999999995</v>
      </c>
      <c r="H2411" s="439">
        <v>7.1899999999999995</v>
      </c>
      <c r="I2411" s="452">
        <v>8.18</v>
      </c>
      <c r="J2411" s="439">
        <v>7.1899999999999995</v>
      </c>
      <c r="K2411" s="411">
        <v>7.1899999999999995</v>
      </c>
      <c r="L2411" s="439">
        <v>7.18</v>
      </c>
      <c r="M2411" s="158">
        <v>7.18</v>
      </c>
      <c r="N2411" s="158">
        <v>7.18</v>
      </c>
      <c r="O2411" s="158">
        <v>7.18</v>
      </c>
      <c r="P2411" s="158">
        <v>7.18</v>
      </c>
      <c r="Q2411" s="158">
        <v>7.18</v>
      </c>
      <c r="R2411" s="158">
        <v>7.18</v>
      </c>
      <c r="S2411" s="158">
        <v>7.18</v>
      </c>
      <c r="T2411" s="158">
        <v>7.18</v>
      </c>
      <c r="U2411" s="411">
        <v>7.18</v>
      </c>
      <c r="V2411" s="411">
        <v>7.1899999999999995</v>
      </c>
      <c r="W2411" s="452">
        <v>7.1899999999999995</v>
      </c>
      <c r="X2411" s="452">
        <v>8.18</v>
      </c>
      <c r="Y2411" s="432">
        <v>7.1899999999999995</v>
      </c>
      <c r="Z2411" s="439">
        <v>7.1899999999999995</v>
      </c>
      <c r="AA2411" s="452">
        <v>8.18</v>
      </c>
      <c r="AB2411" s="432">
        <v>7.1899999999999995</v>
      </c>
      <c r="AC2411" s="411">
        <v>7.1899999999999995</v>
      </c>
      <c r="AD2411" s="411">
        <v>7.1899999999999995</v>
      </c>
      <c r="AE2411" s="411">
        <v>8.19</v>
      </c>
      <c r="AF2411" s="411">
        <v>8.19</v>
      </c>
    </row>
    <row r="2412" spans="1:33">
      <c r="A2412" s="411">
        <v>8.19</v>
      </c>
      <c r="B2412" s="411">
        <v>8.19</v>
      </c>
      <c r="C2412" s="411">
        <v>8.19</v>
      </c>
      <c r="D2412" s="411">
        <v>8.19</v>
      </c>
      <c r="E2412" s="411">
        <v>8.19</v>
      </c>
      <c r="F2412" s="439">
        <v>8.19</v>
      </c>
      <c r="G2412" s="452">
        <v>8.18</v>
      </c>
      <c r="H2412" s="432">
        <v>8.19</v>
      </c>
      <c r="I2412" s="439">
        <v>8.19</v>
      </c>
      <c r="J2412" s="452">
        <v>8.18</v>
      </c>
      <c r="K2412" s="439">
        <v>8.19</v>
      </c>
      <c r="L2412" s="411">
        <v>8.19</v>
      </c>
      <c r="M2412" s="411">
        <v>8.19</v>
      </c>
      <c r="N2412" s="411">
        <v>8.19</v>
      </c>
      <c r="O2412" s="411">
        <v>8.19</v>
      </c>
      <c r="P2412" s="411">
        <v>8.19</v>
      </c>
      <c r="Q2412" s="411">
        <v>8.19</v>
      </c>
      <c r="R2412" s="411">
        <v>8.19</v>
      </c>
      <c r="S2412" s="411">
        <v>8.19</v>
      </c>
      <c r="T2412" s="411">
        <v>8.19</v>
      </c>
      <c r="U2412" s="411">
        <v>8.19</v>
      </c>
      <c r="V2412" s="452">
        <v>8.19</v>
      </c>
      <c r="W2412" s="452">
        <v>8.18</v>
      </c>
      <c r="X2412" s="432">
        <v>8.19</v>
      </c>
      <c r="Y2412" s="439">
        <v>8.19</v>
      </c>
      <c r="Z2412" s="452">
        <v>8.18</v>
      </c>
      <c r="AA2412" s="432">
        <v>8.19</v>
      </c>
      <c r="AB2412" s="411">
        <v>8.19</v>
      </c>
      <c r="AC2412" s="411">
        <v>8.19</v>
      </c>
      <c r="AD2412" s="411">
        <v>8.19</v>
      </c>
      <c r="AE2412" s="411">
        <v>8.19</v>
      </c>
      <c r="AF2412" s="411">
        <v>8.19</v>
      </c>
    </row>
    <row r="2413" spans="1:33">
      <c r="F2413" s="439">
        <v>7.1899999999999995</v>
      </c>
      <c r="G2413" s="452">
        <v>8.18</v>
      </c>
      <c r="H2413" s="432">
        <v>7.1899999999999995</v>
      </c>
      <c r="I2413" s="439">
        <v>7.1899999999999995</v>
      </c>
      <c r="J2413" s="452">
        <v>8.18</v>
      </c>
      <c r="K2413" s="439">
        <v>7.1899999999999995</v>
      </c>
      <c r="V2413" s="439">
        <v>7.1899999999999995</v>
      </c>
      <c r="W2413" s="452">
        <v>8.18</v>
      </c>
      <c r="X2413" s="432">
        <v>7.1899999999999995</v>
      </c>
      <c r="Y2413" s="439">
        <v>7.1899999999999995</v>
      </c>
      <c r="Z2413" s="452">
        <v>8.18</v>
      </c>
      <c r="AA2413" s="432">
        <v>7.1899999999999995</v>
      </c>
    </row>
    <row r="2414" spans="1:33">
      <c r="G2414" s="452">
        <v>7.1899999999999995</v>
      </c>
      <c r="J2414" s="452">
        <v>7.1899999999999995</v>
      </c>
      <c r="W2414" s="452">
        <v>7.1899999999999995</v>
      </c>
      <c r="Z2414" s="452">
        <v>7.1899999999999995</v>
      </c>
    </row>
    <row r="2433" spans="1:33">
      <c r="A2433" s="411">
        <v>32.01</v>
      </c>
      <c r="B2433" s="452">
        <v>15.17</v>
      </c>
      <c r="C2433" s="452">
        <v>15.17</v>
      </c>
      <c r="D2433" s="452">
        <v>15.17</v>
      </c>
      <c r="E2433" s="452">
        <v>15.17</v>
      </c>
      <c r="F2433" s="452">
        <v>15.17</v>
      </c>
      <c r="G2433" s="452">
        <v>15.17</v>
      </c>
      <c r="H2433" s="452">
        <v>19.309999999999999</v>
      </c>
      <c r="I2433" s="452">
        <v>19.309999999999999</v>
      </c>
      <c r="J2433" s="452">
        <v>19.309999999999999</v>
      </c>
      <c r="K2433" s="452">
        <v>19.309999999999999</v>
      </c>
      <c r="L2433" s="452">
        <v>19.309999999999999</v>
      </c>
      <c r="M2433" s="452">
        <v>19.309999999999999</v>
      </c>
      <c r="N2433" s="452">
        <v>19.309999999999999</v>
      </c>
      <c r="O2433" s="452">
        <v>19.309999999999999</v>
      </c>
      <c r="P2433" s="452">
        <v>19.309999999999999</v>
      </c>
      <c r="Q2433" s="452">
        <v>19.309999999999999</v>
      </c>
      <c r="R2433" s="452">
        <v>19.309999999999999</v>
      </c>
      <c r="S2433" s="452">
        <v>19.309999999999999</v>
      </c>
      <c r="T2433" s="452">
        <v>19.309999999999999</v>
      </c>
      <c r="U2433" s="452">
        <v>19.309999999999999</v>
      </c>
      <c r="V2433" s="452">
        <v>19.309999999999999</v>
      </c>
      <c r="W2433" s="452">
        <v>19.309999999999999</v>
      </c>
      <c r="X2433" s="452">
        <v>19.309999999999999</v>
      </c>
      <c r="Y2433" s="452">
        <v>19.309999999999999</v>
      </c>
      <c r="Z2433" s="452">
        <v>15.17</v>
      </c>
      <c r="AA2433" s="452">
        <v>15.17</v>
      </c>
      <c r="AB2433" s="452">
        <v>15.17</v>
      </c>
      <c r="AC2433" s="452">
        <v>15.17</v>
      </c>
      <c r="AD2433" s="452">
        <v>15.17</v>
      </c>
      <c r="AE2433" s="452">
        <v>15.17</v>
      </c>
      <c r="AF2433" s="452">
        <v>15.17</v>
      </c>
      <c r="AG2433">
        <v>77</v>
      </c>
    </row>
    <row r="2434" spans="1:33">
      <c r="A2434" s="411">
        <v>32.01</v>
      </c>
      <c r="B2434" s="411">
        <v>32.01</v>
      </c>
      <c r="C2434" s="411">
        <v>32.01</v>
      </c>
      <c r="D2434" s="411">
        <v>32.01</v>
      </c>
      <c r="E2434" s="411">
        <v>32.01</v>
      </c>
      <c r="F2434" s="411">
        <v>32.01</v>
      </c>
      <c r="G2434" s="411">
        <v>32.01</v>
      </c>
      <c r="H2434" s="411">
        <v>32.01</v>
      </c>
      <c r="I2434" s="411">
        <v>20.309999999999999</v>
      </c>
      <c r="J2434" s="411">
        <v>20.309999999999999</v>
      </c>
      <c r="K2434" s="411">
        <v>20.309999999999999</v>
      </c>
      <c r="L2434" s="411">
        <v>20.309999999999999</v>
      </c>
      <c r="M2434" s="411">
        <v>20.309999999999999</v>
      </c>
      <c r="N2434" s="411">
        <v>20.309999999999999</v>
      </c>
      <c r="O2434" s="411">
        <v>20.309999999999999</v>
      </c>
      <c r="P2434" s="411">
        <v>20.309999999999999</v>
      </c>
      <c r="Q2434" s="411">
        <v>20.309999999999999</v>
      </c>
      <c r="R2434" s="411">
        <v>20.309999999999999</v>
      </c>
      <c r="S2434" s="411">
        <v>20.309999999999999</v>
      </c>
      <c r="T2434" s="411">
        <v>20.309999999999999</v>
      </c>
      <c r="U2434" s="411">
        <v>20.309999999999999</v>
      </c>
      <c r="V2434" s="411">
        <v>20.309999999999999</v>
      </c>
      <c r="W2434" s="411">
        <v>20.309999999999999</v>
      </c>
      <c r="X2434" s="411">
        <v>20.309999999999999</v>
      </c>
      <c r="Y2434" s="411">
        <v>32.01</v>
      </c>
      <c r="Z2434" s="411">
        <v>32.01</v>
      </c>
      <c r="AA2434" s="411">
        <v>32.01</v>
      </c>
      <c r="AB2434" s="411">
        <v>32.01</v>
      </c>
      <c r="AC2434" s="411">
        <v>32.01</v>
      </c>
      <c r="AD2434" s="411">
        <v>32.01</v>
      </c>
      <c r="AE2434" s="411">
        <v>32.01</v>
      </c>
      <c r="AF2434" s="411">
        <v>32.01</v>
      </c>
    </row>
    <row r="2435" spans="1:33">
      <c r="A2435" s="411">
        <v>15.17</v>
      </c>
      <c r="B2435" s="452">
        <v>32.01</v>
      </c>
      <c r="C2435" s="411">
        <v>32.01</v>
      </c>
      <c r="D2435" s="411">
        <v>32.01</v>
      </c>
      <c r="E2435" s="411">
        <v>32.01</v>
      </c>
      <c r="F2435" s="411">
        <v>32.01</v>
      </c>
      <c r="G2435" s="439">
        <v>32.01</v>
      </c>
      <c r="H2435" s="411">
        <v>21.31</v>
      </c>
      <c r="I2435" s="439">
        <v>20.309999999999999</v>
      </c>
      <c r="J2435" s="411">
        <v>20.309999999999999</v>
      </c>
      <c r="K2435" s="411">
        <v>20.309999999999999</v>
      </c>
      <c r="L2435" s="411">
        <v>20.309999999999999</v>
      </c>
      <c r="M2435" s="411">
        <v>20.309999999999999</v>
      </c>
      <c r="N2435" s="411">
        <v>20.309999999999999</v>
      </c>
      <c r="O2435" s="411">
        <v>20.309999999999999</v>
      </c>
      <c r="P2435" s="411">
        <v>20.309999999999999</v>
      </c>
      <c r="Q2435" s="411">
        <v>20.309999999999999</v>
      </c>
      <c r="R2435" s="411">
        <v>20.309999999999999</v>
      </c>
      <c r="S2435" s="411">
        <v>20.309999999999999</v>
      </c>
      <c r="T2435" s="411">
        <v>20.309999999999999</v>
      </c>
      <c r="U2435" s="411">
        <v>20.309999999999999</v>
      </c>
      <c r="V2435" s="411">
        <v>20.309999999999999</v>
      </c>
      <c r="W2435" s="411">
        <v>20.309999999999999</v>
      </c>
      <c r="X2435" s="439">
        <v>20.309999999999999</v>
      </c>
      <c r="Y2435" s="411">
        <v>21.31</v>
      </c>
      <c r="Z2435" s="439">
        <v>32.01</v>
      </c>
      <c r="AA2435" s="411">
        <v>32.01</v>
      </c>
      <c r="AB2435" s="411">
        <v>32.01</v>
      </c>
      <c r="AC2435" s="411">
        <v>32.01</v>
      </c>
      <c r="AD2435" s="411">
        <v>32.01</v>
      </c>
      <c r="AE2435" s="452">
        <v>32.01</v>
      </c>
      <c r="AF2435" s="411">
        <v>15.17</v>
      </c>
    </row>
    <row r="2436" spans="1:33">
      <c r="A2436" s="411">
        <v>15.17</v>
      </c>
      <c r="B2436" s="452">
        <v>32.01</v>
      </c>
      <c r="C2436" s="411">
        <v>32.01</v>
      </c>
      <c r="D2436" s="326"/>
      <c r="E2436" s="326"/>
      <c r="F2436" s="326"/>
      <c r="G2436" s="439">
        <v>32.01</v>
      </c>
      <c r="H2436" s="411">
        <v>22.3</v>
      </c>
      <c r="I2436" s="439">
        <v>20.309999999999999</v>
      </c>
      <c r="J2436" s="439">
        <v>20.309999999999999</v>
      </c>
      <c r="K2436" s="411">
        <v>20.309999999999999</v>
      </c>
      <c r="L2436" s="411">
        <v>20.309999999999999</v>
      </c>
      <c r="M2436" s="411">
        <v>20.309999999999999</v>
      </c>
      <c r="N2436" s="411">
        <v>20.309999999999999</v>
      </c>
      <c r="O2436" s="411">
        <v>20.309999999999999</v>
      </c>
      <c r="P2436" s="411">
        <v>20.309999999999999</v>
      </c>
      <c r="Q2436" s="411">
        <v>20.309999999999999</v>
      </c>
      <c r="R2436" s="411">
        <v>20.309999999999999</v>
      </c>
      <c r="S2436" s="411">
        <v>20.309999999999999</v>
      </c>
      <c r="T2436" s="411">
        <v>20.309999999999999</v>
      </c>
      <c r="U2436" s="411">
        <v>20.309999999999999</v>
      </c>
      <c r="V2436" s="411">
        <v>20.309999999999999</v>
      </c>
      <c r="W2436" s="439">
        <v>20.309999999999999</v>
      </c>
      <c r="X2436" s="439">
        <v>20.309999999999999</v>
      </c>
      <c r="Y2436" s="411">
        <v>22.3</v>
      </c>
      <c r="Z2436" s="439">
        <v>32.01</v>
      </c>
      <c r="AA2436" s="326"/>
      <c r="AB2436" s="326"/>
      <c r="AC2436" s="326"/>
      <c r="AD2436" s="411">
        <v>32.01</v>
      </c>
      <c r="AE2436" s="452">
        <v>32.01</v>
      </c>
      <c r="AF2436" s="411">
        <v>15.17</v>
      </c>
    </row>
    <row r="2437" spans="1:33">
      <c r="A2437" s="411">
        <v>15.17</v>
      </c>
      <c r="B2437" s="452">
        <v>32.01</v>
      </c>
      <c r="C2437" s="411">
        <v>32.01</v>
      </c>
      <c r="D2437" s="326"/>
      <c r="E2437" s="326"/>
      <c r="F2437" s="326"/>
      <c r="G2437" s="439">
        <v>32.01</v>
      </c>
      <c r="H2437" s="411">
        <v>23.29</v>
      </c>
      <c r="I2437" s="439">
        <v>20.309999999999999</v>
      </c>
      <c r="J2437" s="439">
        <v>20.309999999999999</v>
      </c>
      <c r="K2437" s="439">
        <v>20.309999999999999</v>
      </c>
      <c r="L2437" s="411">
        <v>20.309999999999999</v>
      </c>
      <c r="M2437" s="411">
        <v>20.309999999999999</v>
      </c>
      <c r="N2437" s="411">
        <v>20.309999999999999</v>
      </c>
      <c r="O2437" s="411">
        <v>20.309999999999999</v>
      </c>
      <c r="P2437" s="411">
        <v>20.309999999999999</v>
      </c>
      <c r="Q2437" s="411">
        <v>20.309999999999999</v>
      </c>
      <c r="R2437" s="411">
        <v>20.309999999999999</v>
      </c>
      <c r="S2437" s="411">
        <v>20.309999999999999</v>
      </c>
      <c r="T2437" s="411">
        <v>20.309999999999999</v>
      </c>
      <c r="U2437" s="411">
        <v>20.309999999999999</v>
      </c>
      <c r="V2437" s="439">
        <v>20.309999999999999</v>
      </c>
      <c r="W2437" s="439">
        <v>20.309999999999999</v>
      </c>
      <c r="X2437" s="439">
        <v>20.309999999999999</v>
      </c>
      <c r="Y2437" s="411">
        <v>23.29</v>
      </c>
      <c r="Z2437" s="439">
        <v>32.01</v>
      </c>
      <c r="AA2437" s="326"/>
      <c r="AB2437" s="326"/>
      <c r="AC2437" s="326"/>
      <c r="AD2437" s="411">
        <v>32.01</v>
      </c>
      <c r="AE2437" s="452">
        <v>32.01</v>
      </c>
      <c r="AF2437" s="411">
        <v>15.17</v>
      </c>
    </row>
    <row r="2438" spans="1:33">
      <c r="A2438" s="411">
        <v>15.17</v>
      </c>
      <c r="B2438" s="452">
        <v>32.01</v>
      </c>
      <c r="C2438" s="411">
        <v>32.01</v>
      </c>
      <c r="D2438" s="326"/>
      <c r="E2438" s="326"/>
      <c r="F2438" s="326"/>
      <c r="G2438" s="439">
        <v>32.01</v>
      </c>
      <c r="H2438" s="411">
        <v>24.28</v>
      </c>
      <c r="I2438" s="439">
        <v>20.309999999999999</v>
      </c>
      <c r="J2438" s="439">
        <v>20.309999999999999</v>
      </c>
      <c r="K2438" s="439">
        <v>20.309999999999999</v>
      </c>
      <c r="L2438" s="439">
        <v>20.309999999999999</v>
      </c>
      <c r="M2438" s="411">
        <v>20.309999999999999</v>
      </c>
      <c r="N2438" s="411">
        <v>20.309999999999999</v>
      </c>
      <c r="O2438" s="411">
        <v>20.309999999999999</v>
      </c>
      <c r="P2438" s="411">
        <v>20.309999999999999</v>
      </c>
      <c r="Q2438" s="411">
        <v>20.309999999999999</v>
      </c>
      <c r="R2438" s="411">
        <v>20.309999999999999</v>
      </c>
      <c r="S2438" s="411">
        <v>20.309999999999999</v>
      </c>
      <c r="T2438" s="411">
        <v>20.309999999999999</v>
      </c>
      <c r="U2438" s="439">
        <v>20.309999999999999</v>
      </c>
      <c r="V2438" s="439">
        <v>20.309999999999999</v>
      </c>
      <c r="W2438" s="439">
        <v>20.309999999999999</v>
      </c>
      <c r="X2438" s="439">
        <v>20.309999999999999</v>
      </c>
      <c r="Y2438" s="411">
        <v>24.28</v>
      </c>
      <c r="Z2438" s="439">
        <v>32.01</v>
      </c>
      <c r="AA2438" s="326"/>
      <c r="AB2438" s="326"/>
      <c r="AC2438" s="326"/>
      <c r="AD2438" s="411">
        <v>32.01</v>
      </c>
      <c r="AE2438" s="452">
        <v>32.01</v>
      </c>
      <c r="AF2438" s="411">
        <v>15.17</v>
      </c>
    </row>
    <row r="2439" spans="1:33">
      <c r="A2439" s="411">
        <v>15.17</v>
      </c>
      <c r="B2439" s="452">
        <v>32.01</v>
      </c>
      <c r="C2439" s="411">
        <v>32.01</v>
      </c>
      <c r="D2439" s="326"/>
      <c r="E2439" s="326"/>
      <c r="F2439" s="326"/>
      <c r="G2439" s="439">
        <v>32.01</v>
      </c>
      <c r="H2439" s="411">
        <v>25.27</v>
      </c>
      <c r="I2439" s="439">
        <v>20.309999999999999</v>
      </c>
      <c r="J2439" s="439">
        <v>20.309999999999999</v>
      </c>
      <c r="K2439" s="439">
        <v>20.309999999999999</v>
      </c>
      <c r="L2439" s="439">
        <v>20.309999999999999</v>
      </c>
      <c r="M2439" s="439">
        <v>20.309999999999999</v>
      </c>
      <c r="N2439" s="411">
        <v>20.309999999999999</v>
      </c>
      <c r="O2439" s="411">
        <v>20.309999999999999</v>
      </c>
      <c r="P2439" s="411">
        <v>20.309999999999999</v>
      </c>
      <c r="Q2439" s="411">
        <v>20.309999999999999</v>
      </c>
      <c r="R2439" s="411">
        <v>20.309999999999999</v>
      </c>
      <c r="S2439" s="411">
        <v>20.309999999999999</v>
      </c>
      <c r="T2439" s="439">
        <v>20.309999999999999</v>
      </c>
      <c r="U2439" s="439">
        <v>20.309999999999999</v>
      </c>
      <c r="V2439" s="439">
        <v>20.309999999999999</v>
      </c>
      <c r="W2439" s="439">
        <v>20.309999999999999</v>
      </c>
      <c r="X2439" s="439">
        <v>20.309999999999999</v>
      </c>
      <c r="Y2439" s="411">
        <v>25.27</v>
      </c>
      <c r="Z2439" s="439">
        <v>32.01</v>
      </c>
      <c r="AA2439" s="326"/>
      <c r="AB2439" s="326"/>
      <c r="AC2439" s="326"/>
      <c r="AD2439" s="411">
        <v>32.01</v>
      </c>
      <c r="AE2439" s="452">
        <v>32.01</v>
      </c>
      <c r="AF2439" s="411">
        <v>15.17</v>
      </c>
    </row>
    <row r="2440" spans="1:33">
      <c r="A2440" s="411">
        <v>15.17</v>
      </c>
      <c r="B2440" s="452">
        <v>32.01</v>
      </c>
      <c r="C2440" s="411">
        <v>32.01</v>
      </c>
      <c r="D2440" s="326"/>
      <c r="E2440" s="326"/>
      <c r="F2440" s="326"/>
      <c r="G2440" s="439">
        <v>32.01</v>
      </c>
      <c r="H2440" s="411">
        <v>26.26</v>
      </c>
      <c r="I2440" s="439">
        <v>20.309999999999999</v>
      </c>
      <c r="J2440" s="439">
        <v>20.309999999999999</v>
      </c>
      <c r="K2440" s="439">
        <v>20.309999999999999</v>
      </c>
      <c r="L2440" s="439">
        <v>20.309999999999999</v>
      </c>
      <c r="M2440" s="439">
        <v>20.309999999999999</v>
      </c>
      <c r="N2440" s="439">
        <v>20.309999999999999</v>
      </c>
      <c r="O2440" s="411">
        <v>20.309999999999999</v>
      </c>
      <c r="P2440" s="439">
        <v>20.309999999999999</v>
      </c>
      <c r="Q2440" s="439">
        <v>20.309999999999999</v>
      </c>
      <c r="R2440" s="411">
        <v>20.309999999999999</v>
      </c>
      <c r="S2440" s="439">
        <v>20.309999999999999</v>
      </c>
      <c r="T2440" s="439">
        <v>20.309999999999999</v>
      </c>
      <c r="U2440" s="439">
        <v>20.309999999999999</v>
      </c>
      <c r="V2440" s="439">
        <v>20.309999999999999</v>
      </c>
      <c r="W2440" s="439">
        <v>20.309999999999999</v>
      </c>
      <c r="X2440" s="439">
        <v>20.309999999999999</v>
      </c>
      <c r="Y2440" s="411">
        <v>26.26</v>
      </c>
      <c r="Z2440" s="439">
        <v>32.01</v>
      </c>
      <c r="AA2440" s="326"/>
      <c r="AB2440" s="326"/>
      <c r="AC2440" s="326"/>
      <c r="AD2440" s="411">
        <v>32.01</v>
      </c>
      <c r="AE2440" s="452">
        <v>32.01</v>
      </c>
      <c r="AF2440" s="411">
        <v>15.17</v>
      </c>
    </row>
    <row r="2441" spans="1:33">
      <c r="A2441" s="411">
        <v>15.17</v>
      </c>
      <c r="B2441" s="452">
        <v>32.01</v>
      </c>
      <c r="C2441" s="411">
        <v>32.01</v>
      </c>
      <c r="D2441" s="326"/>
      <c r="E2441" s="326"/>
      <c r="F2441" s="326"/>
      <c r="G2441" s="293">
        <v>32.01</v>
      </c>
      <c r="H2441" s="411">
        <v>25.27</v>
      </c>
      <c r="I2441" s="439">
        <v>20.309999999999999</v>
      </c>
      <c r="J2441" s="439">
        <v>20.309999999999999</v>
      </c>
      <c r="K2441" s="439">
        <v>20.309999999999999</v>
      </c>
      <c r="L2441" s="439">
        <v>20.309999999999999</v>
      </c>
      <c r="M2441" s="439">
        <v>20.309999999999999</v>
      </c>
      <c r="N2441" s="411">
        <v>20.309999999999999</v>
      </c>
      <c r="O2441" s="439">
        <v>20.309999999999999</v>
      </c>
      <c r="P2441" s="293">
        <v>20.309999999999999</v>
      </c>
      <c r="Q2441" s="293">
        <v>20.309999999999999</v>
      </c>
      <c r="R2441" s="439">
        <v>20.309999999999999</v>
      </c>
      <c r="S2441" s="411">
        <v>20.309999999999999</v>
      </c>
      <c r="T2441" s="439">
        <v>20.309999999999999</v>
      </c>
      <c r="U2441" s="439">
        <v>20.309999999999999</v>
      </c>
      <c r="V2441" s="439">
        <v>20.309999999999999</v>
      </c>
      <c r="W2441" s="439">
        <v>20.309999999999999</v>
      </c>
      <c r="X2441" s="439">
        <v>20.309999999999999</v>
      </c>
      <c r="Y2441" s="411">
        <v>25.27</v>
      </c>
      <c r="Z2441" s="293">
        <v>32.01</v>
      </c>
      <c r="AA2441" s="326"/>
      <c r="AB2441" s="326"/>
      <c r="AC2441" s="326"/>
      <c r="AD2441" s="411">
        <v>32.01</v>
      </c>
      <c r="AE2441" s="452">
        <v>32.01</v>
      </c>
      <c r="AF2441" s="411">
        <v>15.17</v>
      </c>
    </row>
    <row r="2442" spans="1:33">
      <c r="A2442" s="411">
        <v>15.17</v>
      </c>
      <c r="B2442" s="452">
        <v>32.01</v>
      </c>
      <c r="C2442" s="411">
        <v>32.01</v>
      </c>
      <c r="D2442" s="326"/>
      <c r="E2442" s="326"/>
      <c r="F2442" s="326"/>
      <c r="G2442" s="293">
        <v>32.01</v>
      </c>
      <c r="H2442" s="411">
        <v>24.28</v>
      </c>
      <c r="I2442" s="439">
        <v>20.309999999999999</v>
      </c>
      <c r="J2442" s="439">
        <v>20.309999999999999</v>
      </c>
      <c r="K2442" s="439">
        <v>20.309999999999999</v>
      </c>
      <c r="L2442" s="439">
        <v>20.309999999999999</v>
      </c>
      <c r="M2442" s="411">
        <v>20.309999999999999</v>
      </c>
      <c r="N2442" s="439">
        <v>20.309999999999999</v>
      </c>
      <c r="O2442" s="293">
        <v>20.309999999999999</v>
      </c>
      <c r="P2442" s="293">
        <v>20.309999999999999</v>
      </c>
      <c r="Q2442" s="293">
        <v>20.309999999999999</v>
      </c>
      <c r="R2442" s="293">
        <v>20.309999999999999</v>
      </c>
      <c r="S2442" s="439">
        <v>20.309999999999999</v>
      </c>
      <c r="T2442" s="411">
        <v>20.309999999999999</v>
      </c>
      <c r="U2442" s="439">
        <v>20.309999999999999</v>
      </c>
      <c r="V2442" s="439">
        <v>20.309999999999999</v>
      </c>
      <c r="W2442" s="439">
        <v>20.309999999999999</v>
      </c>
      <c r="X2442" s="439">
        <v>20.309999999999999</v>
      </c>
      <c r="Y2442" s="411">
        <v>24.28</v>
      </c>
      <c r="Z2442" s="293">
        <v>32.01</v>
      </c>
      <c r="AA2442" s="326"/>
      <c r="AB2442" s="326"/>
      <c r="AC2442" s="326"/>
      <c r="AD2442" s="411">
        <v>32.01</v>
      </c>
      <c r="AE2442" s="452">
        <v>32.01</v>
      </c>
      <c r="AF2442" s="411">
        <v>15.17</v>
      </c>
    </row>
    <row r="2443" spans="1:33">
      <c r="A2443" s="411">
        <v>15.17</v>
      </c>
      <c r="B2443" s="452">
        <v>32.01</v>
      </c>
      <c r="C2443" s="411">
        <v>32.01</v>
      </c>
      <c r="D2443" s="326"/>
      <c r="E2443" s="326"/>
      <c r="F2443" s="326"/>
      <c r="G2443" s="293">
        <v>32.01</v>
      </c>
      <c r="H2443" s="411">
        <v>23.29</v>
      </c>
      <c r="I2443" s="439">
        <v>20.309999999999999</v>
      </c>
      <c r="J2443" s="439">
        <v>20.309999999999999</v>
      </c>
      <c r="K2443" s="439">
        <v>20.309999999999999</v>
      </c>
      <c r="L2443" s="411">
        <v>20.309999999999999</v>
      </c>
      <c r="M2443" s="439">
        <v>20.309999999999999</v>
      </c>
      <c r="N2443" s="293">
        <v>20.309999999999999</v>
      </c>
      <c r="O2443" s="293">
        <v>20.309999999999999</v>
      </c>
      <c r="P2443" s="293">
        <v>20.309999999999999</v>
      </c>
      <c r="Q2443" s="293">
        <v>20.309999999999999</v>
      </c>
      <c r="R2443" s="293">
        <v>20.309999999999999</v>
      </c>
      <c r="S2443" s="293">
        <v>20.309999999999999</v>
      </c>
      <c r="T2443" s="439">
        <v>20.309999999999999</v>
      </c>
      <c r="U2443" s="411">
        <v>20.309999999999999</v>
      </c>
      <c r="V2443" s="439">
        <v>20.309999999999999</v>
      </c>
      <c r="W2443" s="439">
        <v>20.309999999999999</v>
      </c>
      <c r="X2443" s="439">
        <v>20.309999999999999</v>
      </c>
      <c r="Y2443" s="411">
        <v>23.29</v>
      </c>
      <c r="Z2443" s="293">
        <v>32.01</v>
      </c>
      <c r="AA2443" s="326"/>
      <c r="AB2443" s="326"/>
      <c r="AC2443" s="326"/>
      <c r="AD2443" s="411">
        <v>32.01</v>
      </c>
      <c r="AE2443" s="452">
        <v>32.01</v>
      </c>
      <c r="AF2443" s="411">
        <v>15.17</v>
      </c>
    </row>
    <row r="2444" spans="1:33">
      <c r="A2444" s="411">
        <v>15.17</v>
      </c>
      <c r="B2444" s="452">
        <v>32.01</v>
      </c>
      <c r="C2444" s="411">
        <v>32.01</v>
      </c>
      <c r="D2444" s="326"/>
      <c r="E2444" s="326"/>
      <c r="F2444" s="326"/>
      <c r="G2444" s="293">
        <v>32.01</v>
      </c>
      <c r="H2444" s="411">
        <v>22.3</v>
      </c>
      <c r="I2444" s="439">
        <v>20.309999999999999</v>
      </c>
      <c r="J2444" s="439">
        <v>20.309999999999999</v>
      </c>
      <c r="K2444" s="411">
        <v>20.309999999999999</v>
      </c>
      <c r="L2444" s="439">
        <v>20.309999999999999</v>
      </c>
      <c r="M2444" s="293">
        <v>20.309999999999999</v>
      </c>
      <c r="N2444" s="293">
        <v>20.309999999999999</v>
      </c>
      <c r="O2444" s="293">
        <v>20.309999999999999</v>
      </c>
      <c r="P2444" s="293">
        <v>20.309999999999999</v>
      </c>
      <c r="Q2444" s="293">
        <v>20.309999999999999</v>
      </c>
      <c r="R2444" s="293">
        <v>20.309999999999999</v>
      </c>
      <c r="S2444" s="293">
        <v>20.309999999999999</v>
      </c>
      <c r="T2444" s="293">
        <v>20.309999999999999</v>
      </c>
      <c r="U2444" s="439">
        <v>20.309999999999999</v>
      </c>
      <c r="V2444" s="411">
        <v>20.309999999999999</v>
      </c>
      <c r="W2444" s="439">
        <v>20.309999999999999</v>
      </c>
      <c r="X2444" s="439">
        <v>20.309999999999999</v>
      </c>
      <c r="Y2444" s="411">
        <v>22.3</v>
      </c>
      <c r="Z2444" s="293">
        <v>32.01</v>
      </c>
      <c r="AA2444" s="326"/>
      <c r="AB2444" s="326"/>
      <c r="AC2444" s="326"/>
      <c r="AD2444" s="411">
        <v>32.01</v>
      </c>
      <c r="AE2444" s="452">
        <v>32.01</v>
      </c>
      <c r="AF2444" s="411">
        <v>15.17</v>
      </c>
    </row>
    <row r="2445" spans="1:33">
      <c r="A2445" s="411">
        <v>15.17</v>
      </c>
      <c r="B2445" s="452">
        <v>32.01</v>
      </c>
      <c r="C2445" s="411">
        <v>32.01</v>
      </c>
      <c r="D2445" s="326"/>
      <c r="E2445" s="326"/>
      <c r="F2445" s="326"/>
      <c r="G2445" s="293">
        <v>32.01</v>
      </c>
      <c r="H2445" s="411">
        <v>21.31</v>
      </c>
      <c r="I2445" s="439">
        <v>20.309999999999999</v>
      </c>
      <c r="J2445" s="411">
        <v>20.309999999999999</v>
      </c>
      <c r="K2445" s="439">
        <v>20.309999999999999</v>
      </c>
      <c r="L2445" s="293">
        <v>20.309999999999999</v>
      </c>
      <c r="M2445" s="293">
        <v>20.309999999999999</v>
      </c>
      <c r="N2445" s="293">
        <v>20.309999999999999</v>
      </c>
      <c r="O2445" s="293">
        <v>20.309999999999999</v>
      </c>
      <c r="P2445" s="293">
        <v>20.309999999999999</v>
      </c>
      <c r="Q2445" s="293">
        <v>20.309999999999999</v>
      </c>
      <c r="R2445" s="293">
        <v>20.309999999999999</v>
      </c>
      <c r="S2445" s="293">
        <v>20.309999999999999</v>
      </c>
      <c r="T2445" s="293">
        <v>20.309999999999999</v>
      </c>
      <c r="U2445" s="293">
        <v>20.309999999999999</v>
      </c>
      <c r="V2445" s="439">
        <v>20.309999999999999</v>
      </c>
      <c r="W2445" s="411">
        <v>20.309999999999999</v>
      </c>
      <c r="X2445" s="439">
        <v>20.309999999999999</v>
      </c>
      <c r="Y2445" s="411">
        <v>21.31</v>
      </c>
      <c r="Z2445" s="293">
        <v>32.01</v>
      </c>
      <c r="AA2445" s="326"/>
      <c r="AB2445" s="326"/>
      <c r="AC2445" s="326"/>
      <c r="AD2445" s="411">
        <v>32.01</v>
      </c>
      <c r="AE2445" s="452">
        <v>32.01</v>
      </c>
      <c r="AF2445" s="411">
        <v>15.17</v>
      </c>
    </row>
    <row r="2446" spans="1:33">
      <c r="A2446" s="411">
        <v>15.17</v>
      </c>
      <c r="B2446" s="452">
        <v>32.01</v>
      </c>
      <c r="C2446" s="411">
        <v>32.01</v>
      </c>
      <c r="D2446" s="326"/>
      <c r="E2446" s="326"/>
      <c r="F2446" s="326"/>
      <c r="G2446" s="293">
        <v>32.01</v>
      </c>
      <c r="H2446" s="411">
        <v>20.32</v>
      </c>
      <c r="I2446" s="411">
        <v>20.309999999999999</v>
      </c>
      <c r="J2446" s="439">
        <v>20.309999999999999</v>
      </c>
      <c r="K2446" s="293">
        <v>20.309999999999999</v>
      </c>
      <c r="L2446" s="293">
        <v>20.309999999999999</v>
      </c>
      <c r="M2446" s="293">
        <v>20.309999999999999</v>
      </c>
      <c r="N2446" s="293">
        <v>20.309999999999999</v>
      </c>
      <c r="O2446" s="293">
        <v>20.309999999999999</v>
      </c>
      <c r="P2446" s="293">
        <v>20.309999999999999</v>
      </c>
      <c r="Q2446" s="293">
        <v>20.309999999999999</v>
      </c>
      <c r="R2446" s="293">
        <v>20.309999999999999</v>
      </c>
      <c r="S2446" s="293">
        <v>20.309999999999999</v>
      </c>
      <c r="T2446" s="293">
        <v>20.309999999999999</v>
      </c>
      <c r="U2446" s="293">
        <v>20.309999999999999</v>
      </c>
      <c r="V2446" s="293">
        <v>20.309999999999999</v>
      </c>
      <c r="W2446" s="439">
        <v>20.309999999999999</v>
      </c>
      <c r="X2446" s="411">
        <v>20.309999999999999</v>
      </c>
      <c r="Y2446" s="411">
        <v>20.32</v>
      </c>
      <c r="Z2446" s="293">
        <v>32.01</v>
      </c>
      <c r="AA2446" s="326"/>
      <c r="AB2446" s="326"/>
      <c r="AC2446" s="326"/>
      <c r="AD2446" s="411">
        <v>32.01</v>
      </c>
      <c r="AE2446" s="452">
        <v>32.01</v>
      </c>
      <c r="AF2446" s="411">
        <v>15.17</v>
      </c>
    </row>
    <row r="2447" spans="1:33">
      <c r="A2447" s="411">
        <v>15.17</v>
      </c>
      <c r="B2447" s="452">
        <v>32.01</v>
      </c>
      <c r="C2447" s="411">
        <v>32.01</v>
      </c>
      <c r="D2447" s="326"/>
      <c r="E2447" s="326"/>
      <c r="F2447" s="326"/>
      <c r="G2447" s="439">
        <v>32.01</v>
      </c>
      <c r="H2447" s="411">
        <v>20.32</v>
      </c>
      <c r="I2447" s="439">
        <v>20.309999999999999</v>
      </c>
      <c r="J2447" s="293">
        <v>20.309999999999999</v>
      </c>
      <c r="K2447" s="293">
        <v>20.309999999999999</v>
      </c>
      <c r="L2447" s="293">
        <v>20.309999999999999</v>
      </c>
      <c r="M2447" s="293">
        <v>20.309999999999999</v>
      </c>
      <c r="N2447" s="293">
        <v>20.309999999999999</v>
      </c>
      <c r="O2447" s="293">
        <v>20.309999999999999</v>
      </c>
      <c r="P2447" s="293">
        <v>20.309999999999999</v>
      </c>
      <c r="Q2447" s="293">
        <v>20.309999999999999</v>
      </c>
      <c r="R2447" s="293">
        <v>20.309999999999999</v>
      </c>
      <c r="S2447" s="293">
        <v>20.309999999999999</v>
      </c>
      <c r="T2447" s="293">
        <v>20.309999999999999</v>
      </c>
      <c r="U2447" s="293">
        <v>20.309999999999999</v>
      </c>
      <c r="V2447" s="293">
        <v>20.309999999999999</v>
      </c>
      <c r="W2447" s="293">
        <v>20.309999999999999</v>
      </c>
      <c r="X2447" s="439">
        <v>20.309999999999999</v>
      </c>
      <c r="Y2447" s="411">
        <v>20.32</v>
      </c>
      <c r="Z2447" s="439">
        <v>32.01</v>
      </c>
      <c r="AA2447" s="326"/>
      <c r="AB2447" s="326"/>
      <c r="AC2447" s="326"/>
      <c r="AD2447" s="411">
        <v>32.01</v>
      </c>
      <c r="AE2447" s="452">
        <v>32.01</v>
      </c>
      <c r="AF2447" s="411">
        <v>15.17</v>
      </c>
    </row>
    <row r="2448" spans="1:33">
      <c r="A2448" s="411">
        <v>15.17</v>
      </c>
      <c r="B2448" s="452">
        <v>32.01</v>
      </c>
      <c r="C2448" s="411">
        <v>32.01</v>
      </c>
      <c r="D2448" s="326"/>
      <c r="E2448" s="326"/>
      <c r="F2448" s="326"/>
      <c r="G2448" s="439">
        <v>32.01</v>
      </c>
      <c r="H2448" s="411">
        <v>20.32</v>
      </c>
      <c r="I2448" s="439">
        <v>20.309999999999999</v>
      </c>
      <c r="J2448" s="439">
        <v>20.309999999999999</v>
      </c>
      <c r="K2448" s="439">
        <v>20.309999999999999</v>
      </c>
      <c r="L2448" s="439">
        <v>20.309999999999999</v>
      </c>
      <c r="M2448" s="439">
        <v>20.309999999999999</v>
      </c>
      <c r="N2448" s="439">
        <v>20.309999999999999</v>
      </c>
      <c r="O2448" s="439">
        <v>20.309999999999999</v>
      </c>
      <c r="P2448" s="439">
        <v>20.309999999999999</v>
      </c>
      <c r="Q2448" s="439">
        <v>20.309999999999999</v>
      </c>
      <c r="R2448" s="439">
        <v>20.309999999999999</v>
      </c>
      <c r="S2448" s="439">
        <v>20.309999999999999</v>
      </c>
      <c r="T2448" s="439">
        <v>20.309999999999999</v>
      </c>
      <c r="U2448" s="439">
        <v>20.309999999999999</v>
      </c>
      <c r="V2448" s="439">
        <v>20.309999999999999</v>
      </c>
      <c r="W2448" s="439">
        <v>20.309999999999999</v>
      </c>
      <c r="X2448" s="439">
        <v>20.309999999999999</v>
      </c>
      <c r="Y2448" s="411">
        <v>20.32</v>
      </c>
      <c r="Z2448" s="439">
        <v>32.01</v>
      </c>
      <c r="AA2448" s="326"/>
      <c r="AB2448" s="326"/>
      <c r="AC2448" s="326"/>
      <c r="AD2448" s="411">
        <v>32.01</v>
      </c>
      <c r="AE2448" s="452">
        <v>32.01</v>
      </c>
      <c r="AF2448" s="411">
        <v>15.17</v>
      </c>
    </row>
    <row r="2449" spans="1:34">
      <c r="A2449" s="411">
        <v>15.17</v>
      </c>
      <c r="B2449" s="452">
        <v>32.01</v>
      </c>
      <c r="C2449" s="411">
        <v>32.01</v>
      </c>
      <c r="D2449" s="326"/>
      <c r="E2449" s="326"/>
      <c r="F2449" s="326"/>
      <c r="G2449" s="439">
        <v>32.01</v>
      </c>
      <c r="H2449" s="411">
        <v>20.32</v>
      </c>
      <c r="I2449" s="411">
        <v>20.309999999999999</v>
      </c>
      <c r="J2449" s="411">
        <v>20.309999999999999</v>
      </c>
      <c r="K2449" s="411">
        <v>20.309999999999999</v>
      </c>
      <c r="L2449" s="411">
        <v>20.309999999999999</v>
      </c>
      <c r="M2449" s="411">
        <v>20.309999999999999</v>
      </c>
      <c r="N2449" s="411">
        <v>20.309999999999999</v>
      </c>
      <c r="O2449" s="411">
        <v>20.309999999999999</v>
      </c>
      <c r="P2449" s="411">
        <v>20.309999999999999</v>
      </c>
      <c r="Q2449" s="411">
        <v>20.309999999999999</v>
      </c>
      <c r="R2449" s="411">
        <v>20.309999999999999</v>
      </c>
      <c r="S2449" s="411">
        <v>20.309999999999999</v>
      </c>
      <c r="T2449" s="411">
        <v>20.309999999999999</v>
      </c>
      <c r="U2449" s="411">
        <v>20.309999999999999</v>
      </c>
      <c r="V2449" s="411">
        <v>20.309999999999999</v>
      </c>
      <c r="W2449" s="411">
        <v>20.309999999999999</v>
      </c>
      <c r="X2449" s="411">
        <v>20.309999999999999</v>
      </c>
      <c r="Y2449" s="411">
        <v>20.32</v>
      </c>
      <c r="Z2449" s="439">
        <v>32.01</v>
      </c>
      <c r="AA2449" s="326"/>
      <c r="AB2449" s="326"/>
      <c r="AC2449" s="326"/>
      <c r="AD2449" s="411">
        <v>32.01</v>
      </c>
      <c r="AE2449" s="452">
        <v>32.01</v>
      </c>
      <c r="AF2449" s="411">
        <v>15.17</v>
      </c>
    </row>
    <row r="2450" spans="1:34">
      <c r="A2450" s="411">
        <v>15.17</v>
      </c>
      <c r="B2450" s="452">
        <v>32.01</v>
      </c>
      <c r="C2450" s="411">
        <v>32.01</v>
      </c>
      <c r="D2450" s="326"/>
      <c r="E2450" s="326"/>
      <c r="F2450" s="326"/>
      <c r="G2450" s="439">
        <v>32.01</v>
      </c>
      <c r="H2450" s="411">
        <v>21.31</v>
      </c>
      <c r="I2450" s="439">
        <v>20.309999999999999</v>
      </c>
      <c r="J2450" s="411">
        <v>20.309999999999999</v>
      </c>
      <c r="K2450" s="411">
        <v>20.309999999999999</v>
      </c>
      <c r="L2450" s="411">
        <v>20.309999999999999</v>
      </c>
      <c r="M2450" s="411">
        <v>20.309999999999999</v>
      </c>
      <c r="N2450" s="411">
        <v>20.309999999999999</v>
      </c>
      <c r="O2450" s="411">
        <v>20.309999999999999</v>
      </c>
      <c r="P2450" s="411">
        <v>20.309999999999999</v>
      </c>
      <c r="Q2450" s="411">
        <v>20.309999999999999</v>
      </c>
      <c r="R2450" s="411">
        <v>20.309999999999999</v>
      </c>
      <c r="S2450" s="411">
        <v>20.309999999999999</v>
      </c>
      <c r="T2450" s="411">
        <v>20.309999999999999</v>
      </c>
      <c r="U2450" s="411">
        <v>20.309999999999999</v>
      </c>
      <c r="V2450" s="411">
        <v>20.309999999999999</v>
      </c>
      <c r="W2450" s="411">
        <v>20.309999999999999</v>
      </c>
      <c r="X2450" s="439">
        <v>20.309999999999999</v>
      </c>
      <c r="Y2450" s="411">
        <v>21.31</v>
      </c>
      <c r="Z2450" s="439">
        <v>32.01</v>
      </c>
      <c r="AA2450" s="326"/>
      <c r="AB2450" s="326"/>
      <c r="AC2450" s="326"/>
      <c r="AD2450" s="411">
        <v>32.01</v>
      </c>
      <c r="AE2450" s="452">
        <v>32.01</v>
      </c>
      <c r="AF2450" s="411">
        <v>15.17</v>
      </c>
    </row>
    <row r="2451" spans="1:34">
      <c r="AH2451">
        <v>2436</v>
      </c>
    </row>
    <row r="2452" spans="1:34">
      <c r="AH2452">
        <v>2437</v>
      </c>
    </row>
    <row r="2453" spans="1:34">
      <c r="AH2453">
        <v>2438</v>
      </c>
    </row>
    <row r="2454" spans="1:34">
      <c r="AH2454">
        <v>2439</v>
      </c>
    </row>
    <row r="2455" spans="1:34">
      <c r="AH2455">
        <v>2440</v>
      </c>
    </row>
    <row r="2456" spans="1:34">
      <c r="AH2456">
        <v>2441</v>
      </c>
    </row>
    <row r="2457" spans="1:34">
      <c r="AH2457">
        <v>2442</v>
      </c>
    </row>
    <row r="2458" spans="1:34">
      <c r="AH2458">
        <v>2443</v>
      </c>
    </row>
    <row r="2459" spans="1:34">
      <c r="AH2459">
        <v>2444</v>
      </c>
    </row>
    <row r="2460" spans="1:34">
      <c r="AH2460">
        <v>2445</v>
      </c>
    </row>
    <row r="2461" spans="1:34">
      <c r="AH2461">
        <v>2446</v>
      </c>
    </row>
    <row r="2462" spans="1:34">
      <c r="A2462" s="411">
        <v>15.17</v>
      </c>
      <c r="B2462" s="452">
        <v>32.01</v>
      </c>
      <c r="C2462" s="411">
        <v>32.01</v>
      </c>
      <c r="D2462" s="411">
        <v>32.01</v>
      </c>
      <c r="E2462" s="411">
        <v>32.01</v>
      </c>
      <c r="F2462" s="411">
        <v>32.01</v>
      </c>
      <c r="G2462" s="439">
        <v>32.01</v>
      </c>
      <c r="H2462" s="411">
        <v>20.32</v>
      </c>
      <c r="I2462" s="439">
        <v>20.309999999999999</v>
      </c>
      <c r="J2462" s="293">
        <v>20.309999999999999</v>
      </c>
      <c r="K2462" s="293">
        <v>20.309999999999999</v>
      </c>
      <c r="L2462" s="293">
        <v>20.309999999999999</v>
      </c>
      <c r="M2462" s="293">
        <v>20.309999999999999</v>
      </c>
      <c r="N2462" s="293">
        <v>20.309999999999999</v>
      </c>
      <c r="O2462" s="293">
        <v>20.309999999999999</v>
      </c>
      <c r="P2462" s="293">
        <v>20.309999999999999</v>
      </c>
      <c r="Q2462" s="293">
        <v>20.309999999999999</v>
      </c>
      <c r="R2462" s="293">
        <v>20.309999999999999</v>
      </c>
      <c r="S2462" s="293">
        <v>20.309999999999999</v>
      </c>
      <c r="T2462" s="293">
        <v>20.309999999999999</v>
      </c>
      <c r="U2462" s="293">
        <v>20.309999999999999</v>
      </c>
      <c r="V2462" s="293">
        <v>20.309999999999999</v>
      </c>
      <c r="W2462" s="293">
        <v>20.309999999999999</v>
      </c>
      <c r="X2462" s="439">
        <v>20.309999999999999</v>
      </c>
      <c r="Y2462" s="411">
        <v>20.32</v>
      </c>
      <c r="Z2462" s="439">
        <v>32.01</v>
      </c>
      <c r="AA2462" s="411">
        <v>32.01</v>
      </c>
      <c r="AB2462" s="411">
        <v>32.01</v>
      </c>
      <c r="AC2462" s="411">
        <v>32.01</v>
      </c>
      <c r="AD2462" s="411">
        <v>32.01</v>
      </c>
      <c r="AE2462" s="452">
        <v>32.01</v>
      </c>
      <c r="AF2462" s="411">
        <v>15.17</v>
      </c>
    </row>
    <row r="2463" spans="1:34">
      <c r="A2463" s="411">
        <v>32.01</v>
      </c>
      <c r="B2463" s="411">
        <v>32.01</v>
      </c>
      <c r="C2463" s="411">
        <v>32.01</v>
      </c>
      <c r="D2463" s="411">
        <v>32.01</v>
      </c>
      <c r="E2463" s="411">
        <v>32.01</v>
      </c>
      <c r="F2463" s="411">
        <v>32.01</v>
      </c>
      <c r="G2463" s="411">
        <v>32.01</v>
      </c>
      <c r="H2463" s="411">
        <v>32.01</v>
      </c>
      <c r="I2463" s="411">
        <v>20.309999999999999</v>
      </c>
      <c r="J2463" s="411">
        <v>20.309999999999999</v>
      </c>
      <c r="K2463" s="411">
        <v>20.309999999999999</v>
      </c>
      <c r="L2463" s="411">
        <v>20.309999999999999</v>
      </c>
      <c r="M2463" s="411">
        <v>20.309999999999999</v>
      </c>
      <c r="N2463" s="411">
        <v>20.309999999999999</v>
      </c>
      <c r="O2463" s="411">
        <v>20.309999999999999</v>
      </c>
      <c r="P2463" s="411">
        <v>20.309999999999999</v>
      </c>
      <c r="Q2463" s="411">
        <v>20.309999999999999</v>
      </c>
      <c r="R2463" s="411">
        <v>20.309999999999999</v>
      </c>
      <c r="S2463" s="411">
        <v>20.309999999999999</v>
      </c>
      <c r="T2463" s="411">
        <v>20.309999999999999</v>
      </c>
      <c r="U2463" s="411">
        <v>20.309999999999999</v>
      </c>
      <c r="V2463" s="411">
        <v>20.309999999999999</v>
      </c>
      <c r="W2463" s="411">
        <v>20.309999999999999</v>
      </c>
      <c r="X2463" s="411">
        <v>20.309999999999999</v>
      </c>
      <c r="Y2463" s="411">
        <v>32.01</v>
      </c>
      <c r="Z2463" s="411">
        <v>32.01</v>
      </c>
      <c r="AA2463" s="411">
        <v>32.01</v>
      </c>
      <c r="AB2463" s="411">
        <v>32.01</v>
      </c>
      <c r="AC2463" s="411">
        <v>32.01</v>
      </c>
      <c r="AD2463" s="411">
        <v>32.01</v>
      </c>
      <c r="AE2463" s="411">
        <v>32.01</v>
      </c>
      <c r="AF2463" s="411">
        <v>32.01</v>
      </c>
    </row>
    <row r="2464" spans="1:34">
      <c r="A2464" s="452">
        <v>15.17</v>
      </c>
      <c r="B2464" s="452">
        <v>15.17</v>
      </c>
      <c r="C2464" s="452">
        <v>15.17</v>
      </c>
      <c r="D2464" s="452">
        <v>15.17</v>
      </c>
      <c r="E2464" s="452">
        <v>15.17</v>
      </c>
      <c r="F2464" s="452">
        <v>15.17</v>
      </c>
      <c r="G2464" s="452">
        <v>15.17</v>
      </c>
      <c r="H2464" s="452">
        <v>19.309999999999999</v>
      </c>
      <c r="I2464" s="452">
        <v>19.309999999999999</v>
      </c>
      <c r="J2464" s="452">
        <v>19.309999999999999</v>
      </c>
      <c r="K2464" s="452">
        <v>19.309999999999999</v>
      </c>
      <c r="L2464" s="452">
        <v>19.309999999999999</v>
      </c>
      <c r="M2464" s="452">
        <v>19.309999999999999</v>
      </c>
      <c r="N2464" s="452">
        <v>19.309999999999999</v>
      </c>
      <c r="O2464" s="452">
        <v>19.309999999999999</v>
      </c>
      <c r="P2464" s="452">
        <v>19.309999999999999</v>
      </c>
      <c r="Q2464" s="452">
        <v>19.309999999999999</v>
      </c>
      <c r="R2464" s="452">
        <v>19.309999999999999</v>
      </c>
      <c r="S2464" s="452">
        <v>19.309999999999999</v>
      </c>
      <c r="T2464" s="452">
        <v>19.309999999999999</v>
      </c>
      <c r="U2464" s="452">
        <v>19.309999999999999</v>
      </c>
      <c r="V2464" s="452">
        <v>19.309999999999999</v>
      </c>
      <c r="W2464" s="452">
        <v>19.309999999999999</v>
      </c>
      <c r="X2464" s="452">
        <v>19.309999999999999</v>
      </c>
      <c r="Y2464" s="452">
        <v>19.309999999999999</v>
      </c>
      <c r="Z2464" s="452">
        <v>15.17</v>
      </c>
      <c r="AA2464" s="452">
        <v>15.17</v>
      </c>
      <c r="AB2464" s="452">
        <v>15.17</v>
      </c>
      <c r="AC2464" s="452">
        <v>15.17</v>
      </c>
      <c r="AD2464" s="452">
        <v>15.17</v>
      </c>
      <c r="AE2464" s="452">
        <v>15.17</v>
      </c>
      <c r="AF2464" s="411">
        <v>32.01</v>
      </c>
    </row>
    <row r="2465" spans="1:34">
      <c r="A2465" s="1298"/>
      <c r="B2465" s="1234"/>
      <c r="C2465" s="1234"/>
      <c r="D2465" s="1234"/>
      <c r="E2465" s="1234"/>
      <c r="F2465" s="1234"/>
      <c r="G2465" s="1299">
        <v>32.200000000000003</v>
      </c>
      <c r="H2465" s="1299">
        <v>20.2</v>
      </c>
      <c r="I2465" s="1299">
        <v>20.2</v>
      </c>
      <c r="J2465" s="1299">
        <v>20.2</v>
      </c>
      <c r="K2465" s="1299">
        <v>20.2</v>
      </c>
      <c r="L2465" s="1299">
        <v>20.2</v>
      </c>
      <c r="M2465" s="1299">
        <v>20.2</v>
      </c>
      <c r="N2465" s="1299">
        <v>20.2</v>
      </c>
      <c r="O2465" s="1299">
        <v>20.2</v>
      </c>
      <c r="P2465" s="1299">
        <v>20.2</v>
      </c>
      <c r="Q2465" s="1299">
        <v>20.2</v>
      </c>
      <c r="R2465" s="1299">
        <v>20.2</v>
      </c>
      <c r="S2465" s="1299">
        <v>20.2</v>
      </c>
      <c r="T2465" s="1299">
        <v>20.2</v>
      </c>
      <c r="U2465" s="1299">
        <v>20.2</v>
      </c>
      <c r="V2465" s="1299">
        <v>20.2</v>
      </c>
      <c r="W2465" s="1299">
        <v>20.2</v>
      </c>
      <c r="X2465" s="1299">
        <v>20.2</v>
      </c>
      <c r="Y2465" s="1299">
        <v>20.2</v>
      </c>
      <c r="Z2465" s="1299">
        <v>32.200000000000003</v>
      </c>
      <c r="AA2465" s="1234"/>
      <c r="AB2465" s="1234"/>
      <c r="AC2465" s="1234"/>
      <c r="AD2465" s="1234"/>
      <c r="AE2465" s="1234"/>
      <c r="AF2465" s="1235"/>
      <c r="AG2465">
        <v>78</v>
      </c>
    </row>
    <row r="2466" spans="1:34">
      <c r="A2466" s="1236"/>
      <c r="B2466" s="328"/>
      <c r="C2466" s="328"/>
      <c r="D2466" s="328"/>
      <c r="E2466" s="328"/>
      <c r="F2466" s="297">
        <v>26.26</v>
      </c>
      <c r="G2466" s="293">
        <v>32.200000000000003</v>
      </c>
      <c r="H2466" s="293">
        <v>20.2</v>
      </c>
      <c r="I2466" s="439">
        <v>20.2</v>
      </c>
      <c r="J2466" s="439">
        <v>20.2</v>
      </c>
      <c r="K2466" s="439">
        <v>20.2</v>
      </c>
      <c r="L2466" s="439">
        <v>20.2</v>
      </c>
      <c r="M2466" s="439">
        <v>20.2</v>
      </c>
      <c r="N2466" s="439">
        <v>20.2</v>
      </c>
      <c r="O2466" s="439">
        <v>20.2</v>
      </c>
      <c r="P2466" s="439">
        <v>20.2</v>
      </c>
      <c r="Q2466" s="439">
        <v>20.2</v>
      </c>
      <c r="R2466" s="439">
        <v>20.2</v>
      </c>
      <c r="S2466" s="439">
        <v>20.2</v>
      </c>
      <c r="T2466" s="439">
        <v>20.2</v>
      </c>
      <c r="U2466" s="439">
        <v>20.2</v>
      </c>
      <c r="V2466" s="439">
        <v>20.2</v>
      </c>
      <c r="W2466" s="439">
        <v>20.2</v>
      </c>
      <c r="X2466" s="439">
        <v>20.2</v>
      </c>
      <c r="Y2466" s="293">
        <v>20.2</v>
      </c>
      <c r="Z2466" s="293">
        <v>32.31</v>
      </c>
      <c r="AA2466" s="328"/>
      <c r="AB2466" s="328"/>
      <c r="AC2466" s="328"/>
      <c r="AD2466" s="328"/>
      <c r="AE2466" s="328"/>
      <c r="AF2466" s="1237"/>
    </row>
    <row r="2467" spans="1:34">
      <c r="A2467" s="1236"/>
      <c r="B2467" s="328"/>
      <c r="C2467" s="328"/>
      <c r="D2467" s="328"/>
      <c r="E2467" s="328"/>
      <c r="F2467" s="297">
        <v>27.25</v>
      </c>
      <c r="G2467" s="293">
        <v>32.200000000000003</v>
      </c>
      <c r="H2467" s="439">
        <v>20.2</v>
      </c>
      <c r="I2467" s="293">
        <v>20.2</v>
      </c>
      <c r="J2467" s="439">
        <v>20.2</v>
      </c>
      <c r="K2467" s="411">
        <v>20.2</v>
      </c>
      <c r="L2467" s="439">
        <v>20.2</v>
      </c>
      <c r="M2467" s="439">
        <v>20.2</v>
      </c>
      <c r="N2467" s="439">
        <v>20.2</v>
      </c>
      <c r="O2467" s="439">
        <v>20.2</v>
      </c>
      <c r="P2467" s="439">
        <v>20.2</v>
      </c>
      <c r="Q2467" s="439">
        <v>20.2</v>
      </c>
      <c r="R2467" s="439">
        <v>20.2</v>
      </c>
      <c r="S2467" s="439">
        <v>20.2</v>
      </c>
      <c r="T2467" s="439">
        <v>20.2</v>
      </c>
      <c r="U2467" s="439">
        <v>20.2</v>
      </c>
      <c r="V2467" s="411">
        <v>20.2</v>
      </c>
      <c r="W2467" s="439">
        <v>20.2</v>
      </c>
      <c r="X2467" s="293">
        <v>20.2</v>
      </c>
      <c r="Y2467" s="439">
        <v>20.2</v>
      </c>
      <c r="Z2467" s="293">
        <v>32.200000000000003</v>
      </c>
      <c r="AA2467" s="297">
        <v>31.2</v>
      </c>
      <c r="AB2467" s="328"/>
      <c r="AC2467" s="328"/>
      <c r="AD2467" s="328"/>
      <c r="AE2467" s="328"/>
      <c r="AF2467" s="1237"/>
    </row>
    <row r="2468" spans="1:34">
      <c r="A2468" s="1236"/>
      <c r="B2468" s="328"/>
      <c r="C2468" s="328"/>
      <c r="D2468" s="328"/>
      <c r="E2468" s="328"/>
      <c r="F2468" s="297">
        <v>28.24</v>
      </c>
      <c r="G2468" s="293">
        <v>32.200000000000003</v>
      </c>
      <c r="H2468" s="439">
        <v>21.2</v>
      </c>
      <c r="I2468" s="293">
        <v>20.2</v>
      </c>
      <c r="J2468" s="293">
        <v>20.2</v>
      </c>
      <c r="K2468" s="439">
        <v>20.2</v>
      </c>
      <c r="L2468" s="411">
        <v>20.2</v>
      </c>
      <c r="M2468" s="439">
        <v>20.2</v>
      </c>
      <c r="N2468" s="439">
        <v>20.2</v>
      </c>
      <c r="O2468" s="439">
        <v>20.2</v>
      </c>
      <c r="P2468" s="439">
        <v>20.2</v>
      </c>
      <c r="Q2468" s="439">
        <v>20.2</v>
      </c>
      <c r="R2468" s="439">
        <v>20.2</v>
      </c>
      <c r="S2468" s="439">
        <v>20.2</v>
      </c>
      <c r="T2468" s="439">
        <v>20.2</v>
      </c>
      <c r="U2468" s="411">
        <v>20.2</v>
      </c>
      <c r="V2468" s="439">
        <v>20.2</v>
      </c>
      <c r="W2468" s="293">
        <v>20.2</v>
      </c>
      <c r="X2468" s="293">
        <v>20.2</v>
      </c>
      <c r="Y2468" s="439">
        <v>20.2</v>
      </c>
      <c r="Z2468" s="293">
        <v>32.31</v>
      </c>
      <c r="AA2468" s="328"/>
      <c r="AB2468" s="328"/>
      <c r="AC2468" s="328"/>
      <c r="AD2468" s="328"/>
      <c r="AE2468" s="328"/>
      <c r="AF2468" s="1237"/>
    </row>
    <row r="2469" spans="1:34">
      <c r="A2469" s="1236"/>
      <c r="B2469" s="328"/>
      <c r="C2469" s="328"/>
      <c r="D2469" s="328"/>
      <c r="E2469" s="328"/>
      <c r="F2469" s="297">
        <v>29.23</v>
      </c>
      <c r="G2469" s="293">
        <v>32.200000000000003</v>
      </c>
      <c r="H2469" s="439">
        <v>22.2</v>
      </c>
      <c r="I2469" s="293">
        <v>20.2</v>
      </c>
      <c r="J2469" s="293">
        <v>20.2</v>
      </c>
      <c r="K2469" s="293">
        <v>20.2</v>
      </c>
      <c r="L2469" s="439">
        <v>20.2</v>
      </c>
      <c r="M2469" s="411">
        <v>20.2</v>
      </c>
      <c r="N2469" s="439">
        <v>20.2</v>
      </c>
      <c r="O2469" s="439">
        <v>20.2</v>
      </c>
      <c r="P2469" s="439">
        <v>20.2</v>
      </c>
      <c r="Q2469" s="439">
        <v>20.2</v>
      </c>
      <c r="R2469" s="439">
        <v>20.2</v>
      </c>
      <c r="S2469" s="439">
        <v>20.2</v>
      </c>
      <c r="T2469" s="411">
        <v>20.2</v>
      </c>
      <c r="U2469" s="439">
        <v>20.2</v>
      </c>
      <c r="V2469" s="293">
        <v>20.2</v>
      </c>
      <c r="W2469" s="293">
        <v>20.2</v>
      </c>
      <c r="X2469" s="293">
        <v>20.2</v>
      </c>
      <c r="Y2469" s="439">
        <v>20.2</v>
      </c>
      <c r="Z2469" s="293">
        <v>32.31</v>
      </c>
      <c r="AA2469" s="328"/>
      <c r="AB2469" s="328"/>
      <c r="AC2469" s="328"/>
      <c r="AD2469" s="328"/>
      <c r="AE2469" s="328"/>
      <c r="AF2469" s="1237"/>
    </row>
    <row r="2470" spans="1:34">
      <c r="A2470" s="1236"/>
      <c r="B2470" s="328"/>
      <c r="C2470" s="328"/>
      <c r="D2470" s="328"/>
      <c r="E2470" s="328"/>
      <c r="F2470" s="297">
        <v>30.22</v>
      </c>
      <c r="G2470" s="293">
        <v>32.200000000000003</v>
      </c>
      <c r="H2470" s="439">
        <v>23.2</v>
      </c>
      <c r="I2470" s="293">
        <v>20.2</v>
      </c>
      <c r="J2470" s="293">
        <v>20.2</v>
      </c>
      <c r="K2470" s="293">
        <v>20.2</v>
      </c>
      <c r="L2470" s="293">
        <v>20.2</v>
      </c>
      <c r="M2470" s="439">
        <v>20.2</v>
      </c>
      <c r="N2470" s="411">
        <v>20.2</v>
      </c>
      <c r="O2470" s="439">
        <v>20.2</v>
      </c>
      <c r="P2470" s="439">
        <v>20.2</v>
      </c>
      <c r="Q2470" s="439">
        <v>20.2</v>
      </c>
      <c r="R2470" s="439">
        <v>20.2</v>
      </c>
      <c r="S2470" s="411">
        <v>20.2</v>
      </c>
      <c r="T2470" s="439">
        <v>20.2</v>
      </c>
      <c r="U2470" s="293">
        <v>20.2</v>
      </c>
      <c r="V2470" s="293">
        <v>20.2</v>
      </c>
      <c r="W2470" s="293">
        <v>20.2</v>
      </c>
      <c r="X2470" s="293">
        <v>20.2</v>
      </c>
      <c r="Y2470" s="439">
        <v>20.2</v>
      </c>
      <c r="Z2470" s="293">
        <v>32.200000000000003</v>
      </c>
      <c r="AA2470" s="297">
        <v>31.2</v>
      </c>
      <c r="AB2470" s="328"/>
      <c r="AC2470" s="328"/>
      <c r="AD2470" s="328"/>
      <c r="AE2470" s="328"/>
      <c r="AF2470" s="1237"/>
    </row>
    <row r="2471" spans="1:34">
      <c r="A2471" s="1236"/>
      <c r="B2471" s="328"/>
      <c r="C2471" s="328"/>
      <c r="D2471" s="328"/>
      <c r="E2471" s="328"/>
      <c r="F2471" s="297">
        <v>31.21</v>
      </c>
      <c r="G2471" s="293">
        <v>32.200000000000003</v>
      </c>
      <c r="H2471" s="439">
        <v>24.2</v>
      </c>
      <c r="I2471" s="293">
        <v>20.2</v>
      </c>
      <c r="J2471" s="293">
        <v>20.2</v>
      </c>
      <c r="K2471" s="293">
        <v>20.2</v>
      </c>
      <c r="L2471" s="293">
        <v>20.2</v>
      </c>
      <c r="M2471" s="293">
        <v>20.2</v>
      </c>
      <c r="N2471" s="439">
        <v>20.2</v>
      </c>
      <c r="O2471" s="411">
        <v>20.2</v>
      </c>
      <c r="P2471" s="439">
        <v>20.2</v>
      </c>
      <c r="Q2471" s="439">
        <v>20.2</v>
      </c>
      <c r="R2471" s="411">
        <v>20.2</v>
      </c>
      <c r="S2471" s="439">
        <v>20.2</v>
      </c>
      <c r="T2471" s="293">
        <v>20.2</v>
      </c>
      <c r="U2471" s="293">
        <v>20.2</v>
      </c>
      <c r="V2471" s="293">
        <v>20.2</v>
      </c>
      <c r="W2471" s="293">
        <v>20.2</v>
      </c>
      <c r="X2471" s="293">
        <v>20.2</v>
      </c>
      <c r="Y2471" s="439">
        <v>20.2</v>
      </c>
      <c r="Z2471" s="293">
        <v>32.31</v>
      </c>
      <c r="AA2471" s="328"/>
      <c r="AB2471" s="328"/>
      <c r="AC2471" s="328"/>
      <c r="AD2471" s="328"/>
      <c r="AE2471" s="328"/>
      <c r="AF2471" s="1237"/>
    </row>
    <row r="2472" spans="1:34">
      <c r="A2472" s="1236"/>
      <c r="B2472" s="328"/>
      <c r="C2472" s="328"/>
      <c r="D2472" s="328"/>
      <c r="E2472" s="328"/>
      <c r="F2472" s="297">
        <v>32.200000000000003</v>
      </c>
      <c r="G2472" s="293">
        <v>32.200000000000003</v>
      </c>
      <c r="H2472" s="439">
        <v>25.2</v>
      </c>
      <c r="I2472" s="293">
        <v>20.2</v>
      </c>
      <c r="J2472" s="293">
        <v>20.2</v>
      </c>
      <c r="K2472" s="293">
        <v>20.2</v>
      </c>
      <c r="L2472" s="293">
        <v>20.2</v>
      </c>
      <c r="M2472" s="293">
        <v>20.2</v>
      </c>
      <c r="N2472" s="293">
        <v>20.2</v>
      </c>
      <c r="O2472" s="439">
        <v>20.2</v>
      </c>
      <c r="P2472" s="411">
        <v>20.2</v>
      </c>
      <c r="Q2472" s="411">
        <v>20.2</v>
      </c>
      <c r="R2472" s="439">
        <v>20.2</v>
      </c>
      <c r="S2472" s="293">
        <v>20.2</v>
      </c>
      <c r="T2472" s="293">
        <v>20.2</v>
      </c>
      <c r="U2472" s="293">
        <v>20.2</v>
      </c>
      <c r="V2472" s="293">
        <v>20.2</v>
      </c>
      <c r="W2472" s="293">
        <v>20.2</v>
      </c>
      <c r="X2472" s="293">
        <v>20.2</v>
      </c>
      <c r="Y2472" s="439">
        <v>20.2</v>
      </c>
      <c r="Z2472" s="293">
        <v>32.31</v>
      </c>
      <c r="AA2472" s="328"/>
      <c r="AB2472" s="328"/>
      <c r="AC2472" s="328"/>
      <c r="AD2472" s="328"/>
      <c r="AE2472" s="328"/>
      <c r="AF2472" s="1237"/>
    </row>
    <row r="2473" spans="1:34">
      <c r="A2473" s="1236"/>
      <c r="B2473" s="328"/>
      <c r="C2473" s="328"/>
      <c r="D2473" s="328"/>
      <c r="E2473" s="328"/>
      <c r="F2473" s="293">
        <v>32.200000000000003</v>
      </c>
      <c r="G2473" s="293">
        <v>32.200000000000003</v>
      </c>
      <c r="H2473" s="439">
        <v>26.2</v>
      </c>
      <c r="I2473" s="293">
        <v>20.2</v>
      </c>
      <c r="J2473" s="293">
        <v>20.2</v>
      </c>
      <c r="K2473" s="293">
        <v>20.2</v>
      </c>
      <c r="L2473" s="293">
        <v>20.2</v>
      </c>
      <c r="M2473" s="293">
        <v>20.2</v>
      </c>
      <c r="N2473" s="293">
        <v>20.2</v>
      </c>
      <c r="O2473" s="293">
        <v>20.2</v>
      </c>
      <c r="P2473" s="439">
        <v>20.2</v>
      </c>
      <c r="Q2473" s="439">
        <v>20.2</v>
      </c>
      <c r="R2473" s="293">
        <v>20.2</v>
      </c>
      <c r="S2473" s="293">
        <v>20.2</v>
      </c>
      <c r="T2473" s="293">
        <v>20.2</v>
      </c>
      <c r="U2473" s="293">
        <v>20.2</v>
      </c>
      <c r="V2473" s="293">
        <v>20.2</v>
      </c>
      <c r="W2473" s="293">
        <v>20.2</v>
      </c>
      <c r="X2473" s="293">
        <v>20.2</v>
      </c>
      <c r="Y2473" s="439">
        <v>20.2</v>
      </c>
      <c r="Z2473" s="293">
        <v>32.200000000000003</v>
      </c>
      <c r="AA2473" s="297">
        <v>31.2</v>
      </c>
      <c r="AB2473" s="328"/>
      <c r="AC2473" s="328"/>
      <c r="AD2473" s="328"/>
      <c r="AE2473" s="328"/>
      <c r="AF2473" s="1237"/>
    </row>
    <row r="2474" spans="1:34">
      <c r="AH2474">
        <v>2472</v>
      </c>
    </row>
    <row r="2475" spans="1:34">
      <c r="AH2475">
        <v>2471</v>
      </c>
    </row>
    <row r="2476" spans="1:34">
      <c r="AH2476">
        <v>2470</v>
      </c>
    </row>
    <row r="2477" spans="1:34">
      <c r="AH2477">
        <v>2469</v>
      </c>
    </row>
    <row r="2478" spans="1:34">
      <c r="AH2478">
        <v>2468</v>
      </c>
    </row>
    <row r="2479" spans="1:34">
      <c r="AH2479">
        <v>2467</v>
      </c>
    </row>
    <row r="2480" spans="1:34">
      <c r="AH2480">
        <v>2466</v>
      </c>
    </row>
    <row r="2481" spans="1:34">
      <c r="AH2481">
        <v>2465</v>
      </c>
    </row>
    <row r="2482" spans="1:34">
      <c r="A2482" s="1236"/>
      <c r="B2482" s="328"/>
      <c r="C2482" s="328"/>
      <c r="D2482" s="328"/>
      <c r="E2482" s="328"/>
      <c r="F2482" s="297">
        <v>26.26</v>
      </c>
      <c r="G2482" s="293">
        <v>32.200000000000003</v>
      </c>
      <c r="H2482" s="293">
        <v>20.2</v>
      </c>
      <c r="I2482" s="439">
        <v>20.2</v>
      </c>
      <c r="J2482" s="439">
        <v>20.2</v>
      </c>
      <c r="K2482" s="439">
        <v>20.2</v>
      </c>
      <c r="L2482" s="439">
        <v>20.2</v>
      </c>
      <c r="M2482" s="439">
        <v>20.2</v>
      </c>
      <c r="N2482" s="439">
        <v>20.2</v>
      </c>
      <c r="O2482" s="439">
        <v>20.2</v>
      </c>
      <c r="P2482" s="439">
        <v>20.2</v>
      </c>
      <c r="Q2482" s="439">
        <v>20.2</v>
      </c>
      <c r="R2482" s="439">
        <v>20.2</v>
      </c>
      <c r="S2482" s="439">
        <v>20.2</v>
      </c>
      <c r="T2482" s="439">
        <v>20.2</v>
      </c>
      <c r="U2482" s="439">
        <v>20.2</v>
      </c>
      <c r="V2482" s="439">
        <v>20.2</v>
      </c>
      <c r="W2482" s="439">
        <v>20.2</v>
      </c>
      <c r="X2482" s="439">
        <v>20.2</v>
      </c>
      <c r="Y2482" s="293">
        <v>20.2</v>
      </c>
      <c r="Z2482" s="293">
        <v>32.200000000000003</v>
      </c>
      <c r="AA2482" s="297">
        <v>26.26</v>
      </c>
      <c r="AB2482" s="328"/>
      <c r="AC2482" s="328"/>
      <c r="AD2482" s="328"/>
      <c r="AE2482" s="328"/>
      <c r="AF2482" s="1237"/>
    </row>
    <row r="2483" spans="1:34">
      <c r="A2483" s="1236"/>
      <c r="B2483" s="328"/>
      <c r="C2483" s="328"/>
      <c r="D2483" s="328"/>
      <c r="E2483" s="328"/>
      <c r="F2483" s="297">
        <v>27.25</v>
      </c>
      <c r="G2483" s="293">
        <v>32.200000000000003</v>
      </c>
      <c r="H2483" s="439">
        <v>20.2</v>
      </c>
      <c r="I2483" s="293">
        <v>20.2</v>
      </c>
      <c r="J2483" s="439">
        <v>20.2</v>
      </c>
      <c r="K2483" s="411">
        <v>20.2</v>
      </c>
      <c r="L2483" s="439">
        <v>20.2</v>
      </c>
      <c r="M2483" s="439">
        <v>20.2</v>
      </c>
      <c r="N2483" s="439">
        <v>20.2</v>
      </c>
      <c r="O2483" s="439">
        <v>20.2</v>
      </c>
      <c r="P2483" s="439">
        <v>20.2</v>
      </c>
      <c r="Q2483" s="439">
        <v>20.2</v>
      </c>
      <c r="R2483" s="439">
        <v>20.2</v>
      </c>
      <c r="S2483" s="439">
        <v>20.2</v>
      </c>
      <c r="T2483" s="439">
        <v>20.2</v>
      </c>
      <c r="U2483" s="439">
        <v>20.2</v>
      </c>
      <c r="V2483" s="411">
        <v>20.2</v>
      </c>
      <c r="W2483" s="439">
        <v>20.2</v>
      </c>
      <c r="X2483" s="293">
        <v>20.2</v>
      </c>
      <c r="Y2483" s="439">
        <v>20.2</v>
      </c>
      <c r="Z2483" s="293">
        <v>32.200000000000003</v>
      </c>
      <c r="AA2483" s="297">
        <v>27.25</v>
      </c>
      <c r="AB2483" s="328"/>
      <c r="AC2483" s="328"/>
      <c r="AD2483" s="328"/>
      <c r="AE2483" s="328"/>
      <c r="AF2483" s="1237"/>
    </row>
    <row r="2484" spans="1:34">
      <c r="A2484" s="1236"/>
      <c r="B2484" s="328"/>
      <c r="C2484" s="328"/>
      <c r="D2484" s="328"/>
      <c r="E2484" s="328"/>
      <c r="F2484" s="297">
        <v>28.24</v>
      </c>
      <c r="G2484" s="293">
        <v>32.200000000000003</v>
      </c>
      <c r="H2484" s="439">
        <v>21.2</v>
      </c>
      <c r="I2484" s="293">
        <v>20.2</v>
      </c>
      <c r="J2484" s="293">
        <v>20.2</v>
      </c>
      <c r="K2484" s="439">
        <v>20.2</v>
      </c>
      <c r="L2484" s="411">
        <v>20.2</v>
      </c>
      <c r="M2484" s="439">
        <v>20.2</v>
      </c>
      <c r="N2484" s="439">
        <v>20.2</v>
      </c>
      <c r="O2484" s="439">
        <v>20.2</v>
      </c>
      <c r="P2484" s="439">
        <v>20.2</v>
      </c>
      <c r="Q2484" s="439">
        <v>20.2</v>
      </c>
      <c r="R2484" s="439">
        <v>20.2</v>
      </c>
      <c r="S2484" s="439">
        <v>20.2</v>
      </c>
      <c r="T2484" s="439">
        <v>20.2</v>
      </c>
      <c r="U2484" s="411">
        <v>20.2</v>
      </c>
      <c r="V2484" s="439">
        <v>20.2</v>
      </c>
      <c r="W2484" s="293">
        <v>20.2</v>
      </c>
      <c r="X2484" s="293">
        <v>20.2</v>
      </c>
      <c r="Y2484" s="439">
        <v>21.2</v>
      </c>
      <c r="Z2484" s="293">
        <v>32.200000000000003</v>
      </c>
      <c r="AA2484" s="297">
        <v>28.24</v>
      </c>
      <c r="AB2484" s="328"/>
      <c r="AC2484" s="328"/>
      <c r="AD2484" s="328"/>
      <c r="AE2484" s="328"/>
      <c r="AF2484" s="1237"/>
    </row>
    <row r="2485" spans="1:34">
      <c r="A2485" s="1236"/>
      <c r="B2485" s="328"/>
      <c r="C2485" s="328"/>
      <c r="D2485" s="328"/>
      <c r="E2485" s="328"/>
      <c r="F2485" s="297">
        <v>29.23</v>
      </c>
      <c r="G2485" s="293">
        <v>32.200000000000003</v>
      </c>
      <c r="H2485" s="439">
        <v>22.2</v>
      </c>
      <c r="I2485" s="293">
        <v>20.2</v>
      </c>
      <c r="J2485" s="293">
        <v>20.2</v>
      </c>
      <c r="K2485" s="293">
        <v>20.2</v>
      </c>
      <c r="L2485" s="439">
        <v>20.2</v>
      </c>
      <c r="M2485" s="411">
        <v>20.2</v>
      </c>
      <c r="N2485" s="439">
        <v>20.2</v>
      </c>
      <c r="O2485" s="439">
        <v>20.2</v>
      </c>
      <c r="P2485" s="439">
        <v>20.2</v>
      </c>
      <c r="Q2485" s="439">
        <v>20.2</v>
      </c>
      <c r="R2485" s="439">
        <v>20.2</v>
      </c>
      <c r="S2485" s="439">
        <v>20.2</v>
      </c>
      <c r="T2485" s="411">
        <v>20.2</v>
      </c>
      <c r="U2485" s="439">
        <v>20.2</v>
      </c>
      <c r="V2485" s="293">
        <v>20.2</v>
      </c>
      <c r="W2485" s="293">
        <v>20.2</v>
      </c>
      <c r="X2485" s="293">
        <v>20.2</v>
      </c>
      <c r="Y2485" s="439">
        <v>22.2</v>
      </c>
      <c r="Z2485" s="293">
        <v>32.200000000000003</v>
      </c>
      <c r="AA2485" s="297">
        <v>29.23</v>
      </c>
      <c r="AB2485" s="328"/>
      <c r="AC2485" s="328"/>
      <c r="AD2485" s="328"/>
      <c r="AE2485" s="328"/>
      <c r="AF2485" s="1237"/>
    </row>
    <row r="2486" spans="1:34">
      <c r="A2486" s="1236"/>
      <c r="B2486" s="328"/>
      <c r="C2486" s="328"/>
      <c r="D2486" s="328"/>
      <c r="E2486" s="328"/>
      <c r="F2486" s="297">
        <v>30.22</v>
      </c>
      <c r="G2486" s="293">
        <v>32.200000000000003</v>
      </c>
      <c r="H2486" s="439">
        <v>23.2</v>
      </c>
      <c r="I2486" s="293">
        <v>20.2</v>
      </c>
      <c r="J2486" s="293">
        <v>20.2</v>
      </c>
      <c r="K2486" s="293">
        <v>20.2</v>
      </c>
      <c r="L2486" s="293">
        <v>20.2</v>
      </c>
      <c r="M2486" s="439">
        <v>20.2</v>
      </c>
      <c r="N2486" s="411">
        <v>20.2</v>
      </c>
      <c r="O2486" s="439">
        <v>20.2</v>
      </c>
      <c r="P2486" s="439">
        <v>20.2</v>
      </c>
      <c r="Q2486" s="439">
        <v>20.2</v>
      </c>
      <c r="R2486" s="439">
        <v>20.2</v>
      </c>
      <c r="S2486" s="411">
        <v>20.2</v>
      </c>
      <c r="T2486" s="439">
        <v>20.2</v>
      </c>
      <c r="U2486" s="293">
        <v>20.2</v>
      </c>
      <c r="V2486" s="293">
        <v>20.2</v>
      </c>
      <c r="W2486" s="293">
        <v>20.2</v>
      </c>
      <c r="X2486" s="293">
        <v>20.2</v>
      </c>
      <c r="Y2486" s="439">
        <v>23.2</v>
      </c>
      <c r="Z2486" s="293">
        <v>32.200000000000003</v>
      </c>
      <c r="AA2486" s="297">
        <v>30.22</v>
      </c>
      <c r="AB2486" s="328"/>
      <c r="AC2486" s="328"/>
      <c r="AD2486" s="328"/>
      <c r="AE2486" s="328"/>
      <c r="AF2486" s="1237"/>
    </row>
    <row r="2487" spans="1:34">
      <c r="A2487" s="1236"/>
      <c r="B2487" s="328"/>
      <c r="C2487" s="328"/>
      <c r="D2487" s="328"/>
      <c r="E2487" s="328"/>
      <c r="F2487" s="297">
        <v>31.21</v>
      </c>
      <c r="G2487" s="293">
        <v>32.200000000000003</v>
      </c>
      <c r="H2487" s="439">
        <v>24.2</v>
      </c>
      <c r="I2487" s="293">
        <v>20.2</v>
      </c>
      <c r="J2487" s="293">
        <v>20.2</v>
      </c>
      <c r="K2487" s="293">
        <v>20.2</v>
      </c>
      <c r="L2487" s="293">
        <v>20.2</v>
      </c>
      <c r="M2487" s="293">
        <v>20.2</v>
      </c>
      <c r="N2487" s="439">
        <v>20.2</v>
      </c>
      <c r="O2487" s="411">
        <v>20.2</v>
      </c>
      <c r="P2487" s="439">
        <v>20.2</v>
      </c>
      <c r="Q2487" s="439">
        <v>20.2</v>
      </c>
      <c r="R2487" s="411">
        <v>20.2</v>
      </c>
      <c r="S2487" s="439">
        <v>20.2</v>
      </c>
      <c r="T2487" s="293">
        <v>20.2</v>
      </c>
      <c r="U2487" s="293">
        <v>20.2</v>
      </c>
      <c r="V2487" s="293">
        <v>20.2</v>
      </c>
      <c r="W2487" s="293">
        <v>20.2</v>
      </c>
      <c r="X2487" s="293">
        <v>20.2</v>
      </c>
      <c r="Y2487" s="439">
        <v>24.2</v>
      </c>
      <c r="Z2487" s="293">
        <v>32.200000000000003</v>
      </c>
      <c r="AA2487" s="297">
        <v>31.21</v>
      </c>
      <c r="AB2487" s="328"/>
      <c r="AC2487" s="328"/>
      <c r="AD2487" s="328"/>
      <c r="AE2487" s="328"/>
      <c r="AF2487" s="1237"/>
    </row>
    <row r="2488" spans="1:34">
      <c r="A2488" s="1236"/>
      <c r="B2488" s="328"/>
      <c r="C2488" s="328"/>
      <c r="D2488" s="328"/>
      <c r="E2488" s="328"/>
      <c r="F2488" s="297">
        <v>32.200000000000003</v>
      </c>
      <c r="G2488" s="293">
        <v>32.200000000000003</v>
      </c>
      <c r="H2488" s="439">
        <v>25.2</v>
      </c>
      <c r="I2488" s="293">
        <v>20.2</v>
      </c>
      <c r="J2488" s="293">
        <v>20.2</v>
      </c>
      <c r="K2488" s="293">
        <v>20.2</v>
      </c>
      <c r="L2488" s="293">
        <v>20.2</v>
      </c>
      <c r="M2488" s="293">
        <v>20.2</v>
      </c>
      <c r="N2488" s="293">
        <v>20.2</v>
      </c>
      <c r="O2488" s="439">
        <v>20.2</v>
      </c>
      <c r="P2488" s="411">
        <v>20.2</v>
      </c>
      <c r="Q2488" s="411">
        <v>20.2</v>
      </c>
      <c r="R2488" s="439">
        <v>20.2</v>
      </c>
      <c r="S2488" s="293">
        <v>20.2</v>
      </c>
      <c r="T2488" s="293">
        <v>20.2</v>
      </c>
      <c r="U2488" s="293">
        <v>20.2</v>
      </c>
      <c r="V2488" s="293">
        <v>20.2</v>
      </c>
      <c r="W2488" s="293">
        <v>20.2</v>
      </c>
      <c r="X2488" s="293">
        <v>20.2</v>
      </c>
      <c r="Y2488" s="439">
        <v>25.2</v>
      </c>
      <c r="Z2488" s="293">
        <v>32.200000000000003</v>
      </c>
      <c r="AA2488" s="297">
        <v>32.200000000000003</v>
      </c>
      <c r="AB2488" s="328"/>
      <c r="AC2488" s="328"/>
      <c r="AD2488" s="328"/>
      <c r="AE2488" s="328"/>
      <c r="AF2488" s="1237"/>
    </row>
    <row r="2489" spans="1:34">
      <c r="A2489" s="1236"/>
      <c r="B2489" s="328"/>
      <c r="C2489" s="328"/>
      <c r="D2489" s="328"/>
      <c r="E2489" s="328"/>
      <c r="F2489" s="293">
        <v>32.200000000000003</v>
      </c>
      <c r="G2489" s="293">
        <v>32.200000000000003</v>
      </c>
      <c r="H2489" s="439">
        <v>26.2</v>
      </c>
      <c r="I2489" s="293">
        <v>20.2</v>
      </c>
      <c r="J2489" s="293">
        <v>20.2</v>
      </c>
      <c r="K2489" s="293">
        <v>20.2</v>
      </c>
      <c r="L2489" s="293">
        <v>20.2</v>
      </c>
      <c r="M2489" s="293">
        <v>20.2</v>
      </c>
      <c r="N2489" s="293">
        <v>20.2</v>
      </c>
      <c r="O2489" s="293">
        <v>20.2</v>
      </c>
      <c r="P2489" s="439">
        <v>20.2</v>
      </c>
      <c r="Q2489" s="439">
        <v>20.2</v>
      </c>
      <c r="R2489" s="293">
        <v>20.2</v>
      </c>
      <c r="S2489" s="293">
        <v>20.2</v>
      </c>
      <c r="T2489" s="293">
        <v>20.2</v>
      </c>
      <c r="U2489" s="293">
        <v>20.2</v>
      </c>
      <c r="V2489" s="293">
        <v>20.2</v>
      </c>
      <c r="W2489" s="293">
        <v>20.2</v>
      </c>
      <c r="X2489" s="293">
        <v>20.2</v>
      </c>
      <c r="Y2489" s="439">
        <v>26.2</v>
      </c>
      <c r="Z2489" s="293">
        <v>32.200000000000003</v>
      </c>
      <c r="AA2489" s="293">
        <v>32.200000000000003</v>
      </c>
      <c r="AB2489" s="328"/>
      <c r="AC2489" s="328"/>
      <c r="AD2489" s="328"/>
      <c r="AE2489" s="328"/>
      <c r="AF2489" s="1237"/>
    </row>
    <row r="2490" spans="1:34">
      <c r="A2490" s="93"/>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c r="AF2490" s="93"/>
      <c r="AH2490">
        <v>2488</v>
      </c>
    </row>
    <row r="2491" spans="1:34">
      <c r="A2491" s="93"/>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c r="AF2491" s="93"/>
      <c r="AH2491">
        <v>2487</v>
      </c>
    </row>
    <row r="2492" spans="1:34">
      <c r="A2492" s="93"/>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c r="AF2492" s="93"/>
      <c r="AH2492">
        <v>2486</v>
      </c>
    </row>
    <row r="2493" spans="1:34">
      <c r="A2493" s="93"/>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c r="AF2493" s="93"/>
      <c r="AH2493">
        <v>2485</v>
      </c>
    </row>
    <row r="2494" spans="1:34">
      <c r="A2494" s="93"/>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c r="AF2494" s="93"/>
      <c r="AH2494">
        <v>2484</v>
      </c>
    </row>
    <row r="2495" spans="1:34">
      <c r="A2495" s="93"/>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c r="AF2495" s="93"/>
      <c r="AH2495">
        <v>2483</v>
      </c>
    </row>
    <row r="2496" spans="1:34">
      <c r="A2496" s="73"/>
      <c r="B2496" s="73"/>
      <c r="C2496" s="73"/>
      <c r="D2496" s="73"/>
      <c r="E2496" s="73"/>
      <c r="F2496" s="73"/>
      <c r="G2496" s="73"/>
      <c r="H2496" s="73"/>
      <c r="I2496" s="73"/>
      <c r="J2496" s="73"/>
      <c r="K2496" s="73"/>
      <c r="L2496" s="73"/>
      <c r="M2496" s="73"/>
      <c r="N2496" s="73"/>
      <c r="O2496" s="73"/>
      <c r="P2496" s="73"/>
      <c r="Q2496" s="73"/>
      <c r="R2496" s="73"/>
      <c r="S2496" s="73"/>
      <c r="T2496" s="73"/>
      <c r="U2496" s="73"/>
      <c r="V2496" s="73"/>
      <c r="W2496" s="73"/>
      <c r="X2496" s="73"/>
      <c r="Y2496" s="73"/>
      <c r="Z2496" s="73"/>
      <c r="AA2496" s="73"/>
      <c r="AB2496" s="73"/>
      <c r="AC2496" s="73"/>
      <c r="AD2496" s="73"/>
      <c r="AE2496" s="73"/>
      <c r="AF2496" s="73"/>
      <c r="AH2496">
        <v>2482</v>
      </c>
    </row>
    <row r="2497" spans="1:34">
      <c r="A2497" s="1298"/>
      <c r="B2497" s="1234"/>
      <c r="C2497" s="1234"/>
      <c r="D2497" s="1234"/>
      <c r="E2497" s="1234"/>
      <c r="F2497" s="1244"/>
      <c r="G2497" s="1299">
        <v>32.200000000000003</v>
      </c>
      <c r="H2497" s="1299">
        <v>20.2</v>
      </c>
      <c r="I2497" s="1299">
        <v>20.2</v>
      </c>
      <c r="J2497" s="1299">
        <v>20.2</v>
      </c>
      <c r="K2497" s="1299">
        <v>20.2</v>
      </c>
      <c r="L2497" s="1299">
        <v>20.2</v>
      </c>
      <c r="M2497" s="1299">
        <v>20.2</v>
      </c>
      <c r="N2497" s="1299">
        <v>20.2</v>
      </c>
      <c r="O2497" s="1299">
        <v>20.2</v>
      </c>
      <c r="P2497" s="1299">
        <v>20.2</v>
      </c>
      <c r="Q2497" s="1299">
        <v>20.2</v>
      </c>
      <c r="R2497" s="1299">
        <v>20.2</v>
      </c>
      <c r="S2497" s="1299">
        <v>20.2</v>
      </c>
      <c r="T2497" s="1299">
        <v>20.2</v>
      </c>
      <c r="U2497" s="1299">
        <v>20.2</v>
      </c>
      <c r="V2497" s="1299">
        <v>20.2</v>
      </c>
      <c r="W2497" s="1299">
        <v>20.2</v>
      </c>
      <c r="X2497" s="1299">
        <v>20.2</v>
      </c>
      <c r="Y2497" s="1299">
        <v>20.2</v>
      </c>
      <c r="Z2497" s="1299">
        <v>32.200000000000003</v>
      </c>
      <c r="AA2497" s="1244"/>
      <c r="AB2497" s="1234"/>
      <c r="AC2497" s="1234"/>
      <c r="AD2497" s="1234"/>
      <c r="AE2497" s="1234"/>
      <c r="AF2497" s="1235"/>
      <c r="AG2497">
        <v>79</v>
      </c>
    </row>
    <row r="2498" spans="1:34">
      <c r="A2498" s="1236"/>
      <c r="B2498" s="328"/>
      <c r="C2498" s="328"/>
      <c r="D2498" s="328"/>
      <c r="E2498" s="328"/>
      <c r="F2498" s="297">
        <v>30.22</v>
      </c>
      <c r="G2498" s="293">
        <v>32.200000000000003</v>
      </c>
      <c r="H2498" s="293">
        <v>20.2</v>
      </c>
      <c r="I2498" s="439">
        <v>20.2</v>
      </c>
      <c r="J2498" s="439">
        <v>20.2</v>
      </c>
      <c r="K2498" s="439">
        <v>20.2</v>
      </c>
      <c r="L2498" s="439">
        <v>20.2</v>
      </c>
      <c r="M2498" s="439">
        <v>20.2</v>
      </c>
      <c r="N2498" s="439">
        <v>20.2</v>
      </c>
      <c r="O2498" s="439">
        <v>20.2</v>
      </c>
      <c r="P2498" s="439">
        <v>20.2</v>
      </c>
      <c r="Q2498" s="439">
        <v>20.2</v>
      </c>
      <c r="R2498" s="439">
        <v>20.2</v>
      </c>
      <c r="S2498" s="439">
        <v>20.2</v>
      </c>
      <c r="T2498" s="439">
        <v>20.2</v>
      </c>
      <c r="U2498" s="439">
        <v>20.2</v>
      </c>
      <c r="V2498" s="439">
        <v>20.2</v>
      </c>
      <c r="W2498" s="439">
        <v>20.2</v>
      </c>
      <c r="X2498" s="439">
        <v>20.2</v>
      </c>
      <c r="Y2498" s="293">
        <v>20.2</v>
      </c>
      <c r="Z2498" s="293">
        <v>32.200000000000003</v>
      </c>
      <c r="AA2498" s="297">
        <v>30.22</v>
      </c>
      <c r="AB2498" s="328"/>
      <c r="AC2498" s="328"/>
      <c r="AD2498" s="328"/>
      <c r="AE2498" s="328"/>
      <c r="AF2498" s="1237"/>
    </row>
    <row r="2499" spans="1:34">
      <c r="A2499" s="1236"/>
      <c r="B2499" s="328"/>
      <c r="C2499" s="328"/>
      <c r="D2499" s="328"/>
      <c r="E2499" s="328"/>
      <c r="F2499" s="297">
        <v>31.21</v>
      </c>
      <c r="G2499" s="293">
        <v>32.200000000000003</v>
      </c>
      <c r="H2499" s="439">
        <v>20.2</v>
      </c>
      <c r="I2499" s="439">
        <v>20.2</v>
      </c>
      <c r="J2499" s="439">
        <v>20.2</v>
      </c>
      <c r="K2499" s="439">
        <v>20.2</v>
      </c>
      <c r="L2499" s="439">
        <v>20.2</v>
      </c>
      <c r="M2499" s="439">
        <v>20.2</v>
      </c>
      <c r="N2499" s="439">
        <v>20.2</v>
      </c>
      <c r="O2499" s="439">
        <v>20.2</v>
      </c>
      <c r="P2499" s="439">
        <v>20.2</v>
      </c>
      <c r="Q2499" s="439">
        <v>20.2</v>
      </c>
      <c r="R2499" s="439">
        <v>20.2</v>
      </c>
      <c r="S2499" s="439">
        <v>20.2</v>
      </c>
      <c r="T2499" s="439">
        <v>20.2</v>
      </c>
      <c r="U2499" s="439">
        <v>20.2</v>
      </c>
      <c r="V2499" s="439">
        <v>20.2</v>
      </c>
      <c r="W2499" s="439">
        <v>20.2</v>
      </c>
      <c r="X2499" s="439">
        <v>20.2</v>
      </c>
      <c r="Y2499" s="439">
        <v>20.2</v>
      </c>
      <c r="Z2499" s="293">
        <v>32.200000000000003</v>
      </c>
      <c r="AA2499" s="297">
        <v>31.21</v>
      </c>
      <c r="AB2499" s="328"/>
      <c r="AC2499" s="328"/>
      <c r="AD2499" s="328"/>
      <c r="AE2499" s="328"/>
      <c r="AF2499" s="1237"/>
    </row>
    <row r="2500" spans="1:34">
      <c r="AH2500">
        <v>2499</v>
      </c>
    </row>
    <row r="2501" spans="1:34">
      <c r="AH2501">
        <v>2499</v>
      </c>
    </row>
    <row r="2502" spans="1:34">
      <c r="A2502" s="1236"/>
      <c r="B2502" s="297">
        <v>30.22</v>
      </c>
      <c r="C2502" s="297">
        <v>31.21</v>
      </c>
      <c r="D2502" s="297">
        <v>31.21</v>
      </c>
      <c r="E2502" s="297">
        <v>31.21</v>
      </c>
      <c r="F2502" s="297">
        <v>31.21</v>
      </c>
      <c r="G2502" s="1299">
        <v>32.200000000000003</v>
      </c>
      <c r="H2502" s="293">
        <v>20.2</v>
      </c>
      <c r="I2502" s="439">
        <v>20.2</v>
      </c>
      <c r="J2502" s="439">
        <v>20.2</v>
      </c>
      <c r="K2502" s="439">
        <v>20.2</v>
      </c>
      <c r="L2502" s="439">
        <v>20.2</v>
      </c>
      <c r="M2502" s="439">
        <v>20.2</v>
      </c>
      <c r="N2502" s="439">
        <v>20.2</v>
      </c>
      <c r="O2502" s="439">
        <v>20.2</v>
      </c>
      <c r="P2502" s="439">
        <v>20.2</v>
      </c>
      <c r="Q2502" s="439">
        <v>20.2</v>
      </c>
      <c r="R2502" s="439">
        <v>20.2</v>
      </c>
      <c r="S2502" s="439">
        <v>20.2</v>
      </c>
      <c r="T2502" s="439">
        <v>20.2</v>
      </c>
      <c r="U2502" s="439">
        <v>20.2</v>
      </c>
      <c r="V2502" s="439">
        <v>20.2</v>
      </c>
      <c r="W2502" s="439">
        <v>20.2</v>
      </c>
      <c r="X2502" s="439">
        <v>20.2</v>
      </c>
      <c r="Y2502" s="293">
        <v>20.2</v>
      </c>
      <c r="Z2502" s="293">
        <v>32.200000000000003</v>
      </c>
      <c r="AA2502" s="297">
        <v>30.22</v>
      </c>
      <c r="AB2502" s="328"/>
      <c r="AC2502" s="328"/>
      <c r="AD2502" s="328"/>
      <c r="AE2502" s="328"/>
      <c r="AF2502" s="1237"/>
    </row>
    <row r="2503" spans="1:34">
      <c r="A2503" s="493">
        <v>32.200000000000003</v>
      </c>
      <c r="B2503" s="293">
        <v>32.200000000000003</v>
      </c>
      <c r="C2503" s="293">
        <v>32.200000000000003</v>
      </c>
      <c r="D2503" s="293">
        <v>32.200000000000003</v>
      </c>
      <c r="E2503" s="293">
        <v>32.200000000000003</v>
      </c>
      <c r="F2503" s="293">
        <v>32.200000000000003</v>
      </c>
      <c r="G2503" s="439">
        <v>32.200000000000003</v>
      </c>
      <c r="H2503" s="1299">
        <v>20.2</v>
      </c>
      <c r="I2503" s="1299">
        <v>20.2</v>
      </c>
      <c r="J2503" s="1299">
        <v>20.2</v>
      </c>
      <c r="K2503" s="1299">
        <v>20.2</v>
      </c>
      <c r="L2503" s="1299">
        <v>20.2</v>
      </c>
      <c r="M2503" s="1299">
        <v>20.2</v>
      </c>
      <c r="N2503" s="1299">
        <v>20.2</v>
      </c>
      <c r="O2503" s="1299">
        <v>20.2</v>
      </c>
      <c r="P2503" s="1299">
        <v>20.2</v>
      </c>
      <c r="Q2503" s="1299">
        <v>20.2</v>
      </c>
      <c r="R2503" s="1299">
        <v>20.2</v>
      </c>
      <c r="S2503" s="1299">
        <v>20.2</v>
      </c>
      <c r="T2503" s="1299">
        <v>20.2</v>
      </c>
      <c r="U2503" s="1299">
        <v>20.2</v>
      </c>
      <c r="V2503" s="1299">
        <v>20.2</v>
      </c>
      <c r="W2503" s="1299">
        <v>20.2</v>
      </c>
      <c r="X2503" s="1299">
        <v>20.2</v>
      </c>
      <c r="Y2503" s="1299">
        <v>20.2</v>
      </c>
      <c r="Z2503" s="293">
        <v>32.200000000000003</v>
      </c>
      <c r="AA2503" s="1234"/>
      <c r="AB2503" s="328"/>
      <c r="AC2503" s="328"/>
      <c r="AD2503" s="328"/>
      <c r="AE2503" s="328"/>
      <c r="AF2503" s="1237"/>
    </row>
    <row r="2504" spans="1:34">
      <c r="A2504" s="493">
        <v>20.2</v>
      </c>
      <c r="B2504" s="293">
        <v>20.2</v>
      </c>
      <c r="C2504" s="439">
        <v>20.2</v>
      </c>
      <c r="D2504" s="439">
        <v>20.2</v>
      </c>
      <c r="E2504" s="439">
        <v>20.2</v>
      </c>
      <c r="F2504" s="293">
        <v>20.2</v>
      </c>
      <c r="G2504" s="293">
        <v>20.2</v>
      </c>
      <c r="H2504" s="293">
        <v>20.2</v>
      </c>
      <c r="I2504" s="439">
        <v>20.2</v>
      </c>
      <c r="J2504" s="439">
        <v>20.2</v>
      </c>
      <c r="K2504" s="439">
        <v>20.2</v>
      </c>
      <c r="L2504" s="439">
        <v>20.2</v>
      </c>
      <c r="M2504" s="439">
        <v>20.2</v>
      </c>
      <c r="N2504" s="439">
        <v>20.2</v>
      </c>
      <c r="O2504" s="439">
        <v>20.2</v>
      </c>
      <c r="P2504" s="439">
        <v>20.2</v>
      </c>
      <c r="Q2504" s="439">
        <v>20.2</v>
      </c>
      <c r="R2504" s="439">
        <v>20.2</v>
      </c>
      <c r="S2504" s="439">
        <v>20.2</v>
      </c>
      <c r="T2504" s="439">
        <v>20.2</v>
      </c>
      <c r="U2504" s="439">
        <v>20.2</v>
      </c>
      <c r="V2504" s="439">
        <v>20.2</v>
      </c>
      <c r="W2504" s="439">
        <v>20.2</v>
      </c>
      <c r="X2504" s="439">
        <v>20.2</v>
      </c>
      <c r="Y2504" s="293">
        <v>20.2</v>
      </c>
      <c r="Z2504" s="293">
        <v>32.200000000000003</v>
      </c>
      <c r="AA2504" s="297">
        <v>26.26</v>
      </c>
      <c r="AB2504" s="328"/>
      <c r="AC2504" s="328"/>
      <c r="AD2504" s="328"/>
      <c r="AE2504" s="328"/>
      <c r="AF2504" s="1237"/>
    </row>
    <row r="2505" spans="1:34">
      <c r="A2505" s="493">
        <v>20.2</v>
      </c>
      <c r="B2505" s="439">
        <v>20.2</v>
      </c>
      <c r="C2505" s="439">
        <v>20.2</v>
      </c>
      <c r="D2505" s="439">
        <v>20.2</v>
      </c>
      <c r="E2505" s="439">
        <v>20.2</v>
      </c>
      <c r="F2505" s="439">
        <v>20.2</v>
      </c>
      <c r="G2505" s="293">
        <v>20.2</v>
      </c>
      <c r="H2505" s="439">
        <v>20.2</v>
      </c>
      <c r="I2505" s="293">
        <v>20.2</v>
      </c>
      <c r="J2505" s="439">
        <v>20.2</v>
      </c>
      <c r="K2505" s="411">
        <v>20.2</v>
      </c>
      <c r="L2505" s="439">
        <v>20.2</v>
      </c>
      <c r="M2505" s="439">
        <v>20.2</v>
      </c>
      <c r="N2505" s="439">
        <v>20.2</v>
      </c>
      <c r="O2505" s="439">
        <v>20.2</v>
      </c>
      <c r="P2505" s="439">
        <v>20.2</v>
      </c>
      <c r="Q2505" s="439">
        <v>20.2</v>
      </c>
      <c r="R2505" s="439">
        <v>20.2</v>
      </c>
      <c r="S2505" s="439">
        <v>20.2</v>
      </c>
      <c r="T2505" s="439">
        <v>20.2</v>
      </c>
      <c r="U2505" s="439">
        <v>20.2</v>
      </c>
      <c r="V2505" s="411">
        <v>20.2</v>
      </c>
      <c r="W2505" s="439">
        <v>20.2</v>
      </c>
      <c r="X2505" s="293">
        <v>20.2</v>
      </c>
      <c r="Y2505" s="439">
        <v>20.2</v>
      </c>
      <c r="Z2505" s="293">
        <v>32.200000000000003</v>
      </c>
      <c r="AA2505" s="297">
        <v>27.25</v>
      </c>
      <c r="AB2505" s="328"/>
      <c r="AC2505" s="328"/>
      <c r="AD2505" s="328"/>
      <c r="AE2505" s="328"/>
      <c r="AF2505" s="1237"/>
    </row>
    <row r="2506" spans="1:34">
      <c r="A2506" s="493">
        <v>20.2</v>
      </c>
      <c r="B2506" s="439">
        <v>20.2</v>
      </c>
      <c r="C2506" s="439">
        <v>20.2</v>
      </c>
      <c r="D2506" s="439">
        <v>20.2</v>
      </c>
      <c r="E2506" s="439">
        <v>20.2</v>
      </c>
      <c r="F2506" s="439">
        <v>20.2</v>
      </c>
      <c r="G2506" s="293">
        <v>20.2</v>
      </c>
      <c r="H2506" s="439">
        <v>20.2</v>
      </c>
      <c r="I2506" s="293">
        <v>20.2</v>
      </c>
      <c r="J2506" s="293">
        <v>20.2</v>
      </c>
      <c r="K2506" s="439">
        <v>20.2</v>
      </c>
      <c r="L2506" s="411">
        <v>20.2</v>
      </c>
      <c r="M2506" s="439">
        <v>20.2</v>
      </c>
      <c r="N2506" s="439">
        <v>20.2</v>
      </c>
      <c r="O2506" s="439">
        <v>20.2</v>
      </c>
      <c r="P2506" s="439">
        <v>20.2</v>
      </c>
      <c r="Q2506" s="439">
        <v>20.2</v>
      </c>
      <c r="R2506" s="439">
        <v>20.2</v>
      </c>
      <c r="S2506" s="439">
        <v>20.2</v>
      </c>
      <c r="T2506" s="439">
        <v>20.2</v>
      </c>
      <c r="U2506" s="411">
        <v>20.2</v>
      </c>
      <c r="V2506" s="439">
        <v>20.2</v>
      </c>
      <c r="W2506" s="293">
        <v>20.2</v>
      </c>
      <c r="X2506" s="293">
        <v>20.2</v>
      </c>
      <c r="Y2506" s="439">
        <v>21.2</v>
      </c>
      <c r="Z2506" s="293">
        <v>32.200000000000003</v>
      </c>
      <c r="AA2506" s="297">
        <v>28.24</v>
      </c>
      <c r="AB2506" s="328"/>
      <c r="AC2506" s="328"/>
      <c r="AD2506" s="328"/>
      <c r="AE2506" s="328"/>
      <c r="AF2506" s="1237"/>
    </row>
    <row r="2507" spans="1:34">
      <c r="A2507" s="493">
        <v>20.2</v>
      </c>
      <c r="B2507" s="439">
        <v>20.2</v>
      </c>
      <c r="C2507" s="439">
        <v>20.2</v>
      </c>
      <c r="D2507" s="439">
        <v>20.2</v>
      </c>
      <c r="E2507" s="439">
        <v>20.2</v>
      </c>
      <c r="F2507" s="439">
        <v>20.2</v>
      </c>
      <c r="G2507" s="293">
        <v>20.2</v>
      </c>
      <c r="H2507" s="439">
        <v>20.2</v>
      </c>
      <c r="I2507" s="293">
        <v>20.2</v>
      </c>
      <c r="J2507" s="293">
        <v>20.2</v>
      </c>
      <c r="K2507" s="293">
        <v>20.2</v>
      </c>
      <c r="L2507" s="439">
        <v>20.2</v>
      </c>
      <c r="M2507" s="411">
        <v>20.2</v>
      </c>
      <c r="N2507" s="439">
        <v>20.2</v>
      </c>
      <c r="O2507" s="439">
        <v>20.2</v>
      </c>
      <c r="P2507" s="439">
        <v>20.2</v>
      </c>
      <c r="Q2507" s="439">
        <v>20.2</v>
      </c>
      <c r="R2507" s="439">
        <v>20.2</v>
      </c>
      <c r="S2507" s="439">
        <v>20.2</v>
      </c>
      <c r="T2507" s="411">
        <v>20.2</v>
      </c>
      <c r="U2507" s="439">
        <v>20.2</v>
      </c>
      <c r="V2507" s="293">
        <v>20.2</v>
      </c>
      <c r="W2507" s="293">
        <v>20.2</v>
      </c>
      <c r="X2507" s="293">
        <v>20.2</v>
      </c>
      <c r="Y2507" s="439">
        <v>22.2</v>
      </c>
      <c r="Z2507" s="293">
        <v>32.200000000000003</v>
      </c>
      <c r="AA2507" s="297">
        <v>29.23</v>
      </c>
      <c r="AB2507" s="328"/>
      <c r="AC2507" s="328"/>
      <c r="AD2507" s="328"/>
      <c r="AE2507" s="328"/>
      <c r="AF2507" s="1237"/>
    </row>
    <row r="2508" spans="1:34">
      <c r="A2508" s="493">
        <v>20.2</v>
      </c>
      <c r="B2508" s="439">
        <v>20.2</v>
      </c>
      <c r="C2508" s="439">
        <v>20.2</v>
      </c>
      <c r="D2508" s="439">
        <v>20.2</v>
      </c>
      <c r="E2508" s="439">
        <v>20.2</v>
      </c>
      <c r="F2508" s="439">
        <v>20.2</v>
      </c>
      <c r="G2508" s="293">
        <v>20.2</v>
      </c>
      <c r="H2508" s="439">
        <v>20.2</v>
      </c>
      <c r="I2508" s="293">
        <v>20.2</v>
      </c>
      <c r="J2508" s="293">
        <v>20.2</v>
      </c>
      <c r="K2508" s="293">
        <v>20.2</v>
      </c>
      <c r="L2508" s="293">
        <v>20.2</v>
      </c>
      <c r="M2508" s="439">
        <v>20.2</v>
      </c>
      <c r="N2508" s="411">
        <v>20.2</v>
      </c>
      <c r="O2508" s="439">
        <v>20.2</v>
      </c>
      <c r="P2508" s="439">
        <v>20.2</v>
      </c>
      <c r="Q2508" s="439">
        <v>20.2</v>
      </c>
      <c r="R2508" s="439">
        <v>20.2</v>
      </c>
      <c r="S2508" s="411">
        <v>20.2</v>
      </c>
      <c r="T2508" s="439">
        <v>20.2</v>
      </c>
      <c r="U2508" s="293">
        <v>20.2</v>
      </c>
      <c r="V2508" s="293">
        <v>20.2</v>
      </c>
      <c r="W2508" s="293">
        <v>20.2</v>
      </c>
      <c r="X2508" s="293">
        <v>20.2</v>
      </c>
      <c r="Y2508" s="439">
        <v>23.2</v>
      </c>
      <c r="Z2508" s="293">
        <v>32.200000000000003</v>
      </c>
      <c r="AA2508" s="297">
        <v>30.22</v>
      </c>
      <c r="AB2508" s="328"/>
      <c r="AC2508" s="328"/>
      <c r="AD2508" s="328"/>
      <c r="AE2508" s="328"/>
      <c r="AF2508" s="1237"/>
    </row>
    <row r="2509" spans="1:34">
      <c r="A2509" s="493">
        <v>20.2</v>
      </c>
      <c r="B2509" s="439">
        <v>20.2</v>
      </c>
      <c r="C2509" s="439">
        <v>20.2</v>
      </c>
      <c r="D2509" s="439">
        <v>20.2</v>
      </c>
      <c r="E2509" s="439">
        <v>20.2</v>
      </c>
      <c r="F2509" s="439">
        <v>20.2</v>
      </c>
      <c r="G2509" s="293">
        <v>20.2</v>
      </c>
      <c r="H2509" s="439">
        <v>20.2</v>
      </c>
      <c r="I2509" s="293">
        <v>20.2</v>
      </c>
      <c r="J2509" s="293">
        <v>20.2</v>
      </c>
      <c r="K2509" s="293">
        <v>20.2</v>
      </c>
      <c r="L2509" s="293">
        <v>20.2</v>
      </c>
      <c r="M2509" s="293">
        <v>20.2</v>
      </c>
      <c r="N2509" s="439">
        <v>20.2</v>
      </c>
      <c r="O2509" s="411">
        <v>20.2</v>
      </c>
      <c r="P2509" s="439">
        <v>20.2</v>
      </c>
      <c r="Q2509" s="439">
        <v>20.2</v>
      </c>
      <c r="R2509" s="411">
        <v>20.2</v>
      </c>
      <c r="S2509" s="439">
        <v>20.2</v>
      </c>
      <c r="T2509" s="293">
        <v>20.2</v>
      </c>
      <c r="U2509" s="293">
        <v>20.2</v>
      </c>
      <c r="V2509" s="293">
        <v>20.2</v>
      </c>
      <c r="W2509" s="293">
        <v>20.2</v>
      </c>
      <c r="X2509" s="293">
        <v>20.2</v>
      </c>
      <c r="Y2509" s="439">
        <v>24.2</v>
      </c>
      <c r="Z2509" s="293">
        <v>32.200000000000003</v>
      </c>
      <c r="AA2509" s="297">
        <v>31.21</v>
      </c>
      <c r="AB2509" s="328"/>
      <c r="AC2509" s="328"/>
      <c r="AD2509" s="328"/>
      <c r="AE2509" s="328"/>
      <c r="AF2509" s="1237"/>
    </row>
    <row r="2510" spans="1:34">
      <c r="A2510" s="493">
        <v>20.2</v>
      </c>
      <c r="B2510" s="439">
        <v>20.2</v>
      </c>
      <c r="C2510" s="439">
        <v>20.2</v>
      </c>
      <c r="D2510" s="439">
        <v>20.2</v>
      </c>
      <c r="E2510" s="439">
        <v>20.2</v>
      </c>
      <c r="F2510" s="439">
        <v>20.2</v>
      </c>
      <c r="G2510" s="293">
        <v>20.2</v>
      </c>
      <c r="H2510" s="439">
        <v>20.2</v>
      </c>
      <c r="I2510" s="293">
        <v>20.2</v>
      </c>
      <c r="J2510" s="293">
        <v>20.2</v>
      </c>
      <c r="K2510" s="293">
        <v>20.2</v>
      </c>
      <c r="L2510" s="293">
        <v>20.2</v>
      </c>
      <c r="M2510" s="293">
        <v>20.2</v>
      </c>
      <c r="N2510" s="293">
        <v>20.2</v>
      </c>
      <c r="O2510" s="439">
        <v>20.2</v>
      </c>
      <c r="P2510" s="411">
        <v>20.2</v>
      </c>
      <c r="Q2510" s="411">
        <v>20.2</v>
      </c>
      <c r="R2510" s="439">
        <v>20.2</v>
      </c>
      <c r="S2510" s="293">
        <v>20.2</v>
      </c>
      <c r="T2510" s="293">
        <v>20.2</v>
      </c>
      <c r="U2510" s="293">
        <v>20.2</v>
      </c>
      <c r="V2510" s="293">
        <v>20.2</v>
      </c>
      <c r="W2510" s="293">
        <v>20.2</v>
      </c>
      <c r="X2510" s="293">
        <v>20.2</v>
      </c>
      <c r="Y2510" s="439">
        <v>25.2</v>
      </c>
      <c r="Z2510" s="293">
        <v>32.200000000000003</v>
      </c>
      <c r="AA2510" s="297">
        <v>32.200000000000003</v>
      </c>
      <c r="AB2510" s="328"/>
      <c r="AC2510" s="328"/>
      <c r="AD2510" s="328"/>
      <c r="AE2510" s="328"/>
      <c r="AF2510" s="1237"/>
    </row>
    <row r="2511" spans="1:34">
      <c r="A2511" s="493">
        <v>20.2</v>
      </c>
      <c r="B2511" s="439">
        <v>20.2</v>
      </c>
      <c r="C2511" s="439">
        <v>20.2</v>
      </c>
      <c r="D2511" s="439">
        <v>20.2</v>
      </c>
      <c r="E2511" s="439">
        <v>20.2</v>
      </c>
      <c r="F2511" s="439">
        <v>20.2</v>
      </c>
      <c r="G2511" s="293">
        <v>20.2</v>
      </c>
      <c r="H2511" s="439">
        <v>20.2</v>
      </c>
      <c r="I2511" s="293">
        <v>20.2</v>
      </c>
      <c r="J2511" s="293">
        <v>20.2</v>
      </c>
      <c r="K2511" s="293">
        <v>20.2</v>
      </c>
      <c r="L2511" s="293">
        <v>20.2</v>
      </c>
      <c r="M2511" s="293">
        <v>20.2</v>
      </c>
      <c r="N2511" s="293">
        <v>20.2</v>
      </c>
      <c r="O2511" s="293">
        <v>20.2</v>
      </c>
      <c r="P2511" s="411">
        <v>20.2</v>
      </c>
      <c r="Q2511" s="439">
        <v>20.2</v>
      </c>
      <c r="R2511" s="293">
        <v>20.2</v>
      </c>
      <c r="S2511" s="293">
        <v>20.2</v>
      </c>
      <c r="T2511" s="293">
        <v>20.2</v>
      </c>
      <c r="U2511" s="293">
        <v>20.2</v>
      </c>
      <c r="V2511" s="293">
        <v>20.2</v>
      </c>
      <c r="W2511" s="293">
        <v>20.2</v>
      </c>
      <c r="X2511" s="293">
        <v>20.2</v>
      </c>
      <c r="Y2511" s="439">
        <v>26.2</v>
      </c>
      <c r="Z2511" s="293">
        <v>32.200000000000003</v>
      </c>
      <c r="AA2511" s="297">
        <v>32.200000000000003</v>
      </c>
      <c r="AB2511" s="328"/>
      <c r="AC2511" s="328"/>
      <c r="AD2511" s="328"/>
      <c r="AE2511" s="328"/>
      <c r="AF2511" s="1237"/>
    </row>
    <row r="2512" spans="1:34">
      <c r="A2512" s="493">
        <v>20.2</v>
      </c>
      <c r="B2512" s="439">
        <v>20.2</v>
      </c>
      <c r="C2512" s="439">
        <v>20.2</v>
      </c>
      <c r="D2512" s="439">
        <v>20.2</v>
      </c>
      <c r="E2512" s="439">
        <v>20.2</v>
      </c>
      <c r="F2512" s="439">
        <v>20.2</v>
      </c>
      <c r="G2512" s="293">
        <v>20.2</v>
      </c>
      <c r="H2512" s="439">
        <v>20.2</v>
      </c>
      <c r="I2512" s="293">
        <v>20.2</v>
      </c>
      <c r="J2512" s="293">
        <v>20.2</v>
      </c>
      <c r="K2512" s="293">
        <v>20.2</v>
      </c>
      <c r="L2512" s="293">
        <v>20.2</v>
      </c>
      <c r="M2512" s="293">
        <v>20.2</v>
      </c>
      <c r="N2512" s="293">
        <v>20.2</v>
      </c>
      <c r="O2512" s="293">
        <v>20.2</v>
      </c>
      <c r="P2512" s="411">
        <v>20.2</v>
      </c>
      <c r="Q2512" s="439">
        <v>20.2</v>
      </c>
      <c r="R2512" s="293">
        <v>20.2</v>
      </c>
      <c r="S2512" s="293">
        <v>20.2</v>
      </c>
      <c r="T2512" s="293">
        <v>20.2</v>
      </c>
      <c r="U2512" s="293">
        <v>20.2</v>
      </c>
      <c r="V2512" s="293">
        <v>20.2</v>
      </c>
      <c r="W2512" s="293">
        <v>20.2</v>
      </c>
      <c r="X2512" s="293">
        <v>20.2</v>
      </c>
      <c r="Y2512" s="439">
        <v>27.2</v>
      </c>
      <c r="Z2512" s="293">
        <v>32.200000000000003</v>
      </c>
      <c r="AA2512" s="293">
        <v>32.200000000000003</v>
      </c>
      <c r="AB2512" s="328"/>
      <c r="AC2512" s="328"/>
      <c r="AD2512" s="328"/>
      <c r="AE2512" s="328"/>
      <c r="AF2512" s="1237"/>
    </row>
    <row r="2513" spans="1:34">
      <c r="A2513" s="493">
        <v>20.2</v>
      </c>
      <c r="B2513" s="439">
        <v>20.2</v>
      </c>
      <c r="C2513" s="439">
        <v>20.2</v>
      </c>
      <c r="D2513" s="439">
        <v>20.2</v>
      </c>
      <c r="E2513" s="439">
        <v>20.2</v>
      </c>
      <c r="F2513" s="439">
        <v>20.2</v>
      </c>
      <c r="G2513" s="293">
        <v>20.2</v>
      </c>
      <c r="H2513" s="439">
        <v>20.2</v>
      </c>
      <c r="I2513" s="293">
        <v>20.2</v>
      </c>
      <c r="J2513" s="293">
        <v>20.2</v>
      </c>
      <c r="K2513" s="293">
        <v>20.2</v>
      </c>
      <c r="L2513" s="293">
        <v>20.2</v>
      </c>
      <c r="M2513" s="293">
        <v>20.2</v>
      </c>
      <c r="N2513" s="293">
        <v>20.2</v>
      </c>
      <c r="O2513" s="293">
        <v>20.2</v>
      </c>
      <c r="P2513" s="411">
        <v>20.2</v>
      </c>
      <c r="Q2513" s="439">
        <v>20.2</v>
      </c>
      <c r="R2513" s="293">
        <v>20.2</v>
      </c>
      <c r="S2513" s="293">
        <v>20.2</v>
      </c>
      <c r="T2513" s="293">
        <v>20.2</v>
      </c>
      <c r="U2513" s="293">
        <v>20.2</v>
      </c>
      <c r="V2513" s="293">
        <v>20.2</v>
      </c>
      <c r="W2513" s="293">
        <v>20.2</v>
      </c>
      <c r="X2513" s="293">
        <v>20.2</v>
      </c>
      <c r="Y2513" s="439">
        <v>27.2</v>
      </c>
      <c r="Z2513" s="293">
        <v>32.200000000000003</v>
      </c>
      <c r="AA2513" s="297">
        <v>32.200000000000003</v>
      </c>
      <c r="AB2513" s="328"/>
      <c r="AC2513" s="328"/>
      <c r="AD2513" s="328"/>
      <c r="AE2513" s="328"/>
      <c r="AF2513" s="1237"/>
    </row>
    <row r="2514" spans="1:34">
      <c r="AH2514">
        <v>2511</v>
      </c>
    </row>
    <row r="2515" spans="1:34">
      <c r="AH2515">
        <v>2510</v>
      </c>
    </row>
    <row r="2516" spans="1:34">
      <c r="AH2516">
        <v>2509</v>
      </c>
    </row>
    <row r="2517" spans="1:34">
      <c r="AH2517">
        <v>2508</v>
      </c>
    </row>
    <row r="2518" spans="1:34">
      <c r="AH2518">
        <v>2507</v>
      </c>
    </row>
    <row r="2519" spans="1:34">
      <c r="AH2519">
        <v>2506</v>
      </c>
    </row>
    <row r="2520" spans="1:34">
      <c r="AH2520">
        <v>2505</v>
      </c>
    </row>
    <row r="2521" spans="1:34">
      <c r="A2521" s="493">
        <v>20.2</v>
      </c>
      <c r="B2521" s="293">
        <v>20.2</v>
      </c>
      <c r="C2521" s="439">
        <v>20.2</v>
      </c>
      <c r="D2521" s="439">
        <v>20.2</v>
      </c>
      <c r="E2521" s="439">
        <v>20.2</v>
      </c>
      <c r="F2521" s="293">
        <v>20.2</v>
      </c>
      <c r="G2521" s="293">
        <v>20.2</v>
      </c>
      <c r="H2521" s="293">
        <v>20.2</v>
      </c>
      <c r="I2521" s="439">
        <v>20.2</v>
      </c>
      <c r="J2521" s="439">
        <v>21.2</v>
      </c>
      <c r="K2521" s="439">
        <v>22.2</v>
      </c>
      <c r="L2521" s="439">
        <v>23.2</v>
      </c>
      <c r="M2521" s="439">
        <v>24.2</v>
      </c>
      <c r="N2521" s="439">
        <v>25.2</v>
      </c>
      <c r="O2521" s="439">
        <v>26.2</v>
      </c>
      <c r="P2521" s="439">
        <v>27.2</v>
      </c>
      <c r="Q2521" s="439">
        <v>27.2</v>
      </c>
      <c r="R2521" s="439">
        <v>26.2</v>
      </c>
      <c r="S2521" s="439">
        <v>25.2</v>
      </c>
      <c r="T2521" s="439">
        <v>24.2</v>
      </c>
      <c r="U2521" s="439">
        <v>23.2</v>
      </c>
      <c r="V2521" s="439">
        <v>22.2</v>
      </c>
      <c r="W2521" s="439">
        <v>21.2</v>
      </c>
      <c r="X2521" s="439">
        <v>20.2</v>
      </c>
      <c r="Y2521" s="293">
        <v>20.2</v>
      </c>
      <c r="Z2521" s="293">
        <v>32.200000000000003</v>
      </c>
      <c r="AA2521" s="328"/>
      <c r="AB2521" s="328"/>
      <c r="AC2521" s="328"/>
      <c r="AD2521" s="328"/>
      <c r="AE2521" s="328"/>
      <c r="AF2521" s="1237"/>
    </row>
    <row r="2522" spans="1:34">
      <c r="A2522" s="493">
        <v>32.200000000000003</v>
      </c>
      <c r="B2522" s="293">
        <v>32.200000000000003</v>
      </c>
      <c r="C2522" s="293">
        <v>32.200000000000003</v>
      </c>
      <c r="D2522" s="293">
        <v>32.200000000000003</v>
      </c>
      <c r="E2522" s="293">
        <v>32.200000000000003</v>
      </c>
      <c r="F2522" s="293">
        <v>32.200000000000003</v>
      </c>
      <c r="G2522" s="293">
        <v>32.200000000000003</v>
      </c>
      <c r="H2522" s="293">
        <v>32.200000000000003</v>
      </c>
      <c r="I2522" s="293">
        <v>32.200000000000003</v>
      </c>
      <c r="J2522" s="293">
        <v>32.200000000000003</v>
      </c>
      <c r="K2522" s="293">
        <v>32.200000000000003</v>
      </c>
      <c r="L2522" s="293">
        <v>32.200000000000003</v>
      </c>
      <c r="M2522" s="293">
        <v>32.200000000000003</v>
      </c>
      <c r="N2522" s="293">
        <v>32.200000000000003</v>
      </c>
      <c r="O2522" s="293">
        <v>32.200000000000003</v>
      </c>
      <c r="P2522" s="293">
        <v>32.200000000000003</v>
      </c>
      <c r="Q2522" s="293">
        <v>32.200000000000003</v>
      </c>
      <c r="R2522" s="293">
        <v>32.200000000000003</v>
      </c>
      <c r="S2522" s="293">
        <v>32.200000000000003</v>
      </c>
      <c r="T2522" s="293">
        <v>32.200000000000003</v>
      </c>
      <c r="U2522" s="293">
        <v>32.200000000000003</v>
      </c>
      <c r="V2522" s="293">
        <v>32.200000000000003</v>
      </c>
      <c r="W2522" s="293">
        <v>32.200000000000003</v>
      </c>
      <c r="X2522" s="293">
        <v>32.200000000000003</v>
      </c>
      <c r="Y2522" s="293">
        <v>32.200000000000003</v>
      </c>
      <c r="Z2522" s="297">
        <v>32.200000000000003</v>
      </c>
      <c r="AA2522" s="328"/>
      <c r="AB2522" s="328"/>
      <c r="AC2522" s="328"/>
      <c r="AD2522" s="328"/>
      <c r="AE2522" s="328"/>
      <c r="AF2522" s="1237"/>
    </row>
    <row r="2523" spans="1:34">
      <c r="A2523" s="1236"/>
      <c r="B2523" s="297">
        <v>30.22</v>
      </c>
      <c r="C2523" s="297">
        <v>31.21</v>
      </c>
      <c r="D2523" s="297">
        <v>31.21</v>
      </c>
      <c r="E2523" s="297">
        <v>31.21</v>
      </c>
      <c r="F2523" s="297">
        <v>30.22</v>
      </c>
      <c r="G2523" s="328"/>
      <c r="H2523" s="297">
        <v>26.26</v>
      </c>
      <c r="I2523" s="297">
        <v>27.25</v>
      </c>
      <c r="J2523" s="297">
        <v>28.24</v>
      </c>
      <c r="K2523" s="297">
        <v>29.23</v>
      </c>
      <c r="L2523" s="297">
        <v>30.22</v>
      </c>
      <c r="M2523" s="297">
        <v>31.21</v>
      </c>
      <c r="N2523" s="297">
        <v>32.200000000000003</v>
      </c>
      <c r="O2523" s="297">
        <v>32.200000000000003</v>
      </c>
      <c r="P2523" s="293">
        <v>32.200000000000003</v>
      </c>
      <c r="Q2523" s="297">
        <v>32.200000000000003</v>
      </c>
      <c r="R2523" s="297">
        <v>32.200000000000003</v>
      </c>
      <c r="S2523" s="297">
        <v>31.21</v>
      </c>
      <c r="T2523" s="297">
        <v>30.22</v>
      </c>
      <c r="U2523" s="297">
        <v>29.23</v>
      </c>
      <c r="V2523" s="297">
        <v>28.24</v>
      </c>
      <c r="W2523" s="297">
        <v>27.25</v>
      </c>
      <c r="X2523" s="297">
        <v>26.26</v>
      </c>
      <c r="Y2523" s="328"/>
      <c r="Z2523" s="328"/>
      <c r="AA2523" s="328"/>
      <c r="AB2523" s="328"/>
      <c r="AC2523" s="328"/>
      <c r="AD2523" s="328"/>
      <c r="AE2523" s="328"/>
      <c r="AF2523" s="1237"/>
    </row>
    <row r="2524" spans="1:34">
      <c r="A2524" s="1236"/>
      <c r="B2524" s="328"/>
      <c r="C2524" s="328"/>
      <c r="D2524" s="328"/>
      <c r="E2524" s="328"/>
      <c r="F2524" s="328"/>
      <c r="G2524" s="328"/>
      <c r="H2524" s="328"/>
      <c r="I2524" s="328"/>
      <c r="J2524" s="328"/>
      <c r="K2524" s="328"/>
      <c r="L2524" s="328"/>
      <c r="M2524" s="328"/>
      <c r="N2524" s="328"/>
      <c r="O2524" s="328"/>
      <c r="P2524" s="328"/>
      <c r="Q2524" s="328"/>
      <c r="R2524" s="328"/>
      <c r="S2524" s="328"/>
      <c r="T2524" s="328"/>
      <c r="U2524" s="328"/>
      <c r="V2524" s="328"/>
      <c r="W2524" s="328"/>
      <c r="X2524" s="328"/>
      <c r="Y2524" s="328"/>
      <c r="Z2524" s="328"/>
      <c r="AA2524" s="328"/>
      <c r="AB2524" s="328"/>
      <c r="AC2524" s="328"/>
      <c r="AD2524" s="328"/>
      <c r="AE2524" s="328"/>
      <c r="AF2524" s="1237"/>
    </row>
    <row r="2525" spans="1:34">
      <c r="A2525" s="1236"/>
      <c r="B2525" s="328"/>
      <c r="C2525" s="328"/>
      <c r="D2525" s="328"/>
      <c r="E2525" s="328"/>
      <c r="F2525" s="328"/>
      <c r="G2525" s="328"/>
      <c r="H2525" s="328"/>
      <c r="I2525" s="328"/>
      <c r="J2525" s="328"/>
      <c r="K2525" s="328"/>
      <c r="L2525" s="328"/>
      <c r="M2525" s="328"/>
      <c r="N2525" s="328"/>
      <c r="O2525" s="328"/>
      <c r="P2525" s="328"/>
      <c r="Q2525" s="328"/>
      <c r="R2525" s="328"/>
      <c r="S2525" s="328"/>
      <c r="T2525" s="328"/>
      <c r="U2525" s="328"/>
      <c r="V2525" s="328"/>
      <c r="W2525" s="328"/>
      <c r="X2525" s="328"/>
      <c r="Y2525" s="328"/>
      <c r="Z2525" s="328"/>
      <c r="AA2525" s="328"/>
      <c r="AB2525" s="328"/>
      <c r="AC2525" s="328"/>
      <c r="AD2525" s="328"/>
      <c r="AE2525" s="328"/>
      <c r="AF2525" s="1237"/>
    </row>
    <row r="2526" spans="1:34">
      <c r="A2526" s="1236"/>
      <c r="B2526" s="328"/>
      <c r="C2526" s="328"/>
      <c r="D2526" s="328"/>
      <c r="E2526" s="328"/>
      <c r="F2526" s="328"/>
      <c r="G2526" s="328"/>
      <c r="H2526" s="328"/>
      <c r="I2526" s="328"/>
      <c r="J2526" s="328"/>
      <c r="K2526" s="328"/>
      <c r="L2526" s="328"/>
      <c r="M2526" s="328"/>
      <c r="N2526" s="328"/>
      <c r="O2526" s="328"/>
      <c r="P2526" s="328"/>
      <c r="Q2526" s="328"/>
      <c r="R2526" s="328"/>
      <c r="S2526" s="328"/>
      <c r="T2526" s="328"/>
      <c r="U2526" s="328"/>
      <c r="V2526" s="328"/>
      <c r="W2526" s="328"/>
      <c r="X2526" s="328"/>
      <c r="Y2526" s="328"/>
      <c r="Z2526" s="328"/>
      <c r="AA2526" s="328"/>
      <c r="AB2526" s="328"/>
      <c r="AC2526" s="328"/>
      <c r="AD2526" s="328"/>
      <c r="AE2526" s="328"/>
      <c r="AF2526" s="1237"/>
    </row>
    <row r="2527" spans="1:34">
      <c r="A2527" s="1236"/>
      <c r="B2527" s="328"/>
      <c r="C2527" s="328"/>
      <c r="D2527" s="328"/>
      <c r="E2527" s="328"/>
      <c r="F2527" s="328"/>
      <c r="G2527" s="328"/>
      <c r="H2527" s="328"/>
      <c r="I2527" s="328"/>
      <c r="J2527" s="328"/>
      <c r="K2527" s="328"/>
      <c r="L2527" s="328"/>
      <c r="M2527" s="328"/>
      <c r="N2527" s="328"/>
      <c r="O2527" s="328"/>
      <c r="P2527" s="328"/>
      <c r="Q2527" s="328"/>
      <c r="R2527" s="328"/>
      <c r="S2527" s="328"/>
      <c r="T2527" s="328"/>
      <c r="U2527" s="328"/>
      <c r="V2527" s="328"/>
      <c r="W2527" s="328"/>
      <c r="X2527" s="328"/>
      <c r="Y2527" s="328"/>
      <c r="Z2527" s="328"/>
      <c r="AA2527" s="328"/>
      <c r="AB2527" s="328"/>
      <c r="AC2527" s="328"/>
      <c r="AD2527" s="328"/>
      <c r="AE2527" s="328"/>
      <c r="AF2527" s="1237"/>
    </row>
    <row r="2528" spans="1:34">
      <c r="A2528" s="1236"/>
      <c r="B2528" s="328"/>
      <c r="C2528" s="328"/>
      <c r="D2528" s="328"/>
      <c r="E2528" s="328"/>
      <c r="F2528" s="328"/>
      <c r="G2528" s="328"/>
      <c r="H2528" s="328"/>
      <c r="I2528" s="328"/>
      <c r="J2528" s="328"/>
      <c r="K2528" s="328"/>
      <c r="L2528" s="328"/>
      <c r="M2528" s="328"/>
      <c r="N2528" s="328"/>
      <c r="O2528" s="328"/>
      <c r="P2528" s="328"/>
      <c r="Q2528" s="328"/>
      <c r="R2528" s="328"/>
      <c r="S2528" s="328"/>
      <c r="T2528" s="328"/>
      <c r="U2528" s="328"/>
      <c r="V2528" s="328"/>
      <c r="W2528" s="328"/>
      <c r="X2528" s="328"/>
      <c r="Y2528" s="328"/>
      <c r="Z2528" s="328"/>
      <c r="AA2528" s="328"/>
      <c r="AB2528" s="328"/>
      <c r="AC2528" s="328"/>
      <c r="AD2528" s="328"/>
      <c r="AE2528" s="328"/>
      <c r="AF2528" s="1237"/>
    </row>
    <row r="2529" spans="1:33">
      <c r="A2529" s="411">
        <v>32.01</v>
      </c>
      <c r="B2529" s="452">
        <v>15.17</v>
      </c>
      <c r="C2529" s="452">
        <v>15.17</v>
      </c>
      <c r="D2529" s="452">
        <v>15.17</v>
      </c>
      <c r="E2529" s="452">
        <v>15.17</v>
      </c>
      <c r="F2529" s="452">
        <v>15.17</v>
      </c>
      <c r="G2529" s="452">
        <v>15.17</v>
      </c>
      <c r="H2529" s="452">
        <v>15.17</v>
      </c>
      <c r="I2529" s="452">
        <v>1.17</v>
      </c>
      <c r="J2529" s="452">
        <v>1.17</v>
      </c>
      <c r="K2529" s="452">
        <v>1.17</v>
      </c>
      <c r="L2529" s="452">
        <v>1.17</v>
      </c>
      <c r="M2529" s="452">
        <v>1.17</v>
      </c>
      <c r="N2529" s="452">
        <v>1.17</v>
      </c>
      <c r="O2529" s="452">
        <v>1.17</v>
      </c>
      <c r="P2529" s="452">
        <v>1.17</v>
      </c>
      <c r="Q2529" s="452">
        <v>1.17</v>
      </c>
      <c r="R2529" s="452">
        <v>1.17</v>
      </c>
      <c r="S2529" s="452">
        <v>1.17</v>
      </c>
      <c r="T2529" s="452">
        <v>1.17</v>
      </c>
      <c r="U2529" s="452">
        <v>1.17</v>
      </c>
      <c r="V2529" s="452">
        <v>1.17</v>
      </c>
      <c r="W2529" s="452">
        <v>1.17</v>
      </c>
      <c r="X2529" s="452">
        <v>1.17</v>
      </c>
      <c r="Y2529" s="452">
        <v>15.17</v>
      </c>
      <c r="Z2529" s="452">
        <v>15.17</v>
      </c>
      <c r="AA2529" s="452">
        <v>15.17</v>
      </c>
      <c r="AB2529" s="452">
        <v>15.17</v>
      </c>
      <c r="AC2529" s="452">
        <v>15.17</v>
      </c>
      <c r="AD2529" s="452">
        <v>15.17</v>
      </c>
      <c r="AE2529" s="452">
        <v>15.17</v>
      </c>
      <c r="AF2529" s="452">
        <v>15.17</v>
      </c>
      <c r="AG2529">
        <v>80</v>
      </c>
    </row>
    <row r="2530" spans="1:33">
      <c r="A2530" s="411">
        <v>32.01</v>
      </c>
      <c r="B2530" s="411">
        <v>32.01</v>
      </c>
      <c r="C2530" s="411">
        <v>32.01</v>
      </c>
      <c r="D2530" s="411">
        <v>32.01</v>
      </c>
      <c r="E2530" s="411">
        <v>32.01</v>
      </c>
      <c r="F2530" s="411">
        <v>32.01</v>
      </c>
      <c r="G2530" s="411">
        <v>32.01</v>
      </c>
      <c r="H2530" s="411">
        <v>32.01</v>
      </c>
      <c r="I2530" s="411">
        <v>1.1399999999999999</v>
      </c>
      <c r="J2530" s="411">
        <v>1.1399999999999999</v>
      </c>
      <c r="K2530" s="411">
        <v>1.1399999999999999</v>
      </c>
      <c r="L2530" s="411">
        <v>1.1399999999999999</v>
      </c>
      <c r="M2530" s="411">
        <v>1.1399999999999999</v>
      </c>
      <c r="N2530" s="411">
        <v>1.1399999999999999</v>
      </c>
      <c r="O2530" s="411">
        <v>1.1399999999999999</v>
      </c>
      <c r="P2530" s="411">
        <v>1.1399999999999999</v>
      </c>
      <c r="Q2530" s="411">
        <v>1.1399999999999999</v>
      </c>
      <c r="R2530" s="411">
        <v>1.1399999999999999</v>
      </c>
      <c r="S2530" s="411">
        <v>1.1399999999999999</v>
      </c>
      <c r="T2530" s="411">
        <v>1.1399999999999999</v>
      </c>
      <c r="U2530" s="411">
        <v>1.1399999999999999</v>
      </c>
      <c r="V2530" s="411">
        <v>1.1399999999999999</v>
      </c>
      <c r="W2530" s="411">
        <v>1.1399999999999999</v>
      </c>
      <c r="X2530" s="411">
        <v>1.1399999999999999</v>
      </c>
      <c r="Y2530" s="411">
        <v>32.01</v>
      </c>
      <c r="Z2530" s="411">
        <v>32.01</v>
      </c>
      <c r="AA2530" s="411">
        <v>32.01</v>
      </c>
      <c r="AB2530" s="411">
        <v>32.01</v>
      </c>
      <c r="AC2530" s="411">
        <v>32.01</v>
      </c>
      <c r="AD2530" s="411">
        <v>32.01</v>
      </c>
      <c r="AE2530" s="411">
        <v>32.01</v>
      </c>
      <c r="AF2530" s="411">
        <v>32.01</v>
      </c>
    </row>
    <row r="2531" spans="1:33">
      <c r="A2531" s="411">
        <v>15.17</v>
      </c>
      <c r="B2531" s="452">
        <v>32.01</v>
      </c>
      <c r="C2531" s="411">
        <v>32.01</v>
      </c>
      <c r="D2531" s="411">
        <v>32.01</v>
      </c>
      <c r="E2531" s="411">
        <v>32.01</v>
      </c>
      <c r="F2531" s="411">
        <v>32.01</v>
      </c>
      <c r="G2531" s="439">
        <v>32.01</v>
      </c>
      <c r="H2531" s="411">
        <v>2.13</v>
      </c>
      <c r="I2531" s="411">
        <v>1.1399999999999999</v>
      </c>
      <c r="J2531" s="411">
        <v>1.1399999999999999</v>
      </c>
      <c r="K2531" s="439">
        <v>1.1399999999999999</v>
      </c>
      <c r="L2531" s="439">
        <v>1.1399999999999999</v>
      </c>
      <c r="M2531" s="439">
        <v>1.1399999999999999</v>
      </c>
      <c r="N2531" s="439">
        <v>1.1399999999999999</v>
      </c>
      <c r="O2531" s="439">
        <v>1.1399999999999999</v>
      </c>
      <c r="P2531" s="439">
        <v>1.1399999999999999</v>
      </c>
      <c r="Q2531" s="439">
        <v>1.1399999999999999</v>
      </c>
      <c r="R2531" s="439">
        <v>1.1399999999999999</v>
      </c>
      <c r="S2531" s="439">
        <v>1.1399999999999999</v>
      </c>
      <c r="T2531" s="439">
        <v>1.1399999999999999</v>
      </c>
      <c r="U2531" s="439">
        <v>1.1399999999999999</v>
      </c>
      <c r="V2531" s="439">
        <v>1.1399999999999999</v>
      </c>
      <c r="W2531" s="411">
        <v>1.1399999999999999</v>
      </c>
      <c r="X2531" s="411">
        <v>1.1399999999999999</v>
      </c>
      <c r="Y2531" s="411">
        <v>2.13</v>
      </c>
      <c r="Z2531" s="439">
        <v>32.01</v>
      </c>
      <c r="AA2531" s="411">
        <v>32.01</v>
      </c>
      <c r="AB2531" s="411">
        <v>32.01</v>
      </c>
      <c r="AC2531" s="411">
        <v>32.01</v>
      </c>
      <c r="AD2531" s="411">
        <v>32.01</v>
      </c>
      <c r="AE2531" s="452">
        <v>32.01</v>
      </c>
      <c r="AF2531" s="411">
        <v>15.17</v>
      </c>
    </row>
    <row r="2532" spans="1:33">
      <c r="A2532" s="411">
        <v>15.17</v>
      </c>
      <c r="B2532" s="452">
        <v>32.01</v>
      </c>
      <c r="C2532" s="411">
        <v>32.01</v>
      </c>
      <c r="D2532" s="326"/>
      <c r="E2532" s="326"/>
      <c r="F2532" s="326"/>
      <c r="G2532" s="439">
        <v>32.01</v>
      </c>
      <c r="H2532" s="411">
        <v>4.1100000000000003</v>
      </c>
      <c r="I2532" s="293">
        <v>1.1399999999999999</v>
      </c>
      <c r="J2532" s="293">
        <v>1.1399999999999999</v>
      </c>
      <c r="K2532" s="411">
        <v>1.1399999999999999</v>
      </c>
      <c r="L2532" s="411">
        <v>1.1399999999999999</v>
      </c>
      <c r="M2532" s="411">
        <v>1.1399999999999999</v>
      </c>
      <c r="N2532" s="439">
        <v>1.1399999999999999</v>
      </c>
      <c r="O2532" s="439">
        <v>1.1399999999999999</v>
      </c>
      <c r="P2532" s="439">
        <v>1.1399999999999999</v>
      </c>
      <c r="Q2532" s="439">
        <v>1.1399999999999999</v>
      </c>
      <c r="R2532" s="439">
        <v>1.1399999999999999</v>
      </c>
      <c r="S2532" s="439">
        <v>1.1399999999999999</v>
      </c>
      <c r="T2532" s="411">
        <v>1.1399999999999999</v>
      </c>
      <c r="U2532" s="411">
        <v>1.1399999999999999</v>
      </c>
      <c r="V2532" s="411">
        <v>1.1399999999999999</v>
      </c>
      <c r="W2532" s="293">
        <v>1.1399999999999999</v>
      </c>
      <c r="X2532" s="293">
        <v>1.1399999999999999</v>
      </c>
      <c r="Y2532" s="411">
        <v>4.1100000000000003</v>
      </c>
      <c r="Z2532" s="439">
        <v>32.01</v>
      </c>
      <c r="AA2532" s="326"/>
      <c r="AB2532" s="326"/>
      <c r="AC2532" s="326"/>
      <c r="AD2532" s="411">
        <v>32.01</v>
      </c>
      <c r="AE2532" s="452">
        <v>32.01</v>
      </c>
      <c r="AF2532" s="411">
        <v>15.17</v>
      </c>
    </row>
    <row r="2533" spans="1:33">
      <c r="A2533" s="411">
        <v>15.17</v>
      </c>
      <c r="B2533" s="452">
        <v>32.01</v>
      </c>
      <c r="C2533" s="411">
        <v>32.01</v>
      </c>
      <c r="D2533" s="326"/>
      <c r="E2533" s="326"/>
      <c r="F2533" s="326"/>
      <c r="G2533" s="439">
        <v>32.01</v>
      </c>
      <c r="H2533" s="411">
        <v>6.09</v>
      </c>
      <c r="I2533" s="293">
        <v>1.1399999999999999</v>
      </c>
      <c r="J2533" s="293">
        <v>1.1399999999999999</v>
      </c>
      <c r="K2533" s="293">
        <v>1.1399999999999999</v>
      </c>
      <c r="L2533" s="293">
        <v>1.1399999999999999</v>
      </c>
      <c r="M2533" s="293">
        <v>1.1399999999999999</v>
      </c>
      <c r="N2533" s="293">
        <v>1.1399999999999999</v>
      </c>
      <c r="O2533" s="293">
        <v>1.1399999999999999</v>
      </c>
      <c r="P2533" s="439">
        <v>1.1399999999999999</v>
      </c>
      <c r="Q2533" s="439">
        <v>1.1399999999999999</v>
      </c>
      <c r="R2533" s="293">
        <v>1.1399999999999999</v>
      </c>
      <c r="S2533" s="293">
        <v>1.1399999999999999</v>
      </c>
      <c r="T2533" s="293">
        <v>1.1399999999999999</v>
      </c>
      <c r="U2533" s="293">
        <v>1.1399999999999999</v>
      </c>
      <c r="V2533" s="293">
        <v>1.1399999999999999</v>
      </c>
      <c r="W2533" s="293">
        <v>1.1399999999999999</v>
      </c>
      <c r="X2533" s="293">
        <v>1.1399999999999999</v>
      </c>
      <c r="Y2533" s="411">
        <v>6.09</v>
      </c>
      <c r="Z2533" s="439">
        <v>32.01</v>
      </c>
      <c r="AA2533" s="326"/>
      <c r="AB2533" s="326"/>
      <c r="AC2533" s="326"/>
      <c r="AD2533" s="411">
        <v>32.01</v>
      </c>
      <c r="AE2533" s="452">
        <v>32.01</v>
      </c>
      <c r="AF2533" s="411">
        <v>15.17</v>
      </c>
    </row>
    <row r="2534" spans="1:33">
      <c r="A2534" s="411">
        <v>15.17</v>
      </c>
      <c r="B2534" s="452">
        <v>32.01</v>
      </c>
      <c r="C2534" s="411">
        <v>32.01</v>
      </c>
      <c r="D2534" s="326"/>
      <c r="E2534" s="326"/>
      <c r="F2534" s="326"/>
      <c r="G2534" s="439">
        <v>32.01</v>
      </c>
      <c r="H2534" s="411">
        <v>7.08</v>
      </c>
      <c r="I2534" s="411">
        <v>1.31</v>
      </c>
      <c r="J2534" s="411">
        <v>1.29</v>
      </c>
      <c r="K2534" s="411">
        <v>1.27</v>
      </c>
      <c r="L2534" s="411">
        <v>1.25</v>
      </c>
      <c r="M2534" s="411">
        <v>1.23</v>
      </c>
      <c r="N2534" s="411">
        <v>1.21</v>
      </c>
      <c r="O2534" s="411">
        <v>1.19</v>
      </c>
      <c r="P2534" s="411">
        <v>1.17</v>
      </c>
      <c r="Q2534" s="411">
        <v>1.17</v>
      </c>
      <c r="R2534" s="411">
        <v>1.19</v>
      </c>
      <c r="S2534" s="411">
        <v>1.21</v>
      </c>
      <c r="T2534" s="411">
        <v>1.23</v>
      </c>
      <c r="U2534" s="411">
        <v>1.25</v>
      </c>
      <c r="V2534" s="411">
        <v>1.27</v>
      </c>
      <c r="W2534" s="411">
        <v>1.29</v>
      </c>
      <c r="X2534" s="411">
        <v>1.31</v>
      </c>
      <c r="Y2534" s="411">
        <v>7.08</v>
      </c>
      <c r="Z2534" s="439">
        <v>32.01</v>
      </c>
      <c r="AA2534" s="326"/>
      <c r="AB2534" s="326"/>
      <c r="AC2534" s="326"/>
      <c r="AD2534" s="411">
        <v>32.01</v>
      </c>
      <c r="AE2534" s="452">
        <v>32.01</v>
      </c>
      <c r="AF2534" s="411">
        <v>15.17</v>
      </c>
    </row>
    <row r="2535" spans="1:33">
      <c r="A2535" s="411">
        <v>15.17</v>
      </c>
      <c r="B2535" s="452">
        <v>32.01</v>
      </c>
      <c r="C2535" s="411">
        <v>32.01</v>
      </c>
      <c r="D2535" s="326"/>
      <c r="E2535" s="326"/>
      <c r="F2535" s="326"/>
      <c r="G2535" s="293">
        <v>32.01</v>
      </c>
      <c r="H2535" s="293">
        <v>32.01</v>
      </c>
      <c r="I2535" s="411">
        <v>1.31</v>
      </c>
      <c r="J2535" s="411">
        <v>1.31</v>
      </c>
      <c r="K2535" s="411">
        <v>1.31</v>
      </c>
      <c r="L2535" s="411">
        <v>1.31</v>
      </c>
      <c r="M2535" s="411">
        <v>1.31</v>
      </c>
      <c r="N2535" s="411">
        <v>1.31</v>
      </c>
      <c r="O2535" s="411">
        <v>1.31</v>
      </c>
      <c r="P2535" s="411">
        <v>1.31</v>
      </c>
      <c r="Q2535" s="411">
        <v>1.31</v>
      </c>
      <c r="R2535" s="411">
        <v>1.31</v>
      </c>
      <c r="S2535" s="411">
        <v>1.31</v>
      </c>
      <c r="T2535" s="411">
        <v>1.31</v>
      </c>
      <c r="U2535" s="411">
        <v>1.31</v>
      </c>
      <c r="V2535" s="411">
        <v>1.31</v>
      </c>
      <c r="W2535" s="411">
        <v>1.31</v>
      </c>
      <c r="X2535" s="411">
        <v>1.31</v>
      </c>
      <c r="Y2535" s="293">
        <v>32.01</v>
      </c>
      <c r="Z2535" s="293">
        <v>32.01</v>
      </c>
      <c r="AA2535" s="326"/>
      <c r="AB2535" s="326"/>
      <c r="AC2535" s="326"/>
      <c r="AD2535" s="411">
        <v>32.01</v>
      </c>
      <c r="AE2535" s="452">
        <v>32.01</v>
      </c>
      <c r="AF2535" s="411">
        <v>15.17</v>
      </c>
    </row>
    <row r="2536" spans="1:33">
      <c r="A2536" s="411">
        <v>15.17</v>
      </c>
      <c r="B2536" s="452">
        <v>32.01</v>
      </c>
      <c r="C2536" s="411">
        <v>32.01</v>
      </c>
      <c r="D2536" s="326"/>
      <c r="E2536" s="326"/>
      <c r="F2536" s="326"/>
      <c r="G2536" s="293">
        <v>32.01</v>
      </c>
      <c r="H2536" s="411">
        <v>1.31</v>
      </c>
      <c r="I2536" s="411">
        <v>1.31</v>
      </c>
      <c r="J2536" s="439">
        <v>1.31</v>
      </c>
      <c r="K2536" s="439">
        <v>1.31</v>
      </c>
      <c r="L2536" s="439">
        <v>1.31</v>
      </c>
      <c r="M2536" s="439">
        <v>1.31</v>
      </c>
      <c r="N2536" s="439">
        <v>1.31</v>
      </c>
      <c r="O2536" s="439">
        <v>1.31</v>
      </c>
      <c r="P2536" s="439">
        <v>1.31</v>
      </c>
      <c r="Q2536" s="439">
        <v>1.31</v>
      </c>
      <c r="R2536" s="439">
        <v>1.31</v>
      </c>
      <c r="S2536" s="439">
        <v>1.31</v>
      </c>
      <c r="T2536" s="439">
        <v>1.31</v>
      </c>
      <c r="U2536" s="439">
        <v>1.31</v>
      </c>
      <c r="V2536" s="439">
        <v>1.31</v>
      </c>
      <c r="W2536" s="411">
        <v>1.31</v>
      </c>
      <c r="X2536" s="411">
        <v>1.31</v>
      </c>
      <c r="Y2536" s="411">
        <v>1.31</v>
      </c>
      <c r="Z2536" s="293">
        <v>32.01</v>
      </c>
      <c r="AA2536" s="326"/>
      <c r="AB2536" s="326"/>
      <c r="AC2536" s="326"/>
      <c r="AD2536" s="411">
        <v>32.01</v>
      </c>
      <c r="AE2536" s="452">
        <v>32.01</v>
      </c>
      <c r="AF2536" s="411">
        <v>15.17</v>
      </c>
    </row>
    <row r="2537" spans="1:33">
      <c r="A2537" s="411">
        <v>15.17</v>
      </c>
      <c r="B2537" s="452">
        <v>32.01</v>
      </c>
      <c r="C2537" s="411">
        <v>32.01</v>
      </c>
      <c r="D2537" s="326"/>
      <c r="E2537" s="326"/>
      <c r="F2537" s="326"/>
      <c r="G2537" s="293">
        <v>32.01</v>
      </c>
      <c r="H2537" s="411">
        <v>3.29</v>
      </c>
      <c r="I2537" s="411">
        <v>1.31</v>
      </c>
      <c r="J2537" s="411">
        <v>1.31</v>
      </c>
      <c r="K2537" s="439">
        <v>1.31</v>
      </c>
      <c r="L2537" s="439">
        <v>1.31</v>
      </c>
      <c r="M2537" s="439">
        <v>1.31</v>
      </c>
      <c r="N2537" s="439">
        <v>1.31</v>
      </c>
      <c r="O2537" s="439">
        <v>1.31</v>
      </c>
      <c r="P2537" s="439">
        <v>1.31</v>
      </c>
      <c r="Q2537" s="439">
        <v>1.31</v>
      </c>
      <c r="R2537" s="439">
        <v>1.31</v>
      </c>
      <c r="S2537" s="439">
        <v>1.31</v>
      </c>
      <c r="T2537" s="439">
        <v>1.31</v>
      </c>
      <c r="U2537" s="439">
        <v>1.31</v>
      </c>
      <c r="V2537" s="411">
        <v>1.31</v>
      </c>
      <c r="W2537" s="411">
        <v>1.31</v>
      </c>
      <c r="X2537" s="439">
        <v>1.31</v>
      </c>
      <c r="Y2537" s="411">
        <v>3.29</v>
      </c>
      <c r="Z2537" s="293">
        <v>32.01</v>
      </c>
      <c r="AA2537" s="326"/>
      <c r="AB2537" s="326"/>
      <c r="AC2537" s="326"/>
      <c r="AD2537" s="411">
        <v>32.01</v>
      </c>
      <c r="AE2537" s="452">
        <v>32.01</v>
      </c>
      <c r="AF2537" s="411">
        <v>15.17</v>
      </c>
    </row>
    <row r="2538" spans="1:33">
      <c r="A2538" s="411">
        <v>15.17</v>
      </c>
      <c r="B2538" s="452">
        <v>32.01</v>
      </c>
      <c r="C2538" s="411">
        <v>32.01</v>
      </c>
      <c r="D2538" s="326"/>
      <c r="E2538" s="326"/>
      <c r="F2538" s="326"/>
      <c r="G2538" s="293">
        <v>32.01</v>
      </c>
      <c r="H2538" s="411">
        <v>5.27</v>
      </c>
      <c r="I2538" s="439">
        <v>1.31</v>
      </c>
      <c r="J2538" s="411">
        <v>1.31</v>
      </c>
      <c r="K2538" s="411">
        <v>1.31</v>
      </c>
      <c r="L2538" s="439">
        <v>1.31</v>
      </c>
      <c r="M2538" s="439">
        <v>1.31</v>
      </c>
      <c r="N2538" s="439">
        <v>1.31</v>
      </c>
      <c r="O2538" s="439">
        <v>1.31</v>
      </c>
      <c r="P2538" s="439">
        <v>1.31</v>
      </c>
      <c r="Q2538" s="439">
        <v>1.31</v>
      </c>
      <c r="R2538" s="439">
        <v>1.31</v>
      </c>
      <c r="S2538" s="439">
        <v>1.31</v>
      </c>
      <c r="T2538" s="439">
        <v>1.31</v>
      </c>
      <c r="U2538" s="411">
        <v>1.31</v>
      </c>
      <c r="V2538" s="411">
        <v>1.31</v>
      </c>
      <c r="W2538" s="439">
        <v>1.31</v>
      </c>
      <c r="X2538" s="293">
        <v>1.31</v>
      </c>
      <c r="Y2538" s="411">
        <v>5.27</v>
      </c>
      <c r="Z2538" s="293">
        <v>32.01</v>
      </c>
      <c r="AA2538" s="326"/>
      <c r="AB2538" s="326"/>
      <c r="AC2538" s="326"/>
      <c r="AD2538" s="411">
        <v>32.01</v>
      </c>
      <c r="AE2538" s="452">
        <v>32.01</v>
      </c>
      <c r="AF2538" s="411">
        <v>15.17</v>
      </c>
    </row>
    <row r="2539" spans="1:33">
      <c r="A2539" s="411">
        <v>15.17</v>
      </c>
      <c r="B2539" s="452">
        <v>32.01</v>
      </c>
      <c r="C2539" s="411">
        <v>32.01</v>
      </c>
      <c r="D2539" s="326"/>
      <c r="E2539" s="326"/>
      <c r="F2539" s="326"/>
      <c r="G2539" s="293">
        <v>32.01</v>
      </c>
      <c r="H2539" s="411">
        <v>7.25</v>
      </c>
      <c r="I2539" s="293">
        <v>1.31</v>
      </c>
      <c r="J2539" s="439">
        <v>1.31</v>
      </c>
      <c r="K2539" s="411">
        <v>1.31</v>
      </c>
      <c r="L2539" s="411">
        <v>1.31</v>
      </c>
      <c r="M2539" s="439">
        <v>1.31</v>
      </c>
      <c r="N2539" s="439">
        <v>1.31</v>
      </c>
      <c r="O2539" s="439">
        <v>1.31</v>
      </c>
      <c r="P2539" s="439">
        <v>1.31</v>
      </c>
      <c r="Q2539" s="439">
        <v>1.31</v>
      </c>
      <c r="R2539" s="439">
        <v>1.31</v>
      </c>
      <c r="S2539" s="439">
        <v>1.31</v>
      </c>
      <c r="T2539" s="411">
        <v>1.31</v>
      </c>
      <c r="U2539" s="411">
        <v>1.31</v>
      </c>
      <c r="V2539" s="439">
        <v>1.31</v>
      </c>
      <c r="W2539" s="293">
        <v>1.31</v>
      </c>
      <c r="X2539" s="293">
        <v>1.31</v>
      </c>
      <c r="Y2539" s="411">
        <v>7.25</v>
      </c>
      <c r="Z2539" s="293">
        <v>32.01</v>
      </c>
      <c r="AA2539" s="326"/>
      <c r="AB2539" s="326"/>
      <c r="AC2539" s="326"/>
      <c r="AD2539" s="411">
        <v>32.01</v>
      </c>
      <c r="AE2539" s="452">
        <v>32.01</v>
      </c>
      <c r="AF2539" s="411">
        <v>15.17</v>
      </c>
    </row>
    <row r="2540" spans="1:33">
      <c r="A2540" s="411">
        <v>15.17</v>
      </c>
      <c r="B2540" s="452">
        <v>32.01</v>
      </c>
      <c r="C2540" s="411">
        <v>32.01</v>
      </c>
      <c r="D2540" s="326"/>
      <c r="E2540" s="326"/>
      <c r="F2540" s="326"/>
      <c r="G2540" s="293">
        <v>32.01</v>
      </c>
      <c r="H2540" s="411">
        <v>9.23</v>
      </c>
      <c r="I2540" s="293">
        <v>1.31</v>
      </c>
      <c r="J2540" s="293">
        <v>1.31</v>
      </c>
      <c r="K2540" s="439">
        <v>1.31</v>
      </c>
      <c r="L2540" s="411">
        <v>1.31</v>
      </c>
      <c r="M2540" s="411">
        <v>1.31</v>
      </c>
      <c r="N2540" s="439">
        <v>1.31</v>
      </c>
      <c r="O2540" s="439">
        <v>1.31</v>
      </c>
      <c r="P2540" s="439">
        <v>1.31</v>
      </c>
      <c r="Q2540" s="439">
        <v>1.31</v>
      </c>
      <c r="R2540" s="439">
        <v>1.31</v>
      </c>
      <c r="S2540" s="411">
        <v>1.31</v>
      </c>
      <c r="T2540" s="411">
        <v>1.31</v>
      </c>
      <c r="U2540" s="439">
        <v>1.31</v>
      </c>
      <c r="V2540" s="293">
        <v>1.31</v>
      </c>
      <c r="W2540" s="293">
        <v>1.31</v>
      </c>
      <c r="X2540" s="293">
        <v>1.31</v>
      </c>
      <c r="Y2540" s="411">
        <v>9.23</v>
      </c>
      <c r="Z2540" s="293">
        <v>32.01</v>
      </c>
      <c r="AA2540" s="326"/>
      <c r="AB2540" s="326"/>
      <c r="AC2540" s="326"/>
      <c r="AD2540" s="411">
        <v>32.01</v>
      </c>
      <c r="AE2540" s="452">
        <v>32.01</v>
      </c>
      <c r="AF2540" s="411">
        <v>15.17</v>
      </c>
    </row>
    <row r="2541" spans="1:33">
      <c r="A2541" s="411">
        <v>15.17</v>
      </c>
      <c r="B2541" s="452">
        <v>32.01</v>
      </c>
      <c r="C2541" s="411">
        <v>32.01</v>
      </c>
      <c r="D2541" s="326"/>
      <c r="E2541" s="326"/>
      <c r="F2541" s="326"/>
      <c r="G2541" s="293">
        <v>32.01</v>
      </c>
      <c r="H2541" s="411">
        <v>11.21</v>
      </c>
      <c r="I2541" s="293">
        <v>1.31</v>
      </c>
      <c r="J2541" s="293">
        <v>1.31</v>
      </c>
      <c r="K2541" s="293">
        <v>1.31</v>
      </c>
      <c r="L2541" s="439">
        <v>1.31</v>
      </c>
      <c r="M2541" s="411">
        <v>1.31</v>
      </c>
      <c r="N2541" s="411">
        <v>1.31</v>
      </c>
      <c r="O2541" s="439">
        <v>1.31</v>
      </c>
      <c r="P2541" s="439">
        <v>1.31</v>
      </c>
      <c r="Q2541" s="439">
        <v>1.31</v>
      </c>
      <c r="R2541" s="411">
        <v>1.31</v>
      </c>
      <c r="S2541" s="411">
        <v>1.31</v>
      </c>
      <c r="T2541" s="439">
        <v>1.31</v>
      </c>
      <c r="U2541" s="293">
        <v>1.31</v>
      </c>
      <c r="V2541" s="293">
        <v>1.31</v>
      </c>
      <c r="W2541" s="293">
        <v>1.31</v>
      </c>
      <c r="X2541" s="293">
        <v>1.31</v>
      </c>
      <c r="Y2541" s="411">
        <v>11.21</v>
      </c>
      <c r="Z2541" s="293">
        <v>32.01</v>
      </c>
      <c r="AA2541" s="326"/>
      <c r="AB2541" s="326"/>
      <c r="AC2541" s="326"/>
      <c r="AD2541" s="411">
        <v>32.01</v>
      </c>
      <c r="AE2541" s="452">
        <v>32.01</v>
      </c>
      <c r="AF2541" s="411">
        <v>15.17</v>
      </c>
    </row>
    <row r="2542" spans="1:33">
      <c r="A2542" s="411">
        <v>15.17</v>
      </c>
      <c r="B2542" s="452">
        <v>32.01</v>
      </c>
      <c r="C2542" s="411">
        <v>32.01</v>
      </c>
      <c r="D2542" s="326"/>
      <c r="E2542" s="326"/>
      <c r="F2542" s="326"/>
      <c r="G2542" s="293">
        <v>32.01</v>
      </c>
      <c r="H2542" s="411">
        <v>13.19</v>
      </c>
      <c r="I2542" s="293">
        <v>1.31</v>
      </c>
      <c r="J2542" s="293">
        <v>1.31</v>
      </c>
      <c r="K2542" s="293">
        <v>1.31</v>
      </c>
      <c r="L2542" s="293">
        <v>1.31</v>
      </c>
      <c r="M2542" s="439">
        <v>1.31</v>
      </c>
      <c r="N2542" s="411">
        <v>1.31</v>
      </c>
      <c r="O2542" s="411">
        <v>1.31</v>
      </c>
      <c r="P2542" s="439">
        <v>1.31</v>
      </c>
      <c r="Q2542" s="411">
        <v>1.31</v>
      </c>
      <c r="R2542" s="411">
        <v>1.31</v>
      </c>
      <c r="S2542" s="439">
        <v>1.31</v>
      </c>
      <c r="T2542" s="293">
        <v>1.31</v>
      </c>
      <c r="U2542" s="293">
        <v>1.31</v>
      </c>
      <c r="V2542" s="293">
        <v>1.31</v>
      </c>
      <c r="W2542" s="293">
        <v>1.31</v>
      </c>
      <c r="X2542" s="293">
        <v>1.31</v>
      </c>
      <c r="Y2542" s="411">
        <v>13.19</v>
      </c>
      <c r="Z2542" s="293">
        <v>32.01</v>
      </c>
      <c r="AA2542" s="326"/>
      <c r="AB2542" s="326"/>
      <c r="AC2542" s="326"/>
      <c r="AD2542" s="411">
        <v>32.01</v>
      </c>
      <c r="AE2542" s="452">
        <v>32.01</v>
      </c>
      <c r="AF2542" s="411">
        <v>15.17</v>
      </c>
    </row>
    <row r="2543" spans="1:33">
      <c r="A2543" s="411">
        <v>15.17</v>
      </c>
      <c r="B2543" s="452">
        <v>32.01</v>
      </c>
      <c r="C2543" s="411">
        <v>32.01</v>
      </c>
      <c r="D2543" s="326"/>
      <c r="E2543" s="326"/>
      <c r="F2543" s="326"/>
      <c r="G2543" s="293">
        <v>32.01</v>
      </c>
      <c r="H2543" s="411">
        <v>15.17</v>
      </c>
      <c r="I2543" s="293">
        <v>1.31</v>
      </c>
      <c r="J2543" s="293">
        <v>1.31</v>
      </c>
      <c r="K2543" s="293">
        <v>1.31</v>
      </c>
      <c r="L2543" s="293">
        <v>1.31</v>
      </c>
      <c r="M2543" s="293">
        <v>1.31</v>
      </c>
      <c r="N2543" s="439">
        <v>1.31</v>
      </c>
      <c r="O2543" s="411">
        <v>1.31</v>
      </c>
      <c r="P2543" s="411">
        <v>1.31</v>
      </c>
      <c r="Q2543" s="411">
        <v>1.31</v>
      </c>
      <c r="R2543" s="439">
        <v>1.31</v>
      </c>
      <c r="S2543" s="293">
        <v>1.31</v>
      </c>
      <c r="T2543" s="293">
        <v>1.31</v>
      </c>
      <c r="U2543" s="293">
        <v>1.31</v>
      </c>
      <c r="V2543" s="293">
        <v>1.31</v>
      </c>
      <c r="W2543" s="293">
        <v>1.31</v>
      </c>
      <c r="X2543" s="293">
        <v>1.31</v>
      </c>
      <c r="Y2543" s="411">
        <v>15.17</v>
      </c>
      <c r="Z2543" s="293">
        <v>32.01</v>
      </c>
      <c r="AA2543" s="326"/>
      <c r="AB2543" s="326"/>
      <c r="AC2543" s="326"/>
      <c r="AD2543" s="411">
        <v>32.01</v>
      </c>
      <c r="AE2543" s="452">
        <v>32.01</v>
      </c>
      <c r="AF2543" s="411">
        <v>15.17</v>
      </c>
    </row>
    <row r="2544" spans="1:33">
      <c r="A2544" s="411">
        <v>15.17</v>
      </c>
      <c r="B2544" s="452">
        <v>32.01</v>
      </c>
      <c r="C2544" s="411">
        <v>32.01</v>
      </c>
      <c r="D2544" s="326"/>
      <c r="E2544" s="326"/>
      <c r="F2544" s="326"/>
      <c r="G2544" s="439">
        <v>32.01</v>
      </c>
      <c r="H2544" s="411">
        <v>15.17</v>
      </c>
      <c r="I2544" s="293">
        <v>1.31</v>
      </c>
      <c r="J2544" s="293">
        <v>1.31</v>
      </c>
      <c r="K2544" s="293">
        <v>1.31</v>
      </c>
      <c r="L2544" s="293">
        <v>1.31</v>
      </c>
      <c r="M2544" s="293">
        <v>1.31</v>
      </c>
      <c r="N2544" s="293">
        <v>1.31</v>
      </c>
      <c r="O2544" s="439">
        <v>1.31</v>
      </c>
      <c r="P2544" s="411">
        <v>1.31</v>
      </c>
      <c r="Q2544" s="439">
        <v>1.31</v>
      </c>
      <c r="R2544" s="293">
        <v>1.31</v>
      </c>
      <c r="S2544" s="293">
        <v>1.31</v>
      </c>
      <c r="T2544" s="293">
        <v>1.31</v>
      </c>
      <c r="U2544" s="293">
        <v>1.31</v>
      </c>
      <c r="V2544" s="293">
        <v>1.31</v>
      </c>
      <c r="W2544" s="293">
        <v>1.31</v>
      </c>
      <c r="X2544" s="293">
        <v>1.31</v>
      </c>
      <c r="Y2544" s="411">
        <v>15.17</v>
      </c>
      <c r="Z2544" s="439">
        <v>32.01</v>
      </c>
      <c r="AA2544" s="326"/>
      <c r="AB2544" s="326"/>
      <c r="AC2544" s="326"/>
      <c r="AD2544" s="411">
        <v>32.01</v>
      </c>
      <c r="AE2544" s="452">
        <v>32.01</v>
      </c>
      <c r="AF2544" s="411">
        <v>15.17</v>
      </c>
    </row>
    <row r="2545" spans="1:32">
      <c r="A2545" s="411">
        <v>15.17</v>
      </c>
      <c r="B2545" s="452">
        <v>32.01</v>
      </c>
      <c r="C2545" s="411">
        <v>32.01</v>
      </c>
      <c r="D2545" s="326"/>
      <c r="E2545" s="326"/>
      <c r="F2545" s="326"/>
      <c r="G2545" s="439">
        <v>32.01</v>
      </c>
      <c r="H2545" s="411">
        <v>13.19</v>
      </c>
      <c r="I2545" s="293">
        <v>1.31</v>
      </c>
      <c r="J2545" s="293">
        <v>1.31</v>
      </c>
      <c r="K2545" s="293">
        <v>1.31</v>
      </c>
      <c r="L2545" s="293">
        <v>1.31</v>
      </c>
      <c r="M2545" s="293">
        <v>1.31</v>
      </c>
      <c r="N2545" s="439">
        <v>1.31</v>
      </c>
      <c r="O2545" s="411">
        <v>1.31</v>
      </c>
      <c r="P2545" s="411">
        <v>1.31</v>
      </c>
      <c r="Q2545" s="411">
        <v>1.31</v>
      </c>
      <c r="R2545" s="439">
        <v>1.31</v>
      </c>
      <c r="S2545" s="293">
        <v>1.31</v>
      </c>
      <c r="T2545" s="293">
        <v>1.31</v>
      </c>
      <c r="U2545" s="293">
        <v>1.31</v>
      </c>
      <c r="V2545" s="293">
        <v>1.31</v>
      </c>
      <c r="W2545" s="293">
        <v>1.31</v>
      </c>
      <c r="X2545" s="293">
        <v>1.31</v>
      </c>
      <c r="Y2545" s="411">
        <v>13.19</v>
      </c>
      <c r="Z2545" s="439">
        <v>32.01</v>
      </c>
      <c r="AA2545" s="326"/>
      <c r="AB2545" s="326"/>
      <c r="AC2545" s="326"/>
      <c r="AD2545" s="411">
        <v>32.01</v>
      </c>
      <c r="AE2545" s="452">
        <v>32.01</v>
      </c>
      <c r="AF2545" s="411">
        <v>15.17</v>
      </c>
    </row>
    <row r="2546" spans="1:32">
      <c r="A2546" s="411">
        <v>15.17</v>
      </c>
      <c r="B2546" s="452">
        <v>32.01</v>
      </c>
      <c r="C2546" s="411">
        <v>32.01</v>
      </c>
      <c r="D2546" s="326"/>
      <c r="E2546" s="326"/>
      <c r="F2546" s="326"/>
      <c r="G2546" s="439">
        <v>32.01</v>
      </c>
      <c r="H2546" s="411">
        <v>11.21</v>
      </c>
      <c r="I2546" s="293">
        <v>1.31</v>
      </c>
      <c r="J2546" s="293">
        <v>1.31</v>
      </c>
      <c r="K2546" s="293">
        <v>1.31</v>
      </c>
      <c r="L2546" s="293">
        <v>1.31</v>
      </c>
      <c r="M2546" s="439">
        <v>1.31</v>
      </c>
      <c r="N2546" s="411">
        <v>1.31</v>
      </c>
      <c r="O2546" s="411">
        <v>1.31</v>
      </c>
      <c r="P2546" s="439">
        <v>1.31</v>
      </c>
      <c r="Q2546" s="411">
        <v>1.31</v>
      </c>
      <c r="R2546" s="411">
        <v>1.31</v>
      </c>
      <c r="S2546" s="439">
        <v>1.31</v>
      </c>
      <c r="T2546" s="293">
        <v>1.31</v>
      </c>
      <c r="U2546" s="293">
        <v>1.31</v>
      </c>
      <c r="V2546" s="293">
        <v>1.31</v>
      </c>
      <c r="W2546" s="293">
        <v>1.31</v>
      </c>
      <c r="X2546" s="293">
        <v>1.31</v>
      </c>
      <c r="Y2546" s="411">
        <v>11.21</v>
      </c>
      <c r="Z2546" s="439">
        <v>32.01</v>
      </c>
      <c r="AA2546" s="326"/>
      <c r="AB2546" s="326"/>
      <c r="AC2546" s="326"/>
      <c r="AD2546" s="411">
        <v>32.01</v>
      </c>
      <c r="AE2546" s="452">
        <v>32.01</v>
      </c>
      <c r="AF2546" s="411">
        <v>15.17</v>
      </c>
    </row>
    <row r="2547" spans="1:32">
      <c r="A2547" s="411">
        <v>15.17</v>
      </c>
      <c r="B2547" s="452">
        <v>32.01</v>
      </c>
      <c r="C2547" s="411">
        <v>32.01</v>
      </c>
      <c r="D2547" s="326"/>
      <c r="E2547" s="326"/>
      <c r="F2547" s="326"/>
      <c r="G2547" s="439">
        <v>32.01</v>
      </c>
      <c r="H2547" s="411">
        <v>9.23</v>
      </c>
      <c r="I2547" s="293">
        <v>1.31</v>
      </c>
      <c r="J2547" s="293">
        <v>1.31</v>
      </c>
      <c r="K2547" s="293">
        <v>1.31</v>
      </c>
      <c r="L2547" s="439">
        <v>1.31</v>
      </c>
      <c r="M2547" s="411">
        <v>1.31</v>
      </c>
      <c r="N2547" s="411">
        <v>1.31</v>
      </c>
      <c r="O2547" s="439">
        <v>1.31</v>
      </c>
      <c r="P2547" s="439">
        <v>1.31</v>
      </c>
      <c r="Q2547" s="439">
        <v>1.31</v>
      </c>
      <c r="R2547" s="411">
        <v>1.31</v>
      </c>
      <c r="S2547" s="411">
        <v>1.31</v>
      </c>
      <c r="T2547" s="439">
        <v>1.31</v>
      </c>
      <c r="U2547" s="293">
        <v>1.31</v>
      </c>
      <c r="V2547" s="293">
        <v>1.31</v>
      </c>
      <c r="W2547" s="293">
        <v>1.31</v>
      </c>
      <c r="X2547" s="293">
        <v>1.31</v>
      </c>
      <c r="Y2547" s="411">
        <v>9.23</v>
      </c>
      <c r="Z2547" s="439">
        <v>32.01</v>
      </c>
      <c r="AA2547" s="326"/>
      <c r="AB2547" s="326"/>
      <c r="AC2547" s="326"/>
      <c r="AD2547" s="411">
        <v>32.01</v>
      </c>
      <c r="AE2547" s="452">
        <v>32.01</v>
      </c>
      <c r="AF2547" s="411">
        <v>15.17</v>
      </c>
    </row>
    <row r="2548" spans="1:32">
      <c r="A2548" s="411">
        <v>15.17</v>
      </c>
      <c r="B2548" s="452">
        <v>32.01</v>
      </c>
      <c r="C2548" s="411">
        <v>32.01</v>
      </c>
      <c r="D2548" s="326"/>
      <c r="E2548" s="326"/>
      <c r="F2548" s="326"/>
      <c r="G2548" s="439">
        <v>32.01</v>
      </c>
      <c r="H2548" s="411">
        <v>7.25</v>
      </c>
      <c r="I2548" s="293">
        <v>1.31</v>
      </c>
      <c r="J2548" s="293">
        <v>1.31</v>
      </c>
      <c r="K2548" s="439">
        <v>1.31</v>
      </c>
      <c r="L2548" s="411">
        <v>1.31</v>
      </c>
      <c r="M2548" s="411">
        <v>1.31</v>
      </c>
      <c r="N2548" s="439">
        <v>1.31</v>
      </c>
      <c r="O2548" s="439">
        <v>1.31</v>
      </c>
      <c r="P2548" s="439">
        <v>1.31</v>
      </c>
      <c r="Q2548" s="439">
        <v>1.31</v>
      </c>
      <c r="R2548" s="439">
        <v>1.31</v>
      </c>
      <c r="S2548" s="411">
        <v>1.31</v>
      </c>
      <c r="T2548" s="411">
        <v>1.31</v>
      </c>
      <c r="U2548" s="439">
        <v>1.31</v>
      </c>
      <c r="V2548" s="293">
        <v>1.31</v>
      </c>
      <c r="W2548" s="293">
        <v>1.31</v>
      </c>
      <c r="X2548" s="293">
        <v>1.31</v>
      </c>
      <c r="Y2548" s="411">
        <v>7.25</v>
      </c>
      <c r="Z2548" s="439">
        <v>32.01</v>
      </c>
      <c r="AA2548" s="326"/>
      <c r="AB2548" s="326"/>
      <c r="AC2548" s="326"/>
      <c r="AD2548" s="411">
        <v>32.01</v>
      </c>
      <c r="AE2548" s="452">
        <v>32.01</v>
      </c>
      <c r="AF2548" s="411">
        <v>15.17</v>
      </c>
    </row>
    <row r="2549" spans="1:32">
      <c r="A2549" s="411">
        <v>15.17</v>
      </c>
      <c r="B2549" s="452">
        <v>32.01</v>
      </c>
      <c r="C2549" s="411">
        <v>32.01</v>
      </c>
      <c r="D2549" s="326"/>
      <c r="E2549" s="326"/>
      <c r="F2549" s="326"/>
      <c r="G2549" s="439">
        <v>32.01</v>
      </c>
      <c r="H2549" s="411">
        <v>5.27</v>
      </c>
      <c r="I2549" s="293">
        <v>1.31</v>
      </c>
      <c r="J2549" s="439">
        <v>1.31</v>
      </c>
      <c r="K2549" s="411">
        <v>1.31</v>
      </c>
      <c r="L2549" s="411">
        <v>1.31</v>
      </c>
      <c r="M2549" s="439">
        <v>1.31</v>
      </c>
      <c r="N2549" s="439">
        <v>1.31</v>
      </c>
      <c r="O2549" s="439">
        <v>1.31</v>
      </c>
      <c r="P2549" s="439">
        <v>1.31</v>
      </c>
      <c r="Q2549" s="439">
        <v>1.31</v>
      </c>
      <c r="R2549" s="439">
        <v>1.31</v>
      </c>
      <c r="S2549" s="439">
        <v>1.31</v>
      </c>
      <c r="T2549" s="411">
        <v>1.31</v>
      </c>
      <c r="U2549" s="411">
        <v>1.31</v>
      </c>
      <c r="V2549" s="439">
        <v>1.31</v>
      </c>
      <c r="W2549" s="293">
        <v>1.31</v>
      </c>
      <c r="X2549" s="293">
        <v>1.31</v>
      </c>
      <c r="Y2549" s="411">
        <v>5.27</v>
      </c>
      <c r="Z2549" s="439">
        <v>32.01</v>
      </c>
      <c r="AA2549" s="326"/>
      <c r="AB2549" s="326"/>
      <c r="AC2549" s="326"/>
      <c r="AD2549" s="411">
        <v>32.01</v>
      </c>
      <c r="AE2549" s="452">
        <v>32.01</v>
      </c>
      <c r="AF2549" s="411">
        <v>15.17</v>
      </c>
    </row>
    <row r="2550" spans="1:32">
      <c r="A2550" s="411">
        <v>15.17</v>
      </c>
      <c r="B2550" s="452">
        <v>32.01</v>
      </c>
      <c r="C2550" s="411">
        <v>32.01</v>
      </c>
      <c r="D2550" s="326"/>
      <c r="E2550" s="326"/>
      <c r="F2550" s="326"/>
      <c r="G2550" s="439">
        <v>32.01</v>
      </c>
      <c r="H2550" s="411">
        <v>3.29</v>
      </c>
      <c r="I2550" s="439">
        <v>1.31</v>
      </c>
      <c r="J2550" s="411">
        <v>1.31</v>
      </c>
      <c r="K2550" s="411">
        <v>1.31</v>
      </c>
      <c r="L2550" s="439">
        <v>1.31</v>
      </c>
      <c r="M2550" s="439">
        <v>1.31</v>
      </c>
      <c r="N2550" s="439">
        <v>1.31</v>
      </c>
      <c r="O2550" s="439">
        <v>1.31</v>
      </c>
      <c r="P2550" s="439">
        <v>1.31</v>
      </c>
      <c r="Q2550" s="439">
        <v>1.31</v>
      </c>
      <c r="R2550" s="439">
        <v>1.31</v>
      </c>
      <c r="S2550" s="439">
        <v>1.31</v>
      </c>
      <c r="T2550" s="439">
        <v>1.31</v>
      </c>
      <c r="U2550" s="411">
        <v>1.31</v>
      </c>
      <c r="V2550" s="411">
        <v>1.31</v>
      </c>
      <c r="W2550" s="439">
        <v>1.31</v>
      </c>
      <c r="X2550" s="293">
        <v>1.31</v>
      </c>
      <c r="Y2550" s="411">
        <v>3.29</v>
      </c>
      <c r="Z2550" s="439">
        <v>32.01</v>
      </c>
      <c r="AA2550" s="326"/>
      <c r="AB2550" s="326"/>
      <c r="AC2550" s="326"/>
      <c r="AD2550" s="411">
        <v>32.01</v>
      </c>
      <c r="AE2550" s="452">
        <v>32.01</v>
      </c>
      <c r="AF2550" s="411">
        <v>15.17</v>
      </c>
    </row>
    <row r="2551" spans="1:32">
      <c r="A2551" s="411">
        <v>15.17</v>
      </c>
      <c r="B2551" s="452">
        <v>32.01</v>
      </c>
      <c r="C2551" s="411">
        <v>32.01</v>
      </c>
      <c r="D2551" s="326"/>
      <c r="E2551" s="326"/>
      <c r="F2551" s="326"/>
      <c r="G2551" s="439">
        <v>32.01</v>
      </c>
      <c r="H2551" s="411">
        <v>1.31</v>
      </c>
      <c r="I2551" s="411">
        <v>1.31</v>
      </c>
      <c r="J2551" s="411">
        <v>1.31</v>
      </c>
      <c r="K2551" s="439">
        <v>1.31</v>
      </c>
      <c r="L2551" s="439">
        <v>1.31</v>
      </c>
      <c r="M2551" s="439">
        <v>1.31</v>
      </c>
      <c r="N2551" s="439">
        <v>1.31</v>
      </c>
      <c r="O2551" s="439">
        <v>1.31</v>
      </c>
      <c r="P2551" s="439">
        <v>1.31</v>
      </c>
      <c r="Q2551" s="439">
        <v>1.31</v>
      </c>
      <c r="R2551" s="439">
        <v>1.31</v>
      </c>
      <c r="S2551" s="439">
        <v>1.31</v>
      </c>
      <c r="T2551" s="439">
        <v>1.31</v>
      </c>
      <c r="U2551" s="439">
        <v>1.31</v>
      </c>
      <c r="V2551" s="411">
        <v>1.31</v>
      </c>
      <c r="W2551" s="411">
        <v>1.31</v>
      </c>
      <c r="X2551" s="439">
        <v>1.31</v>
      </c>
      <c r="Y2551" s="411">
        <v>1.31</v>
      </c>
      <c r="Z2551" s="439">
        <v>32.01</v>
      </c>
      <c r="AA2551" s="326"/>
      <c r="AB2551" s="326"/>
      <c r="AC2551" s="326"/>
      <c r="AD2551" s="411">
        <v>32.01</v>
      </c>
      <c r="AE2551" s="452">
        <v>32.01</v>
      </c>
      <c r="AF2551" s="411">
        <v>15.17</v>
      </c>
    </row>
    <row r="2552" spans="1:32">
      <c r="A2552" s="411">
        <v>15.17</v>
      </c>
      <c r="B2552" s="452">
        <v>32.01</v>
      </c>
      <c r="C2552" s="411">
        <v>32.01</v>
      </c>
      <c r="D2552" s="326"/>
      <c r="E2552" s="326"/>
      <c r="F2552" s="326"/>
      <c r="G2552" s="439">
        <v>32.01</v>
      </c>
      <c r="H2552" s="293">
        <v>32.01</v>
      </c>
      <c r="I2552" s="439">
        <v>3.31</v>
      </c>
      <c r="J2552" s="439">
        <v>3.31</v>
      </c>
      <c r="K2552" s="439">
        <v>3.31</v>
      </c>
      <c r="L2552" s="439">
        <v>3.31</v>
      </c>
      <c r="M2552" s="439">
        <v>3.31</v>
      </c>
      <c r="N2552" s="439">
        <v>3.31</v>
      </c>
      <c r="O2552" s="439">
        <v>3.31</v>
      </c>
      <c r="P2552" s="439">
        <v>3.31</v>
      </c>
      <c r="Q2552" s="439">
        <v>3.31</v>
      </c>
      <c r="R2552" s="439">
        <v>3.31</v>
      </c>
      <c r="S2552" s="439">
        <v>3.31</v>
      </c>
      <c r="T2552" s="439">
        <v>3.31</v>
      </c>
      <c r="U2552" s="439">
        <v>3.31</v>
      </c>
      <c r="V2552" s="439">
        <v>3.31</v>
      </c>
      <c r="W2552" s="439">
        <v>3.31</v>
      </c>
      <c r="X2552" s="411">
        <v>1.31</v>
      </c>
      <c r="Y2552" s="293">
        <v>32.01</v>
      </c>
      <c r="Z2552" s="439">
        <v>32.01</v>
      </c>
      <c r="AA2552" s="326"/>
      <c r="AB2552" s="326"/>
      <c r="AC2552" s="326"/>
      <c r="AD2552" s="411">
        <v>32.01</v>
      </c>
      <c r="AE2552" s="452">
        <v>32.01</v>
      </c>
      <c r="AF2552" s="411">
        <v>15.17</v>
      </c>
    </row>
    <row r="2553" spans="1:32">
      <c r="A2553" s="411">
        <v>15.17</v>
      </c>
      <c r="B2553" s="452">
        <v>32.01</v>
      </c>
      <c r="C2553" s="411">
        <v>32.01</v>
      </c>
      <c r="D2553" s="326"/>
      <c r="E2553" s="326"/>
      <c r="F2553" s="326"/>
      <c r="G2553" s="293">
        <v>32.01</v>
      </c>
      <c r="H2553" s="411">
        <v>5.31</v>
      </c>
      <c r="I2553" s="411">
        <v>5.31</v>
      </c>
      <c r="J2553" s="411">
        <v>5.31</v>
      </c>
      <c r="K2553" s="411">
        <v>5.31</v>
      </c>
      <c r="L2553" s="411">
        <v>5.31</v>
      </c>
      <c r="M2553" s="411">
        <v>5.31</v>
      </c>
      <c r="N2553" s="411">
        <v>5.31</v>
      </c>
      <c r="O2553" s="411">
        <v>5.31</v>
      </c>
      <c r="P2553" s="411">
        <v>5.31</v>
      </c>
      <c r="Q2553" s="411">
        <v>5.31</v>
      </c>
      <c r="R2553" s="411">
        <v>5.31</v>
      </c>
      <c r="S2553" s="411">
        <v>5.31</v>
      </c>
      <c r="T2553" s="411">
        <v>5.31</v>
      </c>
      <c r="U2553" s="411">
        <v>5.31</v>
      </c>
      <c r="V2553" s="411">
        <v>5.31</v>
      </c>
      <c r="W2553" s="411">
        <v>5.31</v>
      </c>
      <c r="X2553" s="411">
        <v>5.31</v>
      </c>
      <c r="Y2553" s="411">
        <v>24.28</v>
      </c>
      <c r="Z2553" s="293">
        <v>32.01</v>
      </c>
      <c r="AA2553" s="326"/>
      <c r="AB2553" s="326"/>
      <c r="AC2553" s="326"/>
      <c r="AD2553" s="411">
        <v>32.01</v>
      </c>
      <c r="AE2553" s="452">
        <v>32.01</v>
      </c>
      <c r="AF2553" s="411">
        <v>15.17</v>
      </c>
    </row>
    <row r="2554" spans="1:32">
      <c r="A2554" s="411">
        <v>15.17</v>
      </c>
      <c r="B2554" s="452">
        <v>32.01</v>
      </c>
      <c r="C2554" s="411">
        <v>32.01</v>
      </c>
      <c r="D2554" s="326"/>
      <c r="E2554" s="326"/>
      <c r="F2554" s="326"/>
      <c r="G2554" s="293">
        <v>32.01</v>
      </c>
      <c r="H2554" s="293">
        <v>8.31</v>
      </c>
      <c r="I2554" s="293">
        <v>8.31</v>
      </c>
      <c r="J2554" s="293">
        <v>8.31</v>
      </c>
      <c r="K2554" s="293">
        <v>8.31</v>
      </c>
      <c r="L2554" s="293">
        <v>8.31</v>
      </c>
      <c r="M2554" s="293">
        <v>8.31</v>
      </c>
      <c r="N2554" s="293">
        <v>8.31</v>
      </c>
      <c r="O2554" s="293">
        <v>8.31</v>
      </c>
      <c r="P2554" s="293">
        <v>8.31</v>
      </c>
      <c r="Q2554" s="293">
        <v>8.31</v>
      </c>
      <c r="R2554" s="293">
        <v>8.31</v>
      </c>
      <c r="S2554" s="293">
        <v>8.31</v>
      </c>
      <c r="T2554" s="293">
        <v>8.31</v>
      </c>
      <c r="U2554" s="293">
        <v>8.31</v>
      </c>
      <c r="V2554" s="293">
        <v>8.31</v>
      </c>
      <c r="W2554" s="293">
        <v>8.31</v>
      </c>
      <c r="X2554" s="293">
        <v>8.31</v>
      </c>
      <c r="Y2554" s="411">
        <v>23.29</v>
      </c>
      <c r="Z2554" s="293">
        <v>32.01</v>
      </c>
      <c r="AA2554" s="326"/>
      <c r="AB2554" s="326"/>
      <c r="AC2554" s="326"/>
      <c r="AD2554" s="411">
        <v>32.01</v>
      </c>
      <c r="AE2554" s="452">
        <v>32.01</v>
      </c>
      <c r="AF2554" s="411">
        <v>15.17</v>
      </c>
    </row>
    <row r="2555" spans="1:32">
      <c r="A2555" s="411">
        <v>15.17</v>
      </c>
      <c r="B2555" s="452">
        <v>32.01</v>
      </c>
      <c r="C2555" s="411">
        <v>32.01</v>
      </c>
      <c r="D2555" s="326"/>
      <c r="E2555" s="326"/>
      <c r="F2555" s="326"/>
      <c r="G2555" s="293">
        <v>32.01</v>
      </c>
      <c r="H2555" s="411">
        <v>10.31</v>
      </c>
      <c r="I2555" s="411">
        <v>10.31</v>
      </c>
      <c r="J2555" s="411">
        <v>10.31</v>
      </c>
      <c r="K2555" s="411">
        <v>10.31</v>
      </c>
      <c r="L2555" s="411">
        <v>10.31</v>
      </c>
      <c r="M2555" s="411">
        <v>10.31</v>
      </c>
      <c r="N2555" s="411">
        <v>10.31</v>
      </c>
      <c r="O2555" s="411">
        <v>10.31</v>
      </c>
      <c r="P2555" s="411">
        <v>10.31</v>
      </c>
      <c r="Q2555" s="411">
        <v>10.31</v>
      </c>
      <c r="R2555" s="411">
        <v>10.31</v>
      </c>
      <c r="S2555" s="411">
        <v>10.31</v>
      </c>
      <c r="T2555" s="411">
        <v>10.31</v>
      </c>
      <c r="U2555" s="411">
        <v>10.31</v>
      </c>
      <c r="V2555" s="411">
        <v>10.31</v>
      </c>
      <c r="W2555" s="411">
        <v>10.31</v>
      </c>
      <c r="X2555" s="411">
        <v>10.31</v>
      </c>
      <c r="Y2555" s="411">
        <v>22.3</v>
      </c>
      <c r="Z2555" s="293">
        <v>32.01</v>
      </c>
      <c r="AA2555" s="326"/>
      <c r="AB2555" s="326"/>
      <c r="AC2555" s="326"/>
      <c r="AD2555" s="411">
        <v>32.01</v>
      </c>
      <c r="AE2555" s="452">
        <v>32.01</v>
      </c>
      <c r="AF2555" s="411">
        <v>15.17</v>
      </c>
    </row>
    <row r="2556" spans="1:32">
      <c r="A2556" s="411">
        <v>15.17</v>
      </c>
      <c r="B2556" s="452">
        <v>32.01</v>
      </c>
      <c r="C2556" s="411">
        <v>32.01</v>
      </c>
      <c r="D2556" s="326"/>
      <c r="E2556" s="326"/>
      <c r="F2556" s="326"/>
      <c r="G2556" s="293">
        <v>32.01</v>
      </c>
      <c r="H2556" s="293">
        <v>13.31</v>
      </c>
      <c r="I2556" s="293">
        <v>13.31</v>
      </c>
      <c r="J2556" s="293">
        <v>13.31</v>
      </c>
      <c r="K2556" s="293">
        <v>13.31</v>
      </c>
      <c r="L2556" s="293">
        <v>13.31</v>
      </c>
      <c r="M2556" s="293">
        <v>13.31</v>
      </c>
      <c r="N2556" s="293">
        <v>13.31</v>
      </c>
      <c r="O2556" s="293">
        <v>13.31</v>
      </c>
      <c r="P2556" s="293">
        <v>13.31</v>
      </c>
      <c r="Q2556" s="293">
        <v>13.31</v>
      </c>
      <c r="R2556" s="293">
        <v>13.31</v>
      </c>
      <c r="S2556" s="293">
        <v>13.31</v>
      </c>
      <c r="T2556" s="293">
        <v>13.31</v>
      </c>
      <c r="U2556" s="293">
        <v>13.31</v>
      </c>
      <c r="V2556" s="293">
        <v>13.31</v>
      </c>
      <c r="W2556" s="293">
        <v>13.31</v>
      </c>
      <c r="X2556" s="293">
        <v>13.31</v>
      </c>
      <c r="Y2556" s="411">
        <v>21.31</v>
      </c>
      <c r="Z2556" s="293">
        <v>32.01</v>
      </c>
      <c r="AA2556" s="326"/>
      <c r="AB2556" s="326"/>
      <c r="AC2556" s="326"/>
      <c r="AD2556" s="411">
        <v>32.01</v>
      </c>
      <c r="AE2556" s="452">
        <v>32.01</v>
      </c>
      <c r="AF2556" s="411">
        <v>15.17</v>
      </c>
    </row>
    <row r="2557" spans="1:32">
      <c r="A2557" s="411">
        <v>15.17</v>
      </c>
      <c r="B2557" s="452">
        <v>32.01</v>
      </c>
      <c r="C2557" s="411">
        <v>32.01</v>
      </c>
      <c r="D2557" s="326"/>
      <c r="E2557" s="326"/>
      <c r="F2557" s="326"/>
      <c r="G2557" s="293">
        <v>32.01</v>
      </c>
      <c r="H2557" s="411">
        <v>15.31</v>
      </c>
      <c r="I2557" s="411">
        <v>15.31</v>
      </c>
      <c r="J2557" s="411">
        <v>15.31</v>
      </c>
      <c r="K2557" s="411">
        <v>15.31</v>
      </c>
      <c r="L2557" s="411">
        <v>15.31</v>
      </c>
      <c r="M2557" s="411">
        <v>15.31</v>
      </c>
      <c r="N2557" s="411">
        <v>15.31</v>
      </c>
      <c r="O2557" s="411">
        <v>15.31</v>
      </c>
      <c r="P2557" s="411">
        <v>15.31</v>
      </c>
      <c r="Q2557" s="411">
        <v>15.31</v>
      </c>
      <c r="R2557" s="411">
        <v>15.31</v>
      </c>
      <c r="S2557" s="411">
        <v>15.31</v>
      </c>
      <c r="T2557" s="411">
        <v>15.31</v>
      </c>
      <c r="U2557" s="411">
        <v>15.31</v>
      </c>
      <c r="V2557" s="411">
        <v>15.31</v>
      </c>
      <c r="W2557" s="411">
        <v>15.31</v>
      </c>
      <c r="X2557" s="411">
        <v>15.31</v>
      </c>
      <c r="Y2557" s="411">
        <v>20.32</v>
      </c>
      <c r="Z2557" s="293">
        <v>32.01</v>
      </c>
      <c r="AA2557" s="326"/>
      <c r="AB2557" s="326"/>
      <c r="AC2557" s="326"/>
      <c r="AD2557" s="411">
        <v>32.01</v>
      </c>
      <c r="AE2557" s="452">
        <v>32.01</v>
      </c>
      <c r="AF2557" s="411">
        <v>15.17</v>
      </c>
    </row>
    <row r="2558" spans="1:32">
      <c r="A2558" s="411">
        <v>15.17</v>
      </c>
      <c r="B2558" s="452">
        <v>32.01</v>
      </c>
      <c r="C2558" s="411">
        <v>32.01</v>
      </c>
      <c r="D2558" s="411">
        <v>32.01</v>
      </c>
      <c r="E2558" s="411">
        <v>32.01</v>
      </c>
      <c r="F2558" s="411">
        <v>32.01</v>
      </c>
      <c r="G2558" s="293">
        <v>32.01</v>
      </c>
      <c r="H2558" s="293">
        <v>18.309999999999999</v>
      </c>
      <c r="I2558" s="293">
        <v>18.309999999999999</v>
      </c>
      <c r="J2558" s="293">
        <v>18.309999999999999</v>
      </c>
      <c r="K2558" s="293">
        <v>18.309999999999999</v>
      </c>
      <c r="L2558" s="293">
        <v>18.309999999999999</v>
      </c>
      <c r="M2558" s="293">
        <v>18.309999999999999</v>
      </c>
      <c r="N2558" s="293">
        <v>18.309999999999999</v>
      </c>
      <c r="O2558" s="293">
        <v>18.309999999999999</v>
      </c>
      <c r="P2558" s="293">
        <v>18.309999999999999</v>
      </c>
      <c r="Q2558" s="293">
        <v>18.309999999999999</v>
      </c>
      <c r="R2558" s="293">
        <v>18.309999999999999</v>
      </c>
      <c r="S2558" s="293">
        <v>18.309999999999999</v>
      </c>
      <c r="T2558" s="293">
        <v>18.309999999999999</v>
      </c>
      <c r="U2558" s="293">
        <v>18.309999999999999</v>
      </c>
      <c r="V2558" s="293">
        <v>18.309999999999999</v>
      </c>
      <c r="W2558" s="293">
        <v>18.309999999999999</v>
      </c>
      <c r="X2558" s="293">
        <v>18.309999999999999</v>
      </c>
      <c r="Y2558" s="411">
        <v>20.32</v>
      </c>
      <c r="Z2558" s="293">
        <v>32.01</v>
      </c>
      <c r="AA2558" s="411">
        <v>32.01</v>
      </c>
      <c r="AB2558" s="411">
        <v>32.01</v>
      </c>
      <c r="AC2558" s="411">
        <v>32.01</v>
      </c>
      <c r="AD2558" s="411">
        <v>32.01</v>
      </c>
      <c r="AE2558" s="452">
        <v>32.01</v>
      </c>
      <c r="AF2558" s="411">
        <v>15.17</v>
      </c>
    </row>
    <row r="2559" spans="1:32">
      <c r="A2559" s="411">
        <v>32.01</v>
      </c>
      <c r="B2559" s="411">
        <v>32.01</v>
      </c>
      <c r="C2559" s="411">
        <v>32.01</v>
      </c>
      <c r="D2559" s="411">
        <v>32.01</v>
      </c>
      <c r="E2559" s="411">
        <v>32.01</v>
      </c>
      <c r="F2559" s="411">
        <v>32.01</v>
      </c>
      <c r="G2559" s="411">
        <v>32.01</v>
      </c>
      <c r="H2559" s="411">
        <v>32.01</v>
      </c>
      <c r="I2559" s="411">
        <v>20.309999999999999</v>
      </c>
      <c r="J2559" s="411">
        <v>20.309999999999999</v>
      </c>
      <c r="K2559" s="411">
        <v>20.309999999999999</v>
      </c>
      <c r="L2559" s="411">
        <v>20.309999999999999</v>
      </c>
      <c r="M2559" s="411">
        <v>20.309999999999999</v>
      </c>
      <c r="N2559" s="411">
        <v>20.309999999999999</v>
      </c>
      <c r="O2559" s="411">
        <v>20.309999999999999</v>
      </c>
      <c r="P2559" s="411">
        <v>20.309999999999999</v>
      </c>
      <c r="Q2559" s="411">
        <v>20.309999999999999</v>
      </c>
      <c r="R2559" s="411">
        <v>20.309999999999999</v>
      </c>
      <c r="S2559" s="411">
        <v>20.309999999999999</v>
      </c>
      <c r="T2559" s="411">
        <v>20.309999999999999</v>
      </c>
      <c r="U2559" s="411">
        <v>20.309999999999999</v>
      </c>
      <c r="V2559" s="411">
        <v>20.309999999999999</v>
      </c>
      <c r="W2559" s="411">
        <v>20.309999999999999</v>
      </c>
      <c r="X2559" s="411">
        <v>20.309999999999999</v>
      </c>
      <c r="Y2559" s="411">
        <v>32.01</v>
      </c>
      <c r="Z2559" s="411">
        <v>32.01</v>
      </c>
      <c r="AA2559" s="411">
        <v>32.01</v>
      </c>
      <c r="AB2559" s="411">
        <v>32.01</v>
      </c>
      <c r="AC2559" s="411">
        <v>32.01</v>
      </c>
      <c r="AD2559" s="411">
        <v>32.01</v>
      </c>
      <c r="AE2559" s="411">
        <v>32.01</v>
      </c>
      <c r="AF2559" s="411">
        <v>32.01</v>
      </c>
    </row>
    <row r="2560" spans="1:32">
      <c r="A2560" s="452">
        <v>15.17</v>
      </c>
      <c r="B2560" s="452">
        <v>15.17</v>
      </c>
      <c r="C2560" s="452">
        <v>15.17</v>
      </c>
      <c r="D2560" s="452">
        <v>15.17</v>
      </c>
      <c r="E2560" s="452">
        <v>15.17</v>
      </c>
      <c r="F2560" s="452">
        <v>15.17</v>
      </c>
      <c r="G2560" s="452">
        <v>15.17</v>
      </c>
      <c r="H2560" s="452">
        <v>19.309999999999999</v>
      </c>
      <c r="I2560" s="452">
        <v>19.309999999999999</v>
      </c>
      <c r="J2560" s="452">
        <v>19.309999999999999</v>
      </c>
      <c r="K2560" s="452">
        <v>19.309999999999999</v>
      </c>
      <c r="L2560" s="452">
        <v>19.309999999999999</v>
      </c>
      <c r="M2560" s="452">
        <v>19.309999999999999</v>
      </c>
      <c r="N2560" s="452">
        <v>19.309999999999999</v>
      </c>
      <c r="O2560" s="452">
        <v>19.309999999999999</v>
      </c>
      <c r="P2560" s="452">
        <v>19.309999999999999</v>
      </c>
      <c r="Q2560" s="452">
        <v>19.309999999999999</v>
      </c>
      <c r="R2560" s="452">
        <v>19.309999999999999</v>
      </c>
      <c r="S2560" s="452">
        <v>19.309999999999999</v>
      </c>
      <c r="T2560" s="452">
        <v>19.309999999999999</v>
      </c>
      <c r="U2560" s="452">
        <v>19.309999999999999</v>
      </c>
      <c r="V2560" s="452">
        <v>19.309999999999999</v>
      </c>
      <c r="W2560" s="452">
        <v>19.309999999999999</v>
      </c>
      <c r="X2560" s="452">
        <v>19.309999999999999</v>
      </c>
      <c r="Y2560" s="452">
        <v>19.309999999999999</v>
      </c>
      <c r="Z2560" s="452">
        <v>15.17</v>
      </c>
      <c r="AA2560" s="452">
        <v>15.17</v>
      </c>
      <c r="AB2560" s="452">
        <v>15.17</v>
      </c>
      <c r="AC2560" s="452">
        <v>15.17</v>
      </c>
      <c r="AD2560" s="452">
        <v>15.17</v>
      </c>
      <c r="AE2560" s="452">
        <v>15.17</v>
      </c>
      <c r="AF2560" s="411">
        <v>32.01</v>
      </c>
    </row>
    <row r="2561" spans="1:33">
      <c r="A2561" s="679"/>
      <c r="B2561" s="484"/>
      <c r="C2561" s="484"/>
      <c r="D2561" s="484"/>
      <c r="E2561" s="484"/>
      <c r="F2561" s="484"/>
      <c r="G2561" s="484"/>
      <c r="H2561" s="484"/>
      <c r="I2561" s="484"/>
      <c r="J2561" s="484"/>
      <c r="K2561" s="484"/>
      <c r="L2561" s="484"/>
      <c r="M2561" s="484"/>
      <c r="N2561" s="484"/>
      <c r="O2561" s="484"/>
      <c r="P2561" s="484"/>
      <c r="Q2561" s="484"/>
      <c r="R2561" s="484"/>
      <c r="S2561" s="484"/>
      <c r="T2561" s="484"/>
      <c r="U2561" s="484"/>
      <c r="V2561" s="484"/>
      <c r="W2561" s="484"/>
      <c r="X2561" s="484"/>
      <c r="Y2561" s="484"/>
      <c r="Z2561" s="484"/>
      <c r="AA2561" s="484"/>
      <c r="AB2561" s="484"/>
      <c r="AC2561" s="484"/>
      <c r="AD2561" s="484"/>
      <c r="AE2561" s="484"/>
      <c r="AF2561" s="696"/>
      <c r="AG2561">
        <v>81</v>
      </c>
    </row>
    <row r="2562" spans="1:33">
      <c r="A2562" s="483"/>
      <c r="B2562" s="321"/>
      <c r="C2562" s="321"/>
      <c r="D2562" s="321"/>
      <c r="E2562" s="321"/>
      <c r="F2562" s="321"/>
      <c r="G2562" s="321"/>
      <c r="H2562" s="321"/>
      <c r="I2562" s="321"/>
      <c r="J2562" s="321"/>
      <c r="K2562" s="321"/>
      <c r="L2562" s="321"/>
      <c r="M2562" s="321"/>
      <c r="N2562" s="321"/>
      <c r="O2562" s="321"/>
      <c r="P2562" s="321"/>
      <c r="Q2562" s="321"/>
      <c r="R2562" s="321"/>
      <c r="S2562" s="321"/>
      <c r="T2562" s="321"/>
      <c r="U2562" s="321"/>
      <c r="V2562" s="321"/>
      <c r="W2562" s="321"/>
      <c r="X2562" s="321"/>
      <c r="Y2562" s="321"/>
      <c r="Z2562" s="321"/>
      <c r="AA2562" s="321"/>
      <c r="AB2562" s="321"/>
      <c r="AC2562" s="321"/>
      <c r="AD2562" s="321"/>
      <c r="AE2562" s="321"/>
      <c r="AF2562" s="564"/>
    </row>
    <row r="2563" spans="1:33">
      <c r="A2563" s="483"/>
      <c r="B2563" s="321"/>
      <c r="C2563" s="321"/>
      <c r="D2563" s="321"/>
      <c r="E2563" s="321"/>
      <c r="F2563" s="321"/>
      <c r="G2563" s="321"/>
      <c r="H2563" s="321"/>
      <c r="I2563" s="321"/>
      <c r="J2563" s="321"/>
      <c r="K2563" s="321"/>
      <c r="L2563" s="321"/>
      <c r="M2563" s="321"/>
      <c r="N2563" s="321"/>
      <c r="O2563" s="321"/>
      <c r="P2563" s="321"/>
      <c r="Q2563" s="321"/>
      <c r="R2563" s="321"/>
      <c r="S2563" s="321"/>
      <c r="T2563" s="321"/>
      <c r="U2563" s="321"/>
      <c r="V2563" s="321"/>
      <c r="W2563" s="321"/>
      <c r="X2563" s="321"/>
      <c r="Y2563" s="321"/>
      <c r="Z2563" s="321"/>
      <c r="AA2563" s="321"/>
      <c r="AB2563" s="321"/>
      <c r="AC2563" s="321"/>
      <c r="AD2563" s="321"/>
      <c r="AE2563" s="321"/>
      <c r="AF2563" s="564"/>
    </row>
    <row r="2564" spans="1:33">
      <c r="A2564" s="483"/>
      <c r="B2564" s="321"/>
      <c r="C2564" s="321"/>
      <c r="D2564" s="321"/>
      <c r="E2564" s="321"/>
      <c r="F2564" s="321"/>
      <c r="G2564" s="321"/>
      <c r="H2564" s="321"/>
      <c r="I2564" s="321"/>
      <c r="J2564" s="321"/>
      <c r="K2564" s="321"/>
      <c r="L2564" s="321"/>
      <c r="M2564" s="321"/>
      <c r="N2564" s="321"/>
      <c r="O2564" s="321"/>
      <c r="P2564" s="321"/>
      <c r="Q2564" s="321"/>
      <c r="R2564" s="321"/>
      <c r="S2564" s="321"/>
      <c r="T2564" s="321"/>
      <c r="U2564" s="321"/>
      <c r="V2564" s="321"/>
      <c r="W2564" s="321"/>
      <c r="X2564" s="321"/>
      <c r="Y2564" s="321"/>
      <c r="Z2564" s="321"/>
      <c r="AA2564" s="321"/>
      <c r="AB2564" s="321"/>
      <c r="AC2564" s="321"/>
      <c r="AD2564" s="321"/>
      <c r="AE2564" s="321"/>
      <c r="AF2564" s="564"/>
      <c r="AG2564">
        <v>1</v>
      </c>
    </row>
    <row r="2565" spans="1:33">
      <c r="A2565" s="483"/>
      <c r="B2565" s="321"/>
      <c r="C2565" s="321"/>
      <c r="D2565" s="321"/>
      <c r="E2565" s="321"/>
      <c r="F2565" s="321"/>
      <c r="G2565" s="321"/>
      <c r="H2565" s="321"/>
      <c r="I2565" s="321"/>
      <c r="J2565" s="321"/>
      <c r="K2565" s="321"/>
      <c r="L2565" s="321"/>
      <c r="M2565" s="321"/>
      <c r="N2565" s="321"/>
      <c r="O2565" s="321"/>
      <c r="P2565" s="321"/>
      <c r="Q2565" s="321"/>
      <c r="R2565" s="321"/>
      <c r="S2565" s="321"/>
      <c r="T2565" s="321"/>
      <c r="U2565" s="321"/>
      <c r="V2565" s="321"/>
      <c r="W2565" s="321"/>
      <c r="X2565" s="321"/>
      <c r="Y2565" s="321"/>
      <c r="Z2565" s="321"/>
      <c r="AA2565" s="321"/>
      <c r="AB2565" s="321"/>
      <c r="AC2565" s="321"/>
      <c r="AD2565" s="321"/>
      <c r="AE2565" s="321"/>
      <c r="AF2565" s="564"/>
    </row>
    <row r="2566" spans="1:33">
      <c r="A2566" s="483"/>
      <c r="B2566" s="321"/>
      <c r="C2566" s="321"/>
      <c r="D2566" s="321"/>
      <c r="E2566" s="321"/>
      <c r="F2566" s="321"/>
      <c r="G2566" s="321"/>
      <c r="H2566" s="321"/>
      <c r="I2566" s="321"/>
      <c r="J2566" s="321"/>
      <c r="K2566" s="321"/>
      <c r="L2566" s="321"/>
      <c r="M2566" s="321"/>
      <c r="N2566" s="321"/>
      <c r="O2566" s="321"/>
      <c r="P2566" s="321"/>
      <c r="Q2566" s="321"/>
      <c r="R2566" s="321"/>
      <c r="S2566" s="321"/>
      <c r="T2566" s="321"/>
      <c r="U2566" s="321"/>
      <c r="V2566" s="321"/>
      <c r="W2566" s="321"/>
      <c r="X2566" s="321"/>
      <c r="Y2566" s="321"/>
      <c r="Z2566" s="321"/>
      <c r="AA2566" s="321"/>
      <c r="AB2566" s="321"/>
      <c r="AC2566" s="321"/>
      <c r="AD2566" s="321"/>
      <c r="AE2566" s="321"/>
      <c r="AF2566" s="564"/>
    </row>
    <row r="2567" spans="1:33">
      <c r="A2567" s="483"/>
      <c r="B2567" s="321"/>
      <c r="C2567" s="321"/>
      <c r="D2567" s="321"/>
      <c r="E2567" s="321"/>
      <c r="F2567" s="321"/>
      <c r="G2567" s="321"/>
      <c r="H2567" s="321"/>
      <c r="I2567" s="321"/>
      <c r="J2567" s="321"/>
      <c r="K2567" s="321"/>
      <c r="L2567" s="321"/>
      <c r="M2567" s="321"/>
      <c r="N2567" s="321"/>
      <c r="O2567" s="321"/>
      <c r="P2567" s="321"/>
      <c r="Q2567" s="321"/>
      <c r="R2567" s="321"/>
      <c r="S2567" s="321"/>
      <c r="T2567" s="321"/>
      <c r="U2567" s="321"/>
      <c r="V2567" s="321"/>
      <c r="W2567" s="321"/>
      <c r="X2567" s="321"/>
      <c r="Y2567" s="321"/>
      <c r="Z2567" s="321"/>
      <c r="AA2567" s="321"/>
      <c r="AB2567" s="321"/>
      <c r="AC2567" s="321"/>
      <c r="AD2567" s="321"/>
      <c r="AE2567" s="321"/>
      <c r="AF2567" s="564"/>
    </row>
    <row r="2568" spans="1:33">
      <c r="A2568" s="483"/>
      <c r="B2568" s="321"/>
      <c r="C2568" s="321"/>
      <c r="D2568" s="321"/>
      <c r="E2568" s="321"/>
      <c r="F2568" s="321"/>
      <c r="G2568" s="321"/>
      <c r="H2568" s="321"/>
      <c r="I2568" s="321"/>
      <c r="J2568" s="321"/>
      <c r="K2568" s="321"/>
      <c r="L2568" s="321"/>
      <c r="M2568" s="321"/>
      <c r="N2568" s="321"/>
      <c r="O2568" s="321"/>
      <c r="P2568" s="321"/>
      <c r="Q2568" s="321"/>
      <c r="R2568" s="321"/>
      <c r="S2568" s="321"/>
      <c r="T2568" s="321"/>
      <c r="U2568" s="321"/>
      <c r="V2568" s="321"/>
      <c r="W2568" s="321"/>
      <c r="X2568" s="321"/>
      <c r="Y2568" s="321"/>
      <c r="Z2568" s="321"/>
      <c r="AA2568" s="321"/>
      <c r="AB2568" s="321"/>
      <c r="AC2568" s="321"/>
      <c r="AD2568" s="321"/>
      <c r="AE2568" s="321"/>
      <c r="AF2568" s="564"/>
    </row>
    <row r="2569" spans="1:33">
      <c r="A2569" s="483"/>
      <c r="B2569" s="321"/>
      <c r="C2569" s="321"/>
      <c r="D2569" s="321"/>
      <c r="E2569" s="321"/>
      <c r="F2569" s="321"/>
      <c r="G2569" s="321"/>
      <c r="H2569" s="321"/>
      <c r="I2569" s="321"/>
      <c r="J2569" s="321"/>
      <c r="K2569" s="321"/>
      <c r="L2569" s="321"/>
      <c r="M2569" s="321"/>
      <c r="N2569" s="321"/>
      <c r="O2569" s="321"/>
      <c r="P2569" s="321"/>
      <c r="Q2569" s="321"/>
      <c r="R2569" s="321"/>
      <c r="S2569" s="321"/>
      <c r="T2569" s="321"/>
      <c r="U2569" s="321"/>
      <c r="V2569" s="321"/>
      <c r="W2569" s="321"/>
      <c r="X2569" s="321"/>
      <c r="Y2569" s="321"/>
      <c r="Z2569" s="321"/>
      <c r="AA2569" s="321"/>
      <c r="AB2569" s="321"/>
      <c r="AC2569" s="321"/>
      <c r="AD2569" s="321"/>
      <c r="AE2569" s="321"/>
      <c r="AF2569" s="564"/>
    </row>
    <row r="2570" spans="1:33">
      <c r="A2570" s="483"/>
      <c r="B2570" s="321"/>
      <c r="C2570" s="321"/>
      <c r="D2570" s="321"/>
      <c r="E2570" s="321"/>
      <c r="F2570" s="321"/>
      <c r="G2570" s="321"/>
      <c r="H2570" s="321"/>
      <c r="I2570" s="321"/>
      <c r="J2570" s="321"/>
      <c r="K2570" s="321"/>
      <c r="L2570" s="321"/>
      <c r="M2570" s="321"/>
      <c r="N2570" s="321"/>
      <c r="O2570" s="321"/>
      <c r="P2570" s="321"/>
      <c r="Q2570" s="321"/>
      <c r="R2570" s="321"/>
      <c r="S2570" s="321"/>
      <c r="T2570" s="321"/>
      <c r="U2570" s="321"/>
      <c r="V2570" s="321"/>
      <c r="W2570" s="321"/>
      <c r="X2570" s="321"/>
      <c r="Y2570" s="321"/>
      <c r="Z2570" s="321"/>
      <c r="AA2570" s="321"/>
      <c r="AB2570" s="321"/>
      <c r="AC2570" s="321"/>
      <c r="AD2570" s="321"/>
      <c r="AE2570" s="321"/>
      <c r="AF2570" s="564"/>
    </row>
    <row r="2571" spans="1:33">
      <c r="A2571" s="483"/>
      <c r="B2571" s="321"/>
      <c r="C2571" s="321"/>
      <c r="D2571" s="321"/>
      <c r="E2571" s="321"/>
      <c r="F2571" s="321"/>
      <c r="G2571" s="321"/>
      <c r="H2571" s="321"/>
      <c r="I2571" s="321"/>
      <c r="J2571" s="321"/>
      <c r="K2571" s="321"/>
      <c r="L2571" s="321"/>
      <c r="M2571" s="321"/>
      <c r="N2571" s="321"/>
      <c r="O2571" s="321"/>
      <c r="P2571" s="321"/>
      <c r="Q2571" s="321"/>
      <c r="R2571" s="321"/>
      <c r="S2571" s="321"/>
      <c r="T2571" s="321"/>
      <c r="U2571" s="321"/>
      <c r="V2571" s="321"/>
      <c r="W2571" s="321"/>
      <c r="X2571" s="321"/>
      <c r="Y2571" s="321"/>
      <c r="Z2571" s="321"/>
      <c r="AA2571" s="321"/>
      <c r="AB2571" s="321"/>
      <c r="AC2571" s="321"/>
      <c r="AD2571" s="321"/>
      <c r="AE2571" s="321"/>
      <c r="AF2571" s="564"/>
    </row>
    <row r="2572" spans="1:33">
      <c r="A2572" s="483"/>
      <c r="B2572" s="321"/>
      <c r="C2572" s="321"/>
      <c r="D2572" s="321"/>
      <c r="E2572" s="321"/>
      <c r="F2572" s="321"/>
      <c r="G2572" s="321"/>
      <c r="H2572" s="321"/>
      <c r="I2572" s="321"/>
      <c r="J2572" s="321"/>
      <c r="K2572" s="321"/>
      <c r="L2572" s="321"/>
      <c r="M2572" s="321"/>
      <c r="N2572" s="321"/>
      <c r="O2572" s="321"/>
      <c r="P2572" s="321"/>
      <c r="Q2572" s="321"/>
      <c r="R2572" s="321"/>
      <c r="S2572" s="321"/>
      <c r="T2572" s="321"/>
      <c r="U2572" s="321"/>
      <c r="V2572" s="321"/>
      <c r="W2572" s="321"/>
      <c r="X2572" s="321"/>
      <c r="Y2572" s="321"/>
      <c r="Z2572" s="321"/>
      <c r="AA2572" s="321"/>
      <c r="AB2572" s="321"/>
      <c r="AC2572" s="321"/>
      <c r="AD2572" s="321"/>
      <c r="AE2572" s="321"/>
      <c r="AF2572" s="564"/>
    </row>
    <row r="2573" spans="1:33">
      <c r="A2573" s="483"/>
      <c r="B2573" s="321"/>
      <c r="C2573" s="321"/>
      <c r="D2573" s="321"/>
      <c r="E2573" s="321"/>
      <c r="F2573" s="321"/>
      <c r="G2573" s="321"/>
      <c r="H2573" s="321"/>
      <c r="I2573" s="321"/>
      <c r="J2573" s="321"/>
      <c r="K2573" s="321"/>
      <c r="L2573" s="321"/>
      <c r="M2573" s="321"/>
      <c r="N2573" s="321"/>
      <c r="O2573" s="321"/>
      <c r="P2573" s="321"/>
      <c r="Q2573" s="321"/>
      <c r="R2573" s="321"/>
      <c r="S2573" s="321"/>
      <c r="T2573" s="321"/>
      <c r="U2573" s="321"/>
      <c r="V2573" s="321"/>
      <c r="W2573" s="321"/>
      <c r="X2573" s="321"/>
      <c r="Y2573" s="321"/>
      <c r="Z2573" s="321"/>
      <c r="AA2573" s="321"/>
      <c r="AB2573" s="321"/>
      <c r="AC2573" s="321"/>
      <c r="AD2573" s="321"/>
      <c r="AE2573" s="321"/>
      <c r="AF2573" s="564"/>
    </row>
    <row r="2574" spans="1:33">
      <c r="A2574" s="483"/>
      <c r="B2574" s="321"/>
      <c r="C2574" s="321"/>
      <c r="D2574" s="321"/>
      <c r="E2574" s="321"/>
      <c r="F2574" s="321"/>
      <c r="G2574" s="321"/>
      <c r="H2574" s="321"/>
      <c r="I2574" s="321"/>
      <c r="J2574" s="321"/>
      <c r="K2574" s="321"/>
      <c r="L2574" s="321"/>
      <c r="M2574" s="321"/>
      <c r="N2574" s="321"/>
      <c r="O2574" s="321"/>
      <c r="P2574" s="321"/>
      <c r="Q2574" s="321"/>
      <c r="R2574" s="321"/>
      <c r="S2574" s="321"/>
      <c r="T2574" s="321"/>
      <c r="U2574" s="321"/>
      <c r="V2574" s="321"/>
      <c r="W2574" s="321"/>
      <c r="X2574" s="321"/>
      <c r="Y2574" s="321"/>
      <c r="Z2574" s="321"/>
      <c r="AA2574" s="321"/>
      <c r="AB2574" s="321"/>
      <c r="AC2574" s="321"/>
      <c r="AD2574" s="321"/>
      <c r="AE2574" s="321"/>
      <c r="AF2574" s="564"/>
    </row>
    <row r="2575" spans="1:33">
      <c r="A2575" s="483"/>
      <c r="B2575" s="321"/>
      <c r="C2575" s="321"/>
      <c r="D2575" s="321"/>
      <c r="E2575" s="321"/>
      <c r="F2575" s="321"/>
      <c r="G2575" s="321"/>
      <c r="H2575" s="321"/>
      <c r="I2575" s="321"/>
      <c r="J2575" s="321"/>
      <c r="K2575" s="321"/>
      <c r="L2575" s="321"/>
      <c r="M2575" s="321"/>
      <c r="N2575" s="321"/>
      <c r="O2575" s="321"/>
      <c r="P2575" s="321"/>
      <c r="Q2575" s="321"/>
      <c r="R2575" s="321"/>
      <c r="S2575" s="321"/>
      <c r="T2575" s="321"/>
      <c r="U2575" s="321"/>
      <c r="V2575" s="321"/>
      <c r="W2575" s="321"/>
      <c r="X2575" s="321"/>
      <c r="Y2575" s="321"/>
      <c r="Z2575" s="321"/>
      <c r="AA2575" s="321"/>
      <c r="AB2575" s="321"/>
      <c r="AC2575" s="321"/>
      <c r="AD2575" s="321"/>
      <c r="AE2575" s="321"/>
      <c r="AF2575" s="564"/>
    </row>
    <row r="2576" spans="1:33">
      <c r="A2576" s="483"/>
      <c r="B2576" s="321"/>
      <c r="C2576" s="321"/>
      <c r="D2576" s="321"/>
      <c r="E2576" s="321"/>
      <c r="F2576" s="321"/>
      <c r="G2576" s="321"/>
      <c r="H2576" s="321"/>
      <c r="I2576" s="321"/>
      <c r="J2576" s="321"/>
      <c r="K2576" s="321"/>
      <c r="L2576" s="321"/>
      <c r="M2576" s="321"/>
      <c r="N2576" s="321"/>
      <c r="O2576" s="321"/>
      <c r="P2576" s="321"/>
      <c r="Q2576" s="321"/>
      <c r="R2576" s="321"/>
      <c r="S2576" s="321"/>
      <c r="T2576" s="321"/>
      <c r="U2576" s="321"/>
      <c r="V2576" s="321"/>
      <c r="W2576" s="321"/>
      <c r="X2576" s="321"/>
      <c r="Y2576" s="321"/>
      <c r="Z2576" s="321"/>
      <c r="AA2576" s="321"/>
      <c r="AB2576" s="321"/>
      <c r="AC2576" s="321"/>
      <c r="AD2576" s="321"/>
      <c r="AE2576" s="321"/>
      <c r="AF2576" s="564"/>
    </row>
    <row r="2577" spans="1:34">
      <c r="A2577" s="483"/>
      <c r="B2577" s="321"/>
      <c r="C2577" s="321"/>
      <c r="D2577" s="321"/>
      <c r="E2577" s="321"/>
      <c r="F2577" s="321"/>
      <c r="G2577" s="321"/>
      <c r="H2577" s="321"/>
      <c r="I2577" s="204">
        <v>18.12</v>
      </c>
      <c r="J2577" s="308">
        <v>18.12</v>
      </c>
      <c r="K2577" s="308">
        <v>18.12</v>
      </c>
      <c r="L2577" s="308">
        <v>18.12</v>
      </c>
      <c r="M2577" s="308">
        <v>18.12</v>
      </c>
      <c r="N2577" s="308">
        <v>18.12</v>
      </c>
      <c r="O2577" s="308">
        <v>18.12</v>
      </c>
      <c r="P2577" s="308">
        <v>18.12</v>
      </c>
      <c r="Q2577" s="308">
        <v>18.12</v>
      </c>
      <c r="R2577" s="308">
        <v>18.12</v>
      </c>
      <c r="S2577" s="308">
        <v>18.12</v>
      </c>
      <c r="T2577" s="308">
        <v>18.12</v>
      </c>
      <c r="U2577" s="308">
        <v>18.12</v>
      </c>
      <c r="V2577" s="308">
        <v>18.12</v>
      </c>
      <c r="W2577" s="308">
        <v>18.12</v>
      </c>
      <c r="X2577" s="308">
        <v>18.12</v>
      </c>
      <c r="Y2577" s="321"/>
      <c r="Z2577" s="321"/>
      <c r="AA2577" s="321"/>
      <c r="AB2577" s="321"/>
      <c r="AC2577" s="321"/>
      <c r="AD2577" s="321"/>
      <c r="AE2577" s="321"/>
      <c r="AF2577" s="564"/>
    </row>
    <row r="2578" spans="1:34">
      <c r="A2578" s="483"/>
      <c r="B2578" s="321"/>
      <c r="C2578" s="321"/>
      <c r="D2578" s="321"/>
      <c r="E2578" s="321"/>
      <c r="F2578" s="321"/>
      <c r="G2578" s="189">
        <v>29</v>
      </c>
      <c r="H2578" s="307">
        <v>29.04</v>
      </c>
      <c r="I2578" s="307">
        <v>29.04</v>
      </c>
      <c r="J2578" s="307">
        <v>29.28</v>
      </c>
      <c r="K2578" s="307">
        <v>29.28</v>
      </c>
      <c r="L2578" s="307">
        <v>29.28</v>
      </c>
      <c r="M2578" s="307">
        <v>29.28</v>
      </c>
      <c r="N2578" s="307">
        <v>29.28</v>
      </c>
      <c r="O2578" s="307">
        <v>29.28</v>
      </c>
      <c r="P2578" s="307">
        <v>29.28</v>
      </c>
      <c r="Q2578" s="307">
        <v>29.28</v>
      </c>
      <c r="R2578" s="307">
        <v>29.28</v>
      </c>
      <c r="S2578" s="307">
        <v>29.28</v>
      </c>
      <c r="T2578" s="307">
        <v>29.28</v>
      </c>
      <c r="U2578" s="307">
        <v>29.28</v>
      </c>
      <c r="V2578" s="307">
        <v>29.28</v>
      </c>
      <c r="W2578" s="307">
        <v>29.28</v>
      </c>
      <c r="X2578" s="307">
        <v>29.04</v>
      </c>
      <c r="Y2578" s="307">
        <v>29.04</v>
      </c>
      <c r="Z2578" s="189">
        <v>29</v>
      </c>
      <c r="AA2578" s="321"/>
      <c r="AB2578" s="321"/>
      <c r="AC2578" s="321"/>
      <c r="AD2578" s="321"/>
      <c r="AE2578" s="321"/>
      <c r="AF2578" s="564"/>
    </row>
    <row r="2579" spans="1:34">
      <c r="A2579" s="483"/>
      <c r="B2579" s="321"/>
      <c r="C2579" s="321"/>
      <c r="D2579" s="321"/>
      <c r="E2579" s="321"/>
      <c r="F2579" s="321"/>
      <c r="G2579" s="297">
        <v>28</v>
      </c>
      <c r="H2579" s="307">
        <v>29</v>
      </c>
      <c r="I2579" s="307">
        <v>29</v>
      </c>
      <c r="J2579" s="307">
        <v>29</v>
      </c>
      <c r="K2579" s="307">
        <v>29</v>
      </c>
      <c r="L2579" s="307">
        <v>29</v>
      </c>
      <c r="M2579" s="307">
        <v>29</v>
      </c>
      <c r="N2579" s="204">
        <v>29</v>
      </c>
      <c r="O2579" s="204">
        <v>29</v>
      </c>
      <c r="P2579" s="204">
        <v>29</v>
      </c>
      <c r="Q2579" s="204">
        <v>29</v>
      </c>
      <c r="R2579" s="204">
        <v>29</v>
      </c>
      <c r="S2579" s="204">
        <v>29</v>
      </c>
      <c r="T2579" s="307">
        <v>29</v>
      </c>
      <c r="U2579" s="307">
        <v>29</v>
      </c>
      <c r="V2579" s="307">
        <v>29</v>
      </c>
      <c r="W2579" s="307">
        <v>29</v>
      </c>
      <c r="X2579" s="307">
        <v>29</v>
      </c>
      <c r="Y2579" s="307">
        <v>29</v>
      </c>
      <c r="Z2579" s="297">
        <v>28</v>
      </c>
      <c r="AA2579" s="321"/>
      <c r="AB2579" s="321"/>
      <c r="AC2579" s="321"/>
      <c r="AD2579" s="321"/>
      <c r="AE2579" s="321"/>
      <c r="AF2579" s="564"/>
    </row>
    <row r="2580" spans="1:34">
      <c r="A2580" s="483"/>
      <c r="B2580" s="321"/>
      <c r="C2580" s="321"/>
      <c r="D2580" s="321"/>
      <c r="E2580" s="321"/>
      <c r="F2580" s="321"/>
      <c r="G2580" s="301">
        <v>28</v>
      </c>
      <c r="H2580" s="307">
        <v>29</v>
      </c>
      <c r="Y2580" s="307">
        <v>29</v>
      </c>
      <c r="Z2580" s="307">
        <v>28</v>
      </c>
      <c r="AA2580" s="321"/>
      <c r="AB2580" s="321"/>
      <c r="AC2580" s="321"/>
      <c r="AD2580" s="321"/>
      <c r="AE2580" s="321"/>
      <c r="AF2580" s="564"/>
    </row>
    <row r="2581" spans="1:34">
      <c r="A2581" s="483"/>
      <c r="B2581" s="321"/>
      <c r="C2581" s="321"/>
      <c r="D2581" s="321"/>
      <c r="E2581" s="321"/>
      <c r="F2581" s="321"/>
      <c r="G2581" s="189">
        <v>28</v>
      </c>
      <c r="H2581" s="307">
        <v>29</v>
      </c>
      <c r="Y2581" s="307">
        <v>29</v>
      </c>
      <c r="Z2581" s="189">
        <v>28</v>
      </c>
      <c r="AA2581" s="321"/>
      <c r="AB2581" s="321"/>
      <c r="AC2581" s="321"/>
      <c r="AD2581" s="321"/>
      <c r="AE2581" s="321"/>
      <c r="AF2581" s="564"/>
    </row>
    <row r="2582" spans="1:34">
      <c r="AH2582">
        <v>2581</v>
      </c>
    </row>
    <row r="2583" spans="1:34">
      <c r="AH2583">
        <v>2581</v>
      </c>
    </row>
    <row r="2584" spans="1:34">
      <c r="AH2584">
        <v>2581</v>
      </c>
    </row>
    <row r="2585" spans="1:34">
      <c r="AH2585">
        <v>2581</v>
      </c>
    </row>
    <row r="2586" spans="1:34">
      <c r="AH2586">
        <v>2581</v>
      </c>
    </row>
    <row r="2587" spans="1:34">
      <c r="AH2587">
        <v>2581</v>
      </c>
    </row>
    <row r="2588" spans="1:34">
      <c r="AH2588">
        <v>2581</v>
      </c>
    </row>
    <row r="2589" spans="1:34">
      <c r="A2589" s="483"/>
      <c r="B2589" s="321"/>
      <c r="C2589" s="321"/>
      <c r="D2589" s="321"/>
      <c r="E2589" s="321"/>
      <c r="F2589" s="321"/>
      <c r="G2589" s="297">
        <v>28</v>
      </c>
      <c r="H2589" s="307">
        <v>29</v>
      </c>
      <c r="Y2589" s="307">
        <v>29</v>
      </c>
      <c r="Z2589" s="297">
        <v>28</v>
      </c>
      <c r="AA2589" s="321"/>
      <c r="AB2589" s="321"/>
      <c r="AC2589" s="321"/>
      <c r="AD2589" s="321"/>
      <c r="AE2589" s="321"/>
      <c r="AF2589" s="564"/>
    </row>
    <row r="2590" spans="1:34">
      <c r="A2590" s="483"/>
      <c r="B2590" s="321"/>
      <c r="C2590" s="321"/>
      <c r="D2590" s="321"/>
      <c r="E2590" s="321"/>
      <c r="F2590" s="321"/>
      <c r="G2590" s="301">
        <v>28</v>
      </c>
      <c r="H2590" s="307">
        <v>29</v>
      </c>
      <c r="I2590" s="307">
        <v>29</v>
      </c>
      <c r="J2590" s="307">
        <v>29</v>
      </c>
      <c r="K2590" s="307">
        <v>29</v>
      </c>
      <c r="L2590" s="307">
        <v>29</v>
      </c>
      <c r="M2590" s="307">
        <v>29</v>
      </c>
      <c r="N2590" s="161">
        <v>29</v>
      </c>
      <c r="O2590" s="160">
        <v>29</v>
      </c>
      <c r="P2590" s="161">
        <v>29</v>
      </c>
      <c r="Q2590" s="161">
        <v>29</v>
      </c>
      <c r="R2590" s="160">
        <v>29</v>
      </c>
      <c r="S2590" s="161">
        <v>29</v>
      </c>
      <c r="T2590" s="307">
        <v>29</v>
      </c>
      <c r="U2590" s="307">
        <v>29</v>
      </c>
      <c r="V2590" s="307">
        <v>29</v>
      </c>
      <c r="W2590" s="307">
        <v>29</v>
      </c>
      <c r="X2590" s="307">
        <v>29</v>
      </c>
      <c r="Y2590" s="307">
        <v>29</v>
      </c>
      <c r="Z2590" s="307">
        <v>28</v>
      </c>
      <c r="AA2590" s="321"/>
      <c r="AB2590" s="321"/>
      <c r="AC2590" s="321"/>
      <c r="AD2590" s="321"/>
      <c r="AE2590" s="321"/>
      <c r="AF2590" s="564"/>
    </row>
    <row r="2591" spans="1:34">
      <c r="A2591" s="483"/>
      <c r="B2591" s="321"/>
      <c r="C2591" s="321"/>
      <c r="D2591" s="321"/>
      <c r="E2591" s="321"/>
      <c r="F2591" s="321"/>
      <c r="G2591" s="189">
        <v>29</v>
      </c>
      <c r="H2591" s="301">
        <v>29</v>
      </c>
      <c r="I2591" s="301">
        <v>29</v>
      </c>
      <c r="J2591" s="301">
        <v>29</v>
      </c>
      <c r="K2591" s="301">
        <v>29</v>
      </c>
      <c r="L2591" s="301">
        <v>29</v>
      </c>
      <c r="M2591" s="301">
        <v>29</v>
      </c>
      <c r="N2591" s="301">
        <v>29.03</v>
      </c>
      <c r="O2591" s="301">
        <v>29.04</v>
      </c>
      <c r="P2591" s="301">
        <v>29.05</v>
      </c>
      <c r="Q2591" s="301">
        <v>29.05</v>
      </c>
      <c r="R2591" s="301">
        <v>29.04</v>
      </c>
      <c r="S2591" s="301">
        <v>29.03</v>
      </c>
      <c r="T2591" s="301">
        <v>29</v>
      </c>
      <c r="U2591" s="301">
        <v>29</v>
      </c>
      <c r="V2591" s="301">
        <v>29</v>
      </c>
      <c r="W2591" s="301">
        <v>29</v>
      </c>
      <c r="X2591" s="301">
        <v>29</v>
      </c>
      <c r="Y2591" s="301">
        <v>29</v>
      </c>
      <c r="Z2591" s="189">
        <v>29</v>
      </c>
      <c r="AA2591" s="321"/>
      <c r="AB2591" s="321"/>
      <c r="AC2591" s="321"/>
      <c r="AD2591" s="321"/>
      <c r="AE2591" s="321"/>
      <c r="AF2591" s="564"/>
    </row>
    <row r="2592" spans="1:34">
      <c r="A2592" s="483"/>
      <c r="B2592" s="321"/>
      <c r="C2592" s="321"/>
      <c r="D2592" s="321"/>
      <c r="E2592" s="321"/>
      <c r="F2592" s="321"/>
      <c r="AA2592" s="321"/>
      <c r="AB2592" s="321"/>
      <c r="AC2592" s="321"/>
      <c r="AD2592" s="321"/>
      <c r="AE2592" s="321"/>
      <c r="AF2592" s="564"/>
    </row>
    <row r="2593" spans="1:33">
      <c r="A2593" s="753"/>
      <c r="B2593" s="711"/>
      <c r="C2593" s="711"/>
      <c r="D2593" s="711"/>
      <c r="E2593" s="711"/>
      <c r="F2593" s="711"/>
      <c r="G2593" s="711"/>
      <c r="H2593" s="711"/>
      <c r="I2593" s="711"/>
      <c r="J2593" s="711"/>
      <c r="K2593" s="711"/>
      <c r="L2593" s="711"/>
      <c r="M2593" s="711"/>
      <c r="N2593" s="711"/>
      <c r="O2593" s="711"/>
      <c r="P2593" s="711"/>
      <c r="Q2593" s="711"/>
      <c r="R2593" s="711"/>
      <c r="S2593" s="711"/>
      <c r="T2593" s="711"/>
      <c r="U2593" s="711"/>
      <c r="V2593" s="711"/>
      <c r="W2593" s="711"/>
      <c r="X2593" s="711"/>
      <c r="Y2593" s="711"/>
      <c r="Z2593" s="711"/>
      <c r="AA2593" s="711"/>
      <c r="AB2593" s="711"/>
      <c r="AC2593" s="711"/>
      <c r="AD2593" s="711"/>
      <c r="AE2593" s="711"/>
      <c r="AF2593" s="530"/>
      <c r="AG2593">
        <v>82</v>
      </c>
    </row>
    <row r="2594" spans="1:33">
      <c r="A2594" s="699"/>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c r="AF2594" s="79"/>
    </row>
    <row r="2595" spans="1:33">
      <c r="A2595" s="699"/>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c r="AF2595" s="79"/>
    </row>
    <row r="2596" spans="1:33">
      <c r="A2596" s="699"/>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c r="AF2596" s="79"/>
    </row>
    <row r="2597" spans="1:33">
      <c r="A2597" s="699"/>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c r="AF2597" s="79"/>
    </row>
    <row r="2598" spans="1:33">
      <c r="A2598" s="699"/>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c r="AF2598" s="79"/>
    </row>
    <row r="2599" spans="1:33">
      <c r="A2599" s="699"/>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c r="AF2599" s="79"/>
    </row>
    <row r="2600" spans="1:33">
      <c r="A2600" s="699"/>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c r="AF2600" s="79"/>
    </row>
    <row r="2601" spans="1:33">
      <c r="A2601" s="699"/>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c r="AF2601" s="79"/>
    </row>
    <row r="2602" spans="1:33">
      <c r="A2602" s="699"/>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c r="AF2602" s="79"/>
    </row>
    <row r="2603" spans="1:33">
      <c r="A2603" s="699"/>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c r="AF2603" s="79"/>
    </row>
    <row r="2604" spans="1:33">
      <c r="A2604" s="699"/>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c r="AF2604" s="79"/>
    </row>
    <row r="2605" spans="1:33">
      <c r="A2605" s="699"/>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c r="AF2605" s="79"/>
    </row>
    <row r="2606" spans="1:33">
      <c r="A2606" s="699"/>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c r="AF2606" s="79"/>
    </row>
    <row r="2607" spans="1:33">
      <c r="A2607" s="699"/>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c r="AF2607" s="79"/>
    </row>
    <row r="2608" spans="1:33">
      <c r="A2608" s="699"/>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c r="AF2608" s="79"/>
    </row>
    <row r="2609" spans="1:34">
      <c r="A2609" s="297">
        <v>11.11</v>
      </c>
      <c r="B2609" s="297">
        <v>11.11</v>
      </c>
      <c r="C2609" s="297">
        <v>11.11</v>
      </c>
      <c r="D2609" s="297">
        <v>11.11</v>
      </c>
      <c r="E2609" s="297">
        <v>11.11</v>
      </c>
      <c r="F2609" s="297">
        <v>11.11</v>
      </c>
      <c r="G2609" s="297">
        <v>11.11</v>
      </c>
      <c r="H2609" s="297">
        <v>11.11</v>
      </c>
      <c r="I2609" s="297">
        <v>11.11</v>
      </c>
      <c r="J2609" s="297">
        <v>11.11</v>
      </c>
      <c r="K2609" s="297">
        <v>11.11</v>
      </c>
      <c r="L2609" s="297">
        <v>11.11</v>
      </c>
      <c r="M2609" s="297">
        <v>11.11</v>
      </c>
      <c r="N2609" s="297">
        <v>11.11</v>
      </c>
      <c r="O2609" s="297">
        <v>11.11</v>
      </c>
      <c r="P2609" s="297">
        <v>11.11</v>
      </c>
      <c r="Q2609" s="297">
        <v>11.11</v>
      </c>
      <c r="R2609" s="297">
        <v>11.11</v>
      </c>
      <c r="S2609" s="297">
        <v>11.11</v>
      </c>
      <c r="T2609" s="297">
        <v>11.11</v>
      </c>
      <c r="U2609" s="297">
        <v>11.11</v>
      </c>
      <c r="V2609" s="297">
        <v>11.11</v>
      </c>
      <c r="W2609" s="297">
        <v>11.11</v>
      </c>
      <c r="X2609" s="297">
        <v>11.11</v>
      </c>
      <c r="Y2609" s="297">
        <v>11.11</v>
      </c>
      <c r="Z2609" s="297">
        <v>11.11</v>
      </c>
      <c r="AA2609" s="297">
        <v>11.11</v>
      </c>
      <c r="AB2609" s="297">
        <v>11.11</v>
      </c>
      <c r="AC2609" s="297">
        <v>11.11</v>
      </c>
      <c r="AD2609" s="297">
        <v>11.11</v>
      </c>
      <c r="AE2609" s="297">
        <v>11.11</v>
      </c>
      <c r="AF2609" s="297">
        <v>11.11</v>
      </c>
    </row>
    <row r="2610" spans="1:34">
      <c r="A2610" s="189">
        <v>11.11</v>
      </c>
      <c r="B2610" s="301">
        <v>12.11</v>
      </c>
      <c r="C2610" s="301">
        <v>12.11</v>
      </c>
      <c r="D2610" s="301">
        <v>12.11</v>
      </c>
      <c r="E2610" s="301">
        <v>12.11</v>
      </c>
      <c r="F2610" s="301">
        <v>12.11</v>
      </c>
      <c r="G2610" s="301">
        <v>12.11</v>
      </c>
      <c r="H2610" s="301">
        <v>12.11</v>
      </c>
      <c r="I2610" s="189">
        <v>12.11</v>
      </c>
      <c r="J2610" s="189">
        <v>12.11</v>
      </c>
      <c r="K2610" s="158">
        <v>12.11</v>
      </c>
      <c r="L2610" s="162">
        <v>12.11</v>
      </c>
      <c r="M2610" s="167">
        <v>12.11</v>
      </c>
      <c r="N2610" s="301">
        <v>12.11</v>
      </c>
      <c r="O2610" s="307">
        <v>12.11</v>
      </c>
      <c r="P2610" s="307">
        <v>12.11</v>
      </c>
      <c r="Q2610" s="189">
        <v>12.11</v>
      </c>
      <c r="R2610" s="297">
        <v>12.11</v>
      </c>
      <c r="S2610" s="313">
        <v>12.11</v>
      </c>
      <c r="T2610" s="481">
        <v>12.11</v>
      </c>
      <c r="U2610" s="316">
        <v>12.11</v>
      </c>
      <c r="V2610" s="308">
        <v>12.11</v>
      </c>
      <c r="W2610" s="207">
        <v>12.11</v>
      </c>
      <c r="X2610" s="301">
        <v>12.11</v>
      </c>
      <c r="Y2610" s="301">
        <v>12.11</v>
      </c>
      <c r="Z2610" s="301">
        <v>12.11</v>
      </c>
      <c r="AA2610" s="301">
        <v>12.11</v>
      </c>
      <c r="AB2610" s="301">
        <v>12.11</v>
      </c>
      <c r="AC2610" s="301">
        <v>12.11</v>
      </c>
      <c r="AD2610" s="301">
        <v>12.11</v>
      </c>
      <c r="AE2610" s="301">
        <v>12.11</v>
      </c>
      <c r="AF2610" s="189">
        <v>11.11</v>
      </c>
    </row>
    <row r="2611" spans="1:34">
      <c r="A2611" s="189">
        <v>12.11</v>
      </c>
      <c r="B2611" s="301">
        <v>13.11</v>
      </c>
      <c r="C2611" s="297">
        <v>13.11</v>
      </c>
      <c r="D2611" s="301">
        <v>13.11</v>
      </c>
      <c r="E2611" s="297">
        <v>13.11</v>
      </c>
      <c r="F2611" s="301">
        <v>13.11</v>
      </c>
      <c r="G2611" s="297">
        <v>13.11</v>
      </c>
      <c r="H2611" s="301">
        <v>13.11</v>
      </c>
      <c r="I2611" s="297">
        <v>13.11</v>
      </c>
      <c r="J2611" s="297">
        <v>13.11</v>
      </c>
      <c r="K2611" s="301">
        <v>13.11</v>
      </c>
      <c r="L2611" s="297">
        <v>13.11</v>
      </c>
      <c r="M2611" s="293">
        <v>13.11</v>
      </c>
      <c r="N2611" s="301">
        <v>13.11</v>
      </c>
      <c r="O2611" s="301">
        <v>13.11</v>
      </c>
      <c r="P2611" s="301">
        <v>13.11</v>
      </c>
      <c r="Q2611" s="301">
        <v>13.11</v>
      </c>
      <c r="R2611" s="301">
        <v>13.11</v>
      </c>
      <c r="S2611" s="301">
        <v>13.11</v>
      </c>
      <c r="T2611" s="301">
        <v>13.11</v>
      </c>
      <c r="U2611" s="301">
        <v>13.11</v>
      </c>
      <c r="V2611" s="301">
        <v>13.11</v>
      </c>
      <c r="W2611" s="296">
        <v>13.11</v>
      </c>
      <c r="X2611" s="311">
        <v>13.11</v>
      </c>
      <c r="Y2611" s="301">
        <v>13.11</v>
      </c>
      <c r="Z2611" s="301">
        <v>13.11</v>
      </c>
      <c r="AA2611" s="313">
        <v>14.12</v>
      </c>
      <c r="AB2611" s="304">
        <v>13.12</v>
      </c>
      <c r="AC2611" s="302">
        <v>13.12</v>
      </c>
      <c r="AD2611" s="295">
        <v>13.12</v>
      </c>
      <c r="AE2611" s="301">
        <v>13.11</v>
      </c>
      <c r="AF2611" s="189">
        <v>12.11</v>
      </c>
    </row>
    <row r="2612" spans="1:34">
      <c r="A2612" s="189">
        <v>13</v>
      </c>
      <c r="B2612" s="301">
        <v>14</v>
      </c>
      <c r="C2612" s="301">
        <v>14</v>
      </c>
      <c r="D2612" s="301">
        <v>14</v>
      </c>
      <c r="E2612" s="301">
        <v>14</v>
      </c>
      <c r="F2612" s="301">
        <v>14</v>
      </c>
      <c r="G2612" s="301">
        <v>14</v>
      </c>
      <c r="H2612" s="301">
        <v>14</v>
      </c>
      <c r="I2612" s="293">
        <v>14</v>
      </c>
      <c r="J2612" s="293">
        <v>14</v>
      </c>
      <c r="K2612" s="297">
        <v>14</v>
      </c>
      <c r="L2612" s="301">
        <v>14</v>
      </c>
      <c r="M2612" s="162">
        <v>14</v>
      </c>
      <c r="N2612" s="301">
        <v>14</v>
      </c>
      <c r="O2612" s="314">
        <v>14</v>
      </c>
      <c r="P2612" s="310">
        <v>14</v>
      </c>
      <c r="Q2612" s="305">
        <v>14</v>
      </c>
      <c r="R2612" s="200">
        <v>14</v>
      </c>
      <c r="S2612" s="297">
        <v>14</v>
      </c>
      <c r="T2612" s="293">
        <v>14</v>
      </c>
      <c r="U2612" s="301">
        <v>14</v>
      </c>
      <c r="V2612" s="293">
        <v>14</v>
      </c>
      <c r="W2612" s="297">
        <v>14</v>
      </c>
      <c r="X2612" s="301">
        <v>14</v>
      </c>
      <c r="Y2612" s="301">
        <v>14</v>
      </c>
      <c r="Z2612" s="301">
        <v>14</v>
      </c>
      <c r="AA2612" s="301">
        <v>14</v>
      </c>
      <c r="AB2612" s="301">
        <v>14</v>
      </c>
      <c r="AC2612" s="301">
        <v>14</v>
      </c>
      <c r="AD2612" s="301">
        <v>14</v>
      </c>
      <c r="AE2612" s="301">
        <v>14</v>
      </c>
      <c r="AF2612" s="189">
        <v>13</v>
      </c>
    </row>
    <row r="2613" spans="1:34">
      <c r="A2613" s="301">
        <v>14</v>
      </c>
      <c r="B2613" s="189">
        <v>15</v>
      </c>
      <c r="C2613" s="189">
        <v>15</v>
      </c>
      <c r="D2613" s="189">
        <v>15</v>
      </c>
      <c r="E2613" s="189">
        <v>15</v>
      </c>
      <c r="F2613" s="189">
        <v>15</v>
      </c>
      <c r="G2613" s="189">
        <v>15</v>
      </c>
      <c r="H2613" s="189">
        <v>15</v>
      </c>
      <c r="I2613" s="189">
        <v>15</v>
      </c>
      <c r="J2613" s="189">
        <v>15</v>
      </c>
      <c r="K2613" s="189">
        <v>15</v>
      </c>
      <c r="L2613" s="189">
        <v>15</v>
      </c>
      <c r="M2613" s="189">
        <v>15</v>
      </c>
      <c r="N2613" s="189">
        <v>15</v>
      </c>
      <c r="O2613" s="189">
        <v>15</v>
      </c>
      <c r="P2613" s="189">
        <v>15</v>
      </c>
      <c r="Q2613" s="189">
        <v>15</v>
      </c>
      <c r="R2613" s="189">
        <v>15</v>
      </c>
      <c r="S2613" s="189">
        <v>15</v>
      </c>
      <c r="T2613" s="189">
        <v>15</v>
      </c>
      <c r="U2613" s="189">
        <v>15</v>
      </c>
      <c r="V2613" s="189">
        <v>15</v>
      </c>
      <c r="W2613" s="189">
        <v>15</v>
      </c>
      <c r="X2613" s="189">
        <v>15</v>
      </c>
      <c r="Y2613" s="189">
        <v>15</v>
      </c>
      <c r="Z2613" s="189">
        <v>15</v>
      </c>
      <c r="AA2613" s="189">
        <v>15</v>
      </c>
      <c r="AB2613" s="189">
        <v>15</v>
      </c>
      <c r="AC2613" s="189">
        <v>15</v>
      </c>
      <c r="AD2613" s="189">
        <v>15</v>
      </c>
      <c r="AE2613" s="189">
        <v>15</v>
      </c>
      <c r="AF2613" s="301">
        <v>14</v>
      </c>
    </row>
    <row r="2614" spans="1:34">
      <c r="A2614" s="189">
        <v>15</v>
      </c>
      <c r="B2614" s="301">
        <v>16</v>
      </c>
      <c r="C2614" s="297">
        <v>16.13</v>
      </c>
      <c r="D2614" s="297">
        <v>16.13</v>
      </c>
      <c r="E2614" s="297">
        <v>16.13</v>
      </c>
      <c r="F2614" s="297">
        <v>16.13</v>
      </c>
      <c r="G2614" s="297">
        <v>16.13</v>
      </c>
      <c r="H2614" s="189">
        <v>16.13</v>
      </c>
      <c r="I2614" s="297">
        <v>16.13</v>
      </c>
      <c r="J2614" s="162">
        <v>16.13</v>
      </c>
      <c r="K2614" s="297">
        <v>16.13</v>
      </c>
      <c r="L2614" s="189">
        <v>16.13</v>
      </c>
      <c r="M2614" s="297">
        <v>16.13</v>
      </c>
      <c r="N2614" s="189">
        <v>16.13</v>
      </c>
      <c r="O2614" s="297">
        <v>16.13</v>
      </c>
      <c r="P2614" s="189">
        <v>16.13</v>
      </c>
      <c r="Q2614" s="301">
        <v>16.13</v>
      </c>
      <c r="R2614" s="301">
        <v>16.13</v>
      </c>
      <c r="S2614" s="301">
        <v>16.13</v>
      </c>
      <c r="T2614" s="189">
        <v>16.13</v>
      </c>
      <c r="U2614" s="301">
        <v>16.13</v>
      </c>
      <c r="V2614" s="305">
        <v>16.13</v>
      </c>
      <c r="W2614" s="301">
        <v>16.13</v>
      </c>
      <c r="X2614" s="305">
        <v>16.13</v>
      </c>
      <c r="Y2614" s="189">
        <v>16.13</v>
      </c>
      <c r="Z2614" s="301">
        <v>16.13</v>
      </c>
      <c r="AA2614" s="301">
        <v>16.13</v>
      </c>
      <c r="AB2614" s="301">
        <v>16.13</v>
      </c>
      <c r="AC2614" s="301">
        <v>16.13</v>
      </c>
      <c r="AD2614" s="301">
        <v>16.13</v>
      </c>
      <c r="AE2614" s="301">
        <v>16</v>
      </c>
      <c r="AF2614" s="189">
        <v>15</v>
      </c>
    </row>
    <row r="2615" spans="1:34">
      <c r="A2615" s="189">
        <v>16</v>
      </c>
      <c r="B2615" s="301">
        <v>17</v>
      </c>
      <c r="C2615" s="297">
        <v>17.14</v>
      </c>
      <c r="D2615" s="297">
        <v>17.14</v>
      </c>
      <c r="E2615" s="297">
        <v>17.14</v>
      </c>
      <c r="F2615" s="297">
        <v>17.14</v>
      </c>
      <c r="G2615" s="297">
        <v>17.14</v>
      </c>
      <c r="H2615" s="189">
        <v>17.14</v>
      </c>
      <c r="I2615" s="301">
        <v>17.14</v>
      </c>
      <c r="J2615" s="301">
        <v>17.14</v>
      </c>
      <c r="K2615" s="301">
        <v>17.14</v>
      </c>
      <c r="L2615" s="189">
        <v>17.14</v>
      </c>
      <c r="M2615" s="301">
        <v>17.14</v>
      </c>
      <c r="N2615" s="189">
        <v>17.14</v>
      </c>
      <c r="O2615" s="301">
        <v>17.14</v>
      </c>
      <c r="P2615" s="189">
        <v>17.14</v>
      </c>
      <c r="Q2615" s="305">
        <v>17.14</v>
      </c>
      <c r="R2615" s="305">
        <v>17.14</v>
      </c>
      <c r="S2615" s="305">
        <v>17.14</v>
      </c>
      <c r="T2615" s="189">
        <v>17.14</v>
      </c>
      <c r="U2615" s="305">
        <v>17.14</v>
      </c>
      <c r="V2615" s="301">
        <v>17.14</v>
      </c>
      <c r="W2615" s="305">
        <v>17.14</v>
      </c>
      <c r="X2615" s="301">
        <v>17.14</v>
      </c>
      <c r="Y2615" s="189">
        <v>17.14</v>
      </c>
      <c r="Z2615" s="162">
        <v>18.14</v>
      </c>
      <c r="AA2615" s="301">
        <v>17.14</v>
      </c>
      <c r="AB2615" s="481">
        <v>18.14</v>
      </c>
      <c r="AC2615" s="301">
        <v>17.14</v>
      </c>
      <c r="AD2615" s="162">
        <v>18.14</v>
      </c>
      <c r="AE2615" s="301">
        <v>17</v>
      </c>
      <c r="AF2615" s="189">
        <v>16</v>
      </c>
    </row>
    <row r="2616" spans="1:34">
      <c r="A2616" s="189">
        <v>17</v>
      </c>
      <c r="B2616" s="189">
        <v>18</v>
      </c>
      <c r="C2616" s="189">
        <v>18.149999999999999</v>
      </c>
      <c r="D2616" s="189">
        <v>18.149999999999999</v>
      </c>
      <c r="E2616" s="189">
        <v>18.149999999999999</v>
      </c>
      <c r="F2616" s="189">
        <v>18.149999999999999</v>
      </c>
      <c r="G2616" s="189">
        <v>18.149999999999999</v>
      </c>
      <c r="H2616" s="189">
        <v>18.149999999999999</v>
      </c>
      <c r="I2616" s="297">
        <v>18.149999999999999</v>
      </c>
      <c r="J2616" s="162">
        <v>18.149999999999999</v>
      </c>
      <c r="K2616" s="297">
        <v>18.149999999999999</v>
      </c>
      <c r="L2616" s="189">
        <v>18.149999999999999</v>
      </c>
      <c r="M2616" s="189">
        <v>18.149999999999999</v>
      </c>
      <c r="N2616" s="189">
        <v>18.149999999999999</v>
      </c>
      <c r="O2616" s="189">
        <v>18.149999999999999</v>
      </c>
      <c r="P2616" s="189">
        <v>18.149999999999999</v>
      </c>
      <c r="Q2616" s="301">
        <v>18.149999999999999</v>
      </c>
      <c r="R2616" s="301">
        <v>18.149999999999999</v>
      </c>
      <c r="S2616" s="301">
        <v>18.149999999999999</v>
      </c>
      <c r="T2616" s="189">
        <v>18.149999999999999</v>
      </c>
      <c r="U2616" s="189">
        <v>18.149999999999999</v>
      </c>
      <c r="V2616" s="189">
        <v>18.149999999999999</v>
      </c>
      <c r="W2616" s="189">
        <v>18.149999999999999</v>
      </c>
      <c r="X2616" s="189">
        <v>18.149999999999999</v>
      </c>
      <c r="Y2616" s="189">
        <v>18.149999999999999</v>
      </c>
      <c r="Z2616" s="189">
        <v>18.149999999999999</v>
      </c>
      <c r="AA2616" s="189">
        <v>18.149999999999999</v>
      </c>
      <c r="AB2616" s="189">
        <v>18.149999999999999</v>
      </c>
      <c r="AC2616" s="189">
        <v>18.149999999999999</v>
      </c>
      <c r="AD2616" s="189">
        <v>18.149999999999999</v>
      </c>
      <c r="AE2616" s="189">
        <v>18</v>
      </c>
      <c r="AF2616" s="189">
        <v>17</v>
      </c>
    </row>
    <row r="2617" spans="1:34">
      <c r="A2617" s="189">
        <v>18</v>
      </c>
      <c r="B2617" s="301">
        <v>19</v>
      </c>
      <c r="C2617" s="301">
        <v>19.16</v>
      </c>
      <c r="D2617" s="301">
        <v>19.16</v>
      </c>
      <c r="E2617" s="301">
        <v>19.16</v>
      </c>
      <c r="F2617" s="301">
        <v>19.16</v>
      </c>
      <c r="G2617" s="301">
        <v>19.16</v>
      </c>
      <c r="H2617" s="189">
        <v>19.16</v>
      </c>
      <c r="I2617" s="301">
        <v>19.16</v>
      </c>
      <c r="J2617" s="301">
        <v>19.16</v>
      </c>
      <c r="K2617" s="301">
        <v>19.16</v>
      </c>
      <c r="L2617" s="189">
        <v>19.16</v>
      </c>
      <c r="M2617" s="311">
        <v>19.16</v>
      </c>
      <c r="N2617" s="301">
        <v>19.16</v>
      </c>
      <c r="O2617" s="311">
        <v>19.16</v>
      </c>
      <c r="P2617" s="189">
        <v>19.16</v>
      </c>
      <c r="Q2617" s="305">
        <v>19.16</v>
      </c>
      <c r="R2617" s="305">
        <v>19.16</v>
      </c>
      <c r="S2617" s="305">
        <v>19.16</v>
      </c>
      <c r="T2617" s="189">
        <v>19.16</v>
      </c>
      <c r="U2617" s="301">
        <v>19.16</v>
      </c>
      <c r="V2617" s="301">
        <v>19.16</v>
      </c>
      <c r="W2617" s="301">
        <v>19.16</v>
      </c>
      <c r="X2617" s="301">
        <v>19.16</v>
      </c>
      <c r="Y2617" s="189">
        <v>19.16</v>
      </c>
      <c r="Z2617" s="301">
        <v>19.16</v>
      </c>
      <c r="AA2617" s="301">
        <v>19.16</v>
      </c>
      <c r="AB2617" s="301">
        <v>19.16</v>
      </c>
      <c r="AC2617" s="301">
        <v>19.16</v>
      </c>
      <c r="AD2617" s="301">
        <v>19.16</v>
      </c>
      <c r="AE2617" s="301">
        <v>19</v>
      </c>
      <c r="AF2617" s="189">
        <v>18</v>
      </c>
    </row>
    <row r="2618" spans="1:34">
      <c r="A2618" s="189">
        <v>19</v>
      </c>
      <c r="B2618" s="301">
        <v>20</v>
      </c>
      <c r="C2618" s="297">
        <v>20.170000000000002</v>
      </c>
      <c r="D2618" s="301">
        <v>20.170000000000002</v>
      </c>
      <c r="E2618" s="297">
        <v>20.170000000000002</v>
      </c>
      <c r="F2618" s="301">
        <v>20.170000000000002</v>
      </c>
      <c r="G2618" s="297">
        <v>20.170000000000002</v>
      </c>
      <c r="H2618" s="189">
        <v>20.170000000000002</v>
      </c>
      <c r="I2618" s="297">
        <v>20.170000000000002</v>
      </c>
      <c r="J2618" s="162">
        <v>20.170000000000002</v>
      </c>
      <c r="K2618" s="297">
        <v>20.170000000000002</v>
      </c>
      <c r="L2618" s="189">
        <v>20.170000000000002</v>
      </c>
      <c r="M2618" s="301">
        <v>20.170000000000002</v>
      </c>
      <c r="N2618" s="311">
        <v>20.170000000000002</v>
      </c>
      <c r="O2618" s="301">
        <v>20.170000000000002</v>
      </c>
      <c r="P2618" s="189">
        <v>20.170000000000002</v>
      </c>
      <c r="Q2618" s="301">
        <v>20.170000000000002</v>
      </c>
      <c r="R2618" s="301">
        <v>20.170000000000002</v>
      </c>
      <c r="S2618" s="301">
        <v>20.170000000000002</v>
      </c>
      <c r="T2618" s="189">
        <v>20.170000000000002</v>
      </c>
      <c r="U2618" s="301">
        <v>20.170000000000002</v>
      </c>
      <c r="V2618" s="301">
        <v>20.170000000000002</v>
      </c>
      <c r="W2618" s="301">
        <v>20.170000000000002</v>
      </c>
      <c r="X2618" s="301">
        <v>20.170000000000002</v>
      </c>
      <c r="Y2618" s="189">
        <v>20.170000000000002</v>
      </c>
      <c r="Z2618" s="297">
        <v>20.170000000000002</v>
      </c>
      <c r="AA2618" s="301">
        <v>20.170000000000002</v>
      </c>
      <c r="AB2618" s="297">
        <v>20.170000000000002</v>
      </c>
      <c r="AC2618" s="301">
        <v>20.170000000000002</v>
      </c>
      <c r="AD2618" s="297">
        <v>20.170000000000002</v>
      </c>
      <c r="AE2618" s="301">
        <v>20</v>
      </c>
      <c r="AF2618" s="189">
        <v>19</v>
      </c>
    </row>
    <row r="2619" spans="1:34">
      <c r="A2619" s="189">
        <v>20</v>
      </c>
      <c r="B2619" s="189">
        <v>21</v>
      </c>
      <c r="C2619" s="189">
        <v>21.18</v>
      </c>
      <c r="D2619" s="189">
        <v>21.18</v>
      </c>
      <c r="E2619" s="189">
        <v>21.18</v>
      </c>
      <c r="F2619" s="189">
        <v>21.18</v>
      </c>
      <c r="G2619" s="189">
        <v>21.18</v>
      </c>
      <c r="H2619" s="189">
        <v>21.18</v>
      </c>
      <c r="I2619" s="189">
        <v>21.18</v>
      </c>
      <c r="J2619" s="189">
        <v>21.18</v>
      </c>
      <c r="K2619" s="189">
        <v>21.18</v>
      </c>
      <c r="L2619" s="189">
        <v>21.18</v>
      </c>
      <c r="M2619" s="189">
        <v>21.18</v>
      </c>
      <c r="N2619" s="189">
        <v>21.18</v>
      </c>
      <c r="O2619" s="189">
        <v>21.18</v>
      </c>
      <c r="P2619" s="189">
        <v>21.18</v>
      </c>
      <c r="Q2619" s="189">
        <v>21.18</v>
      </c>
      <c r="R2619" s="189">
        <v>21.18</v>
      </c>
      <c r="S2619" s="189">
        <v>21.18</v>
      </c>
      <c r="T2619" s="189">
        <v>21.18</v>
      </c>
      <c r="U2619" s="189">
        <v>21.18</v>
      </c>
      <c r="V2619" s="189">
        <v>21.18</v>
      </c>
      <c r="W2619" s="189">
        <v>21.18</v>
      </c>
      <c r="X2619" s="189">
        <v>21.18</v>
      </c>
      <c r="Y2619" s="189">
        <v>21.18</v>
      </c>
      <c r="Z2619" s="189">
        <v>21.18</v>
      </c>
      <c r="AA2619" s="189">
        <v>21.18</v>
      </c>
      <c r="AB2619" s="189">
        <v>21.18</v>
      </c>
      <c r="AC2619" s="189">
        <v>21.18</v>
      </c>
      <c r="AD2619" s="189">
        <v>21.18</v>
      </c>
      <c r="AE2619" s="189">
        <v>21</v>
      </c>
      <c r="AF2619" s="189">
        <v>20</v>
      </c>
    </row>
    <row r="2620" spans="1:34">
      <c r="A2620" s="189">
        <v>20</v>
      </c>
      <c r="B2620" s="301">
        <v>21</v>
      </c>
      <c r="C2620" s="301">
        <v>21.18</v>
      </c>
      <c r="D2620" s="301">
        <v>21.18</v>
      </c>
      <c r="E2620" s="301">
        <v>21.18</v>
      </c>
      <c r="F2620" s="301">
        <v>21.18</v>
      </c>
      <c r="G2620" s="301">
        <v>21.18</v>
      </c>
      <c r="H2620" s="301">
        <v>21.18</v>
      </c>
      <c r="I2620" s="301">
        <v>21.18</v>
      </c>
      <c r="J2620" s="301">
        <v>21.18</v>
      </c>
      <c r="K2620" s="301">
        <v>21.18</v>
      </c>
      <c r="L2620" s="301">
        <v>21.18</v>
      </c>
      <c r="M2620" s="301">
        <v>21.18</v>
      </c>
      <c r="N2620" s="301">
        <v>21.18</v>
      </c>
      <c r="O2620" s="301">
        <v>21.18</v>
      </c>
      <c r="P2620" s="301">
        <v>21.18</v>
      </c>
      <c r="Q2620" s="301">
        <v>21.18</v>
      </c>
      <c r="R2620" s="301">
        <v>21.18</v>
      </c>
      <c r="S2620" s="301">
        <v>21.18</v>
      </c>
      <c r="T2620" s="301">
        <v>21.18</v>
      </c>
      <c r="U2620" s="301">
        <v>21.18</v>
      </c>
      <c r="V2620" s="301">
        <v>21.18</v>
      </c>
      <c r="W2620" s="301">
        <v>21.18</v>
      </c>
      <c r="X2620" s="301">
        <v>21.18</v>
      </c>
      <c r="Y2620" s="301">
        <v>21.18</v>
      </c>
      <c r="Z2620" s="301">
        <v>21.18</v>
      </c>
      <c r="AA2620" s="301">
        <v>21.18</v>
      </c>
      <c r="AB2620" s="301">
        <v>21.18</v>
      </c>
      <c r="AC2620" s="301">
        <v>21.18</v>
      </c>
      <c r="AD2620" s="301">
        <v>21.18</v>
      </c>
      <c r="AE2620" s="301">
        <v>21</v>
      </c>
      <c r="AF2620" s="189">
        <v>20</v>
      </c>
    </row>
    <row r="2621" spans="1:34">
      <c r="AH2621">
        <v>2620</v>
      </c>
    </row>
    <row r="2622" spans="1:34">
      <c r="AH2622">
        <v>2620</v>
      </c>
    </row>
    <row r="2623" spans="1:34">
      <c r="A2623" s="189">
        <v>20</v>
      </c>
      <c r="B2623" s="301">
        <v>21</v>
      </c>
      <c r="C2623" s="301">
        <v>21</v>
      </c>
      <c r="D2623" s="301">
        <v>21</v>
      </c>
      <c r="E2623" s="301">
        <v>21</v>
      </c>
      <c r="F2623" s="301">
        <v>21</v>
      </c>
      <c r="G2623" s="301">
        <v>21</v>
      </c>
      <c r="H2623" s="301">
        <v>21</v>
      </c>
      <c r="I2623" s="301">
        <v>21</v>
      </c>
      <c r="J2623" s="301">
        <v>21</v>
      </c>
      <c r="K2623" s="301">
        <v>21</v>
      </c>
      <c r="L2623" s="301">
        <v>21</v>
      </c>
      <c r="M2623" s="301">
        <v>21</v>
      </c>
      <c r="N2623" s="301">
        <v>21</v>
      </c>
      <c r="O2623" s="301">
        <v>21</v>
      </c>
      <c r="P2623" s="301">
        <v>21</v>
      </c>
      <c r="Q2623" s="301">
        <v>21</v>
      </c>
      <c r="R2623" s="301">
        <v>21</v>
      </c>
      <c r="S2623" s="301">
        <v>21</v>
      </c>
      <c r="T2623" s="301">
        <v>21</v>
      </c>
      <c r="U2623" s="301">
        <v>21</v>
      </c>
      <c r="V2623" s="301">
        <v>21</v>
      </c>
      <c r="W2623" s="301">
        <v>21</v>
      </c>
      <c r="X2623" s="301">
        <v>21</v>
      </c>
      <c r="Y2623" s="301">
        <v>21</v>
      </c>
      <c r="Z2623" s="301">
        <v>21</v>
      </c>
      <c r="AA2623" s="301">
        <v>21</v>
      </c>
      <c r="AB2623" s="301">
        <v>21</v>
      </c>
      <c r="AC2623" s="301">
        <v>21</v>
      </c>
      <c r="AD2623" s="301">
        <v>21</v>
      </c>
      <c r="AE2623" s="301">
        <v>21</v>
      </c>
      <c r="AF2623" s="189">
        <v>20</v>
      </c>
    </row>
    <row r="2624" spans="1:34">
      <c r="A2624" s="297">
        <v>20</v>
      </c>
      <c r="B2624" s="297">
        <v>20</v>
      </c>
      <c r="C2624" s="297">
        <v>20</v>
      </c>
      <c r="D2624" s="297">
        <v>20</v>
      </c>
      <c r="E2624" s="297">
        <v>20</v>
      </c>
      <c r="F2624" s="297">
        <v>20</v>
      </c>
      <c r="G2624" s="297">
        <v>20</v>
      </c>
      <c r="H2624" s="297">
        <v>20</v>
      </c>
      <c r="I2624" s="297">
        <v>20</v>
      </c>
      <c r="J2624" s="297">
        <v>20</v>
      </c>
      <c r="K2624" s="297">
        <v>20</v>
      </c>
      <c r="L2624" s="297">
        <v>20</v>
      </c>
      <c r="M2624" s="297">
        <v>20</v>
      </c>
      <c r="N2624" s="297">
        <v>20</v>
      </c>
      <c r="O2624" s="297">
        <v>20</v>
      </c>
      <c r="P2624" s="297">
        <v>20</v>
      </c>
      <c r="Q2624" s="297">
        <v>20</v>
      </c>
      <c r="R2624" s="297">
        <v>20</v>
      </c>
      <c r="S2624" s="297">
        <v>20</v>
      </c>
      <c r="T2624" s="297">
        <v>20</v>
      </c>
      <c r="U2624" s="297">
        <v>20</v>
      </c>
      <c r="V2624" s="297">
        <v>20</v>
      </c>
      <c r="W2624" s="297">
        <v>20</v>
      </c>
      <c r="X2624" s="297">
        <v>20</v>
      </c>
      <c r="Y2624" s="297">
        <v>20</v>
      </c>
      <c r="Z2624" s="297">
        <v>20</v>
      </c>
      <c r="AA2624" s="297">
        <v>20</v>
      </c>
      <c r="AB2624" s="297">
        <v>20</v>
      </c>
      <c r="AC2624" s="297">
        <v>20</v>
      </c>
      <c r="AD2624" s="297">
        <v>20</v>
      </c>
      <c r="AE2624" s="297">
        <v>20</v>
      </c>
      <c r="AF2624" s="297">
        <v>20</v>
      </c>
    </row>
    <row r="2625" spans="1:33">
      <c r="A2625" s="753"/>
      <c r="B2625" s="711"/>
      <c r="C2625" s="711"/>
      <c r="D2625" s="711"/>
      <c r="E2625" s="711"/>
      <c r="F2625" s="711"/>
      <c r="G2625" s="711"/>
      <c r="H2625" s="711"/>
      <c r="I2625" s="711"/>
      <c r="J2625" s="711"/>
      <c r="K2625" s="711"/>
      <c r="L2625" s="711"/>
      <c r="M2625" s="711"/>
      <c r="N2625" s="711"/>
      <c r="O2625" s="711"/>
      <c r="P2625" s="711"/>
      <c r="Q2625" s="711"/>
      <c r="R2625" s="711"/>
      <c r="S2625" s="711"/>
      <c r="T2625" s="711"/>
      <c r="U2625" s="711"/>
      <c r="V2625" s="711"/>
      <c r="W2625" s="711"/>
      <c r="X2625" s="711"/>
      <c r="Y2625" s="711"/>
      <c r="Z2625" s="711"/>
      <c r="AA2625" s="711"/>
      <c r="AB2625" s="711"/>
      <c r="AC2625" s="711"/>
      <c r="AD2625" s="711"/>
      <c r="AE2625" s="711"/>
      <c r="AF2625" s="530"/>
      <c r="AG2625">
        <v>83</v>
      </c>
    </row>
    <row r="2626" spans="1:33">
      <c r="A2626" s="699"/>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c r="AF2626" s="79"/>
    </row>
    <row r="2627" spans="1:33">
      <c r="A2627" s="699"/>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c r="AF2627" s="79"/>
    </row>
    <row r="2628" spans="1:33">
      <c r="A2628" s="699"/>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c r="AF2628" s="79"/>
    </row>
    <row r="2629" spans="1:33">
      <c r="A2629" s="699"/>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c r="AF2629" s="79"/>
    </row>
    <row r="2630" spans="1:33">
      <c r="A2630" s="699"/>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c r="AF2630" s="79"/>
    </row>
    <row r="2631" spans="1:33">
      <c r="A2631" s="699"/>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c r="AF2631" s="79"/>
    </row>
    <row r="2632" spans="1:33">
      <c r="A2632" s="699"/>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c r="AF2632" s="79"/>
    </row>
    <row r="2633" spans="1:33">
      <c r="A2633" s="699"/>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c r="AF2633" s="79"/>
    </row>
    <row r="2634" spans="1:33">
      <c r="A2634" s="699"/>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c r="AF2634" s="79"/>
    </row>
    <row r="2635" spans="1:33">
      <c r="A2635" s="699"/>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c r="AF2635" s="79"/>
    </row>
    <row r="2636" spans="1:33">
      <c r="A2636" s="699"/>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c r="AF2636" s="79"/>
    </row>
    <row r="2637" spans="1:33">
      <c r="A2637" s="699"/>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c r="AF2637" s="79"/>
    </row>
    <row r="2638" spans="1:33">
      <c r="A2638" s="699"/>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c r="AF2638" s="79"/>
    </row>
    <row r="2639" spans="1:33">
      <c r="A2639" s="699"/>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c r="AF2639" s="79"/>
    </row>
    <row r="2640" spans="1:33">
      <c r="A2640" s="699"/>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c r="AF2640" s="79"/>
    </row>
    <row r="2641" spans="1:34">
      <c r="A2641" s="699"/>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c r="AF2641" s="79"/>
    </row>
    <row r="2642" spans="1:34">
      <c r="A2642" s="699"/>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c r="AF2642" s="79"/>
    </row>
    <row r="2643" spans="1:34">
      <c r="A2643" s="699"/>
      <c r="B2643" s="295">
        <v>3</v>
      </c>
      <c r="C2643" s="295">
        <v>3</v>
      </c>
      <c r="D2643" s="295">
        <v>3</v>
      </c>
      <c r="E2643" s="295">
        <v>3</v>
      </c>
      <c r="F2643" s="295">
        <v>3</v>
      </c>
      <c r="G2643" s="295">
        <v>3</v>
      </c>
      <c r="H2643" s="295">
        <v>3</v>
      </c>
      <c r="I2643" s="295">
        <v>3</v>
      </c>
      <c r="J2643" s="295">
        <v>3</v>
      </c>
      <c r="K2643" s="295">
        <v>3</v>
      </c>
      <c r="L2643" s="295">
        <v>3</v>
      </c>
      <c r="M2643" s="295">
        <v>3</v>
      </c>
      <c r="N2643" s="295">
        <v>3</v>
      </c>
      <c r="O2643" s="295">
        <v>3</v>
      </c>
      <c r="P2643" s="295">
        <v>3</v>
      </c>
      <c r="Q2643" s="295">
        <v>3</v>
      </c>
      <c r="R2643" s="295">
        <v>3</v>
      </c>
      <c r="S2643" s="295">
        <v>3</v>
      </c>
      <c r="T2643" s="295">
        <v>3</v>
      </c>
      <c r="U2643" s="295">
        <v>3</v>
      </c>
      <c r="V2643" s="295">
        <v>3</v>
      </c>
      <c r="W2643" s="295">
        <v>3</v>
      </c>
      <c r="X2643" s="295">
        <v>3</v>
      </c>
      <c r="Y2643" s="295">
        <v>3</v>
      </c>
      <c r="Z2643" s="295">
        <v>3</v>
      </c>
      <c r="AA2643" s="295">
        <v>3</v>
      </c>
      <c r="AB2643" s="295">
        <v>3</v>
      </c>
      <c r="AC2643" s="295">
        <v>3</v>
      </c>
      <c r="AD2643" s="295">
        <v>3</v>
      </c>
      <c r="AE2643" s="295">
        <v>3</v>
      </c>
      <c r="AF2643" s="79"/>
    </row>
    <row r="2644" spans="1:34">
      <c r="A2644" s="1300">
        <v>7</v>
      </c>
      <c r="B2644" s="193">
        <v>7</v>
      </c>
      <c r="C2644" s="206">
        <v>7</v>
      </c>
      <c r="D2644" s="193">
        <v>5.0199999999999996</v>
      </c>
      <c r="E2644" s="193">
        <v>5.0199999999999996</v>
      </c>
      <c r="F2644" s="193">
        <v>5.0199999999999996</v>
      </c>
      <c r="G2644" s="193">
        <v>5.0199999999999996</v>
      </c>
      <c r="H2644" s="193">
        <v>5.0199999999999996</v>
      </c>
      <c r="I2644" s="193">
        <v>5.0199999999999996</v>
      </c>
      <c r="J2644" s="193">
        <v>5.0199999999999996</v>
      </c>
      <c r="K2644" s="193">
        <v>5.0199999999999996</v>
      </c>
      <c r="L2644" s="295">
        <v>5.0199999999999996</v>
      </c>
      <c r="M2644" s="193">
        <v>5.0199999999999996</v>
      </c>
      <c r="N2644" s="193">
        <v>5.0199999999999996</v>
      </c>
      <c r="O2644" s="193">
        <v>5.0199999999999996</v>
      </c>
      <c r="P2644" s="193">
        <v>5.0199999999999996</v>
      </c>
      <c r="Q2644" s="193">
        <v>5.0199999999999996</v>
      </c>
      <c r="R2644" s="193">
        <v>5.0199999999999996</v>
      </c>
      <c r="S2644" s="193">
        <v>5.0199999999999996</v>
      </c>
      <c r="T2644" s="193">
        <v>5.0199999999999996</v>
      </c>
      <c r="U2644" s="295">
        <v>5.0199999999999996</v>
      </c>
      <c r="V2644" s="193">
        <v>5.0199999999999996</v>
      </c>
      <c r="W2644" s="193">
        <v>5.0199999999999996</v>
      </c>
      <c r="X2644" s="193">
        <v>5.0199999999999996</v>
      </c>
      <c r="Y2644" s="193">
        <v>5.0199999999999996</v>
      </c>
      <c r="Z2644" s="193">
        <v>5.0199999999999996</v>
      </c>
      <c r="AA2644" s="193">
        <v>5.0199999999999996</v>
      </c>
      <c r="AB2644" s="193">
        <v>5.0199999999999996</v>
      </c>
      <c r="AC2644" s="193">
        <v>5.0199999999999996</v>
      </c>
      <c r="AD2644" s="206">
        <v>7</v>
      </c>
      <c r="AE2644" s="193">
        <v>7</v>
      </c>
      <c r="AF2644" s="1301">
        <v>7</v>
      </c>
    </row>
    <row r="2645" spans="1:34">
      <c r="A2645" s="1300">
        <v>7</v>
      </c>
      <c r="B2645" s="193">
        <v>7</v>
      </c>
      <c r="C2645" s="206">
        <v>7</v>
      </c>
      <c r="D2645" s="193">
        <v>5.05</v>
      </c>
      <c r="E2645" s="295">
        <v>5.05</v>
      </c>
      <c r="F2645" s="193">
        <v>5.05</v>
      </c>
      <c r="G2645" s="193">
        <v>5.05</v>
      </c>
      <c r="H2645" s="193">
        <v>5.05</v>
      </c>
      <c r="I2645" s="193">
        <v>5.05</v>
      </c>
      <c r="J2645" s="295">
        <v>5.05</v>
      </c>
      <c r="K2645" s="193">
        <v>5.05</v>
      </c>
      <c r="L2645" s="295">
        <v>5.05</v>
      </c>
      <c r="M2645" s="193">
        <v>5.05</v>
      </c>
      <c r="N2645" s="295">
        <v>5.05</v>
      </c>
      <c r="O2645" s="193">
        <v>5.05</v>
      </c>
      <c r="P2645" s="193">
        <v>5.05</v>
      </c>
      <c r="Q2645" s="193">
        <v>5.05</v>
      </c>
      <c r="R2645" s="193">
        <v>5.05</v>
      </c>
      <c r="S2645" s="295">
        <v>5.05</v>
      </c>
      <c r="T2645" s="193">
        <v>5.05</v>
      </c>
      <c r="U2645" s="295">
        <v>5.05</v>
      </c>
      <c r="V2645" s="193">
        <v>5.05</v>
      </c>
      <c r="W2645" s="295">
        <v>5.05</v>
      </c>
      <c r="X2645" s="193">
        <v>5.05</v>
      </c>
      <c r="Y2645" s="193">
        <v>5.05</v>
      </c>
      <c r="Z2645" s="193">
        <v>5.05</v>
      </c>
      <c r="AA2645" s="193">
        <v>5.05</v>
      </c>
      <c r="AB2645" s="295">
        <v>5.05</v>
      </c>
      <c r="AC2645" s="193">
        <v>5.05</v>
      </c>
      <c r="AD2645" s="206">
        <v>7</v>
      </c>
      <c r="AE2645" s="193">
        <v>7</v>
      </c>
      <c r="AF2645" s="1301">
        <v>7</v>
      </c>
    </row>
    <row r="2646" spans="1:34">
      <c r="A2646" s="1300">
        <v>7</v>
      </c>
      <c r="B2646" s="193">
        <v>7</v>
      </c>
      <c r="C2646" s="206">
        <v>7</v>
      </c>
      <c r="D2646" s="193">
        <v>5.05</v>
      </c>
      <c r="E2646" s="193">
        <v>5.05</v>
      </c>
      <c r="F2646" s="295">
        <v>5.05</v>
      </c>
      <c r="G2646" s="193">
        <v>5.05</v>
      </c>
      <c r="H2646" s="193">
        <v>5.05</v>
      </c>
      <c r="I2646" s="295">
        <v>5.05</v>
      </c>
      <c r="J2646" s="193">
        <v>5.05</v>
      </c>
      <c r="K2646" s="193">
        <v>5.05</v>
      </c>
      <c r="L2646" s="295">
        <v>5.05</v>
      </c>
      <c r="M2646" s="193">
        <v>5.05</v>
      </c>
      <c r="N2646" s="193">
        <v>5.05</v>
      </c>
      <c r="O2646" s="295">
        <v>5.05</v>
      </c>
      <c r="P2646" s="193">
        <v>5.05</v>
      </c>
      <c r="Q2646" s="193">
        <v>5.05</v>
      </c>
      <c r="R2646" s="295">
        <v>5.05</v>
      </c>
      <c r="S2646" s="193">
        <v>5.05</v>
      </c>
      <c r="T2646" s="193">
        <v>5.05</v>
      </c>
      <c r="U2646" s="295">
        <v>5.05</v>
      </c>
      <c r="V2646" s="193">
        <v>5.05</v>
      </c>
      <c r="W2646" s="193">
        <v>5.05</v>
      </c>
      <c r="X2646" s="295">
        <v>5.05</v>
      </c>
      <c r="Y2646" s="193">
        <v>5.05</v>
      </c>
      <c r="Z2646" s="193">
        <v>5.05</v>
      </c>
      <c r="AA2646" s="295">
        <v>5.05</v>
      </c>
      <c r="AB2646" s="193">
        <v>5.05</v>
      </c>
      <c r="AC2646" s="193">
        <v>5.05</v>
      </c>
      <c r="AD2646" s="206">
        <v>7</v>
      </c>
      <c r="AE2646" s="193">
        <v>7</v>
      </c>
      <c r="AF2646" s="1301">
        <v>7</v>
      </c>
    </row>
    <row r="2647" spans="1:34">
      <c r="A2647" s="1300">
        <v>7</v>
      </c>
      <c r="B2647" s="193">
        <v>7</v>
      </c>
      <c r="C2647" s="206">
        <v>7</v>
      </c>
      <c r="D2647" s="193">
        <v>5.05</v>
      </c>
      <c r="E2647" s="193">
        <v>5.05</v>
      </c>
      <c r="F2647" s="193">
        <v>5.05</v>
      </c>
      <c r="G2647" s="295">
        <v>5.05</v>
      </c>
      <c r="H2647" s="295">
        <v>5.05</v>
      </c>
      <c r="I2647" s="193">
        <v>5.05</v>
      </c>
      <c r="J2647" s="193">
        <v>5.05</v>
      </c>
      <c r="K2647" s="193">
        <v>5.05</v>
      </c>
      <c r="L2647" s="295">
        <v>5.05</v>
      </c>
      <c r="M2647" s="193">
        <v>5.05</v>
      </c>
      <c r="N2647" s="193">
        <v>5.05</v>
      </c>
      <c r="O2647" s="193">
        <v>5.05</v>
      </c>
      <c r="P2647" s="295">
        <v>5.05</v>
      </c>
      <c r="Q2647" s="295">
        <v>5.05</v>
      </c>
      <c r="R2647" s="193">
        <v>5.05</v>
      </c>
      <c r="S2647" s="193">
        <v>5.05</v>
      </c>
      <c r="T2647" s="193">
        <v>5.05</v>
      </c>
      <c r="U2647" s="295">
        <v>5.05</v>
      </c>
      <c r="V2647" s="193">
        <v>5.05</v>
      </c>
      <c r="W2647" s="193">
        <v>5.05</v>
      </c>
      <c r="X2647" s="193">
        <v>5.05</v>
      </c>
      <c r="Y2647" s="295">
        <v>5.05</v>
      </c>
      <c r="Z2647" s="295">
        <v>5.05</v>
      </c>
      <c r="AA2647" s="193">
        <v>5.05</v>
      </c>
      <c r="AB2647" s="193">
        <v>5.05</v>
      </c>
      <c r="AC2647" s="193">
        <v>5.05</v>
      </c>
      <c r="AD2647" s="206">
        <v>7</v>
      </c>
      <c r="AE2647" s="193">
        <v>7</v>
      </c>
      <c r="AF2647" s="1301">
        <v>7</v>
      </c>
    </row>
    <row r="2648" spans="1:34">
      <c r="AH2648">
        <v>2644</v>
      </c>
    </row>
    <row r="2649" spans="1:34">
      <c r="AH2649">
        <v>2647</v>
      </c>
    </row>
    <row r="2650" spans="1:34">
      <c r="AH2650">
        <v>2646</v>
      </c>
    </row>
    <row r="2651" spans="1:34">
      <c r="AH2651">
        <v>2645</v>
      </c>
    </row>
    <row r="2652" spans="1:34">
      <c r="AH2652">
        <v>2644</v>
      </c>
    </row>
    <row r="2653" spans="1:34">
      <c r="A2653" s="1300">
        <v>9</v>
      </c>
      <c r="B2653" s="193">
        <v>9</v>
      </c>
      <c r="C2653" s="193">
        <v>9</v>
      </c>
      <c r="D2653" s="193">
        <v>9</v>
      </c>
      <c r="E2653" s="193">
        <v>9</v>
      </c>
      <c r="F2653" s="193">
        <v>9</v>
      </c>
      <c r="G2653" s="193">
        <v>9</v>
      </c>
      <c r="H2653" s="193">
        <v>9</v>
      </c>
      <c r="I2653" s="193">
        <v>9</v>
      </c>
      <c r="J2653" s="193">
        <v>9</v>
      </c>
      <c r="K2653" s="193">
        <v>9</v>
      </c>
      <c r="L2653" s="193">
        <v>9</v>
      </c>
      <c r="M2653" s="193">
        <v>9</v>
      </c>
      <c r="N2653" s="193">
        <v>9</v>
      </c>
      <c r="O2653" s="193">
        <v>9</v>
      </c>
      <c r="P2653" s="193">
        <v>9</v>
      </c>
      <c r="Q2653" s="193">
        <v>9</v>
      </c>
      <c r="R2653" s="193">
        <v>9</v>
      </c>
      <c r="S2653" s="193">
        <v>9</v>
      </c>
      <c r="T2653" s="193">
        <v>9</v>
      </c>
      <c r="U2653" s="193">
        <v>9</v>
      </c>
      <c r="V2653" s="193">
        <v>9</v>
      </c>
      <c r="W2653" s="193">
        <v>9</v>
      </c>
      <c r="X2653" s="193">
        <v>9</v>
      </c>
      <c r="Y2653" s="193">
        <v>9</v>
      </c>
      <c r="Z2653" s="193">
        <v>9</v>
      </c>
      <c r="AA2653" s="193">
        <v>9</v>
      </c>
      <c r="AB2653" s="193">
        <v>9</v>
      </c>
      <c r="AC2653" s="193">
        <v>9</v>
      </c>
      <c r="AD2653" s="193">
        <v>7</v>
      </c>
      <c r="AE2653" s="193">
        <v>7</v>
      </c>
      <c r="AF2653" s="1301">
        <v>7</v>
      </c>
    </row>
    <row r="2654" spans="1:34">
      <c r="A2654" s="856">
        <v>9</v>
      </c>
      <c r="B2654" s="295">
        <v>10</v>
      </c>
      <c r="C2654" s="295">
        <v>10</v>
      </c>
      <c r="D2654" s="295">
        <v>10</v>
      </c>
      <c r="E2654" s="295">
        <v>10</v>
      </c>
      <c r="F2654" s="295">
        <v>10</v>
      </c>
      <c r="G2654" s="295">
        <v>10</v>
      </c>
      <c r="H2654" s="295">
        <v>10</v>
      </c>
      <c r="I2654" s="295">
        <v>10</v>
      </c>
      <c r="J2654" s="295">
        <v>10</v>
      </c>
      <c r="K2654" s="295">
        <v>10</v>
      </c>
      <c r="L2654" s="295">
        <v>10</v>
      </c>
      <c r="M2654" s="295">
        <v>10</v>
      </c>
      <c r="N2654" s="295">
        <v>10</v>
      </c>
      <c r="O2654" s="295">
        <v>10</v>
      </c>
      <c r="P2654" s="295">
        <v>10</v>
      </c>
      <c r="Q2654" s="295">
        <v>10</v>
      </c>
      <c r="R2654" s="295">
        <v>10</v>
      </c>
      <c r="S2654" s="295">
        <v>10</v>
      </c>
      <c r="T2654" s="295">
        <v>10</v>
      </c>
      <c r="U2654" s="295">
        <v>10</v>
      </c>
      <c r="V2654" s="295">
        <v>10</v>
      </c>
      <c r="W2654" s="295">
        <v>10</v>
      </c>
      <c r="X2654" s="295">
        <v>10</v>
      </c>
      <c r="Y2654" s="295">
        <v>10</v>
      </c>
      <c r="Z2654" s="295">
        <v>10</v>
      </c>
      <c r="AA2654" s="295">
        <v>10</v>
      </c>
      <c r="AB2654" s="295">
        <v>10</v>
      </c>
      <c r="AC2654" s="295">
        <v>10</v>
      </c>
      <c r="AD2654" s="295">
        <v>10</v>
      </c>
      <c r="AE2654" s="295">
        <v>10</v>
      </c>
      <c r="AF2654" s="857">
        <v>9</v>
      </c>
    </row>
    <row r="2655" spans="1:34">
      <c r="AH2655">
        <v>2654</v>
      </c>
    </row>
    <row r="2656" spans="1:34">
      <c r="A2656" s="1245">
        <v>10</v>
      </c>
      <c r="B2656" s="332">
        <v>10</v>
      </c>
      <c r="C2656" s="332">
        <v>10</v>
      </c>
      <c r="D2656" s="332">
        <v>10</v>
      </c>
      <c r="E2656" s="332">
        <v>10</v>
      </c>
      <c r="F2656" s="332">
        <v>10</v>
      </c>
      <c r="G2656" s="332">
        <v>10</v>
      </c>
      <c r="H2656" s="332">
        <v>10</v>
      </c>
      <c r="I2656" s="332">
        <v>10</v>
      </c>
      <c r="J2656" s="332">
        <v>10</v>
      </c>
      <c r="K2656" s="332">
        <v>10</v>
      </c>
      <c r="L2656" s="332">
        <v>10</v>
      </c>
      <c r="M2656" s="332">
        <v>10</v>
      </c>
      <c r="N2656" s="332">
        <v>10</v>
      </c>
      <c r="O2656" s="332">
        <v>10</v>
      </c>
      <c r="P2656" s="332">
        <v>10</v>
      </c>
      <c r="Q2656" s="332">
        <v>10</v>
      </c>
      <c r="R2656" s="332">
        <v>10</v>
      </c>
      <c r="S2656" s="332">
        <v>10</v>
      </c>
      <c r="T2656" s="332">
        <v>10</v>
      </c>
      <c r="U2656" s="332">
        <v>10</v>
      </c>
      <c r="V2656" s="332">
        <v>10</v>
      </c>
      <c r="W2656" s="332">
        <v>10</v>
      </c>
      <c r="X2656" s="332">
        <v>10</v>
      </c>
      <c r="Y2656" s="332">
        <v>10</v>
      </c>
      <c r="Z2656" s="332">
        <v>10</v>
      </c>
      <c r="AA2656" s="332">
        <v>10</v>
      </c>
      <c r="AB2656" s="332">
        <v>10</v>
      </c>
      <c r="AC2656" s="332">
        <v>10</v>
      </c>
      <c r="AD2656" s="332">
        <v>10</v>
      </c>
      <c r="AE2656" s="332">
        <v>10</v>
      </c>
      <c r="AF2656" s="1302">
        <v>10</v>
      </c>
    </row>
    <row r="2657" spans="1:33">
      <c r="A2657" s="753"/>
      <c r="B2657" s="711"/>
      <c r="C2657" s="711"/>
      <c r="D2657" s="711"/>
      <c r="E2657" s="711"/>
      <c r="F2657" s="711"/>
      <c r="G2657" s="711"/>
      <c r="H2657" s="711"/>
      <c r="I2657" s="711"/>
      <c r="J2657" s="711"/>
      <c r="K2657" s="711"/>
      <c r="L2657" s="711"/>
      <c r="M2657" s="711"/>
      <c r="N2657" s="711"/>
      <c r="O2657" s="711"/>
      <c r="P2657" s="711"/>
      <c r="Q2657" s="711"/>
      <c r="R2657" s="711"/>
      <c r="S2657" s="711"/>
      <c r="T2657" s="711"/>
      <c r="U2657" s="711"/>
      <c r="V2657" s="711"/>
      <c r="W2657" s="711"/>
      <c r="X2657" s="711"/>
      <c r="Y2657" s="711"/>
      <c r="Z2657" s="711"/>
      <c r="AA2657" s="711"/>
      <c r="AB2657" s="711"/>
      <c r="AC2657" s="711"/>
      <c r="AD2657" s="711"/>
      <c r="AE2657" s="711"/>
      <c r="AF2657" s="530"/>
      <c r="AG2657">
        <v>84</v>
      </c>
    </row>
    <row r="2658" spans="1:33">
      <c r="A2658" s="699"/>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c r="AF2658" s="79"/>
    </row>
    <row r="2659" spans="1:33">
      <c r="A2659" s="699"/>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c r="AF2659" s="79"/>
    </row>
    <row r="2660" spans="1:33">
      <c r="A2660" s="699"/>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c r="AF2660" s="79"/>
      <c r="AG2660">
        <v>1</v>
      </c>
    </row>
    <row r="2661" spans="1:33">
      <c r="A2661" s="699"/>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c r="AF2661" s="79"/>
    </row>
    <row r="2662" spans="1:33">
      <c r="A2662" s="699"/>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c r="AF2662" s="79"/>
    </row>
    <row r="2663" spans="1:33">
      <c r="A2663" s="699"/>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c r="AF2663" s="79"/>
      <c r="AG2663">
        <v>3</v>
      </c>
    </row>
    <row r="2664" spans="1:33">
      <c r="A2664" s="699"/>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c r="AF2664" s="79"/>
      <c r="AG2664">
        <v>1</v>
      </c>
    </row>
    <row r="2665" spans="1:33">
      <c r="A2665" s="699"/>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c r="AF2665" s="79"/>
      <c r="AG2665">
        <v>-1</v>
      </c>
    </row>
    <row r="2666" spans="1:33">
      <c r="A2666" s="699"/>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c r="AF2666" s="79"/>
    </row>
    <row r="2667" spans="1:33">
      <c r="A2667" s="699"/>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c r="AF2667" s="79"/>
      <c r="AG2667">
        <v>2</v>
      </c>
    </row>
    <row r="2668" spans="1:33">
      <c r="A2668" s="699"/>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c r="AF2668" s="79"/>
      <c r="AG2668">
        <v>1</v>
      </c>
    </row>
    <row r="2669" spans="1:33">
      <c r="A2669" s="699"/>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c r="AF2669" s="79"/>
    </row>
    <row r="2670" spans="1:33">
      <c r="A2670" s="699"/>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c r="AF2670" s="79"/>
    </row>
    <row r="2671" spans="1:33">
      <c r="A2671" s="416">
        <v>3.26</v>
      </c>
      <c r="B2671" s="416">
        <v>4.22</v>
      </c>
      <c r="C2671" s="416">
        <v>3.26</v>
      </c>
      <c r="D2671" s="416">
        <v>2.2999999999999998</v>
      </c>
      <c r="E2671" s="416">
        <v>3.27</v>
      </c>
      <c r="F2671" s="416">
        <v>4.24</v>
      </c>
      <c r="G2671" s="416">
        <v>3.27</v>
      </c>
      <c r="H2671" s="416">
        <v>2.2999999999999998</v>
      </c>
      <c r="I2671" s="416">
        <v>3.28</v>
      </c>
      <c r="J2671" s="416">
        <v>4.26</v>
      </c>
      <c r="K2671" s="416">
        <v>3.28</v>
      </c>
      <c r="L2671" s="416">
        <v>2.2999999999999998</v>
      </c>
      <c r="M2671" s="416">
        <v>3.29</v>
      </c>
      <c r="N2671" s="416">
        <v>4.28</v>
      </c>
      <c r="O2671" s="416">
        <v>3.29</v>
      </c>
      <c r="P2671" s="416">
        <v>2.2999999999999998</v>
      </c>
      <c r="Q2671" s="416">
        <v>3.29</v>
      </c>
      <c r="R2671" s="416">
        <v>4.28</v>
      </c>
      <c r="S2671" s="416">
        <v>3.29</v>
      </c>
      <c r="T2671" s="416">
        <v>2.2999999999999998</v>
      </c>
      <c r="U2671" s="416">
        <v>3.28</v>
      </c>
      <c r="V2671" s="416">
        <v>4.26</v>
      </c>
      <c r="W2671" s="416">
        <v>3.28</v>
      </c>
      <c r="X2671" s="416">
        <v>2.2999999999999998</v>
      </c>
      <c r="Y2671" s="416">
        <v>3.27</v>
      </c>
      <c r="Z2671" s="416">
        <v>4.24</v>
      </c>
      <c r="AA2671" s="416">
        <v>3.27</v>
      </c>
      <c r="AB2671" s="416">
        <v>2.2999999999999998</v>
      </c>
      <c r="AC2671" s="416">
        <v>3.26</v>
      </c>
      <c r="AD2671" s="416">
        <v>4.22</v>
      </c>
      <c r="AE2671" s="416">
        <v>3.26</v>
      </c>
      <c r="AF2671" s="416">
        <v>2.2999999999999998</v>
      </c>
    </row>
    <row r="2672" spans="1:33">
      <c r="A2672" s="421">
        <v>3.02</v>
      </c>
      <c r="B2672" s="298">
        <v>32</v>
      </c>
      <c r="C2672" s="294">
        <v>32</v>
      </c>
      <c r="D2672" s="332">
        <v>3.02</v>
      </c>
      <c r="E2672" s="290">
        <v>3.02</v>
      </c>
      <c r="F2672" s="298">
        <v>32</v>
      </c>
      <c r="G2672" s="294">
        <v>32</v>
      </c>
      <c r="H2672" s="332">
        <v>3.02</v>
      </c>
      <c r="I2672" s="290">
        <v>3.02</v>
      </c>
      <c r="J2672" s="298">
        <v>32</v>
      </c>
      <c r="K2672" s="294">
        <v>32</v>
      </c>
      <c r="L2672" s="332">
        <v>3.02</v>
      </c>
      <c r="M2672" s="290">
        <v>3.02</v>
      </c>
      <c r="N2672" s="298">
        <v>32</v>
      </c>
      <c r="O2672" s="294">
        <v>32</v>
      </c>
      <c r="P2672" s="332">
        <v>3.02</v>
      </c>
      <c r="Q2672" s="290">
        <v>3.02</v>
      </c>
      <c r="R2672" s="298">
        <v>32</v>
      </c>
      <c r="S2672" s="294">
        <v>32</v>
      </c>
      <c r="T2672" s="332">
        <v>3.02</v>
      </c>
      <c r="U2672" s="290">
        <v>3.02</v>
      </c>
      <c r="V2672" s="298">
        <v>32</v>
      </c>
      <c r="W2672" s="294">
        <v>32</v>
      </c>
      <c r="X2672" s="332">
        <v>3.02</v>
      </c>
      <c r="Y2672" s="290">
        <v>3.02</v>
      </c>
      <c r="Z2672" s="298">
        <v>32</v>
      </c>
      <c r="AA2672" s="294">
        <v>32</v>
      </c>
      <c r="AB2672" s="332">
        <v>3.02</v>
      </c>
      <c r="AC2672" s="290">
        <v>3.02</v>
      </c>
      <c r="AD2672" s="298">
        <v>32</v>
      </c>
      <c r="AE2672" s="294">
        <v>32</v>
      </c>
      <c r="AF2672" s="421">
        <v>3.02</v>
      </c>
    </row>
    <row r="2673" spans="1:32">
      <c r="A2673" s="421">
        <v>3.02</v>
      </c>
      <c r="B2673" s="290">
        <v>32</v>
      </c>
      <c r="C2673" s="332">
        <v>32</v>
      </c>
      <c r="D2673" s="416">
        <v>3.02</v>
      </c>
      <c r="E2673" s="416">
        <v>3.02</v>
      </c>
      <c r="F2673" s="290">
        <v>32</v>
      </c>
      <c r="G2673" s="332">
        <v>32</v>
      </c>
      <c r="H2673" s="416">
        <v>3.02</v>
      </c>
      <c r="I2673" s="416">
        <v>3.02</v>
      </c>
      <c r="J2673" s="290">
        <v>32</v>
      </c>
      <c r="K2673" s="332">
        <v>32</v>
      </c>
      <c r="L2673" s="416">
        <v>3.02</v>
      </c>
      <c r="M2673" s="416">
        <v>3.02</v>
      </c>
      <c r="N2673" s="290">
        <v>32</v>
      </c>
      <c r="O2673" s="332">
        <v>32</v>
      </c>
      <c r="P2673" s="416">
        <v>3.02</v>
      </c>
      <c r="Q2673" s="416">
        <v>3.02</v>
      </c>
      <c r="R2673" s="290">
        <v>32</v>
      </c>
      <c r="S2673" s="332">
        <v>32</v>
      </c>
      <c r="T2673" s="416">
        <v>3.02</v>
      </c>
      <c r="U2673" s="416">
        <v>3.02</v>
      </c>
      <c r="V2673" s="290">
        <v>32</v>
      </c>
      <c r="W2673" s="332">
        <v>32</v>
      </c>
      <c r="X2673" s="416">
        <v>3.02</v>
      </c>
      <c r="Y2673" s="416">
        <v>3.02</v>
      </c>
      <c r="Z2673" s="290">
        <v>32</v>
      </c>
      <c r="AA2673" s="332">
        <v>32</v>
      </c>
      <c r="AB2673" s="416">
        <v>3.02</v>
      </c>
      <c r="AC2673" s="416">
        <v>3.02</v>
      </c>
      <c r="AD2673" s="290">
        <v>32</v>
      </c>
      <c r="AE2673" s="332">
        <v>32</v>
      </c>
      <c r="AF2673" s="421">
        <v>3.02</v>
      </c>
    </row>
    <row r="2674" spans="1:32">
      <c r="A2674" s="416">
        <v>2.2999999999999998</v>
      </c>
      <c r="B2674" s="416">
        <v>3.26</v>
      </c>
      <c r="C2674" s="416">
        <v>4.22</v>
      </c>
      <c r="D2674" s="416">
        <v>3.26</v>
      </c>
      <c r="E2674" s="416">
        <v>2.2999999999999998</v>
      </c>
      <c r="F2674" s="416">
        <v>3.27</v>
      </c>
      <c r="G2674" s="416">
        <v>4.24</v>
      </c>
      <c r="H2674" s="416">
        <v>3.27</v>
      </c>
      <c r="I2674" s="416">
        <v>2.2999999999999998</v>
      </c>
      <c r="J2674" s="416">
        <v>3.28</v>
      </c>
      <c r="K2674" s="416">
        <v>4.26</v>
      </c>
      <c r="L2674" s="416">
        <v>3.28</v>
      </c>
      <c r="M2674" s="416">
        <v>2.2999999999999998</v>
      </c>
      <c r="N2674" s="416">
        <v>3.29</v>
      </c>
      <c r="O2674" s="416">
        <v>4.28</v>
      </c>
      <c r="P2674" s="416">
        <v>3.29</v>
      </c>
      <c r="Q2674" s="416">
        <v>2.2999999999999998</v>
      </c>
      <c r="R2674" s="416">
        <v>3.29</v>
      </c>
      <c r="S2674" s="416">
        <v>4.28</v>
      </c>
      <c r="T2674" s="416">
        <v>3.29</v>
      </c>
      <c r="U2674" s="416">
        <v>2.2999999999999998</v>
      </c>
      <c r="V2674" s="416">
        <v>3.28</v>
      </c>
      <c r="W2674" s="416">
        <v>4.26</v>
      </c>
      <c r="X2674" s="416">
        <v>3.28</v>
      </c>
      <c r="Y2674" s="416">
        <v>2.2999999999999998</v>
      </c>
      <c r="Z2674" s="416">
        <v>3.27</v>
      </c>
      <c r="AA2674" s="416">
        <v>4.24</v>
      </c>
      <c r="AB2674" s="416">
        <v>3.27</v>
      </c>
      <c r="AC2674" s="416">
        <v>2.2999999999999998</v>
      </c>
      <c r="AD2674" s="416">
        <v>3.26</v>
      </c>
      <c r="AE2674" s="416">
        <v>4.22</v>
      </c>
      <c r="AF2674" s="416">
        <v>3.26</v>
      </c>
    </row>
    <row r="2675" spans="1:32">
      <c r="A2675" s="699"/>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c r="AF2675" s="79"/>
    </row>
    <row r="2676" spans="1:32">
      <c r="A2676" s="699"/>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c r="AF2676" s="79"/>
    </row>
    <row r="2677" spans="1:32">
      <c r="A2677" s="699"/>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c r="AF2677" s="79"/>
    </row>
    <row r="2678" spans="1:32">
      <c r="A2678" s="699"/>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c r="AF2678" s="79"/>
    </row>
    <row r="2679" spans="1:32">
      <c r="A2679" s="699"/>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c r="AF2679" s="79"/>
    </row>
    <row r="2680" spans="1:32">
      <c r="A2680" s="699"/>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c r="AF2680" s="79"/>
    </row>
    <row r="2681" spans="1:32">
      <c r="A2681" s="699"/>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c r="AF2681" s="79"/>
    </row>
    <row r="2682" spans="1:32">
      <c r="A2682" s="699"/>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c r="AF2682" s="79"/>
    </row>
    <row r="2683" spans="1:32">
      <c r="A2683" s="699"/>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c r="AF2683" s="79"/>
    </row>
    <row r="2684" spans="1:32">
      <c r="A2684" s="699"/>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c r="AF2684" s="79"/>
    </row>
    <row r="2685" spans="1:32">
      <c r="A2685" s="699"/>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c r="AF2685" s="79"/>
    </row>
    <row r="2686" spans="1:32">
      <c r="A2686" s="699"/>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c r="AF2686" s="79"/>
    </row>
    <row r="2687" spans="1:32">
      <c r="A2687" s="699"/>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c r="AF2687" s="79"/>
    </row>
    <row r="2688" spans="1:32">
      <c r="A2688" s="699"/>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c r="AF2688" s="79"/>
    </row>
    <row r="2689" spans="1:34">
      <c r="A2689" s="753"/>
      <c r="B2689" s="711"/>
      <c r="C2689" s="711"/>
      <c r="D2689" s="711"/>
      <c r="E2689" s="711"/>
      <c r="F2689" s="711"/>
      <c r="G2689" s="1291"/>
      <c r="H2689" s="1303">
        <v>7.06</v>
      </c>
      <c r="I2689" s="1304">
        <v>7.06</v>
      </c>
      <c r="J2689" s="1305">
        <v>7.06</v>
      </c>
      <c r="K2689" s="1291"/>
      <c r="L2689" s="1291"/>
      <c r="M2689" s="711"/>
      <c r="N2689" s="711"/>
      <c r="O2689" s="711"/>
      <c r="P2689" s="711"/>
      <c r="Q2689" s="711"/>
      <c r="R2689" s="711"/>
      <c r="S2689" s="711"/>
      <c r="T2689" s="711"/>
      <c r="U2689" s="711"/>
      <c r="V2689" s="711"/>
      <c r="W2689" s="1291"/>
      <c r="X2689" s="1303">
        <v>7.06</v>
      </c>
      <c r="Y2689" s="1304">
        <v>7.06</v>
      </c>
      <c r="Z2689" s="1305">
        <v>7.06</v>
      </c>
      <c r="AA2689" s="1291"/>
      <c r="AB2689" s="1291"/>
      <c r="AC2689" s="711"/>
      <c r="AD2689" s="711"/>
      <c r="AE2689" s="711"/>
      <c r="AF2689" s="530"/>
      <c r="AG2689">
        <v>85</v>
      </c>
    </row>
    <row r="2690" spans="1:34">
      <c r="A2690" s="699"/>
      <c r="B2690" s="93"/>
      <c r="C2690" s="93"/>
      <c r="D2690" s="93"/>
      <c r="E2690" s="93"/>
      <c r="F2690" s="1287"/>
      <c r="G2690" s="161">
        <v>7.06</v>
      </c>
      <c r="H2690" s="206">
        <v>7.06</v>
      </c>
      <c r="I2690" s="206">
        <v>7.06</v>
      </c>
      <c r="J2690" s="206">
        <v>7.06</v>
      </c>
      <c r="K2690" s="205">
        <v>7.06</v>
      </c>
      <c r="L2690" s="1287"/>
      <c r="M2690" s="93"/>
      <c r="N2690" s="93"/>
      <c r="O2690" s="93"/>
      <c r="P2690" s="93"/>
      <c r="Q2690" s="93"/>
      <c r="R2690" s="93"/>
      <c r="S2690" s="93"/>
      <c r="T2690" s="93"/>
      <c r="U2690" s="93"/>
      <c r="V2690" s="1287"/>
      <c r="W2690" s="161">
        <v>7.06</v>
      </c>
      <c r="X2690" s="206">
        <v>7.06</v>
      </c>
      <c r="Y2690" s="206">
        <v>7.06</v>
      </c>
      <c r="Z2690" s="206">
        <v>7.06</v>
      </c>
      <c r="AA2690" s="205">
        <v>7.06</v>
      </c>
      <c r="AB2690" s="1287"/>
      <c r="AC2690" s="93"/>
      <c r="AD2690" s="93"/>
      <c r="AE2690" s="93"/>
      <c r="AF2690" s="79"/>
      <c r="AG2690">
        <v>200</v>
      </c>
    </row>
    <row r="2691" spans="1:34">
      <c r="A2691" s="699"/>
      <c r="B2691" s="93"/>
      <c r="C2691" s="93"/>
      <c r="D2691" s="93"/>
      <c r="E2691" s="93"/>
      <c r="F2691" s="291">
        <v>7.06</v>
      </c>
      <c r="G2691" s="206">
        <v>7.06</v>
      </c>
      <c r="H2691" s="293">
        <v>1</v>
      </c>
      <c r="I2691" s="297">
        <v>6</v>
      </c>
      <c r="J2691" s="161">
        <v>1</v>
      </c>
      <c r="K2691" s="206">
        <v>7.06</v>
      </c>
      <c r="L2691" s="205">
        <v>7.06</v>
      </c>
      <c r="M2691" s="93"/>
      <c r="N2691" s="93"/>
      <c r="O2691" s="93"/>
      <c r="P2691" s="93"/>
      <c r="Q2691" s="93"/>
      <c r="R2691" s="93"/>
      <c r="S2691" s="93"/>
      <c r="T2691" s="93"/>
      <c r="U2691" s="93"/>
      <c r="V2691" s="291">
        <v>7.06</v>
      </c>
      <c r="W2691" s="206">
        <v>7.06</v>
      </c>
      <c r="X2691" s="293">
        <v>1</v>
      </c>
      <c r="Y2691" s="297">
        <v>6</v>
      </c>
      <c r="Z2691" s="161">
        <v>1</v>
      </c>
      <c r="AA2691" s="206">
        <v>7.06</v>
      </c>
      <c r="AB2691" s="205">
        <v>7.06</v>
      </c>
      <c r="AC2691" s="93"/>
      <c r="AD2691" s="93"/>
      <c r="AE2691" s="93"/>
      <c r="AF2691" s="79"/>
    </row>
    <row r="2692" spans="1:34">
      <c r="A2692" s="699"/>
      <c r="B2692" s="93"/>
      <c r="C2692" s="93"/>
      <c r="D2692" s="93"/>
      <c r="E2692" s="93"/>
      <c r="F2692" s="206">
        <v>7.06</v>
      </c>
      <c r="G2692" s="206">
        <v>7.06</v>
      </c>
      <c r="H2692" s="297">
        <v>6</v>
      </c>
      <c r="I2692" s="206">
        <v>7.06</v>
      </c>
      <c r="J2692" s="293">
        <v>6</v>
      </c>
      <c r="K2692" s="206">
        <v>7.06</v>
      </c>
      <c r="L2692" s="206">
        <v>7.06</v>
      </c>
      <c r="M2692" s="93"/>
      <c r="N2692" s="93"/>
      <c r="O2692" s="93"/>
      <c r="P2692" s="93"/>
      <c r="Q2692" s="93"/>
      <c r="R2692" s="93"/>
      <c r="S2692" s="93"/>
      <c r="T2692" s="93"/>
      <c r="U2692" s="93"/>
      <c r="V2692" s="206">
        <v>7.06</v>
      </c>
      <c r="W2692" s="206">
        <v>7.06</v>
      </c>
      <c r="X2692" s="297">
        <v>6</v>
      </c>
      <c r="Y2692" s="206">
        <v>7.06</v>
      </c>
      <c r="Z2692" s="293">
        <v>6</v>
      </c>
      <c r="AA2692" s="206">
        <v>7.06</v>
      </c>
      <c r="AB2692" s="206">
        <v>7.06</v>
      </c>
      <c r="AC2692" s="93"/>
      <c r="AD2692" s="93"/>
      <c r="AE2692" s="93"/>
      <c r="AF2692" s="79"/>
    </row>
    <row r="2693" spans="1:34">
      <c r="A2693" s="699"/>
      <c r="B2693" s="93"/>
      <c r="C2693" s="93"/>
      <c r="D2693" s="93"/>
      <c r="E2693" s="93"/>
      <c r="F2693" s="205">
        <v>7.06</v>
      </c>
      <c r="G2693" s="206">
        <v>7.06</v>
      </c>
      <c r="H2693" s="292">
        <v>1</v>
      </c>
      <c r="I2693" s="161">
        <v>6</v>
      </c>
      <c r="J2693" s="292">
        <v>1</v>
      </c>
      <c r="K2693" s="206">
        <v>7.06</v>
      </c>
      <c r="L2693" s="292">
        <v>7.06</v>
      </c>
      <c r="M2693" s="93"/>
      <c r="N2693" s="93"/>
      <c r="O2693" s="93"/>
      <c r="P2693" s="93"/>
      <c r="Q2693" s="93"/>
      <c r="R2693" s="93"/>
      <c r="S2693" s="93"/>
      <c r="T2693" s="93"/>
      <c r="U2693" s="93"/>
      <c r="V2693" s="205">
        <v>7.06</v>
      </c>
      <c r="W2693" s="206">
        <v>7.06</v>
      </c>
      <c r="X2693" s="292">
        <v>1</v>
      </c>
      <c r="Y2693" s="161">
        <v>6</v>
      </c>
      <c r="Z2693" s="292">
        <v>1</v>
      </c>
      <c r="AA2693" s="206">
        <v>7.06</v>
      </c>
      <c r="AB2693" s="292">
        <v>7.06</v>
      </c>
      <c r="AC2693" s="93"/>
      <c r="AD2693" s="93"/>
      <c r="AE2693" s="93"/>
      <c r="AF2693" s="79"/>
    </row>
    <row r="2694" spans="1:34">
      <c r="A2694" s="699"/>
      <c r="B2694" s="93"/>
      <c r="C2694" s="93"/>
      <c r="D2694" s="93"/>
      <c r="E2694" s="93"/>
      <c r="F2694" s="1287"/>
      <c r="G2694" s="205">
        <v>7.06</v>
      </c>
      <c r="H2694" s="206">
        <v>7.06</v>
      </c>
      <c r="I2694" s="206">
        <v>7.06</v>
      </c>
      <c r="J2694" s="206">
        <v>7.06</v>
      </c>
      <c r="K2694" s="292">
        <v>7.06</v>
      </c>
      <c r="L2694" s="1287"/>
      <c r="M2694" s="93"/>
      <c r="N2694" s="93"/>
      <c r="O2694" s="93"/>
      <c r="P2694" s="93"/>
      <c r="Q2694" s="93"/>
      <c r="R2694" s="93"/>
      <c r="S2694" s="93"/>
      <c r="T2694" s="93"/>
      <c r="U2694" s="93"/>
      <c r="V2694" s="1287"/>
      <c r="W2694" s="205">
        <v>7.06</v>
      </c>
      <c r="X2694" s="206">
        <v>7.06</v>
      </c>
      <c r="Y2694" s="206">
        <v>7.06</v>
      </c>
      <c r="Z2694" s="206">
        <v>7.06</v>
      </c>
      <c r="AA2694" s="292">
        <v>7.06</v>
      </c>
      <c r="AB2694" s="1287"/>
      <c r="AC2694" s="93"/>
      <c r="AD2694" s="93"/>
      <c r="AE2694" s="93"/>
      <c r="AF2694" s="79"/>
    </row>
    <row r="2695" spans="1:34">
      <c r="A2695" s="699"/>
      <c r="B2695" s="93"/>
      <c r="C2695" s="93"/>
      <c r="D2695" s="93"/>
      <c r="E2695" s="93"/>
      <c r="F2695" s="1287"/>
      <c r="G2695" s="1287"/>
      <c r="H2695" s="205">
        <v>7.06</v>
      </c>
      <c r="I2695" s="206">
        <v>7.06</v>
      </c>
      <c r="J2695" s="292">
        <v>7.06</v>
      </c>
      <c r="K2695" s="1287"/>
      <c r="L2695" s="1287"/>
      <c r="M2695" s="93"/>
      <c r="N2695" s="93"/>
      <c r="O2695" s="93"/>
      <c r="P2695" s="93"/>
      <c r="Q2695" s="93"/>
      <c r="R2695" s="93"/>
      <c r="S2695" s="93"/>
      <c r="T2695" s="93"/>
      <c r="U2695" s="93"/>
      <c r="V2695" s="1287"/>
      <c r="W2695" s="1287"/>
      <c r="X2695" s="205">
        <v>7.06</v>
      </c>
      <c r="Y2695" s="206">
        <v>7.06</v>
      </c>
      <c r="Z2695" s="292">
        <v>7.06</v>
      </c>
      <c r="AA2695" s="1287"/>
      <c r="AB2695" s="1287"/>
      <c r="AC2695" s="93"/>
      <c r="AD2695" s="93"/>
      <c r="AE2695" s="93"/>
      <c r="AF2695" s="79"/>
    </row>
    <row r="2696" spans="1:34">
      <c r="A2696" s="699"/>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c r="AF2696" s="79"/>
    </row>
    <row r="2697" spans="1:34">
      <c r="A2697" s="763">
        <v>9.09</v>
      </c>
      <c r="B2697" s="298">
        <v>9.09</v>
      </c>
      <c r="C2697" s="298">
        <v>9.09</v>
      </c>
      <c r="D2697" s="298">
        <v>9.09</v>
      </c>
      <c r="E2697" s="298">
        <v>9.09</v>
      </c>
      <c r="F2697" s="298">
        <v>9.09</v>
      </c>
      <c r="G2697" s="298">
        <v>9.09</v>
      </c>
      <c r="H2697" s="298">
        <v>9.09</v>
      </c>
      <c r="I2697" s="298">
        <v>9.09</v>
      </c>
      <c r="J2697" s="298">
        <v>9.09</v>
      </c>
      <c r="K2697" s="298">
        <v>9.09</v>
      </c>
      <c r="L2697" s="298">
        <v>9.09</v>
      </c>
      <c r="M2697" s="298">
        <v>9.09</v>
      </c>
      <c r="N2697" s="298">
        <v>9.09</v>
      </c>
      <c r="O2697" s="298">
        <v>9.09</v>
      </c>
      <c r="P2697" s="298">
        <v>9.09</v>
      </c>
      <c r="Q2697" s="298">
        <v>9.09</v>
      </c>
      <c r="R2697" s="298">
        <v>9.09</v>
      </c>
      <c r="S2697" s="298">
        <v>9.09</v>
      </c>
      <c r="T2697" s="298">
        <v>9.09</v>
      </c>
      <c r="U2697" s="298">
        <v>9.09</v>
      </c>
      <c r="V2697" s="298">
        <v>9.09</v>
      </c>
      <c r="W2697" s="298">
        <v>9.09</v>
      </c>
      <c r="X2697" s="298">
        <v>9.09</v>
      </c>
      <c r="Y2697" s="298">
        <v>9.09</v>
      </c>
      <c r="Z2697" s="298">
        <v>9.09</v>
      </c>
      <c r="AA2697" s="298">
        <v>9.09</v>
      </c>
      <c r="AB2697" s="298">
        <v>9.09</v>
      </c>
      <c r="AC2697" s="298">
        <v>9.09</v>
      </c>
      <c r="AD2697" s="298">
        <v>9.09</v>
      </c>
      <c r="AE2697" s="298">
        <v>9.09</v>
      </c>
      <c r="AF2697" s="764">
        <v>9.09</v>
      </c>
    </row>
    <row r="2698" spans="1:34">
      <c r="A2698" s="294">
        <v>9.08</v>
      </c>
      <c r="B2698" s="294">
        <v>9.08</v>
      </c>
      <c r="C2698" s="294">
        <v>9.08</v>
      </c>
      <c r="D2698" s="294">
        <v>9.08</v>
      </c>
      <c r="E2698" s="294">
        <v>9.08</v>
      </c>
      <c r="F2698" s="294">
        <v>9.08</v>
      </c>
      <c r="G2698" s="294">
        <v>9.08</v>
      </c>
      <c r="H2698" s="294">
        <v>9.08</v>
      </c>
      <c r="I2698" s="294">
        <v>9.08</v>
      </c>
      <c r="J2698" s="294">
        <v>9.08</v>
      </c>
      <c r="K2698" s="294">
        <v>9.08</v>
      </c>
      <c r="L2698" s="294">
        <v>9.08</v>
      </c>
      <c r="M2698" s="294">
        <v>9.08</v>
      </c>
      <c r="N2698" s="294">
        <v>9.08</v>
      </c>
      <c r="O2698" s="294">
        <v>9.08</v>
      </c>
      <c r="P2698" s="294">
        <v>9.08</v>
      </c>
      <c r="Q2698" s="294">
        <v>9.08</v>
      </c>
      <c r="R2698" s="294">
        <v>9.08</v>
      </c>
      <c r="S2698" s="294">
        <v>9.08</v>
      </c>
      <c r="T2698" s="294">
        <v>9.08</v>
      </c>
      <c r="U2698" s="294">
        <v>9.08</v>
      </c>
      <c r="V2698" s="294">
        <v>9.08</v>
      </c>
      <c r="W2698" s="294">
        <v>9.08</v>
      </c>
      <c r="X2698" s="294">
        <v>9.08</v>
      </c>
      <c r="Y2698" s="294">
        <v>9.08</v>
      </c>
      <c r="Z2698" s="294">
        <v>9.08</v>
      </c>
      <c r="AA2698" s="294">
        <v>9.08</v>
      </c>
      <c r="AB2698" s="294">
        <v>9.08</v>
      </c>
      <c r="AC2698" s="294">
        <v>9.08</v>
      </c>
      <c r="AD2698" s="294">
        <v>9.08</v>
      </c>
      <c r="AE2698" s="294">
        <v>9.08</v>
      </c>
      <c r="AF2698" s="294">
        <v>9.08</v>
      </c>
    </row>
    <row r="2699" spans="1:34">
      <c r="AH2699">
        <v>2698</v>
      </c>
    </row>
    <row r="2700" spans="1:34">
      <c r="AH2700">
        <v>2698</v>
      </c>
    </row>
    <row r="2701" spans="1:34">
      <c r="A2701" s="989">
        <v>9.2799999999999994</v>
      </c>
      <c r="B2701" s="290">
        <v>9.2799999999999994</v>
      </c>
      <c r="C2701" s="290">
        <v>9.2799999999999994</v>
      </c>
      <c r="D2701" s="290">
        <v>9.2799999999999994</v>
      </c>
      <c r="E2701" s="290">
        <v>9.2799999999999994</v>
      </c>
      <c r="F2701" s="290">
        <v>9.2799999999999994</v>
      </c>
      <c r="G2701" s="290">
        <v>9.2799999999999994</v>
      </c>
      <c r="H2701" s="290">
        <v>9.2799999999999994</v>
      </c>
      <c r="I2701" s="290">
        <v>9.2799999999999994</v>
      </c>
      <c r="J2701" s="290">
        <v>9.2799999999999994</v>
      </c>
      <c r="K2701" s="290">
        <v>9.2799999999999994</v>
      </c>
      <c r="L2701" s="290">
        <v>9.2799999999999994</v>
      </c>
      <c r="M2701" s="290">
        <v>9.2799999999999994</v>
      </c>
      <c r="N2701" s="290">
        <v>9.2799999999999994</v>
      </c>
      <c r="O2701" s="290">
        <v>9.2799999999999994</v>
      </c>
      <c r="P2701" s="290">
        <v>9.2799999999999994</v>
      </c>
      <c r="Q2701" s="290">
        <v>9.2799999999999994</v>
      </c>
      <c r="R2701" s="290">
        <v>9.2799999999999994</v>
      </c>
      <c r="S2701" s="290">
        <v>9.2799999999999994</v>
      </c>
      <c r="T2701" s="290">
        <v>9.2799999999999994</v>
      </c>
      <c r="U2701" s="290">
        <v>9.2799999999999994</v>
      </c>
      <c r="V2701" s="290">
        <v>9.2799999999999994</v>
      </c>
      <c r="W2701" s="290">
        <v>9.2799999999999994</v>
      </c>
      <c r="X2701" s="290">
        <v>9.2799999999999994</v>
      </c>
      <c r="Y2701" s="290">
        <v>9.2799999999999994</v>
      </c>
      <c r="Z2701" s="290">
        <v>9.2799999999999994</v>
      </c>
      <c r="AA2701" s="290">
        <v>9.2799999999999994</v>
      </c>
      <c r="AB2701" s="290">
        <v>9.2799999999999994</v>
      </c>
      <c r="AC2701" s="290">
        <v>9.2799999999999994</v>
      </c>
      <c r="AD2701" s="290">
        <v>9.2799999999999994</v>
      </c>
      <c r="AE2701" s="290">
        <v>9.2799999999999994</v>
      </c>
      <c r="AF2701" s="863">
        <v>9.2799999999999994</v>
      </c>
    </row>
    <row r="2702" spans="1:34">
      <c r="A2702" s="294">
        <v>9.2899999999999991</v>
      </c>
      <c r="B2702" s="294">
        <v>9.2899999999999991</v>
      </c>
      <c r="C2702" s="294">
        <v>9.2899999999999991</v>
      </c>
      <c r="D2702" s="294">
        <v>9.2899999999999991</v>
      </c>
      <c r="E2702" s="294">
        <v>9.2899999999999991</v>
      </c>
      <c r="F2702" s="294">
        <v>9.2899999999999991</v>
      </c>
      <c r="G2702" s="294">
        <v>9.2899999999999991</v>
      </c>
      <c r="H2702" s="294">
        <v>9.2899999999999991</v>
      </c>
      <c r="I2702" s="294">
        <v>9.2899999999999991</v>
      </c>
      <c r="J2702" s="294">
        <v>9.2899999999999991</v>
      </c>
      <c r="K2702" s="294">
        <v>9.2899999999999991</v>
      </c>
      <c r="L2702" s="294">
        <v>9.2899999999999991</v>
      </c>
      <c r="M2702" s="294">
        <v>9.2899999999999991</v>
      </c>
      <c r="N2702" s="294">
        <v>9.2899999999999991</v>
      </c>
      <c r="O2702" s="294">
        <v>9.2899999999999991</v>
      </c>
      <c r="P2702" s="294">
        <v>9.2899999999999991</v>
      </c>
      <c r="Q2702" s="294">
        <v>9.2899999999999991</v>
      </c>
      <c r="R2702" s="294">
        <v>9.2899999999999991</v>
      </c>
      <c r="S2702" s="294">
        <v>9.2899999999999991</v>
      </c>
      <c r="T2702" s="294">
        <v>9.2899999999999991</v>
      </c>
      <c r="U2702" s="294">
        <v>9.2899999999999991</v>
      </c>
      <c r="V2702" s="294">
        <v>9.2899999999999991</v>
      </c>
      <c r="W2702" s="294">
        <v>9.2899999999999991</v>
      </c>
      <c r="X2702" s="294">
        <v>9.2899999999999991</v>
      </c>
      <c r="Y2702" s="294">
        <v>9.2899999999999991</v>
      </c>
      <c r="Z2702" s="294">
        <v>9.2899999999999991</v>
      </c>
      <c r="AA2702" s="294">
        <v>9.2899999999999991</v>
      </c>
      <c r="AB2702" s="294">
        <v>9.2899999999999991</v>
      </c>
      <c r="AC2702" s="294">
        <v>9.2899999999999991</v>
      </c>
      <c r="AD2702" s="294">
        <v>9.2899999999999991</v>
      </c>
      <c r="AE2702" s="294">
        <v>9.2899999999999991</v>
      </c>
      <c r="AF2702" s="294">
        <v>9.2899999999999991</v>
      </c>
    </row>
    <row r="2703" spans="1:34">
      <c r="AH2703">
        <v>2702</v>
      </c>
    </row>
    <row r="2704" spans="1:34">
      <c r="A2704" s="294">
        <v>9.2899999999999991</v>
      </c>
      <c r="B2704" s="294">
        <v>9.2899999999999991</v>
      </c>
      <c r="C2704" s="294">
        <v>9.2899999999999991</v>
      </c>
      <c r="D2704" s="294">
        <v>9.2899999999999991</v>
      </c>
      <c r="E2704" s="307">
        <v>30.28</v>
      </c>
      <c r="F2704" s="62">
        <v>30.28</v>
      </c>
      <c r="G2704" s="294">
        <v>9.2899999999999991</v>
      </c>
      <c r="H2704" s="294">
        <v>9.2899999999999991</v>
      </c>
      <c r="I2704" s="294">
        <v>9.2899999999999991</v>
      </c>
      <c r="J2704" s="294">
        <v>9.2899999999999991</v>
      </c>
      <c r="K2704" s="294">
        <v>9.2899999999999991</v>
      </c>
      <c r="L2704" s="294">
        <v>9.2899999999999991</v>
      </c>
      <c r="M2704" s="294">
        <v>9.2899999999999991</v>
      </c>
      <c r="N2704" s="294">
        <v>9.2899999999999991</v>
      </c>
      <c r="O2704" s="294">
        <v>9.2899999999999991</v>
      </c>
      <c r="P2704" s="307">
        <v>30.28</v>
      </c>
      <c r="Q2704" s="62">
        <v>30.28</v>
      </c>
      <c r="R2704" s="294">
        <v>9.2899999999999991</v>
      </c>
      <c r="S2704" s="294">
        <v>9.2899999999999991</v>
      </c>
      <c r="T2704" s="294">
        <v>9.2899999999999991</v>
      </c>
      <c r="U2704" s="294">
        <v>9.2899999999999991</v>
      </c>
      <c r="V2704" s="294">
        <v>9.2899999999999991</v>
      </c>
      <c r="W2704" s="294">
        <v>9.2899999999999991</v>
      </c>
      <c r="X2704" s="294">
        <v>9.2899999999999991</v>
      </c>
      <c r="Y2704" s="294">
        <v>9.2899999999999991</v>
      </c>
      <c r="Z2704" s="294">
        <v>9.2899999999999991</v>
      </c>
      <c r="AA2704" s="307">
        <v>30.28</v>
      </c>
      <c r="AB2704" s="62">
        <v>30.28</v>
      </c>
      <c r="AC2704" s="294">
        <v>9.2899999999999991</v>
      </c>
      <c r="AD2704" s="294">
        <v>9.2899999999999991</v>
      </c>
      <c r="AE2704" s="294">
        <v>9.2899999999999991</v>
      </c>
      <c r="AF2704" s="294">
        <v>9.2899999999999991</v>
      </c>
    </row>
    <row r="2705" spans="1:34">
      <c r="A2705" s="294">
        <v>9.2899999999999991</v>
      </c>
      <c r="B2705" s="294">
        <v>9.2899999999999991</v>
      </c>
      <c r="C2705" s="294">
        <v>9.2899999999999991</v>
      </c>
      <c r="D2705" s="294">
        <v>9.2899999999999991</v>
      </c>
      <c r="E2705" s="62">
        <v>30.28</v>
      </c>
      <c r="F2705" s="307">
        <v>30.28</v>
      </c>
      <c r="G2705" s="294">
        <v>9.2899999999999991</v>
      </c>
      <c r="H2705" s="294">
        <v>9.2899999999999991</v>
      </c>
      <c r="I2705" s="294">
        <v>9.2899999999999991</v>
      </c>
      <c r="J2705" s="294">
        <v>9.2899999999999991</v>
      </c>
      <c r="K2705" s="294">
        <v>9.2899999999999991</v>
      </c>
      <c r="L2705" s="294">
        <v>9.2899999999999991</v>
      </c>
      <c r="M2705" s="294">
        <v>9.2899999999999991</v>
      </c>
      <c r="N2705" s="294">
        <v>9.2899999999999991</v>
      </c>
      <c r="O2705" s="294">
        <v>9.2899999999999991</v>
      </c>
      <c r="P2705" s="62">
        <v>30.28</v>
      </c>
      <c r="Q2705" s="307">
        <v>30.28</v>
      </c>
      <c r="R2705" s="294">
        <v>9.2899999999999991</v>
      </c>
      <c r="S2705" s="294">
        <v>9.2899999999999991</v>
      </c>
      <c r="T2705" s="294">
        <v>9.2899999999999991</v>
      </c>
      <c r="U2705" s="294">
        <v>9.2899999999999991</v>
      </c>
      <c r="V2705" s="294">
        <v>9.2899999999999991</v>
      </c>
      <c r="W2705" s="294">
        <v>9.2899999999999991</v>
      </c>
      <c r="X2705" s="294">
        <v>9.2899999999999991</v>
      </c>
      <c r="Y2705" s="294">
        <v>9.2899999999999991</v>
      </c>
      <c r="Z2705" s="294">
        <v>9.2899999999999991</v>
      </c>
      <c r="AA2705" s="62">
        <v>30.28</v>
      </c>
      <c r="AB2705" s="307">
        <v>30.28</v>
      </c>
      <c r="AC2705" s="294">
        <v>9.2899999999999991</v>
      </c>
      <c r="AD2705" s="294">
        <v>9.2899999999999991</v>
      </c>
      <c r="AE2705" s="294">
        <v>9.2899999999999991</v>
      </c>
      <c r="AF2705" s="294">
        <v>9.2899999999999991</v>
      </c>
    </row>
    <row r="2706" spans="1:34">
      <c r="AH2706">
        <v>2702</v>
      </c>
    </row>
    <row r="2707" spans="1:34">
      <c r="AH2707">
        <v>2702</v>
      </c>
    </row>
    <row r="2708" spans="1:34">
      <c r="AH2708">
        <v>2701</v>
      </c>
    </row>
    <row r="2709" spans="1:34">
      <c r="AH2709">
        <v>2698</v>
      </c>
    </row>
    <row r="2710" spans="1:34">
      <c r="AH2710">
        <v>2698</v>
      </c>
    </row>
    <row r="2711" spans="1:34">
      <c r="AH2711">
        <v>2698</v>
      </c>
    </row>
    <row r="2712" spans="1:34">
      <c r="AH2712">
        <v>2697</v>
      </c>
    </row>
    <row r="2713" spans="1:34">
      <c r="A2713" s="699"/>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c r="AF2713" s="79"/>
    </row>
    <row r="2714" spans="1:34">
      <c r="A2714" s="699"/>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c r="AF2714" s="79"/>
    </row>
    <row r="2715" spans="1:34">
      <c r="A2715" s="699"/>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c r="AF2715" s="79"/>
    </row>
    <row r="2716" spans="1:34">
      <c r="A2716" s="699"/>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c r="AF2716" s="79"/>
    </row>
    <row r="2717" spans="1:34">
      <c r="A2717" s="699"/>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c r="AF2717" s="79"/>
    </row>
    <row r="2718" spans="1:34">
      <c r="A2718" s="699"/>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c r="AF2718" s="79"/>
    </row>
    <row r="2719" spans="1:34">
      <c r="A2719" s="699"/>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c r="AF2719" s="79"/>
    </row>
    <row r="2720" spans="1:34">
      <c r="A2720" s="700"/>
      <c r="B2720" s="73"/>
      <c r="C2720" s="73"/>
      <c r="D2720" s="73"/>
      <c r="E2720" s="73"/>
      <c r="F2720" s="73"/>
      <c r="G2720" s="73"/>
      <c r="H2720" s="73"/>
      <c r="I2720" s="73"/>
      <c r="J2720" s="73"/>
      <c r="K2720" s="73"/>
      <c r="L2720" s="73"/>
      <c r="M2720" s="73"/>
      <c r="N2720" s="73"/>
      <c r="O2720" s="73"/>
      <c r="P2720" s="73"/>
      <c r="Q2720" s="73"/>
      <c r="R2720" s="73"/>
      <c r="S2720" s="73"/>
      <c r="T2720" s="73"/>
      <c r="U2720" s="73"/>
      <c r="V2720" s="73"/>
      <c r="W2720" s="73"/>
      <c r="X2720" s="73"/>
      <c r="Y2720" s="73"/>
      <c r="Z2720" s="73"/>
      <c r="AA2720" s="73"/>
      <c r="AB2720" s="73"/>
      <c r="AC2720" s="73"/>
      <c r="AD2720" s="73"/>
      <c r="AE2720" s="73"/>
      <c r="AF2720" s="701"/>
    </row>
    <row r="2721" spans="1:34">
      <c r="A2721" s="699"/>
      <c r="B2721" s="93"/>
      <c r="C2721" s="93"/>
      <c r="D2721" s="93"/>
      <c r="E2721" s="93"/>
      <c r="F2721" s="93"/>
      <c r="G2721" s="93"/>
      <c r="H2721" s="93"/>
      <c r="I2721" s="298">
        <v>9.09</v>
      </c>
      <c r="J2721" s="294">
        <v>9.08</v>
      </c>
      <c r="K2721" s="294">
        <v>9.08</v>
      </c>
      <c r="L2721" s="294">
        <v>9.08</v>
      </c>
      <c r="M2721" s="290">
        <v>9.2799999999999994</v>
      </c>
      <c r="N2721" s="294">
        <v>9.2899999999999991</v>
      </c>
      <c r="O2721" s="294">
        <v>9.2899999999999991</v>
      </c>
      <c r="P2721" s="294">
        <v>9.2899999999999991</v>
      </c>
      <c r="Q2721" s="294">
        <v>9.2899999999999991</v>
      </c>
      <c r="R2721" s="294">
        <v>9.2899999999999991</v>
      </c>
      <c r="S2721" s="294">
        <v>9.2899999999999991</v>
      </c>
      <c r="T2721" s="290">
        <v>9.2799999999999994</v>
      </c>
      <c r="U2721" s="294">
        <v>9.08</v>
      </c>
      <c r="V2721" s="294">
        <v>9.08</v>
      </c>
      <c r="W2721" s="294">
        <v>9.08</v>
      </c>
      <c r="X2721" s="298">
        <v>9.09</v>
      </c>
      <c r="Y2721" s="93"/>
      <c r="Z2721" s="93"/>
      <c r="AA2721" s="93"/>
      <c r="AB2721" s="93"/>
      <c r="AC2721" s="93"/>
      <c r="AD2721" s="93"/>
      <c r="AE2721" s="93"/>
      <c r="AF2721" s="79"/>
      <c r="AG2721">
        <v>86</v>
      </c>
    </row>
    <row r="2722" spans="1:34">
      <c r="AG2722">
        <v>200</v>
      </c>
      <c r="AH2722">
        <v>2721</v>
      </c>
    </row>
    <row r="2723" spans="1:34">
      <c r="AH2723">
        <v>2721</v>
      </c>
    </row>
    <row r="2724" spans="1:34">
      <c r="AH2724">
        <v>2721</v>
      </c>
    </row>
    <row r="2725" spans="1:34">
      <c r="A2725" s="93"/>
      <c r="B2725" s="93"/>
      <c r="C2725" s="93"/>
      <c r="D2725" s="93"/>
      <c r="E2725" s="93"/>
      <c r="F2725" s="93"/>
      <c r="G2725" s="93"/>
      <c r="H2725" s="93"/>
      <c r="I2725" s="298">
        <v>9.09</v>
      </c>
      <c r="J2725" s="294">
        <v>9.08</v>
      </c>
      <c r="K2725" s="294">
        <v>9.08</v>
      </c>
      <c r="L2725" s="294">
        <v>9.08</v>
      </c>
      <c r="M2725" s="290">
        <v>9.2799999999999994</v>
      </c>
      <c r="N2725" s="294">
        <v>9.2899999999999991</v>
      </c>
      <c r="O2725" s="294">
        <v>9.2899999999999991</v>
      </c>
      <c r="P2725" s="294">
        <v>9.2899999999999991</v>
      </c>
      <c r="Q2725" s="294">
        <v>9.2899999999999991</v>
      </c>
      <c r="R2725" s="294">
        <v>9.2899999999999991</v>
      </c>
      <c r="S2725" s="294">
        <v>9.2899999999999991</v>
      </c>
      <c r="T2725" s="290">
        <v>9.2799999999999994</v>
      </c>
      <c r="U2725" s="294">
        <v>9.08</v>
      </c>
      <c r="V2725" s="294">
        <v>9.08</v>
      </c>
      <c r="W2725" s="294">
        <v>9.08</v>
      </c>
      <c r="X2725" s="294">
        <v>9.08</v>
      </c>
      <c r="Y2725" s="298">
        <v>9.09</v>
      </c>
      <c r="Z2725" s="93"/>
      <c r="AA2725" s="93"/>
      <c r="AB2725" s="93"/>
      <c r="AC2725" s="93"/>
      <c r="AD2725" s="93"/>
      <c r="AE2725" s="93"/>
      <c r="AF2725" s="79"/>
    </row>
    <row r="2726" spans="1:34">
      <c r="AH2726">
        <v>2725</v>
      </c>
    </row>
    <row r="2727" spans="1:34">
      <c r="A2727" s="93"/>
      <c r="B2727" s="93"/>
      <c r="C2727" s="93"/>
      <c r="D2727" s="93"/>
      <c r="E2727" s="93"/>
      <c r="F2727" s="93"/>
      <c r="G2727" s="93"/>
      <c r="H2727" s="93"/>
      <c r="I2727" s="298">
        <v>9.09</v>
      </c>
      <c r="J2727" s="294">
        <v>9.08</v>
      </c>
      <c r="K2727" s="294">
        <v>9.08</v>
      </c>
      <c r="L2727" s="294">
        <v>9.08</v>
      </c>
      <c r="M2727" s="290">
        <v>9.2799999999999994</v>
      </c>
      <c r="N2727" s="294">
        <v>9.2899999999999991</v>
      </c>
      <c r="O2727" s="294">
        <v>9.2899999999999991</v>
      </c>
      <c r="P2727" s="307">
        <v>30.28</v>
      </c>
      <c r="Q2727" s="62">
        <v>30.28</v>
      </c>
      <c r="R2727" s="294">
        <v>9.2899999999999991</v>
      </c>
      <c r="S2727" s="294">
        <v>9.2899999999999991</v>
      </c>
      <c r="T2727" s="290">
        <v>9.2799999999999994</v>
      </c>
      <c r="U2727" s="294">
        <v>9.08</v>
      </c>
      <c r="V2727" s="294">
        <v>9.08</v>
      </c>
      <c r="W2727" s="294">
        <v>9.08</v>
      </c>
      <c r="X2727" s="294">
        <v>9.08</v>
      </c>
      <c r="Y2727" s="294">
        <v>9.08</v>
      </c>
      <c r="Z2727" s="298">
        <v>9.09</v>
      </c>
      <c r="AA2727" s="93"/>
      <c r="AB2727" s="93"/>
      <c r="AC2727" s="93"/>
      <c r="AD2727" s="93"/>
      <c r="AE2727" s="93"/>
      <c r="AF2727" s="79"/>
    </row>
    <row r="2728" spans="1:34">
      <c r="A2728" s="93"/>
      <c r="B2728" s="93"/>
      <c r="C2728" s="93"/>
      <c r="D2728" s="93"/>
      <c r="E2728" s="93"/>
      <c r="F2728" s="93"/>
      <c r="G2728" s="93"/>
      <c r="H2728" s="93"/>
      <c r="I2728" s="298">
        <v>9.09</v>
      </c>
      <c r="J2728" s="294">
        <v>9.08</v>
      </c>
      <c r="K2728" s="294">
        <v>9.08</v>
      </c>
      <c r="L2728" s="294">
        <v>9.08</v>
      </c>
      <c r="M2728" s="290">
        <v>9.2799999999999994</v>
      </c>
      <c r="N2728" s="294">
        <v>9.2899999999999991</v>
      </c>
      <c r="O2728" s="294">
        <v>9.2899999999999991</v>
      </c>
      <c r="P2728" s="62">
        <v>30.28</v>
      </c>
      <c r="Q2728" s="307">
        <v>30.28</v>
      </c>
      <c r="R2728" s="294">
        <v>9.2899999999999991</v>
      </c>
      <c r="S2728" s="294">
        <v>9.2899999999999991</v>
      </c>
      <c r="T2728" s="294">
        <v>9.2899999999999991</v>
      </c>
      <c r="U2728" s="290">
        <v>9.2799999999999994</v>
      </c>
      <c r="V2728" s="294">
        <v>9.08</v>
      </c>
      <c r="W2728" s="294">
        <v>9.08</v>
      </c>
      <c r="X2728" s="294">
        <v>9.08</v>
      </c>
      <c r="Y2728" s="294">
        <v>9.08</v>
      </c>
      <c r="Z2728" s="294">
        <v>9.08</v>
      </c>
      <c r="AA2728" s="298">
        <v>9.09</v>
      </c>
      <c r="AB2728" s="298">
        <v>9.09</v>
      </c>
      <c r="AC2728" s="93"/>
      <c r="AD2728" s="93"/>
      <c r="AE2728" s="93"/>
      <c r="AF2728" s="79"/>
    </row>
    <row r="2729" spans="1:34">
      <c r="A2729" s="93"/>
      <c r="B2729" s="93"/>
      <c r="C2729" s="93"/>
      <c r="D2729" s="93"/>
      <c r="E2729" s="93"/>
      <c r="F2729" s="93"/>
      <c r="G2729" s="93"/>
      <c r="H2729" s="93"/>
      <c r="I2729" s="298">
        <v>9.09</v>
      </c>
      <c r="J2729" s="294">
        <v>9.08</v>
      </c>
      <c r="K2729" s="294">
        <v>9.08</v>
      </c>
      <c r="L2729" s="294">
        <v>9.08</v>
      </c>
      <c r="M2729" s="294">
        <v>9.08</v>
      </c>
      <c r="N2729" s="290">
        <v>9.2799999999999994</v>
      </c>
      <c r="O2729" s="294">
        <v>9.2899999999999991</v>
      </c>
      <c r="P2729" s="294">
        <v>9.2899999999999991</v>
      </c>
      <c r="Q2729" s="294">
        <v>9.2899999999999991</v>
      </c>
      <c r="R2729" s="294">
        <v>9.2899999999999991</v>
      </c>
      <c r="S2729" s="294">
        <v>9.2899999999999991</v>
      </c>
      <c r="T2729" s="294">
        <v>9.2899999999999991</v>
      </c>
      <c r="U2729" s="290">
        <v>9.2799999999999994</v>
      </c>
      <c r="V2729" s="294">
        <v>9.08</v>
      </c>
      <c r="W2729" s="294">
        <v>9.08</v>
      </c>
      <c r="X2729" s="294">
        <v>9.08</v>
      </c>
      <c r="Y2729" s="294">
        <v>9.08</v>
      </c>
      <c r="Z2729" s="294">
        <v>9.08</v>
      </c>
      <c r="AA2729" s="294">
        <v>9.08</v>
      </c>
      <c r="AB2729" s="294">
        <v>9.08</v>
      </c>
      <c r="AC2729" s="298">
        <v>9.09</v>
      </c>
      <c r="AD2729" s="298">
        <v>9.09</v>
      </c>
      <c r="AE2729" s="298">
        <v>9.09</v>
      </c>
      <c r="AF2729" s="764">
        <v>9.09</v>
      </c>
    </row>
    <row r="2730" spans="1:34">
      <c r="A2730" s="93"/>
      <c r="B2730" s="93"/>
      <c r="C2730" s="93"/>
      <c r="D2730" s="93"/>
      <c r="E2730" s="93"/>
      <c r="F2730" s="93"/>
      <c r="G2730" s="93"/>
      <c r="H2730" s="93"/>
      <c r="I2730" s="298">
        <v>9.09</v>
      </c>
      <c r="J2730" s="294">
        <v>9.08</v>
      </c>
      <c r="K2730" s="294">
        <v>9.08</v>
      </c>
      <c r="L2730" s="294">
        <v>9.08</v>
      </c>
      <c r="M2730" s="294">
        <v>9.08</v>
      </c>
      <c r="N2730" s="290">
        <v>9.2799999999999994</v>
      </c>
      <c r="O2730" s="294">
        <v>9.2899999999999991</v>
      </c>
      <c r="P2730" s="294">
        <v>9.2899999999999991</v>
      </c>
      <c r="Q2730" s="294">
        <v>9.2899999999999991</v>
      </c>
      <c r="R2730" s="294">
        <v>9.2899999999999991</v>
      </c>
      <c r="S2730" s="294">
        <v>9.2899999999999991</v>
      </c>
      <c r="T2730" s="294">
        <v>9.2899999999999991</v>
      </c>
      <c r="U2730" s="294">
        <v>9.2899999999999991</v>
      </c>
      <c r="V2730" s="290">
        <v>9.2799999999999994</v>
      </c>
      <c r="W2730" s="294">
        <v>9.08</v>
      </c>
      <c r="X2730" s="294">
        <v>9.08</v>
      </c>
      <c r="Y2730" s="294">
        <v>9.08</v>
      </c>
      <c r="Z2730" s="294">
        <v>9.08</v>
      </c>
      <c r="AA2730" s="294">
        <v>9.08</v>
      </c>
      <c r="AB2730" s="294">
        <v>9.08</v>
      </c>
      <c r="AC2730" s="294">
        <v>9.08</v>
      </c>
      <c r="AD2730" s="294">
        <v>9.08</v>
      </c>
      <c r="AE2730" s="294">
        <v>9.08</v>
      </c>
      <c r="AF2730" s="294">
        <v>9.08</v>
      </c>
    </row>
    <row r="2731" spans="1:34">
      <c r="A2731" s="93"/>
      <c r="B2731" s="93"/>
      <c r="C2731" s="93"/>
      <c r="D2731" s="93"/>
      <c r="E2731" s="93"/>
      <c r="F2731" s="93"/>
      <c r="G2731" s="93"/>
      <c r="H2731" s="93"/>
      <c r="I2731" s="298">
        <v>9.09</v>
      </c>
      <c r="J2731" s="294">
        <v>9.08</v>
      </c>
      <c r="K2731" s="294">
        <v>9.08</v>
      </c>
      <c r="L2731" s="294">
        <v>9.08</v>
      </c>
      <c r="M2731" s="294">
        <v>9.08</v>
      </c>
      <c r="N2731" s="290">
        <v>9.2799999999999994</v>
      </c>
      <c r="O2731" s="294">
        <v>9.2899999999999991</v>
      </c>
      <c r="P2731" s="294">
        <v>9.2899999999999991</v>
      </c>
      <c r="Q2731" s="294">
        <v>9.2899999999999991</v>
      </c>
      <c r="R2731" s="294">
        <v>9.2899999999999991</v>
      </c>
      <c r="S2731" s="294">
        <v>9.2899999999999991</v>
      </c>
      <c r="T2731" s="294">
        <v>9.2899999999999991</v>
      </c>
      <c r="U2731" s="294">
        <v>9.2899999999999991</v>
      </c>
      <c r="V2731" s="294">
        <v>9.2899999999999991</v>
      </c>
      <c r="W2731" s="290">
        <v>9.2799999999999994</v>
      </c>
      <c r="X2731" s="294">
        <v>9.08</v>
      </c>
      <c r="Y2731" s="294">
        <v>9.08</v>
      </c>
      <c r="Z2731" s="294">
        <v>9.08</v>
      </c>
      <c r="AA2731" s="294">
        <v>9.08</v>
      </c>
      <c r="AB2731" s="294">
        <v>9.08</v>
      </c>
      <c r="AC2731" s="294">
        <v>9.08</v>
      </c>
      <c r="AD2731" s="294">
        <v>9.08</v>
      </c>
      <c r="AE2731" s="294">
        <v>9.08</v>
      </c>
      <c r="AF2731" s="294">
        <v>9.08</v>
      </c>
    </row>
    <row r="2732" spans="1:34">
      <c r="A2732" s="93"/>
      <c r="B2732" s="93"/>
      <c r="C2732" s="93"/>
      <c r="D2732" s="93"/>
      <c r="E2732" s="93"/>
      <c r="F2732" s="93"/>
      <c r="G2732" s="93"/>
      <c r="H2732" s="93"/>
      <c r="I2732" s="93"/>
      <c r="J2732" s="298">
        <v>9.09</v>
      </c>
      <c r="K2732" s="294">
        <v>9.08</v>
      </c>
      <c r="L2732" s="294">
        <v>9.08</v>
      </c>
      <c r="M2732" s="294">
        <v>9.08</v>
      </c>
      <c r="N2732" s="294">
        <v>9.08</v>
      </c>
      <c r="O2732" s="290">
        <v>9.2799999999999994</v>
      </c>
      <c r="P2732" s="294">
        <v>9.2899999999999991</v>
      </c>
      <c r="Q2732" s="294">
        <v>9.2899999999999991</v>
      </c>
      <c r="R2732" s="294">
        <v>9.2899999999999991</v>
      </c>
      <c r="S2732" s="294">
        <v>9.2899999999999991</v>
      </c>
      <c r="T2732" s="294">
        <v>9.2899999999999991</v>
      </c>
      <c r="U2732" s="294">
        <v>9.2899999999999991</v>
      </c>
      <c r="V2732" s="294">
        <v>9.2899999999999991</v>
      </c>
      <c r="W2732" s="294">
        <v>9.2899999999999991</v>
      </c>
      <c r="X2732" s="290">
        <v>9.2799999999999994</v>
      </c>
      <c r="Y2732" s="290">
        <v>9.2799999999999994</v>
      </c>
      <c r="Z2732" s="294">
        <v>9.08</v>
      </c>
      <c r="AA2732" s="294">
        <v>9.08</v>
      </c>
      <c r="AB2732" s="294">
        <v>9.08</v>
      </c>
      <c r="AC2732" s="294">
        <v>9.08</v>
      </c>
      <c r="AD2732" s="294">
        <v>9.08</v>
      </c>
      <c r="AE2732" s="294">
        <v>9.08</v>
      </c>
      <c r="AF2732" s="294">
        <v>9.08</v>
      </c>
    </row>
    <row r="2733" spans="1:34">
      <c r="A2733" s="93"/>
      <c r="B2733" s="93"/>
      <c r="C2733" s="93"/>
      <c r="D2733" s="93"/>
      <c r="E2733" s="93"/>
      <c r="F2733" s="93"/>
      <c r="G2733" s="93"/>
      <c r="H2733" s="93"/>
      <c r="I2733" s="93"/>
      <c r="J2733" s="298">
        <v>9.09</v>
      </c>
      <c r="K2733" s="294">
        <v>9.08</v>
      </c>
      <c r="L2733" s="294">
        <v>9.08</v>
      </c>
      <c r="M2733" s="294">
        <v>9.08</v>
      </c>
      <c r="N2733" s="294">
        <v>9.08</v>
      </c>
      <c r="O2733" s="290">
        <v>9.2799999999999994</v>
      </c>
      <c r="P2733" s="294">
        <v>9.2899999999999991</v>
      </c>
      <c r="Q2733" s="294">
        <v>9.2899999999999991</v>
      </c>
      <c r="R2733" s="294">
        <v>9.2899999999999991</v>
      </c>
      <c r="S2733" s="294">
        <v>9.2899999999999991</v>
      </c>
      <c r="T2733" s="294">
        <v>9.2899999999999991</v>
      </c>
      <c r="U2733" s="294">
        <v>9.2899999999999991</v>
      </c>
      <c r="V2733" s="294">
        <v>9.2899999999999991</v>
      </c>
      <c r="W2733" s="294">
        <v>9.2899999999999991</v>
      </c>
      <c r="X2733" s="294">
        <v>9.2899999999999991</v>
      </c>
      <c r="Y2733" s="294">
        <v>9.2899999999999991</v>
      </c>
      <c r="Z2733" s="290">
        <v>9.2799999999999994</v>
      </c>
      <c r="AA2733" s="290">
        <v>9.2799999999999994</v>
      </c>
      <c r="AB2733" s="290">
        <v>9.2799999999999994</v>
      </c>
      <c r="AC2733" s="290">
        <v>9.2799999999999994</v>
      </c>
      <c r="AD2733" s="290">
        <v>9.2799999999999994</v>
      </c>
      <c r="AE2733" s="290">
        <v>9.2799999999999994</v>
      </c>
      <c r="AF2733" s="863">
        <v>9.2799999999999994</v>
      </c>
    </row>
    <row r="2734" spans="1:34">
      <c r="A2734" s="93"/>
      <c r="B2734" s="93"/>
      <c r="C2734" s="93"/>
      <c r="D2734" s="93"/>
      <c r="E2734" s="93"/>
      <c r="F2734" s="93"/>
      <c r="G2734" s="93"/>
      <c r="H2734" s="93"/>
      <c r="I2734" s="93"/>
      <c r="J2734" s="298">
        <v>9.09</v>
      </c>
      <c r="K2734" s="294">
        <v>9.08</v>
      </c>
      <c r="L2734" s="294">
        <v>9.08</v>
      </c>
      <c r="M2734" s="294">
        <v>9.08</v>
      </c>
      <c r="N2734" s="294">
        <v>9.08</v>
      </c>
      <c r="O2734" s="294">
        <v>9.08</v>
      </c>
      <c r="P2734" s="290">
        <v>9.2799999999999994</v>
      </c>
      <c r="Q2734" s="294">
        <v>9.2899999999999991</v>
      </c>
      <c r="R2734" s="294">
        <v>9.2899999999999991</v>
      </c>
      <c r="S2734" s="294">
        <v>9.2899999999999991</v>
      </c>
      <c r="T2734" s="294">
        <v>9.2899999999999991</v>
      </c>
      <c r="U2734" s="294">
        <v>9.2899999999999991</v>
      </c>
      <c r="V2734" s="294">
        <v>9.2899999999999991</v>
      </c>
      <c r="W2734" s="294">
        <v>9.2899999999999991</v>
      </c>
      <c r="X2734" s="294">
        <v>9.2899999999999991</v>
      </c>
      <c r="Y2734" s="294">
        <v>9.2899999999999991</v>
      </c>
      <c r="Z2734" s="294">
        <v>9.2899999999999991</v>
      </c>
      <c r="AA2734" s="294">
        <v>9.2899999999999991</v>
      </c>
      <c r="AB2734" s="294">
        <v>9.2899999999999991</v>
      </c>
      <c r="AC2734" s="294">
        <v>9.2899999999999991</v>
      </c>
      <c r="AD2734" s="294">
        <v>9.2899999999999991</v>
      </c>
      <c r="AE2734" s="294">
        <v>9.2899999999999991</v>
      </c>
      <c r="AF2734" s="294">
        <v>9.2899999999999991</v>
      </c>
    </row>
    <row r="2735" spans="1:34">
      <c r="A2735" s="93"/>
      <c r="B2735" s="93"/>
      <c r="C2735" s="93"/>
      <c r="D2735" s="93"/>
      <c r="E2735" s="93"/>
      <c r="F2735" s="93"/>
      <c r="G2735" s="93"/>
      <c r="H2735" s="93"/>
      <c r="I2735" s="93"/>
      <c r="J2735" s="93"/>
      <c r="K2735" s="298">
        <v>9.09</v>
      </c>
      <c r="L2735" s="294">
        <v>9.08</v>
      </c>
      <c r="M2735" s="294">
        <v>9.08</v>
      </c>
      <c r="N2735" s="294">
        <v>9.08</v>
      </c>
      <c r="O2735" s="294">
        <v>9.08</v>
      </c>
      <c r="P2735" s="290">
        <v>9.2799999999999994</v>
      </c>
      <c r="Q2735" s="294">
        <v>9.2899999999999991</v>
      </c>
      <c r="R2735" s="294">
        <v>9.2899999999999991</v>
      </c>
      <c r="S2735" s="294">
        <v>9.2899999999999991</v>
      </c>
      <c r="T2735" s="294">
        <v>9.2899999999999991</v>
      </c>
      <c r="U2735" s="294">
        <v>9.2899999999999991</v>
      </c>
      <c r="V2735" s="294">
        <v>9.2899999999999991</v>
      </c>
      <c r="W2735" s="294">
        <v>9.2899999999999991</v>
      </c>
      <c r="X2735" s="294">
        <v>9.2899999999999991</v>
      </c>
      <c r="Y2735" s="294">
        <v>9.2899999999999991</v>
      </c>
      <c r="Z2735" s="294">
        <v>9.2899999999999991</v>
      </c>
      <c r="AA2735" s="294">
        <v>9.2899999999999991</v>
      </c>
      <c r="AB2735" s="294">
        <v>9.2899999999999991</v>
      </c>
      <c r="AC2735" s="294">
        <v>9.2899999999999991</v>
      </c>
      <c r="AD2735" s="294">
        <v>9.2899999999999991</v>
      </c>
      <c r="AE2735" s="294">
        <v>9.2899999999999991</v>
      </c>
      <c r="AF2735" s="294">
        <v>9.2899999999999991</v>
      </c>
    </row>
    <row r="2736" spans="1:34">
      <c r="A2736" s="93"/>
      <c r="B2736" s="93"/>
      <c r="C2736" s="93"/>
      <c r="D2736" s="93"/>
      <c r="E2736" s="93"/>
      <c r="F2736" s="93"/>
      <c r="G2736" s="93"/>
      <c r="H2736" s="93"/>
      <c r="I2736" s="93"/>
      <c r="J2736" s="93"/>
      <c r="K2736" s="298">
        <v>9.09</v>
      </c>
      <c r="L2736" s="294">
        <v>9.08</v>
      </c>
      <c r="M2736" s="294">
        <v>9.08</v>
      </c>
      <c r="N2736" s="294">
        <v>9.08</v>
      </c>
      <c r="O2736" s="294">
        <v>9.08</v>
      </c>
      <c r="P2736" s="294">
        <v>9.08</v>
      </c>
      <c r="Q2736" s="290">
        <v>9.2799999999999994</v>
      </c>
      <c r="R2736" s="294">
        <v>9.2899999999999991</v>
      </c>
      <c r="S2736" s="294">
        <v>9.2899999999999991</v>
      </c>
      <c r="T2736" s="294">
        <v>9.2899999999999991</v>
      </c>
      <c r="U2736" s="294">
        <v>9.2899999999999991</v>
      </c>
      <c r="V2736" s="294">
        <v>9.2899999999999991</v>
      </c>
      <c r="W2736" s="294">
        <v>9.2899999999999991</v>
      </c>
      <c r="X2736" s="294">
        <v>9.2899999999999991</v>
      </c>
      <c r="Y2736" s="307">
        <v>30.28</v>
      </c>
      <c r="Z2736" s="62">
        <v>30.28</v>
      </c>
      <c r="AA2736" s="294">
        <v>9.2899999999999991</v>
      </c>
      <c r="AB2736" s="294">
        <v>9.2899999999999991</v>
      </c>
      <c r="AC2736" s="294">
        <v>9.2899999999999991</v>
      </c>
      <c r="AD2736" s="294">
        <v>9.2899999999999991</v>
      </c>
      <c r="AE2736" s="294">
        <v>9.2899999999999991</v>
      </c>
      <c r="AF2736" s="294">
        <v>9.2899999999999991</v>
      </c>
    </row>
    <row r="2737" spans="1:32">
      <c r="A2737" s="93"/>
      <c r="B2737" s="93"/>
      <c r="C2737" s="93"/>
      <c r="D2737" s="93"/>
      <c r="E2737" s="93"/>
      <c r="F2737" s="93"/>
      <c r="G2737" s="93"/>
      <c r="H2737" s="93"/>
      <c r="I2737" s="93"/>
      <c r="J2737" s="93"/>
      <c r="K2737" s="93"/>
      <c r="L2737" s="298">
        <v>9.09</v>
      </c>
      <c r="M2737" s="294">
        <v>9.08</v>
      </c>
      <c r="N2737" s="294">
        <v>9.08</v>
      </c>
      <c r="O2737" s="294">
        <v>9.08</v>
      </c>
      <c r="P2737" s="294">
        <v>9.08</v>
      </c>
      <c r="Q2737" s="294">
        <v>9.08</v>
      </c>
      <c r="R2737" s="290">
        <v>9.2799999999999994</v>
      </c>
      <c r="S2737" s="290">
        <v>9.2799999999999994</v>
      </c>
      <c r="T2737" s="294">
        <v>9.2899999999999991</v>
      </c>
      <c r="U2737" s="294">
        <v>9.2899999999999991</v>
      </c>
      <c r="V2737" s="294">
        <v>9.2899999999999991</v>
      </c>
      <c r="W2737" s="294">
        <v>9.2899999999999991</v>
      </c>
      <c r="X2737" s="294">
        <v>9.2899999999999991</v>
      </c>
      <c r="Y2737" s="62">
        <v>30.28</v>
      </c>
      <c r="Z2737" s="307">
        <v>30.28</v>
      </c>
      <c r="AA2737" s="294">
        <v>9.2899999999999991</v>
      </c>
      <c r="AB2737" s="294">
        <v>9.2899999999999991</v>
      </c>
      <c r="AC2737" s="294">
        <v>9.2899999999999991</v>
      </c>
      <c r="AD2737" s="294">
        <v>9.2899999999999991</v>
      </c>
      <c r="AE2737" s="294">
        <v>9.2899999999999991</v>
      </c>
      <c r="AF2737" s="294">
        <v>9.2899999999999991</v>
      </c>
    </row>
    <row r="2738" spans="1:32">
      <c r="A2738" s="93"/>
      <c r="B2738" s="93"/>
      <c r="C2738" s="93"/>
      <c r="D2738" s="93"/>
      <c r="E2738" s="93"/>
      <c r="F2738" s="93"/>
      <c r="G2738" s="93"/>
      <c r="H2738" s="93"/>
      <c r="I2738" s="93"/>
      <c r="J2738" s="93"/>
      <c r="K2738" s="93"/>
      <c r="L2738" s="298">
        <v>9.09</v>
      </c>
      <c r="M2738" s="294">
        <v>9.08</v>
      </c>
      <c r="N2738" s="294">
        <v>9.08</v>
      </c>
      <c r="O2738" s="294">
        <v>9.08</v>
      </c>
      <c r="P2738" s="294">
        <v>9.08</v>
      </c>
      <c r="Q2738" s="294">
        <v>9.08</v>
      </c>
      <c r="R2738" s="294">
        <v>9.08</v>
      </c>
      <c r="S2738" s="294">
        <v>9.08</v>
      </c>
      <c r="T2738" s="290">
        <v>9.2799999999999994</v>
      </c>
      <c r="U2738" s="290">
        <v>9.2799999999999994</v>
      </c>
      <c r="V2738" s="294">
        <v>9.2899999999999991</v>
      </c>
      <c r="W2738" s="294">
        <v>9.2899999999999991</v>
      </c>
      <c r="X2738" s="294">
        <v>9.2899999999999991</v>
      </c>
      <c r="Y2738" s="294">
        <v>9.2899999999999991</v>
      </c>
      <c r="Z2738" s="294">
        <v>9.2899999999999991</v>
      </c>
      <c r="AA2738" s="294">
        <v>9.2899999999999991</v>
      </c>
      <c r="AB2738" s="294">
        <v>9.2899999999999991</v>
      </c>
      <c r="AC2738" s="294">
        <v>9.2899999999999991</v>
      </c>
      <c r="AD2738" s="294">
        <v>9.2899999999999991</v>
      </c>
      <c r="AE2738" s="294">
        <v>9.2899999999999991</v>
      </c>
      <c r="AF2738" s="294">
        <v>9.2899999999999991</v>
      </c>
    </row>
    <row r="2739" spans="1:32">
      <c r="A2739" s="93"/>
      <c r="B2739" s="93"/>
      <c r="C2739" s="93"/>
      <c r="D2739" s="93"/>
      <c r="E2739" s="93"/>
      <c r="F2739" s="93"/>
      <c r="G2739" s="93"/>
      <c r="H2739" s="93"/>
      <c r="I2739" s="93"/>
      <c r="J2739" s="93"/>
      <c r="K2739" s="93"/>
      <c r="L2739" s="93"/>
      <c r="M2739" s="298">
        <v>9.09</v>
      </c>
      <c r="N2739" s="294">
        <v>9.08</v>
      </c>
      <c r="O2739" s="294">
        <v>9.08</v>
      </c>
      <c r="P2739" s="294">
        <v>9.08</v>
      </c>
      <c r="Q2739" s="294">
        <v>9.08</v>
      </c>
      <c r="R2739" s="294">
        <v>9.08</v>
      </c>
      <c r="S2739" s="294">
        <v>9.08</v>
      </c>
      <c r="T2739" s="294">
        <v>9.08</v>
      </c>
      <c r="U2739" s="294">
        <v>9.08</v>
      </c>
      <c r="V2739" s="290">
        <v>9.2799999999999994</v>
      </c>
      <c r="W2739" s="290">
        <v>9.2799999999999994</v>
      </c>
      <c r="X2739" s="290">
        <v>9.2799999999999994</v>
      </c>
      <c r="Y2739" s="294">
        <v>9.2899999999999991</v>
      </c>
      <c r="Z2739" s="294">
        <v>9.2899999999999991</v>
      </c>
      <c r="AA2739" s="294">
        <v>9.2899999999999991</v>
      </c>
      <c r="AB2739" s="294">
        <v>9.2899999999999991</v>
      </c>
      <c r="AC2739" s="294">
        <v>9.2899999999999991</v>
      </c>
      <c r="AD2739" s="294">
        <v>9.2899999999999991</v>
      </c>
      <c r="AE2739" s="294">
        <v>9.2899999999999991</v>
      </c>
      <c r="AF2739" s="294">
        <v>9.2899999999999991</v>
      </c>
    </row>
    <row r="2740" spans="1:32">
      <c r="A2740" s="93"/>
      <c r="B2740" s="93"/>
      <c r="C2740" s="93"/>
      <c r="D2740" s="93"/>
      <c r="E2740" s="93"/>
      <c r="F2740" s="93"/>
      <c r="G2740" s="93"/>
      <c r="H2740" s="93"/>
      <c r="I2740" s="93"/>
      <c r="J2740" s="93"/>
      <c r="K2740" s="93"/>
      <c r="L2740" s="93"/>
      <c r="M2740" s="93"/>
      <c r="N2740" s="298">
        <v>9.09</v>
      </c>
      <c r="O2740" s="294">
        <v>9.08</v>
      </c>
      <c r="P2740" s="294">
        <v>9.08</v>
      </c>
      <c r="Q2740" s="294">
        <v>9.08</v>
      </c>
      <c r="R2740" s="294">
        <v>9.08</v>
      </c>
      <c r="S2740" s="294">
        <v>9.08</v>
      </c>
      <c r="T2740" s="294">
        <v>9.08</v>
      </c>
      <c r="U2740" s="294">
        <v>9.08</v>
      </c>
      <c r="V2740" s="294">
        <v>9.08</v>
      </c>
      <c r="W2740" s="294">
        <v>9.08</v>
      </c>
      <c r="X2740" s="294">
        <v>9.08</v>
      </c>
      <c r="Y2740" s="290">
        <v>9.2799999999999994</v>
      </c>
      <c r="Z2740" s="290">
        <v>9.2799999999999994</v>
      </c>
      <c r="AA2740" s="290">
        <v>9.2799999999999994</v>
      </c>
      <c r="AB2740" s="290">
        <v>9.2799999999999994</v>
      </c>
      <c r="AC2740" s="290">
        <v>9.2799999999999994</v>
      </c>
      <c r="AD2740" s="290">
        <v>9.2799999999999994</v>
      </c>
      <c r="AE2740" s="290">
        <v>9.2799999999999994</v>
      </c>
      <c r="AF2740" s="863">
        <v>9.2799999999999994</v>
      </c>
    </row>
    <row r="2741" spans="1:32">
      <c r="A2741" s="93"/>
      <c r="B2741" s="93"/>
      <c r="C2741" s="93"/>
      <c r="D2741" s="93"/>
      <c r="E2741" s="93"/>
      <c r="F2741" s="93"/>
      <c r="G2741" s="93"/>
      <c r="H2741" s="93"/>
      <c r="I2741" s="93"/>
      <c r="J2741" s="93"/>
      <c r="K2741" s="93"/>
      <c r="L2741" s="93"/>
      <c r="M2741" s="93"/>
      <c r="N2741" s="93"/>
      <c r="O2741" s="298">
        <v>9.09</v>
      </c>
      <c r="P2741" s="298">
        <v>9.09</v>
      </c>
      <c r="Q2741" s="294">
        <v>9.08</v>
      </c>
      <c r="R2741" s="294">
        <v>9.08</v>
      </c>
      <c r="S2741" s="294">
        <v>9.08</v>
      </c>
      <c r="T2741" s="294">
        <v>9.08</v>
      </c>
      <c r="U2741" s="294">
        <v>9.08</v>
      </c>
      <c r="V2741" s="294">
        <v>9.08</v>
      </c>
      <c r="W2741" s="294">
        <v>9.08</v>
      </c>
      <c r="X2741" s="294">
        <v>9.08</v>
      </c>
      <c r="Y2741" s="294">
        <v>9.08</v>
      </c>
      <c r="Z2741" s="294">
        <v>9.08</v>
      </c>
      <c r="AA2741" s="294">
        <v>9.08</v>
      </c>
      <c r="AB2741" s="294">
        <v>9.08</v>
      </c>
      <c r="AC2741" s="294">
        <v>9.08</v>
      </c>
      <c r="AD2741" s="294">
        <v>9.08</v>
      </c>
      <c r="AE2741" s="294">
        <v>9.08</v>
      </c>
      <c r="AF2741" s="294">
        <v>9.08</v>
      </c>
    </row>
    <row r="2742" spans="1:32">
      <c r="A2742" s="93"/>
      <c r="B2742" s="93"/>
      <c r="C2742" s="93"/>
      <c r="D2742" s="93"/>
      <c r="E2742" s="93"/>
      <c r="F2742" s="93"/>
      <c r="G2742" s="93"/>
      <c r="H2742" s="93"/>
      <c r="I2742" s="93"/>
      <c r="J2742" s="93"/>
      <c r="K2742" s="93"/>
      <c r="L2742" s="93"/>
      <c r="M2742" s="93"/>
      <c r="N2742" s="93"/>
      <c r="O2742" s="93"/>
      <c r="P2742" s="93"/>
      <c r="Q2742" s="298">
        <v>9.09</v>
      </c>
      <c r="R2742" s="298">
        <v>9.09</v>
      </c>
      <c r="S2742" s="294">
        <v>9.08</v>
      </c>
      <c r="T2742" s="294">
        <v>9.08</v>
      </c>
      <c r="U2742" s="294">
        <v>9.08</v>
      </c>
      <c r="V2742" s="294">
        <v>9.08</v>
      </c>
      <c r="W2742" s="294">
        <v>9.08</v>
      </c>
      <c r="X2742" s="294">
        <v>9.08</v>
      </c>
      <c r="Y2742" s="294">
        <v>9.08</v>
      </c>
      <c r="Z2742" s="294">
        <v>9.08</v>
      </c>
      <c r="AA2742" s="294">
        <v>9.08</v>
      </c>
      <c r="AB2742" s="294">
        <v>9.08</v>
      </c>
      <c r="AC2742" s="294">
        <v>9.08</v>
      </c>
      <c r="AD2742" s="294">
        <v>9.08</v>
      </c>
      <c r="AE2742" s="294">
        <v>9.08</v>
      </c>
      <c r="AF2742" s="294">
        <v>9.08</v>
      </c>
    </row>
    <row r="2743" spans="1:32">
      <c r="A2743" s="93"/>
      <c r="B2743" s="93"/>
      <c r="C2743" s="93"/>
      <c r="D2743" s="93"/>
      <c r="E2743" s="93"/>
      <c r="F2743" s="93"/>
      <c r="G2743" s="93"/>
      <c r="H2743" s="93"/>
      <c r="I2743" s="93"/>
      <c r="J2743" s="93"/>
      <c r="K2743" s="93"/>
      <c r="L2743" s="93"/>
      <c r="M2743" s="93"/>
      <c r="N2743" s="93"/>
      <c r="O2743" s="93"/>
      <c r="P2743" s="93"/>
      <c r="Q2743" s="93"/>
      <c r="R2743" s="93"/>
      <c r="S2743" s="298">
        <v>9.09</v>
      </c>
      <c r="T2743" s="298">
        <v>9.09</v>
      </c>
      <c r="U2743" s="298">
        <v>9.09</v>
      </c>
      <c r="V2743" s="294">
        <v>9.08</v>
      </c>
      <c r="W2743" s="294">
        <v>9.08</v>
      </c>
      <c r="X2743" s="294">
        <v>9.08</v>
      </c>
      <c r="Y2743" s="294">
        <v>9.08</v>
      </c>
      <c r="Z2743" s="294">
        <v>9.08</v>
      </c>
      <c r="AA2743" s="294">
        <v>9.08</v>
      </c>
      <c r="AB2743" s="294">
        <v>9.08</v>
      </c>
      <c r="AC2743" s="294">
        <v>9.08</v>
      </c>
      <c r="AD2743" s="294">
        <v>9.08</v>
      </c>
      <c r="AE2743" s="294">
        <v>9.08</v>
      </c>
      <c r="AF2743" s="294">
        <v>9.08</v>
      </c>
    </row>
    <row r="2744" spans="1:32">
      <c r="A2744" s="93"/>
      <c r="B2744" s="93"/>
      <c r="C2744" s="93"/>
      <c r="D2744" s="93"/>
      <c r="E2744" s="93"/>
      <c r="F2744" s="93"/>
      <c r="G2744" s="93"/>
      <c r="H2744" s="93"/>
      <c r="I2744" s="93"/>
      <c r="J2744" s="93"/>
      <c r="K2744" s="93"/>
      <c r="L2744" s="93"/>
      <c r="M2744" s="93"/>
      <c r="N2744" s="93"/>
      <c r="O2744" s="93"/>
      <c r="P2744" s="93"/>
      <c r="Q2744" s="93"/>
      <c r="R2744" s="93"/>
      <c r="S2744" s="93"/>
      <c r="T2744" s="93"/>
      <c r="U2744" s="93"/>
      <c r="V2744" s="298">
        <v>9.09</v>
      </c>
      <c r="W2744" s="298">
        <v>9.09</v>
      </c>
      <c r="X2744" s="298">
        <v>9.09</v>
      </c>
      <c r="Y2744" s="298">
        <v>9.09</v>
      </c>
      <c r="Z2744" s="298">
        <v>9.09</v>
      </c>
      <c r="AA2744" s="298">
        <v>9.09</v>
      </c>
      <c r="AB2744" s="298">
        <v>9.09</v>
      </c>
      <c r="AC2744" s="298">
        <v>9.09</v>
      </c>
      <c r="AD2744" s="298">
        <v>9.09</v>
      </c>
      <c r="AE2744" s="298">
        <v>9.09</v>
      </c>
      <c r="AF2744" s="764">
        <v>9.09</v>
      </c>
    </row>
    <row r="2745" spans="1:32">
      <c r="A2745" s="93"/>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c r="AF2745" s="79"/>
    </row>
    <row r="2746" spans="1:32">
      <c r="A2746" s="93"/>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c r="AF2746" s="79"/>
    </row>
    <row r="2747" spans="1:32">
      <c r="A2747" s="93"/>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c r="AF2747" s="79"/>
    </row>
    <row r="2748" spans="1:32">
      <c r="A2748" s="93"/>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c r="AF2748" s="79"/>
    </row>
    <row r="2749" spans="1:32">
      <c r="A2749" s="93"/>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c r="AF2749" s="79"/>
    </row>
    <row r="2750" spans="1:32">
      <c r="A2750" s="93"/>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c r="AF2750" s="79"/>
    </row>
    <row r="2751" spans="1:32">
      <c r="A2751" s="699"/>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c r="AF2751" s="79"/>
    </row>
    <row r="2752" spans="1:32">
      <c r="A2752" s="700"/>
      <c r="B2752" s="73"/>
      <c r="C2752" s="73"/>
      <c r="D2752" s="73"/>
      <c r="E2752" s="73"/>
      <c r="F2752" s="73"/>
      <c r="G2752" s="73"/>
      <c r="H2752" s="73"/>
      <c r="I2752" s="73"/>
      <c r="J2752" s="73"/>
      <c r="K2752" s="73"/>
      <c r="L2752" s="73"/>
      <c r="M2752" s="73"/>
      <c r="N2752" s="73"/>
      <c r="O2752" s="73"/>
      <c r="P2752" s="73"/>
      <c r="Q2752" s="73"/>
      <c r="R2752" s="73"/>
      <c r="S2752" s="73"/>
      <c r="T2752" s="73"/>
      <c r="U2752" s="73"/>
      <c r="V2752" s="73"/>
      <c r="W2752" s="73"/>
      <c r="X2752" s="73"/>
      <c r="Y2752" s="73"/>
      <c r="Z2752" s="73"/>
      <c r="AA2752" s="73"/>
      <c r="AB2752" s="73"/>
      <c r="AC2752" s="73"/>
      <c r="AD2752" s="73"/>
      <c r="AE2752" s="73"/>
      <c r="AF2752" s="701"/>
    </row>
    <row r="2753" spans="1:33">
      <c r="A2753" s="753"/>
      <c r="B2753" s="307">
        <v>22</v>
      </c>
      <c r="C2753" s="307">
        <v>22</v>
      </c>
      <c r="D2753" s="307">
        <v>22</v>
      </c>
      <c r="E2753" s="307">
        <v>22</v>
      </c>
      <c r="F2753" s="711"/>
      <c r="G2753" s="711"/>
      <c r="H2753" s="711"/>
      <c r="I2753" s="711"/>
      <c r="J2753" s="711"/>
      <c r="K2753" s="711"/>
      <c r="L2753" s="711"/>
      <c r="M2753" s="711"/>
      <c r="N2753" s="711"/>
      <c r="O2753" s="711"/>
      <c r="P2753" s="711"/>
      <c r="Q2753" s="711"/>
      <c r="R2753" s="711"/>
      <c r="S2753" s="711"/>
      <c r="T2753" s="711"/>
      <c r="U2753" s="711"/>
      <c r="V2753" s="711"/>
      <c r="W2753" s="711"/>
      <c r="X2753" s="711"/>
      <c r="Y2753" s="711"/>
      <c r="Z2753" s="711"/>
      <c r="AA2753" s="711"/>
      <c r="AB2753" s="307">
        <v>50.04</v>
      </c>
      <c r="AC2753" s="307">
        <v>50.04</v>
      </c>
      <c r="AD2753" s="307">
        <v>50.04</v>
      </c>
      <c r="AE2753" s="307">
        <v>50.04</v>
      </c>
      <c r="AF2753" s="307">
        <v>50.04</v>
      </c>
      <c r="AG2753">
        <v>87</v>
      </c>
    </row>
    <row r="2754" spans="1:33">
      <c r="A2754" s="307">
        <v>22</v>
      </c>
      <c r="B2754" s="307">
        <v>24</v>
      </c>
      <c r="C2754" s="307">
        <v>26</v>
      </c>
      <c r="D2754" s="307">
        <v>26</v>
      </c>
      <c r="E2754" s="307">
        <v>24</v>
      </c>
      <c r="F2754" s="307">
        <v>22</v>
      </c>
      <c r="G2754" s="93"/>
      <c r="H2754" s="93"/>
      <c r="I2754" s="93"/>
      <c r="J2754" s="93"/>
      <c r="K2754" s="93"/>
      <c r="L2754" s="93"/>
      <c r="M2754" s="93"/>
      <c r="N2754" s="93"/>
      <c r="O2754" s="93"/>
      <c r="P2754" s="93"/>
      <c r="Q2754" s="93"/>
      <c r="R2754" s="93"/>
      <c r="S2754" s="93"/>
      <c r="T2754" s="93"/>
      <c r="U2754" s="93"/>
      <c r="V2754" s="93"/>
      <c r="W2754" s="93"/>
      <c r="X2754" s="307">
        <v>50.04</v>
      </c>
      <c r="Y2754" s="307">
        <v>50.04</v>
      </c>
      <c r="Z2754" s="307">
        <v>50.04</v>
      </c>
      <c r="AA2754" s="307">
        <v>50.04</v>
      </c>
      <c r="AB2754" s="307">
        <v>50.04</v>
      </c>
      <c r="AC2754" s="189">
        <v>50</v>
      </c>
      <c r="AD2754" s="189">
        <v>50</v>
      </c>
      <c r="AE2754" s="189">
        <v>50</v>
      </c>
      <c r="AF2754" s="189">
        <v>50</v>
      </c>
    </row>
    <row r="2755" spans="1:33">
      <c r="A2755" s="307">
        <v>22</v>
      </c>
      <c r="B2755" s="307">
        <v>26</v>
      </c>
      <c r="C2755" s="307">
        <v>28</v>
      </c>
      <c r="D2755" s="307">
        <v>28</v>
      </c>
      <c r="E2755" s="307">
        <v>26</v>
      </c>
      <c r="F2755" s="307">
        <v>22</v>
      </c>
      <c r="G2755" s="93"/>
      <c r="H2755" s="93"/>
      <c r="I2755" s="93"/>
      <c r="J2755" s="93"/>
      <c r="K2755" s="93"/>
      <c r="L2755" s="93"/>
      <c r="M2755" s="93"/>
      <c r="N2755" s="93"/>
      <c r="O2755" s="93"/>
      <c r="P2755" s="93"/>
      <c r="Q2755" s="93"/>
      <c r="R2755" s="93"/>
      <c r="S2755" s="93"/>
      <c r="T2755" s="93"/>
      <c r="U2755" s="307">
        <v>50.04</v>
      </c>
      <c r="V2755" s="307">
        <v>50.04</v>
      </c>
      <c r="W2755" s="307">
        <v>50.04</v>
      </c>
      <c r="X2755" s="307">
        <v>50.04</v>
      </c>
      <c r="Y2755" s="189">
        <v>50</v>
      </c>
      <c r="Z2755" s="189">
        <v>50</v>
      </c>
      <c r="AA2755" s="189">
        <v>50</v>
      </c>
      <c r="AB2755" s="189">
        <v>50</v>
      </c>
      <c r="AC2755" s="307">
        <v>60.3</v>
      </c>
      <c r="AD2755" s="307">
        <v>66.290000000000006</v>
      </c>
      <c r="AE2755" s="307">
        <v>66.3</v>
      </c>
      <c r="AF2755" s="307">
        <v>66.3</v>
      </c>
    </row>
    <row r="2756" spans="1:33">
      <c r="A2756" s="307">
        <v>22</v>
      </c>
      <c r="B2756" s="307">
        <v>26</v>
      </c>
      <c r="C2756" s="307">
        <v>28</v>
      </c>
      <c r="D2756" s="307">
        <v>28</v>
      </c>
      <c r="E2756" s="307">
        <v>26</v>
      </c>
      <c r="F2756" s="307">
        <v>22</v>
      </c>
      <c r="G2756" s="93"/>
      <c r="H2756" s="93"/>
      <c r="I2756" s="93"/>
      <c r="J2756" s="93"/>
      <c r="K2756" s="93"/>
      <c r="L2756" s="93"/>
      <c r="M2756" s="93"/>
      <c r="N2756" s="93"/>
      <c r="O2756" s="93"/>
      <c r="P2756" s="93"/>
      <c r="Q2756" s="93"/>
      <c r="R2756" s="93"/>
      <c r="S2756" s="307">
        <v>50.04</v>
      </c>
      <c r="T2756" s="307">
        <v>50.04</v>
      </c>
      <c r="U2756" s="307">
        <v>50.04</v>
      </c>
      <c r="V2756" s="189">
        <v>50</v>
      </c>
      <c r="W2756" s="189">
        <v>50</v>
      </c>
      <c r="X2756" s="189">
        <v>50</v>
      </c>
      <c r="Y2756" s="307">
        <v>60.3</v>
      </c>
      <c r="Z2756" s="307">
        <v>66.3</v>
      </c>
      <c r="AA2756" s="307">
        <v>66.3</v>
      </c>
      <c r="AB2756" s="307">
        <v>66.3</v>
      </c>
      <c r="AC2756" s="307">
        <v>66.3</v>
      </c>
      <c r="AD2756" s="307">
        <v>66.3</v>
      </c>
      <c r="AE2756" s="307">
        <v>84.31</v>
      </c>
      <c r="AF2756" s="307">
        <v>84.31</v>
      </c>
    </row>
    <row r="2757" spans="1:33">
      <c r="A2757" s="307">
        <v>22</v>
      </c>
      <c r="B2757" s="307">
        <v>24</v>
      </c>
      <c r="C2757" s="307">
        <v>26</v>
      </c>
      <c r="D2757" s="307">
        <v>26</v>
      </c>
      <c r="E2757" s="307">
        <v>24</v>
      </c>
      <c r="F2757" s="189">
        <v>20.059999999999999</v>
      </c>
      <c r="G2757" s="93"/>
      <c r="H2757" s="93"/>
      <c r="I2757" s="93"/>
      <c r="J2757" s="93"/>
      <c r="K2757" s="93"/>
      <c r="L2757" s="93"/>
      <c r="M2757" s="93"/>
      <c r="N2757" s="93"/>
      <c r="O2757" s="93"/>
      <c r="P2757" s="93"/>
      <c r="Q2757" s="307">
        <v>50.04</v>
      </c>
      <c r="R2757" s="307">
        <v>50.04</v>
      </c>
      <c r="S2757" s="307">
        <v>50.04</v>
      </c>
      <c r="T2757" s="189">
        <v>50</v>
      </c>
      <c r="U2757" s="189">
        <v>50</v>
      </c>
      <c r="V2757" s="307">
        <v>66.3</v>
      </c>
      <c r="W2757" s="307">
        <v>66.3</v>
      </c>
      <c r="X2757" s="307">
        <v>66.3</v>
      </c>
      <c r="Y2757" s="307">
        <v>66.3</v>
      </c>
      <c r="Z2757" s="307">
        <v>66.3</v>
      </c>
      <c r="AA2757" s="307">
        <v>84.31</v>
      </c>
      <c r="AB2757" s="307">
        <v>84.31</v>
      </c>
      <c r="AC2757" s="307">
        <v>84.31</v>
      </c>
      <c r="AD2757" s="307">
        <v>84.31</v>
      </c>
      <c r="AE2757" s="307">
        <v>84.31</v>
      </c>
      <c r="AF2757" s="307">
        <v>84.31</v>
      </c>
    </row>
    <row r="2758" spans="1:33">
      <c r="A2758" s="699"/>
      <c r="B2758" s="307">
        <v>22</v>
      </c>
      <c r="C2758" s="307">
        <v>22</v>
      </c>
      <c r="D2758" s="307">
        <v>22</v>
      </c>
      <c r="E2758" s="189">
        <v>20.059999999999999</v>
      </c>
      <c r="F2758" s="189">
        <v>21.06</v>
      </c>
      <c r="G2758" s="189">
        <v>22.07</v>
      </c>
      <c r="H2758" s="93"/>
      <c r="I2758" s="93"/>
      <c r="J2758" s="93"/>
      <c r="K2758" s="93"/>
      <c r="L2758" s="93"/>
      <c r="M2758" s="93"/>
      <c r="N2758" s="93"/>
      <c r="O2758" s="307">
        <v>50.04</v>
      </c>
      <c r="P2758" s="307">
        <v>50.04</v>
      </c>
      <c r="Q2758" s="307">
        <v>50.04</v>
      </c>
      <c r="R2758" s="189">
        <v>50</v>
      </c>
      <c r="S2758" s="189">
        <v>50</v>
      </c>
      <c r="T2758" s="189">
        <v>50</v>
      </c>
      <c r="U2758" s="307">
        <v>66.28</v>
      </c>
      <c r="V2758" s="307">
        <v>66.3</v>
      </c>
      <c r="W2758" s="307">
        <v>84.31</v>
      </c>
      <c r="X2758" s="307">
        <v>84.31</v>
      </c>
      <c r="Y2758" s="307">
        <v>84.31</v>
      </c>
      <c r="Z2758" s="307">
        <v>84.31</v>
      </c>
      <c r="AA2758" s="307">
        <v>84.31</v>
      </c>
      <c r="AB2758" s="189">
        <v>102.31</v>
      </c>
      <c r="AC2758" s="189">
        <v>102.31</v>
      </c>
      <c r="AD2758" s="189">
        <v>102.31</v>
      </c>
      <c r="AE2758" s="189">
        <v>102.31</v>
      </c>
      <c r="AF2758" s="189">
        <v>102.31</v>
      </c>
    </row>
    <row r="2759" spans="1:33">
      <c r="A2759" s="699"/>
      <c r="B2759" s="93"/>
      <c r="C2759" s="93"/>
      <c r="D2759" s="93"/>
      <c r="E2759" s="93"/>
      <c r="F2759" s="189">
        <v>22.07</v>
      </c>
      <c r="G2759" s="189">
        <v>23.07</v>
      </c>
      <c r="H2759" s="189">
        <v>24.08</v>
      </c>
      <c r="I2759" s="93"/>
      <c r="J2759" s="93"/>
      <c r="K2759" s="93"/>
      <c r="L2759" s="93"/>
      <c r="M2759" s="93"/>
      <c r="N2759" s="307">
        <v>50.04</v>
      </c>
      <c r="O2759" s="307">
        <v>50.04</v>
      </c>
      <c r="P2759" s="189">
        <v>50</v>
      </c>
      <c r="Q2759" s="189">
        <v>50</v>
      </c>
      <c r="R2759" s="189">
        <v>50</v>
      </c>
      <c r="S2759" s="307">
        <v>66.3</v>
      </c>
      <c r="T2759" s="307">
        <v>66.3</v>
      </c>
      <c r="U2759" s="307">
        <v>66.3</v>
      </c>
      <c r="V2759" s="307">
        <v>84.31</v>
      </c>
      <c r="W2759" s="307">
        <v>84.31</v>
      </c>
      <c r="X2759" s="189">
        <v>102.31</v>
      </c>
      <c r="Y2759" s="189">
        <v>102.31</v>
      </c>
      <c r="Z2759" s="189">
        <v>102.31</v>
      </c>
      <c r="AA2759" s="189">
        <v>102.31</v>
      </c>
      <c r="AB2759" s="189">
        <v>102.31</v>
      </c>
      <c r="AC2759" s="159">
        <v>116.34</v>
      </c>
      <c r="AD2759" s="159">
        <v>120.34</v>
      </c>
      <c r="AE2759" s="159">
        <v>120.34</v>
      </c>
      <c r="AF2759" s="307">
        <v>120.34</v>
      </c>
    </row>
    <row r="2760" spans="1:33">
      <c r="A2760" s="699"/>
      <c r="B2760" s="93"/>
      <c r="C2760" s="93"/>
      <c r="D2760" s="93"/>
      <c r="E2760" s="93"/>
      <c r="F2760" s="93"/>
      <c r="G2760" s="189">
        <v>24.08</v>
      </c>
      <c r="H2760" s="189">
        <v>25.08</v>
      </c>
      <c r="I2760" s="189">
        <v>24.1</v>
      </c>
      <c r="J2760" s="93"/>
      <c r="K2760" s="93"/>
      <c r="L2760" s="93"/>
      <c r="M2760" s="307">
        <v>50.04</v>
      </c>
      <c r="N2760" s="307">
        <v>50.04</v>
      </c>
      <c r="O2760" s="189">
        <v>50</v>
      </c>
      <c r="P2760" s="189">
        <v>50</v>
      </c>
      <c r="Q2760" s="307">
        <v>66.260000000000005</v>
      </c>
      <c r="R2760" s="307">
        <v>66.3</v>
      </c>
      <c r="S2760" s="307">
        <v>66.3</v>
      </c>
      <c r="T2760" s="307">
        <v>84.31</v>
      </c>
      <c r="U2760" s="307">
        <v>84.31</v>
      </c>
      <c r="V2760" s="307">
        <v>84.31</v>
      </c>
      <c r="W2760" s="189">
        <v>102.31</v>
      </c>
      <c r="X2760" s="189">
        <v>102.31</v>
      </c>
      <c r="Y2760" s="159">
        <v>116.34</v>
      </c>
      <c r="Z2760" s="159">
        <v>120.34</v>
      </c>
      <c r="AA2760" s="159">
        <v>120.34</v>
      </c>
      <c r="AB2760" s="159">
        <v>120.34</v>
      </c>
      <c r="AC2760" s="159">
        <v>120.34</v>
      </c>
      <c r="AD2760" s="189">
        <v>138.34</v>
      </c>
      <c r="AE2760" s="189">
        <v>138.34</v>
      </c>
      <c r="AF2760" s="189">
        <v>138.34</v>
      </c>
    </row>
    <row r="2761" spans="1:33">
      <c r="A2761" s="699"/>
      <c r="B2761" s="93"/>
      <c r="C2761" s="93"/>
      <c r="D2761" s="93"/>
      <c r="E2761" s="93"/>
      <c r="F2761" s="93"/>
      <c r="G2761" s="93"/>
      <c r="H2761" s="189">
        <v>26.09</v>
      </c>
      <c r="I2761" s="189">
        <v>27.09</v>
      </c>
      <c r="J2761" s="189">
        <v>28.1</v>
      </c>
      <c r="K2761" s="189">
        <v>28.08</v>
      </c>
      <c r="L2761" s="307">
        <v>50.04</v>
      </c>
      <c r="M2761" s="307">
        <v>50.04</v>
      </c>
      <c r="N2761" s="189">
        <v>50</v>
      </c>
      <c r="O2761" s="189">
        <v>50</v>
      </c>
      <c r="P2761" s="307">
        <v>66.3</v>
      </c>
      <c r="Q2761" s="307">
        <v>66.3</v>
      </c>
      <c r="R2761" s="307">
        <v>84.31</v>
      </c>
      <c r="S2761" s="307">
        <v>84.31</v>
      </c>
      <c r="T2761" s="307">
        <v>84.31</v>
      </c>
      <c r="U2761" s="189">
        <v>102.31</v>
      </c>
      <c r="V2761" s="189">
        <v>102.31</v>
      </c>
      <c r="W2761" s="189">
        <v>102.31</v>
      </c>
      <c r="X2761" s="159">
        <v>116.34</v>
      </c>
      <c r="Y2761" s="159">
        <v>120.34</v>
      </c>
      <c r="Z2761" s="189">
        <v>138.34</v>
      </c>
      <c r="AA2761" s="189">
        <v>138.34</v>
      </c>
      <c r="AB2761" s="189">
        <v>138.34</v>
      </c>
      <c r="AC2761" s="189">
        <v>138.34</v>
      </c>
      <c r="AD2761" s="189">
        <v>138.34</v>
      </c>
      <c r="AE2761" s="189">
        <v>156.36000000000001</v>
      </c>
      <c r="AF2761" s="189">
        <v>156.36000000000001</v>
      </c>
    </row>
    <row r="2762" spans="1:33">
      <c r="A2762" s="699"/>
      <c r="B2762" s="93"/>
      <c r="C2762" s="93"/>
      <c r="D2762" s="93"/>
      <c r="E2762" s="93"/>
      <c r="F2762" s="93"/>
      <c r="G2762" s="93"/>
      <c r="H2762" s="93"/>
      <c r="I2762" s="189">
        <v>28.1</v>
      </c>
      <c r="J2762" s="189">
        <v>29.08</v>
      </c>
      <c r="K2762" s="307">
        <v>50.04</v>
      </c>
      <c r="L2762" s="307">
        <v>50.04</v>
      </c>
      <c r="M2762" s="189">
        <v>50</v>
      </c>
      <c r="N2762" s="189">
        <v>50</v>
      </c>
      <c r="O2762" s="307">
        <v>66.3</v>
      </c>
      <c r="P2762" s="307">
        <v>66.3</v>
      </c>
      <c r="Q2762" s="307">
        <v>84.31</v>
      </c>
      <c r="R2762" s="307">
        <v>84.31</v>
      </c>
      <c r="S2762" s="189">
        <v>102.31</v>
      </c>
      <c r="T2762" s="189">
        <v>102.31</v>
      </c>
      <c r="U2762" s="189">
        <v>102.31</v>
      </c>
      <c r="V2762" s="159">
        <v>116.34</v>
      </c>
      <c r="W2762" s="159">
        <v>120.34</v>
      </c>
      <c r="X2762" s="159">
        <v>120.34</v>
      </c>
      <c r="Y2762" s="189">
        <v>138.34</v>
      </c>
      <c r="Z2762" s="189">
        <v>138.34</v>
      </c>
      <c r="AA2762" s="189">
        <v>156.36000000000001</v>
      </c>
      <c r="AB2762" s="189">
        <v>156.36000000000001</v>
      </c>
      <c r="AC2762" s="189">
        <v>156.36000000000001</v>
      </c>
      <c r="AD2762" s="189">
        <v>156.36000000000001</v>
      </c>
      <c r="AE2762" s="189">
        <v>156.36000000000001</v>
      </c>
      <c r="AF2762" s="307">
        <v>173.38</v>
      </c>
    </row>
    <row r="2763" spans="1:33">
      <c r="A2763" s="699"/>
      <c r="B2763" s="93"/>
      <c r="C2763" s="93"/>
      <c r="D2763" s="93"/>
      <c r="E2763" s="93"/>
      <c r="F2763" s="93"/>
      <c r="G2763" s="93"/>
      <c r="H2763" s="93"/>
      <c r="I2763" s="189">
        <v>28.08</v>
      </c>
      <c r="J2763" s="307">
        <v>50.04</v>
      </c>
      <c r="K2763" s="307">
        <v>50.04</v>
      </c>
      <c r="L2763" s="189">
        <v>50</v>
      </c>
      <c r="M2763" s="189">
        <v>50</v>
      </c>
      <c r="N2763" s="307">
        <v>66.3</v>
      </c>
      <c r="O2763" s="307">
        <v>66.3</v>
      </c>
      <c r="P2763" s="307">
        <v>84.31</v>
      </c>
      <c r="Q2763" s="307">
        <v>84.31</v>
      </c>
      <c r="R2763" s="189">
        <v>102.31</v>
      </c>
      <c r="S2763" s="189">
        <v>102.31</v>
      </c>
      <c r="T2763" s="159">
        <v>116.34</v>
      </c>
      <c r="U2763" s="159">
        <v>120.34</v>
      </c>
      <c r="V2763" s="159">
        <v>120.34</v>
      </c>
      <c r="W2763" s="189">
        <v>138.34</v>
      </c>
      <c r="X2763" s="189">
        <v>138.34</v>
      </c>
      <c r="Y2763" s="189">
        <v>138.34</v>
      </c>
      <c r="Z2763" s="189">
        <v>156.36000000000001</v>
      </c>
      <c r="AA2763" s="189">
        <v>156.36000000000001</v>
      </c>
      <c r="AB2763" s="307">
        <v>173.38</v>
      </c>
      <c r="AC2763" s="307">
        <v>173.38</v>
      </c>
      <c r="AD2763" s="307">
        <v>173.38</v>
      </c>
      <c r="AE2763" s="307">
        <v>173.38</v>
      </c>
      <c r="AF2763" s="307">
        <v>173.38</v>
      </c>
    </row>
    <row r="2764" spans="1:33">
      <c r="A2764" s="699"/>
      <c r="B2764" s="93"/>
      <c r="C2764" s="93"/>
      <c r="D2764" s="93"/>
      <c r="E2764" s="93"/>
      <c r="F2764" s="93"/>
      <c r="G2764" s="93"/>
      <c r="H2764" s="93"/>
      <c r="I2764" s="307">
        <v>50.04</v>
      </c>
      <c r="J2764" s="307">
        <v>50.04</v>
      </c>
      <c r="K2764" s="189">
        <v>50</v>
      </c>
      <c r="L2764" s="189">
        <v>50</v>
      </c>
      <c r="M2764" s="307">
        <v>66.3</v>
      </c>
      <c r="N2764" s="307">
        <v>66.3</v>
      </c>
      <c r="O2764" s="307">
        <v>84.31</v>
      </c>
      <c r="P2764" s="307">
        <v>84.31</v>
      </c>
      <c r="Q2764" s="189">
        <v>102.31</v>
      </c>
      <c r="R2764" s="189">
        <v>102.31</v>
      </c>
      <c r="S2764" s="159">
        <v>116.34</v>
      </c>
      <c r="T2764" s="159">
        <v>120.34</v>
      </c>
      <c r="U2764" s="189">
        <v>138.34</v>
      </c>
      <c r="V2764" s="189">
        <v>138.34</v>
      </c>
      <c r="W2764" s="189">
        <v>138.34</v>
      </c>
      <c r="X2764" s="189">
        <v>156.36000000000001</v>
      </c>
      <c r="Y2764" s="189">
        <v>156.36000000000001</v>
      </c>
      <c r="Z2764" s="189">
        <v>156.36000000000001</v>
      </c>
      <c r="AA2764" s="307">
        <v>173.38</v>
      </c>
      <c r="AB2764" s="307">
        <v>173.38</v>
      </c>
      <c r="AC2764" s="307">
        <v>187.4</v>
      </c>
      <c r="AD2764" s="307">
        <v>187.4</v>
      </c>
      <c r="AE2764" s="307">
        <v>187.4</v>
      </c>
      <c r="AF2764" s="307">
        <v>187.4</v>
      </c>
    </row>
    <row r="2765" spans="1:33">
      <c r="A2765" s="699"/>
      <c r="B2765" s="93"/>
      <c r="C2765" s="93"/>
      <c r="D2765" s="93"/>
      <c r="E2765" s="93"/>
      <c r="F2765" s="93"/>
      <c r="G2765" s="93"/>
      <c r="H2765" s="307">
        <v>50.04</v>
      </c>
      <c r="I2765" s="307">
        <v>50.04</v>
      </c>
      <c r="J2765" s="189">
        <v>50</v>
      </c>
      <c r="K2765" s="189">
        <v>50</v>
      </c>
      <c r="L2765" s="307">
        <v>66.3</v>
      </c>
      <c r="M2765" s="307">
        <v>66.3</v>
      </c>
      <c r="N2765" s="307">
        <v>84.31</v>
      </c>
      <c r="O2765" s="307">
        <v>84.31</v>
      </c>
      <c r="P2765" s="189">
        <v>102.31</v>
      </c>
      <c r="Q2765" s="189">
        <v>102.31</v>
      </c>
      <c r="R2765" s="159">
        <v>116.34</v>
      </c>
      <c r="S2765" s="159">
        <v>120.34</v>
      </c>
      <c r="T2765" s="189">
        <v>138.34</v>
      </c>
      <c r="U2765" s="189">
        <v>138.34</v>
      </c>
      <c r="V2765" s="189">
        <v>156.36000000000001</v>
      </c>
      <c r="W2765" s="189">
        <v>156.36000000000001</v>
      </c>
      <c r="X2765" s="189">
        <v>156.36000000000001</v>
      </c>
      <c r="Y2765" s="307">
        <v>173.38</v>
      </c>
      <c r="Z2765" s="307">
        <v>173.38</v>
      </c>
      <c r="AA2765" s="307">
        <v>173.38</v>
      </c>
      <c r="AB2765" s="307">
        <v>187.4</v>
      </c>
      <c r="AC2765" s="307">
        <v>187.4</v>
      </c>
      <c r="AD2765" s="307">
        <v>199.4</v>
      </c>
      <c r="AE2765" s="307">
        <v>187.4</v>
      </c>
      <c r="AF2765" s="307">
        <v>187.4</v>
      </c>
    </row>
    <row r="2766" spans="1:33">
      <c r="A2766" s="699"/>
      <c r="B2766" s="93"/>
      <c r="C2766" s="93"/>
      <c r="D2766" s="93"/>
      <c r="E2766" s="93"/>
      <c r="F2766" s="93"/>
      <c r="G2766" s="307">
        <v>50.04</v>
      </c>
      <c r="H2766" s="307">
        <v>50.04</v>
      </c>
      <c r="I2766" s="189">
        <v>50</v>
      </c>
      <c r="J2766" s="189">
        <v>50</v>
      </c>
      <c r="K2766" s="307">
        <v>66.28</v>
      </c>
      <c r="L2766" s="307">
        <v>66.3</v>
      </c>
      <c r="M2766" s="307">
        <v>84.31</v>
      </c>
      <c r="N2766" s="307">
        <v>84.31</v>
      </c>
      <c r="O2766" s="189">
        <v>102.31</v>
      </c>
      <c r="P2766" s="189">
        <v>102.31</v>
      </c>
      <c r="Q2766" s="159">
        <v>116.34</v>
      </c>
      <c r="R2766" s="159">
        <v>120.34</v>
      </c>
      <c r="S2766" s="189">
        <v>138.34</v>
      </c>
      <c r="T2766" s="189">
        <v>138.34</v>
      </c>
      <c r="U2766" s="189">
        <v>156.36000000000001</v>
      </c>
      <c r="V2766" s="189">
        <v>156.36000000000001</v>
      </c>
      <c r="W2766" s="307">
        <v>173.38</v>
      </c>
      <c r="X2766" s="307">
        <v>173.38</v>
      </c>
      <c r="Y2766" s="307">
        <v>173.38</v>
      </c>
      <c r="Z2766" s="307">
        <v>187.4</v>
      </c>
      <c r="AA2766" s="307">
        <v>187.4</v>
      </c>
      <c r="AB2766" s="307">
        <v>187.4</v>
      </c>
      <c r="AC2766" s="307">
        <v>199.4</v>
      </c>
      <c r="AD2766" s="307">
        <v>209.99</v>
      </c>
      <c r="AE2766" s="307">
        <v>199.4</v>
      </c>
      <c r="AF2766" s="307">
        <v>204.4</v>
      </c>
    </row>
    <row r="2767" spans="1:33">
      <c r="A2767" s="699"/>
      <c r="B2767" s="93"/>
      <c r="C2767" s="93"/>
      <c r="D2767" s="93"/>
      <c r="E2767" s="93"/>
      <c r="F2767" s="307">
        <v>50.04</v>
      </c>
      <c r="G2767" s="307">
        <v>50.04</v>
      </c>
      <c r="H2767" s="189">
        <v>50</v>
      </c>
      <c r="I2767" s="189">
        <v>50</v>
      </c>
      <c r="J2767" s="307">
        <v>66.3</v>
      </c>
      <c r="K2767" s="307">
        <v>66.3</v>
      </c>
      <c r="L2767" s="307">
        <v>84.31</v>
      </c>
      <c r="M2767" s="307">
        <v>84.31</v>
      </c>
      <c r="N2767" s="189">
        <v>102.31</v>
      </c>
      <c r="O2767" s="189">
        <v>102.31</v>
      </c>
      <c r="P2767" s="159">
        <v>116.34</v>
      </c>
      <c r="Q2767" s="159">
        <v>120.34</v>
      </c>
      <c r="R2767" s="189">
        <v>138.34</v>
      </c>
      <c r="S2767" s="189">
        <v>138.34</v>
      </c>
      <c r="T2767" s="189">
        <v>156.36000000000001</v>
      </c>
      <c r="U2767" s="189">
        <v>156.36000000000001</v>
      </c>
      <c r="V2767" s="307">
        <v>173.38</v>
      </c>
      <c r="W2767" s="307">
        <v>173.38</v>
      </c>
      <c r="X2767" s="307">
        <v>187.4</v>
      </c>
      <c r="Y2767" s="307">
        <v>187.4</v>
      </c>
      <c r="Z2767" s="307">
        <v>187.4</v>
      </c>
      <c r="AA2767" s="307">
        <v>199.4</v>
      </c>
      <c r="AB2767" s="307">
        <v>187.4</v>
      </c>
      <c r="AC2767" s="307">
        <v>209.99</v>
      </c>
      <c r="AD2767" s="307">
        <v>209.99</v>
      </c>
      <c r="AE2767" s="307">
        <v>209.99</v>
      </c>
      <c r="AF2767" s="307">
        <v>209.99</v>
      </c>
    </row>
    <row r="2768" spans="1:33">
      <c r="A2768" s="699"/>
      <c r="B2768" s="93"/>
      <c r="C2768" s="93"/>
      <c r="D2768" s="93"/>
      <c r="E2768" s="93"/>
      <c r="F2768" s="307">
        <v>50.04</v>
      </c>
      <c r="G2768" s="189">
        <v>50</v>
      </c>
      <c r="H2768" s="189">
        <v>50</v>
      </c>
      <c r="I2768" s="307">
        <v>66.260000000000005</v>
      </c>
      <c r="J2768" s="307">
        <v>66.3</v>
      </c>
      <c r="K2768" s="307">
        <v>84.31</v>
      </c>
      <c r="L2768" s="307">
        <v>84.31</v>
      </c>
      <c r="M2768" s="189">
        <v>102.31</v>
      </c>
      <c r="N2768" s="189">
        <v>102.31</v>
      </c>
      <c r="O2768" s="159">
        <v>116.34</v>
      </c>
      <c r="P2768" s="159">
        <v>120.34</v>
      </c>
      <c r="Q2768" s="189">
        <v>138.34</v>
      </c>
      <c r="R2768" s="189">
        <v>138.34</v>
      </c>
      <c r="S2768" s="189">
        <v>156.36000000000001</v>
      </c>
      <c r="T2768" s="189">
        <v>156.36000000000001</v>
      </c>
      <c r="U2768" s="307">
        <v>173.38</v>
      </c>
      <c r="V2768" s="307">
        <v>173.38</v>
      </c>
      <c r="W2768" s="307">
        <v>187.4</v>
      </c>
      <c r="X2768" s="307">
        <v>187.4</v>
      </c>
      <c r="Y2768" s="307">
        <v>187.4</v>
      </c>
      <c r="Z2768" s="307">
        <v>199.4</v>
      </c>
      <c r="AA2768" s="307">
        <v>209.99</v>
      </c>
      <c r="AB2768" s="307">
        <v>199.4</v>
      </c>
      <c r="AC2768" s="307">
        <v>209.99</v>
      </c>
      <c r="AD2768" s="307">
        <v>217.99</v>
      </c>
      <c r="AE2768" s="307">
        <v>217.99</v>
      </c>
      <c r="AF2768" s="307">
        <v>217.99</v>
      </c>
    </row>
    <row r="2769" spans="1:32">
      <c r="A2769" s="699"/>
      <c r="B2769" s="93"/>
      <c r="C2769" s="93"/>
      <c r="D2769" s="93"/>
      <c r="E2769" s="307">
        <v>50.04</v>
      </c>
      <c r="F2769" s="307">
        <v>50.04</v>
      </c>
      <c r="G2769" s="189">
        <v>50</v>
      </c>
      <c r="H2769" s="307">
        <v>66.3</v>
      </c>
      <c r="I2769" s="307">
        <v>66.3</v>
      </c>
      <c r="J2769" s="307">
        <v>84.31</v>
      </c>
      <c r="K2769" s="307">
        <v>84.31</v>
      </c>
      <c r="L2769" s="189">
        <v>102.31</v>
      </c>
      <c r="M2769" s="189">
        <v>102.31</v>
      </c>
      <c r="N2769" s="159">
        <v>116.34</v>
      </c>
      <c r="O2769" s="159">
        <v>120.34</v>
      </c>
      <c r="P2769" s="189">
        <v>138.34</v>
      </c>
      <c r="Q2769" s="189">
        <v>138.34</v>
      </c>
      <c r="R2769" s="189">
        <v>156.36000000000001</v>
      </c>
      <c r="S2769" s="189">
        <v>156.36000000000001</v>
      </c>
      <c r="T2769" s="307">
        <v>173.38</v>
      </c>
      <c r="U2769" s="307">
        <v>173.38</v>
      </c>
      <c r="V2769" s="307">
        <v>187.4</v>
      </c>
      <c r="W2769" s="307">
        <v>187.4</v>
      </c>
      <c r="X2769" s="307">
        <v>187.4</v>
      </c>
      <c r="Y2769" s="307">
        <v>199.4</v>
      </c>
      <c r="Z2769" s="307">
        <v>209.99</v>
      </c>
      <c r="AA2769" s="307">
        <v>209.99</v>
      </c>
      <c r="AB2769" s="307">
        <v>209.99</v>
      </c>
      <c r="AC2769" s="307">
        <v>209.99</v>
      </c>
      <c r="AD2769" s="307">
        <v>217.99</v>
      </c>
      <c r="AE2769" s="307">
        <v>217.99</v>
      </c>
      <c r="AF2769" s="307">
        <v>217.99</v>
      </c>
    </row>
    <row r="2770" spans="1:32">
      <c r="A2770" s="699"/>
      <c r="B2770" s="93"/>
      <c r="C2770" s="93"/>
      <c r="D2770" s="93"/>
      <c r="E2770" s="307">
        <v>50.04</v>
      </c>
      <c r="F2770" s="189">
        <v>50</v>
      </c>
      <c r="G2770" s="189">
        <v>50</v>
      </c>
      <c r="H2770" s="307">
        <v>66.3</v>
      </c>
      <c r="I2770" s="307">
        <v>84.31</v>
      </c>
      <c r="J2770" s="307">
        <v>84.31</v>
      </c>
      <c r="K2770" s="189">
        <v>102.31</v>
      </c>
      <c r="L2770" s="189">
        <v>102.31</v>
      </c>
      <c r="M2770" s="159">
        <v>116.34</v>
      </c>
      <c r="N2770" s="159">
        <v>120.34</v>
      </c>
      <c r="O2770" s="189">
        <v>138.34</v>
      </c>
      <c r="P2770" s="189">
        <v>138.34</v>
      </c>
      <c r="Q2770" s="189">
        <v>156.36000000000001</v>
      </c>
      <c r="R2770" s="189">
        <v>156.36000000000001</v>
      </c>
      <c r="S2770" s="307">
        <v>173.38</v>
      </c>
      <c r="T2770" s="307">
        <v>173.38</v>
      </c>
      <c r="U2770" s="307">
        <v>187.4</v>
      </c>
      <c r="V2770" s="307">
        <v>189.4</v>
      </c>
      <c r="W2770" s="307">
        <v>187.4</v>
      </c>
      <c r="X2770" s="307">
        <v>199.4</v>
      </c>
      <c r="Y2770" s="307">
        <v>199.4</v>
      </c>
      <c r="Z2770" s="307">
        <v>209.99</v>
      </c>
      <c r="AA2770" s="307">
        <v>217.99</v>
      </c>
      <c r="AB2770" s="307">
        <v>217.99</v>
      </c>
      <c r="AC2770" s="189">
        <v>227.99</v>
      </c>
      <c r="AD2770" s="189">
        <v>230.99</v>
      </c>
      <c r="AE2770" s="189">
        <v>230.99</v>
      </c>
      <c r="AF2770" s="189">
        <v>230.99</v>
      </c>
    </row>
    <row r="2771" spans="1:32">
      <c r="A2771" s="699"/>
      <c r="B2771" s="93"/>
      <c r="C2771" s="93"/>
      <c r="D2771" s="307">
        <v>50.04</v>
      </c>
      <c r="E2771" s="307">
        <v>50.04</v>
      </c>
      <c r="F2771" s="189">
        <v>50</v>
      </c>
      <c r="G2771" s="307">
        <v>66.3</v>
      </c>
      <c r="H2771" s="307">
        <v>66.3</v>
      </c>
      <c r="I2771" s="307">
        <v>84.31</v>
      </c>
      <c r="J2771" s="189">
        <v>102.31</v>
      </c>
      <c r="K2771" s="189">
        <v>102.31</v>
      </c>
      <c r="L2771" s="159">
        <v>116.34</v>
      </c>
      <c r="M2771" s="159">
        <v>120.34</v>
      </c>
      <c r="N2771" s="189">
        <v>138.34</v>
      </c>
      <c r="O2771" s="189">
        <v>138.34</v>
      </c>
      <c r="P2771" s="189">
        <v>156.36000000000001</v>
      </c>
      <c r="Q2771" s="189">
        <v>156.36000000000001</v>
      </c>
      <c r="R2771" s="307">
        <v>173.38</v>
      </c>
      <c r="S2771" s="307">
        <v>173.38</v>
      </c>
      <c r="T2771" s="307">
        <v>187.4</v>
      </c>
      <c r="U2771" s="307">
        <v>199.4</v>
      </c>
      <c r="V2771" s="307">
        <v>199.4</v>
      </c>
      <c r="W2771" s="307">
        <v>199.4</v>
      </c>
      <c r="X2771" s="307">
        <v>209.99</v>
      </c>
      <c r="Y2771" s="307">
        <v>209.99</v>
      </c>
      <c r="Z2771" s="307">
        <v>217.99</v>
      </c>
      <c r="AA2771" s="189">
        <v>227.99</v>
      </c>
      <c r="AB2771" s="189">
        <v>230.99</v>
      </c>
      <c r="AC2771" s="189">
        <v>230.99</v>
      </c>
      <c r="AD2771" s="189">
        <v>230.99</v>
      </c>
      <c r="AE2771" s="189">
        <v>230.99</v>
      </c>
      <c r="AF2771" s="189">
        <v>230.99</v>
      </c>
    </row>
    <row r="2772" spans="1:32">
      <c r="A2772" s="699"/>
      <c r="B2772" s="93"/>
      <c r="C2772" s="93"/>
      <c r="D2772" s="307">
        <v>50.04</v>
      </c>
      <c r="E2772" s="189">
        <v>50</v>
      </c>
      <c r="F2772" s="189">
        <v>50</v>
      </c>
      <c r="G2772" s="307">
        <v>66.3</v>
      </c>
      <c r="H2772" s="307">
        <v>84.31</v>
      </c>
      <c r="I2772" s="307">
        <v>84.31</v>
      </c>
      <c r="J2772" s="189">
        <v>102.31</v>
      </c>
      <c r="K2772" s="159">
        <v>116.34</v>
      </c>
      <c r="L2772" s="159">
        <v>120.34</v>
      </c>
      <c r="M2772" s="189">
        <v>138.34</v>
      </c>
      <c r="N2772" s="189">
        <v>138.34</v>
      </c>
      <c r="O2772" s="189">
        <v>156.36000000000001</v>
      </c>
      <c r="P2772" s="189">
        <v>156.36000000000001</v>
      </c>
      <c r="Q2772" s="307">
        <v>173.38</v>
      </c>
      <c r="R2772" s="307">
        <v>173.38</v>
      </c>
      <c r="S2772" s="307">
        <v>187.4</v>
      </c>
      <c r="T2772" s="307">
        <v>199.4</v>
      </c>
      <c r="U2772" s="307">
        <v>199.4</v>
      </c>
      <c r="V2772" s="307">
        <v>209.99</v>
      </c>
      <c r="W2772" s="307">
        <v>209.99</v>
      </c>
      <c r="X2772" s="307">
        <v>209.99</v>
      </c>
      <c r="Y2772" s="307">
        <v>217.99</v>
      </c>
      <c r="Z2772" s="189">
        <v>227.99</v>
      </c>
      <c r="AA2772" s="189">
        <v>230.99</v>
      </c>
      <c r="AB2772" s="189">
        <v>230.99</v>
      </c>
      <c r="AC2772" s="189">
        <v>230.99</v>
      </c>
      <c r="AD2772" s="307">
        <v>232.99</v>
      </c>
      <c r="AE2772" s="307">
        <v>232.99</v>
      </c>
      <c r="AF2772" s="307">
        <v>232.99</v>
      </c>
    </row>
    <row r="2773" spans="1:32">
      <c r="A2773" s="699"/>
      <c r="B2773" s="93"/>
      <c r="C2773" s="307">
        <v>50.04</v>
      </c>
      <c r="D2773" s="307">
        <v>50.04</v>
      </c>
      <c r="E2773" s="189">
        <v>50</v>
      </c>
      <c r="F2773" s="307">
        <v>66.3</v>
      </c>
      <c r="G2773" s="307">
        <v>66.3</v>
      </c>
      <c r="H2773" s="307">
        <v>84.31</v>
      </c>
      <c r="I2773" s="189">
        <v>102.31</v>
      </c>
      <c r="J2773" s="189">
        <v>102.31</v>
      </c>
      <c r="K2773" s="159">
        <v>120.34</v>
      </c>
      <c r="L2773" s="189">
        <v>138.34</v>
      </c>
      <c r="M2773" s="189">
        <v>138.34</v>
      </c>
      <c r="N2773" s="189">
        <v>156.36000000000001</v>
      </c>
      <c r="O2773" s="189">
        <v>156.36000000000001</v>
      </c>
      <c r="P2773" s="307">
        <v>173.38</v>
      </c>
      <c r="Q2773" s="307">
        <v>173.38</v>
      </c>
      <c r="R2773" s="307">
        <v>187.4</v>
      </c>
      <c r="S2773" s="307">
        <v>199.4</v>
      </c>
      <c r="T2773" s="307">
        <v>199.4</v>
      </c>
      <c r="U2773" s="307">
        <v>199.4</v>
      </c>
      <c r="V2773" s="307">
        <v>209.99</v>
      </c>
      <c r="W2773" s="307">
        <v>209.99</v>
      </c>
      <c r="X2773" s="307">
        <v>217.99</v>
      </c>
      <c r="Y2773" s="189">
        <v>227.99</v>
      </c>
      <c r="Z2773" s="189">
        <v>230.99</v>
      </c>
      <c r="AA2773" s="189">
        <v>230.99</v>
      </c>
      <c r="AB2773" s="307">
        <v>232.99</v>
      </c>
      <c r="AC2773" s="307">
        <v>232.99</v>
      </c>
      <c r="AD2773" s="307">
        <v>234.99</v>
      </c>
      <c r="AE2773" s="307">
        <v>234.99</v>
      </c>
      <c r="AF2773" s="307">
        <v>234.99</v>
      </c>
    </row>
    <row r="2774" spans="1:32">
      <c r="A2774" s="699"/>
      <c r="B2774" s="93"/>
      <c r="C2774" s="307">
        <v>50.04</v>
      </c>
      <c r="D2774" s="189">
        <v>50</v>
      </c>
      <c r="E2774" s="189">
        <v>50</v>
      </c>
      <c r="F2774" s="307">
        <v>66.3</v>
      </c>
      <c r="G2774" s="307">
        <v>84.31</v>
      </c>
      <c r="H2774" s="307">
        <v>84.31</v>
      </c>
      <c r="I2774" s="189">
        <v>102.31</v>
      </c>
      <c r="J2774" s="159">
        <v>116.34</v>
      </c>
      <c r="K2774" s="159">
        <v>120.34</v>
      </c>
      <c r="L2774" s="189">
        <v>138.34</v>
      </c>
      <c r="M2774" s="189">
        <v>156.36000000000001</v>
      </c>
      <c r="N2774" s="189">
        <v>156.36000000000001</v>
      </c>
      <c r="O2774" s="307">
        <v>173.38</v>
      </c>
      <c r="P2774" s="307">
        <v>173.38</v>
      </c>
      <c r="Q2774" s="307">
        <v>187.4</v>
      </c>
      <c r="R2774" s="307">
        <v>199.4</v>
      </c>
      <c r="S2774" s="307">
        <v>199.4</v>
      </c>
      <c r="T2774" s="307">
        <v>199.4</v>
      </c>
      <c r="U2774" s="307">
        <v>209.99</v>
      </c>
      <c r="V2774" s="307">
        <v>217.99</v>
      </c>
      <c r="W2774" s="189">
        <v>227.99</v>
      </c>
      <c r="X2774" s="189">
        <v>227.99</v>
      </c>
      <c r="Y2774" s="189">
        <v>230.99</v>
      </c>
      <c r="Z2774" s="307">
        <v>232.99</v>
      </c>
      <c r="AA2774" s="307">
        <v>232.99</v>
      </c>
      <c r="AB2774" s="307">
        <v>234.99</v>
      </c>
      <c r="AC2774" s="307">
        <v>234.99</v>
      </c>
      <c r="AD2774" s="307">
        <v>236.99</v>
      </c>
      <c r="AE2774" s="307">
        <v>236.99</v>
      </c>
      <c r="AF2774" s="307">
        <v>236.99</v>
      </c>
    </row>
    <row r="2775" spans="1:32">
      <c r="A2775" s="699"/>
      <c r="B2775" s="93"/>
      <c r="C2775" s="307">
        <v>50.04</v>
      </c>
      <c r="D2775" s="189">
        <v>50</v>
      </c>
      <c r="E2775" s="307">
        <v>66.3</v>
      </c>
      <c r="F2775" s="307">
        <v>66.3</v>
      </c>
      <c r="G2775" s="307">
        <v>84.31</v>
      </c>
      <c r="H2775" s="189">
        <v>102.31</v>
      </c>
      <c r="I2775" s="189">
        <v>102.31</v>
      </c>
      <c r="J2775" s="159">
        <v>120.34</v>
      </c>
      <c r="K2775" s="189">
        <v>138.34</v>
      </c>
      <c r="L2775" s="189">
        <v>138.34</v>
      </c>
      <c r="M2775" s="189">
        <v>156.36000000000001</v>
      </c>
      <c r="N2775" s="307">
        <v>173.38</v>
      </c>
      <c r="O2775" s="307">
        <v>173.38</v>
      </c>
      <c r="P2775" s="307">
        <v>187.4</v>
      </c>
      <c r="Q2775" s="307">
        <v>187.4</v>
      </c>
      <c r="R2775" s="307">
        <v>199.4</v>
      </c>
      <c r="S2775" s="307">
        <v>209.99</v>
      </c>
      <c r="T2775" s="307">
        <v>209.99</v>
      </c>
      <c r="U2775" s="307">
        <v>209.99</v>
      </c>
      <c r="V2775" s="189">
        <v>227.99</v>
      </c>
      <c r="W2775" s="189">
        <v>227.99</v>
      </c>
      <c r="X2775" s="189">
        <v>230.99</v>
      </c>
      <c r="Y2775" s="307">
        <v>232.99</v>
      </c>
      <c r="Z2775" s="307">
        <v>234.99</v>
      </c>
      <c r="AA2775" s="307">
        <v>234.99</v>
      </c>
      <c r="AB2775" s="307">
        <v>236.99</v>
      </c>
      <c r="AC2775" s="307">
        <v>236.99</v>
      </c>
      <c r="AD2775" s="307">
        <v>238.99</v>
      </c>
      <c r="AE2775" s="307">
        <v>238.99</v>
      </c>
      <c r="AF2775" s="307">
        <v>238.99</v>
      </c>
    </row>
    <row r="2776" spans="1:32">
      <c r="A2776" s="699"/>
      <c r="B2776" s="307">
        <v>50.04</v>
      </c>
      <c r="C2776" s="307">
        <v>50.04</v>
      </c>
      <c r="D2776" s="189">
        <v>50</v>
      </c>
      <c r="E2776" s="307">
        <v>66.3</v>
      </c>
      <c r="F2776" s="307">
        <v>84.31</v>
      </c>
      <c r="G2776" s="307">
        <v>84.31</v>
      </c>
      <c r="H2776" s="189">
        <v>102.31</v>
      </c>
      <c r="I2776" s="159">
        <v>116.34</v>
      </c>
      <c r="J2776" s="159">
        <v>120.34</v>
      </c>
      <c r="K2776" s="189">
        <v>138.34</v>
      </c>
      <c r="L2776" s="189">
        <v>156.36000000000001</v>
      </c>
      <c r="M2776" s="189">
        <v>156.36000000000001</v>
      </c>
      <c r="N2776" s="307">
        <v>173.38</v>
      </c>
      <c r="O2776" s="307">
        <v>187.4</v>
      </c>
      <c r="P2776" s="307">
        <v>187.4</v>
      </c>
      <c r="Q2776" s="307">
        <v>199.4</v>
      </c>
      <c r="R2776" s="307">
        <v>199.4</v>
      </c>
      <c r="S2776" s="307">
        <v>209.99</v>
      </c>
      <c r="T2776" s="307">
        <v>209.99</v>
      </c>
      <c r="U2776" s="307">
        <v>217.99</v>
      </c>
      <c r="V2776" s="189">
        <v>230.99</v>
      </c>
      <c r="W2776" s="189">
        <v>230.99</v>
      </c>
      <c r="X2776" s="307">
        <v>232.99</v>
      </c>
      <c r="Y2776" s="307">
        <v>234.99</v>
      </c>
      <c r="Z2776" s="307">
        <v>236.99</v>
      </c>
      <c r="AA2776" s="307">
        <v>236.99</v>
      </c>
      <c r="AB2776" s="307">
        <v>238.99</v>
      </c>
      <c r="AC2776" s="307">
        <v>238.99</v>
      </c>
      <c r="AD2776" s="307">
        <v>239.99</v>
      </c>
      <c r="AE2776" s="307">
        <v>239.99</v>
      </c>
      <c r="AF2776" s="307">
        <v>239.99</v>
      </c>
    </row>
    <row r="2777" spans="1:32">
      <c r="A2777" s="699"/>
      <c r="B2777" s="307">
        <v>50.04</v>
      </c>
      <c r="C2777" s="189">
        <v>50</v>
      </c>
      <c r="D2777" s="307">
        <v>60.3</v>
      </c>
      <c r="E2777" s="307">
        <v>66.3</v>
      </c>
      <c r="F2777" s="307">
        <v>84.31</v>
      </c>
      <c r="G2777" s="189">
        <v>102.31</v>
      </c>
      <c r="H2777" s="189">
        <v>102.31</v>
      </c>
      <c r="I2777" s="159">
        <v>120.34</v>
      </c>
      <c r="J2777" s="189">
        <v>138.34</v>
      </c>
      <c r="K2777" s="189">
        <v>138.34</v>
      </c>
      <c r="L2777" s="189">
        <v>156.36000000000001</v>
      </c>
      <c r="M2777" s="307">
        <v>173.38</v>
      </c>
      <c r="N2777" s="307">
        <v>173.38</v>
      </c>
      <c r="O2777" s="307">
        <v>187.4</v>
      </c>
      <c r="P2777" s="307">
        <v>199.4</v>
      </c>
      <c r="Q2777" s="307">
        <v>199.4</v>
      </c>
      <c r="R2777" s="307">
        <v>209.99</v>
      </c>
      <c r="S2777" s="307">
        <v>209.99</v>
      </c>
      <c r="T2777" s="307">
        <v>217.99</v>
      </c>
      <c r="U2777" s="189">
        <v>227.99</v>
      </c>
      <c r="V2777" s="189">
        <v>230.99</v>
      </c>
      <c r="W2777" s="307">
        <v>232.99</v>
      </c>
      <c r="X2777" s="307">
        <v>234.99</v>
      </c>
      <c r="Y2777" s="307">
        <v>236.99</v>
      </c>
      <c r="Z2777" s="307">
        <v>238.99</v>
      </c>
      <c r="AA2777" s="307">
        <v>238.99</v>
      </c>
      <c r="AB2777" s="307">
        <v>239.99</v>
      </c>
      <c r="AC2777" s="307">
        <v>239.99</v>
      </c>
      <c r="AD2777" s="307">
        <v>241.99</v>
      </c>
      <c r="AE2777" s="307">
        <v>241.99</v>
      </c>
      <c r="AF2777" s="307">
        <v>241.99</v>
      </c>
    </row>
    <row r="2778" spans="1:32">
      <c r="A2778" s="699"/>
      <c r="B2778" s="307">
        <v>50.04</v>
      </c>
      <c r="C2778" s="189">
        <v>50</v>
      </c>
      <c r="D2778" s="307">
        <v>66.3</v>
      </c>
      <c r="E2778" s="307">
        <v>66.3</v>
      </c>
      <c r="F2778" s="307">
        <v>84.31</v>
      </c>
      <c r="G2778" s="189">
        <v>102.31</v>
      </c>
      <c r="H2778" s="159">
        <v>116.34</v>
      </c>
      <c r="I2778" s="159">
        <v>120.34</v>
      </c>
      <c r="J2778" s="189">
        <v>138.34</v>
      </c>
      <c r="K2778" s="189">
        <v>156.36000000000001</v>
      </c>
      <c r="L2778" s="189">
        <v>156.36000000000001</v>
      </c>
      <c r="M2778" s="307">
        <v>173.38</v>
      </c>
      <c r="N2778" s="307">
        <v>187.4</v>
      </c>
      <c r="O2778" s="307">
        <v>187.4</v>
      </c>
      <c r="P2778" s="307">
        <v>199.4</v>
      </c>
      <c r="Q2778" s="307">
        <v>209.99</v>
      </c>
      <c r="R2778" s="307">
        <v>209.99</v>
      </c>
      <c r="S2778" s="307">
        <v>217.99</v>
      </c>
      <c r="T2778" s="189">
        <v>227.99</v>
      </c>
      <c r="U2778" s="189">
        <v>227.99</v>
      </c>
      <c r="V2778" s="307">
        <v>232.99</v>
      </c>
      <c r="W2778" s="307">
        <v>234.99</v>
      </c>
      <c r="X2778" s="307">
        <v>236.99</v>
      </c>
      <c r="Y2778" s="307">
        <v>238.99</v>
      </c>
      <c r="Z2778" s="307">
        <v>239.99</v>
      </c>
      <c r="AA2778" s="307">
        <v>239.99</v>
      </c>
      <c r="AB2778" s="307">
        <v>241.99</v>
      </c>
      <c r="AC2778" s="307">
        <v>241.99</v>
      </c>
      <c r="AD2778" s="307">
        <v>241.99</v>
      </c>
      <c r="AE2778" s="307">
        <v>241.99</v>
      </c>
      <c r="AF2778" s="307">
        <v>243.99</v>
      </c>
    </row>
    <row r="2779" spans="1:32">
      <c r="A2779" s="699"/>
      <c r="B2779" s="307">
        <v>50.04</v>
      </c>
      <c r="C2779" s="189">
        <v>50</v>
      </c>
      <c r="D2779" s="307">
        <v>66.3</v>
      </c>
      <c r="E2779" s="307">
        <v>84.31</v>
      </c>
      <c r="F2779" s="307">
        <v>84.31</v>
      </c>
      <c r="G2779" s="189">
        <v>102.31</v>
      </c>
      <c r="H2779" s="159">
        <v>120.34</v>
      </c>
      <c r="I2779" s="189">
        <v>138.34</v>
      </c>
      <c r="J2779" s="189">
        <v>138.34</v>
      </c>
      <c r="K2779" s="189">
        <v>156.36000000000001</v>
      </c>
      <c r="L2779" s="307">
        <v>173.38</v>
      </c>
      <c r="M2779" s="307">
        <v>173.38</v>
      </c>
      <c r="N2779" s="307">
        <v>187.4</v>
      </c>
      <c r="O2779" s="307">
        <v>199.4</v>
      </c>
      <c r="P2779" s="307">
        <v>199.4</v>
      </c>
      <c r="Q2779" s="307">
        <v>209.99</v>
      </c>
      <c r="R2779" s="307">
        <v>217.99</v>
      </c>
      <c r="S2779" s="189">
        <v>227.99</v>
      </c>
      <c r="T2779" s="189">
        <v>227.99</v>
      </c>
      <c r="U2779" s="189">
        <v>230.99</v>
      </c>
      <c r="V2779" s="307">
        <v>232.99</v>
      </c>
      <c r="W2779" s="307">
        <v>234.99</v>
      </c>
      <c r="X2779" s="307">
        <v>236.99</v>
      </c>
      <c r="Y2779" s="307">
        <v>238.99</v>
      </c>
      <c r="Z2779" s="307">
        <v>239.99</v>
      </c>
      <c r="AA2779" s="307">
        <v>241.99</v>
      </c>
      <c r="AB2779" s="307">
        <v>241.99</v>
      </c>
      <c r="AC2779" s="307">
        <v>242.99</v>
      </c>
      <c r="AD2779" s="307">
        <v>244.99</v>
      </c>
      <c r="AE2779" s="307">
        <v>244.99</v>
      </c>
      <c r="AF2779" s="307">
        <v>244.99</v>
      </c>
    </row>
    <row r="2780" spans="1:32">
      <c r="A2780" s="307">
        <v>50.04</v>
      </c>
      <c r="B2780" s="307">
        <v>50.04</v>
      </c>
      <c r="C2780" s="189">
        <v>50</v>
      </c>
      <c r="D2780" s="307">
        <v>66.3</v>
      </c>
      <c r="E2780" s="307">
        <v>84.31</v>
      </c>
      <c r="F2780" s="189">
        <v>102.31</v>
      </c>
      <c r="G2780" s="189">
        <v>102.31</v>
      </c>
      <c r="H2780" s="159">
        <v>120.34</v>
      </c>
      <c r="I2780" s="189">
        <v>138.34</v>
      </c>
      <c r="J2780" s="189">
        <v>156.36000000000001</v>
      </c>
      <c r="K2780" s="189">
        <v>156.36000000000001</v>
      </c>
      <c r="L2780" s="307">
        <v>173.38</v>
      </c>
      <c r="M2780" s="307">
        <v>187.4</v>
      </c>
      <c r="N2780" s="307">
        <v>187.4</v>
      </c>
      <c r="O2780" s="307">
        <v>199.4</v>
      </c>
      <c r="P2780" s="307">
        <v>209.99</v>
      </c>
      <c r="Q2780" s="307">
        <v>209.99</v>
      </c>
      <c r="R2780" s="307">
        <v>217.99</v>
      </c>
      <c r="S2780" s="189">
        <v>227.99</v>
      </c>
      <c r="T2780" s="189">
        <v>230.99</v>
      </c>
      <c r="U2780" s="307">
        <v>232.99</v>
      </c>
      <c r="V2780" s="307">
        <v>234.99</v>
      </c>
      <c r="W2780" s="307">
        <v>236.99</v>
      </c>
      <c r="X2780" s="307">
        <v>238.99</v>
      </c>
      <c r="Y2780" s="307">
        <v>239.99</v>
      </c>
      <c r="Z2780" s="307">
        <v>241.99</v>
      </c>
      <c r="AA2780" s="307">
        <v>241.99</v>
      </c>
      <c r="AB2780" s="307">
        <v>242.99</v>
      </c>
      <c r="AC2780" s="307">
        <v>244.99</v>
      </c>
      <c r="AD2780" s="307">
        <v>246.99</v>
      </c>
      <c r="AE2780" s="307">
        <v>246.99</v>
      </c>
      <c r="AF2780" s="307">
        <v>246.99</v>
      </c>
    </row>
    <row r="2781" spans="1:32">
      <c r="A2781" s="307">
        <v>50.04</v>
      </c>
      <c r="B2781" s="189">
        <v>50</v>
      </c>
      <c r="C2781" s="307">
        <v>60.3</v>
      </c>
      <c r="D2781" s="307">
        <v>66.290000000000006</v>
      </c>
      <c r="E2781" s="307">
        <v>84.31</v>
      </c>
      <c r="F2781" s="189">
        <v>102.31</v>
      </c>
      <c r="G2781" s="159">
        <v>116.34</v>
      </c>
      <c r="H2781" s="159">
        <v>120.34</v>
      </c>
      <c r="I2781" s="189">
        <v>138.34</v>
      </c>
      <c r="J2781" s="189">
        <v>156.36000000000001</v>
      </c>
      <c r="K2781" s="307">
        <v>173.38</v>
      </c>
      <c r="L2781" s="307">
        <v>173.38</v>
      </c>
      <c r="M2781" s="307">
        <v>187.4</v>
      </c>
      <c r="N2781" s="307">
        <v>199.4</v>
      </c>
      <c r="O2781" s="307">
        <v>199.4</v>
      </c>
      <c r="P2781" s="307">
        <v>209.99</v>
      </c>
      <c r="Q2781" s="307">
        <v>217.99</v>
      </c>
      <c r="R2781" s="189">
        <v>227.99</v>
      </c>
      <c r="S2781" s="189">
        <v>230.99</v>
      </c>
      <c r="T2781" s="189">
        <v>230.99</v>
      </c>
      <c r="U2781" s="307">
        <v>232.99</v>
      </c>
      <c r="V2781" s="307">
        <v>234.99</v>
      </c>
      <c r="W2781" s="307">
        <v>236.99</v>
      </c>
      <c r="X2781" s="307">
        <v>238.99</v>
      </c>
      <c r="Y2781" s="307">
        <v>239.99</v>
      </c>
      <c r="Z2781" s="307">
        <v>241.99</v>
      </c>
      <c r="AA2781" s="307">
        <v>242.99</v>
      </c>
      <c r="AB2781" s="307">
        <v>244.99</v>
      </c>
      <c r="AC2781" s="307">
        <v>246.99</v>
      </c>
      <c r="AD2781" s="307">
        <v>247.99</v>
      </c>
      <c r="AE2781" s="307">
        <v>247.99</v>
      </c>
      <c r="AF2781" s="307">
        <v>247.99</v>
      </c>
    </row>
    <row r="2782" spans="1:32">
      <c r="A2782" s="307">
        <v>50.04</v>
      </c>
      <c r="B2782" s="189">
        <v>50</v>
      </c>
      <c r="C2782" s="307">
        <v>66.3</v>
      </c>
      <c r="D2782" s="307">
        <v>66.3</v>
      </c>
      <c r="E2782" s="307">
        <v>84.31</v>
      </c>
      <c r="F2782" s="189">
        <v>102.31</v>
      </c>
      <c r="G2782" s="159">
        <v>120.34</v>
      </c>
      <c r="H2782" s="189">
        <v>138.34</v>
      </c>
      <c r="I2782" s="189">
        <v>138.34</v>
      </c>
      <c r="J2782" s="189">
        <v>156.36000000000001</v>
      </c>
      <c r="K2782" s="307">
        <v>173.38</v>
      </c>
      <c r="L2782" s="307">
        <v>187.4</v>
      </c>
      <c r="M2782" s="307">
        <v>187.4</v>
      </c>
      <c r="N2782" s="307">
        <v>199.4</v>
      </c>
      <c r="O2782" s="307">
        <v>209.99</v>
      </c>
      <c r="P2782" s="307">
        <v>209.99</v>
      </c>
      <c r="Q2782" s="307">
        <v>217.99</v>
      </c>
      <c r="R2782" s="189">
        <v>227.99</v>
      </c>
      <c r="S2782" s="189">
        <v>230.99</v>
      </c>
      <c r="T2782" s="307">
        <v>232.99</v>
      </c>
      <c r="U2782" s="307">
        <v>234.99</v>
      </c>
      <c r="V2782" s="307">
        <v>236.99</v>
      </c>
      <c r="W2782" s="307">
        <v>238.99</v>
      </c>
      <c r="X2782" s="307">
        <v>239.99</v>
      </c>
      <c r="Y2782" s="307">
        <v>241.99</v>
      </c>
      <c r="Z2782" s="307">
        <v>243.99</v>
      </c>
      <c r="AA2782" s="307">
        <v>244.99</v>
      </c>
      <c r="AB2782" s="307">
        <v>246.99</v>
      </c>
      <c r="AC2782" s="307">
        <v>247.99</v>
      </c>
      <c r="AD2782" s="307">
        <v>248.99</v>
      </c>
      <c r="AE2782" s="307">
        <v>249.99</v>
      </c>
      <c r="AF2782" s="307">
        <v>249.99</v>
      </c>
    </row>
    <row r="2783" spans="1:32">
      <c r="A2783" s="307">
        <v>50.04</v>
      </c>
      <c r="B2783" s="189">
        <v>50</v>
      </c>
      <c r="C2783" s="307">
        <v>66.3</v>
      </c>
      <c r="D2783" s="307">
        <v>84.31</v>
      </c>
      <c r="E2783" s="307">
        <v>84.31</v>
      </c>
      <c r="F2783" s="189">
        <v>102.31</v>
      </c>
      <c r="G2783" s="159">
        <v>120.34</v>
      </c>
      <c r="H2783" s="189">
        <v>138.34</v>
      </c>
      <c r="I2783" s="189">
        <v>156.36000000000001</v>
      </c>
      <c r="J2783" s="189">
        <v>156.36000000000001</v>
      </c>
      <c r="K2783" s="307">
        <v>173.38</v>
      </c>
      <c r="L2783" s="307">
        <v>187.4</v>
      </c>
      <c r="M2783" s="307">
        <v>199.4</v>
      </c>
      <c r="N2783" s="307">
        <v>199.4</v>
      </c>
      <c r="O2783" s="307">
        <v>209.99</v>
      </c>
      <c r="P2783" s="307">
        <v>217.99</v>
      </c>
      <c r="Q2783" s="307">
        <v>223.99</v>
      </c>
      <c r="R2783" s="189">
        <v>227.99</v>
      </c>
      <c r="S2783" s="189">
        <v>230.99</v>
      </c>
      <c r="T2783" s="307">
        <v>232.99</v>
      </c>
      <c r="U2783" s="307">
        <v>234.99</v>
      </c>
      <c r="V2783" s="307">
        <v>236.99</v>
      </c>
      <c r="W2783" s="307">
        <v>238.99</v>
      </c>
      <c r="X2783" s="307">
        <v>239.99</v>
      </c>
      <c r="Y2783" s="307">
        <v>241.99</v>
      </c>
      <c r="Z2783" s="307">
        <v>243.99</v>
      </c>
      <c r="AA2783" s="307">
        <v>244.99</v>
      </c>
      <c r="AB2783" s="307">
        <v>246.99</v>
      </c>
      <c r="AC2783" s="307">
        <v>247.99</v>
      </c>
      <c r="AD2783" s="307">
        <v>249.99</v>
      </c>
      <c r="AE2783" s="307">
        <v>250.99</v>
      </c>
      <c r="AF2783" s="307">
        <v>250.99</v>
      </c>
    </row>
    <row r="2784" spans="1:32">
      <c r="A2784" s="307">
        <v>50.04</v>
      </c>
      <c r="B2784" s="189">
        <v>50.3</v>
      </c>
      <c r="C2784" s="307">
        <v>66.3</v>
      </c>
      <c r="D2784" s="307">
        <v>84.31</v>
      </c>
      <c r="E2784" s="307">
        <v>84.31</v>
      </c>
      <c r="F2784" s="189">
        <v>102.31</v>
      </c>
      <c r="G2784" s="307">
        <v>120.34</v>
      </c>
      <c r="H2784" s="189">
        <v>138.34</v>
      </c>
      <c r="I2784" s="189">
        <v>156.36000000000001</v>
      </c>
      <c r="J2784" s="307">
        <v>173.38</v>
      </c>
      <c r="K2784" s="307">
        <v>180.38</v>
      </c>
      <c r="L2784" s="307">
        <v>187.4</v>
      </c>
      <c r="M2784" s="307">
        <v>199.4</v>
      </c>
      <c r="N2784" s="307">
        <v>204.4</v>
      </c>
      <c r="O2784" s="307">
        <v>209.99</v>
      </c>
      <c r="P2784" s="307">
        <v>217.99</v>
      </c>
      <c r="Q2784" s="307">
        <v>223.99</v>
      </c>
      <c r="R2784" s="189">
        <v>227.99</v>
      </c>
      <c r="S2784" s="189">
        <v>230.99</v>
      </c>
      <c r="T2784" s="307">
        <v>232.99</v>
      </c>
      <c r="U2784" s="307">
        <v>234.99</v>
      </c>
      <c r="V2784" s="307">
        <v>236.99</v>
      </c>
      <c r="W2784" s="307">
        <v>238.99</v>
      </c>
      <c r="X2784" s="307">
        <v>239.99</v>
      </c>
      <c r="Y2784" s="307">
        <v>241.99</v>
      </c>
      <c r="Z2784" s="307">
        <v>243.99</v>
      </c>
      <c r="AA2784" s="307">
        <v>244.99</v>
      </c>
      <c r="AB2784" s="307">
        <v>246.99</v>
      </c>
      <c r="AC2784" s="307">
        <v>247.99</v>
      </c>
      <c r="AD2784" s="307">
        <v>249.99</v>
      </c>
      <c r="AE2784" s="307">
        <v>250.99</v>
      </c>
      <c r="AF2784" s="307">
        <v>255.99</v>
      </c>
    </row>
    <row r="2785" spans="1:33">
      <c r="A2785" s="1280">
        <v>8.18</v>
      </c>
      <c r="B2785" s="1280">
        <v>8.18</v>
      </c>
      <c r="C2785" s="452">
        <v>8.18</v>
      </c>
      <c r="D2785" s="1280">
        <v>8.18</v>
      </c>
      <c r="E2785" s="1280">
        <v>8.18</v>
      </c>
      <c r="F2785" s="452">
        <v>8.18</v>
      </c>
      <c r="G2785" s="1280">
        <v>8.18</v>
      </c>
      <c r="H2785" s="452">
        <v>8.18</v>
      </c>
      <c r="I2785" s="452">
        <v>8.18</v>
      </c>
      <c r="J2785" s="1280">
        <v>8.18</v>
      </c>
      <c r="K2785" s="452">
        <v>8.18</v>
      </c>
      <c r="L2785" s="1280">
        <v>8.18</v>
      </c>
      <c r="M2785" s="1280">
        <v>8.18</v>
      </c>
      <c r="N2785" s="452">
        <v>8.18</v>
      </c>
      <c r="O2785" s="1280">
        <v>8.18</v>
      </c>
      <c r="P2785" s="1280">
        <v>8.18</v>
      </c>
      <c r="Q2785" s="439">
        <v>8.18</v>
      </c>
      <c r="R2785" s="1280">
        <v>8.18</v>
      </c>
      <c r="S2785" s="452">
        <v>8.18</v>
      </c>
      <c r="T2785" s="1280">
        <v>8.18</v>
      </c>
      <c r="U2785" s="1280">
        <v>8.18</v>
      </c>
      <c r="V2785" s="452">
        <v>8.18</v>
      </c>
      <c r="W2785" s="1280">
        <v>8.18</v>
      </c>
      <c r="X2785" s="452">
        <v>8.18</v>
      </c>
      <c r="Y2785" s="452">
        <v>8.18</v>
      </c>
      <c r="Z2785" s="1280">
        <v>8.18</v>
      </c>
      <c r="AA2785" s="452">
        <v>8.18</v>
      </c>
      <c r="AB2785" s="1280">
        <v>8.18</v>
      </c>
      <c r="AC2785" s="1280">
        <v>8.18</v>
      </c>
      <c r="AD2785" s="452">
        <v>8.18</v>
      </c>
      <c r="AE2785" s="1280">
        <v>8.18</v>
      </c>
      <c r="AF2785" s="439">
        <v>8.18</v>
      </c>
      <c r="AG2785">
        <v>88</v>
      </c>
    </row>
    <row r="2786" spans="1:33">
      <c r="A2786" s="2331">
        <v>8.18</v>
      </c>
      <c r="B2786" s="452">
        <v>8.18</v>
      </c>
      <c r="C2786" s="439">
        <v>8.18</v>
      </c>
      <c r="D2786" s="411">
        <v>8.18</v>
      </c>
      <c r="E2786" s="411">
        <v>8.18</v>
      </c>
      <c r="F2786" s="452">
        <v>8.18</v>
      </c>
      <c r="G2786" s="439">
        <v>8.18</v>
      </c>
      <c r="H2786" s="411">
        <v>8.18</v>
      </c>
      <c r="I2786" s="411">
        <v>8.18</v>
      </c>
      <c r="J2786" s="452">
        <v>8.18</v>
      </c>
      <c r="K2786" s="439">
        <v>8.18</v>
      </c>
      <c r="L2786" s="411">
        <v>8.18</v>
      </c>
      <c r="M2786" s="411">
        <v>8.18</v>
      </c>
      <c r="N2786" s="452">
        <v>8.18</v>
      </c>
      <c r="O2786" s="439">
        <v>8.18</v>
      </c>
      <c r="P2786" s="411">
        <v>8.18</v>
      </c>
      <c r="Q2786" s="411">
        <v>8.18</v>
      </c>
      <c r="R2786" s="452">
        <v>8.18</v>
      </c>
      <c r="S2786" s="439">
        <v>8.18</v>
      </c>
      <c r="T2786" s="411">
        <v>8.18</v>
      </c>
      <c r="U2786" s="411">
        <v>8.18</v>
      </c>
      <c r="V2786" s="452">
        <v>8.18</v>
      </c>
      <c r="W2786" s="439">
        <v>8.18</v>
      </c>
      <c r="X2786" s="411">
        <v>8.18</v>
      </c>
      <c r="Y2786" s="411">
        <v>8.18</v>
      </c>
      <c r="Z2786" s="452">
        <v>8.18</v>
      </c>
      <c r="AA2786" s="297">
        <v>8.18</v>
      </c>
      <c r="AB2786" s="411">
        <v>8.18</v>
      </c>
      <c r="AC2786" s="411">
        <v>8.18</v>
      </c>
      <c r="AD2786" s="452">
        <v>8.18</v>
      </c>
      <c r="AE2786" s="439">
        <v>8.18</v>
      </c>
      <c r="AF2786" s="650">
        <v>8.18</v>
      </c>
    </row>
    <row r="2787" spans="1:33">
      <c r="A2787" s="699"/>
      <c r="B2787" s="411">
        <v>8.18</v>
      </c>
      <c r="C2787" s="439">
        <v>8.18</v>
      </c>
      <c r="D2787" s="439">
        <v>8.18</v>
      </c>
      <c r="E2787" s="439">
        <v>8.18</v>
      </c>
      <c r="F2787" s="439">
        <v>8.18</v>
      </c>
      <c r="G2787" s="411">
        <v>8.18</v>
      </c>
      <c r="H2787" s="439">
        <v>8.18</v>
      </c>
      <c r="I2787" s="439">
        <v>8.18</v>
      </c>
      <c r="J2787" s="411">
        <v>8.18</v>
      </c>
      <c r="K2787" s="411">
        <v>8.18</v>
      </c>
      <c r="L2787" s="439">
        <v>8.18</v>
      </c>
      <c r="M2787" s="439">
        <v>8.18</v>
      </c>
      <c r="N2787" s="411">
        <v>8.18</v>
      </c>
      <c r="O2787" s="439">
        <v>8.18</v>
      </c>
      <c r="P2787" s="439">
        <v>8.18</v>
      </c>
      <c r="Q2787" s="439">
        <v>8.18</v>
      </c>
      <c r="R2787" s="439">
        <v>8.18</v>
      </c>
      <c r="S2787" s="439">
        <v>8.18</v>
      </c>
      <c r="T2787" s="439">
        <v>8.18</v>
      </c>
      <c r="U2787" s="439">
        <v>8.18</v>
      </c>
      <c r="V2787" s="439">
        <v>8.18</v>
      </c>
      <c r="W2787" s="411">
        <v>8.18</v>
      </c>
      <c r="X2787" s="439">
        <v>8.18</v>
      </c>
      <c r="Y2787" s="439">
        <v>8.18</v>
      </c>
      <c r="Z2787" s="411">
        <v>8.18</v>
      </c>
      <c r="AA2787" s="411">
        <v>8.18</v>
      </c>
      <c r="AB2787" s="439">
        <v>8.18</v>
      </c>
      <c r="AC2787" s="439">
        <v>8.18</v>
      </c>
      <c r="AD2787" s="411">
        <v>8.18</v>
      </c>
      <c r="AE2787" s="439">
        <v>8.18</v>
      </c>
      <c r="AF2787" s="699"/>
    </row>
    <row r="2788" spans="1:33">
      <c r="AF2788" s="79"/>
    </row>
    <row r="2789" spans="1:33">
      <c r="AF2789" s="79"/>
    </row>
    <row r="2790" spans="1:33">
      <c r="AF2790" s="79"/>
    </row>
    <row r="2791" spans="1:33">
      <c r="AF2791" s="79"/>
    </row>
    <row r="2792" spans="1:33">
      <c r="AF2792" s="79"/>
    </row>
    <row r="2793" spans="1:33">
      <c r="AF2793" s="79"/>
    </row>
    <row r="2794" spans="1:33">
      <c r="AF2794" s="79"/>
    </row>
    <row r="2795" spans="1:33">
      <c r="AF2795" s="79"/>
    </row>
    <row r="2796" spans="1:33">
      <c r="AF2796" s="79"/>
    </row>
    <row r="2797" spans="1:33">
      <c r="AF2797" s="79"/>
    </row>
    <row r="2798" spans="1:33">
      <c r="AF2798" s="79"/>
    </row>
    <row r="2799" spans="1:33">
      <c r="AF2799" s="79"/>
    </row>
    <row r="2800" spans="1:33">
      <c r="AF2800" s="79"/>
    </row>
    <row r="2801" spans="1:32">
      <c r="AF2801" s="79"/>
    </row>
    <row r="2802" spans="1:32">
      <c r="AF2802" s="79"/>
    </row>
    <row r="2803" spans="1:32">
      <c r="AF2803" s="79"/>
    </row>
    <row r="2804" spans="1:32">
      <c r="AF2804" s="79"/>
    </row>
    <row r="2805" spans="1:32">
      <c r="AF2805" s="79"/>
    </row>
    <row r="2806" spans="1:32">
      <c r="AF2806" s="79"/>
    </row>
    <row r="2807" spans="1:32">
      <c r="AF2807" s="79"/>
    </row>
    <row r="2808" spans="1:32">
      <c r="AF2808" s="79"/>
    </row>
    <row r="2809" spans="1:32">
      <c r="AF2809" s="79"/>
    </row>
    <row r="2810" spans="1:32">
      <c r="AF2810" s="79"/>
    </row>
    <row r="2811" spans="1:32">
      <c r="AF2811" s="79"/>
    </row>
    <row r="2812" spans="1:32">
      <c r="AF2812" s="79"/>
    </row>
    <row r="2813" spans="1:32">
      <c r="AF2813" s="79"/>
    </row>
    <row r="2814" spans="1:32">
      <c r="AF2814" s="79"/>
    </row>
    <row r="2815" spans="1:32">
      <c r="AF2815" s="79"/>
    </row>
    <row r="2816" spans="1:32">
      <c r="A2816" s="700"/>
      <c r="B2816" s="73"/>
      <c r="C2816" s="73"/>
      <c r="D2816" s="73"/>
      <c r="E2816" s="73"/>
      <c r="F2816" s="73"/>
      <c r="G2816" s="73"/>
      <c r="H2816" s="73"/>
      <c r="I2816" s="73"/>
      <c r="J2816" s="73"/>
      <c r="K2816" s="73"/>
      <c r="L2816" s="73"/>
      <c r="M2816" s="73"/>
      <c r="N2816" s="73"/>
      <c r="O2816" s="73"/>
      <c r="P2816" s="73"/>
      <c r="Q2816" s="73"/>
      <c r="R2816" s="73"/>
      <c r="S2816" s="73"/>
      <c r="T2816" s="73"/>
      <c r="U2816" s="73"/>
      <c r="V2816" s="73"/>
      <c r="W2816" s="73"/>
      <c r="X2816" s="73"/>
      <c r="Y2816" s="73"/>
      <c r="Z2816" s="73"/>
      <c r="AA2816" s="73"/>
      <c r="AB2816" s="73"/>
      <c r="AC2816" s="73"/>
      <c r="AD2816" s="73"/>
      <c r="AE2816" s="73"/>
      <c r="AF2816" s="701"/>
    </row>
  </sheetData>
  <sheetProtection password="DF7C" sheet="1"/>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68"/>
  <sheetViews>
    <sheetView topLeftCell="T148" workbookViewId="0">
      <selection activeCell="AO1" sqref="AO1"/>
    </sheetView>
  </sheetViews>
  <sheetFormatPr defaultRowHeight="12.75"/>
  <sheetData>
    <row r="1" spans="1:43">
      <c r="A1" s="956" t="s">
        <v>712</v>
      </c>
      <c r="B1" s="956" t="s">
        <v>713</v>
      </c>
      <c r="C1" s="392" t="s">
        <v>714</v>
      </c>
      <c r="D1" s="956" t="s">
        <v>715</v>
      </c>
      <c r="E1" s="956" t="s">
        <v>716</v>
      </c>
      <c r="F1" s="392" t="s">
        <v>717</v>
      </c>
      <c r="G1" s="956" t="s">
        <v>718</v>
      </c>
      <c r="H1" s="956" t="s">
        <v>719</v>
      </c>
      <c r="I1" s="392" t="s">
        <v>720</v>
      </c>
      <c r="J1" s="956" t="s">
        <v>721</v>
      </c>
      <c r="K1" s="956" t="s">
        <v>722</v>
      </c>
      <c r="L1" s="392" t="s">
        <v>723</v>
      </c>
      <c r="M1" s="198" t="s">
        <v>724</v>
      </c>
      <c r="N1" s="198" t="s">
        <v>725</v>
      </c>
      <c r="O1" s="198" t="s">
        <v>726</v>
      </c>
      <c r="P1" s="198" t="s">
        <v>727</v>
      </c>
      <c r="Q1" s="198" t="s">
        <v>728</v>
      </c>
      <c r="R1" s="198" t="s">
        <v>729</v>
      </c>
      <c r="S1" s="198" t="s">
        <v>730</v>
      </c>
      <c r="T1" s="198" t="s">
        <v>731</v>
      </c>
      <c r="U1" s="531" t="s">
        <v>767</v>
      </c>
      <c r="V1" s="957" t="s">
        <v>768</v>
      </c>
      <c r="W1" s="531" t="s">
        <v>769</v>
      </c>
      <c r="X1" s="531" t="s">
        <v>770</v>
      </c>
      <c r="Y1" s="531" t="s">
        <v>771</v>
      </c>
      <c r="Z1" s="531" t="s">
        <v>772</v>
      </c>
      <c r="AA1" s="531" t="s">
        <v>773</v>
      </c>
      <c r="AB1" s="531" t="s">
        <v>774</v>
      </c>
      <c r="AC1" s="531" t="s">
        <v>775</v>
      </c>
      <c r="AD1" s="957" t="s">
        <v>776</v>
      </c>
      <c r="AE1" s="958" t="s">
        <v>761</v>
      </c>
      <c r="AF1" s="958" t="s">
        <v>777</v>
      </c>
      <c r="AG1" s="137" t="s">
        <v>1005</v>
      </c>
      <c r="AH1" t="s">
        <v>619</v>
      </c>
      <c r="AI1" s="137" t="s">
        <v>1006</v>
      </c>
      <c r="AJ1" s="958" t="s">
        <v>995</v>
      </c>
      <c r="AK1" s="694" t="s">
        <v>1007</v>
      </c>
      <c r="AL1" s="184" t="s">
        <v>1008</v>
      </c>
      <c r="AM1" s="184" t="s">
        <v>1009</v>
      </c>
      <c r="AN1" s="959" t="s">
        <v>1010</v>
      </c>
      <c r="AO1" s="3705" t="s">
        <v>90</v>
      </c>
      <c r="AP1" s="958" t="s">
        <v>732</v>
      </c>
    </row>
    <row r="2" spans="1:43">
      <c r="A2">
        <v>3</v>
      </c>
      <c r="B2">
        <v>3</v>
      </c>
      <c r="C2">
        <v>3</v>
      </c>
      <c r="D2">
        <v>3</v>
      </c>
      <c r="E2">
        <v>-3</v>
      </c>
      <c r="F2">
        <v>3</v>
      </c>
      <c r="G2">
        <v>-3</v>
      </c>
      <c r="H2">
        <v>-3</v>
      </c>
      <c r="I2">
        <v>3</v>
      </c>
      <c r="J2">
        <v>-3</v>
      </c>
      <c r="K2">
        <v>3</v>
      </c>
      <c r="L2">
        <v>3</v>
      </c>
      <c r="M2">
        <v>1</v>
      </c>
      <c r="N2">
        <v>11</v>
      </c>
      <c r="P2">
        <v>3</v>
      </c>
      <c r="S2">
        <v>3</v>
      </c>
      <c r="U2">
        <v>100</v>
      </c>
      <c r="AC2">
        <v>30</v>
      </c>
      <c r="AJ2">
        <v>2</v>
      </c>
      <c r="AK2">
        <v>1</v>
      </c>
      <c r="AP2">
        <v>1</v>
      </c>
      <c r="AQ2" t="s">
        <v>734</v>
      </c>
    </row>
    <row r="3" spans="1:43">
      <c r="A3">
        <v>3</v>
      </c>
      <c r="B3">
        <v>3</v>
      </c>
      <c r="C3">
        <v>3</v>
      </c>
      <c r="D3">
        <v>3</v>
      </c>
      <c r="E3">
        <v>3</v>
      </c>
      <c r="F3">
        <v>-3</v>
      </c>
      <c r="G3">
        <v>3</v>
      </c>
      <c r="H3">
        <v>-3</v>
      </c>
      <c r="I3">
        <v>-3</v>
      </c>
      <c r="J3">
        <v>3</v>
      </c>
      <c r="K3">
        <v>-3</v>
      </c>
      <c r="L3">
        <v>3</v>
      </c>
      <c r="M3">
        <v>1</v>
      </c>
      <c r="N3">
        <v>11</v>
      </c>
      <c r="P3">
        <v>3</v>
      </c>
      <c r="AJ3">
        <v>2</v>
      </c>
      <c r="AK3">
        <v>1</v>
      </c>
    </row>
    <row r="4" spans="1:43">
      <c r="A4">
        <v>-3</v>
      </c>
      <c r="B4">
        <v>3</v>
      </c>
      <c r="C4">
        <v>3</v>
      </c>
      <c r="D4">
        <v>-3</v>
      </c>
      <c r="E4">
        <v>-3</v>
      </c>
      <c r="F4">
        <v>3</v>
      </c>
      <c r="G4">
        <v>-3</v>
      </c>
      <c r="H4">
        <v>-3</v>
      </c>
      <c r="I4">
        <v>-3</v>
      </c>
      <c r="J4">
        <v>-3</v>
      </c>
      <c r="K4">
        <v>3</v>
      </c>
      <c r="L4">
        <v>-3</v>
      </c>
      <c r="M4">
        <v>1</v>
      </c>
      <c r="N4">
        <v>11</v>
      </c>
      <c r="P4">
        <v>3</v>
      </c>
      <c r="AJ4">
        <v>2</v>
      </c>
      <c r="AK4">
        <v>1</v>
      </c>
    </row>
    <row r="5" spans="1:43">
      <c r="A5">
        <v>3</v>
      </c>
      <c r="B5">
        <v>3.02</v>
      </c>
      <c r="C5">
        <v>3</v>
      </c>
      <c r="D5">
        <v>-3</v>
      </c>
      <c r="E5">
        <v>3.02</v>
      </c>
      <c r="F5">
        <v>3</v>
      </c>
      <c r="G5">
        <v>-3</v>
      </c>
      <c r="H5">
        <v>3.02</v>
      </c>
      <c r="I5">
        <v>-3</v>
      </c>
      <c r="J5">
        <v>3</v>
      </c>
      <c r="K5">
        <v>3.02</v>
      </c>
      <c r="L5">
        <v>-3</v>
      </c>
      <c r="M5">
        <v>1</v>
      </c>
      <c r="N5">
        <v>10</v>
      </c>
      <c r="P5">
        <v>3</v>
      </c>
      <c r="AK5">
        <v>1</v>
      </c>
    </row>
    <row r="6" spans="1:43">
      <c r="A6">
        <v>3</v>
      </c>
      <c r="B6">
        <v>-3</v>
      </c>
      <c r="C6">
        <v>3</v>
      </c>
      <c r="D6">
        <v>3</v>
      </c>
      <c r="E6">
        <v>-3</v>
      </c>
      <c r="F6">
        <v>-3</v>
      </c>
      <c r="G6">
        <v>-3</v>
      </c>
      <c r="H6">
        <v>-3</v>
      </c>
      <c r="I6">
        <v>-3</v>
      </c>
      <c r="J6">
        <v>-3</v>
      </c>
      <c r="K6">
        <v>-3</v>
      </c>
      <c r="L6">
        <v>3</v>
      </c>
      <c r="M6">
        <v>1</v>
      </c>
      <c r="N6">
        <v>11</v>
      </c>
      <c r="P6">
        <v>3</v>
      </c>
      <c r="AK6">
        <v>1</v>
      </c>
    </row>
    <row r="7" spans="1:43">
      <c r="A7">
        <v>3</v>
      </c>
      <c r="B7">
        <v>3</v>
      </c>
      <c r="C7">
        <v>-3</v>
      </c>
      <c r="D7">
        <v>-3</v>
      </c>
      <c r="E7">
        <v>3</v>
      </c>
      <c r="F7">
        <v>-3</v>
      </c>
      <c r="G7">
        <v>-3</v>
      </c>
      <c r="H7">
        <v>-3</v>
      </c>
      <c r="I7">
        <v>-3</v>
      </c>
      <c r="J7">
        <v>3</v>
      </c>
      <c r="K7">
        <v>-3</v>
      </c>
      <c r="L7">
        <v>-3</v>
      </c>
      <c r="M7">
        <v>1</v>
      </c>
      <c r="N7">
        <v>11</v>
      </c>
      <c r="P7">
        <v>3</v>
      </c>
      <c r="AJ7">
        <v>2</v>
      </c>
      <c r="AK7">
        <v>1</v>
      </c>
    </row>
    <row r="8" spans="1:43">
      <c r="A8">
        <v>0.6</v>
      </c>
      <c r="B8">
        <v>2.25</v>
      </c>
      <c r="C8">
        <v>3.05</v>
      </c>
      <c r="D8">
        <v>0.6</v>
      </c>
      <c r="E8">
        <v>-2.25</v>
      </c>
      <c r="F8">
        <v>3.05</v>
      </c>
      <c r="G8">
        <v>-0.6</v>
      </c>
      <c r="H8">
        <v>-2.25</v>
      </c>
      <c r="I8">
        <v>3.05</v>
      </c>
      <c r="J8">
        <v>-0.6</v>
      </c>
      <c r="K8">
        <v>2.25</v>
      </c>
      <c r="L8">
        <v>3.05</v>
      </c>
      <c r="M8">
        <v>2</v>
      </c>
      <c r="N8">
        <v>10</v>
      </c>
      <c r="P8">
        <v>3</v>
      </c>
      <c r="AJ8">
        <v>2</v>
      </c>
      <c r="AK8">
        <v>1</v>
      </c>
    </row>
    <row r="9" spans="1:43">
      <c r="A9">
        <v>2.25</v>
      </c>
      <c r="B9">
        <v>0.6</v>
      </c>
      <c r="C9">
        <v>3.05</v>
      </c>
      <c r="D9">
        <v>2.25</v>
      </c>
      <c r="E9">
        <v>-0.6</v>
      </c>
      <c r="F9">
        <v>3.05</v>
      </c>
      <c r="G9">
        <v>-2.25</v>
      </c>
      <c r="H9">
        <v>-0.6</v>
      </c>
      <c r="I9">
        <v>3.05</v>
      </c>
      <c r="J9">
        <v>-2.25</v>
      </c>
      <c r="K9">
        <v>0.6</v>
      </c>
      <c r="L9">
        <v>3.05</v>
      </c>
      <c r="M9">
        <v>2</v>
      </c>
      <c r="N9">
        <v>10</v>
      </c>
      <c r="P9">
        <v>3</v>
      </c>
      <c r="AJ9">
        <v>2</v>
      </c>
      <c r="AK9">
        <v>1</v>
      </c>
    </row>
    <row r="10" spans="1:43">
      <c r="A10">
        <v>0.6</v>
      </c>
      <c r="B10">
        <v>2.25</v>
      </c>
      <c r="C10">
        <v>-3.05</v>
      </c>
      <c r="D10">
        <v>-0.6</v>
      </c>
      <c r="E10">
        <v>2.25</v>
      </c>
      <c r="F10">
        <v>-3.05</v>
      </c>
      <c r="G10">
        <v>-0.6</v>
      </c>
      <c r="H10">
        <v>-2.25</v>
      </c>
      <c r="I10">
        <v>-3.05</v>
      </c>
      <c r="J10">
        <v>0.6</v>
      </c>
      <c r="K10">
        <v>-2.25</v>
      </c>
      <c r="L10">
        <v>-3.05</v>
      </c>
      <c r="M10">
        <v>2</v>
      </c>
      <c r="N10">
        <v>9</v>
      </c>
      <c r="P10">
        <v>3</v>
      </c>
      <c r="AJ10">
        <v>2</v>
      </c>
      <c r="AK10">
        <v>1</v>
      </c>
    </row>
    <row r="11" spans="1:43">
      <c r="A11">
        <v>2.25</v>
      </c>
      <c r="B11">
        <v>0.6</v>
      </c>
      <c r="C11">
        <v>-3.05</v>
      </c>
      <c r="D11">
        <v>-2.25</v>
      </c>
      <c r="E11">
        <v>0.6</v>
      </c>
      <c r="F11">
        <v>-3.05</v>
      </c>
      <c r="G11">
        <v>-2.25</v>
      </c>
      <c r="H11">
        <v>-0.6</v>
      </c>
      <c r="I11">
        <v>-3.05</v>
      </c>
      <c r="J11">
        <v>2.25</v>
      </c>
      <c r="K11">
        <v>-0.6</v>
      </c>
      <c r="L11">
        <v>-3.05</v>
      </c>
      <c r="M11">
        <v>2</v>
      </c>
      <c r="N11">
        <v>9</v>
      </c>
      <c r="P11">
        <v>3</v>
      </c>
      <c r="AJ11">
        <v>2</v>
      </c>
      <c r="AK11">
        <v>1</v>
      </c>
    </row>
    <row r="13" spans="1:43">
      <c r="A13">
        <v>4</v>
      </c>
      <c r="B13">
        <v>3</v>
      </c>
      <c r="D13">
        <v>4</v>
      </c>
      <c r="E13">
        <v>-3</v>
      </c>
      <c r="G13">
        <v>-4</v>
      </c>
      <c r="H13">
        <v>-3</v>
      </c>
      <c r="J13">
        <v>-4</v>
      </c>
      <c r="K13">
        <v>3</v>
      </c>
      <c r="M13">
        <v>4</v>
      </c>
      <c r="N13">
        <v>11</v>
      </c>
      <c r="P13">
        <v>4</v>
      </c>
      <c r="S13">
        <v>4</v>
      </c>
      <c r="U13">
        <v>100</v>
      </c>
      <c r="AJ13">
        <v>4</v>
      </c>
      <c r="AP13">
        <v>2</v>
      </c>
      <c r="AQ13" t="s">
        <v>737</v>
      </c>
    </row>
    <row r="14" spans="1:43">
      <c r="A14">
        <v>-4</v>
      </c>
      <c r="B14">
        <v>-2</v>
      </c>
      <c r="D14">
        <v>4</v>
      </c>
      <c r="E14">
        <v>-2</v>
      </c>
      <c r="G14">
        <v>4</v>
      </c>
      <c r="H14">
        <v>-1</v>
      </c>
      <c r="J14">
        <v>-4</v>
      </c>
      <c r="K14">
        <v>-1</v>
      </c>
      <c r="M14">
        <v>1</v>
      </c>
      <c r="N14">
        <v>4</v>
      </c>
      <c r="P14">
        <v>4</v>
      </c>
      <c r="AJ14">
        <v>1</v>
      </c>
    </row>
    <row r="15" spans="1:43">
      <c r="A15">
        <v>-3</v>
      </c>
      <c r="B15">
        <v>1</v>
      </c>
      <c r="D15">
        <v>2</v>
      </c>
      <c r="E15">
        <v>1</v>
      </c>
      <c r="G15">
        <v>2</v>
      </c>
      <c r="H15">
        <v>2</v>
      </c>
      <c r="J15">
        <v>-3</v>
      </c>
      <c r="K15">
        <v>2</v>
      </c>
      <c r="M15">
        <v>7</v>
      </c>
      <c r="N15">
        <v>11</v>
      </c>
      <c r="P15">
        <v>4</v>
      </c>
      <c r="AJ15">
        <v>2</v>
      </c>
    </row>
    <row r="17" spans="1:43">
      <c r="M17">
        <v>5</v>
      </c>
      <c r="N17">
        <v>10</v>
      </c>
      <c r="P17">
        <v>4</v>
      </c>
      <c r="S17">
        <v>4</v>
      </c>
      <c r="U17">
        <v>100</v>
      </c>
      <c r="AJ17">
        <v>4</v>
      </c>
      <c r="AO17">
        <v>13</v>
      </c>
      <c r="AP17">
        <v>3</v>
      </c>
      <c r="AQ17" t="s">
        <v>735</v>
      </c>
    </row>
    <row r="18" spans="1:43">
      <c r="M18">
        <v>1</v>
      </c>
      <c r="N18">
        <v>4</v>
      </c>
      <c r="P18">
        <v>4</v>
      </c>
      <c r="AJ18">
        <v>1</v>
      </c>
      <c r="AO18">
        <v>14</v>
      </c>
    </row>
    <row r="19" spans="1:43">
      <c r="M19">
        <v>1</v>
      </c>
      <c r="N19">
        <v>11</v>
      </c>
      <c r="P19">
        <v>4</v>
      </c>
      <c r="AJ19">
        <v>2</v>
      </c>
      <c r="AO19">
        <v>15</v>
      </c>
    </row>
    <row r="21" spans="1:43">
      <c r="M21">
        <v>2</v>
      </c>
      <c r="N21">
        <v>10</v>
      </c>
      <c r="P21">
        <v>4</v>
      </c>
      <c r="S21">
        <v>4</v>
      </c>
      <c r="U21">
        <v>100</v>
      </c>
      <c r="AJ21">
        <v>4</v>
      </c>
      <c r="AO21">
        <v>13</v>
      </c>
      <c r="AP21">
        <v>4</v>
      </c>
      <c r="AQ21" t="s">
        <v>736</v>
      </c>
    </row>
    <row r="22" spans="1:43">
      <c r="M22">
        <v>1</v>
      </c>
      <c r="N22">
        <v>4</v>
      </c>
      <c r="P22">
        <v>4</v>
      </c>
      <c r="AJ22">
        <v>1</v>
      </c>
      <c r="AO22">
        <v>14</v>
      </c>
    </row>
    <row r="23" spans="1:43">
      <c r="M23">
        <v>5</v>
      </c>
      <c r="N23">
        <v>11</v>
      </c>
      <c r="P23">
        <v>4</v>
      </c>
      <c r="AJ23">
        <v>2</v>
      </c>
      <c r="AO23">
        <v>15</v>
      </c>
    </row>
    <row r="25" spans="1:43">
      <c r="A25">
        <v>-7</v>
      </c>
      <c r="C25">
        <v>0.7</v>
      </c>
      <c r="D25">
        <v>-4</v>
      </c>
      <c r="E25">
        <v>0.4</v>
      </c>
      <c r="F25">
        <v>1</v>
      </c>
      <c r="G25">
        <v>-3</v>
      </c>
      <c r="H25">
        <v>-1</v>
      </c>
      <c r="I25">
        <v>0.75</v>
      </c>
      <c r="J25">
        <v>-7.5</v>
      </c>
      <c r="K25">
        <v>-2.5</v>
      </c>
      <c r="L25">
        <v>0.4</v>
      </c>
      <c r="M25">
        <v>2</v>
      </c>
      <c r="N25">
        <v>4</v>
      </c>
      <c r="P25">
        <v>3</v>
      </c>
      <c r="S25">
        <v>3</v>
      </c>
      <c r="U25">
        <v>140</v>
      </c>
      <c r="AA25">
        <v>258</v>
      </c>
      <c r="AB25">
        <v>8</v>
      </c>
      <c r="AK25">
        <v>1</v>
      </c>
      <c r="AP25">
        <v>5</v>
      </c>
      <c r="AQ25" t="s">
        <v>617</v>
      </c>
    </row>
    <row r="26" spans="1:43">
      <c r="A26">
        <v>-7</v>
      </c>
      <c r="C26">
        <v>-0.7</v>
      </c>
      <c r="D26">
        <v>-7.5</v>
      </c>
      <c r="E26">
        <v>-2.5</v>
      </c>
      <c r="F26">
        <v>-0.4</v>
      </c>
      <c r="G26">
        <v>-3</v>
      </c>
      <c r="H26">
        <v>-1</v>
      </c>
      <c r="I26">
        <v>-0.75</v>
      </c>
      <c r="J26">
        <v>-4</v>
      </c>
      <c r="K26">
        <v>0.4</v>
      </c>
      <c r="L26">
        <v>-1</v>
      </c>
      <c r="M26">
        <v>2</v>
      </c>
      <c r="N26">
        <v>4</v>
      </c>
      <c r="P26">
        <v>3</v>
      </c>
      <c r="AK26">
        <v>1</v>
      </c>
    </row>
    <row r="27" spans="1:43">
      <c r="A27">
        <v>-7</v>
      </c>
      <c r="C27">
        <v>0.7</v>
      </c>
      <c r="D27">
        <v>-7.5</v>
      </c>
      <c r="E27">
        <v>-2.5</v>
      </c>
      <c r="F27">
        <v>0.4</v>
      </c>
      <c r="G27">
        <v>-7.5</v>
      </c>
      <c r="H27">
        <v>-2.5</v>
      </c>
      <c r="I27">
        <v>-0.4</v>
      </c>
      <c r="J27">
        <v>-7</v>
      </c>
      <c r="L27">
        <v>-0.7</v>
      </c>
      <c r="M27">
        <v>5</v>
      </c>
      <c r="N27">
        <v>4</v>
      </c>
      <c r="P27">
        <v>3</v>
      </c>
      <c r="AK27">
        <v>1</v>
      </c>
    </row>
    <row r="28" spans="1:43">
      <c r="A28">
        <v>-7</v>
      </c>
      <c r="C28">
        <v>0.7</v>
      </c>
      <c r="D28">
        <v>-7</v>
      </c>
      <c r="F28">
        <v>-0.7</v>
      </c>
      <c r="G28">
        <v>-4</v>
      </c>
      <c r="H28">
        <v>0.4</v>
      </c>
      <c r="I28">
        <v>-1</v>
      </c>
      <c r="J28">
        <v>-4</v>
      </c>
      <c r="K28">
        <v>0.4</v>
      </c>
      <c r="L28">
        <v>1</v>
      </c>
      <c r="M28">
        <v>2</v>
      </c>
      <c r="N28">
        <v>5</v>
      </c>
      <c r="P28">
        <v>3</v>
      </c>
      <c r="AK28">
        <v>1</v>
      </c>
    </row>
    <row r="29" spans="1:43">
      <c r="A29">
        <v>-7.5</v>
      </c>
      <c r="B29">
        <v>-2.5</v>
      </c>
      <c r="C29">
        <v>-0.4</v>
      </c>
      <c r="D29">
        <v>-7.5</v>
      </c>
      <c r="E29">
        <v>-2.5</v>
      </c>
      <c r="F29">
        <v>0.4</v>
      </c>
      <c r="G29">
        <v>-3</v>
      </c>
      <c r="H29">
        <v>-1</v>
      </c>
      <c r="I29">
        <v>0.75</v>
      </c>
      <c r="J29">
        <v>-3</v>
      </c>
      <c r="K29">
        <v>-1</v>
      </c>
      <c r="L29">
        <v>-0.75</v>
      </c>
      <c r="M29">
        <v>2</v>
      </c>
      <c r="N29">
        <v>4</v>
      </c>
      <c r="P29">
        <v>3</v>
      </c>
      <c r="AK29">
        <v>1</v>
      </c>
    </row>
    <row r="30" spans="1:43">
      <c r="A30">
        <v>-4</v>
      </c>
      <c r="B30">
        <v>0.4</v>
      </c>
      <c r="C30">
        <v>1</v>
      </c>
      <c r="D30">
        <v>-4</v>
      </c>
      <c r="E30">
        <v>0.4</v>
      </c>
      <c r="F30">
        <v>-1</v>
      </c>
      <c r="G30">
        <v>-3</v>
      </c>
      <c r="H30">
        <v>-1</v>
      </c>
      <c r="I30">
        <v>-0.75</v>
      </c>
      <c r="J30">
        <v>-3</v>
      </c>
      <c r="K30">
        <v>-1</v>
      </c>
      <c r="L30">
        <v>0.75</v>
      </c>
      <c r="M30">
        <v>2</v>
      </c>
      <c r="N30">
        <v>4</v>
      </c>
      <c r="P30">
        <v>3</v>
      </c>
    </row>
    <row r="31" spans="1:43">
      <c r="A31">
        <v>-3.7</v>
      </c>
      <c r="C31">
        <v>1</v>
      </c>
      <c r="D31">
        <v>-2.5</v>
      </c>
      <c r="E31">
        <v>1</v>
      </c>
      <c r="F31">
        <v>0.7</v>
      </c>
      <c r="G31">
        <v>-2</v>
      </c>
      <c r="I31">
        <v>0.7</v>
      </c>
      <c r="J31">
        <v>-3</v>
      </c>
      <c r="K31">
        <v>-1</v>
      </c>
      <c r="L31">
        <v>0.75</v>
      </c>
      <c r="M31">
        <v>2</v>
      </c>
      <c r="N31">
        <v>4</v>
      </c>
      <c r="P31">
        <v>3</v>
      </c>
      <c r="AK31">
        <v>1</v>
      </c>
    </row>
    <row r="32" spans="1:43">
      <c r="A32">
        <v>-3.7</v>
      </c>
      <c r="C32">
        <v>-1</v>
      </c>
      <c r="D32">
        <v>-3</v>
      </c>
      <c r="E32">
        <v>-1</v>
      </c>
      <c r="F32">
        <v>-0.75</v>
      </c>
      <c r="G32">
        <v>-2</v>
      </c>
      <c r="I32">
        <v>-0.7</v>
      </c>
      <c r="J32">
        <v>-2.5</v>
      </c>
      <c r="K32">
        <v>1</v>
      </c>
      <c r="L32">
        <v>-0.7</v>
      </c>
      <c r="M32">
        <v>2</v>
      </c>
      <c r="N32">
        <v>4</v>
      </c>
      <c r="P32">
        <v>3</v>
      </c>
      <c r="AK32">
        <v>1</v>
      </c>
    </row>
    <row r="33" spans="1:37">
      <c r="A33">
        <v>-3.7</v>
      </c>
      <c r="C33">
        <v>1</v>
      </c>
      <c r="D33">
        <v>-3.7</v>
      </c>
      <c r="F33">
        <v>-1</v>
      </c>
      <c r="G33">
        <v>-2.5</v>
      </c>
      <c r="H33">
        <v>1</v>
      </c>
      <c r="I33">
        <v>-0.7</v>
      </c>
      <c r="J33">
        <v>-2.5</v>
      </c>
      <c r="K33">
        <v>1</v>
      </c>
      <c r="L33">
        <v>0.7</v>
      </c>
      <c r="M33">
        <v>2</v>
      </c>
      <c r="N33">
        <v>5</v>
      </c>
      <c r="P33">
        <v>3</v>
      </c>
      <c r="AK33">
        <v>1</v>
      </c>
    </row>
    <row r="34" spans="1:37">
      <c r="A34">
        <v>-3</v>
      </c>
      <c r="B34">
        <v>-1</v>
      </c>
      <c r="C34">
        <v>-0.75</v>
      </c>
      <c r="D34">
        <v>-3</v>
      </c>
      <c r="E34">
        <v>-1</v>
      </c>
      <c r="F34">
        <v>0.75</v>
      </c>
      <c r="G34">
        <v>-2</v>
      </c>
      <c r="I34">
        <v>0.7</v>
      </c>
      <c r="J34">
        <v>-2</v>
      </c>
      <c r="L34">
        <v>-0.7</v>
      </c>
      <c r="M34">
        <v>2</v>
      </c>
      <c r="N34">
        <v>4</v>
      </c>
      <c r="P34">
        <v>3</v>
      </c>
      <c r="AK34">
        <v>1</v>
      </c>
    </row>
    <row r="35" spans="1:37">
      <c r="A35">
        <v>-2</v>
      </c>
      <c r="C35">
        <v>0.7</v>
      </c>
      <c r="D35">
        <v>-2.5</v>
      </c>
      <c r="E35">
        <v>1</v>
      </c>
      <c r="F35">
        <v>0.7</v>
      </c>
      <c r="H35">
        <v>1</v>
      </c>
      <c r="I35">
        <v>0.7</v>
      </c>
      <c r="J35">
        <v>0</v>
      </c>
      <c r="L35">
        <v>0.7</v>
      </c>
      <c r="M35">
        <v>1</v>
      </c>
      <c r="N35">
        <v>6</v>
      </c>
      <c r="P35">
        <v>3</v>
      </c>
      <c r="AJ35">
        <v>3</v>
      </c>
      <c r="AK35">
        <v>1</v>
      </c>
    </row>
    <row r="36" spans="1:37">
      <c r="A36">
        <v>-2</v>
      </c>
      <c r="C36">
        <v>-0.7</v>
      </c>
      <c r="F36">
        <v>-0.7</v>
      </c>
      <c r="H36">
        <v>1</v>
      </c>
      <c r="I36">
        <v>-0.7</v>
      </c>
      <c r="J36">
        <v>-2.5</v>
      </c>
      <c r="K36">
        <v>1</v>
      </c>
      <c r="L36">
        <v>-0.7</v>
      </c>
      <c r="M36">
        <v>1</v>
      </c>
      <c r="N36">
        <v>6</v>
      </c>
      <c r="P36">
        <v>3</v>
      </c>
      <c r="AJ36">
        <v>3</v>
      </c>
      <c r="AK36">
        <v>1</v>
      </c>
    </row>
    <row r="37" spans="1:37">
      <c r="A37">
        <v>-2.5</v>
      </c>
      <c r="B37">
        <v>1</v>
      </c>
      <c r="C37">
        <v>0.7</v>
      </c>
      <c r="D37">
        <v>-2.5</v>
      </c>
      <c r="E37">
        <v>1</v>
      </c>
      <c r="F37">
        <v>-0.7</v>
      </c>
      <c r="H37">
        <v>1</v>
      </c>
      <c r="I37">
        <v>-0.7</v>
      </c>
      <c r="K37">
        <v>1</v>
      </c>
      <c r="L37">
        <v>0.7</v>
      </c>
      <c r="M37">
        <v>1</v>
      </c>
      <c r="N37">
        <v>8</v>
      </c>
      <c r="P37">
        <v>3</v>
      </c>
      <c r="AJ37">
        <v>1</v>
      </c>
      <c r="AK37">
        <v>1</v>
      </c>
    </row>
    <row r="38" spans="1:37">
      <c r="B38">
        <v>1</v>
      </c>
      <c r="C38">
        <v>0.7</v>
      </c>
      <c r="E38">
        <v>1</v>
      </c>
      <c r="F38">
        <v>-0.7</v>
      </c>
      <c r="I38">
        <v>-0.7</v>
      </c>
      <c r="L38">
        <v>0.7</v>
      </c>
      <c r="M38">
        <v>1</v>
      </c>
      <c r="N38">
        <v>4</v>
      </c>
      <c r="P38">
        <v>3</v>
      </c>
      <c r="AJ38">
        <v>2</v>
      </c>
      <c r="AK38">
        <v>1</v>
      </c>
    </row>
    <row r="39" spans="1:37">
      <c r="A39">
        <v>-1.5</v>
      </c>
      <c r="B39">
        <v>0.7</v>
      </c>
      <c r="C39">
        <v>0.75</v>
      </c>
      <c r="D39">
        <v>-0.5</v>
      </c>
      <c r="E39">
        <v>0.7</v>
      </c>
      <c r="F39">
        <v>0.75</v>
      </c>
      <c r="G39">
        <v>-0.5</v>
      </c>
      <c r="H39">
        <v>0.3</v>
      </c>
      <c r="I39">
        <v>0.75</v>
      </c>
      <c r="J39">
        <v>-1.5</v>
      </c>
      <c r="K39">
        <v>0.3</v>
      </c>
      <c r="L39">
        <v>0.75</v>
      </c>
      <c r="M39">
        <v>1</v>
      </c>
      <c r="N39">
        <v>3</v>
      </c>
      <c r="P39">
        <v>3</v>
      </c>
      <c r="AK39">
        <v>1</v>
      </c>
    </row>
    <row r="40" spans="1:37">
      <c r="A40">
        <v>-2.2000000000000002</v>
      </c>
      <c r="B40">
        <v>1</v>
      </c>
      <c r="D40">
        <v>-2</v>
      </c>
      <c r="E40">
        <v>1.1000000000000001</v>
      </c>
      <c r="G40">
        <v>-1.7</v>
      </c>
      <c r="H40">
        <v>1.1000000000000001</v>
      </c>
      <c r="J40">
        <v>-1.5</v>
      </c>
      <c r="K40">
        <v>1</v>
      </c>
      <c r="M40">
        <v>7</v>
      </c>
      <c r="N40">
        <v>6</v>
      </c>
      <c r="P40">
        <v>3</v>
      </c>
    </row>
    <row r="41" spans="1:37">
      <c r="A41">
        <v>-0.5</v>
      </c>
      <c r="C41">
        <v>0.25</v>
      </c>
      <c r="D41">
        <v>-1.2</v>
      </c>
      <c r="E41">
        <v>-0.7</v>
      </c>
      <c r="F41">
        <v>0.25</v>
      </c>
      <c r="G41">
        <v>-1.2</v>
      </c>
      <c r="H41">
        <v>-0.7</v>
      </c>
      <c r="I41">
        <v>-0.25</v>
      </c>
      <c r="J41">
        <v>-0.5</v>
      </c>
      <c r="L41">
        <v>-0.25</v>
      </c>
      <c r="M41">
        <v>1</v>
      </c>
      <c r="N41">
        <v>5</v>
      </c>
      <c r="P41">
        <v>3</v>
      </c>
    </row>
    <row r="42" spans="1:37">
      <c r="A42">
        <v>-1.2</v>
      </c>
      <c r="B42">
        <v>-0.7</v>
      </c>
      <c r="C42">
        <v>0.25</v>
      </c>
      <c r="D42">
        <v>-1.2</v>
      </c>
      <c r="E42">
        <v>-0.7</v>
      </c>
      <c r="F42">
        <v>-0.25</v>
      </c>
      <c r="G42">
        <v>-2.7</v>
      </c>
      <c r="H42">
        <v>-0.7</v>
      </c>
      <c r="I42">
        <v>-0.25</v>
      </c>
      <c r="J42">
        <v>-2.7</v>
      </c>
      <c r="K42">
        <v>-0.7</v>
      </c>
      <c r="L42">
        <v>0.25</v>
      </c>
      <c r="M42">
        <v>1</v>
      </c>
      <c r="N42">
        <v>4</v>
      </c>
      <c r="P42">
        <v>3</v>
      </c>
    </row>
    <row r="43" spans="1:37">
      <c r="A43">
        <v>2</v>
      </c>
      <c r="B43">
        <v>0.45</v>
      </c>
      <c r="C43">
        <v>0.4</v>
      </c>
      <c r="D43">
        <v>2</v>
      </c>
      <c r="E43">
        <v>0.45</v>
      </c>
      <c r="F43">
        <v>-0.4</v>
      </c>
      <c r="G43">
        <v>4.5</v>
      </c>
      <c r="H43">
        <v>0.45</v>
      </c>
      <c r="I43">
        <v>-0.4</v>
      </c>
      <c r="J43">
        <v>4.5</v>
      </c>
      <c r="K43">
        <v>0.45</v>
      </c>
      <c r="L43">
        <v>0.4</v>
      </c>
      <c r="M43">
        <v>2</v>
      </c>
      <c r="N43">
        <v>5</v>
      </c>
      <c r="P43">
        <v>3</v>
      </c>
      <c r="AK43">
        <v>1</v>
      </c>
    </row>
    <row r="44" spans="1:37">
      <c r="E44">
        <v>0.25</v>
      </c>
      <c r="F44">
        <v>0.25</v>
      </c>
      <c r="G44">
        <v>5.8</v>
      </c>
      <c r="H44">
        <v>0.25</v>
      </c>
      <c r="I44">
        <v>0.25</v>
      </c>
      <c r="J44">
        <v>5.8</v>
      </c>
      <c r="M44">
        <v>1</v>
      </c>
      <c r="N44">
        <v>6</v>
      </c>
      <c r="P44">
        <v>3</v>
      </c>
      <c r="AK44">
        <v>1</v>
      </c>
    </row>
    <row r="45" spans="1:37">
      <c r="D45">
        <v>5.8</v>
      </c>
      <c r="G45">
        <v>5.8</v>
      </c>
      <c r="H45">
        <v>0.25</v>
      </c>
      <c r="I45">
        <v>-0.25</v>
      </c>
      <c r="K45">
        <v>0.25</v>
      </c>
      <c r="L45">
        <v>-0.25</v>
      </c>
      <c r="M45">
        <v>1</v>
      </c>
      <c r="N45">
        <v>6</v>
      </c>
      <c r="P45">
        <v>3</v>
      </c>
      <c r="AK45">
        <v>1</v>
      </c>
    </row>
    <row r="46" spans="1:37">
      <c r="B46">
        <v>0.25</v>
      </c>
      <c r="C46">
        <v>0.25</v>
      </c>
      <c r="E46">
        <v>0.5</v>
      </c>
      <c r="G46">
        <v>5.8</v>
      </c>
      <c r="H46">
        <v>0.5</v>
      </c>
      <c r="J46">
        <v>5.8</v>
      </c>
      <c r="K46">
        <v>0.25</v>
      </c>
      <c r="L46">
        <v>0.25</v>
      </c>
      <c r="M46">
        <v>1</v>
      </c>
      <c r="N46">
        <v>7</v>
      </c>
      <c r="P46">
        <v>3</v>
      </c>
      <c r="AK46">
        <v>1</v>
      </c>
    </row>
    <row r="47" spans="1:37">
      <c r="B47">
        <v>0.25</v>
      </c>
      <c r="C47">
        <v>-0.25</v>
      </c>
      <c r="D47">
        <v>5.8</v>
      </c>
      <c r="E47">
        <v>0.25</v>
      </c>
      <c r="F47">
        <v>-0.25</v>
      </c>
      <c r="G47">
        <v>5.8</v>
      </c>
      <c r="H47">
        <v>0.5</v>
      </c>
      <c r="K47">
        <v>0.5</v>
      </c>
      <c r="M47">
        <v>1</v>
      </c>
      <c r="N47">
        <v>6</v>
      </c>
      <c r="P47">
        <v>3</v>
      </c>
      <c r="AK47">
        <v>1</v>
      </c>
    </row>
    <row r="48" spans="1:37">
      <c r="A48">
        <v>5.8</v>
      </c>
      <c r="B48">
        <v>0.25</v>
      </c>
      <c r="C48">
        <v>0.25</v>
      </c>
      <c r="D48">
        <v>5.8</v>
      </c>
      <c r="E48">
        <v>0.5</v>
      </c>
      <c r="G48">
        <v>5.8</v>
      </c>
      <c r="H48">
        <v>0.25</v>
      </c>
      <c r="I48">
        <v>-0.25</v>
      </c>
      <c r="J48">
        <v>5.8</v>
      </c>
      <c r="M48">
        <v>1</v>
      </c>
      <c r="N48">
        <v>4</v>
      </c>
      <c r="P48">
        <v>3</v>
      </c>
      <c r="AK48">
        <v>1</v>
      </c>
    </row>
    <row r="49" spans="1:43">
      <c r="A49">
        <v>2</v>
      </c>
      <c r="B49">
        <v>0.45</v>
      </c>
      <c r="C49">
        <v>0.4</v>
      </c>
      <c r="D49">
        <v>4.5</v>
      </c>
      <c r="E49">
        <v>0.45</v>
      </c>
      <c r="F49">
        <v>0.4</v>
      </c>
      <c r="G49">
        <v>4.5</v>
      </c>
      <c r="H49">
        <v>-0.5</v>
      </c>
      <c r="I49">
        <v>0.4</v>
      </c>
      <c r="J49">
        <v>2</v>
      </c>
      <c r="K49">
        <v>-0.5</v>
      </c>
      <c r="L49">
        <v>0.4</v>
      </c>
      <c r="M49">
        <v>2</v>
      </c>
      <c r="N49">
        <v>4</v>
      </c>
      <c r="P49">
        <v>3</v>
      </c>
      <c r="AK49">
        <v>1</v>
      </c>
    </row>
    <row r="50" spans="1:43">
      <c r="A50">
        <v>2</v>
      </c>
      <c r="B50">
        <v>0.45</v>
      </c>
      <c r="C50">
        <v>-0.4</v>
      </c>
      <c r="D50">
        <v>2</v>
      </c>
      <c r="E50">
        <v>-0.5</v>
      </c>
      <c r="F50">
        <v>-0.4</v>
      </c>
      <c r="G50">
        <v>4.5</v>
      </c>
      <c r="H50">
        <v>-0.5</v>
      </c>
      <c r="I50">
        <v>-0.4</v>
      </c>
      <c r="J50">
        <v>4.5</v>
      </c>
      <c r="K50">
        <v>0.45</v>
      </c>
      <c r="L50">
        <v>-0.4</v>
      </c>
      <c r="M50">
        <v>2</v>
      </c>
      <c r="N50">
        <v>4</v>
      </c>
      <c r="P50">
        <v>3</v>
      </c>
      <c r="AK50">
        <v>1</v>
      </c>
    </row>
    <row r="51" spans="1:43">
      <c r="A51">
        <v>2</v>
      </c>
      <c r="B51">
        <v>0.45</v>
      </c>
      <c r="C51">
        <v>0.4</v>
      </c>
      <c r="D51">
        <v>2</v>
      </c>
      <c r="E51">
        <v>-0.5</v>
      </c>
      <c r="F51">
        <v>0.4</v>
      </c>
      <c r="G51">
        <v>2</v>
      </c>
      <c r="H51">
        <v>-0.5</v>
      </c>
      <c r="I51">
        <v>-0.4</v>
      </c>
      <c r="J51">
        <v>2</v>
      </c>
      <c r="K51">
        <v>0.45</v>
      </c>
      <c r="L51">
        <v>-0.4</v>
      </c>
      <c r="M51">
        <v>2</v>
      </c>
      <c r="N51">
        <v>4</v>
      </c>
      <c r="P51">
        <v>3</v>
      </c>
      <c r="AK51">
        <v>1</v>
      </c>
    </row>
    <row r="52" spans="1:43">
      <c r="A52">
        <v>4.5</v>
      </c>
      <c r="B52">
        <v>0.45</v>
      </c>
      <c r="C52">
        <v>0.4</v>
      </c>
      <c r="D52">
        <v>4.5</v>
      </c>
      <c r="E52">
        <v>0.45</v>
      </c>
      <c r="F52">
        <v>-0.4</v>
      </c>
      <c r="G52">
        <v>4.5</v>
      </c>
      <c r="H52">
        <v>-0.5</v>
      </c>
      <c r="I52">
        <v>-0.4</v>
      </c>
      <c r="J52">
        <v>4.5</v>
      </c>
      <c r="K52">
        <v>-0.5</v>
      </c>
      <c r="L52">
        <v>0.4</v>
      </c>
      <c r="M52">
        <v>2</v>
      </c>
      <c r="N52">
        <v>4</v>
      </c>
      <c r="P52">
        <v>3</v>
      </c>
      <c r="AK52">
        <v>1</v>
      </c>
    </row>
    <row r="53" spans="1:43">
      <c r="B53">
        <v>0.75</v>
      </c>
      <c r="C53">
        <v>0.25</v>
      </c>
      <c r="E53">
        <v>1</v>
      </c>
      <c r="G53">
        <v>6</v>
      </c>
      <c r="H53">
        <v>1</v>
      </c>
      <c r="J53">
        <v>6</v>
      </c>
      <c r="K53">
        <v>0.75</v>
      </c>
      <c r="L53">
        <v>0.25</v>
      </c>
      <c r="M53">
        <v>1</v>
      </c>
      <c r="N53">
        <v>6</v>
      </c>
      <c r="P53">
        <v>3</v>
      </c>
      <c r="AJ53">
        <v>3</v>
      </c>
      <c r="AK53">
        <v>1</v>
      </c>
    </row>
    <row r="54" spans="1:43">
      <c r="B54">
        <v>0.75</v>
      </c>
      <c r="C54">
        <v>-0.25</v>
      </c>
      <c r="D54">
        <v>6</v>
      </c>
      <c r="E54">
        <v>0.75</v>
      </c>
      <c r="F54">
        <v>-0.25</v>
      </c>
      <c r="G54">
        <v>6</v>
      </c>
      <c r="H54">
        <v>1</v>
      </c>
      <c r="K54">
        <v>1</v>
      </c>
      <c r="M54">
        <v>1</v>
      </c>
      <c r="N54">
        <v>7</v>
      </c>
      <c r="P54">
        <v>3</v>
      </c>
      <c r="AJ54">
        <v>2</v>
      </c>
      <c r="AK54">
        <v>1</v>
      </c>
    </row>
    <row r="55" spans="1:43">
      <c r="B55">
        <v>0.5</v>
      </c>
      <c r="E55">
        <v>0.75</v>
      </c>
      <c r="F55">
        <v>0.25</v>
      </c>
      <c r="G55">
        <v>6</v>
      </c>
      <c r="H55">
        <v>0.75</v>
      </c>
      <c r="I55">
        <v>0.25</v>
      </c>
      <c r="J55">
        <v>6</v>
      </c>
      <c r="K55">
        <v>0.5</v>
      </c>
      <c r="M55">
        <v>1</v>
      </c>
      <c r="N55">
        <v>6</v>
      </c>
      <c r="P55">
        <v>3</v>
      </c>
      <c r="AK55">
        <v>1</v>
      </c>
    </row>
    <row r="56" spans="1:43">
      <c r="B56">
        <v>0.5</v>
      </c>
      <c r="D56">
        <v>6</v>
      </c>
      <c r="E56">
        <v>0.5</v>
      </c>
      <c r="G56">
        <v>6</v>
      </c>
      <c r="H56">
        <v>0.75</v>
      </c>
      <c r="I56">
        <v>-0.25</v>
      </c>
      <c r="K56">
        <v>0.75</v>
      </c>
      <c r="L56">
        <v>-0.25</v>
      </c>
      <c r="M56">
        <v>1</v>
      </c>
      <c r="N56">
        <v>7</v>
      </c>
      <c r="P56">
        <v>3</v>
      </c>
      <c r="AK56">
        <v>1</v>
      </c>
    </row>
    <row r="57" spans="1:43">
      <c r="A57">
        <v>6</v>
      </c>
      <c r="B57">
        <v>0.75</v>
      </c>
      <c r="C57">
        <v>0.25</v>
      </c>
      <c r="D57">
        <v>6</v>
      </c>
      <c r="E57">
        <v>1</v>
      </c>
      <c r="G57">
        <v>6</v>
      </c>
      <c r="H57">
        <v>0.75</v>
      </c>
      <c r="I57">
        <v>-0.25</v>
      </c>
      <c r="J57">
        <v>6</v>
      </c>
      <c r="K57">
        <v>0.5</v>
      </c>
      <c r="M57">
        <v>1</v>
      </c>
      <c r="N57">
        <v>2</v>
      </c>
      <c r="P57">
        <v>3</v>
      </c>
      <c r="AK57">
        <v>1</v>
      </c>
    </row>
    <row r="58" spans="1:43">
      <c r="A58">
        <v>5</v>
      </c>
      <c r="B58">
        <v>1</v>
      </c>
      <c r="D58">
        <v>5.2</v>
      </c>
      <c r="E58">
        <v>1.1000000000000001</v>
      </c>
      <c r="G58">
        <v>5.6</v>
      </c>
      <c r="H58">
        <v>1.1000000000000001</v>
      </c>
      <c r="J58">
        <v>5.8</v>
      </c>
      <c r="K58">
        <v>1</v>
      </c>
      <c r="M58">
        <v>7</v>
      </c>
      <c r="N58">
        <v>5</v>
      </c>
      <c r="P58">
        <v>3</v>
      </c>
    </row>
    <row r="60" spans="1:43">
      <c r="A60">
        <v>-2.5</v>
      </c>
      <c r="B60">
        <v>1.49</v>
      </c>
      <c r="C60">
        <v>1</v>
      </c>
      <c r="D60">
        <v>2.5</v>
      </c>
      <c r="E60">
        <v>1.49</v>
      </c>
      <c r="F60">
        <v>1</v>
      </c>
      <c r="G60">
        <v>2.5</v>
      </c>
      <c r="H60">
        <v>-1.5</v>
      </c>
      <c r="I60">
        <v>1</v>
      </c>
      <c r="J60">
        <v>-2.5</v>
      </c>
      <c r="K60">
        <v>-1.5</v>
      </c>
      <c r="L60">
        <v>1</v>
      </c>
      <c r="M60">
        <v>2</v>
      </c>
      <c r="N60">
        <v>5</v>
      </c>
      <c r="P60">
        <v>3</v>
      </c>
      <c r="S60">
        <v>2</v>
      </c>
      <c r="U60">
        <v>120</v>
      </c>
      <c r="AA60">
        <v>2</v>
      </c>
      <c r="AB60">
        <v>15</v>
      </c>
      <c r="AH60">
        <v>108</v>
      </c>
      <c r="AI60">
        <v>15</v>
      </c>
      <c r="AK60">
        <v>1</v>
      </c>
      <c r="AP60">
        <v>6</v>
      </c>
      <c r="AQ60" t="s">
        <v>618</v>
      </c>
    </row>
    <row r="61" spans="1:43">
      <c r="A61">
        <v>2.5</v>
      </c>
      <c r="B61">
        <v>1.49</v>
      </c>
      <c r="C61">
        <v>-1</v>
      </c>
      <c r="D61">
        <v>-2.5</v>
      </c>
      <c r="E61">
        <v>1.49</v>
      </c>
      <c r="F61">
        <v>-1</v>
      </c>
      <c r="G61">
        <v>-2.5</v>
      </c>
      <c r="H61">
        <v>-1.5</v>
      </c>
      <c r="I61">
        <v>-1</v>
      </c>
      <c r="J61">
        <v>2.5</v>
      </c>
      <c r="K61">
        <v>-1.5</v>
      </c>
      <c r="L61">
        <v>-1</v>
      </c>
      <c r="M61">
        <v>2</v>
      </c>
      <c r="N61">
        <v>5</v>
      </c>
      <c r="P61">
        <v>3</v>
      </c>
      <c r="AH61">
        <v>108</v>
      </c>
      <c r="AI61">
        <v>15</v>
      </c>
      <c r="AK61">
        <v>1</v>
      </c>
    </row>
    <row r="62" spans="1:43">
      <c r="A62">
        <v>-2.5</v>
      </c>
      <c r="B62">
        <v>1.49</v>
      </c>
      <c r="C62">
        <v>1</v>
      </c>
      <c r="D62">
        <v>-2.5</v>
      </c>
      <c r="E62">
        <v>-1.5</v>
      </c>
      <c r="F62">
        <v>1</v>
      </c>
      <c r="G62">
        <v>-2.5</v>
      </c>
      <c r="H62">
        <v>-1.5</v>
      </c>
      <c r="I62">
        <v>-1</v>
      </c>
      <c r="J62">
        <v>-2.5</v>
      </c>
      <c r="K62">
        <v>1.49</v>
      </c>
      <c r="L62">
        <v>-1</v>
      </c>
      <c r="M62">
        <v>2</v>
      </c>
      <c r="N62">
        <v>6</v>
      </c>
      <c r="P62">
        <v>3</v>
      </c>
      <c r="AK62">
        <v>1</v>
      </c>
    </row>
    <row r="63" spans="1:43">
      <c r="A63">
        <v>2.5</v>
      </c>
      <c r="B63">
        <v>1.49</v>
      </c>
      <c r="C63">
        <v>1</v>
      </c>
      <c r="D63">
        <v>2.5</v>
      </c>
      <c r="E63">
        <v>1.49</v>
      </c>
      <c r="F63">
        <v>-1</v>
      </c>
      <c r="G63">
        <v>2.5</v>
      </c>
      <c r="H63">
        <v>-1.5</v>
      </c>
      <c r="I63">
        <v>-1</v>
      </c>
      <c r="J63">
        <v>2.5</v>
      </c>
      <c r="K63">
        <v>-1.5</v>
      </c>
      <c r="L63">
        <v>1</v>
      </c>
      <c r="M63">
        <v>2</v>
      </c>
      <c r="N63">
        <v>6</v>
      </c>
      <c r="P63">
        <v>3</v>
      </c>
      <c r="AK63">
        <v>1</v>
      </c>
    </row>
    <row r="64" spans="1:43">
      <c r="A64">
        <v>-2.5</v>
      </c>
      <c r="B64">
        <v>1.5</v>
      </c>
      <c r="C64">
        <v>1</v>
      </c>
      <c r="D64">
        <v>-2.5</v>
      </c>
      <c r="E64">
        <v>1.5</v>
      </c>
      <c r="F64">
        <v>-1</v>
      </c>
      <c r="G64">
        <v>2.5</v>
      </c>
      <c r="H64">
        <v>1.5</v>
      </c>
      <c r="I64">
        <v>-1</v>
      </c>
      <c r="J64">
        <v>2.5</v>
      </c>
      <c r="K64">
        <v>1.5</v>
      </c>
      <c r="L64">
        <v>1</v>
      </c>
      <c r="M64">
        <v>2</v>
      </c>
      <c r="N64">
        <v>7</v>
      </c>
      <c r="P64">
        <v>3</v>
      </c>
      <c r="AK64">
        <v>1</v>
      </c>
    </row>
    <row r="65" spans="1:43">
      <c r="A65">
        <v>-2.5</v>
      </c>
      <c r="B65">
        <v>-1.5</v>
      </c>
      <c r="C65">
        <v>1</v>
      </c>
      <c r="D65">
        <v>2.5</v>
      </c>
      <c r="E65">
        <v>-1.5</v>
      </c>
      <c r="F65">
        <v>1</v>
      </c>
      <c r="G65">
        <v>2.5</v>
      </c>
      <c r="H65">
        <v>-1.5</v>
      </c>
      <c r="I65">
        <v>-1</v>
      </c>
      <c r="J65">
        <v>-2.5</v>
      </c>
      <c r="K65">
        <v>-1.5</v>
      </c>
      <c r="L65">
        <v>-1</v>
      </c>
      <c r="M65">
        <v>2</v>
      </c>
      <c r="N65">
        <v>4</v>
      </c>
      <c r="P65">
        <v>3</v>
      </c>
      <c r="AK65">
        <v>1</v>
      </c>
    </row>
    <row r="67" spans="1:43">
      <c r="A67">
        <v>-2</v>
      </c>
      <c r="B67">
        <v>2</v>
      </c>
      <c r="C67">
        <v>1.5</v>
      </c>
      <c r="D67">
        <v>6</v>
      </c>
      <c r="E67">
        <v>2</v>
      </c>
      <c r="F67">
        <v>1.5</v>
      </c>
      <c r="G67">
        <v>5</v>
      </c>
      <c r="H67">
        <v>-2</v>
      </c>
      <c r="I67">
        <v>1.5</v>
      </c>
      <c r="J67">
        <v>-1</v>
      </c>
      <c r="K67">
        <v>-2</v>
      </c>
      <c r="L67">
        <v>1.5</v>
      </c>
      <c r="M67">
        <v>6</v>
      </c>
      <c r="N67">
        <v>8</v>
      </c>
      <c r="P67">
        <v>2</v>
      </c>
      <c r="S67">
        <v>4</v>
      </c>
      <c r="U67">
        <v>140</v>
      </c>
      <c r="AA67">
        <v>261</v>
      </c>
      <c r="AB67">
        <v>30</v>
      </c>
      <c r="AJ67">
        <v>3</v>
      </c>
      <c r="AK67">
        <v>1</v>
      </c>
      <c r="AP67">
        <v>7</v>
      </c>
      <c r="AQ67" t="s">
        <v>964</v>
      </c>
    </row>
    <row r="68" spans="1:43">
      <c r="A68">
        <v>-2</v>
      </c>
      <c r="B68">
        <v>2</v>
      </c>
      <c r="C68">
        <v>-1.5</v>
      </c>
      <c r="D68">
        <v>-1</v>
      </c>
      <c r="E68">
        <v>-2</v>
      </c>
      <c r="F68">
        <v>-1.5</v>
      </c>
      <c r="G68">
        <v>5</v>
      </c>
      <c r="H68">
        <v>-2</v>
      </c>
      <c r="I68">
        <v>-1.5</v>
      </c>
      <c r="J68">
        <v>6</v>
      </c>
      <c r="K68">
        <v>2</v>
      </c>
      <c r="L68">
        <v>-1.5</v>
      </c>
      <c r="M68">
        <v>6</v>
      </c>
      <c r="N68">
        <v>8</v>
      </c>
      <c r="P68">
        <v>2</v>
      </c>
      <c r="AJ68">
        <v>3</v>
      </c>
      <c r="AK68">
        <v>1</v>
      </c>
    </row>
    <row r="69" spans="1:43">
      <c r="A69">
        <v>-2</v>
      </c>
      <c r="B69">
        <v>2</v>
      </c>
      <c r="C69">
        <v>1.5</v>
      </c>
      <c r="D69">
        <v>-2</v>
      </c>
      <c r="E69">
        <v>2</v>
      </c>
      <c r="F69">
        <v>-1.5</v>
      </c>
      <c r="G69">
        <v>6</v>
      </c>
      <c r="H69">
        <v>2</v>
      </c>
      <c r="I69">
        <v>-1.5</v>
      </c>
      <c r="J69">
        <v>6</v>
      </c>
      <c r="K69">
        <v>2</v>
      </c>
      <c r="L69">
        <v>1.5</v>
      </c>
      <c r="M69">
        <v>6</v>
      </c>
      <c r="N69">
        <v>9</v>
      </c>
      <c r="P69">
        <v>2</v>
      </c>
      <c r="AJ69">
        <v>3</v>
      </c>
      <c r="AK69">
        <v>1</v>
      </c>
    </row>
    <row r="70" spans="1:43">
      <c r="A70">
        <v>6</v>
      </c>
      <c r="B70">
        <v>2</v>
      </c>
      <c r="C70">
        <v>1.5</v>
      </c>
      <c r="D70">
        <v>6</v>
      </c>
      <c r="E70">
        <v>2</v>
      </c>
      <c r="F70">
        <v>-1.5</v>
      </c>
      <c r="G70">
        <v>5</v>
      </c>
      <c r="H70">
        <v>-2</v>
      </c>
      <c r="I70">
        <v>-1.5</v>
      </c>
      <c r="J70">
        <v>5</v>
      </c>
      <c r="K70">
        <v>-2</v>
      </c>
      <c r="L70">
        <v>1.5</v>
      </c>
      <c r="M70">
        <v>6</v>
      </c>
      <c r="N70">
        <v>7</v>
      </c>
      <c r="P70">
        <v>2</v>
      </c>
      <c r="AJ70">
        <v>3</v>
      </c>
      <c r="AK70">
        <v>1</v>
      </c>
    </row>
    <row r="71" spans="1:43">
      <c r="A71">
        <v>-2</v>
      </c>
      <c r="B71">
        <v>2</v>
      </c>
      <c r="C71">
        <v>1.5</v>
      </c>
      <c r="D71">
        <v>-1</v>
      </c>
      <c r="E71">
        <v>-2</v>
      </c>
      <c r="F71">
        <v>1.5</v>
      </c>
      <c r="G71">
        <v>-1</v>
      </c>
      <c r="H71">
        <v>-2</v>
      </c>
      <c r="I71">
        <v>-1.5</v>
      </c>
      <c r="J71">
        <v>-2</v>
      </c>
      <c r="K71">
        <v>2</v>
      </c>
      <c r="L71">
        <v>-1.5</v>
      </c>
      <c r="M71">
        <v>6</v>
      </c>
      <c r="N71">
        <v>6</v>
      </c>
      <c r="P71">
        <v>2</v>
      </c>
      <c r="AJ71">
        <v>3</v>
      </c>
      <c r="AK71">
        <v>1</v>
      </c>
    </row>
    <row r="72" spans="1:43">
      <c r="A72">
        <v>-4</v>
      </c>
      <c r="B72">
        <v>1</v>
      </c>
      <c r="C72">
        <v>1</v>
      </c>
      <c r="D72">
        <v>-1.75</v>
      </c>
      <c r="E72">
        <v>1</v>
      </c>
      <c r="F72">
        <v>1</v>
      </c>
      <c r="G72">
        <v>-1.25</v>
      </c>
      <c r="H72">
        <v>-1</v>
      </c>
      <c r="I72">
        <v>1</v>
      </c>
      <c r="J72">
        <v>-5</v>
      </c>
      <c r="K72">
        <v>-1</v>
      </c>
      <c r="L72">
        <v>1</v>
      </c>
      <c r="M72">
        <v>1</v>
      </c>
      <c r="N72">
        <v>6</v>
      </c>
      <c r="P72">
        <v>2</v>
      </c>
      <c r="AJ72">
        <v>2</v>
      </c>
      <c r="AK72">
        <v>1</v>
      </c>
    </row>
    <row r="73" spans="1:43">
      <c r="A73">
        <v>-4</v>
      </c>
      <c r="B73">
        <v>1</v>
      </c>
      <c r="C73">
        <v>-1</v>
      </c>
      <c r="D73">
        <v>-5</v>
      </c>
      <c r="E73">
        <v>-1</v>
      </c>
      <c r="F73">
        <v>-1</v>
      </c>
      <c r="G73">
        <v>-1.25</v>
      </c>
      <c r="H73">
        <v>-1</v>
      </c>
      <c r="I73">
        <v>-1</v>
      </c>
      <c r="J73">
        <v>-1.75</v>
      </c>
      <c r="K73">
        <v>1</v>
      </c>
      <c r="L73">
        <v>-1</v>
      </c>
      <c r="M73">
        <v>1</v>
      </c>
      <c r="N73">
        <v>6</v>
      </c>
      <c r="P73">
        <v>2</v>
      </c>
      <c r="AJ73">
        <v>2</v>
      </c>
      <c r="AK73">
        <v>1</v>
      </c>
    </row>
    <row r="74" spans="1:43">
      <c r="A74">
        <v>-4</v>
      </c>
      <c r="B74">
        <v>1</v>
      </c>
      <c r="C74">
        <v>1</v>
      </c>
      <c r="D74">
        <v>-5</v>
      </c>
      <c r="E74">
        <v>-1</v>
      </c>
      <c r="F74">
        <v>1</v>
      </c>
      <c r="G74">
        <v>-5</v>
      </c>
      <c r="H74">
        <v>-1</v>
      </c>
      <c r="I74">
        <v>-1</v>
      </c>
      <c r="J74">
        <v>-4</v>
      </c>
      <c r="K74">
        <v>1</v>
      </c>
      <c r="L74">
        <v>-1</v>
      </c>
      <c r="M74">
        <v>1</v>
      </c>
      <c r="N74">
        <v>7</v>
      </c>
      <c r="P74">
        <v>2</v>
      </c>
      <c r="AJ74">
        <v>3</v>
      </c>
      <c r="AK74">
        <v>1</v>
      </c>
    </row>
    <row r="75" spans="1:43">
      <c r="A75">
        <v>-4</v>
      </c>
      <c r="B75">
        <v>1</v>
      </c>
      <c r="C75">
        <v>1</v>
      </c>
      <c r="D75">
        <v>-4</v>
      </c>
      <c r="E75">
        <v>1</v>
      </c>
      <c r="F75">
        <v>-1</v>
      </c>
      <c r="G75">
        <v>-1.75</v>
      </c>
      <c r="H75">
        <v>1</v>
      </c>
      <c r="I75">
        <v>-1</v>
      </c>
      <c r="J75">
        <v>-1.75</v>
      </c>
      <c r="K75">
        <v>1</v>
      </c>
      <c r="L75">
        <v>1</v>
      </c>
      <c r="M75">
        <v>1</v>
      </c>
      <c r="N75">
        <v>8</v>
      </c>
      <c r="P75">
        <v>2</v>
      </c>
      <c r="AJ75">
        <v>1</v>
      </c>
      <c r="AK75">
        <v>1</v>
      </c>
    </row>
    <row r="76" spans="1:43">
      <c r="A76">
        <v>-5</v>
      </c>
      <c r="B76">
        <v>-1</v>
      </c>
      <c r="C76">
        <v>1</v>
      </c>
      <c r="D76">
        <v>-3</v>
      </c>
      <c r="E76">
        <v>-1</v>
      </c>
      <c r="F76">
        <v>1</v>
      </c>
      <c r="G76">
        <v>-4</v>
      </c>
      <c r="H76">
        <v>-3</v>
      </c>
      <c r="I76">
        <v>1</v>
      </c>
      <c r="J76">
        <v>-6</v>
      </c>
      <c r="K76">
        <v>-3</v>
      </c>
      <c r="L76">
        <v>1</v>
      </c>
      <c r="M76">
        <v>2</v>
      </c>
      <c r="N76">
        <v>5</v>
      </c>
      <c r="P76">
        <v>2</v>
      </c>
      <c r="AK76">
        <v>1</v>
      </c>
    </row>
    <row r="77" spans="1:43">
      <c r="A77">
        <v>-5</v>
      </c>
      <c r="B77">
        <v>-1</v>
      </c>
      <c r="C77">
        <v>-1</v>
      </c>
      <c r="D77">
        <v>-6</v>
      </c>
      <c r="E77">
        <v>-3</v>
      </c>
      <c r="F77">
        <v>-1</v>
      </c>
      <c r="G77">
        <v>-4</v>
      </c>
      <c r="H77">
        <v>-3</v>
      </c>
      <c r="I77">
        <v>-1</v>
      </c>
      <c r="J77">
        <v>-3</v>
      </c>
      <c r="K77">
        <v>-1</v>
      </c>
      <c r="L77">
        <v>-1</v>
      </c>
      <c r="M77">
        <v>2</v>
      </c>
      <c r="N77">
        <v>5</v>
      </c>
      <c r="P77">
        <v>2</v>
      </c>
      <c r="AK77">
        <v>1</v>
      </c>
    </row>
    <row r="78" spans="1:43">
      <c r="A78">
        <v>-5</v>
      </c>
      <c r="B78">
        <v>-1</v>
      </c>
      <c r="C78">
        <v>1</v>
      </c>
      <c r="D78">
        <v>-6</v>
      </c>
      <c r="E78">
        <v>-3</v>
      </c>
      <c r="F78">
        <v>1</v>
      </c>
      <c r="G78">
        <v>-6</v>
      </c>
      <c r="H78">
        <v>-3</v>
      </c>
      <c r="I78">
        <v>-1</v>
      </c>
      <c r="J78">
        <v>-5</v>
      </c>
      <c r="K78">
        <v>-1</v>
      </c>
      <c r="L78">
        <v>-1</v>
      </c>
      <c r="M78">
        <v>2</v>
      </c>
      <c r="N78">
        <v>6</v>
      </c>
      <c r="P78">
        <v>2</v>
      </c>
      <c r="AK78">
        <v>1</v>
      </c>
    </row>
    <row r="79" spans="1:43">
      <c r="A79">
        <v>-3</v>
      </c>
      <c r="B79">
        <v>-1</v>
      </c>
      <c r="C79">
        <v>1</v>
      </c>
      <c r="D79">
        <v>-3</v>
      </c>
      <c r="E79">
        <v>-1</v>
      </c>
      <c r="F79">
        <v>-1</v>
      </c>
      <c r="G79">
        <v>-4</v>
      </c>
      <c r="H79">
        <v>-3</v>
      </c>
      <c r="I79">
        <v>-1</v>
      </c>
      <c r="J79">
        <v>-4</v>
      </c>
      <c r="K79">
        <v>-3</v>
      </c>
      <c r="L79">
        <v>1</v>
      </c>
      <c r="M79">
        <v>2</v>
      </c>
      <c r="N79">
        <v>4</v>
      </c>
      <c r="P79">
        <v>2</v>
      </c>
      <c r="AK79">
        <v>1</v>
      </c>
    </row>
    <row r="80" spans="1:43">
      <c r="B80">
        <v>1</v>
      </c>
      <c r="C80">
        <v>1.55</v>
      </c>
      <c r="D80">
        <v>5</v>
      </c>
      <c r="E80">
        <v>1</v>
      </c>
      <c r="F80">
        <v>1.55</v>
      </c>
      <c r="G80">
        <v>4.5</v>
      </c>
      <c r="H80">
        <v>-1</v>
      </c>
      <c r="I80">
        <v>1.55</v>
      </c>
      <c r="J80">
        <v>-0.5</v>
      </c>
      <c r="K80">
        <v>-1</v>
      </c>
      <c r="L80">
        <v>1.55</v>
      </c>
      <c r="M80">
        <v>7</v>
      </c>
      <c r="N80">
        <v>7</v>
      </c>
      <c r="P80">
        <v>2</v>
      </c>
      <c r="AK80">
        <v>1</v>
      </c>
    </row>
    <row r="81" spans="1:43">
      <c r="B81">
        <v>1</v>
      </c>
      <c r="C81">
        <v>-1.55</v>
      </c>
      <c r="D81">
        <v>-0.5</v>
      </c>
      <c r="E81">
        <v>-1</v>
      </c>
      <c r="F81">
        <v>-1.55</v>
      </c>
      <c r="G81">
        <v>4.5</v>
      </c>
      <c r="H81">
        <v>-1</v>
      </c>
      <c r="I81">
        <v>-1.55</v>
      </c>
      <c r="J81">
        <v>5</v>
      </c>
      <c r="K81">
        <v>1</v>
      </c>
      <c r="L81">
        <v>-1.55</v>
      </c>
      <c r="M81">
        <v>7</v>
      </c>
      <c r="N81">
        <v>7</v>
      </c>
      <c r="P81">
        <v>2</v>
      </c>
      <c r="AK81">
        <v>1</v>
      </c>
    </row>
    <row r="82" spans="1:43">
      <c r="A82">
        <v>5.5</v>
      </c>
      <c r="C82">
        <v>0.75</v>
      </c>
      <c r="D82">
        <v>5.56</v>
      </c>
      <c r="E82">
        <v>1</v>
      </c>
      <c r="G82">
        <v>5.5</v>
      </c>
      <c r="I82">
        <v>-0.75</v>
      </c>
      <c r="J82">
        <v>5.44</v>
      </c>
      <c r="K82">
        <v>-1</v>
      </c>
      <c r="M82">
        <v>6</v>
      </c>
      <c r="N82">
        <v>4</v>
      </c>
      <c r="P82">
        <v>2</v>
      </c>
      <c r="AK82">
        <v>1</v>
      </c>
    </row>
    <row r="83" spans="1:43">
      <c r="A83">
        <v>-1.5</v>
      </c>
      <c r="B83">
        <v>2</v>
      </c>
      <c r="C83">
        <v>0.75</v>
      </c>
      <c r="D83">
        <v>-1.5</v>
      </c>
      <c r="E83">
        <v>2</v>
      </c>
      <c r="F83">
        <v>-0.75</v>
      </c>
      <c r="G83">
        <v>-1</v>
      </c>
      <c r="H83">
        <v>2</v>
      </c>
      <c r="I83">
        <v>-0.75</v>
      </c>
      <c r="J83">
        <v>-1</v>
      </c>
      <c r="K83">
        <v>2</v>
      </c>
      <c r="L83">
        <v>0.75</v>
      </c>
      <c r="M83">
        <v>3</v>
      </c>
      <c r="N83">
        <v>11</v>
      </c>
      <c r="P83">
        <v>2</v>
      </c>
      <c r="AK83">
        <v>1</v>
      </c>
    </row>
    <row r="84" spans="1:43">
      <c r="A84">
        <v>-0.95</v>
      </c>
      <c r="B84">
        <v>2.1</v>
      </c>
      <c r="C84">
        <v>0.75</v>
      </c>
      <c r="D84">
        <v>-0.95</v>
      </c>
      <c r="E84">
        <v>2.1</v>
      </c>
      <c r="F84">
        <v>-0.75</v>
      </c>
      <c r="G84">
        <v>3</v>
      </c>
      <c r="H84">
        <v>2.1</v>
      </c>
      <c r="I84">
        <v>-0.75</v>
      </c>
      <c r="J84">
        <v>3</v>
      </c>
      <c r="K84">
        <v>2.1</v>
      </c>
      <c r="L84">
        <v>0.75</v>
      </c>
      <c r="M84">
        <v>6</v>
      </c>
      <c r="N84">
        <v>4</v>
      </c>
      <c r="P84">
        <v>2</v>
      </c>
      <c r="AK84">
        <v>1</v>
      </c>
    </row>
    <row r="85" spans="1:43">
      <c r="A85">
        <v>4</v>
      </c>
      <c r="B85">
        <v>2.1</v>
      </c>
      <c r="C85">
        <v>0.75</v>
      </c>
      <c r="D85">
        <v>4</v>
      </c>
      <c r="E85">
        <v>2.1</v>
      </c>
      <c r="F85">
        <v>-0.75</v>
      </c>
      <c r="G85">
        <v>5</v>
      </c>
      <c r="H85">
        <v>2.1</v>
      </c>
      <c r="I85">
        <v>-0.75</v>
      </c>
      <c r="J85">
        <v>5</v>
      </c>
      <c r="K85">
        <v>2.1</v>
      </c>
      <c r="L85">
        <v>0.75</v>
      </c>
      <c r="M85">
        <v>6</v>
      </c>
      <c r="N85">
        <v>8</v>
      </c>
      <c r="P85">
        <v>2</v>
      </c>
      <c r="AK85">
        <v>1</v>
      </c>
    </row>
    <row r="87" spans="1:43">
      <c r="A87">
        <v>-3</v>
      </c>
      <c r="C87">
        <v>2</v>
      </c>
      <c r="D87">
        <v>-3</v>
      </c>
      <c r="E87">
        <v>2</v>
      </c>
      <c r="F87">
        <v>2</v>
      </c>
      <c r="G87">
        <v>3</v>
      </c>
      <c r="H87">
        <v>2</v>
      </c>
      <c r="I87">
        <v>2</v>
      </c>
      <c r="J87">
        <v>3</v>
      </c>
      <c r="L87">
        <v>2</v>
      </c>
      <c r="M87">
        <v>5</v>
      </c>
      <c r="N87">
        <v>7</v>
      </c>
      <c r="P87">
        <v>3</v>
      </c>
      <c r="S87">
        <v>4</v>
      </c>
      <c r="U87">
        <v>100</v>
      </c>
      <c r="X87">
        <v>80</v>
      </c>
      <c r="Y87">
        <v>25</v>
      </c>
      <c r="AA87">
        <v>5</v>
      </c>
      <c r="AB87">
        <v>20</v>
      </c>
      <c r="AJ87">
        <v>2</v>
      </c>
      <c r="AK87">
        <v>1</v>
      </c>
      <c r="AP87">
        <v>8</v>
      </c>
      <c r="AQ87" t="s">
        <v>965</v>
      </c>
    </row>
    <row r="88" spans="1:43">
      <c r="A88">
        <v>-3</v>
      </c>
      <c r="C88">
        <v>-2</v>
      </c>
      <c r="D88">
        <v>3</v>
      </c>
      <c r="F88">
        <v>-2</v>
      </c>
      <c r="G88">
        <v>3</v>
      </c>
      <c r="H88">
        <v>2</v>
      </c>
      <c r="I88">
        <v>-2</v>
      </c>
      <c r="J88">
        <v>-3</v>
      </c>
      <c r="K88">
        <v>2</v>
      </c>
      <c r="L88">
        <v>-2</v>
      </c>
      <c r="M88">
        <v>5</v>
      </c>
      <c r="N88">
        <v>7</v>
      </c>
      <c r="P88">
        <v>3</v>
      </c>
      <c r="AJ88">
        <v>2</v>
      </c>
      <c r="AK88">
        <v>1</v>
      </c>
    </row>
    <row r="89" spans="1:43">
      <c r="A89">
        <v>3</v>
      </c>
      <c r="B89">
        <v>2</v>
      </c>
      <c r="C89">
        <v>2</v>
      </c>
      <c r="D89">
        <v>3</v>
      </c>
      <c r="E89">
        <v>2</v>
      </c>
      <c r="F89">
        <v>-2</v>
      </c>
      <c r="G89">
        <v>3</v>
      </c>
      <c r="I89">
        <v>-2</v>
      </c>
      <c r="J89">
        <v>3</v>
      </c>
      <c r="L89">
        <v>2</v>
      </c>
      <c r="M89">
        <v>5</v>
      </c>
      <c r="N89">
        <v>8</v>
      </c>
      <c r="P89">
        <v>3</v>
      </c>
      <c r="AJ89">
        <v>2</v>
      </c>
      <c r="AK89">
        <v>1</v>
      </c>
    </row>
    <row r="90" spans="1:43">
      <c r="A90">
        <v>-3</v>
      </c>
      <c r="B90">
        <v>2</v>
      </c>
      <c r="C90">
        <v>2</v>
      </c>
      <c r="D90">
        <v>-3</v>
      </c>
      <c r="F90">
        <v>2</v>
      </c>
      <c r="G90">
        <v>-3</v>
      </c>
      <c r="I90">
        <v>-2</v>
      </c>
      <c r="J90">
        <v>-3</v>
      </c>
      <c r="K90">
        <v>2</v>
      </c>
      <c r="L90">
        <v>-2</v>
      </c>
      <c r="M90">
        <v>5</v>
      </c>
      <c r="N90">
        <v>8</v>
      </c>
      <c r="P90">
        <v>3</v>
      </c>
      <c r="AJ90">
        <v>2</v>
      </c>
      <c r="AK90">
        <v>1</v>
      </c>
    </row>
    <row r="91" spans="1:43">
      <c r="A91">
        <v>-3</v>
      </c>
      <c r="B91">
        <v>2.02</v>
      </c>
      <c r="C91">
        <v>2</v>
      </c>
      <c r="D91">
        <v>-3</v>
      </c>
      <c r="E91">
        <v>2.02</v>
      </c>
      <c r="F91">
        <v>-2</v>
      </c>
      <c r="G91">
        <v>3</v>
      </c>
      <c r="H91">
        <v>2.02</v>
      </c>
      <c r="I91">
        <v>-2</v>
      </c>
      <c r="J91">
        <v>3</v>
      </c>
      <c r="K91">
        <v>2.02</v>
      </c>
      <c r="L91">
        <v>2</v>
      </c>
      <c r="M91">
        <v>5</v>
      </c>
      <c r="N91">
        <v>7</v>
      </c>
      <c r="P91">
        <v>3</v>
      </c>
      <c r="AK91">
        <v>1</v>
      </c>
    </row>
    <row r="92" spans="1:43">
      <c r="A92">
        <v>-2</v>
      </c>
      <c r="B92">
        <v>3</v>
      </c>
      <c r="C92">
        <v>0.5</v>
      </c>
      <c r="D92">
        <v>-1</v>
      </c>
      <c r="E92">
        <v>3</v>
      </c>
      <c r="F92">
        <v>0.5</v>
      </c>
      <c r="G92">
        <v>-1</v>
      </c>
      <c r="H92">
        <v>2</v>
      </c>
      <c r="I92">
        <v>0.5</v>
      </c>
      <c r="J92">
        <v>-2</v>
      </c>
      <c r="K92">
        <v>2</v>
      </c>
      <c r="L92">
        <v>0.5</v>
      </c>
      <c r="M92">
        <v>1</v>
      </c>
      <c r="N92">
        <v>7</v>
      </c>
      <c r="P92">
        <v>3</v>
      </c>
      <c r="AJ92">
        <v>3</v>
      </c>
      <c r="AK92">
        <v>1</v>
      </c>
    </row>
    <row r="93" spans="1:43">
      <c r="A93">
        <v>-2</v>
      </c>
      <c r="B93">
        <v>3</v>
      </c>
      <c r="C93">
        <v>-0.5</v>
      </c>
      <c r="D93">
        <v>-2</v>
      </c>
      <c r="E93">
        <v>2</v>
      </c>
      <c r="F93">
        <v>-0.5</v>
      </c>
      <c r="G93">
        <v>-1</v>
      </c>
      <c r="H93">
        <v>2</v>
      </c>
      <c r="I93">
        <v>-0.5</v>
      </c>
      <c r="J93">
        <v>-1</v>
      </c>
      <c r="K93">
        <v>3</v>
      </c>
      <c r="L93">
        <v>-0.5</v>
      </c>
      <c r="M93">
        <v>1</v>
      </c>
      <c r="N93">
        <v>7</v>
      </c>
      <c r="P93">
        <v>3</v>
      </c>
      <c r="AJ93">
        <v>3</v>
      </c>
      <c r="AK93">
        <v>1</v>
      </c>
    </row>
    <row r="94" spans="1:43">
      <c r="A94">
        <v>-2</v>
      </c>
      <c r="B94">
        <v>3</v>
      </c>
      <c r="C94">
        <v>-0.5</v>
      </c>
      <c r="D94">
        <v>-2</v>
      </c>
      <c r="E94">
        <v>3</v>
      </c>
      <c r="F94">
        <v>0.5</v>
      </c>
      <c r="G94">
        <v>-2</v>
      </c>
      <c r="H94">
        <v>2</v>
      </c>
      <c r="I94">
        <v>0.5</v>
      </c>
      <c r="J94">
        <v>-2</v>
      </c>
      <c r="K94">
        <v>2</v>
      </c>
      <c r="L94">
        <v>-0.5</v>
      </c>
      <c r="M94">
        <v>1</v>
      </c>
      <c r="N94">
        <v>6</v>
      </c>
      <c r="P94">
        <v>3</v>
      </c>
      <c r="AJ94">
        <v>3</v>
      </c>
      <c r="AK94">
        <v>1</v>
      </c>
    </row>
    <row r="95" spans="1:43">
      <c r="A95">
        <v>-1</v>
      </c>
      <c r="B95">
        <v>3</v>
      </c>
      <c r="C95">
        <v>-0.5</v>
      </c>
      <c r="D95">
        <v>-1</v>
      </c>
      <c r="E95">
        <v>2</v>
      </c>
      <c r="F95">
        <v>-0.5</v>
      </c>
      <c r="G95">
        <v>-1</v>
      </c>
      <c r="H95">
        <v>2</v>
      </c>
      <c r="I95">
        <v>0.5</v>
      </c>
      <c r="J95">
        <v>-1</v>
      </c>
      <c r="K95">
        <v>3</v>
      </c>
      <c r="L95">
        <v>0.5</v>
      </c>
      <c r="M95">
        <v>1</v>
      </c>
      <c r="N95">
        <v>6</v>
      </c>
      <c r="P95">
        <v>3</v>
      </c>
      <c r="AJ95">
        <v>3</v>
      </c>
      <c r="AK95">
        <v>1</v>
      </c>
    </row>
    <row r="96" spans="1:43">
      <c r="A96">
        <v>-2</v>
      </c>
      <c r="B96">
        <v>3.02</v>
      </c>
      <c r="C96">
        <v>-0.5</v>
      </c>
      <c r="D96">
        <v>-1</v>
      </c>
      <c r="E96">
        <v>3.02</v>
      </c>
      <c r="F96">
        <v>-0.5</v>
      </c>
      <c r="G96">
        <v>-1</v>
      </c>
      <c r="H96">
        <v>3.02</v>
      </c>
      <c r="I96">
        <v>0.5</v>
      </c>
      <c r="J96">
        <v>-2</v>
      </c>
      <c r="K96">
        <v>3.02</v>
      </c>
      <c r="L96">
        <v>0.5</v>
      </c>
      <c r="M96">
        <v>1</v>
      </c>
      <c r="N96">
        <v>8</v>
      </c>
      <c r="P96">
        <v>3</v>
      </c>
      <c r="AJ96">
        <v>3</v>
      </c>
      <c r="AK96">
        <v>1</v>
      </c>
    </row>
    <row r="97" spans="1:43">
      <c r="A97">
        <v>2</v>
      </c>
      <c r="B97">
        <v>3</v>
      </c>
      <c r="C97">
        <v>0.5</v>
      </c>
      <c r="D97">
        <v>2</v>
      </c>
      <c r="E97">
        <v>2</v>
      </c>
      <c r="F97">
        <v>0.5</v>
      </c>
      <c r="G97">
        <v>1</v>
      </c>
      <c r="H97">
        <v>2</v>
      </c>
      <c r="I97">
        <v>0.5</v>
      </c>
      <c r="J97">
        <v>1</v>
      </c>
      <c r="K97">
        <v>3</v>
      </c>
      <c r="L97">
        <v>0.5</v>
      </c>
      <c r="M97">
        <v>1</v>
      </c>
      <c r="N97">
        <v>7</v>
      </c>
      <c r="P97">
        <v>3</v>
      </c>
      <c r="AJ97">
        <v>3</v>
      </c>
      <c r="AK97">
        <v>1</v>
      </c>
    </row>
    <row r="98" spans="1:43">
      <c r="A98">
        <v>2</v>
      </c>
      <c r="B98">
        <v>3</v>
      </c>
      <c r="C98">
        <v>-0.5</v>
      </c>
      <c r="D98">
        <v>1</v>
      </c>
      <c r="E98">
        <v>3</v>
      </c>
      <c r="F98">
        <v>-0.5</v>
      </c>
      <c r="G98">
        <v>1</v>
      </c>
      <c r="H98">
        <v>2</v>
      </c>
      <c r="I98">
        <v>-0.5</v>
      </c>
      <c r="J98">
        <v>2</v>
      </c>
      <c r="K98">
        <v>2</v>
      </c>
      <c r="L98">
        <v>-0.5</v>
      </c>
      <c r="M98">
        <v>1</v>
      </c>
      <c r="N98">
        <v>7</v>
      </c>
      <c r="P98">
        <v>3</v>
      </c>
      <c r="AJ98">
        <v>3</v>
      </c>
      <c r="AK98">
        <v>1</v>
      </c>
    </row>
    <row r="99" spans="1:43">
      <c r="A99">
        <v>2</v>
      </c>
      <c r="B99">
        <v>3</v>
      </c>
      <c r="C99">
        <v>-0.5</v>
      </c>
      <c r="D99">
        <v>2</v>
      </c>
      <c r="E99">
        <v>2</v>
      </c>
      <c r="F99">
        <v>-0.5</v>
      </c>
      <c r="G99">
        <v>2</v>
      </c>
      <c r="H99">
        <v>2</v>
      </c>
      <c r="I99">
        <v>0.5</v>
      </c>
      <c r="J99">
        <v>2</v>
      </c>
      <c r="K99">
        <v>3</v>
      </c>
      <c r="L99">
        <v>0.5</v>
      </c>
      <c r="M99">
        <v>1</v>
      </c>
      <c r="N99">
        <v>6</v>
      </c>
      <c r="P99">
        <v>3</v>
      </c>
      <c r="AJ99">
        <v>3</v>
      </c>
      <c r="AK99">
        <v>1</v>
      </c>
    </row>
    <row r="100" spans="1:43">
      <c r="A100">
        <v>1</v>
      </c>
      <c r="B100">
        <v>3</v>
      </c>
      <c r="C100">
        <v>-0.5</v>
      </c>
      <c r="D100">
        <v>1</v>
      </c>
      <c r="E100">
        <v>3</v>
      </c>
      <c r="F100">
        <v>0.5</v>
      </c>
      <c r="G100">
        <v>1</v>
      </c>
      <c r="H100">
        <v>2</v>
      </c>
      <c r="I100">
        <v>0.5</v>
      </c>
      <c r="J100">
        <v>1</v>
      </c>
      <c r="K100">
        <v>2</v>
      </c>
      <c r="L100">
        <v>-0.5</v>
      </c>
      <c r="M100">
        <v>1</v>
      </c>
      <c r="N100">
        <v>6</v>
      </c>
      <c r="P100">
        <v>3</v>
      </c>
      <c r="AJ100">
        <v>3</v>
      </c>
      <c r="AK100">
        <v>1</v>
      </c>
    </row>
    <row r="101" spans="1:43">
      <c r="A101">
        <v>2</v>
      </c>
      <c r="B101">
        <v>3.02</v>
      </c>
      <c r="C101">
        <v>-0.5</v>
      </c>
      <c r="D101">
        <v>2</v>
      </c>
      <c r="E101">
        <v>3.02</v>
      </c>
      <c r="F101">
        <v>0.5</v>
      </c>
      <c r="G101">
        <v>1</v>
      </c>
      <c r="H101">
        <v>3.02</v>
      </c>
      <c r="I101">
        <v>0.5</v>
      </c>
      <c r="J101">
        <v>1</v>
      </c>
      <c r="K101">
        <v>3.02</v>
      </c>
      <c r="L101">
        <v>-0.5</v>
      </c>
      <c r="M101">
        <v>1</v>
      </c>
      <c r="N101">
        <v>8</v>
      </c>
      <c r="P101">
        <v>3</v>
      </c>
      <c r="AJ101">
        <v>3</v>
      </c>
      <c r="AK101">
        <v>1</v>
      </c>
    </row>
    <row r="102" spans="1:43">
      <c r="A102">
        <v>-3</v>
      </c>
      <c r="C102">
        <v>2</v>
      </c>
      <c r="D102">
        <v>3</v>
      </c>
      <c r="F102">
        <v>2</v>
      </c>
      <c r="G102">
        <v>3</v>
      </c>
      <c r="H102">
        <v>-3</v>
      </c>
      <c r="I102">
        <v>2</v>
      </c>
      <c r="J102">
        <v>-3</v>
      </c>
      <c r="K102">
        <v>-3</v>
      </c>
      <c r="L102">
        <v>2</v>
      </c>
      <c r="M102">
        <v>6</v>
      </c>
      <c r="N102">
        <v>6</v>
      </c>
      <c r="P102">
        <v>3</v>
      </c>
      <c r="AJ102">
        <v>2</v>
      </c>
      <c r="AK102">
        <v>1</v>
      </c>
    </row>
    <row r="103" spans="1:43">
      <c r="A103">
        <v>-3</v>
      </c>
      <c r="C103">
        <v>-2</v>
      </c>
      <c r="D103">
        <v>-3</v>
      </c>
      <c r="E103">
        <v>-3</v>
      </c>
      <c r="F103">
        <v>-2</v>
      </c>
      <c r="G103">
        <v>3</v>
      </c>
      <c r="H103">
        <v>-3</v>
      </c>
      <c r="I103">
        <v>-2</v>
      </c>
      <c r="J103">
        <v>3</v>
      </c>
      <c r="L103">
        <v>-2</v>
      </c>
      <c r="M103">
        <v>6</v>
      </c>
      <c r="N103">
        <v>6</v>
      </c>
      <c r="P103">
        <v>3</v>
      </c>
      <c r="AJ103">
        <v>2</v>
      </c>
      <c r="AK103">
        <v>1</v>
      </c>
    </row>
    <row r="104" spans="1:43">
      <c r="A104">
        <v>-3</v>
      </c>
      <c r="C104">
        <v>-2</v>
      </c>
      <c r="D104">
        <v>-3</v>
      </c>
      <c r="F104">
        <v>2</v>
      </c>
      <c r="G104">
        <v>-3</v>
      </c>
      <c r="H104">
        <v>-3</v>
      </c>
      <c r="I104">
        <v>2</v>
      </c>
      <c r="J104">
        <v>-3</v>
      </c>
      <c r="K104">
        <v>-3</v>
      </c>
      <c r="L104">
        <v>-2</v>
      </c>
      <c r="M104">
        <v>6</v>
      </c>
      <c r="N104">
        <v>7</v>
      </c>
      <c r="P104">
        <v>3</v>
      </c>
      <c r="AJ104">
        <v>2</v>
      </c>
      <c r="AK104">
        <v>1</v>
      </c>
    </row>
    <row r="105" spans="1:43">
      <c r="A105">
        <v>3</v>
      </c>
      <c r="C105">
        <v>-2</v>
      </c>
      <c r="D105">
        <v>3</v>
      </c>
      <c r="E105">
        <v>-3</v>
      </c>
      <c r="F105">
        <v>-2</v>
      </c>
      <c r="G105">
        <v>3</v>
      </c>
      <c r="H105">
        <v>-3</v>
      </c>
      <c r="I105">
        <v>2</v>
      </c>
      <c r="J105">
        <v>3</v>
      </c>
      <c r="L105">
        <v>2</v>
      </c>
      <c r="M105">
        <v>6</v>
      </c>
      <c r="N105">
        <v>7</v>
      </c>
      <c r="P105">
        <v>3</v>
      </c>
      <c r="AJ105">
        <v>2</v>
      </c>
      <c r="AK105">
        <v>1</v>
      </c>
    </row>
    <row r="106" spans="1:43">
      <c r="A106">
        <v>-3.05</v>
      </c>
      <c r="B106">
        <v>1.2</v>
      </c>
      <c r="C106">
        <v>-0.7</v>
      </c>
      <c r="D106">
        <v>-3.05</v>
      </c>
      <c r="E106">
        <v>1.2</v>
      </c>
      <c r="F106">
        <v>0.7</v>
      </c>
      <c r="G106">
        <v>-3.05</v>
      </c>
      <c r="H106">
        <v>0.8</v>
      </c>
      <c r="I106">
        <v>0.7</v>
      </c>
      <c r="J106">
        <v>-3.05</v>
      </c>
      <c r="K106">
        <v>0.8</v>
      </c>
      <c r="L106">
        <v>-0.7</v>
      </c>
      <c r="M106">
        <v>1</v>
      </c>
      <c r="N106">
        <v>3</v>
      </c>
      <c r="P106">
        <v>3</v>
      </c>
      <c r="AK106">
        <v>1</v>
      </c>
    </row>
    <row r="107" spans="1:43">
      <c r="A107">
        <v>-3.05</v>
      </c>
      <c r="B107">
        <v>1.7</v>
      </c>
      <c r="C107">
        <v>-0.25</v>
      </c>
      <c r="D107">
        <v>-3.05</v>
      </c>
      <c r="E107">
        <v>1.7</v>
      </c>
      <c r="F107">
        <v>0.25</v>
      </c>
      <c r="G107">
        <v>-3.05</v>
      </c>
      <c r="H107">
        <v>0.3</v>
      </c>
      <c r="I107">
        <v>0.25</v>
      </c>
      <c r="J107">
        <v>-3.05</v>
      </c>
      <c r="K107">
        <v>0.3</v>
      </c>
      <c r="L107">
        <v>-0.25</v>
      </c>
      <c r="M107">
        <v>1</v>
      </c>
      <c r="N107">
        <v>3</v>
      </c>
      <c r="P107">
        <v>3</v>
      </c>
      <c r="AK107">
        <v>1</v>
      </c>
    </row>
    <row r="108" spans="1:43">
      <c r="A108">
        <v>3.05</v>
      </c>
      <c r="B108">
        <v>1.2</v>
      </c>
      <c r="C108">
        <v>-0.7</v>
      </c>
      <c r="D108">
        <v>3.05</v>
      </c>
      <c r="E108">
        <v>0.8</v>
      </c>
      <c r="F108">
        <v>-0.7</v>
      </c>
      <c r="G108">
        <v>3.05</v>
      </c>
      <c r="H108">
        <v>0.8</v>
      </c>
      <c r="I108">
        <v>0.7</v>
      </c>
      <c r="J108">
        <v>3.05</v>
      </c>
      <c r="K108">
        <v>1.2</v>
      </c>
      <c r="L108">
        <v>0.7</v>
      </c>
      <c r="M108">
        <v>1</v>
      </c>
      <c r="N108">
        <v>3</v>
      </c>
      <c r="P108">
        <v>3</v>
      </c>
      <c r="AK108">
        <v>1</v>
      </c>
    </row>
    <row r="110" spans="1:43">
      <c r="A110">
        <v>4</v>
      </c>
      <c r="C110">
        <v>-4</v>
      </c>
      <c r="D110">
        <v>-4</v>
      </c>
      <c r="F110">
        <v>-4</v>
      </c>
      <c r="G110">
        <v>-4</v>
      </c>
      <c r="H110">
        <v>-4</v>
      </c>
      <c r="I110">
        <v>-4</v>
      </c>
      <c r="J110">
        <v>4</v>
      </c>
      <c r="K110">
        <v>-4</v>
      </c>
      <c r="L110">
        <v>-4</v>
      </c>
      <c r="M110">
        <v>5</v>
      </c>
      <c r="N110">
        <v>6</v>
      </c>
      <c r="P110">
        <v>3</v>
      </c>
      <c r="S110">
        <v>4</v>
      </c>
      <c r="U110">
        <v>140</v>
      </c>
      <c r="X110">
        <v>90</v>
      </c>
      <c r="Y110">
        <v>24</v>
      </c>
      <c r="AA110">
        <v>260</v>
      </c>
      <c r="AB110">
        <v>5</v>
      </c>
      <c r="AH110">
        <v>106</v>
      </c>
      <c r="AI110">
        <v>16</v>
      </c>
      <c r="AK110">
        <v>1</v>
      </c>
      <c r="AP110">
        <v>9</v>
      </c>
      <c r="AQ110" t="s">
        <v>966</v>
      </c>
    </row>
    <row r="111" spans="1:43">
      <c r="A111">
        <v>-4</v>
      </c>
      <c r="C111">
        <v>4</v>
      </c>
      <c r="D111">
        <v>4</v>
      </c>
      <c r="F111">
        <v>4</v>
      </c>
      <c r="G111">
        <v>4</v>
      </c>
      <c r="H111">
        <v>-4</v>
      </c>
      <c r="I111">
        <v>4</v>
      </c>
      <c r="J111">
        <v>-4</v>
      </c>
      <c r="K111">
        <v>-4</v>
      </c>
      <c r="L111">
        <v>4</v>
      </c>
      <c r="M111">
        <v>5</v>
      </c>
      <c r="N111">
        <v>6</v>
      </c>
      <c r="P111">
        <v>3</v>
      </c>
      <c r="AH111">
        <v>107</v>
      </c>
      <c r="AI111">
        <v>16</v>
      </c>
      <c r="AK111">
        <v>1</v>
      </c>
    </row>
    <row r="112" spans="1:43">
      <c r="A112">
        <v>-4</v>
      </c>
      <c r="C112">
        <v>-4</v>
      </c>
      <c r="D112">
        <v>-4</v>
      </c>
      <c r="F112">
        <v>4</v>
      </c>
      <c r="G112">
        <v>-4</v>
      </c>
      <c r="H112">
        <v>-4</v>
      </c>
      <c r="I112">
        <v>4</v>
      </c>
      <c r="J112">
        <v>-4</v>
      </c>
      <c r="K112">
        <v>-4</v>
      </c>
      <c r="L112">
        <v>-4</v>
      </c>
      <c r="M112">
        <v>5</v>
      </c>
      <c r="N112">
        <v>6</v>
      </c>
      <c r="P112">
        <v>3</v>
      </c>
      <c r="AH112">
        <v>106</v>
      </c>
      <c r="AI112">
        <v>16</v>
      </c>
      <c r="AK112">
        <v>1</v>
      </c>
    </row>
    <row r="113" spans="1:43">
      <c r="A113">
        <v>4</v>
      </c>
      <c r="C113">
        <v>4</v>
      </c>
      <c r="D113">
        <v>4</v>
      </c>
      <c r="F113">
        <v>-4</v>
      </c>
      <c r="G113">
        <v>4</v>
      </c>
      <c r="H113">
        <v>-4</v>
      </c>
      <c r="I113">
        <v>-4</v>
      </c>
      <c r="J113">
        <v>4</v>
      </c>
      <c r="K113">
        <v>-4</v>
      </c>
      <c r="L113">
        <v>4</v>
      </c>
      <c r="M113">
        <v>5</v>
      </c>
      <c r="N113">
        <v>6</v>
      </c>
      <c r="P113">
        <v>3</v>
      </c>
      <c r="AH113">
        <v>106</v>
      </c>
      <c r="AI113">
        <v>16</v>
      </c>
      <c r="AK113">
        <v>1</v>
      </c>
    </row>
    <row r="114" spans="1:43">
      <c r="A114">
        <v>-4</v>
      </c>
      <c r="C114">
        <v>-4</v>
      </c>
      <c r="D114">
        <v>4</v>
      </c>
      <c r="F114">
        <v>-4</v>
      </c>
      <c r="G114">
        <v>4</v>
      </c>
      <c r="I114">
        <v>4</v>
      </c>
      <c r="J114">
        <v>-4</v>
      </c>
      <c r="L114">
        <v>4</v>
      </c>
      <c r="M114">
        <v>5</v>
      </c>
      <c r="N114">
        <v>7</v>
      </c>
      <c r="P114">
        <v>3</v>
      </c>
      <c r="AH114">
        <v>107</v>
      </c>
      <c r="AI114">
        <v>16</v>
      </c>
      <c r="AK114">
        <v>1</v>
      </c>
    </row>
    <row r="115" spans="1:43">
      <c r="A115">
        <v>-4</v>
      </c>
      <c r="B115">
        <v>-4</v>
      </c>
      <c r="C115">
        <v>-4</v>
      </c>
      <c r="D115">
        <v>-4</v>
      </c>
      <c r="E115">
        <v>-4</v>
      </c>
      <c r="F115">
        <v>4</v>
      </c>
      <c r="G115">
        <v>4</v>
      </c>
      <c r="H115">
        <v>-4</v>
      </c>
      <c r="I115">
        <v>4</v>
      </c>
      <c r="J115">
        <v>4</v>
      </c>
      <c r="K115">
        <v>-4</v>
      </c>
      <c r="L115">
        <v>-4</v>
      </c>
      <c r="M115">
        <v>5</v>
      </c>
      <c r="N115">
        <v>5</v>
      </c>
      <c r="P115">
        <v>3</v>
      </c>
      <c r="AK115">
        <v>1</v>
      </c>
    </row>
    <row r="117" spans="1:43">
      <c r="A117">
        <v>-1</v>
      </c>
      <c r="B117">
        <v>-4</v>
      </c>
      <c r="C117">
        <v>1</v>
      </c>
      <c r="D117">
        <v>1</v>
      </c>
      <c r="E117">
        <v>-4</v>
      </c>
      <c r="F117">
        <v>1</v>
      </c>
      <c r="G117">
        <v>1</v>
      </c>
      <c r="H117">
        <v>-4</v>
      </c>
      <c r="I117">
        <v>-1</v>
      </c>
      <c r="J117">
        <v>-1</v>
      </c>
      <c r="K117">
        <v>-4</v>
      </c>
      <c r="L117">
        <v>-1</v>
      </c>
      <c r="M117">
        <v>2</v>
      </c>
      <c r="N117">
        <v>6</v>
      </c>
      <c r="P117">
        <v>3</v>
      </c>
      <c r="S117">
        <v>4</v>
      </c>
      <c r="U117">
        <v>100</v>
      </c>
      <c r="X117">
        <v>80</v>
      </c>
      <c r="Y117">
        <v>25</v>
      </c>
      <c r="AA117">
        <v>260</v>
      </c>
      <c r="AB117">
        <v>1</v>
      </c>
      <c r="AK117">
        <v>1</v>
      </c>
      <c r="AP117">
        <v>10</v>
      </c>
      <c r="AQ117" t="s">
        <v>968</v>
      </c>
    </row>
    <row r="118" spans="1:43">
      <c r="A118">
        <v>-1</v>
      </c>
      <c r="B118">
        <v>1</v>
      </c>
      <c r="C118">
        <v>1</v>
      </c>
      <c r="D118">
        <v>1</v>
      </c>
      <c r="E118">
        <v>1</v>
      </c>
      <c r="F118">
        <v>1</v>
      </c>
      <c r="G118">
        <v>1</v>
      </c>
      <c r="H118">
        <v>-4</v>
      </c>
      <c r="I118">
        <v>1</v>
      </c>
      <c r="J118">
        <v>-1</v>
      </c>
      <c r="K118">
        <v>-4</v>
      </c>
      <c r="L118">
        <v>1</v>
      </c>
      <c r="M118">
        <v>2</v>
      </c>
      <c r="N118">
        <v>8</v>
      </c>
      <c r="P118">
        <v>3</v>
      </c>
      <c r="AH118">
        <v>11</v>
      </c>
      <c r="AI118">
        <v>32</v>
      </c>
      <c r="AK118">
        <v>1</v>
      </c>
    </row>
    <row r="119" spans="1:43">
      <c r="A119">
        <v>1</v>
      </c>
      <c r="B119">
        <v>1</v>
      </c>
      <c r="C119">
        <v>1</v>
      </c>
      <c r="D119">
        <v>1</v>
      </c>
      <c r="E119">
        <v>1</v>
      </c>
      <c r="F119">
        <v>-1</v>
      </c>
      <c r="G119">
        <v>1</v>
      </c>
      <c r="H119">
        <v>-4</v>
      </c>
      <c r="I119">
        <v>-1</v>
      </c>
      <c r="J119">
        <v>1</v>
      </c>
      <c r="K119">
        <v>-4</v>
      </c>
      <c r="L119">
        <v>1</v>
      </c>
      <c r="M119">
        <v>2</v>
      </c>
      <c r="N119">
        <v>8</v>
      </c>
      <c r="P119">
        <v>3</v>
      </c>
      <c r="AH119">
        <v>11</v>
      </c>
      <c r="AI119">
        <v>32</v>
      </c>
      <c r="AK119">
        <v>1</v>
      </c>
    </row>
    <row r="120" spans="1:43">
      <c r="A120">
        <v>1</v>
      </c>
      <c r="B120">
        <v>1</v>
      </c>
      <c r="C120">
        <v>-1</v>
      </c>
      <c r="D120">
        <v>-1</v>
      </c>
      <c r="E120">
        <v>1</v>
      </c>
      <c r="F120">
        <v>-1</v>
      </c>
      <c r="G120">
        <v>-1</v>
      </c>
      <c r="H120">
        <v>-4</v>
      </c>
      <c r="I120">
        <v>-1</v>
      </c>
      <c r="J120">
        <v>1</v>
      </c>
      <c r="K120">
        <v>-4</v>
      </c>
      <c r="L120">
        <v>-1</v>
      </c>
      <c r="M120">
        <v>2</v>
      </c>
      <c r="N120">
        <v>8</v>
      </c>
      <c r="P120">
        <v>3</v>
      </c>
      <c r="AH120">
        <v>11</v>
      </c>
      <c r="AI120">
        <v>32</v>
      </c>
      <c r="AK120">
        <v>1</v>
      </c>
    </row>
    <row r="121" spans="1:43">
      <c r="A121">
        <v>-1</v>
      </c>
      <c r="B121">
        <v>1</v>
      </c>
      <c r="C121">
        <v>-1</v>
      </c>
      <c r="D121">
        <v>-1</v>
      </c>
      <c r="E121">
        <v>1</v>
      </c>
      <c r="F121">
        <v>1</v>
      </c>
      <c r="G121">
        <v>-1</v>
      </c>
      <c r="H121">
        <v>-4</v>
      </c>
      <c r="I121">
        <v>1</v>
      </c>
      <c r="J121">
        <v>-1</v>
      </c>
      <c r="K121">
        <v>-4</v>
      </c>
      <c r="L121">
        <v>-1</v>
      </c>
      <c r="M121">
        <v>2</v>
      </c>
      <c r="N121">
        <v>8</v>
      </c>
      <c r="P121">
        <v>3</v>
      </c>
      <c r="AH121">
        <v>11</v>
      </c>
      <c r="AI121">
        <v>32</v>
      </c>
      <c r="AK121">
        <v>1</v>
      </c>
    </row>
    <row r="122" spans="1:43">
      <c r="A122">
        <v>-1</v>
      </c>
      <c r="B122">
        <v>1</v>
      </c>
      <c r="C122">
        <v>1</v>
      </c>
      <c r="D122">
        <v>-1</v>
      </c>
      <c r="E122">
        <v>1</v>
      </c>
      <c r="F122">
        <v>-1</v>
      </c>
      <c r="G122">
        <v>1</v>
      </c>
      <c r="H122">
        <v>1</v>
      </c>
      <c r="I122">
        <v>-1</v>
      </c>
      <c r="J122">
        <v>1</v>
      </c>
      <c r="K122">
        <v>1</v>
      </c>
      <c r="L122">
        <v>1</v>
      </c>
      <c r="M122">
        <v>2</v>
      </c>
      <c r="N122">
        <v>8</v>
      </c>
      <c r="P122">
        <v>3</v>
      </c>
      <c r="AK122">
        <v>1</v>
      </c>
    </row>
    <row r="123" spans="1:43">
      <c r="A123">
        <v>-0.5</v>
      </c>
      <c r="B123">
        <v>1.1000000000000001</v>
      </c>
      <c r="C123">
        <v>-0.5</v>
      </c>
      <c r="D123">
        <v>0.5</v>
      </c>
      <c r="E123">
        <v>1.1000000000000001</v>
      </c>
      <c r="F123">
        <v>-0.5</v>
      </c>
      <c r="G123">
        <v>0.5</v>
      </c>
      <c r="H123">
        <v>1.1000000000000001</v>
      </c>
      <c r="I123">
        <v>0.5</v>
      </c>
      <c r="J123">
        <v>-0.5</v>
      </c>
      <c r="K123">
        <v>1.1000000000000001</v>
      </c>
      <c r="L123">
        <v>0.5</v>
      </c>
      <c r="M123">
        <v>1</v>
      </c>
      <c r="N123">
        <v>6</v>
      </c>
      <c r="P123">
        <v>3</v>
      </c>
    </row>
    <row r="124" spans="1:43">
      <c r="A124">
        <v>0.05</v>
      </c>
      <c r="B124">
        <v>1.1000000000000001</v>
      </c>
      <c r="C124">
        <v>0.05</v>
      </c>
      <c r="D124">
        <v>0.05</v>
      </c>
      <c r="E124">
        <v>2.5</v>
      </c>
      <c r="F124">
        <v>0.05</v>
      </c>
      <c r="G124">
        <v>0.05</v>
      </c>
      <c r="H124">
        <v>2.5</v>
      </c>
      <c r="I124">
        <v>-0.05</v>
      </c>
      <c r="J124">
        <v>0.05</v>
      </c>
      <c r="K124">
        <v>1.1000000000000001</v>
      </c>
      <c r="L124">
        <v>-0.05</v>
      </c>
      <c r="M124">
        <v>1</v>
      </c>
      <c r="N124">
        <v>6</v>
      </c>
      <c r="P124">
        <v>3</v>
      </c>
    </row>
    <row r="125" spans="1:43">
      <c r="A125">
        <v>0.05</v>
      </c>
      <c r="B125">
        <v>1.1000000000000001</v>
      </c>
      <c r="C125">
        <v>-0.05</v>
      </c>
      <c r="D125">
        <v>0.05</v>
      </c>
      <c r="E125">
        <v>2.5</v>
      </c>
      <c r="F125">
        <v>-0.05</v>
      </c>
      <c r="G125">
        <v>-0.05</v>
      </c>
      <c r="H125">
        <v>2.5</v>
      </c>
      <c r="I125">
        <v>-0.05</v>
      </c>
      <c r="J125">
        <v>-0.05</v>
      </c>
      <c r="K125">
        <v>1.1000000000000001</v>
      </c>
      <c r="L125">
        <v>-0.05</v>
      </c>
      <c r="M125">
        <v>1</v>
      </c>
      <c r="N125">
        <v>5</v>
      </c>
      <c r="P125">
        <v>3</v>
      </c>
    </row>
    <row r="126" spans="1:43">
      <c r="A126">
        <v>-0.05</v>
      </c>
      <c r="B126">
        <v>1.1000000000000001</v>
      </c>
      <c r="C126">
        <v>-0.05</v>
      </c>
      <c r="D126">
        <v>-0.05</v>
      </c>
      <c r="E126">
        <v>2.5</v>
      </c>
      <c r="F126">
        <v>-0.05</v>
      </c>
      <c r="G126">
        <v>-0.05</v>
      </c>
      <c r="H126">
        <v>2.5</v>
      </c>
      <c r="I126">
        <v>0.05</v>
      </c>
      <c r="J126">
        <v>-0.05</v>
      </c>
      <c r="K126">
        <v>1.1000000000000001</v>
      </c>
      <c r="L126">
        <v>0.05</v>
      </c>
      <c r="M126">
        <v>1</v>
      </c>
      <c r="N126">
        <v>6</v>
      </c>
      <c r="P126">
        <v>3</v>
      </c>
    </row>
    <row r="127" spans="1:43">
      <c r="A127">
        <v>-0.05</v>
      </c>
      <c r="B127">
        <v>1.1000000000000001</v>
      </c>
      <c r="C127">
        <v>0.05</v>
      </c>
      <c r="D127">
        <v>-0.05</v>
      </c>
      <c r="E127">
        <v>2.5</v>
      </c>
      <c r="F127">
        <v>0.05</v>
      </c>
      <c r="G127">
        <v>0.05</v>
      </c>
      <c r="H127">
        <v>2.5</v>
      </c>
      <c r="I127">
        <v>0.05</v>
      </c>
      <c r="J127">
        <v>0.05</v>
      </c>
      <c r="K127">
        <v>1.1000000000000001</v>
      </c>
      <c r="L127">
        <v>0.05</v>
      </c>
      <c r="M127">
        <v>1</v>
      </c>
      <c r="N127">
        <v>5</v>
      </c>
      <c r="P127">
        <v>3</v>
      </c>
    </row>
    <row r="128" spans="1:43">
      <c r="A128">
        <v>-0.05</v>
      </c>
      <c r="B128">
        <v>2.5</v>
      </c>
      <c r="C128">
        <v>0.05</v>
      </c>
      <c r="D128">
        <v>-0.05</v>
      </c>
      <c r="E128">
        <v>2.5</v>
      </c>
      <c r="F128">
        <v>-0.05</v>
      </c>
      <c r="G128">
        <v>1</v>
      </c>
      <c r="H128">
        <v>3</v>
      </c>
      <c r="I128">
        <v>-0.05</v>
      </c>
      <c r="J128">
        <v>1</v>
      </c>
      <c r="K128">
        <v>3</v>
      </c>
      <c r="L128">
        <v>0.05</v>
      </c>
      <c r="M128">
        <v>1</v>
      </c>
      <c r="N128">
        <v>6</v>
      </c>
      <c r="P128">
        <v>3</v>
      </c>
    </row>
    <row r="129" spans="1:43">
      <c r="A129">
        <v>-0.05</v>
      </c>
      <c r="B129">
        <v>2.4500000000000002</v>
      </c>
      <c r="C129">
        <v>0.05</v>
      </c>
      <c r="D129">
        <v>-0.05</v>
      </c>
      <c r="E129">
        <v>2.5</v>
      </c>
      <c r="F129">
        <v>0.05</v>
      </c>
      <c r="G129">
        <v>1</v>
      </c>
      <c r="H129">
        <v>3</v>
      </c>
      <c r="I129">
        <v>0.05</v>
      </c>
      <c r="J129">
        <v>1</v>
      </c>
      <c r="K129">
        <v>2.92</v>
      </c>
      <c r="L129">
        <v>0.05</v>
      </c>
      <c r="M129">
        <v>1</v>
      </c>
      <c r="N129">
        <v>5</v>
      </c>
      <c r="P129">
        <v>3</v>
      </c>
    </row>
    <row r="130" spans="1:43">
      <c r="A130">
        <v>-0.05</v>
      </c>
      <c r="B130">
        <v>2.5</v>
      </c>
      <c r="C130">
        <v>-0.05</v>
      </c>
      <c r="D130">
        <v>-0.05</v>
      </c>
      <c r="E130">
        <v>2.4500000000000002</v>
      </c>
      <c r="F130">
        <v>-0.05</v>
      </c>
      <c r="G130">
        <v>1</v>
      </c>
      <c r="H130">
        <v>2.92</v>
      </c>
      <c r="I130">
        <v>-0.05</v>
      </c>
      <c r="J130">
        <v>1</v>
      </c>
      <c r="K130">
        <v>3</v>
      </c>
      <c r="L130">
        <v>-0.05</v>
      </c>
      <c r="M130">
        <v>1</v>
      </c>
      <c r="N130">
        <v>4</v>
      </c>
      <c r="P130">
        <v>3</v>
      </c>
    </row>
    <row r="132" spans="1:43">
      <c r="A132">
        <v>8</v>
      </c>
      <c r="B132">
        <v>-12</v>
      </c>
      <c r="D132">
        <v>8</v>
      </c>
      <c r="E132">
        <v>-12</v>
      </c>
      <c r="F132">
        <v>-20</v>
      </c>
      <c r="G132">
        <v>8</v>
      </c>
      <c r="H132">
        <v>8</v>
      </c>
      <c r="I132">
        <v>-8</v>
      </c>
      <c r="J132">
        <v>8</v>
      </c>
      <c r="K132">
        <v>8</v>
      </c>
      <c r="M132">
        <v>1</v>
      </c>
      <c r="N132">
        <v>9</v>
      </c>
      <c r="S132">
        <v>48</v>
      </c>
      <c r="X132">
        <v>10000</v>
      </c>
      <c r="AP132">
        <v>11</v>
      </c>
      <c r="AQ132" t="s">
        <v>973</v>
      </c>
    </row>
    <row r="133" spans="1:43">
      <c r="A133">
        <v>-8</v>
      </c>
      <c r="B133">
        <v>-12</v>
      </c>
      <c r="D133">
        <v>-8</v>
      </c>
      <c r="E133">
        <v>-12</v>
      </c>
      <c r="F133">
        <v>-20</v>
      </c>
      <c r="G133">
        <v>-8</v>
      </c>
      <c r="H133">
        <v>8</v>
      </c>
      <c r="I133">
        <v>-8</v>
      </c>
      <c r="J133">
        <v>-8</v>
      </c>
      <c r="K133">
        <v>8</v>
      </c>
      <c r="M133">
        <v>1</v>
      </c>
      <c r="N133">
        <v>9</v>
      </c>
    </row>
    <row r="134" spans="1:43">
      <c r="A134">
        <v>-8</v>
      </c>
      <c r="B134">
        <v>-12</v>
      </c>
      <c r="C134">
        <v>-20</v>
      </c>
      <c r="D134">
        <v>-8</v>
      </c>
      <c r="E134">
        <v>8</v>
      </c>
      <c r="F134">
        <v>-8</v>
      </c>
      <c r="G134">
        <v>8</v>
      </c>
      <c r="H134">
        <v>8</v>
      </c>
      <c r="I134">
        <v>-8</v>
      </c>
      <c r="J134">
        <v>8</v>
      </c>
      <c r="K134">
        <v>-12</v>
      </c>
      <c r="L134">
        <v>-20</v>
      </c>
      <c r="M134">
        <v>1</v>
      </c>
      <c r="N134">
        <v>9</v>
      </c>
    </row>
    <row r="135" spans="1:43">
      <c r="A135">
        <v>-8</v>
      </c>
      <c r="B135">
        <v>-12</v>
      </c>
      <c r="D135">
        <v>-8</v>
      </c>
      <c r="E135">
        <v>8</v>
      </c>
      <c r="G135">
        <v>8</v>
      </c>
      <c r="H135">
        <v>8</v>
      </c>
      <c r="J135">
        <v>8</v>
      </c>
      <c r="K135">
        <v>-12</v>
      </c>
      <c r="M135">
        <v>1</v>
      </c>
      <c r="N135">
        <v>9</v>
      </c>
    </row>
    <row r="136" spans="1:43">
      <c r="A136">
        <v>-8</v>
      </c>
      <c r="B136">
        <v>8</v>
      </c>
      <c r="C136">
        <v>16</v>
      </c>
      <c r="D136">
        <v>8</v>
      </c>
      <c r="E136">
        <v>8</v>
      </c>
      <c r="F136">
        <v>16</v>
      </c>
      <c r="G136">
        <v>8</v>
      </c>
      <c r="H136">
        <v>8</v>
      </c>
      <c r="J136">
        <v>-8</v>
      </c>
      <c r="K136">
        <v>8</v>
      </c>
      <c r="M136">
        <v>1</v>
      </c>
      <c r="N136">
        <v>8</v>
      </c>
    </row>
    <row r="137" spans="1:43">
      <c r="A137">
        <v>-8</v>
      </c>
      <c r="B137">
        <v>8</v>
      </c>
      <c r="C137">
        <v>16</v>
      </c>
      <c r="D137">
        <v>-8</v>
      </c>
      <c r="E137">
        <v>12</v>
      </c>
      <c r="F137">
        <v>16</v>
      </c>
      <c r="G137">
        <v>-8</v>
      </c>
      <c r="H137">
        <v>12</v>
      </c>
      <c r="J137">
        <v>-8</v>
      </c>
      <c r="K137">
        <v>8</v>
      </c>
      <c r="M137">
        <v>1</v>
      </c>
      <c r="N137">
        <v>10</v>
      </c>
    </row>
    <row r="138" spans="1:43">
      <c r="A138">
        <v>8</v>
      </c>
      <c r="B138">
        <v>8</v>
      </c>
      <c r="C138">
        <v>16</v>
      </c>
      <c r="D138">
        <v>8</v>
      </c>
      <c r="E138">
        <v>12</v>
      </c>
      <c r="F138">
        <v>16</v>
      </c>
      <c r="G138">
        <v>8</v>
      </c>
      <c r="H138">
        <v>12</v>
      </c>
      <c r="J138">
        <v>8</v>
      </c>
      <c r="K138">
        <v>8</v>
      </c>
      <c r="M138">
        <v>1</v>
      </c>
      <c r="N138">
        <v>9</v>
      </c>
    </row>
    <row r="139" spans="1:43">
      <c r="A139">
        <v>-8</v>
      </c>
      <c r="B139">
        <v>8</v>
      </c>
      <c r="C139">
        <v>16</v>
      </c>
      <c r="D139">
        <v>-8</v>
      </c>
      <c r="E139">
        <v>12</v>
      </c>
      <c r="F139">
        <v>16</v>
      </c>
      <c r="G139">
        <v>8</v>
      </c>
      <c r="H139">
        <v>12</v>
      </c>
      <c r="I139">
        <v>16</v>
      </c>
      <c r="J139">
        <v>8</v>
      </c>
      <c r="K139">
        <v>8</v>
      </c>
      <c r="L139">
        <v>16</v>
      </c>
      <c r="M139">
        <v>1</v>
      </c>
      <c r="N139">
        <v>8</v>
      </c>
    </row>
    <row r="141" spans="1:43">
      <c r="A141">
        <v>-4</v>
      </c>
      <c r="B141">
        <v>-8</v>
      </c>
      <c r="C141">
        <v>18</v>
      </c>
      <c r="D141">
        <v>-4</v>
      </c>
      <c r="E141">
        <v>8</v>
      </c>
      <c r="F141">
        <v>18</v>
      </c>
      <c r="G141">
        <v>4</v>
      </c>
      <c r="H141">
        <v>8</v>
      </c>
      <c r="I141">
        <v>18</v>
      </c>
      <c r="J141">
        <v>4</v>
      </c>
      <c r="K141">
        <v>-8</v>
      </c>
      <c r="L141">
        <v>18</v>
      </c>
      <c r="M141">
        <v>4</v>
      </c>
      <c r="N141">
        <v>7</v>
      </c>
      <c r="S141">
        <v>48</v>
      </c>
      <c r="X141">
        <v>10000</v>
      </c>
      <c r="AK141">
        <v>1</v>
      </c>
      <c r="AP141">
        <v>12</v>
      </c>
      <c r="AQ141" t="s">
        <v>974</v>
      </c>
    </row>
    <row r="143" spans="1:43">
      <c r="A143">
        <v>-4</v>
      </c>
      <c r="B143">
        <v>-8</v>
      </c>
      <c r="C143">
        <v>18</v>
      </c>
      <c r="D143">
        <v>-4</v>
      </c>
      <c r="E143">
        <v>8</v>
      </c>
      <c r="F143">
        <v>18</v>
      </c>
      <c r="G143">
        <v>4</v>
      </c>
      <c r="H143">
        <v>8</v>
      </c>
      <c r="I143">
        <v>18</v>
      </c>
      <c r="J143">
        <v>4</v>
      </c>
      <c r="K143">
        <v>-8</v>
      </c>
      <c r="L143">
        <v>18</v>
      </c>
      <c r="M143">
        <v>4</v>
      </c>
      <c r="N143">
        <v>8</v>
      </c>
      <c r="S143">
        <v>80</v>
      </c>
      <c r="U143">
        <v>100</v>
      </c>
      <c r="X143">
        <v>10000</v>
      </c>
      <c r="AK143">
        <v>1</v>
      </c>
      <c r="AP143">
        <v>13</v>
      </c>
      <c r="AQ143" t="s">
        <v>1011</v>
      </c>
    </row>
    <row r="145" spans="1:43">
      <c r="B145">
        <v>-4</v>
      </c>
      <c r="C145">
        <v>-12</v>
      </c>
      <c r="D145">
        <v>7.2</v>
      </c>
      <c r="E145">
        <v>-4</v>
      </c>
      <c r="F145">
        <v>10</v>
      </c>
      <c r="G145">
        <v>6</v>
      </c>
      <c r="H145">
        <v>-4</v>
      </c>
      <c r="I145">
        <v>8</v>
      </c>
      <c r="K145">
        <v>-4</v>
      </c>
      <c r="L145">
        <v>-11</v>
      </c>
      <c r="M145">
        <v>2</v>
      </c>
      <c r="N145">
        <v>12</v>
      </c>
      <c r="P145">
        <v>-2</v>
      </c>
      <c r="S145">
        <v>4</v>
      </c>
      <c r="U145">
        <v>140</v>
      </c>
      <c r="AC145">
        <v>125</v>
      </c>
      <c r="AN145">
        <v>1</v>
      </c>
      <c r="AP145">
        <v>14</v>
      </c>
      <c r="AQ145" t="s">
        <v>982</v>
      </c>
    </row>
    <row r="146" spans="1:43">
      <c r="A146">
        <v>7.2</v>
      </c>
      <c r="B146">
        <v>-4</v>
      </c>
      <c r="C146">
        <v>10</v>
      </c>
      <c r="D146">
        <v>-11.6</v>
      </c>
      <c r="E146">
        <v>-4</v>
      </c>
      <c r="F146">
        <v>-3.8</v>
      </c>
      <c r="G146">
        <v>-11</v>
      </c>
      <c r="H146">
        <v>-4</v>
      </c>
      <c r="I146">
        <v>-3.8</v>
      </c>
      <c r="J146">
        <v>6</v>
      </c>
      <c r="K146">
        <v>-4</v>
      </c>
      <c r="L146">
        <v>8</v>
      </c>
      <c r="M146">
        <v>2</v>
      </c>
      <c r="N146">
        <v>12</v>
      </c>
      <c r="P146">
        <v>-2</v>
      </c>
      <c r="AN146">
        <v>1</v>
      </c>
    </row>
    <row r="147" spans="1:43">
      <c r="A147">
        <v>-11.6</v>
      </c>
      <c r="B147">
        <v>-4</v>
      </c>
      <c r="C147">
        <v>-3.8</v>
      </c>
      <c r="D147">
        <v>11.6</v>
      </c>
      <c r="E147">
        <v>-4</v>
      </c>
      <c r="F147">
        <v>-3.8</v>
      </c>
      <c r="G147">
        <v>11</v>
      </c>
      <c r="H147">
        <v>-4</v>
      </c>
      <c r="I147">
        <v>-3.2</v>
      </c>
      <c r="J147">
        <v>-11</v>
      </c>
      <c r="K147">
        <v>-4</v>
      </c>
      <c r="L147">
        <v>-3.2</v>
      </c>
      <c r="M147">
        <v>2</v>
      </c>
      <c r="N147">
        <v>12</v>
      </c>
      <c r="P147">
        <v>-2</v>
      </c>
      <c r="AN147">
        <v>1</v>
      </c>
    </row>
    <row r="148" spans="1:43">
      <c r="A148">
        <v>11.6</v>
      </c>
      <c r="B148">
        <v>-4</v>
      </c>
      <c r="C148">
        <v>-3.8</v>
      </c>
      <c r="D148">
        <v>-7.2</v>
      </c>
      <c r="E148">
        <v>-4</v>
      </c>
      <c r="F148">
        <v>10</v>
      </c>
      <c r="G148">
        <v>-7</v>
      </c>
      <c r="H148">
        <v>-4</v>
      </c>
      <c r="I148">
        <v>8</v>
      </c>
      <c r="J148">
        <v>11</v>
      </c>
      <c r="K148">
        <v>-4</v>
      </c>
      <c r="L148">
        <v>-3.8</v>
      </c>
      <c r="M148">
        <v>2</v>
      </c>
      <c r="N148">
        <v>12</v>
      </c>
      <c r="P148">
        <v>-2</v>
      </c>
      <c r="AN148">
        <v>1</v>
      </c>
    </row>
    <row r="149" spans="1:43">
      <c r="A149">
        <v>-7.2</v>
      </c>
      <c r="B149">
        <v>-4</v>
      </c>
      <c r="C149">
        <v>10</v>
      </c>
      <c r="E149">
        <v>-4</v>
      </c>
      <c r="F149">
        <v>-12</v>
      </c>
      <c r="H149">
        <v>-4</v>
      </c>
      <c r="I149">
        <v>-11</v>
      </c>
      <c r="J149">
        <v>-6</v>
      </c>
      <c r="K149">
        <v>-4</v>
      </c>
      <c r="L149">
        <v>8</v>
      </c>
      <c r="M149">
        <v>2</v>
      </c>
      <c r="N149">
        <v>12</v>
      </c>
      <c r="P149">
        <v>-2</v>
      </c>
      <c r="AN149">
        <v>1</v>
      </c>
    </row>
    <row r="151" spans="1:43">
      <c r="A151">
        <v>-2.5</v>
      </c>
      <c r="B151">
        <v>1.45</v>
      </c>
      <c r="C151">
        <v>0.75</v>
      </c>
      <c r="D151">
        <v>2.5</v>
      </c>
      <c r="E151">
        <v>1.45</v>
      </c>
      <c r="F151">
        <v>0.75</v>
      </c>
      <c r="G151">
        <v>2.5</v>
      </c>
      <c r="H151">
        <v>-1.5</v>
      </c>
      <c r="I151">
        <v>0.75</v>
      </c>
      <c r="J151">
        <v>-2.5</v>
      </c>
      <c r="K151">
        <v>-1.5</v>
      </c>
      <c r="L151">
        <v>0.75</v>
      </c>
      <c r="M151">
        <v>3</v>
      </c>
      <c r="N151">
        <v>5</v>
      </c>
      <c r="P151">
        <v>3</v>
      </c>
      <c r="S151">
        <v>2</v>
      </c>
      <c r="U151">
        <v>120</v>
      </c>
      <c r="AA151">
        <v>3</v>
      </c>
      <c r="AB151">
        <v>40</v>
      </c>
      <c r="AH151">
        <v>160</v>
      </c>
      <c r="AI151">
        <v>10</v>
      </c>
      <c r="AK151">
        <v>1</v>
      </c>
      <c r="AP151">
        <v>15</v>
      </c>
      <c r="AQ151" t="s">
        <v>993</v>
      </c>
    </row>
    <row r="152" spans="1:43">
      <c r="A152">
        <v>2.5</v>
      </c>
      <c r="B152">
        <v>1.45</v>
      </c>
      <c r="C152">
        <v>-0.75</v>
      </c>
      <c r="D152">
        <v>-2.5</v>
      </c>
      <c r="E152">
        <v>1.45</v>
      </c>
      <c r="F152">
        <v>-0.75</v>
      </c>
      <c r="G152">
        <v>-2.5</v>
      </c>
      <c r="H152">
        <v>-1.5</v>
      </c>
      <c r="I152">
        <v>-0.75</v>
      </c>
      <c r="J152">
        <v>2.5</v>
      </c>
      <c r="K152">
        <v>-1.5</v>
      </c>
      <c r="L152">
        <v>-0.75</v>
      </c>
      <c r="M152">
        <v>3</v>
      </c>
      <c r="N152">
        <v>5</v>
      </c>
      <c r="P152">
        <v>3</v>
      </c>
      <c r="AH152">
        <v>160</v>
      </c>
      <c r="AI152">
        <v>10</v>
      </c>
      <c r="AK152">
        <v>1</v>
      </c>
    </row>
    <row r="153" spans="1:43">
      <c r="A153">
        <v>-2.5</v>
      </c>
      <c r="B153">
        <v>1.45</v>
      </c>
      <c r="C153">
        <v>-0.75</v>
      </c>
      <c r="D153">
        <v>-2.5</v>
      </c>
      <c r="E153">
        <v>1.45</v>
      </c>
      <c r="F153">
        <v>0.75</v>
      </c>
      <c r="G153">
        <v>-2.5</v>
      </c>
      <c r="H153">
        <v>-1.5</v>
      </c>
      <c r="I153">
        <v>0.75</v>
      </c>
      <c r="J153">
        <v>-2.5</v>
      </c>
      <c r="K153">
        <v>-1.5</v>
      </c>
      <c r="L153">
        <v>-0.75</v>
      </c>
      <c r="M153">
        <v>3</v>
      </c>
      <c r="N153">
        <v>6</v>
      </c>
      <c r="P153">
        <v>3</v>
      </c>
      <c r="AK153">
        <v>1</v>
      </c>
    </row>
    <row r="154" spans="1:43">
      <c r="A154">
        <v>2.5</v>
      </c>
      <c r="B154">
        <v>1.45</v>
      </c>
      <c r="C154">
        <v>0.75</v>
      </c>
      <c r="D154">
        <v>2.5</v>
      </c>
      <c r="E154">
        <v>1.45</v>
      </c>
      <c r="F154">
        <v>-0.75</v>
      </c>
      <c r="G154">
        <v>2.5</v>
      </c>
      <c r="H154">
        <v>-1.5</v>
      </c>
      <c r="I154">
        <v>-0.75</v>
      </c>
      <c r="J154">
        <v>2.5</v>
      </c>
      <c r="K154">
        <v>-1.5</v>
      </c>
      <c r="L154">
        <v>0.75</v>
      </c>
      <c r="M154">
        <v>3</v>
      </c>
      <c r="N154">
        <v>6</v>
      </c>
      <c r="P154">
        <v>3</v>
      </c>
      <c r="AK154">
        <v>1</v>
      </c>
    </row>
    <row r="155" spans="1:43">
      <c r="A155">
        <v>-2.5</v>
      </c>
      <c r="B155">
        <v>1.5</v>
      </c>
      <c r="C155">
        <v>0.75</v>
      </c>
      <c r="D155">
        <v>-2.5</v>
      </c>
      <c r="E155">
        <v>1.5</v>
      </c>
      <c r="F155">
        <v>-0.75</v>
      </c>
      <c r="G155">
        <v>2.5</v>
      </c>
      <c r="H155">
        <v>1.5</v>
      </c>
      <c r="I155">
        <v>-0.75</v>
      </c>
      <c r="J155">
        <v>2.5</v>
      </c>
      <c r="K155">
        <v>1.5</v>
      </c>
      <c r="L155">
        <v>0.75</v>
      </c>
      <c r="M155">
        <v>3</v>
      </c>
      <c r="N155">
        <v>7</v>
      </c>
      <c r="P155">
        <v>3</v>
      </c>
      <c r="AK155">
        <v>1</v>
      </c>
    </row>
    <row r="157" spans="1:43">
      <c r="B157">
        <v>1.25</v>
      </c>
      <c r="C157">
        <v>-0.25</v>
      </c>
      <c r="E157">
        <v>1.5</v>
      </c>
      <c r="F157">
        <v>-0.5</v>
      </c>
      <c r="G157">
        <v>6</v>
      </c>
      <c r="H157">
        <v>1.5</v>
      </c>
      <c r="I157">
        <v>-0.5</v>
      </c>
      <c r="J157">
        <v>6</v>
      </c>
      <c r="K157">
        <v>1.25</v>
      </c>
      <c r="L157">
        <v>-0.25</v>
      </c>
      <c r="M157">
        <v>1</v>
      </c>
      <c r="N157">
        <v>9</v>
      </c>
      <c r="P157">
        <v>2</v>
      </c>
      <c r="S157">
        <v>5</v>
      </c>
      <c r="U157">
        <v>140</v>
      </c>
      <c r="AA157">
        <v>259</v>
      </c>
      <c r="AB157">
        <v>40</v>
      </c>
      <c r="AJ157">
        <v>2</v>
      </c>
      <c r="AK157">
        <v>1</v>
      </c>
      <c r="AP157">
        <v>16</v>
      </c>
      <c r="AQ157" t="s">
        <v>994</v>
      </c>
    </row>
    <row r="158" spans="1:43">
      <c r="B158">
        <v>1.25</v>
      </c>
      <c r="C158">
        <v>-0.75</v>
      </c>
      <c r="D158">
        <v>6</v>
      </c>
      <c r="E158">
        <v>1.25</v>
      </c>
      <c r="F158">
        <v>-0.75</v>
      </c>
      <c r="G158">
        <v>6</v>
      </c>
      <c r="H158">
        <v>1.5</v>
      </c>
      <c r="I158">
        <v>-0.5</v>
      </c>
      <c r="K158">
        <v>1.5</v>
      </c>
      <c r="L158">
        <v>-0.5</v>
      </c>
      <c r="M158">
        <v>1</v>
      </c>
      <c r="N158">
        <v>8</v>
      </c>
      <c r="P158">
        <v>2</v>
      </c>
      <c r="AJ158">
        <v>2</v>
      </c>
      <c r="AK158">
        <v>1</v>
      </c>
    </row>
    <row r="159" spans="1:43">
      <c r="B159">
        <v>1</v>
      </c>
      <c r="C159">
        <v>-0.5</v>
      </c>
      <c r="E159">
        <v>1.25</v>
      </c>
      <c r="F159">
        <v>-0.25</v>
      </c>
      <c r="G159">
        <v>6</v>
      </c>
      <c r="H159">
        <v>1.25</v>
      </c>
      <c r="I159">
        <v>-0.25</v>
      </c>
      <c r="J159">
        <v>6</v>
      </c>
      <c r="K159">
        <v>1</v>
      </c>
      <c r="L159">
        <v>-0.5</v>
      </c>
      <c r="M159">
        <v>1</v>
      </c>
      <c r="N159">
        <v>7</v>
      </c>
      <c r="P159">
        <v>2</v>
      </c>
      <c r="AJ159">
        <v>1</v>
      </c>
      <c r="AK159">
        <v>1</v>
      </c>
    </row>
    <row r="160" spans="1:43">
      <c r="B160">
        <v>1</v>
      </c>
      <c r="C160">
        <v>-0.5</v>
      </c>
      <c r="D160">
        <v>6</v>
      </c>
      <c r="E160">
        <v>1</v>
      </c>
      <c r="F160">
        <v>-0.5</v>
      </c>
      <c r="G160">
        <v>6</v>
      </c>
      <c r="H160">
        <v>1.25</v>
      </c>
      <c r="I160">
        <v>-0.75</v>
      </c>
      <c r="K160">
        <v>1.25</v>
      </c>
      <c r="L160">
        <v>-0.75</v>
      </c>
      <c r="M160">
        <v>1</v>
      </c>
      <c r="N160">
        <v>6</v>
      </c>
      <c r="P160">
        <v>2</v>
      </c>
      <c r="AJ160">
        <v>1</v>
      </c>
      <c r="AK160">
        <v>1</v>
      </c>
    </row>
    <row r="161" spans="1:37">
      <c r="A161">
        <v>6</v>
      </c>
      <c r="B161">
        <v>1.25</v>
      </c>
      <c r="C161">
        <v>-0.25</v>
      </c>
      <c r="D161">
        <v>6</v>
      </c>
      <c r="E161">
        <v>1.5</v>
      </c>
      <c r="F161">
        <v>-0.5</v>
      </c>
      <c r="G161">
        <v>6</v>
      </c>
      <c r="H161">
        <v>1.25</v>
      </c>
      <c r="I161">
        <v>-0.75</v>
      </c>
      <c r="J161">
        <v>6</v>
      </c>
      <c r="K161">
        <v>1</v>
      </c>
      <c r="L161">
        <v>-0.5</v>
      </c>
      <c r="M161">
        <v>1</v>
      </c>
      <c r="N161">
        <v>2</v>
      </c>
      <c r="P161">
        <v>2</v>
      </c>
      <c r="AK161">
        <v>1</v>
      </c>
    </row>
    <row r="162" spans="1:37">
      <c r="B162">
        <v>1.25</v>
      </c>
      <c r="C162">
        <v>0.75</v>
      </c>
      <c r="E162">
        <v>1.5</v>
      </c>
      <c r="F162">
        <v>0.5</v>
      </c>
      <c r="G162">
        <v>6</v>
      </c>
      <c r="H162">
        <v>1.5</v>
      </c>
      <c r="I162">
        <v>0.5</v>
      </c>
      <c r="J162">
        <v>6</v>
      </c>
      <c r="K162">
        <v>1.25</v>
      </c>
      <c r="L162">
        <v>0.75</v>
      </c>
      <c r="M162">
        <v>1</v>
      </c>
      <c r="N162">
        <v>9</v>
      </c>
      <c r="P162">
        <v>2</v>
      </c>
      <c r="AJ162">
        <v>2</v>
      </c>
      <c r="AK162">
        <v>1</v>
      </c>
    </row>
    <row r="163" spans="1:37">
      <c r="B163">
        <v>1.25</v>
      </c>
      <c r="C163">
        <v>0.25</v>
      </c>
      <c r="D163">
        <v>6</v>
      </c>
      <c r="E163">
        <v>1.25</v>
      </c>
      <c r="F163">
        <v>0.25</v>
      </c>
      <c r="G163">
        <v>6</v>
      </c>
      <c r="H163">
        <v>1.5</v>
      </c>
      <c r="I163">
        <v>0.5</v>
      </c>
      <c r="K163">
        <v>1.5</v>
      </c>
      <c r="L163">
        <v>0.5</v>
      </c>
      <c r="M163">
        <v>1</v>
      </c>
      <c r="N163">
        <v>8</v>
      </c>
      <c r="P163">
        <v>2</v>
      </c>
      <c r="AJ163">
        <v>2</v>
      </c>
      <c r="AK163">
        <v>1</v>
      </c>
    </row>
    <row r="164" spans="1:37">
      <c r="B164">
        <v>1</v>
      </c>
      <c r="C164">
        <v>0.5</v>
      </c>
      <c r="E164">
        <v>1.25</v>
      </c>
      <c r="F164">
        <v>0.75</v>
      </c>
      <c r="G164">
        <v>6</v>
      </c>
      <c r="H164">
        <v>1.25</v>
      </c>
      <c r="I164">
        <v>0.75</v>
      </c>
      <c r="J164">
        <v>6</v>
      </c>
      <c r="K164">
        <v>1</v>
      </c>
      <c r="L164">
        <v>0.5</v>
      </c>
      <c r="M164">
        <v>1</v>
      </c>
      <c r="N164">
        <v>7</v>
      </c>
      <c r="P164">
        <v>2</v>
      </c>
      <c r="AJ164">
        <v>1</v>
      </c>
      <c r="AK164">
        <v>1</v>
      </c>
    </row>
    <row r="165" spans="1:37">
      <c r="B165">
        <v>1</v>
      </c>
      <c r="C165">
        <v>0.5</v>
      </c>
      <c r="D165">
        <v>6</v>
      </c>
      <c r="E165">
        <v>1</v>
      </c>
      <c r="F165">
        <v>0.5</v>
      </c>
      <c r="G165">
        <v>6</v>
      </c>
      <c r="H165">
        <v>1.25</v>
      </c>
      <c r="I165">
        <v>0.25</v>
      </c>
      <c r="K165">
        <v>1.25</v>
      </c>
      <c r="L165">
        <v>0.25</v>
      </c>
      <c r="M165">
        <v>1</v>
      </c>
      <c r="N165">
        <v>6</v>
      </c>
      <c r="P165">
        <v>2</v>
      </c>
      <c r="AJ165">
        <v>1</v>
      </c>
      <c r="AK165">
        <v>1</v>
      </c>
    </row>
    <row r="166" spans="1:37">
      <c r="A166">
        <v>6</v>
      </c>
      <c r="B166">
        <v>1.25</v>
      </c>
      <c r="C166">
        <v>0.75</v>
      </c>
      <c r="D166">
        <v>6</v>
      </c>
      <c r="E166">
        <v>1.5</v>
      </c>
      <c r="F166">
        <v>0.5</v>
      </c>
      <c r="G166">
        <v>6</v>
      </c>
      <c r="H166">
        <v>1.25</v>
      </c>
      <c r="I166">
        <v>0.25</v>
      </c>
      <c r="J166">
        <v>6</v>
      </c>
      <c r="K166">
        <v>1</v>
      </c>
      <c r="L166">
        <v>0.5</v>
      </c>
      <c r="M166">
        <v>1</v>
      </c>
      <c r="N166">
        <v>2</v>
      </c>
      <c r="P166">
        <v>2</v>
      </c>
      <c r="AK166">
        <v>1</v>
      </c>
    </row>
    <row r="167" spans="1:37">
      <c r="B167">
        <v>0.25</v>
      </c>
      <c r="C167">
        <v>0.75</v>
      </c>
      <c r="E167">
        <v>0.5</v>
      </c>
      <c r="F167">
        <v>0.5</v>
      </c>
      <c r="G167">
        <v>6</v>
      </c>
      <c r="H167">
        <v>0.5</v>
      </c>
      <c r="I167">
        <v>0.5</v>
      </c>
      <c r="J167">
        <v>6</v>
      </c>
      <c r="K167">
        <v>0.25</v>
      </c>
      <c r="L167">
        <v>0.75</v>
      </c>
      <c r="M167">
        <v>1</v>
      </c>
      <c r="N167">
        <v>8</v>
      </c>
      <c r="P167">
        <v>2</v>
      </c>
      <c r="AJ167">
        <v>2</v>
      </c>
      <c r="AK167">
        <v>1</v>
      </c>
    </row>
    <row r="168" spans="1:37">
      <c r="B168">
        <v>0.25</v>
      </c>
      <c r="C168">
        <v>0.25</v>
      </c>
      <c r="D168">
        <v>6</v>
      </c>
      <c r="E168">
        <v>0.25</v>
      </c>
      <c r="F168">
        <v>0.25</v>
      </c>
      <c r="G168">
        <v>6</v>
      </c>
      <c r="H168">
        <v>0.5</v>
      </c>
      <c r="I168">
        <v>0.5</v>
      </c>
      <c r="K168">
        <v>0.5</v>
      </c>
      <c r="L168">
        <v>0.5</v>
      </c>
      <c r="M168">
        <v>1</v>
      </c>
      <c r="N168">
        <v>7</v>
      </c>
      <c r="P168">
        <v>2</v>
      </c>
      <c r="AJ168">
        <v>2</v>
      </c>
      <c r="AK168">
        <v>1</v>
      </c>
    </row>
    <row r="169" spans="1:37">
      <c r="C169">
        <v>0.5</v>
      </c>
      <c r="E169">
        <v>0.25</v>
      </c>
      <c r="F169">
        <v>0.75</v>
      </c>
      <c r="G169">
        <v>6</v>
      </c>
      <c r="H169">
        <v>0.25</v>
      </c>
      <c r="I169">
        <v>0.75</v>
      </c>
      <c r="J169">
        <v>6</v>
      </c>
      <c r="L169">
        <v>0.5</v>
      </c>
      <c r="M169">
        <v>1</v>
      </c>
      <c r="N169">
        <v>6</v>
      </c>
      <c r="P169">
        <v>2</v>
      </c>
      <c r="AJ169">
        <v>1</v>
      </c>
      <c r="AK169">
        <v>1</v>
      </c>
    </row>
    <row r="170" spans="1:37">
      <c r="C170">
        <v>0.5</v>
      </c>
      <c r="D170">
        <v>6</v>
      </c>
      <c r="F170">
        <v>0.5</v>
      </c>
      <c r="G170">
        <v>6</v>
      </c>
      <c r="H170">
        <v>0.25</v>
      </c>
      <c r="I170">
        <v>0.25</v>
      </c>
      <c r="K170">
        <v>0.25</v>
      </c>
      <c r="L170">
        <v>0.25</v>
      </c>
      <c r="M170">
        <v>1</v>
      </c>
      <c r="N170">
        <v>5</v>
      </c>
      <c r="P170">
        <v>2</v>
      </c>
      <c r="AJ170">
        <v>1</v>
      </c>
      <c r="AK170">
        <v>1</v>
      </c>
    </row>
    <row r="171" spans="1:37">
      <c r="A171">
        <v>6</v>
      </c>
      <c r="B171">
        <v>0.25</v>
      </c>
      <c r="C171">
        <v>0.75</v>
      </c>
      <c r="D171">
        <v>6</v>
      </c>
      <c r="E171">
        <v>0.5</v>
      </c>
      <c r="F171">
        <v>0.5</v>
      </c>
      <c r="G171">
        <v>6</v>
      </c>
      <c r="H171">
        <v>0.25</v>
      </c>
      <c r="I171">
        <v>0.25</v>
      </c>
      <c r="J171">
        <v>6</v>
      </c>
      <c r="L171">
        <v>0.5</v>
      </c>
      <c r="M171">
        <v>1</v>
      </c>
      <c r="N171">
        <v>2</v>
      </c>
      <c r="P171">
        <v>2</v>
      </c>
      <c r="AK171">
        <v>1</v>
      </c>
    </row>
    <row r="172" spans="1:37">
      <c r="B172">
        <v>0.25</v>
      </c>
      <c r="C172">
        <v>-0.25</v>
      </c>
      <c r="E172">
        <v>0.5</v>
      </c>
      <c r="F172">
        <v>-0.5</v>
      </c>
      <c r="G172">
        <v>6</v>
      </c>
      <c r="H172">
        <v>0.5</v>
      </c>
      <c r="I172">
        <v>-0.5</v>
      </c>
      <c r="J172">
        <v>6</v>
      </c>
      <c r="K172">
        <v>0.25</v>
      </c>
      <c r="L172">
        <v>-0.25</v>
      </c>
      <c r="M172">
        <v>1</v>
      </c>
      <c r="N172">
        <v>8</v>
      </c>
      <c r="P172">
        <v>2</v>
      </c>
      <c r="AJ172">
        <v>2</v>
      </c>
      <c r="AK172">
        <v>1</v>
      </c>
    </row>
    <row r="173" spans="1:37">
      <c r="B173">
        <v>0.25</v>
      </c>
      <c r="C173">
        <v>-0.75</v>
      </c>
      <c r="D173">
        <v>6</v>
      </c>
      <c r="E173">
        <v>0.25</v>
      </c>
      <c r="F173">
        <v>-0.75</v>
      </c>
      <c r="G173">
        <v>6</v>
      </c>
      <c r="H173">
        <v>0.5</v>
      </c>
      <c r="I173">
        <v>-0.5</v>
      </c>
      <c r="K173">
        <v>0.5</v>
      </c>
      <c r="L173">
        <v>-0.5</v>
      </c>
      <c r="M173">
        <v>1</v>
      </c>
      <c r="N173">
        <v>7</v>
      </c>
      <c r="P173">
        <v>2</v>
      </c>
      <c r="AJ173">
        <v>2</v>
      </c>
      <c r="AK173">
        <v>1</v>
      </c>
    </row>
    <row r="174" spans="1:37">
      <c r="C174">
        <v>-0.5</v>
      </c>
      <c r="E174">
        <v>0.25</v>
      </c>
      <c r="F174">
        <v>-0.25</v>
      </c>
      <c r="G174">
        <v>6</v>
      </c>
      <c r="H174">
        <v>0.25</v>
      </c>
      <c r="I174">
        <v>-0.25</v>
      </c>
      <c r="J174">
        <v>6</v>
      </c>
      <c r="L174">
        <v>-0.5</v>
      </c>
      <c r="M174">
        <v>1</v>
      </c>
      <c r="N174">
        <v>6</v>
      </c>
      <c r="P174">
        <v>2</v>
      </c>
      <c r="AJ174">
        <v>1</v>
      </c>
      <c r="AK174">
        <v>1</v>
      </c>
    </row>
    <row r="175" spans="1:37">
      <c r="C175">
        <v>-0.5</v>
      </c>
      <c r="D175">
        <v>6</v>
      </c>
      <c r="F175">
        <v>-0.5</v>
      </c>
      <c r="G175">
        <v>6</v>
      </c>
      <c r="H175">
        <v>0.25</v>
      </c>
      <c r="I175">
        <v>-0.75</v>
      </c>
      <c r="K175">
        <v>0.25</v>
      </c>
      <c r="L175">
        <v>-0.75</v>
      </c>
      <c r="M175">
        <v>1</v>
      </c>
      <c r="N175">
        <v>5</v>
      </c>
      <c r="P175">
        <v>2</v>
      </c>
      <c r="AJ175">
        <v>1</v>
      </c>
      <c r="AK175">
        <v>1</v>
      </c>
    </row>
    <row r="176" spans="1:37">
      <c r="A176">
        <v>6</v>
      </c>
      <c r="B176">
        <v>0.25</v>
      </c>
      <c r="C176">
        <v>-0.25</v>
      </c>
      <c r="D176">
        <v>6</v>
      </c>
      <c r="E176">
        <v>0.5</v>
      </c>
      <c r="F176">
        <v>-0.5</v>
      </c>
      <c r="G176">
        <v>6</v>
      </c>
      <c r="H176">
        <v>0.25</v>
      </c>
      <c r="I176">
        <v>-0.75</v>
      </c>
      <c r="J176">
        <v>6</v>
      </c>
      <c r="L176">
        <v>-0.5</v>
      </c>
      <c r="M176">
        <v>1</v>
      </c>
      <c r="N176">
        <v>2</v>
      </c>
      <c r="P176">
        <v>2</v>
      </c>
      <c r="AK176">
        <v>1</v>
      </c>
    </row>
    <row r="177" spans="1:37">
      <c r="A177">
        <v>5</v>
      </c>
      <c r="B177">
        <v>1.25</v>
      </c>
      <c r="C177">
        <v>-0.75</v>
      </c>
      <c r="D177">
        <v>5</v>
      </c>
      <c r="E177">
        <v>0.25</v>
      </c>
      <c r="F177">
        <v>-0.75</v>
      </c>
      <c r="G177">
        <v>5</v>
      </c>
      <c r="H177">
        <v>0.25</v>
      </c>
      <c r="I177">
        <v>0.75</v>
      </c>
      <c r="J177">
        <v>5</v>
      </c>
      <c r="K177">
        <v>1.25</v>
      </c>
      <c r="L177">
        <v>0.75</v>
      </c>
      <c r="M177">
        <v>1</v>
      </c>
      <c r="N177">
        <v>7</v>
      </c>
      <c r="P177">
        <v>2</v>
      </c>
    </row>
    <row r="178" spans="1:37">
      <c r="B178">
        <v>-1.5</v>
      </c>
      <c r="C178">
        <v>-0.95</v>
      </c>
      <c r="E178">
        <v>-1.5</v>
      </c>
      <c r="F178">
        <v>0.95</v>
      </c>
      <c r="G178">
        <v>-3</v>
      </c>
      <c r="H178">
        <v>-1.5</v>
      </c>
      <c r="I178">
        <v>0.95</v>
      </c>
      <c r="J178">
        <v>-3</v>
      </c>
      <c r="K178">
        <v>-1.5</v>
      </c>
      <c r="L178">
        <v>-0.95</v>
      </c>
      <c r="M178">
        <v>7</v>
      </c>
      <c r="N178">
        <v>5</v>
      </c>
      <c r="P178">
        <v>2</v>
      </c>
      <c r="AJ178">
        <v>2</v>
      </c>
      <c r="AK178">
        <v>1</v>
      </c>
    </row>
    <row r="179" spans="1:37">
      <c r="B179">
        <v>1.5</v>
      </c>
      <c r="C179">
        <v>-1</v>
      </c>
      <c r="E179">
        <v>-1.5</v>
      </c>
      <c r="F179">
        <v>-1</v>
      </c>
      <c r="G179">
        <v>0</v>
      </c>
      <c r="H179">
        <v>-1.5</v>
      </c>
      <c r="I179">
        <v>1</v>
      </c>
      <c r="K179">
        <v>1.5</v>
      </c>
      <c r="L179">
        <v>1</v>
      </c>
      <c r="M179">
        <v>7</v>
      </c>
      <c r="N179">
        <v>5</v>
      </c>
      <c r="P179">
        <v>2</v>
      </c>
      <c r="AJ179">
        <v>2</v>
      </c>
      <c r="AK179">
        <v>1</v>
      </c>
    </row>
    <row r="180" spans="1:37">
      <c r="A180">
        <v>0.2</v>
      </c>
      <c r="B180">
        <v>1.25</v>
      </c>
      <c r="C180">
        <v>-0.75</v>
      </c>
      <c r="D180">
        <v>0.2</v>
      </c>
      <c r="E180">
        <v>1.25</v>
      </c>
      <c r="F180">
        <v>0.75</v>
      </c>
      <c r="G180">
        <v>0.2</v>
      </c>
      <c r="H180">
        <v>0.25</v>
      </c>
      <c r="I180">
        <v>0.75</v>
      </c>
      <c r="J180">
        <v>0.2</v>
      </c>
      <c r="K180">
        <v>0.25</v>
      </c>
      <c r="L180">
        <v>-0.75</v>
      </c>
      <c r="M180">
        <v>1</v>
      </c>
      <c r="N180">
        <v>4</v>
      </c>
      <c r="P180">
        <v>2</v>
      </c>
      <c r="AJ180">
        <v>2</v>
      </c>
    </row>
    <row r="181" spans="1:37">
      <c r="A181">
        <v>-2.5</v>
      </c>
      <c r="B181">
        <v>1.5</v>
      </c>
      <c r="C181">
        <v>-1</v>
      </c>
      <c r="D181">
        <v>-2.5</v>
      </c>
      <c r="E181">
        <v>1.5</v>
      </c>
      <c r="F181">
        <v>1</v>
      </c>
      <c r="G181">
        <v>-3</v>
      </c>
      <c r="H181">
        <v>-1.5</v>
      </c>
      <c r="I181">
        <v>1</v>
      </c>
      <c r="J181">
        <v>-3</v>
      </c>
      <c r="K181">
        <v>-1.5</v>
      </c>
      <c r="L181">
        <v>-1</v>
      </c>
      <c r="M181">
        <v>7</v>
      </c>
      <c r="N181">
        <v>5</v>
      </c>
      <c r="P181">
        <v>2</v>
      </c>
      <c r="AJ181">
        <v>3</v>
      </c>
      <c r="AK181">
        <v>1</v>
      </c>
    </row>
    <row r="182" spans="1:37">
      <c r="B182">
        <v>1.5</v>
      </c>
      <c r="C182">
        <v>1</v>
      </c>
      <c r="E182">
        <v>-1.5</v>
      </c>
      <c r="F182">
        <v>1</v>
      </c>
      <c r="G182">
        <v>-3</v>
      </c>
      <c r="H182">
        <v>-1.5</v>
      </c>
      <c r="I182">
        <v>1</v>
      </c>
      <c r="J182">
        <v>-2.5</v>
      </c>
      <c r="K182">
        <v>1.5</v>
      </c>
      <c r="L182">
        <v>1</v>
      </c>
      <c r="M182">
        <v>7</v>
      </c>
      <c r="N182">
        <v>6</v>
      </c>
      <c r="P182">
        <v>2</v>
      </c>
      <c r="AJ182">
        <v>3</v>
      </c>
      <c r="AK182">
        <v>1</v>
      </c>
    </row>
    <row r="183" spans="1:37">
      <c r="B183">
        <v>1.5</v>
      </c>
      <c r="C183">
        <v>-1</v>
      </c>
      <c r="D183">
        <v>-2.5</v>
      </c>
      <c r="E183">
        <v>1.5</v>
      </c>
      <c r="F183">
        <v>-1</v>
      </c>
      <c r="G183">
        <v>-3</v>
      </c>
      <c r="H183">
        <v>-1.5</v>
      </c>
      <c r="I183">
        <v>-1</v>
      </c>
      <c r="K183">
        <v>-1.5</v>
      </c>
      <c r="L183">
        <v>-1</v>
      </c>
      <c r="M183">
        <v>7</v>
      </c>
      <c r="N183">
        <v>6</v>
      </c>
      <c r="P183">
        <v>2</v>
      </c>
      <c r="AJ183">
        <v>3</v>
      </c>
      <c r="AK183">
        <v>1</v>
      </c>
    </row>
    <row r="184" spans="1:37">
      <c r="A184">
        <v>-0.75</v>
      </c>
      <c r="B184">
        <v>0.5</v>
      </c>
      <c r="C184">
        <v>-1</v>
      </c>
      <c r="D184">
        <v>-2</v>
      </c>
      <c r="E184">
        <v>0.5</v>
      </c>
      <c r="F184">
        <v>-1</v>
      </c>
      <c r="G184">
        <v>-2</v>
      </c>
      <c r="H184">
        <v>-0.5</v>
      </c>
      <c r="I184">
        <v>-1</v>
      </c>
      <c r="J184">
        <v>-0.75</v>
      </c>
      <c r="K184">
        <v>-0.5</v>
      </c>
      <c r="L184">
        <v>-1</v>
      </c>
      <c r="M184">
        <v>1</v>
      </c>
      <c r="N184">
        <v>3</v>
      </c>
      <c r="P184">
        <v>2</v>
      </c>
      <c r="AK184">
        <v>1</v>
      </c>
    </row>
    <row r="185" spans="1:37">
      <c r="A185">
        <v>-0.75</v>
      </c>
      <c r="B185">
        <v>0.5</v>
      </c>
      <c r="C185">
        <v>1</v>
      </c>
      <c r="D185">
        <v>-0.75</v>
      </c>
      <c r="E185">
        <v>-0.5</v>
      </c>
      <c r="F185">
        <v>1</v>
      </c>
      <c r="G185">
        <v>-2</v>
      </c>
      <c r="H185">
        <v>-0.5</v>
      </c>
      <c r="I185">
        <v>1</v>
      </c>
      <c r="J185">
        <v>-2</v>
      </c>
      <c r="K185">
        <v>0.5</v>
      </c>
      <c r="L185">
        <v>1</v>
      </c>
      <c r="M185">
        <v>1</v>
      </c>
      <c r="N185">
        <v>3</v>
      </c>
      <c r="P185">
        <v>2</v>
      </c>
      <c r="AK185">
        <v>1</v>
      </c>
    </row>
    <row r="186" spans="1:37">
      <c r="A186">
        <v>0</v>
      </c>
      <c r="B186">
        <v>1.5</v>
      </c>
      <c r="C186">
        <v>-1</v>
      </c>
      <c r="E186">
        <v>1.5</v>
      </c>
      <c r="F186">
        <v>1</v>
      </c>
      <c r="G186">
        <v>-2.5</v>
      </c>
      <c r="H186">
        <v>1.5</v>
      </c>
      <c r="I186">
        <v>1</v>
      </c>
      <c r="J186">
        <v>-2.5</v>
      </c>
      <c r="K186">
        <v>1.5</v>
      </c>
      <c r="L186">
        <v>-1</v>
      </c>
      <c r="M186">
        <v>7</v>
      </c>
      <c r="N186">
        <v>9</v>
      </c>
      <c r="P186">
        <v>2</v>
      </c>
      <c r="AJ186">
        <v>2</v>
      </c>
      <c r="AK186">
        <v>1</v>
      </c>
    </row>
    <row r="187" spans="1:37">
      <c r="A187">
        <v>-0.5</v>
      </c>
      <c r="B187">
        <v>1.6</v>
      </c>
      <c r="C187">
        <v>-0.5</v>
      </c>
      <c r="D187">
        <v>-0.5</v>
      </c>
      <c r="E187">
        <v>1.6</v>
      </c>
      <c r="F187">
        <v>0.5</v>
      </c>
      <c r="G187">
        <v>-2</v>
      </c>
      <c r="H187">
        <v>1.6</v>
      </c>
      <c r="I187">
        <v>0.5</v>
      </c>
      <c r="J187">
        <v>-2</v>
      </c>
      <c r="K187">
        <v>1.6</v>
      </c>
      <c r="L187">
        <v>-0.5</v>
      </c>
      <c r="M187">
        <v>7</v>
      </c>
      <c r="N187">
        <v>8</v>
      </c>
      <c r="P187">
        <v>2</v>
      </c>
      <c r="AJ187">
        <v>3</v>
      </c>
      <c r="AK187">
        <v>1</v>
      </c>
    </row>
    <row r="188" spans="1:37">
      <c r="A188">
        <v>-4</v>
      </c>
      <c r="B188">
        <v>1</v>
      </c>
      <c r="C188">
        <v>0.5</v>
      </c>
      <c r="D188">
        <v>-2.75</v>
      </c>
      <c r="E188">
        <v>1</v>
      </c>
      <c r="F188">
        <v>0.5</v>
      </c>
      <c r="G188">
        <v>-2.8</v>
      </c>
      <c r="H188">
        <v>-1</v>
      </c>
      <c r="I188">
        <v>0.5</v>
      </c>
      <c r="J188">
        <v>-5</v>
      </c>
      <c r="K188">
        <v>-1</v>
      </c>
      <c r="L188">
        <v>0.5</v>
      </c>
      <c r="M188">
        <v>1</v>
      </c>
      <c r="N188">
        <v>5</v>
      </c>
      <c r="P188">
        <v>2</v>
      </c>
      <c r="AJ188">
        <v>3</v>
      </c>
      <c r="AK188">
        <v>1</v>
      </c>
    </row>
    <row r="189" spans="1:37">
      <c r="A189">
        <v>-4</v>
      </c>
      <c r="B189">
        <v>1</v>
      </c>
      <c r="C189">
        <v>-0.5</v>
      </c>
      <c r="D189">
        <v>-5</v>
      </c>
      <c r="E189">
        <v>-1</v>
      </c>
      <c r="F189">
        <v>-0.5</v>
      </c>
      <c r="G189">
        <v>-2.8</v>
      </c>
      <c r="H189">
        <v>-1</v>
      </c>
      <c r="I189">
        <v>-0.5</v>
      </c>
      <c r="J189">
        <v>-2.75</v>
      </c>
      <c r="K189">
        <v>1</v>
      </c>
      <c r="L189">
        <v>-0.5</v>
      </c>
      <c r="M189">
        <v>1</v>
      </c>
      <c r="N189">
        <v>5</v>
      </c>
      <c r="P189">
        <v>2</v>
      </c>
      <c r="AJ189">
        <v>3</v>
      </c>
      <c r="AK189">
        <v>1</v>
      </c>
    </row>
    <row r="190" spans="1:37">
      <c r="A190">
        <v>-4</v>
      </c>
      <c r="B190">
        <v>1</v>
      </c>
      <c r="C190">
        <v>0.5</v>
      </c>
      <c r="D190">
        <v>-5</v>
      </c>
      <c r="E190">
        <v>-1</v>
      </c>
      <c r="F190">
        <v>0.5</v>
      </c>
      <c r="G190">
        <v>-5</v>
      </c>
      <c r="H190">
        <v>-1</v>
      </c>
      <c r="I190">
        <v>-0.5</v>
      </c>
      <c r="J190">
        <v>-4</v>
      </c>
      <c r="K190">
        <v>1</v>
      </c>
      <c r="L190">
        <v>-0.5</v>
      </c>
      <c r="M190">
        <v>1</v>
      </c>
      <c r="N190">
        <v>6</v>
      </c>
      <c r="P190">
        <v>2</v>
      </c>
      <c r="AJ190">
        <v>4</v>
      </c>
      <c r="AK190">
        <v>1</v>
      </c>
    </row>
    <row r="191" spans="1:37">
      <c r="A191">
        <v>-4</v>
      </c>
      <c r="B191">
        <v>1</v>
      </c>
      <c r="C191">
        <v>0.5</v>
      </c>
      <c r="D191">
        <v>-4</v>
      </c>
      <c r="E191">
        <v>1</v>
      </c>
      <c r="F191">
        <v>-0.5</v>
      </c>
      <c r="G191">
        <v>-2.8</v>
      </c>
      <c r="H191">
        <v>1</v>
      </c>
      <c r="I191">
        <v>-0.5</v>
      </c>
      <c r="J191">
        <v>-2.8</v>
      </c>
      <c r="K191">
        <v>1</v>
      </c>
      <c r="L191">
        <v>0.5</v>
      </c>
      <c r="M191">
        <v>1</v>
      </c>
      <c r="N191">
        <v>8</v>
      </c>
      <c r="P191">
        <v>2</v>
      </c>
      <c r="AJ191">
        <v>2</v>
      </c>
      <c r="AK191">
        <v>1</v>
      </c>
    </row>
    <row r="192" spans="1:37">
      <c r="A192">
        <v>-5</v>
      </c>
      <c r="B192">
        <v>-1</v>
      </c>
      <c r="C192">
        <v>0.5</v>
      </c>
      <c r="D192">
        <v>-3.25</v>
      </c>
      <c r="E192">
        <v>-1</v>
      </c>
      <c r="F192">
        <v>0.5</v>
      </c>
      <c r="G192">
        <v>-4.25</v>
      </c>
      <c r="H192">
        <v>-2</v>
      </c>
      <c r="I192">
        <v>0.5</v>
      </c>
      <c r="J192">
        <v>-6</v>
      </c>
      <c r="K192">
        <v>-2</v>
      </c>
      <c r="L192">
        <v>0.5</v>
      </c>
      <c r="M192">
        <v>2</v>
      </c>
      <c r="N192">
        <v>5</v>
      </c>
      <c r="P192">
        <v>2</v>
      </c>
      <c r="AK192">
        <v>1</v>
      </c>
    </row>
    <row r="193" spans="1:43">
      <c r="A193">
        <v>-5</v>
      </c>
      <c r="B193">
        <v>-1</v>
      </c>
      <c r="C193">
        <v>-0.5</v>
      </c>
      <c r="D193">
        <v>-6</v>
      </c>
      <c r="E193">
        <v>-2</v>
      </c>
      <c r="F193">
        <v>-0.5</v>
      </c>
      <c r="G193">
        <v>-4.25</v>
      </c>
      <c r="H193">
        <v>-2</v>
      </c>
      <c r="I193">
        <v>-0.5</v>
      </c>
      <c r="J193">
        <v>-3.25</v>
      </c>
      <c r="K193">
        <v>-1</v>
      </c>
      <c r="L193">
        <v>-0.5</v>
      </c>
      <c r="M193">
        <v>2</v>
      </c>
      <c r="N193">
        <v>5</v>
      </c>
      <c r="P193">
        <v>2</v>
      </c>
      <c r="AK193">
        <v>1</v>
      </c>
    </row>
    <row r="194" spans="1:43">
      <c r="A194">
        <v>-5</v>
      </c>
      <c r="B194">
        <v>-1</v>
      </c>
      <c r="C194">
        <v>0.5</v>
      </c>
      <c r="D194">
        <v>-6</v>
      </c>
      <c r="E194">
        <v>-2</v>
      </c>
      <c r="F194">
        <v>0.5</v>
      </c>
      <c r="G194">
        <v>-6</v>
      </c>
      <c r="H194">
        <v>-2</v>
      </c>
      <c r="I194">
        <v>-0.5</v>
      </c>
      <c r="J194">
        <v>-5</v>
      </c>
      <c r="K194">
        <v>-1</v>
      </c>
      <c r="L194">
        <v>-0.5</v>
      </c>
      <c r="M194">
        <v>2</v>
      </c>
      <c r="N194">
        <v>6</v>
      </c>
      <c r="P194">
        <v>2</v>
      </c>
      <c r="AK194">
        <v>1</v>
      </c>
    </row>
    <row r="195" spans="1:43">
      <c r="A195">
        <v>-3.25</v>
      </c>
      <c r="B195">
        <v>-1</v>
      </c>
      <c r="C195">
        <v>0.5</v>
      </c>
      <c r="D195">
        <v>-3.25</v>
      </c>
      <c r="E195">
        <v>-1</v>
      </c>
      <c r="F195">
        <v>-0.5</v>
      </c>
      <c r="G195">
        <v>-4.25</v>
      </c>
      <c r="H195">
        <v>-2</v>
      </c>
      <c r="I195">
        <v>-0.5</v>
      </c>
      <c r="J195">
        <v>-4.25</v>
      </c>
      <c r="K195">
        <v>-2</v>
      </c>
      <c r="L195">
        <v>0.5</v>
      </c>
      <c r="M195">
        <v>2</v>
      </c>
      <c r="N195">
        <v>4</v>
      </c>
      <c r="P195">
        <v>2</v>
      </c>
      <c r="AK195">
        <v>1</v>
      </c>
    </row>
    <row r="197" spans="1:43">
      <c r="A197">
        <v>-2</v>
      </c>
      <c r="B197">
        <v>2</v>
      </c>
      <c r="C197">
        <v>2</v>
      </c>
      <c r="D197">
        <v>2</v>
      </c>
      <c r="E197">
        <v>2</v>
      </c>
      <c r="F197">
        <v>2</v>
      </c>
      <c r="G197">
        <v>2</v>
      </c>
      <c r="H197">
        <v>-2</v>
      </c>
      <c r="I197">
        <v>2</v>
      </c>
      <c r="J197">
        <v>-2</v>
      </c>
      <c r="K197">
        <v>-2</v>
      </c>
      <c r="L197">
        <v>2</v>
      </c>
      <c r="M197">
        <v>2</v>
      </c>
      <c r="N197">
        <v>11</v>
      </c>
      <c r="O197">
        <v>3</v>
      </c>
      <c r="P197">
        <v>3</v>
      </c>
      <c r="Q197">
        <v>3</v>
      </c>
      <c r="S197">
        <v>7</v>
      </c>
      <c r="U197">
        <v>175</v>
      </c>
      <c r="X197">
        <v>60</v>
      </c>
      <c r="Y197">
        <v>27</v>
      </c>
      <c r="AC197">
        <v>150</v>
      </c>
      <c r="AH197">
        <v>205</v>
      </c>
      <c r="AI197">
        <v>16</v>
      </c>
      <c r="AJ197">
        <v>4</v>
      </c>
      <c r="AN197">
        <v>1</v>
      </c>
      <c r="AP197">
        <v>17</v>
      </c>
      <c r="AQ197" t="s">
        <v>1012</v>
      </c>
    </row>
    <row r="198" spans="1:43">
      <c r="A198">
        <v>2</v>
      </c>
      <c r="B198">
        <v>2</v>
      </c>
      <c r="C198">
        <v>2</v>
      </c>
      <c r="D198">
        <v>2</v>
      </c>
      <c r="E198">
        <v>2</v>
      </c>
      <c r="F198">
        <v>-2</v>
      </c>
      <c r="G198">
        <v>2</v>
      </c>
      <c r="H198">
        <v>-2</v>
      </c>
      <c r="I198">
        <v>-2</v>
      </c>
      <c r="J198">
        <v>2</v>
      </c>
      <c r="K198">
        <v>-2</v>
      </c>
      <c r="L198">
        <v>2</v>
      </c>
      <c r="M198">
        <v>2</v>
      </c>
      <c r="N198">
        <v>11</v>
      </c>
      <c r="O198">
        <v>3</v>
      </c>
      <c r="P198">
        <v>3</v>
      </c>
      <c r="Q198">
        <v>3</v>
      </c>
      <c r="AH198">
        <v>205</v>
      </c>
      <c r="AI198">
        <v>16</v>
      </c>
      <c r="AJ198">
        <v>4</v>
      </c>
      <c r="AN198">
        <v>1</v>
      </c>
    </row>
    <row r="199" spans="1:43">
      <c r="A199">
        <v>2</v>
      </c>
      <c r="B199">
        <v>2</v>
      </c>
      <c r="C199">
        <v>-2</v>
      </c>
      <c r="D199">
        <v>-2</v>
      </c>
      <c r="E199">
        <v>2</v>
      </c>
      <c r="F199">
        <v>-2</v>
      </c>
      <c r="G199">
        <v>-2</v>
      </c>
      <c r="H199">
        <v>-2</v>
      </c>
      <c r="I199">
        <v>-2</v>
      </c>
      <c r="J199">
        <v>2</v>
      </c>
      <c r="K199">
        <v>-2</v>
      </c>
      <c r="L199">
        <v>-2</v>
      </c>
      <c r="M199">
        <v>2</v>
      </c>
      <c r="N199">
        <v>11</v>
      </c>
      <c r="O199">
        <v>3</v>
      </c>
      <c r="P199">
        <v>3</v>
      </c>
      <c r="Q199">
        <v>3</v>
      </c>
      <c r="AH199">
        <v>205</v>
      </c>
      <c r="AI199">
        <v>16</v>
      </c>
      <c r="AJ199">
        <v>4</v>
      </c>
      <c r="AN199">
        <v>1</v>
      </c>
    </row>
    <row r="200" spans="1:43">
      <c r="A200">
        <v>-2</v>
      </c>
      <c r="B200">
        <v>2</v>
      </c>
      <c r="C200">
        <v>-2</v>
      </c>
      <c r="D200">
        <v>-2</v>
      </c>
      <c r="E200">
        <v>2</v>
      </c>
      <c r="F200">
        <v>2</v>
      </c>
      <c r="G200">
        <v>-2</v>
      </c>
      <c r="H200">
        <v>-2</v>
      </c>
      <c r="I200">
        <v>2</v>
      </c>
      <c r="J200">
        <v>-2</v>
      </c>
      <c r="K200">
        <v>-2</v>
      </c>
      <c r="L200">
        <v>-2</v>
      </c>
      <c r="M200">
        <v>2</v>
      </c>
      <c r="N200">
        <v>10</v>
      </c>
      <c r="O200">
        <v>3</v>
      </c>
      <c r="P200">
        <v>3</v>
      </c>
      <c r="Q200">
        <v>3</v>
      </c>
      <c r="AH200">
        <v>205</v>
      </c>
      <c r="AI200">
        <v>16</v>
      </c>
      <c r="AJ200">
        <v>4</v>
      </c>
      <c r="AN200">
        <v>1</v>
      </c>
    </row>
    <row r="201" spans="1:43">
      <c r="A201">
        <v>-2</v>
      </c>
      <c r="B201">
        <v>2</v>
      </c>
      <c r="C201">
        <v>-2</v>
      </c>
      <c r="D201">
        <v>2</v>
      </c>
      <c r="E201">
        <v>2</v>
      </c>
      <c r="F201">
        <v>-2</v>
      </c>
      <c r="G201">
        <v>2</v>
      </c>
      <c r="H201">
        <v>2</v>
      </c>
      <c r="I201">
        <v>2</v>
      </c>
      <c r="J201">
        <v>-2</v>
      </c>
      <c r="K201">
        <v>2</v>
      </c>
      <c r="L201">
        <v>2</v>
      </c>
      <c r="M201">
        <v>2</v>
      </c>
      <c r="N201">
        <v>11</v>
      </c>
      <c r="O201">
        <v>3</v>
      </c>
      <c r="P201">
        <v>3</v>
      </c>
      <c r="Q201">
        <v>3</v>
      </c>
      <c r="AH201">
        <v>205</v>
      </c>
      <c r="AI201">
        <v>16</v>
      </c>
      <c r="AJ201">
        <v>4</v>
      </c>
      <c r="AN201">
        <v>1</v>
      </c>
    </row>
    <row r="202" spans="1:43">
      <c r="A202">
        <v>-2</v>
      </c>
      <c r="B202">
        <v>-2</v>
      </c>
      <c r="C202">
        <v>2</v>
      </c>
      <c r="D202">
        <v>2</v>
      </c>
      <c r="E202">
        <v>-2</v>
      </c>
      <c r="F202">
        <v>2</v>
      </c>
      <c r="G202">
        <v>2</v>
      </c>
      <c r="H202">
        <v>-2</v>
      </c>
      <c r="I202">
        <v>-2</v>
      </c>
      <c r="J202">
        <v>-2</v>
      </c>
      <c r="K202">
        <v>-2</v>
      </c>
      <c r="L202">
        <v>-2</v>
      </c>
      <c r="M202">
        <v>2</v>
      </c>
      <c r="N202">
        <v>11</v>
      </c>
      <c r="O202">
        <v>3</v>
      </c>
      <c r="P202">
        <v>3</v>
      </c>
      <c r="Q202">
        <v>3</v>
      </c>
      <c r="AH202">
        <v>205</v>
      </c>
      <c r="AI202">
        <v>16</v>
      </c>
      <c r="AJ202">
        <v>4</v>
      </c>
      <c r="AN202">
        <v>1</v>
      </c>
    </row>
    <row r="204" spans="1:43">
      <c r="A204">
        <v>1.5</v>
      </c>
      <c r="B204">
        <v>1.5</v>
      </c>
      <c r="C204">
        <v>1.5</v>
      </c>
      <c r="D204">
        <v>1.5</v>
      </c>
      <c r="E204">
        <v>-1.5</v>
      </c>
      <c r="F204">
        <v>1.5</v>
      </c>
      <c r="G204">
        <v>-1.5</v>
      </c>
      <c r="H204">
        <v>-1.5</v>
      </c>
      <c r="I204">
        <v>1.5</v>
      </c>
      <c r="J204">
        <v>-1.5</v>
      </c>
      <c r="K204">
        <v>1.5</v>
      </c>
      <c r="L204">
        <v>1.5</v>
      </c>
      <c r="M204">
        <v>5</v>
      </c>
      <c r="N204">
        <v>9</v>
      </c>
      <c r="O204">
        <v>2</v>
      </c>
      <c r="P204">
        <v>2</v>
      </c>
      <c r="Q204">
        <v>2</v>
      </c>
      <c r="S204">
        <v>7</v>
      </c>
      <c r="U204">
        <v>175</v>
      </c>
      <c r="X204">
        <v>80</v>
      </c>
      <c r="Y204">
        <v>25</v>
      </c>
      <c r="AC204">
        <v>175</v>
      </c>
      <c r="AJ204">
        <v>4</v>
      </c>
      <c r="AN204">
        <v>1</v>
      </c>
      <c r="AP204">
        <v>18</v>
      </c>
      <c r="AQ204" t="s">
        <v>1013</v>
      </c>
    </row>
    <row r="205" spans="1:43">
      <c r="A205">
        <v>1.5</v>
      </c>
      <c r="B205">
        <v>1.5</v>
      </c>
      <c r="C205">
        <v>1.5</v>
      </c>
      <c r="D205">
        <v>1.5</v>
      </c>
      <c r="E205">
        <v>1.5</v>
      </c>
      <c r="F205">
        <v>-1.5</v>
      </c>
      <c r="G205">
        <v>1.5</v>
      </c>
      <c r="H205">
        <v>-1.5</v>
      </c>
      <c r="I205">
        <v>-1.5</v>
      </c>
      <c r="J205">
        <v>1.5</v>
      </c>
      <c r="K205">
        <v>-1.5</v>
      </c>
      <c r="L205">
        <v>1.5</v>
      </c>
      <c r="M205">
        <v>5</v>
      </c>
      <c r="N205">
        <v>9</v>
      </c>
      <c r="O205">
        <v>2</v>
      </c>
      <c r="P205">
        <v>2</v>
      </c>
      <c r="Q205">
        <v>2</v>
      </c>
      <c r="AJ205">
        <v>4</v>
      </c>
      <c r="AN205">
        <v>1</v>
      </c>
    </row>
    <row r="206" spans="1:43">
      <c r="A206">
        <v>-1.5</v>
      </c>
      <c r="B206">
        <v>1.5</v>
      </c>
      <c r="C206">
        <v>1.5</v>
      </c>
      <c r="D206">
        <v>-1.5</v>
      </c>
      <c r="E206">
        <v>-1.5</v>
      </c>
      <c r="F206">
        <v>1.5</v>
      </c>
      <c r="G206">
        <v>-1.5</v>
      </c>
      <c r="H206">
        <v>-1.5</v>
      </c>
      <c r="I206">
        <v>-1.5</v>
      </c>
      <c r="J206">
        <v>-1.5</v>
      </c>
      <c r="K206">
        <v>1.5</v>
      </c>
      <c r="L206">
        <v>-1.5</v>
      </c>
      <c r="M206">
        <v>5</v>
      </c>
      <c r="N206">
        <v>9</v>
      </c>
      <c r="O206">
        <v>2</v>
      </c>
      <c r="P206">
        <v>2</v>
      </c>
      <c r="Q206">
        <v>2</v>
      </c>
      <c r="AJ206">
        <v>4</v>
      </c>
      <c r="AN206">
        <v>1</v>
      </c>
    </row>
    <row r="207" spans="1:43">
      <c r="A207">
        <v>1.5</v>
      </c>
      <c r="B207">
        <v>1.5</v>
      </c>
      <c r="C207">
        <v>1.5</v>
      </c>
      <c r="D207">
        <v>-1.5</v>
      </c>
      <c r="E207">
        <v>1.5</v>
      </c>
      <c r="F207">
        <v>1.5</v>
      </c>
      <c r="G207">
        <v>-1.5</v>
      </c>
      <c r="H207">
        <v>1.5</v>
      </c>
      <c r="I207">
        <v>-1.5</v>
      </c>
      <c r="J207">
        <v>1.5</v>
      </c>
      <c r="K207">
        <v>1.5</v>
      </c>
      <c r="L207">
        <v>-1.5</v>
      </c>
      <c r="M207">
        <v>5</v>
      </c>
      <c r="N207">
        <v>8</v>
      </c>
      <c r="O207">
        <v>2</v>
      </c>
      <c r="P207">
        <v>2</v>
      </c>
      <c r="Q207">
        <v>2</v>
      </c>
      <c r="AJ207">
        <v>4</v>
      </c>
      <c r="AN207">
        <v>1</v>
      </c>
    </row>
    <row r="208" spans="1:43">
      <c r="A208">
        <v>1.5</v>
      </c>
      <c r="B208">
        <v>-1.5</v>
      </c>
      <c r="C208">
        <v>1.5</v>
      </c>
      <c r="D208">
        <v>1.5</v>
      </c>
      <c r="E208">
        <v>-1.5</v>
      </c>
      <c r="F208">
        <v>-1.5</v>
      </c>
      <c r="G208">
        <v>-1.5</v>
      </c>
      <c r="H208">
        <v>-1.5</v>
      </c>
      <c r="I208">
        <v>-1.5</v>
      </c>
      <c r="J208">
        <v>-1.5</v>
      </c>
      <c r="K208">
        <v>-1.5</v>
      </c>
      <c r="L208">
        <v>1.5</v>
      </c>
      <c r="M208">
        <v>5</v>
      </c>
      <c r="N208">
        <v>8</v>
      </c>
      <c r="O208">
        <v>2</v>
      </c>
      <c r="P208">
        <v>2</v>
      </c>
      <c r="Q208">
        <v>2</v>
      </c>
      <c r="AJ208">
        <v>4</v>
      </c>
      <c r="AN208">
        <v>1</v>
      </c>
    </row>
    <row r="209" spans="1:43">
      <c r="A209">
        <v>1.5</v>
      </c>
      <c r="B209">
        <v>1.5</v>
      </c>
      <c r="C209">
        <v>-1.5</v>
      </c>
      <c r="D209">
        <v>-1.5</v>
      </c>
      <c r="E209">
        <v>1.5</v>
      </c>
      <c r="F209">
        <v>-1.5</v>
      </c>
      <c r="G209">
        <v>-1.5</v>
      </c>
      <c r="H209">
        <v>-1.5</v>
      </c>
      <c r="I209">
        <v>-1.5</v>
      </c>
      <c r="J209">
        <v>1.5</v>
      </c>
      <c r="K209">
        <v>-1.5</v>
      </c>
      <c r="L209">
        <v>-1.5</v>
      </c>
      <c r="M209">
        <v>5</v>
      </c>
      <c r="N209">
        <v>9</v>
      </c>
      <c r="O209">
        <v>2</v>
      </c>
      <c r="P209">
        <v>2</v>
      </c>
      <c r="Q209">
        <v>2</v>
      </c>
      <c r="AJ209">
        <v>4</v>
      </c>
      <c r="AN209">
        <v>1</v>
      </c>
    </row>
    <row r="210" spans="1:43">
      <c r="A210">
        <v>-2.5</v>
      </c>
      <c r="B210">
        <v>2.5</v>
      </c>
      <c r="C210">
        <v>2.5</v>
      </c>
      <c r="D210">
        <v>2.5</v>
      </c>
      <c r="E210">
        <v>2.5</v>
      </c>
      <c r="F210">
        <v>2.5</v>
      </c>
      <c r="G210">
        <v>2.5</v>
      </c>
      <c r="H210">
        <v>-2.5</v>
      </c>
      <c r="I210">
        <v>2.5</v>
      </c>
      <c r="J210">
        <v>-2.5</v>
      </c>
      <c r="K210">
        <v>-2.5</v>
      </c>
      <c r="L210">
        <v>2.5</v>
      </c>
      <c r="M210">
        <v>5</v>
      </c>
      <c r="N210">
        <v>11</v>
      </c>
      <c r="O210">
        <v>2</v>
      </c>
      <c r="P210">
        <v>2</v>
      </c>
      <c r="Q210">
        <v>2</v>
      </c>
      <c r="AH210">
        <v>205</v>
      </c>
      <c r="AI210">
        <v>16</v>
      </c>
      <c r="AJ210">
        <v>4</v>
      </c>
      <c r="AN210">
        <v>2</v>
      </c>
    </row>
    <row r="211" spans="1:43">
      <c r="A211">
        <v>2.5</v>
      </c>
      <c r="B211">
        <v>2.5</v>
      </c>
      <c r="C211">
        <v>2.5</v>
      </c>
      <c r="D211">
        <v>2.5</v>
      </c>
      <c r="E211">
        <v>2.5</v>
      </c>
      <c r="F211">
        <v>-2.5</v>
      </c>
      <c r="G211">
        <v>2.5</v>
      </c>
      <c r="H211">
        <v>-2.5</v>
      </c>
      <c r="I211">
        <v>-2.5</v>
      </c>
      <c r="J211">
        <v>2.5</v>
      </c>
      <c r="K211">
        <v>-2.5</v>
      </c>
      <c r="L211">
        <v>2.5</v>
      </c>
      <c r="M211">
        <v>5</v>
      </c>
      <c r="N211">
        <v>10</v>
      </c>
      <c r="O211">
        <v>2</v>
      </c>
      <c r="P211">
        <v>2</v>
      </c>
      <c r="Q211">
        <v>2</v>
      </c>
      <c r="AH211">
        <v>205</v>
      </c>
      <c r="AI211">
        <v>16</v>
      </c>
      <c r="AJ211">
        <v>4</v>
      </c>
      <c r="AN211">
        <v>2</v>
      </c>
    </row>
    <row r="212" spans="1:43">
      <c r="A212">
        <v>2.5</v>
      </c>
      <c r="B212">
        <v>2.5</v>
      </c>
      <c r="C212">
        <v>-2.5</v>
      </c>
      <c r="D212">
        <v>-2.5</v>
      </c>
      <c r="E212">
        <v>2.5</v>
      </c>
      <c r="F212">
        <v>-2.5</v>
      </c>
      <c r="G212">
        <v>-2.5</v>
      </c>
      <c r="H212">
        <v>-2.5</v>
      </c>
      <c r="I212">
        <v>-2.5</v>
      </c>
      <c r="J212">
        <v>2.5</v>
      </c>
      <c r="K212">
        <v>-2.5</v>
      </c>
      <c r="L212">
        <v>-2.5</v>
      </c>
      <c r="M212">
        <v>5</v>
      </c>
      <c r="N212">
        <v>11</v>
      </c>
      <c r="O212">
        <v>2</v>
      </c>
      <c r="P212">
        <v>2</v>
      </c>
      <c r="Q212">
        <v>2</v>
      </c>
      <c r="AH212">
        <v>205</v>
      </c>
      <c r="AI212">
        <v>16</v>
      </c>
      <c r="AJ212">
        <v>4</v>
      </c>
      <c r="AN212">
        <v>2</v>
      </c>
    </row>
    <row r="213" spans="1:43">
      <c r="A213">
        <v>-2.5</v>
      </c>
      <c r="B213">
        <v>2.5</v>
      </c>
      <c r="C213">
        <v>-2.5</v>
      </c>
      <c r="D213">
        <v>-2.5</v>
      </c>
      <c r="E213">
        <v>2.5</v>
      </c>
      <c r="F213">
        <v>2.5</v>
      </c>
      <c r="G213">
        <v>-2.5</v>
      </c>
      <c r="H213">
        <v>-2.5</v>
      </c>
      <c r="I213">
        <v>2.5</v>
      </c>
      <c r="J213">
        <v>-2.5</v>
      </c>
      <c r="K213">
        <v>-2.5</v>
      </c>
      <c r="L213">
        <v>-2.5</v>
      </c>
      <c r="M213">
        <v>5</v>
      </c>
      <c r="N213">
        <v>10</v>
      </c>
      <c r="O213">
        <v>2</v>
      </c>
      <c r="P213">
        <v>2</v>
      </c>
      <c r="Q213">
        <v>2</v>
      </c>
      <c r="AH213">
        <v>205</v>
      </c>
      <c r="AI213">
        <v>16</v>
      </c>
      <c r="AJ213">
        <v>4</v>
      </c>
      <c r="AN213">
        <v>2</v>
      </c>
    </row>
    <row r="214" spans="1:43">
      <c r="A214">
        <v>-2.5</v>
      </c>
      <c r="B214">
        <v>2.5</v>
      </c>
      <c r="C214">
        <v>-2.5</v>
      </c>
      <c r="D214">
        <v>2.5</v>
      </c>
      <c r="E214">
        <v>2.5</v>
      </c>
      <c r="F214">
        <v>-2.5</v>
      </c>
      <c r="G214">
        <v>2.5</v>
      </c>
      <c r="H214">
        <v>2.5</v>
      </c>
      <c r="I214">
        <v>2.5</v>
      </c>
      <c r="J214">
        <v>-2.5</v>
      </c>
      <c r="K214">
        <v>2.5</v>
      </c>
      <c r="L214">
        <v>2.5</v>
      </c>
      <c r="M214">
        <v>5</v>
      </c>
      <c r="N214">
        <v>11</v>
      </c>
      <c r="O214">
        <v>2</v>
      </c>
      <c r="P214">
        <v>2</v>
      </c>
      <c r="Q214">
        <v>2</v>
      </c>
      <c r="AH214">
        <v>205</v>
      </c>
      <c r="AI214">
        <v>16</v>
      </c>
      <c r="AJ214">
        <v>4</v>
      </c>
      <c r="AN214">
        <v>2</v>
      </c>
    </row>
    <row r="215" spans="1:43">
      <c r="A215">
        <v>-2.5</v>
      </c>
      <c r="B215">
        <v>-2.5</v>
      </c>
      <c r="C215">
        <v>2.5</v>
      </c>
      <c r="D215">
        <v>2.5</v>
      </c>
      <c r="E215">
        <v>-2.5</v>
      </c>
      <c r="F215">
        <v>2.5</v>
      </c>
      <c r="G215">
        <v>2.5</v>
      </c>
      <c r="H215">
        <v>-2.5</v>
      </c>
      <c r="I215">
        <v>-2.5</v>
      </c>
      <c r="J215">
        <v>-2.5</v>
      </c>
      <c r="K215">
        <v>-2.5</v>
      </c>
      <c r="L215">
        <v>-2.5</v>
      </c>
      <c r="M215">
        <v>5</v>
      </c>
      <c r="N215">
        <v>10</v>
      </c>
      <c r="O215">
        <v>2</v>
      </c>
      <c r="P215">
        <v>2</v>
      </c>
      <c r="Q215">
        <v>2</v>
      </c>
      <c r="AH215">
        <v>205</v>
      </c>
      <c r="AI215">
        <v>16</v>
      </c>
      <c r="AJ215">
        <v>4</v>
      </c>
      <c r="AN215">
        <v>2</v>
      </c>
    </row>
    <row r="217" spans="1:43">
      <c r="A217">
        <v>-2</v>
      </c>
      <c r="B217">
        <v>2</v>
      </c>
      <c r="C217">
        <v>2</v>
      </c>
      <c r="D217">
        <v>2</v>
      </c>
      <c r="E217">
        <v>2</v>
      </c>
      <c r="F217">
        <v>2</v>
      </c>
      <c r="G217">
        <v>2</v>
      </c>
      <c r="H217">
        <v>-1</v>
      </c>
      <c r="I217">
        <v>2</v>
      </c>
      <c r="J217">
        <v>-2</v>
      </c>
      <c r="K217">
        <v>-1</v>
      </c>
      <c r="L217">
        <v>2</v>
      </c>
      <c r="M217">
        <v>1</v>
      </c>
      <c r="N217">
        <v>6</v>
      </c>
      <c r="P217">
        <v>4</v>
      </c>
      <c r="S217">
        <v>7</v>
      </c>
      <c r="U217">
        <v>200</v>
      </c>
      <c r="X217">
        <v>99</v>
      </c>
      <c r="Y217">
        <v>24</v>
      </c>
      <c r="AC217">
        <v>200</v>
      </c>
      <c r="AJ217">
        <v>1</v>
      </c>
      <c r="AK217">
        <v>1</v>
      </c>
      <c r="AP217">
        <v>19</v>
      </c>
      <c r="AQ217" t="s">
        <v>1014</v>
      </c>
    </row>
    <row r="218" spans="1:43">
      <c r="A218">
        <v>2</v>
      </c>
      <c r="B218">
        <v>2</v>
      </c>
      <c r="C218">
        <v>2</v>
      </c>
      <c r="D218">
        <v>2</v>
      </c>
      <c r="E218">
        <v>2</v>
      </c>
      <c r="F218">
        <v>-3</v>
      </c>
      <c r="G218">
        <v>2</v>
      </c>
      <c r="H218">
        <v>-1</v>
      </c>
      <c r="I218">
        <v>-3</v>
      </c>
      <c r="J218">
        <v>2</v>
      </c>
      <c r="K218">
        <v>-1</v>
      </c>
      <c r="L218">
        <v>2</v>
      </c>
      <c r="M218">
        <v>1</v>
      </c>
      <c r="N218">
        <v>5</v>
      </c>
      <c r="P218">
        <v>4</v>
      </c>
      <c r="AJ218">
        <v>1</v>
      </c>
      <c r="AK218">
        <v>1</v>
      </c>
    </row>
    <row r="219" spans="1:43">
      <c r="A219">
        <v>2</v>
      </c>
      <c r="B219">
        <v>2</v>
      </c>
      <c r="C219">
        <v>-3</v>
      </c>
      <c r="D219">
        <v>-2</v>
      </c>
      <c r="E219">
        <v>2</v>
      </c>
      <c r="F219">
        <v>-3</v>
      </c>
      <c r="G219">
        <v>-2</v>
      </c>
      <c r="H219">
        <v>-1</v>
      </c>
      <c r="I219">
        <v>-3</v>
      </c>
      <c r="J219">
        <v>2</v>
      </c>
      <c r="K219">
        <v>-1</v>
      </c>
      <c r="L219">
        <v>-3</v>
      </c>
      <c r="M219">
        <v>1</v>
      </c>
      <c r="N219">
        <v>5</v>
      </c>
      <c r="P219">
        <v>4</v>
      </c>
      <c r="AJ219">
        <v>1</v>
      </c>
      <c r="AK219">
        <v>1</v>
      </c>
    </row>
    <row r="220" spans="1:43">
      <c r="A220">
        <v>-2</v>
      </c>
      <c r="B220">
        <v>2</v>
      </c>
      <c r="C220">
        <v>-3</v>
      </c>
      <c r="D220">
        <v>-2</v>
      </c>
      <c r="E220">
        <v>2</v>
      </c>
      <c r="F220">
        <v>2</v>
      </c>
      <c r="G220">
        <v>-2</v>
      </c>
      <c r="H220">
        <v>-1</v>
      </c>
      <c r="I220">
        <v>2</v>
      </c>
      <c r="J220">
        <v>-2</v>
      </c>
      <c r="K220">
        <v>-1</v>
      </c>
      <c r="L220">
        <v>-3</v>
      </c>
      <c r="M220">
        <v>1</v>
      </c>
      <c r="N220">
        <v>5</v>
      </c>
      <c r="P220">
        <v>4</v>
      </c>
      <c r="AJ220">
        <v>1</v>
      </c>
      <c r="AK220">
        <v>1</v>
      </c>
    </row>
    <row r="221" spans="1:43">
      <c r="A221">
        <v>-1</v>
      </c>
      <c r="B221">
        <v>3</v>
      </c>
      <c r="C221">
        <v>1</v>
      </c>
      <c r="D221">
        <v>1</v>
      </c>
      <c r="E221">
        <v>3</v>
      </c>
      <c r="F221">
        <v>1</v>
      </c>
      <c r="G221">
        <v>2</v>
      </c>
      <c r="H221">
        <v>2</v>
      </c>
      <c r="I221">
        <v>2</v>
      </c>
      <c r="J221">
        <v>-2</v>
      </c>
      <c r="K221">
        <v>2</v>
      </c>
      <c r="L221">
        <v>2</v>
      </c>
      <c r="M221">
        <v>1</v>
      </c>
      <c r="N221">
        <v>7</v>
      </c>
      <c r="P221">
        <v>4</v>
      </c>
      <c r="AJ221">
        <v>1</v>
      </c>
      <c r="AK221">
        <v>1</v>
      </c>
    </row>
    <row r="222" spans="1:43">
      <c r="A222">
        <v>1</v>
      </c>
      <c r="B222">
        <v>3</v>
      </c>
      <c r="C222">
        <v>1</v>
      </c>
      <c r="D222">
        <v>1</v>
      </c>
      <c r="E222">
        <v>3</v>
      </c>
      <c r="F222">
        <v>-2</v>
      </c>
      <c r="G222">
        <v>2</v>
      </c>
      <c r="H222">
        <v>2</v>
      </c>
      <c r="I222">
        <v>-3</v>
      </c>
      <c r="J222">
        <v>2</v>
      </c>
      <c r="K222">
        <v>2</v>
      </c>
      <c r="L222">
        <v>2</v>
      </c>
      <c r="M222">
        <v>1</v>
      </c>
      <c r="N222">
        <v>6</v>
      </c>
      <c r="P222">
        <v>4</v>
      </c>
      <c r="AJ222">
        <v>1</v>
      </c>
      <c r="AK222">
        <v>1</v>
      </c>
    </row>
    <row r="223" spans="1:43">
      <c r="A223">
        <v>1</v>
      </c>
      <c r="B223">
        <v>3</v>
      </c>
      <c r="C223">
        <v>-2</v>
      </c>
      <c r="D223">
        <v>-1</v>
      </c>
      <c r="E223">
        <v>3</v>
      </c>
      <c r="F223">
        <v>-2</v>
      </c>
      <c r="G223">
        <v>-2</v>
      </c>
      <c r="H223">
        <v>2</v>
      </c>
      <c r="I223">
        <v>-3</v>
      </c>
      <c r="J223">
        <v>2</v>
      </c>
      <c r="K223">
        <v>2</v>
      </c>
      <c r="L223">
        <v>-3</v>
      </c>
      <c r="M223">
        <v>1</v>
      </c>
      <c r="N223">
        <v>5</v>
      </c>
      <c r="P223">
        <v>4</v>
      </c>
      <c r="AJ223">
        <v>1</v>
      </c>
      <c r="AK223">
        <v>1</v>
      </c>
    </row>
    <row r="224" spans="1:43">
      <c r="A224">
        <v>-1</v>
      </c>
      <c r="B224">
        <v>3</v>
      </c>
      <c r="C224">
        <v>-2</v>
      </c>
      <c r="D224">
        <v>-1</v>
      </c>
      <c r="E224">
        <v>3</v>
      </c>
      <c r="F224">
        <v>1</v>
      </c>
      <c r="G224">
        <v>-2</v>
      </c>
      <c r="H224">
        <v>2</v>
      </c>
      <c r="I224">
        <v>2</v>
      </c>
      <c r="J224">
        <v>-2</v>
      </c>
      <c r="K224">
        <v>2</v>
      </c>
      <c r="L224">
        <v>-3</v>
      </c>
      <c r="M224">
        <v>1</v>
      </c>
      <c r="N224">
        <v>6</v>
      </c>
      <c r="P224">
        <v>4</v>
      </c>
      <c r="AJ224">
        <v>1</v>
      </c>
      <c r="AK224">
        <v>1</v>
      </c>
    </row>
    <row r="225" spans="1:39">
      <c r="A225">
        <v>-1</v>
      </c>
      <c r="B225">
        <v>3</v>
      </c>
      <c r="C225">
        <v>-2</v>
      </c>
      <c r="D225">
        <v>1</v>
      </c>
      <c r="E225">
        <v>3</v>
      </c>
      <c r="F225">
        <v>-2</v>
      </c>
      <c r="G225">
        <v>1</v>
      </c>
      <c r="H225">
        <v>3</v>
      </c>
      <c r="I225">
        <v>1</v>
      </c>
      <c r="J225">
        <v>-1</v>
      </c>
      <c r="K225">
        <v>3</v>
      </c>
      <c r="L225">
        <v>1</v>
      </c>
      <c r="M225">
        <v>1</v>
      </c>
      <c r="N225">
        <v>6</v>
      </c>
      <c r="P225">
        <v>4</v>
      </c>
      <c r="AJ225">
        <v>1</v>
      </c>
      <c r="AK225">
        <v>1</v>
      </c>
    </row>
    <row r="226" spans="1:39">
      <c r="A226">
        <v>-2</v>
      </c>
      <c r="B226">
        <v>-1</v>
      </c>
      <c r="C226">
        <v>2</v>
      </c>
      <c r="D226">
        <v>2</v>
      </c>
      <c r="E226">
        <v>-1</v>
      </c>
      <c r="F226">
        <v>2</v>
      </c>
      <c r="G226">
        <v>1.5</v>
      </c>
      <c r="H226">
        <v>-1.5</v>
      </c>
      <c r="I226">
        <v>1.75</v>
      </c>
      <c r="J226">
        <v>-1.5</v>
      </c>
      <c r="K226">
        <v>-1.5</v>
      </c>
      <c r="L226">
        <v>1.75</v>
      </c>
      <c r="M226">
        <v>1</v>
      </c>
      <c r="N226">
        <v>3</v>
      </c>
      <c r="P226">
        <v>4</v>
      </c>
      <c r="AJ226">
        <v>1</v>
      </c>
      <c r="AK226">
        <v>1</v>
      </c>
    </row>
    <row r="227" spans="1:39">
      <c r="A227">
        <v>2</v>
      </c>
      <c r="B227">
        <v>-1</v>
      </c>
      <c r="C227">
        <v>2</v>
      </c>
      <c r="D227">
        <v>2</v>
      </c>
      <c r="E227">
        <v>-1</v>
      </c>
      <c r="F227">
        <v>-3</v>
      </c>
      <c r="G227">
        <v>1.5</v>
      </c>
      <c r="H227">
        <v>-1.5</v>
      </c>
      <c r="I227">
        <v>-2</v>
      </c>
      <c r="J227">
        <v>1.5</v>
      </c>
      <c r="K227">
        <v>-1.5</v>
      </c>
      <c r="L227">
        <v>1.75</v>
      </c>
      <c r="M227">
        <v>1</v>
      </c>
      <c r="N227">
        <v>3</v>
      </c>
      <c r="P227">
        <v>4</v>
      </c>
      <c r="AJ227">
        <v>1</v>
      </c>
      <c r="AK227">
        <v>1</v>
      </c>
    </row>
    <row r="228" spans="1:39">
      <c r="A228">
        <v>2</v>
      </c>
      <c r="B228">
        <v>-1</v>
      </c>
      <c r="C228">
        <v>-3</v>
      </c>
      <c r="D228">
        <v>-2</v>
      </c>
      <c r="E228">
        <v>-1</v>
      </c>
      <c r="F228">
        <v>-3</v>
      </c>
      <c r="G228">
        <v>-1.5</v>
      </c>
      <c r="H228">
        <v>-1.5</v>
      </c>
      <c r="I228">
        <v>-1</v>
      </c>
      <c r="J228">
        <v>1.5</v>
      </c>
      <c r="K228">
        <v>-1.5</v>
      </c>
      <c r="L228">
        <v>-1</v>
      </c>
      <c r="M228">
        <v>1</v>
      </c>
      <c r="N228">
        <v>3</v>
      </c>
      <c r="P228">
        <v>4</v>
      </c>
      <c r="AJ228">
        <v>1</v>
      </c>
      <c r="AK228">
        <v>1</v>
      </c>
    </row>
    <row r="229" spans="1:39">
      <c r="A229">
        <v>-2</v>
      </c>
      <c r="B229">
        <v>-1</v>
      </c>
      <c r="C229">
        <v>-3</v>
      </c>
      <c r="D229">
        <v>-2</v>
      </c>
      <c r="E229">
        <v>-1</v>
      </c>
      <c r="F229">
        <v>2</v>
      </c>
      <c r="G229">
        <v>-1.5</v>
      </c>
      <c r="H229">
        <v>-1.5</v>
      </c>
      <c r="I229">
        <v>1.75</v>
      </c>
      <c r="J229">
        <v>-1.5</v>
      </c>
      <c r="K229">
        <v>-1.5</v>
      </c>
      <c r="L229">
        <v>-1</v>
      </c>
      <c r="M229">
        <v>1</v>
      </c>
      <c r="N229">
        <v>3</v>
      </c>
      <c r="P229">
        <v>4</v>
      </c>
      <c r="AJ229">
        <v>1</v>
      </c>
      <c r="AK229">
        <v>1</v>
      </c>
    </row>
    <row r="230" spans="1:39">
      <c r="A230">
        <v>-1.5</v>
      </c>
      <c r="B230">
        <v>-1.5</v>
      </c>
      <c r="C230">
        <v>1.75</v>
      </c>
      <c r="D230">
        <v>1.5</v>
      </c>
      <c r="E230">
        <v>-1.5</v>
      </c>
      <c r="F230">
        <v>1.75</v>
      </c>
      <c r="G230">
        <v>1.5</v>
      </c>
      <c r="H230">
        <v>-1.5</v>
      </c>
      <c r="I230">
        <v>-1</v>
      </c>
      <c r="J230">
        <v>-1.5</v>
      </c>
      <c r="K230">
        <v>-1.5</v>
      </c>
      <c r="L230">
        <v>-1</v>
      </c>
      <c r="M230">
        <v>1</v>
      </c>
      <c r="N230">
        <v>2</v>
      </c>
      <c r="P230">
        <v>4</v>
      </c>
      <c r="AJ230">
        <v>1</v>
      </c>
      <c r="AK230">
        <v>1</v>
      </c>
    </row>
    <row r="231" spans="1:39">
      <c r="A231">
        <v>-1.2</v>
      </c>
      <c r="B231">
        <v>-1.5</v>
      </c>
      <c r="C231">
        <v>1.5</v>
      </c>
      <c r="D231">
        <v>-1.1000000000000001</v>
      </c>
      <c r="E231">
        <v>-1.5</v>
      </c>
      <c r="F231">
        <v>1.75</v>
      </c>
      <c r="G231">
        <v>-1.1000000000000001</v>
      </c>
      <c r="H231">
        <v>-1.9</v>
      </c>
      <c r="I231">
        <v>1.75</v>
      </c>
      <c r="J231">
        <v>-1.3</v>
      </c>
      <c r="K231">
        <v>-1.9</v>
      </c>
      <c r="L231">
        <v>1.5</v>
      </c>
      <c r="M231">
        <v>1</v>
      </c>
      <c r="N231">
        <v>9</v>
      </c>
      <c r="P231">
        <v>4</v>
      </c>
      <c r="AJ231">
        <v>1</v>
      </c>
      <c r="AK231">
        <v>1</v>
      </c>
      <c r="AL231">
        <v>1</v>
      </c>
      <c r="AM231">
        <v>6</v>
      </c>
    </row>
    <row r="232" spans="1:39">
      <c r="A232">
        <v>-1.1000000000000001</v>
      </c>
      <c r="B232">
        <v>-1.5</v>
      </c>
      <c r="C232">
        <v>1.75</v>
      </c>
      <c r="D232">
        <v>-0.6</v>
      </c>
      <c r="E232">
        <v>-1.5</v>
      </c>
      <c r="F232">
        <v>1.75</v>
      </c>
      <c r="G232">
        <v>-0.6</v>
      </c>
      <c r="H232">
        <v>-1.9</v>
      </c>
      <c r="I232">
        <v>1.75</v>
      </c>
      <c r="J232">
        <v>-1.1000000000000001</v>
      </c>
      <c r="K232">
        <v>-1.9</v>
      </c>
      <c r="L232">
        <v>1.75</v>
      </c>
      <c r="M232">
        <v>1</v>
      </c>
      <c r="N232">
        <v>10</v>
      </c>
      <c r="P232">
        <v>4</v>
      </c>
      <c r="AJ232">
        <v>1</v>
      </c>
      <c r="AK232">
        <v>1</v>
      </c>
      <c r="AL232">
        <v>1</v>
      </c>
      <c r="AM232">
        <v>7</v>
      </c>
    </row>
    <row r="233" spans="1:39">
      <c r="A233">
        <v>-0.2</v>
      </c>
      <c r="B233">
        <v>-1.5</v>
      </c>
      <c r="C233">
        <v>1.75</v>
      </c>
      <c r="D233">
        <v>0.2</v>
      </c>
      <c r="E233">
        <v>-1.5</v>
      </c>
      <c r="F233">
        <v>1.75</v>
      </c>
      <c r="G233">
        <v>0.2</v>
      </c>
      <c r="H233">
        <v>-1.9</v>
      </c>
      <c r="I233">
        <v>1.75</v>
      </c>
      <c r="J233">
        <v>-0.2</v>
      </c>
      <c r="K233">
        <v>-1.9</v>
      </c>
      <c r="L233">
        <v>1.75</v>
      </c>
      <c r="M233">
        <v>1</v>
      </c>
      <c r="N233">
        <v>10</v>
      </c>
      <c r="P233">
        <v>4</v>
      </c>
      <c r="AJ233">
        <v>1</v>
      </c>
      <c r="AK233">
        <v>1</v>
      </c>
      <c r="AL233">
        <v>1</v>
      </c>
      <c r="AM233">
        <v>7</v>
      </c>
    </row>
    <row r="234" spans="1:39">
      <c r="A234">
        <v>0.6</v>
      </c>
      <c r="B234">
        <v>-1.5</v>
      </c>
      <c r="C234">
        <v>1.75</v>
      </c>
      <c r="D234">
        <v>1.1000000000000001</v>
      </c>
      <c r="E234">
        <v>-1.5</v>
      </c>
      <c r="F234">
        <v>1.75</v>
      </c>
      <c r="G234">
        <v>1.1000000000000001</v>
      </c>
      <c r="H234">
        <v>-1.9</v>
      </c>
      <c r="I234">
        <v>1.75</v>
      </c>
      <c r="J234">
        <v>0.6</v>
      </c>
      <c r="K234">
        <v>-1.9</v>
      </c>
      <c r="L234">
        <v>1.75</v>
      </c>
      <c r="M234">
        <v>1</v>
      </c>
      <c r="N234">
        <v>10</v>
      </c>
      <c r="P234">
        <v>4</v>
      </c>
      <c r="AJ234">
        <v>1</v>
      </c>
      <c r="AK234">
        <v>1</v>
      </c>
      <c r="AL234">
        <v>1</v>
      </c>
      <c r="AM234">
        <v>7</v>
      </c>
    </row>
    <row r="235" spans="1:39">
      <c r="A235">
        <v>1.1000000000000001</v>
      </c>
      <c r="B235">
        <v>-1.5</v>
      </c>
      <c r="C235">
        <v>1.75</v>
      </c>
      <c r="D235">
        <v>1.2</v>
      </c>
      <c r="E235">
        <v>-1.5</v>
      </c>
      <c r="F235">
        <v>1.5</v>
      </c>
      <c r="G235">
        <v>1.2</v>
      </c>
      <c r="H235">
        <v>-1.9</v>
      </c>
      <c r="I235">
        <v>1.5</v>
      </c>
      <c r="J235">
        <v>1.1000000000000001</v>
      </c>
      <c r="K235">
        <v>-1.9</v>
      </c>
      <c r="L235">
        <v>1.75</v>
      </c>
      <c r="M235">
        <v>1</v>
      </c>
      <c r="N235">
        <v>9</v>
      </c>
      <c r="P235">
        <v>4</v>
      </c>
      <c r="AJ235">
        <v>1</v>
      </c>
      <c r="AK235">
        <v>1</v>
      </c>
      <c r="AL235">
        <v>1</v>
      </c>
      <c r="AM235">
        <v>6</v>
      </c>
    </row>
    <row r="236" spans="1:39">
      <c r="A236">
        <v>-1.2</v>
      </c>
      <c r="B236">
        <v>-2.2999999999999998</v>
      </c>
      <c r="C236">
        <v>1.5</v>
      </c>
      <c r="D236">
        <v>-1.1000000000000001</v>
      </c>
      <c r="E236">
        <v>-2.2999999999999998</v>
      </c>
      <c r="F236">
        <v>1.75</v>
      </c>
      <c r="G236">
        <v>-1.1000000000000001</v>
      </c>
      <c r="H236">
        <v>-2.7</v>
      </c>
      <c r="I236">
        <v>1.75</v>
      </c>
      <c r="J236">
        <v>-1.3</v>
      </c>
      <c r="K236">
        <v>-2.7</v>
      </c>
      <c r="L236">
        <v>1.5</v>
      </c>
      <c r="M236">
        <v>1</v>
      </c>
      <c r="N236">
        <v>9</v>
      </c>
      <c r="P236">
        <v>4</v>
      </c>
      <c r="AJ236">
        <v>1</v>
      </c>
      <c r="AK236">
        <v>1</v>
      </c>
      <c r="AL236">
        <v>1</v>
      </c>
      <c r="AM236">
        <v>6</v>
      </c>
    </row>
    <row r="237" spans="1:39">
      <c r="A237">
        <v>-1.1000000000000001</v>
      </c>
      <c r="B237">
        <v>-2.2999999999999998</v>
      </c>
      <c r="C237">
        <v>1.75</v>
      </c>
      <c r="D237">
        <v>-0.6</v>
      </c>
      <c r="E237">
        <v>-2.2999999999999998</v>
      </c>
      <c r="F237">
        <v>1.75</v>
      </c>
      <c r="G237">
        <v>-0.6</v>
      </c>
      <c r="H237">
        <v>-2.7</v>
      </c>
      <c r="I237">
        <v>1.75</v>
      </c>
      <c r="J237">
        <v>-1.1000000000000001</v>
      </c>
      <c r="K237">
        <v>-2.7</v>
      </c>
      <c r="L237">
        <v>1.75</v>
      </c>
      <c r="M237">
        <v>1</v>
      </c>
      <c r="N237">
        <v>10</v>
      </c>
      <c r="P237">
        <v>4</v>
      </c>
      <c r="AJ237">
        <v>1</v>
      </c>
      <c r="AK237">
        <v>1</v>
      </c>
      <c r="AL237">
        <v>1</v>
      </c>
      <c r="AM237">
        <v>7</v>
      </c>
    </row>
    <row r="238" spans="1:39">
      <c r="A238">
        <v>-0.2</v>
      </c>
      <c r="B238">
        <v>-2.2999999999999998</v>
      </c>
      <c r="C238">
        <v>1.75</v>
      </c>
      <c r="D238">
        <v>0.2</v>
      </c>
      <c r="E238">
        <v>-2.2999999999999998</v>
      </c>
      <c r="F238">
        <v>1.75</v>
      </c>
      <c r="G238">
        <v>0.2</v>
      </c>
      <c r="H238">
        <v>-2.7</v>
      </c>
      <c r="I238">
        <v>1.75</v>
      </c>
      <c r="J238">
        <v>-0.2</v>
      </c>
      <c r="K238">
        <v>-2.7</v>
      </c>
      <c r="L238">
        <v>1.75</v>
      </c>
      <c r="M238">
        <v>1</v>
      </c>
      <c r="N238">
        <v>10</v>
      </c>
      <c r="P238">
        <v>4</v>
      </c>
      <c r="AJ238">
        <v>1</v>
      </c>
      <c r="AK238">
        <v>1</v>
      </c>
      <c r="AL238">
        <v>1</v>
      </c>
      <c r="AM238">
        <v>7</v>
      </c>
    </row>
    <row r="239" spans="1:39">
      <c r="A239">
        <v>0.6</v>
      </c>
      <c r="B239">
        <v>-2.2999999999999998</v>
      </c>
      <c r="C239">
        <v>1.75</v>
      </c>
      <c r="D239">
        <v>1.1000000000000001</v>
      </c>
      <c r="E239">
        <v>-2.2999999999999998</v>
      </c>
      <c r="F239">
        <v>1.75</v>
      </c>
      <c r="G239">
        <v>1.1000000000000001</v>
      </c>
      <c r="H239">
        <v>-2.7</v>
      </c>
      <c r="I239">
        <v>1.75</v>
      </c>
      <c r="J239">
        <v>0.6</v>
      </c>
      <c r="K239">
        <v>-2.7</v>
      </c>
      <c r="L239">
        <v>1.75</v>
      </c>
      <c r="M239">
        <v>1</v>
      </c>
      <c r="N239">
        <v>10</v>
      </c>
      <c r="P239">
        <v>4</v>
      </c>
      <c r="AJ239">
        <v>1</v>
      </c>
      <c r="AK239">
        <v>1</v>
      </c>
      <c r="AL239">
        <v>1</v>
      </c>
      <c r="AM239">
        <v>7</v>
      </c>
    </row>
    <row r="240" spans="1:39">
      <c r="A240">
        <v>1.1000000000000001</v>
      </c>
      <c r="B240">
        <v>-2.2999999999999998</v>
      </c>
      <c r="C240">
        <v>1.75</v>
      </c>
      <c r="D240">
        <v>1.2</v>
      </c>
      <c r="E240">
        <v>-2.2999999999999998</v>
      </c>
      <c r="F240">
        <v>1.5</v>
      </c>
      <c r="G240">
        <v>1.2</v>
      </c>
      <c r="H240">
        <v>-2.7</v>
      </c>
      <c r="I240">
        <v>1.5</v>
      </c>
      <c r="J240">
        <v>1.1000000000000001</v>
      </c>
      <c r="K240">
        <v>-2.7</v>
      </c>
      <c r="L240">
        <v>1.75</v>
      </c>
      <c r="M240">
        <v>1</v>
      </c>
      <c r="N240">
        <v>9</v>
      </c>
      <c r="P240">
        <v>4</v>
      </c>
      <c r="AJ240">
        <v>1</v>
      </c>
      <c r="AK240">
        <v>1</v>
      </c>
      <c r="AL240">
        <v>1</v>
      </c>
      <c r="AM240">
        <v>6</v>
      </c>
    </row>
    <row r="241" spans="1:40">
      <c r="A241">
        <v>-1.1499999999999999</v>
      </c>
      <c r="B241">
        <v>-2.7</v>
      </c>
      <c r="C241">
        <v>1.8</v>
      </c>
      <c r="D241">
        <v>1.1499999999999999</v>
      </c>
      <c r="E241">
        <v>-2.7</v>
      </c>
      <c r="F241">
        <v>1.8</v>
      </c>
      <c r="G241">
        <v>1.1499999999999999</v>
      </c>
      <c r="H241">
        <v>-4</v>
      </c>
      <c r="I241">
        <v>1.8</v>
      </c>
      <c r="J241">
        <v>-1.1499999999999999</v>
      </c>
      <c r="K241">
        <v>-4</v>
      </c>
      <c r="L241">
        <v>1.8</v>
      </c>
      <c r="M241">
        <v>1</v>
      </c>
      <c r="N241">
        <v>6</v>
      </c>
      <c r="P241">
        <v>4</v>
      </c>
      <c r="AJ241">
        <v>1</v>
      </c>
      <c r="AK241">
        <v>1</v>
      </c>
      <c r="AL241">
        <v>1</v>
      </c>
      <c r="AM241">
        <v>3</v>
      </c>
    </row>
    <row r="242" spans="1:40">
      <c r="A242">
        <v>1.1499999999999999</v>
      </c>
      <c r="B242">
        <v>-2.7</v>
      </c>
      <c r="C242">
        <v>1.8</v>
      </c>
      <c r="D242">
        <v>1.75</v>
      </c>
      <c r="E242">
        <v>-2.7</v>
      </c>
      <c r="F242">
        <v>0.5</v>
      </c>
      <c r="G242">
        <v>1.8</v>
      </c>
      <c r="H242">
        <v>-4</v>
      </c>
      <c r="I242">
        <v>-0.5</v>
      </c>
      <c r="J242">
        <v>1.1499999999999999</v>
      </c>
      <c r="K242">
        <v>-4</v>
      </c>
      <c r="L242">
        <v>1.8</v>
      </c>
      <c r="M242">
        <v>1</v>
      </c>
      <c r="N242">
        <v>5</v>
      </c>
      <c r="P242">
        <v>4</v>
      </c>
      <c r="AJ242">
        <v>1</v>
      </c>
      <c r="AK242">
        <v>1</v>
      </c>
      <c r="AL242">
        <v>1</v>
      </c>
      <c r="AM242">
        <v>4</v>
      </c>
    </row>
    <row r="243" spans="1:40">
      <c r="A243">
        <v>1.75</v>
      </c>
      <c r="B243">
        <v>-1.25</v>
      </c>
      <c r="D243">
        <v>1.8</v>
      </c>
      <c r="E243">
        <v>-1.25</v>
      </c>
      <c r="F243">
        <v>-1</v>
      </c>
      <c r="G243">
        <v>1.8</v>
      </c>
      <c r="H243">
        <v>-4</v>
      </c>
      <c r="I243">
        <v>-0.5</v>
      </c>
      <c r="J243">
        <v>1.75</v>
      </c>
      <c r="K243">
        <v>-2.7</v>
      </c>
      <c r="L243">
        <v>0.5</v>
      </c>
      <c r="M243">
        <v>1</v>
      </c>
      <c r="N243">
        <v>5</v>
      </c>
      <c r="P243">
        <v>4</v>
      </c>
      <c r="AJ243">
        <v>1</v>
      </c>
      <c r="AK243">
        <v>1</v>
      </c>
      <c r="AL243">
        <v>1</v>
      </c>
      <c r="AM243">
        <v>4</v>
      </c>
    </row>
    <row r="244" spans="1:40">
      <c r="A244">
        <v>-1.75</v>
      </c>
      <c r="B244">
        <v>-2.7</v>
      </c>
      <c r="C244">
        <v>0.5</v>
      </c>
      <c r="D244">
        <v>-1.1499999999999999</v>
      </c>
      <c r="E244">
        <v>-2.7</v>
      </c>
      <c r="F244">
        <v>1.8</v>
      </c>
      <c r="G244">
        <v>-1.1499999999999999</v>
      </c>
      <c r="H244">
        <v>-4</v>
      </c>
      <c r="I244">
        <v>1.8</v>
      </c>
      <c r="J244">
        <v>-1.8</v>
      </c>
      <c r="K244">
        <v>-4</v>
      </c>
      <c r="L244">
        <v>-0.5</v>
      </c>
      <c r="M244">
        <v>1</v>
      </c>
      <c r="N244">
        <v>5</v>
      </c>
      <c r="P244">
        <v>4</v>
      </c>
      <c r="AJ244">
        <v>1</v>
      </c>
      <c r="AK244">
        <v>1</v>
      </c>
      <c r="AL244">
        <v>1</v>
      </c>
      <c r="AM244">
        <v>4</v>
      </c>
    </row>
    <row r="245" spans="1:40">
      <c r="A245">
        <v>-1.8</v>
      </c>
      <c r="B245">
        <v>-1.25</v>
      </c>
      <c r="C245">
        <v>-1</v>
      </c>
      <c r="D245">
        <v>-1.75</v>
      </c>
      <c r="E245">
        <v>-1.25</v>
      </c>
      <c r="G245">
        <v>-1.75</v>
      </c>
      <c r="H245">
        <v>-2.7</v>
      </c>
      <c r="I245">
        <v>0.5</v>
      </c>
      <c r="J245">
        <v>-1.8</v>
      </c>
      <c r="K245">
        <v>-4</v>
      </c>
      <c r="L245">
        <v>-0.5</v>
      </c>
      <c r="M245">
        <v>1</v>
      </c>
      <c r="N245">
        <v>5</v>
      </c>
      <c r="P245">
        <v>4</v>
      </c>
      <c r="AJ245">
        <v>1</v>
      </c>
      <c r="AK245">
        <v>1</v>
      </c>
      <c r="AL245">
        <v>1</v>
      </c>
      <c r="AM245">
        <v>4</v>
      </c>
    </row>
    <row r="246" spans="1:40">
      <c r="A246">
        <v>-1.5</v>
      </c>
      <c r="B246">
        <v>1.2</v>
      </c>
      <c r="C246">
        <v>2.0299999999999998</v>
      </c>
      <c r="D246">
        <v>-0.6</v>
      </c>
      <c r="E246">
        <v>1.1499999999999999</v>
      </c>
      <c r="F246">
        <v>2.0299999999999998</v>
      </c>
      <c r="G246">
        <v>-0.8</v>
      </c>
      <c r="H246">
        <v>0.4</v>
      </c>
      <c r="I246">
        <v>2.02</v>
      </c>
      <c r="J246">
        <v>-1.6</v>
      </c>
      <c r="K246">
        <v>0.34</v>
      </c>
      <c r="L246">
        <v>2.02</v>
      </c>
      <c r="M246">
        <v>1</v>
      </c>
      <c r="N246">
        <v>1</v>
      </c>
      <c r="P246">
        <v>4</v>
      </c>
      <c r="AK246">
        <v>1</v>
      </c>
      <c r="AL246">
        <v>1</v>
      </c>
      <c r="AM246">
        <v>5</v>
      </c>
    </row>
    <row r="247" spans="1:40">
      <c r="A247">
        <v>0.6</v>
      </c>
      <c r="B247">
        <v>1.1499999999999999</v>
      </c>
      <c r="C247">
        <v>2.0299999999999998</v>
      </c>
      <c r="D247">
        <v>1.5</v>
      </c>
      <c r="E247">
        <v>1.2</v>
      </c>
      <c r="F247">
        <v>2.0299999999999998</v>
      </c>
      <c r="G247">
        <v>1.6</v>
      </c>
      <c r="H247">
        <v>0.34</v>
      </c>
      <c r="I247">
        <v>2.02</v>
      </c>
      <c r="J247">
        <v>0.8</v>
      </c>
      <c r="K247">
        <v>0.4</v>
      </c>
      <c r="L247">
        <v>2.02</v>
      </c>
      <c r="M247">
        <v>1</v>
      </c>
      <c r="N247">
        <v>1</v>
      </c>
      <c r="P247">
        <v>4</v>
      </c>
      <c r="AK247">
        <v>1</v>
      </c>
      <c r="AL247">
        <v>1</v>
      </c>
      <c r="AM247">
        <v>5</v>
      </c>
    </row>
    <row r="248" spans="1:40">
      <c r="A248">
        <v>-0.1</v>
      </c>
      <c r="B248">
        <v>0.3</v>
      </c>
      <c r="C248">
        <v>2.0299999999999998</v>
      </c>
      <c r="D248">
        <v>0.1</v>
      </c>
      <c r="E248">
        <v>0.3</v>
      </c>
      <c r="F248">
        <v>2.0299999999999998</v>
      </c>
      <c r="G248">
        <v>0.45</v>
      </c>
      <c r="H248">
        <v>-0.8</v>
      </c>
      <c r="I248">
        <v>2.02</v>
      </c>
      <c r="J248">
        <v>-0.45</v>
      </c>
      <c r="K248">
        <v>-0.8</v>
      </c>
      <c r="L248">
        <v>2.02</v>
      </c>
      <c r="M248">
        <v>1</v>
      </c>
      <c r="N248">
        <v>1</v>
      </c>
      <c r="P248">
        <v>4</v>
      </c>
      <c r="AK248">
        <v>1</v>
      </c>
      <c r="AL248">
        <v>1</v>
      </c>
      <c r="AM248">
        <v>5</v>
      </c>
    </row>
    <row r="249" spans="1:40">
      <c r="A249">
        <v>-0.1</v>
      </c>
      <c r="B249">
        <v>-0.7</v>
      </c>
      <c r="C249">
        <v>2.04</v>
      </c>
      <c r="E249">
        <v>0.1</v>
      </c>
      <c r="F249">
        <v>2.08</v>
      </c>
      <c r="G249">
        <v>0.1</v>
      </c>
      <c r="H249">
        <v>-0.7</v>
      </c>
      <c r="I249">
        <v>2.04</v>
      </c>
      <c r="K249">
        <v>-0.3</v>
      </c>
      <c r="L249">
        <v>2.06</v>
      </c>
      <c r="M249">
        <v>1</v>
      </c>
      <c r="N249">
        <v>3</v>
      </c>
      <c r="P249">
        <v>4</v>
      </c>
      <c r="AK249">
        <v>1</v>
      </c>
      <c r="AL249">
        <v>1</v>
      </c>
      <c r="AM249">
        <v>5</v>
      </c>
    </row>
    <row r="250" spans="1:40">
      <c r="A250">
        <v>-1.1000000000000001</v>
      </c>
      <c r="B250">
        <v>0.9</v>
      </c>
      <c r="C250">
        <v>2.0299999999999998</v>
      </c>
      <c r="D250">
        <v>-1</v>
      </c>
      <c r="E250">
        <v>0.9</v>
      </c>
      <c r="F250">
        <v>2.0299999999999998</v>
      </c>
      <c r="G250">
        <v>-1</v>
      </c>
      <c r="H250">
        <v>0.8</v>
      </c>
      <c r="I250">
        <v>2.02</v>
      </c>
      <c r="J250">
        <v>-1.1000000000000001</v>
      </c>
      <c r="K250">
        <v>0.8</v>
      </c>
      <c r="L250">
        <v>2.02</v>
      </c>
      <c r="M250">
        <v>2</v>
      </c>
      <c r="N250">
        <v>12</v>
      </c>
      <c r="P250">
        <v>4</v>
      </c>
      <c r="AK250">
        <v>1</v>
      </c>
    </row>
    <row r="251" spans="1:40">
      <c r="A251">
        <v>1</v>
      </c>
      <c r="B251">
        <v>0.9</v>
      </c>
      <c r="C251">
        <v>2.0299999999999998</v>
      </c>
      <c r="D251">
        <v>1.1000000000000001</v>
      </c>
      <c r="E251">
        <v>0.9</v>
      </c>
      <c r="F251">
        <v>2.0299999999999998</v>
      </c>
      <c r="G251">
        <v>1.1000000000000001</v>
      </c>
      <c r="H251">
        <v>0.8</v>
      </c>
      <c r="I251">
        <v>2.02</v>
      </c>
      <c r="J251">
        <v>1</v>
      </c>
      <c r="K251">
        <v>0.8</v>
      </c>
      <c r="L251">
        <v>2.02</v>
      </c>
      <c r="M251">
        <v>2</v>
      </c>
      <c r="N251">
        <v>12</v>
      </c>
      <c r="P251">
        <v>4</v>
      </c>
      <c r="AK251">
        <v>1</v>
      </c>
    </row>
    <row r="252" spans="1:40">
      <c r="A252">
        <v>-3</v>
      </c>
      <c r="B252">
        <v>2.5</v>
      </c>
      <c r="D252">
        <v>-2</v>
      </c>
      <c r="E252">
        <v>2</v>
      </c>
      <c r="G252">
        <v>-2</v>
      </c>
      <c r="H252">
        <v>1</v>
      </c>
      <c r="J252">
        <v>-4</v>
      </c>
      <c r="K252">
        <v>2</v>
      </c>
      <c r="M252">
        <v>2</v>
      </c>
      <c r="N252">
        <v>9</v>
      </c>
      <c r="P252">
        <v>4</v>
      </c>
      <c r="AJ252">
        <v>4</v>
      </c>
      <c r="AN252">
        <v>1</v>
      </c>
    </row>
    <row r="253" spans="1:40">
      <c r="A253">
        <v>-3</v>
      </c>
      <c r="B253">
        <v>2.5</v>
      </c>
      <c r="D253">
        <v>-3</v>
      </c>
      <c r="E253">
        <v>2.5</v>
      </c>
      <c r="F253">
        <v>-1</v>
      </c>
      <c r="G253">
        <v>-2</v>
      </c>
      <c r="H253">
        <v>2</v>
      </c>
      <c r="I253">
        <v>-1</v>
      </c>
      <c r="J253">
        <v>-2</v>
      </c>
      <c r="K253">
        <v>2</v>
      </c>
      <c r="M253">
        <v>2</v>
      </c>
      <c r="N253">
        <v>8</v>
      </c>
      <c r="P253">
        <v>4</v>
      </c>
      <c r="AJ253">
        <v>4</v>
      </c>
      <c r="AN253">
        <v>1</v>
      </c>
    </row>
    <row r="254" spans="1:40">
      <c r="A254">
        <v>-2</v>
      </c>
      <c r="B254">
        <v>2</v>
      </c>
      <c r="C254">
        <v>-1</v>
      </c>
      <c r="D254">
        <v>-3</v>
      </c>
      <c r="E254">
        <v>2.5</v>
      </c>
      <c r="F254">
        <v>-1</v>
      </c>
      <c r="G254">
        <v>-4</v>
      </c>
      <c r="H254">
        <v>2</v>
      </c>
      <c r="I254">
        <v>-1</v>
      </c>
      <c r="J254">
        <v>-2</v>
      </c>
      <c r="K254">
        <v>1</v>
      </c>
      <c r="L254">
        <v>-1</v>
      </c>
      <c r="M254">
        <v>2</v>
      </c>
      <c r="N254">
        <v>7</v>
      </c>
      <c r="P254">
        <v>4</v>
      </c>
      <c r="AJ254">
        <v>4</v>
      </c>
      <c r="AN254">
        <v>1</v>
      </c>
    </row>
    <row r="255" spans="1:40">
      <c r="A255">
        <v>-4</v>
      </c>
      <c r="B255">
        <v>2</v>
      </c>
      <c r="D255">
        <v>-2</v>
      </c>
      <c r="E255">
        <v>1</v>
      </c>
      <c r="G255">
        <v>-2</v>
      </c>
      <c r="H255">
        <v>1</v>
      </c>
      <c r="I255">
        <v>-1</v>
      </c>
      <c r="J255">
        <v>-4</v>
      </c>
      <c r="K255">
        <v>2</v>
      </c>
      <c r="L255">
        <v>-1</v>
      </c>
      <c r="M255">
        <v>2</v>
      </c>
      <c r="N255">
        <v>8</v>
      </c>
      <c r="P255">
        <v>4</v>
      </c>
      <c r="AJ255">
        <v>4</v>
      </c>
      <c r="AN255">
        <v>1</v>
      </c>
    </row>
    <row r="256" spans="1:40">
      <c r="A256">
        <v>-4</v>
      </c>
      <c r="B256">
        <v>2</v>
      </c>
      <c r="D256">
        <v>-3</v>
      </c>
      <c r="E256">
        <v>6</v>
      </c>
      <c r="G256">
        <v>-3</v>
      </c>
      <c r="H256">
        <v>3.5</v>
      </c>
      <c r="J256">
        <v>-3</v>
      </c>
      <c r="K256">
        <v>2.5</v>
      </c>
      <c r="M256">
        <v>2</v>
      </c>
      <c r="N256">
        <v>9</v>
      </c>
      <c r="P256">
        <v>4</v>
      </c>
      <c r="AJ256">
        <v>4</v>
      </c>
      <c r="AN256">
        <v>1</v>
      </c>
    </row>
    <row r="257" spans="1:43">
      <c r="A257">
        <v>-3</v>
      </c>
      <c r="B257">
        <v>2.5</v>
      </c>
      <c r="D257">
        <v>-3</v>
      </c>
      <c r="E257">
        <v>4</v>
      </c>
      <c r="G257">
        <v>-3</v>
      </c>
      <c r="H257">
        <v>6</v>
      </c>
      <c r="J257">
        <v>-3</v>
      </c>
      <c r="K257">
        <v>2.5</v>
      </c>
      <c r="L257">
        <v>-1</v>
      </c>
      <c r="M257">
        <v>2</v>
      </c>
      <c r="N257">
        <v>7</v>
      </c>
      <c r="P257">
        <v>4</v>
      </c>
      <c r="AJ257">
        <v>4</v>
      </c>
      <c r="AN257">
        <v>1</v>
      </c>
    </row>
    <row r="258" spans="1:43">
      <c r="A258">
        <v>-3</v>
      </c>
      <c r="B258">
        <v>2.5</v>
      </c>
      <c r="C258">
        <v>-1</v>
      </c>
      <c r="D258">
        <v>-3</v>
      </c>
      <c r="E258">
        <v>6</v>
      </c>
      <c r="G258">
        <v>-4</v>
      </c>
      <c r="H258">
        <v>2</v>
      </c>
      <c r="I258">
        <v>-1</v>
      </c>
      <c r="J258">
        <v>-3.5</v>
      </c>
      <c r="K258">
        <v>2.25</v>
      </c>
      <c r="L258">
        <v>-1</v>
      </c>
      <c r="M258">
        <v>2</v>
      </c>
      <c r="N258">
        <v>7</v>
      </c>
      <c r="P258">
        <v>4</v>
      </c>
      <c r="AJ258">
        <v>4</v>
      </c>
      <c r="AN258">
        <v>1</v>
      </c>
    </row>
    <row r="259" spans="1:43">
      <c r="A259">
        <v>-4</v>
      </c>
      <c r="B259">
        <v>2</v>
      </c>
      <c r="C259">
        <v>-1</v>
      </c>
      <c r="D259">
        <v>-3</v>
      </c>
      <c r="E259">
        <v>6</v>
      </c>
      <c r="G259">
        <v>-4</v>
      </c>
      <c r="H259">
        <v>2</v>
      </c>
      <c r="J259">
        <v>-4</v>
      </c>
      <c r="K259">
        <v>2</v>
      </c>
      <c r="L259">
        <v>-0.5</v>
      </c>
      <c r="M259">
        <v>2</v>
      </c>
      <c r="N259">
        <v>8</v>
      </c>
      <c r="P259">
        <v>4</v>
      </c>
      <c r="AJ259">
        <v>4</v>
      </c>
      <c r="AN259">
        <v>1</v>
      </c>
    </row>
    <row r="260" spans="1:43">
      <c r="A260">
        <v>2</v>
      </c>
      <c r="B260">
        <v>2</v>
      </c>
      <c r="D260">
        <v>3</v>
      </c>
      <c r="E260">
        <v>2.5</v>
      </c>
      <c r="G260">
        <v>4</v>
      </c>
      <c r="H260">
        <v>2</v>
      </c>
      <c r="J260">
        <v>2</v>
      </c>
      <c r="K260">
        <v>1</v>
      </c>
      <c r="M260">
        <v>2</v>
      </c>
      <c r="N260">
        <v>9</v>
      </c>
      <c r="P260">
        <v>4</v>
      </c>
      <c r="AJ260">
        <v>4</v>
      </c>
      <c r="AN260">
        <v>1</v>
      </c>
    </row>
    <row r="261" spans="1:43">
      <c r="A261">
        <v>2</v>
      </c>
      <c r="B261">
        <v>2</v>
      </c>
      <c r="C261">
        <v>-1</v>
      </c>
      <c r="D261">
        <v>3</v>
      </c>
      <c r="E261">
        <v>2.5</v>
      </c>
      <c r="F261">
        <v>-1</v>
      </c>
      <c r="G261">
        <v>3</v>
      </c>
      <c r="H261">
        <v>2.5</v>
      </c>
      <c r="J261">
        <v>2</v>
      </c>
      <c r="K261">
        <v>2</v>
      </c>
      <c r="M261">
        <v>2</v>
      </c>
      <c r="N261">
        <v>8</v>
      </c>
      <c r="P261">
        <v>4</v>
      </c>
      <c r="AJ261">
        <v>4</v>
      </c>
      <c r="AN261">
        <v>1</v>
      </c>
    </row>
    <row r="262" spans="1:43">
      <c r="A262">
        <v>3</v>
      </c>
      <c r="B262">
        <v>2.5</v>
      </c>
      <c r="C262">
        <v>-1</v>
      </c>
      <c r="D262">
        <v>2</v>
      </c>
      <c r="E262">
        <v>2</v>
      </c>
      <c r="F262">
        <v>-1</v>
      </c>
      <c r="G262">
        <v>2</v>
      </c>
      <c r="H262">
        <v>1</v>
      </c>
      <c r="I262">
        <v>-1</v>
      </c>
      <c r="J262">
        <v>4</v>
      </c>
      <c r="K262">
        <v>2</v>
      </c>
      <c r="L262">
        <v>-1</v>
      </c>
      <c r="M262">
        <v>2</v>
      </c>
      <c r="N262">
        <v>7</v>
      </c>
      <c r="P262">
        <v>4</v>
      </c>
      <c r="AJ262">
        <v>4</v>
      </c>
      <c r="AN262">
        <v>1</v>
      </c>
    </row>
    <row r="263" spans="1:43">
      <c r="A263">
        <v>2</v>
      </c>
      <c r="B263">
        <v>1</v>
      </c>
      <c r="D263">
        <v>4</v>
      </c>
      <c r="E263">
        <v>2</v>
      </c>
      <c r="G263">
        <v>4</v>
      </c>
      <c r="H263">
        <v>2</v>
      </c>
      <c r="I263">
        <v>-1</v>
      </c>
      <c r="J263">
        <v>2</v>
      </c>
      <c r="K263">
        <v>1</v>
      </c>
      <c r="L263">
        <v>-1</v>
      </c>
      <c r="M263">
        <v>2</v>
      </c>
      <c r="N263">
        <v>8</v>
      </c>
      <c r="P263">
        <v>4</v>
      </c>
      <c r="AJ263">
        <v>4</v>
      </c>
      <c r="AN263">
        <v>1</v>
      </c>
    </row>
    <row r="264" spans="1:43">
      <c r="A264">
        <v>3</v>
      </c>
      <c r="B264">
        <v>2.5</v>
      </c>
      <c r="D264">
        <v>3</v>
      </c>
      <c r="E264">
        <v>4</v>
      </c>
      <c r="G264">
        <v>3</v>
      </c>
      <c r="H264">
        <v>6</v>
      </c>
      <c r="J264">
        <v>4</v>
      </c>
      <c r="K264">
        <v>2</v>
      </c>
      <c r="M264">
        <v>2</v>
      </c>
      <c r="N264">
        <v>9</v>
      </c>
      <c r="P264">
        <v>4</v>
      </c>
      <c r="AJ264">
        <v>4</v>
      </c>
      <c r="AN264">
        <v>1</v>
      </c>
    </row>
    <row r="265" spans="1:43">
      <c r="A265">
        <v>3</v>
      </c>
      <c r="B265">
        <v>2.5</v>
      </c>
      <c r="C265">
        <v>-1</v>
      </c>
      <c r="D265">
        <v>3</v>
      </c>
      <c r="E265">
        <v>6</v>
      </c>
      <c r="G265">
        <v>3</v>
      </c>
      <c r="H265">
        <v>4</v>
      </c>
      <c r="J265">
        <v>3</v>
      </c>
      <c r="K265">
        <v>2.5</v>
      </c>
      <c r="M265">
        <v>2</v>
      </c>
      <c r="N265">
        <v>7</v>
      </c>
      <c r="P265">
        <v>4</v>
      </c>
      <c r="AJ265">
        <v>4</v>
      </c>
      <c r="AN265">
        <v>1</v>
      </c>
    </row>
    <row r="266" spans="1:43">
      <c r="A266">
        <v>4</v>
      </c>
      <c r="B266">
        <v>2</v>
      </c>
      <c r="C266">
        <v>-1</v>
      </c>
      <c r="D266">
        <v>3</v>
      </c>
      <c r="E266">
        <v>6</v>
      </c>
      <c r="G266">
        <v>3</v>
      </c>
      <c r="H266">
        <v>2.5</v>
      </c>
      <c r="I266">
        <v>-1</v>
      </c>
      <c r="J266">
        <v>3.5</v>
      </c>
      <c r="K266">
        <v>2.25</v>
      </c>
      <c r="L266">
        <v>-1</v>
      </c>
      <c r="M266">
        <v>2</v>
      </c>
      <c r="N266">
        <v>7</v>
      </c>
      <c r="P266">
        <v>4</v>
      </c>
      <c r="AJ266">
        <v>4</v>
      </c>
      <c r="AN266">
        <v>1</v>
      </c>
    </row>
    <row r="267" spans="1:43">
      <c r="A267">
        <v>4</v>
      </c>
      <c r="B267">
        <v>2</v>
      </c>
      <c r="D267">
        <v>3</v>
      </c>
      <c r="E267">
        <v>6</v>
      </c>
      <c r="G267">
        <v>4</v>
      </c>
      <c r="H267">
        <v>2</v>
      </c>
      <c r="I267">
        <v>-1</v>
      </c>
      <c r="J267">
        <v>4</v>
      </c>
      <c r="K267">
        <v>2</v>
      </c>
      <c r="L267">
        <v>-0.5</v>
      </c>
      <c r="M267">
        <v>2</v>
      </c>
      <c r="N267">
        <v>8</v>
      </c>
      <c r="P267">
        <v>4</v>
      </c>
      <c r="AJ267">
        <v>4</v>
      </c>
      <c r="AN267">
        <v>1</v>
      </c>
    </row>
    <row r="269" spans="1:43">
      <c r="A269">
        <v>-3</v>
      </c>
      <c r="B269">
        <v>2.5</v>
      </c>
      <c r="C269">
        <v>3</v>
      </c>
      <c r="D269">
        <v>3</v>
      </c>
      <c r="E269">
        <v>2.5</v>
      </c>
      <c r="F269">
        <v>3</v>
      </c>
      <c r="G269">
        <v>3</v>
      </c>
      <c r="H269">
        <v>-3</v>
      </c>
      <c r="I269">
        <v>3</v>
      </c>
      <c r="J269">
        <v>-3</v>
      </c>
      <c r="K269">
        <v>-3</v>
      </c>
      <c r="L269">
        <v>3</v>
      </c>
      <c r="M269">
        <v>2</v>
      </c>
      <c r="N269">
        <v>11</v>
      </c>
      <c r="P269">
        <v>1</v>
      </c>
      <c r="S269">
        <v>1</v>
      </c>
      <c r="U269">
        <v>100</v>
      </c>
      <c r="X269">
        <v>80</v>
      </c>
      <c r="Y269">
        <v>75</v>
      </c>
      <c r="AA269">
        <v>7</v>
      </c>
      <c r="AB269">
        <v>8</v>
      </c>
      <c r="AH269">
        <v>106</v>
      </c>
      <c r="AI269">
        <v>16</v>
      </c>
      <c r="AK269">
        <v>1</v>
      </c>
      <c r="AP269">
        <v>20</v>
      </c>
      <c r="AQ269" t="s">
        <v>1015</v>
      </c>
    </row>
    <row r="270" spans="1:43">
      <c r="A270">
        <v>3</v>
      </c>
      <c r="B270">
        <v>2.5</v>
      </c>
      <c r="C270">
        <v>3</v>
      </c>
      <c r="D270">
        <v>3</v>
      </c>
      <c r="E270">
        <v>2.5</v>
      </c>
      <c r="F270">
        <v>-3</v>
      </c>
      <c r="G270">
        <v>3</v>
      </c>
      <c r="H270">
        <v>-3</v>
      </c>
      <c r="I270">
        <v>-3</v>
      </c>
      <c r="J270">
        <v>3</v>
      </c>
      <c r="K270">
        <v>-3</v>
      </c>
      <c r="L270">
        <v>3</v>
      </c>
      <c r="M270">
        <v>2</v>
      </c>
      <c r="N270">
        <v>11</v>
      </c>
      <c r="P270">
        <v>1</v>
      </c>
      <c r="AH270">
        <v>106</v>
      </c>
      <c r="AI270">
        <v>16</v>
      </c>
      <c r="AK270">
        <v>1</v>
      </c>
    </row>
    <row r="271" spans="1:43">
      <c r="A271">
        <v>3</v>
      </c>
      <c r="B271">
        <v>2.5</v>
      </c>
      <c r="C271">
        <v>-3</v>
      </c>
      <c r="D271">
        <v>-3</v>
      </c>
      <c r="E271">
        <v>2.5</v>
      </c>
      <c r="F271">
        <v>-3</v>
      </c>
      <c r="G271">
        <v>-3</v>
      </c>
      <c r="H271">
        <v>-3</v>
      </c>
      <c r="I271">
        <v>-3</v>
      </c>
      <c r="J271">
        <v>3</v>
      </c>
      <c r="K271">
        <v>-3</v>
      </c>
      <c r="L271">
        <v>-3</v>
      </c>
      <c r="M271">
        <v>2</v>
      </c>
      <c r="N271">
        <v>11</v>
      </c>
      <c r="P271">
        <v>1</v>
      </c>
      <c r="AH271">
        <v>106</v>
      </c>
      <c r="AI271">
        <v>16</v>
      </c>
      <c r="AK271">
        <v>1</v>
      </c>
    </row>
    <row r="272" spans="1:43">
      <c r="A272">
        <v>-3</v>
      </c>
      <c r="B272">
        <v>2.5</v>
      </c>
      <c r="C272">
        <v>-3</v>
      </c>
      <c r="D272">
        <v>-3</v>
      </c>
      <c r="E272">
        <v>2.5</v>
      </c>
      <c r="F272">
        <v>3</v>
      </c>
      <c r="G272">
        <v>-3</v>
      </c>
      <c r="H272">
        <v>-3</v>
      </c>
      <c r="I272">
        <v>3</v>
      </c>
      <c r="J272">
        <v>-3</v>
      </c>
      <c r="K272">
        <v>-3</v>
      </c>
      <c r="L272">
        <v>-3</v>
      </c>
      <c r="M272">
        <v>2</v>
      </c>
      <c r="N272">
        <v>10</v>
      </c>
      <c r="P272">
        <v>1</v>
      </c>
      <c r="AH272">
        <v>106</v>
      </c>
      <c r="AI272">
        <v>16</v>
      </c>
      <c r="AK272">
        <v>1</v>
      </c>
    </row>
    <row r="273" spans="1:37">
      <c r="A273">
        <v>-3</v>
      </c>
      <c r="B273">
        <v>2.5</v>
      </c>
      <c r="C273">
        <v>-3</v>
      </c>
      <c r="D273">
        <v>3</v>
      </c>
      <c r="E273">
        <v>2.5</v>
      </c>
      <c r="F273">
        <v>-3</v>
      </c>
      <c r="G273">
        <v>3</v>
      </c>
      <c r="H273">
        <v>2.5</v>
      </c>
      <c r="I273">
        <v>3</v>
      </c>
      <c r="J273">
        <v>-3</v>
      </c>
      <c r="K273">
        <v>2.5</v>
      </c>
      <c r="L273">
        <v>3</v>
      </c>
      <c r="M273">
        <v>2</v>
      </c>
      <c r="N273">
        <v>11</v>
      </c>
      <c r="P273">
        <v>1</v>
      </c>
      <c r="AH273">
        <v>106</v>
      </c>
      <c r="AI273">
        <v>16</v>
      </c>
      <c r="AK273">
        <v>1</v>
      </c>
    </row>
    <row r="274" spans="1:37">
      <c r="A274">
        <v>-3</v>
      </c>
      <c r="B274">
        <v>-3</v>
      </c>
      <c r="C274">
        <v>3</v>
      </c>
      <c r="D274">
        <v>3</v>
      </c>
      <c r="E274">
        <v>-3</v>
      </c>
      <c r="F274">
        <v>3</v>
      </c>
      <c r="G274">
        <v>3</v>
      </c>
      <c r="H274">
        <v>-3</v>
      </c>
      <c r="I274">
        <v>-3</v>
      </c>
      <c r="J274">
        <v>-3</v>
      </c>
      <c r="K274">
        <v>-3</v>
      </c>
      <c r="L274">
        <v>-3</v>
      </c>
      <c r="M274">
        <v>2</v>
      </c>
      <c r="N274">
        <v>11</v>
      </c>
      <c r="P274">
        <v>1</v>
      </c>
      <c r="AH274">
        <v>106</v>
      </c>
      <c r="AI274">
        <v>16</v>
      </c>
      <c r="AK274">
        <v>1</v>
      </c>
    </row>
    <row r="275" spans="1:37">
      <c r="A275">
        <v>-1.125</v>
      </c>
      <c r="B275">
        <v>0.75</v>
      </c>
      <c r="C275">
        <v>3.04</v>
      </c>
      <c r="D275">
        <v>-0.75</v>
      </c>
      <c r="E275">
        <v>1.5</v>
      </c>
      <c r="F275">
        <v>3.04</v>
      </c>
      <c r="G275">
        <v>-0.5625</v>
      </c>
      <c r="H275">
        <v>1.3125</v>
      </c>
      <c r="I275">
        <v>3.04</v>
      </c>
      <c r="J275">
        <v>-0.9375</v>
      </c>
      <c r="K275">
        <v>0.5625</v>
      </c>
      <c r="L275">
        <v>3.04</v>
      </c>
      <c r="M275">
        <v>2</v>
      </c>
      <c r="N275">
        <v>7</v>
      </c>
      <c r="P275">
        <v>1</v>
      </c>
      <c r="AK275">
        <v>1</v>
      </c>
    </row>
    <row r="276" spans="1:37">
      <c r="A276">
        <v>-0.75</v>
      </c>
      <c r="B276">
        <v>1.5</v>
      </c>
      <c r="C276">
        <v>3.04</v>
      </c>
      <c r="D276">
        <v>0.75</v>
      </c>
      <c r="E276">
        <v>1.5</v>
      </c>
      <c r="F276">
        <v>3.04</v>
      </c>
      <c r="G276">
        <v>0.5625</v>
      </c>
      <c r="H276">
        <v>1.3125</v>
      </c>
      <c r="I276">
        <v>3.04</v>
      </c>
      <c r="J276">
        <v>-0.5625</v>
      </c>
      <c r="K276">
        <v>1.3125</v>
      </c>
      <c r="L276">
        <v>3.04</v>
      </c>
      <c r="M276">
        <v>2</v>
      </c>
      <c r="N276">
        <v>7</v>
      </c>
      <c r="P276">
        <v>1</v>
      </c>
      <c r="AK276">
        <v>1</v>
      </c>
    </row>
    <row r="277" spans="1:37">
      <c r="A277">
        <v>0.75</v>
      </c>
      <c r="B277">
        <v>1.5</v>
      </c>
      <c r="C277">
        <v>3.04</v>
      </c>
      <c r="D277">
        <v>1.125</v>
      </c>
      <c r="E277">
        <v>0.75</v>
      </c>
      <c r="F277">
        <v>3.04</v>
      </c>
      <c r="G277">
        <v>0.9375</v>
      </c>
      <c r="H277">
        <v>0.75</v>
      </c>
      <c r="I277">
        <v>3.04</v>
      </c>
      <c r="J277">
        <v>0.5625</v>
      </c>
      <c r="K277">
        <v>1.3125</v>
      </c>
      <c r="L277">
        <v>3.04</v>
      </c>
      <c r="M277">
        <v>2</v>
      </c>
      <c r="N277">
        <v>7</v>
      </c>
      <c r="P277">
        <v>1</v>
      </c>
      <c r="AK277">
        <v>1</v>
      </c>
    </row>
    <row r="278" spans="1:37">
      <c r="A278">
        <v>0.9375</v>
      </c>
      <c r="B278">
        <v>0.75</v>
      </c>
      <c r="C278">
        <v>3.04</v>
      </c>
      <c r="D278">
        <v>1.125</v>
      </c>
      <c r="E278">
        <v>0.75</v>
      </c>
      <c r="F278">
        <v>3.04</v>
      </c>
      <c r="G278">
        <v>1.125</v>
      </c>
      <c r="I278">
        <v>3.04</v>
      </c>
      <c r="J278">
        <v>0.9375</v>
      </c>
      <c r="L278">
        <v>3.04</v>
      </c>
      <c r="M278">
        <v>2</v>
      </c>
      <c r="N278">
        <v>7</v>
      </c>
      <c r="P278">
        <v>1</v>
      </c>
      <c r="AK278">
        <v>1</v>
      </c>
    </row>
    <row r="279" spans="1:37">
      <c r="A279">
        <v>0.9375</v>
      </c>
      <c r="C279">
        <v>3.04</v>
      </c>
      <c r="D279">
        <v>1.125</v>
      </c>
      <c r="F279">
        <v>3.04</v>
      </c>
      <c r="G279">
        <v>0.75</v>
      </c>
      <c r="H279">
        <v>-0.75</v>
      </c>
      <c r="I279">
        <v>3.04</v>
      </c>
      <c r="J279">
        <v>0.5625</v>
      </c>
      <c r="K279">
        <v>-0.5625</v>
      </c>
      <c r="L279">
        <v>3.04</v>
      </c>
      <c r="M279">
        <v>2</v>
      </c>
      <c r="N279">
        <v>7</v>
      </c>
      <c r="P279">
        <v>1</v>
      </c>
      <c r="AK279">
        <v>1</v>
      </c>
    </row>
    <row r="280" spans="1:37">
      <c r="A280">
        <v>-0.1875</v>
      </c>
      <c r="B280">
        <v>-0.5625</v>
      </c>
      <c r="C280">
        <v>3.04</v>
      </c>
      <c r="D280">
        <v>0.5625</v>
      </c>
      <c r="E280">
        <v>-0.5625</v>
      </c>
      <c r="F280">
        <v>3.04</v>
      </c>
      <c r="G280">
        <v>0.75</v>
      </c>
      <c r="H280">
        <v>-0.75</v>
      </c>
      <c r="I280">
        <v>3.04</v>
      </c>
      <c r="J280">
        <v>-0.1875</v>
      </c>
      <c r="K280">
        <v>-0.75</v>
      </c>
      <c r="L280">
        <v>3.04</v>
      </c>
      <c r="M280">
        <v>2</v>
      </c>
      <c r="N280">
        <v>7</v>
      </c>
      <c r="P280">
        <v>1</v>
      </c>
      <c r="AK280">
        <v>1</v>
      </c>
    </row>
    <row r="281" spans="1:37">
      <c r="A281">
        <v>-0.1875</v>
      </c>
      <c r="B281">
        <v>-0.75</v>
      </c>
      <c r="C281">
        <v>3.04</v>
      </c>
      <c r="D281">
        <v>0.1875</v>
      </c>
      <c r="E281">
        <v>-0.75</v>
      </c>
      <c r="F281">
        <v>3.04</v>
      </c>
      <c r="G281">
        <v>0.1875</v>
      </c>
      <c r="H281">
        <v>-1.4</v>
      </c>
      <c r="I281">
        <v>3.04</v>
      </c>
      <c r="J281">
        <v>-0.1875</v>
      </c>
      <c r="K281">
        <v>-1.4</v>
      </c>
      <c r="L281">
        <v>3.04</v>
      </c>
      <c r="M281">
        <v>2</v>
      </c>
      <c r="N281">
        <v>7</v>
      </c>
      <c r="P281">
        <v>1</v>
      </c>
      <c r="AK281">
        <v>1</v>
      </c>
    </row>
    <row r="282" spans="1:37">
      <c r="A282">
        <v>-0.375</v>
      </c>
      <c r="B282">
        <v>-2</v>
      </c>
      <c r="C282">
        <v>3.04</v>
      </c>
      <c r="D282">
        <v>0.375</v>
      </c>
      <c r="E282">
        <v>-2</v>
      </c>
      <c r="F282">
        <v>3.04</v>
      </c>
      <c r="G282">
        <v>0.375</v>
      </c>
      <c r="H282">
        <v>-2.5</v>
      </c>
      <c r="I282">
        <v>3.04</v>
      </c>
      <c r="J282">
        <v>-0.375</v>
      </c>
      <c r="K282">
        <v>-2.5</v>
      </c>
      <c r="L282">
        <v>3.04</v>
      </c>
      <c r="M282">
        <v>2</v>
      </c>
      <c r="N282">
        <v>7</v>
      </c>
      <c r="P282">
        <v>1</v>
      </c>
      <c r="AK282">
        <v>1</v>
      </c>
    </row>
    <row r="283" spans="1:37">
      <c r="A283">
        <v>1.125</v>
      </c>
      <c r="B283">
        <v>0.75</v>
      </c>
      <c r="C283">
        <v>-3.04</v>
      </c>
      <c r="D283">
        <v>0.75</v>
      </c>
      <c r="E283">
        <v>1.5</v>
      </c>
      <c r="F283">
        <v>-3.04</v>
      </c>
      <c r="G283">
        <v>0.5625</v>
      </c>
      <c r="H283">
        <v>1.3125</v>
      </c>
      <c r="I283">
        <v>-3.04</v>
      </c>
      <c r="J283">
        <v>0.9375</v>
      </c>
      <c r="K283">
        <v>0.5625</v>
      </c>
      <c r="L283">
        <v>-3.04</v>
      </c>
      <c r="M283">
        <v>2</v>
      </c>
      <c r="N283">
        <v>7</v>
      </c>
      <c r="P283">
        <v>1</v>
      </c>
      <c r="AK283">
        <v>1</v>
      </c>
    </row>
    <row r="284" spans="1:37">
      <c r="A284">
        <v>0.75</v>
      </c>
      <c r="B284">
        <v>1.5</v>
      </c>
      <c r="C284">
        <v>-3.04</v>
      </c>
      <c r="D284">
        <v>-0.75</v>
      </c>
      <c r="E284">
        <v>1.5</v>
      </c>
      <c r="F284">
        <v>-3.04</v>
      </c>
      <c r="G284">
        <v>-0.5625</v>
      </c>
      <c r="H284">
        <v>1.3125</v>
      </c>
      <c r="I284">
        <v>-3.04</v>
      </c>
      <c r="J284">
        <v>0.5625</v>
      </c>
      <c r="K284">
        <v>1.3125</v>
      </c>
      <c r="L284">
        <v>-3.04</v>
      </c>
      <c r="M284">
        <v>2</v>
      </c>
      <c r="N284">
        <v>7</v>
      </c>
      <c r="P284">
        <v>1</v>
      </c>
      <c r="AK284">
        <v>1</v>
      </c>
    </row>
    <row r="285" spans="1:37">
      <c r="A285">
        <v>-0.75</v>
      </c>
      <c r="B285">
        <v>1.5</v>
      </c>
      <c r="C285">
        <v>-3.04</v>
      </c>
      <c r="D285">
        <v>-1.125</v>
      </c>
      <c r="E285">
        <v>0.75</v>
      </c>
      <c r="F285">
        <v>-3.04</v>
      </c>
      <c r="G285">
        <v>-0.9375</v>
      </c>
      <c r="H285">
        <v>0.75</v>
      </c>
      <c r="I285">
        <v>-3.04</v>
      </c>
      <c r="J285">
        <v>-0.5625</v>
      </c>
      <c r="K285">
        <v>1.3125</v>
      </c>
      <c r="L285">
        <v>-3.04</v>
      </c>
      <c r="M285">
        <v>2</v>
      </c>
      <c r="N285">
        <v>7</v>
      </c>
      <c r="P285">
        <v>1</v>
      </c>
      <c r="AK285">
        <v>1</v>
      </c>
    </row>
    <row r="286" spans="1:37">
      <c r="A286">
        <v>-0.9375</v>
      </c>
      <c r="B286">
        <v>0.75</v>
      </c>
      <c r="C286">
        <v>-3.04</v>
      </c>
      <c r="D286">
        <v>-1.125</v>
      </c>
      <c r="E286">
        <v>0.75</v>
      </c>
      <c r="F286">
        <v>-3.04</v>
      </c>
      <c r="G286">
        <v>-1.125</v>
      </c>
      <c r="I286">
        <v>-3.04</v>
      </c>
      <c r="J286">
        <v>-0.9375</v>
      </c>
      <c r="L286">
        <v>-3.04</v>
      </c>
      <c r="M286">
        <v>2</v>
      </c>
      <c r="N286">
        <v>7</v>
      </c>
      <c r="P286">
        <v>1</v>
      </c>
      <c r="AK286">
        <v>1</v>
      </c>
    </row>
    <row r="287" spans="1:37">
      <c r="A287">
        <v>-0.9375</v>
      </c>
      <c r="C287">
        <v>-3.04</v>
      </c>
      <c r="D287">
        <v>-1.125</v>
      </c>
      <c r="F287">
        <v>-3.04</v>
      </c>
      <c r="G287">
        <v>-0.75</v>
      </c>
      <c r="H287">
        <v>-0.75</v>
      </c>
      <c r="I287">
        <v>-3.04</v>
      </c>
      <c r="J287">
        <v>-0.5625</v>
      </c>
      <c r="K287">
        <v>-0.5625</v>
      </c>
      <c r="L287">
        <v>-3.04</v>
      </c>
      <c r="M287">
        <v>2</v>
      </c>
      <c r="N287">
        <v>7</v>
      </c>
      <c r="P287">
        <v>1</v>
      </c>
      <c r="AK287">
        <v>1</v>
      </c>
    </row>
    <row r="288" spans="1:37">
      <c r="A288">
        <v>0.1875</v>
      </c>
      <c r="B288">
        <v>-0.5625</v>
      </c>
      <c r="C288">
        <v>-3.04</v>
      </c>
      <c r="D288">
        <v>-0.5625</v>
      </c>
      <c r="E288">
        <v>-0.5625</v>
      </c>
      <c r="F288">
        <v>-3.04</v>
      </c>
      <c r="G288">
        <v>-0.75</v>
      </c>
      <c r="H288">
        <v>-0.75</v>
      </c>
      <c r="I288">
        <v>-3.04</v>
      </c>
      <c r="J288">
        <v>0.1875</v>
      </c>
      <c r="K288">
        <v>-0.75</v>
      </c>
      <c r="L288">
        <v>-3.04</v>
      </c>
      <c r="M288">
        <v>2</v>
      </c>
      <c r="N288">
        <v>7</v>
      </c>
      <c r="P288">
        <v>1</v>
      </c>
      <c r="AK288">
        <v>1</v>
      </c>
    </row>
    <row r="289" spans="1:43">
      <c r="A289">
        <v>0.1875</v>
      </c>
      <c r="B289">
        <v>-0.75</v>
      </c>
      <c r="C289">
        <v>-3.04</v>
      </c>
      <c r="D289">
        <v>-0.1875</v>
      </c>
      <c r="E289">
        <v>-0.75</v>
      </c>
      <c r="F289">
        <v>-3.04</v>
      </c>
      <c r="G289">
        <v>-0.1875</v>
      </c>
      <c r="H289">
        <v>-1.4</v>
      </c>
      <c r="I289">
        <v>-3.04</v>
      </c>
      <c r="J289">
        <v>0.1875</v>
      </c>
      <c r="K289">
        <v>-1.4</v>
      </c>
      <c r="L289">
        <v>-3.04</v>
      </c>
      <c r="M289">
        <v>2</v>
      </c>
      <c r="N289">
        <v>7</v>
      </c>
      <c r="P289">
        <v>1</v>
      </c>
      <c r="AK289">
        <v>1</v>
      </c>
    </row>
    <row r="290" spans="1:43">
      <c r="A290">
        <v>0.375</v>
      </c>
      <c r="B290">
        <v>-2</v>
      </c>
      <c r="C290">
        <v>-3.04</v>
      </c>
      <c r="D290">
        <v>-0.375</v>
      </c>
      <c r="E290">
        <v>-2</v>
      </c>
      <c r="F290">
        <v>-3.04</v>
      </c>
      <c r="G290">
        <v>-0.375</v>
      </c>
      <c r="H290">
        <v>-2.5</v>
      </c>
      <c r="I290">
        <v>-3.04</v>
      </c>
      <c r="J290">
        <v>0.375</v>
      </c>
      <c r="K290">
        <v>-2.5</v>
      </c>
      <c r="L290">
        <v>-3.04</v>
      </c>
      <c r="M290">
        <v>2</v>
      </c>
      <c r="N290">
        <v>7</v>
      </c>
      <c r="P290">
        <v>1</v>
      </c>
      <c r="AK290">
        <v>1</v>
      </c>
    </row>
    <row r="292" spans="1:43">
      <c r="A292">
        <v>-2.5</v>
      </c>
      <c r="B292">
        <v>-2.2999999999999998</v>
      </c>
      <c r="C292">
        <v>-3.5</v>
      </c>
      <c r="D292">
        <v>2.5</v>
      </c>
      <c r="E292">
        <v>-2.2999999999999998</v>
      </c>
      <c r="F292">
        <v>-3.5</v>
      </c>
      <c r="G292">
        <v>2.5</v>
      </c>
      <c r="H292">
        <v>-2.2999999999999998</v>
      </c>
      <c r="I292">
        <v>3.5</v>
      </c>
      <c r="J292">
        <v>-2.5</v>
      </c>
      <c r="K292">
        <v>-2.2999999999999998</v>
      </c>
      <c r="L292">
        <v>3.5</v>
      </c>
      <c r="M292">
        <v>1</v>
      </c>
      <c r="N292">
        <v>10</v>
      </c>
      <c r="S292">
        <v>1</v>
      </c>
      <c r="U292">
        <v>120</v>
      </c>
      <c r="AG292">
        <v>71</v>
      </c>
      <c r="AP292">
        <v>21</v>
      </c>
      <c r="AQ292" t="s">
        <v>1016</v>
      </c>
    </row>
    <row r="293" spans="1:43">
      <c r="A293">
        <v>-2</v>
      </c>
      <c r="B293">
        <v>-2.25</v>
      </c>
      <c r="C293">
        <v>-3</v>
      </c>
      <c r="D293">
        <v>2</v>
      </c>
      <c r="E293">
        <v>-2.25</v>
      </c>
      <c r="F293">
        <v>-3</v>
      </c>
      <c r="G293">
        <v>2</v>
      </c>
      <c r="H293">
        <v>-2.25</v>
      </c>
      <c r="I293">
        <v>-2.5</v>
      </c>
      <c r="J293">
        <v>-2</v>
      </c>
      <c r="K293">
        <v>-2.25</v>
      </c>
      <c r="L293">
        <v>-2.5</v>
      </c>
      <c r="M293">
        <v>4</v>
      </c>
      <c r="N293">
        <v>7</v>
      </c>
      <c r="AK293">
        <v>1</v>
      </c>
    </row>
    <row r="294" spans="1:43">
      <c r="A294">
        <v>-2</v>
      </c>
      <c r="B294">
        <v>-2.25</v>
      </c>
      <c r="C294">
        <v>-1</v>
      </c>
      <c r="D294">
        <v>2</v>
      </c>
      <c r="E294">
        <v>-2.25</v>
      </c>
      <c r="F294">
        <v>-1</v>
      </c>
      <c r="G294">
        <v>2</v>
      </c>
      <c r="H294">
        <v>-2.25</v>
      </c>
      <c r="I294">
        <v>-0.5</v>
      </c>
      <c r="J294">
        <v>-2</v>
      </c>
      <c r="K294">
        <v>-2.25</v>
      </c>
      <c r="L294">
        <v>-0.5</v>
      </c>
      <c r="M294">
        <v>4</v>
      </c>
      <c r="N294">
        <v>7</v>
      </c>
      <c r="AK294">
        <v>1</v>
      </c>
    </row>
    <row r="295" spans="1:43">
      <c r="A295">
        <v>-2</v>
      </c>
      <c r="B295">
        <v>-2.25</v>
      </c>
      <c r="C295">
        <v>1</v>
      </c>
      <c r="D295">
        <v>1</v>
      </c>
      <c r="E295">
        <v>-2.25</v>
      </c>
      <c r="F295">
        <v>1</v>
      </c>
      <c r="G295">
        <v>1</v>
      </c>
      <c r="H295">
        <v>-2.25</v>
      </c>
      <c r="I295">
        <v>1.5</v>
      </c>
      <c r="J295">
        <v>-2</v>
      </c>
      <c r="K295">
        <v>-2.25</v>
      </c>
      <c r="L295">
        <v>1.5</v>
      </c>
      <c r="M295">
        <v>4</v>
      </c>
      <c r="N295">
        <v>7</v>
      </c>
      <c r="AK295">
        <v>1</v>
      </c>
    </row>
    <row r="297" spans="1:43">
      <c r="M297">
        <v>1</v>
      </c>
      <c r="N297">
        <v>10</v>
      </c>
      <c r="S297">
        <v>1</v>
      </c>
      <c r="U297">
        <v>120</v>
      </c>
      <c r="AG297">
        <v>72</v>
      </c>
      <c r="AO297">
        <v>292</v>
      </c>
      <c r="AP297">
        <v>22</v>
      </c>
      <c r="AQ297" t="s">
        <v>1017</v>
      </c>
    </row>
    <row r="298" spans="1:43">
      <c r="M298">
        <v>4</v>
      </c>
      <c r="N298">
        <v>6</v>
      </c>
      <c r="AO298">
        <v>293</v>
      </c>
    </row>
    <row r="299" spans="1:43">
      <c r="A299">
        <v>-2</v>
      </c>
      <c r="B299">
        <v>-2.25</v>
      </c>
      <c r="C299">
        <v>-1</v>
      </c>
      <c r="D299">
        <v>1</v>
      </c>
      <c r="E299">
        <v>-2.25</v>
      </c>
      <c r="F299">
        <v>-1</v>
      </c>
      <c r="G299">
        <v>1</v>
      </c>
      <c r="H299">
        <v>-2.25</v>
      </c>
      <c r="I299">
        <v>-0.5</v>
      </c>
      <c r="J299">
        <v>-2</v>
      </c>
      <c r="K299">
        <v>-2.25</v>
      </c>
      <c r="L299">
        <v>-0.5</v>
      </c>
      <c r="M299">
        <v>4</v>
      </c>
      <c r="N299">
        <v>6</v>
      </c>
      <c r="AK299">
        <v>1</v>
      </c>
    </row>
    <row r="300" spans="1:43">
      <c r="A300">
        <v>-2</v>
      </c>
      <c r="B300">
        <v>-2.25</v>
      </c>
      <c r="C300">
        <v>1</v>
      </c>
      <c r="D300">
        <v>2</v>
      </c>
      <c r="E300">
        <v>-2.25</v>
      </c>
      <c r="F300">
        <v>1</v>
      </c>
      <c r="G300">
        <v>2</v>
      </c>
      <c r="H300">
        <v>-2.25</v>
      </c>
      <c r="I300">
        <v>1.5</v>
      </c>
      <c r="J300">
        <v>-2</v>
      </c>
      <c r="K300">
        <v>-2.25</v>
      </c>
      <c r="L300">
        <v>1.5</v>
      </c>
      <c r="M300">
        <v>4</v>
      </c>
      <c r="N300">
        <v>6</v>
      </c>
      <c r="AK300">
        <v>1</v>
      </c>
    </row>
    <row r="302" spans="1:43">
      <c r="M302">
        <v>1</v>
      </c>
      <c r="N302">
        <v>10</v>
      </c>
      <c r="S302">
        <v>1</v>
      </c>
      <c r="U302">
        <v>120</v>
      </c>
      <c r="AG302">
        <v>73</v>
      </c>
      <c r="AO302">
        <v>292</v>
      </c>
      <c r="AP302">
        <v>23</v>
      </c>
      <c r="AQ302" t="s">
        <v>1018</v>
      </c>
    </row>
    <row r="303" spans="1:43">
      <c r="M303">
        <v>4</v>
      </c>
      <c r="N303">
        <v>7</v>
      </c>
      <c r="AO303">
        <v>293</v>
      </c>
    </row>
    <row r="304" spans="1:43">
      <c r="M304">
        <v>4</v>
      </c>
      <c r="N304">
        <v>7</v>
      </c>
      <c r="AO304">
        <v>294</v>
      </c>
    </row>
    <row r="305" spans="1:43">
      <c r="M305">
        <v>4</v>
      </c>
      <c r="N305">
        <v>7</v>
      </c>
      <c r="AO305">
        <v>295</v>
      </c>
    </row>
    <row r="307" spans="1:43">
      <c r="M307">
        <v>1</v>
      </c>
      <c r="N307">
        <v>10</v>
      </c>
      <c r="S307">
        <v>1</v>
      </c>
      <c r="U307">
        <v>120</v>
      </c>
      <c r="AG307">
        <v>74</v>
      </c>
      <c r="AO307">
        <v>292</v>
      </c>
      <c r="AP307">
        <v>24</v>
      </c>
      <c r="AQ307" t="s">
        <v>1019</v>
      </c>
    </row>
    <row r="308" spans="1:43">
      <c r="M308">
        <v>4</v>
      </c>
      <c r="N308">
        <v>5</v>
      </c>
      <c r="AO308">
        <v>293</v>
      </c>
    </row>
    <row r="309" spans="1:43">
      <c r="M309">
        <v>4</v>
      </c>
      <c r="N309">
        <v>5</v>
      </c>
      <c r="AO309">
        <v>294</v>
      </c>
    </row>
    <row r="310" spans="1:43">
      <c r="A310">
        <v>-2</v>
      </c>
      <c r="B310">
        <v>-2.25</v>
      </c>
      <c r="C310">
        <v>1</v>
      </c>
      <c r="D310">
        <v>2</v>
      </c>
      <c r="E310">
        <v>-2.25</v>
      </c>
      <c r="F310">
        <v>1</v>
      </c>
      <c r="G310">
        <v>2</v>
      </c>
      <c r="H310">
        <v>-2.25</v>
      </c>
      <c r="I310">
        <v>1.5</v>
      </c>
      <c r="J310">
        <v>-2</v>
      </c>
      <c r="K310">
        <v>-2.25</v>
      </c>
      <c r="L310">
        <v>1.5</v>
      </c>
      <c r="M310">
        <v>4</v>
      </c>
      <c r="N310">
        <v>5</v>
      </c>
      <c r="AK310">
        <v>1</v>
      </c>
    </row>
    <row r="312" spans="1:43">
      <c r="M312">
        <v>1</v>
      </c>
      <c r="N312">
        <v>10</v>
      </c>
      <c r="S312">
        <v>1</v>
      </c>
      <c r="U312">
        <v>120</v>
      </c>
      <c r="AG312">
        <v>75</v>
      </c>
      <c r="AO312">
        <v>292</v>
      </c>
      <c r="AP312">
        <v>25</v>
      </c>
      <c r="AQ312" t="s">
        <v>1020</v>
      </c>
    </row>
    <row r="313" spans="1:43">
      <c r="M313">
        <v>4</v>
      </c>
      <c r="N313">
        <v>6</v>
      </c>
      <c r="AO313">
        <v>293</v>
      </c>
    </row>
    <row r="314" spans="1:43">
      <c r="M314">
        <v>4</v>
      </c>
      <c r="N314">
        <v>6</v>
      </c>
      <c r="AO314">
        <v>294</v>
      </c>
    </row>
    <row r="315" spans="1:43">
      <c r="M315">
        <v>4</v>
      </c>
      <c r="N315">
        <v>6</v>
      </c>
      <c r="AO315">
        <v>295</v>
      </c>
    </row>
    <row r="317" spans="1:43">
      <c r="M317">
        <v>1</v>
      </c>
      <c r="N317">
        <v>10</v>
      </c>
      <c r="S317">
        <v>1</v>
      </c>
      <c r="U317">
        <v>120</v>
      </c>
      <c r="AG317">
        <v>76</v>
      </c>
      <c r="AO317">
        <v>292</v>
      </c>
      <c r="AP317">
        <v>26</v>
      </c>
      <c r="AQ317" t="s">
        <v>1021</v>
      </c>
    </row>
    <row r="318" spans="1:43">
      <c r="M318">
        <v>1</v>
      </c>
      <c r="N318">
        <v>3</v>
      </c>
      <c r="AO318">
        <v>293</v>
      </c>
    </row>
    <row r="319" spans="1:43">
      <c r="M319">
        <v>1</v>
      </c>
      <c r="N319">
        <v>3</v>
      </c>
      <c r="AO319">
        <v>294</v>
      </c>
    </row>
    <row r="320" spans="1:43">
      <c r="M320">
        <v>1</v>
      </c>
      <c r="N320">
        <v>3</v>
      </c>
      <c r="AO320">
        <v>295</v>
      </c>
    </row>
    <row r="322" spans="13:43">
      <c r="M322">
        <v>1</v>
      </c>
      <c r="N322">
        <v>10</v>
      </c>
      <c r="S322">
        <v>1</v>
      </c>
      <c r="U322">
        <v>120</v>
      </c>
      <c r="AG322">
        <v>77</v>
      </c>
      <c r="AO322">
        <v>292</v>
      </c>
      <c r="AP322">
        <v>27</v>
      </c>
      <c r="AQ322" t="s">
        <v>1022</v>
      </c>
    </row>
    <row r="323" spans="13:43">
      <c r="M323">
        <v>1</v>
      </c>
      <c r="N323">
        <v>2</v>
      </c>
      <c r="AO323">
        <v>293</v>
      </c>
    </row>
    <row r="324" spans="13:43">
      <c r="M324">
        <v>1</v>
      </c>
      <c r="N324">
        <v>2</v>
      </c>
      <c r="AO324">
        <v>294</v>
      </c>
    </row>
    <row r="325" spans="13:43">
      <c r="M325">
        <v>1</v>
      </c>
      <c r="N325">
        <v>2</v>
      </c>
      <c r="AO325">
        <v>295</v>
      </c>
    </row>
    <row r="327" spans="13:43">
      <c r="M327">
        <v>1</v>
      </c>
      <c r="N327">
        <v>10</v>
      </c>
      <c r="S327">
        <v>1</v>
      </c>
      <c r="U327">
        <v>120</v>
      </c>
      <c r="AG327">
        <v>78</v>
      </c>
      <c r="AO327">
        <v>292</v>
      </c>
      <c r="AP327">
        <v>28</v>
      </c>
      <c r="AQ327" t="s">
        <v>1023</v>
      </c>
    </row>
    <row r="328" spans="13:43">
      <c r="M328">
        <v>1</v>
      </c>
      <c r="N328">
        <v>3</v>
      </c>
      <c r="AO328">
        <v>293</v>
      </c>
    </row>
    <row r="329" spans="13:43">
      <c r="M329">
        <v>1</v>
      </c>
      <c r="N329">
        <v>3</v>
      </c>
      <c r="AO329">
        <v>294</v>
      </c>
    </row>
    <row r="330" spans="13:43">
      <c r="M330">
        <v>1</v>
      </c>
      <c r="N330">
        <v>3</v>
      </c>
      <c r="AO330">
        <v>295</v>
      </c>
    </row>
    <row r="332" spans="13:43">
      <c r="M332">
        <v>1</v>
      </c>
      <c r="N332">
        <v>10</v>
      </c>
      <c r="S332">
        <v>1</v>
      </c>
      <c r="U332">
        <v>120</v>
      </c>
      <c r="AG332">
        <v>79</v>
      </c>
      <c r="AO332">
        <v>292</v>
      </c>
      <c r="AP332">
        <v>29</v>
      </c>
      <c r="AQ332" t="s">
        <v>1024</v>
      </c>
    </row>
    <row r="333" spans="13:43">
      <c r="M333">
        <v>1</v>
      </c>
      <c r="N333">
        <v>4</v>
      </c>
      <c r="AO333">
        <v>293</v>
      </c>
    </row>
    <row r="334" spans="13:43">
      <c r="M334">
        <v>1</v>
      </c>
      <c r="N334">
        <v>4</v>
      </c>
      <c r="AO334">
        <v>294</v>
      </c>
    </row>
    <row r="335" spans="13:43">
      <c r="M335">
        <v>1</v>
      </c>
      <c r="N335">
        <v>4</v>
      </c>
      <c r="AO335">
        <v>295</v>
      </c>
    </row>
    <row r="337" spans="1:43">
      <c r="M337">
        <v>1</v>
      </c>
      <c r="N337">
        <v>2</v>
      </c>
      <c r="S337">
        <v>1</v>
      </c>
      <c r="U337">
        <v>120</v>
      </c>
      <c r="AG337">
        <v>80</v>
      </c>
      <c r="AO337">
        <v>292</v>
      </c>
      <c r="AP337">
        <v>30</v>
      </c>
      <c r="AQ337" t="s">
        <v>1025</v>
      </c>
    </row>
    <row r="338" spans="1:43">
      <c r="A338">
        <v>-1</v>
      </c>
      <c r="B338">
        <v>-2.25</v>
      </c>
      <c r="C338">
        <v>-3</v>
      </c>
      <c r="D338">
        <v>1</v>
      </c>
      <c r="E338">
        <v>-2.25</v>
      </c>
      <c r="F338">
        <v>-3</v>
      </c>
      <c r="G338">
        <v>1</v>
      </c>
      <c r="H338">
        <v>-2.25</v>
      </c>
      <c r="I338">
        <v>-2.5</v>
      </c>
      <c r="J338">
        <v>-1</v>
      </c>
      <c r="K338">
        <v>-2.25</v>
      </c>
      <c r="L338">
        <v>-2.5</v>
      </c>
      <c r="M338">
        <v>2</v>
      </c>
      <c r="N338">
        <v>8</v>
      </c>
      <c r="AK338">
        <v>1</v>
      </c>
    </row>
    <row r="339" spans="1:43">
      <c r="M339">
        <v>2</v>
      </c>
      <c r="N339">
        <v>8</v>
      </c>
      <c r="AO339">
        <v>294</v>
      </c>
    </row>
    <row r="340" spans="1:43">
      <c r="A340">
        <v>-1</v>
      </c>
      <c r="B340">
        <v>-2.25</v>
      </c>
      <c r="C340">
        <v>1</v>
      </c>
      <c r="D340">
        <v>1</v>
      </c>
      <c r="E340">
        <v>-2.25</v>
      </c>
      <c r="F340">
        <v>1</v>
      </c>
      <c r="G340">
        <v>1</v>
      </c>
      <c r="H340">
        <v>-2.25</v>
      </c>
      <c r="I340">
        <v>1.5</v>
      </c>
      <c r="J340">
        <v>-1</v>
      </c>
      <c r="K340">
        <v>-2.25</v>
      </c>
      <c r="L340">
        <v>1.5</v>
      </c>
      <c r="M340">
        <v>2</v>
      </c>
      <c r="N340">
        <v>8</v>
      </c>
      <c r="AK340">
        <v>1</v>
      </c>
    </row>
    <row r="342" spans="1:43">
      <c r="A342">
        <v>-0.5</v>
      </c>
      <c r="C342">
        <v>0.375</v>
      </c>
      <c r="D342">
        <v>0.5</v>
      </c>
      <c r="F342">
        <v>0.375</v>
      </c>
      <c r="G342">
        <v>0.5</v>
      </c>
      <c r="H342">
        <v>-1</v>
      </c>
      <c r="I342">
        <v>0.375</v>
      </c>
      <c r="J342">
        <v>-0.5</v>
      </c>
      <c r="K342">
        <v>-1</v>
      </c>
      <c r="L342">
        <v>0.375</v>
      </c>
      <c r="M342">
        <v>4</v>
      </c>
      <c r="N342">
        <v>9</v>
      </c>
      <c r="P342">
        <v>4</v>
      </c>
      <c r="S342">
        <v>7</v>
      </c>
      <c r="U342">
        <v>140</v>
      </c>
      <c r="AJ342">
        <v>5</v>
      </c>
      <c r="AN342">
        <v>1</v>
      </c>
      <c r="AP342">
        <v>31</v>
      </c>
      <c r="AQ342" t="s">
        <v>1026</v>
      </c>
    </row>
    <row r="343" spans="1:43">
      <c r="A343">
        <v>-0.5</v>
      </c>
      <c r="C343">
        <v>-0.375</v>
      </c>
      <c r="D343">
        <v>0.5</v>
      </c>
      <c r="F343">
        <v>-0.375</v>
      </c>
      <c r="G343">
        <v>0.5</v>
      </c>
      <c r="H343">
        <v>0</v>
      </c>
      <c r="I343">
        <v>0.375</v>
      </c>
      <c r="J343">
        <v>-0.5</v>
      </c>
      <c r="L343">
        <v>0.375</v>
      </c>
      <c r="M343">
        <v>4</v>
      </c>
      <c r="N343">
        <v>10</v>
      </c>
      <c r="P343">
        <v>4</v>
      </c>
      <c r="AJ343">
        <v>5</v>
      </c>
      <c r="AN343">
        <v>1</v>
      </c>
    </row>
    <row r="344" spans="1:43">
      <c r="A344">
        <v>0.5</v>
      </c>
      <c r="C344">
        <v>-0.375</v>
      </c>
      <c r="D344">
        <v>-0.5</v>
      </c>
      <c r="F344">
        <v>-0.375</v>
      </c>
      <c r="G344">
        <v>-0.5</v>
      </c>
      <c r="H344">
        <v>-1</v>
      </c>
      <c r="I344">
        <v>-0.375</v>
      </c>
      <c r="J344">
        <v>0.5</v>
      </c>
      <c r="K344">
        <v>-1</v>
      </c>
      <c r="L344">
        <v>-0.375</v>
      </c>
      <c r="M344">
        <v>4</v>
      </c>
      <c r="N344">
        <v>9</v>
      </c>
      <c r="P344">
        <v>4</v>
      </c>
      <c r="AJ344">
        <v>5</v>
      </c>
      <c r="AN344">
        <v>1</v>
      </c>
    </row>
    <row r="345" spans="1:43">
      <c r="A345">
        <v>-0.5</v>
      </c>
      <c r="B345">
        <v>-1</v>
      </c>
      <c r="C345">
        <v>0.375</v>
      </c>
      <c r="D345">
        <v>0.5</v>
      </c>
      <c r="E345">
        <v>-1</v>
      </c>
      <c r="F345">
        <v>0.375</v>
      </c>
      <c r="G345">
        <v>0.5</v>
      </c>
      <c r="H345">
        <v>-1</v>
      </c>
      <c r="I345">
        <v>-0.375</v>
      </c>
      <c r="J345">
        <v>-0.5</v>
      </c>
      <c r="K345">
        <v>-1</v>
      </c>
      <c r="L345">
        <v>-0.375</v>
      </c>
      <c r="M345">
        <v>4</v>
      </c>
      <c r="N345">
        <v>10</v>
      </c>
      <c r="P345">
        <v>4</v>
      </c>
      <c r="AJ345">
        <v>5</v>
      </c>
      <c r="AN345">
        <v>1</v>
      </c>
    </row>
    <row r="346" spans="1:43">
      <c r="A346">
        <v>0.5</v>
      </c>
      <c r="C346">
        <v>0.375</v>
      </c>
      <c r="D346">
        <v>1.3</v>
      </c>
      <c r="E346">
        <v>0.60000000000000009</v>
      </c>
      <c r="F346">
        <v>0.375</v>
      </c>
      <c r="G346">
        <v>2</v>
      </c>
      <c r="I346">
        <v>0.375</v>
      </c>
      <c r="J346">
        <v>0.5</v>
      </c>
      <c r="K346">
        <v>-1</v>
      </c>
      <c r="L346">
        <v>0.375</v>
      </c>
      <c r="M346">
        <v>4</v>
      </c>
      <c r="N346">
        <v>12</v>
      </c>
      <c r="P346">
        <v>4</v>
      </c>
      <c r="AJ346">
        <v>5</v>
      </c>
      <c r="AN346">
        <v>1</v>
      </c>
    </row>
    <row r="347" spans="1:43">
      <c r="A347">
        <v>0.5</v>
      </c>
      <c r="C347">
        <v>-0.375</v>
      </c>
      <c r="D347">
        <v>1.3</v>
      </c>
      <c r="E347">
        <v>0.60000000000000009</v>
      </c>
      <c r="F347">
        <v>-0.375</v>
      </c>
      <c r="G347">
        <v>1.3</v>
      </c>
      <c r="H347">
        <v>0.60000000000000009</v>
      </c>
      <c r="I347">
        <v>0.375</v>
      </c>
      <c r="J347">
        <v>0.5</v>
      </c>
      <c r="L347">
        <v>0.375</v>
      </c>
      <c r="M347">
        <v>4</v>
      </c>
      <c r="N347">
        <v>11</v>
      </c>
      <c r="P347">
        <v>4</v>
      </c>
      <c r="AJ347">
        <v>5</v>
      </c>
      <c r="AN347">
        <v>1</v>
      </c>
    </row>
    <row r="348" spans="1:43">
      <c r="A348">
        <v>0.5</v>
      </c>
      <c r="B348">
        <v>-1</v>
      </c>
      <c r="C348">
        <v>0.375</v>
      </c>
      <c r="D348">
        <v>2</v>
      </c>
      <c r="F348">
        <v>0.375</v>
      </c>
      <c r="G348">
        <v>2</v>
      </c>
      <c r="I348">
        <v>-0.375</v>
      </c>
      <c r="J348">
        <v>0.5</v>
      </c>
      <c r="K348">
        <v>-1</v>
      </c>
      <c r="L348">
        <v>-0.375</v>
      </c>
      <c r="M348">
        <v>4</v>
      </c>
      <c r="N348">
        <v>11</v>
      </c>
      <c r="P348">
        <v>4</v>
      </c>
      <c r="AJ348">
        <v>5</v>
      </c>
      <c r="AN348">
        <v>1</v>
      </c>
    </row>
    <row r="349" spans="1:43">
      <c r="A349">
        <v>1.3</v>
      </c>
      <c r="B349">
        <v>0.60000000000000009</v>
      </c>
      <c r="C349">
        <v>-0.375</v>
      </c>
      <c r="D349">
        <v>0.5</v>
      </c>
      <c r="F349">
        <v>-0.375</v>
      </c>
      <c r="G349">
        <v>0.5</v>
      </c>
      <c r="H349">
        <v>-1</v>
      </c>
      <c r="I349">
        <v>-0.375</v>
      </c>
      <c r="J349">
        <v>2</v>
      </c>
      <c r="L349">
        <v>-0.375</v>
      </c>
      <c r="M349">
        <v>4</v>
      </c>
      <c r="N349">
        <v>12</v>
      </c>
      <c r="P349">
        <v>4</v>
      </c>
      <c r="AJ349">
        <v>5</v>
      </c>
      <c r="AN349">
        <v>1</v>
      </c>
    </row>
    <row r="350" spans="1:43">
      <c r="A350">
        <v>-1.3</v>
      </c>
      <c r="B350">
        <v>0.60000000000000009</v>
      </c>
      <c r="C350">
        <v>0.375</v>
      </c>
      <c r="D350">
        <v>-0.5</v>
      </c>
      <c r="F350">
        <v>0.375</v>
      </c>
      <c r="G350">
        <v>-0.5</v>
      </c>
      <c r="H350">
        <v>-1</v>
      </c>
      <c r="I350">
        <v>0.375</v>
      </c>
      <c r="J350">
        <v>-2</v>
      </c>
      <c r="L350">
        <v>0.375</v>
      </c>
      <c r="M350">
        <v>4</v>
      </c>
      <c r="N350">
        <v>12</v>
      </c>
      <c r="P350">
        <v>4</v>
      </c>
      <c r="AJ350">
        <v>5</v>
      </c>
      <c r="AN350">
        <v>1</v>
      </c>
    </row>
    <row r="351" spans="1:43">
      <c r="A351">
        <v>-1.3</v>
      </c>
      <c r="B351">
        <v>0.60000000000000009</v>
      </c>
      <c r="C351">
        <v>-0.375</v>
      </c>
      <c r="D351">
        <v>-0.5</v>
      </c>
      <c r="F351">
        <v>-0.375</v>
      </c>
      <c r="G351">
        <v>-0.5</v>
      </c>
      <c r="I351">
        <v>0.375</v>
      </c>
      <c r="J351">
        <v>-1.3</v>
      </c>
      <c r="K351">
        <v>0.60000000000000009</v>
      </c>
      <c r="L351">
        <v>0.375</v>
      </c>
      <c r="M351">
        <v>4</v>
      </c>
      <c r="N351">
        <v>11</v>
      </c>
      <c r="P351">
        <v>4</v>
      </c>
      <c r="AJ351">
        <v>5</v>
      </c>
      <c r="AN351">
        <v>1</v>
      </c>
    </row>
    <row r="352" spans="1:43">
      <c r="A352">
        <v>-2</v>
      </c>
      <c r="C352">
        <v>-0.375</v>
      </c>
      <c r="D352">
        <v>-0.5</v>
      </c>
      <c r="E352">
        <v>-1</v>
      </c>
      <c r="F352">
        <v>0.375</v>
      </c>
      <c r="G352">
        <v>-0.5</v>
      </c>
      <c r="H352">
        <v>-1</v>
      </c>
      <c r="I352">
        <v>-0.375</v>
      </c>
      <c r="J352">
        <v>-2</v>
      </c>
      <c r="L352">
        <v>-0.375</v>
      </c>
      <c r="M352">
        <v>4</v>
      </c>
      <c r="N352">
        <v>11</v>
      </c>
      <c r="P352">
        <v>4</v>
      </c>
      <c r="AJ352">
        <v>5</v>
      </c>
      <c r="AN352">
        <v>1</v>
      </c>
    </row>
    <row r="353" spans="1:40">
      <c r="A353">
        <v>-0.5</v>
      </c>
      <c r="C353">
        <v>-0.375</v>
      </c>
      <c r="D353">
        <v>-1.3</v>
      </c>
      <c r="E353">
        <v>0.60000000000000009</v>
      </c>
      <c r="F353">
        <v>-0.375</v>
      </c>
      <c r="G353">
        <v>-2</v>
      </c>
      <c r="I353">
        <v>-0.375</v>
      </c>
      <c r="J353">
        <v>-0.5</v>
      </c>
      <c r="K353">
        <v>-1</v>
      </c>
      <c r="L353">
        <v>-0.375</v>
      </c>
      <c r="M353">
        <v>4</v>
      </c>
      <c r="N353">
        <v>12</v>
      </c>
      <c r="P353">
        <v>4</v>
      </c>
      <c r="AJ353">
        <v>5</v>
      </c>
      <c r="AN353">
        <v>1</v>
      </c>
    </row>
    <row r="354" spans="1:40">
      <c r="A354">
        <v>1.5</v>
      </c>
      <c r="B354">
        <v>1.2000000000000002</v>
      </c>
      <c r="C354">
        <v>-0.375</v>
      </c>
      <c r="D354">
        <v>2.4</v>
      </c>
      <c r="E354">
        <v>1.2000000000000002</v>
      </c>
      <c r="F354">
        <v>0.375</v>
      </c>
      <c r="G354">
        <v>2</v>
      </c>
      <c r="I354">
        <v>0.375</v>
      </c>
      <c r="J354">
        <v>1.3</v>
      </c>
      <c r="K354">
        <v>0.60000000000000009</v>
      </c>
      <c r="L354">
        <v>0.375</v>
      </c>
      <c r="M354">
        <v>4</v>
      </c>
      <c r="N354">
        <v>11</v>
      </c>
      <c r="P354">
        <v>4</v>
      </c>
      <c r="AJ354">
        <v>5</v>
      </c>
      <c r="AN354">
        <v>1</v>
      </c>
    </row>
    <row r="355" spans="1:40">
      <c r="A355">
        <v>1.3</v>
      </c>
      <c r="B355">
        <v>0.60000000000000009</v>
      </c>
      <c r="C355">
        <v>-0.375</v>
      </c>
      <c r="D355">
        <v>1.5</v>
      </c>
      <c r="E355">
        <v>1.2000000000000002</v>
      </c>
      <c r="F355">
        <v>-0.375</v>
      </c>
      <c r="G355">
        <v>1.5</v>
      </c>
      <c r="H355">
        <v>1.2000000000000002</v>
      </c>
      <c r="I355">
        <v>0.375</v>
      </c>
      <c r="J355">
        <v>1.3</v>
      </c>
      <c r="K355">
        <v>0.60000000000000009</v>
      </c>
      <c r="L355">
        <v>0.375</v>
      </c>
      <c r="M355">
        <v>4</v>
      </c>
      <c r="N355">
        <v>10</v>
      </c>
      <c r="P355">
        <v>4</v>
      </c>
      <c r="AJ355">
        <v>5</v>
      </c>
      <c r="AN355">
        <v>1</v>
      </c>
    </row>
    <row r="356" spans="1:40">
      <c r="A356">
        <v>2</v>
      </c>
      <c r="C356">
        <v>-0.375</v>
      </c>
      <c r="D356">
        <v>2.4</v>
      </c>
      <c r="E356">
        <v>1.2000000000000002</v>
      </c>
      <c r="F356">
        <v>0.375</v>
      </c>
      <c r="G356">
        <v>2.4</v>
      </c>
      <c r="H356">
        <v>1.2000000000000002</v>
      </c>
      <c r="I356">
        <v>-0.375</v>
      </c>
      <c r="J356">
        <v>2</v>
      </c>
      <c r="L356">
        <v>-0.375</v>
      </c>
      <c r="M356">
        <v>4</v>
      </c>
      <c r="N356">
        <v>10</v>
      </c>
      <c r="P356">
        <v>4</v>
      </c>
      <c r="AJ356">
        <v>5</v>
      </c>
      <c r="AN356">
        <v>1</v>
      </c>
    </row>
    <row r="357" spans="1:40">
      <c r="A357">
        <v>2.4</v>
      </c>
      <c r="B357">
        <v>1.2000000000000002</v>
      </c>
      <c r="C357">
        <v>-0.375</v>
      </c>
      <c r="D357">
        <v>1.5</v>
      </c>
      <c r="E357">
        <v>1.2000000000000002</v>
      </c>
      <c r="F357">
        <v>-0.375</v>
      </c>
      <c r="G357">
        <v>1.3</v>
      </c>
      <c r="H357">
        <v>0.60000000000000009</v>
      </c>
      <c r="I357">
        <v>-0.375</v>
      </c>
      <c r="J357">
        <v>2</v>
      </c>
      <c r="L357">
        <v>-0.375</v>
      </c>
      <c r="M357">
        <v>4</v>
      </c>
      <c r="N357">
        <v>11</v>
      </c>
      <c r="P357">
        <v>4</v>
      </c>
      <c r="AJ357">
        <v>5</v>
      </c>
      <c r="AN357">
        <v>1</v>
      </c>
    </row>
    <row r="358" spans="1:40">
      <c r="A358">
        <v>-2.4</v>
      </c>
      <c r="B358">
        <v>1.2000000000000002</v>
      </c>
      <c r="C358">
        <v>-0.375</v>
      </c>
      <c r="D358">
        <v>-1.5</v>
      </c>
      <c r="E358">
        <v>1.2000000000000002</v>
      </c>
      <c r="F358">
        <v>0.375</v>
      </c>
      <c r="G358">
        <v>-1.3</v>
      </c>
      <c r="H358">
        <v>0.60000000000000009</v>
      </c>
      <c r="I358">
        <v>0.375</v>
      </c>
      <c r="J358">
        <v>-2</v>
      </c>
      <c r="L358">
        <v>0.375</v>
      </c>
      <c r="M358">
        <v>4</v>
      </c>
      <c r="N358">
        <v>11</v>
      </c>
      <c r="P358">
        <v>4</v>
      </c>
      <c r="AJ358">
        <v>5</v>
      </c>
      <c r="AN358">
        <v>1</v>
      </c>
    </row>
    <row r="359" spans="1:40">
      <c r="A359">
        <v>-1.5</v>
      </c>
      <c r="B359">
        <v>1.2000000000000002</v>
      </c>
      <c r="C359">
        <v>-0.375</v>
      </c>
      <c r="D359">
        <v>-1.5</v>
      </c>
      <c r="E359">
        <v>1.2000000000000002</v>
      </c>
      <c r="F359">
        <v>-0.375</v>
      </c>
      <c r="G359">
        <v>-1.3</v>
      </c>
      <c r="H359">
        <v>0.60000000000000009</v>
      </c>
      <c r="I359">
        <v>-0.375</v>
      </c>
      <c r="J359">
        <v>-1.3</v>
      </c>
      <c r="K359">
        <v>0.60000000000000009</v>
      </c>
      <c r="L359">
        <v>0.375</v>
      </c>
      <c r="M359">
        <v>4</v>
      </c>
      <c r="N359">
        <v>10</v>
      </c>
      <c r="P359">
        <v>4</v>
      </c>
      <c r="AJ359">
        <v>5</v>
      </c>
      <c r="AN359">
        <v>1</v>
      </c>
    </row>
    <row r="360" spans="1:40">
      <c r="A360">
        <v>-2</v>
      </c>
      <c r="C360">
        <v>-0.375</v>
      </c>
      <c r="D360">
        <v>-2.4</v>
      </c>
      <c r="E360">
        <v>1.2000000000000002</v>
      </c>
      <c r="F360">
        <v>-0.375</v>
      </c>
      <c r="G360">
        <v>-2.4</v>
      </c>
      <c r="H360">
        <v>1.2000000000000002</v>
      </c>
      <c r="I360">
        <v>0.375</v>
      </c>
      <c r="J360">
        <v>-2</v>
      </c>
      <c r="L360">
        <v>0.375</v>
      </c>
      <c r="M360">
        <v>4</v>
      </c>
      <c r="N360">
        <v>10</v>
      </c>
      <c r="P360">
        <v>4</v>
      </c>
      <c r="AJ360">
        <v>5</v>
      </c>
      <c r="AN360">
        <v>1</v>
      </c>
    </row>
    <row r="361" spans="1:40">
      <c r="A361">
        <v>-1.5</v>
      </c>
      <c r="B361">
        <v>1.2000000000000002</v>
      </c>
      <c r="C361">
        <v>-0.375</v>
      </c>
      <c r="D361">
        <v>-2.4</v>
      </c>
      <c r="E361">
        <v>1.2000000000000002</v>
      </c>
      <c r="F361">
        <v>-0.375</v>
      </c>
      <c r="G361">
        <v>-2</v>
      </c>
      <c r="I361">
        <v>-0.375</v>
      </c>
      <c r="J361">
        <v>-1.3</v>
      </c>
      <c r="K361">
        <v>0.60000000000000009</v>
      </c>
      <c r="L361">
        <v>-0.375</v>
      </c>
      <c r="M361">
        <v>4</v>
      </c>
      <c r="N361">
        <v>11</v>
      </c>
      <c r="P361">
        <v>4</v>
      </c>
      <c r="AJ361">
        <v>5</v>
      </c>
      <c r="AN361">
        <v>1</v>
      </c>
    </row>
    <row r="362" spans="1:40">
      <c r="A362">
        <v>1.5</v>
      </c>
      <c r="B362">
        <v>2.4000000000000004</v>
      </c>
      <c r="C362">
        <v>-0.375</v>
      </c>
      <c r="D362">
        <v>2</v>
      </c>
      <c r="E362">
        <v>2.4000000000000004</v>
      </c>
      <c r="F362">
        <v>0.375</v>
      </c>
      <c r="G362">
        <v>2.4000000000000004</v>
      </c>
      <c r="H362">
        <v>1.2000000000000002</v>
      </c>
      <c r="I362">
        <v>0.375</v>
      </c>
      <c r="J362">
        <v>1.5</v>
      </c>
      <c r="K362">
        <v>1.2000000000000002</v>
      </c>
      <c r="L362">
        <v>0.375</v>
      </c>
      <c r="M362">
        <v>4</v>
      </c>
      <c r="N362">
        <v>10</v>
      </c>
      <c r="P362">
        <v>4</v>
      </c>
      <c r="AJ362">
        <v>5</v>
      </c>
      <c r="AN362">
        <v>1</v>
      </c>
    </row>
    <row r="363" spans="1:40">
      <c r="A363">
        <v>1.5</v>
      </c>
      <c r="B363">
        <v>1.2000000000000002</v>
      </c>
      <c r="C363">
        <v>-0.375</v>
      </c>
      <c r="D363">
        <v>1.5</v>
      </c>
      <c r="E363">
        <v>2.4000000000000004</v>
      </c>
      <c r="F363">
        <v>-0.375</v>
      </c>
      <c r="G363">
        <v>1.5</v>
      </c>
      <c r="H363">
        <v>2.4000000000000004</v>
      </c>
      <c r="I363">
        <v>0.375</v>
      </c>
      <c r="J363">
        <v>1.5</v>
      </c>
      <c r="K363">
        <v>1.2000000000000002</v>
      </c>
      <c r="L363">
        <v>0.375</v>
      </c>
      <c r="M363">
        <v>4</v>
      </c>
      <c r="N363">
        <v>9</v>
      </c>
      <c r="P363">
        <v>4</v>
      </c>
      <c r="AJ363">
        <v>5</v>
      </c>
      <c r="AN363">
        <v>1</v>
      </c>
    </row>
    <row r="364" spans="1:40">
      <c r="A364">
        <v>2.4</v>
      </c>
      <c r="B364">
        <v>1.2000000000000002</v>
      </c>
      <c r="C364">
        <v>-0.375</v>
      </c>
      <c r="D364">
        <v>2</v>
      </c>
      <c r="E364">
        <v>2.4000000000000004</v>
      </c>
      <c r="F364">
        <v>0.375</v>
      </c>
      <c r="G364">
        <v>2</v>
      </c>
      <c r="H364">
        <v>2.4000000000000004</v>
      </c>
      <c r="I364">
        <v>-0.375</v>
      </c>
      <c r="J364">
        <v>2.4</v>
      </c>
      <c r="K364">
        <v>1.2000000000000002</v>
      </c>
      <c r="L364">
        <v>-0.375</v>
      </c>
      <c r="M364">
        <v>4</v>
      </c>
      <c r="N364">
        <v>9</v>
      </c>
      <c r="P364">
        <v>4</v>
      </c>
      <c r="AJ364">
        <v>5</v>
      </c>
      <c r="AN364">
        <v>1</v>
      </c>
    </row>
    <row r="365" spans="1:40">
      <c r="A365">
        <v>2</v>
      </c>
      <c r="B365">
        <v>2.4000000000000004</v>
      </c>
      <c r="C365">
        <v>-0.375</v>
      </c>
      <c r="D365">
        <v>1.5</v>
      </c>
      <c r="E365">
        <v>2.4000000000000004</v>
      </c>
      <c r="F365">
        <v>-0.375</v>
      </c>
      <c r="G365">
        <v>1.5</v>
      </c>
      <c r="H365">
        <v>1.2000000000000002</v>
      </c>
      <c r="I365">
        <v>-0.375</v>
      </c>
      <c r="J365">
        <v>2.4</v>
      </c>
      <c r="K365">
        <v>1.2000000000000002</v>
      </c>
      <c r="L365">
        <v>-0.375</v>
      </c>
      <c r="M365">
        <v>4</v>
      </c>
      <c r="N365">
        <v>10</v>
      </c>
      <c r="P365">
        <v>4</v>
      </c>
      <c r="AJ365">
        <v>5</v>
      </c>
      <c r="AN365">
        <v>1</v>
      </c>
    </row>
    <row r="366" spans="1:40">
      <c r="A366">
        <v>-2</v>
      </c>
      <c r="B366">
        <v>2.4000000000000004</v>
      </c>
      <c r="C366">
        <v>-0.375</v>
      </c>
      <c r="D366">
        <v>-1.5</v>
      </c>
      <c r="E366">
        <v>2.4000000000000004</v>
      </c>
      <c r="F366">
        <v>0.375</v>
      </c>
      <c r="G366">
        <v>-1.5</v>
      </c>
      <c r="H366">
        <v>1.2000000000000002</v>
      </c>
      <c r="I366">
        <v>0.375</v>
      </c>
      <c r="J366">
        <v>-2.4</v>
      </c>
      <c r="K366">
        <v>1.2000000000000002</v>
      </c>
      <c r="L366">
        <v>0.375</v>
      </c>
      <c r="M366">
        <v>4</v>
      </c>
      <c r="N366">
        <v>10</v>
      </c>
      <c r="P366">
        <v>4</v>
      </c>
      <c r="AJ366">
        <v>5</v>
      </c>
      <c r="AN366">
        <v>1</v>
      </c>
    </row>
    <row r="367" spans="1:40">
      <c r="A367">
        <v>-1.5</v>
      </c>
      <c r="B367">
        <v>1.2000000000000002</v>
      </c>
      <c r="C367">
        <v>-0.375</v>
      </c>
      <c r="D367">
        <v>-1.5</v>
      </c>
      <c r="E367">
        <v>2.4000000000000004</v>
      </c>
      <c r="F367">
        <v>0.375</v>
      </c>
      <c r="G367">
        <v>-1.5</v>
      </c>
      <c r="H367">
        <v>2.4000000000000004</v>
      </c>
      <c r="I367">
        <v>-0.375</v>
      </c>
      <c r="J367">
        <v>-1.5</v>
      </c>
      <c r="K367">
        <v>1.2000000000000002</v>
      </c>
      <c r="L367">
        <v>-0.375</v>
      </c>
      <c r="M367">
        <v>4</v>
      </c>
      <c r="N367">
        <v>9</v>
      </c>
      <c r="P367">
        <v>4</v>
      </c>
      <c r="AJ367">
        <v>5</v>
      </c>
      <c r="AN367">
        <v>1</v>
      </c>
    </row>
    <row r="368" spans="1:40">
      <c r="A368">
        <v>-2.4</v>
      </c>
      <c r="B368">
        <v>1.2000000000000002</v>
      </c>
      <c r="C368">
        <v>-0.375</v>
      </c>
      <c r="D368">
        <v>-2</v>
      </c>
      <c r="E368">
        <v>2.4000000000000004</v>
      </c>
      <c r="F368">
        <v>-0.375</v>
      </c>
      <c r="G368">
        <v>-2</v>
      </c>
      <c r="H368">
        <v>2.4000000000000004</v>
      </c>
      <c r="I368">
        <v>0.375</v>
      </c>
      <c r="J368">
        <v>-2.4</v>
      </c>
      <c r="K368">
        <v>1.2000000000000002</v>
      </c>
      <c r="L368">
        <v>0.375</v>
      </c>
      <c r="M368">
        <v>4</v>
      </c>
      <c r="N368">
        <v>9</v>
      </c>
      <c r="P368">
        <v>4</v>
      </c>
      <c r="AJ368">
        <v>5</v>
      </c>
      <c r="AN368">
        <v>1</v>
      </c>
    </row>
    <row r="369" spans="1:43">
      <c r="A369">
        <v>-1.5</v>
      </c>
      <c r="B369">
        <v>2.4000000000000004</v>
      </c>
      <c r="C369">
        <v>-0.375</v>
      </c>
      <c r="D369">
        <v>-2</v>
      </c>
      <c r="E369">
        <v>2.4000000000000004</v>
      </c>
      <c r="F369">
        <v>-0.375</v>
      </c>
      <c r="G369">
        <v>-2.4</v>
      </c>
      <c r="H369">
        <v>1.2000000000000002</v>
      </c>
      <c r="I369">
        <v>-0.375</v>
      </c>
      <c r="J369">
        <v>-1.5</v>
      </c>
      <c r="K369">
        <v>1.2000000000000002</v>
      </c>
      <c r="L369">
        <v>-0.375</v>
      </c>
      <c r="M369">
        <v>4</v>
      </c>
      <c r="N369">
        <v>10</v>
      </c>
      <c r="P369">
        <v>4</v>
      </c>
      <c r="AJ369">
        <v>5</v>
      </c>
      <c r="AN369">
        <v>1</v>
      </c>
    </row>
    <row r="370" spans="1:43">
      <c r="A370">
        <v>1.5</v>
      </c>
      <c r="B370">
        <v>2.4000000000000004</v>
      </c>
      <c r="C370">
        <v>-0.375</v>
      </c>
      <c r="D370">
        <v>1</v>
      </c>
      <c r="E370">
        <v>3.6</v>
      </c>
      <c r="F370">
        <v>0.375</v>
      </c>
      <c r="G370">
        <v>2</v>
      </c>
      <c r="H370">
        <v>2.4000000000000004</v>
      </c>
      <c r="I370">
        <v>0.375</v>
      </c>
      <c r="J370">
        <v>1.75</v>
      </c>
      <c r="K370">
        <v>2.4000000000000004</v>
      </c>
      <c r="L370">
        <v>0.375</v>
      </c>
      <c r="M370">
        <v>4</v>
      </c>
      <c r="N370">
        <v>9</v>
      </c>
      <c r="P370">
        <v>4</v>
      </c>
      <c r="AJ370">
        <v>5</v>
      </c>
      <c r="AN370">
        <v>1</v>
      </c>
    </row>
    <row r="371" spans="1:43">
      <c r="A371">
        <v>1.5</v>
      </c>
      <c r="B371">
        <v>2.4000000000000004</v>
      </c>
      <c r="C371">
        <v>-0.375</v>
      </c>
      <c r="D371">
        <v>1</v>
      </c>
      <c r="E371">
        <v>3.6</v>
      </c>
      <c r="F371">
        <v>-0.375</v>
      </c>
      <c r="G371">
        <v>1</v>
      </c>
      <c r="H371">
        <v>3.6</v>
      </c>
      <c r="I371">
        <v>0.375</v>
      </c>
      <c r="J371">
        <v>1.5</v>
      </c>
      <c r="K371">
        <v>2.4000000000000004</v>
      </c>
      <c r="L371">
        <v>0.375</v>
      </c>
      <c r="M371">
        <v>4</v>
      </c>
      <c r="N371">
        <v>8</v>
      </c>
      <c r="P371">
        <v>4</v>
      </c>
      <c r="AJ371">
        <v>5</v>
      </c>
      <c r="AN371">
        <v>1</v>
      </c>
    </row>
    <row r="372" spans="1:43">
      <c r="A372">
        <v>2</v>
      </c>
      <c r="B372">
        <v>2.4000000000000004</v>
      </c>
      <c r="C372">
        <v>-0.375</v>
      </c>
      <c r="D372">
        <v>1</v>
      </c>
      <c r="E372">
        <v>3.6</v>
      </c>
      <c r="F372">
        <v>0.375</v>
      </c>
      <c r="G372">
        <v>1</v>
      </c>
      <c r="H372">
        <v>3.6</v>
      </c>
      <c r="I372">
        <v>-0.375</v>
      </c>
      <c r="J372">
        <v>2</v>
      </c>
      <c r="K372">
        <v>2.4000000000000004</v>
      </c>
      <c r="L372">
        <v>-0.375</v>
      </c>
      <c r="M372">
        <v>4</v>
      </c>
      <c r="N372">
        <v>8</v>
      </c>
      <c r="P372">
        <v>4</v>
      </c>
      <c r="AJ372">
        <v>5</v>
      </c>
      <c r="AN372">
        <v>1</v>
      </c>
    </row>
    <row r="373" spans="1:43">
      <c r="A373">
        <v>2</v>
      </c>
      <c r="B373">
        <v>2.4000000000000004</v>
      </c>
      <c r="C373">
        <v>-0.375</v>
      </c>
      <c r="D373">
        <v>1</v>
      </c>
      <c r="E373">
        <v>3.6</v>
      </c>
      <c r="F373">
        <v>-0.375</v>
      </c>
      <c r="G373">
        <v>1.5</v>
      </c>
      <c r="H373">
        <v>2.4000000000000004</v>
      </c>
      <c r="I373">
        <v>-0.375</v>
      </c>
      <c r="J373">
        <v>1.75</v>
      </c>
      <c r="K373">
        <v>2.4000000000000004</v>
      </c>
      <c r="L373">
        <v>-0.375</v>
      </c>
      <c r="M373">
        <v>4</v>
      </c>
      <c r="N373">
        <v>9</v>
      </c>
      <c r="P373">
        <v>4</v>
      </c>
      <c r="AJ373">
        <v>5</v>
      </c>
      <c r="AN373">
        <v>1</v>
      </c>
    </row>
    <row r="374" spans="1:43">
      <c r="A374">
        <v>-2</v>
      </c>
      <c r="B374">
        <v>2.4000000000000004</v>
      </c>
      <c r="C374">
        <v>-0.375</v>
      </c>
      <c r="D374">
        <v>-1</v>
      </c>
      <c r="E374">
        <v>3.6</v>
      </c>
      <c r="F374">
        <v>0.375</v>
      </c>
      <c r="G374">
        <v>-1.5</v>
      </c>
      <c r="H374">
        <v>2.4000000000000004</v>
      </c>
      <c r="I374">
        <v>0.375</v>
      </c>
      <c r="J374">
        <v>-1.75</v>
      </c>
      <c r="K374">
        <v>2.4000000000000004</v>
      </c>
      <c r="L374">
        <v>0.375</v>
      </c>
      <c r="M374">
        <v>4</v>
      </c>
      <c r="N374">
        <v>9</v>
      </c>
      <c r="P374">
        <v>4</v>
      </c>
      <c r="AJ374">
        <v>5</v>
      </c>
      <c r="AN374">
        <v>1</v>
      </c>
    </row>
    <row r="375" spans="1:43">
      <c r="A375">
        <v>-1.5</v>
      </c>
      <c r="B375">
        <v>2.4000000000000004</v>
      </c>
      <c r="C375">
        <v>-0.375</v>
      </c>
      <c r="D375">
        <v>-1</v>
      </c>
      <c r="E375">
        <v>3.6</v>
      </c>
      <c r="F375">
        <v>0.375</v>
      </c>
      <c r="G375">
        <v>-1</v>
      </c>
      <c r="H375">
        <v>3.6</v>
      </c>
      <c r="I375">
        <v>-0.375</v>
      </c>
      <c r="J375">
        <v>-1.5</v>
      </c>
      <c r="K375">
        <v>2.4000000000000004</v>
      </c>
      <c r="L375">
        <v>-0.375</v>
      </c>
      <c r="M375">
        <v>4</v>
      </c>
      <c r="N375">
        <v>8</v>
      </c>
      <c r="P375">
        <v>4</v>
      </c>
      <c r="AJ375">
        <v>5</v>
      </c>
      <c r="AN375">
        <v>1</v>
      </c>
    </row>
    <row r="376" spans="1:43">
      <c r="A376">
        <v>-2</v>
      </c>
      <c r="B376">
        <v>2.4000000000000004</v>
      </c>
      <c r="C376">
        <v>-0.375</v>
      </c>
      <c r="D376">
        <v>-1</v>
      </c>
      <c r="E376">
        <v>3.6</v>
      </c>
      <c r="F376">
        <v>-0.375</v>
      </c>
      <c r="G376">
        <v>-1</v>
      </c>
      <c r="H376">
        <v>3.6</v>
      </c>
      <c r="I376">
        <v>0.375</v>
      </c>
      <c r="J376">
        <v>-2</v>
      </c>
      <c r="K376">
        <v>2.4000000000000004</v>
      </c>
      <c r="L376">
        <v>0.375</v>
      </c>
      <c r="M376">
        <v>4</v>
      </c>
      <c r="N376">
        <v>8</v>
      </c>
      <c r="P376">
        <v>4</v>
      </c>
      <c r="AJ376">
        <v>5</v>
      </c>
      <c r="AN376">
        <v>1</v>
      </c>
    </row>
    <row r="377" spans="1:43">
      <c r="A377">
        <v>-1.5</v>
      </c>
      <c r="B377">
        <v>2.4000000000000004</v>
      </c>
      <c r="C377">
        <v>-0.375</v>
      </c>
      <c r="D377">
        <v>-1</v>
      </c>
      <c r="E377">
        <v>3.6</v>
      </c>
      <c r="F377">
        <v>-0.375</v>
      </c>
      <c r="G377">
        <v>-2</v>
      </c>
      <c r="H377">
        <v>2.4000000000000004</v>
      </c>
      <c r="I377">
        <v>-0.375</v>
      </c>
      <c r="J377">
        <v>-1.75</v>
      </c>
      <c r="K377">
        <v>2.4000000000000004</v>
      </c>
      <c r="L377">
        <v>-0.375</v>
      </c>
      <c r="M377">
        <v>4</v>
      </c>
      <c r="N377">
        <v>9</v>
      </c>
      <c r="P377">
        <v>4</v>
      </c>
      <c r="AJ377">
        <v>5</v>
      </c>
      <c r="AN377">
        <v>1</v>
      </c>
    </row>
    <row r="378" spans="1:43">
      <c r="A378">
        <v>-0.4</v>
      </c>
      <c r="B378">
        <v>-2.4000000000000004</v>
      </c>
      <c r="C378">
        <v>-0.375</v>
      </c>
      <c r="E378">
        <v>2</v>
      </c>
      <c r="G378">
        <v>0.4</v>
      </c>
      <c r="H378">
        <v>-2.4000000000000004</v>
      </c>
      <c r="I378">
        <v>0.2</v>
      </c>
      <c r="K378">
        <v>-2.4000000000000004</v>
      </c>
      <c r="L378">
        <v>0.2</v>
      </c>
      <c r="M378">
        <v>1</v>
      </c>
      <c r="N378">
        <v>2</v>
      </c>
      <c r="P378">
        <v>4</v>
      </c>
      <c r="AJ378">
        <v>2</v>
      </c>
      <c r="AK378">
        <v>1</v>
      </c>
    </row>
    <row r="379" spans="1:43">
      <c r="A379">
        <v>0.4</v>
      </c>
      <c r="B379">
        <v>-2.4000000000000004</v>
      </c>
      <c r="C379">
        <v>-0.375</v>
      </c>
      <c r="E379">
        <v>2</v>
      </c>
      <c r="G379">
        <v>0.4</v>
      </c>
      <c r="H379">
        <v>-2.4000000000000004</v>
      </c>
      <c r="I379">
        <v>-0.2</v>
      </c>
      <c r="J379">
        <v>0.4</v>
      </c>
      <c r="K379">
        <v>-2.4000000000000004</v>
      </c>
      <c r="M379">
        <v>1</v>
      </c>
      <c r="N379">
        <v>2</v>
      </c>
      <c r="P379">
        <v>4</v>
      </c>
      <c r="AJ379">
        <v>2</v>
      </c>
      <c r="AK379">
        <v>1</v>
      </c>
    </row>
    <row r="380" spans="1:43">
      <c r="A380">
        <v>0.4</v>
      </c>
      <c r="B380">
        <v>-2.4000000000000004</v>
      </c>
      <c r="C380">
        <v>-0.375</v>
      </c>
      <c r="E380">
        <v>2</v>
      </c>
      <c r="G380">
        <v>-0.4</v>
      </c>
      <c r="H380">
        <v>-2.4000000000000004</v>
      </c>
      <c r="I380">
        <v>-0.2</v>
      </c>
      <c r="K380">
        <v>-2.4000000000000004</v>
      </c>
      <c r="L380">
        <v>-0.2</v>
      </c>
      <c r="M380">
        <v>1</v>
      </c>
      <c r="N380">
        <v>2</v>
      </c>
      <c r="P380">
        <v>4</v>
      </c>
      <c r="AJ380">
        <v>2</v>
      </c>
      <c r="AK380">
        <v>1</v>
      </c>
    </row>
    <row r="381" spans="1:43">
      <c r="A381">
        <v>-0.4</v>
      </c>
      <c r="B381">
        <v>-2.4000000000000004</v>
      </c>
      <c r="C381">
        <v>-0.375</v>
      </c>
      <c r="E381">
        <v>2</v>
      </c>
      <c r="G381">
        <v>-0.4</v>
      </c>
      <c r="H381">
        <v>-2.4000000000000004</v>
      </c>
      <c r="I381">
        <v>0.2</v>
      </c>
      <c r="J381">
        <v>-0.4</v>
      </c>
      <c r="K381">
        <v>-2.4000000000000004</v>
      </c>
      <c r="M381">
        <v>1</v>
      </c>
      <c r="N381">
        <v>2</v>
      </c>
      <c r="P381">
        <v>4</v>
      </c>
      <c r="AJ381">
        <v>2</v>
      </c>
      <c r="AK381">
        <v>1</v>
      </c>
    </row>
    <row r="382" spans="1:43">
      <c r="A382">
        <v>-0.5</v>
      </c>
      <c r="B382">
        <v>-2.4000000000000004</v>
      </c>
      <c r="C382">
        <v>-0.375</v>
      </c>
      <c r="D382">
        <v>0.5</v>
      </c>
      <c r="E382">
        <v>-2.4000000000000004</v>
      </c>
      <c r="F382">
        <v>0.3</v>
      </c>
      <c r="G382">
        <v>0.5</v>
      </c>
      <c r="H382">
        <v>-2.4000000000000004</v>
      </c>
      <c r="I382">
        <v>-0.3</v>
      </c>
      <c r="J382">
        <v>-0.5</v>
      </c>
      <c r="K382">
        <v>-2.4000000000000004</v>
      </c>
      <c r="L382">
        <v>-0.3</v>
      </c>
      <c r="M382">
        <v>1</v>
      </c>
      <c r="N382">
        <v>1</v>
      </c>
      <c r="P382">
        <v>4</v>
      </c>
      <c r="AJ382">
        <v>4</v>
      </c>
    </row>
    <row r="384" spans="1:43">
      <c r="M384">
        <v>5</v>
      </c>
      <c r="N384">
        <v>9</v>
      </c>
      <c r="P384">
        <v>4</v>
      </c>
      <c r="S384">
        <v>7</v>
      </c>
      <c r="U384">
        <v>140</v>
      </c>
      <c r="AJ384">
        <v>5</v>
      </c>
      <c r="AN384">
        <v>1</v>
      </c>
      <c r="AO384">
        <v>342</v>
      </c>
      <c r="AP384">
        <v>32</v>
      </c>
      <c r="AQ384" t="s">
        <v>1027</v>
      </c>
    </row>
    <row r="385" spans="13:41">
      <c r="M385">
        <v>5</v>
      </c>
      <c r="N385">
        <v>10</v>
      </c>
      <c r="P385">
        <v>4</v>
      </c>
      <c r="AJ385">
        <v>5</v>
      </c>
      <c r="AN385">
        <v>1</v>
      </c>
      <c r="AO385">
        <v>343</v>
      </c>
    </row>
    <row r="386" spans="13:41">
      <c r="M386">
        <v>5</v>
      </c>
      <c r="N386">
        <v>9</v>
      </c>
      <c r="P386">
        <v>4</v>
      </c>
      <c r="AJ386">
        <v>5</v>
      </c>
      <c r="AN386">
        <v>1</v>
      </c>
      <c r="AO386">
        <v>344</v>
      </c>
    </row>
    <row r="387" spans="13:41">
      <c r="M387">
        <v>5</v>
      </c>
      <c r="N387">
        <v>10</v>
      </c>
      <c r="P387">
        <v>4</v>
      </c>
      <c r="AJ387">
        <v>5</v>
      </c>
      <c r="AN387">
        <v>1</v>
      </c>
      <c r="AO387">
        <v>345</v>
      </c>
    </row>
    <row r="388" spans="13:41">
      <c r="M388">
        <v>5</v>
      </c>
      <c r="N388">
        <v>12</v>
      </c>
      <c r="P388">
        <v>4</v>
      </c>
      <c r="AJ388">
        <v>5</v>
      </c>
      <c r="AN388">
        <v>1</v>
      </c>
      <c r="AO388">
        <v>346</v>
      </c>
    </row>
    <row r="389" spans="13:41">
      <c r="M389">
        <v>5</v>
      </c>
      <c r="N389">
        <v>11</v>
      </c>
      <c r="P389">
        <v>4</v>
      </c>
      <c r="AJ389">
        <v>5</v>
      </c>
      <c r="AN389">
        <v>1</v>
      </c>
      <c r="AO389">
        <v>347</v>
      </c>
    </row>
    <row r="390" spans="13:41">
      <c r="M390">
        <v>5</v>
      </c>
      <c r="N390">
        <v>11</v>
      </c>
      <c r="P390">
        <v>4</v>
      </c>
      <c r="AJ390">
        <v>5</v>
      </c>
      <c r="AN390">
        <v>1</v>
      </c>
      <c r="AO390">
        <v>348</v>
      </c>
    </row>
    <row r="391" spans="13:41">
      <c r="M391">
        <v>5</v>
      </c>
      <c r="N391">
        <v>12</v>
      </c>
      <c r="P391">
        <v>4</v>
      </c>
      <c r="AJ391">
        <v>5</v>
      </c>
      <c r="AN391">
        <v>1</v>
      </c>
      <c r="AO391">
        <v>349</v>
      </c>
    </row>
    <row r="392" spans="13:41">
      <c r="M392">
        <v>5</v>
      </c>
      <c r="N392">
        <v>12</v>
      </c>
      <c r="P392">
        <v>4</v>
      </c>
      <c r="AJ392">
        <v>5</v>
      </c>
      <c r="AN392">
        <v>1</v>
      </c>
      <c r="AO392">
        <v>350</v>
      </c>
    </row>
    <row r="393" spans="13:41">
      <c r="M393">
        <v>5</v>
      </c>
      <c r="N393">
        <v>11</v>
      </c>
      <c r="P393">
        <v>4</v>
      </c>
      <c r="AJ393">
        <v>5</v>
      </c>
      <c r="AN393">
        <v>1</v>
      </c>
      <c r="AO393">
        <v>351</v>
      </c>
    </row>
    <row r="394" spans="13:41">
      <c r="M394">
        <v>5</v>
      </c>
      <c r="N394">
        <v>11</v>
      </c>
      <c r="P394">
        <v>4</v>
      </c>
      <c r="AJ394">
        <v>5</v>
      </c>
      <c r="AN394">
        <v>1</v>
      </c>
      <c r="AO394">
        <v>352</v>
      </c>
    </row>
    <row r="395" spans="13:41">
      <c r="M395">
        <v>5</v>
      </c>
      <c r="N395">
        <v>12</v>
      </c>
      <c r="P395">
        <v>4</v>
      </c>
      <c r="AJ395">
        <v>5</v>
      </c>
      <c r="AN395">
        <v>1</v>
      </c>
      <c r="AO395">
        <v>353</v>
      </c>
    </row>
    <row r="396" spans="13:41">
      <c r="M396">
        <v>5</v>
      </c>
      <c r="N396">
        <v>11</v>
      </c>
      <c r="P396">
        <v>4</v>
      </c>
      <c r="AJ396">
        <v>5</v>
      </c>
      <c r="AN396">
        <v>1</v>
      </c>
      <c r="AO396">
        <v>354</v>
      </c>
    </row>
    <row r="397" spans="13:41">
      <c r="M397">
        <v>5</v>
      </c>
      <c r="N397">
        <v>10</v>
      </c>
      <c r="P397">
        <v>4</v>
      </c>
      <c r="AJ397">
        <v>5</v>
      </c>
      <c r="AN397">
        <v>1</v>
      </c>
      <c r="AO397">
        <v>355</v>
      </c>
    </row>
    <row r="398" spans="13:41">
      <c r="M398">
        <v>5</v>
      </c>
      <c r="N398">
        <v>10</v>
      </c>
      <c r="P398">
        <v>4</v>
      </c>
      <c r="AJ398">
        <v>5</v>
      </c>
      <c r="AN398">
        <v>1</v>
      </c>
      <c r="AO398">
        <v>356</v>
      </c>
    </row>
    <row r="399" spans="13:41">
      <c r="M399">
        <v>5</v>
      </c>
      <c r="N399">
        <v>11</v>
      </c>
      <c r="P399">
        <v>4</v>
      </c>
      <c r="AJ399">
        <v>5</v>
      </c>
      <c r="AN399">
        <v>1</v>
      </c>
      <c r="AO399">
        <v>357</v>
      </c>
    </row>
    <row r="400" spans="13:41">
      <c r="M400">
        <v>5</v>
      </c>
      <c r="N400">
        <v>11</v>
      </c>
      <c r="P400">
        <v>4</v>
      </c>
      <c r="AJ400">
        <v>5</v>
      </c>
      <c r="AN400">
        <v>1</v>
      </c>
      <c r="AO400">
        <v>358</v>
      </c>
    </row>
    <row r="401" spans="13:41">
      <c r="M401">
        <v>5</v>
      </c>
      <c r="N401">
        <v>10</v>
      </c>
      <c r="P401">
        <v>4</v>
      </c>
      <c r="AJ401">
        <v>5</v>
      </c>
      <c r="AN401">
        <v>1</v>
      </c>
      <c r="AO401">
        <v>359</v>
      </c>
    </row>
    <row r="402" spans="13:41">
      <c r="M402">
        <v>5</v>
      </c>
      <c r="N402">
        <v>10</v>
      </c>
      <c r="P402">
        <v>4</v>
      </c>
      <c r="AJ402">
        <v>5</v>
      </c>
      <c r="AN402">
        <v>1</v>
      </c>
      <c r="AO402">
        <v>360</v>
      </c>
    </row>
    <row r="403" spans="13:41">
      <c r="M403">
        <v>5</v>
      </c>
      <c r="N403">
        <v>11</v>
      </c>
      <c r="P403">
        <v>4</v>
      </c>
      <c r="AJ403">
        <v>5</v>
      </c>
      <c r="AN403">
        <v>1</v>
      </c>
      <c r="AO403">
        <v>361</v>
      </c>
    </row>
    <row r="404" spans="13:41">
      <c r="M404">
        <v>5</v>
      </c>
      <c r="N404">
        <v>10</v>
      </c>
      <c r="P404">
        <v>4</v>
      </c>
      <c r="AJ404">
        <v>5</v>
      </c>
      <c r="AN404">
        <v>1</v>
      </c>
      <c r="AO404">
        <v>362</v>
      </c>
    </row>
    <row r="405" spans="13:41">
      <c r="M405">
        <v>5</v>
      </c>
      <c r="N405">
        <v>9</v>
      </c>
      <c r="P405">
        <v>4</v>
      </c>
      <c r="AJ405">
        <v>5</v>
      </c>
      <c r="AN405">
        <v>1</v>
      </c>
      <c r="AO405">
        <v>363</v>
      </c>
    </row>
    <row r="406" spans="13:41">
      <c r="M406">
        <v>5</v>
      </c>
      <c r="N406">
        <v>9</v>
      </c>
      <c r="P406">
        <v>4</v>
      </c>
      <c r="AJ406">
        <v>5</v>
      </c>
      <c r="AN406">
        <v>1</v>
      </c>
      <c r="AO406">
        <v>364</v>
      </c>
    </row>
    <row r="407" spans="13:41">
      <c r="M407">
        <v>5</v>
      </c>
      <c r="N407">
        <v>10</v>
      </c>
      <c r="P407">
        <v>4</v>
      </c>
      <c r="AJ407">
        <v>5</v>
      </c>
      <c r="AN407">
        <v>1</v>
      </c>
      <c r="AO407">
        <v>365</v>
      </c>
    </row>
    <row r="408" spans="13:41">
      <c r="M408">
        <v>5</v>
      </c>
      <c r="N408">
        <v>10</v>
      </c>
      <c r="P408">
        <v>4</v>
      </c>
      <c r="AJ408">
        <v>5</v>
      </c>
      <c r="AN408">
        <v>1</v>
      </c>
      <c r="AO408">
        <v>366</v>
      </c>
    </row>
    <row r="409" spans="13:41">
      <c r="M409">
        <v>5</v>
      </c>
      <c r="N409">
        <v>9</v>
      </c>
      <c r="P409">
        <v>4</v>
      </c>
      <c r="AJ409">
        <v>5</v>
      </c>
      <c r="AN409">
        <v>1</v>
      </c>
      <c r="AO409">
        <v>367</v>
      </c>
    </row>
    <row r="410" spans="13:41">
      <c r="M410">
        <v>5</v>
      </c>
      <c r="N410">
        <v>9</v>
      </c>
      <c r="P410">
        <v>4</v>
      </c>
      <c r="AJ410">
        <v>5</v>
      </c>
      <c r="AN410">
        <v>1</v>
      </c>
      <c r="AO410">
        <v>368</v>
      </c>
    </row>
    <row r="411" spans="13:41">
      <c r="M411">
        <v>5</v>
      </c>
      <c r="N411">
        <v>10</v>
      </c>
      <c r="P411">
        <v>4</v>
      </c>
      <c r="AJ411">
        <v>5</v>
      </c>
      <c r="AN411">
        <v>1</v>
      </c>
      <c r="AO411">
        <v>369</v>
      </c>
    </row>
    <row r="412" spans="13:41">
      <c r="M412">
        <v>5</v>
      </c>
      <c r="N412">
        <v>9</v>
      </c>
      <c r="P412">
        <v>4</v>
      </c>
      <c r="AJ412">
        <v>5</v>
      </c>
      <c r="AN412">
        <v>1</v>
      </c>
      <c r="AO412">
        <v>370</v>
      </c>
    </row>
    <row r="413" spans="13:41">
      <c r="M413">
        <v>5</v>
      </c>
      <c r="N413">
        <v>8</v>
      </c>
      <c r="P413">
        <v>4</v>
      </c>
      <c r="AJ413">
        <v>5</v>
      </c>
      <c r="AN413">
        <v>1</v>
      </c>
      <c r="AO413">
        <v>371</v>
      </c>
    </row>
    <row r="414" spans="13:41">
      <c r="M414">
        <v>5</v>
      </c>
      <c r="N414">
        <v>8</v>
      </c>
      <c r="P414">
        <v>4</v>
      </c>
      <c r="AJ414">
        <v>5</v>
      </c>
      <c r="AN414">
        <v>1</v>
      </c>
      <c r="AO414">
        <v>372</v>
      </c>
    </row>
    <row r="415" spans="13:41">
      <c r="M415">
        <v>5</v>
      </c>
      <c r="N415">
        <v>9</v>
      </c>
      <c r="P415">
        <v>4</v>
      </c>
      <c r="AJ415">
        <v>5</v>
      </c>
      <c r="AN415">
        <v>1</v>
      </c>
      <c r="AO415">
        <v>373</v>
      </c>
    </row>
    <row r="416" spans="13:41">
      <c r="M416">
        <v>5</v>
      </c>
      <c r="N416">
        <v>9</v>
      </c>
      <c r="P416">
        <v>4</v>
      </c>
      <c r="AJ416">
        <v>5</v>
      </c>
      <c r="AN416">
        <v>1</v>
      </c>
      <c r="AO416">
        <v>374</v>
      </c>
    </row>
    <row r="417" spans="13:43">
      <c r="M417">
        <v>5</v>
      </c>
      <c r="N417">
        <v>8</v>
      </c>
      <c r="P417">
        <v>4</v>
      </c>
      <c r="AJ417">
        <v>5</v>
      </c>
      <c r="AN417">
        <v>1</v>
      </c>
      <c r="AO417">
        <v>375</v>
      </c>
    </row>
    <row r="418" spans="13:43">
      <c r="M418">
        <v>5</v>
      </c>
      <c r="N418">
        <v>8</v>
      </c>
      <c r="P418">
        <v>4</v>
      </c>
      <c r="AJ418">
        <v>5</v>
      </c>
      <c r="AN418">
        <v>1</v>
      </c>
      <c r="AO418">
        <v>376</v>
      </c>
    </row>
    <row r="419" spans="13:43">
      <c r="M419">
        <v>5</v>
      </c>
      <c r="N419">
        <v>9</v>
      </c>
      <c r="P419">
        <v>4</v>
      </c>
      <c r="AJ419">
        <v>5</v>
      </c>
      <c r="AN419">
        <v>1</v>
      </c>
      <c r="AO419">
        <v>377</v>
      </c>
    </row>
    <row r="420" spans="13:43">
      <c r="M420">
        <v>1</v>
      </c>
      <c r="N420">
        <v>2</v>
      </c>
      <c r="P420">
        <v>4</v>
      </c>
      <c r="AJ420">
        <v>2</v>
      </c>
      <c r="AO420">
        <v>378</v>
      </c>
    </row>
    <row r="421" spans="13:43">
      <c r="M421">
        <v>1</v>
      </c>
      <c r="N421">
        <v>2</v>
      </c>
      <c r="P421">
        <v>4</v>
      </c>
      <c r="AJ421">
        <v>2</v>
      </c>
      <c r="AO421">
        <v>379</v>
      </c>
    </row>
    <row r="422" spans="13:43">
      <c r="M422">
        <v>1</v>
      </c>
      <c r="N422">
        <v>2</v>
      </c>
      <c r="P422">
        <v>4</v>
      </c>
      <c r="AJ422">
        <v>2</v>
      </c>
      <c r="AO422">
        <v>380</v>
      </c>
    </row>
    <row r="423" spans="13:43">
      <c r="M423">
        <v>1</v>
      </c>
      <c r="N423">
        <v>2</v>
      </c>
      <c r="P423">
        <v>4</v>
      </c>
      <c r="AJ423">
        <v>2</v>
      </c>
      <c r="AO423">
        <v>381</v>
      </c>
    </row>
    <row r="424" spans="13:43">
      <c r="M424">
        <v>1</v>
      </c>
      <c r="N424">
        <v>1</v>
      </c>
      <c r="P424">
        <v>4</v>
      </c>
      <c r="AJ424">
        <v>4</v>
      </c>
      <c r="AO424">
        <v>382</v>
      </c>
    </row>
    <row r="426" spans="13:43">
      <c r="M426">
        <v>2</v>
      </c>
      <c r="N426">
        <v>9</v>
      </c>
      <c r="P426">
        <v>4</v>
      </c>
      <c r="S426">
        <v>7</v>
      </c>
      <c r="U426">
        <v>140</v>
      </c>
      <c r="AJ426">
        <v>5</v>
      </c>
      <c r="AN426">
        <v>1</v>
      </c>
      <c r="AO426">
        <v>342</v>
      </c>
      <c r="AP426">
        <v>33</v>
      </c>
      <c r="AQ426" t="s">
        <v>1028</v>
      </c>
    </row>
    <row r="427" spans="13:43">
      <c r="M427">
        <v>2</v>
      </c>
      <c r="N427">
        <v>10</v>
      </c>
      <c r="P427">
        <v>4</v>
      </c>
      <c r="AJ427">
        <v>5</v>
      </c>
      <c r="AN427">
        <v>1</v>
      </c>
      <c r="AO427">
        <v>343</v>
      </c>
    </row>
    <row r="428" spans="13:43">
      <c r="M428">
        <v>2</v>
      </c>
      <c r="N428">
        <v>9</v>
      </c>
      <c r="P428">
        <v>4</v>
      </c>
      <c r="AJ428">
        <v>5</v>
      </c>
      <c r="AN428">
        <v>1</v>
      </c>
      <c r="AO428">
        <v>344</v>
      </c>
    </row>
    <row r="429" spans="13:43">
      <c r="M429">
        <v>2</v>
      </c>
      <c r="N429">
        <v>10</v>
      </c>
      <c r="P429">
        <v>4</v>
      </c>
      <c r="AJ429">
        <v>5</v>
      </c>
      <c r="AN429">
        <v>1</v>
      </c>
      <c r="AO429">
        <v>345</v>
      </c>
    </row>
    <row r="430" spans="13:43">
      <c r="M430">
        <v>2</v>
      </c>
      <c r="N430">
        <v>12</v>
      </c>
      <c r="P430">
        <v>4</v>
      </c>
      <c r="AJ430">
        <v>5</v>
      </c>
      <c r="AN430">
        <v>1</v>
      </c>
      <c r="AO430">
        <v>346</v>
      </c>
    </row>
    <row r="431" spans="13:43">
      <c r="M431">
        <v>2</v>
      </c>
      <c r="N431">
        <v>11</v>
      </c>
      <c r="P431">
        <v>4</v>
      </c>
      <c r="AJ431">
        <v>5</v>
      </c>
      <c r="AN431">
        <v>1</v>
      </c>
      <c r="AO431">
        <v>347</v>
      </c>
    </row>
    <row r="432" spans="13:43">
      <c r="M432">
        <v>2</v>
      </c>
      <c r="N432">
        <v>11</v>
      </c>
      <c r="P432">
        <v>4</v>
      </c>
      <c r="AJ432">
        <v>5</v>
      </c>
      <c r="AN432">
        <v>1</v>
      </c>
      <c r="AO432">
        <v>348</v>
      </c>
    </row>
    <row r="433" spans="13:41">
      <c r="M433">
        <v>2</v>
      </c>
      <c r="N433">
        <v>12</v>
      </c>
      <c r="P433">
        <v>4</v>
      </c>
      <c r="AJ433">
        <v>5</v>
      </c>
      <c r="AN433">
        <v>1</v>
      </c>
      <c r="AO433">
        <v>349</v>
      </c>
    </row>
    <row r="434" spans="13:41">
      <c r="M434">
        <v>2</v>
      </c>
      <c r="N434">
        <v>12</v>
      </c>
      <c r="P434">
        <v>4</v>
      </c>
      <c r="AJ434">
        <v>5</v>
      </c>
      <c r="AN434">
        <v>1</v>
      </c>
      <c r="AO434">
        <v>350</v>
      </c>
    </row>
    <row r="435" spans="13:41">
      <c r="M435">
        <v>2</v>
      </c>
      <c r="N435">
        <v>11</v>
      </c>
      <c r="P435">
        <v>4</v>
      </c>
      <c r="AJ435">
        <v>5</v>
      </c>
      <c r="AN435">
        <v>1</v>
      </c>
      <c r="AO435">
        <v>351</v>
      </c>
    </row>
    <row r="436" spans="13:41">
      <c r="M436">
        <v>2</v>
      </c>
      <c r="N436">
        <v>11</v>
      </c>
      <c r="P436">
        <v>4</v>
      </c>
      <c r="AJ436">
        <v>5</v>
      </c>
      <c r="AN436">
        <v>1</v>
      </c>
      <c r="AO436">
        <v>352</v>
      </c>
    </row>
    <row r="437" spans="13:41">
      <c r="M437">
        <v>2</v>
      </c>
      <c r="N437">
        <v>12</v>
      </c>
      <c r="P437">
        <v>4</v>
      </c>
      <c r="AJ437">
        <v>5</v>
      </c>
      <c r="AN437">
        <v>1</v>
      </c>
      <c r="AO437">
        <v>353</v>
      </c>
    </row>
    <row r="438" spans="13:41">
      <c r="M438">
        <v>2</v>
      </c>
      <c r="N438">
        <v>11</v>
      </c>
      <c r="P438">
        <v>4</v>
      </c>
      <c r="AJ438">
        <v>5</v>
      </c>
      <c r="AN438">
        <v>1</v>
      </c>
      <c r="AO438">
        <v>354</v>
      </c>
    </row>
    <row r="439" spans="13:41">
      <c r="M439">
        <v>2</v>
      </c>
      <c r="N439">
        <v>10</v>
      </c>
      <c r="P439">
        <v>4</v>
      </c>
      <c r="AJ439">
        <v>5</v>
      </c>
      <c r="AN439">
        <v>1</v>
      </c>
      <c r="AO439">
        <v>355</v>
      </c>
    </row>
    <row r="440" spans="13:41">
      <c r="M440">
        <v>2</v>
      </c>
      <c r="N440">
        <v>10</v>
      </c>
      <c r="P440">
        <v>4</v>
      </c>
      <c r="AJ440">
        <v>5</v>
      </c>
      <c r="AN440">
        <v>1</v>
      </c>
      <c r="AO440">
        <v>356</v>
      </c>
    </row>
    <row r="441" spans="13:41">
      <c r="M441">
        <v>2</v>
      </c>
      <c r="N441">
        <v>11</v>
      </c>
      <c r="P441">
        <v>4</v>
      </c>
      <c r="AJ441">
        <v>5</v>
      </c>
      <c r="AN441">
        <v>1</v>
      </c>
      <c r="AO441">
        <v>357</v>
      </c>
    </row>
    <row r="442" spans="13:41">
      <c r="M442">
        <v>2</v>
      </c>
      <c r="N442">
        <v>11</v>
      </c>
      <c r="P442">
        <v>4</v>
      </c>
      <c r="AJ442">
        <v>5</v>
      </c>
      <c r="AN442">
        <v>1</v>
      </c>
      <c r="AO442">
        <v>358</v>
      </c>
    </row>
    <row r="443" spans="13:41">
      <c r="M443">
        <v>2</v>
      </c>
      <c r="N443">
        <v>10</v>
      </c>
      <c r="P443">
        <v>4</v>
      </c>
      <c r="AJ443">
        <v>5</v>
      </c>
      <c r="AN443">
        <v>1</v>
      </c>
      <c r="AO443">
        <v>359</v>
      </c>
    </row>
    <row r="444" spans="13:41">
      <c r="M444">
        <v>2</v>
      </c>
      <c r="N444">
        <v>10</v>
      </c>
      <c r="P444">
        <v>4</v>
      </c>
      <c r="AJ444">
        <v>5</v>
      </c>
      <c r="AN444">
        <v>1</v>
      </c>
      <c r="AO444">
        <v>360</v>
      </c>
    </row>
    <row r="445" spans="13:41">
      <c r="M445">
        <v>2</v>
      </c>
      <c r="N445">
        <v>11</v>
      </c>
      <c r="P445">
        <v>4</v>
      </c>
      <c r="AJ445">
        <v>5</v>
      </c>
      <c r="AN445">
        <v>1</v>
      </c>
      <c r="AO445">
        <v>361</v>
      </c>
    </row>
    <row r="446" spans="13:41">
      <c r="M446">
        <v>2</v>
      </c>
      <c r="N446">
        <v>10</v>
      </c>
      <c r="P446">
        <v>4</v>
      </c>
      <c r="AJ446">
        <v>5</v>
      </c>
      <c r="AN446">
        <v>1</v>
      </c>
      <c r="AO446">
        <v>362</v>
      </c>
    </row>
    <row r="447" spans="13:41">
      <c r="M447">
        <v>2</v>
      </c>
      <c r="N447">
        <v>9</v>
      </c>
      <c r="P447">
        <v>4</v>
      </c>
      <c r="AJ447">
        <v>5</v>
      </c>
      <c r="AN447">
        <v>1</v>
      </c>
      <c r="AO447">
        <v>363</v>
      </c>
    </row>
    <row r="448" spans="13:41">
      <c r="M448">
        <v>2</v>
      </c>
      <c r="N448">
        <v>9</v>
      </c>
      <c r="P448">
        <v>4</v>
      </c>
      <c r="AJ448">
        <v>5</v>
      </c>
      <c r="AN448">
        <v>1</v>
      </c>
      <c r="AO448">
        <v>364</v>
      </c>
    </row>
    <row r="449" spans="13:41">
      <c r="M449">
        <v>2</v>
      </c>
      <c r="N449">
        <v>10</v>
      </c>
      <c r="P449">
        <v>4</v>
      </c>
      <c r="AJ449">
        <v>5</v>
      </c>
      <c r="AN449">
        <v>1</v>
      </c>
      <c r="AO449">
        <v>365</v>
      </c>
    </row>
    <row r="450" spans="13:41">
      <c r="M450">
        <v>2</v>
      </c>
      <c r="N450">
        <v>10</v>
      </c>
      <c r="P450">
        <v>4</v>
      </c>
      <c r="AJ450">
        <v>5</v>
      </c>
      <c r="AN450">
        <v>1</v>
      </c>
      <c r="AO450">
        <v>366</v>
      </c>
    </row>
    <row r="451" spans="13:41">
      <c r="M451">
        <v>2</v>
      </c>
      <c r="N451">
        <v>9</v>
      </c>
      <c r="P451">
        <v>4</v>
      </c>
      <c r="AJ451">
        <v>5</v>
      </c>
      <c r="AN451">
        <v>1</v>
      </c>
      <c r="AO451">
        <v>367</v>
      </c>
    </row>
    <row r="452" spans="13:41">
      <c r="M452">
        <v>2</v>
      </c>
      <c r="N452">
        <v>9</v>
      </c>
      <c r="P452">
        <v>4</v>
      </c>
      <c r="AJ452">
        <v>5</v>
      </c>
      <c r="AN452">
        <v>1</v>
      </c>
      <c r="AO452">
        <v>368</v>
      </c>
    </row>
    <row r="453" spans="13:41">
      <c r="M453">
        <v>2</v>
      </c>
      <c r="N453">
        <v>10</v>
      </c>
      <c r="P453">
        <v>4</v>
      </c>
      <c r="AJ453">
        <v>5</v>
      </c>
      <c r="AN453">
        <v>1</v>
      </c>
      <c r="AO453">
        <v>369</v>
      </c>
    </row>
    <row r="454" spans="13:41">
      <c r="M454">
        <v>2</v>
      </c>
      <c r="N454">
        <v>9</v>
      </c>
      <c r="P454">
        <v>4</v>
      </c>
      <c r="AJ454">
        <v>5</v>
      </c>
      <c r="AN454">
        <v>1</v>
      </c>
      <c r="AO454">
        <v>370</v>
      </c>
    </row>
    <row r="455" spans="13:41">
      <c r="M455">
        <v>2</v>
      </c>
      <c r="N455">
        <v>8</v>
      </c>
      <c r="P455">
        <v>4</v>
      </c>
      <c r="AJ455">
        <v>5</v>
      </c>
      <c r="AN455">
        <v>1</v>
      </c>
      <c r="AO455">
        <v>371</v>
      </c>
    </row>
    <row r="456" spans="13:41">
      <c r="M456">
        <v>2</v>
      </c>
      <c r="N456">
        <v>8</v>
      </c>
      <c r="P456">
        <v>4</v>
      </c>
      <c r="AJ456">
        <v>5</v>
      </c>
      <c r="AN456">
        <v>1</v>
      </c>
      <c r="AO456">
        <v>372</v>
      </c>
    </row>
    <row r="457" spans="13:41">
      <c r="M457">
        <v>2</v>
      </c>
      <c r="N457">
        <v>9</v>
      </c>
      <c r="P457">
        <v>4</v>
      </c>
      <c r="AJ457">
        <v>5</v>
      </c>
      <c r="AN457">
        <v>1</v>
      </c>
      <c r="AO457">
        <v>373</v>
      </c>
    </row>
    <row r="458" spans="13:41">
      <c r="M458">
        <v>2</v>
      </c>
      <c r="N458">
        <v>9</v>
      </c>
      <c r="P458">
        <v>4</v>
      </c>
      <c r="AJ458">
        <v>5</v>
      </c>
      <c r="AN458">
        <v>1</v>
      </c>
      <c r="AO458">
        <v>374</v>
      </c>
    </row>
    <row r="459" spans="13:41">
      <c r="M459">
        <v>2</v>
      </c>
      <c r="N459">
        <v>8</v>
      </c>
      <c r="P459">
        <v>4</v>
      </c>
      <c r="AJ459">
        <v>5</v>
      </c>
      <c r="AN459">
        <v>1</v>
      </c>
      <c r="AO459">
        <v>375</v>
      </c>
    </row>
    <row r="460" spans="13:41">
      <c r="M460">
        <v>2</v>
      </c>
      <c r="N460">
        <v>8</v>
      </c>
      <c r="P460">
        <v>4</v>
      </c>
      <c r="AJ460">
        <v>5</v>
      </c>
      <c r="AN460">
        <v>1</v>
      </c>
      <c r="AO460">
        <v>376</v>
      </c>
    </row>
    <row r="461" spans="13:41">
      <c r="M461">
        <v>2</v>
      </c>
      <c r="N461">
        <v>9</v>
      </c>
      <c r="P461">
        <v>4</v>
      </c>
      <c r="AJ461">
        <v>5</v>
      </c>
      <c r="AN461">
        <v>1</v>
      </c>
      <c r="AO461">
        <v>377</v>
      </c>
    </row>
    <row r="462" spans="13:41">
      <c r="M462">
        <v>1</v>
      </c>
      <c r="N462">
        <v>2</v>
      </c>
      <c r="P462">
        <v>4</v>
      </c>
      <c r="AJ462">
        <v>2</v>
      </c>
      <c r="AO462">
        <v>378</v>
      </c>
    </row>
    <row r="463" spans="13:41">
      <c r="M463">
        <v>1</v>
      </c>
      <c r="N463">
        <v>2</v>
      </c>
      <c r="P463">
        <v>4</v>
      </c>
      <c r="AJ463">
        <v>2</v>
      </c>
      <c r="AO463">
        <v>379</v>
      </c>
    </row>
    <row r="464" spans="13:41">
      <c r="M464">
        <v>1</v>
      </c>
      <c r="N464">
        <v>2</v>
      </c>
      <c r="P464">
        <v>4</v>
      </c>
      <c r="AJ464">
        <v>2</v>
      </c>
      <c r="AO464">
        <v>380</v>
      </c>
    </row>
    <row r="465" spans="1:43">
      <c r="M465">
        <v>1</v>
      </c>
      <c r="N465">
        <v>2</v>
      </c>
      <c r="P465">
        <v>4</v>
      </c>
      <c r="AJ465">
        <v>2</v>
      </c>
      <c r="AO465">
        <v>381</v>
      </c>
    </row>
    <row r="466" spans="1:43">
      <c r="M466">
        <v>1</v>
      </c>
      <c r="N466">
        <v>1</v>
      </c>
      <c r="P466">
        <v>4</v>
      </c>
      <c r="AJ466">
        <v>4</v>
      </c>
      <c r="AO466">
        <v>382</v>
      </c>
    </row>
    <row r="468" spans="1:43">
      <c r="A468">
        <v>-3</v>
      </c>
      <c r="B468">
        <v>4</v>
      </c>
      <c r="C468">
        <v>1.5</v>
      </c>
      <c r="D468">
        <v>3</v>
      </c>
      <c r="E468">
        <v>4</v>
      </c>
      <c r="F468">
        <v>1.5</v>
      </c>
      <c r="G468">
        <v>3</v>
      </c>
      <c r="H468">
        <v>-3</v>
      </c>
      <c r="I468">
        <v>1.5</v>
      </c>
      <c r="J468">
        <v>-3</v>
      </c>
      <c r="K468">
        <v>-3</v>
      </c>
      <c r="L468">
        <v>1.5</v>
      </c>
      <c r="M468">
        <v>2</v>
      </c>
      <c r="N468">
        <v>11</v>
      </c>
      <c r="P468">
        <v>2</v>
      </c>
      <c r="S468">
        <v>2</v>
      </c>
      <c r="U468">
        <v>160</v>
      </c>
      <c r="X468">
        <v>99</v>
      </c>
      <c r="Y468">
        <v>24</v>
      </c>
      <c r="AA468">
        <v>8</v>
      </c>
      <c r="AB468">
        <v>8</v>
      </c>
      <c r="AH468">
        <v>206</v>
      </c>
      <c r="AI468">
        <v>32</v>
      </c>
      <c r="AK468">
        <v>1</v>
      </c>
      <c r="AP468">
        <v>34</v>
      </c>
      <c r="AQ468" t="s">
        <v>1029</v>
      </c>
    </row>
    <row r="469" spans="1:43">
      <c r="A469">
        <v>3</v>
      </c>
      <c r="B469">
        <v>4</v>
      </c>
      <c r="C469">
        <v>1.5</v>
      </c>
      <c r="D469">
        <v>3</v>
      </c>
      <c r="E469">
        <v>4</v>
      </c>
      <c r="F469">
        <v>-1.5</v>
      </c>
      <c r="G469">
        <v>3</v>
      </c>
      <c r="H469">
        <v>-3</v>
      </c>
      <c r="I469">
        <v>-1.5</v>
      </c>
      <c r="J469">
        <v>3</v>
      </c>
      <c r="K469">
        <v>-3</v>
      </c>
      <c r="L469">
        <v>1.5</v>
      </c>
      <c r="M469">
        <v>2</v>
      </c>
      <c r="N469">
        <v>11</v>
      </c>
      <c r="P469">
        <v>2</v>
      </c>
      <c r="AH469">
        <v>206</v>
      </c>
      <c r="AI469">
        <v>32</v>
      </c>
      <c r="AK469">
        <v>1</v>
      </c>
    </row>
    <row r="470" spans="1:43">
      <c r="A470">
        <v>3</v>
      </c>
      <c r="B470">
        <v>4</v>
      </c>
      <c r="C470">
        <v>-1.5</v>
      </c>
      <c r="D470">
        <v>-3</v>
      </c>
      <c r="E470">
        <v>4</v>
      </c>
      <c r="F470">
        <v>-1.5</v>
      </c>
      <c r="G470">
        <v>-3</v>
      </c>
      <c r="H470">
        <v>-3</v>
      </c>
      <c r="I470">
        <v>-1.5</v>
      </c>
      <c r="J470">
        <v>3</v>
      </c>
      <c r="K470">
        <v>-3</v>
      </c>
      <c r="L470">
        <v>-1.5</v>
      </c>
      <c r="M470">
        <v>2</v>
      </c>
      <c r="N470">
        <v>11</v>
      </c>
      <c r="P470">
        <v>2</v>
      </c>
      <c r="AH470">
        <v>206</v>
      </c>
      <c r="AI470">
        <v>32</v>
      </c>
      <c r="AK470">
        <v>1</v>
      </c>
    </row>
    <row r="471" spans="1:43">
      <c r="A471">
        <v>-3</v>
      </c>
      <c r="B471">
        <v>4</v>
      </c>
      <c r="C471">
        <v>-1.5</v>
      </c>
      <c r="D471">
        <v>-3</v>
      </c>
      <c r="E471">
        <v>4</v>
      </c>
      <c r="F471">
        <v>1.5</v>
      </c>
      <c r="G471">
        <v>-3</v>
      </c>
      <c r="H471">
        <v>-3</v>
      </c>
      <c r="I471">
        <v>1.5</v>
      </c>
      <c r="J471">
        <v>-3</v>
      </c>
      <c r="K471">
        <v>-3</v>
      </c>
      <c r="L471">
        <v>-1.5</v>
      </c>
      <c r="M471">
        <v>2</v>
      </c>
      <c r="N471">
        <v>10</v>
      </c>
      <c r="P471">
        <v>2</v>
      </c>
      <c r="AH471">
        <v>206</v>
      </c>
      <c r="AI471">
        <v>32</v>
      </c>
      <c r="AK471">
        <v>1</v>
      </c>
    </row>
    <row r="472" spans="1:43">
      <c r="A472">
        <v>-3</v>
      </c>
      <c r="B472">
        <v>4</v>
      </c>
      <c r="C472">
        <v>-1.5</v>
      </c>
      <c r="D472">
        <v>3</v>
      </c>
      <c r="E472">
        <v>4</v>
      </c>
      <c r="F472">
        <v>-1.5</v>
      </c>
      <c r="G472">
        <v>3</v>
      </c>
      <c r="H472">
        <v>4</v>
      </c>
      <c r="I472">
        <v>1.5</v>
      </c>
      <c r="J472">
        <v>-3</v>
      </c>
      <c r="K472">
        <v>4</v>
      </c>
      <c r="L472">
        <v>1.5</v>
      </c>
      <c r="M472">
        <v>2</v>
      </c>
      <c r="N472">
        <v>11</v>
      </c>
      <c r="P472">
        <v>2</v>
      </c>
      <c r="AH472">
        <v>206</v>
      </c>
      <c r="AI472">
        <v>15</v>
      </c>
      <c r="AK472">
        <v>1</v>
      </c>
    </row>
    <row r="473" spans="1:43">
      <c r="A473">
        <v>-3</v>
      </c>
      <c r="B473">
        <v>-3</v>
      </c>
      <c r="C473">
        <v>1.5</v>
      </c>
      <c r="D473">
        <v>3</v>
      </c>
      <c r="E473">
        <v>-3</v>
      </c>
      <c r="F473">
        <v>1.5</v>
      </c>
      <c r="G473">
        <v>3</v>
      </c>
      <c r="H473">
        <v>-3</v>
      </c>
      <c r="I473">
        <v>-1.5</v>
      </c>
      <c r="J473">
        <v>-3</v>
      </c>
      <c r="K473">
        <v>-3</v>
      </c>
      <c r="L473">
        <v>-1.5</v>
      </c>
      <c r="M473">
        <v>5</v>
      </c>
      <c r="N473">
        <v>4</v>
      </c>
      <c r="P473">
        <v>2</v>
      </c>
      <c r="AK473">
        <v>1</v>
      </c>
    </row>
    <row r="474" spans="1:43">
      <c r="A474">
        <v>-0.1</v>
      </c>
      <c r="B474">
        <v>0.2</v>
      </c>
      <c r="C474">
        <v>1.55</v>
      </c>
      <c r="D474">
        <v>0.1</v>
      </c>
      <c r="E474">
        <v>0.2</v>
      </c>
      <c r="F474">
        <v>1.55</v>
      </c>
      <c r="G474">
        <v>0.1</v>
      </c>
      <c r="H474">
        <v>-0.8</v>
      </c>
      <c r="I474">
        <v>1.55</v>
      </c>
      <c r="J474">
        <v>-0.1</v>
      </c>
      <c r="K474">
        <v>-0.8</v>
      </c>
      <c r="L474">
        <v>1.55</v>
      </c>
      <c r="M474">
        <v>2</v>
      </c>
      <c r="N474">
        <v>5</v>
      </c>
      <c r="P474">
        <v>2</v>
      </c>
      <c r="AK474">
        <v>1</v>
      </c>
    </row>
    <row r="475" spans="1:43">
      <c r="A475">
        <v>-0.5</v>
      </c>
      <c r="B475">
        <v>-0.1</v>
      </c>
      <c r="C475">
        <v>1.55</v>
      </c>
      <c r="D475">
        <v>0.5</v>
      </c>
      <c r="E475">
        <v>-0.1</v>
      </c>
      <c r="F475">
        <v>1.55</v>
      </c>
      <c r="G475">
        <v>0.5</v>
      </c>
      <c r="H475">
        <v>-0.3</v>
      </c>
      <c r="I475">
        <v>1.55</v>
      </c>
      <c r="J475">
        <v>-0.5</v>
      </c>
      <c r="K475">
        <v>-0.3</v>
      </c>
      <c r="L475">
        <v>1.55</v>
      </c>
      <c r="M475">
        <v>2</v>
      </c>
      <c r="N475">
        <v>5</v>
      </c>
      <c r="P475">
        <v>2</v>
      </c>
      <c r="AK475">
        <v>1</v>
      </c>
    </row>
    <row r="477" spans="1:43">
      <c r="A477">
        <v>-1</v>
      </c>
      <c r="C477">
        <v>-0.75</v>
      </c>
      <c r="F477">
        <v>1.2</v>
      </c>
      <c r="G477">
        <v>1</v>
      </c>
      <c r="I477">
        <v>-0.75</v>
      </c>
      <c r="L477">
        <v>-0.75</v>
      </c>
      <c r="M477">
        <v>5</v>
      </c>
      <c r="N477">
        <v>12</v>
      </c>
      <c r="P477">
        <v>12</v>
      </c>
      <c r="S477">
        <v>13</v>
      </c>
      <c r="U477">
        <v>200</v>
      </c>
      <c r="AJ477">
        <v>2</v>
      </c>
      <c r="AP477">
        <v>35</v>
      </c>
      <c r="AQ477" t="s">
        <v>1030</v>
      </c>
    </row>
    <row r="478" spans="1:43">
      <c r="A478">
        <v>-1</v>
      </c>
      <c r="C478">
        <v>-0.75</v>
      </c>
      <c r="D478">
        <v>-1</v>
      </c>
      <c r="E478">
        <v>0.5</v>
      </c>
      <c r="F478">
        <v>-0.75</v>
      </c>
      <c r="H478">
        <v>0.5</v>
      </c>
      <c r="I478">
        <v>1.2</v>
      </c>
      <c r="L478">
        <v>1.2</v>
      </c>
      <c r="M478">
        <v>1</v>
      </c>
      <c r="N478">
        <v>7</v>
      </c>
      <c r="P478">
        <v>12</v>
      </c>
      <c r="AJ478">
        <v>1</v>
      </c>
      <c r="AK478">
        <v>1</v>
      </c>
    </row>
    <row r="479" spans="1:43">
      <c r="C479">
        <v>1.2</v>
      </c>
      <c r="E479">
        <v>0.5</v>
      </c>
      <c r="F479">
        <v>1.2</v>
      </c>
      <c r="G479">
        <v>1</v>
      </c>
      <c r="H479">
        <v>0.5</v>
      </c>
      <c r="I479">
        <v>-0.75</v>
      </c>
      <c r="J479">
        <v>1</v>
      </c>
      <c r="L479">
        <v>-0.75</v>
      </c>
      <c r="M479">
        <v>1</v>
      </c>
      <c r="N479">
        <v>6</v>
      </c>
      <c r="P479">
        <v>12</v>
      </c>
      <c r="AJ479">
        <v>1</v>
      </c>
      <c r="AK479">
        <v>1</v>
      </c>
    </row>
    <row r="480" spans="1:43">
      <c r="A480">
        <v>1</v>
      </c>
      <c r="C480">
        <v>-0.75</v>
      </c>
      <c r="D480">
        <v>1</v>
      </c>
      <c r="E480">
        <v>0.5</v>
      </c>
      <c r="F480">
        <v>-0.75</v>
      </c>
      <c r="G480">
        <v>-1</v>
      </c>
      <c r="H480">
        <v>0.5</v>
      </c>
      <c r="I480">
        <v>-0.75</v>
      </c>
      <c r="J480">
        <v>-1</v>
      </c>
      <c r="L480">
        <v>-0.75</v>
      </c>
      <c r="M480">
        <v>1</v>
      </c>
      <c r="N480">
        <v>5</v>
      </c>
      <c r="P480">
        <v>12</v>
      </c>
      <c r="AJ480">
        <v>1</v>
      </c>
      <c r="AK480">
        <v>1</v>
      </c>
    </row>
    <row r="481" spans="1:43">
      <c r="A481">
        <v>-0.2</v>
      </c>
      <c r="B481">
        <v>0.4</v>
      </c>
      <c r="C481">
        <v>0.2</v>
      </c>
      <c r="D481">
        <v>-0.2</v>
      </c>
      <c r="E481">
        <v>2</v>
      </c>
      <c r="F481">
        <v>0.2</v>
      </c>
      <c r="G481">
        <v>0.2</v>
      </c>
      <c r="H481">
        <v>2</v>
      </c>
      <c r="I481">
        <v>0.2</v>
      </c>
      <c r="J481">
        <v>0.2</v>
      </c>
      <c r="K481">
        <v>0.4</v>
      </c>
      <c r="L481">
        <v>0.2</v>
      </c>
      <c r="M481">
        <v>1</v>
      </c>
      <c r="N481">
        <v>2</v>
      </c>
      <c r="P481">
        <v>12</v>
      </c>
      <c r="AJ481">
        <v>4</v>
      </c>
      <c r="AK481">
        <v>1</v>
      </c>
    </row>
    <row r="482" spans="1:43">
      <c r="A482">
        <v>0.2</v>
      </c>
      <c r="B482">
        <v>0.4</v>
      </c>
      <c r="C482">
        <v>0.2</v>
      </c>
      <c r="D482">
        <v>0.2</v>
      </c>
      <c r="E482">
        <v>2</v>
      </c>
      <c r="F482">
        <v>0.2</v>
      </c>
      <c r="G482">
        <v>0.2</v>
      </c>
      <c r="H482">
        <v>2</v>
      </c>
      <c r="I482">
        <v>-0.2</v>
      </c>
      <c r="J482">
        <v>0.2</v>
      </c>
      <c r="K482">
        <v>0.4</v>
      </c>
      <c r="L482">
        <v>-0.2</v>
      </c>
      <c r="M482">
        <v>1</v>
      </c>
      <c r="N482">
        <v>1</v>
      </c>
      <c r="P482">
        <v>12</v>
      </c>
      <c r="AJ482">
        <v>4</v>
      </c>
      <c r="AK482">
        <v>1</v>
      </c>
    </row>
    <row r="483" spans="1:43">
      <c r="A483">
        <v>0.2</v>
      </c>
      <c r="B483">
        <v>0.4</v>
      </c>
      <c r="C483">
        <v>-0.2</v>
      </c>
      <c r="D483">
        <v>0.2</v>
      </c>
      <c r="E483">
        <v>2</v>
      </c>
      <c r="F483">
        <v>-0.2</v>
      </c>
      <c r="G483">
        <v>-0.2</v>
      </c>
      <c r="H483">
        <v>2</v>
      </c>
      <c r="I483">
        <v>-0.2</v>
      </c>
      <c r="J483">
        <v>-0.2</v>
      </c>
      <c r="K483">
        <v>0.4</v>
      </c>
      <c r="L483">
        <v>-0.2</v>
      </c>
      <c r="M483">
        <v>1</v>
      </c>
      <c r="N483">
        <v>2</v>
      </c>
      <c r="P483">
        <v>12</v>
      </c>
      <c r="AJ483">
        <v>4</v>
      </c>
      <c r="AK483">
        <v>1</v>
      </c>
    </row>
    <row r="484" spans="1:43">
      <c r="A484">
        <v>-0.2</v>
      </c>
      <c r="B484">
        <v>0.4</v>
      </c>
      <c r="C484">
        <v>-0.2</v>
      </c>
      <c r="D484">
        <v>-0.2</v>
      </c>
      <c r="E484">
        <v>2</v>
      </c>
      <c r="F484">
        <v>-0.2</v>
      </c>
      <c r="G484">
        <v>-0.2</v>
      </c>
      <c r="H484">
        <v>2</v>
      </c>
      <c r="I484">
        <v>0.2</v>
      </c>
      <c r="J484">
        <v>-0.2</v>
      </c>
      <c r="K484">
        <v>0.4</v>
      </c>
      <c r="L484">
        <v>0.2</v>
      </c>
      <c r="M484">
        <v>1</v>
      </c>
      <c r="N484">
        <v>1</v>
      </c>
      <c r="P484">
        <v>12</v>
      </c>
      <c r="AJ484">
        <v>4</v>
      </c>
      <c r="AK484">
        <v>1</v>
      </c>
    </row>
    <row r="485" spans="1:43">
      <c r="A485">
        <v>-0.5</v>
      </c>
      <c r="B485">
        <v>2</v>
      </c>
      <c r="C485">
        <v>0.5</v>
      </c>
      <c r="D485">
        <v>0.5</v>
      </c>
      <c r="E485">
        <v>2</v>
      </c>
      <c r="F485">
        <v>0.5</v>
      </c>
      <c r="G485">
        <v>0.5</v>
      </c>
      <c r="H485">
        <v>2</v>
      </c>
      <c r="I485">
        <v>-0.5</v>
      </c>
      <c r="J485">
        <v>-0.5</v>
      </c>
      <c r="K485">
        <v>2</v>
      </c>
      <c r="L485">
        <v>-0.5</v>
      </c>
      <c r="M485">
        <v>1</v>
      </c>
      <c r="N485">
        <v>3</v>
      </c>
      <c r="AJ485">
        <v>2</v>
      </c>
      <c r="AK485">
        <v>1</v>
      </c>
    </row>
    <row r="486" spans="1:43">
      <c r="A486">
        <v>-4</v>
      </c>
      <c r="B486">
        <v>0.5</v>
      </c>
      <c r="C486">
        <v>1.75</v>
      </c>
      <c r="D486">
        <v>-0.7</v>
      </c>
      <c r="E486">
        <v>0.4</v>
      </c>
      <c r="F486">
        <v>0.2</v>
      </c>
      <c r="G486">
        <v>-0.4</v>
      </c>
      <c r="H486">
        <v>0.2</v>
      </c>
      <c r="I486">
        <v>0.6</v>
      </c>
      <c r="J486">
        <v>-4</v>
      </c>
      <c r="K486">
        <v>0.1</v>
      </c>
      <c r="L486">
        <v>3.2</v>
      </c>
      <c r="M486">
        <v>7</v>
      </c>
      <c r="N486">
        <v>8</v>
      </c>
      <c r="P486">
        <v>12</v>
      </c>
      <c r="AJ486">
        <v>2</v>
      </c>
    </row>
    <row r="487" spans="1:43">
      <c r="A487">
        <v>1</v>
      </c>
      <c r="B487">
        <v>0.5</v>
      </c>
      <c r="C487">
        <v>-4.5</v>
      </c>
      <c r="D487">
        <v>0.2</v>
      </c>
      <c r="E487">
        <v>0.4</v>
      </c>
      <c r="F487">
        <v>-0.75</v>
      </c>
      <c r="G487">
        <v>-0.2</v>
      </c>
      <c r="H487">
        <v>0.2</v>
      </c>
      <c r="I487">
        <v>-0.75</v>
      </c>
      <c r="J487">
        <v>-1</v>
      </c>
      <c r="K487">
        <v>0.1</v>
      </c>
      <c r="L487">
        <v>-5.0999999999999996</v>
      </c>
      <c r="M487">
        <v>7</v>
      </c>
      <c r="N487">
        <v>8</v>
      </c>
      <c r="P487">
        <v>12</v>
      </c>
      <c r="AJ487">
        <v>2</v>
      </c>
    </row>
    <row r="488" spans="1:43">
      <c r="A488">
        <v>3.5</v>
      </c>
      <c r="B488">
        <v>0.5</v>
      </c>
      <c r="C488">
        <v>3</v>
      </c>
      <c r="D488">
        <v>0.4</v>
      </c>
      <c r="E488">
        <v>0.4</v>
      </c>
      <c r="F488">
        <v>0.6</v>
      </c>
      <c r="G488">
        <v>0.7</v>
      </c>
      <c r="H488">
        <v>0.2</v>
      </c>
      <c r="I488">
        <v>0.2</v>
      </c>
      <c r="J488">
        <v>4.5</v>
      </c>
      <c r="K488">
        <v>0.1</v>
      </c>
      <c r="L488">
        <v>2</v>
      </c>
      <c r="M488">
        <v>7</v>
      </c>
      <c r="N488">
        <v>8</v>
      </c>
      <c r="P488">
        <v>12</v>
      </c>
      <c r="AJ488">
        <v>2</v>
      </c>
    </row>
    <row r="490" spans="1:43">
      <c r="A490">
        <v>-128</v>
      </c>
      <c r="B490">
        <v>90</v>
      </c>
      <c r="C490">
        <v>128</v>
      </c>
      <c r="D490">
        <v>-128</v>
      </c>
      <c r="E490">
        <v>500</v>
      </c>
      <c r="F490">
        <v>128</v>
      </c>
      <c r="G490">
        <v>128</v>
      </c>
      <c r="H490">
        <v>500</v>
      </c>
      <c r="I490">
        <v>128</v>
      </c>
      <c r="J490">
        <v>128</v>
      </c>
      <c r="K490">
        <v>90</v>
      </c>
      <c r="L490">
        <v>128</v>
      </c>
      <c r="M490">
        <v>1</v>
      </c>
      <c r="N490">
        <v>12</v>
      </c>
      <c r="S490">
        <v>0</v>
      </c>
      <c r="U490">
        <v>400</v>
      </c>
      <c r="AG490">
        <v>331</v>
      </c>
      <c r="AH490">
        <v>216</v>
      </c>
      <c r="AI490">
        <v>19</v>
      </c>
      <c r="AK490">
        <v>1</v>
      </c>
      <c r="AP490">
        <v>36</v>
      </c>
      <c r="AQ490" t="s">
        <v>1031</v>
      </c>
    </row>
    <row r="491" spans="1:43">
      <c r="A491">
        <v>128</v>
      </c>
      <c r="B491">
        <v>500</v>
      </c>
      <c r="C491">
        <v>128</v>
      </c>
      <c r="D491">
        <v>128</v>
      </c>
      <c r="E491">
        <v>500</v>
      </c>
      <c r="F491">
        <v>-128</v>
      </c>
      <c r="G491">
        <v>128</v>
      </c>
      <c r="H491">
        <v>90</v>
      </c>
      <c r="I491">
        <v>-128</v>
      </c>
      <c r="J491">
        <v>128</v>
      </c>
      <c r="K491">
        <v>90</v>
      </c>
      <c r="L491">
        <v>128</v>
      </c>
      <c r="M491">
        <v>1</v>
      </c>
      <c r="N491">
        <v>12</v>
      </c>
      <c r="AH491">
        <v>216</v>
      </c>
      <c r="AI491">
        <v>19</v>
      </c>
      <c r="AK491">
        <v>1</v>
      </c>
    </row>
    <row r="492" spans="1:43">
      <c r="A492">
        <v>128</v>
      </c>
      <c r="B492">
        <v>90</v>
      </c>
      <c r="C492">
        <v>-128</v>
      </c>
      <c r="D492">
        <v>128</v>
      </c>
      <c r="E492">
        <v>500</v>
      </c>
      <c r="F492">
        <v>-128</v>
      </c>
      <c r="G492">
        <v>-128</v>
      </c>
      <c r="H492">
        <v>500</v>
      </c>
      <c r="I492">
        <v>-128</v>
      </c>
      <c r="J492">
        <v>-128</v>
      </c>
      <c r="K492">
        <v>90</v>
      </c>
      <c r="L492">
        <v>-128</v>
      </c>
      <c r="M492">
        <v>1</v>
      </c>
      <c r="N492">
        <v>12</v>
      </c>
      <c r="AH492">
        <v>216</v>
      </c>
      <c r="AI492">
        <v>19</v>
      </c>
      <c r="AK492">
        <v>1</v>
      </c>
    </row>
    <row r="493" spans="1:43">
      <c r="A493">
        <v>-128</v>
      </c>
      <c r="B493">
        <v>90</v>
      </c>
      <c r="C493">
        <v>-128</v>
      </c>
      <c r="D493">
        <v>-128</v>
      </c>
      <c r="E493">
        <v>500</v>
      </c>
      <c r="F493">
        <v>-128</v>
      </c>
      <c r="G493">
        <v>-128</v>
      </c>
      <c r="H493">
        <v>500</v>
      </c>
      <c r="I493">
        <v>128</v>
      </c>
      <c r="J493">
        <v>-128</v>
      </c>
      <c r="K493">
        <v>90</v>
      </c>
      <c r="L493">
        <v>128</v>
      </c>
      <c r="M493">
        <v>1</v>
      </c>
      <c r="N493">
        <v>12</v>
      </c>
      <c r="AH493">
        <v>216</v>
      </c>
      <c r="AI493">
        <v>19</v>
      </c>
      <c r="AK493">
        <v>1</v>
      </c>
    </row>
    <row r="494" spans="1:43">
      <c r="A494">
        <v>-96</v>
      </c>
      <c r="B494">
        <v>500</v>
      </c>
      <c r="C494">
        <v>96</v>
      </c>
      <c r="D494">
        <v>-96</v>
      </c>
      <c r="E494">
        <v>1000</v>
      </c>
      <c r="F494">
        <v>96</v>
      </c>
      <c r="G494">
        <v>96</v>
      </c>
      <c r="H494">
        <v>1000</v>
      </c>
      <c r="I494">
        <v>96</v>
      </c>
      <c r="J494">
        <v>96</v>
      </c>
      <c r="K494">
        <v>500</v>
      </c>
      <c r="L494">
        <v>96</v>
      </c>
      <c r="M494">
        <v>1</v>
      </c>
      <c r="N494">
        <v>12</v>
      </c>
      <c r="AK494">
        <v>1</v>
      </c>
    </row>
    <row r="495" spans="1:43">
      <c r="A495">
        <v>96</v>
      </c>
      <c r="B495">
        <v>1000</v>
      </c>
      <c r="C495">
        <v>96</v>
      </c>
      <c r="D495">
        <v>96</v>
      </c>
      <c r="E495">
        <v>1000</v>
      </c>
      <c r="F495">
        <v>-96</v>
      </c>
      <c r="G495">
        <v>96</v>
      </c>
      <c r="H495">
        <v>500</v>
      </c>
      <c r="I495">
        <v>-96</v>
      </c>
      <c r="J495">
        <v>96</v>
      </c>
      <c r="K495">
        <v>500</v>
      </c>
      <c r="L495">
        <v>96</v>
      </c>
      <c r="M495">
        <v>1</v>
      </c>
      <c r="N495">
        <v>12</v>
      </c>
      <c r="AK495">
        <v>1</v>
      </c>
    </row>
    <row r="496" spans="1:43">
      <c r="A496">
        <v>96</v>
      </c>
      <c r="B496">
        <v>500</v>
      </c>
      <c r="C496">
        <v>-96</v>
      </c>
      <c r="D496">
        <v>96</v>
      </c>
      <c r="E496">
        <v>1000</v>
      </c>
      <c r="F496">
        <v>-96</v>
      </c>
      <c r="G496">
        <v>-96</v>
      </c>
      <c r="H496">
        <v>1000</v>
      </c>
      <c r="I496">
        <v>-96</v>
      </c>
      <c r="J496">
        <v>-96</v>
      </c>
      <c r="K496">
        <v>500</v>
      </c>
      <c r="L496">
        <v>-96</v>
      </c>
      <c r="M496">
        <v>1</v>
      </c>
      <c r="N496">
        <v>12</v>
      </c>
      <c r="AK496">
        <v>1</v>
      </c>
    </row>
    <row r="497" spans="1:43">
      <c r="A497">
        <v>-96</v>
      </c>
      <c r="B497">
        <v>500</v>
      </c>
      <c r="C497">
        <v>-96</v>
      </c>
      <c r="D497">
        <v>-96</v>
      </c>
      <c r="E497">
        <v>1000</v>
      </c>
      <c r="F497">
        <v>-96</v>
      </c>
      <c r="G497">
        <v>-96</v>
      </c>
      <c r="H497">
        <v>1000</v>
      </c>
      <c r="I497">
        <v>96</v>
      </c>
      <c r="J497">
        <v>-96</v>
      </c>
      <c r="K497">
        <v>500</v>
      </c>
      <c r="L497">
        <v>96</v>
      </c>
      <c r="M497">
        <v>1</v>
      </c>
      <c r="N497">
        <v>12</v>
      </c>
      <c r="AK497">
        <v>1</v>
      </c>
    </row>
    <row r="498" spans="1:43">
      <c r="A498">
        <v>-64</v>
      </c>
      <c r="B498">
        <v>1000</v>
      </c>
      <c r="C498">
        <v>64</v>
      </c>
      <c r="D498">
        <v>-64</v>
      </c>
      <c r="E498">
        <v>1500</v>
      </c>
      <c r="F498">
        <v>64</v>
      </c>
      <c r="G498">
        <v>64</v>
      </c>
      <c r="H498">
        <v>1500</v>
      </c>
      <c r="I498">
        <v>64</v>
      </c>
      <c r="J498">
        <v>64</v>
      </c>
      <c r="K498">
        <v>1000</v>
      </c>
      <c r="L498">
        <v>64</v>
      </c>
      <c r="M498">
        <v>1</v>
      </c>
      <c r="N498">
        <v>12</v>
      </c>
      <c r="AK498">
        <v>1</v>
      </c>
    </row>
    <row r="499" spans="1:43">
      <c r="A499">
        <v>64</v>
      </c>
      <c r="B499">
        <v>1500</v>
      </c>
      <c r="C499">
        <v>64</v>
      </c>
      <c r="D499">
        <v>64</v>
      </c>
      <c r="E499">
        <v>1500</v>
      </c>
      <c r="F499">
        <v>-64</v>
      </c>
      <c r="G499">
        <v>64</v>
      </c>
      <c r="H499">
        <v>1000</v>
      </c>
      <c r="I499">
        <v>-64</v>
      </c>
      <c r="J499">
        <v>64</v>
      </c>
      <c r="K499">
        <v>1000</v>
      </c>
      <c r="L499">
        <v>64</v>
      </c>
      <c r="M499">
        <v>1</v>
      </c>
      <c r="N499">
        <v>12</v>
      </c>
      <c r="AK499">
        <v>1</v>
      </c>
    </row>
    <row r="500" spans="1:43">
      <c r="A500">
        <v>64</v>
      </c>
      <c r="B500">
        <v>1000</v>
      </c>
      <c r="C500">
        <v>-64</v>
      </c>
      <c r="D500">
        <v>64</v>
      </c>
      <c r="E500">
        <v>1500</v>
      </c>
      <c r="F500">
        <v>-64</v>
      </c>
      <c r="G500">
        <v>-64</v>
      </c>
      <c r="H500">
        <v>1500</v>
      </c>
      <c r="I500">
        <v>-64</v>
      </c>
      <c r="J500">
        <v>-64</v>
      </c>
      <c r="K500">
        <v>1000</v>
      </c>
      <c r="L500">
        <v>-64</v>
      </c>
      <c r="M500">
        <v>1</v>
      </c>
      <c r="N500">
        <v>12</v>
      </c>
      <c r="AK500">
        <v>1</v>
      </c>
    </row>
    <row r="501" spans="1:43">
      <c r="A501">
        <v>-64</v>
      </c>
      <c r="B501">
        <v>1000</v>
      </c>
      <c r="C501">
        <v>-64</v>
      </c>
      <c r="D501">
        <v>-64</v>
      </c>
      <c r="E501">
        <v>1500</v>
      </c>
      <c r="F501">
        <v>-64</v>
      </c>
      <c r="G501">
        <v>-64</v>
      </c>
      <c r="H501">
        <v>1500</v>
      </c>
      <c r="I501">
        <v>64</v>
      </c>
      <c r="J501">
        <v>-64</v>
      </c>
      <c r="K501">
        <v>1000</v>
      </c>
      <c r="L501">
        <v>64</v>
      </c>
      <c r="M501">
        <v>1</v>
      </c>
      <c r="N501">
        <v>12</v>
      </c>
      <c r="AK501">
        <v>1</v>
      </c>
    </row>
    <row r="502" spans="1:43">
      <c r="A502">
        <v>-256</v>
      </c>
      <c r="B502">
        <v>1500</v>
      </c>
      <c r="C502">
        <v>128</v>
      </c>
      <c r="E502">
        <v>1550</v>
      </c>
      <c r="F502">
        <v>256</v>
      </c>
      <c r="G502">
        <v>0</v>
      </c>
      <c r="H502">
        <v>1550</v>
      </c>
      <c r="I502">
        <v>-256</v>
      </c>
      <c r="J502">
        <v>-256</v>
      </c>
      <c r="K502">
        <v>1500</v>
      </c>
      <c r="L502">
        <v>-128</v>
      </c>
      <c r="M502">
        <v>1</v>
      </c>
      <c r="N502">
        <v>12</v>
      </c>
      <c r="AK502">
        <v>1</v>
      </c>
    </row>
    <row r="503" spans="1:43">
      <c r="B503">
        <v>1500</v>
      </c>
      <c r="C503">
        <v>256</v>
      </c>
      <c r="D503">
        <v>256</v>
      </c>
      <c r="E503">
        <v>1500</v>
      </c>
      <c r="F503">
        <v>128</v>
      </c>
      <c r="G503">
        <v>256</v>
      </c>
      <c r="H503">
        <v>1500</v>
      </c>
      <c r="I503">
        <v>-128</v>
      </c>
      <c r="K503">
        <v>1500</v>
      </c>
      <c r="L503">
        <v>-256</v>
      </c>
      <c r="M503">
        <v>1</v>
      </c>
      <c r="N503">
        <v>12</v>
      </c>
      <c r="AK503">
        <v>1</v>
      </c>
    </row>
    <row r="505" spans="1:43">
      <c r="A505">
        <v>-110</v>
      </c>
      <c r="B505">
        <v>380</v>
      </c>
      <c r="C505">
        <v>110</v>
      </c>
      <c r="D505">
        <v>110</v>
      </c>
      <c r="E505">
        <v>600</v>
      </c>
      <c r="F505">
        <v>110</v>
      </c>
      <c r="G505">
        <v>110</v>
      </c>
      <c r="H505">
        <v>380</v>
      </c>
      <c r="I505">
        <v>110</v>
      </c>
      <c r="J505">
        <v>-110</v>
      </c>
      <c r="K505">
        <v>380</v>
      </c>
      <c r="L505">
        <v>110</v>
      </c>
      <c r="M505">
        <v>1</v>
      </c>
      <c r="N505">
        <v>12</v>
      </c>
      <c r="S505">
        <v>0</v>
      </c>
      <c r="U505">
        <v>400</v>
      </c>
      <c r="X505">
        <v>100</v>
      </c>
      <c r="Y505">
        <v>24</v>
      </c>
      <c r="AG505">
        <v>331</v>
      </c>
      <c r="AH505">
        <v>216</v>
      </c>
      <c r="AI505">
        <v>32</v>
      </c>
      <c r="AK505">
        <v>1</v>
      </c>
      <c r="AP505">
        <v>37</v>
      </c>
      <c r="AQ505" t="s">
        <v>1032</v>
      </c>
    </row>
    <row r="506" spans="1:43">
      <c r="A506">
        <v>110</v>
      </c>
      <c r="B506">
        <v>600</v>
      </c>
      <c r="C506">
        <v>110</v>
      </c>
      <c r="D506">
        <v>110</v>
      </c>
      <c r="E506">
        <v>600</v>
      </c>
      <c r="F506">
        <v>-110</v>
      </c>
      <c r="G506">
        <v>110</v>
      </c>
      <c r="H506">
        <v>380</v>
      </c>
      <c r="I506">
        <v>-110</v>
      </c>
      <c r="J506">
        <v>110</v>
      </c>
      <c r="K506">
        <v>380</v>
      </c>
      <c r="L506">
        <v>110</v>
      </c>
      <c r="M506">
        <v>1</v>
      </c>
      <c r="N506">
        <v>12</v>
      </c>
      <c r="AH506">
        <v>216</v>
      </c>
      <c r="AI506">
        <v>32</v>
      </c>
      <c r="AK506">
        <v>1</v>
      </c>
    </row>
    <row r="507" spans="1:43">
      <c r="A507">
        <v>110</v>
      </c>
      <c r="B507">
        <v>600</v>
      </c>
      <c r="C507">
        <v>-110</v>
      </c>
      <c r="D507">
        <v>-110</v>
      </c>
      <c r="E507">
        <v>380</v>
      </c>
      <c r="F507">
        <v>-110</v>
      </c>
      <c r="G507">
        <v>-110</v>
      </c>
      <c r="H507">
        <v>380</v>
      </c>
      <c r="I507">
        <v>-110</v>
      </c>
      <c r="J507">
        <v>110</v>
      </c>
      <c r="K507">
        <v>380</v>
      </c>
      <c r="L507">
        <v>-110</v>
      </c>
      <c r="M507">
        <v>1</v>
      </c>
      <c r="N507">
        <v>12</v>
      </c>
      <c r="AH507">
        <v>216</v>
      </c>
      <c r="AI507">
        <v>32</v>
      </c>
      <c r="AK507">
        <v>1</v>
      </c>
    </row>
    <row r="508" spans="1:43">
      <c r="A508">
        <v>-110</v>
      </c>
      <c r="B508">
        <v>380</v>
      </c>
      <c r="C508">
        <v>110</v>
      </c>
      <c r="D508">
        <v>110</v>
      </c>
      <c r="E508">
        <v>380</v>
      </c>
      <c r="F508">
        <v>110</v>
      </c>
      <c r="G508">
        <v>110</v>
      </c>
      <c r="H508">
        <v>40</v>
      </c>
      <c r="I508">
        <v>110</v>
      </c>
      <c r="J508">
        <v>-110</v>
      </c>
      <c r="K508">
        <v>40</v>
      </c>
      <c r="L508">
        <v>110</v>
      </c>
      <c r="M508">
        <v>1</v>
      </c>
      <c r="N508">
        <v>12</v>
      </c>
      <c r="AH508">
        <v>216</v>
      </c>
      <c r="AI508">
        <v>32</v>
      </c>
      <c r="AK508">
        <v>1</v>
      </c>
    </row>
    <row r="509" spans="1:43">
      <c r="A509">
        <v>110</v>
      </c>
      <c r="B509">
        <v>380</v>
      </c>
      <c r="C509">
        <v>110</v>
      </c>
      <c r="D509">
        <v>110</v>
      </c>
      <c r="E509">
        <v>380</v>
      </c>
      <c r="F509">
        <v>-110</v>
      </c>
      <c r="G509">
        <v>110</v>
      </c>
      <c r="H509">
        <v>40</v>
      </c>
      <c r="I509">
        <v>-110</v>
      </c>
      <c r="J509">
        <v>110</v>
      </c>
      <c r="K509">
        <v>40</v>
      </c>
      <c r="L509">
        <v>110</v>
      </c>
      <c r="M509">
        <v>1</v>
      </c>
      <c r="N509">
        <v>12</v>
      </c>
      <c r="AH509">
        <v>216</v>
      </c>
      <c r="AI509">
        <v>32</v>
      </c>
      <c r="AK509">
        <v>1</v>
      </c>
    </row>
    <row r="510" spans="1:43">
      <c r="A510">
        <v>110</v>
      </c>
      <c r="B510">
        <v>380</v>
      </c>
      <c r="C510">
        <v>-110</v>
      </c>
      <c r="D510">
        <v>-110</v>
      </c>
      <c r="E510">
        <v>380</v>
      </c>
      <c r="F510">
        <v>-110</v>
      </c>
      <c r="G510">
        <v>-110</v>
      </c>
      <c r="H510">
        <v>40</v>
      </c>
      <c r="I510">
        <v>-110</v>
      </c>
      <c r="J510">
        <v>110</v>
      </c>
      <c r="K510">
        <v>40</v>
      </c>
      <c r="L510">
        <v>-110</v>
      </c>
      <c r="M510">
        <v>1</v>
      </c>
      <c r="N510">
        <v>12</v>
      </c>
      <c r="AH510">
        <v>216</v>
      </c>
      <c r="AI510">
        <v>32</v>
      </c>
      <c r="AK510">
        <v>1</v>
      </c>
    </row>
    <row r="511" spans="1:43">
      <c r="A511">
        <v>-110</v>
      </c>
      <c r="B511">
        <v>380</v>
      </c>
      <c r="C511">
        <v>-110</v>
      </c>
      <c r="D511">
        <v>-110</v>
      </c>
      <c r="E511">
        <v>380</v>
      </c>
      <c r="F511">
        <v>110</v>
      </c>
      <c r="G511">
        <v>-110</v>
      </c>
      <c r="H511">
        <v>40</v>
      </c>
      <c r="I511">
        <v>110</v>
      </c>
      <c r="J511">
        <v>-110</v>
      </c>
      <c r="K511">
        <v>40</v>
      </c>
      <c r="L511">
        <v>-110</v>
      </c>
      <c r="M511">
        <v>1</v>
      </c>
      <c r="N511">
        <v>12</v>
      </c>
      <c r="AH511">
        <v>216</v>
      </c>
      <c r="AI511">
        <v>32</v>
      </c>
      <c r="AK511">
        <v>1</v>
      </c>
    </row>
    <row r="512" spans="1:43">
      <c r="A512">
        <v>110</v>
      </c>
      <c r="B512">
        <v>600</v>
      </c>
      <c r="C512">
        <v>-110</v>
      </c>
      <c r="D512">
        <v>110</v>
      </c>
      <c r="E512">
        <v>600</v>
      </c>
      <c r="F512">
        <v>110</v>
      </c>
      <c r="G512">
        <v>-110</v>
      </c>
      <c r="H512">
        <v>380</v>
      </c>
      <c r="I512">
        <v>110</v>
      </c>
      <c r="J512">
        <v>-110</v>
      </c>
      <c r="K512">
        <v>380</v>
      </c>
      <c r="L512">
        <v>-110</v>
      </c>
      <c r="M512">
        <v>1</v>
      </c>
      <c r="N512">
        <v>12</v>
      </c>
      <c r="AK512">
        <v>1</v>
      </c>
    </row>
    <row r="513" spans="1:43">
      <c r="A513">
        <v>-30</v>
      </c>
      <c r="B513">
        <v>540</v>
      </c>
      <c r="E513">
        <v>570</v>
      </c>
      <c r="G513">
        <v>30</v>
      </c>
      <c r="H513">
        <v>510</v>
      </c>
      <c r="J513">
        <v>-10</v>
      </c>
      <c r="K513">
        <v>490</v>
      </c>
      <c r="M513">
        <v>1</v>
      </c>
      <c r="N513">
        <v>12</v>
      </c>
    </row>
    <row r="514" spans="1:43">
      <c r="A514">
        <v>-100</v>
      </c>
      <c r="B514">
        <v>475</v>
      </c>
      <c r="D514">
        <v>-70</v>
      </c>
      <c r="E514">
        <v>525</v>
      </c>
      <c r="F514">
        <v>-60</v>
      </c>
      <c r="G514">
        <v>20</v>
      </c>
      <c r="H514">
        <v>575</v>
      </c>
      <c r="I514">
        <v>-60</v>
      </c>
      <c r="J514">
        <v>50</v>
      </c>
      <c r="K514">
        <v>625</v>
      </c>
      <c r="M514">
        <v>1</v>
      </c>
      <c r="N514">
        <v>12</v>
      </c>
    </row>
    <row r="515" spans="1:43">
      <c r="A515">
        <v>-100</v>
      </c>
      <c r="B515">
        <v>475</v>
      </c>
      <c r="D515">
        <v>50</v>
      </c>
      <c r="E515">
        <v>625</v>
      </c>
      <c r="G515">
        <v>20</v>
      </c>
      <c r="H515">
        <v>575</v>
      </c>
      <c r="I515">
        <v>60</v>
      </c>
      <c r="J515">
        <v>-70</v>
      </c>
      <c r="K515">
        <v>525</v>
      </c>
      <c r="L515">
        <v>60</v>
      </c>
      <c r="M515">
        <v>1</v>
      </c>
      <c r="N515">
        <v>12</v>
      </c>
    </row>
    <row r="516" spans="1:43">
      <c r="A516">
        <v>-175</v>
      </c>
      <c r="B516">
        <v>460</v>
      </c>
      <c r="D516">
        <v>-120</v>
      </c>
      <c r="E516">
        <v>540</v>
      </c>
      <c r="F516">
        <v>-110</v>
      </c>
      <c r="G516">
        <v>-70</v>
      </c>
      <c r="H516">
        <v>525</v>
      </c>
      <c r="I516">
        <v>-60</v>
      </c>
      <c r="J516">
        <v>-100</v>
      </c>
      <c r="K516">
        <v>475</v>
      </c>
      <c r="M516">
        <v>1</v>
      </c>
      <c r="N516">
        <v>12</v>
      </c>
    </row>
    <row r="517" spans="1:43">
      <c r="A517">
        <v>-120</v>
      </c>
      <c r="B517">
        <v>540</v>
      </c>
      <c r="C517">
        <v>-110</v>
      </c>
      <c r="E517">
        <v>650</v>
      </c>
      <c r="F517">
        <v>-110</v>
      </c>
      <c r="G517">
        <v>20</v>
      </c>
      <c r="H517">
        <v>575</v>
      </c>
      <c r="I517">
        <v>-60</v>
      </c>
      <c r="J517">
        <v>-70</v>
      </c>
      <c r="K517">
        <v>525</v>
      </c>
      <c r="L517">
        <v>-60</v>
      </c>
      <c r="M517">
        <v>1</v>
      </c>
      <c r="N517">
        <v>12</v>
      </c>
    </row>
    <row r="518" spans="1:43">
      <c r="B518">
        <v>650</v>
      </c>
      <c r="C518">
        <v>-110</v>
      </c>
      <c r="D518">
        <v>75</v>
      </c>
      <c r="E518">
        <v>700</v>
      </c>
      <c r="G518">
        <v>50</v>
      </c>
      <c r="H518">
        <v>625</v>
      </c>
      <c r="J518">
        <v>20</v>
      </c>
      <c r="K518">
        <v>575</v>
      </c>
      <c r="L518">
        <v>-60</v>
      </c>
      <c r="M518">
        <v>1</v>
      </c>
      <c r="N518">
        <v>12</v>
      </c>
    </row>
    <row r="519" spans="1:43">
      <c r="A519">
        <v>-175</v>
      </c>
      <c r="B519">
        <v>460</v>
      </c>
      <c r="D519">
        <v>-120</v>
      </c>
      <c r="E519">
        <v>540</v>
      </c>
      <c r="F519">
        <v>110</v>
      </c>
      <c r="G519">
        <v>-70</v>
      </c>
      <c r="H519">
        <v>525</v>
      </c>
      <c r="I519">
        <v>60</v>
      </c>
      <c r="J519">
        <v>-100</v>
      </c>
      <c r="K519">
        <v>475</v>
      </c>
      <c r="M519">
        <v>1</v>
      </c>
      <c r="N519">
        <v>12</v>
      </c>
    </row>
    <row r="520" spans="1:43">
      <c r="A520">
        <v>-120</v>
      </c>
      <c r="B520">
        <v>540</v>
      </c>
      <c r="C520">
        <v>110</v>
      </c>
      <c r="E520">
        <v>650</v>
      </c>
      <c r="F520">
        <v>110</v>
      </c>
      <c r="G520">
        <v>20</v>
      </c>
      <c r="H520">
        <v>575</v>
      </c>
      <c r="I520">
        <v>60</v>
      </c>
      <c r="J520">
        <v>-70</v>
      </c>
      <c r="K520">
        <v>525</v>
      </c>
      <c r="L520">
        <v>60</v>
      </c>
      <c r="M520">
        <v>1</v>
      </c>
      <c r="N520">
        <v>12</v>
      </c>
    </row>
    <row r="521" spans="1:43">
      <c r="B521">
        <v>650</v>
      </c>
      <c r="C521">
        <v>110</v>
      </c>
      <c r="D521">
        <v>75</v>
      </c>
      <c r="E521">
        <v>700</v>
      </c>
      <c r="G521">
        <v>50</v>
      </c>
      <c r="H521">
        <v>625</v>
      </c>
      <c r="J521">
        <v>20</v>
      </c>
      <c r="K521">
        <v>575</v>
      </c>
      <c r="L521">
        <v>60</v>
      </c>
      <c r="M521">
        <v>1</v>
      </c>
      <c r="N521">
        <v>12</v>
      </c>
    </row>
    <row r="523" spans="1:43">
      <c r="B523">
        <v>-3</v>
      </c>
      <c r="C523">
        <v>4</v>
      </c>
      <c r="D523">
        <v>-12</v>
      </c>
      <c r="E523">
        <v>-3</v>
      </c>
      <c r="F523">
        <v>4</v>
      </c>
      <c r="G523">
        <v>-10</v>
      </c>
      <c r="H523">
        <v>-3</v>
      </c>
      <c r="I523">
        <v>2.6</v>
      </c>
      <c r="K523">
        <v>-3</v>
      </c>
      <c r="L523">
        <v>2.6</v>
      </c>
      <c r="M523">
        <v>2</v>
      </c>
      <c r="N523">
        <v>10</v>
      </c>
      <c r="P523">
        <v>-2</v>
      </c>
      <c r="S523">
        <v>1</v>
      </c>
      <c r="U523">
        <v>200</v>
      </c>
      <c r="AN523">
        <v>1</v>
      </c>
      <c r="AP523">
        <v>38</v>
      </c>
      <c r="AQ523" t="s">
        <v>1033</v>
      </c>
    </row>
    <row r="524" spans="1:43">
      <c r="A524">
        <v>-12</v>
      </c>
      <c r="B524">
        <v>-3</v>
      </c>
      <c r="C524">
        <v>4</v>
      </c>
      <c r="D524">
        <v>-4</v>
      </c>
      <c r="E524">
        <v>-3</v>
      </c>
      <c r="F524">
        <v>-10</v>
      </c>
      <c r="G524">
        <v>-4</v>
      </c>
      <c r="H524">
        <v>-3</v>
      </c>
      <c r="I524">
        <v>-8</v>
      </c>
      <c r="J524">
        <v>-10</v>
      </c>
      <c r="K524">
        <v>-3</v>
      </c>
      <c r="L524">
        <v>2.6</v>
      </c>
      <c r="M524">
        <v>2</v>
      </c>
      <c r="N524">
        <v>12</v>
      </c>
      <c r="P524">
        <v>-2</v>
      </c>
      <c r="AN524">
        <v>1</v>
      </c>
    </row>
    <row r="525" spans="1:43">
      <c r="A525">
        <v>4</v>
      </c>
      <c r="B525">
        <v>-3</v>
      </c>
      <c r="C525">
        <v>-8</v>
      </c>
      <c r="D525">
        <v>4</v>
      </c>
      <c r="E525">
        <v>-3</v>
      </c>
      <c r="F525">
        <v>-10</v>
      </c>
      <c r="G525">
        <v>12</v>
      </c>
      <c r="H525">
        <v>-3</v>
      </c>
      <c r="I525">
        <v>4</v>
      </c>
      <c r="J525">
        <v>10</v>
      </c>
      <c r="K525">
        <v>-3</v>
      </c>
      <c r="L525">
        <v>2.6</v>
      </c>
      <c r="M525">
        <v>2</v>
      </c>
      <c r="N525">
        <v>11</v>
      </c>
      <c r="P525">
        <v>-2</v>
      </c>
      <c r="AN525">
        <v>1</v>
      </c>
    </row>
    <row r="526" spans="1:43">
      <c r="A526">
        <v>-8</v>
      </c>
      <c r="B526">
        <v>-3</v>
      </c>
      <c r="C526">
        <v>10</v>
      </c>
      <c r="D526">
        <v>4</v>
      </c>
      <c r="E526">
        <v>-3</v>
      </c>
      <c r="F526">
        <v>-10</v>
      </c>
      <c r="G526">
        <v>4</v>
      </c>
      <c r="H526">
        <v>-3</v>
      </c>
      <c r="I526">
        <v>-8</v>
      </c>
      <c r="J526">
        <v>-6</v>
      </c>
      <c r="K526">
        <v>-3</v>
      </c>
      <c r="L526">
        <v>8.6</v>
      </c>
      <c r="M526">
        <v>2</v>
      </c>
      <c r="N526">
        <v>12</v>
      </c>
      <c r="P526">
        <v>-2</v>
      </c>
      <c r="AN526">
        <v>1</v>
      </c>
    </row>
    <row r="527" spans="1:43">
      <c r="A527">
        <v>-8</v>
      </c>
      <c r="B527">
        <v>-3</v>
      </c>
      <c r="C527">
        <v>10</v>
      </c>
      <c r="D527">
        <v>-6</v>
      </c>
      <c r="E527">
        <v>-3</v>
      </c>
      <c r="F527">
        <v>8.6</v>
      </c>
      <c r="G527">
        <v>6</v>
      </c>
      <c r="H527">
        <v>-3</v>
      </c>
      <c r="I527">
        <v>8.6</v>
      </c>
      <c r="J527">
        <v>8</v>
      </c>
      <c r="K527">
        <v>-3</v>
      </c>
      <c r="L527">
        <v>10</v>
      </c>
      <c r="M527">
        <v>2</v>
      </c>
      <c r="N527">
        <v>11</v>
      </c>
      <c r="P527">
        <v>-2</v>
      </c>
      <c r="AN527">
        <v>1</v>
      </c>
    </row>
    <row r="528" spans="1:43">
      <c r="A528">
        <v>-4</v>
      </c>
      <c r="B528">
        <v>-3</v>
      </c>
      <c r="C528">
        <v>-8</v>
      </c>
      <c r="D528">
        <v>-4</v>
      </c>
      <c r="E528">
        <v>-3</v>
      </c>
      <c r="F528">
        <v>-10</v>
      </c>
      <c r="G528">
        <v>8</v>
      </c>
      <c r="H528">
        <v>-3</v>
      </c>
      <c r="I528">
        <v>10</v>
      </c>
      <c r="J528">
        <v>6</v>
      </c>
      <c r="K528">
        <v>-3</v>
      </c>
      <c r="L528">
        <v>8.6</v>
      </c>
      <c r="M528">
        <v>2</v>
      </c>
      <c r="N528">
        <v>10</v>
      </c>
      <c r="P528">
        <v>-2</v>
      </c>
    </row>
    <row r="529" spans="1:43">
      <c r="B529">
        <v>-3</v>
      </c>
      <c r="C529">
        <v>4</v>
      </c>
      <c r="E529">
        <v>-3</v>
      </c>
      <c r="F529">
        <v>2.6</v>
      </c>
      <c r="G529">
        <v>10</v>
      </c>
      <c r="H529">
        <v>-3</v>
      </c>
      <c r="I529">
        <v>2.6</v>
      </c>
      <c r="J529">
        <v>12</v>
      </c>
      <c r="K529">
        <v>-3</v>
      </c>
      <c r="L529">
        <v>4</v>
      </c>
      <c r="M529">
        <v>2</v>
      </c>
      <c r="N529">
        <v>11</v>
      </c>
      <c r="P529">
        <v>-2</v>
      </c>
    </row>
    <row r="531" spans="1:43">
      <c r="A531">
        <v>-8</v>
      </c>
      <c r="B531">
        <v>16</v>
      </c>
      <c r="C531">
        <v>8</v>
      </c>
      <c r="D531">
        <v>8</v>
      </c>
      <c r="E531">
        <v>16</v>
      </c>
      <c r="F531">
        <v>8</v>
      </c>
      <c r="G531">
        <v>8</v>
      </c>
      <c r="H531">
        <v>16</v>
      </c>
      <c r="I531">
        <v>-8</v>
      </c>
      <c r="J531">
        <v>-8</v>
      </c>
      <c r="K531">
        <v>16</v>
      </c>
      <c r="L531">
        <v>-8</v>
      </c>
      <c r="M531">
        <v>1</v>
      </c>
      <c r="N531">
        <v>3</v>
      </c>
      <c r="S531">
        <v>48</v>
      </c>
      <c r="X531">
        <v>10000</v>
      </c>
      <c r="Y531">
        <v>75</v>
      </c>
      <c r="AJ531">
        <v>1</v>
      </c>
      <c r="AK531">
        <v>1</v>
      </c>
      <c r="AP531">
        <v>39</v>
      </c>
      <c r="AQ531" t="s">
        <v>1125</v>
      </c>
    </row>
    <row r="532" spans="1:43">
      <c r="A532">
        <v>-4</v>
      </c>
      <c r="B532">
        <v>-14</v>
      </c>
      <c r="D532">
        <v>-4</v>
      </c>
      <c r="E532">
        <v>16</v>
      </c>
      <c r="G532">
        <v>4</v>
      </c>
      <c r="H532">
        <v>16</v>
      </c>
      <c r="J532">
        <v>4</v>
      </c>
      <c r="K532">
        <v>-14</v>
      </c>
      <c r="M532">
        <v>1</v>
      </c>
      <c r="N532">
        <v>4</v>
      </c>
      <c r="AJ532">
        <v>1</v>
      </c>
      <c r="AK532">
        <v>1</v>
      </c>
      <c r="AL532">
        <v>1</v>
      </c>
      <c r="AM532">
        <v>5</v>
      </c>
    </row>
    <row r="533" spans="1:43">
      <c r="B533">
        <v>-14</v>
      </c>
      <c r="C533">
        <v>-4</v>
      </c>
      <c r="E533">
        <v>16</v>
      </c>
      <c r="F533">
        <v>-4</v>
      </c>
      <c r="H533">
        <v>16</v>
      </c>
      <c r="I533">
        <v>4</v>
      </c>
      <c r="K533">
        <v>-14</v>
      </c>
      <c r="L533">
        <v>4</v>
      </c>
      <c r="M533">
        <v>1</v>
      </c>
      <c r="N533">
        <v>4</v>
      </c>
      <c r="AJ533">
        <v>1</v>
      </c>
      <c r="AK533">
        <v>1</v>
      </c>
      <c r="AL533">
        <v>1</v>
      </c>
      <c r="AM533">
        <v>5</v>
      </c>
    </row>
    <row r="534" spans="1:43">
      <c r="A534">
        <v>-3</v>
      </c>
      <c r="B534">
        <v>-14</v>
      </c>
      <c r="C534">
        <v>15</v>
      </c>
      <c r="D534">
        <v>3</v>
      </c>
      <c r="E534">
        <v>-14</v>
      </c>
      <c r="F534">
        <v>15</v>
      </c>
      <c r="G534">
        <v>3</v>
      </c>
      <c r="H534">
        <v>-14</v>
      </c>
      <c r="I534">
        <v>-15</v>
      </c>
      <c r="J534">
        <v>-3</v>
      </c>
      <c r="K534">
        <v>-14</v>
      </c>
      <c r="L534">
        <v>-15</v>
      </c>
      <c r="M534">
        <v>1</v>
      </c>
      <c r="N534">
        <v>4</v>
      </c>
    </row>
    <row r="536" spans="1:43">
      <c r="A536">
        <v>-16</v>
      </c>
      <c r="B536">
        <v>12</v>
      </c>
      <c r="C536">
        <v>18</v>
      </c>
      <c r="D536">
        <v>-16</v>
      </c>
      <c r="E536">
        <v>16</v>
      </c>
      <c r="F536">
        <v>18</v>
      </c>
      <c r="G536">
        <v>16</v>
      </c>
      <c r="H536">
        <v>16</v>
      </c>
      <c r="I536">
        <v>18</v>
      </c>
      <c r="J536">
        <v>16</v>
      </c>
      <c r="K536">
        <v>12</v>
      </c>
      <c r="L536">
        <v>18</v>
      </c>
      <c r="M536">
        <v>1</v>
      </c>
      <c r="N536">
        <v>12</v>
      </c>
      <c r="S536">
        <v>48</v>
      </c>
      <c r="AJ536">
        <v>1</v>
      </c>
      <c r="AN536">
        <v>1</v>
      </c>
      <c r="AP536">
        <v>40</v>
      </c>
      <c r="AQ536" t="s">
        <v>241</v>
      </c>
    </row>
    <row r="537" spans="1:43">
      <c r="A537">
        <v>-16</v>
      </c>
      <c r="B537">
        <v>16</v>
      </c>
      <c r="C537">
        <v>18</v>
      </c>
      <c r="D537">
        <v>-12</v>
      </c>
      <c r="E537">
        <v>16</v>
      </c>
      <c r="F537">
        <v>18</v>
      </c>
      <c r="G537">
        <v>-12</v>
      </c>
      <c r="I537">
        <v>18</v>
      </c>
      <c r="J537">
        <v>-16</v>
      </c>
      <c r="L537">
        <v>18</v>
      </c>
      <c r="M537">
        <v>1</v>
      </c>
      <c r="N537">
        <v>12</v>
      </c>
    </row>
    <row r="538" spans="1:43">
      <c r="A538">
        <v>-9</v>
      </c>
      <c r="B538">
        <v>16</v>
      </c>
      <c r="C538">
        <v>18</v>
      </c>
      <c r="D538">
        <v>-7</v>
      </c>
      <c r="E538">
        <v>16</v>
      </c>
      <c r="F538">
        <v>18</v>
      </c>
      <c r="G538">
        <v>-7</v>
      </c>
      <c r="I538">
        <v>18</v>
      </c>
      <c r="J538">
        <v>-9</v>
      </c>
      <c r="L538">
        <v>18</v>
      </c>
      <c r="M538">
        <v>1</v>
      </c>
      <c r="N538">
        <v>12</v>
      </c>
    </row>
    <row r="539" spans="1:43">
      <c r="A539">
        <v>-4</v>
      </c>
      <c r="B539">
        <v>16</v>
      </c>
      <c r="C539">
        <v>18</v>
      </c>
      <c r="D539">
        <v>-2</v>
      </c>
      <c r="E539">
        <v>16</v>
      </c>
      <c r="F539">
        <v>18</v>
      </c>
      <c r="G539">
        <v>-2</v>
      </c>
      <c r="I539">
        <v>18</v>
      </c>
      <c r="J539">
        <v>-4</v>
      </c>
      <c r="L539">
        <v>18</v>
      </c>
      <c r="M539">
        <v>1</v>
      </c>
      <c r="N539">
        <v>12</v>
      </c>
    </row>
    <row r="540" spans="1:43">
      <c r="A540">
        <v>2</v>
      </c>
      <c r="B540">
        <v>16</v>
      </c>
      <c r="C540">
        <v>18</v>
      </c>
      <c r="D540">
        <v>4</v>
      </c>
      <c r="E540">
        <v>16</v>
      </c>
      <c r="F540">
        <v>18</v>
      </c>
      <c r="G540">
        <v>4</v>
      </c>
      <c r="I540">
        <v>18</v>
      </c>
      <c r="J540">
        <v>2</v>
      </c>
      <c r="L540">
        <v>18</v>
      </c>
      <c r="M540">
        <v>1</v>
      </c>
      <c r="N540">
        <v>12</v>
      </c>
    </row>
    <row r="541" spans="1:43">
      <c r="A541">
        <v>7</v>
      </c>
      <c r="B541">
        <v>16</v>
      </c>
      <c r="C541">
        <v>18</v>
      </c>
      <c r="D541">
        <v>9</v>
      </c>
      <c r="E541">
        <v>16</v>
      </c>
      <c r="F541">
        <v>18</v>
      </c>
      <c r="G541">
        <v>9</v>
      </c>
      <c r="I541">
        <v>18</v>
      </c>
      <c r="J541">
        <v>7</v>
      </c>
      <c r="L541">
        <v>18</v>
      </c>
      <c r="M541">
        <v>1</v>
      </c>
      <c r="N541">
        <v>12</v>
      </c>
    </row>
    <row r="542" spans="1:43">
      <c r="A542">
        <v>12</v>
      </c>
      <c r="B542">
        <v>16</v>
      </c>
      <c r="C542">
        <v>18</v>
      </c>
      <c r="D542">
        <v>16</v>
      </c>
      <c r="E542">
        <v>16</v>
      </c>
      <c r="F542">
        <v>18</v>
      </c>
      <c r="G542">
        <v>16</v>
      </c>
      <c r="I542">
        <v>18</v>
      </c>
      <c r="J542">
        <v>12</v>
      </c>
      <c r="L542">
        <v>18</v>
      </c>
      <c r="M542">
        <v>1</v>
      </c>
      <c r="N542">
        <v>12</v>
      </c>
    </row>
    <row r="544" spans="1:43">
      <c r="A544">
        <v>-16</v>
      </c>
      <c r="B544">
        <v>16</v>
      </c>
      <c r="C544">
        <v>14</v>
      </c>
      <c r="D544">
        <v>16</v>
      </c>
      <c r="E544">
        <v>16</v>
      </c>
      <c r="F544">
        <v>14</v>
      </c>
      <c r="G544">
        <v>16</v>
      </c>
      <c r="H544">
        <v>-6</v>
      </c>
      <c r="I544">
        <v>14</v>
      </c>
      <c r="J544">
        <v>-16</v>
      </c>
      <c r="K544">
        <v>-6</v>
      </c>
      <c r="L544">
        <v>14</v>
      </c>
      <c r="M544">
        <v>1</v>
      </c>
      <c r="N544">
        <v>12</v>
      </c>
      <c r="S544">
        <v>48</v>
      </c>
      <c r="AJ544">
        <v>1</v>
      </c>
      <c r="AN544">
        <v>1</v>
      </c>
      <c r="AP544">
        <v>41</v>
      </c>
      <c r="AQ544" t="s">
        <v>279</v>
      </c>
    </row>
    <row r="546" spans="1:43">
      <c r="A546">
        <v>-8</v>
      </c>
      <c r="B546">
        <v>29</v>
      </c>
      <c r="C546">
        <v>8</v>
      </c>
      <c r="D546">
        <v>8</v>
      </c>
      <c r="E546">
        <v>29</v>
      </c>
      <c r="F546">
        <v>8</v>
      </c>
      <c r="G546">
        <v>8</v>
      </c>
      <c r="H546">
        <v>29</v>
      </c>
      <c r="I546">
        <v>-8</v>
      </c>
      <c r="J546">
        <v>-8</v>
      </c>
      <c r="K546">
        <v>29</v>
      </c>
      <c r="L546">
        <v>-8</v>
      </c>
      <c r="M546">
        <v>1</v>
      </c>
      <c r="N546">
        <v>8</v>
      </c>
      <c r="S546">
        <v>0</v>
      </c>
      <c r="X546">
        <v>10000</v>
      </c>
      <c r="Y546">
        <v>75</v>
      </c>
      <c r="AJ546">
        <v>1</v>
      </c>
      <c r="AK546">
        <v>1</v>
      </c>
      <c r="AP546">
        <v>42</v>
      </c>
      <c r="AQ546" t="s">
        <v>1158</v>
      </c>
    </row>
    <row r="547" spans="1:43">
      <c r="A547">
        <v>-4</v>
      </c>
      <c r="B547">
        <v>-144</v>
      </c>
      <c r="D547">
        <v>-4</v>
      </c>
      <c r="E547">
        <v>29</v>
      </c>
      <c r="G547">
        <v>4</v>
      </c>
      <c r="H547">
        <v>29</v>
      </c>
      <c r="J547">
        <v>4</v>
      </c>
      <c r="K547">
        <v>-144</v>
      </c>
      <c r="M547">
        <v>1</v>
      </c>
      <c r="N547">
        <v>4</v>
      </c>
      <c r="AJ547">
        <v>1</v>
      </c>
      <c r="AK547">
        <v>1</v>
      </c>
      <c r="AL547">
        <v>1</v>
      </c>
      <c r="AM547">
        <v>5</v>
      </c>
    </row>
    <row r="548" spans="1:43">
      <c r="B548">
        <v>-144</v>
      </c>
      <c r="C548">
        <v>-4</v>
      </c>
      <c r="E548">
        <v>29</v>
      </c>
      <c r="F548">
        <v>-4</v>
      </c>
      <c r="H548">
        <v>29</v>
      </c>
      <c r="I548">
        <v>4</v>
      </c>
      <c r="K548">
        <v>-144</v>
      </c>
      <c r="L548">
        <v>4</v>
      </c>
      <c r="M548">
        <v>1</v>
      </c>
      <c r="N548">
        <v>4</v>
      </c>
      <c r="AJ548">
        <v>1</v>
      </c>
      <c r="AK548">
        <v>1</v>
      </c>
      <c r="AL548">
        <v>1</v>
      </c>
      <c r="AM548">
        <v>5</v>
      </c>
    </row>
    <row r="550" spans="1:43">
      <c r="A550">
        <v>-16</v>
      </c>
      <c r="B550">
        <v>16</v>
      </c>
      <c r="C550">
        <v>-18</v>
      </c>
      <c r="D550">
        <v>16</v>
      </c>
      <c r="E550">
        <v>16</v>
      </c>
      <c r="F550">
        <v>-18</v>
      </c>
      <c r="G550">
        <v>16</v>
      </c>
      <c r="H550">
        <v>-16</v>
      </c>
      <c r="I550">
        <v>14</v>
      </c>
      <c r="J550">
        <v>-16</v>
      </c>
      <c r="K550">
        <v>-16</v>
      </c>
      <c r="L550">
        <v>14</v>
      </c>
      <c r="M550">
        <v>7</v>
      </c>
      <c r="N550">
        <v>12</v>
      </c>
      <c r="S550">
        <v>82</v>
      </c>
      <c r="AK550">
        <v>1</v>
      </c>
      <c r="AP550">
        <v>43</v>
      </c>
      <c r="AQ550" t="s">
        <v>301</v>
      </c>
    </row>
    <row r="551" spans="1:43">
      <c r="A551">
        <v>-16</v>
      </c>
      <c r="B551">
        <v>16</v>
      </c>
      <c r="C551">
        <v>-16</v>
      </c>
      <c r="D551">
        <v>-16</v>
      </c>
      <c r="E551">
        <v>-16</v>
      </c>
      <c r="F551">
        <v>12</v>
      </c>
      <c r="G551">
        <v>-16</v>
      </c>
      <c r="H551">
        <v>-16</v>
      </c>
      <c r="I551">
        <v>-24</v>
      </c>
      <c r="J551">
        <v>-16</v>
      </c>
      <c r="K551">
        <v>16</v>
      </c>
      <c r="L551">
        <v>-24</v>
      </c>
      <c r="M551">
        <v>7</v>
      </c>
      <c r="N551">
        <v>11</v>
      </c>
      <c r="AK551">
        <v>1</v>
      </c>
    </row>
    <row r="552" spans="1:43">
      <c r="A552">
        <v>16</v>
      </c>
      <c r="B552">
        <v>-16</v>
      </c>
      <c r="C552">
        <v>12</v>
      </c>
      <c r="D552">
        <v>16</v>
      </c>
      <c r="E552">
        <v>16</v>
      </c>
      <c r="F552">
        <v>-16</v>
      </c>
      <c r="G552">
        <v>16</v>
      </c>
      <c r="H552">
        <v>16</v>
      </c>
      <c r="I552">
        <v>-24</v>
      </c>
      <c r="J552">
        <v>16</v>
      </c>
      <c r="K552">
        <v>-16</v>
      </c>
      <c r="L552">
        <v>-24</v>
      </c>
      <c r="M552">
        <v>7</v>
      </c>
      <c r="N552">
        <v>11</v>
      </c>
      <c r="AK552">
        <v>1</v>
      </c>
    </row>
    <row r="554" spans="1:43">
      <c r="A554">
        <v>-14</v>
      </c>
      <c r="B554">
        <v>-16</v>
      </c>
      <c r="C554">
        <v>14</v>
      </c>
      <c r="D554">
        <v>-6</v>
      </c>
      <c r="E554">
        <v>20</v>
      </c>
      <c r="F554">
        <v>14</v>
      </c>
      <c r="G554">
        <v>6</v>
      </c>
      <c r="H554">
        <v>20</v>
      </c>
      <c r="I554">
        <v>14</v>
      </c>
      <c r="J554">
        <v>14</v>
      </c>
      <c r="K554">
        <v>-16</v>
      </c>
      <c r="L554">
        <v>14</v>
      </c>
      <c r="M554">
        <v>1</v>
      </c>
      <c r="N554">
        <v>12</v>
      </c>
      <c r="S554">
        <v>146</v>
      </c>
      <c r="AK554">
        <v>1</v>
      </c>
      <c r="AP554">
        <v>44</v>
      </c>
      <c r="AQ554" t="s">
        <v>302</v>
      </c>
    </row>
    <row r="555" spans="1:43">
      <c r="A555">
        <v>-14</v>
      </c>
      <c r="B555">
        <v>-16</v>
      </c>
      <c r="C555">
        <v>-32</v>
      </c>
      <c r="D555">
        <v>-6</v>
      </c>
      <c r="E555">
        <v>20</v>
      </c>
      <c r="F555">
        <v>-16</v>
      </c>
      <c r="G555">
        <v>-6</v>
      </c>
      <c r="H555">
        <v>20</v>
      </c>
      <c r="I555">
        <v>14</v>
      </c>
      <c r="J555">
        <v>-14</v>
      </c>
      <c r="K555">
        <v>-16</v>
      </c>
      <c r="L555">
        <v>14</v>
      </c>
      <c r="M555">
        <v>1</v>
      </c>
      <c r="N555">
        <v>11</v>
      </c>
      <c r="AK555">
        <v>1</v>
      </c>
    </row>
    <row r="556" spans="1:43">
      <c r="A556">
        <v>6</v>
      </c>
      <c r="B556">
        <v>20</v>
      </c>
      <c r="C556">
        <v>14</v>
      </c>
      <c r="D556">
        <v>6</v>
      </c>
      <c r="E556">
        <v>20</v>
      </c>
      <c r="F556">
        <v>-16</v>
      </c>
      <c r="G556">
        <v>14</v>
      </c>
      <c r="H556">
        <v>-16</v>
      </c>
      <c r="I556">
        <v>-32</v>
      </c>
      <c r="J556">
        <v>14</v>
      </c>
      <c r="K556">
        <v>-16</v>
      </c>
      <c r="L556">
        <v>14</v>
      </c>
      <c r="M556">
        <v>1</v>
      </c>
      <c r="N556">
        <v>11</v>
      </c>
      <c r="AK556">
        <v>1</v>
      </c>
    </row>
    <row r="557" spans="1:43">
      <c r="A557">
        <v>14</v>
      </c>
      <c r="B557">
        <v>-16</v>
      </c>
      <c r="C557">
        <v>-32</v>
      </c>
      <c r="D557">
        <v>6</v>
      </c>
      <c r="E557">
        <v>20</v>
      </c>
      <c r="F557">
        <v>-16</v>
      </c>
      <c r="G557">
        <v>-6</v>
      </c>
      <c r="H557">
        <v>20</v>
      </c>
      <c r="I557">
        <v>-16</v>
      </c>
      <c r="J557">
        <v>-14</v>
      </c>
      <c r="K557">
        <v>-16</v>
      </c>
      <c r="L557">
        <v>-32</v>
      </c>
      <c r="M557">
        <v>1</v>
      </c>
      <c r="N557">
        <v>11</v>
      </c>
    </row>
    <row r="559" spans="1:43">
      <c r="A559">
        <v>-16</v>
      </c>
      <c r="B559">
        <v>16</v>
      </c>
      <c r="C559">
        <v>-18</v>
      </c>
      <c r="D559">
        <v>16</v>
      </c>
      <c r="E559">
        <v>16</v>
      </c>
      <c r="F559">
        <v>-18</v>
      </c>
      <c r="G559">
        <v>16</v>
      </c>
      <c r="H559">
        <v>-16</v>
      </c>
      <c r="I559">
        <v>14</v>
      </c>
      <c r="J559">
        <v>-16</v>
      </c>
      <c r="K559">
        <v>-16</v>
      </c>
      <c r="L559">
        <v>14</v>
      </c>
      <c r="M559">
        <v>1</v>
      </c>
      <c r="N559">
        <v>12</v>
      </c>
      <c r="S559">
        <v>82</v>
      </c>
      <c r="AK559">
        <v>1</v>
      </c>
      <c r="AP559">
        <v>45</v>
      </c>
      <c r="AQ559" t="s">
        <v>502</v>
      </c>
    </row>
    <row r="560" spans="1:43">
      <c r="A560">
        <v>-16</v>
      </c>
      <c r="B560">
        <v>16</v>
      </c>
      <c r="C560">
        <v>-16</v>
      </c>
      <c r="D560">
        <v>-16</v>
      </c>
      <c r="E560">
        <v>-16</v>
      </c>
      <c r="F560">
        <v>12</v>
      </c>
      <c r="G560">
        <v>-16</v>
      </c>
      <c r="H560">
        <v>-16</v>
      </c>
      <c r="I560">
        <v>-24</v>
      </c>
      <c r="J560">
        <v>-16</v>
      </c>
      <c r="K560">
        <v>16</v>
      </c>
      <c r="L560">
        <v>-24</v>
      </c>
      <c r="M560">
        <v>1</v>
      </c>
      <c r="N560">
        <v>11</v>
      </c>
      <c r="AK560">
        <v>1</v>
      </c>
    </row>
    <row r="561" spans="1:43">
      <c r="A561">
        <v>16</v>
      </c>
      <c r="B561">
        <v>-16</v>
      </c>
      <c r="C561">
        <v>12</v>
      </c>
      <c r="D561">
        <v>16</v>
      </c>
      <c r="E561">
        <v>16</v>
      </c>
      <c r="F561">
        <v>-16</v>
      </c>
      <c r="G561">
        <v>16</v>
      </c>
      <c r="H561">
        <v>16</v>
      </c>
      <c r="I561">
        <v>-24</v>
      </c>
      <c r="J561">
        <v>16</v>
      </c>
      <c r="K561">
        <v>-16</v>
      </c>
      <c r="L561">
        <v>-24</v>
      </c>
      <c r="M561">
        <v>1</v>
      </c>
      <c r="N561">
        <v>11</v>
      </c>
      <c r="AK561">
        <v>1</v>
      </c>
    </row>
    <row r="563" spans="1:43">
      <c r="A563">
        <v>-5</v>
      </c>
      <c r="B563">
        <v>-2</v>
      </c>
      <c r="C563">
        <v>-17</v>
      </c>
      <c r="D563">
        <v>-4</v>
      </c>
      <c r="E563">
        <v>-2</v>
      </c>
      <c r="F563">
        <v>-17</v>
      </c>
      <c r="G563">
        <v>-4</v>
      </c>
      <c r="H563">
        <v>-30</v>
      </c>
      <c r="I563">
        <v>-17</v>
      </c>
      <c r="J563">
        <v>-5</v>
      </c>
      <c r="K563">
        <v>-30</v>
      </c>
      <c r="L563">
        <v>-17</v>
      </c>
      <c r="M563">
        <v>5</v>
      </c>
      <c r="N563">
        <v>6</v>
      </c>
      <c r="S563">
        <v>0</v>
      </c>
      <c r="AH563">
        <v>106</v>
      </c>
      <c r="AI563">
        <v>16</v>
      </c>
      <c r="AK563">
        <v>2</v>
      </c>
      <c r="AP563">
        <v>46</v>
      </c>
      <c r="AQ563" t="s">
        <v>507</v>
      </c>
    </row>
    <row r="564" spans="1:43">
      <c r="A564">
        <v>4</v>
      </c>
      <c r="B564">
        <v>-2</v>
      </c>
      <c r="C564">
        <v>-17</v>
      </c>
      <c r="D564">
        <v>5</v>
      </c>
      <c r="E564">
        <v>-2</v>
      </c>
      <c r="F564">
        <v>-17</v>
      </c>
      <c r="G564">
        <v>5</v>
      </c>
      <c r="H564">
        <v>-30</v>
      </c>
      <c r="I564">
        <v>-17</v>
      </c>
      <c r="J564">
        <v>4</v>
      </c>
      <c r="K564">
        <v>-30</v>
      </c>
      <c r="L564">
        <v>-17</v>
      </c>
      <c r="M564">
        <v>5</v>
      </c>
      <c r="N564">
        <v>6</v>
      </c>
      <c r="AH564">
        <v>106</v>
      </c>
      <c r="AI564">
        <v>16</v>
      </c>
      <c r="AK564">
        <v>2</v>
      </c>
    </row>
    <row r="565" spans="1:43">
      <c r="A565">
        <v>-4</v>
      </c>
      <c r="B565">
        <v>-4</v>
      </c>
      <c r="C565">
        <v>-17</v>
      </c>
      <c r="D565">
        <v>4</v>
      </c>
      <c r="E565">
        <v>-4</v>
      </c>
      <c r="F565">
        <v>-17</v>
      </c>
      <c r="G565">
        <v>4</v>
      </c>
      <c r="H565">
        <v>-5</v>
      </c>
      <c r="I565">
        <v>-17</v>
      </c>
      <c r="J565">
        <v>-4</v>
      </c>
      <c r="K565">
        <v>-5</v>
      </c>
      <c r="L565">
        <v>-17</v>
      </c>
      <c r="M565">
        <v>5</v>
      </c>
      <c r="N565">
        <v>6</v>
      </c>
      <c r="AH565">
        <v>106</v>
      </c>
      <c r="AI565">
        <v>16</v>
      </c>
      <c r="AK565">
        <v>2</v>
      </c>
    </row>
    <row r="566" spans="1:43">
      <c r="A566">
        <v>-4</v>
      </c>
      <c r="B566">
        <v>-10</v>
      </c>
      <c r="C566">
        <v>-17</v>
      </c>
      <c r="D566">
        <v>4</v>
      </c>
      <c r="E566">
        <v>-10</v>
      </c>
      <c r="F566">
        <v>-17</v>
      </c>
      <c r="G566">
        <v>4</v>
      </c>
      <c r="H566">
        <v>-11</v>
      </c>
      <c r="I566">
        <v>-17</v>
      </c>
      <c r="J566">
        <v>-4</v>
      </c>
      <c r="K566">
        <v>-11</v>
      </c>
      <c r="L566">
        <v>-17</v>
      </c>
      <c r="M566">
        <v>5</v>
      </c>
      <c r="N566">
        <v>6</v>
      </c>
      <c r="AH566">
        <v>106</v>
      </c>
      <c r="AI566">
        <v>16</v>
      </c>
      <c r="AK566">
        <v>2</v>
      </c>
    </row>
    <row r="567" spans="1:43">
      <c r="A567">
        <v>-4</v>
      </c>
      <c r="B567">
        <v>-16</v>
      </c>
      <c r="C567">
        <v>-17</v>
      </c>
      <c r="D567">
        <v>4</v>
      </c>
      <c r="E567">
        <v>-16</v>
      </c>
      <c r="F567">
        <v>-17</v>
      </c>
      <c r="G567">
        <v>4</v>
      </c>
      <c r="H567">
        <v>-17</v>
      </c>
      <c r="I567">
        <v>-17</v>
      </c>
      <c r="J567">
        <v>-4</v>
      </c>
      <c r="K567">
        <v>-17</v>
      </c>
      <c r="L567">
        <v>-17</v>
      </c>
      <c r="M567">
        <v>5</v>
      </c>
      <c r="N567">
        <v>6</v>
      </c>
      <c r="AH567">
        <v>106</v>
      </c>
      <c r="AI567">
        <v>16</v>
      </c>
      <c r="AK567">
        <v>2</v>
      </c>
    </row>
    <row r="568" spans="1:43">
      <c r="A568">
        <v>-4</v>
      </c>
      <c r="B568">
        <v>-22</v>
      </c>
      <c r="C568">
        <v>-17</v>
      </c>
      <c r="D568">
        <v>4</v>
      </c>
      <c r="E568">
        <v>-22</v>
      </c>
      <c r="F568">
        <v>-17</v>
      </c>
      <c r="G568">
        <v>4</v>
      </c>
      <c r="H568">
        <v>-23</v>
      </c>
      <c r="I568">
        <v>-17</v>
      </c>
      <c r="J568">
        <v>-4</v>
      </c>
      <c r="K568">
        <v>-23</v>
      </c>
      <c r="L568">
        <v>-17</v>
      </c>
      <c r="M568">
        <v>5</v>
      </c>
      <c r="N568">
        <v>6</v>
      </c>
      <c r="AK568">
        <v>2</v>
      </c>
    </row>
    <row r="570" spans="1:43">
      <c r="A570">
        <v>-112</v>
      </c>
      <c r="B570">
        <v>32</v>
      </c>
      <c r="C570">
        <v>112</v>
      </c>
      <c r="E570">
        <v>32</v>
      </c>
      <c r="F570">
        <v>112</v>
      </c>
      <c r="I570">
        <v>112</v>
      </c>
      <c r="J570">
        <v>-112</v>
      </c>
      <c r="L570">
        <v>112</v>
      </c>
      <c r="M570">
        <v>1</v>
      </c>
      <c r="N570">
        <v>4</v>
      </c>
      <c r="S570">
        <v>132</v>
      </c>
      <c r="U570">
        <v>150</v>
      </c>
      <c r="AK570">
        <v>1</v>
      </c>
      <c r="AP570">
        <v>47</v>
      </c>
      <c r="AQ570" t="s">
        <v>509</v>
      </c>
    </row>
    <row r="571" spans="1:43">
      <c r="B571">
        <v>32</v>
      </c>
      <c r="C571">
        <v>112</v>
      </c>
      <c r="D571">
        <v>112</v>
      </c>
      <c r="E571">
        <v>32</v>
      </c>
      <c r="F571">
        <v>112</v>
      </c>
      <c r="G571">
        <v>112</v>
      </c>
      <c r="I571">
        <v>112</v>
      </c>
      <c r="L571">
        <v>112</v>
      </c>
      <c r="M571">
        <v>1</v>
      </c>
      <c r="N571">
        <v>4</v>
      </c>
      <c r="AK571">
        <v>1</v>
      </c>
    </row>
    <row r="572" spans="1:43">
      <c r="A572">
        <v>112</v>
      </c>
      <c r="B572">
        <v>32</v>
      </c>
      <c r="C572">
        <v>112</v>
      </c>
      <c r="D572">
        <v>112</v>
      </c>
      <c r="E572">
        <v>32</v>
      </c>
      <c r="G572">
        <v>112</v>
      </c>
      <c r="J572">
        <v>112</v>
      </c>
      <c r="L572">
        <v>112</v>
      </c>
      <c r="M572">
        <v>1</v>
      </c>
      <c r="N572">
        <v>5</v>
      </c>
      <c r="AK572">
        <v>1</v>
      </c>
    </row>
    <row r="573" spans="1:43">
      <c r="A573">
        <v>112</v>
      </c>
      <c r="B573">
        <v>32</v>
      </c>
      <c r="D573">
        <v>112</v>
      </c>
      <c r="E573">
        <v>32</v>
      </c>
      <c r="F573">
        <v>-112</v>
      </c>
      <c r="G573">
        <v>112</v>
      </c>
      <c r="I573">
        <v>-112</v>
      </c>
      <c r="J573">
        <v>112</v>
      </c>
      <c r="M573">
        <v>1</v>
      </c>
      <c r="N573">
        <v>5</v>
      </c>
      <c r="AK573">
        <v>1</v>
      </c>
    </row>
    <row r="574" spans="1:43">
      <c r="A574">
        <v>112</v>
      </c>
      <c r="B574">
        <v>32</v>
      </c>
      <c r="C574">
        <v>-112</v>
      </c>
      <c r="E574">
        <v>32</v>
      </c>
      <c r="F574">
        <v>-112</v>
      </c>
      <c r="I574">
        <v>-112</v>
      </c>
      <c r="J574">
        <v>112</v>
      </c>
      <c r="L574">
        <v>-112</v>
      </c>
      <c r="M574">
        <v>1</v>
      </c>
      <c r="N574">
        <v>4</v>
      </c>
      <c r="AK574">
        <v>1</v>
      </c>
    </row>
    <row r="575" spans="1:43">
      <c r="B575">
        <v>32</v>
      </c>
      <c r="C575">
        <v>-112</v>
      </c>
      <c r="D575">
        <v>-112</v>
      </c>
      <c r="E575">
        <v>32</v>
      </c>
      <c r="F575">
        <v>-112</v>
      </c>
      <c r="G575">
        <v>-112</v>
      </c>
      <c r="I575">
        <v>-112</v>
      </c>
      <c r="L575">
        <v>-112</v>
      </c>
      <c r="M575">
        <v>1</v>
      </c>
      <c r="N575">
        <v>4</v>
      </c>
      <c r="AK575">
        <v>1</v>
      </c>
    </row>
    <row r="576" spans="1:43">
      <c r="A576">
        <v>-112</v>
      </c>
      <c r="B576">
        <v>32</v>
      </c>
      <c r="C576">
        <v>-112</v>
      </c>
      <c r="D576">
        <v>-112</v>
      </c>
      <c r="E576">
        <v>32</v>
      </c>
      <c r="G576">
        <v>-112</v>
      </c>
      <c r="J576">
        <v>-112</v>
      </c>
      <c r="L576">
        <v>-112</v>
      </c>
      <c r="M576">
        <v>1</v>
      </c>
      <c r="N576">
        <v>5</v>
      </c>
      <c r="AK576">
        <v>1</v>
      </c>
    </row>
    <row r="577" spans="1:43">
      <c r="A577">
        <v>-112</v>
      </c>
      <c r="B577">
        <v>32</v>
      </c>
      <c r="D577">
        <v>-112</v>
      </c>
      <c r="E577">
        <v>32</v>
      </c>
      <c r="F577">
        <v>112</v>
      </c>
      <c r="G577">
        <v>-112</v>
      </c>
      <c r="I577">
        <v>112</v>
      </c>
      <c r="J577">
        <v>-112</v>
      </c>
      <c r="M577">
        <v>1</v>
      </c>
      <c r="N577">
        <v>5</v>
      </c>
      <c r="AK577">
        <v>1</v>
      </c>
    </row>
    <row r="578" spans="1:43">
      <c r="A578">
        <v>-80</v>
      </c>
      <c r="B578">
        <v>64</v>
      </c>
      <c r="C578">
        <v>80</v>
      </c>
      <c r="D578">
        <v>80</v>
      </c>
      <c r="E578">
        <v>64</v>
      </c>
      <c r="F578">
        <v>80</v>
      </c>
      <c r="G578">
        <v>80</v>
      </c>
      <c r="H578">
        <v>32</v>
      </c>
      <c r="I578">
        <v>80</v>
      </c>
      <c r="J578">
        <v>-80</v>
      </c>
      <c r="K578">
        <v>32</v>
      </c>
      <c r="L578">
        <v>80</v>
      </c>
      <c r="M578">
        <v>1</v>
      </c>
      <c r="N578">
        <v>5</v>
      </c>
      <c r="AK578">
        <v>1</v>
      </c>
    </row>
    <row r="579" spans="1:43">
      <c r="A579">
        <v>80</v>
      </c>
      <c r="B579">
        <v>64</v>
      </c>
      <c r="C579">
        <v>80</v>
      </c>
      <c r="D579">
        <v>80</v>
      </c>
      <c r="E579">
        <v>64</v>
      </c>
      <c r="F579">
        <v>-80</v>
      </c>
      <c r="G579">
        <v>80</v>
      </c>
      <c r="H579">
        <v>32</v>
      </c>
      <c r="I579">
        <v>-80</v>
      </c>
      <c r="J579">
        <v>80</v>
      </c>
      <c r="K579">
        <v>32</v>
      </c>
      <c r="L579">
        <v>80</v>
      </c>
      <c r="M579">
        <v>1</v>
      </c>
      <c r="N579">
        <v>6</v>
      </c>
      <c r="AK579">
        <v>1</v>
      </c>
    </row>
    <row r="580" spans="1:43">
      <c r="A580">
        <v>80</v>
      </c>
      <c r="B580">
        <v>64</v>
      </c>
      <c r="C580">
        <v>-80</v>
      </c>
      <c r="D580">
        <v>-80</v>
      </c>
      <c r="E580">
        <v>64</v>
      </c>
      <c r="F580">
        <v>-80</v>
      </c>
      <c r="G580">
        <v>-80</v>
      </c>
      <c r="H580">
        <v>32</v>
      </c>
      <c r="I580">
        <v>-80</v>
      </c>
      <c r="J580">
        <v>80</v>
      </c>
      <c r="K580">
        <v>32</v>
      </c>
      <c r="L580">
        <v>-80</v>
      </c>
      <c r="M580">
        <v>1</v>
      </c>
      <c r="N580">
        <v>5</v>
      </c>
      <c r="AK580">
        <v>1</v>
      </c>
    </row>
    <row r="581" spans="1:43">
      <c r="A581">
        <v>-80</v>
      </c>
      <c r="B581">
        <v>64</v>
      </c>
      <c r="C581">
        <v>-80</v>
      </c>
      <c r="D581">
        <v>-80</v>
      </c>
      <c r="E581">
        <v>64</v>
      </c>
      <c r="F581">
        <v>80</v>
      </c>
      <c r="G581">
        <v>-80</v>
      </c>
      <c r="H581">
        <v>32</v>
      </c>
      <c r="I581">
        <v>80</v>
      </c>
      <c r="J581">
        <v>-80</v>
      </c>
      <c r="K581">
        <v>32</v>
      </c>
      <c r="L581">
        <v>-80</v>
      </c>
      <c r="M581">
        <v>1</v>
      </c>
      <c r="N581">
        <v>6</v>
      </c>
      <c r="AK581">
        <v>1</v>
      </c>
    </row>
    <row r="582" spans="1:43">
      <c r="A582">
        <v>-48</v>
      </c>
      <c r="B582">
        <v>96</v>
      </c>
      <c r="C582">
        <v>48</v>
      </c>
      <c r="D582">
        <v>48</v>
      </c>
      <c r="E582">
        <v>96</v>
      </c>
      <c r="F582">
        <v>48</v>
      </c>
      <c r="G582">
        <v>48</v>
      </c>
      <c r="H582">
        <v>64</v>
      </c>
      <c r="I582">
        <v>48</v>
      </c>
      <c r="J582">
        <v>-48</v>
      </c>
      <c r="K582">
        <v>64</v>
      </c>
      <c r="L582">
        <v>48</v>
      </c>
      <c r="M582">
        <v>1</v>
      </c>
      <c r="N582">
        <v>6</v>
      </c>
      <c r="AK582">
        <v>1</v>
      </c>
    </row>
    <row r="583" spans="1:43">
      <c r="A583">
        <v>48</v>
      </c>
      <c r="B583">
        <v>96</v>
      </c>
      <c r="C583">
        <v>48</v>
      </c>
      <c r="D583">
        <v>48</v>
      </c>
      <c r="E583">
        <v>96</v>
      </c>
      <c r="F583">
        <v>-48</v>
      </c>
      <c r="G583">
        <v>48</v>
      </c>
      <c r="H583">
        <v>64</v>
      </c>
      <c r="I583">
        <v>-48</v>
      </c>
      <c r="J583">
        <v>48</v>
      </c>
      <c r="K583">
        <v>64</v>
      </c>
      <c r="L583">
        <v>48</v>
      </c>
      <c r="M583">
        <v>1</v>
      </c>
      <c r="N583">
        <v>7</v>
      </c>
      <c r="AK583">
        <v>1</v>
      </c>
    </row>
    <row r="584" spans="1:43">
      <c r="A584">
        <v>48</v>
      </c>
      <c r="B584">
        <v>96</v>
      </c>
      <c r="C584">
        <v>-48</v>
      </c>
      <c r="D584">
        <v>-48</v>
      </c>
      <c r="E584">
        <v>96</v>
      </c>
      <c r="F584">
        <v>-48</v>
      </c>
      <c r="G584">
        <v>-48</v>
      </c>
      <c r="H584">
        <v>64</v>
      </c>
      <c r="I584">
        <v>-48</v>
      </c>
      <c r="J584">
        <v>48</v>
      </c>
      <c r="K584">
        <v>64</v>
      </c>
      <c r="L584">
        <v>-48</v>
      </c>
      <c r="M584">
        <v>1</v>
      </c>
      <c r="N584">
        <v>6</v>
      </c>
      <c r="AK584">
        <v>1</v>
      </c>
    </row>
    <row r="585" spans="1:43">
      <c r="A585">
        <v>-48</v>
      </c>
      <c r="B585">
        <v>96</v>
      </c>
      <c r="C585">
        <v>-48</v>
      </c>
      <c r="D585">
        <v>-48</v>
      </c>
      <c r="E585">
        <v>96</v>
      </c>
      <c r="F585">
        <v>48</v>
      </c>
      <c r="G585">
        <v>-48</v>
      </c>
      <c r="H585">
        <v>64</v>
      </c>
      <c r="I585">
        <v>48</v>
      </c>
      <c r="J585">
        <v>-48</v>
      </c>
      <c r="K585">
        <v>64</v>
      </c>
      <c r="L585">
        <v>-48</v>
      </c>
      <c r="M585">
        <v>1</v>
      </c>
      <c r="N585">
        <v>7</v>
      </c>
      <c r="AK585">
        <v>1</v>
      </c>
    </row>
    <row r="586" spans="1:43">
      <c r="A586">
        <v>-48</v>
      </c>
      <c r="B586">
        <v>96</v>
      </c>
      <c r="C586">
        <v>48</v>
      </c>
      <c r="E586">
        <v>150</v>
      </c>
      <c r="G586">
        <v>48</v>
      </c>
      <c r="H586">
        <v>96</v>
      </c>
      <c r="I586">
        <v>48</v>
      </c>
      <c r="K586">
        <v>96</v>
      </c>
      <c r="L586">
        <v>48</v>
      </c>
      <c r="M586">
        <v>5</v>
      </c>
      <c r="N586">
        <v>12</v>
      </c>
      <c r="AK586">
        <v>1</v>
      </c>
    </row>
    <row r="587" spans="1:43">
      <c r="A587">
        <v>48</v>
      </c>
      <c r="B587">
        <v>96</v>
      </c>
      <c r="C587">
        <v>48</v>
      </c>
      <c r="E587">
        <v>150</v>
      </c>
      <c r="G587">
        <v>48</v>
      </c>
      <c r="H587">
        <v>96</v>
      </c>
      <c r="I587">
        <v>-48</v>
      </c>
      <c r="J587">
        <v>48</v>
      </c>
      <c r="K587">
        <v>96</v>
      </c>
      <c r="M587">
        <v>5</v>
      </c>
      <c r="N587">
        <v>12</v>
      </c>
      <c r="AK587">
        <v>1</v>
      </c>
    </row>
    <row r="588" spans="1:43">
      <c r="A588">
        <v>48</v>
      </c>
      <c r="B588">
        <v>96</v>
      </c>
      <c r="C588">
        <v>-48</v>
      </c>
      <c r="E588">
        <v>150</v>
      </c>
      <c r="G588">
        <v>-48</v>
      </c>
      <c r="H588">
        <v>96</v>
      </c>
      <c r="I588">
        <v>-48</v>
      </c>
      <c r="K588">
        <v>96</v>
      </c>
      <c r="L588">
        <v>-48</v>
      </c>
      <c r="M588">
        <v>5</v>
      </c>
      <c r="N588">
        <v>12</v>
      </c>
      <c r="AK588">
        <v>1</v>
      </c>
    </row>
    <row r="589" spans="1:43">
      <c r="A589">
        <v>-48</v>
      </c>
      <c r="B589">
        <v>96</v>
      </c>
      <c r="C589">
        <v>-48</v>
      </c>
      <c r="E589">
        <v>150</v>
      </c>
      <c r="G589">
        <v>-48</v>
      </c>
      <c r="H589">
        <v>96</v>
      </c>
      <c r="I589">
        <v>48</v>
      </c>
      <c r="J589">
        <v>-48</v>
      </c>
      <c r="K589">
        <v>96</v>
      </c>
      <c r="M589">
        <v>5</v>
      </c>
      <c r="N589">
        <v>12</v>
      </c>
      <c r="AK589">
        <v>1</v>
      </c>
    </row>
    <row r="591" spans="1:43">
      <c r="A591">
        <v>-1</v>
      </c>
      <c r="B591">
        <v>30</v>
      </c>
      <c r="C591">
        <v>17</v>
      </c>
      <c r="D591">
        <v>3</v>
      </c>
      <c r="E591">
        <v>30</v>
      </c>
      <c r="F591">
        <v>17</v>
      </c>
      <c r="G591">
        <v>3</v>
      </c>
      <c r="I591">
        <v>17</v>
      </c>
      <c r="J591">
        <v>-1</v>
      </c>
      <c r="L591">
        <v>17</v>
      </c>
      <c r="M591">
        <v>4</v>
      </c>
      <c r="N591">
        <v>11</v>
      </c>
      <c r="S591">
        <v>70</v>
      </c>
      <c r="U591">
        <v>70</v>
      </c>
      <c r="AK591">
        <v>1</v>
      </c>
      <c r="AP591">
        <v>48</v>
      </c>
      <c r="AQ591" t="s">
        <v>909</v>
      </c>
    </row>
    <row r="592" spans="1:43">
      <c r="A592">
        <v>-8</v>
      </c>
      <c r="B592">
        <v>12</v>
      </c>
      <c r="C592">
        <v>17</v>
      </c>
      <c r="D592">
        <v>12</v>
      </c>
      <c r="E592">
        <v>12</v>
      </c>
      <c r="F592">
        <v>17</v>
      </c>
      <c r="G592">
        <v>12</v>
      </c>
      <c r="H592">
        <v>8</v>
      </c>
      <c r="I592">
        <v>17</v>
      </c>
      <c r="J592">
        <v>-8</v>
      </c>
      <c r="K592">
        <v>8</v>
      </c>
      <c r="L592">
        <v>17</v>
      </c>
      <c r="M592">
        <v>4</v>
      </c>
      <c r="N592">
        <v>11</v>
      </c>
      <c r="AK592">
        <v>1</v>
      </c>
    </row>
    <row r="593" spans="1:43">
      <c r="A593">
        <v>-2</v>
      </c>
      <c r="B593">
        <v>13</v>
      </c>
      <c r="C593">
        <v>18</v>
      </c>
      <c r="D593">
        <v>4</v>
      </c>
      <c r="E593">
        <v>13</v>
      </c>
      <c r="F593">
        <v>18</v>
      </c>
      <c r="G593">
        <v>4</v>
      </c>
      <c r="H593">
        <v>7</v>
      </c>
      <c r="I593">
        <v>18</v>
      </c>
      <c r="J593">
        <v>-2</v>
      </c>
      <c r="K593">
        <v>7</v>
      </c>
      <c r="L593">
        <v>18</v>
      </c>
      <c r="M593">
        <v>5</v>
      </c>
      <c r="N593">
        <v>12</v>
      </c>
      <c r="AK593">
        <v>1</v>
      </c>
    </row>
    <row r="594" spans="1:43">
      <c r="A594">
        <v>-1</v>
      </c>
      <c r="B594">
        <v>30</v>
      </c>
      <c r="C594">
        <v>-17</v>
      </c>
      <c r="D594">
        <v>3</v>
      </c>
      <c r="E594">
        <v>30</v>
      </c>
      <c r="F594">
        <v>-17</v>
      </c>
      <c r="G594">
        <v>3</v>
      </c>
      <c r="I594">
        <v>-17</v>
      </c>
      <c r="J594">
        <v>-1</v>
      </c>
      <c r="L594">
        <v>-17</v>
      </c>
      <c r="M594">
        <v>4</v>
      </c>
      <c r="N594">
        <v>11</v>
      </c>
      <c r="AK594">
        <v>2</v>
      </c>
    </row>
    <row r="595" spans="1:43">
      <c r="A595">
        <v>-8</v>
      </c>
      <c r="B595">
        <v>12</v>
      </c>
      <c r="C595">
        <v>-17</v>
      </c>
      <c r="D595">
        <v>12</v>
      </c>
      <c r="E595">
        <v>12</v>
      </c>
      <c r="F595">
        <v>-17</v>
      </c>
      <c r="G595">
        <v>12</v>
      </c>
      <c r="H595">
        <v>8</v>
      </c>
      <c r="I595">
        <v>-17</v>
      </c>
      <c r="J595">
        <v>-8</v>
      </c>
      <c r="K595">
        <v>8</v>
      </c>
      <c r="L595">
        <v>-17</v>
      </c>
      <c r="M595">
        <v>4</v>
      </c>
      <c r="N595">
        <v>11</v>
      </c>
      <c r="AK595">
        <v>2</v>
      </c>
    </row>
    <row r="596" spans="1:43">
      <c r="A596">
        <v>-2</v>
      </c>
      <c r="B596">
        <v>13</v>
      </c>
      <c r="C596">
        <v>-18</v>
      </c>
      <c r="D596">
        <v>4</v>
      </c>
      <c r="E596">
        <v>13</v>
      </c>
      <c r="F596">
        <v>-18</v>
      </c>
      <c r="G596">
        <v>4</v>
      </c>
      <c r="H596">
        <v>7</v>
      </c>
      <c r="I596">
        <v>-18</v>
      </c>
      <c r="J596">
        <v>-2</v>
      </c>
      <c r="K596">
        <v>7</v>
      </c>
      <c r="L596">
        <v>-18</v>
      </c>
      <c r="M596">
        <v>5</v>
      </c>
      <c r="N596">
        <v>12</v>
      </c>
      <c r="AK596">
        <v>2</v>
      </c>
    </row>
    <row r="598" spans="1:43">
      <c r="M598" s="3079">
        <v>1</v>
      </c>
      <c r="N598">
        <v>3</v>
      </c>
      <c r="P598">
        <v>3</v>
      </c>
      <c r="S598">
        <v>3</v>
      </c>
      <c r="U598">
        <v>140</v>
      </c>
      <c r="AA598">
        <v>262</v>
      </c>
      <c r="AB598">
        <v>3</v>
      </c>
      <c r="AK598">
        <v>1</v>
      </c>
      <c r="AO598">
        <v>25</v>
      </c>
      <c r="AP598">
        <v>49</v>
      </c>
      <c r="AQ598" t="s">
        <v>905</v>
      </c>
    </row>
    <row r="599" spans="1:43">
      <c r="M599" s="3079">
        <v>1</v>
      </c>
      <c r="N599">
        <v>3</v>
      </c>
      <c r="P599">
        <v>3</v>
      </c>
      <c r="AK599">
        <v>1</v>
      </c>
      <c r="AO599">
        <v>26</v>
      </c>
    </row>
    <row r="600" spans="1:43">
      <c r="M600" s="3079">
        <v>5</v>
      </c>
      <c r="N600">
        <v>3</v>
      </c>
      <c r="P600">
        <v>3</v>
      </c>
      <c r="AK600">
        <v>1</v>
      </c>
      <c r="AO600">
        <v>27</v>
      </c>
    </row>
    <row r="601" spans="1:43">
      <c r="M601" s="3079">
        <v>1</v>
      </c>
      <c r="N601">
        <v>4</v>
      </c>
      <c r="P601">
        <v>3</v>
      </c>
      <c r="AK601">
        <v>1</v>
      </c>
      <c r="AO601">
        <v>28</v>
      </c>
    </row>
    <row r="602" spans="1:43">
      <c r="M602" s="3079">
        <v>1</v>
      </c>
      <c r="N602">
        <v>3</v>
      </c>
      <c r="P602">
        <v>3</v>
      </c>
      <c r="AK602">
        <v>1</v>
      </c>
      <c r="AO602">
        <v>29</v>
      </c>
    </row>
    <row r="603" spans="1:43">
      <c r="M603" s="3079">
        <v>1</v>
      </c>
      <c r="N603">
        <v>3</v>
      </c>
      <c r="P603">
        <v>3</v>
      </c>
      <c r="AO603">
        <v>30</v>
      </c>
    </row>
    <row r="604" spans="1:43">
      <c r="A604">
        <v>-3.7</v>
      </c>
      <c r="C604">
        <v>1</v>
      </c>
      <c r="D604">
        <v>-2.5</v>
      </c>
      <c r="E604">
        <v>1.5</v>
      </c>
      <c r="F604">
        <v>0.7</v>
      </c>
      <c r="G604">
        <v>-2</v>
      </c>
      <c r="I604">
        <v>0.7</v>
      </c>
      <c r="J604">
        <v>-3</v>
      </c>
      <c r="K604">
        <v>-1</v>
      </c>
      <c r="L604">
        <v>0.75</v>
      </c>
      <c r="M604" s="3079">
        <v>1</v>
      </c>
      <c r="N604">
        <v>3</v>
      </c>
      <c r="P604">
        <v>3</v>
      </c>
      <c r="AK604">
        <v>1</v>
      </c>
    </row>
    <row r="605" spans="1:43">
      <c r="A605">
        <v>-3.7</v>
      </c>
      <c r="C605">
        <v>-1</v>
      </c>
      <c r="D605">
        <v>-3</v>
      </c>
      <c r="E605">
        <v>-1</v>
      </c>
      <c r="F605">
        <v>-0.75</v>
      </c>
      <c r="G605">
        <v>-2</v>
      </c>
      <c r="I605">
        <v>-0.7</v>
      </c>
      <c r="J605">
        <v>-2.5</v>
      </c>
      <c r="K605">
        <v>1.5</v>
      </c>
      <c r="L605">
        <v>-0.7</v>
      </c>
      <c r="M605" s="3079">
        <v>1</v>
      </c>
      <c r="N605">
        <v>3</v>
      </c>
      <c r="P605">
        <v>3</v>
      </c>
      <c r="AK605">
        <v>1</v>
      </c>
    </row>
    <row r="606" spans="1:43">
      <c r="A606">
        <v>-3.7</v>
      </c>
      <c r="C606">
        <v>1</v>
      </c>
      <c r="D606">
        <v>-3.7</v>
      </c>
      <c r="F606">
        <v>-1</v>
      </c>
      <c r="G606">
        <v>-2.5</v>
      </c>
      <c r="H606">
        <v>1.5</v>
      </c>
      <c r="I606">
        <v>-0.7</v>
      </c>
      <c r="J606">
        <v>-2.5</v>
      </c>
      <c r="K606">
        <v>1.5</v>
      </c>
      <c r="L606">
        <v>0.7</v>
      </c>
      <c r="M606" s="3079">
        <v>1</v>
      </c>
      <c r="N606">
        <v>4</v>
      </c>
      <c r="P606">
        <v>3</v>
      </c>
      <c r="AK606">
        <v>1</v>
      </c>
    </row>
    <row r="607" spans="1:43">
      <c r="M607" s="3079">
        <v>1</v>
      </c>
      <c r="N607">
        <v>3</v>
      </c>
      <c r="P607">
        <v>3</v>
      </c>
      <c r="AK607">
        <v>1</v>
      </c>
      <c r="AO607">
        <v>34</v>
      </c>
    </row>
    <row r="608" spans="1:43">
      <c r="A608">
        <v>-2.5</v>
      </c>
      <c r="C608">
        <v>0.7</v>
      </c>
      <c r="D608">
        <v>-2.5</v>
      </c>
      <c r="F608">
        <v>-0.7</v>
      </c>
      <c r="I608">
        <v>-0.7</v>
      </c>
      <c r="L608">
        <v>0.7</v>
      </c>
      <c r="M608" s="3079">
        <v>7</v>
      </c>
      <c r="N608">
        <v>4</v>
      </c>
      <c r="P608">
        <v>3</v>
      </c>
      <c r="AK608">
        <v>2</v>
      </c>
    </row>
    <row r="609" spans="1:37">
      <c r="A609">
        <v>-2</v>
      </c>
      <c r="C609">
        <v>0.7</v>
      </c>
      <c r="D609">
        <v>-2.5</v>
      </c>
      <c r="E609">
        <v>1.5</v>
      </c>
      <c r="F609">
        <v>0.7</v>
      </c>
      <c r="H609">
        <v>1.5</v>
      </c>
      <c r="I609">
        <v>0.7</v>
      </c>
      <c r="L609">
        <v>0.7</v>
      </c>
      <c r="M609" s="3079">
        <v>7</v>
      </c>
      <c r="N609">
        <v>5</v>
      </c>
      <c r="P609">
        <v>3</v>
      </c>
      <c r="AJ609">
        <v>3</v>
      </c>
      <c r="AK609">
        <v>1</v>
      </c>
    </row>
    <row r="610" spans="1:37">
      <c r="A610">
        <v>-2</v>
      </c>
      <c r="C610">
        <v>-0.7</v>
      </c>
      <c r="F610">
        <v>-0.7</v>
      </c>
      <c r="H610">
        <v>1.5</v>
      </c>
      <c r="I610">
        <v>-0.7</v>
      </c>
      <c r="J610">
        <v>-2.5</v>
      </c>
      <c r="K610">
        <v>1.5</v>
      </c>
      <c r="L610">
        <v>-0.7</v>
      </c>
      <c r="M610" s="3079">
        <v>7</v>
      </c>
      <c r="N610">
        <v>5</v>
      </c>
      <c r="P610">
        <v>3</v>
      </c>
      <c r="AJ610">
        <v>3</v>
      </c>
      <c r="AK610">
        <v>1</v>
      </c>
    </row>
    <row r="611" spans="1:37">
      <c r="A611">
        <v>-2.5</v>
      </c>
      <c r="B611">
        <v>1.5</v>
      </c>
      <c r="C611">
        <v>0.7</v>
      </c>
      <c r="D611">
        <v>-2.5</v>
      </c>
      <c r="E611">
        <v>1.5</v>
      </c>
      <c r="F611">
        <v>-0.7</v>
      </c>
      <c r="H611">
        <v>1.5</v>
      </c>
      <c r="I611">
        <v>-0.7</v>
      </c>
      <c r="K611">
        <v>1.5</v>
      </c>
      <c r="L611">
        <v>0.7</v>
      </c>
      <c r="M611" s="3079">
        <v>7</v>
      </c>
      <c r="N611">
        <v>7</v>
      </c>
      <c r="P611">
        <v>3</v>
      </c>
      <c r="AJ611">
        <v>1</v>
      </c>
      <c r="AK611">
        <v>1</v>
      </c>
    </row>
    <row r="612" spans="1:37">
      <c r="A612">
        <v>0</v>
      </c>
      <c r="B612">
        <v>1.5</v>
      </c>
      <c r="C612">
        <v>0.7</v>
      </c>
      <c r="D612">
        <v>0</v>
      </c>
      <c r="E612">
        <v>1.5</v>
      </c>
      <c r="F612">
        <v>-0.7</v>
      </c>
      <c r="I612">
        <v>-0.7</v>
      </c>
      <c r="L612">
        <v>0.7</v>
      </c>
      <c r="M612" s="3079">
        <v>7</v>
      </c>
      <c r="N612">
        <v>4</v>
      </c>
      <c r="P612">
        <v>3</v>
      </c>
      <c r="AJ612">
        <v>2</v>
      </c>
      <c r="AK612">
        <v>1</v>
      </c>
    </row>
    <row r="613" spans="1:37">
      <c r="A613">
        <v>-1.8</v>
      </c>
      <c r="B613">
        <v>1.2</v>
      </c>
      <c r="C613">
        <v>0.75</v>
      </c>
      <c r="D613">
        <v>-0.2</v>
      </c>
      <c r="E613">
        <v>1.2</v>
      </c>
      <c r="F613">
        <v>0.75</v>
      </c>
      <c r="G613">
        <v>-0.2</v>
      </c>
      <c r="H613">
        <v>0.3</v>
      </c>
      <c r="I613">
        <v>0.75</v>
      </c>
      <c r="J613">
        <v>-1.8</v>
      </c>
      <c r="K613">
        <v>0.3</v>
      </c>
      <c r="L613">
        <v>0.75</v>
      </c>
      <c r="M613" s="3079">
        <v>7</v>
      </c>
      <c r="N613">
        <v>3</v>
      </c>
      <c r="P613">
        <v>3</v>
      </c>
      <c r="AK613">
        <v>1</v>
      </c>
    </row>
    <row r="614" spans="1:37">
      <c r="A614">
        <v>-2.2000000000000002</v>
      </c>
      <c r="B614">
        <v>1.5</v>
      </c>
      <c r="D614">
        <v>-2</v>
      </c>
      <c r="E614">
        <v>1.8</v>
      </c>
      <c r="G614">
        <v>-1.9</v>
      </c>
      <c r="H614">
        <v>1.8</v>
      </c>
      <c r="J614">
        <v>-1.7</v>
      </c>
      <c r="K614">
        <v>1.5</v>
      </c>
      <c r="M614" s="3079">
        <v>7</v>
      </c>
      <c r="N614">
        <v>4</v>
      </c>
      <c r="P614">
        <v>3</v>
      </c>
    </row>
    <row r="615" spans="1:37">
      <c r="A615">
        <v>-2.2000000000000002</v>
      </c>
      <c r="D615">
        <v>-1</v>
      </c>
      <c r="G615">
        <v>-0.7</v>
      </c>
      <c r="H615">
        <v>-1</v>
      </c>
      <c r="J615">
        <v>-1.6</v>
      </c>
      <c r="K615">
        <v>-0.5</v>
      </c>
      <c r="M615" s="3079">
        <v>1</v>
      </c>
      <c r="N615">
        <v>2</v>
      </c>
      <c r="P615">
        <v>3</v>
      </c>
    </row>
    <row r="616" spans="1:37">
      <c r="A616">
        <v>1</v>
      </c>
      <c r="B616">
        <v>0.45</v>
      </c>
      <c r="C616">
        <v>0.4</v>
      </c>
      <c r="D616">
        <v>4.5</v>
      </c>
      <c r="E616">
        <v>0.45</v>
      </c>
      <c r="F616">
        <v>0.4</v>
      </c>
      <c r="G616">
        <v>4.5</v>
      </c>
      <c r="H616">
        <v>-0.5</v>
      </c>
      <c r="I616">
        <v>0.4</v>
      </c>
      <c r="J616">
        <v>1</v>
      </c>
      <c r="K616">
        <v>-0.5</v>
      </c>
      <c r="L616">
        <v>0.4</v>
      </c>
      <c r="M616" s="3079">
        <v>1</v>
      </c>
      <c r="N616">
        <v>3</v>
      </c>
      <c r="P616">
        <v>3</v>
      </c>
      <c r="AK616">
        <v>1</v>
      </c>
    </row>
    <row r="617" spans="1:37">
      <c r="A617">
        <v>1</v>
      </c>
      <c r="B617">
        <v>0.45</v>
      </c>
      <c r="C617">
        <v>-0.4</v>
      </c>
      <c r="D617">
        <v>1</v>
      </c>
      <c r="E617">
        <v>-0.5</v>
      </c>
      <c r="F617">
        <v>-0.4</v>
      </c>
      <c r="G617">
        <v>4.5</v>
      </c>
      <c r="H617">
        <v>-0.5</v>
      </c>
      <c r="I617">
        <v>-0.4</v>
      </c>
      <c r="J617">
        <v>4.5</v>
      </c>
      <c r="K617">
        <v>0.45</v>
      </c>
      <c r="L617">
        <v>-0.4</v>
      </c>
      <c r="M617" s="3079">
        <v>1</v>
      </c>
      <c r="N617">
        <v>3</v>
      </c>
      <c r="P617">
        <v>3</v>
      </c>
      <c r="AK617">
        <v>1</v>
      </c>
    </row>
    <row r="618" spans="1:37">
      <c r="A618">
        <v>1</v>
      </c>
      <c r="B618">
        <v>0.45</v>
      </c>
      <c r="C618">
        <v>0.4</v>
      </c>
      <c r="D618">
        <v>1</v>
      </c>
      <c r="E618">
        <v>-0.5</v>
      </c>
      <c r="F618">
        <v>0.4</v>
      </c>
      <c r="G618">
        <v>1</v>
      </c>
      <c r="H618">
        <v>-0.5</v>
      </c>
      <c r="I618">
        <v>-0.4</v>
      </c>
      <c r="J618">
        <v>1</v>
      </c>
      <c r="K618">
        <v>0.45</v>
      </c>
      <c r="L618">
        <v>-0.4</v>
      </c>
      <c r="M618" s="3079">
        <v>1</v>
      </c>
      <c r="N618">
        <v>2</v>
      </c>
      <c r="P618">
        <v>3</v>
      </c>
      <c r="AK618">
        <v>1</v>
      </c>
    </row>
    <row r="619" spans="1:37">
      <c r="A619">
        <v>4.5</v>
      </c>
      <c r="B619">
        <v>0.45</v>
      </c>
      <c r="C619">
        <v>0.4</v>
      </c>
      <c r="D619">
        <v>4.5</v>
      </c>
      <c r="E619">
        <v>0.45</v>
      </c>
      <c r="F619">
        <v>-0.4</v>
      </c>
      <c r="G619">
        <v>4.5</v>
      </c>
      <c r="H619">
        <v>-0.5</v>
      </c>
      <c r="I619">
        <v>-0.4</v>
      </c>
      <c r="J619">
        <v>4.5</v>
      </c>
      <c r="K619">
        <v>-0.5</v>
      </c>
      <c r="L619">
        <v>0.4</v>
      </c>
      <c r="M619" s="3079">
        <v>1</v>
      </c>
      <c r="N619">
        <v>2</v>
      </c>
      <c r="P619">
        <v>3</v>
      </c>
      <c r="AK619">
        <v>1</v>
      </c>
    </row>
    <row r="620" spans="1:37">
      <c r="B620">
        <v>0.15</v>
      </c>
      <c r="C620">
        <v>-0.35</v>
      </c>
      <c r="E620">
        <v>0.15</v>
      </c>
      <c r="F620">
        <v>0.35</v>
      </c>
      <c r="G620">
        <v>5</v>
      </c>
      <c r="H620">
        <v>0.15</v>
      </c>
      <c r="I620">
        <v>0.35</v>
      </c>
      <c r="J620">
        <v>5</v>
      </c>
      <c r="K620">
        <v>0.15</v>
      </c>
      <c r="L620">
        <v>-0.35</v>
      </c>
      <c r="M620">
        <v>7</v>
      </c>
      <c r="N620">
        <v>4</v>
      </c>
      <c r="P620">
        <v>3</v>
      </c>
      <c r="AK620">
        <v>1</v>
      </c>
    </row>
    <row r="621" spans="1:37">
      <c r="B621">
        <v>0.75</v>
      </c>
      <c r="C621">
        <v>-0.75</v>
      </c>
      <c r="E621">
        <v>0.15</v>
      </c>
      <c r="F621">
        <v>-0.35</v>
      </c>
      <c r="G621">
        <v>5</v>
      </c>
      <c r="H621">
        <v>0.15</v>
      </c>
      <c r="I621">
        <v>-0.35</v>
      </c>
      <c r="J621">
        <v>5</v>
      </c>
      <c r="K621">
        <v>0.75</v>
      </c>
      <c r="L621">
        <v>-0.75</v>
      </c>
      <c r="M621">
        <v>7</v>
      </c>
      <c r="N621">
        <v>5</v>
      </c>
      <c r="P621">
        <v>3</v>
      </c>
      <c r="AK621">
        <v>1</v>
      </c>
    </row>
    <row r="622" spans="1:37">
      <c r="B622">
        <v>0.15</v>
      </c>
      <c r="C622">
        <v>0.35</v>
      </c>
      <c r="E622">
        <v>0.75</v>
      </c>
      <c r="F622">
        <v>0.75</v>
      </c>
      <c r="G622">
        <v>5</v>
      </c>
      <c r="H622">
        <v>0.75</v>
      </c>
      <c r="I622">
        <v>0.75</v>
      </c>
      <c r="J622">
        <v>5</v>
      </c>
      <c r="K622">
        <v>0.15</v>
      </c>
      <c r="L622">
        <v>0.35</v>
      </c>
      <c r="M622">
        <v>7</v>
      </c>
      <c r="N622">
        <v>5</v>
      </c>
      <c r="P622">
        <v>3</v>
      </c>
      <c r="AK622">
        <v>1</v>
      </c>
    </row>
    <row r="623" spans="1:37">
      <c r="B623">
        <v>1.35</v>
      </c>
      <c r="C623">
        <v>-0.35</v>
      </c>
      <c r="E623">
        <v>0.75</v>
      </c>
      <c r="F623">
        <v>-0.75</v>
      </c>
      <c r="G623">
        <v>5</v>
      </c>
      <c r="H623">
        <v>0.75</v>
      </c>
      <c r="I623">
        <v>-0.75</v>
      </c>
      <c r="J623">
        <v>5</v>
      </c>
      <c r="K623">
        <v>1.35</v>
      </c>
      <c r="L623">
        <v>-0.35</v>
      </c>
      <c r="M623">
        <v>7</v>
      </c>
      <c r="N623">
        <v>6</v>
      </c>
      <c r="P623">
        <v>3</v>
      </c>
      <c r="AJ623">
        <v>2</v>
      </c>
      <c r="AK623">
        <v>1</v>
      </c>
    </row>
    <row r="624" spans="1:37">
      <c r="B624">
        <v>0.75</v>
      </c>
      <c r="C624">
        <v>0.75</v>
      </c>
      <c r="E624">
        <v>1.35</v>
      </c>
      <c r="F624">
        <v>0.35</v>
      </c>
      <c r="G624">
        <v>5</v>
      </c>
      <c r="H624">
        <v>1.35</v>
      </c>
      <c r="I624">
        <v>0.35</v>
      </c>
      <c r="J624">
        <v>5</v>
      </c>
      <c r="K624">
        <v>0.75</v>
      </c>
      <c r="L624">
        <v>0.75</v>
      </c>
      <c r="M624">
        <v>7</v>
      </c>
      <c r="N624">
        <v>6</v>
      </c>
      <c r="P624">
        <v>3</v>
      </c>
      <c r="AJ624">
        <v>2</v>
      </c>
      <c r="AK624">
        <v>1</v>
      </c>
    </row>
    <row r="625" spans="1:43">
      <c r="B625">
        <v>1.35</v>
      </c>
      <c r="C625">
        <v>0.35</v>
      </c>
      <c r="E625">
        <v>1.35</v>
      </c>
      <c r="F625">
        <v>-0.35</v>
      </c>
      <c r="G625">
        <v>5</v>
      </c>
      <c r="H625">
        <v>1.35</v>
      </c>
      <c r="I625">
        <v>-0.35</v>
      </c>
      <c r="J625">
        <v>5</v>
      </c>
      <c r="K625">
        <v>1.35</v>
      </c>
      <c r="L625">
        <v>0.35</v>
      </c>
      <c r="M625">
        <v>7</v>
      </c>
      <c r="N625">
        <v>7</v>
      </c>
      <c r="P625">
        <v>3</v>
      </c>
      <c r="AK625">
        <v>1</v>
      </c>
    </row>
    <row r="626" spans="1:43">
      <c r="A626">
        <v>5</v>
      </c>
      <c r="B626">
        <v>0.75</v>
      </c>
      <c r="C626">
        <v>0.75</v>
      </c>
      <c r="D626">
        <v>5</v>
      </c>
      <c r="E626">
        <v>1.35</v>
      </c>
      <c r="F626">
        <v>0.35</v>
      </c>
      <c r="G626">
        <v>5</v>
      </c>
      <c r="H626">
        <v>1.35</v>
      </c>
      <c r="I626">
        <v>-0.35</v>
      </c>
      <c r="J626">
        <v>5</v>
      </c>
      <c r="K626">
        <v>0.75</v>
      </c>
      <c r="L626">
        <v>-0.75</v>
      </c>
      <c r="M626">
        <v>1</v>
      </c>
      <c r="N626">
        <v>2</v>
      </c>
      <c r="P626">
        <v>3</v>
      </c>
      <c r="AK626">
        <v>1</v>
      </c>
    </row>
    <row r="627" spans="1:43">
      <c r="A627">
        <v>5</v>
      </c>
      <c r="B627">
        <v>0.75</v>
      </c>
      <c r="C627">
        <v>0.75</v>
      </c>
      <c r="D627">
        <v>5</v>
      </c>
      <c r="E627">
        <v>0.75</v>
      </c>
      <c r="F627">
        <v>-0.75</v>
      </c>
      <c r="G627">
        <v>5</v>
      </c>
      <c r="H627">
        <v>0.15</v>
      </c>
      <c r="I627">
        <v>-0.35</v>
      </c>
      <c r="J627">
        <v>5</v>
      </c>
      <c r="K627">
        <v>0.15</v>
      </c>
      <c r="L627">
        <v>0.35</v>
      </c>
      <c r="M627">
        <v>1</v>
      </c>
      <c r="N627">
        <v>2</v>
      </c>
      <c r="P627">
        <v>3</v>
      </c>
      <c r="AK627">
        <v>1</v>
      </c>
    </row>
    <row r="628" spans="1:43">
      <c r="A628">
        <v>4.5</v>
      </c>
      <c r="B628">
        <v>1.35</v>
      </c>
      <c r="D628">
        <v>4.7</v>
      </c>
      <c r="E628">
        <v>1.45</v>
      </c>
      <c r="G628">
        <v>5</v>
      </c>
      <c r="H628">
        <v>1.45</v>
      </c>
      <c r="J628">
        <v>5</v>
      </c>
      <c r="K628">
        <v>1.35</v>
      </c>
      <c r="M628">
        <v>7</v>
      </c>
      <c r="N628">
        <v>4</v>
      </c>
      <c r="P628">
        <v>3</v>
      </c>
    </row>
    <row r="630" spans="1:43">
      <c r="A630">
        <v>-0.35</v>
      </c>
      <c r="B630">
        <v>1</v>
      </c>
      <c r="C630">
        <v>0.6</v>
      </c>
      <c r="D630">
        <v>0.35</v>
      </c>
      <c r="E630">
        <v>1</v>
      </c>
      <c r="F630">
        <v>0.6</v>
      </c>
      <c r="G630">
        <v>0.35</v>
      </c>
      <c r="H630">
        <v>-3</v>
      </c>
      <c r="I630">
        <v>0.6</v>
      </c>
      <c r="J630">
        <v>-0.35</v>
      </c>
      <c r="K630">
        <v>-3</v>
      </c>
      <c r="L630">
        <v>0.6</v>
      </c>
      <c r="M630">
        <v>2</v>
      </c>
      <c r="N630">
        <v>5</v>
      </c>
      <c r="P630">
        <v>6</v>
      </c>
      <c r="S630">
        <v>4</v>
      </c>
      <c r="U630">
        <v>120</v>
      </c>
      <c r="X630">
        <v>100</v>
      </c>
      <c r="Y630">
        <v>25</v>
      </c>
      <c r="AA630">
        <v>6</v>
      </c>
      <c r="AB630">
        <v>1</v>
      </c>
      <c r="AK630">
        <v>1</v>
      </c>
      <c r="AP630">
        <v>50</v>
      </c>
      <c r="AQ630" t="s">
        <v>908</v>
      </c>
    </row>
    <row r="631" spans="1:43">
      <c r="A631">
        <v>0.35</v>
      </c>
      <c r="B631">
        <v>1</v>
      </c>
      <c r="C631">
        <v>0.6</v>
      </c>
      <c r="D631">
        <v>0.75</v>
      </c>
      <c r="E631">
        <v>1</v>
      </c>
      <c r="G631">
        <v>0.75</v>
      </c>
      <c r="H631">
        <v>-3</v>
      </c>
      <c r="J631">
        <v>0.35</v>
      </c>
      <c r="K631">
        <v>-3</v>
      </c>
      <c r="L631">
        <v>0.6</v>
      </c>
      <c r="M631">
        <v>2</v>
      </c>
      <c r="N631">
        <v>6</v>
      </c>
      <c r="P631">
        <v>6</v>
      </c>
      <c r="AK631">
        <v>1</v>
      </c>
    </row>
    <row r="632" spans="1:43">
      <c r="A632">
        <v>0.75</v>
      </c>
      <c r="B632">
        <v>1</v>
      </c>
      <c r="D632">
        <v>0.35</v>
      </c>
      <c r="E632">
        <v>1</v>
      </c>
      <c r="F632">
        <v>-0.6</v>
      </c>
      <c r="G632">
        <v>0.35</v>
      </c>
      <c r="H632">
        <v>-3</v>
      </c>
      <c r="I632">
        <v>-0.6</v>
      </c>
      <c r="J632">
        <v>0.75</v>
      </c>
      <c r="K632">
        <v>-3</v>
      </c>
      <c r="M632">
        <v>2</v>
      </c>
      <c r="N632">
        <v>5</v>
      </c>
      <c r="P632">
        <v>6</v>
      </c>
      <c r="AK632">
        <v>1</v>
      </c>
    </row>
    <row r="633" spans="1:43">
      <c r="A633">
        <v>0.35</v>
      </c>
      <c r="B633">
        <v>1</v>
      </c>
      <c r="C633">
        <v>-0.6</v>
      </c>
      <c r="D633">
        <v>-0.35</v>
      </c>
      <c r="E633">
        <v>1</v>
      </c>
      <c r="F633">
        <v>-0.6</v>
      </c>
      <c r="G633">
        <v>-0.35</v>
      </c>
      <c r="H633">
        <v>-3</v>
      </c>
      <c r="I633">
        <v>-0.6</v>
      </c>
      <c r="J633">
        <v>0.35</v>
      </c>
      <c r="K633">
        <v>-3</v>
      </c>
      <c r="L633">
        <v>-0.6</v>
      </c>
      <c r="M633">
        <v>2</v>
      </c>
      <c r="N633">
        <v>5</v>
      </c>
      <c r="P633">
        <v>6</v>
      </c>
      <c r="AK633">
        <v>1</v>
      </c>
    </row>
    <row r="634" spans="1:43">
      <c r="A634">
        <v>-0.35</v>
      </c>
      <c r="B634">
        <v>1</v>
      </c>
      <c r="C634">
        <v>-0.6</v>
      </c>
      <c r="D634">
        <v>-0.75</v>
      </c>
      <c r="E634">
        <v>1</v>
      </c>
      <c r="G634">
        <v>-0.75</v>
      </c>
      <c r="H634">
        <v>-3</v>
      </c>
      <c r="J634">
        <v>-0.35</v>
      </c>
      <c r="K634">
        <v>-3</v>
      </c>
      <c r="L634">
        <v>-0.6</v>
      </c>
      <c r="M634">
        <v>2</v>
      </c>
      <c r="N634">
        <v>6</v>
      </c>
      <c r="P634">
        <v>6</v>
      </c>
      <c r="AK634">
        <v>1</v>
      </c>
    </row>
    <row r="635" spans="1:43">
      <c r="A635">
        <v>-0.75</v>
      </c>
      <c r="B635">
        <v>1</v>
      </c>
      <c r="D635">
        <v>-0.35</v>
      </c>
      <c r="E635">
        <v>1</v>
      </c>
      <c r="F635">
        <v>0.6</v>
      </c>
      <c r="G635">
        <v>-0.35</v>
      </c>
      <c r="H635">
        <v>-3</v>
      </c>
      <c r="I635">
        <v>0.6</v>
      </c>
      <c r="J635">
        <v>-0.75</v>
      </c>
      <c r="K635">
        <v>-3</v>
      </c>
      <c r="M635">
        <v>2</v>
      </c>
      <c r="N635">
        <v>4</v>
      </c>
      <c r="P635">
        <v>6</v>
      </c>
      <c r="AK635">
        <v>1</v>
      </c>
    </row>
    <row r="636" spans="1:43">
      <c r="A636">
        <v>-0.35</v>
      </c>
      <c r="B636">
        <v>1</v>
      </c>
      <c r="C636">
        <v>0.6</v>
      </c>
      <c r="D636">
        <v>-0.17</v>
      </c>
      <c r="E636">
        <v>2</v>
      </c>
      <c r="F636">
        <v>0.25</v>
      </c>
      <c r="G636">
        <v>0.17</v>
      </c>
      <c r="H636">
        <v>2</v>
      </c>
      <c r="I636">
        <v>0.25</v>
      </c>
      <c r="J636">
        <v>0.35</v>
      </c>
      <c r="K636">
        <v>1</v>
      </c>
      <c r="L636">
        <v>0.6</v>
      </c>
      <c r="M636">
        <v>1</v>
      </c>
      <c r="N636">
        <v>3</v>
      </c>
      <c r="P636">
        <v>6</v>
      </c>
      <c r="AK636">
        <v>1</v>
      </c>
    </row>
    <row r="637" spans="1:43">
      <c r="A637">
        <v>0.35</v>
      </c>
      <c r="B637">
        <v>1</v>
      </c>
      <c r="C637">
        <v>0.6</v>
      </c>
      <c r="D637">
        <v>0.17</v>
      </c>
      <c r="E637">
        <v>2</v>
      </c>
      <c r="F637">
        <v>0.25</v>
      </c>
      <c r="G637">
        <v>0.35</v>
      </c>
      <c r="H637">
        <v>2</v>
      </c>
      <c r="J637">
        <v>0.75</v>
      </c>
      <c r="K637">
        <v>1</v>
      </c>
      <c r="M637">
        <v>1</v>
      </c>
      <c r="N637">
        <v>4</v>
      </c>
      <c r="P637">
        <v>6</v>
      </c>
      <c r="AK637">
        <v>1</v>
      </c>
    </row>
    <row r="638" spans="1:43">
      <c r="A638">
        <v>0.75</v>
      </c>
      <c r="B638">
        <v>1</v>
      </c>
      <c r="D638">
        <v>0.35</v>
      </c>
      <c r="E638">
        <v>2</v>
      </c>
      <c r="G638">
        <v>0.17</v>
      </c>
      <c r="H638">
        <v>2</v>
      </c>
      <c r="I638">
        <v>-0.25</v>
      </c>
      <c r="J638">
        <v>0.35</v>
      </c>
      <c r="K638">
        <v>1</v>
      </c>
      <c r="L638">
        <v>-0.6</v>
      </c>
      <c r="M638">
        <v>1</v>
      </c>
      <c r="N638">
        <v>3</v>
      </c>
      <c r="P638">
        <v>6</v>
      </c>
      <c r="AK638">
        <v>1</v>
      </c>
    </row>
    <row r="639" spans="1:43">
      <c r="A639">
        <v>0.35</v>
      </c>
      <c r="B639">
        <v>1</v>
      </c>
      <c r="C639">
        <v>-0.6</v>
      </c>
      <c r="D639">
        <v>0.17</v>
      </c>
      <c r="E639">
        <v>2</v>
      </c>
      <c r="F639">
        <v>-0.25</v>
      </c>
      <c r="G639">
        <v>-0.17</v>
      </c>
      <c r="H639">
        <v>2</v>
      </c>
      <c r="I639">
        <v>-0.25</v>
      </c>
      <c r="J639">
        <v>-0.35</v>
      </c>
      <c r="K639">
        <v>1</v>
      </c>
      <c r="L639">
        <v>-0.6</v>
      </c>
      <c r="M639">
        <v>1</v>
      </c>
      <c r="N639">
        <v>3</v>
      </c>
      <c r="P639">
        <v>6</v>
      </c>
      <c r="AK639">
        <v>1</v>
      </c>
    </row>
    <row r="640" spans="1:43">
      <c r="A640">
        <v>-0.35</v>
      </c>
      <c r="B640">
        <v>1</v>
      </c>
      <c r="C640">
        <v>-0.6</v>
      </c>
      <c r="D640">
        <v>-0.17</v>
      </c>
      <c r="E640">
        <v>2</v>
      </c>
      <c r="F640">
        <v>-0.25</v>
      </c>
      <c r="G640">
        <v>-0.35</v>
      </c>
      <c r="H640">
        <v>2</v>
      </c>
      <c r="J640">
        <v>-0.75</v>
      </c>
      <c r="K640">
        <v>1</v>
      </c>
      <c r="M640">
        <v>1</v>
      </c>
      <c r="N640">
        <v>4</v>
      </c>
      <c r="P640">
        <v>6</v>
      </c>
      <c r="AK640">
        <v>1</v>
      </c>
    </row>
    <row r="641" spans="1:43">
      <c r="A641">
        <v>-0.75</v>
      </c>
      <c r="B641">
        <v>1</v>
      </c>
      <c r="D641">
        <v>-0.35</v>
      </c>
      <c r="E641">
        <v>2</v>
      </c>
      <c r="G641">
        <v>-0.17</v>
      </c>
      <c r="H641">
        <v>2</v>
      </c>
      <c r="I641">
        <v>0.25</v>
      </c>
      <c r="J641">
        <v>-0.35</v>
      </c>
      <c r="K641">
        <v>1</v>
      </c>
      <c r="L641">
        <v>0.6</v>
      </c>
      <c r="M641">
        <v>1</v>
      </c>
      <c r="N641">
        <v>3</v>
      </c>
      <c r="P641">
        <v>6</v>
      </c>
      <c r="AK641">
        <v>1</v>
      </c>
    </row>
    <row r="642" spans="1:43">
      <c r="A642">
        <v>-0.35</v>
      </c>
      <c r="B642">
        <v>2</v>
      </c>
      <c r="D642">
        <v>0.35</v>
      </c>
      <c r="E642">
        <v>2</v>
      </c>
      <c r="G642">
        <v>0.17</v>
      </c>
      <c r="H642">
        <v>2</v>
      </c>
      <c r="I642">
        <v>0.25</v>
      </c>
      <c r="J642">
        <v>-0.17</v>
      </c>
      <c r="K642">
        <v>2</v>
      </c>
      <c r="L642">
        <v>0.25</v>
      </c>
      <c r="M642">
        <v>1</v>
      </c>
      <c r="N642">
        <v>4</v>
      </c>
      <c r="P642">
        <v>6</v>
      </c>
      <c r="AK642">
        <v>1</v>
      </c>
    </row>
    <row r="643" spans="1:43">
      <c r="A643">
        <v>-0.35</v>
      </c>
      <c r="B643">
        <v>2</v>
      </c>
      <c r="D643">
        <v>-0.17</v>
      </c>
      <c r="E643">
        <v>2</v>
      </c>
      <c r="F643">
        <v>-0.25</v>
      </c>
      <c r="G643">
        <v>0.17</v>
      </c>
      <c r="H643">
        <v>2</v>
      </c>
      <c r="I643">
        <v>-0.25</v>
      </c>
      <c r="J643">
        <v>0.35</v>
      </c>
      <c r="K643">
        <v>2</v>
      </c>
      <c r="M643">
        <v>1</v>
      </c>
      <c r="N643">
        <v>4</v>
      </c>
      <c r="P643">
        <v>6</v>
      </c>
      <c r="AK643">
        <v>1</v>
      </c>
    </row>
    <row r="644" spans="1:43">
      <c r="B644">
        <v>-3</v>
      </c>
      <c r="C644">
        <v>1</v>
      </c>
      <c r="D644">
        <v>0</v>
      </c>
      <c r="E644">
        <v>-2</v>
      </c>
      <c r="F644">
        <v>1</v>
      </c>
      <c r="H644">
        <v>-1</v>
      </c>
      <c r="I644">
        <v>0.6</v>
      </c>
      <c r="K644">
        <v>-3</v>
      </c>
      <c r="L644">
        <v>0.6</v>
      </c>
      <c r="M644">
        <v>5</v>
      </c>
      <c r="N644">
        <v>5</v>
      </c>
      <c r="P644">
        <v>6</v>
      </c>
    </row>
    <row r="645" spans="1:43">
      <c r="A645">
        <v>0.9</v>
      </c>
      <c r="B645">
        <v>-3</v>
      </c>
      <c r="C645">
        <v>-0.5</v>
      </c>
      <c r="D645">
        <v>0.9</v>
      </c>
      <c r="E645">
        <v>-2</v>
      </c>
      <c r="F645">
        <v>-0.5</v>
      </c>
      <c r="G645">
        <v>0.55000000000000004</v>
      </c>
      <c r="H645">
        <v>-1</v>
      </c>
      <c r="I645">
        <v>-0.25</v>
      </c>
      <c r="J645">
        <v>0.55000000000000004</v>
      </c>
      <c r="K645">
        <v>-3</v>
      </c>
      <c r="L645">
        <v>-0.25</v>
      </c>
      <c r="M645">
        <v>5</v>
      </c>
      <c r="N645">
        <v>5</v>
      </c>
      <c r="P645">
        <v>6</v>
      </c>
    </row>
    <row r="646" spans="1:43">
      <c r="A646">
        <v>-0.9</v>
      </c>
      <c r="B646">
        <v>-3</v>
      </c>
      <c r="C646">
        <v>-0.5</v>
      </c>
      <c r="D646">
        <v>-0.9</v>
      </c>
      <c r="E646">
        <v>-2</v>
      </c>
      <c r="F646">
        <v>-0.5</v>
      </c>
      <c r="G646">
        <v>-0.55000000000000004</v>
      </c>
      <c r="H646">
        <v>-1</v>
      </c>
      <c r="I646">
        <v>-0.25</v>
      </c>
      <c r="J646">
        <v>-0.55000000000000004</v>
      </c>
      <c r="K646">
        <v>-3</v>
      </c>
      <c r="L646">
        <v>-0.25</v>
      </c>
      <c r="M646">
        <v>5</v>
      </c>
      <c r="N646">
        <v>5</v>
      </c>
      <c r="P646">
        <v>6</v>
      </c>
    </row>
    <row r="648" spans="1:43">
      <c r="A648">
        <v>-3.5</v>
      </c>
      <c r="B648">
        <v>-2.2999999999999998</v>
      </c>
      <c r="C648">
        <v>-3.5</v>
      </c>
      <c r="D648">
        <v>3.5</v>
      </c>
      <c r="E648">
        <v>-2.2999999999999998</v>
      </c>
      <c r="F648">
        <v>-3.5</v>
      </c>
      <c r="G648">
        <v>3.5</v>
      </c>
      <c r="H648">
        <v>-2.2999999999999998</v>
      </c>
      <c r="I648">
        <v>3.5</v>
      </c>
      <c r="J648">
        <v>-3.5</v>
      </c>
      <c r="K648">
        <v>-2.2999999999999998</v>
      </c>
      <c r="L648">
        <v>3.5</v>
      </c>
      <c r="M648">
        <v>1</v>
      </c>
      <c r="N648">
        <v>10</v>
      </c>
      <c r="S648">
        <v>2</v>
      </c>
      <c r="U648">
        <v>120</v>
      </c>
      <c r="AA648">
        <v>9</v>
      </c>
      <c r="AP648">
        <v>51</v>
      </c>
      <c r="AQ648" t="s">
        <v>242</v>
      </c>
    </row>
    <row r="649" spans="1:43">
      <c r="A649">
        <v>-3.5</v>
      </c>
      <c r="B649">
        <v>-2</v>
      </c>
      <c r="C649">
        <v>3.5</v>
      </c>
      <c r="D649">
        <v>-3.5</v>
      </c>
      <c r="E649">
        <v>-2</v>
      </c>
      <c r="F649">
        <v>-3.5</v>
      </c>
      <c r="H649">
        <v>-2</v>
      </c>
      <c r="I649">
        <v>-3.5</v>
      </c>
      <c r="J649">
        <v>3.5</v>
      </c>
      <c r="K649">
        <v>-2</v>
      </c>
      <c r="L649">
        <v>-3.5</v>
      </c>
      <c r="M649">
        <v>3</v>
      </c>
      <c r="N649">
        <v>7</v>
      </c>
      <c r="AK649">
        <v>1</v>
      </c>
    </row>
    <row r="650" spans="1:43">
      <c r="A650">
        <v>-3.5</v>
      </c>
      <c r="B650">
        <v>-2</v>
      </c>
      <c r="C650">
        <v>3.5</v>
      </c>
      <c r="E650">
        <v>-2</v>
      </c>
      <c r="G650">
        <v>3.5</v>
      </c>
      <c r="H650">
        <v>-2</v>
      </c>
      <c r="I650">
        <v>3.5</v>
      </c>
      <c r="K650">
        <v>-2</v>
      </c>
      <c r="L650">
        <v>3.5</v>
      </c>
      <c r="M650">
        <v>4</v>
      </c>
      <c r="N650">
        <v>7</v>
      </c>
      <c r="AK650">
        <v>1</v>
      </c>
    </row>
    <row r="652" spans="1:43">
      <c r="A652">
        <v>-4</v>
      </c>
      <c r="B652">
        <v>-2.2999999999999998</v>
      </c>
      <c r="C652">
        <v>4</v>
      </c>
      <c r="D652">
        <v>-4</v>
      </c>
      <c r="E652">
        <v>-2.2999999999999998</v>
      </c>
      <c r="F652">
        <v>-4</v>
      </c>
      <c r="G652">
        <v>-3.8</v>
      </c>
      <c r="H652">
        <v>-2.2999999999999998</v>
      </c>
      <c r="I652">
        <v>-4</v>
      </c>
      <c r="J652">
        <v>-3.8</v>
      </c>
      <c r="K652">
        <v>-2.2999999999999998</v>
      </c>
      <c r="L652">
        <v>4</v>
      </c>
      <c r="M652">
        <v>1</v>
      </c>
      <c r="N652">
        <v>3</v>
      </c>
      <c r="P652">
        <v>2</v>
      </c>
      <c r="S652">
        <v>2</v>
      </c>
      <c r="U652">
        <v>120</v>
      </c>
      <c r="AA652">
        <v>10</v>
      </c>
      <c r="AP652">
        <v>52</v>
      </c>
      <c r="AQ652" t="s">
        <v>243</v>
      </c>
    </row>
    <row r="653" spans="1:43">
      <c r="A653">
        <v>-4</v>
      </c>
      <c r="B653">
        <v>-2.2999999999999998</v>
      </c>
      <c r="C653">
        <v>-4</v>
      </c>
      <c r="D653">
        <v>4</v>
      </c>
      <c r="E653">
        <v>-2.2999999999999998</v>
      </c>
      <c r="F653">
        <v>-4</v>
      </c>
      <c r="G653">
        <v>4</v>
      </c>
      <c r="H653">
        <v>-2.2999999999999998</v>
      </c>
      <c r="I653">
        <v>-3.8</v>
      </c>
      <c r="J653">
        <v>-4</v>
      </c>
      <c r="K653">
        <v>-2.2999999999999998</v>
      </c>
      <c r="L653">
        <v>-3.8</v>
      </c>
      <c r="M653">
        <v>1</v>
      </c>
      <c r="N653">
        <v>3</v>
      </c>
      <c r="P653">
        <v>2</v>
      </c>
      <c r="AK653">
        <v>1</v>
      </c>
    </row>
    <row r="654" spans="1:43">
      <c r="A654">
        <v>3.8</v>
      </c>
      <c r="B654">
        <v>-2.2999999999999998</v>
      </c>
      <c r="C654">
        <v>4</v>
      </c>
      <c r="D654">
        <v>3.8</v>
      </c>
      <c r="E654">
        <v>-2.2999999999999998</v>
      </c>
      <c r="F654">
        <v>-4</v>
      </c>
      <c r="G654">
        <v>4</v>
      </c>
      <c r="H654">
        <v>-2.2999999999999998</v>
      </c>
      <c r="I654">
        <v>-4</v>
      </c>
      <c r="J654">
        <v>4</v>
      </c>
      <c r="K654">
        <v>-2.2999999999999998</v>
      </c>
      <c r="L654">
        <v>4</v>
      </c>
      <c r="M654">
        <v>1</v>
      </c>
      <c r="N654">
        <v>3</v>
      </c>
      <c r="P654">
        <v>2</v>
      </c>
      <c r="AK654">
        <v>1</v>
      </c>
    </row>
    <row r="655" spans="1:43">
      <c r="A655">
        <v>-4</v>
      </c>
      <c r="B655">
        <v>-2.2999999999999998</v>
      </c>
      <c r="C655">
        <v>4</v>
      </c>
      <c r="D655">
        <v>-4</v>
      </c>
      <c r="E655">
        <v>-2.2999999999999998</v>
      </c>
      <c r="F655">
        <v>3.8</v>
      </c>
      <c r="G655">
        <v>4</v>
      </c>
      <c r="H655">
        <v>-2.2999999999999998</v>
      </c>
      <c r="I655">
        <v>3.8</v>
      </c>
      <c r="J655">
        <v>4</v>
      </c>
      <c r="K655">
        <v>-2.2999999999999998</v>
      </c>
      <c r="L655">
        <v>4</v>
      </c>
      <c r="M655">
        <v>1</v>
      </c>
      <c r="N655">
        <v>3</v>
      </c>
      <c r="P655">
        <v>2</v>
      </c>
      <c r="AK655">
        <v>1</v>
      </c>
    </row>
    <row r="656" spans="1:43">
      <c r="A656">
        <v>-3.8</v>
      </c>
      <c r="B656">
        <v>-2.2000000000000002</v>
      </c>
      <c r="C656">
        <v>-3.8</v>
      </c>
      <c r="D656">
        <v>3.8</v>
      </c>
      <c r="E656">
        <v>-2.2000000000000002</v>
      </c>
      <c r="F656">
        <v>-3.8</v>
      </c>
      <c r="G656">
        <v>3.8</v>
      </c>
      <c r="H656">
        <v>-2.2000000000000002</v>
      </c>
      <c r="I656">
        <v>3.8</v>
      </c>
      <c r="J656">
        <v>-3.8</v>
      </c>
      <c r="K656">
        <v>-2.2000000000000002</v>
      </c>
      <c r="L656">
        <v>3.8</v>
      </c>
      <c r="M656">
        <v>5</v>
      </c>
      <c r="N656">
        <v>9</v>
      </c>
      <c r="P656">
        <v>2</v>
      </c>
      <c r="AK656">
        <v>1</v>
      </c>
    </row>
    <row r="657" spans="1:43">
      <c r="A657">
        <v>-1</v>
      </c>
      <c r="B657">
        <v>-2.1</v>
      </c>
      <c r="C657">
        <v>2</v>
      </c>
      <c r="E657">
        <v>-2.1</v>
      </c>
      <c r="F657">
        <v>1</v>
      </c>
      <c r="G657">
        <v>1</v>
      </c>
      <c r="H657">
        <v>-2.1</v>
      </c>
      <c r="I657">
        <v>2</v>
      </c>
      <c r="K657">
        <v>-2.1</v>
      </c>
      <c r="L657">
        <v>3</v>
      </c>
      <c r="M657">
        <v>2</v>
      </c>
      <c r="N657">
        <v>6</v>
      </c>
      <c r="P657">
        <v>2</v>
      </c>
      <c r="AK657">
        <v>1</v>
      </c>
    </row>
    <row r="658" spans="1:43">
      <c r="A658">
        <v>-2</v>
      </c>
      <c r="B658">
        <v>-2.1</v>
      </c>
      <c r="C658">
        <v>1</v>
      </c>
      <c r="D658">
        <v>-2</v>
      </c>
      <c r="E658">
        <v>-2.1</v>
      </c>
      <c r="F658">
        <v>0.5</v>
      </c>
      <c r="G658">
        <v>-1</v>
      </c>
      <c r="H658">
        <v>-2.1</v>
      </c>
      <c r="J658">
        <v>-1</v>
      </c>
      <c r="K658">
        <v>-2.1</v>
      </c>
      <c r="L658">
        <v>0.5</v>
      </c>
      <c r="M658">
        <v>2</v>
      </c>
      <c r="N658">
        <v>6</v>
      </c>
      <c r="P658">
        <v>2</v>
      </c>
      <c r="AK658">
        <v>1</v>
      </c>
    </row>
    <row r="659" spans="1:43">
      <c r="A659">
        <v>-1</v>
      </c>
      <c r="B659">
        <v>-2.1</v>
      </c>
      <c r="C659">
        <v>0.5</v>
      </c>
      <c r="D659">
        <v>-1</v>
      </c>
      <c r="E659">
        <v>-2.1</v>
      </c>
      <c r="G659">
        <v>1</v>
      </c>
      <c r="H659">
        <v>-2.1</v>
      </c>
      <c r="J659">
        <v>1</v>
      </c>
      <c r="K659">
        <v>-2.1</v>
      </c>
      <c r="L659">
        <v>0.5</v>
      </c>
      <c r="M659">
        <v>2</v>
      </c>
      <c r="N659">
        <v>6</v>
      </c>
      <c r="P659">
        <v>2</v>
      </c>
      <c r="AK659">
        <v>1</v>
      </c>
    </row>
    <row r="660" spans="1:43">
      <c r="A660">
        <v>1</v>
      </c>
      <c r="B660">
        <v>-2.1</v>
      </c>
      <c r="C660">
        <v>0.5</v>
      </c>
      <c r="D660">
        <v>1</v>
      </c>
      <c r="E660">
        <v>-2.1</v>
      </c>
      <c r="G660">
        <v>2</v>
      </c>
      <c r="H660">
        <v>-2.1</v>
      </c>
      <c r="I660">
        <v>0.5</v>
      </c>
      <c r="J660">
        <v>2</v>
      </c>
      <c r="K660">
        <v>-2.1</v>
      </c>
      <c r="L660">
        <v>1</v>
      </c>
      <c r="M660">
        <v>2</v>
      </c>
      <c r="N660">
        <v>6</v>
      </c>
      <c r="P660">
        <v>2</v>
      </c>
      <c r="AK660">
        <v>1</v>
      </c>
    </row>
    <row r="661" spans="1:43">
      <c r="A661">
        <v>-2.5</v>
      </c>
      <c r="B661">
        <v>-2.1</v>
      </c>
      <c r="C661">
        <v>0</v>
      </c>
      <c r="D661">
        <v>-2.5</v>
      </c>
      <c r="E661">
        <v>-2.1</v>
      </c>
      <c r="F661">
        <v>-0.5</v>
      </c>
      <c r="G661">
        <v>-1</v>
      </c>
      <c r="H661">
        <v>-2.1</v>
      </c>
      <c r="I661">
        <v>-1.5</v>
      </c>
      <c r="J661">
        <v>-1</v>
      </c>
      <c r="K661">
        <v>-2.1</v>
      </c>
      <c r="L661">
        <v>-1</v>
      </c>
      <c r="M661">
        <v>2</v>
      </c>
      <c r="N661">
        <v>6</v>
      </c>
      <c r="P661">
        <v>2</v>
      </c>
      <c r="AK661">
        <v>1</v>
      </c>
    </row>
    <row r="662" spans="1:43">
      <c r="A662">
        <v>-1</v>
      </c>
      <c r="B662">
        <v>-2.1</v>
      </c>
      <c r="C662">
        <v>-1</v>
      </c>
      <c r="D662">
        <v>-1</v>
      </c>
      <c r="E662">
        <v>-2.1</v>
      </c>
      <c r="F662">
        <v>-1.5</v>
      </c>
      <c r="G662">
        <v>1</v>
      </c>
      <c r="H662">
        <v>-2.1</v>
      </c>
      <c r="I662">
        <v>-1.5</v>
      </c>
      <c r="J662">
        <v>1</v>
      </c>
      <c r="K662">
        <v>-2.1</v>
      </c>
      <c r="L662">
        <v>-1</v>
      </c>
      <c r="M662">
        <v>2</v>
      </c>
      <c r="N662">
        <v>6</v>
      </c>
      <c r="P662">
        <v>2</v>
      </c>
      <c r="AK662">
        <v>1</v>
      </c>
    </row>
    <row r="663" spans="1:43">
      <c r="A663">
        <v>1</v>
      </c>
      <c r="B663">
        <v>-2.1</v>
      </c>
      <c r="C663">
        <v>-1</v>
      </c>
      <c r="D663">
        <v>1</v>
      </c>
      <c r="E663">
        <v>-2.1</v>
      </c>
      <c r="F663">
        <v>-1.5</v>
      </c>
      <c r="G663">
        <v>2.5</v>
      </c>
      <c r="H663">
        <v>-2.1</v>
      </c>
      <c r="I663">
        <v>-0.5</v>
      </c>
      <c r="J663">
        <v>2.5</v>
      </c>
      <c r="K663">
        <v>-2.1</v>
      </c>
      <c r="M663">
        <v>2</v>
      </c>
      <c r="N663">
        <v>6</v>
      </c>
      <c r="P663">
        <v>2</v>
      </c>
      <c r="AK663">
        <v>1</v>
      </c>
    </row>
    <row r="664" spans="1:43">
      <c r="A664">
        <v>-3</v>
      </c>
      <c r="B664">
        <v>-2.1</v>
      </c>
      <c r="C664">
        <v>-1</v>
      </c>
      <c r="D664">
        <v>-3</v>
      </c>
      <c r="E664">
        <v>-2.1</v>
      </c>
      <c r="F664">
        <v>-1.5</v>
      </c>
      <c r="G664">
        <v>-1</v>
      </c>
      <c r="H664">
        <v>-2.1</v>
      </c>
      <c r="I664">
        <v>-3</v>
      </c>
      <c r="J664">
        <v>-1</v>
      </c>
      <c r="K664">
        <v>-2.1</v>
      </c>
      <c r="L664">
        <v>-2.5</v>
      </c>
      <c r="M664">
        <v>2</v>
      </c>
      <c r="N664">
        <v>6</v>
      </c>
      <c r="P664">
        <v>2</v>
      </c>
      <c r="AK664">
        <v>1</v>
      </c>
    </row>
    <row r="665" spans="1:43">
      <c r="A665">
        <v>-1</v>
      </c>
      <c r="B665">
        <v>-2.1</v>
      </c>
      <c r="C665">
        <v>-2.5</v>
      </c>
      <c r="D665">
        <v>-1</v>
      </c>
      <c r="E665">
        <v>-2.1</v>
      </c>
      <c r="F665">
        <v>-3</v>
      </c>
      <c r="G665">
        <v>1</v>
      </c>
      <c r="H665">
        <v>-2.1</v>
      </c>
      <c r="I665">
        <v>-3</v>
      </c>
      <c r="J665">
        <v>1</v>
      </c>
      <c r="K665">
        <v>-2.1</v>
      </c>
      <c r="L665">
        <v>-2.5</v>
      </c>
      <c r="M665">
        <v>2</v>
      </c>
      <c r="N665">
        <v>6</v>
      </c>
      <c r="P665">
        <v>2</v>
      </c>
      <c r="AK665">
        <v>1</v>
      </c>
    </row>
    <row r="666" spans="1:43">
      <c r="A666">
        <v>1</v>
      </c>
      <c r="B666">
        <v>-2.1</v>
      </c>
      <c r="C666">
        <v>-2.5</v>
      </c>
      <c r="D666">
        <v>1</v>
      </c>
      <c r="E666">
        <v>-2.1</v>
      </c>
      <c r="F666">
        <v>-3</v>
      </c>
      <c r="G666">
        <v>3</v>
      </c>
      <c r="H666">
        <v>-2.1</v>
      </c>
      <c r="I666">
        <v>-1.5</v>
      </c>
      <c r="J666">
        <v>3</v>
      </c>
      <c r="K666">
        <v>-2.1</v>
      </c>
      <c r="L666">
        <v>-1</v>
      </c>
      <c r="M666">
        <v>2</v>
      </c>
      <c r="N666">
        <v>6</v>
      </c>
      <c r="P666">
        <v>2</v>
      </c>
      <c r="AK666">
        <v>1</v>
      </c>
    </row>
    <row r="668" spans="1:43">
      <c r="A668">
        <v>-10</v>
      </c>
      <c r="B668">
        <v>0</v>
      </c>
      <c r="C668">
        <v>16</v>
      </c>
      <c r="D668">
        <v>-10</v>
      </c>
      <c r="E668">
        <v>200</v>
      </c>
      <c r="F668">
        <v>16</v>
      </c>
      <c r="G668">
        <v>10</v>
      </c>
      <c r="H668">
        <v>200</v>
      </c>
      <c r="I668">
        <v>16</v>
      </c>
      <c r="J668">
        <v>10</v>
      </c>
      <c r="K668">
        <v>0</v>
      </c>
      <c r="L668">
        <v>16</v>
      </c>
      <c r="M668">
        <v>1</v>
      </c>
      <c r="N668">
        <v>7</v>
      </c>
      <c r="S668">
        <v>54</v>
      </c>
      <c r="AP668">
        <v>53</v>
      </c>
      <c r="AQ668" t="s">
        <v>570</v>
      </c>
    </row>
  </sheetData>
  <sheetProtection password="DF7C" sheet="1"/>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H224"/>
  <sheetViews>
    <sheetView topLeftCell="A151" workbookViewId="0">
      <selection activeCell="R182" sqref="R182"/>
    </sheetView>
  </sheetViews>
  <sheetFormatPr defaultRowHeight="12.75"/>
  <cols>
    <col min="1" max="34" width="2.7109375" customWidth="1"/>
  </cols>
  <sheetData>
    <row r="1" spans="1:34">
      <c r="A1" s="401">
        <v>1</v>
      </c>
      <c r="B1" s="402">
        <v>1</v>
      </c>
      <c r="C1" s="402">
        <v>1</v>
      </c>
      <c r="D1" s="402">
        <v>1</v>
      </c>
      <c r="E1" s="402"/>
      <c r="F1" s="402"/>
      <c r="G1" s="402"/>
      <c r="H1" s="402"/>
      <c r="I1" s="402">
        <v>1</v>
      </c>
      <c r="J1" s="402">
        <v>1</v>
      </c>
      <c r="K1" s="402">
        <v>1</v>
      </c>
      <c r="L1" s="402">
        <v>1</v>
      </c>
      <c r="M1" s="402">
        <v>1</v>
      </c>
      <c r="N1" s="402">
        <v>1</v>
      </c>
      <c r="O1" s="402"/>
      <c r="P1" s="402"/>
      <c r="Q1" s="402"/>
      <c r="R1" s="402"/>
      <c r="S1" s="402">
        <v>1</v>
      </c>
      <c r="T1" s="402">
        <v>1</v>
      </c>
      <c r="U1" s="402">
        <v>1</v>
      </c>
      <c r="V1" s="402">
        <v>1</v>
      </c>
      <c r="W1" s="402">
        <v>1</v>
      </c>
      <c r="X1" s="402">
        <v>1</v>
      </c>
      <c r="Y1" s="402">
        <v>1</v>
      </c>
      <c r="Z1" s="402">
        <v>1</v>
      </c>
      <c r="AA1" s="402">
        <v>1</v>
      </c>
      <c r="AB1" s="402">
        <v>1</v>
      </c>
      <c r="AC1" s="402">
        <v>1</v>
      </c>
      <c r="AD1" s="402"/>
      <c r="AE1" s="402"/>
      <c r="AF1" s="403">
        <v>1</v>
      </c>
      <c r="AG1" s="410">
        <v>1</v>
      </c>
      <c r="AH1" s="480"/>
    </row>
    <row r="2" spans="1:34">
      <c r="A2" s="404"/>
      <c r="B2" s="400"/>
      <c r="C2" s="400"/>
      <c r="D2" s="400"/>
      <c r="E2" s="400"/>
      <c r="F2" s="400">
        <v>1</v>
      </c>
      <c r="G2" s="400">
        <v>1</v>
      </c>
      <c r="H2" s="400">
        <v>1</v>
      </c>
      <c r="I2" s="400">
        <v>1</v>
      </c>
      <c r="J2" s="400">
        <v>1</v>
      </c>
      <c r="K2" s="400">
        <v>1</v>
      </c>
      <c r="L2" s="400">
        <v>1</v>
      </c>
      <c r="M2" s="400">
        <v>1</v>
      </c>
      <c r="N2" s="400">
        <v>1</v>
      </c>
      <c r="O2" s="400">
        <v>1</v>
      </c>
      <c r="P2" s="400"/>
      <c r="Q2" s="400"/>
      <c r="R2" s="400"/>
      <c r="S2" s="400"/>
      <c r="T2" s="400"/>
      <c r="U2" s="400"/>
      <c r="W2" s="400"/>
      <c r="X2" s="400">
        <v>1</v>
      </c>
      <c r="Y2" s="400">
        <v>1</v>
      </c>
      <c r="Z2" s="400">
        <v>1</v>
      </c>
      <c r="AA2" s="400">
        <v>1</v>
      </c>
      <c r="AB2" s="400">
        <v>1</v>
      </c>
      <c r="AC2" s="400">
        <v>1</v>
      </c>
      <c r="AD2" s="400">
        <v>1</v>
      </c>
      <c r="AE2" s="400">
        <v>1</v>
      </c>
      <c r="AF2" s="405"/>
      <c r="AG2" s="400"/>
      <c r="AH2" s="400"/>
    </row>
    <row r="3" spans="1:34">
      <c r="A3" s="404"/>
      <c r="B3" s="400"/>
      <c r="C3" s="400">
        <v>1</v>
      </c>
      <c r="D3" s="400">
        <v>1</v>
      </c>
      <c r="E3" s="400">
        <v>1</v>
      </c>
      <c r="F3" s="400">
        <v>1</v>
      </c>
      <c r="G3" s="400">
        <v>2</v>
      </c>
      <c r="H3" s="400">
        <v>2</v>
      </c>
      <c r="I3" s="400">
        <v>2</v>
      </c>
      <c r="J3" s="400">
        <v>2</v>
      </c>
      <c r="K3" s="400">
        <v>2</v>
      </c>
      <c r="L3" s="400">
        <v>2</v>
      </c>
      <c r="M3" s="400">
        <v>1</v>
      </c>
      <c r="N3" s="400">
        <v>1</v>
      </c>
      <c r="O3" s="400">
        <v>1</v>
      </c>
      <c r="P3" s="400">
        <v>1</v>
      </c>
      <c r="Q3" s="400">
        <v>1</v>
      </c>
      <c r="R3" s="400">
        <v>1</v>
      </c>
      <c r="S3" s="400">
        <v>1</v>
      </c>
      <c r="T3" s="400"/>
      <c r="U3" s="400"/>
      <c r="V3" s="400"/>
      <c r="W3" s="400"/>
      <c r="X3" s="400">
        <v>1</v>
      </c>
      <c r="Y3" s="400">
        <v>1</v>
      </c>
      <c r="Z3" s="400">
        <v>1</v>
      </c>
      <c r="AA3" s="400">
        <v>1</v>
      </c>
      <c r="AB3" s="400">
        <v>2</v>
      </c>
      <c r="AC3" s="400">
        <v>2</v>
      </c>
      <c r="AD3" s="400">
        <v>2</v>
      </c>
      <c r="AE3" s="400">
        <v>1</v>
      </c>
      <c r="AF3" s="405">
        <v>1</v>
      </c>
      <c r="AG3" s="400"/>
      <c r="AH3" s="400"/>
    </row>
    <row r="4" spans="1:34">
      <c r="A4" s="404"/>
      <c r="B4" s="400">
        <v>1</v>
      </c>
      <c r="C4" s="400">
        <v>1</v>
      </c>
      <c r="D4" s="400">
        <v>2</v>
      </c>
      <c r="E4" s="400">
        <v>2</v>
      </c>
      <c r="F4" s="400">
        <v>2</v>
      </c>
      <c r="G4" s="400">
        <v>2</v>
      </c>
      <c r="H4" s="400">
        <v>2</v>
      </c>
      <c r="I4" s="400">
        <v>2</v>
      </c>
      <c r="J4" s="400">
        <v>2</v>
      </c>
      <c r="K4" s="400">
        <v>2</v>
      </c>
      <c r="L4" s="400">
        <v>2</v>
      </c>
      <c r="M4" s="400">
        <v>2</v>
      </c>
      <c r="N4" s="400">
        <v>2</v>
      </c>
      <c r="O4" s="400">
        <v>2</v>
      </c>
      <c r="P4" s="400">
        <v>2</v>
      </c>
      <c r="Q4" s="400">
        <v>2</v>
      </c>
      <c r="R4" s="400">
        <v>1</v>
      </c>
      <c r="S4" s="400">
        <v>1</v>
      </c>
      <c r="T4" s="400">
        <v>1</v>
      </c>
      <c r="U4" s="400">
        <v>1</v>
      </c>
      <c r="V4" s="400">
        <v>1</v>
      </c>
      <c r="W4" s="400">
        <v>1</v>
      </c>
      <c r="X4" s="400">
        <v>1</v>
      </c>
      <c r="Y4" s="400">
        <v>1</v>
      </c>
      <c r="Z4" s="400">
        <v>2</v>
      </c>
      <c r="AA4" s="400">
        <v>2</v>
      </c>
      <c r="AB4" s="400">
        <v>3</v>
      </c>
      <c r="AC4" s="400">
        <v>3</v>
      </c>
      <c r="AD4" s="400">
        <v>2</v>
      </c>
      <c r="AE4" s="400">
        <v>2</v>
      </c>
      <c r="AF4" s="405">
        <v>1</v>
      </c>
      <c r="AG4" s="400"/>
      <c r="AH4" s="400"/>
    </row>
    <row r="5" spans="1:34">
      <c r="A5" s="404"/>
      <c r="B5" s="400">
        <v>1</v>
      </c>
      <c r="C5" s="400">
        <v>2</v>
      </c>
      <c r="D5" s="400">
        <v>2</v>
      </c>
      <c r="E5" s="400">
        <v>2</v>
      </c>
      <c r="F5" s="400">
        <v>3</v>
      </c>
      <c r="G5" s="400">
        <v>3</v>
      </c>
      <c r="H5" s="400">
        <v>3</v>
      </c>
      <c r="I5" s="400">
        <v>3</v>
      </c>
      <c r="J5" s="400">
        <v>3</v>
      </c>
      <c r="K5" s="400">
        <v>3</v>
      </c>
      <c r="L5" s="400">
        <v>2</v>
      </c>
      <c r="M5" s="400">
        <v>2</v>
      </c>
      <c r="N5" s="400">
        <v>2</v>
      </c>
      <c r="O5" s="400">
        <v>2</v>
      </c>
      <c r="P5" s="400">
        <v>2</v>
      </c>
      <c r="Q5" s="400">
        <v>2</v>
      </c>
      <c r="R5" s="400">
        <v>2</v>
      </c>
      <c r="S5" s="400">
        <v>2</v>
      </c>
      <c r="T5" s="400">
        <v>2</v>
      </c>
      <c r="U5" s="400">
        <v>2</v>
      </c>
      <c r="V5" s="400">
        <v>2</v>
      </c>
      <c r="W5" s="400">
        <v>2</v>
      </c>
      <c r="X5" s="400">
        <v>2</v>
      </c>
      <c r="Y5" s="400">
        <v>2</v>
      </c>
      <c r="Z5" s="400">
        <v>2</v>
      </c>
      <c r="AA5" s="400">
        <v>3</v>
      </c>
      <c r="AB5" s="400">
        <v>3</v>
      </c>
      <c r="AC5" s="400">
        <v>2</v>
      </c>
      <c r="AD5" s="400">
        <v>2</v>
      </c>
      <c r="AE5" s="400">
        <v>1</v>
      </c>
      <c r="AF5" s="405"/>
      <c r="AG5" s="400"/>
      <c r="AH5" s="400"/>
    </row>
    <row r="6" spans="1:34">
      <c r="A6" s="404"/>
      <c r="B6" s="400">
        <v>1</v>
      </c>
      <c r="C6" s="400">
        <v>1</v>
      </c>
      <c r="D6" s="400">
        <v>2</v>
      </c>
      <c r="E6" s="400">
        <v>2</v>
      </c>
      <c r="F6" s="400">
        <v>3</v>
      </c>
      <c r="G6" s="400">
        <v>3</v>
      </c>
      <c r="H6" s="400">
        <v>3</v>
      </c>
      <c r="I6" s="400">
        <v>3</v>
      </c>
      <c r="J6" s="400">
        <v>3</v>
      </c>
      <c r="K6" s="400">
        <v>3</v>
      </c>
      <c r="L6" s="400">
        <v>3</v>
      </c>
      <c r="M6" s="400">
        <v>3</v>
      </c>
      <c r="N6" s="400">
        <v>3</v>
      </c>
      <c r="O6" s="400">
        <v>3</v>
      </c>
      <c r="P6" s="400">
        <v>3</v>
      </c>
      <c r="Q6" s="400">
        <v>3</v>
      </c>
      <c r="R6" s="400">
        <v>3</v>
      </c>
      <c r="S6" s="400">
        <v>3</v>
      </c>
      <c r="T6" s="400">
        <v>3</v>
      </c>
      <c r="U6" s="400">
        <v>2</v>
      </c>
      <c r="V6" s="400">
        <v>2</v>
      </c>
      <c r="W6" s="400">
        <v>2</v>
      </c>
      <c r="X6" s="400">
        <v>2</v>
      </c>
      <c r="Y6" s="400">
        <v>2</v>
      </c>
      <c r="Z6" s="400">
        <v>3</v>
      </c>
      <c r="AA6" s="400">
        <v>3</v>
      </c>
      <c r="AB6" s="400">
        <v>2</v>
      </c>
      <c r="AC6" s="400">
        <v>2</v>
      </c>
      <c r="AD6" s="400">
        <v>1</v>
      </c>
      <c r="AE6" s="400">
        <v>1</v>
      </c>
      <c r="AF6" s="405"/>
      <c r="AG6" s="400"/>
      <c r="AH6" s="400"/>
    </row>
    <row r="7" spans="1:34">
      <c r="A7" s="404"/>
      <c r="B7" s="400">
        <v>1</v>
      </c>
      <c r="C7" s="400">
        <v>1</v>
      </c>
      <c r="D7" s="400">
        <v>2</v>
      </c>
      <c r="E7" s="400">
        <v>2</v>
      </c>
      <c r="F7" s="400">
        <v>3</v>
      </c>
      <c r="G7" s="400">
        <v>3</v>
      </c>
      <c r="H7" s="400">
        <v>4</v>
      </c>
      <c r="I7" s="400">
        <v>4</v>
      </c>
      <c r="J7" s="400">
        <v>4</v>
      </c>
      <c r="K7" s="400">
        <v>4</v>
      </c>
      <c r="L7" s="400">
        <v>3</v>
      </c>
      <c r="M7" s="400">
        <v>3</v>
      </c>
      <c r="N7" s="400">
        <v>3</v>
      </c>
      <c r="O7" s="400">
        <v>4</v>
      </c>
      <c r="P7" s="400">
        <v>4</v>
      </c>
      <c r="Q7" s="400">
        <v>4</v>
      </c>
      <c r="R7" s="400">
        <v>4</v>
      </c>
      <c r="S7" s="400">
        <v>4</v>
      </c>
      <c r="T7" s="400">
        <v>4</v>
      </c>
      <c r="U7" s="400">
        <v>3</v>
      </c>
      <c r="V7" s="400">
        <v>3</v>
      </c>
      <c r="W7" s="400">
        <v>2</v>
      </c>
      <c r="X7" s="400">
        <v>2</v>
      </c>
      <c r="Y7" s="400">
        <v>2</v>
      </c>
      <c r="Z7" s="400">
        <v>2</v>
      </c>
      <c r="AA7" s="400">
        <v>2</v>
      </c>
      <c r="AB7" s="400">
        <v>2</v>
      </c>
      <c r="AC7" s="400">
        <v>1</v>
      </c>
      <c r="AD7" s="400">
        <v>1</v>
      </c>
      <c r="AE7" s="400"/>
      <c r="AF7" s="405"/>
      <c r="AG7" s="400"/>
      <c r="AH7" s="400"/>
    </row>
    <row r="8" spans="1:34">
      <c r="A8" s="404">
        <v>1</v>
      </c>
      <c r="B8" s="400">
        <v>1</v>
      </c>
      <c r="C8" s="400">
        <v>2</v>
      </c>
      <c r="D8" s="400">
        <v>2</v>
      </c>
      <c r="E8" s="400">
        <v>3</v>
      </c>
      <c r="F8" s="400">
        <v>3</v>
      </c>
      <c r="G8" s="400">
        <v>4</v>
      </c>
      <c r="H8" s="400">
        <v>5</v>
      </c>
      <c r="I8" s="400">
        <v>5</v>
      </c>
      <c r="J8" s="400">
        <v>5</v>
      </c>
      <c r="K8" s="400">
        <v>5</v>
      </c>
      <c r="L8" s="400">
        <v>4</v>
      </c>
      <c r="M8" s="400">
        <v>3</v>
      </c>
      <c r="N8" s="400">
        <v>4</v>
      </c>
      <c r="O8" s="400">
        <v>4</v>
      </c>
      <c r="P8" s="400">
        <v>5</v>
      </c>
      <c r="Q8" s="400">
        <v>5</v>
      </c>
      <c r="R8" s="400">
        <v>5</v>
      </c>
      <c r="S8" s="400">
        <v>5</v>
      </c>
      <c r="T8" s="400">
        <v>4</v>
      </c>
      <c r="U8" s="400">
        <v>4</v>
      </c>
      <c r="V8" s="400">
        <v>3</v>
      </c>
      <c r="W8" s="400">
        <v>3</v>
      </c>
      <c r="X8" s="400">
        <v>3</v>
      </c>
      <c r="Y8" s="400">
        <v>3</v>
      </c>
      <c r="Z8" s="400">
        <v>3</v>
      </c>
      <c r="AA8" s="400">
        <v>2</v>
      </c>
      <c r="AB8" s="400">
        <v>2</v>
      </c>
      <c r="AC8" s="400">
        <v>1</v>
      </c>
      <c r="AD8" s="400">
        <v>1</v>
      </c>
      <c r="AE8" s="400">
        <v>1</v>
      </c>
      <c r="AF8" s="405"/>
      <c r="AG8" s="400"/>
      <c r="AH8" s="400"/>
    </row>
    <row r="9" spans="1:34">
      <c r="A9" s="404">
        <v>1</v>
      </c>
      <c r="B9" s="400">
        <v>2</v>
      </c>
      <c r="C9" s="400">
        <v>2</v>
      </c>
      <c r="D9" s="400">
        <v>2</v>
      </c>
      <c r="E9" s="400">
        <v>3</v>
      </c>
      <c r="F9" s="400">
        <v>3</v>
      </c>
      <c r="G9" s="400">
        <v>4</v>
      </c>
      <c r="H9" s="400">
        <v>5</v>
      </c>
      <c r="I9" s="400">
        <v>6</v>
      </c>
      <c r="J9" s="400">
        <v>6</v>
      </c>
      <c r="K9" s="400">
        <v>5</v>
      </c>
      <c r="L9" s="400">
        <v>4</v>
      </c>
      <c r="M9" s="400">
        <v>3</v>
      </c>
      <c r="N9" s="400">
        <v>3</v>
      </c>
      <c r="O9" s="400">
        <v>4</v>
      </c>
      <c r="P9" s="400">
        <v>4</v>
      </c>
      <c r="Q9" s="400">
        <v>5</v>
      </c>
      <c r="R9" s="400">
        <v>5</v>
      </c>
      <c r="S9" s="400">
        <v>5</v>
      </c>
      <c r="T9" s="400">
        <v>5</v>
      </c>
      <c r="U9" s="400">
        <v>5</v>
      </c>
      <c r="V9" s="400">
        <v>4</v>
      </c>
      <c r="W9" s="400">
        <v>4</v>
      </c>
      <c r="X9" s="400">
        <v>4</v>
      </c>
      <c r="Y9" s="400">
        <v>4</v>
      </c>
      <c r="Z9" s="400">
        <v>3</v>
      </c>
      <c r="AA9" s="400">
        <v>3</v>
      </c>
      <c r="AB9" s="400">
        <v>2</v>
      </c>
      <c r="AC9" s="400">
        <v>2</v>
      </c>
      <c r="AD9" s="400">
        <v>2</v>
      </c>
      <c r="AE9" s="400">
        <v>1</v>
      </c>
      <c r="AF9" s="405">
        <v>1</v>
      </c>
      <c r="AG9" s="400"/>
      <c r="AH9" s="400"/>
    </row>
    <row r="10" spans="1:34">
      <c r="A10" s="404">
        <v>1</v>
      </c>
      <c r="B10" s="400">
        <v>1</v>
      </c>
      <c r="C10" s="400">
        <v>2</v>
      </c>
      <c r="D10" s="400">
        <v>3</v>
      </c>
      <c r="E10" s="400">
        <v>3</v>
      </c>
      <c r="F10" s="400">
        <v>3</v>
      </c>
      <c r="G10" s="400">
        <v>4</v>
      </c>
      <c r="H10" s="400">
        <v>5</v>
      </c>
      <c r="I10" s="400">
        <v>5</v>
      </c>
      <c r="J10" s="400">
        <v>5</v>
      </c>
      <c r="K10" s="400">
        <v>5</v>
      </c>
      <c r="L10" s="400">
        <v>4</v>
      </c>
      <c r="M10" s="400">
        <v>4</v>
      </c>
      <c r="N10" s="400">
        <v>3</v>
      </c>
      <c r="O10" s="400">
        <v>3</v>
      </c>
      <c r="P10" s="400">
        <v>4</v>
      </c>
      <c r="Q10" s="400">
        <v>4</v>
      </c>
      <c r="R10" s="400">
        <v>4</v>
      </c>
      <c r="S10" s="400">
        <v>4</v>
      </c>
      <c r="T10" s="400">
        <v>4</v>
      </c>
      <c r="U10" s="400">
        <v>6</v>
      </c>
      <c r="V10" s="400">
        <v>5</v>
      </c>
      <c r="W10" s="400">
        <v>5</v>
      </c>
      <c r="X10" s="400">
        <v>5</v>
      </c>
      <c r="Y10" s="400">
        <v>5</v>
      </c>
      <c r="Z10" s="400">
        <v>4</v>
      </c>
      <c r="AA10" s="400">
        <v>3</v>
      </c>
      <c r="AB10" s="400">
        <v>3</v>
      </c>
      <c r="AC10" s="400">
        <v>2</v>
      </c>
      <c r="AD10" s="400">
        <v>2</v>
      </c>
      <c r="AE10" s="400">
        <v>1</v>
      </c>
      <c r="AF10" s="405">
        <v>1</v>
      </c>
      <c r="AG10" s="400"/>
      <c r="AH10" s="400"/>
    </row>
    <row r="11" spans="1:34">
      <c r="A11" s="404">
        <v>1</v>
      </c>
      <c r="B11" s="400">
        <v>2</v>
      </c>
      <c r="C11" s="400">
        <v>2</v>
      </c>
      <c r="D11" s="400">
        <v>3</v>
      </c>
      <c r="E11" s="400">
        <v>3</v>
      </c>
      <c r="F11" s="400">
        <v>3</v>
      </c>
      <c r="G11" s="400">
        <v>3</v>
      </c>
      <c r="H11" s="400">
        <v>4</v>
      </c>
      <c r="I11" s="400">
        <v>4</v>
      </c>
      <c r="J11" s="400">
        <v>4</v>
      </c>
      <c r="K11" s="400">
        <v>4</v>
      </c>
      <c r="L11" s="400">
        <v>3</v>
      </c>
      <c r="M11" s="400">
        <v>3</v>
      </c>
      <c r="N11" s="400">
        <v>3</v>
      </c>
      <c r="O11" s="400">
        <v>3</v>
      </c>
      <c r="P11" s="400">
        <v>3</v>
      </c>
      <c r="Q11" s="400">
        <v>3</v>
      </c>
      <c r="R11" s="400">
        <v>3</v>
      </c>
      <c r="S11" s="400">
        <v>3</v>
      </c>
      <c r="T11" s="400">
        <v>4</v>
      </c>
      <c r="U11" s="400">
        <v>5</v>
      </c>
      <c r="V11" s="400">
        <v>6</v>
      </c>
      <c r="W11" s="400">
        <v>7</v>
      </c>
      <c r="X11" s="400">
        <v>6</v>
      </c>
      <c r="Y11" s="400">
        <v>5</v>
      </c>
      <c r="Z11" s="400">
        <v>5</v>
      </c>
      <c r="AA11" s="400">
        <v>4</v>
      </c>
      <c r="AB11" s="400">
        <v>3</v>
      </c>
      <c r="AC11" s="400">
        <v>3</v>
      </c>
      <c r="AD11" s="400">
        <v>2</v>
      </c>
      <c r="AE11" s="400">
        <v>1</v>
      </c>
      <c r="AF11" s="405">
        <v>1</v>
      </c>
      <c r="AG11" s="400"/>
      <c r="AH11" s="400"/>
    </row>
    <row r="12" spans="1:34">
      <c r="A12" s="404">
        <v>1</v>
      </c>
      <c r="B12" s="400">
        <v>2</v>
      </c>
      <c r="C12" s="400">
        <v>2</v>
      </c>
      <c r="D12" s="400">
        <v>3</v>
      </c>
      <c r="E12" s="400">
        <v>3</v>
      </c>
      <c r="F12" s="400">
        <v>3</v>
      </c>
      <c r="G12" s="400">
        <v>3</v>
      </c>
      <c r="H12" s="400">
        <v>3</v>
      </c>
      <c r="I12" s="400">
        <v>3</v>
      </c>
      <c r="J12" s="400">
        <v>3</v>
      </c>
      <c r="K12" s="400">
        <v>3</v>
      </c>
      <c r="L12" s="400">
        <v>3</v>
      </c>
      <c r="M12" s="400">
        <v>3</v>
      </c>
      <c r="N12" s="400">
        <v>3</v>
      </c>
      <c r="O12" s="400">
        <v>3</v>
      </c>
      <c r="P12" s="400">
        <v>3</v>
      </c>
      <c r="Q12" s="400">
        <v>3</v>
      </c>
      <c r="R12" s="400">
        <v>3</v>
      </c>
      <c r="S12" s="400">
        <v>4</v>
      </c>
      <c r="T12" s="400">
        <v>4</v>
      </c>
      <c r="U12" s="400">
        <v>5</v>
      </c>
      <c r="V12" s="400">
        <v>6</v>
      </c>
      <c r="W12" s="400">
        <v>6</v>
      </c>
      <c r="X12" s="400">
        <v>5</v>
      </c>
      <c r="Y12" s="400">
        <v>4</v>
      </c>
      <c r="Z12" s="400">
        <v>4</v>
      </c>
      <c r="AA12" s="400">
        <v>3</v>
      </c>
      <c r="AB12" s="400">
        <v>3</v>
      </c>
      <c r="AC12" s="400">
        <v>2</v>
      </c>
      <c r="AD12" s="400">
        <v>1</v>
      </c>
      <c r="AE12" s="400">
        <v>1</v>
      </c>
      <c r="AF12" s="405">
        <v>1</v>
      </c>
      <c r="AG12" s="400"/>
      <c r="AH12" s="400"/>
    </row>
    <row r="13" spans="1:34">
      <c r="A13" s="404">
        <v>1</v>
      </c>
      <c r="B13" s="400">
        <v>2</v>
      </c>
      <c r="C13" s="400">
        <v>2</v>
      </c>
      <c r="D13" s="400">
        <v>3</v>
      </c>
      <c r="E13" s="400">
        <v>3</v>
      </c>
      <c r="F13" s="400">
        <v>3</v>
      </c>
      <c r="G13" s="400">
        <v>3</v>
      </c>
      <c r="H13" s="400">
        <v>3</v>
      </c>
      <c r="I13" s="400">
        <v>3</v>
      </c>
      <c r="J13" s="400">
        <v>3</v>
      </c>
      <c r="K13" s="400">
        <v>3</v>
      </c>
      <c r="L13" s="400">
        <v>3</v>
      </c>
      <c r="M13" s="400">
        <v>4</v>
      </c>
      <c r="N13" s="400">
        <v>4</v>
      </c>
      <c r="O13" s="400">
        <v>4</v>
      </c>
      <c r="P13" s="400">
        <v>4</v>
      </c>
      <c r="Q13" s="400">
        <v>4</v>
      </c>
      <c r="R13" s="400">
        <v>4</v>
      </c>
      <c r="S13" s="400">
        <v>4</v>
      </c>
      <c r="T13" s="400">
        <v>5</v>
      </c>
      <c r="U13" s="400">
        <v>6</v>
      </c>
      <c r="V13" s="400">
        <v>6</v>
      </c>
      <c r="W13" s="400">
        <v>5</v>
      </c>
      <c r="X13" s="400">
        <v>4</v>
      </c>
      <c r="Y13" s="400">
        <v>4</v>
      </c>
      <c r="Z13" s="400">
        <v>3</v>
      </c>
      <c r="AA13" s="400">
        <v>3</v>
      </c>
      <c r="AB13" s="400">
        <v>2</v>
      </c>
      <c r="AC13" s="400">
        <v>2</v>
      </c>
      <c r="AD13" s="400">
        <v>1</v>
      </c>
      <c r="AE13" s="400">
        <v>1</v>
      </c>
      <c r="AF13" s="405">
        <v>1</v>
      </c>
      <c r="AG13" s="400"/>
      <c r="AH13" s="400"/>
    </row>
    <row r="14" spans="1:34">
      <c r="A14" s="404">
        <v>1</v>
      </c>
      <c r="B14" s="400">
        <v>2</v>
      </c>
      <c r="C14" s="400">
        <v>2</v>
      </c>
      <c r="D14" s="400">
        <v>2</v>
      </c>
      <c r="E14" s="400">
        <v>3</v>
      </c>
      <c r="F14" s="400">
        <v>3</v>
      </c>
      <c r="G14" s="400">
        <v>3</v>
      </c>
      <c r="H14" s="400">
        <v>3</v>
      </c>
      <c r="I14" s="400">
        <v>4</v>
      </c>
      <c r="J14" s="400">
        <v>4</v>
      </c>
      <c r="K14" s="400">
        <v>4</v>
      </c>
      <c r="L14" s="400">
        <v>4</v>
      </c>
      <c r="M14" s="400">
        <v>5</v>
      </c>
      <c r="N14" s="400">
        <v>5</v>
      </c>
      <c r="O14" s="400">
        <v>5</v>
      </c>
      <c r="P14" s="400">
        <v>5</v>
      </c>
      <c r="Q14" s="400">
        <v>5</v>
      </c>
      <c r="R14" s="400">
        <v>5</v>
      </c>
      <c r="S14" s="400">
        <v>5</v>
      </c>
      <c r="T14" s="400">
        <v>6</v>
      </c>
      <c r="U14" s="400">
        <v>6</v>
      </c>
      <c r="V14" s="400">
        <v>5</v>
      </c>
      <c r="W14" s="400">
        <v>4</v>
      </c>
      <c r="X14" s="400">
        <v>3</v>
      </c>
      <c r="Y14" s="400">
        <v>3</v>
      </c>
      <c r="Z14" s="400">
        <v>3</v>
      </c>
      <c r="AA14" s="400">
        <v>2</v>
      </c>
      <c r="AB14" s="400">
        <v>2</v>
      </c>
      <c r="AC14" s="400">
        <v>2</v>
      </c>
      <c r="AD14" s="400">
        <v>1</v>
      </c>
      <c r="AE14" s="400">
        <v>1</v>
      </c>
      <c r="AF14" s="405">
        <v>1</v>
      </c>
      <c r="AG14" s="400"/>
      <c r="AH14" s="400"/>
    </row>
    <row r="15" spans="1:34">
      <c r="A15" s="404">
        <v>1</v>
      </c>
      <c r="B15" s="400">
        <v>1</v>
      </c>
      <c r="C15" s="400">
        <v>2</v>
      </c>
      <c r="D15" s="400">
        <v>2</v>
      </c>
      <c r="E15" s="400">
        <v>3</v>
      </c>
      <c r="F15" s="400">
        <v>3</v>
      </c>
      <c r="G15" s="400">
        <v>3</v>
      </c>
      <c r="H15" s="400">
        <v>3</v>
      </c>
      <c r="I15" s="400">
        <v>3</v>
      </c>
      <c r="J15" s="400">
        <v>4</v>
      </c>
      <c r="K15" s="400">
        <v>5</v>
      </c>
      <c r="L15" s="400">
        <v>5</v>
      </c>
      <c r="M15" s="400">
        <v>6</v>
      </c>
      <c r="N15" s="400">
        <v>6</v>
      </c>
      <c r="O15" s="400">
        <v>6</v>
      </c>
      <c r="P15" s="400">
        <v>6</v>
      </c>
      <c r="Q15" s="400">
        <v>6</v>
      </c>
      <c r="R15" s="400">
        <v>6</v>
      </c>
      <c r="S15" s="400">
        <v>6</v>
      </c>
      <c r="T15" s="400">
        <v>6</v>
      </c>
      <c r="U15" s="400">
        <v>5</v>
      </c>
      <c r="V15" s="400">
        <v>4</v>
      </c>
      <c r="W15" s="400">
        <v>3</v>
      </c>
      <c r="X15" s="400">
        <v>3</v>
      </c>
      <c r="Y15" s="400">
        <v>3</v>
      </c>
      <c r="Z15" s="400">
        <v>2</v>
      </c>
      <c r="AA15" s="400">
        <v>2</v>
      </c>
      <c r="AB15" s="400">
        <v>1</v>
      </c>
      <c r="AC15" s="400">
        <v>1</v>
      </c>
      <c r="AD15" s="400">
        <v>1</v>
      </c>
      <c r="AE15" s="400">
        <v>1</v>
      </c>
      <c r="AF15" s="405">
        <v>1</v>
      </c>
      <c r="AG15" s="400"/>
      <c r="AH15" s="400"/>
    </row>
    <row r="16" spans="1:34">
      <c r="A16" s="404"/>
      <c r="B16" s="400">
        <v>1</v>
      </c>
      <c r="C16" s="400">
        <v>1</v>
      </c>
      <c r="D16" s="400">
        <v>2</v>
      </c>
      <c r="E16" s="400">
        <v>2</v>
      </c>
      <c r="F16" s="400">
        <v>2</v>
      </c>
      <c r="G16" s="400">
        <v>3</v>
      </c>
      <c r="H16" s="400">
        <v>3</v>
      </c>
      <c r="I16" s="400">
        <v>3</v>
      </c>
      <c r="J16" s="400">
        <v>3</v>
      </c>
      <c r="K16" s="400">
        <v>4</v>
      </c>
      <c r="L16" s="400">
        <v>4</v>
      </c>
      <c r="M16" s="400">
        <v>5</v>
      </c>
      <c r="N16" s="400">
        <v>6</v>
      </c>
      <c r="O16" s="400">
        <v>6</v>
      </c>
      <c r="P16" s="400">
        <v>5</v>
      </c>
      <c r="Q16" s="400">
        <v>5</v>
      </c>
      <c r="R16" s="400">
        <v>5</v>
      </c>
      <c r="S16" s="400">
        <v>5</v>
      </c>
      <c r="T16" s="400">
        <v>5</v>
      </c>
      <c r="U16" s="400">
        <v>5</v>
      </c>
      <c r="V16" s="400">
        <v>3</v>
      </c>
      <c r="W16" s="400">
        <v>3</v>
      </c>
      <c r="X16" s="400">
        <v>3</v>
      </c>
      <c r="Y16" s="400">
        <v>2</v>
      </c>
      <c r="Z16" s="400">
        <v>2</v>
      </c>
      <c r="AA16" s="400">
        <v>1</v>
      </c>
      <c r="AB16" s="400">
        <v>1</v>
      </c>
      <c r="AC16" s="400">
        <v>1</v>
      </c>
      <c r="AD16" s="400"/>
      <c r="AE16" s="400"/>
      <c r="AF16" s="405">
        <v>1</v>
      </c>
      <c r="AG16" s="400"/>
      <c r="AH16" s="400"/>
    </row>
    <row r="17" spans="1:34">
      <c r="A17" s="404"/>
      <c r="B17" s="400"/>
      <c r="C17" s="400">
        <v>1</v>
      </c>
      <c r="D17" s="400">
        <v>1</v>
      </c>
      <c r="E17" s="400">
        <v>2</v>
      </c>
      <c r="F17" s="400">
        <v>2</v>
      </c>
      <c r="G17" s="400">
        <v>2</v>
      </c>
      <c r="H17" s="400">
        <v>3</v>
      </c>
      <c r="I17" s="400">
        <v>3</v>
      </c>
      <c r="J17" s="400">
        <v>3</v>
      </c>
      <c r="K17" s="400">
        <v>3</v>
      </c>
      <c r="L17" s="400">
        <v>4</v>
      </c>
      <c r="M17" s="400">
        <v>4</v>
      </c>
      <c r="N17" s="400">
        <v>5</v>
      </c>
      <c r="O17" s="400">
        <v>5</v>
      </c>
      <c r="P17" s="400">
        <v>4</v>
      </c>
      <c r="Q17" s="400">
        <v>4</v>
      </c>
      <c r="R17" s="400">
        <v>4</v>
      </c>
      <c r="S17" s="400">
        <v>4</v>
      </c>
      <c r="T17" s="400">
        <v>4</v>
      </c>
      <c r="U17" s="400">
        <v>4</v>
      </c>
      <c r="V17" s="400">
        <v>3</v>
      </c>
      <c r="W17" s="400">
        <v>2</v>
      </c>
      <c r="X17" s="400">
        <v>2</v>
      </c>
      <c r="Y17" s="400">
        <v>2</v>
      </c>
      <c r="Z17" s="400">
        <v>1</v>
      </c>
      <c r="AA17" s="400">
        <v>1</v>
      </c>
      <c r="AB17" s="400">
        <v>1</v>
      </c>
      <c r="AC17" s="400">
        <v>1</v>
      </c>
      <c r="AD17" s="400"/>
      <c r="AE17" s="400"/>
      <c r="AF17" s="405"/>
      <c r="AG17" s="400"/>
      <c r="AH17" s="400"/>
    </row>
    <row r="18" spans="1:34">
      <c r="A18" s="404"/>
      <c r="B18" s="400"/>
      <c r="C18" s="400"/>
      <c r="D18" s="400">
        <v>1</v>
      </c>
      <c r="E18" s="400">
        <v>1</v>
      </c>
      <c r="F18" s="400">
        <v>2</v>
      </c>
      <c r="G18" s="400">
        <v>2</v>
      </c>
      <c r="H18" s="400">
        <v>2</v>
      </c>
      <c r="I18" s="400">
        <v>3</v>
      </c>
      <c r="J18" s="400">
        <v>3</v>
      </c>
      <c r="K18" s="400">
        <v>3</v>
      </c>
      <c r="L18" s="400">
        <v>3</v>
      </c>
      <c r="M18" s="400">
        <v>4</v>
      </c>
      <c r="N18" s="400">
        <v>4</v>
      </c>
      <c r="O18" s="400">
        <v>4</v>
      </c>
      <c r="P18" s="400">
        <v>4</v>
      </c>
      <c r="Q18" s="400">
        <v>3</v>
      </c>
      <c r="R18" s="400">
        <v>3</v>
      </c>
      <c r="S18" s="400">
        <v>3</v>
      </c>
      <c r="T18" s="400">
        <v>3</v>
      </c>
      <c r="U18" s="400">
        <v>4</v>
      </c>
      <c r="V18" s="400">
        <v>3</v>
      </c>
      <c r="W18" s="400">
        <v>3</v>
      </c>
      <c r="X18" s="400">
        <v>2</v>
      </c>
      <c r="Y18" s="400">
        <v>2</v>
      </c>
      <c r="Z18" s="400">
        <v>1</v>
      </c>
      <c r="AA18" s="400">
        <v>1</v>
      </c>
      <c r="AB18" s="400">
        <v>1</v>
      </c>
      <c r="AC18" s="400"/>
      <c r="AD18" s="400"/>
      <c r="AE18" s="400"/>
      <c r="AF18" s="405"/>
      <c r="AG18" s="400"/>
      <c r="AH18" s="400"/>
    </row>
    <row r="19" spans="1:34">
      <c r="A19" s="404"/>
      <c r="B19" s="400">
        <v>1</v>
      </c>
      <c r="C19" s="400">
        <v>1</v>
      </c>
      <c r="D19" s="400">
        <v>1</v>
      </c>
      <c r="E19" s="400">
        <v>1</v>
      </c>
      <c r="F19" s="400">
        <v>1</v>
      </c>
      <c r="G19" s="400">
        <v>2</v>
      </c>
      <c r="H19" s="400">
        <v>2</v>
      </c>
      <c r="I19" s="400">
        <v>2</v>
      </c>
      <c r="J19" s="400">
        <v>2</v>
      </c>
      <c r="K19" s="400">
        <v>3</v>
      </c>
      <c r="L19" s="400">
        <v>3</v>
      </c>
      <c r="M19" s="400">
        <v>3</v>
      </c>
      <c r="N19" s="400">
        <v>4</v>
      </c>
      <c r="O19" s="400">
        <v>4</v>
      </c>
      <c r="P19" s="400">
        <v>3</v>
      </c>
      <c r="Q19" s="400">
        <v>3</v>
      </c>
      <c r="R19" s="400">
        <v>4</v>
      </c>
      <c r="S19" s="400">
        <v>4</v>
      </c>
      <c r="T19" s="400">
        <v>4</v>
      </c>
      <c r="U19" s="400">
        <v>5</v>
      </c>
      <c r="V19" s="400">
        <v>4</v>
      </c>
      <c r="W19" s="400">
        <v>3</v>
      </c>
      <c r="X19" s="400">
        <v>3</v>
      </c>
      <c r="Y19" s="400">
        <v>2</v>
      </c>
      <c r="Z19" s="400">
        <v>2</v>
      </c>
      <c r="AA19" s="400">
        <v>1</v>
      </c>
      <c r="AB19" s="400">
        <v>1</v>
      </c>
      <c r="AC19" s="400">
        <v>1</v>
      </c>
      <c r="AD19" s="400">
        <v>1</v>
      </c>
      <c r="AE19" s="400"/>
      <c r="AF19" s="405"/>
      <c r="AG19" s="400"/>
      <c r="AH19" s="400"/>
    </row>
    <row r="20" spans="1:34">
      <c r="A20" s="404">
        <v>1</v>
      </c>
      <c r="B20" s="400">
        <v>1</v>
      </c>
      <c r="C20" s="400">
        <v>2</v>
      </c>
      <c r="D20" s="400">
        <v>2</v>
      </c>
      <c r="E20" s="400">
        <v>1</v>
      </c>
      <c r="F20" s="400">
        <v>1</v>
      </c>
      <c r="G20" s="400">
        <v>1</v>
      </c>
      <c r="H20" s="400">
        <v>2</v>
      </c>
      <c r="I20" s="400">
        <v>2</v>
      </c>
      <c r="J20" s="400">
        <v>2</v>
      </c>
      <c r="K20" s="400">
        <v>2</v>
      </c>
      <c r="L20" s="400">
        <v>3</v>
      </c>
      <c r="M20" s="400">
        <v>3</v>
      </c>
      <c r="N20" s="400">
        <v>3</v>
      </c>
      <c r="O20" s="400">
        <v>4</v>
      </c>
      <c r="P20" s="400">
        <v>3</v>
      </c>
      <c r="Q20" s="400">
        <v>3</v>
      </c>
      <c r="R20" s="400">
        <v>3</v>
      </c>
      <c r="S20" s="400">
        <v>4</v>
      </c>
      <c r="T20" s="400">
        <v>4</v>
      </c>
      <c r="U20" s="400">
        <v>4</v>
      </c>
      <c r="V20" s="400">
        <v>4</v>
      </c>
      <c r="W20" s="400">
        <v>4</v>
      </c>
      <c r="X20" s="400">
        <v>3</v>
      </c>
      <c r="Y20" s="400">
        <v>2</v>
      </c>
      <c r="Z20" s="400">
        <v>2</v>
      </c>
      <c r="AA20" s="400">
        <v>2</v>
      </c>
      <c r="AB20" s="400">
        <v>1</v>
      </c>
      <c r="AC20" s="400">
        <v>1</v>
      </c>
      <c r="AD20" s="400">
        <v>1</v>
      </c>
      <c r="AE20" s="400">
        <v>1</v>
      </c>
      <c r="AF20" s="405"/>
      <c r="AG20" s="400"/>
      <c r="AH20" s="400"/>
    </row>
    <row r="21" spans="1:34">
      <c r="A21" s="404">
        <v>1</v>
      </c>
      <c r="B21" s="400">
        <v>2</v>
      </c>
      <c r="C21" s="400">
        <v>2</v>
      </c>
      <c r="D21" s="400">
        <v>2</v>
      </c>
      <c r="E21" s="400">
        <v>2</v>
      </c>
      <c r="F21" s="400">
        <v>1</v>
      </c>
      <c r="G21" s="400">
        <v>1</v>
      </c>
      <c r="H21" s="400">
        <v>2</v>
      </c>
      <c r="I21" s="400">
        <v>2</v>
      </c>
      <c r="J21" s="400">
        <v>2</v>
      </c>
      <c r="K21" s="400">
        <v>2</v>
      </c>
      <c r="L21" s="400">
        <v>2</v>
      </c>
      <c r="M21" s="400">
        <v>2</v>
      </c>
      <c r="N21" s="400">
        <v>3</v>
      </c>
      <c r="O21" s="400">
        <v>3</v>
      </c>
      <c r="P21" s="400">
        <v>3</v>
      </c>
      <c r="Q21" s="400">
        <v>3</v>
      </c>
      <c r="R21" s="400">
        <v>3</v>
      </c>
      <c r="S21" s="400">
        <v>3</v>
      </c>
      <c r="T21" s="400">
        <v>3</v>
      </c>
      <c r="U21" s="400">
        <v>3</v>
      </c>
      <c r="V21" s="400">
        <v>3</v>
      </c>
      <c r="W21" s="400">
        <v>3</v>
      </c>
      <c r="X21" s="400">
        <v>3</v>
      </c>
      <c r="Y21" s="400">
        <v>3</v>
      </c>
      <c r="Z21" s="400">
        <v>3</v>
      </c>
      <c r="AA21" s="400">
        <v>2</v>
      </c>
      <c r="AB21" s="400">
        <v>2</v>
      </c>
      <c r="AC21" s="400">
        <v>1</v>
      </c>
      <c r="AD21" s="400">
        <v>1</v>
      </c>
      <c r="AE21" s="400">
        <v>1</v>
      </c>
      <c r="AF21" s="405">
        <v>1</v>
      </c>
      <c r="AG21" s="400"/>
      <c r="AH21" s="400"/>
    </row>
    <row r="22" spans="1:34">
      <c r="A22" s="404">
        <v>1</v>
      </c>
      <c r="B22" s="400">
        <v>2</v>
      </c>
      <c r="C22" s="400">
        <v>3</v>
      </c>
      <c r="D22" s="400">
        <v>3</v>
      </c>
      <c r="E22" s="400">
        <v>2</v>
      </c>
      <c r="F22" s="400">
        <v>1</v>
      </c>
      <c r="G22" s="400">
        <v>1</v>
      </c>
      <c r="H22" s="400">
        <v>1</v>
      </c>
      <c r="I22" s="400">
        <v>1</v>
      </c>
      <c r="J22" s="400">
        <v>1</v>
      </c>
      <c r="K22" s="400">
        <v>2</v>
      </c>
      <c r="L22" s="400">
        <v>2</v>
      </c>
      <c r="M22" s="400">
        <v>2</v>
      </c>
      <c r="N22" s="400">
        <v>2</v>
      </c>
      <c r="O22" s="400">
        <v>2</v>
      </c>
      <c r="P22" s="400">
        <v>2</v>
      </c>
      <c r="Q22" s="400">
        <v>2</v>
      </c>
      <c r="R22" s="400">
        <v>2</v>
      </c>
      <c r="S22" s="400">
        <v>2</v>
      </c>
      <c r="T22" s="400">
        <v>2</v>
      </c>
      <c r="U22" s="400">
        <v>2</v>
      </c>
      <c r="V22" s="400">
        <v>2</v>
      </c>
      <c r="W22" s="400">
        <v>2</v>
      </c>
      <c r="X22" s="400">
        <v>2</v>
      </c>
      <c r="Y22" s="400">
        <v>2</v>
      </c>
      <c r="Z22" s="400">
        <v>2</v>
      </c>
      <c r="AA22" s="400">
        <v>2</v>
      </c>
      <c r="AB22" s="400">
        <v>1</v>
      </c>
      <c r="AC22" s="400">
        <v>1</v>
      </c>
      <c r="AD22" s="400"/>
      <c r="AE22" s="400"/>
      <c r="AF22" s="405">
        <v>1</v>
      </c>
      <c r="AG22" s="400"/>
      <c r="AH22" s="400"/>
    </row>
    <row r="23" spans="1:34">
      <c r="A23" s="404">
        <v>1</v>
      </c>
      <c r="B23" s="400">
        <v>2</v>
      </c>
      <c r="C23" s="400">
        <v>3</v>
      </c>
      <c r="D23" s="400">
        <v>3</v>
      </c>
      <c r="E23" s="400">
        <v>2</v>
      </c>
      <c r="F23" s="400">
        <v>2</v>
      </c>
      <c r="G23" s="400">
        <v>1</v>
      </c>
      <c r="H23" s="400">
        <v>1</v>
      </c>
      <c r="I23" s="400">
        <v>1</v>
      </c>
      <c r="J23" s="400">
        <v>1</v>
      </c>
      <c r="K23" s="400">
        <v>1</v>
      </c>
      <c r="L23" s="400">
        <v>1</v>
      </c>
      <c r="M23" s="400">
        <v>1</v>
      </c>
      <c r="N23" s="400">
        <v>1</v>
      </c>
      <c r="O23" s="400">
        <v>1</v>
      </c>
      <c r="P23" s="400">
        <v>2</v>
      </c>
      <c r="Q23" s="400">
        <v>2</v>
      </c>
      <c r="R23" s="400">
        <v>2</v>
      </c>
      <c r="S23" s="400">
        <v>2</v>
      </c>
      <c r="T23" s="400">
        <v>2</v>
      </c>
      <c r="U23" s="400">
        <v>2</v>
      </c>
      <c r="V23" s="400">
        <v>2</v>
      </c>
      <c r="W23" s="400">
        <v>2</v>
      </c>
      <c r="X23" s="400">
        <v>2</v>
      </c>
      <c r="Y23" s="400">
        <v>1</v>
      </c>
      <c r="Z23" s="400">
        <v>1</v>
      </c>
      <c r="AA23" s="400">
        <v>1</v>
      </c>
      <c r="AB23" s="400">
        <v>1</v>
      </c>
      <c r="AC23" s="400"/>
      <c r="AD23" s="400"/>
      <c r="AE23" s="400"/>
      <c r="AF23" s="405"/>
      <c r="AG23" s="400"/>
      <c r="AH23" s="400"/>
    </row>
    <row r="24" spans="1:34">
      <c r="A24" s="404">
        <v>1</v>
      </c>
      <c r="B24" s="400">
        <v>2</v>
      </c>
      <c r="C24" s="400">
        <v>2</v>
      </c>
      <c r="D24" s="400">
        <v>3</v>
      </c>
      <c r="E24" s="400">
        <v>3</v>
      </c>
      <c r="F24" s="400">
        <v>3</v>
      </c>
      <c r="G24" s="400">
        <v>2</v>
      </c>
      <c r="H24" s="400">
        <v>2</v>
      </c>
      <c r="I24" s="400">
        <v>1</v>
      </c>
      <c r="J24" s="400">
        <v>1</v>
      </c>
      <c r="K24" s="400">
        <v>1</v>
      </c>
      <c r="L24" s="400">
        <v>1</v>
      </c>
      <c r="M24" s="400">
        <v>1</v>
      </c>
      <c r="N24" s="400">
        <v>1</v>
      </c>
      <c r="O24" s="400">
        <v>1</v>
      </c>
      <c r="P24" s="400">
        <v>1</v>
      </c>
      <c r="Q24" s="400">
        <v>1</v>
      </c>
      <c r="R24" s="400">
        <v>1</v>
      </c>
      <c r="S24" s="400">
        <v>1</v>
      </c>
      <c r="T24" s="400">
        <v>1</v>
      </c>
      <c r="U24" s="400">
        <v>1</v>
      </c>
      <c r="V24" s="400">
        <v>1</v>
      </c>
      <c r="W24" s="400">
        <v>1</v>
      </c>
      <c r="X24" s="400">
        <v>1</v>
      </c>
      <c r="Y24" s="400">
        <v>1</v>
      </c>
      <c r="Z24" s="400"/>
      <c r="AA24" s="400"/>
      <c r="AB24" s="400"/>
      <c r="AC24" s="400"/>
      <c r="AD24" s="400"/>
      <c r="AE24" s="400"/>
      <c r="AF24" s="405"/>
      <c r="AG24" s="400"/>
      <c r="AH24" s="400"/>
    </row>
    <row r="25" spans="1:34">
      <c r="A25" s="404">
        <v>1</v>
      </c>
      <c r="B25" s="400">
        <v>1</v>
      </c>
      <c r="C25" s="400">
        <v>2</v>
      </c>
      <c r="D25" s="400">
        <v>3</v>
      </c>
      <c r="E25" s="400">
        <v>4</v>
      </c>
      <c r="F25" s="400">
        <v>3</v>
      </c>
      <c r="G25" s="400">
        <v>3</v>
      </c>
      <c r="H25" s="400">
        <v>2</v>
      </c>
      <c r="I25" s="400">
        <v>2</v>
      </c>
      <c r="J25" s="400">
        <v>2</v>
      </c>
      <c r="K25" s="400">
        <v>2</v>
      </c>
      <c r="L25" s="400">
        <v>2</v>
      </c>
      <c r="M25" s="400">
        <v>1</v>
      </c>
      <c r="N25" s="400">
        <v>1</v>
      </c>
      <c r="O25" s="400">
        <v>1</v>
      </c>
      <c r="P25" s="400">
        <v>1</v>
      </c>
      <c r="Q25" s="400">
        <v>1</v>
      </c>
      <c r="R25" s="400">
        <v>1</v>
      </c>
      <c r="S25" s="400">
        <v>1</v>
      </c>
      <c r="T25" s="400">
        <v>1</v>
      </c>
      <c r="U25" s="400">
        <v>1</v>
      </c>
      <c r="V25" s="400"/>
      <c r="W25" s="400"/>
      <c r="X25" s="400"/>
      <c r="Y25" s="400"/>
      <c r="Z25" s="400">
        <v>1</v>
      </c>
      <c r="AA25" s="400">
        <v>1</v>
      </c>
      <c r="AB25" s="400">
        <v>1</v>
      </c>
      <c r="AC25" s="400">
        <v>1</v>
      </c>
      <c r="AD25" s="400">
        <v>1</v>
      </c>
      <c r="AE25" s="400">
        <v>1</v>
      </c>
      <c r="AF25" s="405"/>
      <c r="AG25" s="400"/>
      <c r="AH25" s="400"/>
    </row>
    <row r="26" spans="1:34">
      <c r="A26" s="404">
        <v>1</v>
      </c>
      <c r="B26" s="400">
        <v>1</v>
      </c>
      <c r="C26" s="400">
        <v>2</v>
      </c>
      <c r="D26" s="400">
        <v>4</v>
      </c>
      <c r="E26" s="400">
        <v>4</v>
      </c>
      <c r="F26" s="400">
        <v>4</v>
      </c>
      <c r="G26" s="400">
        <v>3</v>
      </c>
      <c r="H26" s="400">
        <v>2</v>
      </c>
      <c r="I26" s="400">
        <v>2</v>
      </c>
      <c r="J26" s="400">
        <v>2</v>
      </c>
      <c r="K26" s="400">
        <v>2</v>
      </c>
      <c r="L26" s="400">
        <v>2</v>
      </c>
      <c r="M26" s="400">
        <v>2</v>
      </c>
      <c r="N26" s="400">
        <v>2</v>
      </c>
      <c r="O26" s="400">
        <v>2</v>
      </c>
      <c r="P26" s="400">
        <v>2</v>
      </c>
      <c r="Q26" s="400">
        <v>2</v>
      </c>
      <c r="R26" s="400">
        <v>2</v>
      </c>
      <c r="S26" s="400">
        <v>2</v>
      </c>
      <c r="T26" s="400">
        <v>2</v>
      </c>
      <c r="U26" s="400">
        <v>1</v>
      </c>
      <c r="V26" s="400">
        <v>1</v>
      </c>
      <c r="W26" s="400">
        <v>1</v>
      </c>
      <c r="X26" s="400">
        <v>1</v>
      </c>
      <c r="Y26" s="400">
        <v>1</v>
      </c>
      <c r="Z26" s="400">
        <v>1</v>
      </c>
      <c r="AA26" s="400">
        <v>1</v>
      </c>
      <c r="AB26" s="400">
        <v>2</v>
      </c>
      <c r="AC26" s="400">
        <v>2</v>
      </c>
      <c r="AD26" s="400">
        <v>2</v>
      </c>
      <c r="AE26" s="400">
        <v>1</v>
      </c>
      <c r="AF26" s="405">
        <v>1</v>
      </c>
      <c r="AG26" s="400"/>
      <c r="AH26" s="400"/>
    </row>
    <row r="27" spans="1:34">
      <c r="A27" s="404">
        <v>1</v>
      </c>
      <c r="B27" s="400">
        <v>2</v>
      </c>
      <c r="C27" s="400">
        <v>3</v>
      </c>
      <c r="D27" s="400">
        <v>3</v>
      </c>
      <c r="E27" s="400">
        <v>4</v>
      </c>
      <c r="F27" s="400">
        <v>4</v>
      </c>
      <c r="G27" s="400">
        <v>3</v>
      </c>
      <c r="H27" s="400">
        <v>3</v>
      </c>
      <c r="I27" s="400">
        <v>3</v>
      </c>
      <c r="J27" s="400">
        <v>3</v>
      </c>
      <c r="K27" s="400">
        <v>3</v>
      </c>
      <c r="L27" s="400">
        <v>3</v>
      </c>
      <c r="M27" s="400">
        <v>3</v>
      </c>
      <c r="N27" s="400">
        <v>3</v>
      </c>
      <c r="O27" s="400">
        <v>3</v>
      </c>
      <c r="P27" s="400">
        <v>3</v>
      </c>
      <c r="Q27" s="400">
        <v>3</v>
      </c>
      <c r="R27" s="400">
        <v>2</v>
      </c>
      <c r="S27" s="400">
        <v>2</v>
      </c>
      <c r="T27" s="400">
        <v>2</v>
      </c>
      <c r="U27" s="400">
        <v>2</v>
      </c>
      <c r="V27" s="400">
        <v>2</v>
      </c>
      <c r="W27" s="400">
        <v>2</v>
      </c>
      <c r="X27" s="400">
        <v>2</v>
      </c>
      <c r="Y27" s="400">
        <v>2</v>
      </c>
      <c r="Z27" s="400">
        <v>2</v>
      </c>
      <c r="AA27" s="400">
        <v>2</v>
      </c>
      <c r="AB27" s="400">
        <v>2</v>
      </c>
      <c r="AC27" s="400">
        <v>3</v>
      </c>
      <c r="AD27" s="400">
        <v>2</v>
      </c>
      <c r="AE27" s="400">
        <v>2</v>
      </c>
      <c r="AF27" s="405">
        <v>1</v>
      </c>
      <c r="AG27" s="400"/>
      <c r="AH27" s="400"/>
    </row>
    <row r="28" spans="1:34">
      <c r="A28" s="404">
        <v>1</v>
      </c>
      <c r="B28" s="400">
        <v>2</v>
      </c>
      <c r="C28" s="400">
        <v>3</v>
      </c>
      <c r="D28" s="400">
        <v>3</v>
      </c>
      <c r="E28" s="400">
        <v>3</v>
      </c>
      <c r="F28" s="400">
        <v>3</v>
      </c>
      <c r="G28" s="400">
        <v>3</v>
      </c>
      <c r="H28" s="400">
        <v>3</v>
      </c>
      <c r="I28" s="400">
        <v>3</v>
      </c>
      <c r="J28" s="400">
        <v>3</v>
      </c>
      <c r="K28" s="400">
        <v>3</v>
      </c>
      <c r="L28" s="400">
        <v>3</v>
      </c>
      <c r="M28" s="400">
        <v>3</v>
      </c>
      <c r="N28" s="400">
        <v>3</v>
      </c>
      <c r="O28" s="400">
        <v>3</v>
      </c>
      <c r="P28" s="400">
        <v>3</v>
      </c>
      <c r="Q28" s="400">
        <v>3</v>
      </c>
      <c r="R28" s="400">
        <v>3</v>
      </c>
      <c r="S28" s="400">
        <v>3</v>
      </c>
      <c r="T28" s="400">
        <v>3</v>
      </c>
      <c r="U28" s="400">
        <v>3</v>
      </c>
      <c r="V28" s="400">
        <v>3</v>
      </c>
      <c r="W28" s="400">
        <v>3</v>
      </c>
      <c r="X28" s="400">
        <v>3</v>
      </c>
      <c r="Y28" s="400">
        <v>3</v>
      </c>
      <c r="Z28" s="400">
        <v>3</v>
      </c>
      <c r="AA28" s="400">
        <v>3</v>
      </c>
      <c r="AB28" s="400">
        <v>3</v>
      </c>
      <c r="AC28" s="400">
        <v>2</v>
      </c>
      <c r="AD28" s="400">
        <v>2</v>
      </c>
      <c r="AE28" s="400">
        <v>1</v>
      </c>
      <c r="AF28" s="405">
        <v>1</v>
      </c>
      <c r="AG28" s="400"/>
      <c r="AH28" s="400"/>
    </row>
    <row r="29" spans="1:34">
      <c r="A29" s="404">
        <v>1</v>
      </c>
      <c r="B29" s="400">
        <v>1</v>
      </c>
      <c r="C29" s="400">
        <v>2</v>
      </c>
      <c r="D29" s="400">
        <v>2</v>
      </c>
      <c r="E29" s="400">
        <v>2</v>
      </c>
      <c r="F29" s="400">
        <v>2</v>
      </c>
      <c r="G29" s="400">
        <v>2</v>
      </c>
      <c r="H29" s="400">
        <v>2</v>
      </c>
      <c r="I29" s="400">
        <v>2</v>
      </c>
      <c r="J29" s="400">
        <v>2</v>
      </c>
      <c r="K29" s="400">
        <v>2</v>
      </c>
      <c r="L29" s="400">
        <v>2</v>
      </c>
      <c r="M29" s="400">
        <v>2</v>
      </c>
      <c r="N29" s="400">
        <v>2</v>
      </c>
      <c r="O29" s="400">
        <v>2</v>
      </c>
      <c r="P29" s="400">
        <v>2</v>
      </c>
      <c r="Q29" s="400">
        <v>2</v>
      </c>
      <c r="R29" s="400">
        <v>3</v>
      </c>
      <c r="S29" s="400">
        <v>3</v>
      </c>
      <c r="T29" s="400">
        <v>3</v>
      </c>
      <c r="U29" s="400">
        <v>3</v>
      </c>
      <c r="V29" s="400">
        <v>3</v>
      </c>
      <c r="W29" s="400">
        <v>3</v>
      </c>
      <c r="X29" s="400">
        <v>3</v>
      </c>
      <c r="Y29" s="400">
        <v>3</v>
      </c>
      <c r="Z29" s="400">
        <v>3</v>
      </c>
      <c r="AA29" s="400">
        <v>3</v>
      </c>
      <c r="AB29" s="400">
        <v>2</v>
      </c>
      <c r="AC29" s="400">
        <v>2</v>
      </c>
      <c r="AD29" s="400">
        <v>1</v>
      </c>
      <c r="AE29" s="400">
        <v>1</v>
      </c>
      <c r="AF29" s="405"/>
      <c r="AG29" s="400"/>
      <c r="AH29" s="400"/>
    </row>
    <row r="30" spans="1:34">
      <c r="A30" s="404">
        <v>1</v>
      </c>
      <c r="B30" s="400">
        <v>1</v>
      </c>
      <c r="C30" s="400">
        <v>1</v>
      </c>
      <c r="D30" s="400">
        <v>2</v>
      </c>
      <c r="E30" s="400">
        <v>2</v>
      </c>
      <c r="F30" s="400">
        <v>2</v>
      </c>
      <c r="G30" s="400">
        <v>2</v>
      </c>
      <c r="H30" s="400">
        <v>2</v>
      </c>
      <c r="I30" s="400">
        <v>2</v>
      </c>
      <c r="J30" s="400">
        <v>2</v>
      </c>
      <c r="K30" s="400">
        <v>2</v>
      </c>
      <c r="L30" s="400">
        <v>2</v>
      </c>
      <c r="M30" s="400">
        <v>1</v>
      </c>
      <c r="N30" s="400">
        <v>1</v>
      </c>
      <c r="O30" s="400">
        <v>1</v>
      </c>
      <c r="P30" s="400">
        <v>1</v>
      </c>
      <c r="Q30" s="400">
        <v>1</v>
      </c>
      <c r="R30" s="400">
        <v>2</v>
      </c>
      <c r="S30" s="400">
        <v>2</v>
      </c>
      <c r="T30" s="400">
        <v>2</v>
      </c>
      <c r="U30" s="400">
        <v>2</v>
      </c>
      <c r="V30" s="400">
        <v>2</v>
      </c>
      <c r="W30" s="400">
        <v>2</v>
      </c>
      <c r="X30" s="400">
        <v>2</v>
      </c>
      <c r="Y30" s="400">
        <v>2</v>
      </c>
      <c r="Z30" s="400">
        <v>2</v>
      </c>
      <c r="AA30" s="400">
        <v>2</v>
      </c>
      <c r="AB30" s="400">
        <v>2</v>
      </c>
      <c r="AC30" s="400">
        <v>2</v>
      </c>
      <c r="AD30" s="400">
        <v>1</v>
      </c>
      <c r="AE30" s="400"/>
      <c r="AF30" s="405"/>
      <c r="AG30" s="400"/>
      <c r="AH30" s="400"/>
    </row>
    <row r="31" spans="1:34">
      <c r="A31" s="404"/>
      <c r="B31" s="400">
        <v>1</v>
      </c>
      <c r="C31" s="400">
        <v>1</v>
      </c>
      <c r="D31" s="400">
        <v>1</v>
      </c>
      <c r="E31" s="400">
        <v>1</v>
      </c>
      <c r="F31" s="400">
        <v>1</v>
      </c>
      <c r="G31" s="400">
        <v>1</v>
      </c>
      <c r="H31" s="400">
        <v>1</v>
      </c>
      <c r="I31" s="400">
        <v>1</v>
      </c>
      <c r="J31" s="400">
        <v>1</v>
      </c>
      <c r="K31" s="400">
        <v>1</v>
      </c>
      <c r="L31" s="400">
        <v>1</v>
      </c>
      <c r="M31" s="400">
        <v>1</v>
      </c>
      <c r="N31" s="400">
        <v>1</v>
      </c>
      <c r="O31" s="400">
        <v>1</v>
      </c>
      <c r="P31" s="400">
        <v>1</v>
      </c>
      <c r="Q31" s="400">
        <v>1</v>
      </c>
      <c r="R31" s="400">
        <v>1</v>
      </c>
      <c r="S31" s="400">
        <v>1</v>
      </c>
      <c r="T31" s="400">
        <v>1</v>
      </c>
      <c r="U31" s="400">
        <v>2</v>
      </c>
      <c r="V31" s="400">
        <v>2</v>
      </c>
      <c r="W31" s="400">
        <v>2</v>
      </c>
      <c r="X31" s="400">
        <v>2</v>
      </c>
      <c r="Y31" s="400">
        <v>2</v>
      </c>
      <c r="Z31" s="400">
        <v>2</v>
      </c>
      <c r="AA31" s="400">
        <v>1</v>
      </c>
      <c r="AB31" s="400">
        <v>1</v>
      </c>
      <c r="AC31" s="400">
        <v>1</v>
      </c>
      <c r="AD31" s="400">
        <v>1</v>
      </c>
      <c r="AE31" s="400"/>
      <c r="AF31" s="405"/>
      <c r="AG31" s="400"/>
      <c r="AH31" s="400"/>
    </row>
    <row r="32" spans="1:34">
      <c r="A32" s="404">
        <v>1</v>
      </c>
      <c r="B32" s="400">
        <v>1</v>
      </c>
      <c r="C32" s="400">
        <v>1</v>
      </c>
      <c r="D32" s="400">
        <v>1</v>
      </c>
      <c r="E32" s="400">
        <v>1</v>
      </c>
      <c r="F32" s="400"/>
      <c r="G32" s="400"/>
      <c r="H32" s="400"/>
      <c r="I32" s="400"/>
      <c r="J32" s="400">
        <v>1</v>
      </c>
      <c r="K32" s="400">
        <v>1</v>
      </c>
      <c r="L32" s="400">
        <v>1</v>
      </c>
      <c r="M32" s="400">
        <v>1</v>
      </c>
      <c r="N32" s="400"/>
      <c r="O32" s="400"/>
      <c r="P32" s="400"/>
      <c r="Q32" s="400">
        <v>1</v>
      </c>
      <c r="R32" s="400">
        <v>1</v>
      </c>
      <c r="S32" s="400">
        <v>1</v>
      </c>
      <c r="T32" s="400">
        <v>1</v>
      </c>
      <c r="U32" s="400">
        <v>1</v>
      </c>
      <c r="V32" s="400">
        <v>1</v>
      </c>
      <c r="W32" s="400">
        <v>1</v>
      </c>
      <c r="X32" s="400">
        <v>1</v>
      </c>
      <c r="Y32" s="400">
        <v>1</v>
      </c>
      <c r="Z32" s="400">
        <v>1</v>
      </c>
      <c r="AA32" s="400">
        <v>1</v>
      </c>
      <c r="AB32" s="400">
        <v>1</v>
      </c>
      <c r="AC32" s="400">
        <v>1</v>
      </c>
      <c r="AD32" s="400">
        <v>1</v>
      </c>
      <c r="AE32" s="400"/>
      <c r="AF32" s="405">
        <v>1</v>
      </c>
      <c r="AG32" s="326"/>
      <c r="AH32" s="326"/>
    </row>
    <row r="33" spans="1:34">
      <c r="A33" s="401">
        <v>8</v>
      </c>
      <c r="B33" s="402">
        <v>8</v>
      </c>
      <c r="C33" s="402">
        <v>8</v>
      </c>
      <c r="D33" s="402">
        <v>8</v>
      </c>
      <c r="E33" s="402">
        <v>8</v>
      </c>
      <c r="F33" s="402">
        <v>8</v>
      </c>
      <c r="G33" s="402">
        <v>8</v>
      </c>
      <c r="H33" s="402">
        <v>8</v>
      </c>
      <c r="I33" s="402">
        <v>8</v>
      </c>
      <c r="J33" s="402">
        <v>8</v>
      </c>
      <c r="K33" s="402">
        <v>8</v>
      </c>
      <c r="L33" s="402">
        <v>8</v>
      </c>
      <c r="M33" s="402">
        <v>8</v>
      </c>
      <c r="N33" s="402">
        <v>8</v>
      </c>
      <c r="O33" s="402">
        <v>8</v>
      </c>
      <c r="P33" s="402">
        <v>8</v>
      </c>
      <c r="Q33" s="402">
        <v>8</v>
      </c>
      <c r="R33" s="402">
        <v>8</v>
      </c>
      <c r="S33" s="402">
        <v>8</v>
      </c>
      <c r="T33" s="402">
        <v>8</v>
      </c>
      <c r="U33" s="402">
        <v>8</v>
      </c>
      <c r="V33" s="402">
        <v>8</v>
      </c>
      <c r="W33" s="402">
        <v>8</v>
      </c>
      <c r="X33" s="402">
        <v>8</v>
      </c>
      <c r="Y33" s="402">
        <v>8</v>
      </c>
      <c r="Z33" s="402">
        <v>8</v>
      </c>
      <c r="AA33" s="402">
        <v>8</v>
      </c>
      <c r="AB33" s="402">
        <v>8</v>
      </c>
      <c r="AC33" s="402">
        <v>8</v>
      </c>
      <c r="AD33" s="402">
        <v>8</v>
      </c>
      <c r="AE33" s="402">
        <v>8</v>
      </c>
      <c r="AF33" s="403">
        <v>8</v>
      </c>
      <c r="AG33" s="400">
        <v>1</v>
      </c>
      <c r="AH33" s="485"/>
    </row>
    <row r="34" spans="1:34">
      <c r="A34" s="93"/>
      <c r="B34" s="93"/>
      <c r="C34" s="93"/>
      <c r="D34" s="93"/>
      <c r="E34" s="93"/>
      <c r="F34" s="93"/>
      <c r="G34" s="93"/>
      <c r="H34" s="93"/>
      <c r="I34" s="93"/>
      <c r="J34" s="93"/>
      <c r="K34" s="93"/>
      <c r="L34" s="93"/>
      <c r="M34" s="93"/>
      <c r="N34" s="93"/>
      <c r="O34" s="93"/>
      <c r="P34" s="93"/>
      <c r="Q34" s="93"/>
      <c r="R34" s="93"/>
      <c r="S34" s="93"/>
      <c r="T34" s="93"/>
      <c r="U34" s="93"/>
      <c r="V34" s="93"/>
      <c r="W34" s="93"/>
      <c r="X34" s="93"/>
      <c r="Y34" s="93"/>
      <c r="Z34" s="93"/>
      <c r="AA34" s="93"/>
      <c r="AB34" s="93"/>
      <c r="AC34" s="93"/>
      <c r="AD34" s="93"/>
      <c r="AE34" s="93"/>
      <c r="AF34" s="79"/>
      <c r="AG34" s="400"/>
      <c r="AH34" s="326">
        <v>1</v>
      </c>
    </row>
    <row r="35" spans="1:34">
      <c r="AF35" s="79"/>
      <c r="AG35" s="326"/>
      <c r="AH35" s="326">
        <v>1</v>
      </c>
    </row>
    <row r="36" spans="1:34">
      <c r="AF36" s="79"/>
      <c r="AG36" s="326"/>
      <c r="AH36" s="326">
        <v>1</v>
      </c>
    </row>
    <row r="37" spans="1:34">
      <c r="AF37" s="79"/>
      <c r="AG37" s="326"/>
      <c r="AH37" s="326">
        <v>1</v>
      </c>
    </row>
    <row r="38" spans="1:34">
      <c r="AF38" s="79"/>
      <c r="AG38" s="326"/>
      <c r="AH38" s="326">
        <v>1</v>
      </c>
    </row>
    <row r="39" spans="1:34">
      <c r="AF39" s="79"/>
      <c r="AG39" s="326"/>
      <c r="AH39" s="326">
        <v>1</v>
      </c>
    </row>
    <row r="40" spans="1:34">
      <c r="AF40" s="79"/>
      <c r="AG40" s="326"/>
      <c r="AH40" s="326">
        <v>1</v>
      </c>
    </row>
    <row r="41" spans="1:34">
      <c r="AF41" s="79"/>
      <c r="AG41" s="326"/>
      <c r="AH41" s="326">
        <v>1</v>
      </c>
    </row>
    <row r="42" spans="1:34">
      <c r="AF42" s="79"/>
      <c r="AG42" s="326"/>
      <c r="AH42" s="326">
        <v>1</v>
      </c>
    </row>
    <row r="43" spans="1:34">
      <c r="AF43" s="79"/>
      <c r="AG43" s="326"/>
      <c r="AH43" s="326">
        <v>1</v>
      </c>
    </row>
    <row r="44" spans="1:34">
      <c r="AF44" s="79"/>
      <c r="AG44" s="326"/>
      <c r="AH44" s="326">
        <v>1</v>
      </c>
    </row>
    <row r="45" spans="1:34">
      <c r="AF45" s="79"/>
      <c r="AG45" s="326"/>
      <c r="AH45" s="326">
        <v>1</v>
      </c>
    </row>
    <row r="46" spans="1:34">
      <c r="AF46" s="79"/>
      <c r="AG46" s="326"/>
      <c r="AH46" s="326">
        <v>1</v>
      </c>
    </row>
    <row r="47" spans="1:34">
      <c r="AF47" s="79"/>
      <c r="AG47" s="326"/>
      <c r="AH47" s="326">
        <v>1</v>
      </c>
    </row>
    <row r="48" spans="1:34">
      <c r="AF48" s="79"/>
      <c r="AG48" s="326"/>
      <c r="AH48" s="326">
        <v>1</v>
      </c>
    </row>
    <row r="49" spans="1:34">
      <c r="AF49" s="79"/>
      <c r="AG49" s="326"/>
      <c r="AH49" s="326">
        <v>1</v>
      </c>
    </row>
    <row r="50" spans="1:34">
      <c r="AF50" s="79"/>
      <c r="AG50" s="326"/>
      <c r="AH50" s="326">
        <v>1</v>
      </c>
    </row>
    <row r="51" spans="1:34">
      <c r="AF51" s="79"/>
      <c r="AG51" s="326"/>
      <c r="AH51" s="326">
        <v>1</v>
      </c>
    </row>
    <row r="52" spans="1:34">
      <c r="AF52" s="79"/>
      <c r="AG52" s="326"/>
      <c r="AH52" s="326">
        <v>1</v>
      </c>
    </row>
    <row r="53" spans="1:34">
      <c r="AF53" s="79"/>
      <c r="AG53" s="326"/>
      <c r="AH53" s="326">
        <v>1</v>
      </c>
    </row>
    <row r="54" spans="1:34">
      <c r="AF54" s="79"/>
      <c r="AG54" s="326"/>
      <c r="AH54" s="326">
        <v>1</v>
      </c>
    </row>
    <row r="55" spans="1:34">
      <c r="AF55" s="79"/>
      <c r="AG55" s="326"/>
      <c r="AH55" s="326">
        <v>1</v>
      </c>
    </row>
    <row r="56" spans="1:34">
      <c r="AF56" s="79"/>
      <c r="AG56" s="326"/>
      <c r="AH56" s="326">
        <v>1</v>
      </c>
    </row>
    <row r="57" spans="1:34">
      <c r="AF57" s="79"/>
      <c r="AG57" s="326"/>
      <c r="AH57" s="326">
        <v>1</v>
      </c>
    </row>
    <row r="58" spans="1:34">
      <c r="AF58" s="79"/>
      <c r="AG58" s="326"/>
      <c r="AH58" s="326">
        <v>1</v>
      </c>
    </row>
    <row r="59" spans="1:34">
      <c r="AF59" s="79"/>
      <c r="AG59" s="326"/>
      <c r="AH59" s="326">
        <v>1</v>
      </c>
    </row>
    <row r="60" spans="1:34">
      <c r="AF60" s="79"/>
      <c r="AG60" s="326"/>
      <c r="AH60" s="326">
        <v>1</v>
      </c>
    </row>
    <row r="61" spans="1:34">
      <c r="AF61" s="79"/>
      <c r="AG61" s="326"/>
      <c r="AH61" s="326">
        <v>1</v>
      </c>
    </row>
    <row r="62" spans="1:34">
      <c r="AF62" s="79"/>
      <c r="AG62" s="326"/>
      <c r="AH62" s="326">
        <v>1</v>
      </c>
    </row>
    <row r="63" spans="1:34">
      <c r="AF63" s="79"/>
      <c r="AG63" s="326"/>
      <c r="AH63" s="326">
        <v>1</v>
      </c>
    </row>
    <row r="64" spans="1:34">
      <c r="A64" s="73"/>
      <c r="B64" s="73"/>
      <c r="C64" s="73"/>
      <c r="D64" s="73"/>
      <c r="E64" s="73"/>
      <c r="F64" s="73"/>
      <c r="G64" s="73"/>
      <c r="H64" s="73"/>
      <c r="I64" s="73"/>
      <c r="J64" s="73"/>
      <c r="K64" s="73"/>
      <c r="L64" s="73"/>
      <c r="M64" s="73"/>
      <c r="N64" s="73"/>
      <c r="O64" s="73"/>
      <c r="P64" s="73"/>
      <c r="Q64" s="73"/>
      <c r="R64" s="73"/>
      <c r="S64" s="73"/>
      <c r="T64" s="73"/>
      <c r="U64" s="73"/>
      <c r="V64" s="73"/>
      <c r="W64" s="73"/>
      <c r="X64" s="73"/>
      <c r="Y64" s="73"/>
      <c r="Z64" s="73"/>
      <c r="AA64" s="73"/>
      <c r="AB64" s="73"/>
      <c r="AC64" s="73"/>
      <c r="AD64" s="73"/>
      <c r="AE64" s="73"/>
      <c r="AF64" s="701"/>
      <c r="AG64" s="326"/>
      <c r="AH64" s="326">
        <v>1</v>
      </c>
    </row>
    <row r="65" spans="1:34">
      <c r="A65" s="401">
        <v>6</v>
      </c>
      <c r="B65" s="402">
        <v>6</v>
      </c>
      <c r="C65" s="402">
        <v>6</v>
      </c>
      <c r="D65" s="402">
        <v>6</v>
      </c>
      <c r="E65" s="402">
        <v>6</v>
      </c>
      <c r="F65" s="402">
        <v>6</v>
      </c>
      <c r="G65" s="402">
        <v>6</v>
      </c>
      <c r="H65" s="402">
        <v>6</v>
      </c>
      <c r="I65" s="402">
        <v>6</v>
      </c>
      <c r="J65" s="402">
        <v>6</v>
      </c>
      <c r="K65" s="402">
        <v>6</v>
      </c>
      <c r="L65" s="402">
        <v>6</v>
      </c>
      <c r="M65" s="402">
        <v>6</v>
      </c>
      <c r="N65" s="402">
        <v>6</v>
      </c>
      <c r="O65" s="402">
        <v>6</v>
      </c>
      <c r="P65" s="402">
        <v>6</v>
      </c>
      <c r="Q65" s="402">
        <v>6</v>
      </c>
      <c r="R65" s="402">
        <v>6</v>
      </c>
      <c r="S65" s="402">
        <v>6</v>
      </c>
      <c r="T65" s="402">
        <v>6</v>
      </c>
      <c r="U65" s="402">
        <v>6</v>
      </c>
      <c r="V65" s="402">
        <v>6</v>
      </c>
      <c r="W65" s="402">
        <v>6</v>
      </c>
      <c r="X65" s="402">
        <v>6</v>
      </c>
      <c r="Y65" s="402">
        <v>6</v>
      </c>
      <c r="Z65" s="402">
        <v>6</v>
      </c>
      <c r="AA65" s="402">
        <v>6</v>
      </c>
      <c r="AB65" s="402">
        <v>6</v>
      </c>
      <c r="AC65" s="402">
        <v>6</v>
      </c>
      <c r="AD65" s="402">
        <v>6</v>
      </c>
      <c r="AE65" s="402">
        <v>6</v>
      </c>
      <c r="AF65" s="403">
        <v>6</v>
      </c>
      <c r="AG65" s="400">
        <v>4</v>
      </c>
      <c r="AH65" s="486"/>
    </row>
    <row r="66" spans="1:34">
      <c r="A66" s="93"/>
      <c r="B66" s="93"/>
      <c r="C66" s="93"/>
      <c r="D66" s="93"/>
      <c r="E66" s="93"/>
      <c r="F66" s="93"/>
      <c r="G66" s="93"/>
      <c r="H66" s="93"/>
      <c r="I66" s="93"/>
      <c r="J66" s="93"/>
      <c r="K66" s="93"/>
      <c r="L66" s="93"/>
      <c r="M66" s="93"/>
      <c r="N66" s="93"/>
      <c r="O66" s="93"/>
      <c r="P66" s="93"/>
      <c r="Q66" s="93"/>
      <c r="R66" s="93"/>
      <c r="S66" s="93"/>
      <c r="T66" s="93"/>
      <c r="U66" s="93"/>
      <c r="V66" s="93"/>
      <c r="W66" s="93"/>
      <c r="X66" s="93"/>
      <c r="Y66" s="93"/>
      <c r="Z66" s="93"/>
      <c r="AA66" s="93"/>
      <c r="AB66" s="93"/>
      <c r="AC66" s="93"/>
      <c r="AD66" s="93"/>
      <c r="AE66" s="93"/>
      <c r="AF66" s="79"/>
      <c r="AG66" s="400"/>
      <c r="AH66" s="326">
        <v>1</v>
      </c>
    </row>
    <row r="67" spans="1:34">
      <c r="A67" s="93"/>
      <c r="B67" s="93"/>
      <c r="C67" s="93"/>
      <c r="D67" s="93"/>
      <c r="E67" s="93"/>
      <c r="F67" s="93"/>
      <c r="G67" s="93"/>
      <c r="H67" s="93"/>
      <c r="I67" s="93"/>
      <c r="J67" s="93"/>
      <c r="K67" s="93"/>
      <c r="L67" s="93"/>
      <c r="M67" s="93"/>
      <c r="N67" s="93"/>
      <c r="O67" s="93"/>
      <c r="P67" s="93"/>
      <c r="Q67" s="93"/>
      <c r="R67" s="93"/>
      <c r="S67" s="93"/>
      <c r="T67" s="93"/>
      <c r="U67" s="93"/>
      <c r="V67" s="93"/>
      <c r="W67" s="93"/>
      <c r="X67" s="93"/>
      <c r="Y67" s="93"/>
      <c r="Z67" s="93"/>
      <c r="AA67" s="93"/>
      <c r="AB67" s="93"/>
      <c r="AC67" s="93"/>
      <c r="AD67" s="93"/>
      <c r="AE67" s="93"/>
      <c r="AF67" s="79"/>
      <c r="AG67" s="326"/>
      <c r="AH67" s="326">
        <v>1</v>
      </c>
    </row>
    <row r="68" spans="1:34">
      <c r="A68" s="93"/>
      <c r="B68" s="93"/>
      <c r="C68" s="93"/>
      <c r="D68" s="93"/>
      <c r="E68" s="93"/>
      <c r="F68" s="93"/>
      <c r="G68" s="93"/>
      <c r="H68" s="93"/>
      <c r="I68" s="93"/>
      <c r="J68" s="93"/>
      <c r="K68" s="93"/>
      <c r="L68" s="93"/>
      <c r="M68" s="93"/>
      <c r="N68" s="93"/>
      <c r="O68" s="93"/>
      <c r="P68" s="93"/>
      <c r="Q68" s="93"/>
      <c r="R68" s="93"/>
      <c r="S68" s="93"/>
      <c r="T68" s="93"/>
      <c r="U68" s="93"/>
      <c r="V68" s="93"/>
      <c r="W68" s="93"/>
      <c r="X68" s="93"/>
      <c r="Y68" s="93"/>
      <c r="Z68" s="93"/>
      <c r="AA68" s="93"/>
      <c r="AB68" s="93"/>
      <c r="AC68" s="93"/>
      <c r="AD68" s="93"/>
      <c r="AE68" s="93"/>
      <c r="AF68" s="79"/>
      <c r="AG68" s="326"/>
      <c r="AH68" s="326">
        <v>1</v>
      </c>
    </row>
    <row r="69" spans="1:3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c r="AF69" s="79"/>
      <c r="AG69" s="326"/>
      <c r="AH69" s="326">
        <v>1</v>
      </c>
    </row>
    <row r="70" spans="1:34">
      <c r="A70" s="404">
        <v>5</v>
      </c>
      <c r="B70" s="400">
        <v>5</v>
      </c>
      <c r="C70" s="400">
        <v>5</v>
      </c>
      <c r="D70" s="400">
        <v>5</v>
      </c>
      <c r="E70" s="400">
        <v>5</v>
      </c>
      <c r="F70" s="400">
        <v>5</v>
      </c>
      <c r="G70" s="400">
        <v>5</v>
      </c>
      <c r="H70" s="400">
        <v>5</v>
      </c>
      <c r="I70" s="400">
        <v>5</v>
      </c>
      <c r="J70" s="400">
        <v>5</v>
      </c>
      <c r="K70" s="400">
        <v>5</v>
      </c>
      <c r="L70" s="400">
        <v>5</v>
      </c>
      <c r="M70" s="400">
        <v>5</v>
      </c>
      <c r="N70" s="400">
        <v>5</v>
      </c>
      <c r="O70" s="400">
        <v>5</v>
      </c>
      <c r="P70" s="400">
        <v>5</v>
      </c>
      <c r="Q70" s="400">
        <v>5</v>
      </c>
      <c r="R70" s="400">
        <v>5</v>
      </c>
      <c r="S70" s="400">
        <v>5</v>
      </c>
      <c r="T70" s="400">
        <v>5</v>
      </c>
      <c r="U70" s="400">
        <v>5</v>
      </c>
      <c r="V70" s="400">
        <v>5</v>
      </c>
      <c r="W70" s="400">
        <v>5</v>
      </c>
      <c r="X70" s="400">
        <v>5</v>
      </c>
      <c r="Y70" s="400">
        <v>5</v>
      </c>
      <c r="Z70" s="400">
        <v>5</v>
      </c>
      <c r="AA70" s="400">
        <v>5</v>
      </c>
      <c r="AB70" s="400">
        <v>5</v>
      </c>
      <c r="AC70" s="400">
        <v>5</v>
      </c>
      <c r="AD70" s="400">
        <v>5</v>
      </c>
      <c r="AE70" s="400">
        <v>5</v>
      </c>
      <c r="AF70" s="405">
        <v>5</v>
      </c>
      <c r="AG70" s="326"/>
      <c r="AH70" s="326"/>
    </row>
    <row r="71" spans="1:34">
      <c r="A71" s="93"/>
      <c r="B71" s="93"/>
      <c r="C71" s="93"/>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c r="AF71" s="79"/>
      <c r="AG71" s="326"/>
      <c r="AH71" s="326">
        <v>6</v>
      </c>
    </row>
    <row r="72" spans="1:34">
      <c r="A72" s="93"/>
      <c r="B72" s="93"/>
      <c r="C72" s="93"/>
      <c r="D72" s="93"/>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c r="AF72" s="79"/>
      <c r="AG72" s="326"/>
      <c r="AH72" s="326">
        <v>6</v>
      </c>
    </row>
    <row r="73" spans="1:34">
      <c r="A73" s="93"/>
      <c r="B73" s="93"/>
      <c r="C73" s="93"/>
      <c r="D73" s="93"/>
      <c r="E73" s="93"/>
      <c r="F73" s="93"/>
      <c r="G73" s="93"/>
      <c r="H73" s="93"/>
      <c r="I73" s="93"/>
      <c r="J73" s="93"/>
      <c r="K73" s="93"/>
      <c r="L73" s="93"/>
      <c r="M73" s="93"/>
      <c r="N73" s="93"/>
      <c r="O73" s="93"/>
      <c r="P73" s="93"/>
      <c r="Q73" s="93"/>
      <c r="R73" s="93"/>
      <c r="S73" s="93"/>
      <c r="T73" s="93"/>
      <c r="U73" s="93"/>
      <c r="V73" s="93"/>
      <c r="W73" s="93"/>
      <c r="X73" s="93"/>
      <c r="Y73" s="93"/>
      <c r="Z73" s="93"/>
      <c r="AA73" s="93"/>
      <c r="AB73" s="93"/>
      <c r="AC73" s="93"/>
      <c r="AD73" s="93"/>
      <c r="AE73" s="93"/>
      <c r="AF73" s="79"/>
      <c r="AG73" s="326"/>
      <c r="AH73" s="326">
        <v>6</v>
      </c>
    </row>
    <row r="74" spans="1:34">
      <c r="A74" s="93"/>
      <c r="B74" s="93"/>
      <c r="C74" s="93"/>
      <c r="D74" s="93"/>
      <c r="E74" s="93"/>
      <c r="F74" s="93"/>
      <c r="G74" s="93"/>
      <c r="H74" s="93"/>
      <c r="I74" s="93"/>
      <c r="J74" s="93"/>
      <c r="K74" s="93"/>
      <c r="L74" s="93"/>
      <c r="M74" s="93"/>
      <c r="N74" s="93"/>
      <c r="O74" s="93"/>
      <c r="P74" s="93"/>
      <c r="Q74" s="93"/>
      <c r="R74" s="93"/>
      <c r="S74" s="93"/>
      <c r="T74" s="93"/>
      <c r="U74" s="93"/>
      <c r="V74" s="93"/>
      <c r="W74" s="93"/>
      <c r="X74" s="93"/>
      <c r="Y74" s="93"/>
      <c r="Z74" s="93"/>
      <c r="AA74" s="93"/>
      <c r="AB74" s="93"/>
      <c r="AC74" s="93"/>
      <c r="AD74" s="93"/>
      <c r="AE74" s="93"/>
      <c r="AF74" s="79"/>
      <c r="AG74" s="326"/>
      <c r="AH74" s="326">
        <v>6</v>
      </c>
    </row>
    <row r="75" spans="1:34">
      <c r="A75" s="404">
        <v>4</v>
      </c>
      <c r="B75" s="400">
        <v>4</v>
      </c>
      <c r="C75" s="400">
        <v>4</v>
      </c>
      <c r="D75" s="400">
        <v>4</v>
      </c>
      <c r="E75" s="400">
        <v>4</v>
      </c>
      <c r="F75" s="400">
        <v>4</v>
      </c>
      <c r="G75" s="400">
        <v>4</v>
      </c>
      <c r="H75" s="400">
        <v>4</v>
      </c>
      <c r="I75" s="400">
        <v>4</v>
      </c>
      <c r="J75" s="400">
        <v>4</v>
      </c>
      <c r="K75" s="400">
        <v>4</v>
      </c>
      <c r="L75" s="400">
        <v>4</v>
      </c>
      <c r="M75" s="400">
        <v>4</v>
      </c>
      <c r="N75" s="400">
        <v>4</v>
      </c>
      <c r="O75" s="400">
        <v>4</v>
      </c>
      <c r="P75" s="400">
        <v>4</v>
      </c>
      <c r="Q75" s="400">
        <v>4</v>
      </c>
      <c r="R75" s="400">
        <v>4</v>
      </c>
      <c r="S75" s="400">
        <v>4</v>
      </c>
      <c r="T75" s="400">
        <v>4</v>
      </c>
      <c r="U75" s="400">
        <v>4</v>
      </c>
      <c r="V75" s="400">
        <v>4</v>
      </c>
      <c r="W75" s="400">
        <v>4</v>
      </c>
      <c r="X75" s="400">
        <v>4</v>
      </c>
      <c r="Y75" s="400">
        <v>4</v>
      </c>
      <c r="Z75" s="400">
        <v>4</v>
      </c>
      <c r="AA75" s="400">
        <v>4</v>
      </c>
      <c r="AB75" s="400">
        <v>4</v>
      </c>
      <c r="AC75" s="400">
        <v>4</v>
      </c>
      <c r="AD75" s="400">
        <v>4</v>
      </c>
      <c r="AE75" s="400">
        <v>4</v>
      </c>
      <c r="AF75" s="405">
        <v>4</v>
      </c>
      <c r="AG75" s="326"/>
      <c r="AH75" s="326"/>
    </row>
    <row r="76" spans="1:34">
      <c r="A76" s="93"/>
      <c r="B76" s="93"/>
      <c r="C76" s="93"/>
      <c r="D76" s="93"/>
      <c r="E76" s="93"/>
      <c r="F76" s="93"/>
      <c r="G76" s="93"/>
      <c r="H76" s="93"/>
      <c r="I76" s="93"/>
      <c r="J76" s="93"/>
      <c r="K76" s="93"/>
      <c r="L76" s="93"/>
      <c r="M76" s="93"/>
      <c r="N76" s="93"/>
      <c r="O76" s="93"/>
      <c r="P76" s="93"/>
      <c r="Q76" s="93"/>
      <c r="R76" s="93"/>
      <c r="S76" s="93"/>
      <c r="T76" s="93"/>
      <c r="U76" s="93"/>
      <c r="V76" s="93"/>
      <c r="W76" s="93"/>
      <c r="X76" s="93"/>
      <c r="Y76" s="93"/>
      <c r="Z76" s="93"/>
      <c r="AA76" s="93"/>
      <c r="AB76" s="93"/>
      <c r="AC76" s="93"/>
      <c r="AD76" s="93"/>
      <c r="AE76" s="93"/>
      <c r="AF76" s="79"/>
      <c r="AG76" s="326"/>
      <c r="AH76" s="326">
        <v>11</v>
      </c>
    </row>
    <row r="77" spans="1:34">
      <c r="A77" s="93"/>
      <c r="B77" s="93"/>
      <c r="C77" s="93"/>
      <c r="D77" s="93"/>
      <c r="E77" s="93"/>
      <c r="F77" s="93"/>
      <c r="G77" s="93"/>
      <c r="H77" s="93"/>
      <c r="I77" s="93"/>
      <c r="J77" s="93"/>
      <c r="K77" s="93"/>
      <c r="L77" s="93"/>
      <c r="M77" s="93"/>
      <c r="N77" s="93"/>
      <c r="O77" s="93"/>
      <c r="P77" s="93"/>
      <c r="Q77" s="93"/>
      <c r="R77" s="93"/>
      <c r="S77" s="93"/>
      <c r="T77" s="93"/>
      <c r="U77" s="93"/>
      <c r="V77" s="93"/>
      <c r="W77" s="93"/>
      <c r="X77" s="93"/>
      <c r="Y77" s="93"/>
      <c r="Z77" s="93"/>
      <c r="AA77" s="93"/>
      <c r="AB77" s="93"/>
      <c r="AC77" s="93"/>
      <c r="AD77" s="93"/>
      <c r="AE77" s="93"/>
      <c r="AF77" s="79"/>
      <c r="AG77" s="326"/>
      <c r="AH77" s="326">
        <v>11</v>
      </c>
    </row>
    <row r="78" spans="1:34">
      <c r="A78" s="93"/>
      <c r="B78" s="93"/>
      <c r="C78" s="93"/>
      <c r="D78" s="93"/>
      <c r="E78" s="93"/>
      <c r="F78" s="93"/>
      <c r="G78" s="93"/>
      <c r="H78" s="93"/>
      <c r="I78" s="93"/>
      <c r="J78" s="93"/>
      <c r="K78" s="93"/>
      <c r="L78" s="93"/>
      <c r="M78" s="93"/>
      <c r="N78" s="93"/>
      <c r="O78" s="93"/>
      <c r="P78" s="93"/>
      <c r="Q78" s="93"/>
      <c r="R78" s="93"/>
      <c r="S78" s="93"/>
      <c r="T78" s="93"/>
      <c r="U78" s="93"/>
      <c r="V78" s="93"/>
      <c r="W78" s="93"/>
      <c r="X78" s="93"/>
      <c r="Y78" s="93"/>
      <c r="Z78" s="93"/>
      <c r="AA78" s="93"/>
      <c r="AB78" s="93"/>
      <c r="AC78" s="93"/>
      <c r="AD78" s="93"/>
      <c r="AE78" s="93"/>
      <c r="AF78" s="79"/>
      <c r="AG78" s="326"/>
      <c r="AH78" s="326">
        <v>11</v>
      </c>
    </row>
    <row r="79" spans="1:34">
      <c r="A79" s="93"/>
      <c r="B79" s="93"/>
      <c r="C79" s="93"/>
      <c r="D79" s="93"/>
      <c r="E79" s="93"/>
      <c r="F79" s="93"/>
      <c r="G79" s="93"/>
      <c r="H79" s="93"/>
      <c r="I79" s="93"/>
      <c r="J79" s="93"/>
      <c r="K79" s="93"/>
      <c r="L79" s="93"/>
      <c r="M79" s="93"/>
      <c r="N79" s="93"/>
      <c r="O79" s="93"/>
      <c r="P79" s="93"/>
      <c r="Q79" s="93"/>
      <c r="R79" s="93"/>
      <c r="S79" s="93"/>
      <c r="T79" s="93"/>
      <c r="U79" s="93"/>
      <c r="V79" s="93"/>
      <c r="W79" s="93"/>
      <c r="X79" s="93"/>
      <c r="Y79" s="93"/>
      <c r="Z79" s="93"/>
      <c r="AA79" s="93"/>
      <c r="AB79" s="93"/>
      <c r="AC79" s="93"/>
      <c r="AD79" s="93"/>
      <c r="AE79" s="93"/>
      <c r="AF79" s="79"/>
      <c r="AG79" s="326"/>
      <c r="AH79" s="326">
        <v>11</v>
      </c>
    </row>
    <row r="80" spans="1:34">
      <c r="A80" s="404">
        <v>3</v>
      </c>
      <c r="B80" s="400">
        <v>3</v>
      </c>
      <c r="C80" s="400">
        <v>3</v>
      </c>
      <c r="D80" s="400">
        <v>3</v>
      </c>
      <c r="E80" s="400">
        <v>3</v>
      </c>
      <c r="F80" s="400">
        <v>3</v>
      </c>
      <c r="G80" s="400">
        <v>3</v>
      </c>
      <c r="H80" s="400">
        <v>3</v>
      </c>
      <c r="I80" s="400">
        <v>3</v>
      </c>
      <c r="J80" s="400">
        <v>3</v>
      </c>
      <c r="K80" s="400">
        <v>3</v>
      </c>
      <c r="L80" s="400">
        <v>3</v>
      </c>
      <c r="M80" s="400">
        <v>3</v>
      </c>
      <c r="N80" s="400">
        <v>3</v>
      </c>
      <c r="O80" s="400">
        <v>3</v>
      </c>
      <c r="P80" s="400">
        <v>3</v>
      </c>
      <c r="Q80" s="400">
        <v>3</v>
      </c>
      <c r="R80" s="400">
        <v>3</v>
      </c>
      <c r="S80" s="400">
        <v>3</v>
      </c>
      <c r="T80" s="400">
        <v>3</v>
      </c>
      <c r="U80" s="400">
        <v>3</v>
      </c>
      <c r="V80" s="400">
        <v>3</v>
      </c>
      <c r="W80" s="400">
        <v>3</v>
      </c>
      <c r="X80" s="400">
        <v>3</v>
      </c>
      <c r="Y80" s="400">
        <v>3</v>
      </c>
      <c r="Z80" s="400">
        <v>3</v>
      </c>
      <c r="AA80" s="400">
        <v>3</v>
      </c>
      <c r="AB80" s="400">
        <v>3</v>
      </c>
      <c r="AC80" s="400">
        <v>3</v>
      </c>
      <c r="AD80" s="400">
        <v>3</v>
      </c>
      <c r="AE80" s="400">
        <v>3</v>
      </c>
      <c r="AF80" s="405">
        <v>3</v>
      </c>
      <c r="AG80" s="326"/>
      <c r="AH80" s="326"/>
    </row>
    <row r="81" spans="1:34">
      <c r="A81" s="93"/>
      <c r="B81" s="93"/>
      <c r="C81" s="93"/>
      <c r="D81" s="93"/>
      <c r="E81" s="93"/>
      <c r="F81" s="93"/>
      <c r="G81" s="93"/>
      <c r="H81" s="93"/>
      <c r="I81" s="93"/>
      <c r="J81" s="93"/>
      <c r="K81" s="93"/>
      <c r="L81" s="93"/>
      <c r="M81" s="93"/>
      <c r="N81" s="93"/>
      <c r="O81" s="93"/>
      <c r="P81" s="93"/>
      <c r="Q81" s="93"/>
      <c r="R81" s="93"/>
      <c r="S81" s="93"/>
      <c r="T81" s="93"/>
      <c r="U81" s="93"/>
      <c r="V81" s="93"/>
      <c r="W81" s="93"/>
      <c r="X81" s="93"/>
      <c r="Y81" s="93"/>
      <c r="Z81" s="93"/>
      <c r="AA81" s="93"/>
      <c r="AB81" s="93"/>
      <c r="AC81" s="93"/>
      <c r="AD81" s="93"/>
      <c r="AE81" s="93"/>
      <c r="AF81" s="79"/>
      <c r="AG81" s="326"/>
      <c r="AH81" s="326">
        <v>16</v>
      </c>
    </row>
    <row r="82" spans="1:34">
      <c r="A82" s="93"/>
      <c r="B82" s="93"/>
      <c r="C82" s="93"/>
      <c r="D82" s="93"/>
      <c r="E82" s="93"/>
      <c r="F82" s="93"/>
      <c r="G82" s="93"/>
      <c r="H82" s="93"/>
      <c r="I82" s="93"/>
      <c r="J82" s="93"/>
      <c r="K82" s="93"/>
      <c r="L82" s="93"/>
      <c r="M82" s="93"/>
      <c r="N82" s="93"/>
      <c r="O82" s="93"/>
      <c r="P82" s="93"/>
      <c r="Q82" s="93"/>
      <c r="R82" s="93"/>
      <c r="S82" s="93"/>
      <c r="T82" s="93"/>
      <c r="U82" s="93"/>
      <c r="V82" s="93"/>
      <c r="W82" s="93"/>
      <c r="X82" s="93"/>
      <c r="Y82" s="93"/>
      <c r="Z82" s="93"/>
      <c r="AA82" s="93"/>
      <c r="AB82" s="93"/>
      <c r="AC82" s="93"/>
      <c r="AD82" s="93"/>
      <c r="AE82" s="93"/>
      <c r="AF82" s="79"/>
      <c r="AG82" s="326"/>
      <c r="AH82" s="326">
        <v>16</v>
      </c>
    </row>
    <row r="83" spans="1:34">
      <c r="A83" s="93"/>
      <c r="B83" s="93"/>
      <c r="C83" s="93"/>
      <c r="D83" s="93"/>
      <c r="E83" s="93"/>
      <c r="F83" s="93"/>
      <c r="G83" s="93"/>
      <c r="H83" s="93"/>
      <c r="I83" s="93"/>
      <c r="J83" s="93"/>
      <c r="K83" s="93"/>
      <c r="L83" s="93"/>
      <c r="M83" s="93"/>
      <c r="N83" s="93"/>
      <c r="O83" s="93"/>
      <c r="P83" s="93"/>
      <c r="Q83" s="93"/>
      <c r="R83" s="93"/>
      <c r="S83" s="93"/>
      <c r="T83" s="93"/>
      <c r="U83" s="93"/>
      <c r="V83" s="93"/>
      <c r="W83" s="93"/>
      <c r="X83" s="93"/>
      <c r="Y83" s="93"/>
      <c r="Z83" s="93"/>
      <c r="AA83" s="93"/>
      <c r="AB83" s="93"/>
      <c r="AC83" s="93"/>
      <c r="AD83" s="93"/>
      <c r="AE83" s="93"/>
      <c r="AF83" s="79"/>
      <c r="AG83" s="326"/>
      <c r="AH83" s="326">
        <v>16</v>
      </c>
    </row>
    <row r="84" spans="1:34">
      <c r="A84" s="93"/>
      <c r="B84" s="93"/>
      <c r="C84" s="93"/>
      <c r="D84" s="93"/>
      <c r="E84" s="93"/>
      <c r="F84" s="93"/>
      <c r="G84" s="93"/>
      <c r="H84" s="93"/>
      <c r="I84" s="93"/>
      <c r="J84" s="93"/>
      <c r="K84" s="93"/>
      <c r="L84" s="93"/>
      <c r="M84" s="93"/>
      <c r="N84" s="93"/>
      <c r="O84" s="93"/>
      <c r="P84" s="93"/>
      <c r="Q84" s="93"/>
      <c r="R84" s="93"/>
      <c r="S84" s="93"/>
      <c r="T84" s="93"/>
      <c r="U84" s="93"/>
      <c r="V84" s="93"/>
      <c r="W84" s="93"/>
      <c r="X84" s="93"/>
      <c r="Y84" s="93"/>
      <c r="Z84" s="93"/>
      <c r="AA84" s="93"/>
      <c r="AB84" s="93"/>
      <c r="AC84" s="93"/>
      <c r="AD84" s="93"/>
      <c r="AE84" s="93"/>
      <c r="AF84" s="79"/>
      <c r="AG84" s="326"/>
      <c r="AH84" s="326">
        <v>16</v>
      </c>
    </row>
    <row r="85" spans="1:34">
      <c r="A85" s="404">
        <v>2</v>
      </c>
      <c r="B85" s="400">
        <v>2</v>
      </c>
      <c r="C85" s="400">
        <v>2</v>
      </c>
      <c r="D85" s="400">
        <v>2</v>
      </c>
      <c r="E85" s="400">
        <v>2</v>
      </c>
      <c r="F85" s="400">
        <v>2</v>
      </c>
      <c r="G85" s="400">
        <v>2</v>
      </c>
      <c r="H85" s="400">
        <v>2</v>
      </c>
      <c r="I85" s="400">
        <v>2</v>
      </c>
      <c r="J85" s="400">
        <v>2</v>
      </c>
      <c r="K85" s="400">
        <v>2</v>
      </c>
      <c r="L85" s="400">
        <v>2</v>
      </c>
      <c r="M85" s="400">
        <v>2</v>
      </c>
      <c r="N85" s="400">
        <v>2</v>
      </c>
      <c r="O85" s="400">
        <v>2</v>
      </c>
      <c r="P85" s="400">
        <v>2</v>
      </c>
      <c r="Q85" s="400">
        <v>2</v>
      </c>
      <c r="R85" s="400">
        <v>2</v>
      </c>
      <c r="S85" s="400">
        <v>2</v>
      </c>
      <c r="T85" s="400">
        <v>2</v>
      </c>
      <c r="U85" s="400">
        <v>2</v>
      </c>
      <c r="V85" s="400">
        <v>2</v>
      </c>
      <c r="W85" s="400">
        <v>2</v>
      </c>
      <c r="X85" s="400">
        <v>2</v>
      </c>
      <c r="Y85" s="400">
        <v>2</v>
      </c>
      <c r="Z85" s="400">
        <v>2</v>
      </c>
      <c r="AA85" s="400">
        <v>2</v>
      </c>
      <c r="AB85" s="400">
        <v>2</v>
      </c>
      <c r="AC85" s="400">
        <v>2</v>
      </c>
      <c r="AD85" s="400">
        <v>2</v>
      </c>
      <c r="AE85" s="400">
        <v>2</v>
      </c>
      <c r="AF85" s="405">
        <v>2</v>
      </c>
      <c r="AG85" s="326"/>
      <c r="AH85" s="326"/>
    </row>
    <row r="86" spans="1:34">
      <c r="A86" s="93"/>
      <c r="B86" s="93"/>
      <c r="C86" s="93"/>
      <c r="D86" s="93"/>
      <c r="E86" s="93"/>
      <c r="F86" s="93"/>
      <c r="G86" s="93"/>
      <c r="H86" s="93"/>
      <c r="I86" s="93"/>
      <c r="J86" s="93"/>
      <c r="K86" s="93"/>
      <c r="L86" s="93"/>
      <c r="M86" s="93"/>
      <c r="N86" s="93"/>
      <c r="O86" s="93"/>
      <c r="P86" s="93"/>
      <c r="Q86" s="93"/>
      <c r="R86" s="93"/>
      <c r="S86" s="93"/>
      <c r="T86" s="93"/>
      <c r="U86" s="93"/>
      <c r="V86" s="93"/>
      <c r="W86" s="93"/>
      <c r="X86" s="93"/>
      <c r="Y86" s="93"/>
      <c r="Z86" s="93"/>
      <c r="AA86" s="93"/>
      <c r="AB86" s="93"/>
      <c r="AC86" s="93"/>
      <c r="AD86" s="93"/>
      <c r="AE86" s="93"/>
      <c r="AF86" s="79"/>
      <c r="AG86" s="326"/>
      <c r="AH86" s="326">
        <v>21</v>
      </c>
    </row>
    <row r="87" spans="1:34">
      <c r="A87" s="93"/>
      <c r="B87" s="93"/>
      <c r="C87" s="93"/>
      <c r="D87" s="93"/>
      <c r="E87" s="93"/>
      <c r="F87" s="93"/>
      <c r="G87" s="93"/>
      <c r="H87" s="93"/>
      <c r="I87" s="93"/>
      <c r="J87" s="93"/>
      <c r="K87" s="93"/>
      <c r="L87" s="93"/>
      <c r="M87" s="93"/>
      <c r="N87" s="93"/>
      <c r="O87" s="93"/>
      <c r="P87" s="93"/>
      <c r="Q87" s="93"/>
      <c r="R87" s="93"/>
      <c r="S87" s="93"/>
      <c r="T87" s="93"/>
      <c r="U87" s="93"/>
      <c r="V87" s="93"/>
      <c r="W87" s="93"/>
      <c r="X87" s="93"/>
      <c r="Y87" s="93"/>
      <c r="Z87" s="93"/>
      <c r="AA87" s="93"/>
      <c r="AB87" s="93"/>
      <c r="AC87" s="93"/>
      <c r="AD87" s="93"/>
      <c r="AE87" s="93"/>
      <c r="AF87" s="79"/>
      <c r="AG87" s="326"/>
      <c r="AH87" s="326">
        <v>21</v>
      </c>
    </row>
    <row r="88" spans="1:34">
      <c r="A88" s="93"/>
      <c r="B88" s="93"/>
      <c r="C88" s="93"/>
      <c r="D88" s="93"/>
      <c r="E88" s="93"/>
      <c r="F88" s="93"/>
      <c r="G88" s="93"/>
      <c r="H88" s="93"/>
      <c r="I88" s="93"/>
      <c r="J88" s="93"/>
      <c r="K88" s="93"/>
      <c r="L88" s="93"/>
      <c r="M88" s="93"/>
      <c r="N88" s="93"/>
      <c r="O88" s="93"/>
      <c r="P88" s="93"/>
      <c r="Q88" s="93"/>
      <c r="R88" s="93"/>
      <c r="S88" s="93"/>
      <c r="T88" s="93"/>
      <c r="U88" s="93"/>
      <c r="V88" s="93"/>
      <c r="W88" s="93"/>
      <c r="X88" s="93"/>
      <c r="Y88" s="93"/>
      <c r="Z88" s="93"/>
      <c r="AA88" s="93"/>
      <c r="AB88" s="93"/>
      <c r="AC88" s="93"/>
      <c r="AD88" s="93"/>
      <c r="AE88" s="93"/>
      <c r="AF88" s="79"/>
      <c r="AG88" s="326"/>
      <c r="AH88" s="326">
        <v>21</v>
      </c>
    </row>
    <row r="89" spans="1:34">
      <c r="A89" s="93"/>
      <c r="B89" s="93"/>
      <c r="C89" s="93"/>
      <c r="D89" s="93"/>
      <c r="E89" s="93"/>
      <c r="F89" s="93"/>
      <c r="G89" s="93"/>
      <c r="H89" s="93"/>
      <c r="I89" s="93"/>
      <c r="J89" s="93"/>
      <c r="K89" s="93"/>
      <c r="L89" s="93"/>
      <c r="M89" s="93"/>
      <c r="N89" s="93"/>
      <c r="O89" s="93"/>
      <c r="P89" s="93"/>
      <c r="Q89" s="93"/>
      <c r="R89" s="93"/>
      <c r="S89" s="93"/>
      <c r="T89" s="93"/>
      <c r="U89" s="93"/>
      <c r="V89" s="93"/>
      <c r="W89" s="93"/>
      <c r="X89" s="93"/>
      <c r="Y89" s="93"/>
      <c r="Z89" s="93"/>
      <c r="AA89" s="93"/>
      <c r="AB89" s="93"/>
      <c r="AC89" s="93"/>
      <c r="AD89" s="93"/>
      <c r="AE89" s="93"/>
      <c r="AF89" s="79"/>
      <c r="AG89" s="326"/>
      <c r="AH89" s="326">
        <v>21</v>
      </c>
    </row>
    <row r="90" spans="1:34">
      <c r="A90" s="93"/>
      <c r="B90" s="93"/>
      <c r="C90" s="93"/>
      <c r="D90" s="93"/>
      <c r="E90" s="93"/>
      <c r="F90" s="93"/>
      <c r="G90" s="93"/>
      <c r="H90" s="93"/>
      <c r="I90" s="93"/>
      <c r="J90" s="93"/>
      <c r="K90" s="93"/>
      <c r="L90" s="93"/>
      <c r="M90" s="93"/>
      <c r="N90" s="93"/>
      <c r="O90" s="93"/>
      <c r="P90" s="93"/>
      <c r="Q90" s="93"/>
      <c r="R90" s="93"/>
      <c r="S90" s="93"/>
      <c r="T90" s="93"/>
      <c r="U90" s="93"/>
      <c r="V90" s="93"/>
      <c r="W90" s="93"/>
      <c r="X90" s="93"/>
      <c r="Y90" s="93"/>
      <c r="Z90" s="93"/>
      <c r="AA90" s="93"/>
      <c r="AB90" s="93"/>
      <c r="AC90" s="93"/>
      <c r="AD90" s="93"/>
      <c r="AE90" s="93"/>
      <c r="AF90" s="79"/>
      <c r="AG90" s="326"/>
      <c r="AH90" s="326">
        <v>21</v>
      </c>
    </row>
    <row r="91" spans="1:34">
      <c r="A91" s="404">
        <v>1</v>
      </c>
      <c r="B91" s="400">
        <v>1</v>
      </c>
      <c r="C91" s="400">
        <v>1</v>
      </c>
      <c r="D91" s="400">
        <v>1</v>
      </c>
      <c r="E91" s="400">
        <v>1</v>
      </c>
      <c r="F91" s="400">
        <v>1</v>
      </c>
      <c r="G91" s="400">
        <v>1</v>
      </c>
      <c r="H91" s="400">
        <v>1</v>
      </c>
      <c r="I91" s="400">
        <v>1</v>
      </c>
      <c r="J91" s="400">
        <v>1</v>
      </c>
      <c r="K91" s="400">
        <v>1</v>
      </c>
      <c r="L91" s="400">
        <v>1</v>
      </c>
      <c r="M91" s="400">
        <v>1</v>
      </c>
      <c r="N91" s="400">
        <v>1</v>
      </c>
      <c r="O91" s="400">
        <v>1</v>
      </c>
      <c r="P91" s="400">
        <v>1</v>
      </c>
      <c r="Q91" s="400">
        <v>1</v>
      </c>
      <c r="R91" s="400">
        <v>1</v>
      </c>
      <c r="S91" s="400">
        <v>1</v>
      </c>
      <c r="T91" s="400">
        <v>1</v>
      </c>
      <c r="U91" s="400">
        <v>1</v>
      </c>
      <c r="V91" s="400">
        <v>1</v>
      </c>
      <c r="W91" s="400">
        <v>1</v>
      </c>
      <c r="X91" s="400">
        <v>1</v>
      </c>
      <c r="Y91" s="400">
        <v>1</v>
      </c>
      <c r="Z91" s="400">
        <v>1</v>
      </c>
      <c r="AA91" s="400">
        <v>1</v>
      </c>
      <c r="AB91" s="400">
        <v>1</v>
      </c>
      <c r="AC91" s="400">
        <v>1</v>
      </c>
      <c r="AD91" s="400">
        <v>1</v>
      </c>
      <c r="AE91" s="400">
        <v>1</v>
      </c>
      <c r="AF91" s="405">
        <v>1</v>
      </c>
      <c r="AG91" s="326"/>
      <c r="AH91" s="326"/>
    </row>
    <row r="92" spans="1:34">
      <c r="A92" s="93"/>
      <c r="B92" s="93"/>
      <c r="C92" s="93"/>
      <c r="D92" s="93"/>
      <c r="E92" s="93"/>
      <c r="F92" s="93"/>
      <c r="G92" s="93"/>
      <c r="H92" s="93"/>
      <c r="I92" s="93"/>
      <c r="J92" s="93"/>
      <c r="K92" s="93"/>
      <c r="L92" s="93"/>
      <c r="M92" s="93"/>
      <c r="N92" s="93"/>
      <c r="O92" s="93"/>
      <c r="P92" s="93"/>
      <c r="Q92" s="93"/>
      <c r="R92" s="93"/>
      <c r="S92" s="93"/>
      <c r="T92" s="93"/>
      <c r="U92" s="93"/>
      <c r="V92" s="93"/>
      <c r="W92" s="93"/>
      <c r="X92" s="93"/>
      <c r="Y92" s="93"/>
      <c r="Z92" s="93"/>
      <c r="AA92" s="93"/>
      <c r="AB92" s="93"/>
      <c r="AC92" s="93"/>
      <c r="AD92" s="93"/>
      <c r="AE92" s="93"/>
      <c r="AF92" s="79"/>
      <c r="AG92" s="326"/>
      <c r="AH92" s="326">
        <v>27</v>
      </c>
    </row>
    <row r="93" spans="1:34">
      <c r="A93" s="93"/>
      <c r="B93" s="93"/>
      <c r="C93" s="93"/>
      <c r="D93" s="93"/>
      <c r="E93" s="93"/>
      <c r="F93" s="93"/>
      <c r="G93" s="93"/>
      <c r="H93" s="93"/>
      <c r="I93" s="93"/>
      <c r="J93" s="93"/>
      <c r="K93" s="93"/>
      <c r="L93" s="93"/>
      <c r="M93" s="93"/>
      <c r="N93" s="93"/>
      <c r="O93" s="93"/>
      <c r="P93" s="93"/>
      <c r="Q93" s="93"/>
      <c r="R93" s="93"/>
      <c r="S93" s="93"/>
      <c r="T93" s="93"/>
      <c r="U93" s="93"/>
      <c r="V93" s="93"/>
      <c r="W93" s="93"/>
      <c r="X93" s="93"/>
      <c r="Y93" s="93"/>
      <c r="Z93" s="93"/>
      <c r="AA93" s="93"/>
      <c r="AB93" s="93"/>
      <c r="AC93" s="93"/>
      <c r="AD93" s="93"/>
      <c r="AE93" s="93"/>
      <c r="AF93" s="79"/>
      <c r="AG93" s="326"/>
      <c r="AH93" s="326">
        <v>27</v>
      </c>
    </row>
    <row r="94" spans="1:34">
      <c r="A94" s="93"/>
      <c r="B94" s="93"/>
      <c r="C94" s="93"/>
      <c r="D94" s="93"/>
      <c r="E94" s="93"/>
      <c r="F94" s="93"/>
      <c r="G94" s="93"/>
      <c r="H94" s="93"/>
      <c r="I94" s="93"/>
      <c r="J94" s="93"/>
      <c r="K94" s="93"/>
      <c r="L94" s="93"/>
      <c r="M94" s="93"/>
      <c r="N94" s="93"/>
      <c r="O94" s="93"/>
      <c r="P94" s="93"/>
      <c r="Q94" s="93"/>
      <c r="R94" s="93"/>
      <c r="S94" s="93"/>
      <c r="T94" s="93"/>
      <c r="U94" s="93"/>
      <c r="V94" s="93"/>
      <c r="W94" s="93"/>
      <c r="X94" s="93"/>
      <c r="Y94" s="93"/>
      <c r="Z94" s="93"/>
      <c r="AA94" s="93"/>
      <c r="AB94" s="93"/>
      <c r="AC94" s="93"/>
      <c r="AD94" s="93"/>
      <c r="AE94" s="93"/>
      <c r="AF94" s="79"/>
      <c r="AG94" s="326"/>
      <c r="AH94" s="326">
        <v>27</v>
      </c>
    </row>
    <row r="95" spans="1:34">
      <c r="A95" s="93"/>
      <c r="B95" s="93"/>
      <c r="C95" s="93"/>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c r="AE95" s="93"/>
      <c r="AF95" s="79"/>
      <c r="AG95" s="326"/>
      <c r="AH95" s="326">
        <v>27</v>
      </c>
    </row>
    <row r="96" spans="1:34">
      <c r="A96" s="73"/>
      <c r="B96" s="73"/>
      <c r="C96" s="73"/>
      <c r="D96" s="73"/>
      <c r="E96" s="73"/>
      <c r="F96" s="73"/>
      <c r="G96" s="73"/>
      <c r="H96" s="73"/>
      <c r="I96" s="73"/>
      <c r="J96" s="73"/>
      <c r="K96" s="73"/>
      <c r="L96" s="73"/>
      <c r="M96" s="73"/>
      <c r="N96" s="73"/>
      <c r="O96" s="73"/>
      <c r="P96" s="73"/>
      <c r="Q96" s="73"/>
      <c r="R96" s="73"/>
      <c r="S96" s="73"/>
      <c r="T96" s="73"/>
      <c r="U96" s="73"/>
      <c r="V96" s="73"/>
      <c r="W96" s="73"/>
      <c r="X96" s="73"/>
      <c r="Y96" s="73"/>
      <c r="Z96" s="73"/>
      <c r="AA96" s="73"/>
      <c r="AB96" s="73"/>
      <c r="AC96" s="73"/>
      <c r="AD96" s="73"/>
      <c r="AE96" s="73"/>
      <c r="AF96" s="701"/>
      <c r="AG96" s="326"/>
      <c r="AH96" s="326">
        <v>27</v>
      </c>
    </row>
    <row r="97" spans="1:34">
      <c r="A97" s="404">
        <v>1</v>
      </c>
      <c r="B97" s="400">
        <v>1</v>
      </c>
      <c r="C97" s="400">
        <v>1</v>
      </c>
      <c r="D97" s="400">
        <v>1</v>
      </c>
      <c r="E97" s="400">
        <v>1</v>
      </c>
      <c r="F97" s="400">
        <v>1</v>
      </c>
      <c r="G97" s="400">
        <v>1</v>
      </c>
      <c r="H97" s="400">
        <v>1</v>
      </c>
      <c r="I97" s="400">
        <v>1</v>
      </c>
      <c r="J97" s="400">
        <v>1</v>
      </c>
      <c r="K97" s="400">
        <v>1</v>
      </c>
      <c r="L97" s="400">
        <v>1</v>
      </c>
      <c r="M97" s="400">
        <v>1</v>
      </c>
      <c r="N97" s="400">
        <v>1</v>
      </c>
      <c r="O97" s="400">
        <v>1</v>
      </c>
      <c r="P97" s="400">
        <v>1</v>
      </c>
      <c r="Q97" s="400">
        <v>1</v>
      </c>
      <c r="R97" s="400">
        <v>1</v>
      </c>
      <c r="S97" s="400">
        <v>1</v>
      </c>
      <c r="T97" s="400">
        <v>1</v>
      </c>
      <c r="U97" s="400">
        <v>1</v>
      </c>
      <c r="V97" s="400">
        <v>1</v>
      </c>
      <c r="W97" s="400">
        <v>1</v>
      </c>
      <c r="X97" s="400">
        <v>1</v>
      </c>
      <c r="Y97" s="400">
        <v>1</v>
      </c>
      <c r="Z97" s="400">
        <v>1</v>
      </c>
      <c r="AA97" s="400">
        <v>1</v>
      </c>
      <c r="AB97" s="400">
        <v>1</v>
      </c>
      <c r="AC97" s="400">
        <v>1</v>
      </c>
      <c r="AD97" s="400">
        <v>1</v>
      </c>
      <c r="AE97" s="400">
        <v>1</v>
      </c>
      <c r="AF97" s="405">
        <v>1</v>
      </c>
      <c r="AG97" s="400">
        <v>1</v>
      </c>
      <c r="AH97" s="487"/>
    </row>
    <row r="98" spans="1:34">
      <c r="A98" s="404">
        <v>1</v>
      </c>
      <c r="B98" s="433">
        <v>2</v>
      </c>
      <c r="C98" s="411">
        <v>3</v>
      </c>
      <c r="D98" s="426">
        <v>2</v>
      </c>
      <c r="E98" s="400">
        <v>1</v>
      </c>
      <c r="F98" s="400">
        <v>1</v>
      </c>
      <c r="G98" s="400">
        <v>1</v>
      </c>
      <c r="H98" s="400">
        <v>1</v>
      </c>
      <c r="I98" s="400">
        <v>1</v>
      </c>
      <c r="J98" s="400">
        <v>1</v>
      </c>
      <c r="K98" s="433">
        <v>2</v>
      </c>
      <c r="L98" s="411">
        <v>3</v>
      </c>
      <c r="M98" s="426">
        <v>2</v>
      </c>
      <c r="N98" s="400">
        <v>1</v>
      </c>
      <c r="O98" s="400">
        <v>1</v>
      </c>
      <c r="P98" s="400">
        <v>1</v>
      </c>
      <c r="Q98" s="400">
        <v>1</v>
      </c>
      <c r="R98" s="400">
        <v>1</v>
      </c>
      <c r="S98" s="400">
        <v>1</v>
      </c>
      <c r="T98" s="433">
        <v>2</v>
      </c>
      <c r="U98" s="411">
        <v>3</v>
      </c>
      <c r="V98" s="426">
        <v>2</v>
      </c>
      <c r="W98" s="400">
        <v>1</v>
      </c>
      <c r="X98" s="400">
        <v>1</v>
      </c>
      <c r="Y98" s="400">
        <v>1</v>
      </c>
      <c r="Z98" s="400">
        <v>1</v>
      </c>
      <c r="AA98" s="400">
        <v>1</v>
      </c>
      <c r="AB98" s="400">
        <v>1</v>
      </c>
      <c r="AC98" s="433">
        <v>2</v>
      </c>
      <c r="AD98" s="411">
        <v>3</v>
      </c>
      <c r="AE98" s="426">
        <v>2</v>
      </c>
      <c r="AF98" s="405">
        <v>1</v>
      </c>
      <c r="AG98" s="400">
        <v>-3</v>
      </c>
      <c r="AH98" s="326"/>
    </row>
    <row r="99" spans="1:34">
      <c r="A99" s="404">
        <v>1</v>
      </c>
      <c r="B99" s="411">
        <v>3</v>
      </c>
      <c r="C99" s="452">
        <v>6</v>
      </c>
      <c r="D99" s="439">
        <v>3</v>
      </c>
      <c r="E99" s="400">
        <v>1</v>
      </c>
      <c r="F99" s="400">
        <v>1</v>
      </c>
      <c r="G99" s="400">
        <v>1</v>
      </c>
      <c r="H99" s="400">
        <v>1</v>
      </c>
      <c r="I99" s="400">
        <v>1</v>
      </c>
      <c r="J99" s="400">
        <v>1</v>
      </c>
      <c r="K99" s="411">
        <v>3</v>
      </c>
      <c r="L99" s="452">
        <v>6</v>
      </c>
      <c r="M99" s="439">
        <v>3</v>
      </c>
      <c r="N99" s="400">
        <v>1</v>
      </c>
      <c r="O99" s="400">
        <v>1</v>
      </c>
      <c r="P99" s="400">
        <v>1</v>
      </c>
      <c r="Q99" s="400">
        <v>1</v>
      </c>
      <c r="R99" s="400">
        <v>1</v>
      </c>
      <c r="S99" s="400">
        <v>1</v>
      </c>
      <c r="T99" s="411">
        <v>3</v>
      </c>
      <c r="U99" s="452">
        <v>6</v>
      </c>
      <c r="V99" s="439">
        <v>3</v>
      </c>
      <c r="W99" s="400">
        <v>1</v>
      </c>
      <c r="X99" s="400">
        <v>1</v>
      </c>
      <c r="Y99" s="400">
        <v>1</v>
      </c>
      <c r="Z99" s="400">
        <v>1</v>
      </c>
      <c r="AA99" s="400">
        <v>1</v>
      </c>
      <c r="AB99" s="400">
        <v>1</v>
      </c>
      <c r="AC99" s="411">
        <v>3</v>
      </c>
      <c r="AD99" s="452">
        <v>6</v>
      </c>
      <c r="AE99" s="439">
        <v>3</v>
      </c>
      <c r="AF99" s="405">
        <v>1</v>
      </c>
      <c r="AG99" s="326"/>
      <c r="AH99" s="326"/>
    </row>
    <row r="100" spans="1:34">
      <c r="A100" s="404">
        <v>1</v>
      </c>
      <c r="B100" s="426">
        <v>2</v>
      </c>
      <c r="C100" s="439">
        <v>3</v>
      </c>
      <c r="D100" s="422">
        <v>2</v>
      </c>
      <c r="E100" s="400">
        <v>1</v>
      </c>
      <c r="F100" s="400">
        <v>1</v>
      </c>
      <c r="G100" s="400">
        <v>1</v>
      </c>
      <c r="H100" s="400">
        <v>1</v>
      </c>
      <c r="I100" s="400">
        <v>1</v>
      </c>
      <c r="J100" s="400">
        <v>1</v>
      </c>
      <c r="K100" s="426">
        <v>2</v>
      </c>
      <c r="L100" s="439">
        <v>3</v>
      </c>
      <c r="M100" s="422">
        <v>2</v>
      </c>
      <c r="N100" s="400">
        <v>1</v>
      </c>
      <c r="O100" s="400">
        <v>1</v>
      </c>
      <c r="P100" s="400">
        <v>1</v>
      </c>
      <c r="Q100" s="400">
        <v>1</v>
      </c>
      <c r="R100" s="400">
        <v>1</v>
      </c>
      <c r="S100" s="400">
        <v>1</v>
      </c>
      <c r="T100" s="426">
        <v>2</v>
      </c>
      <c r="U100" s="439">
        <v>3</v>
      </c>
      <c r="V100" s="422">
        <v>2</v>
      </c>
      <c r="W100" s="400">
        <v>1</v>
      </c>
      <c r="X100" s="400">
        <v>1</v>
      </c>
      <c r="Y100" s="400">
        <v>1</v>
      </c>
      <c r="Z100" s="400">
        <v>1</v>
      </c>
      <c r="AA100" s="400">
        <v>1</v>
      </c>
      <c r="AB100" s="400">
        <v>1</v>
      </c>
      <c r="AC100" s="426">
        <v>2</v>
      </c>
      <c r="AD100" s="439">
        <v>3</v>
      </c>
      <c r="AE100" s="422">
        <v>2</v>
      </c>
      <c r="AF100" s="405">
        <v>1</v>
      </c>
      <c r="AG100" s="326"/>
      <c r="AH100" s="326"/>
    </row>
    <row r="101" spans="1:34">
      <c r="A101" s="93"/>
      <c r="B101" s="93"/>
      <c r="C101" s="93"/>
      <c r="D101" s="93"/>
      <c r="E101" s="93"/>
      <c r="F101" s="93"/>
      <c r="G101" s="93"/>
      <c r="H101" s="93"/>
      <c r="I101" s="93"/>
      <c r="J101" s="93"/>
      <c r="K101" s="93"/>
      <c r="L101" s="93"/>
      <c r="M101" s="93"/>
      <c r="N101" s="93"/>
      <c r="O101" s="93"/>
      <c r="P101" s="93"/>
      <c r="Q101" s="93"/>
      <c r="R101" s="93"/>
      <c r="S101" s="93"/>
      <c r="T101" s="93"/>
      <c r="U101" s="93"/>
      <c r="V101" s="93"/>
      <c r="W101" s="93"/>
      <c r="X101" s="93"/>
      <c r="Y101" s="93"/>
      <c r="Z101" s="93"/>
      <c r="AA101" s="93"/>
      <c r="AB101" s="93"/>
      <c r="AC101" s="93"/>
      <c r="AD101" s="93"/>
      <c r="AE101" s="93"/>
      <c r="AF101" s="79"/>
      <c r="AG101" s="326"/>
      <c r="AH101" s="326">
        <v>1</v>
      </c>
    </row>
    <row r="102" spans="1:34">
      <c r="A102" s="404">
        <v>1</v>
      </c>
      <c r="B102" s="400">
        <v>1</v>
      </c>
      <c r="C102" s="400">
        <v>1</v>
      </c>
      <c r="D102" s="400">
        <v>1</v>
      </c>
      <c r="E102" s="400">
        <v>1</v>
      </c>
      <c r="F102" s="433">
        <v>2</v>
      </c>
      <c r="G102" s="400">
        <v>1</v>
      </c>
      <c r="H102" s="433">
        <v>2</v>
      </c>
      <c r="I102" s="433">
        <v>2</v>
      </c>
      <c r="J102" s="433">
        <v>2</v>
      </c>
      <c r="K102" s="433">
        <v>2</v>
      </c>
      <c r="L102" s="400">
        <v>1</v>
      </c>
      <c r="M102" s="400">
        <v>1</v>
      </c>
      <c r="N102" s="400">
        <v>1</v>
      </c>
      <c r="O102" s="400">
        <v>1</v>
      </c>
      <c r="P102" s="400">
        <v>1</v>
      </c>
      <c r="Q102" s="400">
        <v>1</v>
      </c>
      <c r="R102" s="400">
        <v>1</v>
      </c>
      <c r="S102" s="400">
        <v>1</v>
      </c>
      <c r="T102" s="400">
        <v>1</v>
      </c>
      <c r="U102" s="400">
        <v>1</v>
      </c>
      <c r="V102" s="400">
        <v>1</v>
      </c>
      <c r="W102" s="400">
        <v>1</v>
      </c>
      <c r="X102" s="400">
        <v>1</v>
      </c>
      <c r="Y102" s="433">
        <v>2</v>
      </c>
      <c r="Z102" s="400">
        <v>1</v>
      </c>
      <c r="AA102" s="400">
        <v>1</v>
      </c>
      <c r="AB102" s="400">
        <v>1</v>
      </c>
      <c r="AC102" s="400">
        <v>1</v>
      </c>
      <c r="AD102" s="400">
        <v>1</v>
      </c>
      <c r="AE102" s="400">
        <v>1</v>
      </c>
      <c r="AF102" s="405">
        <v>1</v>
      </c>
      <c r="AG102" s="326"/>
      <c r="AH102" s="326"/>
    </row>
    <row r="103" spans="1:34">
      <c r="A103" s="404">
        <v>1</v>
      </c>
      <c r="B103" s="400">
        <v>1</v>
      </c>
      <c r="C103" s="400">
        <v>1</v>
      </c>
      <c r="D103" s="400">
        <v>1</v>
      </c>
      <c r="E103" s="400">
        <v>1</v>
      </c>
      <c r="F103" s="400">
        <v>1</v>
      </c>
      <c r="G103" s="433">
        <v>2</v>
      </c>
      <c r="H103" s="433">
        <v>2</v>
      </c>
      <c r="I103" s="400">
        <v>1</v>
      </c>
      <c r="J103" s="400">
        <v>1</v>
      </c>
      <c r="K103" s="400">
        <v>1</v>
      </c>
      <c r="L103" s="400">
        <v>1</v>
      </c>
      <c r="M103" s="400">
        <v>1</v>
      </c>
      <c r="N103" s="400">
        <v>1</v>
      </c>
      <c r="O103" s="400">
        <v>1</v>
      </c>
      <c r="P103" s="400">
        <v>1</v>
      </c>
      <c r="Q103" s="400">
        <v>1</v>
      </c>
      <c r="R103" s="400">
        <v>1</v>
      </c>
      <c r="S103" s="400">
        <v>1</v>
      </c>
      <c r="T103" s="400">
        <v>1</v>
      </c>
      <c r="U103" s="400">
        <v>1</v>
      </c>
      <c r="V103" s="400">
        <v>1</v>
      </c>
      <c r="W103" s="400">
        <v>1</v>
      </c>
      <c r="X103" s="400">
        <v>1</v>
      </c>
      <c r="Y103" s="400">
        <v>1</v>
      </c>
      <c r="Z103" s="433">
        <v>2</v>
      </c>
      <c r="AA103" s="433">
        <v>2</v>
      </c>
      <c r="AB103" s="400">
        <v>1</v>
      </c>
      <c r="AC103" s="400">
        <v>1</v>
      </c>
      <c r="AD103" s="400">
        <v>1</v>
      </c>
      <c r="AE103" s="400">
        <v>1</v>
      </c>
      <c r="AF103" s="405">
        <v>1</v>
      </c>
      <c r="AG103" s="326"/>
      <c r="AH103" s="326"/>
    </row>
    <row r="104" spans="1:34">
      <c r="A104" s="93"/>
      <c r="B104" s="93"/>
      <c r="C104" s="93"/>
      <c r="D104" s="93"/>
      <c r="E104" s="93"/>
      <c r="F104" s="93"/>
      <c r="G104" s="93"/>
      <c r="H104" s="93"/>
      <c r="I104" s="93"/>
      <c r="J104" s="93"/>
      <c r="K104" s="93"/>
      <c r="L104" s="93"/>
      <c r="M104" s="93"/>
      <c r="N104" s="93"/>
      <c r="O104" s="93"/>
      <c r="P104" s="93"/>
      <c r="Q104" s="93"/>
      <c r="R104" s="93"/>
      <c r="S104" s="93"/>
      <c r="T104" s="93"/>
      <c r="U104" s="93"/>
      <c r="V104" s="93"/>
      <c r="W104" s="93"/>
      <c r="X104" s="93"/>
      <c r="Y104" s="93"/>
      <c r="Z104" s="93"/>
      <c r="AA104" s="93"/>
      <c r="AB104" s="93"/>
      <c r="AC104" s="93"/>
      <c r="AD104" s="93"/>
      <c r="AE104" s="93"/>
      <c r="AF104" s="79"/>
      <c r="AG104" s="326"/>
      <c r="AH104" s="326">
        <v>7</v>
      </c>
    </row>
    <row r="105" spans="1:34">
      <c r="A105" s="404">
        <v>1</v>
      </c>
      <c r="B105" s="400">
        <v>1</v>
      </c>
      <c r="C105" s="400">
        <v>1</v>
      </c>
      <c r="D105" s="400">
        <v>1</v>
      </c>
      <c r="E105" s="400">
        <v>1</v>
      </c>
      <c r="F105" s="433">
        <v>2</v>
      </c>
      <c r="G105" s="433">
        <v>2</v>
      </c>
      <c r="H105" s="400">
        <v>1</v>
      </c>
      <c r="I105" s="433">
        <v>2</v>
      </c>
      <c r="J105" s="400">
        <v>1</v>
      </c>
      <c r="K105" s="400">
        <v>1</v>
      </c>
      <c r="L105" s="400">
        <v>1</v>
      </c>
      <c r="M105" s="400">
        <v>1</v>
      </c>
      <c r="N105" s="400">
        <v>1</v>
      </c>
      <c r="O105" s="400">
        <v>1</v>
      </c>
      <c r="P105" s="400">
        <v>1</v>
      </c>
      <c r="Q105" s="400">
        <v>1</v>
      </c>
      <c r="R105" s="400">
        <v>1</v>
      </c>
      <c r="S105" s="400">
        <v>1</v>
      </c>
      <c r="T105" s="400">
        <v>1</v>
      </c>
      <c r="U105" s="400">
        <v>1</v>
      </c>
      <c r="V105" s="400">
        <v>1</v>
      </c>
      <c r="W105" s="400">
        <v>1</v>
      </c>
      <c r="X105" s="400">
        <v>1</v>
      </c>
      <c r="Y105" s="400">
        <v>1</v>
      </c>
      <c r="Z105" s="400">
        <v>1</v>
      </c>
      <c r="AA105" s="400">
        <v>1</v>
      </c>
      <c r="AB105" s="400">
        <v>1</v>
      </c>
      <c r="AC105" s="400">
        <v>1</v>
      </c>
      <c r="AD105" s="400">
        <v>1</v>
      </c>
      <c r="AE105" s="400">
        <v>1</v>
      </c>
      <c r="AF105" s="405">
        <v>1</v>
      </c>
      <c r="AG105" s="326"/>
      <c r="AH105" s="326"/>
    </row>
    <row r="106" spans="1:34">
      <c r="A106" s="93"/>
      <c r="B106" s="93"/>
      <c r="C106" s="93"/>
      <c r="D106" s="93"/>
      <c r="E106" s="93"/>
      <c r="F106" s="93"/>
      <c r="G106" s="93"/>
      <c r="H106" s="93"/>
      <c r="I106" s="93"/>
      <c r="J106" s="93"/>
      <c r="K106" s="93"/>
      <c r="L106" s="93"/>
      <c r="M106" s="93"/>
      <c r="N106" s="93"/>
      <c r="O106" s="93"/>
      <c r="P106" s="93"/>
      <c r="Q106" s="93"/>
      <c r="R106" s="93"/>
      <c r="S106" s="93"/>
      <c r="T106" s="93"/>
      <c r="U106" s="93"/>
      <c r="V106" s="93"/>
      <c r="W106" s="93"/>
      <c r="X106" s="93"/>
      <c r="Y106" s="93"/>
      <c r="Z106" s="93"/>
      <c r="AA106" s="93"/>
      <c r="AB106" s="93"/>
      <c r="AC106" s="93"/>
      <c r="AD106" s="93"/>
      <c r="AE106" s="93"/>
      <c r="AF106" s="79"/>
      <c r="AG106" s="326"/>
      <c r="AH106" s="326">
        <v>1</v>
      </c>
    </row>
    <row r="107" spans="1:34">
      <c r="A107" s="93"/>
      <c r="B107" s="93"/>
      <c r="C107" s="93"/>
      <c r="D107" s="93"/>
      <c r="E107" s="93"/>
      <c r="F107" s="93"/>
      <c r="G107" s="93"/>
      <c r="H107" s="93"/>
      <c r="I107" s="93"/>
      <c r="J107" s="93"/>
      <c r="K107" s="93"/>
      <c r="L107" s="93"/>
      <c r="M107" s="93"/>
      <c r="N107" s="93"/>
      <c r="O107" s="93"/>
      <c r="P107" s="93"/>
      <c r="Q107" s="93"/>
      <c r="R107" s="93"/>
      <c r="S107" s="93"/>
      <c r="T107" s="93"/>
      <c r="U107" s="93"/>
      <c r="V107" s="93"/>
      <c r="W107" s="93"/>
      <c r="X107" s="93"/>
      <c r="Y107" s="93"/>
      <c r="Z107" s="93"/>
      <c r="AA107" s="93"/>
      <c r="AB107" s="93"/>
      <c r="AC107" s="93"/>
      <c r="AD107" s="93"/>
      <c r="AE107" s="93"/>
      <c r="AF107" s="79"/>
      <c r="AG107" s="326"/>
      <c r="AH107" s="326">
        <v>2</v>
      </c>
    </row>
    <row r="108" spans="1:34">
      <c r="A108" s="93"/>
      <c r="B108" s="93"/>
      <c r="C108" s="93"/>
      <c r="D108" s="93"/>
      <c r="E108" s="93"/>
      <c r="F108" s="93"/>
      <c r="G108" s="93"/>
      <c r="H108" s="93"/>
      <c r="I108" s="93"/>
      <c r="J108" s="93"/>
      <c r="K108" s="93"/>
      <c r="L108" s="93"/>
      <c r="M108" s="93"/>
      <c r="N108" s="93"/>
      <c r="O108" s="93"/>
      <c r="P108" s="93"/>
      <c r="Q108" s="93"/>
      <c r="R108" s="93"/>
      <c r="S108" s="93"/>
      <c r="T108" s="93"/>
      <c r="U108" s="93"/>
      <c r="V108" s="93"/>
      <c r="W108" s="93"/>
      <c r="X108" s="93"/>
      <c r="Y108" s="93"/>
      <c r="Z108" s="93"/>
      <c r="AA108" s="93"/>
      <c r="AB108" s="93"/>
      <c r="AC108" s="93"/>
      <c r="AD108" s="93"/>
      <c r="AE108" s="93"/>
      <c r="AF108" s="79"/>
      <c r="AG108" s="326"/>
      <c r="AH108" s="326">
        <v>3</v>
      </c>
    </row>
    <row r="109" spans="1:34">
      <c r="A109" s="93"/>
      <c r="B109" s="93"/>
      <c r="C109" s="93"/>
      <c r="D109" s="93"/>
      <c r="E109" s="93"/>
      <c r="F109" s="93"/>
      <c r="G109" s="93"/>
      <c r="H109" s="93"/>
      <c r="I109" s="93"/>
      <c r="J109" s="93"/>
      <c r="K109" s="93"/>
      <c r="L109" s="93"/>
      <c r="M109" s="93"/>
      <c r="N109" s="93"/>
      <c r="O109" s="93"/>
      <c r="P109" s="93"/>
      <c r="Q109" s="93"/>
      <c r="R109" s="93"/>
      <c r="S109" s="93"/>
      <c r="T109" s="93"/>
      <c r="U109" s="93"/>
      <c r="V109" s="93"/>
      <c r="W109" s="93"/>
      <c r="X109" s="93"/>
      <c r="Y109" s="93"/>
      <c r="Z109" s="93"/>
      <c r="AA109" s="93"/>
      <c r="AB109" s="93"/>
      <c r="AC109" s="93"/>
      <c r="AD109" s="93"/>
      <c r="AE109" s="93"/>
      <c r="AF109" s="79"/>
      <c r="AG109" s="326"/>
      <c r="AH109" s="326">
        <v>4</v>
      </c>
    </row>
    <row r="110" spans="1:34">
      <c r="A110" s="404">
        <v>1</v>
      </c>
      <c r="B110" s="433">
        <v>2</v>
      </c>
      <c r="C110" s="400">
        <v>1</v>
      </c>
      <c r="D110" s="400">
        <v>1</v>
      </c>
      <c r="E110" s="400">
        <v>1</v>
      </c>
      <c r="F110" s="400">
        <v>1</v>
      </c>
      <c r="G110" s="400">
        <v>1</v>
      </c>
      <c r="H110" s="400">
        <v>1</v>
      </c>
      <c r="I110" s="400">
        <v>1</v>
      </c>
      <c r="J110" s="400">
        <v>1</v>
      </c>
      <c r="K110" s="400">
        <v>1</v>
      </c>
      <c r="L110" s="400">
        <v>1</v>
      </c>
      <c r="M110" s="400">
        <v>1</v>
      </c>
      <c r="N110" s="400">
        <v>1</v>
      </c>
      <c r="O110" s="400">
        <v>1</v>
      </c>
      <c r="P110" s="400">
        <v>1</v>
      </c>
      <c r="Q110" s="400">
        <v>1</v>
      </c>
      <c r="R110" s="400">
        <v>1</v>
      </c>
      <c r="S110" s="433">
        <v>2</v>
      </c>
      <c r="T110" s="400">
        <v>1</v>
      </c>
      <c r="U110" s="400">
        <v>1</v>
      </c>
      <c r="V110" s="400">
        <v>1</v>
      </c>
      <c r="W110" s="400">
        <v>1</v>
      </c>
      <c r="X110" s="400">
        <v>1</v>
      </c>
      <c r="Y110" s="400">
        <v>1</v>
      </c>
      <c r="Z110" s="400">
        <v>1</v>
      </c>
      <c r="AA110" s="400">
        <v>1</v>
      </c>
      <c r="AB110" s="400">
        <v>1</v>
      </c>
      <c r="AC110" s="400">
        <v>1</v>
      </c>
      <c r="AD110" s="400">
        <v>1</v>
      </c>
      <c r="AE110" s="400">
        <v>1</v>
      </c>
      <c r="AF110" s="405">
        <v>1</v>
      </c>
      <c r="AG110" s="326"/>
      <c r="AH110" s="326"/>
    </row>
    <row r="111" spans="1:34">
      <c r="A111" s="433">
        <v>2</v>
      </c>
      <c r="B111" s="433">
        <v>2</v>
      </c>
      <c r="C111" s="433">
        <v>2</v>
      </c>
      <c r="D111" s="433">
        <v>2</v>
      </c>
      <c r="E111" s="400">
        <v>1</v>
      </c>
      <c r="F111" s="400">
        <v>1</v>
      </c>
      <c r="G111" s="400">
        <v>1</v>
      </c>
      <c r="H111" s="400">
        <v>1</v>
      </c>
      <c r="I111" s="400">
        <v>1</v>
      </c>
      <c r="J111" s="400">
        <v>1</v>
      </c>
      <c r="K111" s="400">
        <v>1</v>
      </c>
      <c r="L111" s="400">
        <v>1</v>
      </c>
      <c r="M111" s="400">
        <v>1</v>
      </c>
      <c r="N111" s="400">
        <v>1</v>
      </c>
      <c r="O111" s="400">
        <v>1</v>
      </c>
      <c r="P111" s="400">
        <v>1</v>
      </c>
      <c r="Q111" s="400">
        <v>1</v>
      </c>
      <c r="R111" s="433">
        <v>2</v>
      </c>
      <c r="S111" s="433">
        <v>2</v>
      </c>
      <c r="T111" s="400">
        <v>1</v>
      </c>
      <c r="U111" s="400">
        <v>1</v>
      </c>
      <c r="V111" s="400">
        <v>1</v>
      </c>
      <c r="W111" s="400">
        <v>1</v>
      </c>
      <c r="X111" s="400">
        <v>1</v>
      </c>
      <c r="Y111" s="400">
        <v>1</v>
      </c>
      <c r="Z111" s="400">
        <v>1</v>
      </c>
      <c r="AA111" s="400">
        <v>1</v>
      </c>
      <c r="AB111" s="400">
        <v>1</v>
      </c>
      <c r="AC111" s="400">
        <v>1</v>
      </c>
      <c r="AD111" s="400">
        <v>1</v>
      </c>
      <c r="AE111" s="400">
        <v>1</v>
      </c>
      <c r="AF111" s="405">
        <v>1</v>
      </c>
      <c r="AG111" s="326"/>
      <c r="AH111" s="326"/>
    </row>
    <row r="112" spans="1:34">
      <c r="A112" s="433">
        <v>2</v>
      </c>
      <c r="B112" s="433">
        <v>2</v>
      </c>
      <c r="C112" s="400">
        <v>1</v>
      </c>
      <c r="D112" s="400">
        <v>1</v>
      </c>
      <c r="E112" s="400">
        <v>1</v>
      </c>
      <c r="F112" s="400">
        <v>1</v>
      </c>
      <c r="G112" s="400">
        <v>1</v>
      </c>
      <c r="H112" s="400">
        <v>1</v>
      </c>
      <c r="I112" s="400">
        <v>1</v>
      </c>
      <c r="J112" s="400">
        <v>1</v>
      </c>
      <c r="K112" s="400">
        <v>1</v>
      </c>
      <c r="L112" s="400">
        <v>1</v>
      </c>
      <c r="M112" s="400">
        <v>1</v>
      </c>
      <c r="N112" s="400">
        <v>1</v>
      </c>
      <c r="O112" s="400">
        <v>1</v>
      </c>
      <c r="P112" s="400">
        <v>1</v>
      </c>
      <c r="Q112" s="433">
        <v>2</v>
      </c>
      <c r="R112" s="433">
        <v>2</v>
      </c>
      <c r="S112" s="400">
        <v>1</v>
      </c>
      <c r="T112" s="400">
        <v>1</v>
      </c>
      <c r="U112" s="400">
        <v>1</v>
      </c>
      <c r="V112" s="400">
        <v>1</v>
      </c>
      <c r="W112" s="400">
        <v>1</v>
      </c>
      <c r="X112" s="400">
        <v>1</v>
      </c>
      <c r="Y112" s="400">
        <v>1</v>
      </c>
      <c r="Z112" s="400">
        <v>1</v>
      </c>
      <c r="AA112" s="400">
        <v>1</v>
      </c>
      <c r="AB112" s="400">
        <v>1</v>
      </c>
      <c r="AC112" s="400">
        <v>1</v>
      </c>
      <c r="AD112" s="400">
        <v>1</v>
      </c>
      <c r="AE112" s="400">
        <v>1</v>
      </c>
      <c r="AF112" s="405">
        <v>1</v>
      </c>
      <c r="AG112" s="326"/>
      <c r="AH112" s="326"/>
    </row>
    <row r="113" spans="1:34">
      <c r="A113" s="400">
        <v>1</v>
      </c>
      <c r="B113" s="400">
        <v>1</v>
      </c>
      <c r="C113" s="400">
        <v>1</v>
      </c>
      <c r="D113" s="400">
        <v>1</v>
      </c>
      <c r="E113" s="400">
        <v>1</v>
      </c>
      <c r="F113" s="400">
        <v>1</v>
      </c>
      <c r="G113" s="400">
        <v>1</v>
      </c>
      <c r="H113" s="400">
        <v>1</v>
      </c>
      <c r="I113" s="400">
        <v>1</v>
      </c>
      <c r="J113" s="400">
        <v>1</v>
      </c>
      <c r="K113" s="400">
        <v>1</v>
      </c>
      <c r="L113" s="400">
        <v>1</v>
      </c>
      <c r="M113" s="400">
        <v>1</v>
      </c>
      <c r="N113" s="400">
        <v>1</v>
      </c>
      <c r="O113" s="433">
        <v>2</v>
      </c>
      <c r="P113" s="433">
        <v>2</v>
      </c>
      <c r="Q113" s="433">
        <v>2</v>
      </c>
      <c r="R113" s="400">
        <v>1</v>
      </c>
      <c r="S113" s="400">
        <v>1</v>
      </c>
      <c r="T113" s="400">
        <v>1</v>
      </c>
      <c r="U113" s="400">
        <v>1</v>
      </c>
      <c r="V113" s="400">
        <v>1</v>
      </c>
      <c r="W113" s="400">
        <v>1</v>
      </c>
      <c r="X113" s="400">
        <v>1</v>
      </c>
      <c r="Y113" s="400">
        <v>1</v>
      </c>
      <c r="Z113" s="400">
        <v>1</v>
      </c>
      <c r="AA113" s="400">
        <v>1</v>
      </c>
      <c r="AB113" s="400">
        <v>1</v>
      </c>
      <c r="AC113" s="400">
        <v>1</v>
      </c>
      <c r="AD113" s="400">
        <v>1</v>
      </c>
      <c r="AE113" s="400">
        <v>1</v>
      </c>
      <c r="AF113" s="405">
        <v>1</v>
      </c>
      <c r="AG113" s="326"/>
      <c r="AH113" s="326"/>
    </row>
    <row r="114" spans="1:34">
      <c r="A114" s="93"/>
      <c r="B114" s="93"/>
      <c r="C114" s="93"/>
      <c r="D114" s="93"/>
      <c r="E114" s="93"/>
      <c r="F114" s="93"/>
      <c r="G114" s="93"/>
      <c r="H114" s="93"/>
      <c r="I114" s="93"/>
      <c r="J114" s="93"/>
      <c r="K114" s="93"/>
      <c r="L114" s="93"/>
      <c r="M114" s="93"/>
      <c r="N114" s="93"/>
      <c r="O114" s="93"/>
      <c r="P114" s="93"/>
      <c r="Q114" s="93"/>
      <c r="R114" s="93"/>
      <c r="S114" s="93"/>
      <c r="T114" s="93"/>
      <c r="U114" s="93"/>
      <c r="V114" s="93"/>
      <c r="W114" s="93"/>
      <c r="X114" s="93"/>
      <c r="Y114" s="93"/>
      <c r="Z114" s="93"/>
      <c r="AA114" s="93"/>
      <c r="AB114" s="93"/>
      <c r="AC114" s="93"/>
      <c r="AD114" s="93"/>
      <c r="AE114" s="93"/>
      <c r="AF114" s="79"/>
      <c r="AG114" s="326"/>
      <c r="AH114" s="326">
        <v>17</v>
      </c>
    </row>
    <row r="115" spans="1:34">
      <c r="A115" s="93"/>
      <c r="B115" s="93"/>
      <c r="C115" s="93"/>
      <c r="D115" s="93"/>
      <c r="E115" s="93"/>
      <c r="F115" s="93"/>
      <c r="G115" s="93"/>
      <c r="H115" s="93"/>
      <c r="I115" s="93"/>
      <c r="J115" s="93"/>
      <c r="K115" s="93"/>
      <c r="L115" s="93"/>
      <c r="M115" s="93"/>
      <c r="N115" s="93"/>
      <c r="O115" s="93"/>
      <c r="P115" s="93"/>
      <c r="Q115" s="93"/>
      <c r="R115" s="93"/>
      <c r="S115" s="93"/>
      <c r="T115" s="93"/>
      <c r="U115" s="93"/>
      <c r="V115" s="93"/>
      <c r="W115" s="93"/>
      <c r="X115" s="93"/>
      <c r="Y115" s="93"/>
      <c r="Z115" s="93"/>
      <c r="AA115" s="93"/>
      <c r="AB115" s="93"/>
      <c r="AC115" s="93"/>
      <c r="AD115" s="93"/>
      <c r="AE115" s="93"/>
      <c r="AF115" s="79"/>
      <c r="AG115" s="326"/>
      <c r="AH115" s="326">
        <v>1</v>
      </c>
    </row>
    <row r="116" spans="1:34">
      <c r="A116" s="93"/>
      <c r="B116" s="93"/>
      <c r="C116" s="93"/>
      <c r="D116" s="93"/>
      <c r="E116" s="93"/>
      <c r="F116" s="93"/>
      <c r="G116" s="93"/>
      <c r="H116" s="93"/>
      <c r="I116" s="93"/>
      <c r="J116" s="93"/>
      <c r="K116" s="93"/>
      <c r="L116" s="93"/>
      <c r="M116" s="93"/>
      <c r="N116" s="93"/>
      <c r="O116" s="93"/>
      <c r="P116" s="93"/>
      <c r="Q116" s="93"/>
      <c r="R116" s="93"/>
      <c r="S116" s="93"/>
      <c r="T116" s="93"/>
      <c r="U116" s="93"/>
      <c r="V116" s="93"/>
      <c r="W116" s="93"/>
      <c r="X116" s="93"/>
      <c r="Y116" s="93"/>
      <c r="Z116" s="93"/>
      <c r="AA116" s="93"/>
      <c r="AB116" s="93"/>
      <c r="AC116" s="93"/>
      <c r="AD116" s="93"/>
      <c r="AE116" s="93"/>
      <c r="AF116" s="79"/>
      <c r="AG116" s="326"/>
      <c r="AH116" s="326">
        <v>2</v>
      </c>
    </row>
    <row r="117" spans="1:34">
      <c r="A117" s="93"/>
      <c r="B117" s="93"/>
      <c r="C117" s="93"/>
      <c r="D117" s="93"/>
      <c r="E117" s="93"/>
      <c r="F117" s="93"/>
      <c r="G117" s="93"/>
      <c r="H117" s="93"/>
      <c r="I117" s="93"/>
      <c r="J117" s="93"/>
      <c r="K117" s="93"/>
      <c r="L117" s="93"/>
      <c r="M117" s="93"/>
      <c r="N117" s="93"/>
      <c r="O117" s="93"/>
      <c r="P117" s="93"/>
      <c r="Q117" s="93"/>
      <c r="R117" s="93"/>
      <c r="S117" s="93"/>
      <c r="T117" s="93"/>
      <c r="U117" s="93"/>
      <c r="V117" s="93"/>
      <c r="W117" s="93"/>
      <c r="X117" s="93"/>
      <c r="Y117" s="93"/>
      <c r="Z117" s="93"/>
      <c r="AA117" s="93"/>
      <c r="AB117" s="93"/>
      <c r="AC117" s="93"/>
      <c r="AD117" s="93"/>
      <c r="AE117" s="93"/>
      <c r="AF117" s="79"/>
      <c r="AG117" s="326"/>
      <c r="AH117" s="326">
        <v>3</v>
      </c>
    </row>
    <row r="118" spans="1:34">
      <c r="A118" s="93"/>
      <c r="B118" s="93"/>
      <c r="C118" s="93"/>
      <c r="D118" s="93"/>
      <c r="E118" s="93"/>
      <c r="F118" s="93"/>
      <c r="G118" s="93"/>
      <c r="H118" s="93"/>
      <c r="I118" s="93"/>
      <c r="J118" s="93"/>
      <c r="K118" s="93"/>
      <c r="L118" s="93"/>
      <c r="M118" s="93"/>
      <c r="N118" s="93"/>
      <c r="O118" s="93"/>
      <c r="P118" s="93"/>
      <c r="Q118" s="93"/>
      <c r="R118" s="93"/>
      <c r="S118" s="93"/>
      <c r="T118" s="93"/>
      <c r="U118" s="93"/>
      <c r="V118" s="93"/>
      <c r="W118" s="93"/>
      <c r="X118" s="93"/>
      <c r="Y118" s="93"/>
      <c r="Z118" s="93"/>
      <c r="AA118" s="93"/>
      <c r="AB118" s="93"/>
      <c r="AC118" s="93"/>
      <c r="AD118" s="93"/>
      <c r="AE118" s="93"/>
      <c r="AF118" s="79"/>
      <c r="AG118" s="326"/>
      <c r="AH118" s="326">
        <v>4</v>
      </c>
    </row>
    <row r="119" spans="1:34">
      <c r="A119" s="404">
        <v>1</v>
      </c>
      <c r="B119" s="433">
        <v>2</v>
      </c>
      <c r="C119" s="400">
        <v>1</v>
      </c>
      <c r="D119" s="400">
        <v>1</v>
      </c>
      <c r="E119" s="400">
        <v>1</v>
      </c>
      <c r="F119" s="400">
        <v>1</v>
      </c>
      <c r="G119" s="400">
        <v>1</v>
      </c>
      <c r="H119" s="400">
        <v>1</v>
      </c>
      <c r="I119" s="400">
        <v>1</v>
      </c>
      <c r="J119" s="400">
        <v>1</v>
      </c>
      <c r="K119" s="400">
        <v>1</v>
      </c>
      <c r="L119" s="400">
        <v>1</v>
      </c>
      <c r="M119" s="400">
        <v>1</v>
      </c>
      <c r="N119" s="400">
        <v>1</v>
      </c>
      <c r="O119" s="400">
        <v>1</v>
      </c>
      <c r="P119" s="400">
        <v>1</v>
      </c>
      <c r="Q119" s="400">
        <v>1</v>
      </c>
      <c r="R119" s="400">
        <v>1</v>
      </c>
      <c r="S119" s="400">
        <v>1</v>
      </c>
      <c r="T119" s="400">
        <v>1</v>
      </c>
      <c r="U119" s="400">
        <v>1</v>
      </c>
      <c r="V119" s="400">
        <v>1</v>
      </c>
      <c r="W119" s="400">
        <v>1</v>
      </c>
      <c r="X119" s="400">
        <v>1</v>
      </c>
      <c r="Y119" s="400">
        <v>1</v>
      </c>
      <c r="Z119" s="400">
        <v>1</v>
      </c>
      <c r="AA119" s="433">
        <v>2</v>
      </c>
      <c r="AB119" s="433">
        <v>2</v>
      </c>
      <c r="AC119" s="400">
        <v>1</v>
      </c>
      <c r="AD119" s="400">
        <v>1</v>
      </c>
      <c r="AE119" s="400">
        <v>1</v>
      </c>
      <c r="AF119" s="405">
        <v>1</v>
      </c>
      <c r="AG119" s="326"/>
      <c r="AH119" s="326"/>
    </row>
    <row r="120" spans="1:34">
      <c r="A120" s="404">
        <v>1</v>
      </c>
      <c r="B120" s="433">
        <v>2</v>
      </c>
      <c r="C120" s="433">
        <v>2</v>
      </c>
      <c r="D120" s="400">
        <v>1</v>
      </c>
      <c r="E120" s="400">
        <v>1</v>
      </c>
      <c r="F120" s="400">
        <v>1</v>
      </c>
      <c r="G120" s="400">
        <v>1</v>
      </c>
      <c r="H120" s="400">
        <v>1</v>
      </c>
      <c r="I120" s="400">
        <v>1</v>
      </c>
      <c r="J120" s="400">
        <v>1</v>
      </c>
      <c r="K120" s="400">
        <v>1</v>
      </c>
      <c r="L120" s="400">
        <v>1</v>
      </c>
      <c r="M120" s="400">
        <v>1</v>
      </c>
      <c r="N120" s="400">
        <v>1</v>
      </c>
      <c r="O120" s="400">
        <v>1</v>
      </c>
      <c r="P120" s="400">
        <v>1</v>
      </c>
      <c r="Q120" s="400">
        <v>1</v>
      </c>
      <c r="R120" s="400">
        <v>1</v>
      </c>
      <c r="S120" s="400">
        <v>1</v>
      </c>
      <c r="T120" s="400">
        <v>1</v>
      </c>
      <c r="U120" s="400">
        <v>1</v>
      </c>
      <c r="V120" s="400">
        <v>1</v>
      </c>
      <c r="W120" s="400">
        <v>1</v>
      </c>
      <c r="X120" s="433">
        <v>2</v>
      </c>
      <c r="Y120" s="400">
        <v>1</v>
      </c>
      <c r="Z120" s="433">
        <v>2</v>
      </c>
      <c r="AA120" s="433">
        <v>2</v>
      </c>
      <c r="AB120" s="400">
        <v>1</v>
      </c>
      <c r="AC120" s="400">
        <v>1</v>
      </c>
      <c r="AD120" s="400">
        <v>1</v>
      </c>
      <c r="AE120" s="400">
        <v>1</v>
      </c>
      <c r="AF120" s="405">
        <v>1</v>
      </c>
      <c r="AG120" s="326"/>
      <c r="AH120" s="326"/>
    </row>
    <row r="121" spans="1:34">
      <c r="A121" s="404">
        <v>1</v>
      </c>
      <c r="B121" s="400">
        <v>1</v>
      </c>
      <c r="C121" s="433">
        <v>2</v>
      </c>
      <c r="D121" s="433">
        <v>2</v>
      </c>
      <c r="E121" s="433">
        <v>2</v>
      </c>
      <c r="F121" s="400">
        <v>1</v>
      </c>
      <c r="G121" s="400">
        <v>1</v>
      </c>
      <c r="H121" s="400">
        <v>1</v>
      </c>
      <c r="I121" s="400">
        <v>1</v>
      </c>
      <c r="J121" s="400">
        <v>1</v>
      </c>
      <c r="K121" s="400">
        <v>1</v>
      </c>
      <c r="L121" s="400">
        <v>1</v>
      </c>
      <c r="M121" s="400">
        <v>1</v>
      </c>
      <c r="N121" s="400">
        <v>1</v>
      </c>
      <c r="O121" s="400">
        <v>1</v>
      </c>
      <c r="P121" s="400">
        <v>1</v>
      </c>
      <c r="Q121" s="400">
        <v>1</v>
      </c>
      <c r="R121" s="400">
        <v>1</v>
      </c>
      <c r="S121" s="400">
        <v>1</v>
      </c>
      <c r="T121" s="400">
        <v>1</v>
      </c>
      <c r="U121" s="400">
        <v>1</v>
      </c>
      <c r="V121" s="400">
        <v>1</v>
      </c>
      <c r="W121" s="433">
        <v>2</v>
      </c>
      <c r="X121" s="433">
        <v>2</v>
      </c>
      <c r="Y121" s="433">
        <v>2</v>
      </c>
      <c r="Z121" s="433">
        <v>2</v>
      </c>
      <c r="AA121" s="433">
        <v>2</v>
      </c>
      <c r="AB121" s="400">
        <v>1</v>
      </c>
      <c r="AC121" s="400">
        <v>1</v>
      </c>
      <c r="AD121" s="400">
        <v>1</v>
      </c>
      <c r="AE121" s="400">
        <v>1</v>
      </c>
      <c r="AF121" s="405">
        <v>1</v>
      </c>
      <c r="AG121" s="326"/>
      <c r="AH121" s="326"/>
    </row>
    <row r="122" spans="1:34">
      <c r="A122" s="93"/>
      <c r="B122" s="93"/>
      <c r="C122" s="93"/>
      <c r="D122" s="93"/>
      <c r="E122" s="93"/>
      <c r="F122" s="93"/>
      <c r="G122" s="93"/>
      <c r="H122" s="93"/>
      <c r="I122" s="93"/>
      <c r="J122" s="93"/>
      <c r="K122" s="93"/>
      <c r="L122" s="93"/>
      <c r="M122" s="93"/>
      <c r="N122" s="93"/>
      <c r="O122" s="93"/>
      <c r="P122" s="93"/>
      <c r="Q122" s="93"/>
      <c r="R122" s="93"/>
      <c r="S122" s="93"/>
      <c r="T122" s="93"/>
      <c r="U122" s="93"/>
      <c r="V122" s="93"/>
      <c r="W122" s="93"/>
      <c r="X122" s="93"/>
      <c r="Y122" s="93"/>
      <c r="Z122" s="93"/>
      <c r="AA122" s="93"/>
      <c r="AB122" s="93"/>
      <c r="AC122" s="93"/>
      <c r="AD122" s="93"/>
      <c r="AE122" s="93"/>
      <c r="AF122" s="79"/>
      <c r="AG122" s="326"/>
      <c r="AH122" s="326">
        <v>25</v>
      </c>
    </row>
    <row r="123" spans="1:34">
      <c r="A123" s="404">
        <v>1</v>
      </c>
      <c r="B123" s="400">
        <v>1</v>
      </c>
      <c r="C123" s="400">
        <v>1</v>
      </c>
      <c r="D123" s="433">
        <v>2</v>
      </c>
      <c r="E123" s="400">
        <v>1</v>
      </c>
      <c r="F123" s="400">
        <v>1</v>
      </c>
      <c r="G123" s="400">
        <v>1</v>
      </c>
      <c r="H123" s="400">
        <v>1</v>
      </c>
      <c r="I123" s="400">
        <v>1</v>
      </c>
      <c r="J123" s="400">
        <v>1</v>
      </c>
      <c r="K123" s="400">
        <v>1</v>
      </c>
      <c r="L123" s="400">
        <v>1</v>
      </c>
      <c r="M123" s="400">
        <v>1</v>
      </c>
      <c r="N123" s="400">
        <v>1</v>
      </c>
      <c r="O123" s="400">
        <v>1</v>
      </c>
      <c r="P123" s="400">
        <v>1</v>
      </c>
      <c r="Q123" s="400">
        <v>1</v>
      </c>
      <c r="R123" s="400">
        <v>1</v>
      </c>
      <c r="S123" s="400">
        <v>1</v>
      </c>
      <c r="T123" s="400">
        <v>1</v>
      </c>
      <c r="U123" s="400">
        <v>1</v>
      </c>
      <c r="V123" s="433">
        <v>2</v>
      </c>
      <c r="W123" s="433">
        <v>2</v>
      </c>
      <c r="X123" s="400">
        <v>1</v>
      </c>
      <c r="Y123" s="433">
        <v>2</v>
      </c>
      <c r="Z123" s="433">
        <v>2</v>
      </c>
      <c r="AA123" s="400">
        <v>1</v>
      </c>
      <c r="AB123" s="400">
        <v>1</v>
      </c>
      <c r="AC123" s="400">
        <v>1</v>
      </c>
      <c r="AD123" s="400">
        <v>1</v>
      </c>
      <c r="AE123" s="400">
        <v>1</v>
      </c>
      <c r="AF123" s="405">
        <v>1</v>
      </c>
      <c r="AG123" s="326"/>
      <c r="AH123" s="326"/>
    </row>
    <row r="124" spans="1:34">
      <c r="A124" s="93"/>
      <c r="B124" s="93"/>
      <c r="C124" s="93"/>
      <c r="D124" s="93"/>
      <c r="E124" s="93"/>
      <c r="F124" s="93"/>
      <c r="G124" s="93"/>
      <c r="H124" s="93"/>
      <c r="I124" s="93"/>
      <c r="J124" s="93"/>
      <c r="K124" s="93"/>
      <c r="L124" s="93"/>
      <c r="M124" s="93"/>
      <c r="N124" s="93"/>
      <c r="O124" s="93"/>
      <c r="P124" s="93"/>
      <c r="Q124" s="93"/>
      <c r="R124" s="93"/>
      <c r="S124" s="93"/>
      <c r="T124" s="93"/>
      <c r="U124" s="93"/>
      <c r="V124" s="93"/>
      <c r="W124" s="93"/>
      <c r="X124" s="93"/>
      <c r="Y124" s="93"/>
      <c r="Z124" s="93"/>
      <c r="AA124" s="93"/>
      <c r="AB124" s="93"/>
      <c r="AC124" s="93"/>
      <c r="AD124" s="93"/>
      <c r="AE124" s="93"/>
      <c r="AF124" s="79"/>
      <c r="AG124" s="326"/>
      <c r="AH124" s="326">
        <v>1</v>
      </c>
    </row>
    <row r="125" spans="1:34">
      <c r="A125" s="93"/>
      <c r="B125" s="93"/>
      <c r="C125" s="93"/>
      <c r="D125" s="93"/>
      <c r="E125" s="93"/>
      <c r="F125" s="93"/>
      <c r="G125" s="93"/>
      <c r="H125" s="93"/>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c r="AF125" s="79"/>
      <c r="AG125" s="326"/>
      <c r="AH125" s="326">
        <v>2</v>
      </c>
    </row>
    <row r="126" spans="1:34">
      <c r="A126" s="93"/>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c r="AF126" s="79"/>
      <c r="AG126" s="326"/>
      <c r="AH126" s="326">
        <v>3</v>
      </c>
    </row>
    <row r="127" spans="1:34">
      <c r="A127" s="93"/>
      <c r="B127" s="93"/>
      <c r="C127" s="93"/>
      <c r="D127" s="93"/>
      <c r="E127" s="93"/>
      <c r="F127" s="93"/>
      <c r="G127" s="93"/>
      <c r="H127" s="93"/>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c r="AF127" s="79"/>
      <c r="AG127" s="326"/>
      <c r="AH127" s="326">
        <v>4</v>
      </c>
    </row>
    <row r="128" spans="1:34">
      <c r="A128" s="73"/>
      <c r="B128" s="73"/>
      <c r="C128" s="73"/>
      <c r="D128" s="73"/>
      <c r="E128" s="73"/>
      <c r="F128" s="73"/>
      <c r="G128" s="73"/>
      <c r="H128" s="73"/>
      <c r="I128" s="73"/>
      <c r="J128" s="73"/>
      <c r="K128" s="73"/>
      <c r="L128" s="73"/>
      <c r="M128" s="73"/>
      <c r="N128" s="73"/>
      <c r="O128" s="73"/>
      <c r="P128" s="73"/>
      <c r="Q128" s="73"/>
      <c r="R128" s="73"/>
      <c r="S128" s="73"/>
      <c r="T128" s="73"/>
      <c r="U128" s="73"/>
      <c r="V128" s="73"/>
      <c r="W128" s="73"/>
      <c r="X128" s="73"/>
      <c r="Y128" s="73"/>
      <c r="Z128" s="73"/>
      <c r="AA128" s="73"/>
      <c r="AB128" s="73"/>
      <c r="AC128" s="73"/>
      <c r="AD128" s="73"/>
      <c r="AE128" s="73"/>
      <c r="AF128" s="701"/>
      <c r="AG128" s="326"/>
      <c r="AH128" s="326">
        <v>1</v>
      </c>
    </row>
    <row r="129" spans="1:34">
      <c r="A129" s="415"/>
      <c r="B129" s="415"/>
      <c r="C129" s="415"/>
      <c r="D129" s="415"/>
      <c r="E129" s="420"/>
      <c r="F129" s="420"/>
      <c r="G129" s="420"/>
      <c r="H129" s="420"/>
      <c r="I129" s="420"/>
      <c r="J129" s="420"/>
      <c r="K129" s="420"/>
      <c r="L129" s="420"/>
      <c r="M129" s="420"/>
      <c r="N129" s="420"/>
      <c r="O129" s="420"/>
      <c r="P129" s="420"/>
      <c r="Q129" s="420"/>
      <c r="R129" s="420"/>
      <c r="S129" s="420"/>
      <c r="T129" s="420"/>
      <c r="U129" s="420"/>
      <c r="V129" s="420"/>
      <c r="W129" s="420"/>
      <c r="X129" s="420"/>
      <c r="Y129" s="420"/>
      <c r="Z129" s="420"/>
      <c r="AA129" s="420"/>
      <c r="AB129" s="420"/>
      <c r="AC129" s="415"/>
      <c r="AD129" s="415"/>
      <c r="AE129" s="415"/>
      <c r="AF129" s="415"/>
      <c r="AG129" s="400">
        <v>1</v>
      </c>
      <c r="AH129" s="488"/>
    </row>
    <row r="130" spans="1:34">
      <c r="A130" s="415"/>
      <c r="B130" s="415"/>
      <c r="C130" s="415"/>
      <c r="D130" s="420"/>
      <c r="E130" s="409">
        <v>1</v>
      </c>
      <c r="F130" s="409">
        <v>1</v>
      </c>
      <c r="G130" s="409">
        <v>1</v>
      </c>
      <c r="H130" s="409">
        <v>1</v>
      </c>
      <c r="I130" s="409">
        <v>1</v>
      </c>
      <c r="J130" s="409">
        <v>1</v>
      </c>
      <c r="K130" s="409">
        <v>1</v>
      </c>
      <c r="L130" s="409">
        <v>1</v>
      </c>
      <c r="M130" s="409">
        <v>1</v>
      </c>
      <c r="N130" s="409">
        <v>1</v>
      </c>
      <c r="O130" s="409">
        <v>1</v>
      </c>
      <c r="P130" s="409">
        <v>1</v>
      </c>
      <c r="Q130" s="409">
        <v>1</v>
      </c>
      <c r="R130" s="409">
        <v>1</v>
      </c>
      <c r="S130" s="409">
        <v>1</v>
      </c>
      <c r="T130" s="409">
        <v>1</v>
      </c>
      <c r="U130" s="409">
        <v>1</v>
      </c>
      <c r="V130" s="409">
        <v>1</v>
      </c>
      <c r="W130" s="409">
        <v>1</v>
      </c>
      <c r="X130" s="409">
        <v>1</v>
      </c>
      <c r="Y130" s="409">
        <v>1</v>
      </c>
      <c r="Z130" s="409">
        <v>1</v>
      </c>
      <c r="AA130" s="409">
        <v>1</v>
      </c>
      <c r="AB130" s="409">
        <v>1</v>
      </c>
      <c r="AC130" s="420"/>
      <c r="AD130" s="415"/>
      <c r="AE130" s="415"/>
      <c r="AF130" s="415"/>
      <c r="AG130" s="400"/>
      <c r="AH130" s="326"/>
    </row>
    <row r="131" spans="1:34">
      <c r="A131" s="415"/>
      <c r="B131" s="415"/>
      <c r="C131" s="420"/>
      <c r="D131" s="409">
        <v>1</v>
      </c>
      <c r="E131" s="429">
        <v>2</v>
      </c>
      <c r="F131" s="429">
        <v>2</v>
      </c>
      <c r="G131" s="429">
        <v>2</v>
      </c>
      <c r="H131" s="429">
        <v>2</v>
      </c>
      <c r="I131" s="429">
        <v>2</v>
      </c>
      <c r="J131" s="429">
        <v>2</v>
      </c>
      <c r="K131" s="429">
        <v>2</v>
      </c>
      <c r="L131" s="429">
        <v>2</v>
      </c>
      <c r="M131" s="429">
        <v>2</v>
      </c>
      <c r="N131" s="429">
        <v>2</v>
      </c>
      <c r="O131" s="429">
        <v>2</v>
      </c>
      <c r="P131" s="429">
        <v>2</v>
      </c>
      <c r="Q131" s="429">
        <v>2</v>
      </c>
      <c r="R131" s="429">
        <v>2</v>
      </c>
      <c r="S131" s="429">
        <v>2</v>
      </c>
      <c r="T131" s="429">
        <v>2</v>
      </c>
      <c r="U131" s="429">
        <v>2</v>
      </c>
      <c r="V131" s="429">
        <v>2</v>
      </c>
      <c r="W131" s="429">
        <v>2</v>
      </c>
      <c r="X131" s="429">
        <v>2</v>
      </c>
      <c r="Y131" s="429">
        <v>2</v>
      </c>
      <c r="Z131" s="429">
        <v>2</v>
      </c>
      <c r="AA131" s="429">
        <v>2</v>
      </c>
      <c r="AB131" s="429">
        <v>2</v>
      </c>
      <c r="AC131" s="409">
        <v>1</v>
      </c>
      <c r="AD131" s="420"/>
      <c r="AE131" s="415"/>
      <c r="AF131" s="415"/>
      <c r="AG131" s="326"/>
      <c r="AH131" s="326"/>
    </row>
    <row r="132" spans="1:34">
      <c r="A132" s="415"/>
      <c r="B132" s="420"/>
      <c r="C132" s="409">
        <v>1</v>
      </c>
      <c r="D132" s="429">
        <v>2</v>
      </c>
      <c r="E132" s="436">
        <v>2</v>
      </c>
      <c r="F132" s="436">
        <v>2</v>
      </c>
      <c r="G132" s="436">
        <v>2</v>
      </c>
      <c r="H132" s="436">
        <v>2</v>
      </c>
      <c r="I132" s="436">
        <v>2</v>
      </c>
      <c r="J132" s="436">
        <v>2</v>
      </c>
      <c r="K132" s="436">
        <v>2</v>
      </c>
      <c r="L132" s="436">
        <v>2</v>
      </c>
      <c r="M132" s="436">
        <v>2</v>
      </c>
      <c r="N132" s="436">
        <v>2</v>
      </c>
      <c r="O132" s="436">
        <v>2</v>
      </c>
      <c r="P132" s="436">
        <v>2</v>
      </c>
      <c r="Q132" s="436">
        <v>2</v>
      </c>
      <c r="R132" s="436">
        <v>2</v>
      </c>
      <c r="S132" s="436">
        <v>2</v>
      </c>
      <c r="T132" s="436">
        <v>2</v>
      </c>
      <c r="U132" s="436">
        <v>2</v>
      </c>
      <c r="V132" s="436">
        <v>2</v>
      </c>
      <c r="W132" s="436">
        <v>2</v>
      </c>
      <c r="X132" s="436">
        <v>2</v>
      </c>
      <c r="Y132" s="436">
        <v>2</v>
      </c>
      <c r="Z132" s="436">
        <v>2</v>
      </c>
      <c r="AA132" s="436">
        <v>2</v>
      </c>
      <c r="AB132" s="436">
        <v>2</v>
      </c>
      <c r="AC132" s="429">
        <v>2</v>
      </c>
      <c r="AD132" s="409">
        <v>1</v>
      </c>
      <c r="AE132" s="420"/>
      <c r="AF132" s="415"/>
      <c r="AG132" s="326"/>
      <c r="AH132" s="326"/>
    </row>
    <row r="133" spans="1:34">
      <c r="A133" s="420"/>
      <c r="B133" s="409">
        <v>1</v>
      </c>
      <c r="C133" s="429">
        <v>2</v>
      </c>
      <c r="D133" s="436">
        <v>2</v>
      </c>
      <c r="E133" s="436">
        <v>2</v>
      </c>
      <c r="F133" s="449">
        <v>2</v>
      </c>
      <c r="G133" s="449">
        <v>2</v>
      </c>
      <c r="H133" s="449">
        <v>2</v>
      </c>
      <c r="I133" s="449">
        <v>2</v>
      </c>
      <c r="J133" s="449">
        <v>2</v>
      </c>
      <c r="K133" s="449">
        <v>2</v>
      </c>
      <c r="L133" s="449">
        <v>2</v>
      </c>
      <c r="M133" s="449">
        <v>2</v>
      </c>
      <c r="N133" s="449">
        <v>2</v>
      </c>
      <c r="O133" s="449">
        <v>2</v>
      </c>
      <c r="P133" s="449">
        <v>2</v>
      </c>
      <c r="Q133" s="449">
        <v>2</v>
      </c>
      <c r="R133" s="449">
        <v>2</v>
      </c>
      <c r="S133" s="449">
        <v>2</v>
      </c>
      <c r="T133" s="449">
        <v>2</v>
      </c>
      <c r="U133" s="449">
        <v>2</v>
      </c>
      <c r="V133" s="449">
        <v>2</v>
      </c>
      <c r="W133" s="449">
        <v>2</v>
      </c>
      <c r="X133" s="449">
        <v>2</v>
      </c>
      <c r="Y133" s="449">
        <v>2</v>
      </c>
      <c r="Z133" s="449">
        <v>2</v>
      </c>
      <c r="AA133" s="449">
        <v>2</v>
      </c>
      <c r="AB133" s="436">
        <v>2</v>
      </c>
      <c r="AC133" s="436">
        <v>2</v>
      </c>
      <c r="AD133" s="429">
        <v>2</v>
      </c>
      <c r="AE133" s="409">
        <v>1</v>
      </c>
      <c r="AF133" s="420"/>
      <c r="AG133" s="326"/>
      <c r="AH133" s="326"/>
    </row>
    <row r="134" spans="1:34">
      <c r="A134" s="420"/>
      <c r="B134" s="409">
        <v>1</v>
      </c>
      <c r="C134" s="429">
        <v>2</v>
      </c>
      <c r="D134" s="436">
        <v>2</v>
      </c>
      <c r="E134" s="449">
        <v>2</v>
      </c>
      <c r="F134" s="436">
        <v>3</v>
      </c>
      <c r="G134" s="436">
        <v>3</v>
      </c>
      <c r="H134" s="436">
        <v>3</v>
      </c>
      <c r="I134" s="436">
        <v>3</v>
      </c>
      <c r="J134" s="436">
        <v>3</v>
      </c>
      <c r="K134" s="436">
        <v>3</v>
      </c>
      <c r="L134" s="436">
        <v>3</v>
      </c>
      <c r="M134" s="436">
        <v>3</v>
      </c>
      <c r="N134" s="436">
        <v>3</v>
      </c>
      <c r="O134" s="436">
        <v>3</v>
      </c>
      <c r="P134" s="436">
        <v>3</v>
      </c>
      <c r="Q134" s="436">
        <v>3</v>
      </c>
      <c r="R134" s="436">
        <v>3</v>
      </c>
      <c r="S134" s="436">
        <v>3</v>
      </c>
      <c r="T134" s="436">
        <v>3</v>
      </c>
      <c r="U134" s="436">
        <v>3</v>
      </c>
      <c r="V134" s="436">
        <v>3</v>
      </c>
      <c r="W134" s="436">
        <v>3</v>
      </c>
      <c r="X134" s="436">
        <v>3</v>
      </c>
      <c r="Y134" s="436">
        <v>3</v>
      </c>
      <c r="Z134" s="436">
        <v>3</v>
      </c>
      <c r="AA134" s="436">
        <v>3</v>
      </c>
      <c r="AB134" s="449">
        <v>2</v>
      </c>
      <c r="AC134" s="436">
        <v>2</v>
      </c>
      <c r="AD134" s="429">
        <v>2</v>
      </c>
      <c r="AE134" s="409">
        <v>1</v>
      </c>
      <c r="AF134" s="420"/>
      <c r="AG134" s="326"/>
      <c r="AH134" s="326"/>
    </row>
    <row r="135" spans="1:34">
      <c r="A135" s="420"/>
      <c r="B135" s="409">
        <v>1</v>
      </c>
      <c r="C135" s="429">
        <v>2</v>
      </c>
      <c r="D135" s="436">
        <v>2</v>
      </c>
      <c r="E135" s="449">
        <v>2</v>
      </c>
      <c r="F135" s="436">
        <v>3</v>
      </c>
      <c r="G135" s="449">
        <v>2</v>
      </c>
      <c r="H135" s="436">
        <v>2</v>
      </c>
      <c r="I135" s="449">
        <v>2</v>
      </c>
      <c r="J135" s="449">
        <v>2</v>
      </c>
      <c r="K135" s="449">
        <v>2</v>
      </c>
      <c r="L135" s="449">
        <v>2</v>
      </c>
      <c r="M135" s="449">
        <v>2</v>
      </c>
      <c r="N135" s="449">
        <v>2</v>
      </c>
      <c r="O135" s="449">
        <v>2</v>
      </c>
      <c r="P135" s="449">
        <v>2</v>
      </c>
      <c r="Q135" s="436">
        <v>2</v>
      </c>
      <c r="R135" s="436">
        <v>2</v>
      </c>
      <c r="S135" s="449">
        <v>2</v>
      </c>
      <c r="T135" s="449">
        <v>2</v>
      </c>
      <c r="U135" s="449">
        <v>2</v>
      </c>
      <c r="V135" s="449">
        <v>2</v>
      </c>
      <c r="W135" s="449">
        <v>2</v>
      </c>
      <c r="X135" s="449">
        <v>2</v>
      </c>
      <c r="Y135" s="449">
        <v>2</v>
      </c>
      <c r="Z135" s="436">
        <v>2</v>
      </c>
      <c r="AA135" s="436">
        <v>3</v>
      </c>
      <c r="AB135" s="449">
        <v>2</v>
      </c>
      <c r="AC135" s="436">
        <v>2</v>
      </c>
      <c r="AD135" s="429">
        <v>2</v>
      </c>
      <c r="AE135" s="409">
        <v>1</v>
      </c>
      <c r="AF135" s="420"/>
      <c r="AG135" s="326"/>
      <c r="AH135" s="326"/>
    </row>
    <row r="136" spans="1:34">
      <c r="A136" s="420"/>
      <c r="B136" s="409">
        <v>1</v>
      </c>
      <c r="C136" s="429">
        <v>2</v>
      </c>
      <c r="D136" s="436">
        <v>2</v>
      </c>
      <c r="E136" s="449">
        <v>2</v>
      </c>
      <c r="F136" s="436">
        <v>3</v>
      </c>
      <c r="G136" s="449">
        <v>2</v>
      </c>
      <c r="H136" s="462">
        <v>2</v>
      </c>
      <c r="I136" s="462">
        <v>2</v>
      </c>
      <c r="J136" s="462">
        <v>2</v>
      </c>
      <c r="K136" s="462">
        <v>2</v>
      </c>
      <c r="L136" s="462">
        <v>2</v>
      </c>
      <c r="M136" s="462">
        <v>2</v>
      </c>
      <c r="N136" s="462">
        <v>2</v>
      </c>
      <c r="O136" s="462">
        <v>2</v>
      </c>
      <c r="P136" s="462">
        <v>2</v>
      </c>
      <c r="Q136" s="462">
        <v>2</v>
      </c>
      <c r="R136" s="462">
        <v>2</v>
      </c>
      <c r="S136" s="462">
        <v>2</v>
      </c>
      <c r="T136" s="462">
        <v>2</v>
      </c>
      <c r="U136" s="462">
        <v>2</v>
      </c>
      <c r="V136" s="462">
        <v>2</v>
      </c>
      <c r="W136" s="462">
        <v>2</v>
      </c>
      <c r="X136" s="462">
        <v>2</v>
      </c>
      <c r="Y136" s="462">
        <v>2</v>
      </c>
      <c r="Z136" s="449">
        <v>2</v>
      </c>
      <c r="AA136" s="436">
        <v>3</v>
      </c>
      <c r="AB136" s="449">
        <v>2</v>
      </c>
      <c r="AC136" s="436">
        <v>2</v>
      </c>
      <c r="AD136" s="429">
        <v>2</v>
      </c>
      <c r="AE136" s="409">
        <v>1</v>
      </c>
      <c r="AF136" s="420"/>
      <c r="AG136" s="326"/>
      <c r="AH136" s="326"/>
    </row>
    <row r="137" spans="1:34">
      <c r="A137" s="420"/>
      <c r="B137" s="409">
        <v>1</v>
      </c>
      <c r="C137" s="429">
        <v>2</v>
      </c>
      <c r="D137" s="436">
        <v>2</v>
      </c>
      <c r="E137" s="449">
        <v>2</v>
      </c>
      <c r="F137" s="436">
        <v>3</v>
      </c>
      <c r="G137" s="449">
        <v>2</v>
      </c>
      <c r="H137" s="462">
        <v>2</v>
      </c>
      <c r="I137" s="410">
        <v>1</v>
      </c>
      <c r="J137" s="410">
        <v>1</v>
      </c>
      <c r="K137" s="410">
        <v>1</v>
      </c>
      <c r="L137" s="410">
        <v>1</v>
      </c>
      <c r="M137" s="410">
        <v>1</v>
      </c>
      <c r="N137" s="410">
        <v>1</v>
      </c>
      <c r="O137" s="410">
        <v>1</v>
      </c>
      <c r="P137" s="410">
        <v>1</v>
      </c>
      <c r="Q137" s="410">
        <v>1</v>
      </c>
      <c r="R137" s="410">
        <v>1</v>
      </c>
      <c r="S137" s="410">
        <v>1</v>
      </c>
      <c r="T137" s="410">
        <v>1</v>
      </c>
      <c r="U137" s="410">
        <v>1</v>
      </c>
      <c r="V137" s="410">
        <v>1</v>
      </c>
      <c r="W137" s="410">
        <v>1</v>
      </c>
      <c r="X137" s="462">
        <v>1</v>
      </c>
      <c r="Y137" s="462">
        <v>2</v>
      </c>
      <c r="Z137" s="449">
        <v>2</v>
      </c>
      <c r="AA137" s="436">
        <v>3</v>
      </c>
      <c r="AB137" s="449">
        <v>2</v>
      </c>
      <c r="AC137" s="436">
        <v>2</v>
      </c>
      <c r="AD137" s="429">
        <v>2</v>
      </c>
      <c r="AE137" s="409">
        <v>1</v>
      </c>
      <c r="AF137" s="420"/>
      <c r="AG137" s="326"/>
      <c r="AH137" s="326"/>
    </row>
    <row r="138" spans="1:34">
      <c r="A138" s="420"/>
      <c r="B138" s="409">
        <v>1</v>
      </c>
      <c r="C138" s="429">
        <v>2</v>
      </c>
      <c r="D138" s="436">
        <v>2</v>
      </c>
      <c r="E138" s="449">
        <v>2</v>
      </c>
      <c r="F138" s="436">
        <v>3</v>
      </c>
      <c r="G138" s="449">
        <v>2</v>
      </c>
      <c r="H138" s="462">
        <v>2</v>
      </c>
      <c r="I138" s="410">
        <v>1</v>
      </c>
      <c r="J138" s="449">
        <v>2</v>
      </c>
      <c r="K138" s="449">
        <v>2</v>
      </c>
      <c r="L138" s="449">
        <v>2</v>
      </c>
      <c r="M138" s="449">
        <v>2</v>
      </c>
      <c r="N138" s="449">
        <v>2</v>
      </c>
      <c r="O138" s="449">
        <v>2</v>
      </c>
      <c r="P138" s="449">
        <v>2</v>
      </c>
      <c r="Q138" s="449">
        <v>2</v>
      </c>
      <c r="R138" s="449">
        <v>2</v>
      </c>
      <c r="S138" s="449">
        <v>2</v>
      </c>
      <c r="T138" s="449">
        <v>2</v>
      </c>
      <c r="U138" s="449">
        <v>2</v>
      </c>
      <c r="V138" s="449">
        <v>2</v>
      </c>
      <c r="W138" s="449">
        <v>2</v>
      </c>
      <c r="X138" s="410">
        <v>1</v>
      </c>
      <c r="Y138" s="462">
        <v>2</v>
      </c>
      <c r="Z138" s="449">
        <v>2</v>
      </c>
      <c r="AA138" s="436">
        <v>3</v>
      </c>
      <c r="AB138" s="449">
        <v>2</v>
      </c>
      <c r="AC138" s="436">
        <v>2</v>
      </c>
      <c r="AD138" s="429">
        <v>2</v>
      </c>
      <c r="AE138" s="409">
        <v>1</v>
      </c>
      <c r="AF138" s="420"/>
      <c r="AG138" s="326"/>
      <c r="AH138" s="326"/>
    </row>
    <row r="139" spans="1:34">
      <c r="A139" s="420"/>
      <c r="B139" s="409">
        <v>1</v>
      </c>
      <c r="C139" s="429">
        <v>2</v>
      </c>
      <c r="D139" s="436">
        <v>2</v>
      </c>
      <c r="E139" s="449">
        <v>2</v>
      </c>
      <c r="F139" s="436">
        <v>3</v>
      </c>
      <c r="G139" s="449">
        <v>2</v>
      </c>
      <c r="H139" s="462">
        <v>2</v>
      </c>
      <c r="I139" s="410">
        <v>1</v>
      </c>
      <c r="J139" s="449">
        <v>2</v>
      </c>
      <c r="K139" s="449">
        <v>3</v>
      </c>
      <c r="L139" s="449">
        <v>3</v>
      </c>
      <c r="M139" s="449">
        <v>3</v>
      </c>
      <c r="N139" s="449">
        <v>3</v>
      </c>
      <c r="O139" s="449">
        <v>3</v>
      </c>
      <c r="P139" s="449">
        <v>3</v>
      </c>
      <c r="Q139" s="449">
        <v>3</v>
      </c>
      <c r="R139" s="449">
        <v>3</v>
      </c>
      <c r="S139" s="449">
        <v>3</v>
      </c>
      <c r="T139" s="449">
        <v>3</v>
      </c>
      <c r="U139" s="449">
        <v>3</v>
      </c>
      <c r="V139" s="449">
        <v>3</v>
      </c>
      <c r="W139" s="449">
        <v>2</v>
      </c>
      <c r="X139" s="410">
        <v>1</v>
      </c>
      <c r="Y139" s="462">
        <v>2</v>
      </c>
      <c r="Z139" s="449">
        <v>2</v>
      </c>
      <c r="AA139" s="436">
        <v>3</v>
      </c>
      <c r="AB139" s="449">
        <v>2</v>
      </c>
      <c r="AC139" s="436">
        <v>2</v>
      </c>
      <c r="AD139" s="429">
        <v>2</v>
      </c>
      <c r="AE139" s="409">
        <v>1</v>
      </c>
      <c r="AF139" s="420"/>
      <c r="AG139" s="326"/>
      <c r="AH139" s="326"/>
    </row>
    <row r="140" spans="1:34">
      <c r="A140" s="420"/>
      <c r="B140" s="409">
        <v>1</v>
      </c>
      <c r="C140" s="429">
        <v>2</v>
      </c>
      <c r="D140" s="436">
        <v>2</v>
      </c>
      <c r="E140" s="449">
        <v>2</v>
      </c>
      <c r="F140" s="436">
        <v>3</v>
      </c>
      <c r="G140" s="449">
        <v>2</v>
      </c>
      <c r="H140" s="462">
        <v>2</v>
      </c>
      <c r="I140" s="410">
        <v>1</v>
      </c>
      <c r="J140" s="449">
        <v>2</v>
      </c>
      <c r="K140" s="449">
        <v>3</v>
      </c>
      <c r="L140" s="410">
        <v>1</v>
      </c>
      <c r="M140" s="410">
        <v>1</v>
      </c>
      <c r="N140" s="410">
        <v>1</v>
      </c>
      <c r="O140" s="410">
        <v>1</v>
      </c>
      <c r="P140" s="410">
        <v>1</v>
      </c>
      <c r="Q140" s="410">
        <v>1</v>
      </c>
      <c r="R140" s="410">
        <v>1</v>
      </c>
      <c r="S140" s="410">
        <v>1</v>
      </c>
      <c r="T140" s="410">
        <v>1</v>
      </c>
      <c r="U140" s="410">
        <v>1</v>
      </c>
      <c r="V140" s="449">
        <v>3</v>
      </c>
      <c r="W140" s="449">
        <v>2</v>
      </c>
      <c r="X140" s="410">
        <v>1</v>
      </c>
      <c r="Y140" s="462">
        <v>2</v>
      </c>
      <c r="Z140" s="449">
        <v>2</v>
      </c>
      <c r="AA140" s="436">
        <v>3</v>
      </c>
      <c r="AB140" s="449">
        <v>2</v>
      </c>
      <c r="AC140" s="436">
        <v>2</v>
      </c>
      <c r="AD140" s="429">
        <v>2</v>
      </c>
      <c r="AE140" s="409">
        <v>1</v>
      </c>
      <c r="AF140" s="420"/>
      <c r="AG140" s="326"/>
      <c r="AH140" s="326"/>
    </row>
    <row r="141" spans="1:34">
      <c r="A141" s="420"/>
      <c r="B141" s="409">
        <v>1</v>
      </c>
      <c r="C141" s="429">
        <v>2</v>
      </c>
      <c r="D141" s="436">
        <v>2</v>
      </c>
      <c r="E141" s="449">
        <v>2</v>
      </c>
      <c r="F141" s="436">
        <v>3</v>
      </c>
      <c r="G141" s="449">
        <v>2</v>
      </c>
      <c r="H141" s="462">
        <v>2</v>
      </c>
      <c r="I141" s="410">
        <v>1</v>
      </c>
      <c r="J141" s="449">
        <v>2</v>
      </c>
      <c r="K141" s="449">
        <v>3</v>
      </c>
      <c r="L141" s="410">
        <v>1</v>
      </c>
      <c r="M141" s="410">
        <v>1</v>
      </c>
      <c r="N141" s="410">
        <v>1</v>
      </c>
      <c r="O141" s="410">
        <v>1</v>
      </c>
      <c r="P141" s="410">
        <v>1</v>
      </c>
      <c r="Q141" s="410">
        <v>1</v>
      </c>
      <c r="R141" s="410">
        <v>1</v>
      </c>
      <c r="S141" s="410">
        <v>1</v>
      </c>
      <c r="T141" s="464"/>
      <c r="U141" s="410">
        <v>1</v>
      </c>
      <c r="V141" s="449">
        <v>3</v>
      </c>
      <c r="W141" s="449">
        <v>2</v>
      </c>
      <c r="X141" s="410">
        <v>1</v>
      </c>
      <c r="Y141" s="462">
        <v>2</v>
      </c>
      <c r="Z141" s="449">
        <v>2</v>
      </c>
      <c r="AA141" s="436">
        <v>3</v>
      </c>
      <c r="AB141" s="449">
        <v>2</v>
      </c>
      <c r="AC141" s="436">
        <v>2</v>
      </c>
      <c r="AD141" s="429">
        <v>2</v>
      </c>
      <c r="AE141" s="409">
        <v>1</v>
      </c>
      <c r="AF141" s="420"/>
      <c r="AG141" s="326"/>
      <c r="AH141" s="326"/>
    </row>
    <row r="142" spans="1:34">
      <c r="A142" s="420"/>
      <c r="B142" s="409">
        <v>1</v>
      </c>
      <c r="C142" s="429">
        <v>2</v>
      </c>
      <c r="D142" s="436">
        <v>2</v>
      </c>
      <c r="E142" s="449">
        <v>2</v>
      </c>
      <c r="F142" s="436">
        <v>3</v>
      </c>
      <c r="G142" s="449">
        <v>2</v>
      </c>
      <c r="H142" s="462">
        <v>2</v>
      </c>
      <c r="I142" s="410">
        <v>1</v>
      </c>
      <c r="J142" s="449">
        <v>2</v>
      </c>
      <c r="K142" s="449">
        <v>3</v>
      </c>
      <c r="L142" s="410">
        <v>1</v>
      </c>
      <c r="M142" s="410">
        <v>1</v>
      </c>
      <c r="N142" s="410">
        <v>2</v>
      </c>
      <c r="O142" s="410">
        <v>2</v>
      </c>
      <c r="P142" s="410">
        <v>2</v>
      </c>
      <c r="Q142" s="410">
        <v>2</v>
      </c>
      <c r="R142" s="410">
        <v>2</v>
      </c>
      <c r="S142" s="410">
        <v>2</v>
      </c>
      <c r="T142" s="452"/>
      <c r="U142" s="410">
        <v>1</v>
      </c>
      <c r="V142" s="449">
        <v>3</v>
      </c>
      <c r="W142" s="449">
        <v>2</v>
      </c>
      <c r="X142" s="410">
        <v>1</v>
      </c>
      <c r="Y142" s="462">
        <v>2</v>
      </c>
      <c r="Z142" s="449">
        <v>2</v>
      </c>
      <c r="AA142" s="436">
        <v>3</v>
      </c>
      <c r="AB142" s="449">
        <v>2</v>
      </c>
      <c r="AC142" s="436">
        <v>2</v>
      </c>
      <c r="AD142" s="429">
        <v>2</v>
      </c>
      <c r="AE142" s="409">
        <v>1</v>
      </c>
      <c r="AF142" s="420"/>
      <c r="AG142" s="326"/>
      <c r="AH142" s="326"/>
    </row>
    <row r="143" spans="1:34">
      <c r="A143" s="420"/>
      <c r="B143" s="409">
        <v>1</v>
      </c>
      <c r="C143" s="429">
        <v>2</v>
      </c>
      <c r="D143" s="436">
        <v>2</v>
      </c>
      <c r="E143" s="449">
        <v>2</v>
      </c>
      <c r="F143" s="436">
        <v>3</v>
      </c>
      <c r="G143" s="436">
        <v>2</v>
      </c>
      <c r="H143" s="462">
        <v>2</v>
      </c>
      <c r="I143" s="410">
        <v>1</v>
      </c>
      <c r="J143" s="449">
        <v>2</v>
      </c>
      <c r="K143" s="449">
        <v>3</v>
      </c>
      <c r="L143" s="410">
        <v>1</v>
      </c>
      <c r="M143" s="410">
        <v>1</v>
      </c>
      <c r="N143" s="410">
        <v>2</v>
      </c>
      <c r="O143" s="410">
        <v>2</v>
      </c>
      <c r="P143" s="410">
        <v>2</v>
      </c>
      <c r="Q143" s="410">
        <v>2</v>
      </c>
      <c r="R143" s="410">
        <v>2</v>
      </c>
      <c r="S143" s="410">
        <v>2</v>
      </c>
      <c r="T143" s="464"/>
      <c r="U143" s="410">
        <v>1</v>
      </c>
      <c r="V143" s="449">
        <v>3</v>
      </c>
      <c r="W143" s="449">
        <v>2</v>
      </c>
      <c r="X143" s="410">
        <v>1</v>
      </c>
      <c r="Y143" s="462">
        <v>2</v>
      </c>
      <c r="Z143" s="449">
        <v>2</v>
      </c>
      <c r="AA143" s="436">
        <v>3</v>
      </c>
      <c r="AB143" s="449">
        <v>2</v>
      </c>
      <c r="AC143" s="436">
        <v>2</v>
      </c>
      <c r="AD143" s="429">
        <v>2</v>
      </c>
      <c r="AE143" s="409">
        <v>1</v>
      </c>
      <c r="AF143" s="420"/>
      <c r="AG143" s="326"/>
      <c r="AH143" s="326"/>
    </row>
    <row r="144" spans="1:34">
      <c r="A144" s="420"/>
      <c r="B144" s="409">
        <v>1</v>
      </c>
      <c r="C144" s="429">
        <v>2</v>
      </c>
      <c r="D144" s="436">
        <v>2</v>
      </c>
      <c r="E144" s="449">
        <v>2</v>
      </c>
      <c r="F144" s="436">
        <v>3</v>
      </c>
      <c r="G144" s="436">
        <v>2</v>
      </c>
      <c r="H144" s="462">
        <v>2</v>
      </c>
      <c r="I144" s="410">
        <v>1</v>
      </c>
      <c r="J144" s="449">
        <v>2</v>
      </c>
      <c r="K144" s="449">
        <v>3</v>
      </c>
      <c r="L144" s="410">
        <v>1</v>
      </c>
      <c r="M144" s="410">
        <v>1</v>
      </c>
      <c r="N144" s="410">
        <v>2</v>
      </c>
      <c r="O144" s="410">
        <v>2</v>
      </c>
      <c r="P144" s="452">
        <v>1</v>
      </c>
      <c r="Q144" s="464">
        <v>1</v>
      </c>
      <c r="R144" s="410">
        <v>2</v>
      </c>
      <c r="S144" s="410">
        <v>2</v>
      </c>
      <c r="T144" s="464"/>
      <c r="U144" s="410">
        <v>1</v>
      </c>
      <c r="V144" s="449">
        <v>3</v>
      </c>
      <c r="W144" s="449">
        <v>2</v>
      </c>
      <c r="X144" s="410">
        <v>1</v>
      </c>
      <c r="Y144" s="462">
        <v>2</v>
      </c>
      <c r="Z144" s="436">
        <v>2</v>
      </c>
      <c r="AA144" s="436">
        <v>3</v>
      </c>
      <c r="AB144" s="449">
        <v>2</v>
      </c>
      <c r="AC144" s="436">
        <v>2</v>
      </c>
      <c r="AD144" s="429">
        <v>2</v>
      </c>
      <c r="AE144" s="409">
        <v>1</v>
      </c>
      <c r="AF144" s="420"/>
      <c r="AG144" s="326"/>
      <c r="AH144" s="326"/>
    </row>
    <row r="145" spans="1:34">
      <c r="A145" s="420"/>
      <c r="B145" s="409">
        <v>1</v>
      </c>
      <c r="C145" s="429">
        <v>2</v>
      </c>
      <c r="D145" s="436">
        <v>2</v>
      </c>
      <c r="E145" s="449">
        <v>2</v>
      </c>
      <c r="F145" s="436">
        <v>3</v>
      </c>
      <c r="G145" s="449">
        <v>2</v>
      </c>
      <c r="H145" s="462">
        <v>2</v>
      </c>
      <c r="I145" s="410">
        <v>1</v>
      </c>
      <c r="J145" s="449">
        <v>2</v>
      </c>
      <c r="K145" s="449">
        <v>3</v>
      </c>
      <c r="L145" s="410">
        <v>1</v>
      </c>
      <c r="M145" s="410">
        <v>1</v>
      </c>
      <c r="N145" s="410">
        <v>2</v>
      </c>
      <c r="O145" s="410">
        <v>2</v>
      </c>
      <c r="P145" s="464">
        <v>1</v>
      </c>
      <c r="Q145" s="464">
        <v>1</v>
      </c>
      <c r="R145" s="410">
        <v>2</v>
      </c>
      <c r="S145" s="410">
        <v>2</v>
      </c>
      <c r="T145" s="452"/>
      <c r="U145" s="410">
        <v>1</v>
      </c>
      <c r="V145" s="449">
        <v>3</v>
      </c>
      <c r="W145" s="449">
        <v>2</v>
      </c>
      <c r="X145" s="410">
        <v>1</v>
      </c>
      <c r="Y145" s="462">
        <v>2</v>
      </c>
      <c r="Z145" s="436">
        <v>2</v>
      </c>
      <c r="AA145" s="436">
        <v>3</v>
      </c>
      <c r="AB145" s="449">
        <v>2</v>
      </c>
      <c r="AC145" s="436">
        <v>2</v>
      </c>
      <c r="AD145" s="429">
        <v>2</v>
      </c>
      <c r="AE145" s="409">
        <v>1</v>
      </c>
      <c r="AF145" s="420"/>
      <c r="AG145" s="326"/>
      <c r="AH145" s="326"/>
    </row>
    <row r="146" spans="1:34">
      <c r="A146" s="420"/>
      <c r="B146" s="409">
        <v>1</v>
      </c>
      <c r="C146" s="429">
        <v>2</v>
      </c>
      <c r="D146" s="436">
        <v>2</v>
      </c>
      <c r="E146" s="449">
        <v>2</v>
      </c>
      <c r="F146" s="436">
        <v>3</v>
      </c>
      <c r="G146" s="449">
        <v>2</v>
      </c>
      <c r="H146" s="462">
        <v>2</v>
      </c>
      <c r="I146" s="410">
        <v>1</v>
      </c>
      <c r="J146" s="449">
        <v>2</v>
      </c>
      <c r="K146" s="449">
        <v>3</v>
      </c>
      <c r="L146" s="410">
        <v>1</v>
      </c>
      <c r="M146" s="410">
        <v>1</v>
      </c>
      <c r="N146" s="410">
        <v>2</v>
      </c>
      <c r="O146" s="410">
        <v>2</v>
      </c>
      <c r="P146" s="410">
        <v>2</v>
      </c>
      <c r="Q146" s="410">
        <v>2</v>
      </c>
      <c r="R146" s="410">
        <v>2</v>
      </c>
      <c r="S146" s="410">
        <v>2</v>
      </c>
      <c r="T146" s="464"/>
      <c r="U146" s="410">
        <v>1</v>
      </c>
      <c r="V146" s="449">
        <v>3</v>
      </c>
      <c r="W146" s="449">
        <v>2</v>
      </c>
      <c r="X146" s="410">
        <v>1</v>
      </c>
      <c r="Y146" s="462">
        <v>2</v>
      </c>
      <c r="Z146" s="449">
        <v>2</v>
      </c>
      <c r="AA146" s="436">
        <v>3</v>
      </c>
      <c r="AB146" s="449">
        <v>2</v>
      </c>
      <c r="AC146" s="436">
        <v>2</v>
      </c>
      <c r="AD146" s="429">
        <v>2</v>
      </c>
      <c r="AE146" s="409">
        <v>1</v>
      </c>
      <c r="AF146" s="420"/>
      <c r="AG146" s="326"/>
      <c r="AH146" s="326"/>
    </row>
    <row r="147" spans="1:34">
      <c r="A147" s="420"/>
      <c r="B147" s="409">
        <v>1</v>
      </c>
      <c r="C147" s="429">
        <v>2</v>
      </c>
      <c r="D147" s="436">
        <v>2</v>
      </c>
      <c r="E147" s="449">
        <v>2</v>
      </c>
      <c r="F147" s="436">
        <v>3</v>
      </c>
      <c r="G147" s="449">
        <v>2</v>
      </c>
      <c r="H147" s="462">
        <v>2</v>
      </c>
      <c r="I147" s="410">
        <v>1</v>
      </c>
      <c r="J147" s="449">
        <v>2</v>
      </c>
      <c r="K147" s="449">
        <v>3</v>
      </c>
      <c r="L147" s="410">
        <v>1</v>
      </c>
      <c r="M147" s="410">
        <v>1</v>
      </c>
      <c r="N147" s="410">
        <v>2</v>
      </c>
      <c r="O147" s="410">
        <v>2</v>
      </c>
      <c r="P147" s="410">
        <v>2</v>
      </c>
      <c r="Q147" s="410">
        <v>2</v>
      </c>
      <c r="R147" s="410">
        <v>2</v>
      </c>
      <c r="S147" s="410">
        <v>2</v>
      </c>
      <c r="T147" s="458"/>
      <c r="U147" s="410">
        <v>1</v>
      </c>
      <c r="V147" s="449">
        <v>3</v>
      </c>
      <c r="W147" s="449">
        <v>2</v>
      </c>
      <c r="X147" s="410">
        <v>1</v>
      </c>
      <c r="Y147" s="462">
        <v>2</v>
      </c>
      <c r="Z147" s="449">
        <v>2</v>
      </c>
      <c r="AA147" s="436">
        <v>3</v>
      </c>
      <c r="AB147" s="449">
        <v>2</v>
      </c>
      <c r="AC147" s="436">
        <v>2</v>
      </c>
      <c r="AD147" s="429">
        <v>2</v>
      </c>
      <c r="AE147" s="409">
        <v>1</v>
      </c>
      <c r="AF147" s="420"/>
      <c r="AG147" s="326"/>
      <c r="AH147" s="326"/>
    </row>
    <row r="148" spans="1:34">
      <c r="A148" s="420"/>
      <c r="B148" s="409">
        <v>1</v>
      </c>
      <c r="C148" s="429">
        <v>2</v>
      </c>
      <c r="D148" s="436">
        <v>2</v>
      </c>
      <c r="E148" s="449">
        <v>2</v>
      </c>
      <c r="F148" s="436">
        <v>3</v>
      </c>
      <c r="G148" s="449">
        <v>2</v>
      </c>
      <c r="H148" s="462">
        <v>2</v>
      </c>
      <c r="I148" s="410">
        <v>1</v>
      </c>
      <c r="J148" s="449">
        <v>2</v>
      </c>
      <c r="K148" s="449">
        <v>3</v>
      </c>
      <c r="L148" s="410">
        <v>1</v>
      </c>
      <c r="M148" s="464"/>
      <c r="N148" s="452"/>
      <c r="O148" s="464"/>
      <c r="P148" s="464"/>
      <c r="Q148" s="452"/>
      <c r="R148" s="464"/>
      <c r="S148" s="458"/>
      <c r="T148" s="451"/>
      <c r="U148" s="410">
        <v>1</v>
      </c>
      <c r="V148" s="449">
        <v>3</v>
      </c>
      <c r="W148" s="449">
        <v>2</v>
      </c>
      <c r="X148" s="410">
        <v>1</v>
      </c>
      <c r="Y148" s="462">
        <v>2</v>
      </c>
      <c r="Z148" s="449">
        <v>2</v>
      </c>
      <c r="AA148" s="436">
        <v>3</v>
      </c>
      <c r="AB148" s="449">
        <v>2</v>
      </c>
      <c r="AC148" s="436">
        <v>2</v>
      </c>
      <c r="AD148" s="429">
        <v>2</v>
      </c>
      <c r="AE148" s="409">
        <v>1</v>
      </c>
      <c r="AF148" s="420"/>
      <c r="AG148" s="326"/>
      <c r="AH148" s="326"/>
    </row>
    <row r="149" spans="1:34">
      <c r="AF149" s="79"/>
      <c r="AG149" s="326"/>
      <c r="AH149" s="326">
        <v>12</v>
      </c>
    </row>
    <row r="150" spans="1:34">
      <c r="AF150" s="79"/>
      <c r="AG150" s="326"/>
      <c r="AH150" s="326">
        <v>11</v>
      </c>
    </row>
    <row r="151" spans="1:34">
      <c r="AF151" s="79"/>
      <c r="AG151" s="326"/>
      <c r="AH151" s="326">
        <v>10</v>
      </c>
    </row>
    <row r="152" spans="1:34">
      <c r="AF152" s="79"/>
      <c r="AG152" s="326"/>
      <c r="AH152" s="326">
        <v>9</v>
      </c>
    </row>
    <row r="153" spans="1:34">
      <c r="AF153" s="79"/>
      <c r="AG153" s="326"/>
      <c r="AH153" s="326">
        <v>8</v>
      </c>
    </row>
    <row r="154" spans="1:34">
      <c r="AF154" s="79"/>
      <c r="AG154" s="326"/>
      <c r="AH154" s="326">
        <v>7</v>
      </c>
    </row>
    <row r="155" spans="1:34">
      <c r="AF155" s="79"/>
      <c r="AG155" s="326"/>
      <c r="AH155" s="326">
        <v>6</v>
      </c>
    </row>
    <row r="156" spans="1:34">
      <c r="AF156" s="79"/>
      <c r="AG156" s="326"/>
      <c r="AH156" s="326">
        <v>5</v>
      </c>
    </row>
    <row r="157" spans="1:34">
      <c r="AF157" s="79"/>
      <c r="AG157" s="326"/>
      <c r="AH157" s="326">
        <v>4</v>
      </c>
    </row>
    <row r="158" spans="1:34">
      <c r="AF158" s="79"/>
      <c r="AG158" s="326"/>
      <c r="AH158" s="326">
        <v>3</v>
      </c>
    </row>
    <row r="159" spans="1:34">
      <c r="AF159" s="79"/>
      <c r="AG159" s="326"/>
      <c r="AH159" s="326">
        <v>2</v>
      </c>
    </row>
    <row r="160" spans="1:34">
      <c r="A160" s="73"/>
      <c r="B160" s="73"/>
      <c r="C160" s="73"/>
      <c r="D160" s="73"/>
      <c r="E160" s="73"/>
      <c r="F160" s="73"/>
      <c r="G160" s="73"/>
      <c r="H160" s="73"/>
      <c r="I160" s="73"/>
      <c r="J160" s="73"/>
      <c r="K160" s="73"/>
      <c r="L160" s="73"/>
      <c r="M160" s="73"/>
      <c r="N160" s="73"/>
      <c r="O160" s="73"/>
      <c r="P160" s="73"/>
      <c r="Q160" s="73"/>
      <c r="R160" s="73"/>
      <c r="S160" s="73"/>
      <c r="T160" s="73"/>
      <c r="U160" s="73"/>
      <c r="V160" s="73"/>
      <c r="W160" s="73"/>
      <c r="X160" s="73"/>
      <c r="Y160" s="73"/>
      <c r="Z160" s="73"/>
      <c r="AA160" s="73"/>
      <c r="AB160" s="73"/>
      <c r="AC160" s="73"/>
      <c r="AD160" s="73"/>
      <c r="AE160" s="73"/>
      <c r="AF160" s="701"/>
      <c r="AG160" s="326"/>
      <c r="AH160" s="326">
        <v>1</v>
      </c>
    </row>
    <row r="161" spans="1:34">
      <c r="A161" s="404"/>
      <c r="B161" s="400">
        <v>1</v>
      </c>
      <c r="C161" s="400">
        <v>2</v>
      </c>
      <c r="D161" s="411">
        <v>3</v>
      </c>
      <c r="E161" s="452">
        <v>3</v>
      </c>
      <c r="F161" s="432">
        <v>3</v>
      </c>
      <c r="G161" s="400">
        <v>1</v>
      </c>
      <c r="H161" s="400">
        <v>1</v>
      </c>
      <c r="I161" s="400">
        <v>1</v>
      </c>
      <c r="J161" s="400">
        <v>1</v>
      </c>
      <c r="K161" s="400">
        <v>1</v>
      </c>
      <c r="L161" s="400">
        <v>1</v>
      </c>
      <c r="M161" s="400">
        <v>1</v>
      </c>
      <c r="N161" s="400">
        <v>1</v>
      </c>
      <c r="O161" s="400">
        <v>1</v>
      </c>
      <c r="P161" s="400">
        <v>1</v>
      </c>
      <c r="Q161" s="400">
        <v>1</v>
      </c>
      <c r="R161" s="400">
        <v>1</v>
      </c>
      <c r="S161" s="400">
        <v>1</v>
      </c>
      <c r="T161" s="400">
        <v>1</v>
      </c>
      <c r="U161" s="400">
        <v>1</v>
      </c>
      <c r="V161" s="400">
        <v>1</v>
      </c>
      <c r="W161" s="400">
        <v>1</v>
      </c>
      <c r="X161" s="400">
        <v>1</v>
      </c>
      <c r="Y161" s="400">
        <v>1</v>
      </c>
      <c r="Z161" s="400">
        <v>1</v>
      </c>
      <c r="AA161" s="411">
        <v>3</v>
      </c>
      <c r="AB161" s="452">
        <v>3</v>
      </c>
      <c r="AC161" s="432">
        <v>3</v>
      </c>
      <c r="AD161" s="400">
        <v>2</v>
      </c>
      <c r="AE161" s="400">
        <v>1</v>
      </c>
      <c r="AF161" s="405"/>
      <c r="AG161" s="400">
        <v>4</v>
      </c>
      <c r="AH161" s="489"/>
    </row>
    <row r="162" spans="1:34">
      <c r="A162" s="93"/>
      <c r="B162" s="93"/>
      <c r="C162" s="93"/>
      <c r="D162" s="93"/>
      <c r="E162" s="93"/>
      <c r="F162" s="93"/>
      <c r="G162" s="93"/>
      <c r="H162" s="93"/>
      <c r="I162" s="93"/>
      <c r="J162" s="93"/>
      <c r="K162" s="93"/>
      <c r="L162" s="93"/>
      <c r="M162" s="93"/>
      <c r="N162" s="93"/>
      <c r="O162" s="93"/>
      <c r="P162" s="93"/>
      <c r="Q162" s="93"/>
      <c r="R162" s="93"/>
      <c r="S162" s="93"/>
      <c r="T162" s="93"/>
      <c r="U162" s="93"/>
      <c r="V162" s="93"/>
      <c r="W162" s="93"/>
      <c r="X162" s="93"/>
      <c r="Y162" s="93"/>
      <c r="Z162" s="93"/>
      <c r="AA162" s="93"/>
      <c r="AB162" s="93"/>
      <c r="AC162" s="93"/>
      <c r="AD162" s="93"/>
      <c r="AE162" s="93"/>
      <c r="AF162" s="79"/>
      <c r="AG162" s="400"/>
      <c r="AH162" s="326">
        <v>1</v>
      </c>
    </row>
    <row r="163" spans="1:34">
      <c r="A163" s="409">
        <v>2</v>
      </c>
      <c r="B163" s="409">
        <v>2</v>
      </c>
      <c r="C163" s="409">
        <v>2</v>
      </c>
      <c r="D163" s="411">
        <v>3</v>
      </c>
      <c r="E163" s="452">
        <v>3</v>
      </c>
      <c r="F163" s="432">
        <v>3</v>
      </c>
      <c r="G163" s="409">
        <v>2</v>
      </c>
      <c r="H163" s="409">
        <v>2</v>
      </c>
      <c r="I163" s="409">
        <v>2</v>
      </c>
      <c r="J163" s="409">
        <v>2</v>
      </c>
      <c r="K163" s="409">
        <v>2</v>
      </c>
      <c r="L163" s="409">
        <v>2</v>
      </c>
      <c r="M163" s="409">
        <v>2</v>
      </c>
      <c r="N163" s="409">
        <v>2</v>
      </c>
      <c r="O163" s="409">
        <v>2</v>
      </c>
      <c r="P163" s="409">
        <v>2</v>
      </c>
      <c r="Q163" s="409">
        <v>2</v>
      </c>
      <c r="R163" s="409">
        <v>2</v>
      </c>
      <c r="S163" s="409">
        <v>2</v>
      </c>
      <c r="T163" s="409">
        <v>2</v>
      </c>
      <c r="U163" s="409">
        <v>2</v>
      </c>
      <c r="V163" s="409">
        <v>2</v>
      </c>
      <c r="W163" s="409">
        <v>2</v>
      </c>
      <c r="X163" s="409">
        <v>2</v>
      </c>
      <c r="Y163" s="409">
        <v>2</v>
      </c>
      <c r="Z163" s="409">
        <v>2</v>
      </c>
      <c r="AA163" s="411">
        <v>3</v>
      </c>
      <c r="AB163" s="452">
        <v>3</v>
      </c>
      <c r="AC163" s="432">
        <v>3</v>
      </c>
      <c r="AD163" s="409">
        <v>2</v>
      </c>
      <c r="AE163" s="409">
        <v>2</v>
      </c>
      <c r="AF163" s="420">
        <v>2</v>
      </c>
      <c r="AG163" s="326"/>
      <c r="AH163" s="326"/>
    </row>
    <row r="164" spans="1:34">
      <c r="A164" s="409">
        <v>2</v>
      </c>
      <c r="B164" s="420">
        <v>2</v>
      </c>
      <c r="C164" s="420">
        <v>2</v>
      </c>
      <c r="D164" s="411">
        <v>3</v>
      </c>
      <c r="E164" s="452">
        <v>3</v>
      </c>
      <c r="F164" s="432">
        <v>3</v>
      </c>
      <c r="G164" s="420">
        <v>2</v>
      </c>
      <c r="H164" s="420">
        <v>2</v>
      </c>
      <c r="I164" s="420">
        <v>2</v>
      </c>
      <c r="J164" s="420">
        <v>2</v>
      </c>
      <c r="K164" s="420">
        <v>2</v>
      </c>
      <c r="L164" s="420">
        <v>2</v>
      </c>
      <c r="M164" s="420">
        <v>2</v>
      </c>
      <c r="N164" s="420">
        <v>2</v>
      </c>
      <c r="O164" s="420">
        <v>2</v>
      </c>
      <c r="P164" s="420">
        <v>2</v>
      </c>
      <c r="Q164" s="420">
        <v>2</v>
      </c>
      <c r="R164" s="420">
        <v>2</v>
      </c>
      <c r="S164" s="420">
        <v>2</v>
      </c>
      <c r="T164" s="420">
        <v>2</v>
      </c>
      <c r="U164" s="420">
        <v>2</v>
      </c>
      <c r="V164" s="420">
        <v>2</v>
      </c>
      <c r="W164" s="420">
        <v>2</v>
      </c>
      <c r="X164" s="420">
        <v>2</v>
      </c>
      <c r="Y164" s="420">
        <v>2</v>
      </c>
      <c r="Z164" s="420">
        <v>2</v>
      </c>
      <c r="AA164" s="411">
        <v>3</v>
      </c>
      <c r="AB164" s="452">
        <v>3</v>
      </c>
      <c r="AC164" s="432">
        <v>3</v>
      </c>
      <c r="AD164" s="420">
        <v>2</v>
      </c>
      <c r="AE164" s="420">
        <v>2</v>
      </c>
      <c r="AF164" s="420">
        <v>2</v>
      </c>
      <c r="AG164" s="326"/>
      <c r="AH164" s="326"/>
    </row>
    <row r="165" spans="1:34">
      <c r="A165" s="409">
        <v>2</v>
      </c>
      <c r="B165" s="420">
        <v>2</v>
      </c>
      <c r="C165" s="420">
        <v>2</v>
      </c>
      <c r="D165" s="411">
        <v>3</v>
      </c>
      <c r="E165" s="452">
        <v>3</v>
      </c>
      <c r="F165" s="432">
        <v>3</v>
      </c>
      <c r="G165" s="420">
        <v>2</v>
      </c>
      <c r="H165" s="420">
        <v>2</v>
      </c>
      <c r="I165" s="420">
        <v>2</v>
      </c>
      <c r="J165" s="420">
        <v>2</v>
      </c>
      <c r="K165" s="420">
        <v>2</v>
      </c>
      <c r="L165" s="420">
        <v>2</v>
      </c>
      <c r="M165" s="420">
        <v>2</v>
      </c>
      <c r="N165" s="420">
        <v>2</v>
      </c>
      <c r="O165" s="420">
        <v>2</v>
      </c>
      <c r="P165" s="420">
        <v>2</v>
      </c>
      <c r="Q165" s="420">
        <v>2</v>
      </c>
      <c r="R165" s="420">
        <v>2</v>
      </c>
      <c r="S165" s="409">
        <v>2</v>
      </c>
      <c r="T165" s="409">
        <v>2</v>
      </c>
      <c r="U165" s="409">
        <v>2</v>
      </c>
      <c r="V165" s="409">
        <v>2</v>
      </c>
      <c r="W165" s="409">
        <v>2</v>
      </c>
      <c r="X165" s="409">
        <v>2</v>
      </c>
      <c r="Y165" s="420">
        <v>2</v>
      </c>
      <c r="Z165" s="420">
        <v>2</v>
      </c>
      <c r="AA165" s="411">
        <v>3</v>
      </c>
      <c r="AB165" s="452">
        <v>3</v>
      </c>
      <c r="AC165" s="432">
        <v>3</v>
      </c>
      <c r="AD165" s="420">
        <v>2</v>
      </c>
      <c r="AE165" s="420">
        <v>2</v>
      </c>
      <c r="AF165" s="420">
        <v>2</v>
      </c>
      <c r="AG165" s="326"/>
      <c r="AH165" s="326"/>
    </row>
    <row r="166" spans="1:34">
      <c r="A166" s="420">
        <v>2</v>
      </c>
      <c r="B166" s="420">
        <v>2</v>
      </c>
      <c r="C166" s="420">
        <v>2</v>
      </c>
      <c r="D166" s="411">
        <v>3</v>
      </c>
      <c r="E166" s="452">
        <v>3</v>
      </c>
      <c r="F166" s="432">
        <v>3</v>
      </c>
      <c r="G166" s="420">
        <v>2</v>
      </c>
      <c r="H166" s="409">
        <v>2</v>
      </c>
      <c r="I166" s="409">
        <v>2</v>
      </c>
      <c r="J166" s="409">
        <v>2</v>
      </c>
      <c r="K166" s="409">
        <v>2</v>
      </c>
      <c r="L166" s="409">
        <v>2</v>
      </c>
      <c r="M166" s="409">
        <v>2</v>
      </c>
      <c r="N166" s="409">
        <v>2</v>
      </c>
      <c r="O166" s="409">
        <v>2</v>
      </c>
      <c r="P166" s="420">
        <v>2</v>
      </c>
      <c r="Q166" s="420">
        <v>2</v>
      </c>
      <c r="R166" s="420">
        <v>2</v>
      </c>
      <c r="S166" s="420">
        <v>2</v>
      </c>
      <c r="T166" s="420">
        <v>2</v>
      </c>
      <c r="U166" s="420">
        <v>2</v>
      </c>
      <c r="V166" s="420">
        <v>2</v>
      </c>
      <c r="W166" s="420">
        <v>2</v>
      </c>
      <c r="X166" s="420">
        <v>2</v>
      </c>
      <c r="Y166" s="420">
        <v>2</v>
      </c>
      <c r="Z166" s="420">
        <v>2</v>
      </c>
      <c r="AA166" s="411">
        <v>3</v>
      </c>
      <c r="AB166" s="452">
        <v>3</v>
      </c>
      <c r="AC166" s="432">
        <v>3</v>
      </c>
      <c r="AD166" s="420">
        <v>2</v>
      </c>
      <c r="AE166" s="420">
        <v>2</v>
      </c>
      <c r="AF166" s="420">
        <v>2</v>
      </c>
      <c r="AG166" s="326"/>
      <c r="AH166" s="326"/>
    </row>
    <row r="167" spans="1:34">
      <c r="A167" s="93"/>
      <c r="B167" s="93"/>
      <c r="C167" s="93"/>
      <c r="D167" s="93"/>
      <c r="E167" s="93"/>
      <c r="F167" s="93"/>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c r="AF167" s="79"/>
      <c r="AG167" s="326"/>
      <c r="AH167" s="326">
        <v>1</v>
      </c>
    </row>
    <row r="168" spans="1:34">
      <c r="A168" s="93"/>
      <c r="B168" s="93"/>
      <c r="C168" s="93"/>
      <c r="D168" s="93"/>
      <c r="E168" s="93"/>
      <c r="F168" s="93"/>
      <c r="G168" s="93"/>
      <c r="H168" s="93"/>
      <c r="I168" s="93"/>
      <c r="J168" s="93"/>
      <c r="K168" s="93"/>
      <c r="L168" s="93"/>
      <c r="M168" s="93"/>
      <c r="N168" s="93"/>
      <c r="O168" s="93"/>
      <c r="P168" s="93"/>
      <c r="Q168" s="93"/>
      <c r="R168" s="93"/>
      <c r="S168" s="93"/>
      <c r="T168" s="93"/>
      <c r="U168" s="93"/>
      <c r="V168" s="93"/>
      <c r="W168" s="93"/>
      <c r="X168" s="93"/>
      <c r="Y168" s="93"/>
      <c r="Z168" s="93"/>
      <c r="AA168" s="93"/>
      <c r="AB168" s="93"/>
      <c r="AC168" s="93"/>
      <c r="AD168" s="93"/>
      <c r="AE168" s="93"/>
      <c r="AF168" s="79"/>
      <c r="AG168" s="326"/>
      <c r="AH168" s="326">
        <v>1</v>
      </c>
    </row>
    <row r="169" spans="1:34">
      <c r="A169" s="93"/>
      <c r="B169" s="93"/>
      <c r="C169" s="93"/>
      <c r="D169" s="93"/>
      <c r="E169" s="93"/>
      <c r="F169" s="93"/>
      <c r="G169" s="93"/>
      <c r="H169" s="93"/>
      <c r="I169" s="93"/>
      <c r="J169" s="93"/>
      <c r="K169" s="93"/>
      <c r="L169" s="93"/>
      <c r="M169" s="93"/>
      <c r="N169" s="93"/>
      <c r="O169" s="93"/>
      <c r="P169" s="93"/>
      <c r="Q169" s="93"/>
      <c r="R169" s="93"/>
      <c r="S169" s="93"/>
      <c r="T169" s="93"/>
      <c r="U169" s="93"/>
      <c r="V169" s="93"/>
      <c r="W169" s="93"/>
      <c r="X169" s="93"/>
      <c r="Y169" s="93"/>
      <c r="Z169" s="93"/>
      <c r="AA169" s="93"/>
      <c r="AB169" s="93"/>
      <c r="AC169" s="93"/>
      <c r="AD169" s="93"/>
      <c r="AE169" s="93"/>
      <c r="AF169" s="79"/>
      <c r="AG169" s="326"/>
      <c r="AH169" s="326">
        <v>1</v>
      </c>
    </row>
    <row r="170" spans="1:34">
      <c r="A170" s="93"/>
      <c r="B170" s="93"/>
      <c r="C170" s="93"/>
      <c r="D170" s="93"/>
      <c r="E170" s="93"/>
      <c r="F170" s="93"/>
      <c r="G170" s="93"/>
      <c r="H170" s="93"/>
      <c r="I170" s="93"/>
      <c r="J170" s="93"/>
      <c r="K170" s="93"/>
      <c r="L170" s="93"/>
      <c r="M170" s="93"/>
      <c r="N170" s="93"/>
      <c r="O170" s="93"/>
      <c r="P170" s="93"/>
      <c r="Q170" s="93"/>
      <c r="R170" s="93"/>
      <c r="S170" s="93"/>
      <c r="T170" s="93"/>
      <c r="U170" s="93"/>
      <c r="V170" s="93"/>
      <c r="W170" s="93"/>
      <c r="X170" s="93"/>
      <c r="Y170" s="93"/>
      <c r="Z170" s="93"/>
      <c r="AA170" s="93"/>
      <c r="AB170" s="93"/>
      <c r="AC170" s="93"/>
      <c r="AD170" s="93"/>
      <c r="AE170" s="93"/>
      <c r="AF170" s="79"/>
      <c r="AG170" s="326"/>
      <c r="AH170" s="326">
        <v>1</v>
      </c>
    </row>
    <row r="171" spans="1:34">
      <c r="A171" s="93"/>
      <c r="B171" s="93"/>
      <c r="C171" s="93"/>
      <c r="D171" s="93"/>
      <c r="E171" s="93"/>
      <c r="F171" s="93"/>
      <c r="G171" s="93"/>
      <c r="H171" s="93"/>
      <c r="I171" s="93"/>
      <c r="J171" s="93"/>
      <c r="K171" s="93"/>
      <c r="L171" s="93"/>
      <c r="M171" s="93"/>
      <c r="N171" s="93"/>
      <c r="O171" s="93"/>
      <c r="P171" s="93"/>
      <c r="Q171" s="93"/>
      <c r="R171" s="93"/>
      <c r="S171" s="93"/>
      <c r="T171" s="93"/>
      <c r="U171" s="93"/>
      <c r="V171" s="93"/>
      <c r="W171" s="93"/>
      <c r="X171" s="93"/>
      <c r="Y171" s="93"/>
      <c r="Z171" s="93"/>
      <c r="AA171" s="93"/>
      <c r="AB171" s="93"/>
      <c r="AC171" s="93"/>
      <c r="AD171" s="93"/>
      <c r="AE171" s="93"/>
      <c r="AF171" s="79"/>
      <c r="AG171" s="326"/>
      <c r="AH171" s="326">
        <v>3</v>
      </c>
    </row>
    <row r="172" spans="1:34">
      <c r="A172" s="93"/>
      <c r="B172" s="93"/>
      <c r="C172" s="93"/>
      <c r="D172" s="93"/>
      <c r="E172" s="93"/>
      <c r="F172" s="93"/>
      <c r="G172" s="93"/>
      <c r="H172" s="93"/>
      <c r="I172" s="93"/>
      <c r="J172" s="93"/>
      <c r="K172" s="93"/>
      <c r="L172" s="93"/>
      <c r="M172" s="93"/>
      <c r="N172" s="93"/>
      <c r="O172" s="93"/>
      <c r="P172" s="93"/>
      <c r="Q172" s="93"/>
      <c r="R172" s="93"/>
      <c r="S172" s="93"/>
      <c r="T172" s="93"/>
      <c r="U172" s="93"/>
      <c r="V172" s="93"/>
      <c r="W172" s="93"/>
      <c r="X172" s="93"/>
      <c r="Y172" s="93"/>
      <c r="Z172" s="93"/>
      <c r="AA172" s="93"/>
      <c r="AB172" s="93"/>
      <c r="AC172" s="93"/>
      <c r="AD172" s="93"/>
      <c r="AE172" s="93"/>
      <c r="AF172" s="79"/>
      <c r="AG172" s="326"/>
      <c r="AH172" s="326">
        <v>4</v>
      </c>
    </row>
    <row r="173" spans="1:34">
      <c r="A173" s="409">
        <v>2</v>
      </c>
      <c r="B173" s="420">
        <v>2</v>
      </c>
      <c r="C173" s="420">
        <v>2</v>
      </c>
      <c r="D173" s="411">
        <v>3</v>
      </c>
      <c r="E173" s="452">
        <v>3</v>
      </c>
      <c r="F173" s="432">
        <v>3</v>
      </c>
      <c r="G173" s="420">
        <v>2</v>
      </c>
      <c r="H173" s="420">
        <v>2</v>
      </c>
      <c r="I173" s="420">
        <v>2</v>
      </c>
      <c r="J173" s="420">
        <v>2</v>
      </c>
      <c r="K173" s="420">
        <v>2</v>
      </c>
      <c r="L173" s="420">
        <v>2</v>
      </c>
      <c r="M173" s="409">
        <v>2</v>
      </c>
      <c r="N173" s="409">
        <v>2</v>
      </c>
      <c r="O173" s="409">
        <v>2</v>
      </c>
      <c r="P173" s="409">
        <v>2</v>
      </c>
      <c r="Q173" s="409">
        <v>2</v>
      </c>
      <c r="R173" s="409">
        <v>2</v>
      </c>
      <c r="S173" s="420">
        <v>2</v>
      </c>
      <c r="T173" s="420">
        <v>2</v>
      </c>
      <c r="U173" s="420">
        <v>2</v>
      </c>
      <c r="V173" s="420">
        <v>2</v>
      </c>
      <c r="W173" s="420">
        <v>2</v>
      </c>
      <c r="X173" s="420">
        <v>2</v>
      </c>
      <c r="Y173" s="420">
        <v>2</v>
      </c>
      <c r="Z173" s="420">
        <v>2</v>
      </c>
      <c r="AA173" s="411">
        <v>3</v>
      </c>
      <c r="AB173" s="452">
        <v>3</v>
      </c>
      <c r="AC173" s="432">
        <v>3</v>
      </c>
      <c r="AD173" s="420">
        <v>2</v>
      </c>
      <c r="AE173" s="420">
        <v>2</v>
      </c>
      <c r="AF173" s="420">
        <v>2</v>
      </c>
      <c r="AG173" s="326"/>
      <c r="AH173" s="326"/>
    </row>
    <row r="174" spans="1:34">
      <c r="A174" s="420">
        <v>2</v>
      </c>
      <c r="B174" s="409">
        <v>2</v>
      </c>
      <c r="C174" s="409">
        <v>2</v>
      </c>
      <c r="D174" s="411">
        <v>3</v>
      </c>
      <c r="E174" s="452">
        <v>3</v>
      </c>
      <c r="F174" s="432">
        <v>3</v>
      </c>
      <c r="G174" s="420">
        <v>2</v>
      </c>
      <c r="H174" s="420">
        <v>2</v>
      </c>
      <c r="I174" s="420">
        <v>2</v>
      </c>
      <c r="J174" s="420">
        <v>2</v>
      </c>
      <c r="K174" s="420">
        <v>2</v>
      </c>
      <c r="L174" s="420">
        <v>2</v>
      </c>
      <c r="M174" s="420">
        <v>2</v>
      </c>
      <c r="N174" s="420">
        <v>2</v>
      </c>
      <c r="O174" s="420">
        <v>2</v>
      </c>
      <c r="P174" s="420">
        <v>2</v>
      </c>
      <c r="Q174" s="420">
        <v>2</v>
      </c>
      <c r="R174" s="420">
        <v>2</v>
      </c>
      <c r="S174" s="420">
        <v>2</v>
      </c>
      <c r="T174" s="420">
        <v>2</v>
      </c>
      <c r="U174" s="420">
        <v>2</v>
      </c>
      <c r="V174" s="420">
        <v>2</v>
      </c>
      <c r="W174" s="420">
        <v>2</v>
      </c>
      <c r="X174" s="409">
        <v>2</v>
      </c>
      <c r="Y174" s="409">
        <v>2</v>
      </c>
      <c r="Z174" s="409">
        <v>2</v>
      </c>
      <c r="AA174" s="411">
        <v>3</v>
      </c>
      <c r="AB174" s="452">
        <v>3</v>
      </c>
      <c r="AC174" s="432">
        <v>3</v>
      </c>
      <c r="AD174" s="420">
        <v>2</v>
      </c>
      <c r="AE174" s="420">
        <v>2</v>
      </c>
      <c r="AF174" s="420">
        <v>2</v>
      </c>
      <c r="AG174" s="326"/>
      <c r="AH174" s="326"/>
    </row>
    <row r="175" spans="1:34">
      <c r="A175" s="93"/>
      <c r="B175" s="93"/>
      <c r="C175" s="93"/>
      <c r="D175" s="93"/>
      <c r="E175" s="93"/>
      <c r="F175" s="93"/>
      <c r="G175" s="93"/>
      <c r="H175" s="93"/>
      <c r="I175" s="93"/>
      <c r="J175" s="93"/>
      <c r="K175" s="93"/>
      <c r="L175" s="93"/>
      <c r="M175" s="93"/>
      <c r="N175" s="93"/>
      <c r="O175" s="93"/>
      <c r="P175" s="93"/>
      <c r="Q175" s="93"/>
      <c r="R175" s="93"/>
      <c r="S175" s="93"/>
      <c r="T175" s="93"/>
      <c r="U175" s="93"/>
      <c r="V175" s="93"/>
      <c r="W175" s="93"/>
      <c r="X175" s="93"/>
      <c r="Y175" s="93"/>
      <c r="Z175" s="93"/>
      <c r="AA175" s="93"/>
      <c r="AB175" s="93"/>
      <c r="AC175" s="93"/>
      <c r="AD175" s="93"/>
      <c r="AE175" s="93"/>
      <c r="AF175" s="79"/>
      <c r="AG175" s="326"/>
      <c r="AH175" s="326">
        <v>1</v>
      </c>
    </row>
    <row r="176" spans="1:34">
      <c r="A176" s="93"/>
      <c r="B176" s="93"/>
      <c r="C176" s="93"/>
      <c r="D176" s="93"/>
      <c r="E176" s="93"/>
      <c r="F176" s="93"/>
      <c r="G176" s="93"/>
      <c r="H176" s="93"/>
      <c r="I176" s="93"/>
      <c r="J176" s="93"/>
      <c r="K176" s="93"/>
      <c r="L176" s="93"/>
      <c r="M176" s="93"/>
      <c r="N176" s="93"/>
      <c r="O176" s="93"/>
      <c r="P176" s="93"/>
      <c r="Q176" s="93"/>
      <c r="R176" s="93"/>
      <c r="S176" s="93"/>
      <c r="T176" s="93"/>
      <c r="U176" s="93"/>
      <c r="V176" s="93"/>
      <c r="W176" s="93"/>
      <c r="X176" s="93"/>
      <c r="Y176" s="93"/>
      <c r="Z176" s="93"/>
      <c r="AA176" s="93"/>
      <c r="AB176" s="93"/>
      <c r="AC176" s="93"/>
      <c r="AD176" s="93"/>
      <c r="AE176" s="93"/>
      <c r="AF176" s="79"/>
      <c r="AG176" s="326"/>
      <c r="AH176" s="326">
        <v>1</v>
      </c>
    </row>
    <row r="177" spans="1:34">
      <c r="A177" s="93"/>
      <c r="B177" s="93"/>
      <c r="C177" s="93"/>
      <c r="D177" s="93"/>
      <c r="E177" s="93"/>
      <c r="F177" s="93"/>
      <c r="G177" s="93"/>
      <c r="H177" s="93"/>
      <c r="I177" s="93"/>
      <c r="J177" s="93"/>
      <c r="K177" s="93"/>
      <c r="L177" s="93"/>
      <c r="M177" s="93"/>
      <c r="N177" s="93"/>
      <c r="O177" s="93"/>
      <c r="P177" s="93"/>
      <c r="Q177" s="93"/>
      <c r="R177" s="93"/>
      <c r="S177" s="93"/>
      <c r="T177" s="93"/>
      <c r="U177" s="93"/>
      <c r="V177" s="93"/>
      <c r="W177" s="93"/>
      <c r="X177" s="93"/>
      <c r="Y177" s="93"/>
      <c r="Z177" s="93"/>
      <c r="AA177" s="93"/>
      <c r="AB177" s="93"/>
      <c r="AC177" s="93"/>
      <c r="AD177" s="93"/>
      <c r="AE177" s="93"/>
      <c r="AF177" s="79"/>
      <c r="AG177" s="326"/>
      <c r="AH177" s="326">
        <v>1</v>
      </c>
    </row>
    <row r="178" spans="1:34">
      <c r="A178" s="93"/>
      <c r="B178" s="93"/>
      <c r="C178" s="93"/>
      <c r="D178" s="93"/>
      <c r="E178" s="93"/>
      <c r="F178" s="93"/>
      <c r="G178" s="93"/>
      <c r="H178" s="93"/>
      <c r="I178" s="93"/>
      <c r="J178" s="93"/>
      <c r="K178" s="93"/>
      <c r="L178" s="93"/>
      <c r="M178" s="93"/>
      <c r="N178" s="93"/>
      <c r="O178" s="93"/>
      <c r="P178" s="93"/>
      <c r="Q178" s="93"/>
      <c r="R178" s="93"/>
      <c r="S178" s="93"/>
      <c r="T178" s="93"/>
      <c r="U178" s="93"/>
      <c r="V178" s="93"/>
      <c r="W178" s="93"/>
      <c r="X178" s="93"/>
      <c r="Y178" s="93"/>
      <c r="Z178" s="93"/>
      <c r="AA178" s="93"/>
      <c r="AB178" s="93"/>
      <c r="AC178" s="93"/>
      <c r="AD178" s="93"/>
      <c r="AE178" s="93"/>
      <c r="AF178" s="79"/>
      <c r="AG178" s="326"/>
      <c r="AH178" s="326">
        <v>1</v>
      </c>
    </row>
    <row r="179" spans="1:34">
      <c r="A179" s="93"/>
      <c r="B179" s="93"/>
      <c r="C179" s="93"/>
      <c r="D179" s="93"/>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c r="AF179" s="79"/>
      <c r="AG179" s="326"/>
      <c r="AH179" s="326">
        <v>3</v>
      </c>
    </row>
    <row r="180" spans="1:34">
      <c r="A180" s="409">
        <v>2</v>
      </c>
      <c r="B180" s="420">
        <v>2</v>
      </c>
      <c r="C180" s="420">
        <v>2</v>
      </c>
      <c r="D180" s="411">
        <v>3</v>
      </c>
      <c r="E180" s="452">
        <v>3</v>
      </c>
      <c r="F180" s="432">
        <v>3</v>
      </c>
      <c r="G180" s="420">
        <v>2</v>
      </c>
      <c r="H180" s="420">
        <v>2</v>
      </c>
      <c r="I180" s="420">
        <v>2</v>
      </c>
      <c r="J180" s="420">
        <v>2</v>
      </c>
      <c r="K180" s="420">
        <v>2</v>
      </c>
      <c r="L180" s="420">
        <v>2</v>
      </c>
      <c r="M180" s="420">
        <v>2</v>
      </c>
      <c r="N180" s="420">
        <v>2</v>
      </c>
      <c r="O180" s="409">
        <v>2</v>
      </c>
      <c r="P180" s="409">
        <v>2</v>
      </c>
      <c r="Q180" s="409">
        <v>2</v>
      </c>
      <c r="R180" s="409">
        <v>2</v>
      </c>
      <c r="S180" s="409">
        <v>2</v>
      </c>
      <c r="T180" s="409">
        <v>2</v>
      </c>
      <c r="U180" s="409">
        <v>2</v>
      </c>
      <c r="V180" s="420">
        <v>2</v>
      </c>
      <c r="W180" s="420">
        <v>2</v>
      </c>
      <c r="X180" s="420">
        <v>2</v>
      </c>
      <c r="Y180" s="420">
        <v>2</v>
      </c>
      <c r="Z180" s="420">
        <v>2</v>
      </c>
      <c r="AA180" s="411">
        <v>3</v>
      </c>
      <c r="AB180" s="452">
        <v>3</v>
      </c>
      <c r="AC180" s="432">
        <v>3</v>
      </c>
      <c r="AD180" s="420">
        <v>2</v>
      </c>
      <c r="AE180" s="420">
        <v>2</v>
      </c>
      <c r="AF180" s="420">
        <v>2</v>
      </c>
      <c r="AG180" s="326"/>
      <c r="AH180" s="326"/>
    </row>
    <row r="181" spans="1:34">
      <c r="A181" s="409">
        <v>2</v>
      </c>
      <c r="B181" s="420">
        <v>2</v>
      </c>
      <c r="C181" s="420">
        <v>2</v>
      </c>
      <c r="D181" s="411">
        <v>3</v>
      </c>
      <c r="E181" s="452">
        <v>3</v>
      </c>
      <c r="F181" s="432">
        <v>3</v>
      </c>
      <c r="G181" s="409">
        <v>2</v>
      </c>
      <c r="H181" s="409">
        <v>2</v>
      </c>
      <c r="I181" s="409">
        <v>2</v>
      </c>
      <c r="J181" s="409">
        <v>2</v>
      </c>
      <c r="K181" s="420">
        <v>2</v>
      </c>
      <c r="L181" s="420">
        <v>2</v>
      </c>
      <c r="M181" s="420">
        <v>2</v>
      </c>
      <c r="N181" s="420">
        <v>2</v>
      </c>
      <c r="O181" s="420">
        <v>2</v>
      </c>
      <c r="P181" s="420">
        <v>2</v>
      </c>
      <c r="Q181" s="420">
        <v>2</v>
      </c>
      <c r="R181" s="420">
        <v>2</v>
      </c>
      <c r="S181" s="420">
        <v>2</v>
      </c>
      <c r="T181" s="420">
        <v>2</v>
      </c>
      <c r="U181" s="420">
        <v>2</v>
      </c>
      <c r="V181" s="420">
        <v>2</v>
      </c>
      <c r="W181" s="420">
        <v>2</v>
      </c>
      <c r="X181" s="420">
        <v>2</v>
      </c>
      <c r="Y181" s="409">
        <v>2</v>
      </c>
      <c r="Z181" s="409">
        <v>2</v>
      </c>
      <c r="AA181" s="411">
        <v>3</v>
      </c>
      <c r="AB181" s="452">
        <v>3</v>
      </c>
      <c r="AC181" s="432">
        <v>3</v>
      </c>
      <c r="AD181" s="409">
        <v>2</v>
      </c>
      <c r="AE181" s="420">
        <v>2</v>
      </c>
      <c r="AF181" s="420">
        <v>2</v>
      </c>
      <c r="AG181" s="326"/>
      <c r="AH181" s="326"/>
    </row>
    <row r="182" spans="1:34">
      <c r="A182" s="420">
        <v>2</v>
      </c>
      <c r="B182" s="420">
        <v>2</v>
      </c>
      <c r="C182" s="420">
        <v>2</v>
      </c>
      <c r="D182" s="411">
        <v>3</v>
      </c>
      <c r="E182" s="452">
        <v>3</v>
      </c>
      <c r="F182" s="432">
        <v>3</v>
      </c>
      <c r="G182" s="420">
        <v>2</v>
      </c>
      <c r="H182" s="420">
        <v>2</v>
      </c>
      <c r="I182" s="420">
        <v>2</v>
      </c>
      <c r="J182" s="420">
        <v>2</v>
      </c>
      <c r="K182" s="420">
        <v>2</v>
      </c>
      <c r="L182" s="420">
        <v>2</v>
      </c>
      <c r="M182" s="420">
        <v>2</v>
      </c>
      <c r="N182" s="420">
        <v>2</v>
      </c>
      <c r="O182" s="420">
        <v>2</v>
      </c>
      <c r="P182" s="420">
        <v>2</v>
      </c>
      <c r="Q182" s="420">
        <v>2</v>
      </c>
      <c r="R182" s="420">
        <v>2</v>
      </c>
      <c r="S182" s="420">
        <v>2</v>
      </c>
      <c r="T182" s="420">
        <v>2</v>
      </c>
      <c r="U182" s="420">
        <v>2</v>
      </c>
      <c r="V182" s="420">
        <v>2</v>
      </c>
      <c r="W182" s="420">
        <v>2</v>
      </c>
      <c r="X182" s="420">
        <v>2</v>
      </c>
      <c r="Y182" s="420">
        <v>2</v>
      </c>
      <c r="Z182" s="420">
        <v>2</v>
      </c>
      <c r="AA182" s="411">
        <v>3</v>
      </c>
      <c r="AB182" s="452">
        <v>3</v>
      </c>
      <c r="AC182" s="432">
        <v>3</v>
      </c>
      <c r="AD182" s="420">
        <v>2</v>
      </c>
      <c r="AE182" s="420">
        <v>2</v>
      </c>
      <c r="AF182" s="420">
        <v>2</v>
      </c>
      <c r="AG182" s="326"/>
      <c r="AH182" s="326"/>
    </row>
    <row r="183" spans="1:34">
      <c r="AF183" s="79"/>
      <c r="AG183" s="326"/>
      <c r="AH183" s="326">
        <v>1</v>
      </c>
    </row>
    <row r="184" spans="1:34">
      <c r="AF184" s="79"/>
      <c r="AG184" s="326"/>
      <c r="AH184" s="326">
        <v>1</v>
      </c>
    </row>
    <row r="185" spans="1:34">
      <c r="AF185" s="79"/>
      <c r="AG185" s="326"/>
      <c r="AH185" s="326">
        <v>1</v>
      </c>
    </row>
    <row r="186" spans="1:34">
      <c r="AF186" s="79"/>
      <c r="AG186" s="326"/>
      <c r="AH186" s="326">
        <v>1</v>
      </c>
    </row>
    <row r="187" spans="1:34">
      <c r="AF187" s="79"/>
      <c r="AG187" s="326"/>
      <c r="AH187" s="326">
        <v>3</v>
      </c>
    </row>
    <row r="188" spans="1:34">
      <c r="AF188" s="79"/>
      <c r="AG188" s="326"/>
      <c r="AH188" s="326">
        <v>4</v>
      </c>
    </row>
    <row r="189" spans="1:34">
      <c r="AF189" s="79"/>
      <c r="AG189" s="326"/>
      <c r="AH189" s="326">
        <v>13</v>
      </c>
    </row>
    <row r="190" spans="1:34">
      <c r="AF190" s="79"/>
      <c r="AG190" s="326"/>
      <c r="AH190" s="326">
        <v>14</v>
      </c>
    </row>
    <row r="191" spans="1:34">
      <c r="AF191" s="79"/>
      <c r="AG191" s="326"/>
      <c r="AH191" s="326">
        <v>1</v>
      </c>
    </row>
    <row r="192" spans="1:34">
      <c r="A192" s="73"/>
      <c r="B192" s="73"/>
      <c r="C192" s="73"/>
      <c r="D192" s="73"/>
      <c r="E192" s="73"/>
      <c r="F192" s="73"/>
      <c r="G192" s="73"/>
      <c r="H192" s="73"/>
      <c r="I192" s="73"/>
      <c r="J192" s="73"/>
      <c r="K192" s="73"/>
      <c r="L192" s="73"/>
      <c r="M192" s="73"/>
      <c r="N192" s="73"/>
      <c r="O192" s="73"/>
      <c r="P192" s="73"/>
      <c r="Q192" s="73"/>
      <c r="R192" s="73"/>
      <c r="S192" s="73"/>
      <c r="T192" s="73"/>
      <c r="U192" s="73"/>
      <c r="V192" s="73"/>
      <c r="W192" s="73"/>
      <c r="X192" s="73"/>
      <c r="Y192" s="73"/>
      <c r="Z192" s="73"/>
      <c r="AA192" s="73"/>
      <c r="AB192" s="73"/>
      <c r="AC192" s="73"/>
      <c r="AD192" s="73"/>
      <c r="AE192" s="73"/>
      <c r="AF192" s="701"/>
      <c r="AG192" s="326"/>
      <c r="AH192" s="326">
        <v>1</v>
      </c>
    </row>
    <row r="193" spans="1:34">
      <c r="A193" s="404"/>
      <c r="B193" s="400"/>
      <c r="C193" s="400"/>
      <c r="D193" s="400"/>
      <c r="E193" s="400"/>
      <c r="F193" s="400"/>
      <c r="G193" s="400"/>
      <c r="H193" s="400"/>
      <c r="I193" s="400"/>
      <c r="J193" s="400"/>
      <c r="K193" s="400"/>
      <c r="L193" s="400"/>
      <c r="M193" s="400"/>
      <c r="N193" s="400"/>
      <c r="O193" s="400"/>
      <c r="P193" s="400"/>
      <c r="Q193" s="400"/>
      <c r="R193" s="400"/>
      <c r="S193" s="400"/>
      <c r="T193" s="400"/>
      <c r="U193" s="400"/>
      <c r="V193" s="400"/>
      <c r="W193" s="400"/>
      <c r="X193" s="400"/>
      <c r="Y193" s="400"/>
      <c r="Z193" s="400"/>
      <c r="AA193" s="400"/>
      <c r="AB193" s="400"/>
      <c r="AC193" s="400"/>
      <c r="AD193" s="400"/>
      <c r="AE193" s="400"/>
      <c r="AF193" s="405"/>
      <c r="AG193" s="400">
        <v>4</v>
      </c>
      <c r="AH193" s="3175"/>
    </row>
    <row r="194" spans="1:34">
      <c r="A194" s="404"/>
      <c r="B194" s="400"/>
      <c r="C194" s="400"/>
      <c r="D194" s="400"/>
      <c r="E194" s="400"/>
      <c r="F194" s="400"/>
      <c r="G194" s="400"/>
      <c r="H194" s="400"/>
      <c r="I194" s="400"/>
      <c r="J194" s="400"/>
      <c r="K194" s="400"/>
      <c r="L194" s="400"/>
      <c r="M194" s="400"/>
      <c r="N194" s="400"/>
      <c r="O194" s="400"/>
      <c r="P194" s="400"/>
      <c r="Q194" s="400"/>
      <c r="R194" s="400"/>
      <c r="S194" s="400"/>
      <c r="T194" s="400"/>
      <c r="U194" s="400"/>
      <c r="V194" s="400"/>
      <c r="W194" s="400"/>
      <c r="X194" s="400"/>
      <c r="Y194" s="400"/>
      <c r="Z194" s="400"/>
      <c r="AA194" s="400"/>
      <c r="AB194" s="400"/>
      <c r="AC194" s="400"/>
      <c r="AD194" s="400"/>
      <c r="AE194" s="400"/>
      <c r="AF194" s="405"/>
      <c r="AG194" s="400"/>
      <c r="AH194" s="326"/>
    </row>
    <row r="195" spans="1:34">
      <c r="A195" s="404"/>
      <c r="B195" s="400"/>
      <c r="C195" s="400"/>
      <c r="D195" s="400"/>
      <c r="E195" s="400"/>
      <c r="F195" s="400"/>
      <c r="G195" s="400"/>
      <c r="H195" s="400"/>
      <c r="I195" s="400"/>
      <c r="J195" s="400"/>
      <c r="K195" s="400"/>
      <c r="L195" s="400"/>
      <c r="M195" s="400"/>
      <c r="N195" s="400"/>
      <c r="O195" s="400"/>
      <c r="P195" s="400"/>
      <c r="Q195" s="400"/>
      <c r="R195" s="400"/>
      <c r="S195" s="400"/>
      <c r="T195" s="400"/>
      <c r="U195" s="400"/>
      <c r="V195" s="400"/>
      <c r="W195" s="400"/>
      <c r="X195" s="400"/>
      <c r="Y195" s="400"/>
      <c r="Z195" s="400"/>
      <c r="AA195" s="400"/>
      <c r="AB195" s="400"/>
      <c r="AC195" s="400"/>
      <c r="AD195" s="400"/>
      <c r="AE195" s="400"/>
      <c r="AF195" s="405"/>
      <c r="AG195" s="326"/>
      <c r="AH195" s="326"/>
    </row>
    <row r="196" spans="1:34">
      <c r="A196" s="404"/>
      <c r="B196" s="400"/>
      <c r="C196" s="400"/>
      <c r="D196" s="400"/>
      <c r="E196" s="400"/>
      <c r="F196" s="400"/>
      <c r="G196" s="400"/>
      <c r="H196" s="400"/>
      <c r="I196" s="400"/>
      <c r="J196" s="400"/>
      <c r="K196" s="400"/>
      <c r="L196" s="400"/>
      <c r="M196" s="400"/>
      <c r="N196" s="400"/>
      <c r="O196" s="400"/>
      <c r="P196" s="400"/>
      <c r="Q196" s="400"/>
      <c r="R196" s="400"/>
      <c r="S196" s="400"/>
      <c r="T196" s="400"/>
      <c r="U196" s="400"/>
      <c r="V196" s="400"/>
      <c r="W196" s="400"/>
      <c r="X196" s="400"/>
      <c r="Y196" s="400"/>
      <c r="Z196" s="400"/>
      <c r="AA196" s="400"/>
      <c r="AB196" s="400"/>
      <c r="AC196" s="400"/>
      <c r="AD196" s="400"/>
      <c r="AE196" s="400"/>
      <c r="AF196" s="405"/>
      <c r="AG196" s="326"/>
      <c r="AH196" s="326"/>
    </row>
    <row r="197" spans="1:34">
      <c r="A197" s="404"/>
      <c r="B197" s="400"/>
      <c r="C197" s="400"/>
      <c r="D197" s="400"/>
      <c r="E197" s="400"/>
      <c r="F197" s="400"/>
      <c r="G197" s="400"/>
      <c r="H197" s="400"/>
      <c r="I197" s="400"/>
      <c r="J197" s="400"/>
      <c r="K197" s="400"/>
      <c r="L197" s="400"/>
      <c r="M197" s="400"/>
      <c r="N197" s="400"/>
      <c r="O197" s="400"/>
      <c r="P197" s="400"/>
      <c r="Q197" s="400"/>
      <c r="R197" s="400"/>
      <c r="S197" s="400"/>
      <c r="T197" s="400"/>
      <c r="U197" s="400"/>
      <c r="V197" s="400"/>
      <c r="W197" s="400"/>
      <c r="X197" s="400"/>
      <c r="Y197" s="400"/>
      <c r="Z197" s="400"/>
      <c r="AA197" s="400"/>
      <c r="AB197" s="400"/>
      <c r="AC197" s="400"/>
      <c r="AD197" s="400"/>
      <c r="AE197" s="400"/>
      <c r="AF197" s="405"/>
      <c r="AG197" s="326"/>
      <c r="AH197" s="326"/>
    </row>
    <row r="198" spans="1:34">
      <c r="A198" s="404"/>
      <c r="B198" s="400"/>
      <c r="C198" s="400"/>
      <c r="D198" s="400"/>
      <c r="E198" s="400"/>
      <c r="F198" s="400"/>
      <c r="G198" s="400"/>
      <c r="H198" s="400"/>
      <c r="I198" s="400"/>
      <c r="J198" s="400"/>
      <c r="K198" s="400"/>
      <c r="L198" s="400"/>
      <c r="M198" s="400"/>
      <c r="N198" s="400"/>
      <c r="O198" s="400"/>
      <c r="P198" s="400"/>
      <c r="Q198" s="400"/>
      <c r="R198" s="400"/>
      <c r="S198" s="400"/>
      <c r="T198" s="400"/>
      <c r="U198" s="400"/>
      <c r="V198" s="400"/>
      <c r="W198" s="400"/>
      <c r="X198" s="400"/>
      <c r="Y198" s="400"/>
      <c r="Z198" s="400"/>
      <c r="AA198" s="400"/>
      <c r="AB198" s="400"/>
      <c r="AC198" s="400"/>
      <c r="AD198" s="400"/>
      <c r="AE198" s="400"/>
      <c r="AF198" s="405"/>
      <c r="AG198" s="326"/>
      <c r="AH198" s="326"/>
    </row>
    <row r="199" spans="1:34">
      <c r="A199" s="404"/>
      <c r="B199" s="400"/>
      <c r="C199" s="400"/>
      <c r="D199" s="400"/>
      <c r="E199" s="400"/>
      <c r="F199" s="400"/>
      <c r="G199" s="400"/>
      <c r="H199" s="400"/>
      <c r="I199" s="400"/>
      <c r="J199" s="400"/>
      <c r="K199" s="400"/>
      <c r="L199" s="400"/>
      <c r="M199" s="400"/>
      <c r="N199" s="400"/>
      <c r="O199" s="400"/>
      <c r="P199" s="453">
        <v>1</v>
      </c>
      <c r="Q199" s="400"/>
      <c r="R199" s="400"/>
      <c r="S199" s="400"/>
      <c r="T199" s="400"/>
      <c r="U199" s="400"/>
      <c r="V199" s="400"/>
      <c r="W199" s="400"/>
      <c r="X199" s="400"/>
      <c r="Y199" s="400"/>
      <c r="Z199" s="400"/>
      <c r="AA199" s="400"/>
      <c r="AB199" s="400"/>
      <c r="AC199" s="400"/>
      <c r="AD199" s="400"/>
      <c r="AE199" s="400"/>
      <c r="AF199" s="405"/>
      <c r="AG199" s="326"/>
      <c r="AH199" s="326"/>
    </row>
    <row r="200" spans="1:34">
      <c r="A200" s="404"/>
      <c r="B200" s="400"/>
      <c r="C200" s="400"/>
      <c r="D200" s="400"/>
      <c r="E200" s="400"/>
      <c r="F200" s="400"/>
      <c r="G200" s="400"/>
      <c r="H200" s="400"/>
      <c r="I200" s="400"/>
      <c r="J200" s="400"/>
      <c r="K200" s="400"/>
      <c r="L200" s="400"/>
      <c r="M200" s="400"/>
      <c r="N200" s="400"/>
      <c r="O200" s="453">
        <v>1</v>
      </c>
      <c r="P200" s="456">
        <v>1</v>
      </c>
      <c r="Q200" s="453">
        <v>1</v>
      </c>
      <c r="R200" s="400"/>
      <c r="S200" s="400"/>
      <c r="T200" s="400"/>
      <c r="U200" s="400"/>
      <c r="V200" s="400"/>
      <c r="W200" s="400"/>
      <c r="X200" s="400"/>
      <c r="Y200" s="400"/>
      <c r="Z200" s="400"/>
      <c r="AA200" s="400"/>
      <c r="AB200" s="400"/>
      <c r="AC200" s="400"/>
      <c r="AD200" s="400"/>
      <c r="AE200" s="400"/>
      <c r="AF200" s="405"/>
      <c r="AG200" s="326"/>
      <c r="AH200" s="326"/>
    </row>
    <row r="201" spans="1:34">
      <c r="A201" s="404"/>
      <c r="B201" s="400"/>
      <c r="C201" s="400"/>
      <c r="D201" s="400"/>
      <c r="E201" s="400"/>
      <c r="F201" s="400"/>
      <c r="G201" s="400"/>
      <c r="H201" s="400"/>
      <c r="I201" s="400"/>
      <c r="J201" s="400"/>
      <c r="K201" s="400"/>
      <c r="L201" s="400"/>
      <c r="M201" s="400"/>
      <c r="N201" s="453">
        <v>1</v>
      </c>
      <c r="O201" s="456">
        <v>1</v>
      </c>
      <c r="P201" s="462">
        <v>1</v>
      </c>
      <c r="Q201" s="456">
        <v>1</v>
      </c>
      <c r="R201" s="453">
        <v>1</v>
      </c>
      <c r="S201" s="400"/>
      <c r="T201" s="400"/>
      <c r="U201" s="400"/>
      <c r="V201" s="400"/>
      <c r="W201" s="400"/>
      <c r="X201" s="400"/>
      <c r="Y201" s="400"/>
      <c r="Z201" s="400"/>
      <c r="AA201" s="400"/>
      <c r="AB201" s="400"/>
      <c r="AC201" s="400"/>
      <c r="AD201" s="400"/>
      <c r="AE201" s="400"/>
      <c r="AF201" s="405"/>
      <c r="AG201" s="326"/>
      <c r="AH201" s="326"/>
    </row>
    <row r="202" spans="1:34">
      <c r="A202" s="404"/>
      <c r="B202" s="400"/>
      <c r="C202" s="400"/>
      <c r="D202" s="400"/>
      <c r="E202" s="400"/>
      <c r="F202" s="400"/>
      <c r="G202" s="400"/>
      <c r="H202" s="400"/>
      <c r="I202" s="400"/>
      <c r="J202" s="400"/>
      <c r="K202" s="400"/>
      <c r="L202" s="400"/>
      <c r="M202" s="453">
        <v>1</v>
      </c>
      <c r="N202" s="456">
        <v>1</v>
      </c>
      <c r="O202" s="462">
        <v>1</v>
      </c>
      <c r="P202" s="462">
        <v>1</v>
      </c>
      <c r="Q202" s="462">
        <v>1</v>
      </c>
      <c r="R202" s="456">
        <v>1</v>
      </c>
      <c r="S202" s="453">
        <v>1</v>
      </c>
      <c r="T202" s="400"/>
      <c r="U202" s="400"/>
      <c r="V202" s="400"/>
      <c r="W202" s="400"/>
      <c r="X202" s="400"/>
      <c r="Y202" s="400"/>
      <c r="Z202" s="400"/>
      <c r="AA202" s="400"/>
      <c r="AB202" s="400"/>
      <c r="AC202" s="400"/>
      <c r="AD202" s="400"/>
      <c r="AE202" s="400"/>
      <c r="AF202" s="405"/>
      <c r="AG202" s="326"/>
      <c r="AH202" s="326"/>
    </row>
    <row r="203" spans="1:34">
      <c r="A203" s="404"/>
      <c r="B203" s="400"/>
      <c r="C203" s="400"/>
      <c r="D203" s="400"/>
      <c r="E203" s="400"/>
      <c r="F203" s="400"/>
      <c r="G203" s="400"/>
      <c r="H203" s="400"/>
      <c r="I203" s="400"/>
      <c r="J203" s="400"/>
      <c r="K203" s="400"/>
      <c r="L203" s="453">
        <v>1</v>
      </c>
      <c r="M203" s="456">
        <v>1</v>
      </c>
      <c r="N203" s="462">
        <v>1</v>
      </c>
      <c r="O203" s="462">
        <v>1</v>
      </c>
      <c r="P203" s="462">
        <v>1</v>
      </c>
      <c r="Q203" s="462">
        <v>1</v>
      </c>
      <c r="R203" s="462">
        <v>1</v>
      </c>
      <c r="S203" s="456">
        <v>1</v>
      </c>
      <c r="T203" s="453">
        <v>1</v>
      </c>
      <c r="U203" s="400"/>
      <c r="V203" s="400"/>
      <c r="W203" s="400"/>
      <c r="X203" s="400"/>
      <c r="Y203" s="400"/>
      <c r="Z203" s="400"/>
      <c r="AA203" s="400"/>
      <c r="AB203" s="400"/>
      <c r="AC203" s="400"/>
      <c r="AD203" s="400"/>
      <c r="AE203" s="400"/>
      <c r="AF203" s="405"/>
      <c r="AG203" s="326"/>
      <c r="AH203" s="326"/>
    </row>
    <row r="204" spans="1:34">
      <c r="A204" s="404"/>
      <c r="B204" s="400"/>
      <c r="C204" s="400"/>
      <c r="D204" s="400"/>
      <c r="E204" s="400"/>
      <c r="F204" s="400"/>
      <c r="G204" s="400"/>
      <c r="H204" s="400"/>
      <c r="I204" s="400"/>
      <c r="J204" s="400"/>
      <c r="K204" s="453">
        <v>1</v>
      </c>
      <c r="L204" s="456">
        <v>1</v>
      </c>
      <c r="M204" s="456">
        <v>1</v>
      </c>
      <c r="N204" s="456">
        <v>1</v>
      </c>
      <c r="O204" s="462">
        <v>1</v>
      </c>
      <c r="P204" s="462">
        <v>1</v>
      </c>
      <c r="Q204" s="462">
        <v>1</v>
      </c>
      <c r="R204" s="456">
        <v>1</v>
      </c>
      <c r="S204" s="456">
        <v>1</v>
      </c>
      <c r="T204" s="456">
        <v>1</v>
      </c>
      <c r="U204" s="453">
        <v>1</v>
      </c>
      <c r="V204" s="400"/>
      <c r="W204" s="400"/>
      <c r="X204" s="400"/>
      <c r="Y204" s="400"/>
      <c r="Z204" s="400"/>
      <c r="AA204" s="400"/>
      <c r="AB204" s="400"/>
      <c r="AC204" s="400"/>
      <c r="AD204" s="400"/>
      <c r="AE204" s="400"/>
      <c r="AF204" s="405"/>
      <c r="AG204" s="326"/>
      <c r="AH204" s="326"/>
    </row>
    <row r="205" spans="1:34">
      <c r="A205" s="404"/>
      <c r="B205" s="400"/>
      <c r="C205" s="400"/>
      <c r="D205" s="400"/>
      <c r="E205" s="400"/>
      <c r="F205" s="400"/>
      <c r="G205" s="400"/>
      <c r="H205" s="400"/>
      <c r="I205" s="400"/>
      <c r="J205" s="453">
        <v>1</v>
      </c>
      <c r="K205" s="453">
        <v>1</v>
      </c>
      <c r="L205" s="453">
        <v>1</v>
      </c>
      <c r="M205" s="453">
        <v>1</v>
      </c>
      <c r="N205" s="456">
        <v>1</v>
      </c>
      <c r="O205" s="462">
        <v>1</v>
      </c>
      <c r="P205" s="462">
        <v>1</v>
      </c>
      <c r="Q205" s="462">
        <v>1</v>
      </c>
      <c r="R205" s="456">
        <v>1</v>
      </c>
      <c r="S205" s="453">
        <v>1</v>
      </c>
      <c r="T205" s="453">
        <v>1</v>
      </c>
      <c r="U205" s="453">
        <v>1</v>
      </c>
      <c r="V205" s="453">
        <v>1</v>
      </c>
      <c r="W205" s="400"/>
      <c r="X205" s="400"/>
      <c r="Y205" s="400"/>
      <c r="Z205" s="400"/>
      <c r="AA205" s="400"/>
      <c r="AB205" s="400"/>
      <c r="AC205" s="400"/>
      <c r="AD205" s="400"/>
      <c r="AE205" s="400"/>
      <c r="AF205" s="405"/>
      <c r="AG205" s="326"/>
      <c r="AH205" s="326"/>
    </row>
    <row r="206" spans="1:34">
      <c r="A206" s="404"/>
      <c r="B206" s="400"/>
      <c r="C206" s="400"/>
      <c r="D206" s="400"/>
      <c r="E206" s="400"/>
      <c r="F206" s="400"/>
      <c r="G206" s="400"/>
      <c r="H206" s="400"/>
      <c r="I206" s="400"/>
      <c r="J206" s="400"/>
      <c r="K206" s="400"/>
      <c r="L206" s="400"/>
      <c r="M206" s="453">
        <v>1</v>
      </c>
      <c r="N206" s="456">
        <v>1</v>
      </c>
      <c r="O206" s="462">
        <v>1</v>
      </c>
      <c r="P206" s="462">
        <v>1</v>
      </c>
      <c r="Q206" s="462">
        <v>1</v>
      </c>
      <c r="R206" s="456">
        <v>1</v>
      </c>
      <c r="S206" s="453">
        <v>1</v>
      </c>
      <c r="T206" s="400"/>
      <c r="U206" s="400"/>
      <c r="V206" s="400"/>
      <c r="W206" s="400"/>
      <c r="X206" s="400"/>
      <c r="Y206" s="400"/>
      <c r="Z206" s="400"/>
      <c r="AA206" s="400"/>
      <c r="AB206" s="400"/>
      <c r="AC206" s="400"/>
      <c r="AD206" s="400"/>
      <c r="AE206" s="400"/>
      <c r="AF206" s="405"/>
      <c r="AG206" s="326"/>
      <c r="AH206" s="326"/>
    </row>
    <row r="207" spans="1:34">
      <c r="AF207" s="79"/>
      <c r="AG207" s="326"/>
      <c r="AH207" s="326">
        <v>14</v>
      </c>
    </row>
    <row r="208" spans="1:34">
      <c r="AF208" s="79"/>
      <c r="AG208" s="326"/>
      <c r="AH208" s="326">
        <v>14</v>
      </c>
    </row>
    <row r="209" spans="1:34">
      <c r="AF209" s="79"/>
      <c r="AG209" s="326"/>
      <c r="AH209" s="326">
        <v>14</v>
      </c>
    </row>
    <row r="210" spans="1:34">
      <c r="AF210" s="79"/>
      <c r="AG210" s="326"/>
      <c r="AH210" s="326">
        <v>14</v>
      </c>
    </row>
    <row r="211" spans="1:34">
      <c r="AF211" s="79"/>
      <c r="AG211" s="326"/>
      <c r="AH211" s="326">
        <v>14</v>
      </c>
    </row>
    <row r="212" spans="1:34">
      <c r="AF212" s="79"/>
      <c r="AG212" s="326"/>
      <c r="AH212" s="326">
        <v>14</v>
      </c>
    </row>
    <row r="213" spans="1:34">
      <c r="AF213" s="79"/>
      <c r="AG213" s="326"/>
      <c r="AH213" s="326">
        <v>14</v>
      </c>
    </row>
    <row r="214" spans="1:34">
      <c r="AF214" s="79"/>
      <c r="AG214" s="326"/>
      <c r="AH214" s="326">
        <v>14</v>
      </c>
    </row>
    <row r="215" spans="1:34">
      <c r="AF215" s="79"/>
      <c r="AG215" s="326"/>
      <c r="AH215" s="326">
        <v>14</v>
      </c>
    </row>
    <row r="216" spans="1:34">
      <c r="AF216" s="79"/>
      <c r="AG216" s="326"/>
      <c r="AH216" s="326">
        <v>14</v>
      </c>
    </row>
    <row r="217" spans="1:34">
      <c r="A217" s="404"/>
      <c r="B217" s="400"/>
      <c r="C217" s="400"/>
      <c r="D217" s="400"/>
      <c r="E217" s="400"/>
      <c r="F217" s="400"/>
      <c r="G217" s="400"/>
      <c r="H217" s="400"/>
      <c r="I217" s="400"/>
      <c r="J217" s="400"/>
      <c r="K217" s="400"/>
      <c r="L217" s="400"/>
      <c r="M217" s="453">
        <v>1</v>
      </c>
      <c r="N217" s="456">
        <v>1</v>
      </c>
      <c r="O217" s="456">
        <v>1</v>
      </c>
      <c r="P217" s="456">
        <v>1</v>
      </c>
      <c r="Q217" s="456">
        <v>1</v>
      </c>
      <c r="R217" s="456">
        <v>1</v>
      </c>
      <c r="S217" s="453">
        <v>1</v>
      </c>
      <c r="T217" s="400"/>
      <c r="U217" s="400"/>
      <c r="V217" s="400"/>
      <c r="W217" s="400"/>
      <c r="X217" s="400"/>
      <c r="Y217" s="400"/>
      <c r="Z217" s="400"/>
      <c r="AA217" s="400"/>
      <c r="AB217" s="400"/>
      <c r="AC217" s="400"/>
      <c r="AD217" s="400"/>
      <c r="AE217" s="400"/>
      <c r="AF217" s="405"/>
      <c r="AG217" s="326"/>
      <c r="AH217" s="326"/>
    </row>
    <row r="218" spans="1:34">
      <c r="A218" s="404"/>
      <c r="B218" s="400"/>
      <c r="C218" s="400"/>
      <c r="D218" s="400"/>
      <c r="E218" s="400"/>
      <c r="F218" s="400"/>
      <c r="G218" s="400"/>
      <c r="H218" s="400"/>
      <c r="I218" s="400"/>
      <c r="J218" s="400"/>
      <c r="K218" s="400"/>
      <c r="L218" s="400"/>
      <c r="M218" s="453">
        <v>1</v>
      </c>
      <c r="N218" s="453">
        <v>1</v>
      </c>
      <c r="O218" s="453">
        <v>1</v>
      </c>
      <c r="P218" s="453">
        <v>1</v>
      </c>
      <c r="Q218" s="453">
        <v>1</v>
      </c>
      <c r="R218" s="453">
        <v>1</v>
      </c>
      <c r="S218" s="453">
        <v>1</v>
      </c>
      <c r="T218" s="400"/>
      <c r="U218" s="400"/>
      <c r="V218" s="400"/>
      <c r="W218" s="400"/>
      <c r="X218" s="400"/>
      <c r="Y218" s="400"/>
      <c r="Z218" s="400"/>
      <c r="AA218" s="400"/>
      <c r="AB218" s="400"/>
      <c r="AC218" s="400"/>
      <c r="AD218" s="400"/>
      <c r="AE218" s="400"/>
      <c r="AF218" s="405"/>
      <c r="AG218" s="326"/>
      <c r="AH218" s="326"/>
    </row>
    <row r="219" spans="1:34">
      <c r="AF219" s="405"/>
      <c r="AG219" s="326"/>
      <c r="AH219" s="326"/>
    </row>
    <row r="220" spans="1:34">
      <c r="AF220" s="405"/>
      <c r="AG220" s="326"/>
      <c r="AH220" s="326"/>
    </row>
    <row r="221" spans="1:34">
      <c r="AF221" s="405"/>
      <c r="AG221" s="326"/>
      <c r="AH221" s="326"/>
    </row>
    <row r="222" spans="1:34">
      <c r="AF222" s="405"/>
      <c r="AG222" s="326"/>
      <c r="AH222" s="326"/>
    </row>
    <row r="223" spans="1:34">
      <c r="AF223" s="405"/>
      <c r="AG223" s="326"/>
      <c r="AH223" s="326"/>
    </row>
    <row r="224" spans="1:34">
      <c r="A224" s="406"/>
      <c r="B224" s="407"/>
      <c r="C224" s="407"/>
      <c r="D224" s="407"/>
      <c r="E224" s="407"/>
      <c r="F224" s="407"/>
      <c r="G224" s="407"/>
      <c r="H224" s="407"/>
      <c r="I224" s="407"/>
      <c r="J224" s="407"/>
      <c r="K224" s="407"/>
      <c r="L224" s="407"/>
      <c r="M224" s="407"/>
      <c r="N224" s="407"/>
      <c r="O224" s="407"/>
      <c r="P224" s="407"/>
      <c r="Q224" s="407"/>
      <c r="R224" s="407"/>
      <c r="S224" s="407"/>
      <c r="T224" s="407"/>
      <c r="U224" s="407"/>
      <c r="V224" s="407"/>
      <c r="W224" s="407"/>
      <c r="X224" s="407"/>
      <c r="Y224" s="407"/>
      <c r="Z224" s="407"/>
      <c r="AA224" s="407"/>
      <c r="AB224" s="407"/>
      <c r="AC224" s="407"/>
      <c r="AD224" s="407"/>
      <c r="AE224" s="407"/>
      <c r="AF224" s="408"/>
      <c r="AG224" s="479"/>
      <c r="AH224" s="479"/>
    </row>
  </sheetData>
  <sheetProtection password="DF7C" sheet="1"/>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BC23" sqref="BC23"/>
    </sheetView>
  </sheetViews>
  <sheetFormatPr defaultColWidth="1.28515625" defaultRowHeight="6.6" customHeight="1"/>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dimension ref="A1:IV356"/>
  <sheetViews>
    <sheetView tabSelected="1" zoomScale="93" zoomScaleNormal="93" workbookViewId="0">
      <selection activeCell="A2" sqref="A2"/>
    </sheetView>
  </sheetViews>
  <sheetFormatPr defaultRowHeight="12.75"/>
  <cols>
    <col min="1" max="1" width="55.5703125" customWidth="1"/>
    <col min="2" max="2" width="14.85546875" customWidth="1"/>
    <col min="3" max="3" width="22" customWidth="1"/>
    <col min="4" max="4" width="17.85546875" customWidth="1"/>
    <col min="5" max="5" width="54.42578125" customWidth="1"/>
    <col min="6" max="6" width="14.7109375" customWidth="1"/>
    <col min="31" max="31" width="10" bestFit="1" customWidth="1"/>
    <col min="35" max="35" width="10.5703125" customWidth="1"/>
    <col min="38" max="38" width="16.5703125" customWidth="1"/>
    <col min="40" max="40" width="20.42578125" customWidth="1"/>
    <col min="41" max="41" width="3.85546875" customWidth="1"/>
    <col min="55" max="55" width="153.42578125" customWidth="1"/>
    <col min="100" max="100" width="9.42578125" customWidth="1"/>
    <col min="101" max="101" width="8.7109375" customWidth="1"/>
  </cols>
  <sheetData>
    <row r="1" spans="1:256" ht="12" customHeight="1">
      <c r="A1" s="844"/>
      <c r="B1" s="844" t="s">
        <v>675</v>
      </c>
      <c r="C1" s="844" t="s">
        <v>685</v>
      </c>
      <c r="D1" s="844" t="s">
        <v>678</v>
      </c>
      <c r="E1" s="844" t="s">
        <v>679</v>
      </c>
      <c r="F1" s="844" t="s">
        <v>696</v>
      </c>
      <c r="AH1" s="3704" t="s">
        <v>536</v>
      </c>
      <c r="AL1" t="s">
        <v>172</v>
      </c>
      <c r="AN1" s="1640" t="s">
        <v>1124</v>
      </c>
      <c r="AP1">
        <v>-1.7455064928217585E-2</v>
      </c>
      <c r="AQ1">
        <v>0.99984769515639127</v>
      </c>
      <c r="AR1">
        <v>1.7452406437283512E-2</v>
      </c>
      <c r="AV1">
        <v>-2.6185921569186928E-2</v>
      </c>
      <c r="AW1">
        <v>0.99965732497555726</v>
      </c>
      <c r="AX1">
        <v>2.6176948307873149E-2</v>
      </c>
      <c r="AY1">
        <v>-6.2526298924207886</v>
      </c>
      <c r="AZ1">
        <v>20</v>
      </c>
      <c r="BC1" s="3839" t="s">
        <v>256</v>
      </c>
      <c r="BE1" s="3837" t="s">
        <v>261</v>
      </c>
      <c r="BF1" s="3838"/>
      <c r="BG1" s="3838"/>
      <c r="BH1" s="3838"/>
      <c r="BI1" s="3838"/>
      <c r="BJ1" s="3838"/>
      <c r="BK1" s="3838"/>
      <c r="BL1" s="3838"/>
      <c r="BM1" s="3838"/>
      <c r="BN1" s="3838"/>
      <c r="BO1" s="3838"/>
      <c r="BP1" s="3838"/>
      <c r="BQ1" s="3838"/>
      <c r="BR1" s="3838"/>
      <c r="BS1" s="3838"/>
      <c r="BT1" s="3838"/>
      <c r="BU1" s="3838"/>
      <c r="BV1" s="3838"/>
      <c r="IV1" t="s">
        <v>566</v>
      </c>
    </row>
    <row r="2" spans="1:256" ht="12" customHeight="1">
      <c r="A2" s="845" t="s">
        <v>314</v>
      </c>
      <c r="B2" s="846">
        <v>1947</v>
      </c>
      <c r="C2" s="846" t="s">
        <v>822</v>
      </c>
      <c r="D2" s="846" t="s">
        <v>676</v>
      </c>
      <c r="E2" s="846" t="s">
        <v>680</v>
      </c>
      <c r="F2" s="846" t="s">
        <v>697</v>
      </c>
      <c r="AH2" t="s">
        <v>538</v>
      </c>
      <c r="AI2">
        <v>8008008</v>
      </c>
      <c r="AJ2" t="s">
        <v>878</v>
      </c>
      <c r="AK2" t="s">
        <v>1142</v>
      </c>
      <c r="AL2" t="s">
        <v>173</v>
      </c>
      <c r="AN2" s="1641" t="s">
        <v>1118</v>
      </c>
      <c r="AP2">
        <v>-3.492076949174773E-2</v>
      </c>
      <c r="AQ2">
        <v>0.99939082701909576</v>
      </c>
      <c r="AR2">
        <v>3.4899496702500969E-2</v>
      </c>
      <c r="AV2">
        <v>-4.3660942908512058E-2</v>
      </c>
      <c r="AW2">
        <v>0.9990482215818578</v>
      </c>
      <c r="AX2">
        <v>4.3619387365336E-2</v>
      </c>
      <c r="AY2">
        <v>-5.9428980069378703</v>
      </c>
      <c r="AZ2">
        <v>19</v>
      </c>
      <c r="BC2" s="3840"/>
      <c r="BE2" s="3838"/>
      <c r="BF2" s="3838"/>
      <c r="BG2" s="3838"/>
      <c r="BH2" s="3838"/>
      <c r="BI2" s="3838"/>
      <c r="BJ2" s="3838"/>
      <c r="BK2" s="3838"/>
      <c r="BL2" s="3838"/>
      <c r="BM2" s="3838"/>
      <c r="BN2" s="3838"/>
      <c r="BO2" s="3838"/>
      <c r="BP2" s="3838"/>
      <c r="BQ2" s="3838"/>
      <c r="BR2" s="3838"/>
      <c r="BS2" s="3838"/>
      <c r="BT2" s="3838"/>
      <c r="BU2" s="3838"/>
      <c r="BV2" s="3838"/>
    </row>
    <row r="3" spans="1:256" ht="12" customHeight="1">
      <c r="A3" s="847" t="s">
        <v>313</v>
      </c>
      <c r="B3" s="846">
        <v>1948</v>
      </c>
      <c r="C3" s="846" t="s">
        <v>821</v>
      </c>
      <c r="D3" s="846" t="s">
        <v>677</v>
      </c>
      <c r="E3" s="846" t="s">
        <v>681</v>
      </c>
      <c r="F3" s="846" t="s">
        <v>782</v>
      </c>
      <c r="AH3" t="s">
        <v>537</v>
      </c>
      <c r="AI3">
        <v>46030030</v>
      </c>
      <c r="AJ3" t="s">
        <v>1146</v>
      </c>
      <c r="AK3" t="s">
        <v>329</v>
      </c>
      <c r="AN3" s="1641" t="s">
        <v>280</v>
      </c>
      <c r="AP3">
        <v>-5.2407779283041196E-2</v>
      </c>
      <c r="AQ3">
        <v>0.99862953475457383</v>
      </c>
      <c r="AR3">
        <v>5.2335956242943828E-2</v>
      </c>
      <c r="AV3">
        <v>-6.1162620150484306E-2</v>
      </c>
      <c r="AW3">
        <v>0.99813479842186692</v>
      </c>
      <c r="AX3">
        <v>6.1048539534856873E-2</v>
      </c>
      <c r="AY3">
        <v>-5.7049907579259065</v>
      </c>
      <c r="AZ3">
        <v>17.710248359887096</v>
      </c>
      <c r="BC3" s="3840"/>
      <c r="BD3" s="3000"/>
      <c r="BE3" s="3838"/>
      <c r="BF3" s="3838"/>
      <c r="BG3" s="3838"/>
      <c r="BH3" s="3838"/>
      <c r="BI3" s="3838"/>
      <c r="BJ3" s="3838"/>
      <c r="BK3" s="3838"/>
      <c r="BL3" s="3838"/>
      <c r="BM3" s="3838"/>
      <c r="BN3" s="3838"/>
      <c r="BO3" s="3838"/>
      <c r="BP3" s="3838"/>
      <c r="BQ3" s="3838"/>
      <c r="BR3" s="3838"/>
      <c r="BS3" s="3838"/>
      <c r="BT3" s="3838"/>
      <c r="BU3" s="3838"/>
      <c r="BV3" s="3838"/>
    </row>
    <row r="4" spans="1:256" ht="12" customHeight="1">
      <c r="A4" s="847" t="s">
        <v>829</v>
      </c>
      <c r="B4" s="846">
        <v>1951</v>
      </c>
      <c r="C4" s="846" t="s">
        <v>823</v>
      </c>
      <c r="D4" s="846" t="s">
        <v>684</v>
      </c>
      <c r="E4" s="846" t="s">
        <v>682</v>
      </c>
      <c r="F4" s="846" t="s">
        <v>681</v>
      </c>
      <c r="AI4">
        <v>64026026</v>
      </c>
      <c r="AJ4" t="s">
        <v>534</v>
      </c>
      <c r="AK4" s="3703" t="s">
        <v>533</v>
      </c>
      <c r="AP4">
        <v>-6.9926811943510414E-2</v>
      </c>
      <c r="AQ4">
        <v>0.9975640502598242</v>
      </c>
      <c r="AR4">
        <v>6.9756473744125302E-2</v>
      </c>
      <c r="AV4">
        <v>-7.8701706824618439E-2</v>
      </c>
      <c r="AW4">
        <v>0.99691733373312796</v>
      </c>
      <c r="AX4">
        <v>7.8459095727844944E-2</v>
      </c>
      <c r="AY4">
        <v>-5.5041196631440288</v>
      </c>
      <c r="AZ4">
        <v>14.392085457355055</v>
      </c>
      <c r="BC4" s="3840"/>
      <c r="BE4" s="3838"/>
      <c r="BF4" s="3838"/>
      <c r="BG4" s="3838"/>
      <c r="BH4" s="3838"/>
      <c r="BI4" s="3838"/>
      <c r="BJ4" s="3838"/>
      <c r="BK4" s="3838"/>
      <c r="BL4" s="3838"/>
      <c r="BM4" s="3838"/>
      <c r="BN4" s="3838"/>
      <c r="BO4" s="3838"/>
      <c r="BP4" s="3838"/>
      <c r="BQ4" s="3838"/>
      <c r="BR4" s="3838"/>
      <c r="BS4" s="3838"/>
      <c r="BT4" s="3838"/>
      <c r="BU4" s="3838"/>
      <c r="BV4" s="3838"/>
    </row>
    <row r="5" spans="1:256" ht="12" customHeight="1">
      <c r="A5" s="847" t="s">
        <v>828</v>
      </c>
      <c r="B5" s="846">
        <v>1952</v>
      </c>
      <c r="C5" s="846" t="s">
        <v>683</v>
      </c>
      <c r="D5" s="846" t="s">
        <v>686</v>
      </c>
      <c r="E5" s="846" t="s">
        <v>687</v>
      </c>
      <c r="F5" s="846" t="s">
        <v>698</v>
      </c>
      <c r="AI5">
        <v>96016016</v>
      </c>
      <c r="AP5">
        <v>-8.7488663525924007E-2</v>
      </c>
      <c r="AQ5">
        <v>0.99619469809174555</v>
      </c>
      <c r="AR5">
        <v>8.7155742747658166E-2</v>
      </c>
      <c r="AV5">
        <v>-9.6289048197538613E-2</v>
      </c>
      <c r="AW5">
        <v>0.99539619836717885</v>
      </c>
      <c r="AX5">
        <v>9.5845752520223981E-2</v>
      </c>
      <c r="AY5">
        <v>-5.3267883478682183</v>
      </c>
      <c r="AZ5">
        <v>12.124896697455988</v>
      </c>
      <c r="BC5" s="3840"/>
      <c r="BE5" s="3838"/>
      <c r="BF5" s="3838"/>
      <c r="BG5" s="3838"/>
      <c r="BH5" s="3838"/>
      <c r="BI5" s="3838"/>
      <c r="BJ5" s="3838"/>
      <c r="BK5" s="3838"/>
      <c r="BL5" s="3838"/>
      <c r="BM5" s="3838"/>
      <c r="BN5" s="3838"/>
      <c r="BO5" s="3838"/>
      <c r="BP5" s="3838"/>
      <c r="BQ5" s="3838"/>
      <c r="BR5" s="3838"/>
      <c r="BS5" s="3838"/>
      <c r="BT5" s="3838"/>
      <c r="BU5" s="3838"/>
      <c r="BV5" s="3838"/>
    </row>
    <row r="6" spans="1:256" ht="12" customHeight="1">
      <c r="A6" s="847" t="s">
        <v>1</v>
      </c>
      <c r="B6" s="846">
        <v>1958</v>
      </c>
      <c r="C6" s="848" t="s">
        <v>689</v>
      </c>
      <c r="D6" s="846" t="s">
        <v>688</v>
      </c>
      <c r="E6" s="846" t="s">
        <v>680</v>
      </c>
      <c r="F6" s="846" t="s">
        <v>681</v>
      </c>
      <c r="AI6">
        <v>128008008</v>
      </c>
      <c r="AP6">
        <v>-0.10510423526567646</v>
      </c>
      <c r="AQ6">
        <v>0.99452189536827329</v>
      </c>
      <c r="AR6">
        <v>0.10452846326765346</v>
      </c>
      <c r="AV6">
        <v>-0.11393560830164549</v>
      </c>
      <c r="AW6">
        <v>0.99357185567658746</v>
      </c>
      <c r="AX6">
        <v>0.11320321376790672</v>
      </c>
      <c r="AY6">
        <v>-5.1660601077184545</v>
      </c>
      <c r="AZ6">
        <v>10.448772522304335</v>
      </c>
      <c r="BC6" s="3840"/>
      <c r="BE6" s="3838"/>
      <c r="BF6" s="3838"/>
      <c r="BG6" s="3838"/>
      <c r="BH6" s="3838"/>
      <c r="BI6" s="3838"/>
      <c r="BJ6" s="3838"/>
      <c r="BK6" s="3838"/>
      <c r="BL6" s="3838"/>
      <c r="BM6" s="3838"/>
      <c r="BN6" s="3838"/>
      <c r="BO6" s="3838"/>
      <c r="BP6" s="3838"/>
      <c r="BQ6" s="3838"/>
      <c r="BR6" s="3838"/>
      <c r="BS6" s="3838"/>
      <c r="BT6" s="3838"/>
      <c r="BU6" s="3838"/>
      <c r="BV6" s="3838"/>
    </row>
    <row r="7" spans="1:256" ht="12" customHeight="1">
      <c r="A7" s="847" t="s">
        <v>2</v>
      </c>
      <c r="B7" s="846">
        <v>1962</v>
      </c>
      <c r="C7" s="846" t="s">
        <v>691</v>
      </c>
      <c r="D7" s="846" t="s">
        <v>690</v>
      </c>
      <c r="E7" s="846" t="s">
        <v>687</v>
      </c>
      <c r="F7" s="846" t="s">
        <v>698</v>
      </c>
      <c r="AI7">
        <v>160004004</v>
      </c>
      <c r="AP7">
        <v>-0.1227845609029046</v>
      </c>
      <c r="AQ7">
        <v>0.99254615164132198</v>
      </c>
      <c r="AR7">
        <v>0.12186934340514748</v>
      </c>
      <c r="AV7">
        <v>-0.13165249758739583</v>
      </c>
      <c r="AW7">
        <v>0.99144486137381038</v>
      </c>
      <c r="AX7">
        <v>0.13052619222005157</v>
      </c>
      <c r="AY7">
        <v>-5.0178027472289877</v>
      </c>
      <c r="AZ7">
        <v>9.1437011151466443</v>
      </c>
      <c r="BC7" s="3840"/>
      <c r="BE7" s="3838"/>
      <c r="BF7" s="3838"/>
      <c r="BG7" s="3838"/>
      <c r="BH7" s="3838"/>
      <c r="BI7" s="3838"/>
      <c r="BJ7" s="3838"/>
      <c r="BK7" s="3838"/>
      <c r="BL7" s="3838"/>
      <c r="BM7" s="3838"/>
      <c r="BN7" s="3838"/>
      <c r="BO7" s="3838"/>
      <c r="BP7" s="3838"/>
      <c r="BQ7" s="3838"/>
      <c r="BR7" s="3838"/>
      <c r="BS7" s="3838"/>
      <c r="BT7" s="3838"/>
      <c r="BU7" s="3838"/>
      <c r="BV7" s="3838"/>
    </row>
    <row r="8" spans="1:256" ht="12" customHeight="1">
      <c r="A8" s="847" t="s">
        <v>3</v>
      </c>
      <c r="B8" s="846">
        <v>1965</v>
      </c>
      <c r="C8" s="846" t="s">
        <v>683</v>
      </c>
      <c r="D8" s="846" t="s">
        <v>692</v>
      </c>
      <c r="E8" s="846" t="s">
        <v>693</v>
      </c>
      <c r="F8" s="846" t="s">
        <v>681</v>
      </c>
      <c r="AI8">
        <v>192002002</v>
      </c>
      <c r="AP8">
        <v>-0.14054083470239145</v>
      </c>
      <c r="AQ8">
        <v>0.99026806874157036</v>
      </c>
      <c r="AR8">
        <v>0.13917310096006544</v>
      </c>
      <c r="AV8">
        <v>-0.14945100134912781</v>
      </c>
      <c r="AW8">
        <v>0.98901586336191682</v>
      </c>
      <c r="AX8">
        <v>0.14780941112961063</v>
      </c>
      <c r="AY8">
        <v>-4.8793145658828774</v>
      </c>
      <c r="AZ8">
        <v>8.0894609286181822</v>
      </c>
      <c r="BC8" s="3848" t="s">
        <v>258</v>
      </c>
      <c r="BE8" s="3838" t="s">
        <v>561</v>
      </c>
      <c r="BF8" s="3838"/>
      <c r="BG8" s="3838"/>
      <c r="BH8" s="3838"/>
      <c r="BI8" s="3838"/>
      <c r="BJ8" s="3838"/>
      <c r="BK8" s="3838"/>
      <c r="BL8" s="3838"/>
      <c r="BM8" s="3838"/>
      <c r="BN8" s="3838"/>
      <c r="BO8" s="3838"/>
      <c r="BP8" s="3838"/>
      <c r="BQ8" s="3838"/>
      <c r="BR8" s="3838"/>
      <c r="BS8" s="3838"/>
      <c r="BT8" s="3838"/>
      <c r="BU8" s="3838"/>
      <c r="BV8" s="3838"/>
    </row>
    <row r="9" spans="1:256" ht="12" customHeight="1">
      <c r="A9" s="847" t="s">
        <v>4</v>
      </c>
      <c r="B9" s="846">
        <v>1966</v>
      </c>
      <c r="C9" s="846" t="s">
        <v>695</v>
      </c>
      <c r="D9" s="846" t="s">
        <v>694</v>
      </c>
      <c r="E9" s="846" t="s">
        <v>700</v>
      </c>
      <c r="F9" s="846" t="s">
        <v>699</v>
      </c>
      <c r="AI9">
        <v>215001001</v>
      </c>
      <c r="AP9">
        <v>-0.15838444032453627</v>
      </c>
      <c r="AQ9">
        <v>0.98768834059513777</v>
      </c>
      <c r="AR9">
        <v>0.15643446504023087</v>
      </c>
      <c r="AV9">
        <v>-0.16734260908141954</v>
      </c>
      <c r="AW9">
        <v>0.98628560153723144</v>
      </c>
      <c r="AX9">
        <v>0.16504760586067763</v>
      </c>
      <c r="AY9">
        <v>-4.7487110157989134</v>
      </c>
      <c r="AZ9">
        <v>7.2140792339708515</v>
      </c>
      <c r="BC9" s="3845"/>
      <c r="BE9" s="3838"/>
      <c r="BF9" s="3838"/>
      <c r="BG9" s="3838"/>
      <c r="BH9" s="3838"/>
      <c r="BI9" s="3838"/>
      <c r="BJ9" s="3838"/>
      <c r="BK9" s="3838"/>
      <c r="BL9" s="3838"/>
      <c r="BM9" s="3838"/>
      <c r="BN9" s="3838"/>
      <c r="BO9" s="3838"/>
      <c r="BP9" s="3838"/>
      <c r="BQ9" s="3838"/>
      <c r="BR9" s="3838"/>
      <c r="BS9" s="3838"/>
      <c r="BT9" s="3838"/>
      <c r="BU9" s="3838"/>
      <c r="BV9" s="3838"/>
    </row>
    <row r="10" spans="1:256" ht="12" customHeight="1">
      <c r="A10" s="847" t="s">
        <v>702</v>
      </c>
      <c r="B10" s="846">
        <v>1968</v>
      </c>
      <c r="C10" s="846" t="s">
        <v>701</v>
      </c>
      <c r="D10" s="846" t="s">
        <v>694</v>
      </c>
      <c r="E10" s="846" t="s">
        <v>700</v>
      </c>
      <c r="F10" s="846" t="s">
        <v>703</v>
      </c>
      <c r="AI10">
        <v>254000000</v>
      </c>
      <c r="AP10">
        <v>-0.17632698070846498</v>
      </c>
      <c r="AQ10">
        <v>0.98480775301220802</v>
      </c>
      <c r="AR10">
        <v>0.17364817766693033</v>
      </c>
      <c r="AV10">
        <v>-0.18533904493153439</v>
      </c>
      <c r="AW10">
        <v>0.98325490756395462</v>
      </c>
      <c r="AX10">
        <v>0.18223552549214747</v>
      </c>
      <c r="AY10">
        <v>-4.6246130035990181</v>
      </c>
      <c r="AZ10">
        <v>6.4714890872452067</v>
      </c>
      <c r="BC10" s="3845"/>
      <c r="BE10" s="3838"/>
      <c r="BF10" s="3838"/>
      <c r="BG10" s="3838"/>
      <c r="BH10" s="3838"/>
      <c r="BI10" s="3838"/>
      <c r="BJ10" s="3838"/>
      <c r="BK10" s="3838"/>
      <c r="BL10" s="3838"/>
      <c r="BM10" s="3838"/>
      <c r="BN10" s="3838"/>
      <c r="BO10" s="3838"/>
      <c r="BP10" s="3838"/>
      <c r="BQ10" s="3838"/>
      <c r="BR10" s="3838"/>
      <c r="BS10" s="3838"/>
      <c r="BT10" s="3838"/>
      <c r="BU10" s="3838"/>
      <c r="BV10" s="3838"/>
    </row>
    <row r="11" spans="1:256" ht="12" customHeight="1">
      <c r="A11" s="847" t="s">
        <v>835</v>
      </c>
      <c r="B11" s="846">
        <v>1968</v>
      </c>
      <c r="C11" s="846" t="s">
        <v>704</v>
      </c>
      <c r="D11" s="846" t="s">
        <v>706</v>
      </c>
      <c r="E11" s="846" t="s">
        <v>705</v>
      </c>
      <c r="F11" s="846" t="s">
        <v>698</v>
      </c>
      <c r="AH11" t="s">
        <v>539</v>
      </c>
      <c r="AI11">
        <v>29044029</v>
      </c>
      <c r="AP11">
        <v>-0.19438030913771848</v>
      </c>
      <c r="AQ11">
        <v>0.98162718344766398</v>
      </c>
      <c r="AR11">
        <v>0.1908089953765448</v>
      </c>
      <c r="AV11">
        <v>-0.20345229942369933</v>
      </c>
      <c r="AW11">
        <v>0.97992470462082959</v>
      </c>
      <c r="AX11">
        <v>0.19936793441719716</v>
      </c>
      <c r="AY11">
        <v>-4.505973157240085</v>
      </c>
      <c r="AZ11">
        <v>5.8306558098582766</v>
      </c>
      <c r="BC11" s="3845"/>
      <c r="BE11" s="3838"/>
      <c r="BF11" s="3838"/>
      <c r="BG11" s="3838"/>
      <c r="BH11" s="3838"/>
      <c r="BI11" s="3838"/>
      <c r="BJ11" s="3838"/>
      <c r="BK11" s="3838"/>
      <c r="BL11" s="3838"/>
      <c r="BM11" s="3838"/>
      <c r="BN11" s="3838"/>
      <c r="BO11" s="3838"/>
      <c r="BP11" s="3838"/>
      <c r="BQ11" s="3838"/>
      <c r="BR11" s="3838"/>
      <c r="BS11" s="3838"/>
      <c r="BT11" s="3838"/>
      <c r="BU11" s="3838"/>
      <c r="BV11" s="3838"/>
    </row>
    <row r="12" spans="1:256" ht="12" customHeight="1">
      <c r="A12" s="847" t="s">
        <v>5</v>
      </c>
      <c r="B12" s="846">
        <v>1969</v>
      </c>
      <c r="C12" s="849" t="s">
        <v>708</v>
      </c>
      <c r="D12" s="846" t="s">
        <v>707</v>
      </c>
      <c r="E12" s="846" t="s">
        <v>687</v>
      </c>
      <c r="F12" s="846" t="s">
        <v>709</v>
      </c>
      <c r="AI12">
        <v>26064026</v>
      </c>
      <c r="AP12">
        <v>-0.2125565616700221</v>
      </c>
      <c r="AQ12">
        <v>0.97814760073380569</v>
      </c>
      <c r="AR12">
        <v>0.20791169081775931</v>
      </c>
      <c r="AV12">
        <v>-0.22169466264293988</v>
      </c>
      <c r="AW12">
        <v>0.97629600711993336</v>
      </c>
      <c r="AX12">
        <v>0.21643961393810288</v>
      </c>
      <c r="AY12">
        <v>-4.3919720144444945</v>
      </c>
      <c r="AZ12">
        <v>5.26980698720687</v>
      </c>
      <c r="BC12" s="3845"/>
      <c r="BE12" s="3838"/>
      <c r="BF12" s="3838"/>
      <c r="BG12" s="3838"/>
      <c r="BH12" s="3838"/>
      <c r="BI12" s="3838"/>
      <c r="BJ12" s="3838"/>
      <c r="BK12" s="3838"/>
      <c r="BL12" s="3838"/>
      <c r="BM12" s="3838"/>
      <c r="BN12" s="3838"/>
      <c r="BO12" s="3838"/>
      <c r="BP12" s="3838"/>
      <c r="BQ12" s="3838"/>
      <c r="BR12" s="3838"/>
      <c r="BS12" s="3838"/>
      <c r="BT12" s="3838"/>
      <c r="BU12" s="3838"/>
      <c r="BV12" s="3838"/>
    </row>
    <row r="13" spans="1:256" ht="12" customHeight="1">
      <c r="A13" s="845" t="s">
        <v>827</v>
      </c>
      <c r="B13" s="846">
        <v>1970</v>
      </c>
      <c r="C13" s="846" t="s">
        <v>733</v>
      </c>
      <c r="D13" s="846" t="s">
        <v>694</v>
      </c>
      <c r="E13" s="846" t="s">
        <v>687</v>
      </c>
      <c r="F13" s="846" t="s">
        <v>698</v>
      </c>
      <c r="AI13">
        <v>16096016</v>
      </c>
      <c r="AP13">
        <v>-0.23086819112556312</v>
      </c>
      <c r="AQ13">
        <v>0.97437006478523525</v>
      </c>
      <c r="AR13">
        <v>0.224951054343865</v>
      </c>
      <c r="AV13">
        <v>-0.24007875908011603</v>
      </c>
      <c r="AW13">
        <v>0.97236992039767656</v>
      </c>
      <c r="AX13">
        <v>0.23344536385590539</v>
      </c>
      <c r="AY13">
        <v>-4.2819525177035596</v>
      </c>
      <c r="AZ13">
        <v>4.7731570947258231</v>
      </c>
      <c r="BC13" s="3845"/>
      <c r="BE13" s="3838"/>
      <c r="BF13" s="3838"/>
      <c r="BG13" s="3838"/>
      <c r="BH13" s="3838"/>
      <c r="BI13" s="3838"/>
      <c r="BJ13" s="3838"/>
      <c r="BK13" s="3838"/>
      <c r="BL13" s="3838"/>
      <c r="BM13" s="3838"/>
      <c r="BN13" s="3838"/>
      <c r="BO13" s="3838"/>
      <c r="BP13" s="3838"/>
      <c r="BQ13" s="3838"/>
      <c r="BR13" s="3838"/>
      <c r="BS13" s="3838"/>
      <c r="BT13" s="3838"/>
      <c r="BU13" s="3838"/>
      <c r="BV13" s="3838"/>
    </row>
    <row r="14" spans="1:256" ht="12" customHeight="1">
      <c r="A14" s="847" t="s">
        <v>6</v>
      </c>
      <c r="B14" s="846">
        <v>1971</v>
      </c>
      <c r="C14" s="846" t="s">
        <v>783</v>
      </c>
      <c r="D14" s="846" t="s">
        <v>784</v>
      </c>
      <c r="E14" s="846" t="s">
        <v>687</v>
      </c>
      <c r="F14" s="846" t="s">
        <v>698</v>
      </c>
      <c r="AI14">
        <v>8128008</v>
      </c>
      <c r="AP14">
        <v>-0.24932800284318068</v>
      </c>
      <c r="AQ14">
        <v>0.97029572627599647</v>
      </c>
      <c r="AR14">
        <v>0.24192189559966773</v>
      </c>
      <c r="AV14">
        <v>-0.25861758435589027</v>
      </c>
      <c r="AW14">
        <v>0.96814764037810774</v>
      </c>
      <c r="AX14">
        <v>0.25038000405444144</v>
      </c>
      <c r="AY14">
        <v>-4.1753768231883068</v>
      </c>
      <c r="AZ14">
        <v>4.3289447819797857</v>
      </c>
      <c r="BC14" s="3845"/>
      <c r="BE14" s="3838"/>
      <c r="BF14" s="3838"/>
      <c r="BG14" s="3838"/>
      <c r="BH14" s="3838"/>
      <c r="BI14" s="3838"/>
      <c r="BJ14" s="3838"/>
      <c r="BK14" s="3838"/>
      <c r="BL14" s="3838"/>
      <c r="BM14" s="3838"/>
      <c r="BN14" s="3838"/>
      <c r="BO14" s="3838"/>
      <c r="BP14" s="3838"/>
      <c r="BQ14" s="3838"/>
      <c r="BR14" s="3838"/>
      <c r="BS14" s="3838"/>
      <c r="BT14" s="3838"/>
      <c r="BU14" s="3838"/>
      <c r="BV14" s="3838"/>
    </row>
    <row r="15" spans="1:256" ht="12" customHeight="1">
      <c r="A15" s="847" t="s">
        <v>7</v>
      </c>
      <c r="B15" s="846">
        <v>1972</v>
      </c>
      <c r="C15" s="846" t="s">
        <v>785</v>
      </c>
      <c r="D15" s="846" t="s">
        <v>790</v>
      </c>
      <c r="E15" s="846" t="s">
        <v>687</v>
      </c>
      <c r="F15" s="846" t="s">
        <v>698</v>
      </c>
      <c r="AI15">
        <v>4160004</v>
      </c>
      <c r="AP15">
        <v>-0.2679491924311227</v>
      </c>
      <c r="AQ15">
        <v>0.96592582628906831</v>
      </c>
      <c r="AR15">
        <v>0.25881904510252074</v>
      </c>
      <c r="AV15">
        <v>-0.27732454405983847</v>
      </c>
      <c r="AW15">
        <v>0.96363045320862295</v>
      </c>
      <c r="AX15">
        <v>0.26723837607825685</v>
      </c>
      <c r="AY15">
        <v>-4.0717967697244912</v>
      </c>
      <c r="AZ15">
        <v>3.9282032302755105</v>
      </c>
      <c r="BC15" s="3845"/>
      <c r="BE15" s="3838"/>
      <c r="BF15" s="3838"/>
      <c r="BG15" s="3838"/>
      <c r="BH15" s="3838"/>
      <c r="BI15" s="3838"/>
      <c r="BJ15" s="3838"/>
      <c r="BK15" s="3838"/>
      <c r="BL15" s="3838"/>
      <c r="BM15" s="3838"/>
      <c r="BN15" s="3838"/>
      <c r="BO15" s="3838"/>
      <c r="BP15" s="3838"/>
      <c r="BQ15" s="3838"/>
      <c r="BR15" s="3838"/>
      <c r="BS15" s="3838"/>
      <c r="BT15" s="3838"/>
      <c r="BU15" s="3838"/>
      <c r="BV15" s="3838"/>
    </row>
    <row r="16" spans="1:256" ht="12" customHeight="1">
      <c r="A16" s="847" t="s">
        <v>797</v>
      </c>
      <c r="B16" s="846">
        <v>1973</v>
      </c>
      <c r="C16" s="846" t="s">
        <v>787</v>
      </c>
      <c r="D16" s="846" t="s">
        <v>788</v>
      </c>
      <c r="E16" s="846" t="s">
        <v>687</v>
      </c>
      <c r="F16" s="846" t="s">
        <v>698</v>
      </c>
      <c r="AI16">
        <v>2192002</v>
      </c>
      <c r="AP16">
        <v>-0.28674538575880792</v>
      </c>
      <c r="AQ16">
        <v>0.96126169593831889</v>
      </c>
      <c r="AR16">
        <v>0.27563735581699916</v>
      </c>
      <c r="AV16">
        <v>-0.29621349496208027</v>
      </c>
      <c r="AW16">
        <v>0.95881973486819305</v>
      </c>
      <c r="AX16">
        <v>0.28401534470392265</v>
      </c>
      <c r="AY16">
        <v>-3.9708330610080509</v>
      </c>
      <c r="AZ16">
        <v>3.5639605358458759</v>
      </c>
      <c r="BC16" s="3846" t="s">
        <v>562</v>
      </c>
      <c r="BE16" s="3837" t="s">
        <v>159</v>
      </c>
      <c r="BF16" s="3845"/>
      <c r="BG16" s="3845"/>
      <c r="BH16" s="3845"/>
      <c r="BI16" s="3845"/>
      <c r="BJ16" s="3845"/>
      <c r="BK16" s="3845"/>
      <c r="BL16" s="3845"/>
      <c r="BM16" s="3845"/>
      <c r="BN16" s="3845"/>
      <c r="BO16" s="3845"/>
      <c r="BP16" s="3845"/>
      <c r="BQ16" s="3845"/>
      <c r="BR16" s="3845"/>
      <c r="BS16" s="3845"/>
      <c r="BT16" s="3845"/>
      <c r="BU16" s="3845"/>
      <c r="BV16" s="3845"/>
    </row>
    <row r="17" spans="1:74" ht="12" customHeight="1">
      <c r="A17" s="850" t="s">
        <v>8</v>
      </c>
      <c r="B17" s="846">
        <v>1973</v>
      </c>
      <c r="C17" s="846" t="s">
        <v>789</v>
      </c>
      <c r="D17" s="846" t="s">
        <v>791</v>
      </c>
      <c r="E17" s="846" t="s">
        <v>687</v>
      </c>
      <c r="F17" s="846" t="s">
        <v>786</v>
      </c>
      <c r="AI17">
        <v>1215001</v>
      </c>
      <c r="AP17">
        <v>-0.30573068145866039</v>
      </c>
      <c r="AQ17">
        <v>0.95630475596303544</v>
      </c>
      <c r="AR17">
        <v>0.29237170472273677</v>
      </c>
      <c r="AV17">
        <v>-0.31529878887898349</v>
      </c>
      <c r="AW17">
        <v>0.95371695074822693</v>
      </c>
      <c r="AX17">
        <v>0.30070579950427312</v>
      </c>
      <c r="AY17">
        <v>-3.8721602012447742</v>
      </c>
      <c r="AZ17">
        <v>3.2307029959574383</v>
      </c>
      <c r="BC17" s="3843"/>
      <c r="BE17" s="3845"/>
      <c r="BF17" s="3845"/>
      <c r="BG17" s="3845"/>
      <c r="BH17" s="3845"/>
      <c r="BI17" s="3845"/>
      <c r="BJ17" s="3845"/>
      <c r="BK17" s="3845"/>
      <c r="BL17" s="3845"/>
      <c r="BM17" s="3845"/>
      <c r="BN17" s="3845"/>
      <c r="BO17" s="3845"/>
      <c r="BP17" s="3845"/>
      <c r="BQ17" s="3845"/>
      <c r="BR17" s="3845"/>
      <c r="BS17" s="3845"/>
      <c r="BT17" s="3845"/>
      <c r="BU17" s="3845"/>
      <c r="BV17" s="3845"/>
    </row>
    <row r="18" spans="1:74" ht="12" customHeight="1">
      <c r="A18" s="847" t="s">
        <v>792</v>
      </c>
      <c r="B18" s="846">
        <v>1973</v>
      </c>
      <c r="C18" s="846" t="s">
        <v>793</v>
      </c>
      <c r="D18" s="846" t="s">
        <v>794</v>
      </c>
      <c r="E18" s="846" t="s">
        <v>796</v>
      </c>
      <c r="F18" s="846" t="s">
        <v>795</v>
      </c>
      <c r="AI18">
        <v>254000</v>
      </c>
      <c r="AP18">
        <v>-0.32491969623290629</v>
      </c>
      <c r="AQ18">
        <v>0.95105651629515353</v>
      </c>
      <c r="AR18">
        <v>0.3090169943749474</v>
      </c>
      <c r="AV18">
        <v>-0.33459531950207316</v>
      </c>
      <c r="AW18">
        <v>0.94832365520619932</v>
      </c>
      <c r="AX18">
        <v>0.31730465640509214</v>
      </c>
      <c r="AY18">
        <v>-3.7754953435522842</v>
      </c>
      <c r="AZ18">
        <v>2.9240048966940826</v>
      </c>
      <c r="BC18" s="3843"/>
      <c r="BE18" s="3845"/>
      <c r="BF18" s="3845"/>
      <c r="BG18" s="3845"/>
      <c r="BH18" s="3845"/>
      <c r="BI18" s="3845"/>
      <c r="BJ18" s="3845"/>
      <c r="BK18" s="3845"/>
      <c r="BL18" s="3845"/>
      <c r="BM18" s="3845"/>
      <c r="BN18" s="3845"/>
      <c r="BO18" s="3845"/>
      <c r="BP18" s="3845"/>
      <c r="BQ18" s="3845"/>
      <c r="BR18" s="3845"/>
      <c r="BS18" s="3845"/>
      <c r="BT18" s="3845"/>
      <c r="BU18" s="3845"/>
      <c r="BV18" s="3845"/>
    </row>
    <row r="19" spans="1:74" ht="12" customHeight="1">
      <c r="A19" s="847" t="s">
        <v>9</v>
      </c>
      <c r="B19" s="846">
        <v>1973</v>
      </c>
      <c r="C19" s="846" t="s">
        <v>798</v>
      </c>
      <c r="D19" s="846" t="s">
        <v>706</v>
      </c>
      <c r="E19" s="846" t="s">
        <v>705</v>
      </c>
      <c r="F19" s="846" t="s">
        <v>698</v>
      </c>
      <c r="AH19" t="s">
        <v>540</v>
      </c>
      <c r="AI19">
        <v>26026064</v>
      </c>
      <c r="AP19">
        <v>-0.34432761328966521</v>
      </c>
      <c r="AQ19">
        <v>0.94551857559931685</v>
      </c>
      <c r="AR19">
        <v>0.32556815445715664</v>
      </c>
      <c r="AV19">
        <v>-0.35411857253069801</v>
      </c>
      <c r="AW19">
        <v>0.94264149109217843</v>
      </c>
      <c r="AX19">
        <v>0.3338068592337709</v>
      </c>
      <c r="AY19">
        <v>-3.680589867872714</v>
      </c>
      <c r="AZ19">
        <v>2.640267013191405</v>
      </c>
      <c r="BC19" s="3843"/>
      <c r="BE19" s="3845"/>
      <c r="BF19" s="3845"/>
      <c r="BG19" s="3845"/>
      <c r="BH19" s="3845"/>
      <c r="BI19" s="3845"/>
      <c r="BJ19" s="3845"/>
      <c r="BK19" s="3845"/>
      <c r="BL19" s="3845"/>
      <c r="BM19" s="3845"/>
      <c r="BN19" s="3845"/>
      <c r="BO19" s="3845"/>
      <c r="BP19" s="3845"/>
      <c r="BQ19" s="3845"/>
      <c r="BR19" s="3845"/>
      <c r="BS19" s="3845"/>
      <c r="BT19" s="3845"/>
      <c r="BU19" s="3845"/>
      <c r="BV19" s="3845"/>
    </row>
    <row r="20" spans="1:74" ht="12" customHeight="1">
      <c r="A20" s="847" t="s">
        <v>799</v>
      </c>
      <c r="B20" s="846">
        <v>1974</v>
      </c>
      <c r="C20" s="846" t="s">
        <v>787</v>
      </c>
      <c r="D20" s="846" t="s">
        <v>788</v>
      </c>
      <c r="E20" s="846" t="s">
        <v>687</v>
      </c>
      <c r="F20" s="846" t="s">
        <v>698</v>
      </c>
      <c r="AI20">
        <v>20020080</v>
      </c>
      <c r="AP20">
        <v>-0.36397023426620234</v>
      </c>
      <c r="AQ20">
        <v>0.93969262078590843</v>
      </c>
      <c r="AR20">
        <v>0.34202014332566871</v>
      </c>
      <c r="AV20">
        <v>-0.37388467948480464</v>
      </c>
      <c r="AW20">
        <v>0.93667218924839768</v>
      </c>
      <c r="AX20">
        <v>0.35020738125946738</v>
      </c>
      <c r="AY20">
        <v>-3.5872229055330211</v>
      </c>
      <c r="AZ20">
        <v>2.3765280046799795</v>
      </c>
      <c r="BC20" s="3843"/>
      <c r="BE20" s="3837" t="s">
        <v>259</v>
      </c>
      <c r="BF20" s="3838"/>
      <c r="BG20" s="3838"/>
      <c r="BH20" s="3838"/>
      <c r="BI20" s="3838"/>
      <c r="BJ20" s="3838"/>
      <c r="BK20" s="3838"/>
      <c r="BL20" s="3838"/>
      <c r="BM20" s="3838"/>
      <c r="BN20" s="3838"/>
      <c r="BO20" s="3838"/>
      <c r="BP20" s="3838"/>
      <c r="BQ20" s="3838"/>
      <c r="BR20" s="3838"/>
      <c r="BS20" s="3838"/>
      <c r="BT20" s="3838"/>
      <c r="BU20" s="3838"/>
      <c r="BV20" s="3838"/>
    </row>
    <row r="21" spans="1:74" ht="12" customHeight="1">
      <c r="A21" s="847" t="s">
        <v>10</v>
      </c>
      <c r="B21" s="846">
        <v>1974</v>
      </c>
      <c r="C21" s="846" t="s">
        <v>800</v>
      </c>
      <c r="D21" s="846" t="s">
        <v>794</v>
      </c>
      <c r="E21" s="846" t="s">
        <v>687</v>
      </c>
      <c r="F21" s="846" t="s">
        <v>698</v>
      </c>
      <c r="AI21">
        <v>18018112</v>
      </c>
      <c r="AP21">
        <v>-0.38386403503541577</v>
      </c>
      <c r="AQ21">
        <v>0.93358042649720174</v>
      </c>
      <c r="AR21">
        <v>0.35836794954530027</v>
      </c>
      <c r="AV21">
        <v>-0.39391047561494236</v>
      </c>
      <c r="AW21">
        <v>0.93041756798202457</v>
      </c>
      <c r="AX21">
        <v>0.36650122672429725</v>
      </c>
      <c r="AY21">
        <v>-3.4951962792285638</v>
      </c>
      <c r="AZ21">
        <v>2.130325846879817</v>
      </c>
      <c r="BC21" s="3843"/>
      <c r="BE21" s="3838"/>
      <c r="BF21" s="3838"/>
      <c r="BG21" s="3838"/>
      <c r="BH21" s="3838"/>
      <c r="BI21" s="3838"/>
      <c r="BJ21" s="3838"/>
      <c r="BK21" s="3838"/>
      <c r="BL21" s="3838"/>
      <c r="BM21" s="3838"/>
      <c r="BN21" s="3838"/>
      <c r="BO21" s="3838"/>
      <c r="BP21" s="3838"/>
      <c r="BQ21" s="3838"/>
      <c r="BR21" s="3838"/>
      <c r="BS21" s="3838"/>
      <c r="BT21" s="3838"/>
      <c r="BU21" s="3838"/>
      <c r="BV21" s="3838"/>
    </row>
    <row r="22" spans="1:74" ht="12" customHeight="1">
      <c r="A22" s="847" t="s">
        <v>801</v>
      </c>
      <c r="B22" s="846">
        <v>1975</v>
      </c>
      <c r="C22" s="846" t="s">
        <v>802</v>
      </c>
      <c r="D22" s="846" t="s">
        <v>694</v>
      </c>
      <c r="E22" s="846" t="s">
        <v>700</v>
      </c>
      <c r="F22" s="846" t="s">
        <v>699</v>
      </c>
      <c r="AI22">
        <v>14014140</v>
      </c>
      <c r="AP22">
        <v>-0.40402622583515679</v>
      </c>
      <c r="AQ22">
        <v>0.92718385456678742</v>
      </c>
      <c r="AR22">
        <v>0.37460659341591201</v>
      </c>
      <c r="AV22">
        <v>-0.41421356237309503</v>
      </c>
      <c r="AW22">
        <v>0.92387953251128674</v>
      </c>
      <c r="AX22">
        <v>0.38268343236508978</v>
      </c>
      <c r="AY22">
        <v>-3.4043304897800999</v>
      </c>
      <c r="AZ22">
        <v>1.8995943339750863</v>
      </c>
      <c r="BC22" s="3843"/>
      <c r="BE22" s="3838"/>
      <c r="BF22" s="3838"/>
      <c r="BG22" s="3838"/>
      <c r="BH22" s="3838"/>
      <c r="BI22" s="3838"/>
      <c r="BJ22" s="3838"/>
      <c r="BK22" s="3838"/>
      <c r="BL22" s="3838"/>
      <c r="BM22" s="3838"/>
      <c r="BN22" s="3838"/>
      <c r="BO22" s="3838"/>
      <c r="BP22" s="3838"/>
      <c r="BQ22" s="3838"/>
      <c r="BR22" s="3838"/>
      <c r="BS22" s="3838"/>
      <c r="BT22" s="3838"/>
      <c r="BU22" s="3838"/>
      <c r="BV22" s="3838"/>
    </row>
    <row r="23" spans="1:74" ht="12" customHeight="1">
      <c r="A23" s="847" t="s">
        <v>803</v>
      </c>
      <c r="B23" s="846">
        <v>1976</v>
      </c>
      <c r="C23" s="846" t="s">
        <v>804</v>
      </c>
      <c r="D23" s="846" t="s">
        <v>805</v>
      </c>
      <c r="E23" s="846" t="s">
        <v>806</v>
      </c>
      <c r="F23" s="846" t="s">
        <v>698</v>
      </c>
      <c r="AI23">
        <v>10010176</v>
      </c>
      <c r="AP23">
        <v>-0.4244748162096047</v>
      </c>
      <c r="AQ23">
        <v>0.92050485345244037</v>
      </c>
      <c r="AR23">
        <v>0.39073112848927372</v>
      </c>
      <c r="AV23">
        <v>-0.43481237496093361</v>
      </c>
      <c r="AW23">
        <v>0.91706007438512405</v>
      </c>
      <c r="AX23">
        <v>0.3987490689252462</v>
      </c>
      <c r="AY23">
        <v>-3.3144614886414021</v>
      </c>
      <c r="AZ23">
        <v>1.682584621318707</v>
      </c>
      <c r="BC23" s="3843"/>
      <c r="BE23" s="3838"/>
      <c r="BF23" s="3838"/>
      <c r="BG23" s="3838"/>
      <c r="BH23" s="3838"/>
      <c r="BI23" s="3838"/>
      <c r="BJ23" s="3838"/>
      <c r="BK23" s="3838"/>
      <c r="BL23" s="3838"/>
      <c r="BM23" s="3838"/>
      <c r="BN23" s="3838"/>
      <c r="BO23" s="3838"/>
      <c r="BP23" s="3838"/>
      <c r="BQ23" s="3838"/>
      <c r="BR23" s="3838"/>
      <c r="BS23" s="3838"/>
      <c r="BT23" s="3838"/>
      <c r="BU23" s="3838"/>
      <c r="BV23" s="3838"/>
    </row>
    <row r="24" spans="1:74" ht="12" customHeight="1">
      <c r="A24" s="847" t="s">
        <v>809</v>
      </c>
      <c r="B24" s="846">
        <v>1978</v>
      </c>
      <c r="C24" s="846" t="s">
        <v>807</v>
      </c>
      <c r="D24" s="846" t="s">
        <v>808</v>
      </c>
      <c r="E24" s="846" t="s">
        <v>687</v>
      </c>
      <c r="F24" s="846" t="s">
        <v>698</v>
      </c>
      <c r="AI24">
        <v>18018200</v>
      </c>
      <c r="AP24">
        <v>-0.4452286853085361</v>
      </c>
      <c r="AQ24">
        <v>0.91354545764260087</v>
      </c>
      <c r="AR24">
        <v>0.40673664307580015</v>
      </c>
      <c r="AV24">
        <v>-0.45572625553258467</v>
      </c>
      <c r="AW24">
        <v>0.90996127087654322</v>
      </c>
      <c r="AX24">
        <v>0.41469324265623903</v>
      </c>
      <c r="AY24">
        <v>-3.2254380479487219</v>
      </c>
      <c r="AZ24">
        <v>1.4778049496868544</v>
      </c>
      <c r="BC24" s="3846" t="s">
        <v>563</v>
      </c>
      <c r="BE24" s="3838"/>
      <c r="BF24" s="3838"/>
      <c r="BG24" s="3838"/>
      <c r="BH24" s="3838"/>
      <c r="BI24" s="3838"/>
      <c r="BJ24" s="3838"/>
      <c r="BK24" s="3838"/>
      <c r="BL24" s="3838"/>
      <c r="BM24" s="3838"/>
      <c r="BN24" s="3838"/>
      <c r="BO24" s="3838"/>
      <c r="BP24" s="3838"/>
      <c r="BQ24" s="3838"/>
      <c r="BR24" s="3838"/>
      <c r="BS24" s="3838"/>
      <c r="BT24" s="3838"/>
      <c r="BU24" s="3838"/>
      <c r="BV24" s="3838"/>
    </row>
    <row r="25" spans="1:74" ht="12" customHeight="1">
      <c r="A25" s="847" t="s">
        <v>11</v>
      </c>
      <c r="B25" s="846">
        <v>1979</v>
      </c>
      <c r="C25" s="846" t="s">
        <v>810</v>
      </c>
      <c r="D25" s="846" t="s">
        <v>811</v>
      </c>
      <c r="E25" s="846" t="s">
        <v>812</v>
      </c>
      <c r="F25" s="846" t="s">
        <v>813</v>
      </c>
      <c r="AI25">
        <v>26026220</v>
      </c>
      <c r="AP25">
        <v>-0.46630765815499858</v>
      </c>
      <c r="AQ25">
        <v>0.90630778703664994</v>
      </c>
      <c r="AR25">
        <v>0.42261826174069944</v>
      </c>
      <c r="AV25">
        <v>-0.47697553269816012</v>
      </c>
      <c r="AW25">
        <v>0.90258528434986063</v>
      </c>
      <c r="AX25">
        <v>0.43051109680829508</v>
      </c>
      <c r="AY25">
        <v>-3.137119590129672</v>
      </c>
      <c r="AZ25">
        <v>1.2839737720677196</v>
      </c>
      <c r="BC25" s="3843"/>
      <c r="BE25" s="3838"/>
      <c r="BF25" s="3838"/>
      <c r="BG25" s="3838"/>
      <c r="BH25" s="3838"/>
      <c r="BI25" s="3838"/>
      <c r="BJ25" s="3838"/>
      <c r="BK25" s="3838"/>
      <c r="BL25" s="3838"/>
      <c r="BM25" s="3838"/>
      <c r="BN25" s="3838"/>
      <c r="BO25" s="3838"/>
      <c r="BP25" s="3838"/>
      <c r="BQ25" s="3838"/>
      <c r="BR25" s="3838"/>
      <c r="BS25" s="3838"/>
      <c r="BT25" s="3838"/>
      <c r="BU25" s="3838"/>
      <c r="BV25" s="3838"/>
    </row>
    <row r="26" spans="1:74" ht="12" customHeight="1">
      <c r="A26" s="847" t="s">
        <v>814</v>
      </c>
      <c r="B26" s="846">
        <v>1979</v>
      </c>
      <c r="C26" s="846" t="s">
        <v>815</v>
      </c>
      <c r="D26" s="846" t="s">
        <v>816</v>
      </c>
      <c r="E26" s="846" t="s">
        <v>812</v>
      </c>
      <c r="F26" s="846" t="s">
        <v>698</v>
      </c>
      <c r="AI26">
        <v>36036254</v>
      </c>
      <c r="AP26">
        <v>-0.48773258856586144</v>
      </c>
      <c r="AQ26">
        <v>0.89879404629916704</v>
      </c>
      <c r="AR26">
        <v>0.4383711467890774</v>
      </c>
      <c r="AV26">
        <v>-0.49858160805343149</v>
      </c>
      <c r="AW26">
        <v>0.89493436160202511</v>
      </c>
      <c r="AX26">
        <v>0.44619781310980877</v>
      </c>
      <c r="AY26">
        <v>-3.0493743743417592</v>
      </c>
      <c r="AZ26">
        <v>1.0999828969287009</v>
      </c>
      <c r="BC26" s="3843"/>
      <c r="BE26" s="3838"/>
      <c r="BF26" s="3838"/>
      <c r="BG26" s="3838"/>
      <c r="BH26" s="3838"/>
      <c r="BI26" s="3838"/>
      <c r="BJ26" s="3838"/>
      <c r="BK26" s="3838"/>
      <c r="BL26" s="3838"/>
      <c r="BM26" s="3838"/>
      <c r="BN26" s="3838"/>
      <c r="BO26" s="3838"/>
      <c r="BP26" s="3838"/>
      <c r="BQ26" s="3838"/>
      <c r="BR26" s="3838"/>
      <c r="BS26" s="3838"/>
      <c r="BT26" s="3838"/>
      <c r="BU26" s="3838"/>
      <c r="BV26" s="3838"/>
    </row>
    <row r="27" spans="1:74" ht="12" customHeight="1">
      <c r="A27" s="847" t="s">
        <v>817</v>
      </c>
      <c r="B27" s="846">
        <v>1979</v>
      </c>
      <c r="C27" s="846" t="s">
        <v>818</v>
      </c>
      <c r="D27" s="846" t="s">
        <v>811</v>
      </c>
      <c r="E27" s="846" t="s">
        <v>812</v>
      </c>
      <c r="F27" s="846" t="s">
        <v>698</v>
      </c>
      <c r="AH27" t="s">
        <v>541</v>
      </c>
      <c r="AI27">
        <v>42039036</v>
      </c>
      <c r="AP27">
        <v>-0.50952544949442879</v>
      </c>
      <c r="AQ27">
        <v>0.8910065241883679</v>
      </c>
      <c r="AR27">
        <v>0.45399049973954675</v>
      </c>
      <c r="AV27">
        <v>-0.52056705055174624</v>
      </c>
      <c r="AW27">
        <v>0.88701083317822171</v>
      </c>
      <c r="AX27">
        <v>0.46174861323503391</v>
      </c>
      <c r="AY27">
        <v>-2.9620779621417004</v>
      </c>
      <c r="AZ27">
        <v>0.92486821191146529</v>
      </c>
      <c r="BC27" s="3843"/>
      <c r="BE27" s="3841" t="s">
        <v>255</v>
      </c>
      <c r="BF27" s="3842"/>
      <c r="BG27" s="3842"/>
      <c r="BH27" s="3842"/>
      <c r="BI27" s="3842"/>
      <c r="BJ27" s="3842"/>
      <c r="BK27" s="3842"/>
      <c r="BL27" s="3842"/>
      <c r="BM27" s="3842"/>
      <c r="BN27" s="3842"/>
      <c r="BO27" s="3842"/>
      <c r="BP27" s="3842"/>
      <c r="BQ27" s="3842"/>
      <c r="BR27" s="3842"/>
      <c r="BS27" s="3842"/>
      <c r="BT27" s="3842"/>
      <c r="BU27" s="3842"/>
      <c r="BV27" s="3842"/>
    </row>
    <row r="28" spans="1:74" ht="12" customHeight="1">
      <c r="A28" s="847" t="s">
        <v>819</v>
      </c>
      <c r="B28" s="846">
        <v>1980</v>
      </c>
      <c r="C28" s="846" t="s">
        <v>820</v>
      </c>
      <c r="D28" s="846" t="s">
        <v>824</v>
      </c>
      <c r="E28" s="846" t="s">
        <v>812</v>
      </c>
      <c r="F28" s="846" t="s">
        <v>698</v>
      </c>
      <c r="AI28">
        <v>63059026</v>
      </c>
      <c r="AP28">
        <v>-0.53170943166147877</v>
      </c>
      <c r="AQ28">
        <v>0.88294759285892699</v>
      </c>
      <c r="AR28">
        <v>0.46947156278589081</v>
      </c>
      <c r="AV28">
        <v>-0.54295569963843682</v>
      </c>
      <c r="AW28">
        <v>0.87881711266196538</v>
      </c>
      <c r="AX28">
        <v>0.47715876025960841</v>
      </c>
      <c r="AY28">
        <v>-2.8751119029521153</v>
      </c>
      <c r="AZ28">
        <v>0.75778621071002572</v>
      </c>
      <c r="BC28" s="3843"/>
      <c r="BE28" s="3842"/>
      <c r="BF28" s="3842"/>
      <c r="BG28" s="3842"/>
      <c r="BH28" s="3842"/>
      <c r="BI28" s="3842"/>
      <c r="BJ28" s="3842"/>
      <c r="BK28" s="3842"/>
      <c r="BL28" s="3842"/>
      <c r="BM28" s="3842"/>
      <c r="BN28" s="3842"/>
      <c r="BO28" s="3842"/>
      <c r="BP28" s="3842"/>
      <c r="BQ28" s="3842"/>
      <c r="BR28" s="3842"/>
      <c r="BS28" s="3842"/>
      <c r="BT28" s="3842"/>
      <c r="BU28" s="3842"/>
      <c r="BV28" s="3842"/>
    </row>
    <row r="29" spans="1:74" ht="12" customHeight="1">
      <c r="A29" s="847" t="s">
        <v>13</v>
      </c>
      <c r="B29" s="846">
        <v>1980</v>
      </c>
      <c r="C29" s="846" t="s">
        <v>825</v>
      </c>
      <c r="D29" s="846" t="s">
        <v>826</v>
      </c>
      <c r="E29" s="846" t="s">
        <v>812</v>
      </c>
      <c r="F29" s="846" t="s">
        <v>698</v>
      </c>
      <c r="AI29">
        <v>96090016</v>
      </c>
      <c r="AP29">
        <v>-0.55430905145276899</v>
      </c>
      <c r="AQ29">
        <v>0.87461970713939574</v>
      </c>
      <c r="AR29">
        <v>0.48480962024633706</v>
      </c>
      <c r="AV29">
        <v>-0.56577277818776994</v>
      </c>
      <c r="AW29">
        <v>0.8703556959398997</v>
      </c>
      <c r="AX29">
        <v>0.49242356010346705</v>
      </c>
      <c r="AY29">
        <v>-2.7883625931843792</v>
      </c>
      <c r="AZ29">
        <v>0.59799500978288123</v>
      </c>
      <c r="BC29" s="3843"/>
      <c r="BE29" s="3841" t="s">
        <v>163</v>
      </c>
      <c r="BF29" s="3842"/>
      <c r="BG29" s="3842"/>
      <c r="BH29" s="3842"/>
      <c r="BI29" s="3842"/>
      <c r="BJ29" s="3842"/>
      <c r="BK29" s="3842"/>
      <c r="BL29" s="3842"/>
      <c r="BM29" s="3842"/>
      <c r="BN29" s="3842"/>
      <c r="BO29" s="3842"/>
      <c r="BP29" s="3842"/>
      <c r="BQ29" s="3842"/>
      <c r="BR29" s="3842"/>
      <c r="BS29" s="3842"/>
      <c r="BT29" s="3842"/>
      <c r="BU29" s="3842"/>
      <c r="BV29" s="3842"/>
    </row>
    <row r="30" spans="1:74" ht="12" customHeight="1">
      <c r="A30" s="847" t="s">
        <v>830</v>
      </c>
      <c r="B30" s="846">
        <v>1981</v>
      </c>
      <c r="C30" s="846" t="s">
        <v>831</v>
      </c>
      <c r="D30" s="846" t="s">
        <v>811</v>
      </c>
      <c r="E30" s="846" t="s">
        <v>812</v>
      </c>
      <c r="F30" s="846" t="s">
        <v>698</v>
      </c>
      <c r="AI30">
        <v>134124008</v>
      </c>
      <c r="AP30">
        <v>-0.57735026918962573</v>
      </c>
      <c r="AQ30">
        <v>0.86602540378443871</v>
      </c>
      <c r="AR30">
        <v>0.49999999999999994</v>
      </c>
      <c r="AV30">
        <v>-0.58904501642055096</v>
      </c>
      <c r="AW30">
        <v>0.86162916044152582</v>
      </c>
      <c r="AX30">
        <v>0.50753836296070409</v>
      </c>
      <c r="AY30">
        <v>-2.701720272705832</v>
      </c>
      <c r="AZ30">
        <v>0.44483887281679735</v>
      </c>
      <c r="BC30" s="3843"/>
      <c r="BE30" s="3842"/>
      <c r="BF30" s="3842"/>
      <c r="BG30" s="3842"/>
      <c r="BH30" s="3842"/>
      <c r="BI30" s="3842"/>
      <c r="BJ30" s="3842"/>
      <c r="BK30" s="3842"/>
      <c r="BL30" s="3842"/>
      <c r="BM30" s="3842"/>
      <c r="BN30" s="3842"/>
      <c r="BO30" s="3842"/>
      <c r="BP30" s="3842"/>
      <c r="BQ30" s="3842"/>
      <c r="BR30" s="3842"/>
      <c r="BS30" s="3842"/>
      <c r="BT30" s="3842"/>
      <c r="BU30" s="3842"/>
      <c r="BV30" s="3842"/>
    </row>
    <row r="31" spans="1:74" ht="12" customHeight="1">
      <c r="A31" s="847" t="s">
        <v>14</v>
      </c>
      <c r="B31" s="846">
        <v>1981</v>
      </c>
      <c r="C31" s="846" t="s">
        <v>832</v>
      </c>
      <c r="D31" s="846" t="s">
        <v>833</v>
      </c>
      <c r="E31" s="846" t="s">
        <v>834</v>
      </c>
      <c r="F31" s="846" t="s">
        <v>698</v>
      </c>
      <c r="AI31">
        <v>168158004</v>
      </c>
      <c r="AP31">
        <v>-0.60086061902756038</v>
      </c>
      <c r="AQ31">
        <v>0.85716730070211233</v>
      </c>
      <c r="AR31">
        <v>0.51503807491005416</v>
      </c>
      <c r="AV31">
        <v>-0.612800788139932</v>
      </c>
      <c r="AW31">
        <v>0.85264016435409218</v>
      </c>
      <c r="AX31">
        <v>0.5224985647159488</v>
      </c>
      <c r="AY31">
        <v>-2.6150781296718719</v>
      </c>
      <c r="AZ31">
        <v>0.29773550049716313</v>
      </c>
      <c r="BC31" s="3846" t="s">
        <v>564</v>
      </c>
      <c r="BE31" s="3842"/>
      <c r="BF31" s="3842"/>
      <c r="BG31" s="3842"/>
      <c r="BH31" s="3842"/>
      <c r="BI31" s="3842"/>
      <c r="BJ31" s="3842"/>
      <c r="BK31" s="3842"/>
      <c r="BL31" s="3842"/>
      <c r="BM31" s="3842"/>
      <c r="BN31" s="3842"/>
      <c r="BO31" s="3842"/>
      <c r="BP31" s="3842"/>
      <c r="BQ31" s="3842"/>
      <c r="BR31" s="3842"/>
      <c r="BS31" s="3842"/>
      <c r="BT31" s="3842"/>
      <c r="BU31" s="3842"/>
      <c r="BV31" s="3842"/>
    </row>
    <row r="32" spans="1:74" ht="12" customHeight="1">
      <c r="A32" s="847" t="s">
        <v>836</v>
      </c>
      <c r="B32" s="846">
        <v>1985</v>
      </c>
      <c r="C32" s="846" t="s">
        <v>837</v>
      </c>
      <c r="D32" s="846" t="s">
        <v>838</v>
      </c>
      <c r="E32" s="846" t="s">
        <v>812</v>
      </c>
      <c r="F32" s="846" t="s">
        <v>698</v>
      </c>
      <c r="AI32">
        <v>198191002</v>
      </c>
      <c r="AP32">
        <v>-0.62486935190932746</v>
      </c>
      <c r="AQ32">
        <v>0.84804809615642596</v>
      </c>
      <c r="AR32">
        <v>0.5299192642332049</v>
      </c>
      <c r="AV32">
        <v>-0.63707026080749318</v>
      </c>
      <c r="AW32">
        <v>0.84339144581288572</v>
      </c>
      <c r="AX32">
        <v>0.53729960834682389</v>
      </c>
      <c r="AY32">
        <v>-2.5283314902490277</v>
      </c>
      <c r="AZ32">
        <v>0.1561655185800177</v>
      </c>
      <c r="BC32" s="3843"/>
      <c r="BE32" s="3842"/>
      <c r="BF32" s="3842"/>
      <c r="BG32" s="3842"/>
      <c r="BH32" s="3842"/>
      <c r="BI32" s="3842"/>
      <c r="BJ32" s="3842"/>
      <c r="BK32" s="3842"/>
      <c r="BL32" s="3842"/>
      <c r="BM32" s="3842"/>
      <c r="BN32" s="3842"/>
      <c r="BO32" s="3842"/>
      <c r="BP32" s="3842"/>
      <c r="BQ32" s="3842"/>
      <c r="BR32" s="3842"/>
      <c r="BS32" s="3842"/>
      <c r="BT32" s="3842"/>
      <c r="BU32" s="3842"/>
      <c r="BV32" s="3842"/>
    </row>
    <row r="33" spans="1:74" ht="12" customHeight="1">
      <c r="A33" s="847" t="s">
        <v>15</v>
      </c>
      <c r="B33" s="846">
        <v>1991</v>
      </c>
      <c r="C33" s="846" t="s">
        <v>839</v>
      </c>
      <c r="D33" s="846" t="s">
        <v>840</v>
      </c>
      <c r="E33" s="846" t="s">
        <v>841</v>
      </c>
      <c r="F33" s="846" t="s">
        <v>646</v>
      </c>
      <c r="AI33">
        <v>218215001</v>
      </c>
      <c r="AP33">
        <v>-0.64940759319751062</v>
      </c>
      <c r="AQ33">
        <v>0.83867056794542405</v>
      </c>
      <c r="AR33">
        <v>0.54463903501502708</v>
      </c>
      <c r="AV33">
        <v>-0.66188556119569142</v>
      </c>
      <c r="AW33">
        <v>0.83388582206716821</v>
      </c>
      <c r="AX33">
        <v>0.55193698531205815</v>
      </c>
      <c r="AY33">
        <v>-2.4413770739048468</v>
      </c>
      <c r="AZ33">
        <v>1.9663727135840858E-2</v>
      </c>
      <c r="BC33" s="3843"/>
      <c r="BE33" s="3842"/>
      <c r="BF33" s="3842"/>
      <c r="BG33" s="3842"/>
      <c r="BH33" s="3842"/>
      <c r="BI33" s="3842"/>
      <c r="BJ33" s="3842"/>
      <c r="BK33" s="3842"/>
      <c r="BL33" s="3842"/>
      <c r="BM33" s="3842"/>
      <c r="BN33" s="3842"/>
      <c r="BO33" s="3842"/>
      <c r="BP33" s="3842"/>
      <c r="BQ33" s="3842"/>
      <c r="BR33" s="3842"/>
      <c r="BS33" s="3842"/>
      <c r="BT33" s="3842"/>
      <c r="BU33" s="3842"/>
      <c r="BV33" s="3842"/>
    </row>
    <row r="34" spans="1:74" ht="12" customHeight="1">
      <c r="A34" s="847" t="s">
        <v>16</v>
      </c>
      <c r="B34" s="846">
        <v>1992</v>
      </c>
      <c r="C34" s="846" t="s">
        <v>17</v>
      </c>
      <c r="D34" s="846" t="s">
        <v>840</v>
      </c>
      <c r="E34" s="846" t="s">
        <v>843</v>
      </c>
      <c r="F34" s="846" t="s">
        <v>698</v>
      </c>
      <c r="AI34">
        <v>254254000</v>
      </c>
      <c r="AP34">
        <v>-0.67450851684242674</v>
      </c>
      <c r="AQ34">
        <v>0.82903757255504162</v>
      </c>
      <c r="AR34">
        <v>0.5591929034707469</v>
      </c>
      <c r="AV34">
        <v>-0.68728095860161309</v>
      </c>
      <c r="AW34">
        <v>0.8241261886220157</v>
      </c>
      <c r="AX34">
        <v>0.56640623692483283</v>
      </c>
      <c r="AY34">
        <v>-2.3541122980685749</v>
      </c>
      <c r="AZ34">
        <v>-0.11218822902311842</v>
      </c>
      <c r="BC34" s="3843"/>
      <c r="BE34" s="3842"/>
      <c r="BF34" s="3842"/>
      <c r="BG34" s="3842"/>
      <c r="BH34" s="3842"/>
      <c r="BI34" s="3842"/>
      <c r="BJ34" s="3842"/>
      <c r="BK34" s="3842"/>
      <c r="BL34" s="3842"/>
      <c r="BM34" s="3842"/>
      <c r="BN34" s="3842"/>
      <c r="BO34" s="3842"/>
      <c r="BP34" s="3842"/>
      <c r="BQ34" s="3842"/>
      <c r="BR34" s="3842"/>
      <c r="BS34" s="3842"/>
      <c r="BT34" s="3842"/>
      <c r="BU34" s="3842"/>
      <c r="BV34" s="3842"/>
    </row>
    <row r="35" spans="1:74" ht="12" customHeight="1">
      <c r="A35" s="847" t="s">
        <v>845</v>
      </c>
      <c r="B35" s="846">
        <v>1995</v>
      </c>
      <c r="C35" s="846" t="s">
        <v>842</v>
      </c>
      <c r="D35" s="846" t="s">
        <v>840</v>
      </c>
      <c r="E35" s="846" t="s">
        <v>843</v>
      </c>
      <c r="F35" s="846" t="s">
        <v>698</v>
      </c>
      <c r="AH35" t="s">
        <v>542</v>
      </c>
      <c r="AI35">
        <v>38035038</v>
      </c>
      <c r="AP35">
        <v>-0.70020753820970971</v>
      </c>
      <c r="AQ35">
        <v>0.8191520442889918</v>
      </c>
      <c r="AR35">
        <v>0.57357643635104605</v>
      </c>
      <c r="AV35">
        <v>-0.71329306789700531</v>
      </c>
      <c r="AW35">
        <v>0.81411551835631923</v>
      </c>
      <c r="AX35">
        <v>0.58070295571093977</v>
      </c>
      <c r="AY35">
        <v>-2.2664346183124593</v>
      </c>
      <c r="AZ35">
        <v>-0.23976803535946178</v>
      </c>
      <c r="BC35" s="3843"/>
      <c r="BE35" s="3842"/>
      <c r="BF35" s="3842"/>
      <c r="BG35" s="3842"/>
      <c r="BH35" s="3842"/>
      <c r="BI35" s="3842"/>
      <c r="BJ35" s="3842"/>
      <c r="BK35" s="3842"/>
      <c r="BL35" s="3842"/>
      <c r="BM35" s="3842"/>
      <c r="BN35" s="3842"/>
      <c r="BO35" s="3842"/>
      <c r="BP35" s="3842"/>
      <c r="BQ35" s="3842"/>
      <c r="BR35" s="3842"/>
      <c r="BS35" s="3842"/>
      <c r="BT35" s="3842"/>
      <c r="BU35" s="3842"/>
      <c r="BV35" s="3842"/>
    </row>
    <row r="36" spans="1:74" ht="12" customHeight="1">
      <c r="A36" s="847" t="s">
        <v>844</v>
      </c>
      <c r="B36" s="846"/>
      <c r="C36" s="846"/>
      <c r="D36" s="846"/>
      <c r="E36" s="846"/>
      <c r="F36" s="846"/>
      <c r="AI36">
        <v>61042061</v>
      </c>
      <c r="AP36">
        <v>-0.7265425280053609</v>
      </c>
      <c r="AQ36">
        <v>0.80901699437494745</v>
      </c>
      <c r="AR36">
        <v>0.58778525229247314</v>
      </c>
      <c r="AV36">
        <v>-0.73996107502848762</v>
      </c>
      <c r="AW36">
        <v>0.80385686061721728</v>
      </c>
      <c r="AX36">
        <v>0.59482278675134126</v>
      </c>
      <c r="AY36">
        <v>-2.1782408919387573</v>
      </c>
      <c r="AZ36">
        <v>-0.36341793879729423</v>
      </c>
      <c r="BC36" s="3843"/>
      <c r="BE36" s="3837" t="s">
        <v>164</v>
      </c>
      <c r="BF36" s="3838"/>
      <c r="BG36" s="3838"/>
      <c r="BH36" s="3838"/>
      <c r="BI36" s="3838"/>
      <c r="BJ36" s="3838"/>
      <c r="BK36" s="3838"/>
      <c r="BL36" s="3838"/>
      <c r="BM36" s="3838"/>
      <c r="BN36" s="3838"/>
      <c r="BO36" s="3838"/>
      <c r="BP36" s="3838"/>
      <c r="BQ36" s="3838"/>
      <c r="BR36" s="3838"/>
      <c r="BS36" s="3838"/>
      <c r="BT36" s="3838"/>
      <c r="BU36" s="3838"/>
      <c r="BV36" s="3838"/>
    </row>
    <row r="37" spans="1:74" ht="12" customHeight="1">
      <c r="A37" s="850" t="s">
        <v>12</v>
      </c>
      <c r="B37" s="846"/>
      <c r="C37" s="846"/>
      <c r="D37" s="846"/>
      <c r="E37" s="846"/>
      <c r="F37" s="846"/>
      <c r="AI37">
        <v>84054084</v>
      </c>
      <c r="AP37">
        <v>-0.75355405010279419</v>
      </c>
      <c r="AQ37">
        <v>0.79863551004729283</v>
      </c>
      <c r="AR37">
        <v>0.60181502315204827</v>
      </c>
      <c r="AV37">
        <v>-0.76732698797896037</v>
      </c>
      <c r="AW37">
        <v>0.79335334029123517</v>
      </c>
      <c r="AX37">
        <v>0.60876142900872066</v>
      </c>
      <c r="AY37">
        <v>-2.0894267541060527</v>
      </c>
      <c r="AZ37">
        <v>-0.48344920284870962</v>
      </c>
      <c r="BC37" s="3843"/>
      <c r="BE37" s="3838"/>
      <c r="BF37" s="3838"/>
      <c r="BG37" s="3838"/>
      <c r="BH37" s="3838"/>
      <c r="BI37" s="3838"/>
      <c r="BJ37" s="3838"/>
      <c r="BK37" s="3838"/>
      <c r="BL37" s="3838"/>
      <c r="BM37" s="3838"/>
      <c r="BN37" s="3838"/>
      <c r="BO37" s="3838"/>
      <c r="BP37" s="3838"/>
      <c r="BQ37" s="3838"/>
      <c r="BR37" s="3838"/>
      <c r="BS37" s="3838"/>
      <c r="BT37" s="3838"/>
      <c r="BU37" s="3838"/>
      <c r="BV37" s="3838"/>
    </row>
    <row r="38" spans="1:74" ht="12" customHeight="1">
      <c r="A38" s="847" t="s">
        <v>846</v>
      </c>
      <c r="B38" s="846">
        <v>2013</v>
      </c>
      <c r="C38" s="846" t="s">
        <v>847</v>
      </c>
      <c r="D38" s="846" t="s">
        <v>848</v>
      </c>
      <c r="E38" s="846" t="s">
        <v>850</v>
      </c>
      <c r="F38" s="846" t="s">
        <v>849</v>
      </c>
      <c r="AI38">
        <v>104066104</v>
      </c>
      <c r="AP38">
        <v>-0.78128562650671729</v>
      </c>
      <c r="AQ38">
        <v>0.78801075360672201</v>
      </c>
      <c r="AR38">
        <v>0.61566147532565818</v>
      </c>
      <c r="AV38">
        <v>-0.79543591666782854</v>
      </c>
      <c r="AW38">
        <v>0.78260815685241392</v>
      </c>
      <c r="AX38">
        <v>0.62251463663761952</v>
      </c>
      <c r="AY38">
        <v>-1.9998859964781852</v>
      </c>
      <c r="AZ38">
        <v>-0.60014592118081733</v>
      </c>
      <c r="BC38" s="3844" t="s">
        <v>571</v>
      </c>
      <c r="BE38" s="3838"/>
      <c r="BF38" s="3838"/>
      <c r="BG38" s="3838"/>
      <c r="BH38" s="3838"/>
      <c r="BI38" s="3838"/>
      <c r="BJ38" s="3838"/>
      <c r="BK38" s="3838"/>
      <c r="BL38" s="3838"/>
      <c r="BM38" s="3838"/>
      <c r="BN38" s="3838"/>
      <c r="BO38" s="3838"/>
      <c r="BP38" s="3838"/>
      <c r="BQ38" s="3838"/>
      <c r="BR38" s="3838"/>
      <c r="BS38" s="3838"/>
      <c r="BT38" s="3838"/>
      <c r="BU38" s="3838"/>
      <c r="BV38" s="3838"/>
    </row>
    <row r="39" spans="1:74" ht="12" customHeight="1">
      <c r="A39" s="847" t="s">
        <v>871</v>
      </c>
      <c r="B39" s="846">
        <v>2013</v>
      </c>
      <c r="C39" s="846" t="s">
        <v>852</v>
      </c>
      <c r="D39" s="846" t="s">
        <v>848</v>
      </c>
      <c r="E39" s="846" t="s">
        <v>851</v>
      </c>
      <c r="F39" s="846" t="s">
        <v>849</v>
      </c>
      <c r="AI39">
        <v>124078124</v>
      </c>
      <c r="AP39">
        <v>-0.80978403319500702</v>
      </c>
      <c r="AQ39">
        <v>0.7771459614569709</v>
      </c>
      <c r="AR39">
        <v>0.62932039104983739</v>
      </c>
      <c r="AV39">
        <v>-0.82433638581749569</v>
      </c>
      <c r="AW39">
        <v>0.77162458338772</v>
      </c>
      <c r="AX39">
        <v>0.63607822027776395</v>
      </c>
      <c r="AY39">
        <v>-1.9095099388919117</v>
      </c>
      <c r="AZ39">
        <v>-0.71376829816768161</v>
      </c>
      <c r="BC39" s="3847"/>
      <c r="BE39" s="3838"/>
      <c r="BF39" s="3838"/>
      <c r="BG39" s="3838"/>
      <c r="BH39" s="3838"/>
      <c r="BI39" s="3838"/>
      <c r="BJ39" s="3838"/>
      <c r="BK39" s="3838"/>
      <c r="BL39" s="3838"/>
      <c r="BM39" s="3838"/>
      <c r="BN39" s="3838"/>
      <c r="BO39" s="3838"/>
      <c r="BP39" s="3838"/>
      <c r="BQ39" s="3838"/>
      <c r="BR39" s="3838"/>
      <c r="BS39" s="3838"/>
      <c r="BT39" s="3838"/>
      <c r="BU39" s="3838"/>
      <c r="BV39" s="3838"/>
    </row>
    <row r="40" spans="1:74" ht="12.75" customHeight="1">
      <c r="A40" s="847" t="s">
        <v>844</v>
      </c>
      <c r="B40" s="846"/>
      <c r="C40" s="846"/>
      <c r="D40" s="846"/>
      <c r="E40" s="846"/>
      <c r="F40" s="846"/>
      <c r="AI40">
        <v>144090144</v>
      </c>
      <c r="AP40">
        <v>-0.83909963117727993</v>
      </c>
      <c r="AQ40">
        <v>0.76604444311897801</v>
      </c>
      <c r="AR40">
        <v>0.64278760968653925</v>
      </c>
      <c r="AV40">
        <v>-0.8540806854634666</v>
      </c>
      <c r="AW40">
        <v>0.76040596560003093</v>
      </c>
      <c r="AX40">
        <v>0.64944804833018366</v>
      </c>
      <c r="AY40">
        <v>-1.818186784756425</v>
      </c>
      <c r="AZ40">
        <v>-0.82455548458131478</v>
      </c>
      <c r="BC40" s="3847"/>
      <c r="BE40" s="3838"/>
      <c r="BF40" s="3838"/>
      <c r="BG40" s="3838"/>
      <c r="BH40" s="3838"/>
      <c r="BI40" s="3838"/>
      <c r="BJ40" s="3838"/>
      <c r="BK40" s="3838"/>
      <c r="BL40" s="3838"/>
      <c r="BM40" s="3838"/>
      <c r="BN40" s="3838"/>
      <c r="BO40" s="3838"/>
      <c r="BP40" s="3838"/>
      <c r="BQ40" s="3838"/>
      <c r="BR40" s="3838"/>
      <c r="BS40" s="3838"/>
      <c r="BT40" s="3838"/>
      <c r="BU40" s="3838"/>
      <c r="BV40" s="3838"/>
    </row>
    <row r="41" spans="1:74" ht="12.75" customHeight="1">
      <c r="AI41">
        <v>164102164</v>
      </c>
      <c r="AP41">
        <v>-0.86928673781622645</v>
      </c>
      <c r="AQ41">
        <v>0.75470958022277213</v>
      </c>
      <c r="AR41">
        <v>0.65605902899050716</v>
      </c>
      <c r="AV41">
        <v>-0.8847252645559438</v>
      </c>
      <c r="AW41">
        <v>0.74895572078900219</v>
      </c>
      <c r="AX41">
        <v>0.6626200482157375</v>
      </c>
      <c r="AY41">
        <v>-1.7258009508438867</v>
      </c>
      <c r="AZ41">
        <v>-0.93272804045571789</v>
      </c>
      <c r="BC41" s="3847"/>
      <c r="BE41" s="3838"/>
      <c r="BF41" s="3838"/>
      <c r="BG41" s="3838"/>
      <c r="BH41" s="3838"/>
      <c r="BI41" s="3838"/>
      <c r="BJ41" s="3838"/>
      <c r="BK41" s="3838"/>
      <c r="BL41" s="3838"/>
      <c r="BM41" s="3838"/>
      <c r="BN41" s="3838"/>
      <c r="BO41" s="3838"/>
      <c r="BP41" s="3838"/>
      <c r="BQ41" s="3838"/>
      <c r="BR41" s="3838"/>
      <c r="BS41" s="3838"/>
      <c r="BT41" s="3838"/>
      <c r="BU41" s="3838"/>
      <c r="BV41" s="3838"/>
    </row>
    <row r="42" spans="1:74" ht="12.75" customHeight="1">
      <c r="AI42">
        <v>184114184</v>
      </c>
      <c r="AP42">
        <v>-0.90040404429783993</v>
      </c>
      <c r="AQ42">
        <v>0.74314482547739424</v>
      </c>
      <c r="AR42">
        <v>0.66913060635885824</v>
      </c>
      <c r="AV42">
        <v>-0.91633117401742337</v>
      </c>
      <c r="AW42">
        <v>0.73727733681012397</v>
      </c>
      <c r="AX42">
        <v>0.67559020761566024</v>
      </c>
      <c r="AY42">
        <v>-1.6322323618164249</v>
      </c>
      <c r="AZ42">
        <v>-1.0384900843381821</v>
      </c>
      <c r="BC42" s="3847"/>
      <c r="BE42" s="3837" t="s">
        <v>165</v>
      </c>
      <c r="BF42" s="3838"/>
      <c r="BG42" s="3838"/>
      <c r="BH42" s="3838"/>
      <c r="BI42" s="3838"/>
      <c r="BJ42" s="3838"/>
      <c r="BK42" s="3838"/>
      <c r="BL42" s="3838"/>
      <c r="BM42" s="3838"/>
      <c r="BN42" s="3838"/>
      <c r="BO42" s="3838"/>
      <c r="BP42" s="3838"/>
      <c r="BQ42" s="3838"/>
      <c r="BR42" s="3838"/>
      <c r="BS42" s="3838"/>
      <c r="BT42" s="3838"/>
      <c r="BU42" s="3838"/>
      <c r="BV42" s="3838"/>
    </row>
    <row r="43" spans="1:74" ht="12.75" customHeight="1">
      <c r="AH43" t="s">
        <v>543</v>
      </c>
      <c r="AI43">
        <v>38044044</v>
      </c>
      <c r="AP43">
        <v>-0.93251508613766154</v>
      </c>
      <c r="AQ43">
        <v>0.73135370161917057</v>
      </c>
      <c r="AR43">
        <v>0.68199836006249848</v>
      </c>
      <c r="AV43">
        <v>-0.94896456671487961</v>
      </c>
      <c r="AW43">
        <v>0.72537437101228763</v>
      </c>
      <c r="AX43">
        <v>0.68835457569375391</v>
      </c>
      <c r="AY43">
        <v>-1.5373556992601864</v>
      </c>
      <c r="AZ43">
        <v>-1.142031177891961</v>
      </c>
      <c r="BC43" s="3847"/>
      <c r="BE43" s="3838"/>
      <c r="BF43" s="3838"/>
      <c r="BG43" s="3838"/>
      <c r="BH43" s="3838"/>
      <c r="BI43" s="3838"/>
      <c r="BJ43" s="3838"/>
      <c r="BK43" s="3838"/>
      <c r="BL43" s="3838"/>
      <c r="BM43" s="3838"/>
      <c r="BN43" s="3838"/>
      <c r="BO43" s="3838"/>
      <c r="BP43" s="3838"/>
      <c r="BQ43" s="3838"/>
      <c r="BR43" s="3838"/>
      <c r="BS43" s="3838"/>
      <c r="BT43" s="3838"/>
      <c r="BU43" s="3838"/>
      <c r="BV43" s="3838"/>
    </row>
    <row r="44" spans="1:74" ht="12.75" customHeight="1">
      <c r="AI44">
        <v>26061061</v>
      </c>
      <c r="AP44">
        <v>-0.96568877480707394</v>
      </c>
      <c r="AQ44">
        <v>0.71933980033865119</v>
      </c>
      <c r="AR44">
        <v>0.69465837045899725</v>
      </c>
      <c r="AV44">
        <v>-0.98269726311569017</v>
      </c>
      <c r="AW44">
        <v>0.71325044915418156</v>
      </c>
      <c r="AX44">
        <v>0.7009092642998509</v>
      </c>
      <c r="AY44">
        <v>-1.4410395941483474</v>
      </c>
      <c r="AZ44">
        <v>-1.2435279865790863</v>
      </c>
      <c r="BC44" s="3847"/>
      <c r="BE44" s="3838"/>
      <c r="BF44" s="3838"/>
      <c r="BG44" s="3838"/>
      <c r="BH44" s="3838"/>
      <c r="BI44" s="3838"/>
      <c r="BJ44" s="3838"/>
      <c r="BK44" s="3838"/>
      <c r="BL44" s="3838"/>
      <c r="BM44" s="3838"/>
      <c r="BN44" s="3838"/>
      <c r="BO44" s="3838"/>
      <c r="BP44" s="3838"/>
      <c r="BQ44" s="3838"/>
      <c r="BR44" s="3838"/>
      <c r="BS44" s="3838"/>
      <c r="BT44" s="3838"/>
      <c r="BU44" s="3838"/>
      <c r="BV44" s="3838"/>
    </row>
    <row r="45" spans="1:74" ht="12.75" customHeight="1">
      <c r="AI45">
        <v>16092092</v>
      </c>
      <c r="AP45">
        <v>-1.0000100000000001</v>
      </c>
      <c r="AQ45">
        <v>0.70710678118654757</v>
      </c>
      <c r="AR45">
        <v>0.70710678118654746</v>
      </c>
      <c r="AV45">
        <v>-1.0176073929721252</v>
      </c>
      <c r="AW45">
        <v>0.7009092642998509</v>
      </c>
      <c r="AX45">
        <v>0.71325044915418156</v>
      </c>
      <c r="AY45">
        <v>-1.3431174663070822</v>
      </c>
      <c r="AZ45">
        <v>-1.3431740345667373</v>
      </c>
      <c r="BC45" s="3844" t="s">
        <v>565</v>
      </c>
      <c r="BE45" s="3838"/>
      <c r="BF45" s="3838"/>
      <c r="BG45" s="3838"/>
      <c r="BH45" s="3838"/>
      <c r="BI45" s="3838"/>
      <c r="BJ45" s="3838"/>
      <c r="BK45" s="3838"/>
      <c r="BL45" s="3838"/>
      <c r="BM45" s="3838"/>
      <c r="BN45" s="3838"/>
      <c r="BO45" s="3838"/>
      <c r="BP45" s="3838"/>
      <c r="BQ45" s="3838"/>
      <c r="BR45" s="3838"/>
      <c r="BS45" s="3838"/>
      <c r="BT45" s="3838"/>
      <c r="BU45" s="3838"/>
      <c r="BV45" s="3838"/>
    </row>
    <row r="46" spans="1:74" ht="12.75" customHeight="1">
      <c r="AI46">
        <v>8128128</v>
      </c>
      <c r="AP46">
        <v>-1.0355303137905694</v>
      </c>
      <c r="AQ46">
        <v>0.69465837045899737</v>
      </c>
      <c r="AR46">
        <v>0.71933980033865108</v>
      </c>
      <c r="AV46">
        <v>-1.053780125280962</v>
      </c>
      <c r="AW46">
        <v>0.68835457569375402</v>
      </c>
      <c r="AX46">
        <v>0.72537437101228752</v>
      </c>
      <c r="AY46">
        <v>-1.2435279865790871</v>
      </c>
      <c r="AZ46">
        <v>-1.4410395941483474</v>
      </c>
      <c r="BC46" s="3843"/>
      <c r="BE46" s="3838"/>
      <c r="BF46" s="3838"/>
      <c r="BG46" s="3838"/>
      <c r="BH46" s="3838"/>
      <c r="BI46" s="3838"/>
      <c r="BJ46" s="3838"/>
      <c r="BK46" s="3838"/>
      <c r="BL46" s="3838"/>
      <c r="BM46" s="3838"/>
      <c r="BN46" s="3838"/>
      <c r="BO46" s="3838"/>
      <c r="BP46" s="3838"/>
      <c r="BQ46" s="3838"/>
      <c r="BR46" s="3838"/>
      <c r="BS46" s="3838"/>
      <c r="BT46" s="3838"/>
      <c r="BU46" s="3838"/>
      <c r="BV46" s="3838"/>
    </row>
    <row r="47" spans="1:74" ht="12.75" customHeight="1">
      <c r="AI47">
        <v>4160160</v>
      </c>
      <c r="AP47">
        <v>-1.0723687100246826</v>
      </c>
      <c r="AQ47">
        <v>0.68199836006249848</v>
      </c>
      <c r="AR47">
        <v>0.73135370161917046</v>
      </c>
      <c r="AV47">
        <v>-1.0913085010692714</v>
      </c>
      <c r="AW47">
        <v>0.67559020761566024</v>
      </c>
      <c r="AX47">
        <v>0.73727733681012408</v>
      </c>
      <c r="AY47">
        <v>-1.142031177891961</v>
      </c>
      <c r="AZ47">
        <v>-1.5373556992601856</v>
      </c>
      <c r="BC47" s="3843"/>
      <c r="BE47" s="3838"/>
      <c r="BF47" s="3838"/>
      <c r="BG47" s="3838"/>
      <c r="BH47" s="3838"/>
      <c r="BI47" s="3838"/>
      <c r="BJ47" s="3838"/>
      <c r="BK47" s="3838"/>
      <c r="BL47" s="3838"/>
      <c r="BM47" s="3838"/>
      <c r="BN47" s="3838"/>
      <c r="BO47" s="3838"/>
      <c r="BP47" s="3838"/>
      <c r="BQ47" s="3838"/>
      <c r="BR47" s="3838"/>
      <c r="BS47" s="3838"/>
      <c r="BT47" s="3838"/>
      <c r="BU47" s="3838"/>
      <c r="BV47" s="3838"/>
    </row>
    <row r="48" spans="1:74" ht="12.75" customHeight="1">
      <c r="AI48">
        <v>2192192</v>
      </c>
      <c r="AP48">
        <v>-1.1106125148291928</v>
      </c>
      <c r="AQ48">
        <v>0.66913060635885824</v>
      </c>
      <c r="AR48">
        <v>0.74314482547739413</v>
      </c>
      <c r="AV48">
        <v>-1.1302943863617527</v>
      </c>
      <c r="AW48">
        <v>0.6626200482157375</v>
      </c>
      <c r="AX48">
        <v>0.74895572078900208</v>
      </c>
      <c r="AY48">
        <v>-1.038490084338183</v>
      </c>
      <c r="AZ48">
        <v>-1.6322323618164241</v>
      </c>
      <c r="BC48" s="3843"/>
      <c r="BE48" s="3837" t="s">
        <v>176</v>
      </c>
      <c r="BF48" s="3842"/>
      <c r="BG48" s="3842"/>
      <c r="BH48" s="3842"/>
      <c r="BI48" s="3842"/>
      <c r="BJ48" s="3842"/>
      <c r="BK48" s="3842"/>
      <c r="BL48" s="3842"/>
      <c r="BM48" s="3842"/>
      <c r="BN48" s="3842"/>
      <c r="BO48" s="3842"/>
      <c r="BP48" s="3842"/>
      <c r="BQ48" s="3842"/>
      <c r="BR48" s="3842"/>
      <c r="BS48" s="3842"/>
      <c r="BT48" s="3842"/>
      <c r="BU48" s="3842"/>
      <c r="BV48" s="3842"/>
    </row>
    <row r="49" spans="1:74" ht="12.75" customHeight="1">
      <c r="AI49">
        <v>1215215</v>
      </c>
      <c r="AP49">
        <v>-1.1503684072210094</v>
      </c>
      <c r="AQ49">
        <v>0.65605902899050728</v>
      </c>
      <c r="AR49">
        <v>0.75470958022277201</v>
      </c>
      <c r="AV49">
        <v>-1.1708495661125393</v>
      </c>
      <c r="AW49">
        <v>0.64944804833018355</v>
      </c>
      <c r="AX49">
        <v>0.76040596560003104</v>
      </c>
      <c r="AY49">
        <v>-0.93272804045571878</v>
      </c>
      <c r="AZ49">
        <v>-1.7258009508438859</v>
      </c>
      <c r="BC49" s="3843" t="s">
        <v>91</v>
      </c>
      <c r="BE49" s="3842"/>
      <c r="BF49" s="3842"/>
      <c r="BG49" s="3842"/>
      <c r="BH49" s="3842"/>
      <c r="BI49" s="3842"/>
      <c r="BJ49" s="3842"/>
      <c r="BK49" s="3842"/>
      <c r="BL49" s="3842"/>
      <c r="BM49" s="3842"/>
      <c r="BN49" s="3842"/>
      <c r="BO49" s="3842"/>
      <c r="BP49" s="3842"/>
      <c r="BQ49" s="3842"/>
      <c r="BR49" s="3842"/>
      <c r="BS49" s="3842"/>
      <c r="BT49" s="3842"/>
      <c r="BU49" s="3842"/>
      <c r="BV49" s="3842"/>
    </row>
    <row r="50" spans="1:74" ht="12.75" customHeight="1">
      <c r="AI50">
        <v>254254</v>
      </c>
      <c r="AP50">
        <v>-1.19175359259421</v>
      </c>
      <c r="AQ50">
        <v>0.64278760968653936</v>
      </c>
      <c r="AR50">
        <v>0.76604444311897801</v>
      </c>
      <c r="AV50">
        <v>-1.2130970040929328</v>
      </c>
      <c r="AW50">
        <v>0.63607822027776395</v>
      </c>
      <c r="AX50">
        <v>0.77162458338772</v>
      </c>
      <c r="AY50">
        <v>-0.82455548458131478</v>
      </c>
      <c r="AZ50">
        <v>-1.8181867847564241</v>
      </c>
      <c r="BC50" s="3843"/>
      <c r="BE50" s="3842"/>
      <c r="BF50" s="3842"/>
      <c r="BG50" s="3842"/>
      <c r="BH50" s="3842"/>
      <c r="BI50" s="3842"/>
      <c r="BJ50" s="3842"/>
      <c r="BK50" s="3842"/>
      <c r="BL50" s="3842"/>
      <c r="BM50" s="3842"/>
      <c r="BN50" s="3842"/>
      <c r="BO50" s="3842"/>
      <c r="BP50" s="3842"/>
      <c r="BQ50" s="3842"/>
      <c r="BR50" s="3842"/>
      <c r="BS50" s="3842"/>
      <c r="BT50" s="3842"/>
      <c r="BU50" s="3842"/>
      <c r="BV50" s="3842"/>
    </row>
    <row r="51" spans="1:74" ht="12.75" customHeight="1">
      <c r="A51" s="1642" t="s">
        <v>1119</v>
      </c>
      <c r="AH51" t="s">
        <v>544</v>
      </c>
      <c r="AI51">
        <v>24024024</v>
      </c>
      <c r="AP51">
        <v>-1.2348971565350511</v>
      </c>
      <c r="AQ51">
        <v>0.6293203910498375</v>
      </c>
      <c r="AR51">
        <v>0.77714596145697079</v>
      </c>
      <c r="AV51">
        <v>-1.2571722989189544</v>
      </c>
      <c r="AW51">
        <v>0.62251463663761963</v>
      </c>
      <c r="AX51">
        <v>0.78260815685241381</v>
      </c>
      <c r="AY51">
        <v>-0.7137682981676825</v>
      </c>
      <c r="AZ51">
        <v>-1.9095099388919108</v>
      </c>
      <c r="BC51" s="3003" t="s">
        <v>92</v>
      </c>
      <c r="BE51" s="3842"/>
      <c r="BF51" s="3842"/>
      <c r="BG51" s="3842"/>
      <c r="BH51" s="3842"/>
      <c r="BI51" s="3842"/>
      <c r="BJ51" s="3842"/>
      <c r="BK51" s="3842"/>
      <c r="BL51" s="3842"/>
      <c r="BM51" s="3842"/>
      <c r="BN51" s="3842"/>
      <c r="BO51" s="3842"/>
      <c r="BP51" s="3842"/>
      <c r="BQ51" s="3842"/>
      <c r="BR51" s="3842"/>
      <c r="BS51" s="3842"/>
      <c r="BT51" s="3842"/>
      <c r="BU51" s="3842"/>
      <c r="BV51" s="3842"/>
    </row>
    <row r="52" spans="1:74" ht="12.75" customHeight="1">
      <c r="A52" s="1615" t="s">
        <v>93</v>
      </c>
      <c r="B52" s="1616"/>
      <c r="C52" s="1616" t="s">
        <v>94</v>
      </c>
      <c r="D52" s="1616" t="s">
        <v>95</v>
      </c>
      <c r="E52" s="1616" t="s">
        <v>96</v>
      </c>
      <c r="F52" s="1616" t="s">
        <v>97</v>
      </c>
      <c r="G52" s="1616"/>
      <c r="H52" s="1616"/>
      <c r="I52" s="1616"/>
      <c r="J52" s="1616"/>
      <c r="K52" s="1616"/>
      <c r="L52" s="1616"/>
      <c r="M52" s="1616"/>
      <c r="N52" s="1616"/>
      <c r="O52" s="1616"/>
      <c r="P52" s="1616"/>
      <c r="Q52" s="1616"/>
      <c r="R52" s="1616"/>
      <c r="S52" s="1616"/>
      <c r="T52" s="1616"/>
      <c r="U52" s="1616"/>
      <c r="V52" s="1616"/>
      <c r="W52" s="1616"/>
      <c r="X52" s="1616"/>
      <c r="Y52" s="1616"/>
      <c r="Z52" s="1616"/>
      <c r="AA52" s="1616"/>
      <c r="AB52" s="1616"/>
      <c r="AC52" s="1616"/>
      <c r="AI52">
        <v>30030030</v>
      </c>
      <c r="AP52">
        <v>-1.2799416321930788</v>
      </c>
      <c r="AQ52">
        <v>0.61566147532565829</v>
      </c>
      <c r="AR52">
        <v>0.78801075360672201</v>
      </c>
      <c r="AV52">
        <v>-1.3032253728412058</v>
      </c>
      <c r="AW52">
        <v>0.60876142900872066</v>
      </c>
      <c r="AX52">
        <v>0.79335334029123517</v>
      </c>
      <c r="AY52">
        <v>-0.60014592118081822</v>
      </c>
      <c r="AZ52">
        <v>-1.9998859964781843</v>
      </c>
      <c r="BC52" s="3002"/>
      <c r="BE52" s="3842"/>
      <c r="BF52" s="3842"/>
      <c r="BG52" s="3842"/>
      <c r="BH52" s="3842"/>
      <c r="BI52" s="3842"/>
      <c r="BJ52" s="3842"/>
      <c r="BK52" s="3842"/>
      <c r="BL52" s="3842"/>
      <c r="BM52" s="3842"/>
      <c r="BN52" s="3842"/>
      <c r="BO52" s="3842"/>
      <c r="BP52" s="3842"/>
      <c r="BQ52" s="3842"/>
      <c r="BR52" s="3842"/>
      <c r="BS52" s="3842"/>
      <c r="BT52" s="3842"/>
      <c r="BU52" s="3842"/>
      <c r="BV52" s="3842"/>
    </row>
    <row r="53" spans="1:74" ht="12.75" customHeight="1">
      <c r="A53" s="1616" t="s">
        <v>98</v>
      </c>
      <c r="B53" s="1616" t="s">
        <v>99</v>
      </c>
      <c r="C53" s="1616">
        <v>10000</v>
      </c>
      <c r="D53" s="1616">
        <v>1280000</v>
      </c>
      <c r="E53" s="1616" t="s">
        <v>100</v>
      </c>
      <c r="F53" s="1616">
        <v>128</v>
      </c>
      <c r="G53" s="1616"/>
      <c r="H53" s="1616"/>
      <c r="I53" s="1616"/>
      <c r="J53" s="1616"/>
      <c r="K53" s="1616"/>
      <c r="L53" s="1616"/>
      <c r="M53" s="1616"/>
      <c r="N53" s="1616"/>
      <c r="O53" s="1616"/>
      <c r="P53" s="1616"/>
      <c r="Q53" s="1616"/>
      <c r="R53" s="1616"/>
      <c r="S53" s="1616"/>
      <c r="T53" s="1616"/>
      <c r="U53" s="1616"/>
      <c r="V53" s="1616"/>
      <c r="W53" s="1616"/>
      <c r="X53" s="1616"/>
      <c r="Y53" s="1616"/>
      <c r="Z53" s="1616"/>
      <c r="AA53" s="1616"/>
      <c r="AB53" s="1616"/>
      <c r="AC53" s="1616"/>
      <c r="AI53">
        <v>64064064</v>
      </c>
      <c r="AP53">
        <v>-1.3270448216204098</v>
      </c>
      <c r="AQ53">
        <v>0.60181502315204838</v>
      </c>
      <c r="AR53">
        <v>0.79863551004729283</v>
      </c>
      <c r="AV53">
        <v>-1.3514224379458082</v>
      </c>
      <c r="AW53">
        <v>0.59482278675134137</v>
      </c>
      <c r="AX53">
        <v>0.80385686061721728</v>
      </c>
      <c r="AY53">
        <v>-0.48344920284870962</v>
      </c>
      <c r="AZ53">
        <v>-2.0894267541060527</v>
      </c>
      <c r="BC53" s="3001"/>
      <c r="BE53" s="3842"/>
      <c r="BF53" s="3842"/>
      <c r="BG53" s="3842"/>
      <c r="BH53" s="3842"/>
      <c r="BI53" s="3842"/>
      <c r="BJ53" s="3842"/>
      <c r="BK53" s="3842"/>
      <c r="BL53" s="3842"/>
      <c r="BM53" s="3842"/>
      <c r="BN53" s="3842"/>
      <c r="BO53" s="3842"/>
      <c r="BP53" s="3842"/>
      <c r="BQ53" s="3842"/>
      <c r="BR53" s="3842"/>
      <c r="BS53" s="3842"/>
      <c r="BT53" s="3842"/>
      <c r="BU53" s="3842"/>
      <c r="BV53" s="3842"/>
    </row>
    <row r="54" spans="1:74" ht="12.75" customHeight="1">
      <c r="A54" s="1616"/>
      <c r="B54" s="1616"/>
      <c r="C54" s="1616"/>
      <c r="D54" s="1616"/>
      <c r="E54" s="1617" t="s">
        <v>101</v>
      </c>
      <c r="F54" s="1616"/>
      <c r="G54" s="1616"/>
      <c r="H54" s="1616"/>
      <c r="I54" s="1616"/>
      <c r="J54" s="1616"/>
      <c r="K54" s="1616"/>
      <c r="L54" s="1616"/>
      <c r="M54" s="1616"/>
      <c r="N54" s="1616"/>
      <c r="O54" s="1616"/>
      <c r="P54" s="1616"/>
      <c r="Q54" s="1616"/>
      <c r="R54" s="1616"/>
      <c r="S54" s="1616"/>
      <c r="T54" s="1616"/>
      <c r="U54" s="1616"/>
      <c r="V54" s="1616"/>
      <c r="W54" s="1616"/>
      <c r="X54" s="1616"/>
      <c r="Y54" s="1616"/>
      <c r="Z54" s="1616"/>
      <c r="AA54" s="1616"/>
      <c r="AB54" s="1616"/>
      <c r="AC54" s="1616"/>
      <c r="AI54">
        <v>111111111</v>
      </c>
      <c r="AP54">
        <v>-1.3763819204711734</v>
      </c>
      <c r="AQ54">
        <v>0.58778525229247314</v>
      </c>
      <c r="AR54">
        <v>0.80901699437494745</v>
      </c>
      <c r="AV54">
        <v>-1.4019482944763355</v>
      </c>
      <c r="AW54">
        <v>0.58070295571093988</v>
      </c>
      <c r="AX54">
        <v>0.81411551835631912</v>
      </c>
      <c r="AY54">
        <v>-0.36341793879729511</v>
      </c>
      <c r="AZ54">
        <v>-2.1782408919387573</v>
      </c>
      <c r="BC54" s="3001"/>
      <c r="BE54" s="3837" t="s">
        <v>177</v>
      </c>
      <c r="BF54" s="3838"/>
      <c r="BG54" s="3838"/>
      <c r="BH54" s="3838"/>
      <c r="BI54" s="3838"/>
      <c r="BJ54" s="3838"/>
      <c r="BK54" s="3838"/>
      <c r="BL54" s="3838"/>
      <c r="BM54" s="3838"/>
      <c r="BN54" s="3838"/>
      <c r="BO54" s="3838"/>
      <c r="BP54" s="3838"/>
      <c r="BQ54" s="3838"/>
      <c r="BR54" s="3838"/>
      <c r="BS54" s="3838"/>
      <c r="BT54" s="3838"/>
      <c r="BU54" s="3838"/>
      <c r="BV54" s="3838"/>
    </row>
    <row r="55" spans="1:74" ht="12.75" customHeight="1">
      <c r="A55" s="1616"/>
      <c r="B55" s="1616"/>
      <c r="C55" s="1616">
        <v>1</v>
      </c>
      <c r="D55" s="1616">
        <v>128</v>
      </c>
      <c r="E55" s="1616" t="s">
        <v>102</v>
      </c>
      <c r="F55" s="1616">
        <v>128</v>
      </c>
      <c r="G55" s="1616"/>
      <c r="H55" s="1616"/>
      <c r="I55" s="1616"/>
      <c r="J55" s="1616"/>
      <c r="K55" s="1616"/>
      <c r="L55" s="1616"/>
      <c r="M55" s="1616"/>
      <c r="N55" s="1616"/>
      <c r="O55" s="1616"/>
      <c r="P55" s="1616"/>
      <c r="Q55" s="1616"/>
      <c r="R55" s="1616"/>
      <c r="S55" s="1616"/>
      <c r="T55" s="1616"/>
      <c r="U55" s="1616"/>
      <c r="V55" s="1616"/>
      <c r="W55" s="1616"/>
      <c r="X55" s="1616"/>
      <c r="Y55" s="1616"/>
      <c r="Z55" s="1616"/>
      <c r="AA55" s="1616"/>
      <c r="AB55" s="1616"/>
      <c r="AC55" s="1616"/>
      <c r="AI55">
        <v>158158158</v>
      </c>
      <c r="AP55">
        <v>-1.4281480067421144</v>
      </c>
      <c r="AQ55">
        <v>0.57357643635104616</v>
      </c>
      <c r="AR55">
        <v>0.8191520442889918</v>
      </c>
      <c r="AV55">
        <v>-1.4550090286724449</v>
      </c>
      <c r="AW55">
        <v>0.56640623692483283</v>
      </c>
      <c r="AX55">
        <v>0.8241261886220157</v>
      </c>
      <c r="AY55">
        <v>-0.23976803535946267</v>
      </c>
      <c r="AZ55">
        <v>-2.2664346183124593</v>
      </c>
      <c r="BC55" s="3001"/>
      <c r="BE55" s="3838"/>
      <c r="BF55" s="3838"/>
      <c r="BG55" s="3838"/>
      <c r="BH55" s="3838"/>
      <c r="BI55" s="3838"/>
      <c r="BJ55" s="3838"/>
      <c r="BK55" s="3838"/>
      <c r="BL55" s="3838"/>
      <c r="BM55" s="3838"/>
      <c r="BN55" s="3838"/>
      <c r="BO55" s="3838"/>
      <c r="BP55" s="3838"/>
      <c r="BQ55" s="3838"/>
      <c r="BR55" s="3838"/>
      <c r="BS55" s="3838"/>
      <c r="BT55" s="3838"/>
      <c r="BU55" s="3838"/>
      <c r="BV55" s="3838"/>
    </row>
    <row r="56" spans="1:74" ht="12.75" customHeight="1">
      <c r="A56" s="1616"/>
      <c r="B56" s="1616" t="s">
        <v>712</v>
      </c>
      <c r="C56" s="1616">
        <f>128+1</f>
        <v>129</v>
      </c>
      <c r="D56" s="1616">
        <f>128*2</f>
        <v>256</v>
      </c>
      <c r="E56" s="1616" t="s">
        <v>103</v>
      </c>
      <c r="F56" s="1616">
        <v>128</v>
      </c>
      <c r="G56" s="1616"/>
      <c r="H56" s="1616"/>
      <c r="I56" s="1616"/>
      <c r="J56" s="1616"/>
      <c r="K56" s="1616"/>
      <c r="L56" s="1616"/>
      <c r="M56" s="1616"/>
      <c r="N56" s="1616"/>
      <c r="O56" s="1616"/>
      <c r="P56" s="1616"/>
      <c r="Q56" s="1616"/>
      <c r="R56" s="1616"/>
      <c r="S56" s="1616"/>
      <c r="T56" s="1616"/>
      <c r="U56" s="1616"/>
      <c r="V56" s="1616"/>
      <c r="W56" s="1616"/>
      <c r="X56" s="1616"/>
      <c r="Y56" s="1616"/>
      <c r="Z56" s="1616"/>
      <c r="AA56" s="1616"/>
      <c r="AB56" s="1616"/>
      <c r="AC56" s="1616"/>
      <c r="AI56">
        <v>210210210</v>
      </c>
      <c r="AP56">
        <v>-1.4825609685127403</v>
      </c>
      <c r="AQ56">
        <v>0.55919290347074679</v>
      </c>
      <c r="AR56">
        <v>0.82903757255504174</v>
      </c>
      <c r="AV56">
        <v>-1.5108351936149007</v>
      </c>
      <c r="AW56">
        <v>0.55193698531205826</v>
      </c>
      <c r="AX56">
        <v>0.8338858220671681</v>
      </c>
      <c r="AY56">
        <v>-0.11218822902311842</v>
      </c>
      <c r="AZ56">
        <v>-2.3541122980685758</v>
      </c>
      <c r="BC56" s="3001"/>
      <c r="BE56" s="3838"/>
      <c r="BF56" s="3838"/>
      <c r="BG56" s="3838"/>
      <c r="BH56" s="3838"/>
      <c r="BI56" s="3838"/>
      <c r="BJ56" s="3838"/>
      <c r="BK56" s="3838"/>
      <c r="BL56" s="3838"/>
      <c r="BM56" s="3838"/>
      <c r="BN56" s="3838"/>
      <c r="BO56" s="3838"/>
      <c r="BP56" s="3838"/>
      <c r="BQ56" s="3838"/>
      <c r="BR56" s="3838"/>
      <c r="BS56" s="3838"/>
      <c r="BT56" s="3838"/>
      <c r="BU56" s="3838"/>
      <c r="BV56" s="3838"/>
    </row>
    <row r="57" spans="1:74" ht="12.75" customHeight="1">
      <c r="A57" s="1616"/>
      <c r="B57" s="1616" t="s">
        <v>715</v>
      </c>
      <c r="C57" s="1616">
        <f>128*2+1</f>
        <v>257</v>
      </c>
      <c r="D57" s="1616">
        <f>128*3</f>
        <v>384</v>
      </c>
      <c r="E57" s="1616" t="s">
        <v>104</v>
      </c>
      <c r="F57" s="1616">
        <v>128</v>
      </c>
      <c r="G57" s="1616"/>
      <c r="H57" s="1616" t="s">
        <v>105</v>
      </c>
      <c r="I57" s="1616"/>
      <c r="J57" s="1616"/>
      <c r="K57" s="1616"/>
      <c r="L57" s="1616"/>
      <c r="M57" s="1616"/>
      <c r="N57" s="1616"/>
      <c r="O57" s="1616"/>
      <c r="P57" s="1616"/>
      <c r="Q57" s="1616"/>
      <c r="R57" s="1616"/>
      <c r="S57" s="1616"/>
      <c r="T57" s="1616"/>
      <c r="U57" s="1616"/>
      <c r="V57" s="1616"/>
      <c r="W57" s="1616"/>
      <c r="X57" s="1616"/>
      <c r="Y57" s="1616"/>
      <c r="Z57" s="1616"/>
      <c r="AA57" s="1616"/>
      <c r="AB57" s="1616"/>
      <c r="AC57" s="1616"/>
      <c r="AI57">
        <v>250250250</v>
      </c>
      <c r="AP57">
        <v>-1.5398649638145827</v>
      </c>
      <c r="AQ57">
        <v>0.5446390350150272</v>
      </c>
      <c r="AR57">
        <v>0.83867056794542394</v>
      </c>
      <c r="AV57">
        <v>-1.5696855771174902</v>
      </c>
      <c r="AW57">
        <v>0.53729960834682389</v>
      </c>
      <c r="AX57">
        <v>0.84339144581288572</v>
      </c>
      <c r="AY57">
        <v>1.9663727135840858E-2</v>
      </c>
      <c r="AZ57">
        <v>-2.4413770739048468</v>
      </c>
      <c r="BC57" s="3001"/>
      <c r="BE57" s="3838"/>
      <c r="BF57" s="3838"/>
      <c r="BG57" s="3838"/>
      <c r="BH57" s="3838"/>
      <c r="BI57" s="3838"/>
      <c r="BJ57" s="3838"/>
      <c r="BK57" s="3838"/>
      <c r="BL57" s="3838"/>
      <c r="BM57" s="3838"/>
      <c r="BN57" s="3838"/>
      <c r="BO57" s="3838"/>
      <c r="BP57" s="3838"/>
      <c r="BQ57" s="3838"/>
      <c r="BR57" s="3838"/>
      <c r="BS57" s="3838"/>
      <c r="BT57" s="3838"/>
      <c r="BU57" s="3838"/>
      <c r="BV57" s="3838"/>
    </row>
    <row r="58" spans="1:74" ht="12.75" customHeight="1">
      <c r="A58" s="1616"/>
      <c r="B58" s="1616" t="s">
        <v>718</v>
      </c>
      <c r="C58" s="1616">
        <f>128*3+1</f>
        <v>385</v>
      </c>
      <c r="D58" s="1616">
        <f>128*4</f>
        <v>512</v>
      </c>
      <c r="E58" s="1616" t="s">
        <v>106</v>
      </c>
      <c r="F58" s="1616">
        <v>128</v>
      </c>
      <c r="G58" s="1616"/>
      <c r="H58" s="1616"/>
      <c r="I58" s="1616"/>
      <c r="J58" s="1616"/>
      <c r="K58" s="1616"/>
      <c r="L58" s="1616"/>
      <c r="M58" s="1616"/>
      <c r="N58" s="1616"/>
      <c r="O58" s="1616"/>
      <c r="P58" s="1616"/>
      <c r="Q58" s="1616"/>
      <c r="R58" s="1616"/>
      <c r="S58" s="1616"/>
      <c r="T58" s="1616"/>
      <c r="U58" s="1616"/>
      <c r="V58" s="1616"/>
      <c r="W58" s="1616"/>
      <c r="X58" s="1616"/>
      <c r="Y58" s="1616"/>
      <c r="Z58" s="1616"/>
      <c r="AA58" s="1616"/>
      <c r="AB58" s="1616"/>
      <c r="AC58" s="1616"/>
      <c r="AP58">
        <v>-1.6003345290410507</v>
      </c>
      <c r="AQ58">
        <v>0.5299192642332049</v>
      </c>
      <c r="AR58">
        <v>0.84804809615642596</v>
      </c>
      <c r="AV58">
        <v>-1.6318516871287894</v>
      </c>
      <c r="AW58">
        <v>0.52249856471594891</v>
      </c>
      <c r="AX58">
        <v>0.85264016435409218</v>
      </c>
      <c r="AY58">
        <v>0.15616551858001859</v>
      </c>
      <c r="AZ58">
        <v>-2.5283314902490286</v>
      </c>
      <c r="BE58" s="3838"/>
      <c r="BF58" s="3838"/>
      <c r="BG58" s="3838"/>
      <c r="BH58" s="3838"/>
      <c r="BI58" s="3838"/>
      <c r="BJ58" s="3838"/>
      <c r="BK58" s="3838"/>
      <c r="BL58" s="3838"/>
      <c r="BM58" s="3838"/>
      <c r="BN58" s="3838"/>
      <c r="BO58" s="3838"/>
      <c r="BP58" s="3838"/>
      <c r="BQ58" s="3838"/>
      <c r="BR58" s="3838"/>
      <c r="BS58" s="3838"/>
      <c r="BT58" s="3838"/>
      <c r="BU58" s="3838"/>
      <c r="BV58" s="3838"/>
    </row>
    <row r="59" spans="1:74" ht="12.75" customHeight="1">
      <c r="A59" s="1616"/>
      <c r="B59" s="1616" t="s">
        <v>721</v>
      </c>
      <c r="C59" s="1616">
        <f>128*4+1</f>
        <v>513</v>
      </c>
      <c r="D59" s="1616">
        <f>128*5</f>
        <v>640</v>
      </c>
      <c r="E59" s="1616" t="s">
        <v>107</v>
      </c>
      <c r="F59" s="1616">
        <v>128</v>
      </c>
      <c r="G59" s="1616"/>
      <c r="H59" s="1616"/>
      <c r="I59" s="1616"/>
      <c r="J59" s="1616"/>
      <c r="K59" s="1616"/>
      <c r="L59" s="1616"/>
      <c r="M59" s="1616"/>
      <c r="N59" s="1616"/>
      <c r="O59" s="1616"/>
      <c r="P59" s="1616"/>
      <c r="Q59" s="1616"/>
      <c r="R59" s="1616"/>
      <c r="S59" s="1616"/>
      <c r="T59" s="1616"/>
      <c r="U59" s="1616"/>
      <c r="V59" s="1616"/>
      <c r="W59" s="1616"/>
      <c r="X59" s="1616"/>
      <c r="Y59" s="1616"/>
      <c r="Z59" s="1616"/>
      <c r="AA59" s="1616"/>
      <c r="AB59" s="1616"/>
      <c r="AC59" s="1616"/>
      <c r="AP59">
        <v>-1.6642794823505174</v>
      </c>
      <c r="AQ59">
        <v>0.51503807491005438</v>
      </c>
      <c r="AR59">
        <v>0.85716730070211222</v>
      </c>
      <c r="AV59">
        <v>-1.6976631193260889</v>
      </c>
      <c r="AW59">
        <v>0.5075383629607042</v>
      </c>
      <c r="AX59">
        <v>0.86162916044152571</v>
      </c>
      <c r="AY59">
        <v>0.29773550049716135</v>
      </c>
      <c r="AZ59">
        <v>-2.615078129671871</v>
      </c>
      <c r="BE59" s="3838"/>
      <c r="BF59" s="3838"/>
      <c r="BG59" s="3838"/>
      <c r="BH59" s="3838"/>
      <c r="BI59" s="3838"/>
      <c r="BJ59" s="3838"/>
      <c r="BK59" s="3838"/>
      <c r="BL59" s="3838"/>
      <c r="BM59" s="3838"/>
      <c r="BN59" s="3838"/>
      <c r="BO59" s="3838"/>
      <c r="BP59" s="3838"/>
      <c r="BQ59" s="3838"/>
      <c r="BR59" s="3838"/>
      <c r="BS59" s="3838"/>
      <c r="BT59" s="3838"/>
      <c r="BU59" s="3838"/>
      <c r="BV59" s="3838"/>
    </row>
    <row r="60" spans="1:74" ht="12.75" customHeight="1">
      <c r="A60" s="1616"/>
      <c r="B60" s="1616" t="s">
        <v>985</v>
      </c>
      <c r="C60" s="1616">
        <f>128*5+1</f>
        <v>641</v>
      </c>
      <c r="D60" s="1616">
        <f>128*6</f>
        <v>768</v>
      </c>
      <c r="E60" s="1616" t="s">
        <v>108</v>
      </c>
      <c r="F60" s="1616">
        <v>128</v>
      </c>
      <c r="G60" s="1616"/>
      <c r="H60" s="1616"/>
      <c r="I60" s="1616"/>
      <c r="J60" s="1616"/>
      <c r="K60" s="1616"/>
      <c r="L60" s="1616"/>
      <c r="M60" s="1616"/>
      <c r="N60" s="1616"/>
      <c r="O60" s="1616"/>
      <c r="P60" s="1616"/>
      <c r="Q60" s="1616"/>
      <c r="R60" s="1616"/>
      <c r="S60" s="1616"/>
      <c r="T60" s="1616"/>
      <c r="U60" s="1616"/>
      <c r="V60" s="1616"/>
      <c r="W60" s="1616"/>
      <c r="X60" s="1616"/>
      <c r="Y60" s="1616"/>
      <c r="Z60" s="1616"/>
      <c r="AA60" s="1616"/>
      <c r="AB60" s="1616"/>
      <c r="AC60" s="1616"/>
      <c r="AP60">
        <v>-1.7320508075688767</v>
      </c>
      <c r="AQ60">
        <v>0.50000000000000011</v>
      </c>
      <c r="AR60">
        <v>0.8660254037844386</v>
      </c>
      <c r="AV60">
        <v>-1.7674940162428909</v>
      </c>
      <c r="AW60">
        <v>0.49242356010346711</v>
      </c>
      <c r="AX60">
        <v>0.8703556959398997</v>
      </c>
      <c r="AY60">
        <v>0.44483887281679557</v>
      </c>
      <c r="AZ60">
        <v>-2.701720272705832</v>
      </c>
      <c r="BE60" s="3838"/>
      <c r="BF60" s="3838"/>
      <c r="BG60" s="3838"/>
      <c r="BH60" s="3838"/>
      <c r="BI60" s="3838"/>
      <c r="BJ60" s="3838"/>
      <c r="BK60" s="3838"/>
      <c r="BL60" s="3838"/>
      <c r="BM60" s="3838"/>
      <c r="BN60" s="3838"/>
      <c r="BO60" s="3838"/>
      <c r="BP60" s="3838"/>
      <c r="BQ60" s="3838"/>
      <c r="BR60" s="3838"/>
      <c r="BS60" s="3838"/>
      <c r="BT60" s="3838"/>
      <c r="BU60" s="3838"/>
      <c r="BV60" s="3838"/>
    </row>
    <row r="61" spans="1:74">
      <c r="A61" s="1616"/>
      <c r="B61" s="1616" t="s">
        <v>986</v>
      </c>
      <c r="C61" s="1616">
        <f>128*6+1</f>
        <v>769</v>
      </c>
      <c r="D61" s="1616">
        <f>128*8</f>
        <v>1024</v>
      </c>
      <c r="E61" s="1616" t="s">
        <v>109</v>
      </c>
      <c r="F61" s="1615">
        <v>256</v>
      </c>
      <c r="G61" s="1616"/>
      <c r="H61" s="1616"/>
      <c r="I61" s="1616"/>
      <c r="J61" s="1616"/>
      <c r="K61" s="1616"/>
      <c r="L61" s="1616"/>
      <c r="M61" s="1616"/>
      <c r="N61" s="1616"/>
      <c r="O61" s="1616"/>
      <c r="P61" s="1616"/>
      <c r="Q61" s="1616"/>
      <c r="R61" s="1616"/>
      <c r="S61" s="1616"/>
      <c r="T61" s="1616"/>
      <c r="U61" s="1616"/>
      <c r="V61" s="1616"/>
      <c r="W61" s="1616"/>
      <c r="X61" s="1616"/>
      <c r="Y61" s="1616"/>
      <c r="Z61" s="1616"/>
      <c r="AA61" s="1616"/>
      <c r="AB61" s="1616"/>
      <c r="AC61" s="1616"/>
      <c r="AP61">
        <v>-1.8040477552714236</v>
      </c>
      <c r="AQ61">
        <v>0.48480962024633711</v>
      </c>
      <c r="AR61">
        <v>0.87461970713939574</v>
      </c>
      <c r="AV61">
        <v>-1.8417708860334581</v>
      </c>
      <c r="AW61">
        <v>0.47715876025960841</v>
      </c>
      <c r="AX61">
        <v>0.87881711266196538</v>
      </c>
      <c r="AY61">
        <v>0.59799500978288034</v>
      </c>
      <c r="AZ61">
        <v>-2.7883625931843792</v>
      </c>
      <c r="BE61" s="3838"/>
      <c r="BF61" s="3838"/>
      <c r="BG61" s="3838"/>
      <c r="BH61" s="3838"/>
      <c r="BI61" s="3838"/>
      <c r="BJ61" s="3838"/>
      <c r="BK61" s="3838"/>
      <c r="BL61" s="3838"/>
      <c r="BM61" s="3838"/>
      <c r="BN61" s="3838"/>
      <c r="BO61" s="3838"/>
      <c r="BP61" s="3838"/>
      <c r="BQ61" s="3838"/>
      <c r="BR61" s="3838"/>
      <c r="BS61" s="3838"/>
      <c r="BT61" s="3838"/>
      <c r="BU61" s="3838"/>
      <c r="BV61" s="3838"/>
    </row>
    <row r="62" spans="1:74">
      <c r="A62" s="1616"/>
      <c r="B62" s="1616" t="s">
        <v>987</v>
      </c>
      <c r="C62" s="1616">
        <f>128*8+1</f>
        <v>1025</v>
      </c>
      <c r="D62" s="1616">
        <f>128*9</f>
        <v>1152</v>
      </c>
      <c r="E62" s="1616" t="s">
        <v>110</v>
      </c>
      <c r="F62" s="1616">
        <v>128</v>
      </c>
      <c r="G62" s="1616"/>
      <c r="H62" s="1616"/>
      <c r="I62" s="1616"/>
      <c r="J62" s="1616"/>
      <c r="K62" s="1616"/>
      <c r="L62" s="1616"/>
      <c r="M62" s="1616"/>
      <c r="N62" s="1616"/>
      <c r="O62" s="1616"/>
      <c r="P62" s="1616"/>
      <c r="Q62" s="1616"/>
      <c r="R62" s="1616"/>
      <c r="S62" s="1616"/>
      <c r="T62" s="1616"/>
      <c r="U62" s="1616"/>
      <c r="V62" s="1616"/>
      <c r="W62" s="1616"/>
      <c r="X62" s="1616"/>
      <c r="Y62" s="1616"/>
      <c r="Z62" s="1616"/>
      <c r="AA62" s="1616"/>
      <c r="AB62" s="1616"/>
      <c r="AC62" s="1616"/>
      <c r="AP62">
        <v>-1.8807264653463318</v>
      </c>
      <c r="AQ62">
        <v>0.46947156278589086</v>
      </c>
      <c r="AR62">
        <v>0.88294759285892688</v>
      </c>
      <c r="AV62">
        <v>-1.9209821269711651</v>
      </c>
      <c r="AW62">
        <v>0.46174861323503408</v>
      </c>
      <c r="AX62">
        <v>0.8870108331782216</v>
      </c>
      <c r="AY62">
        <v>0.75778621071002572</v>
      </c>
      <c r="AZ62">
        <v>-2.8751119029521153</v>
      </c>
    </row>
    <row r="63" spans="1:74">
      <c r="A63" s="1616"/>
      <c r="B63" s="1616" t="s">
        <v>988</v>
      </c>
      <c r="C63" s="1616">
        <f>128*9+1</f>
        <v>1153</v>
      </c>
      <c r="D63" s="1616">
        <f>128*10</f>
        <v>1280</v>
      </c>
      <c r="E63" s="1616" t="s">
        <v>111</v>
      </c>
      <c r="F63" s="1616">
        <v>128</v>
      </c>
      <c r="G63" s="1616"/>
      <c r="H63" s="1616"/>
      <c r="I63" s="1616"/>
      <c r="J63" s="1616"/>
      <c r="K63" s="1616"/>
      <c r="L63" s="1616"/>
      <c r="M63" s="1616"/>
      <c r="N63" s="1616"/>
      <c r="O63" s="1616"/>
      <c r="P63" s="1616"/>
      <c r="Q63" s="1616"/>
      <c r="R63" s="1616"/>
      <c r="S63" s="1616"/>
      <c r="T63" s="1616"/>
      <c r="U63" s="1616"/>
      <c r="V63" s="1616"/>
      <c r="W63" s="1616"/>
      <c r="X63" s="1616"/>
      <c r="Y63" s="1616"/>
      <c r="Z63" s="1616"/>
      <c r="AA63" s="1616"/>
      <c r="AB63" s="1616"/>
      <c r="AC63" s="1616"/>
      <c r="AP63">
        <v>-1.9626105055051504</v>
      </c>
      <c r="AQ63">
        <v>0.4539904997395468</v>
      </c>
      <c r="AR63">
        <v>0.89100652418836779</v>
      </c>
      <c r="AV63">
        <v>-2.0056897082590202</v>
      </c>
      <c r="AW63">
        <v>0.44619781310980872</v>
      </c>
      <c r="AX63">
        <v>0.89493436160202511</v>
      </c>
      <c r="AY63">
        <v>0.9248682119114644</v>
      </c>
      <c r="AZ63">
        <v>-2.9620779621417004</v>
      </c>
    </row>
    <row r="64" spans="1:74">
      <c r="A64" s="1616"/>
      <c r="B64" s="1616" t="s">
        <v>989</v>
      </c>
      <c r="C64" s="1616">
        <f>128*10+1</f>
        <v>1281</v>
      </c>
      <c r="D64" s="1616">
        <f>128*11</f>
        <v>1408</v>
      </c>
      <c r="E64" s="1616" t="s">
        <v>112</v>
      </c>
      <c r="F64" s="1616">
        <v>128</v>
      </c>
      <c r="G64" s="1616"/>
      <c r="H64" s="1616"/>
      <c r="I64" s="1616"/>
      <c r="J64" s="1616"/>
      <c r="K64" s="1616"/>
      <c r="L64" s="1616"/>
      <c r="M64" s="1616"/>
      <c r="N64" s="1616"/>
      <c r="O64" s="1616"/>
      <c r="P64" s="1616"/>
      <c r="Q64" s="1616"/>
      <c r="R64" s="1616"/>
      <c r="S64" s="1616"/>
      <c r="T64" s="1616"/>
      <c r="U64" s="1616"/>
      <c r="V64" s="1616"/>
      <c r="W64" s="1616"/>
      <c r="X64" s="1616"/>
      <c r="Y64" s="1616"/>
      <c r="Z64" s="1616"/>
      <c r="AA64" s="1616"/>
      <c r="AB64" s="1616"/>
      <c r="AC64" s="1616"/>
      <c r="AP64">
        <v>-2.050303841579296</v>
      </c>
      <c r="AQ64">
        <v>0.43837114678907746</v>
      </c>
      <c r="AR64">
        <v>0.89879404629916704</v>
      </c>
      <c r="AV64">
        <v>-2.0965435990881738</v>
      </c>
      <c r="AW64">
        <v>0.43051109680829525</v>
      </c>
      <c r="AX64">
        <v>0.90258528434986052</v>
      </c>
      <c r="AY64">
        <v>1.0999828969287009</v>
      </c>
      <c r="AZ64">
        <v>-3.0493743743417592</v>
      </c>
    </row>
    <row r="65" spans="1:52">
      <c r="A65" s="1616"/>
      <c r="B65" s="1616" t="s">
        <v>990</v>
      </c>
      <c r="C65" s="1616">
        <f>128*11+1</f>
        <v>1409</v>
      </c>
      <c r="D65" s="1616">
        <f>128*12</f>
        <v>1536</v>
      </c>
      <c r="E65" s="1616" t="s">
        <v>1140</v>
      </c>
      <c r="F65" s="1616">
        <v>128</v>
      </c>
      <c r="G65" s="1616"/>
      <c r="H65" s="1616" t="s">
        <v>480</v>
      </c>
      <c r="I65" s="1616"/>
      <c r="J65" s="1616"/>
      <c r="K65" s="1616"/>
      <c r="L65" s="1616"/>
      <c r="M65" s="1616"/>
      <c r="N65" s="1616"/>
      <c r="O65" s="1616"/>
      <c r="P65" s="1616"/>
      <c r="Q65" s="1616"/>
      <c r="R65" s="1616"/>
      <c r="S65" s="1616"/>
      <c r="T65" s="1616"/>
      <c r="U65" s="1616"/>
      <c r="V65" s="1616"/>
      <c r="W65" s="1616"/>
      <c r="X65" s="1616"/>
      <c r="Y65" s="1616"/>
      <c r="Z65" s="1616"/>
      <c r="AA65" s="1616"/>
      <c r="AB65" s="1616"/>
      <c r="AC65" s="1616"/>
      <c r="AP65">
        <v>-2.1445069205095586</v>
      </c>
      <c r="AQ65">
        <v>0.42261826174069944</v>
      </c>
      <c r="AR65">
        <v>0.90630778703664994</v>
      </c>
      <c r="AV65">
        <v>-2.1942997311650387</v>
      </c>
      <c r="AW65">
        <v>0.41469324265623891</v>
      </c>
      <c r="AX65">
        <v>0.90996127087654322</v>
      </c>
      <c r="AY65">
        <v>1.2839737720677196</v>
      </c>
      <c r="AZ65">
        <v>-3.137119590129672</v>
      </c>
    </row>
    <row r="66" spans="1:52">
      <c r="A66" s="1616"/>
      <c r="B66" s="1616" t="s">
        <v>991</v>
      </c>
      <c r="C66" s="1616">
        <f>128*12+1</f>
        <v>1537</v>
      </c>
      <c r="D66" s="1616">
        <f>128*14</f>
        <v>1792</v>
      </c>
      <c r="E66" s="1616" t="s">
        <v>113</v>
      </c>
      <c r="F66" s="1615">
        <v>256</v>
      </c>
      <c r="G66" s="1616"/>
      <c r="H66" s="1616"/>
      <c r="I66" s="1616"/>
      <c r="J66" s="1616"/>
      <c r="K66" s="1616"/>
      <c r="L66" s="1616"/>
      <c r="M66" s="1616"/>
      <c r="N66" s="1616"/>
      <c r="O66" s="1616"/>
      <c r="P66" s="1616"/>
      <c r="Q66" s="1616"/>
      <c r="R66" s="1616"/>
      <c r="S66" s="1616"/>
      <c r="T66" s="1616"/>
      <c r="U66" s="1616"/>
      <c r="V66" s="1616"/>
      <c r="W66" s="1616"/>
      <c r="X66" s="1616"/>
      <c r="Y66" s="1616"/>
      <c r="Z66" s="1616"/>
      <c r="AA66" s="1616"/>
      <c r="AB66" s="1616"/>
      <c r="AC66" s="1616"/>
      <c r="AP66">
        <v>-2.2460367739042164</v>
      </c>
      <c r="AQ66">
        <v>0.40673664307580021</v>
      </c>
      <c r="AR66">
        <v>0.91354545764260087</v>
      </c>
      <c r="AV66">
        <v>-2.2998425472362567</v>
      </c>
      <c r="AW66">
        <v>0.39874906892524625</v>
      </c>
      <c r="AX66">
        <v>0.91706007438512405</v>
      </c>
      <c r="AY66">
        <v>1.4778049496868544</v>
      </c>
      <c r="AZ66">
        <v>-3.2254380479487219</v>
      </c>
    </row>
    <row r="67" spans="1:52">
      <c r="A67" s="1616"/>
      <c r="B67" s="1616" t="s">
        <v>992</v>
      </c>
      <c r="C67" s="1616">
        <f>128*14+1</f>
        <v>1793</v>
      </c>
      <c r="D67" s="1616">
        <f>128*16</f>
        <v>2048</v>
      </c>
      <c r="E67" s="1616" t="s">
        <v>114</v>
      </c>
      <c r="F67" s="1615">
        <v>256</v>
      </c>
      <c r="G67" s="1616"/>
      <c r="H67" s="1616"/>
      <c r="I67" s="1616"/>
      <c r="J67" s="1616"/>
      <c r="K67" s="1616"/>
      <c r="L67" s="1616"/>
      <c r="M67" s="1616"/>
      <c r="N67" s="1616"/>
      <c r="O67" s="1616"/>
      <c r="P67" s="1616"/>
      <c r="Q67" s="1616"/>
      <c r="R67" s="1616"/>
      <c r="S67" s="1616"/>
      <c r="T67" s="1616"/>
      <c r="U67" s="1616"/>
      <c r="V67" s="1616"/>
      <c r="W67" s="1616"/>
      <c r="X67" s="1616"/>
      <c r="Y67" s="1616"/>
      <c r="Z67" s="1616"/>
      <c r="AA67" s="1616"/>
      <c r="AB67" s="1616"/>
      <c r="AC67" s="1616"/>
      <c r="AP67">
        <v>-2.3558523658237518</v>
      </c>
      <c r="AQ67">
        <v>0.39073112848927394</v>
      </c>
      <c r="AR67">
        <v>0.92050485345244026</v>
      </c>
      <c r="AV67">
        <v>-2.4142135623730949</v>
      </c>
      <c r="AW67">
        <v>0.38268343236508984</v>
      </c>
      <c r="AX67">
        <v>0.92387953251128674</v>
      </c>
      <c r="AY67">
        <v>1.6825846213187035</v>
      </c>
      <c r="AZ67">
        <v>-3.3144614886414012</v>
      </c>
    </row>
    <row r="68" spans="1:52">
      <c r="A68" s="1616"/>
      <c r="B68" s="1616" t="s">
        <v>115</v>
      </c>
      <c r="C68" s="1616">
        <f>128*16+1</f>
        <v>2049</v>
      </c>
      <c r="D68" s="1616">
        <f>128*16+128</f>
        <v>2176</v>
      </c>
      <c r="E68" s="1616" t="s">
        <v>552</v>
      </c>
      <c r="F68" s="1616" t="s">
        <v>118</v>
      </c>
      <c r="G68" s="1616"/>
      <c r="H68" s="1616" t="s">
        <v>553</v>
      </c>
      <c r="I68" s="1616"/>
      <c r="J68" s="1616"/>
      <c r="K68" s="1616"/>
      <c r="L68" s="1616"/>
      <c r="M68" s="1616"/>
      <c r="N68" s="1616"/>
      <c r="O68" s="1616"/>
      <c r="P68" s="1616"/>
      <c r="Q68" s="1616"/>
      <c r="R68" s="1616"/>
      <c r="S68" s="1616"/>
      <c r="T68" s="1616"/>
      <c r="U68" s="1616"/>
      <c r="V68" s="1616"/>
      <c r="W68" s="1616"/>
      <c r="X68" s="1616"/>
      <c r="Y68" s="1616"/>
      <c r="Z68" s="1616"/>
      <c r="AA68" s="1616"/>
      <c r="AB68" s="1616"/>
      <c r="AC68" s="1616"/>
      <c r="AP68">
        <v>-2.4750868534162964</v>
      </c>
      <c r="AQ68">
        <v>0.37460659341591196</v>
      </c>
      <c r="AR68">
        <v>0.92718385456678742</v>
      </c>
      <c r="AV68">
        <v>-2.5386478956643073</v>
      </c>
      <c r="AW68">
        <v>0.3665012267242973</v>
      </c>
      <c r="AX68">
        <v>0.93041756798202457</v>
      </c>
      <c r="AY68">
        <v>1.899594333975088</v>
      </c>
      <c r="AZ68">
        <v>-3.4043304897800999</v>
      </c>
    </row>
    <row r="69" spans="1:52">
      <c r="A69" s="1616"/>
      <c r="B69" s="1616" t="s">
        <v>116</v>
      </c>
      <c r="C69" s="1616">
        <f>128*17+1</f>
        <v>2177</v>
      </c>
      <c r="D69" s="1616">
        <f>128*17+128</f>
        <v>2304</v>
      </c>
      <c r="E69" s="1616" t="s">
        <v>117</v>
      </c>
      <c r="F69" s="1616" t="s">
        <v>118</v>
      </c>
      <c r="G69" s="1616"/>
      <c r="H69" s="1616" t="s">
        <v>119</v>
      </c>
      <c r="I69" s="1616"/>
      <c r="J69" s="1616"/>
      <c r="K69" s="1616"/>
      <c r="L69" s="1616"/>
      <c r="M69" s="1616"/>
      <c r="N69" s="1616"/>
      <c r="O69" s="1616"/>
      <c r="P69" s="1616"/>
      <c r="Q69" s="1616"/>
      <c r="R69" s="1616"/>
      <c r="S69" s="1616"/>
      <c r="T69" s="1616"/>
      <c r="U69" s="1616"/>
      <c r="V69" s="1616"/>
      <c r="W69" s="1616"/>
      <c r="X69" s="1616"/>
      <c r="Y69" s="1616"/>
      <c r="Z69" s="1616"/>
      <c r="AA69" s="1616"/>
      <c r="AB69" s="1616"/>
      <c r="AC69" s="1616"/>
      <c r="AP69">
        <v>-2.6050890646938005</v>
      </c>
      <c r="AQ69">
        <v>0.35836794954530038</v>
      </c>
      <c r="AR69">
        <v>0.93358042649720174</v>
      </c>
      <c r="AV69">
        <v>-2.674621493926824</v>
      </c>
      <c r="AW69">
        <v>0.35020738125946743</v>
      </c>
      <c r="AX69">
        <v>0.93667218924839757</v>
      </c>
      <c r="AY69">
        <v>2.1303258468798152</v>
      </c>
      <c r="AZ69">
        <v>-3.4951962792285629</v>
      </c>
    </row>
    <row r="70" spans="1:52">
      <c r="A70" s="1616"/>
      <c r="B70" s="1616" t="s">
        <v>880</v>
      </c>
      <c r="C70" s="1616">
        <f>128*18+1</f>
        <v>2305</v>
      </c>
      <c r="D70" s="1616">
        <f>128*18+128</f>
        <v>2432</v>
      </c>
      <c r="E70" s="1616" t="s">
        <v>881</v>
      </c>
      <c r="F70" s="1616">
        <v>128</v>
      </c>
      <c r="G70" s="1616"/>
      <c r="H70" s="1616" t="s">
        <v>882</v>
      </c>
      <c r="I70" s="1616"/>
      <c r="J70" s="1616"/>
      <c r="K70" s="1616"/>
      <c r="L70" s="1616"/>
      <c r="M70" s="1616"/>
      <c r="N70" s="1616"/>
      <c r="O70" s="1616"/>
      <c r="P70" s="1616"/>
      <c r="Q70" s="1616"/>
      <c r="R70" s="1616"/>
      <c r="S70" s="1616"/>
      <c r="T70" s="1616"/>
      <c r="U70" s="1616"/>
      <c r="V70" s="1616"/>
      <c r="W70" s="1616"/>
      <c r="X70" s="1616"/>
      <c r="Y70" s="1616"/>
      <c r="Z70" s="1616"/>
      <c r="AA70" s="1616"/>
      <c r="AB70" s="1616"/>
      <c r="AC70" s="1616"/>
      <c r="AP70">
        <v>-2.7474774194546216</v>
      </c>
      <c r="AQ70">
        <v>0.34202014332566882</v>
      </c>
      <c r="AR70">
        <v>0.93969262078590832</v>
      </c>
      <c r="AV70">
        <v>-2.8239128856007989</v>
      </c>
      <c r="AW70">
        <v>0.33380685923377112</v>
      </c>
      <c r="AX70">
        <v>0.94264149109217832</v>
      </c>
      <c r="AY70">
        <v>2.3765280046799777</v>
      </c>
      <c r="AZ70">
        <v>-3.5872229055330207</v>
      </c>
    </row>
    <row r="71" spans="1:52">
      <c r="A71" s="1616"/>
      <c r="B71" s="1616"/>
      <c r="C71" s="1616">
        <v>-2</v>
      </c>
      <c r="D71" s="1616">
        <v>-128</v>
      </c>
      <c r="E71" s="1616" t="s">
        <v>1097</v>
      </c>
      <c r="F71" s="1616">
        <v>127</v>
      </c>
      <c r="G71" s="1616"/>
      <c r="H71" s="1616" t="s">
        <v>1098</v>
      </c>
      <c r="I71" s="1616"/>
      <c r="J71" s="1616"/>
      <c r="K71" s="1616"/>
      <c r="L71" s="1616"/>
      <c r="M71" s="1616"/>
      <c r="N71" s="1616"/>
      <c r="O71" s="1616"/>
      <c r="P71" s="1616"/>
      <c r="Q71" s="1616"/>
      <c r="R71" s="1616"/>
      <c r="S71" s="1616"/>
      <c r="T71" s="1616"/>
      <c r="U71" s="1616"/>
      <c r="V71" s="1616"/>
      <c r="W71" s="1616"/>
      <c r="X71" s="1616"/>
      <c r="Y71" s="1616"/>
      <c r="Z71" s="1616"/>
      <c r="AA71" s="1616"/>
      <c r="AB71" s="1616"/>
      <c r="AC71" s="1616"/>
      <c r="AP71">
        <v>-2.9042108776758222</v>
      </c>
      <c r="AQ71">
        <v>0.32556815445715676</v>
      </c>
      <c r="AR71">
        <v>0.94551857559931674</v>
      </c>
      <c r="AV71">
        <v>-2.9886849627428935</v>
      </c>
      <c r="AW71">
        <v>0.31730465640509209</v>
      </c>
      <c r="AX71">
        <v>0.94832365520619932</v>
      </c>
      <c r="AY71">
        <v>2.6402670131914032</v>
      </c>
      <c r="AZ71">
        <v>-3.6805898678727136</v>
      </c>
    </row>
    <row r="72" spans="1:52">
      <c r="A72" s="1616"/>
      <c r="B72" s="1616"/>
      <c r="C72" s="1616"/>
      <c r="D72" s="1616"/>
      <c r="E72" s="1617" t="s">
        <v>101</v>
      </c>
      <c r="F72" s="1616"/>
      <c r="G72" s="1616"/>
      <c r="H72" s="1616"/>
      <c r="I72" s="1616"/>
      <c r="J72" s="1616"/>
      <c r="K72" s="1616"/>
      <c r="L72" s="1616"/>
      <c r="M72" s="1616"/>
      <c r="N72" s="1616"/>
      <c r="O72" s="1616"/>
      <c r="P72" s="1616"/>
      <c r="Q72" s="1616"/>
      <c r="R72" s="1616"/>
      <c r="S72" s="1616"/>
      <c r="T72" s="1616"/>
      <c r="U72" s="1616"/>
      <c r="V72" s="1616"/>
      <c r="W72" s="1616"/>
      <c r="X72" s="1616"/>
      <c r="Y72" s="1616"/>
      <c r="Z72" s="1616"/>
      <c r="AA72" s="1616"/>
      <c r="AB72" s="1616"/>
      <c r="AC72" s="1616"/>
      <c r="AP72">
        <v>-3.0776835371752527</v>
      </c>
      <c r="AQ72">
        <v>0.30901699437494745</v>
      </c>
      <c r="AR72">
        <v>0.95105651629515353</v>
      </c>
      <c r="AV72">
        <v>-3.1715948023632108</v>
      </c>
      <c r="AW72">
        <v>0.30070579950427329</v>
      </c>
      <c r="AX72">
        <v>0.95371695074822682</v>
      </c>
      <c r="AY72">
        <v>2.9240048966940808</v>
      </c>
      <c r="AZ72">
        <v>-3.7754953435522838</v>
      </c>
    </row>
    <row r="73" spans="1:52">
      <c r="A73" s="1616"/>
      <c r="B73" s="1616" t="s">
        <v>121</v>
      </c>
      <c r="C73" s="1616">
        <v>1E-3</v>
      </c>
      <c r="D73" s="1616">
        <v>0.25600000000000001</v>
      </c>
      <c r="E73" t="s">
        <v>122</v>
      </c>
      <c r="F73" s="1615">
        <v>256</v>
      </c>
      <c r="G73" s="1616" t="s">
        <v>123</v>
      </c>
      <c r="H73" s="1616"/>
      <c r="I73" s="1616"/>
      <c r="J73" s="1616"/>
      <c r="K73" s="1616"/>
      <c r="L73" s="1616"/>
      <c r="M73" s="1616"/>
      <c r="N73" s="1616"/>
      <c r="O73" s="1616"/>
      <c r="P73" s="1616"/>
      <c r="Q73" s="1616"/>
      <c r="R73" s="1616"/>
      <c r="S73" s="1616"/>
      <c r="T73" s="1616"/>
      <c r="U73" s="1616"/>
      <c r="V73" s="1616"/>
      <c r="W73" s="1616"/>
      <c r="X73" s="1616"/>
      <c r="Y73" s="1616"/>
      <c r="Z73" s="1616"/>
      <c r="AA73" s="1616"/>
      <c r="AB73" s="1616"/>
      <c r="AC73" s="1616"/>
      <c r="AP73">
        <v>-3.2708526184841404</v>
      </c>
      <c r="AQ73">
        <v>0.29237170472273677</v>
      </c>
      <c r="AR73">
        <v>0.95630475596303544</v>
      </c>
      <c r="AV73">
        <v>-3.3759434225912472</v>
      </c>
      <c r="AW73">
        <v>0.28401534470392253</v>
      </c>
      <c r="AX73">
        <v>0.95881973486819305</v>
      </c>
      <c r="AY73">
        <v>3.2307029959574383</v>
      </c>
      <c r="AZ73">
        <v>-3.8721602012447742</v>
      </c>
    </row>
    <row r="74" spans="1:52">
      <c r="A74" s="1616"/>
      <c r="B74" s="1616"/>
      <c r="C74" s="1616">
        <f>D73+0.001</f>
        <v>0.25700000000000001</v>
      </c>
      <c r="D74" s="1616">
        <f>D73+0.128</f>
        <v>0.38400000000000001</v>
      </c>
      <c r="E74" t="s">
        <v>124</v>
      </c>
      <c r="F74" s="1616">
        <v>128</v>
      </c>
      <c r="G74" s="1618" t="s">
        <v>125</v>
      </c>
      <c r="H74" s="1616" t="s">
        <v>126</v>
      </c>
      <c r="I74" s="1616"/>
      <c r="J74" s="1616"/>
      <c r="K74" s="1616"/>
      <c r="L74" s="1616"/>
      <c r="M74" s="1616"/>
      <c r="N74" s="1616"/>
      <c r="O74" s="1616"/>
      <c r="P74" s="1616"/>
      <c r="Q74" s="1616"/>
      <c r="R74" s="1616"/>
      <c r="S74" s="1616"/>
      <c r="T74" s="1616"/>
      <c r="U74" s="1616"/>
      <c r="V74" s="1616"/>
      <c r="W74" s="1616"/>
      <c r="X74" s="1616"/>
      <c r="Y74" s="1616"/>
      <c r="Z74" s="1616"/>
      <c r="AA74" s="1616"/>
      <c r="AB74" s="1616"/>
      <c r="AC74" s="1616"/>
      <c r="AP74">
        <v>-3.4874144438409087</v>
      </c>
      <c r="AQ74">
        <v>0.27563735581699916</v>
      </c>
      <c r="AR74">
        <v>0.96126169593831889</v>
      </c>
      <c r="AV74">
        <v>-3.6058835087608729</v>
      </c>
      <c r="AW74">
        <v>0.26723837607825696</v>
      </c>
      <c r="AX74">
        <v>0.96363045320862295</v>
      </c>
      <c r="AY74">
        <v>3.5639605358458759</v>
      </c>
      <c r="AZ74">
        <v>-3.9708330610080509</v>
      </c>
    </row>
    <row r="75" spans="1:52">
      <c r="A75" s="1616"/>
      <c r="B75" s="1616"/>
      <c r="C75" s="1616">
        <v>0.38500000000000001</v>
      </c>
      <c r="D75" s="1616">
        <v>0.499</v>
      </c>
      <c r="E75" t="s">
        <v>127</v>
      </c>
      <c r="F75" s="1616">
        <v>114</v>
      </c>
      <c r="G75" s="1616"/>
      <c r="H75" s="1616"/>
      <c r="I75" s="1616"/>
      <c r="J75" s="1616"/>
      <c r="K75" s="1616"/>
      <c r="L75" s="1616"/>
      <c r="M75" s="1616"/>
      <c r="N75" s="1616"/>
      <c r="O75" s="1616"/>
      <c r="P75" s="1616"/>
      <c r="Q75" s="1616"/>
      <c r="R75" s="1616"/>
      <c r="S75" s="1616"/>
      <c r="T75" s="1616"/>
      <c r="U75" s="1616"/>
      <c r="V75" s="1616"/>
      <c r="W75" s="1616"/>
      <c r="X75" s="1616"/>
      <c r="Y75" s="1616"/>
      <c r="Z75" s="1616"/>
      <c r="AA75" s="1616"/>
      <c r="AB75" s="1616"/>
      <c r="AC75" s="1616"/>
      <c r="AP75">
        <v>-3.7320508075688776</v>
      </c>
      <c r="AQ75">
        <v>0.25881904510252074</v>
      </c>
      <c r="AR75">
        <v>0.96592582628906831</v>
      </c>
      <c r="AV75">
        <v>-3.8667130948987372</v>
      </c>
      <c r="AW75">
        <v>0.2503800040544415</v>
      </c>
      <c r="AX75">
        <v>0.96814764037810774</v>
      </c>
      <c r="AY75">
        <v>3.9282032302755105</v>
      </c>
      <c r="AZ75">
        <v>-4.0717967697244912</v>
      </c>
    </row>
    <row r="76" spans="1:52">
      <c r="A76" s="1616"/>
      <c r="B76" s="1616"/>
      <c r="C76" s="1616"/>
      <c r="D76" s="1616"/>
      <c r="E76" t="s">
        <v>128</v>
      </c>
      <c r="F76" s="1616"/>
      <c r="G76" s="1616"/>
      <c r="H76" s="1616"/>
      <c r="I76" s="1616"/>
      <c r="J76" s="1616"/>
      <c r="K76" s="1616"/>
      <c r="L76" s="1616"/>
      <c r="M76" s="1616"/>
      <c r="N76" s="1616"/>
      <c r="O76" s="1616"/>
      <c r="P76" s="1616"/>
      <c r="Q76" s="1616"/>
      <c r="R76" s="1616"/>
      <c r="S76" s="1616"/>
      <c r="T76" s="1616"/>
      <c r="U76" s="1616"/>
      <c r="V76" s="1616"/>
      <c r="W76" s="1616"/>
      <c r="X76" s="1616"/>
      <c r="Y76" s="1616"/>
      <c r="Z76" s="1616"/>
      <c r="AA76" s="1616"/>
      <c r="AB76" s="1616"/>
      <c r="AC76" s="1616"/>
      <c r="AP76">
        <v>-4.010780933535842</v>
      </c>
      <c r="AQ76">
        <v>0.2419218955996679</v>
      </c>
      <c r="AR76">
        <v>0.97029572627599647</v>
      </c>
      <c r="AV76">
        <v>-4.1652997700904164</v>
      </c>
      <c r="AW76">
        <v>0.23344536385590547</v>
      </c>
      <c r="AX76">
        <v>0.97236992039767656</v>
      </c>
      <c r="AY76">
        <v>4.3289447819797822</v>
      </c>
      <c r="AZ76">
        <v>-4.1753768231883059</v>
      </c>
    </row>
    <row r="77" spans="1:52">
      <c r="A77" s="1616"/>
      <c r="B77" s="1616"/>
      <c r="C77" s="1616">
        <v>0.5</v>
      </c>
      <c r="D77" s="1616">
        <v>0.5</v>
      </c>
      <c r="E77" t="s">
        <v>129</v>
      </c>
      <c r="F77" s="1616" t="s">
        <v>957</v>
      </c>
      <c r="G77" s="1616"/>
      <c r="H77" s="1616"/>
      <c r="I77" s="1616"/>
      <c r="J77" s="1616"/>
      <c r="K77" s="1616"/>
      <c r="L77" s="1616"/>
      <c r="M77" s="1616"/>
      <c r="N77" s="1616"/>
      <c r="O77" s="1616"/>
      <c r="P77" s="1616"/>
      <c r="Q77" s="1616"/>
      <c r="R77" s="1616"/>
      <c r="S77" s="1616"/>
      <c r="T77" s="1616"/>
      <c r="U77" s="1616"/>
      <c r="V77" s="1616"/>
      <c r="W77" s="1616"/>
      <c r="X77" s="1616"/>
      <c r="Y77" s="1616"/>
      <c r="Z77" s="1616"/>
      <c r="AA77" s="1616"/>
      <c r="AB77" s="1616"/>
      <c r="AC77" s="1616"/>
      <c r="AP77">
        <v>-4.3314758742841573</v>
      </c>
      <c r="AQ77">
        <v>0.22495105434386492</v>
      </c>
      <c r="AR77">
        <v>0.97437006478523525</v>
      </c>
      <c r="AV77">
        <v>-4.5107085036620562</v>
      </c>
      <c r="AW77">
        <v>0.2164396139381029</v>
      </c>
      <c r="AX77">
        <v>0.97629600711993336</v>
      </c>
      <c r="AY77">
        <v>4.7731570947258248</v>
      </c>
      <c r="AZ77">
        <v>-4.2819525177035604</v>
      </c>
    </row>
    <row r="78" spans="1:52">
      <c r="A78" s="1616"/>
      <c r="B78" s="1616"/>
      <c r="C78" s="1616">
        <v>1E-4</v>
      </c>
      <c r="D78" s="1616">
        <v>8.9999999999999998E-4</v>
      </c>
      <c r="E78" t="s">
        <v>130</v>
      </c>
      <c r="F78" s="1619">
        <v>8</v>
      </c>
      <c r="G78" s="1619">
        <v>1</v>
      </c>
      <c r="H78" s="1619">
        <v>2</v>
      </c>
      <c r="I78" s="1618" t="s">
        <v>131</v>
      </c>
      <c r="J78" s="1616" t="s">
        <v>132</v>
      </c>
      <c r="K78" s="1616"/>
      <c r="L78" s="1616"/>
      <c r="M78" s="1616"/>
      <c r="N78" s="1616"/>
      <c r="O78" s="1616"/>
      <c r="P78" s="1616"/>
      <c r="Q78" s="1616"/>
      <c r="R78" s="1616"/>
      <c r="S78" s="1616"/>
      <c r="T78" s="1616"/>
      <c r="U78" s="1616"/>
      <c r="V78" s="1616"/>
      <c r="W78" s="1616"/>
      <c r="X78" s="1616"/>
      <c r="Y78" s="1616"/>
      <c r="Z78" s="1616"/>
      <c r="AA78" s="1616"/>
      <c r="AB78" s="1616"/>
      <c r="AC78" s="1616"/>
      <c r="AP78">
        <v>-4.7046301094784511</v>
      </c>
      <c r="AQ78">
        <v>0.20791169081775945</v>
      </c>
      <c r="AR78">
        <v>0.97814760073380558</v>
      </c>
      <c r="AV78">
        <v>-4.9151570310711996</v>
      </c>
      <c r="AW78">
        <v>0.19936793441719741</v>
      </c>
      <c r="AX78">
        <v>0.97992470462082959</v>
      </c>
      <c r="AY78">
        <v>5.2698069872068665</v>
      </c>
      <c r="AZ78">
        <v>-4.3919720144444936</v>
      </c>
    </row>
    <row r="79" spans="1:52">
      <c r="A79" s="1616"/>
      <c r="B79" s="1616"/>
      <c r="C79" s="1616"/>
      <c r="D79" s="1616"/>
      <c r="E79" s="1616"/>
      <c r="F79" s="1619">
        <v>7</v>
      </c>
      <c r="G79" s="1619">
        <v>0</v>
      </c>
      <c r="H79" s="1619">
        <v>3</v>
      </c>
      <c r="I79" s="1616"/>
      <c r="J79" s="1616" t="s">
        <v>133</v>
      </c>
      <c r="K79" s="1616"/>
      <c r="L79" s="1616"/>
      <c r="M79" s="1616"/>
      <c r="N79" s="1616"/>
      <c r="O79" s="1616"/>
      <c r="P79" s="1616"/>
      <c r="Q79" s="1616"/>
      <c r="R79" s="1616"/>
      <c r="S79" s="1616"/>
      <c r="T79" s="1616"/>
      <c r="U79" s="1616"/>
      <c r="V79" s="1616"/>
      <c r="W79" s="1616"/>
      <c r="X79" s="1616"/>
      <c r="Y79" s="1616"/>
      <c r="Z79" s="1616"/>
      <c r="AA79" s="1616"/>
      <c r="AB79" s="1616"/>
      <c r="AC79" s="1616"/>
      <c r="AP79">
        <v>-5.1445540159703071</v>
      </c>
      <c r="AQ79">
        <v>0.19080899537654492</v>
      </c>
      <c r="AR79">
        <v>0.98162718344766398</v>
      </c>
      <c r="AV79">
        <v>-5.3955171743191377</v>
      </c>
      <c r="AW79">
        <v>0.18223552549214744</v>
      </c>
      <c r="AX79">
        <v>0.98325490756395462</v>
      </c>
      <c r="AY79">
        <v>5.8306558098582713</v>
      </c>
      <c r="AZ79">
        <v>-4.5059731572400841</v>
      </c>
    </row>
    <row r="80" spans="1:52">
      <c r="A80" s="1616"/>
      <c r="B80" s="1616"/>
      <c r="C80" s="1616"/>
      <c r="D80" s="1616"/>
      <c r="E80" s="1616"/>
      <c r="F80" s="1619">
        <v>6</v>
      </c>
      <c r="G80" s="1619">
        <v>5</v>
      </c>
      <c r="H80" s="1619">
        <v>4</v>
      </c>
      <c r="I80" s="1616"/>
      <c r="J80" s="1616" t="s">
        <v>134</v>
      </c>
      <c r="K80" s="1616"/>
      <c r="L80" s="1616"/>
      <c r="M80" s="1616"/>
      <c r="N80" s="1616"/>
      <c r="O80" s="1616"/>
      <c r="P80" s="1616"/>
      <c r="Q80" s="1616"/>
      <c r="R80" s="1616"/>
      <c r="S80" s="1616"/>
      <c r="T80" s="1616"/>
      <c r="U80" s="1616"/>
      <c r="V80" s="1616"/>
      <c r="W80" s="1616"/>
      <c r="X80" s="1616"/>
      <c r="Y80" s="1616"/>
      <c r="Z80" s="1616"/>
      <c r="AA80" s="1616"/>
      <c r="AB80" s="1616"/>
      <c r="AC80" s="1616"/>
      <c r="AP80">
        <v>-5.6712818196177066</v>
      </c>
      <c r="AQ80">
        <v>0.17364817766693041</v>
      </c>
      <c r="AR80">
        <v>0.98480775301220802</v>
      </c>
      <c r="AV80">
        <v>-5.9757643644330587</v>
      </c>
      <c r="AW80">
        <v>0.16504760586067782</v>
      </c>
      <c r="AX80">
        <v>0.98628560153723133</v>
      </c>
      <c r="AY80">
        <v>6.4714890872452031</v>
      </c>
      <c r="AZ80">
        <v>-4.6246130035990172</v>
      </c>
    </row>
    <row r="81" spans="1:52">
      <c r="A81" s="1616" t="s">
        <v>135</v>
      </c>
      <c r="B81" s="1616" t="s">
        <v>1173</v>
      </c>
      <c r="C81" s="1616"/>
      <c r="D81" s="1616" t="s">
        <v>136</v>
      </c>
      <c r="E81" s="1616" t="s">
        <v>1174</v>
      </c>
      <c r="F81" s="1620"/>
      <c r="G81" s="1620"/>
      <c r="H81" s="1620"/>
      <c r="I81" s="1616"/>
      <c r="J81" s="1616"/>
      <c r="K81" s="1616"/>
      <c r="L81" s="1616"/>
      <c r="M81" s="1616"/>
      <c r="N81" s="1616"/>
      <c r="O81" s="1616"/>
      <c r="P81" s="1616"/>
      <c r="Q81" s="1616"/>
      <c r="R81" s="1616"/>
      <c r="S81" s="1616"/>
      <c r="T81" s="1616"/>
      <c r="U81" s="1616"/>
      <c r="V81" s="1616"/>
      <c r="W81" s="1616"/>
      <c r="X81" s="1616"/>
      <c r="Y81" s="1616"/>
      <c r="Z81" s="1616"/>
      <c r="AA81" s="1616"/>
      <c r="AB81" s="1616"/>
      <c r="AC81" s="1616"/>
      <c r="AP81">
        <v>-6.3137515146750411</v>
      </c>
      <c r="AQ81">
        <v>0.15643446504023092</v>
      </c>
      <c r="AR81">
        <v>0.98768834059513777</v>
      </c>
      <c r="AV81">
        <v>-6.6911562383174026</v>
      </c>
      <c r="AW81">
        <v>0.14780941112961077</v>
      </c>
      <c r="AX81">
        <v>0.98901586336191682</v>
      </c>
      <c r="AY81">
        <v>7.2140792339708497</v>
      </c>
      <c r="AZ81">
        <v>-4.7487110157989125</v>
      </c>
    </row>
    <row r="82" spans="1:52">
      <c r="A82" s="1616" t="s">
        <v>135</v>
      </c>
      <c r="B82" s="1616" t="s">
        <v>1099</v>
      </c>
      <c r="C82" s="1616" t="s">
        <v>1100</v>
      </c>
      <c r="D82" s="1616"/>
      <c r="E82" s="1616"/>
      <c r="F82" s="1620"/>
      <c r="G82" s="1620"/>
      <c r="H82" s="1620"/>
      <c r="I82" s="1616"/>
      <c r="J82" s="1616"/>
      <c r="K82" s="1616"/>
      <c r="L82" s="1616"/>
      <c r="M82" s="1616"/>
      <c r="N82" s="1616"/>
      <c r="O82" s="1616"/>
      <c r="P82" s="1616"/>
      <c r="Q82" s="1616"/>
      <c r="R82" s="1616"/>
      <c r="S82" s="1616"/>
      <c r="T82" s="1616"/>
      <c r="U82" s="1616"/>
      <c r="V82" s="1616"/>
      <c r="W82" s="1616"/>
      <c r="X82" s="1616"/>
      <c r="Y82" s="1616"/>
      <c r="Z82" s="1616"/>
      <c r="AA82" s="1616"/>
      <c r="AB82" s="1616"/>
      <c r="AC82" s="1616"/>
      <c r="AP82">
        <v>-7.1153697223841954</v>
      </c>
      <c r="AQ82">
        <v>0.13917310096006569</v>
      </c>
      <c r="AR82">
        <v>0.99026806874157025</v>
      </c>
      <c r="AV82">
        <v>-7.5957541127251424</v>
      </c>
      <c r="AW82">
        <v>0.13052619222005171</v>
      </c>
      <c r="AX82">
        <v>0.99144486137381038</v>
      </c>
      <c r="AY82">
        <v>8.089460928618168</v>
      </c>
      <c r="AZ82">
        <v>-4.8793145658828756</v>
      </c>
    </row>
    <row r="83" spans="1:52">
      <c r="A83" s="1616" t="s">
        <v>135</v>
      </c>
      <c r="B83" s="1616" t="s">
        <v>739</v>
      </c>
      <c r="C83" s="1616" t="s">
        <v>137</v>
      </c>
      <c r="D83" s="1616"/>
      <c r="E83" s="1616"/>
      <c r="F83" s="1620"/>
      <c r="G83" s="1620"/>
      <c r="H83" s="1620"/>
      <c r="I83" s="1616"/>
      <c r="J83" s="1616"/>
      <c r="K83" s="1616"/>
      <c r="L83" s="1616"/>
      <c r="M83" s="1616"/>
      <c r="N83" s="1616"/>
      <c r="O83" s="1616"/>
      <c r="P83" s="1616"/>
      <c r="Q83" s="1616"/>
      <c r="R83" s="1616"/>
      <c r="S83" s="1621"/>
      <c r="T83" s="1621"/>
      <c r="U83" s="1621"/>
      <c r="V83" s="1621"/>
      <c r="W83" s="1621"/>
      <c r="X83" s="1621"/>
      <c r="Y83" s="1621"/>
      <c r="Z83" s="1621"/>
      <c r="AA83" s="1621"/>
      <c r="AB83" s="1621"/>
      <c r="AC83" s="1621"/>
      <c r="AP83">
        <v>-8.1443464279745932</v>
      </c>
      <c r="AQ83">
        <v>0.12186934340514749</v>
      </c>
      <c r="AR83">
        <v>0.99254615164132198</v>
      </c>
      <c r="AV83">
        <v>-8.776887356869965</v>
      </c>
      <c r="AW83">
        <v>0.11320321376790661</v>
      </c>
      <c r="AX83">
        <v>0.99357185567658746</v>
      </c>
      <c r="AY83">
        <v>9.1437011151466443</v>
      </c>
      <c r="AZ83">
        <v>-5.0178027472289877</v>
      </c>
    </row>
    <row r="84" spans="1:52">
      <c r="A84" s="1621"/>
      <c r="B84" s="1621"/>
      <c r="C84" s="1621"/>
      <c r="D84" s="1621"/>
      <c r="E84" s="1621"/>
      <c r="F84" s="1621"/>
      <c r="G84" s="1621"/>
      <c r="H84" s="1621"/>
      <c r="I84" s="1621"/>
      <c r="J84" s="1621"/>
      <c r="K84" s="1621"/>
      <c r="L84" s="1621"/>
      <c r="M84" s="1621"/>
      <c r="N84" s="1621"/>
      <c r="O84" s="1621"/>
      <c r="P84" s="1621"/>
      <c r="Q84" s="1621"/>
      <c r="R84" s="1621"/>
      <c r="S84" s="1616"/>
      <c r="T84" s="1616"/>
      <c r="U84" s="1616"/>
      <c r="V84" s="1616"/>
      <c r="W84" s="1616"/>
      <c r="X84" s="1616"/>
      <c r="Y84" s="1616"/>
      <c r="Z84" s="1616"/>
      <c r="AA84" s="1616"/>
      <c r="AB84" s="1616"/>
      <c r="AC84" s="1616"/>
      <c r="AP84">
        <v>-9.5143644542225871</v>
      </c>
      <c r="AQ84">
        <v>0.10452846326765346</v>
      </c>
      <c r="AR84">
        <v>0.99452189536827329</v>
      </c>
      <c r="AV84">
        <v>-10.38539708013815</v>
      </c>
      <c r="AW84">
        <v>9.5845752520224065E-2</v>
      </c>
      <c r="AX84">
        <v>0.99539619836717874</v>
      </c>
      <c r="AY84">
        <v>10.448772522304335</v>
      </c>
      <c r="AZ84">
        <v>-5.1660601077184545</v>
      </c>
    </row>
    <row r="85" spans="1:52">
      <c r="A85" s="1615" t="s">
        <v>138</v>
      </c>
      <c r="B85" s="1616" t="s">
        <v>139</v>
      </c>
      <c r="C85" s="1615" t="s">
        <v>140</v>
      </c>
      <c r="D85" s="1616"/>
      <c r="E85" s="1622" t="s">
        <v>141</v>
      </c>
      <c r="F85" s="1616"/>
      <c r="G85" s="1623" t="s">
        <v>142</v>
      </c>
      <c r="H85" s="1616"/>
      <c r="I85" s="1618" t="s">
        <v>143</v>
      </c>
      <c r="J85" s="1616" t="s">
        <v>144</v>
      </c>
      <c r="K85" s="1616"/>
      <c r="L85" s="1616"/>
      <c r="M85" s="1616"/>
      <c r="N85" s="1616"/>
      <c r="O85" s="1616"/>
      <c r="P85" s="1616"/>
      <c r="Q85" s="1616"/>
      <c r="R85" s="1616"/>
      <c r="S85" s="1616"/>
      <c r="T85" s="1616"/>
      <c r="U85" s="1616"/>
      <c r="V85" s="1616"/>
      <c r="W85" s="1616"/>
      <c r="X85" s="1616"/>
      <c r="Y85" s="1616"/>
      <c r="Z85" s="1616"/>
      <c r="AA85" s="1616"/>
      <c r="AB85" s="1616"/>
      <c r="AC85" s="1616"/>
      <c r="AP85">
        <v>-11.430052302761348</v>
      </c>
      <c r="AQ85">
        <v>8.7155742747658138E-2</v>
      </c>
      <c r="AR85">
        <v>0.99619469809174555</v>
      </c>
      <c r="AV85">
        <v>-12.706204736174696</v>
      </c>
      <c r="AW85">
        <v>7.8459095727844999E-2</v>
      </c>
      <c r="AX85">
        <v>0.99691733373312796</v>
      </c>
      <c r="AY85">
        <v>12.124896697455991</v>
      </c>
      <c r="AZ85">
        <v>-5.3267883478682183</v>
      </c>
    </row>
    <row r="86" spans="1:52">
      <c r="A86" s="1616"/>
      <c r="B86" s="1616"/>
      <c r="C86" s="1616"/>
      <c r="D86" s="1616"/>
      <c r="E86" s="1616" t="s">
        <v>145</v>
      </c>
      <c r="F86" s="1624" t="s">
        <v>146</v>
      </c>
      <c r="G86" s="1619"/>
      <c r="H86" s="1625" t="s">
        <v>147</v>
      </c>
      <c r="I86" s="1616"/>
      <c r="J86" s="1616" t="s">
        <v>148</v>
      </c>
      <c r="K86" s="1616"/>
      <c r="L86" s="1616"/>
      <c r="M86" s="1616"/>
      <c r="N86" s="1616"/>
      <c r="O86" s="1616"/>
      <c r="P86" s="1616"/>
      <c r="Q86" s="1616"/>
      <c r="R86" s="1616"/>
      <c r="S86" s="1616"/>
      <c r="T86" s="1616"/>
      <c r="U86" s="1616"/>
      <c r="V86" s="1616"/>
      <c r="W86" s="1616"/>
      <c r="X86" s="1616"/>
      <c r="Y86" s="1616"/>
      <c r="Z86" s="1616"/>
      <c r="AA86" s="1616"/>
      <c r="AB86" s="1616"/>
      <c r="AC86" s="1616"/>
      <c r="AP86">
        <v>-14.300666256711896</v>
      </c>
      <c r="AQ86">
        <v>6.9756473744125455E-2</v>
      </c>
      <c r="AR86">
        <v>0.9975640502598242</v>
      </c>
      <c r="AV86">
        <v>-16.349855476099663</v>
      </c>
      <c r="AW86">
        <v>6.1048539534856908E-2</v>
      </c>
      <c r="AX86">
        <v>0.99813479842186692</v>
      </c>
      <c r="AY86">
        <v>14.392085457355034</v>
      </c>
      <c r="AZ86">
        <v>-5.5041196631440279</v>
      </c>
    </row>
    <row r="87" spans="1:52">
      <c r="A87" s="1616"/>
      <c r="B87" s="1616"/>
      <c r="C87" s="1616"/>
      <c r="D87" s="1616"/>
      <c r="E87" s="1616"/>
      <c r="F87" s="1616"/>
      <c r="G87" s="1626" t="s">
        <v>149</v>
      </c>
      <c r="H87" s="1616"/>
      <c r="I87" s="1616"/>
      <c r="J87" s="1616" t="s">
        <v>150</v>
      </c>
      <c r="K87" s="1616"/>
      <c r="L87" s="1616"/>
      <c r="M87" s="1616"/>
      <c r="N87" s="1616"/>
      <c r="O87" s="1616"/>
      <c r="P87" s="1616"/>
      <c r="Q87" s="1616"/>
      <c r="R87" s="1616"/>
      <c r="S87" s="1616"/>
      <c r="T87" s="1616"/>
      <c r="U87" s="1616"/>
      <c r="V87" s="1616"/>
      <c r="W87" s="1616"/>
      <c r="X87" s="1616"/>
      <c r="Y87" s="1616"/>
      <c r="Z87" s="1616"/>
      <c r="AA87" s="1616"/>
      <c r="AB87" s="1616"/>
      <c r="AC87" s="1616"/>
      <c r="AP87">
        <v>-19.081136687728161</v>
      </c>
      <c r="AQ87">
        <v>5.2335956242943966E-2</v>
      </c>
      <c r="AR87">
        <v>0.99862953475457383</v>
      </c>
      <c r="AV87">
        <v>-22.903765548431075</v>
      </c>
      <c r="AW87">
        <v>4.3619387365336229E-2</v>
      </c>
      <c r="AX87">
        <v>0.9990482215818578</v>
      </c>
      <c r="AY87">
        <v>17.710248359887061</v>
      </c>
      <c r="AZ87">
        <v>-5.7049907579259047</v>
      </c>
    </row>
    <row r="88" spans="1:52">
      <c r="A88" s="1616"/>
      <c r="B88" s="1616"/>
      <c r="C88" s="1616"/>
      <c r="D88" s="1616"/>
      <c r="E88" s="1616"/>
      <c r="F88" s="1616"/>
      <c r="G88" s="1616"/>
      <c r="H88" s="1616"/>
      <c r="I88" s="1616"/>
      <c r="J88" s="1616" t="s">
        <v>151</v>
      </c>
      <c r="K88" s="1616"/>
      <c r="L88" s="1616"/>
      <c r="M88" s="1616"/>
      <c r="N88" s="1616"/>
      <c r="O88" s="1616"/>
      <c r="P88" s="1616"/>
      <c r="Q88" s="1616"/>
      <c r="R88" s="1616"/>
      <c r="S88" s="1616"/>
      <c r="T88" s="1616"/>
      <c r="U88" s="1616"/>
      <c r="V88" s="1616"/>
      <c r="W88" s="1616"/>
      <c r="X88" s="1616"/>
      <c r="Y88" s="1616"/>
      <c r="Z88" s="1616"/>
      <c r="AA88" s="1616"/>
      <c r="AB88" s="1616"/>
      <c r="AC88" s="1616"/>
      <c r="AP88">
        <v>-28.636253282915515</v>
      </c>
      <c r="AQ88">
        <v>3.489949670250108E-2</v>
      </c>
      <c r="AR88">
        <v>0.99939082701909576</v>
      </c>
      <c r="AV88">
        <v>-38.188459297025631</v>
      </c>
      <c r="AW88">
        <v>2.6176948307873139E-2</v>
      </c>
      <c r="AX88">
        <v>0.99965732497555726</v>
      </c>
      <c r="AY88">
        <v>19</v>
      </c>
      <c r="AZ88">
        <v>-5.9428980069378685</v>
      </c>
    </row>
    <row r="89" spans="1:52">
      <c r="A89" s="1616"/>
      <c r="B89" s="1616"/>
      <c r="C89" s="1616"/>
      <c r="D89" s="1616"/>
      <c r="E89" s="1616"/>
      <c r="F89" s="1616"/>
      <c r="G89" s="1616"/>
      <c r="H89" s="1616"/>
      <c r="I89" s="1616"/>
      <c r="J89" s="1616" t="s">
        <v>152</v>
      </c>
      <c r="K89" s="1616"/>
      <c r="L89" s="1616"/>
      <c r="M89" s="1616"/>
      <c r="N89" s="1616"/>
      <c r="O89" s="1616"/>
      <c r="P89" s="1616"/>
      <c r="Q89" s="1616"/>
      <c r="R89" s="1616"/>
      <c r="S89" s="1616"/>
      <c r="T89" s="1616"/>
      <c r="U89" s="1616"/>
      <c r="V89" s="1616"/>
      <c r="W89" s="1616"/>
      <c r="X89" s="1616"/>
      <c r="Y89" s="1616"/>
      <c r="Z89" s="1616"/>
      <c r="AA89" s="1616"/>
      <c r="AB89" s="1616"/>
      <c r="AC89" s="1616"/>
      <c r="AP89">
        <v>-57.289961630759876</v>
      </c>
      <c r="AQ89">
        <v>1.7452406437283376E-2</v>
      </c>
      <c r="AR89">
        <v>0.99984769515639127</v>
      </c>
      <c r="AV89">
        <v>-63.656741162871697</v>
      </c>
      <c r="AW89">
        <v>1.5707317311820648E-2</v>
      </c>
      <c r="AX89">
        <v>0.99987663248166059</v>
      </c>
      <c r="AY89">
        <v>20</v>
      </c>
      <c r="AZ89">
        <v>-6.2526298924207913</v>
      </c>
    </row>
    <row r="90" spans="1:52">
      <c r="A90" s="1616"/>
      <c r="B90" s="1616"/>
      <c r="C90" s="1616"/>
      <c r="D90" s="1616"/>
      <c r="E90" s="1616"/>
      <c r="F90" s="1616"/>
      <c r="G90" s="1616"/>
      <c r="H90" s="1616"/>
      <c r="I90" s="1616"/>
      <c r="J90" s="1616" t="s">
        <v>153</v>
      </c>
      <c r="K90" s="1616"/>
      <c r="L90" s="1616"/>
      <c r="M90" s="1616"/>
      <c r="N90" s="1616"/>
      <c r="O90" s="1616"/>
      <c r="P90" s="1616"/>
      <c r="Q90" s="1616"/>
      <c r="R90" s="1616"/>
      <c r="S90" s="1616"/>
      <c r="T90" s="1616"/>
      <c r="U90" s="1616"/>
      <c r="V90" s="1616"/>
      <c r="W90" s="1616"/>
      <c r="X90" s="1616"/>
      <c r="Y90" s="1616"/>
      <c r="Z90" s="1616"/>
      <c r="AA90" s="1616"/>
      <c r="AB90" s="1616"/>
      <c r="AC90" s="1616"/>
      <c r="AP90">
        <v>57.289961630759549</v>
      </c>
      <c r="AQ90">
        <v>-1.7452406437283477E-2</v>
      </c>
      <c r="AR90">
        <v>0.99984769515639127</v>
      </c>
      <c r="AT90">
        <v>-32</v>
      </c>
      <c r="AV90">
        <v>38.188459297025808</v>
      </c>
      <c r="AW90">
        <v>-2.6176948307873017E-2</v>
      </c>
      <c r="AX90">
        <v>0.99965732497555726</v>
      </c>
      <c r="AY90">
        <v>20</v>
      </c>
      <c r="AZ90">
        <v>-6.2526298924207886</v>
      </c>
    </row>
    <row r="91" spans="1:52">
      <c r="A91" s="1616"/>
      <c r="B91" s="1616"/>
      <c r="C91" s="1616"/>
      <c r="D91" s="1616"/>
      <c r="E91" s="1616"/>
      <c r="F91" s="1616"/>
      <c r="G91" s="1616"/>
      <c r="H91" s="1616"/>
      <c r="I91" s="1616"/>
      <c r="J91" s="1616" t="s">
        <v>179</v>
      </c>
      <c r="K91" s="1616"/>
      <c r="L91" s="1616"/>
      <c r="M91" s="1616"/>
      <c r="N91" s="1616"/>
      <c r="O91" s="1616"/>
      <c r="P91" s="1616"/>
      <c r="Q91" s="1616"/>
      <c r="R91" s="1616"/>
      <c r="S91" s="1616"/>
      <c r="T91" s="1616"/>
      <c r="U91" s="1616"/>
      <c r="V91" s="1616"/>
      <c r="W91" s="1616"/>
      <c r="X91" s="1616"/>
      <c r="Y91" s="1616"/>
      <c r="Z91" s="1616"/>
      <c r="AA91" s="1616"/>
      <c r="AB91" s="1616"/>
      <c r="AC91" s="1616"/>
      <c r="AP91">
        <v>28.636253282915796</v>
      </c>
      <c r="AQ91">
        <v>-3.4899496702500733E-2</v>
      </c>
      <c r="AR91">
        <v>0.99939082701909576</v>
      </c>
      <c r="AT91">
        <v>-38</v>
      </c>
      <c r="AV91">
        <v>22.903765548431256</v>
      </c>
      <c r="AW91">
        <v>-4.3619387365335889E-2</v>
      </c>
      <c r="AX91">
        <v>0.9990482215818578</v>
      </c>
      <c r="AY91">
        <v>19</v>
      </c>
      <c r="AZ91">
        <v>-5.9428980069378738</v>
      </c>
    </row>
    <row r="92" spans="1:52">
      <c r="A92" s="1616"/>
      <c r="B92" s="1616"/>
      <c r="C92" s="1616"/>
      <c r="D92" s="1616"/>
      <c r="E92" s="1616"/>
      <c r="F92" s="1616"/>
      <c r="G92" s="1616"/>
      <c r="H92" s="1616"/>
      <c r="I92" s="1616"/>
      <c r="J92" s="1616" t="s">
        <v>180</v>
      </c>
      <c r="K92" s="1616"/>
      <c r="L92" s="1616"/>
      <c r="M92" s="1616"/>
      <c r="N92" s="1616"/>
      <c r="O92" s="1616"/>
      <c r="P92" s="1616"/>
      <c r="Q92" s="1616"/>
      <c r="R92" s="1616"/>
      <c r="S92" s="1616"/>
      <c r="T92" s="1616"/>
      <c r="U92" s="1616"/>
      <c r="V92" s="1616"/>
      <c r="W92" s="1616"/>
      <c r="X92" s="1616"/>
      <c r="Y92" s="1616"/>
      <c r="Z92" s="1616"/>
      <c r="AA92" s="1616"/>
      <c r="AB92" s="1616"/>
      <c r="AC92" s="1616"/>
      <c r="AP92">
        <v>19.081136687728289</v>
      </c>
      <c r="AQ92">
        <v>-5.233595624294362E-2</v>
      </c>
      <c r="AR92">
        <v>0.99862953475457383</v>
      </c>
      <c r="AT92">
        <v>-41</v>
      </c>
      <c r="AV92">
        <v>16.349855476099638</v>
      </c>
      <c r="AW92">
        <v>-6.1048539534857005E-2</v>
      </c>
      <c r="AX92">
        <v>0.99813479842186692</v>
      </c>
      <c r="AY92">
        <v>17.710248359887142</v>
      </c>
      <c r="AZ92">
        <v>-5.7049907579259092</v>
      </c>
    </row>
    <row r="93" spans="1:52">
      <c r="A93" s="1616"/>
      <c r="B93" s="1616"/>
      <c r="C93" s="1616"/>
      <c r="D93" s="1616"/>
      <c r="E93" s="1616"/>
      <c r="F93" s="1616"/>
      <c r="G93" s="1616"/>
      <c r="H93" s="1616"/>
      <c r="I93" s="1616"/>
      <c r="J93" s="1616" t="s">
        <v>181</v>
      </c>
      <c r="K93" s="1616"/>
      <c r="L93" s="1616"/>
      <c r="M93" s="1616"/>
      <c r="N93" s="1616"/>
      <c r="O93" s="1616"/>
      <c r="P93" s="1616"/>
      <c r="Q93" s="1616"/>
      <c r="R93" s="1616"/>
      <c r="S93" s="1616"/>
      <c r="T93" s="1616"/>
      <c r="U93" s="1616"/>
      <c r="V93" s="1616"/>
      <c r="W93" s="1616"/>
      <c r="X93" s="1616"/>
      <c r="Y93" s="1616"/>
      <c r="Z93" s="1616"/>
      <c r="AA93" s="1616"/>
      <c r="AB93" s="1616"/>
      <c r="AC93" s="1616"/>
      <c r="AP93">
        <v>14.300666256711921</v>
      </c>
      <c r="AQ93">
        <v>-6.975647374412533E-2</v>
      </c>
      <c r="AR93">
        <v>0.9975640502598242</v>
      </c>
      <c r="AT93">
        <v>-44</v>
      </c>
      <c r="AV93">
        <v>12.706204736174715</v>
      </c>
      <c r="AW93">
        <v>-7.8459095727844874E-2</v>
      </c>
      <c r="AX93">
        <v>0.99691733373312796</v>
      </c>
      <c r="AY93">
        <v>14.392085457355051</v>
      </c>
      <c r="AZ93">
        <v>-5.5041196631440288</v>
      </c>
    </row>
    <row r="94" spans="1:52">
      <c r="A94" s="1616"/>
      <c r="B94" s="1616"/>
      <c r="C94" s="1616"/>
      <c r="D94" s="1616"/>
      <c r="E94" s="1616"/>
      <c r="F94" s="1616"/>
      <c r="G94" s="1616"/>
      <c r="H94" s="1616"/>
      <c r="I94" s="1616"/>
      <c r="J94" s="1616" t="s">
        <v>182</v>
      </c>
      <c r="K94" s="1616"/>
      <c r="L94" s="1616"/>
      <c r="M94" s="1616"/>
      <c r="N94" s="1616"/>
      <c r="O94" s="1616"/>
      <c r="P94" s="1616"/>
      <c r="Q94" s="1616"/>
      <c r="R94" s="1616"/>
      <c r="S94" s="1616"/>
      <c r="T94" s="1616"/>
      <c r="U94" s="1616"/>
      <c r="V94" s="1616"/>
      <c r="W94" s="1616"/>
      <c r="X94" s="1616"/>
      <c r="Y94" s="1616"/>
      <c r="Z94" s="1616"/>
      <c r="AA94" s="1616"/>
      <c r="AB94" s="1616"/>
      <c r="AC94" s="1616"/>
      <c r="AP94">
        <v>11.430052302761336</v>
      </c>
      <c r="AQ94">
        <v>-8.7155742747658235E-2</v>
      </c>
      <c r="AR94">
        <v>0.99619469809174555</v>
      </c>
      <c r="AT94">
        <v>-46</v>
      </c>
      <c r="AV94">
        <v>10.385397080138164</v>
      </c>
      <c r="AW94">
        <v>-9.5845752520223954E-2</v>
      </c>
      <c r="AX94">
        <v>0.99539619836717885</v>
      </c>
      <c r="AY94">
        <v>12.124896697455984</v>
      </c>
      <c r="AZ94">
        <v>-5.3267883478682174</v>
      </c>
    </row>
    <row r="95" spans="1:52">
      <c r="A95" s="1616"/>
      <c r="B95" s="1616"/>
      <c r="C95" s="1616"/>
      <c r="D95" s="1616"/>
      <c r="E95" s="1616"/>
      <c r="F95" s="1616"/>
      <c r="G95" s="1616"/>
      <c r="H95" s="1616"/>
      <c r="I95" s="1616"/>
      <c r="J95" s="1616" t="s">
        <v>183</v>
      </c>
      <c r="K95" s="1616"/>
      <c r="L95" s="1616"/>
      <c r="M95" s="1616"/>
      <c r="N95" s="1616"/>
      <c r="O95" s="1616"/>
      <c r="P95" s="1616"/>
      <c r="Q95" s="1616"/>
      <c r="R95" s="1616"/>
      <c r="S95" s="1616"/>
      <c r="T95" s="1616"/>
      <c r="U95" s="1616"/>
      <c r="V95" s="1616"/>
      <c r="W95" s="1616"/>
      <c r="X95" s="1616"/>
      <c r="Y95" s="1616"/>
      <c r="Z95" s="1616"/>
      <c r="AA95" s="1616"/>
      <c r="AB95" s="1616"/>
      <c r="AC95" s="1616"/>
      <c r="AP95">
        <v>9.5143644542225978</v>
      </c>
      <c r="AQ95">
        <v>-0.10452846326765333</v>
      </c>
      <c r="AR95">
        <v>0.9945218953682734</v>
      </c>
      <c r="AT95">
        <v>-47</v>
      </c>
      <c r="AV95">
        <v>8.7768873568699579</v>
      </c>
      <c r="AW95">
        <v>-0.11320321376790671</v>
      </c>
      <c r="AX95">
        <v>0.99357185567658746</v>
      </c>
      <c r="AY95">
        <v>10.448772522304346</v>
      </c>
      <c r="AZ95">
        <v>-5.1660601077184563</v>
      </c>
    </row>
    <row r="96" spans="1:52">
      <c r="A96" s="1616"/>
      <c r="B96" s="1616"/>
      <c r="C96" s="1616"/>
      <c r="D96" s="1616"/>
      <c r="E96" s="1616"/>
      <c r="F96" s="1616"/>
      <c r="G96" s="1616"/>
      <c r="H96" s="1616"/>
      <c r="I96" s="1616"/>
      <c r="J96" s="1616" t="s">
        <v>186</v>
      </c>
      <c r="K96" s="1616"/>
      <c r="L96" s="1616"/>
      <c r="M96" s="1616"/>
      <c r="N96" s="1616"/>
      <c r="O96" s="1616"/>
      <c r="P96" s="1616"/>
      <c r="Q96" s="1616"/>
      <c r="R96" s="1616"/>
      <c r="S96" s="1616"/>
      <c r="T96" s="1616"/>
      <c r="U96" s="1616"/>
      <c r="V96" s="1616"/>
      <c r="W96" s="1616"/>
      <c r="X96" s="1616"/>
      <c r="Y96" s="1616"/>
      <c r="Z96" s="1616"/>
      <c r="AA96" s="1616"/>
      <c r="AB96" s="1616"/>
      <c r="AC96" s="1616"/>
      <c r="AP96">
        <v>8.1443464279746021</v>
      </c>
      <c r="AQ96">
        <v>-0.12186934340514737</v>
      </c>
      <c r="AR96">
        <v>0.99254615164132209</v>
      </c>
      <c r="AT96">
        <v>-48</v>
      </c>
      <c r="AV96">
        <v>7.5957541127251629</v>
      </c>
      <c r="AW96">
        <v>-0.13052619222005138</v>
      </c>
      <c r="AX96">
        <v>0.99144486137381049</v>
      </c>
      <c r="AY96">
        <v>9.1437011151466514</v>
      </c>
      <c r="AZ96">
        <v>-5.0178027472289894</v>
      </c>
    </row>
    <row r="97" spans="1:52">
      <c r="A97" s="1616"/>
      <c r="B97" s="1616"/>
      <c r="C97" s="1616"/>
      <c r="D97" s="1616"/>
      <c r="E97" s="1616"/>
      <c r="F97" s="1616"/>
      <c r="G97" s="1616"/>
      <c r="H97" s="1616"/>
      <c r="I97" s="1616"/>
      <c r="J97" s="1616"/>
      <c r="K97" s="1616"/>
      <c r="L97" s="1616"/>
      <c r="M97" s="1616"/>
      <c r="N97" s="1616"/>
      <c r="O97" s="1616"/>
      <c r="P97" s="1616"/>
      <c r="Q97" s="1616"/>
      <c r="R97" s="1616"/>
      <c r="S97" s="1616"/>
      <c r="T97" s="1616"/>
      <c r="U97" s="1616"/>
      <c r="V97" s="1616"/>
      <c r="W97" s="1616"/>
      <c r="X97" s="1616"/>
      <c r="Y97" s="1616"/>
      <c r="Z97" s="1616"/>
      <c r="AA97" s="1616"/>
      <c r="AB97" s="1616"/>
      <c r="AC97" s="1616"/>
      <c r="AP97">
        <v>7.1153697223842132</v>
      </c>
      <c r="AQ97">
        <v>-0.13917310096006535</v>
      </c>
      <c r="AR97">
        <v>0.99026806874157036</v>
      </c>
      <c r="AT97">
        <v>-49</v>
      </c>
      <c r="AV97">
        <v>6.6911562383174186</v>
      </c>
      <c r="AW97">
        <v>-0.14780941112961044</v>
      </c>
      <c r="AX97">
        <v>0.98901586336191682</v>
      </c>
      <c r="AY97">
        <v>8.0894609286181858</v>
      </c>
      <c r="AZ97">
        <v>-4.8793145658828792</v>
      </c>
    </row>
    <row r="98" spans="1:52">
      <c r="A98" s="1616"/>
      <c r="B98" s="1616"/>
      <c r="C98" s="1615" t="s">
        <v>187</v>
      </c>
      <c r="D98" s="1616"/>
      <c r="E98" s="1616" t="s">
        <v>188</v>
      </c>
      <c r="F98" s="1616" t="s">
        <v>189</v>
      </c>
      <c r="G98" s="1616"/>
      <c r="H98" s="1627"/>
      <c r="I98" s="1627">
        <v>45</v>
      </c>
      <c r="J98" s="1628" t="s">
        <v>190</v>
      </c>
      <c r="K98" s="1616"/>
      <c r="L98" s="1616"/>
      <c r="M98" s="1616"/>
      <c r="N98" s="1616"/>
      <c r="O98" s="1616"/>
      <c r="P98" s="1616"/>
      <c r="Q98" s="1616"/>
      <c r="R98" s="1616"/>
      <c r="S98" s="1616"/>
      <c r="T98" s="1616"/>
      <c r="U98" s="1616"/>
      <c r="V98" s="1616"/>
      <c r="W98" s="1616"/>
      <c r="X98" s="1616"/>
      <c r="Y98" s="1616"/>
      <c r="Z98" s="1616"/>
      <c r="AA98" s="1616"/>
      <c r="AB98" s="1616"/>
      <c r="AC98" s="1616"/>
      <c r="AP98">
        <v>6.3137515146750367</v>
      </c>
      <c r="AQ98">
        <v>-0.15643446504023104</v>
      </c>
      <c r="AR98">
        <v>0.98768834059513766</v>
      </c>
      <c r="AT98">
        <v>-50</v>
      </c>
      <c r="AV98">
        <v>5.9757643644330631</v>
      </c>
      <c r="AW98">
        <v>-0.16504760586067771</v>
      </c>
      <c r="AX98">
        <v>0.98628560153723144</v>
      </c>
      <c r="AY98">
        <v>7.2140792339708444</v>
      </c>
      <c r="AZ98">
        <v>-4.7487110157989125</v>
      </c>
    </row>
    <row r="99" spans="1:52">
      <c r="A99" s="1616"/>
      <c r="B99" s="1616"/>
      <c r="C99" s="1616"/>
      <c r="D99" s="1616"/>
      <c r="E99" s="1628"/>
      <c r="F99" s="1616" t="s">
        <v>191</v>
      </c>
      <c r="G99" s="1616"/>
      <c r="H99" s="1616"/>
      <c r="I99" s="1629">
        <v>36</v>
      </c>
      <c r="J99" s="1628" t="s">
        <v>192</v>
      </c>
      <c r="K99" s="1616"/>
      <c r="L99" s="1616"/>
      <c r="M99" s="1616"/>
      <c r="N99" s="1616"/>
      <c r="O99" s="1616"/>
      <c r="P99" s="1616"/>
      <c r="Q99" s="1616"/>
      <c r="R99" s="1616"/>
      <c r="S99" s="1616"/>
      <c r="T99" s="1616"/>
      <c r="U99" s="1616"/>
      <c r="V99" s="1616"/>
      <c r="W99" s="1616"/>
      <c r="X99" s="1616"/>
      <c r="Y99" s="1616"/>
      <c r="Z99" s="1616"/>
      <c r="AA99" s="1616"/>
      <c r="AB99" s="1616"/>
      <c r="AC99" s="1616"/>
      <c r="AP99">
        <v>5.6712818196177111</v>
      </c>
      <c r="AQ99">
        <v>-0.1736481776669303</v>
      </c>
      <c r="AR99">
        <v>0.98480775301220802</v>
      </c>
      <c r="AT99">
        <v>-51</v>
      </c>
      <c r="AV99">
        <v>5.395517174319135</v>
      </c>
      <c r="AW99">
        <v>-0.18223552549214753</v>
      </c>
      <c r="AX99">
        <v>0.98325490756395462</v>
      </c>
      <c r="AY99">
        <v>6.4714890872452084</v>
      </c>
      <c r="AZ99">
        <v>-4.6246130035990181</v>
      </c>
    </row>
    <row r="100" spans="1:52">
      <c r="A100" s="1616"/>
      <c r="B100" s="1616"/>
      <c r="C100" s="1616"/>
      <c r="D100" s="1616"/>
      <c r="E100" s="1616"/>
      <c r="F100" s="1616" t="s">
        <v>193</v>
      </c>
      <c r="G100" s="1616"/>
      <c r="H100" s="1616"/>
      <c r="I100" s="1610">
        <v>48</v>
      </c>
      <c r="J100" s="1628" t="s">
        <v>194</v>
      </c>
      <c r="K100" s="1616"/>
      <c r="L100" s="1616"/>
      <c r="M100" s="1616"/>
      <c r="N100" s="1616"/>
      <c r="O100" s="1616"/>
      <c r="P100" s="1616"/>
      <c r="Q100" s="1616"/>
      <c r="R100" s="1616"/>
      <c r="S100" s="1616"/>
      <c r="T100" s="1616"/>
      <c r="U100" s="1616"/>
      <c r="V100" s="1616"/>
      <c r="W100" s="1616"/>
      <c r="X100" s="1616"/>
      <c r="Y100" s="1616"/>
      <c r="Z100" s="1616"/>
      <c r="AA100" s="1616"/>
      <c r="AB100" s="1616"/>
      <c r="AC100" s="1616"/>
      <c r="AP100">
        <v>5.1445540159703107</v>
      </c>
      <c r="AQ100">
        <v>-0.1908089953765448</v>
      </c>
      <c r="AR100">
        <v>0.98162718344766398</v>
      </c>
      <c r="AT100">
        <v>-52</v>
      </c>
      <c r="AV100">
        <v>4.9151570310712076</v>
      </c>
      <c r="AW100">
        <v>-0.19936793441719705</v>
      </c>
      <c r="AX100">
        <v>0.97992470462082959</v>
      </c>
      <c r="AY100">
        <v>5.8306558098582766</v>
      </c>
      <c r="AZ100">
        <v>-4.505973157240085</v>
      </c>
    </row>
    <row r="101" spans="1:52">
      <c r="A101" s="1616"/>
      <c r="B101" s="1616"/>
      <c r="C101" s="1616"/>
      <c r="D101" s="1616"/>
      <c r="E101" s="1616"/>
      <c r="F101" s="1616" t="s">
        <v>195</v>
      </c>
      <c r="G101" s="1616"/>
      <c r="H101" s="1616"/>
      <c r="I101" s="1616"/>
      <c r="J101" s="1616"/>
      <c r="K101" s="1616"/>
      <c r="L101" s="1616"/>
      <c r="M101" s="1616"/>
      <c r="N101" s="1616"/>
      <c r="O101" s="1616"/>
      <c r="P101" s="1616"/>
      <c r="Q101" s="1616"/>
      <c r="R101" s="1616"/>
      <c r="S101" s="1616"/>
      <c r="T101" s="1616"/>
      <c r="U101" s="1616"/>
      <c r="V101" s="1616"/>
      <c r="W101" s="1616"/>
      <c r="X101" s="1616"/>
      <c r="Y101" s="1616"/>
      <c r="Z101" s="1616"/>
      <c r="AA101" s="1616"/>
      <c r="AB101" s="1616"/>
      <c r="AC101" s="1616"/>
      <c r="AP101">
        <v>4.7046301094784591</v>
      </c>
      <c r="AQ101">
        <v>-0.20791169081775912</v>
      </c>
      <c r="AR101">
        <v>0.97814760073380569</v>
      </c>
      <c r="AT101">
        <v>-52</v>
      </c>
      <c r="AV101">
        <v>4.5107085036620589</v>
      </c>
      <c r="AW101">
        <v>-0.21643961393810279</v>
      </c>
      <c r="AX101">
        <v>0.97629600711993336</v>
      </c>
      <c r="AY101">
        <v>5.2698069872068771</v>
      </c>
      <c r="AZ101">
        <v>-4.3919720144444963</v>
      </c>
    </row>
    <row r="102" spans="1:52">
      <c r="A102" s="1616"/>
      <c r="B102" s="1616"/>
      <c r="C102" s="1616"/>
      <c r="D102" s="1616"/>
      <c r="E102" s="1616" t="s">
        <v>196</v>
      </c>
      <c r="F102" s="1616" t="s">
        <v>197</v>
      </c>
      <c r="G102" s="1616"/>
      <c r="H102" s="1616" t="s">
        <v>198</v>
      </c>
      <c r="I102" s="1616"/>
      <c r="J102" s="1616"/>
      <c r="K102" s="1616"/>
      <c r="L102" s="1616"/>
      <c r="M102" s="1616"/>
      <c r="N102" s="1616"/>
      <c r="O102" s="1616"/>
      <c r="P102" s="1616"/>
      <c r="Q102" s="1616"/>
      <c r="R102" s="1616"/>
      <c r="S102" s="1616"/>
      <c r="T102" s="1616"/>
      <c r="U102" s="1616"/>
      <c r="V102" s="1616"/>
      <c r="W102" s="1616"/>
      <c r="X102" s="1616"/>
      <c r="Y102" s="1616"/>
      <c r="Z102" s="1616"/>
      <c r="AA102" s="1616"/>
      <c r="AB102" s="1616"/>
      <c r="AC102" s="1616"/>
      <c r="AP102">
        <v>4.331475874284159</v>
      </c>
      <c r="AQ102">
        <v>-0.22495105434386481</v>
      </c>
      <c r="AR102">
        <v>0.97437006478523525</v>
      </c>
      <c r="AT102">
        <v>-52</v>
      </c>
      <c r="AV102">
        <v>4.1652997700904226</v>
      </c>
      <c r="AW102">
        <v>-0.23344536385590511</v>
      </c>
      <c r="AX102">
        <v>0.97236992039767667</v>
      </c>
      <c r="AY102">
        <v>4.7731570947258284</v>
      </c>
      <c r="AZ102">
        <v>-4.2819525177035604</v>
      </c>
    </row>
    <row r="103" spans="1:52">
      <c r="A103" s="1616"/>
      <c r="B103" s="1616"/>
      <c r="C103" s="1616"/>
      <c r="D103" s="1616"/>
      <c r="E103" s="1628" t="s">
        <v>199</v>
      </c>
      <c r="F103" s="1616" t="s">
        <v>200</v>
      </c>
      <c r="G103" s="1616"/>
      <c r="H103" s="1616" t="s">
        <v>201</v>
      </c>
      <c r="I103" s="1616"/>
      <c r="J103" s="1616"/>
      <c r="K103" s="1616"/>
      <c r="L103" s="1616"/>
      <c r="M103" s="1616"/>
      <c r="N103" s="1616"/>
      <c r="O103" s="1616"/>
      <c r="P103" s="1616"/>
      <c r="Q103" s="1616"/>
      <c r="R103" s="1616"/>
      <c r="S103" s="1616"/>
      <c r="T103" s="1616"/>
      <c r="U103" s="1616"/>
      <c r="V103" s="1616"/>
      <c r="W103" s="1616"/>
      <c r="X103" s="1616"/>
      <c r="Y103" s="1616"/>
      <c r="Z103" s="1616"/>
      <c r="AA103" s="1616"/>
      <c r="AB103" s="1616"/>
      <c r="AC103" s="1616"/>
      <c r="AP103">
        <v>4.0107809335358438</v>
      </c>
      <c r="AQ103">
        <v>-0.24192189559966779</v>
      </c>
      <c r="AR103">
        <v>0.97029572627599647</v>
      </c>
      <c r="AT103">
        <v>-53</v>
      </c>
      <c r="AV103">
        <v>3.8667130948987389</v>
      </c>
      <c r="AW103">
        <v>-0.25038000405444139</v>
      </c>
      <c r="AX103">
        <v>0.96814764037810774</v>
      </c>
      <c r="AY103">
        <v>4.3289447819797857</v>
      </c>
      <c r="AZ103">
        <v>-4.1753768231883068</v>
      </c>
    </row>
    <row r="104" spans="1:52">
      <c r="A104" s="1616"/>
      <c r="B104" s="1616"/>
      <c r="C104" s="1616"/>
      <c r="D104" s="1616"/>
      <c r="E104" s="1616"/>
      <c r="F104" s="1616" t="s">
        <v>202</v>
      </c>
      <c r="G104" s="1616"/>
      <c r="H104" s="1616" t="s">
        <v>1147</v>
      </c>
      <c r="I104" s="1616"/>
      <c r="J104" s="1616"/>
      <c r="K104" s="1616"/>
      <c r="L104" s="1616"/>
      <c r="M104" s="1616"/>
      <c r="N104" s="1616"/>
      <c r="O104" s="1616"/>
      <c r="P104" s="1616"/>
      <c r="Q104" s="1616"/>
      <c r="R104" s="1616"/>
      <c r="AP104">
        <v>3.7320508075688763</v>
      </c>
      <c r="AQ104">
        <v>-0.25881904510252085</v>
      </c>
      <c r="AR104">
        <v>0.96592582628906831</v>
      </c>
      <c r="AT104">
        <v>-53</v>
      </c>
      <c r="AV104">
        <v>3.6058835087608747</v>
      </c>
      <c r="AW104">
        <v>-0.26723837607825685</v>
      </c>
      <c r="AX104">
        <v>0.96363045320862295</v>
      </c>
      <c r="AY104">
        <v>3.928203230275507</v>
      </c>
      <c r="AZ104">
        <v>-4.0717967697244912</v>
      </c>
    </row>
    <row r="105" spans="1:52">
      <c r="E105" s="1616"/>
      <c r="F105" s="1616"/>
      <c r="H105" s="1616" t="s">
        <v>879</v>
      </c>
      <c r="AP105">
        <v>3.48741444384091</v>
      </c>
      <c r="AQ105">
        <v>-0.27563735581699905</v>
      </c>
      <c r="AR105">
        <v>0.96126169593831889</v>
      </c>
      <c r="AT105">
        <v>-53</v>
      </c>
      <c r="AV105">
        <v>3.3759434225912459</v>
      </c>
      <c r="AW105">
        <v>-0.28401534470392265</v>
      </c>
      <c r="AX105">
        <v>0.95881973486819305</v>
      </c>
      <c r="AY105">
        <v>3.5639605358458777</v>
      </c>
      <c r="AZ105">
        <v>-3.9708330610080518</v>
      </c>
    </row>
    <row r="106" spans="1:52">
      <c r="E106" s="1616" t="s">
        <v>203</v>
      </c>
      <c r="F106" s="1616" t="s">
        <v>204</v>
      </c>
      <c r="AP106">
        <v>3.2708526184841422</v>
      </c>
      <c r="AQ106">
        <v>-0.29237170472273666</v>
      </c>
      <c r="AR106">
        <v>0.95630475596303555</v>
      </c>
      <c r="AT106">
        <v>-53</v>
      </c>
      <c r="AV106">
        <v>3.1715948023632148</v>
      </c>
      <c r="AW106">
        <v>-0.30070579950427295</v>
      </c>
      <c r="AX106">
        <v>0.95371695074822693</v>
      </c>
      <c r="AY106">
        <v>3.23070299595744</v>
      </c>
      <c r="AZ106">
        <v>-3.8721602012447747</v>
      </c>
    </row>
    <row r="107" spans="1:52">
      <c r="E107" s="1628" t="s">
        <v>205</v>
      </c>
      <c r="F107" s="1616" t="s">
        <v>206</v>
      </c>
      <c r="S107" s="1616"/>
      <c r="T107" s="1616"/>
      <c r="U107" s="1616"/>
      <c r="V107" s="1616"/>
      <c r="W107" s="1616"/>
      <c r="X107" s="1616"/>
      <c r="Y107" s="1616"/>
      <c r="Z107" s="1616"/>
      <c r="AA107" s="1616"/>
      <c r="AB107" s="1616"/>
      <c r="AC107" s="1616"/>
      <c r="AP107">
        <v>3.077683537175254</v>
      </c>
      <c r="AQ107">
        <v>-0.30901699437494734</v>
      </c>
      <c r="AR107">
        <v>0.95105651629515364</v>
      </c>
      <c r="AT107">
        <v>-53</v>
      </c>
      <c r="AV107">
        <v>2.9886849627428949</v>
      </c>
      <c r="AW107">
        <v>-0.31730465640509198</v>
      </c>
      <c r="AX107">
        <v>0.94832365520619943</v>
      </c>
      <c r="AY107">
        <v>2.9240048966940826</v>
      </c>
      <c r="AZ107">
        <v>-3.7754953435522842</v>
      </c>
    </row>
    <row r="108" spans="1:52">
      <c r="E108" s="1616"/>
      <c r="F108" s="1616" t="s">
        <v>207</v>
      </c>
      <c r="O108" s="1616"/>
      <c r="P108" s="1616"/>
      <c r="Q108" s="1616"/>
      <c r="R108" s="1616"/>
      <c r="S108" s="1616"/>
      <c r="T108" s="1616"/>
      <c r="U108" s="1616"/>
      <c r="V108" s="1616"/>
      <c r="W108" s="1616"/>
      <c r="X108" s="1616"/>
      <c r="Y108" s="1616"/>
      <c r="Z108" s="1616"/>
      <c r="AA108" s="1616"/>
      <c r="AB108" s="1616"/>
      <c r="AC108" s="1616"/>
      <c r="AP108">
        <v>2.9042108776758253</v>
      </c>
      <c r="AQ108">
        <v>-0.32556815445715642</v>
      </c>
      <c r="AR108">
        <v>0.94551857559931685</v>
      </c>
      <c r="AT108">
        <v>-53</v>
      </c>
      <c r="AV108">
        <v>2.8239128856008002</v>
      </c>
      <c r="AW108">
        <v>-0.33380685923377101</v>
      </c>
      <c r="AX108">
        <v>0.94264149109217832</v>
      </c>
      <c r="AY108">
        <v>2.6402670131914086</v>
      </c>
      <c r="AZ108">
        <v>-3.6805898678727154</v>
      </c>
    </row>
    <row r="109" spans="1:52">
      <c r="A109" s="1616"/>
      <c r="B109" s="1616"/>
      <c r="C109" s="1616"/>
      <c r="D109" s="1616"/>
      <c r="E109" s="1616" t="s">
        <v>1106</v>
      </c>
      <c r="F109" s="1616" t="s">
        <v>24</v>
      </c>
      <c r="G109" s="1616"/>
      <c r="H109" s="1616"/>
      <c r="I109" s="1616"/>
      <c r="J109" s="1616"/>
      <c r="K109" s="1616"/>
      <c r="L109" s="1616"/>
      <c r="M109" s="1616"/>
      <c r="N109" s="1616"/>
      <c r="O109" s="1616"/>
      <c r="P109" s="1616"/>
      <c r="Q109" s="1616"/>
      <c r="R109" s="1616"/>
      <c r="S109" s="1616"/>
      <c r="T109" s="1616"/>
      <c r="U109" s="1616"/>
      <c r="V109" s="1616"/>
      <c r="W109" s="1616"/>
      <c r="X109" s="1616"/>
      <c r="Y109" s="1616"/>
      <c r="Z109" s="1616"/>
      <c r="AA109" s="1616"/>
      <c r="AB109" s="1616"/>
      <c r="AC109" s="1616"/>
      <c r="AP109">
        <v>2.7474774194546225</v>
      </c>
      <c r="AQ109">
        <v>-0.34202014332566871</v>
      </c>
      <c r="AR109">
        <v>0.93969262078590843</v>
      </c>
      <c r="AT109">
        <v>-53</v>
      </c>
      <c r="AV109">
        <v>2.6746214939268231</v>
      </c>
      <c r="AW109">
        <v>-0.35020738125946754</v>
      </c>
      <c r="AX109">
        <v>0.93667218924839757</v>
      </c>
      <c r="AY109">
        <v>2.3765280046799795</v>
      </c>
      <c r="AZ109">
        <v>-3.5872229055330211</v>
      </c>
    </row>
    <row r="110" spans="1:52">
      <c r="A110" s="1616"/>
      <c r="B110" s="1616"/>
      <c r="C110" s="1616"/>
      <c r="D110" s="1616"/>
      <c r="E110" s="1628"/>
      <c r="F110" s="1616" t="s">
        <v>549</v>
      </c>
      <c r="G110" s="1616"/>
      <c r="H110" s="1616"/>
      <c r="I110" s="1616"/>
      <c r="J110" s="1616"/>
      <c r="K110" s="1616"/>
      <c r="L110" s="1616"/>
      <c r="M110" s="1616"/>
      <c r="N110" s="1616"/>
      <c r="O110" s="1616"/>
      <c r="P110" s="1616"/>
      <c r="Q110" s="1616"/>
      <c r="R110" s="1616"/>
      <c r="S110" s="1616"/>
      <c r="T110" s="1616"/>
      <c r="U110" s="1616"/>
      <c r="V110" s="1616"/>
      <c r="W110" s="1616"/>
      <c r="X110" s="1616"/>
      <c r="Y110" s="1616"/>
      <c r="Z110" s="1616"/>
      <c r="AA110" s="1616"/>
      <c r="AB110" s="1616"/>
      <c r="AC110" s="1616"/>
      <c r="AP110">
        <v>2.6050890646938014</v>
      </c>
      <c r="AQ110">
        <v>-0.35836794954530027</v>
      </c>
      <c r="AR110">
        <v>0.93358042649720174</v>
      </c>
      <c r="AT110">
        <v>-53</v>
      </c>
      <c r="AV110">
        <v>2.5386478956643082</v>
      </c>
      <c r="AW110">
        <v>-0.36650122672429719</v>
      </c>
      <c r="AX110">
        <v>0.93041756798202457</v>
      </c>
      <c r="AY110">
        <v>2.130325846879817</v>
      </c>
      <c r="AZ110">
        <v>-3.4951962792285634</v>
      </c>
    </row>
    <row r="111" spans="1:52">
      <c r="A111" s="1616"/>
      <c r="B111" s="1616"/>
      <c r="C111" s="1616"/>
      <c r="D111" s="1616"/>
      <c r="E111" s="1616"/>
      <c r="F111" s="1616" t="s">
        <v>293</v>
      </c>
      <c r="G111" s="1616"/>
      <c r="H111" s="1616"/>
      <c r="I111" s="1616"/>
      <c r="J111" s="1616"/>
      <c r="K111" s="1616"/>
      <c r="L111" s="1616"/>
      <c r="M111" s="1616"/>
      <c r="N111" s="1616"/>
      <c r="O111" s="1616"/>
      <c r="P111" s="1616"/>
      <c r="Q111" s="1616"/>
      <c r="R111" s="1616"/>
      <c r="S111" s="1616"/>
      <c r="T111" s="1616"/>
      <c r="U111" s="1616"/>
      <c r="V111" s="1616"/>
      <c r="W111" s="1616"/>
      <c r="X111" s="1616"/>
      <c r="Y111" s="1616"/>
      <c r="Z111" s="1616"/>
      <c r="AA111" s="1616"/>
      <c r="AB111" s="1616"/>
      <c r="AC111" s="1616"/>
      <c r="AP111">
        <v>2.4750868534162955</v>
      </c>
      <c r="AQ111">
        <v>-0.37460659341591207</v>
      </c>
      <c r="AR111">
        <v>0.92718385456678742</v>
      </c>
      <c r="AT111">
        <v>-52</v>
      </c>
      <c r="AV111">
        <v>2.4142135623730954</v>
      </c>
      <c r="AW111">
        <v>-0.38268343236508973</v>
      </c>
      <c r="AX111">
        <v>0.92387953251128674</v>
      </c>
      <c r="AY111">
        <v>1.8995943339750863</v>
      </c>
      <c r="AZ111">
        <v>-3.4043304897800994</v>
      </c>
    </row>
    <row r="112" spans="1:52">
      <c r="A112" s="1616"/>
      <c r="B112" s="1616"/>
      <c r="C112" s="1616"/>
      <c r="D112" s="1616"/>
      <c r="E112" s="1616" t="s">
        <v>208</v>
      </c>
      <c r="F112" s="1616"/>
      <c r="G112" s="1616"/>
      <c r="H112" s="1616"/>
      <c r="I112" s="1616"/>
      <c r="J112" s="1616"/>
      <c r="K112" s="1616"/>
      <c r="L112" s="1616"/>
      <c r="M112" s="1616"/>
      <c r="N112" s="1616"/>
      <c r="O112" s="1616"/>
      <c r="P112" s="1616"/>
      <c r="Q112" s="1616"/>
      <c r="R112" s="1616"/>
      <c r="S112" s="1616"/>
      <c r="T112" s="1616"/>
      <c r="U112" s="1616"/>
      <c r="V112" s="1616"/>
      <c r="W112" s="1616"/>
      <c r="X112" s="1616"/>
      <c r="Y112" s="1616"/>
      <c r="Z112" s="1616"/>
      <c r="AA112" s="1616"/>
      <c r="AB112" s="1616"/>
      <c r="AC112" s="1616"/>
      <c r="AP112">
        <v>2.355852365823754</v>
      </c>
      <c r="AQ112">
        <v>-0.3907311284892736</v>
      </c>
      <c r="AR112">
        <v>0.92050485345244037</v>
      </c>
      <c r="AT112">
        <v>-52</v>
      </c>
      <c r="AV112">
        <v>2.2998425472362589</v>
      </c>
      <c r="AW112">
        <v>-0.39874906892524598</v>
      </c>
      <c r="AX112">
        <v>0.91706007438512416</v>
      </c>
      <c r="AY112">
        <v>1.682584621318707</v>
      </c>
      <c r="AZ112">
        <v>-3.3144614886414026</v>
      </c>
    </row>
    <row r="113" spans="1:52">
      <c r="A113" s="1616"/>
      <c r="B113" s="1616"/>
      <c r="C113" s="1616"/>
      <c r="D113" s="1616"/>
      <c r="E113" s="1616"/>
      <c r="F113" s="1616" t="s">
        <v>209</v>
      </c>
      <c r="G113" s="1616"/>
      <c r="H113" s="1616"/>
      <c r="I113" s="1616"/>
      <c r="J113" s="1616"/>
      <c r="K113" s="1616"/>
      <c r="L113" s="1616"/>
      <c r="M113" s="1616"/>
      <c r="N113" s="1616"/>
      <c r="O113" s="1616"/>
      <c r="P113" s="1616"/>
      <c r="Q113" s="1616"/>
      <c r="R113" s="1616"/>
      <c r="AB113" s="1620"/>
      <c r="AC113" s="1620"/>
      <c r="AP113">
        <v>2.2460367739042169</v>
      </c>
      <c r="AQ113">
        <v>-0.40673664307580004</v>
      </c>
      <c r="AR113">
        <v>0.91354545764260098</v>
      </c>
      <c r="AT113">
        <v>-52</v>
      </c>
      <c r="AV113">
        <v>2.1942997311650396</v>
      </c>
      <c r="AW113">
        <v>-0.4146932426562388</v>
      </c>
      <c r="AX113">
        <v>0.90996127087654333</v>
      </c>
      <c r="AY113">
        <v>1.4778049496868544</v>
      </c>
      <c r="AZ113">
        <v>-3.2254380479487224</v>
      </c>
    </row>
    <row r="114" spans="1:52">
      <c r="A114" s="1616"/>
      <c r="B114" s="1616"/>
      <c r="C114" s="1616"/>
      <c r="D114" s="1616"/>
      <c r="E114" s="1616" t="s">
        <v>477</v>
      </c>
      <c r="F114" s="1616" t="s">
        <v>528</v>
      </c>
      <c r="H114" s="1616" t="s">
        <v>527</v>
      </c>
      <c r="I114" s="1616"/>
      <c r="J114" s="1616"/>
      <c r="K114" s="1616"/>
      <c r="L114" s="1616"/>
      <c r="M114" s="1616"/>
      <c r="N114" s="1616"/>
      <c r="AB114" s="1620"/>
      <c r="AC114" s="1620"/>
      <c r="AH114" s="93"/>
      <c r="AI114" s="93"/>
      <c r="AP114">
        <v>2.1445069205095595</v>
      </c>
      <c r="AQ114">
        <v>-0.42261826174069933</v>
      </c>
      <c r="AR114">
        <v>0.90630778703665005</v>
      </c>
      <c r="AT114">
        <v>-52</v>
      </c>
      <c r="AV114">
        <v>2.0965435990881733</v>
      </c>
      <c r="AW114">
        <v>-0.43051109680829536</v>
      </c>
      <c r="AX114">
        <v>0.90258528434986052</v>
      </c>
      <c r="AY114">
        <v>1.2839737720677213</v>
      </c>
      <c r="AZ114">
        <v>-3.1371195901296725</v>
      </c>
    </row>
    <row r="115" spans="1:52">
      <c r="E115" t="s">
        <v>526</v>
      </c>
      <c r="F115" s="1616" t="s">
        <v>529</v>
      </c>
      <c r="H115" s="1616" t="s">
        <v>530</v>
      </c>
      <c r="AB115" s="1620"/>
      <c r="AC115" s="1620"/>
      <c r="AH115" s="93"/>
      <c r="AI115" s="93"/>
      <c r="AP115">
        <v>2.0503038415792956</v>
      </c>
      <c r="AQ115">
        <v>-0.43837114678907751</v>
      </c>
      <c r="AR115">
        <v>0.89879404629916693</v>
      </c>
      <c r="AT115">
        <v>-51</v>
      </c>
      <c r="AV115">
        <v>2.0056897082590197</v>
      </c>
      <c r="AW115">
        <v>-0.44619781310980883</v>
      </c>
      <c r="AX115">
        <v>0.894934361602025</v>
      </c>
      <c r="AY115">
        <v>1.0999828969287009</v>
      </c>
      <c r="AZ115">
        <v>-3.0493743743417587</v>
      </c>
    </row>
    <row r="116" spans="1:52">
      <c r="E116" s="1616" t="s">
        <v>546</v>
      </c>
      <c r="F116" s="1616" t="s">
        <v>202</v>
      </c>
      <c r="G116" s="1616"/>
      <c r="H116" s="1616" t="s">
        <v>446</v>
      </c>
      <c r="S116" s="1620"/>
      <c r="T116" s="1620"/>
      <c r="U116" s="1620"/>
      <c r="V116" s="1620"/>
      <c r="W116" s="1620"/>
      <c r="X116" s="1620"/>
      <c r="Y116" s="1620"/>
      <c r="Z116" s="1620"/>
      <c r="AA116" s="1620"/>
      <c r="AB116" s="1621"/>
      <c r="AC116" s="1621"/>
      <c r="AH116" s="73"/>
      <c r="AI116" s="73"/>
      <c r="AP116">
        <v>1.962610505505151</v>
      </c>
      <c r="AQ116">
        <v>-0.45399049973954669</v>
      </c>
      <c r="AR116">
        <v>0.8910065241883679</v>
      </c>
      <c r="AT116">
        <v>-51</v>
      </c>
      <c r="AV116">
        <v>1.9209821269711667</v>
      </c>
      <c r="AW116">
        <v>-0.46174861323503374</v>
      </c>
      <c r="AX116">
        <v>0.88701083317822182</v>
      </c>
      <c r="AY116">
        <v>0.92486821191146618</v>
      </c>
      <c r="AZ116">
        <v>-2.9620779621417013</v>
      </c>
    </row>
    <row r="117" spans="1:52">
      <c r="E117" s="1616" t="s">
        <v>883</v>
      </c>
      <c r="F117" s="1616" t="s">
        <v>884</v>
      </c>
      <c r="G117" s="1616"/>
      <c r="H117" s="1616"/>
      <c r="O117" s="1620"/>
      <c r="P117" s="1620"/>
      <c r="Q117" s="1620"/>
      <c r="R117" s="1620"/>
      <c r="S117" s="1620"/>
      <c r="T117" s="1620"/>
      <c r="U117" s="1620"/>
      <c r="V117" s="1620"/>
      <c r="W117" s="1620"/>
      <c r="X117" s="1620"/>
      <c r="Y117" s="1620"/>
      <c r="Z117" s="1620"/>
      <c r="AA117" s="1620"/>
      <c r="AB117" s="1616"/>
      <c r="AC117" s="1616"/>
      <c r="AP117">
        <v>1.8807264653463334</v>
      </c>
      <c r="AQ117">
        <v>-0.46947156278589053</v>
      </c>
      <c r="AR117">
        <v>0.8829475928589271</v>
      </c>
      <c r="AT117">
        <v>-50</v>
      </c>
      <c r="AV117">
        <v>1.8417708860334578</v>
      </c>
      <c r="AW117">
        <v>-0.47715876025960846</v>
      </c>
      <c r="AX117">
        <v>0.87881711266196538</v>
      </c>
      <c r="AY117">
        <v>0.75778621071002839</v>
      </c>
      <c r="AZ117">
        <v>-2.875111902952117</v>
      </c>
    </row>
    <row r="118" spans="1:52">
      <c r="F118" s="1616" t="s">
        <v>885</v>
      </c>
      <c r="G118" s="1616"/>
      <c r="H118" s="1616"/>
      <c r="O118" s="1620"/>
      <c r="P118" s="1620"/>
      <c r="Q118" s="1620"/>
      <c r="R118" s="1620"/>
      <c r="S118" s="1620"/>
      <c r="T118" s="1620"/>
      <c r="U118" s="1620"/>
      <c r="V118" s="1620"/>
      <c r="W118" s="1620"/>
      <c r="X118" s="1620"/>
      <c r="Y118" s="1620"/>
      <c r="Z118" s="1620"/>
      <c r="AA118" s="1620"/>
      <c r="AB118" s="1616"/>
      <c r="AC118" s="1616"/>
      <c r="AP118">
        <v>1.804047755271424</v>
      </c>
      <c r="AQ118">
        <v>-0.484809620246337</v>
      </c>
      <c r="AR118">
        <v>0.87461970713939585</v>
      </c>
      <c r="AT118">
        <v>-50</v>
      </c>
      <c r="AV118">
        <v>1.7674940162428914</v>
      </c>
      <c r="AW118">
        <v>-0.492423560103467</v>
      </c>
      <c r="AX118">
        <v>0.8703556959398997</v>
      </c>
      <c r="AY118">
        <v>0.59799500978288123</v>
      </c>
      <c r="AZ118">
        <v>-2.7883625931843792</v>
      </c>
    </row>
    <row r="119" spans="1:52">
      <c r="F119" s="1616" t="s">
        <v>559</v>
      </c>
      <c r="G119" s="1616"/>
      <c r="H119" s="1616"/>
      <c r="O119" s="1620"/>
      <c r="P119" s="1620"/>
      <c r="Q119" s="1620"/>
      <c r="R119" s="1620"/>
      <c r="S119" s="1620"/>
      <c r="T119" s="1620"/>
      <c r="U119" s="1620"/>
      <c r="V119" s="1620"/>
      <c r="W119" s="1620"/>
      <c r="X119" s="1620"/>
      <c r="Y119" s="1620"/>
      <c r="Z119" s="1620"/>
      <c r="AA119" s="1620"/>
      <c r="AB119" s="1616"/>
      <c r="AC119" s="1616"/>
      <c r="AP119">
        <v>1.7320508075688783</v>
      </c>
      <c r="AQ119">
        <v>-0.49999999999999978</v>
      </c>
      <c r="AR119">
        <v>0.86602540378443871</v>
      </c>
      <c r="AT119">
        <v>-50</v>
      </c>
      <c r="AV119">
        <v>1.6976631193260885</v>
      </c>
      <c r="AW119">
        <v>-0.50753836296070431</v>
      </c>
      <c r="AX119">
        <v>0.86162916044152571</v>
      </c>
      <c r="AY119">
        <v>0.44483887281679912</v>
      </c>
      <c r="AZ119">
        <v>-2.7017202727058338</v>
      </c>
    </row>
    <row r="120" spans="1:52">
      <c r="F120" s="1616"/>
      <c r="G120" s="1616"/>
      <c r="H120" s="1616"/>
      <c r="O120" s="1620"/>
      <c r="P120" s="1620"/>
      <c r="Q120" s="1620"/>
      <c r="R120" s="1620"/>
      <c r="S120" s="1620"/>
      <c r="T120" s="1620"/>
      <c r="U120" s="1620"/>
      <c r="V120" s="1620"/>
      <c r="W120" s="1620"/>
      <c r="X120" s="1620"/>
      <c r="Y120" s="1620"/>
      <c r="Z120" s="1620"/>
      <c r="AA120" s="1620"/>
      <c r="AB120" s="1616"/>
      <c r="AC120" s="1616"/>
      <c r="AP120">
        <v>1.6642794823505178</v>
      </c>
      <c r="AQ120">
        <v>-0.51503807491005427</v>
      </c>
      <c r="AR120">
        <v>0.85716730070211233</v>
      </c>
      <c r="AT120">
        <v>-49</v>
      </c>
      <c r="AV120">
        <v>1.63185168712879</v>
      </c>
      <c r="AW120">
        <v>-0.5224985647159488</v>
      </c>
      <c r="AX120">
        <v>0.85264016435409229</v>
      </c>
      <c r="AY120">
        <v>0.29773550049716224</v>
      </c>
      <c r="AZ120">
        <v>-2.615078129671871</v>
      </c>
    </row>
    <row r="121" spans="1:52">
      <c r="A121" s="1620"/>
      <c r="B121" s="1620"/>
      <c r="C121" s="1630" t="s">
        <v>481</v>
      </c>
      <c r="D121" s="1620"/>
      <c r="E121" s="1620" t="s">
        <v>210</v>
      </c>
      <c r="F121" s="1620" t="s">
        <v>482</v>
      </c>
      <c r="G121" s="1620"/>
      <c r="H121" s="1620"/>
      <c r="I121" s="1620"/>
      <c r="J121" s="1620"/>
      <c r="K121" s="1620"/>
      <c r="L121" s="1620"/>
      <c r="M121" s="1620"/>
      <c r="N121" s="1620"/>
      <c r="O121" s="1620"/>
      <c r="P121" s="1620"/>
      <c r="Q121" s="1620"/>
      <c r="R121" s="1620"/>
      <c r="S121" s="1621"/>
      <c r="T121" s="1621"/>
      <c r="U121" s="1621"/>
      <c r="V121" s="1621"/>
      <c r="W121" s="1621"/>
      <c r="X121" s="1621"/>
      <c r="Y121" s="1621"/>
      <c r="Z121" s="1621"/>
      <c r="AA121" s="1621"/>
      <c r="AB121" s="1616"/>
      <c r="AC121" s="1616"/>
      <c r="AP121">
        <v>1.6003345290410511</v>
      </c>
      <c r="AQ121">
        <v>-0.52991926423320479</v>
      </c>
      <c r="AR121">
        <v>0.84804809615642607</v>
      </c>
      <c r="AT121">
        <v>-49</v>
      </c>
      <c r="AV121">
        <v>1.5696855771174913</v>
      </c>
      <c r="AW121">
        <v>-0.53729960834682355</v>
      </c>
      <c r="AX121">
        <v>0.84339144581288583</v>
      </c>
      <c r="AY121">
        <v>0.15616551858001948</v>
      </c>
      <c r="AZ121">
        <v>-2.5283314902490286</v>
      </c>
    </row>
    <row r="122" spans="1:52">
      <c r="A122" s="1620"/>
      <c r="B122" s="1620"/>
      <c r="C122" s="1630"/>
      <c r="D122" s="1620"/>
      <c r="E122" s="1620" t="s">
        <v>211</v>
      </c>
      <c r="F122" s="1620" t="s">
        <v>213</v>
      </c>
      <c r="G122" s="1620"/>
      <c r="H122" s="1620"/>
      <c r="I122" s="1620"/>
      <c r="J122" s="1620"/>
      <c r="K122" s="1620"/>
      <c r="L122" s="1620"/>
      <c r="M122" s="1620"/>
      <c r="N122" s="1620"/>
      <c r="O122" s="1620"/>
      <c r="P122" s="1620"/>
      <c r="Q122" s="1620"/>
      <c r="R122" s="1620"/>
      <c r="S122" s="1616"/>
      <c r="T122" s="1616"/>
      <c r="U122" s="1616"/>
      <c r="V122" s="1616"/>
      <c r="W122" s="1616"/>
      <c r="X122" s="1616"/>
      <c r="Y122" s="1616"/>
      <c r="Z122" s="1616"/>
      <c r="AA122" s="1616"/>
      <c r="AB122" s="1616"/>
      <c r="AC122" s="1616"/>
      <c r="AP122">
        <v>1.5398649638145827</v>
      </c>
      <c r="AQ122">
        <v>-0.54463903501502708</v>
      </c>
      <c r="AR122">
        <v>0.83867056794542394</v>
      </c>
      <c r="AT122">
        <v>-48</v>
      </c>
      <c r="AV122">
        <v>1.5108351936149012</v>
      </c>
      <c r="AW122">
        <v>-0.55193698531205815</v>
      </c>
      <c r="AX122">
        <v>0.83388582206716821</v>
      </c>
      <c r="AY122">
        <v>1.9663727135840858E-2</v>
      </c>
      <c r="AZ122">
        <v>-2.4413770739048468</v>
      </c>
    </row>
    <row r="123" spans="1:52">
      <c r="A123" s="1620"/>
      <c r="B123" s="1620"/>
      <c r="C123" s="1630"/>
      <c r="D123" s="1620"/>
      <c r="E123" s="1620" t="s">
        <v>515</v>
      </c>
      <c r="F123" s="1620" t="s">
        <v>516</v>
      </c>
      <c r="G123" s="1620"/>
      <c r="H123" s="1620"/>
      <c r="I123" s="1620"/>
      <c r="J123" s="1620"/>
      <c r="K123" s="1620"/>
      <c r="L123" s="1620"/>
      <c r="M123" s="1620"/>
      <c r="N123" s="1620"/>
      <c r="O123" s="1620"/>
      <c r="P123" s="1620"/>
      <c r="Q123" s="1620"/>
      <c r="R123" s="1620"/>
      <c r="S123" s="1616"/>
      <c r="T123" s="1616"/>
      <c r="U123" s="1616"/>
      <c r="V123" s="1616"/>
      <c r="W123" s="1616"/>
      <c r="X123" s="1616"/>
      <c r="Y123" s="1616"/>
      <c r="Z123" s="1616"/>
      <c r="AA123" s="1616"/>
      <c r="AB123" s="1616"/>
      <c r="AC123" s="1616"/>
      <c r="AP123">
        <v>1.4825609685127408</v>
      </c>
      <c r="AQ123">
        <v>-0.55919290347074668</v>
      </c>
      <c r="AR123">
        <v>0.82903757255504174</v>
      </c>
      <c r="AT123">
        <v>-48</v>
      </c>
      <c r="AV123">
        <v>1.4550090286724455</v>
      </c>
      <c r="AW123">
        <v>-0.56640623692483261</v>
      </c>
      <c r="AX123">
        <v>0.82412618862201581</v>
      </c>
      <c r="AY123">
        <v>-0.11218822902311665</v>
      </c>
      <c r="AZ123">
        <v>-2.3541122980685767</v>
      </c>
    </row>
    <row r="124" spans="1:52">
      <c r="A124" s="1620"/>
      <c r="B124" s="1620"/>
      <c r="C124" s="1630"/>
      <c r="D124" s="1620"/>
      <c r="E124" s="1620" t="s">
        <v>300</v>
      </c>
      <c r="F124" s="1620"/>
      <c r="G124" s="1620"/>
      <c r="H124" s="1620"/>
      <c r="I124" s="1620"/>
      <c r="J124" s="1620"/>
      <c r="K124" s="1620"/>
      <c r="L124" s="1620"/>
      <c r="M124" s="1620"/>
      <c r="N124" s="1620"/>
      <c r="O124" s="1621"/>
      <c r="P124" s="1621"/>
      <c r="Q124" s="1621"/>
      <c r="R124" s="1621"/>
      <c r="S124" s="1616"/>
      <c r="T124" s="1616"/>
      <c r="U124" s="1616"/>
      <c r="V124" s="1616"/>
      <c r="W124" s="1616"/>
      <c r="X124" s="1616"/>
      <c r="Y124" s="1616"/>
      <c r="Z124" s="1616"/>
      <c r="AA124" s="1616"/>
      <c r="AB124" s="1616"/>
      <c r="AC124" s="1616"/>
      <c r="AP124">
        <v>1.4281480067421155</v>
      </c>
      <c r="AQ124">
        <v>-0.57357643635104583</v>
      </c>
      <c r="AR124">
        <v>0.81915204428899202</v>
      </c>
      <c r="AT124">
        <v>-47</v>
      </c>
      <c r="AV124">
        <v>1.401948294476336</v>
      </c>
      <c r="AW124">
        <v>-0.58070295571093977</v>
      </c>
      <c r="AX124">
        <v>0.81411551835631923</v>
      </c>
      <c r="AY124">
        <v>-0.23976803535946001</v>
      </c>
      <c r="AZ124">
        <v>-2.2664346183124611</v>
      </c>
    </row>
    <row r="125" spans="1:52">
      <c r="A125" s="1620"/>
      <c r="B125" s="1620"/>
      <c r="C125" s="1630"/>
      <c r="D125" s="1620"/>
      <c r="E125" s="1620" t="s">
        <v>479</v>
      </c>
      <c r="F125" s="1620" t="s">
        <v>478</v>
      </c>
      <c r="G125" s="1620"/>
      <c r="H125" s="1620"/>
      <c r="I125" s="1620"/>
      <c r="J125" s="1620"/>
      <c r="K125" s="1620"/>
      <c r="L125" s="1620"/>
      <c r="M125" s="1620"/>
      <c r="N125" s="1620"/>
      <c r="O125" s="1616"/>
      <c r="P125" s="1616"/>
      <c r="Q125" s="1616"/>
      <c r="R125" s="1616"/>
      <c r="S125" s="1616"/>
      <c r="T125" s="1616"/>
      <c r="U125" s="1616"/>
      <c r="V125" s="1616"/>
      <c r="W125" s="1616"/>
      <c r="X125" s="1616"/>
      <c r="Y125" s="1616"/>
      <c r="Z125" s="1616"/>
      <c r="AA125" s="1616"/>
      <c r="AB125" s="1616"/>
      <c r="AC125" s="1616"/>
      <c r="AP125">
        <v>1.3763819204711738</v>
      </c>
      <c r="AQ125">
        <v>-0.58778525229247303</v>
      </c>
      <c r="AR125">
        <v>0.80901699437494745</v>
      </c>
      <c r="AT125">
        <v>-46</v>
      </c>
      <c r="AV125">
        <v>1.3514224379458089</v>
      </c>
      <c r="AW125">
        <v>-0.59482278675134115</v>
      </c>
      <c r="AX125">
        <v>0.80385686061721739</v>
      </c>
      <c r="AY125">
        <v>-0.36341793879729334</v>
      </c>
      <c r="AZ125">
        <v>-2.1782408919387581</v>
      </c>
    </row>
    <row r="126" spans="1:52">
      <c r="A126" s="1620"/>
      <c r="B126" s="1620"/>
      <c r="C126" s="1630" t="s">
        <v>25</v>
      </c>
      <c r="D126" s="1620"/>
      <c r="E126" s="1620" t="s">
        <v>26</v>
      </c>
      <c r="F126" s="2810"/>
      <c r="G126" s="1620" t="s">
        <v>29</v>
      </c>
      <c r="H126" s="1620"/>
      <c r="I126" s="1620"/>
      <c r="J126" s="1620"/>
      <c r="K126" s="1620"/>
      <c r="L126" s="1620"/>
      <c r="M126" s="1620"/>
      <c r="N126" s="1620"/>
      <c r="O126" s="1616"/>
      <c r="P126" s="1616"/>
      <c r="Q126" s="1616"/>
      <c r="R126" s="1616"/>
      <c r="S126" s="1616"/>
      <c r="T126" s="1616"/>
      <c r="U126" s="1616"/>
      <c r="V126" s="1616"/>
      <c r="W126" s="1616"/>
      <c r="X126" s="1616"/>
      <c r="Y126" s="1616"/>
      <c r="Z126" s="1616"/>
      <c r="AA126" s="1616"/>
      <c r="AB126" s="1616"/>
      <c r="AC126" s="1616"/>
      <c r="AP126">
        <v>1.3270448216204096</v>
      </c>
      <c r="AQ126">
        <v>-0.60181502315204838</v>
      </c>
      <c r="AR126">
        <v>0.79863551004729272</v>
      </c>
      <c r="AT126">
        <v>-46</v>
      </c>
      <c r="AV126">
        <v>1.3032253728412055</v>
      </c>
      <c r="AW126">
        <v>-0.60876142900872066</v>
      </c>
      <c r="AX126">
        <v>0.79335334029123517</v>
      </c>
      <c r="AY126">
        <v>-0.48344920284871051</v>
      </c>
      <c r="AZ126">
        <v>-2.0894267541060527</v>
      </c>
    </row>
    <row r="127" spans="1:52">
      <c r="A127" s="1621"/>
      <c r="B127" s="1621"/>
      <c r="C127" s="1631"/>
      <c r="D127" s="1621"/>
      <c r="E127" s="1621"/>
      <c r="F127" s="1621"/>
      <c r="G127" s="1621" t="s">
        <v>555</v>
      </c>
      <c r="H127" s="1621"/>
      <c r="I127" s="1621"/>
      <c r="J127" s="1621"/>
      <c r="K127" s="1621"/>
      <c r="L127" s="1621"/>
      <c r="M127" s="1621"/>
      <c r="N127" s="1621"/>
      <c r="O127" s="1616"/>
      <c r="P127" s="1616"/>
      <c r="Q127" s="1616"/>
      <c r="R127" s="1616"/>
      <c r="S127" s="1616"/>
      <c r="T127" s="1616"/>
      <c r="U127" s="1616"/>
      <c r="V127" s="1616"/>
      <c r="W127" s="1616"/>
      <c r="X127" s="1616"/>
      <c r="Y127" s="1616"/>
      <c r="Z127" s="1616"/>
      <c r="AA127" s="1616"/>
      <c r="AB127" s="1616"/>
      <c r="AC127" s="1616"/>
      <c r="AP127">
        <v>1.2799416321930788</v>
      </c>
      <c r="AQ127">
        <v>-0.61566147532565829</v>
      </c>
      <c r="AR127">
        <v>0.78801075360672201</v>
      </c>
      <c r="AT127">
        <v>-45</v>
      </c>
      <c r="AV127">
        <v>1.2571722989189551</v>
      </c>
      <c r="AW127">
        <v>-0.62251463663761941</v>
      </c>
      <c r="AX127">
        <v>0.78260815685241403</v>
      </c>
      <c r="AY127">
        <v>-0.60014592118081822</v>
      </c>
      <c r="AZ127">
        <v>-1.9998859964781843</v>
      </c>
    </row>
    <row r="128" spans="1:52">
      <c r="A128" s="1616"/>
      <c r="B128" s="1616" t="s">
        <v>214</v>
      </c>
      <c r="C128" s="1615" t="s">
        <v>548</v>
      </c>
      <c r="D128" s="1616"/>
      <c r="E128" s="1616" t="s">
        <v>556</v>
      </c>
      <c r="F128" s="1616"/>
      <c r="G128" s="1616"/>
      <c r="H128" s="1616"/>
      <c r="I128" s="1616"/>
      <c r="J128" s="1616"/>
      <c r="K128" s="1616"/>
      <c r="L128" s="1616"/>
      <c r="M128" s="1616"/>
      <c r="N128" s="1616"/>
      <c r="O128" s="1616"/>
      <c r="P128" s="1616"/>
      <c r="Q128" s="1616"/>
      <c r="R128" s="1616"/>
      <c r="S128" s="1616"/>
      <c r="T128" s="1616"/>
      <c r="U128" s="1616"/>
      <c r="V128" s="1616"/>
      <c r="W128" s="1616"/>
      <c r="X128" s="1616"/>
      <c r="Y128" s="1616"/>
      <c r="Z128" s="1616"/>
      <c r="AA128" s="1616"/>
      <c r="AB128" s="1616"/>
      <c r="AC128" s="1616"/>
      <c r="AP128">
        <v>1.2348971565350519</v>
      </c>
      <c r="AQ128">
        <v>-0.62932039104983728</v>
      </c>
      <c r="AR128">
        <v>0.77714596145697101</v>
      </c>
      <c r="AT128">
        <v>-45</v>
      </c>
      <c r="AV128">
        <v>1.2130970040929336</v>
      </c>
      <c r="AW128">
        <v>-0.63607822027776373</v>
      </c>
      <c r="AX128">
        <v>0.77162458338772022</v>
      </c>
      <c r="AY128">
        <v>-0.71376829816768073</v>
      </c>
      <c r="AZ128">
        <v>-1.9095099388919126</v>
      </c>
    </row>
    <row r="129" spans="1:52">
      <c r="A129" s="1616"/>
      <c r="B129" s="1616"/>
      <c r="C129" s="1616"/>
      <c r="D129" s="1616"/>
      <c r="E129" s="1620" t="s">
        <v>1105</v>
      </c>
      <c r="F129" s="1616"/>
      <c r="G129" s="1616"/>
      <c r="H129" s="1616"/>
      <c r="I129" s="1616"/>
      <c r="J129" s="1616"/>
      <c r="K129" s="1616"/>
      <c r="L129" s="1616"/>
      <c r="M129" s="1616"/>
      <c r="N129" s="1616"/>
      <c r="O129" s="1616"/>
      <c r="P129" s="1616"/>
      <c r="Q129" s="1616"/>
      <c r="R129" s="1616"/>
      <c r="S129" s="1616"/>
      <c r="T129" s="1616"/>
      <c r="U129" s="1616"/>
      <c r="V129" s="1616"/>
      <c r="W129" s="1616"/>
      <c r="X129" s="1616"/>
      <c r="Y129" s="1616"/>
      <c r="Z129" s="1616"/>
      <c r="AA129" s="1616"/>
      <c r="AB129" s="1616"/>
      <c r="AC129" s="1616"/>
      <c r="AP129">
        <v>1.19175359259421</v>
      </c>
      <c r="AQ129">
        <v>-0.64278760968653936</v>
      </c>
      <c r="AR129">
        <v>0.76604444311897801</v>
      </c>
      <c r="AT129">
        <v>-44</v>
      </c>
      <c r="AV129">
        <v>1.1708495661125395</v>
      </c>
      <c r="AW129">
        <v>-0.64944804833018355</v>
      </c>
      <c r="AX129">
        <v>0.76040596560003104</v>
      </c>
      <c r="AY129">
        <v>-0.82455548458131478</v>
      </c>
      <c r="AZ129">
        <v>-1.8181867847564241</v>
      </c>
    </row>
    <row r="130" spans="1:52">
      <c r="C130" s="1615" t="s">
        <v>249</v>
      </c>
      <c r="D130" s="1616"/>
      <c r="E130" s="1616" t="s">
        <v>246</v>
      </c>
      <c r="F130" s="1616" t="s">
        <v>247</v>
      </c>
      <c r="G130" s="1616"/>
      <c r="H130" s="1616"/>
      <c r="I130" s="1616"/>
      <c r="J130" s="1616" t="s">
        <v>248</v>
      </c>
      <c r="K130" s="1616"/>
      <c r="L130" s="1616"/>
      <c r="M130" s="1616"/>
      <c r="N130" s="1616"/>
      <c r="O130" s="1616"/>
      <c r="P130" s="1616"/>
      <c r="Q130" s="1616"/>
      <c r="R130" s="1616"/>
      <c r="S130" s="1616"/>
      <c r="T130" s="1616"/>
      <c r="U130" s="1616"/>
      <c r="V130" s="1616"/>
      <c r="W130" s="1616"/>
      <c r="X130" s="1616"/>
      <c r="Y130" s="1616"/>
      <c r="Z130" s="1616"/>
      <c r="AA130" s="1616"/>
      <c r="AB130" s="1616"/>
      <c r="AC130" s="1616"/>
      <c r="AP130">
        <v>1.150368407221009</v>
      </c>
      <c r="AQ130">
        <v>-0.6560590289905075</v>
      </c>
      <c r="AR130">
        <v>0.75470958022277179</v>
      </c>
      <c r="AT130">
        <v>-43</v>
      </c>
      <c r="AV130">
        <v>1.1302943863617525</v>
      </c>
      <c r="AW130">
        <v>-0.66262004821573761</v>
      </c>
      <c r="AX130">
        <v>0.74895572078900208</v>
      </c>
      <c r="AY130">
        <v>-0.93272804045571966</v>
      </c>
      <c r="AZ130">
        <v>-1.725800950843885</v>
      </c>
    </row>
    <row r="131" spans="1:52">
      <c r="A131" s="1616"/>
      <c r="B131" s="1616"/>
      <c r="E131" s="1616" t="s">
        <v>501</v>
      </c>
      <c r="O131" s="1616"/>
      <c r="P131" s="1616"/>
      <c r="Q131" s="1616"/>
      <c r="R131" s="1616"/>
      <c r="S131" s="1616"/>
      <c r="T131" s="1616"/>
      <c r="U131" s="1616"/>
      <c r="V131" s="1616"/>
      <c r="W131" s="1616"/>
      <c r="X131" s="1616"/>
      <c r="Y131" s="1616"/>
      <c r="Z131" s="1616"/>
      <c r="AA131" s="1616"/>
      <c r="AB131" s="1616"/>
      <c r="AC131" s="1616"/>
      <c r="AP131">
        <v>1.1106125148291928</v>
      </c>
      <c r="AQ131">
        <v>-0.66913060635885824</v>
      </c>
      <c r="AR131">
        <v>0.74314482547739424</v>
      </c>
      <c r="AT131">
        <v>-43</v>
      </c>
      <c r="AV131">
        <v>1.0913085010692716</v>
      </c>
      <c r="AW131">
        <v>-0.67559020761566024</v>
      </c>
      <c r="AX131">
        <v>0.73727733681012408</v>
      </c>
      <c r="AY131">
        <v>-1.038490084338183</v>
      </c>
      <c r="AZ131">
        <v>-1.6322323618164241</v>
      </c>
    </row>
    <row r="132" spans="1:52">
      <c r="A132" s="1616"/>
      <c r="B132" s="1616"/>
      <c r="C132" s="1615" t="s">
        <v>215</v>
      </c>
      <c r="D132" s="1616"/>
      <c r="E132" s="1616" t="s">
        <v>216</v>
      </c>
      <c r="F132" s="1619" t="s">
        <v>217</v>
      </c>
      <c r="G132" s="1619" t="s">
        <v>218</v>
      </c>
      <c r="H132" s="1619" t="s">
        <v>219</v>
      </c>
      <c r="I132" s="1616" t="s">
        <v>220</v>
      </c>
      <c r="J132" s="1616" t="s">
        <v>221</v>
      </c>
      <c r="K132" s="1616"/>
      <c r="L132" s="1616"/>
      <c r="M132" s="1616"/>
      <c r="N132" s="1616"/>
      <c r="O132" s="1616"/>
      <c r="P132" s="1616"/>
      <c r="Q132" s="1616"/>
      <c r="R132" s="1616"/>
      <c r="S132" s="1616"/>
      <c r="T132" s="1616"/>
      <c r="U132" s="1616"/>
      <c r="V132" s="1616"/>
      <c r="W132" s="1616"/>
      <c r="X132" s="1616"/>
      <c r="Y132" s="1616"/>
      <c r="Z132" s="1616"/>
      <c r="AA132" s="1616"/>
      <c r="AB132" s="1616"/>
      <c r="AC132" s="1616"/>
      <c r="AP132">
        <v>1.0723687100246828</v>
      </c>
      <c r="AQ132">
        <v>-0.68199836006249837</v>
      </c>
      <c r="AR132">
        <v>0.73135370161917057</v>
      </c>
      <c r="AT132">
        <v>-42</v>
      </c>
      <c r="AV132">
        <v>1.0537801252809627</v>
      </c>
      <c r="AW132">
        <v>-0.6883545756937538</v>
      </c>
      <c r="AX132">
        <v>0.72537437101228786</v>
      </c>
      <c r="AY132">
        <v>-1.142031177891961</v>
      </c>
      <c r="AZ132">
        <v>-1.5373556992601864</v>
      </c>
    </row>
    <row r="133" spans="1:52">
      <c r="A133" s="1616"/>
      <c r="B133" s="1616"/>
      <c r="C133" s="1616"/>
      <c r="D133" s="1616"/>
      <c r="E133" s="1616"/>
      <c r="F133" s="1632" t="s">
        <v>222</v>
      </c>
      <c r="G133" s="1620" t="s">
        <v>223</v>
      </c>
      <c r="H133" s="1633">
        <v>1</v>
      </c>
      <c r="I133" s="1616"/>
      <c r="J133" s="1616" t="s">
        <v>224</v>
      </c>
      <c r="K133" s="1616"/>
      <c r="L133" s="1616"/>
      <c r="M133" s="1616"/>
      <c r="N133" s="1616"/>
      <c r="O133" s="1616"/>
      <c r="P133" s="1616"/>
      <c r="Q133" s="1616"/>
      <c r="R133" s="1616"/>
      <c r="S133" s="1616"/>
      <c r="T133" s="1616"/>
      <c r="U133" s="1616"/>
      <c r="V133" s="1616"/>
      <c r="W133" s="1616"/>
      <c r="X133" s="1616"/>
      <c r="Y133" s="1616"/>
      <c r="Z133" s="1616"/>
      <c r="AA133" s="1616"/>
      <c r="AB133" s="1616"/>
      <c r="AC133" s="1616"/>
      <c r="AP133">
        <v>1.0355303137905703</v>
      </c>
      <c r="AQ133">
        <v>-0.69465837045899703</v>
      </c>
      <c r="AR133">
        <v>0.71933980033865141</v>
      </c>
      <c r="AT133">
        <v>-41</v>
      </c>
      <c r="AV133">
        <v>1.0176073929721252</v>
      </c>
      <c r="AW133">
        <v>-0.7009092642998509</v>
      </c>
      <c r="AX133">
        <v>0.71325044915418156</v>
      </c>
      <c r="AY133">
        <v>-1.2435279865790845</v>
      </c>
      <c r="AZ133">
        <v>-1.4410395941483491</v>
      </c>
    </row>
    <row r="134" spans="1:52">
      <c r="A134" s="1616"/>
      <c r="B134" s="1616"/>
      <c r="C134" s="1616"/>
      <c r="D134" s="1616"/>
      <c r="E134" s="2809"/>
      <c r="F134" s="1632"/>
      <c r="G134" s="1620" t="s">
        <v>225</v>
      </c>
      <c r="H134" s="1634">
        <v>2</v>
      </c>
      <c r="I134" s="1616"/>
      <c r="J134" s="1616" t="s">
        <v>226</v>
      </c>
      <c r="K134" s="1616"/>
      <c r="L134" s="1616"/>
      <c r="M134" s="1616"/>
      <c r="N134" s="1616"/>
      <c r="O134" s="1616"/>
      <c r="P134" s="1616"/>
      <c r="Q134" s="1616"/>
      <c r="R134" s="1616"/>
      <c r="S134" s="1616"/>
      <c r="T134" s="1616"/>
      <c r="U134" s="1616"/>
      <c r="V134" s="1616"/>
      <c r="W134" s="1616"/>
      <c r="X134" s="1616"/>
      <c r="Y134" s="1616"/>
      <c r="Z134" s="1616"/>
      <c r="AA134" s="1616"/>
      <c r="AB134" s="1616"/>
      <c r="AC134" s="1616"/>
      <c r="AP134">
        <v>1.0000100000000001</v>
      </c>
      <c r="AQ134">
        <v>-0.70710678118654746</v>
      </c>
      <c r="AR134">
        <v>0.70710678118654757</v>
      </c>
      <c r="AT134">
        <v>-40</v>
      </c>
      <c r="AV134">
        <v>0.9826972631156905</v>
      </c>
      <c r="AW134">
        <v>-0.71325044915418145</v>
      </c>
      <c r="AX134">
        <v>0.70090926429985101</v>
      </c>
      <c r="AY134">
        <v>-1.3431174663070822</v>
      </c>
      <c r="AZ134">
        <v>-1.3431740345667373</v>
      </c>
    </row>
    <row r="135" spans="1:52">
      <c r="A135" s="1616"/>
      <c r="B135" s="1616"/>
      <c r="C135" s="1616"/>
      <c r="D135" s="1616"/>
      <c r="E135" s="1616"/>
      <c r="F135" s="1632"/>
      <c r="G135" s="1620" t="s">
        <v>227</v>
      </c>
      <c r="H135" s="1634">
        <v>3</v>
      </c>
      <c r="I135" s="1616"/>
      <c r="J135" s="1616" t="s">
        <v>228</v>
      </c>
      <c r="K135" s="1616"/>
      <c r="L135" s="1616"/>
      <c r="M135" s="1616"/>
      <c r="N135" s="1616"/>
      <c r="O135" s="1616"/>
      <c r="P135" s="1616"/>
      <c r="Q135" s="1616"/>
      <c r="R135" s="1616"/>
      <c r="S135" s="1616"/>
      <c r="T135" s="1616"/>
      <c r="U135" s="1616"/>
      <c r="V135" s="1616"/>
      <c r="W135" s="1616"/>
      <c r="X135" s="1616"/>
      <c r="Y135" s="1616"/>
      <c r="Z135" s="1616"/>
      <c r="AA135" s="1616"/>
      <c r="AB135" s="1616"/>
      <c r="AC135" s="1616"/>
      <c r="AP135">
        <v>0.96568877480707371</v>
      </c>
      <c r="AQ135">
        <v>-0.71933980033865119</v>
      </c>
      <c r="AR135">
        <v>0.69465837045899714</v>
      </c>
      <c r="AT135">
        <v>-40</v>
      </c>
      <c r="AV135">
        <v>0.94896456671487972</v>
      </c>
      <c r="AW135">
        <v>-0.72537437101228763</v>
      </c>
      <c r="AX135">
        <v>0.68835457569375391</v>
      </c>
      <c r="AY135">
        <v>-1.4410395941483483</v>
      </c>
      <c r="AZ135">
        <v>-1.2435279865790854</v>
      </c>
    </row>
    <row r="136" spans="1:52">
      <c r="A136" s="1616"/>
      <c r="B136" s="1616"/>
      <c r="C136" s="1616"/>
      <c r="D136" s="1616"/>
      <c r="E136" s="1616"/>
      <c r="F136" s="1635"/>
      <c r="G136" s="1621" t="s">
        <v>229</v>
      </c>
      <c r="H136" s="1636">
        <v>4</v>
      </c>
      <c r="I136" s="1616"/>
      <c r="J136" s="1616" t="s">
        <v>230</v>
      </c>
      <c r="K136" s="1616"/>
      <c r="L136" s="1616"/>
      <c r="M136" s="1616"/>
      <c r="N136" s="1616"/>
      <c r="O136" s="1616"/>
      <c r="P136" s="1616"/>
      <c r="Q136" s="1616"/>
      <c r="R136" s="1616"/>
      <c r="S136" s="1616"/>
      <c r="T136" s="1616"/>
      <c r="U136" s="1616"/>
      <c r="V136" s="1616"/>
      <c r="W136" s="1616"/>
      <c r="X136" s="1616"/>
      <c r="Y136" s="1616"/>
      <c r="Z136" s="1616"/>
      <c r="AA136" s="1616"/>
      <c r="AB136" s="1616"/>
      <c r="AC136" s="1616"/>
      <c r="AP136">
        <v>0.93251508613766176</v>
      </c>
      <c r="AQ136">
        <v>-0.73135370161917046</v>
      </c>
      <c r="AR136">
        <v>0.68199836006249859</v>
      </c>
      <c r="AT136">
        <v>-39</v>
      </c>
      <c r="AV136">
        <v>0.9163311740174237</v>
      </c>
      <c r="AW136">
        <v>-0.73727733681012397</v>
      </c>
      <c r="AX136">
        <v>0.67559020761566035</v>
      </c>
      <c r="AY136">
        <v>-1.5373556992601856</v>
      </c>
      <c r="AZ136">
        <v>-1.1420311778919618</v>
      </c>
    </row>
    <row r="137" spans="1:52">
      <c r="A137" s="1616"/>
      <c r="B137" s="1616"/>
      <c r="C137" s="1616"/>
      <c r="D137" s="1616"/>
      <c r="E137" s="1616"/>
      <c r="F137" s="1632" t="s">
        <v>231</v>
      </c>
      <c r="G137" s="1620" t="s">
        <v>223</v>
      </c>
      <c r="H137" s="1634">
        <v>5</v>
      </c>
      <c r="I137" s="1616"/>
      <c r="J137" s="1616" t="s">
        <v>232</v>
      </c>
      <c r="K137" s="1616"/>
      <c r="L137" s="1616"/>
      <c r="M137" s="1616"/>
      <c r="N137" s="1616"/>
      <c r="O137" s="1616"/>
      <c r="P137" s="1616"/>
      <c r="Q137" s="1616"/>
      <c r="R137" s="1616"/>
      <c r="S137" s="1616"/>
      <c r="T137" s="1616"/>
      <c r="U137" s="1616"/>
      <c r="V137" s="1616"/>
      <c r="W137" s="1616"/>
      <c r="X137" s="1616"/>
      <c r="Y137" s="1616"/>
      <c r="Z137" s="1616"/>
      <c r="AA137" s="1616"/>
      <c r="AB137" s="1616"/>
      <c r="AC137" s="1616"/>
      <c r="AP137">
        <v>0.90040404429784038</v>
      </c>
      <c r="AQ137">
        <v>-0.74314482547739402</v>
      </c>
      <c r="AR137">
        <v>0.66913060635885835</v>
      </c>
      <c r="AT137">
        <v>-38</v>
      </c>
      <c r="AV137">
        <v>0.88472526455594358</v>
      </c>
      <c r="AW137">
        <v>-0.74895572078900219</v>
      </c>
      <c r="AX137">
        <v>0.66262004821573739</v>
      </c>
      <c r="AY137">
        <v>-1.6322323618164232</v>
      </c>
      <c r="AZ137">
        <v>-1.0384900843381839</v>
      </c>
    </row>
    <row r="138" spans="1:52">
      <c r="A138" s="1616"/>
      <c r="B138" s="1616"/>
      <c r="C138" s="1616"/>
      <c r="D138" s="1616"/>
      <c r="E138" s="1616"/>
      <c r="F138" s="1632"/>
      <c r="G138" s="1620" t="s">
        <v>225</v>
      </c>
      <c r="H138" s="1634">
        <v>6</v>
      </c>
      <c r="I138" s="1616"/>
      <c r="J138" s="1616" t="s">
        <v>233</v>
      </c>
      <c r="K138" s="1616"/>
      <c r="L138" s="1616"/>
      <c r="M138" s="1616"/>
      <c r="N138" s="1616"/>
      <c r="O138" s="1616"/>
      <c r="P138" s="1616"/>
      <c r="Q138" s="1616"/>
      <c r="R138" s="1616"/>
      <c r="S138" s="1616"/>
      <c r="T138" s="1616"/>
      <c r="U138" s="1616"/>
      <c r="V138" s="1616"/>
      <c r="W138" s="1616"/>
      <c r="X138" s="1616"/>
      <c r="Y138" s="1616"/>
      <c r="Z138" s="1616"/>
      <c r="AA138" s="1616"/>
      <c r="AB138" s="1616"/>
      <c r="AC138" s="1616"/>
      <c r="AP138">
        <v>0.86928673781622667</v>
      </c>
      <c r="AQ138">
        <v>-0.75470958022277201</v>
      </c>
      <c r="AR138">
        <v>0.65605902899050728</v>
      </c>
      <c r="AT138">
        <v>-37</v>
      </c>
      <c r="AV138">
        <v>0.85408068546346683</v>
      </c>
      <c r="AW138">
        <v>-0.76040596560003093</v>
      </c>
      <c r="AX138">
        <v>0.64944804833018377</v>
      </c>
      <c r="AY138">
        <v>-1.7258009508438867</v>
      </c>
      <c r="AZ138">
        <v>-0.93272804045571789</v>
      </c>
    </row>
    <row r="139" spans="1:52">
      <c r="A139" s="1616"/>
      <c r="B139" s="1616"/>
      <c r="C139" s="1616"/>
      <c r="D139" s="1616"/>
      <c r="E139" s="1616"/>
      <c r="F139" s="1632"/>
      <c r="G139" s="1620" t="s">
        <v>227</v>
      </c>
      <c r="H139" s="1634">
        <v>7</v>
      </c>
      <c r="I139" s="1616"/>
      <c r="J139" s="1616"/>
      <c r="K139" s="1616"/>
      <c r="L139" s="1616"/>
      <c r="M139" s="1616"/>
      <c r="N139" s="1616"/>
      <c r="O139" s="1616"/>
      <c r="P139" s="1616"/>
      <c r="Q139" s="1616"/>
      <c r="R139" s="1616"/>
      <c r="S139" s="1616"/>
      <c r="T139" s="1616"/>
      <c r="U139" s="1616"/>
      <c r="V139" s="1616"/>
      <c r="W139" s="1616"/>
      <c r="X139" s="1616"/>
      <c r="Y139" s="1616"/>
      <c r="Z139" s="1616"/>
      <c r="AA139" s="1616"/>
      <c r="AB139" s="1616"/>
      <c r="AC139" s="1616"/>
      <c r="AP139">
        <v>0.83909963117728037</v>
      </c>
      <c r="AQ139">
        <v>-0.7660444431189779</v>
      </c>
      <c r="AR139">
        <v>0.64278760968653947</v>
      </c>
      <c r="AT139">
        <v>-36</v>
      </c>
      <c r="AV139">
        <v>0.82433638581749624</v>
      </c>
      <c r="AW139">
        <v>-0.77162458338771978</v>
      </c>
      <c r="AX139">
        <v>0.63607822027776417</v>
      </c>
      <c r="AY139">
        <v>-1.8181867847564233</v>
      </c>
      <c r="AZ139">
        <v>-0.82455548458131567</v>
      </c>
    </row>
    <row r="140" spans="1:52">
      <c r="A140" s="1616"/>
      <c r="B140" s="1616"/>
      <c r="C140" s="1616"/>
      <c r="D140" s="1616"/>
      <c r="E140" s="1616"/>
      <c r="F140" s="1635"/>
      <c r="G140" s="1621" t="s">
        <v>229</v>
      </c>
      <c r="H140" s="1636">
        <v>8</v>
      </c>
      <c r="I140" s="1616"/>
      <c r="J140" s="1616"/>
      <c r="K140" s="1616"/>
      <c r="L140" s="1616"/>
      <c r="M140" s="1616"/>
      <c r="N140" s="1616"/>
      <c r="O140" s="1616"/>
      <c r="P140" s="1616"/>
      <c r="Q140" s="1616"/>
      <c r="R140" s="1616"/>
      <c r="S140" s="1616"/>
      <c r="T140" s="1616"/>
      <c r="U140" s="1616"/>
      <c r="V140" s="1616"/>
      <c r="W140" s="1616"/>
      <c r="X140" s="1616"/>
      <c r="Y140" s="1616"/>
      <c r="Z140" s="1616"/>
      <c r="AA140" s="1616"/>
      <c r="AB140" s="1616"/>
      <c r="AC140" s="1616"/>
      <c r="AP140">
        <v>0.8097840331950078</v>
      </c>
      <c r="AQ140">
        <v>-0.77714596145697068</v>
      </c>
      <c r="AR140">
        <v>0.62932039104983772</v>
      </c>
      <c r="AT140">
        <v>-36</v>
      </c>
      <c r="AV140">
        <v>0.79543591666782854</v>
      </c>
      <c r="AW140">
        <v>-0.78260815685241392</v>
      </c>
      <c r="AX140">
        <v>0.62251463663761963</v>
      </c>
      <c r="AY140">
        <v>-1.9095099388919099</v>
      </c>
      <c r="AZ140">
        <v>-0.71376829816768428</v>
      </c>
    </row>
    <row r="141" spans="1:52">
      <c r="A141" s="1616"/>
      <c r="B141" s="1616"/>
      <c r="C141" s="1616"/>
      <c r="D141" s="1616"/>
      <c r="E141" s="1616"/>
      <c r="F141" s="1632" t="s">
        <v>234</v>
      </c>
      <c r="G141" s="1620" t="s">
        <v>223</v>
      </c>
      <c r="H141" s="1634">
        <v>9</v>
      </c>
      <c r="I141" s="1616"/>
      <c r="J141" s="1616"/>
      <c r="K141" s="1616"/>
      <c r="L141" s="1616"/>
      <c r="M141" s="1616"/>
      <c r="N141" s="1616"/>
      <c r="O141" s="1616"/>
      <c r="P141" s="1616"/>
      <c r="Q141" s="1616"/>
      <c r="R141" s="1616"/>
      <c r="S141" s="1616"/>
      <c r="T141" s="1616"/>
      <c r="U141" s="1616"/>
      <c r="V141" s="1616"/>
      <c r="W141" s="1616"/>
      <c r="X141" s="1616"/>
      <c r="Y141" s="1616"/>
      <c r="Z141" s="1616"/>
      <c r="AA141" s="1616"/>
      <c r="AB141" s="1616"/>
      <c r="AC141" s="1616"/>
      <c r="AP141">
        <v>0.78128562650671762</v>
      </c>
      <c r="AQ141">
        <v>-0.7880107536067219</v>
      </c>
      <c r="AR141">
        <v>0.6156614753256584</v>
      </c>
      <c r="AT141">
        <v>-35</v>
      </c>
      <c r="AV141">
        <v>0.76732698797896004</v>
      </c>
      <c r="AW141">
        <v>-0.79335334029123528</v>
      </c>
      <c r="AX141">
        <v>0.60876142900872043</v>
      </c>
      <c r="AY141">
        <v>-1.9998859964781843</v>
      </c>
      <c r="AZ141">
        <v>-0.60014592118081911</v>
      </c>
    </row>
    <row r="142" spans="1:52">
      <c r="A142" s="1616"/>
      <c r="B142" s="1616"/>
      <c r="C142" s="1616"/>
      <c r="D142" s="1616"/>
      <c r="E142" s="1616"/>
      <c r="F142" s="1632"/>
      <c r="G142" s="1620" t="s">
        <v>225</v>
      </c>
      <c r="H142" s="1634">
        <v>10</v>
      </c>
      <c r="I142" s="1616"/>
      <c r="J142" s="1616"/>
      <c r="K142" s="1616"/>
      <c r="L142" s="1616"/>
      <c r="M142" s="1616"/>
      <c r="N142" s="1616"/>
      <c r="O142" s="1616"/>
      <c r="P142" s="1616"/>
      <c r="Q142" s="1616"/>
      <c r="R142" s="1616"/>
      <c r="S142" s="1616"/>
      <c r="T142" s="1616"/>
      <c r="U142" s="1616"/>
      <c r="V142" s="1616"/>
      <c r="W142" s="1616"/>
      <c r="X142" s="1616"/>
      <c r="Y142" s="1616"/>
      <c r="Z142" s="1616"/>
      <c r="AA142" s="1616"/>
      <c r="AB142" s="1616"/>
      <c r="AC142" s="1616"/>
      <c r="AP142">
        <v>0.75355405010279397</v>
      </c>
      <c r="AQ142">
        <v>-0.79863551004729294</v>
      </c>
      <c r="AR142">
        <v>0.60181502315204816</v>
      </c>
      <c r="AT142">
        <v>-34</v>
      </c>
      <c r="AV142">
        <v>0.73996107502848762</v>
      </c>
      <c r="AW142">
        <v>-0.80385686061721728</v>
      </c>
      <c r="AX142">
        <v>0.59482278675134126</v>
      </c>
      <c r="AY142">
        <v>-2.0894267541060536</v>
      </c>
      <c r="AZ142">
        <v>-0.48344920284870874</v>
      </c>
    </row>
    <row r="143" spans="1:52">
      <c r="A143" s="1616"/>
      <c r="B143" s="1616"/>
      <c r="C143" s="1616"/>
      <c r="D143" s="1616"/>
      <c r="E143" s="1616"/>
      <c r="F143" s="1632"/>
      <c r="G143" s="1620" t="s">
        <v>227</v>
      </c>
      <c r="H143" s="1634">
        <v>11</v>
      </c>
      <c r="I143" s="1616"/>
      <c r="J143" s="1616"/>
      <c r="K143" s="1616"/>
      <c r="L143" s="1616"/>
      <c r="M143" s="1616"/>
      <c r="N143" s="1616"/>
      <c r="O143" s="1616"/>
      <c r="P143" s="1616"/>
      <c r="Q143" s="1616"/>
      <c r="R143" s="1616"/>
      <c r="S143" s="1616"/>
      <c r="T143" s="1616"/>
      <c r="U143" s="1616"/>
      <c r="V143" s="1616"/>
      <c r="W143" s="1616"/>
      <c r="X143" s="1616"/>
      <c r="Y143" s="1616"/>
      <c r="Z143" s="1616"/>
      <c r="AA143" s="1616"/>
      <c r="AB143" s="1616"/>
      <c r="AC143" s="1616"/>
      <c r="AP143">
        <v>0.72654252800536101</v>
      </c>
      <c r="AQ143">
        <v>-0.80901699437494734</v>
      </c>
      <c r="AR143">
        <v>0.58778525229247325</v>
      </c>
      <c r="AT143">
        <v>-33</v>
      </c>
      <c r="AV143">
        <v>0.71329306789700575</v>
      </c>
      <c r="AW143">
        <v>-0.81411551835631912</v>
      </c>
      <c r="AX143">
        <v>0.58070295571093988</v>
      </c>
      <c r="AY143">
        <v>-2.1782408919387573</v>
      </c>
      <c r="AZ143">
        <v>-0.36341793879729511</v>
      </c>
    </row>
    <row r="144" spans="1:52">
      <c r="A144" s="1616"/>
      <c r="B144" s="1616"/>
      <c r="C144" s="1616"/>
      <c r="D144" s="1616"/>
      <c r="E144" s="1616"/>
      <c r="F144" s="1635"/>
      <c r="G144" s="1621" t="s">
        <v>229</v>
      </c>
      <c r="H144" s="1636">
        <v>12</v>
      </c>
      <c r="I144" s="1616"/>
      <c r="J144" s="1616"/>
      <c r="K144" s="1616"/>
      <c r="L144" s="1616"/>
      <c r="M144" s="1616"/>
      <c r="N144" s="1616"/>
      <c r="O144" s="1616"/>
      <c r="P144" s="1616"/>
      <c r="Q144" s="1616"/>
      <c r="R144" s="1616"/>
      <c r="S144" s="1616"/>
      <c r="T144" s="1616"/>
      <c r="U144" s="1616"/>
      <c r="V144" s="1616"/>
      <c r="W144" s="1616"/>
      <c r="X144" s="1616"/>
      <c r="Y144" s="1616"/>
      <c r="Z144" s="1616"/>
      <c r="AA144" s="1616"/>
      <c r="AB144" s="1616"/>
      <c r="AC144" s="1616"/>
      <c r="AP144">
        <v>0.70020753820971027</v>
      </c>
      <c r="AQ144">
        <v>-0.81915204428899158</v>
      </c>
      <c r="AR144">
        <v>0.57357643635104638</v>
      </c>
      <c r="AT144">
        <v>-32</v>
      </c>
      <c r="AV144">
        <v>0.68728095860161376</v>
      </c>
      <c r="AW144">
        <v>-0.82412618862201548</v>
      </c>
      <c r="AX144">
        <v>0.56640623692483316</v>
      </c>
      <c r="AY144">
        <v>-2.2664346183124575</v>
      </c>
      <c r="AZ144">
        <v>-0.23976803535946445</v>
      </c>
    </row>
    <row r="145" spans="1:52">
      <c r="A145" s="1616"/>
      <c r="B145" s="1616"/>
      <c r="C145" s="1616"/>
      <c r="D145" s="1616"/>
      <c r="E145" s="1616"/>
      <c r="F145" s="1632" t="s">
        <v>235</v>
      </c>
      <c r="G145" s="1620" t="s">
        <v>223</v>
      </c>
      <c r="H145" s="1634">
        <v>13</v>
      </c>
      <c r="I145" s="1616"/>
      <c r="J145" s="1616"/>
      <c r="K145" s="1616"/>
      <c r="L145" s="1616"/>
      <c r="M145" s="1616"/>
      <c r="N145" s="1616"/>
      <c r="O145" s="1616"/>
      <c r="P145" s="1616"/>
      <c r="Q145" s="1616"/>
      <c r="R145" s="1616"/>
      <c r="S145" s="1616"/>
      <c r="T145" s="1616"/>
      <c r="U145" s="1616"/>
      <c r="V145" s="1616"/>
      <c r="W145" s="1616"/>
      <c r="X145" s="1616"/>
      <c r="Y145" s="1616"/>
      <c r="Z145" s="1616"/>
      <c r="AA145" s="1616"/>
      <c r="AB145" s="1616"/>
      <c r="AC145" s="1616"/>
      <c r="AP145">
        <v>0.67450851684242674</v>
      </c>
      <c r="AQ145">
        <v>-0.82903757255504162</v>
      </c>
      <c r="AR145">
        <v>0.5591929034707469</v>
      </c>
      <c r="AT145">
        <v>-31</v>
      </c>
      <c r="AV145">
        <v>0.66188556119569175</v>
      </c>
      <c r="AW145">
        <v>-0.8338858220671681</v>
      </c>
      <c r="AX145">
        <v>0.55193698531205826</v>
      </c>
      <c r="AY145">
        <v>-2.3541122980685749</v>
      </c>
      <c r="AZ145">
        <v>-0.11218822902311842</v>
      </c>
    </row>
    <row r="146" spans="1:52">
      <c r="A146" s="1616"/>
      <c r="B146" s="1616"/>
      <c r="C146" s="1616"/>
      <c r="D146" s="1616"/>
      <c r="E146" s="1616"/>
      <c r="F146" s="1632"/>
      <c r="G146" s="1620" t="s">
        <v>225</v>
      </c>
      <c r="H146" s="1634">
        <v>14</v>
      </c>
      <c r="I146" s="1616"/>
      <c r="J146" s="1616"/>
      <c r="K146" s="1616"/>
      <c r="L146" s="1616"/>
      <c r="M146" s="1616"/>
      <c r="N146" s="1616"/>
      <c r="O146" s="1616"/>
      <c r="P146" s="1616"/>
      <c r="Q146" s="1616"/>
      <c r="R146" s="1616"/>
      <c r="S146" s="1616"/>
      <c r="T146" s="1616"/>
      <c r="U146" s="1616"/>
      <c r="V146" s="1616"/>
      <c r="W146" s="1616"/>
      <c r="X146" s="1616"/>
      <c r="Y146" s="1616"/>
      <c r="Z146" s="1616"/>
      <c r="AA146" s="1616"/>
      <c r="AB146" s="1616"/>
      <c r="AC146" s="1616"/>
      <c r="AP146">
        <v>0.64940759319751029</v>
      </c>
      <c r="AQ146">
        <v>-0.83867056794542416</v>
      </c>
      <c r="AR146">
        <v>0.54463903501502697</v>
      </c>
      <c r="AT146">
        <v>-31</v>
      </c>
      <c r="AV146">
        <v>0.63707026080749307</v>
      </c>
      <c r="AW146">
        <v>-0.84339144581288572</v>
      </c>
      <c r="AX146">
        <v>0.53729960834682378</v>
      </c>
      <c r="AY146">
        <v>-2.4413770739048477</v>
      </c>
      <c r="AZ146">
        <v>1.9663727135842635E-2</v>
      </c>
    </row>
    <row r="147" spans="1:52">
      <c r="A147" s="1616"/>
      <c r="B147" s="1616"/>
      <c r="C147" s="1616"/>
      <c r="D147" s="1616"/>
      <c r="E147" s="1616"/>
      <c r="F147" s="1632"/>
      <c r="G147" s="1620" t="s">
        <v>227</v>
      </c>
      <c r="H147" s="1634">
        <v>15</v>
      </c>
      <c r="I147" s="1616"/>
      <c r="J147" s="1616"/>
      <c r="K147" s="1616"/>
      <c r="L147" s="1616"/>
      <c r="M147" s="1616"/>
      <c r="N147" s="1616"/>
      <c r="O147" s="1616"/>
      <c r="P147" s="1616"/>
      <c r="Q147" s="1616"/>
      <c r="R147" s="1616"/>
      <c r="S147" s="1616"/>
      <c r="T147" s="1616"/>
      <c r="U147" s="1616"/>
      <c r="V147" s="1616"/>
      <c r="W147" s="1616"/>
      <c r="X147" s="1616"/>
      <c r="Y147" s="1616"/>
      <c r="Z147" s="1616"/>
      <c r="AA147" s="1616"/>
      <c r="AB147" s="1616"/>
      <c r="AC147" s="1616"/>
      <c r="AP147">
        <v>0.62486935190932746</v>
      </c>
      <c r="AQ147">
        <v>-0.84804809615642596</v>
      </c>
      <c r="AR147">
        <v>0.5299192642332049</v>
      </c>
      <c r="AT147">
        <v>-30</v>
      </c>
      <c r="AV147">
        <v>0.61280078813993211</v>
      </c>
      <c r="AW147">
        <v>-0.85264016435409218</v>
      </c>
      <c r="AX147">
        <v>0.52249856471594891</v>
      </c>
      <c r="AY147">
        <v>-2.5283314902490277</v>
      </c>
      <c r="AZ147">
        <v>0.1561655185800177</v>
      </c>
    </row>
    <row r="148" spans="1:52">
      <c r="A148" s="1616"/>
      <c r="B148" s="1616"/>
      <c r="C148" s="1616"/>
      <c r="D148" s="1616"/>
      <c r="E148" s="1616"/>
      <c r="F148" s="1635"/>
      <c r="G148" s="1621" t="s">
        <v>229</v>
      </c>
      <c r="H148" s="1636">
        <v>16</v>
      </c>
      <c r="I148" s="1616"/>
      <c r="J148" s="1616"/>
      <c r="K148" s="1616"/>
      <c r="L148" s="1616"/>
      <c r="M148" s="1616"/>
      <c r="N148" s="1616"/>
      <c r="O148" s="1616"/>
      <c r="P148" s="1616"/>
      <c r="Q148" s="1616"/>
      <c r="R148" s="1616"/>
      <c r="S148" s="1616"/>
      <c r="T148" s="1616"/>
      <c r="U148" s="1616"/>
      <c r="V148" s="1616"/>
      <c r="W148" s="1616"/>
      <c r="X148" s="1616"/>
      <c r="Y148" s="1616"/>
      <c r="Z148" s="1616"/>
      <c r="AA148" s="1616"/>
      <c r="AB148" s="1616"/>
      <c r="AC148" s="1616"/>
      <c r="AP148">
        <v>0.60086061902756072</v>
      </c>
      <c r="AQ148">
        <v>-0.85716730070211222</v>
      </c>
      <c r="AR148">
        <v>0.51503807491005438</v>
      </c>
      <c r="AT148">
        <v>-29</v>
      </c>
      <c r="AV148">
        <v>0.58904501642055151</v>
      </c>
      <c r="AW148">
        <v>-0.8616291604415256</v>
      </c>
      <c r="AX148">
        <v>0.50753836296070443</v>
      </c>
      <c r="AY148">
        <v>-2.6150781296718701</v>
      </c>
      <c r="AZ148">
        <v>0.29773550049716135</v>
      </c>
    </row>
    <row r="149" spans="1:52">
      <c r="A149" s="1616"/>
      <c r="B149" s="1616"/>
      <c r="C149" s="1616"/>
      <c r="D149" s="1616"/>
      <c r="E149" s="1616" t="s">
        <v>236</v>
      </c>
      <c r="F149" s="1632" t="s">
        <v>234</v>
      </c>
      <c r="G149" s="1620" t="s">
        <v>237</v>
      </c>
      <c r="H149" s="1637" t="s">
        <v>238</v>
      </c>
      <c r="I149" s="1616"/>
      <c r="J149" s="1616"/>
      <c r="K149" s="1616"/>
      <c r="L149" s="1616"/>
      <c r="M149" s="1616"/>
      <c r="N149" s="1616"/>
      <c r="O149" s="1616"/>
      <c r="P149" s="1616"/>
      <c r="Q149" s="1616"/>
      <c r="R149" s="1616"/>
      <c r="S149" s="1616"/>
      <c r="T149" s="1616"/>
      <c r="U149" s="1616"/>
      <c r="V149" s="1616"/>
      <c r="W149" s="1616"/>
      <c r="X149" s="1616"/>
      <c r="Y149" s="1616"/>
      <c r="Z149" s="1616"/>
      <c r="AA149" s="1616"/>
      <c r="AB149" s="1616"/>
      <c r="AC149" s="1616"/>
      <c r="AP149">
        <v>0.57735026918962573</v>
      </c>
      <c r="AQ149">
        <v>-0.86602540378443871</v>
      </c>
      <c r="AR149">
        <v>0.49999999999999994</v>
      </c>
      <c r="AT149">
        <v>-28</v>
      </c>
      <c r="AV149">
        <v>0.56577277818777016</v>
      </c>
      <c r="AW149">
        <v>-0.8703556959398997</v>
      </c>
      <c r="AX149">
        <v>0.49242356010346716</v>
      </c>
      <c r="AY149">
        <v>-2.701720272705832</v>
      </c>
      <c r="AZ149">
        <v>0.44483887281679735</v>
      </c>
    </row>
    <row r="150" spans="1:52">
      <c r="A150" s="1616"/>
      <c r="B150" s="1616"/>
      <c r="C150" s="1616"/>
      <c r="D150" s="1616"/>
      <c r="E150" s="1616"/>
      <c r="F150" s="1632" t="s">
        <v>231</v>
      </c>
      <c r="G150" s="1620" t="s">
        <v>237</v>
      </c>
      <c r="H150" s="1638" t="s">
        <v>239</v>
      </c>
      <c r="I150" s="1616"/>
      <c r="J150" s="1616"/>
      <c r="K150" s="1616"/>
      <c r="L150" s="1616"/>
      <c r="M150" s="1616"/>
      <c r="N150" s="1616"/>
      <c r="O150" s="1616"/>
      <c r="P150" s="1616"/>
      <c r="Q150" s="1616"/>
      <c r="R150" s="1616"/>
      <c r="S150" s="1616"/>
      <c r="T150" s="1616"/>
      <c r="U150" s="1616"/>
      <c r="V150" s="1616"/>
      <c r="W150" s="1616"/>
      <c r="X150" s="1616"/>
      <c r="Y150" s="1616"/>
      <c r="Z150" s="1616"/>
      <c r="AA150" s="1616"/>
      <c r="AB150" s="1616"/>
      <c r="AC150" s="1616"/>
      <c r="AP150">
        <v>0.5543090514527691</v>
      </c>
      <c r="AQ150">
        <v>-0.87461970713939574</v>
      </c>
      <c r="AR150">
        <v>0.48480962024633717</v>
      </c>
      <c r="AT150">
        <v>-27</v>
      </c>
      <c r="AV150">
        <v>0.54295569963843715</v>
      </c>
      <c r="AW150">
        <v>-0.87881711266196527</v>
      </c>
      <c r="AX150">
        <v>0.47715876025960863</v>
      </c>
      <c r="AY150">
        <v>-2.7883625931843783</v>
      </c>
      <c r="AZ150">
        <v>0.59799500978288034</v>
      </c>
    </row>
    <row r="151" spans="1:52">
      <c r="A151" s="1616"/>
      <c r="B151" s="1616"/>
      <c r="C151" s="1616"/>
      <c r="D151" s="1616"/>
      <c r="E151" s="1616"/>
      <c r="F151" s="1635" t="s">
        <v>235</v>
      </c>
      <c r="G151" s="1621" t="s">
        <v>237</v>
      </c>
      <c r="H151" s="1639" t="s">
        <v>240</v>
      </c>
      <c r="I151" s="1616"/>
      <c r="J151" s="1616"/>
      <c r="K151" s="1616"/>
      <c r="L151" s="1616"/>
      <c r="M151" s="1616"/>
      <c r="N151" s="1616"/>
      <c r="O151" s="1616"/>
      <c r="P151" s="1616"/>
      <c r="Q151" s="1616"/>
      <c r="R151" s="1616"/>
      <c r="S151" s="1616"/>
      <c r="T151" s="1616"/>
      <c r="U151" s="1616"/>
      <c r="V151" s="1616"/>
      <c r="W151" s="1616"/>
      <c r="X151" s="1616"/>
      <c r="Y151" s="1616"/>
      <c r="Z151" s="1616"/>
      <c r="AA151" s="1616"/>
      <c r="AB151" s="1616"/>
      <c r="AC151" s="1616"/>
      <c r="AP151">
        <v>0.53170943166147921</v>
      </c>
      <c r="AQ151">
        <v>-0.88294759285892677</v>
      </c>
      <c r="AR151">
        <v>0.46947156278589108</v>
      </c>
      <c r="AT151">
        <v>-26</v>
      </c>
      <c r="AV151">
        <v>0.52056705055174635</v>
      </c>
      <c r="AW151">
        <v>-0.88701083317822171</v>
      </c>
      <c r="AX151">
        <v>0.46174861323503391</v>
      </c>
      <c r="AY151">
        <v>-2.8751119029521135</v>
      </c>
      <c r="AZ151">
        <v>0.75778621071002217</v>
      </c>
    </row>
    <row r="152" spans="1:52">
      <c r="A152" s="1616"/>
      <c r="B152" s="1616"/>
      <c r="C152" s="1616"/>
      <c r="D152" s="1616"/>
      <c r="E152" s="1616"/>
      <c r="F152" s="1616"/>
      <c r="G152" s="1616"/>
      <c r="H152" s="1616"/>
      <c r="I152" s="1616"/>
      <c r="J152" s="1616"/>
      <c r="K152" s="1616"/>
      <c r="L152" s="1616"/>
      <c r="M152" s="1616"/>
      <c r="N152" s="1616"/>
      <c r="O152" s="1616"/>
      <c r="P152" s="1616"/>
      <c r="Q152" s="1616"/>
      <c r="R152" s="1616"/>
      <c r="S152" s="1616"/>
      <c r="T152" s="1616"/>
      <c r="U152" s="1616"/>
      <c r="V152" s="1616"/>
      <c r="W152" s="1616"/>
      <c r="X152" s="1616"/>
      <c r="Y152" s="1616"/>
      <c r="Z152" s="1616"/>
      <c r="AA152" s="1616"/>
      <c r="AB152" s="1616"/>
      <c r="AC152" s="1616"/>
      <c r="AP152">
        <v>0.50952544949442891</v>
      </c>
      <c r="AQ152">
        <v>-0.89100652418836779</v>
      </c>
      <c r="AR152">
        <v>0.45399049973954686</v>
      </c>
      <c r="AT152">
        <v>-25</v>
      </c>
      <c r="AV152">
        <v>0.49858160805343177</v>
      </c>
      <c r="AW152">
        <v>-0.894934361602025</v>
      </c>
      <c r="AX152">
        <v>0.44619781310980899</v>
      </c>
      <c r="AY152">
        <v>-2.9620779621417004</v>
      </c>
      <c r="AZ152">
        <v>0.9248682119114644</v>
      </c>
    </row>
    <row r="153" spans="1:52">
      <c r="A153" s="1616" t="s">
        <v>573</v>
      </c>
      <c r="B153" s="1616"/>
      <c r="C153" s="1616"/>
      <c r="D153" s="1616"/>
      <c r="E153" s="1616"/>
      <c r="F153" s="1616"/>
      <c r="G153" s="1616"/>
      <c r="H153" s="1616"/>
      <c r="I153" s="1616"/>
      <c r="J153" s="1616"/>
      <c r="K153" s="1616"/>
      <c r="L153" s="1616"/>
      <c r="M153" s="1616"/>
      <c r="N153" s="1616"/>
      <c r="O153" s="1616"/>
      <c r="P153" s="1616"/>
      <c r="Q153" s="1616"/>
      <c r="R153" s="1616"/>
      <c r="S153" s="1616"/>
      <c r="T153" s="1616"/>
      <c r="U153" s="1616"/>
      <c r="V153" s="1616"/>
      <c r="W153" s="1616"/>
      <c r="X153" s="1616"/>
      <c r="Y153" s="1616"/>
      <c r="Z153" s="1616"/>
      <c r="AA153" s="1616"/>
      <c r="AB153" s="1616"/>
      <c r="AC153" s="1616"/>
      <c r="AP153">
        <v>0.48773258856586127</v>
      </c>
      <c r="AQ153">
        <v>-0.89879404629916704</v>
      </c>
      <c r="AR153">
        <v>0.43837114678907729</v>
      </c>
      <c r="AT153">
        <v>-24</v>
      </c>
      <c r="AV153">
        <v>0.47697553269816012</v>
      </c>
      <c r="AW153">
        <v>-0.90258528434986063</v>
      </c>
      <c r="AX153">
        <v>0.43051109680829508</v>
      </c>
      <c r="AY153">
        <v>-3.0493743743417601</v>
      </c>
      <c r="AZ153">
        <v>1.0999828969287027</v>
      </c>
    </row>
    <row r="154" spans="1:52">
      <c r="A154" s="695">
        <v>1</v>
      </c>
      <c r="B154" s="695" t="s">
        <v>745</v>
      </c>
      <c r="C154" s="1616"/>
      <c r="D154" s="1616"/>
      <c r="E154" s="1616"/>
      <c r="F154" s="1616"/>
      <c r="G154" s="1616"/>
      <c r="H154" s="1616"/>
      <c r="I154" s="1616"/>
      <c r="J154" s="1616"/>
      <c r="K154" s="1616"/>
      <c r="L154" s="1616"/>
      <c r="M154" s="1616"/>
      <c r="N154" s="1616"/>
      <c r="O154" s="1616"/>
      <c r="P154" s="1616"/>
      <c r="Q154" s="1616"/>
      <c r="R154" s="1616"/>
      <c r="S154" s="1616"/>
      <c r="T154" s="1616"/>
      <c r="U154" s="1616"/>
      <c r="V154" s="1616"/>
      <c r="W154" s="1616"/>
      <c r="X154" s="1616"/>
      <c r="Y154" s="1616"/>
      <c r="Z154" s="1616"/>
      <c r="AA154" s="1616"/>
      <c r="AB154" s="1616"/>
      <c r="AC154" s="1616"/>
      <c r="AP154">
        <v>0.46630765815499864</v>
      </c>
      <c r="AQ154">
        <v>-0.90630778703664994</v>
      </c>
      <c r="AR154">
        <v>0.4226182617406995</v>
      </c>
      <c r="AT154">
        <v>-23</v>
      </c>
      <c r="AV154">
        <v>0.45572625553258489</v>
      </c>
      <c r="AW154">
        <v>-0.9099612708765431</v>
      </c>
      <c r="AX154">
        <v>0.41469324265623919</v>
      </c>
      <c r="AY154">
        <v>-3.1371195901296716</v>
      </c>
      <c r="AZ154">
        <v>1.2839737720677196</v>
      </c>
    </row>
    <row r="155" spans="1:52">
      <c r="A155" s="695">
        <v>2</v>
      </c>
      <c r="B155" s="695" t="s">
        <v>746</v>
      </c>
      <c r="C155" s="1616"/>
      <c r="D155" s="1616"/>
      <c r="E155" s="1616"/>
      <c r="F155" s="1616"/>
      <c r="G155" s="1616"/>
      <c r="H155" s="1616"/>
      <c r="I155" s="1616"/>
      <c r="J155" s="1616"/>
      <c r="K155" s="1616"/>
      <c r="L155" s="1616"/>
      <c r="M155" s="1616"/>
      <c r="N155" s="1616"/>
      <c r="O155" s="1616"/>
      <c r="P155" s="1616"/>
      <c r="Q155" s="1616"/>
      <c r="R155" s="1616"/>
      <c r="S155" s="1616"/>
      <c r="T155" s="1616"/>
      <c r="U155" s="1616"/>
      <c r="V155" s="1616"/>
      <c r="W155" s="1616"/>
      <c r="X155" s="1616"/>
      <c r="Y155" s="1616"/>
      <c r="Z155" s="1616"/>
      <c r="AA155" s="1616"/>
      <c r="AB155" s="1616"/>
      <c r="AC155" s="1616"/>
      <c r="AP155">
        <v>0.44522868530853649</v>
      </c>
      <c r="AQ155">
        <v>-0.91354545764260076</v>
      </c>
      <c r="AR155">
        <v>0.40673664307580043</v>
      </c>
      <c r="AT155">
        <v>-22</v>
      </c>
      <c r="AV155">
        <v>0.434812374960934</v>
      </c>
      <c r="AW155">
        <v>-0.91706007438512394</v>
      </c>
      <c r="AX155">
        <v>0.39874906892524653</v>
      </c>
      <c r="AY155">
        <v>-3.2254380479487201</v>
      </c>
      <c r="AZ155">
        <v>1.4778049496868508</v>
      </c>
    </row>
    <row r="156" spans="1:52">
      <c r="A156" s="695">
        <v>3</v>
      </c>
      <c r="B156" s="695" t="s">
        <v>747</v>
      </c>
      <c r="C156" s="1616"/>
      <c r="D156" s="1616"/>
      <c r="E156" s="1616"/>
      <c r="F156" s="1616"/>
      <c r="G156" s="1616"/>
      <c r="H156" s="1616"/>
      <c r="I156" s="1616"/>
      <c r="J156" s="1616"/>
      <c r="K156" s="1616"/>
      <c r="L156" s="1616"/>
      <c r="M156" s="1616"/>
      <c r="N156" s="1616"/>
      <c r="O156" s="1616"/>
      <c r="P156" s="1616"/>
      <c r="Q156" s="1616"/>
      <c r="R156" s="1616"/>
      <c r="S156" s="1616"/>
      <c r="T156" s="1616"/>
      <c r="U156" s="1616"/>
      <c r="V156" s="1616"/>
      <c r="W156" s="1616"/>
      <c r="X156" s="1616"/>
      <c r="Y156" s="1616"/>
      <c r="Z156" s="1616"/>
      <c r="AA156" s="1616"/>
      <c r="AB156" s="1616"/>
      <c r="AC156" s="1616"/>
      <c r="AP156">
        <v>0.42447481620960525</v>
      </c>
      <c r="AQ156">
        <v>-0.92050485345244015</v>
      </c>
      <c r="AR156">
        <v>0.39073112848927416</v>
      </c>
      <c r="AT156">
        <v>-22</v>
      </c>
      <c r="AV156">
        <v>0.4142135623730952</v>
      </c>
      <c r="AW156">
        <v>-0.92387953251128674</v>
      </c>
      <c r="AX156">
        <v>0.38268343236508989</v>
      </c>
      <c r="AY156">
        <v>-3.3144614886413994</v>
      </c>
      <c r="AZ156">
        <v>1.6825846213186999</v>
      </c>
    </row>
    <row r="157" spans="1:52">
      <c r="A157" s="695">
        <v>4</v>
      </c>
      <c r="B157" s="695" t="s">
        <v>748</v>
      </c>
      <c r="C157" s="1616"/>
      <c r="D157" s="1616"/>
      <c r="E157" s="1616"/>
      <c r="F157" s="1616"/>
      <c r="G157" s="1616"/>
      <c r="H157" s="1616"/>
      <c r="I157" s="1616"/>
      <c r="J157" s="1616"/>
      <c r="K157" s="1616"/>
      <c r="L157" s="1616"/>
      <c r="M157" s="1616"/>
      <c r="N157" s="1616"/>
      <c r="O157" s="1616"/>
      <c r="P157" s="1616"/>
      <c r="Q157" s="1616"/>
      <c r="R157" s="1616"/>
      <c r="S157" s="1616"/>
      <c r="T157" s="1616"/>
      <c r="U157" s="1616"/>
      <c r="V157" s="1616"/>
      <c r="W157" s="1616"/>
      <c r="X157" s="1616"/>
      <c r="Y157" s="1616"/>
      <c r="Z157" s="1616"/>
      <c r="AA157" s="1616"/>
      <c r="AB157" s="1616"/>
      <c r="AC157" s="1616"/>
      <c r="AP157">
        <v>0.40402622583515707</v>
      </c>
      <c r="AQ157">
        <v>-0.92718385456678731</v>
      </c>
      <c r="AR157">
        <v>0.37460659341591224</v>
      </c>
      <c r="AT157">
        <v>-21</v>
      </c>
      <c r="AV157">
        <v>0.39391047561494225</v>
      </c>
      <c r="AW157">
        <v>-0.93041756798202457</v>
      </c>
      <c r="AX157">
        <v>0.36650122672429714</v>
      </c>
      <c r="AY157">
        <v>-3.4043304897800986</v>
      </c>
      <c r="AZ157">
        <v>1.8995943339750845</v>
      </c>
    </row>
    <row r="158" spans="1:52">
      <c r="A158" s="695">
        <v>5</v>
      </c>
      <c r="B158" s="695" t="s">
        <v>1113</v>
      </c>
      <c r="C158" s="1616"/>
      <c r="D158" s="1616"/>
      <c r="E158" s="1616"/>
      <c r="F158" s="1616"/>
      <c r="G158" s="1616"/>
      <c r="H158" s="1616"/>
      <c r="I158" s="1616"/>
      <c r="J158" s="1616"/>
      <c r="K158" s="1616"/>
      <c r="L158" s="1616"/>
      <c r="M158" s="1616"/>
      <c r="N158" s="1616"/>
      <c r="O158" s="1616"/>
      <c r="P158" s="1616"/>
      <c r="Q158" s="1616"/>
      <c r="R158" s="1616"/>
      <c r="S158" s="1616"/>
      <c r="T158" s="1616"/>
      <c r="U158" s="1616"/>
      <c r="V158" s="1616"/>
      <c r="W158" s="1616"/>
      <c r="X158" s="1616"/>
      <c r="Y158" s="1616"/>
      <c r="Z158" s="1616"/>
      <c r="AA158" s="1616"/>
      <c r="AB158" s="1616"/>
      <c r="AC158" s="1616"/>
      <c r="AP158">
        <v>0.38386403503541577</v>
      </c>
      <c r="AQ158">
        <v>-0.93358042649720174</v>
      </c>
      <c r="AR158">
        <v>0.35836794954530021</v>
      </c>
      <c r="AT158">
        <v>-20</v>
      </c>
      <c r="AV158">
        <v>0.37388467948480475</v>
      </c>
      <c r="AW158">
        <v>-0.93667218924839757</v>
      </c>
      <c r="AX158">
        <v>0.35020738125946754</v>
      </c>
      <c r="AY158">
        <v>-3.4951962792285638</v>
      </c>
      <c r="AZ158">
        <v>2.130325846879817</v>
      </c>
    </row>
    <row r="159" spans="1:52">
      <c r="A159" s="695">
        <v>6</v>
      </c>
      <c r="B159" s="695" t="s">
        <v>749</v>
      </c>
      <c r="C159" s="1616"/>
      <c r="D159" s="1616"/>
      <c r="E159" s="1616"/>
      <c r="F159" s="1616"/>
      <c r="G159" s="1616"/>
      <c r="H159" s="1616"/>
      <c r="I159" s="1616"/>
      <c r="J159" s="1616"/>
      <c r="K159" s="1616"/>
      <c r="L159" s="1616"/>
      <c r="M159" s="1616"/>
      <c r="N159" s="1616"/>
      <c r="O159" s="1616"/>
      <c r="P159" s="1616"/>
      <c r="Q159" s="1616"/>
      <c r="R159" s="1616"/>
      <c r="S159" s="1616"/>
      <c r="T159" s="1616"/>
      <c r="U159" s="1616"/>
      <c r="V159" s="1616"/>
      <c r="W159" s="1616"/>
      <c r="X159" s="1616"/>
      <c r="Y159" s="1616"/>
      <c r="Z159" s="1616"/>
      <c r="AA159" s="1616"/>
      <c r="AB159" s="1616"/>
      <c r="AC159" s="1616"/>
      <c r="AP159">
        <v>0.36397023426620256</v>
      </c>
      <c r="AQ159">
        <v>-0.93969262078590832</v>
      </c>
      <c r="AR159">
        <v>0.34202014332566888</v>
      </c>
      <c r="AT159">
        <v>-19</v>
      </c>
      <c r="AV159">
        <v>0.35411857253069834</v>
      </c>
      <c r="AW159">
        <v>-0.94264149109217832</v>
      </c>
      <c r="AX159">
        <v>0.33380685923377118</v>
      </c>
      <c r="AY159">
        <v>-3.5872229055330198</v>
      </c>
      <c r="AZ159">
        <v>2.3765280046799759</v>
      </c>
    </row>
    <row r="160" spans="1:52">
      <c r="A160" s="695">
        <v>7</v>
      </c>
      <c r="B160" s="695" t="s">
        <v>750</v>
      </c>
      <c r="C160" s="1616"/>
      <c r="D160" s="1616"/>
      <c r="E160" s="1616"/>
      <c r="F160" s="1616"/>
      <c r="G160" s="1616"/>
      <c r="H160" s="1616"/>
      <c r="I160" s="1616"/>
      <c r="J160" s="1616"/>
      <c r="K160" s="1616"/>
      <c r="L160" s="1616"/>
      <c r="M160" s="1616"/>
      <c r="N160" s="1616"/>
      <c r="O160" s="1616"/>
      <c r="P160" s="1616"/>
      <c r="Q160" s="1616"/>
      <c r="R160" s="1616"/>
      <c r="S160" s="1616"/>
      <c r="T160" s="1616"/>
      <c r="U160" s="1616"/>
      <c r="V160" s="1616"/>
      <c r="W160" s="1616"/>
      <c r="X160" s="1616"/>
      <c r="Y160" s="1616"/>
      <c r="Z160" s="1616"/>
      <c r="AA160" s="1616"/>
      <c r="AB160" s="1616"/>
      <c r="AC160" s="1616"/>
      <c r="AP160">
        <v>0.34432761328966566</v>
      </c>
      <c r="AQ160">
        <v>-0.94551857559931674</v>
      </c>
      <c r="AR160">
        <v>0.32556815445715703</v>
      </c>
      <c r="AT160">
        <v>-18</v>
      </c>
      <c r="AV160">
        <v>0.33459531950207316</v>
      </c>
      <c r="AW160">
        <v>-0.94832365520619932</v>
      </c>
      <c r="AX160">
        <v>0.31730465640509214</v>
      </c>
      <c r="AY160">
        <v>-3.6805898678727118</v>
      </c>
      <c r="AZ160">
        <v>2.6402670131913979</v>
      </c>
    </row>
    <row r="161" spans="1:52">
      <c r="A161" s="695">
        <v>8</v>
      </c>
      <c r="B161" s="695" t="s">
        <v>751</v>
      </c>
      <c r="C161" s="1616"/>
      <c r="D161" s="1616"/>
      <c r="E161" s="1616"/>
      <c r="F161" s="1616"/>
      <c r="G161" s="1616"/>
      <c r="H161" s="1616"/>
      <c r="I161" s="1616"/>
      <c r="J161" s="1616"/>
      <c r="K161" s="1616"/>
      <c r="L161" s="1616"/>
      <c r="M161" s="1616"/>
      <c r="N161" s="1616"/>
      <c r="O161" s="1616"/>
      <c r="P161" s="1616"/>
      <c r="Q161" s="1616"/>
      <c r="R161" s="1616"/>
      <c r="S161" s="1616"/>
      <c r="T161" s="1616"/>
      <c r="U161" s="1616"/>
      <c r="V161" s="1616"/>
      <c r="W161" s="1616"/>
      <c r="X161" s="1616"/>
      <c r="Y161" s="1616"/>
      <c r="Z161" s="1616"/>
      <c r="AA161" s="1616"/>
      <c r="AB161" s="1616"/>
      <c r="AC161" s="1616"/>
      <c r="AP161">
        <v>0.32491969623290645</v>
      </c>
      <c r="AQ161">
        <v>-0.95105651629515353</v>
      </c>
      <c r="AR161">
        <v>0.30901699437494751</v>
      </c>
      <c r="AT161">
        <v>-17</v>
      </c>
      <c r="AV161">
        <v>0.31529878887898377</v>
      </c>
      <c r="AW161">
        <v>-0.95371695074822682</v>
      </c>
      <c r="AX161">
        <v>0.30070579950427334</v>
      </c>
      <c r="AY161">
        <v>-3.7754953435522833</v>
      </c>
      <c r="AZ161">
        <v>2.924004896694079</v>
      </c>
    </row>
    <row r="162" spans="1:52">
      <c r="A162" s="695">
        <v>9</v>
      </c>
      <c r="B162" s="695" t="s">
        <v>752</v>
      </c>
      <c r="C162" s="1616"/>
      <c r="D162" s="1616"/>
      <c r="E162" s="1616"/>
      <c r="F162" s="1616"/>
      <c r="G162" s="1616"/>
      <c r="H162" s="1616"/>
      <c r="I162" s="1616"/>
      <c r="J162" s="1616"/>
      <c r="K162" s="1616"/>
      <c r="L162" s="1616"/>
      <c r="M162" s="1616"/>
      <c r="N162" s="1616"/>
      <c r="O162" s="1616"/>
      <c r="P162" s="1616"/>
      <c r="Q162" s="1616"/>
      <c r="R162" s="1616"/>
      <c r="S162" s="1616"/>
      <c r="T162" s="1616"/>
      <c r="U162" s="1616"/>
      <c r="V162" s="1616"/>
      <c r="W162" s="1616"/>
      <c r="X162" s="1616"/>
      <c r="Y162" s="1616"/>
      <c r="Z162" s="1616"/>
      <c r="AA162" s="1616"/>
      <c r="AB162" s="1616"/>
      <c r="AC162" s="1616"/>
      <c r="AP162">
        <v>0.30573068145866067</v>
      </c>
      <c r="AQ162">
        <v>-0.95630475596303544</v>
      </c>
      <c r="AR162">
        <v>0.29237170472273705</v>
      </c>
      <c r="AT162">
        <v>-16</v>
      </c>
      <c r="AV162">
        <v>0.29621349496208021</v>
      </c>
      <c r="AW162">
        <v>-0.95881973486819305</v>
      </c>
      <c r="AX162">
        <v>0.28401534470392259</v>
      </c>
      <c r="AY162">
        <v>-3.8721602012447724</v>
      </c>
      <c r="AZ162">
        <v>3.2307029959574329</v>
      </c>
    </row>
    <row r="163" spans="1:52">
      <c r="A163" s="695">
        <v>10</v>
      </c>
      <c r="B163" s="695" t="s">
        <v>753</v>
      </c>
      <c r="C163" s="1616"/>
      <c r="D163" s="1616"/>
      <c r="E163" s="1616"/>
      <c r="F163" s="1616"/>
      <c r="G163" s="1616"/>
      <c r="H163" s="1616"/>
      <c r="I163" s="1616"/>
      <c r="J163" s="1616"/>
      <c r="K163" s="1616"/>
      <c r="L163" s="1616"/>
      <c r="M163" s="1616"/>
      <c r="N163" s="1616"/>
      <c r="O163" s="1616"/>
      <c r="P163" s="1616"/>
      <c r="Q163" s="1616"/>
      <c r="R163" s="1616"/>
      <c r="S163" s="1616"/>
      <c r="T163" s="1616"/>
      <c r="U163" s="1616"/>
      <c r="V163" s="1616"/>
      <c r="W163" s="1616"/>
      <c r="X163" s="1616"/>
      <c r="Y163" s="1616"/>
      <c r="Z163" s="1616"/>
      <c r="AA163" s="1616"/>
      <c r="AP163">
        <v>0.28674538575880848</v>
      </c>
      <c r="AQ163">
        <v>-0.96126169593831867</v>
      </c>
      <c r="AR163">
        <v>0.27563735581699966</v>
      </c>
      <c r="AT163">
        <v>-15</v>
      </c>
      <c r="AV163">
        <v>0.27732454405983864</v>
      </c>
      <c r="AW163">
        <v>-0.96363045320862295</v>
      </c>
      <c r="AX163">
        <v>0.26723837607825701</v>
      </c>
      <c r="AY163">
        <v>-3.9708330610080482</v>
      </c>
      <c r="AZ163">
        <v>3.5639605358458653</v>
      </c>
    </row>
    <row r="164" spans="1:52">
      <c r="A164" s="695">
        <v>11</v>
      </c>
      <c r="B164" s="695" t="s">
        <v>754</v>
      </c>
      <c r="C164" s="1616"/>
      <c r="D164" s="1616"/>
      <c r="E164" s="1616"/>
      <c r="F164" s="1616"/>
      <c r="G164" s="1616"/>
      <c r="H164" s="1616"/>
      <c r="I164" s="1616"/>
      <c r="J164" s="1616"/>
      <c r="K164" s="1616"/>
      <c r="L164" s="1616"/>
      <c r="M164" s="1616"/>
      <c r="N164" s="1616"/>
      <c r="O164" s="1616"/>
      <c r="P164" s="1616"/>
      <c r="Q164" s="1616"/>
      <c r="R164" s="1616"/>
      <c r="S164" s="1616"/>
      <c r="T164" s="1616"/>
      <c r="U164" s="1616"/>
      <c r="V164" s="1616"/>
      <c r="W164" s="1616"/>
      <c r="X164" s="1616"/>
      <c r="Y164" s="1616"/>
      <c r="Z164" s="1616"/>
      <c r="AA164" s="1616"/>
      <c r="AP164">
        <v>0.26794919243112297</v>
      </c>
      <c r="AQ164">
        <v>-0.9659258262890682</v>
      </c>
      <c r="AR164">
        <v>0.25881904510252102</v>
      </c>
      <c r="AT164">
        <v>-14</v>
      </c>
      <c r="AV164">
        <v>0.25861758435589022</v>
      </c>
      <c r="AW164">
        <v>-0.96814764037810774</v>
      </c>
      <c r="AX164">
        <v>0.25038000405444133</v>
      </c>
      <c r="AY164">
        <v>-4.0717967697244895</v>
      </c>
      <c r="AZ164">
        <v>3.9282032302755034</v>
      </c>
    </row>
    <row r="165" spans="1:52">
      <c r="A165" s="695">
        <v>12</v>
      </c>
      <c r="B165" s="695" t="s">
        <v>998</v>
      </c>
      <c r="C165" s="1616"/>
      <c r="D165" s="1616"/>
      <c r="E165" s="1616"/>
      <c r="F165" s="1616"/>
      <c r="G165" s="1616"/>
      <c r="H165" s="1616"/>
      <c r="I165" s="1616"/>
      <c r="J165" s="1616"/>
      <c r="K165" s="1616"/>
      <c r="L165" s="1616"/>
      <c r="M165" s="1616"/>
      <c r="N165" s="1616"/>
      <c r="O165" s="1616"/>
      <c r="P165" s="1616"/>
      <c r="Q165" s="1616"/>
      <c r="R165" s="1616"/>
      <c r="S165" s="1616"/>
      <c r="T165" s="1616"/>
      <c r="U165" s="1616"/>
      <c r="V165" s="1616"/>
      <c r="W165" s="1616"/>
      <c r="X165" s="1616"/>
      <c r="Y165" s="1616"/>
      <c r="Z165" s="1616"/>
      <c r="AA165" s="1616"/>
      <c r="AP165">
        <v>0.24932800284318071</v>
      </c>
      <c r="AQ165">
        <v>-0.97029572627599647</v>
      </c>
      <c r="AR165">
        <v>0.24192189559966773</v>
      </c>
      <c r="AT165">
        <v>-13</v>
      </c>
      <c r="AV165">
        <v>0.24007875908011617</v>
      </c>
      <c r="AW165">
        <v>-0.97236992039767656</v>
      </c>
      <c r="AX165">
        <v>0.23344536385590553</v>
      </c>
      <c r="AY165">
        <v>-4.1753768231883068</v>
      </c>
      <c r="AZ165">
        <v>4.3289447819797857</v>
      </c>
    </row>
    <row r="166" spans="1:52">
      <c r="A166" s="695">
        <v>13</v>
      </c>
      <c r="B166" s="695" t="s">
        <v>853</v>
      </c>
      <c r="C166" s="1616"/>
      <c r="D166" s="1616"/>
      <c r="E166" s="1616"/>
      <c r="F166" s="1616"/>
      <c r="G166" s="1616"/>
      <c r="H166" s="1616"/>
      <c r="I166" s="1616"/>
      <c r="J166" s="1616"/>
      <c r="K166" s="1616"/>
      <c r="L166" s="1616"/>
      <c r="M166" s="1616"/>
      <c r="N166" s="1616"/>
      <c r="O166" s="1616"/>
      <c r="P166" s="1616"/>
      <c r="Q166" s="1616"/>
      <c r="R166" s="1616"/>
      <c r="S166" s="1616"/>
      <c r="T166" s="1616"/>
      <c r="U166" s="1616"/>
      <c r="AP166">
        <v>0.23086819112556287</v>
      </c>
      <c r="AQ166">
        <v>-0.97437006478523525</v>
      </c>
      <c r="AR166">
        <v>0.22495105434386478</v>
      </c>
      <c r="AT166">
        <v>-12</v>
      </c>
      <c r="AV166">
        <v>0.22169466264294022</v>
      </c>
      <c r="AW166">
        <v>-0.97629600711993325</v>
      </c>
      <c r="AX166">
        <v>0.21643961393810318</v>
      </c>
      <c r="AY166">
        <v>-4.2819525177035604</v>
      </c>
      <c r="AZ166">
        <v>4.7731570947258284</v>
      </c>
    </row>
    <row r="167" spans="1:52">
      <c r="A167" s="695">
        <v>14</v>
      </c>
      <c r="B167" s="695" t="s">
        <v>755</v>
      </c>
      <c r="C167" s="1616"/>
      <c r="D167" s="1616"/>
      <c r="E167" s="1616"/>
      <c r="F167" s="1616"/>
      <c r="G167" s="1616"/>
      <c r="H167" s="1616"/>
      <c r="I167" s="1616"/>
      <c r="J167" s="1616"/>
      <c r="K167" s="1616"/>
      <c r="L167" s="1616"/>
      <c r="M167" s="1616"/>
      <c r="N167" s="1616"/>
      <c r="O167" s="1616"/>
      <c r="P167" s="1616"/>
      <c r="Q167" s="1616"/>
      <c r="R167" s="1616"/>
      <c r="S167" s="1616"/>
      <c r="AP167">
        <v>0.2125565616700221</v>
      </c>
      <c r="AQ167">
        <v>-0.97814760073380569</v>
      </c>
      <c r="AR167">
        <v>0.20791169081775931</v>
      </c>
      <c r="AT167">
        <v>-11</v>
      </c>
      <c r="AV167">
        <v>0.20345229942369988</v>
      </c>
      <c r="AW167">
        <v>-0.97992470462082948</v>
      </c>
      <c r="AX167">
        <v>0.19936793441719769</v>
      </c>
      <c r="AY167">
        <v>-4.3919720144444945</v>
      </c>
      <c r="AZ167">
        <v>5.26980698720687</v>
      </c>
    </row>
    <row r="168" spans="1:52">
      <c r="A168" s="695">
        <v>15</v>
      </c>
      <c r="B168" s="695" t="s">
        <v>971</v>
      </c>
      <c r="C168" s="1616"/>
      <c r="D168" s="1616"/>
      <c r="E168" s="1616"/>
      <c r="F168" s="1616"/>
      <c r="G168" s="1616"/>
      <c r="H168" s="1616"/>
      <c r="I168" s="1616"/>
      <c r="J168" s="1616"/>
      <c r="K168" s="1616"/>
      <c r="L168" s="1616"/>
      <c r="M168" s="1616"/>
      <c r="N168" s="1616"/>
      <c r="O168" s="1616"/>
      <c r="P168" s="1616"/>
      <c r="Q168" s="1616"/>
      <c r="R168" s="1616"/>
      <c r="AP168">
        <v>0.19438030913771864</v>
      </c>
      <c r="AQ168">
        <v>-0.98162718344766398</v>
      </c>
      <c r="AR168">
        <v>0.19080899537654497</v>
      </c>
      <c r="AT168">
        <v>-10</v>
      </c>
      <c r="AV168">
        <v>0.18533904493153464</v>
      </c>
      <c r="AW168">
        <v>-0.98325490756395451</v>
      </c>
      <c r="AX168">
        <v>0.18223552549214772</v>
      </c>
      <c r="AY168">
        <v>-4.5059731572400832</v>
      </c>
      <c r="AZ168">
        <v>5.8306558098582713</v>
      </c>
    </row>
    <row r="169" spans="1:52">
      <c r="A169" s="695">
        <v>16</v>
      </c>
      <c r="B169" s="695" t="s">
        <v>1114</v>
      </c>
      <c r="C169" s="1616"/>
      <c r="D169" s="1616"/>
      <c r="E169" s="1616"/>
      <c r="F169" s="1616"/>
      <c r="G169" s="1616"/>
      <c r="H169" s="1616"/>
      <c r="I169" s="1616"/>
      <c r="J169" s="1616"/>
      <c r="K169" s="1616"/>
      <c r="L169" s="1616"/>
      <c r="M169" s="1616"/>
      <c r="N169" s="1616"/>
      <c r="O169" s="1616"/>
      <c r="P169" s="1616"/>
      <c r="Q169" s="1616"/>
      <c r="R169" s="1616"/>
      <c r="AP169">
        <v>0.17632698070846489</v>
      </c>
      <c r="AQ169">
        <v>-0.98480775301220802</v>
      </c>
      <c r="AR169">
        <v>0.17364817766693028</v>
      </c>
      <c r="AT169">
        <v>-9</v>
      </c>
      <c r="AV169">
        <v>0.16734260908142004</v>
      </c>
      <c r="AW169">
        <v>-0.98628560153723133</v>
      </c>
      <c r="AX169">
        <v>0.1650476058606781</v>
      </c>
      <c r="AY169">
        <v>-4.6246130035990181</v>
      </c>
      <c r="AZ169">
        <v>6.4714890872452102</v>
      </c>
    </row>
    <row r="170" spans="1:52">
      <c r="A170" s="695">
        <v>17</v>
      </c>
      <c r="B170" s="695" t="s">
        <v>1115</v>
      </c>
      <c r="C170" s="1616"/>
      <c r="D170" s="1616"/>
      <c r="E170" s="1616"/>
      <c r="F170" s="1616"/>
      <c r="G170" s="1616"/>
      <c r="H170" s="1616"/>
      <c r="I170" s="1616"/>
      <c r="J170" s="1616"/>
      <c r="K170" s="1616"/>
      <c r="L170" s="1616"/>
      <c r="M170" s="1616"/>
      <c r="N170" s="1616"/>
      <c r="O170" s="1616"/>
      <c r="P170" s="1616"/>
      <c r="Q170" s="1616"/>
      <c r="R170" s="1616"/>
      <c r="AP170">
        <v>0.15838444032453641</v>
      </c>
      <c r="AQ170">
        <v>-0.98768834059513766</v>
      </c>
      <c r="AR170">
        <v>0.15643446504023098</v>
      </c>
      <c r="AT170">
        <v>-8</v>
      </c>
      <c r="AV170">
        <v>0.14945100134912756</v>
      </c>
      <c r="AW170">
        <v>-0.98901586336191682</v>
      </c>
      <c r="AX170">
        <v>0.14780941112961038</v>
      </c>
      <c r="AY170">
        <v>-4.7487110157989125</v>
      </c>
      <c r="AZ170">
        <v>7.2140792339708462</v>
      </c>
    </row>
    <row r="171" spans="1:52">
      <c r="A171" s="695">
        <v>18</v>
      </c>
      <c r="B171" s="695" t="s">
        <v>997</v>
      </c>
      <c r="C171" s="1616"/>
      <c r="D171" s="1616"/>
      <c r="E171" s="1616"/>
      <c r="F171" s="1616"/>
      <c r="G171" s="1616"/>
      <c r="H171" s="1616"/>
      <c r="I171" s="1616"/>
      <c r="J171" s="1616"/>
      <c r="K171" s="1616"/>
      <c r="L171" s="1616"/>
      <c r="M171" s="1616"/>
      <c r="N171" s="1616"/>
      <c r="AP171">
        <v>0.14054083470239176</v>
      </c>
      <c r="AQ171">
        <v>-0.99026806874157025</v>
      </c>
      <c r="AR171">
        <v>0.13917310096006574</v>
      </c>
      <c r="AT171">
        <v>-7</v>
      </c>
      <c r="AV171">
        <v>0.13165249758739583</v>
      </c>
      <c r="AW171">
        <v>-0.99144486137381038</v>
      </c>
      <c r="AX171">
        <v>0.13052619222005157</v>
      </c>
      <c r="AY171">
        <v>-4.8793145658828756</v>
      </c>
      <c r="AZ171">
        <v>8.0894609286181645</v>
      </c>
    </row>
    <row r="172" spans="1:52">
      <c r="A172" s="695">
        <v>19</v>
      </c>
      <c r="B172" s="695" t="s">
        <v>1116</v>
      </c>
      <c r="C172" s="1616"/>
      <c r="D172" s="1616"/>
      <c r="E172" s="1616"/>
      <c r="F172" s="1616"/>
      <c r="G172" s="1616"/>
      <c r="H172" s="1616"/>
      <c r="I172" s="1616"/>
      <c r="J172" s="1616"/>
      <c r="K172" s="1616"/>
      <c r="L172" s="1616"/>
      <c r="M172" s="1616"/>
      <c r="N172" s="1616"/>
      <c r="AP172">
        <v>0.12278456090290465</v>
      </c>
      <c r="AQ172">
        <v>-0.99254615164132198</v>
      </c>
      <c r="AR172">
        <v>0.12186934340514755</v>
      </c>
      <c r="AT172">
        <v>-6</v>
      </c>
      <c r="AV172">
        <v>0.11393560830164566</v>
      </c>
      <c r="AW172">
        <v>-0.99357185567658746</v>
      </c>
      <c r="AX172">
        <v>0.11320321376790689</v>
      </c>
      <c r="AY172">
        <v>-5.0178027472289877</v>
      </c>
      <c r="AZ172">
        <v>9.1437011151466407</v>
      </c>
    </row>
    <row r="173" spans="1:52">
      <c r="A173" s="695">
        <v>20</v>
      </c>
      <c r="B173" s="695" t="s">
        <v>1117</v>
      </c>
      <c r="C173" s="1616"/>
      <c r="D173" s="1616"/>
      <c r="E173" s="1616"/>
      <c r="F173" s="1616"/>
      <c r="G173" s="1616"/>
      <c r="H173" s="1616"/>
      <c r="I173" s="1616"/>
      <c r="J173" s="1616"/>
      <c r="K173" s="1616"/>
      <c r="L173" s="1616"/>
      <c r="M173" s="1616"/>
      <c r="N173" s="1616"/>
      <c r="AP173">
        <v>0.10510423526567673</v>
      </c>
      <c r="AQ173">
        <v>-0.99452189536827329</v>
      </c>
      <c r="AR173">
        <v>0.10452846326765373</v>
      </c>
      <c r="AT173">
        <v>-5</v>
      </c>
      <c r="AV173">
        <v>9.6289048197538543E-2</v>
      </c>
      <c r="AW173">
        <v>-0.99539619836717885</v>
      </c>
      <c r="AX173">
        <v>9.5845752520223912E-2</v>
      </c>
      <c r="AY173">
        <v>-5.1660601077184518</v>
      </c>
      <c r="AZ173">
        <v>10.44877252230431</v>
      </c>
    </row>
    <row r="174" spans="1:52">
      <c r="AP174">
        <v>8.7488663525924479E-2</v>
      </c>
      <c r="AQ174">
        <v>-0.99619469809174555</v>
      </c>
      <c r="AR174">
        <v>8.7155742747658638E-2</v>
      </c>
      <c r="AT174">
        <v>-4</v>
      </c>
      <c r="AV174">
        <v>7.8701706824618564E-2</v>
      </c>
      <c r="AW174">
        <v>-0.99691733373312796</v>
      </c>
      <c r="AX174">
        <v>7.8459095727845068E-2</v>
      </c>
      <c r="AY174">
        <v>-5.326788347868213</v>
      </c>
      <c r="AZ174">
        <v>12.124896697455938</v>
      </c>
    </row>
    <row r="175" spans="1:52">
      <c r="AP175">
        <v>6.9926811943510636E-2</v>
      </c>
      <c r="AQ175">
        <v>-0.9975640502598242</v>
      </c>
      <c r="AR175">
        <v>6.9756473744125524E-2</v>
      </c>
      <c r="AT175">
        <v>-3</v>
      </c>
      <c r="AV175">
        <v>6.1162620150484626E-2</v>
      </c>
      <c r="AW175">
        <v>-0.99813479842186692</v>
      </c>
      <c r="AX175">
        <v>6.1048539534857192E-2</v>
      </c>
      <c r="AY175">
        <v>-5.5041196631440261</v>
      </c>
      <c r="AZ175">
        <v>14.392085457355023</v>
      </c>
    </row>
    <row r="176" spans="1:52">
      <c r="AP176">
        <v>5.2407779283041175E-2</v>
      </c>
      <c r="AQ176">
        <v>-0.99862953475457383</v>
      </c>
      <c r="AR176">
        <v>5.2335956242943807E-2</v>
      </c>
      <c r="AT176">
        <v>-2</v>
      </c>
      <c r="AV176">
        <v>4.3660942908512135E-2</v>
      </c>
      <c r="AW176">
        <v>-0.9990482215818578</v>
      </c>
      <c r="AX176">
        <v>4.3619387365336069E-2</v>
      </c>
      <c r="AY176">
        <v>-5.7049907579259065</v>
      </c>
      <c r="AZ176">
        <v>17.7102483598871</v>
      </c>
    </row>
    <row r="177" spans="42:52">
      <c r="AP177">
        <v>3.492076949174746E-2</v>
      </c>
      <c r="AQ177">
        <v>-0.99939082701909576</v>
      </c>
      <c r="AR177">
        <v>3.4899496702500699E-2</v>
      </c>
      <c r="AT177">
        <v>-1</v>
      </c>
      <c r="AV177">
        <v>2.6185921569187198E-2</v>
      </c>
      <c r="AW177">
        <v>-0.99965732497555726</v>
      </c>
      <c r="AX177">
        <v>2.6176948307873423E-2</v>
      </c>
      <c r="AY177">
        <v>-5.9428980069378738</v>
      </c>
      <c r="AZ177">
        <v>19</v>
      </c>
    </row>
    <row r="178" spans="42:52">
      <c r="AP178">
        <v>1.7455064928217509E-2</v>
      </c>
      <c r="AQ178">
        <v>-0.99984769515639127</v>
      </c>
      <c r="AR178">
        <v>1.7452406437283439E-2</v>
      </c>
      <c r="AT178">
        <v>0</v>
      </c>
      <c r="AV178">
        <v>1.5709255323664951E-2</v>
      </c>
      <c r="AW178">
        <v>-0.99987663248166059</v>
      </c>
      <c r="AX178">
        <v>1.570731731182071E-2</v>
      </c>
      <c r="AY178">
        <v>-6.2526298924207895</v>
      </c>
      <c r="AZ178">
        <v>20</v>
      </c>
    </row>
    <row r="179" spans="42:52">
      <c r="AP179">
        <v>-1.7455064928217266E-2</v>
      </c>
      <c r="AQ179">
        <v>-0.99984769515639127</v>
      </c>
      <c r="AR179">
        <v>-1.7452406437283192E-2</v>
      </c>
      <c r="AT179">
        <v>1</v>
      </c>
      <c r="AV179">
        <v>-2.6185921569186952E-2</v>
      </c>
      <c r="AW179">
        <v>-0.99965732497555726</v>
      </c>
      <c r="AX179">
        <v>-2.6176948307873177E-2</v>
      </c>
      <c r="AY179">
        <v>-6.2526298924207948</v>
      </c>
      <c r="AZ179">
        <v>20</v>
      </c>
    </row>
    <row r="180" spans="42:52">
      <c r="AP180">
        <v>-3.4920769491747654E-2</v>
      </c>
      <c r="AQ180">
        <v>-0.99939082701909576</v>
      </c>
      <c r="AR180">
        <v>-3.48994967025009E-2</v>
      </c>
      <c r="AT180">
        <v>2</v>
      </c>
      <c r="AV180">
        <v>-4.3660942908512336E-2</v>
      </c>
      <c r="AW180">
        <v>-0.9990482215818578</v>
      </c>
      <c r="AX180">
        <v>-4.3619387365336271E-2</v>
      </c>
      <c r="AY180">
        <v>-5.9428980069378712</v>
      </c>
      <c r="AZ180">
        <v>19</v>
      </c>
    </row>
    <row r="181" spans="42:52">
      <c r="AP181">
        <v>-5.2407779283040933E-2</v>
      </c>
      <c r="AQ181">
        <v>-0.99862953475457383</v>
      </c>
      <c r="AR181">
        <v>-5.2335956242943557E-2</v>
      </c>
      <c r="AT181">
        <v>3</v>
      </c>
      <c r="AV181">
        <v>-6.1162620150484376E-2</v>
      </c>
      <c r="AW181">
        <v>-0.99813479842186692</v>
      </c>
      <c r="AX181">
        <v>-6.1048539534856942E-2</v>
      </c>
      <c r="AY181">
        <v>-5.7049907579259092</v>
      </c>
      <c r="AZ181">
        <v>17.710248359887157</v>
      </c>
    </row>
    <row r="182" spans="42:52">
      <c r="AP182">
        <v>-6.9926811943509942E-2</v>
      </c>
      <c r="AQ182">
        <v>-0.99756405025982431</v>
      </c>
      <c r="AR182">
        <v>-6.9756473744124831E-2</v>
      </c>
      <c r="AT182">
        <v>4</v>
      </c>
      <c r="AV182">
        <v>-7.8701706824618328E-2</v>
      </c>
      <c r="AW182">
        <v>-0.99691733373312796</v>
      </c>
      <c r="AX182">
        <v>-7.8459095727844819E-2</v>
      </c>
      <c r="AY182">
        <v>-5.5041196631440341</v>
      </c>
      <c r="AZ182">
        <v>14.39208545735513</v>
      </c>
    </row>
    <row r="183" spans="42:52">
      <c r="AP183">
        <v>-8.7488663525923785E-2</v>
      </c>
      <c r="AQ183">
        <v>-0.99619469809174555</v>
      </c>
      <c r="AR183">
        <v>-8.7155742747657944E-2</v>
      </c>
      <c r="AT183">
        <v>5</v>
      </c>
      <c r="AV183">
        <v>-9.6289048197538737E-2</v>
      </c>
      <c r="AW183">
        <v>-0.99539619836717874</v>
      </c>
      <c r="AX183">
        <v>-9.5845752520224106E-2</v>
      </c>
      <c r="AY183">
        <v>-5.3267883478682201</v>
      </c>
      <c r="AZ183">
        <v>12.124896697456013</v>
      </c>
    </row>
    <row r="184" spans="42:52">
      <c r="AP184">
        <v>-0.10510423526567604</v>
      </c>
      <c r="AQ184">
        <v>-0.9945218953682734</v>
      </c>
      <c r="AR184">
        <v>-0.10452846326765305</v>
      </c>
      <c r="AT184">
        <v>6</v>
      </c>
      <c r="AV184">
        <v>-0.11393560830164541</v>
      </c>
      <c r="AW184">
        <v>-0.99357185567658746</v>
      </c>
      <c r="AX184">
        <v>-0.11320321376790664</v>
      </c>
      <c r="AY184">
        <v>-5.166060107718458</v>
      </c>
      <c r="AZ184">
        <v>10.448772522304367</v>
      </c>
    </row>
    <row r="185" spans="42:52">
      <c r="AP185">
        <v>-0.12278456090290486</v>
      </c>
      <c r="AQ185">
        <v>-0.99254615164132198</v>
      </c>
      <c r="AR185">
        <v>-0.12186934340514774</v>
      </c>
      <c r="AT185">
        <v>7</v>
      </c>
      <c r="AV185">
        <v>-0.13165249758739558</v>
      </c>
      <c r="AW185">
        <v>-0.99144486137381049</v>
      </c>
      <c r="AX185">
        <v>-0.13052619222005132</v>
      </c>
      <c r="AY185">
        <v>-5.0178027472289859</v>
      </c>
      <c r="AZ185">
        <v>9.1437011151466265</v>
      </c>
    </row>
    <row r="186" spans="42:52">
      <c r="AP186">
        <v>-0.14054083470239151</v>
      </c>
      <c r="AQ186">
        <v>-0.99026806874157025</v>
      </c>
      <c r="AR186">
        <v>-0.13917310096006552</v>
      </c>
      <c r="AT186">
        <v>8</v>
      </c>
      <c r="AV186">
        <v>-0.14945100134912775</v>
      </c>
      <c r="AW186">
        <v>-0.98901586336191682</v>
      </c>
      <c r="AX186">
        <v>-0.1478094111296106</v>
      </c>
      <c r="AY186">
        <v>-4.8793145658828774</v>
      </c>
      <c r="AZ186">
        <v>8.0894609286181787</v>
      </c>
    </row>
    <row r="187" spans="42:52">
      <c r="AP187">
        <v>-0.15838444032453616</v>
      </c>
      <c r="AQ187">
        <v>-0.98768834059513777</v>
      </c>
      <c r="AR187">
        <v>-0.15643446504023073</v>
      </c>
      <c r="AT187">
        <v>9</v>
      </c>
      <c r="AV187">
        <v>-0.16734260908141932</v>
      </c>
      <c r="AW187">
        <v>-0.98628560153723144</v>
      </c>
      <c r="AX187">
        <v>-0.16504760586067743</v>
      </c>
      <c r="AY187">
        <v>-4.7487110157989143</v>
      </c>
      <c r="AZ187">
        <v>7.2140792339708568</v>
      </c>
    </row>
    <row r="188" spans="42:52">
      <c r="AP188">
        <v>-0.17632698070846509</v>
      </c>
      <c r="AQ188">
        <v>-0.98480775301220802</v>
      </c>
      <c r="AR188">
        <v>-0.17364817766693047</v>
      </c>
      <c r="AT188">
        <v>10</v>
      </c>
      <c r="AV188">
        <v>-0.18533904493153394</v>
      </c>
      <c r="AW188">
        <v>-0.98325490756395462</v>
      </c>
      <c r="AX188">
        <v>-0.18223552549214703</v>
      </c>
      <c r="AY188">
        <v>-4.6246130035990172</v>
      </c>
      <c r="AZ188">
        <v>6.4714890872452031</v>
      </c>
    </row>
    <row r="189" spans="42:52">
      <c r="AP189">
        <v>-0.19438030913771839</v>
      </c>
      <c r="AQ189">
        <v>-0.98162718344766398</v>
      </c>
      <c r="AR189">
        <v>-0.19080899537654472</v>
      </c>
      <c r="AT189">
        <v>11</v>
      </c>
      <c r="AV189">
        <v>-0.20345229942369872</v>
      </c>
      <c r="AW189">
        <v>-0.9799247046208297</v>
      </c>
      <c r="AX189">
        <v>-0.19936793441719658</v>
      </c>
      <c r="AY189">
        <v>-4.505973157240085</v>
      </c>
      <c r="AZ189">
        <v>5.8306558098582784</v>
      </c>
    </row>
    <row r="190" spans="42:52">
      <c r="AP190">
        <v>-0.21255656167002182</v>
      </c>
      <c r="AQ190">
        <v>-0.97814760073380569</v>
      </c>
      <c r="AR190">
        <v>-0.20791169081775907</v>
      </c>
      <c r="AT190">
        <v>12</v>
      </c>
      <c r="AV190">
        <v>-0.22169466264293997</v>
      </c>
      <c r="AW190">
        <v>-0.97629600711993336</v>
      </c>
      <c r="AX190">
        <v>-0.21643961393810293</v>
      </c>
      <c r="AY190">
        <v>-4.3919720144444963</v>
      </c>
      <c r="AZ190">
        <v>5.2698069872068789</v>
      </c>
    </row>
    <row r="191" spans="42:52">
      <c r="AP191">
        <v>-0.23086819112556309</v>
      </c>
      <c r="AQ191">
        <v>-0.97437006478523525</v>
      </c>
      <c r="AR191">
        <v>-0.22495105434386498</v>
      </c>
      <c r="AT191">
        <v>13</v>
      </c>
      <c r="AV191">
        <v>-0.24007875908011636</v>
      </c>
      <c r="AW191">
        <v>-0.97236992039767656</v>
      </c>
      <c r="AX191">
        <v>-0.23344536385590572</v>
      </c>
      <c r="AY191">
        <v>-4.2819525177035596</v>
      </c>
      <c r="AZ191">
        <v>4.7731570947258248</v>
      </c>
    </row>
    <row r="192" spans="42:52">
      <c r="AP192">
        <v>-0.24932800284318044</v>
      </c>
      <c r="AQ192">
        <v>-0.97029572627599647</v>
      </c>
      <c r="AR192">
        <v>-0.24192189559966751</v>
      </c>
      <c r="AT192">
        <v>14</v>
      </c>
      <c r="AV192">
        <v>-0.25861758435589038</v>
      </c>
      <c r="AW192">
        <v>-0.96814764037810774</v>
      </c>
      <c r="AX192">
        <v>-0.25038000405444155</v>
      </c>
      <c r="AY192">
        <v>-4.1753768231883086</v>
      </c>
      <c r="AZ192">
        <v>4.3289447819797928</v>
      </c>
    </row>
    <row r="193" spans="42:52">
      <c r="AP193">
        <v>-0.26794919243112225</v>
      </c>
      <c r="AQ193">
        <v>-0.96592582628906842</v>
      </c>
      <c r="AR193">
        <v>-0.25881904510252035</v>
      </c>
      <c r="AT193">
        <v>15</v>
      </c>
      <c r="AV193">
        <v>-0.27732454405983836</v>
      </c>
      <c r="AW193">
        <v>-0.96363045320862306</v>
      </c>
      <c r="AX193">
        <v>-0.26723837607825679</v>
      </c>
      <c r="AY193">
        <v>-4.071796769724493</v>
      </c>
      <c r="AZ193">
        <v>3.9282032302755177</v>
      </c>
    </row>
    <row r="194" spans="42:52">
      <c r="AP194">
        <v>-0.28674538575880776</v>
      </c>
      <c r="AQ194">
        <v>-0.96126169593831889</v>
      </c>
      <c r="AR194">
        <v>-0.275637355816999</v>
      </c>
      <c r="AT194">
        <v>16</v>
      </c>
      <c r="AV194">
        <v>-0.29621349496207994</v>
      </c>
      <c r="AW194">
        <v>-0.95881973486819316</v>
      </c>
      <c r="AX194">
        <v>-0.28401534470392237</v>
      </c>
      <c r="AY194">
        <v>-3.9708330610080518</v>
      </c>
      <c r="AZ194">
        <v>3.5639605358458795</v>
      </c>
    </row>
    <row r="195" spans="42:52">
      <c r="AP195">
        <v>-0.30573068145865995</v>
      </c>
      <c r="AQ195">
        <v>-0.95630475596303555</v>
      </c>
      <c r="AR195">
        <v>-0.29237170472273638</v>
      </c>
      <c r="AT195">
        <v>17</v>
      </c>
      <c r="AV195">
        <v>-0.31529878887898349</v>
      </c>
      <c r="AW195">
        <v>-0.95371695074822693</v>
      </c>
      <c r="AX195">
        <v>-0.30070579950427306</v>
      </c>
      <c r="AY195">
        <v>-3.8721602012447764</v>
      </c>
      <c r="AZ195">
        <v>3.2307029959574454</v>
      </c>
    </row>
    <row r="196" spans="42:52">
      <c r="AP196">
        <v>-0.32491969623290667</v>
      </c>
      <c r="AQ196">
        <v>-0.95105651629515353</v>
      </c>
      <c r="AR196">
        <v>-0.30901699437494773</v>
      </c>
      <c r="AT196">
        <v>18</v>
      </c>
      <c r="AV196">
        <v>-0.33459531950207289</v>
      </c>
      <c r="AW196">
        <v>-0.94832365520619943</v>
      </c>
      <c r="AX196">
        <v>-0.31730465640509192</v>
      </c>
      <c r="AY196">
        <v>-3.7754953435522824</v>
      </c>
      <c r="AZ196">
        <v>2.9240048966940755</v>
      </c>
    </row>
    <row r="197" spans="42:52">
      <c r="AP197">
        <v>-0.34432761328966538</v>
      </c>
      <c r="AQ197">
        <v>-0.94551857559931674</v>
      </c>
      <c r="AR197">
        <v>-0.32556815445715676</v>
      </c>
      <c r="AT197">
        <v>19</v>
      </c>
      <c r="AV197">
        <v>-0.35411857253069756</v>
      </c>
      <c r="AW197">
        <v>-0.94264149109217854</v>
      </c>
      <c r="AX197">
        <v>-0.33380685923377051</v>
      </c>
      <c r="AY197">
        <v>-3.6805898678727131</v>
      </c>
      <c r="AZ197">
        <v>2.6402670131914032</v>
      </c>
    </row>
    <row r="198" spans="42:52">
      <c r="AP198">
        <v>-0.36397023426620229</v>
      </c>
      <c r="AQ198">
        <v>-0.93969262078590843</v>
      </c>
      <c r="AR198">
        <v>-0.34202014332566866</v>
      </c>
      <c r="AT198">
        <v>20</v>
      </c>
      <c r="AV198">
        <v>-0.37388467948480447</v>
      </c>
      <c r="AW198">
        <v>-0.93667218924839768</v>
      </c>
      <c r="AX198">
        <v>-0.35020738125946727</v>
      </c>
      <c r="AY198">
        <v>-3.5872229055330211</v>
      </c>
      <c r="AZ198">
        <v>2.3765280046799813</v>
      </c>
    </row>
    <row r="199" spans="42:52">
      <c r="AP199">
        <v>-0.383864035035416</v>
      </c>
      <c r="AQ199">
        <v>-0.93358042649720174</v>
      </c>
      <c r="AR199">
        <v>-0.35836794954530043</v>
      </c>
      <c r="AT199">
        <v>21</v>
      </c>
      <c r="AV199">
        <v>-0.39391047561494197</v>
      </c>
      <c r="AW199">
        <v>-0.93041756798202468</v>
      </c>
      <c r="AX199">
        <v>-0.36650122672429691</v>
      </c>
      <c r="AY199">
        <v>-3.4951962792285625</v>
      </c>
      <c r="AZ199">
        <v>2.1303258468798152</v>
      </c>
    </row>
    <row r="200" spans="42:52">
      <c r="AP200">
        <v>-0.40402622583515679</v>
      </c>
      <c r="AQ200">
        <v>-0.92718385456678742</v>
      </c>
      <c r="AR200">
        <v>-0.37460659341591201</v>
      </c>
      <c r="AT200">
        <v>22</v>
      </c>
      <c r="AV200">
        <v>-0.41421356237309437</v>
      </c>
      <c r="AW200">
        <v>-0.92387953251128696</v>
      </c>
      <c r="AX200">
        <v>-0.38268343236508923</v>
      </c>
      <c r="AY200">
        <v>-3.4043304897800999</v>
      </c>
      <c r="AZ200">
        <v>1.8995943339750863</v>
      </c>
    </row>
    <row r="201" spans="42:52">
      <c r="AP201">
        <v>-0.42447481620960448</v>
      </c>
      <c r="AQ201">
        <v>-0.92050485345244037</v>
      </c>
      <c r="AR201">
        <v>-0.39073112848927355</v>
      </c>
      <c r="AT201">
        <v>23</v>
      </c>
      <c r="AV201">
        <v>-0.43481237496093372</v>
      </c>
      <c r="AW201">
        <v>-0.91706007438512405</v>
      </c>
      <c r="AX201">
        <v>-0.39874906892524631</v>
      </c>
      <c r="AY201">
        <v>-3.314461488641403</v>
      </c>
      <c r="AZ201">
        <v>1.6825846213187088</v>
      </c>
    </row>
    <row r="202" spans="42:52">
      <c r="AP202">
        <v>-0.44522868530853565</v>
      </c>
      <c r="AQ202">
        <v>-0.91354545764260109</v>
      </c>
      <c r="AR202">
        <v>-0.40673664307579982</v>
      </c>
      <c r="AT202">
        <v>23</v>
      </c>
      <c r="AV202">
        <v>-0.45572625553258456</v>
      </c>
      <c r="AW202">
        <v>-0.90996127087654322</v>
      </c>
      <c r="AX202">
        <v>-0.41469324265623897</v>
      </c>
      <c r="AY202">
        <v>-3.2254380479487237</v>
      </c>
      <c r="AZ202">
        <v>1.4778049496868579</v>
      </c>
    </row>
    <row r="203" spans="42:52">
      <c r="AP203">
        <v>-0.46630765815499836</v>
      </c>
      <c r="AQ203">
        <v>-0.90630778703665005</v>
      </c>
      <c r="AR203">
        <v>-0.42261826174069927</v>
      </c>
      <c r="AT203">
        <v>24</v>
      </c>
      <c r="AV203">
        <v>-0.4769755326981604</v>
      </c>
      <c r="AW203">
        <v>-0.90258528434986052</v>
      </c>
      <c r="AX203">
        <v>-0.4305110968082953</v>
      </c>
      <c r="AY203">
        <v>-3.1371195901296729</v>
      </c>
      <c r="AZ203">
        <v>1.2839737720677213</v>
      </c>
    </row>
    <row r="204" spans="42:52">
      <c r="AP204">
        <v>-0.48773258856586094</v>
      </c>
      <c r="AQ204">
        <v>-0.89879404629916715</v>
      </c>
      <c r="AR204">
        <v>-0.43837114678907707</v>
      </c>
      <c r="AT204">
        <v>25</v>
      </c>
      <c r="AV204">
        <v>-0.49858160805343144</v>
      </c>
      <c r="AW204">
        <v>-0.89493436160202511</v>
      </c>
      <c r="AX204">
        <v>-0.44619781310980877</v>
      </c>
      <c r="AY204">
        <v>-3.0493743743417614</v>
      </c>
      <c r="AZ204">
        <v>1.0999828969287062</v>
      </c>
    </row>
    <row r="205" spans="42:52">
      <c r="AP205">
        <v>-0.50952544949442813</v>
      </c>
      <c r="AQ205">
        <v>-0.89100652418836812</v>
      </c>
      <c r="AR205">
        <v>-0.45399049973954625</v>
      </c>
      <c r="AT205">
        <v>26</v>
      </c>
      <c r="AV205">
        <v>-0.52056705055174601</v>
      </c>
      <c r="AW205">
        <v>-0.88701083317822182</v>
      </c>
      <c r="AX205">
        <v>-0.46174861323503374</v>
      </c>
      <c r="AY205">
        <v>-2.962077962141703</v>
      </c>
      <c r="AZ205">
        <v>0.92486821191147062</v>
      </c>
    </row>
    <row r="206" spans="42:52">
      <c r="AP206">
        <v>-0.53170943166147888</v>
      </c>
      <c r="AQ206">
        <v>-0.88294759285892688</v>
      </c>
      <c r="AR206">
        <v>-0.46947156278589086</v>
      </c>
      <c r="AT206">
        <v>27</v>
      </c>
      <c r="AV206">
        <v>-0.54295569963843693</v>
      </c>
      <c r="AW206">
        <v>-0.87881711266196538</v>
      </c>
      <c r="AX206">
        <v>-0.47715876025960841</v>
      </c>
      <c r="AY206">
        <v>-2.8751119029521144</v>
      </c>
      <c r="AZ206">
        <v>0.75778621071002483</v>
      </c>
    </row>
    <row r="207" spans="42:52">
      <c r="AP207">
        <v>-0.55430905145276876</v>
      </c>
      <c r="AQ207">
        <v>-0.87461970713939585</v>
      </c>
      <c r="AR207">
        <v>-0.48480962024633695</v>
      </c>
      <c r="AT207">
        <v>28</v>
      </c>
      <c r="AV207">
        <v>-0.56577277818776983</v>
      </c>
      <c r="AW207">
        <v>-0.87035569593989981</v>
      </c>
      <c r="AX207">
        <v>-0.49242356010346694</v>
      </c>
      <c r="AY207">
        <v>-2.7883625931843801</v>
      </c>
      <c r="AZ207">
        <v>0.59799500978288211</v>
      </c>
    </row>
    <row r="208" spans="42:52">
      <c r="AP208">
        <v>-0.57735026918962595</v>
      </c>
      <c r="AQ208">
        <v>-0.8660254037844386</v>
      </c>
      <c r="AR208">
        <v>-0.50000000000000011</v>
      </c>
      <c r="AT208">
        <v>29</v>
      </c>
      <c r="AV208">
        <v>-0.58904501642055052</v>
      </c>
      <c r="AW208">
        <v>-0.86162916044152593</v>
      </c>
      <c r="AX208">
        <v>-0.50753836296070387</v>
      </c>
      <c r="AY208">
        <v>-2.701720272705832</v>
      </c>
      <c r="AZ208">
        <v>0.44483887281679557</v>
      </c>
    </row>
    <row r="209" spans="42:52">
      <c r="AP209">
        <v>-0.60086061902756038</v>
      </c>
      <c r="AQ209">
        <v>-0.85716730070211233</v>
      </c>
      <c r="AR209">
        <v>-0.51503807491005416</v>
      </c>
      <c r="AT209">
        <v>30</v>
      </c>
      <c r="AV209">
        <v>-0.61280078813993177</v>
      </c>
      <c r="AW209">
        <v>-0.85264016435409229</v>
      </c>
      <c r="AX209">
        <v>-0.52249856471594869</v>
      </c>
      <c r="AY209">
        <v>-2.6150781296718719</v>
      </c>
      <c r="AZ209">
        <v>0.29773550049716313</v>
      </c>
    </row>
    <row r="210" spans="42:52">
      <c r="AP210">
        <v>-0.62486935190932713</v>
      </c>
      <c r="AQ210">
        <v>-0.84804809615642607</v>
      </c>
      <c r="AR210">
        <v>-0.52991926423320479</v>
      </c>
      <c r="AT210">
        <v>31</v>
      </c>
      <c r="AV210">
        <v>-0.63707026080749263</v>
      </c>
      <c r="AW210">
        <v>-0.84339144581288583</v>
      </c>
      <c r="AX210">
        <v>-0.53729960834682355</v>
      </c>
      <c r="AY210">
        <v>-2.5283314902490295</v>
      </c>
      <c r="AZ210">
        <v>0.15616551858001948</v>
      </c>
    </row>
    <row r="211" spans="42:52">
      <c r="AP211">
        <v>-0.64940759319751062</v>
      </c>
      <c r="AQ211">
        <v>-0.83867056794542405</v>
      </c>
      <c r="AR211">
        <v>-0.54463903501502708</v>
      </c>
      <c r="AT211">
        <v>32</v>
      </c>
      <c r="AV211">
        <v>-0.66188556119569197</v>
      </c>
      <c r="AW211">
        <v>-0.83388582206716799</v>
      </c>
      <c r="AX211">
        <v>-0.55193698531205848</v>
      </c>
      <c r="AY211">
        <v>-2.4413770739048468</v>
      </c>
      <c r="AZ211">
        <v>1.9663727135840858E-2</v>
      </c>
    </row>
    <row r="212" spans="42:52">
      <c r="AP212">
        <v>-0.6745085168424263</v>
      </c>
      <c r="AQ212">
        <v>-0.82903757255504185</v>
      </c>
      <c r="AR212">
        <v>-0.55919290347074668</v>
      </c>
      <c r="AT212">
        <v>32</v>
      </c>
      <c r="AV212">
        <v>-0.68728095860161342</v>
      </c>
      <c r="AW212">
        <v>-0.82412618862201559</v>
      </c>
      <c r="AX212">
        <v>-0.56640623692483294</v>
      </c>
      <c r="AY212">
        <v>-2.3541122980685767</v>
      </c>
      <c r="AZ212">
        <v>-0.11218822902311665</v>
      </c>
    </row>
    <row r="213" spans="42:52">
      <c r="AP213">
        <v>-0.70020753820970916</v>
      </c>
      <c r="AQ213">
        <v>-0.81915204428899202</v>
      </c>
      <c r="AR213">
        <v>-0.57357643635104583</v>
      </c>
      <c r="AT213">
        <v>33</v>
      </c>
      <c r="AV213">
        <v>-0.71329306789700531</v>
      </c>
      <c r="AW213">
        <v>-0.81411551835631923</v>
      </c>
      <c r="AX213">
        <v>-0.58070295571093977</v>
      </c>
      <c r="AY213">
        <v>-2.2664346183124611</v>
      </c>
      <c r="AZ213">
        <v>-0.23976803535945912</v>
      </c>
    </row>
    <row r="214" spans="42:52">
      <c r="AP214">
        <v>-0.72654252800536068</v>
      </c>
      <c r="AQ214">
        <v>-0.80901699437494756</v>
      </c>
      <c r="AR214">
        <v>-0.58778525229247303</v>
      </c>
      <c r="AT214">
        <v>34</v>
      </c>
      <c r="AV214">
        <v>-0.73996107502848796</v>
      </c>
      <c r="AW214">
        <v>-0.80385686061721717</v>
      </c>
      <c r="AX214">
        <v>-0.59482278675134148</v>
      </c>
      <c r="AY214">
        <v>-2.1782408919387581</v>
      </c>
      <c r="AZ214">
        <v>-0.36341793879729334</v>
      </c>
    </row>
    <row r="215" spans="42:52">
      <c r="AP215">
        <v>-0.75355405010279364</v>
      </c>
      <c r="AQ215">
        <v>-0.79863551004729305</v>
      </c>
      <c r="AR215">
        <v>-0.60181502315204805</v>
      </c>
      <c r="AT215">
        <v>35</v>
      </c>
      <c r="AV215">
        <v>-0.76732698797896037</v>
      </c>
      <c r="AW215">
        <v>-0.79335334029123517</v>
      </c>
      <c r="AX215">
        <v>-0.60876142900872066</v>
      </c>
      <c r="AY215">
        <v>-2.0894267541060545</v>
      </c>
      <c r="AZ215">
        <v>-0.48344920284870696</v>
      </c>
    </row>
    <row r="216" spans="42:52">
      <c r="AP216">
        <v>-0.78128562650671651</v>
      </c>
      <c r="AQ216">
        <v>-0.78801075360672224</v>
      </c>
      <c r="AR216">
        <v>-0.61566147532565785</v>
      </c>
      <c r="AT216">
        <v>36</v>
      </c>
      <c r="AV216">
        <v>-0.7954359166678282</v>
      </c>
      <c r="AW216">
        <v>-0.78260815685241403</v>
      </c>
      <c r="AX216">
        <v>-0.62251463663761941</v>
      </c>
      <c r="AY216">
        <v>-1.9998859964781879</v>
      </c>
      <c r="AZ216">
        <v>-0.60014592118081378</v>
      </c>
    </row>
    <row r="217" spans="42:52">
      <c r="AP217">
        <v>-0.80978403319500736</v>
      </c>
      <c r="AQ217">
        <v>-0.77714596145697079</v>
      </c>
      <c r="AR217">
        <v>-0.62932039104983761</v>
      </c>
      <c r="AT217">
        <v>37</v>
      </c>
      <c r="AV217">
        <v>-0.82433638581749513</v>
      </c>
      <c r="AW217">
        <v>-0.77162458338772022</v>
      </c>
      <c r="AX217">
        <v>-0.63607822027776362</v>
      </c>
      <c r="AY217">
        <v>-1.9095099388919108</v>
      </c>
      <c r="AZ217">
        <v>-0.7137682981676825</v>
      </c>
    </row>
    <row r="218" spans="42:52">
      <c r="AP218">
        <v>-0.83909963117727993</v>
      </c>
      <c r="AQ218">
        <v>-0.76604444311897801</v>
      </c>
      <c r="AR218">
        <v>-0.64278760968653925</v>
      </c>
      <c r="AT218">
        <v>37</v>
      </c>
      <c r="AV218">
        <v>-0.85408068546346638</v>
      </c>
      <c r="AW218">
        <v>-0.76040596560003104</v>
      </c>
      <c r="AX218">
        <v>-0.64944804833018355</v>
      </c>
      <c r="AY218">
        <v>-1.818186784756425</v>
      </c>
      <c r="AZ218">
        <v>-0.82455548458131478</v>
      </c>
    </row>
    <row r="219" spans="42:52">
      <c r="AP219">
        <v>-0.86928673781622701</v>
      </c>
      <c r="AQ219">
        <v>-0.7547095802227719</v>
      </c>
      <c r="AR219">
        <v>-0.65605902899050739</v>
      </c>
      <c r="AT219">
        <v>38</v>
      </c>
      <c r="AV219">
        <v>-0.88472526455594314</v>
      </c>
      <c r="AW219">
        <v>-0.74895572078900241</v>
      </c>
      <c r="AX219">
        <v>-0.66262004821573717</v>
      </c>
      <c r="AY219">
        <v>-1.725800950843885</v>
      </c>
      <c r="AZ219">
        <v>-0.93272804045571966</v>
      </c>
    </row>
    <row r="220" spans="42:52">
      <c r="AP220">
        <v>-0.90040404429783993</v>
      </c>
      <c r="AQ220">
        <v>-0.74314482547739424</v>
      </c>
      <c r="AR220">
        <v>-0.66913060635885824</v>
      </c>
      <c r="AT220">
        <v>39</v>
      </c>
      <c r="AV220">
        <v>-0.91633117401742237</v>
      </c>
      <c r="AW220">
        <v>-0.73727733681012442</v>
      </c>
      <c r="AX220">
        <v>-0.6755902076156598</v>
      </c>
      <c r="AY220">
        <v>-1.6322323618164249</v>
      </c>
      <c r="AZ220">
        <v>-1.0384900843381821</v>
      </c>
    </row>
    <row r="221" spans="42:52">
      <c r="AP221">
        <v>-0.93251508613766132</v>
      </c>
      <c r="AQ221">
        <v>-0.73135370161917057</v>
      </c>
      <c r="AR221">
        <v>-0.68199836006249837</v>
      </c>
      <c r="AT221">
        <v>40</v>
      </c>
      <c r="AV221">
        <v>-0.94896456671487917</v>
      </c>
      <c r="AW221">
        <v>-0.72537437101228786</v>
      </c>
      <c r="AX221">
        <v>-0.6883545756937538</v>
      </c>
      <c r="AY221">
        <v>-1.5373556992601864</v>
      </c>
      <c r="AZ221">
        <v>-1.1420311778919601</v>
      </c>
    </row>
    <row r="222" spans="42:52">
      <c r="AP222">
        <v>-0.96568877480707416</v>
      </c>
      <c r="AQ222">
        <v>-0.71933980033865108</v>
      </c>
      <c r="AR222">
        <v>-0.69465837045899737</v>
      </c>
      <c r="AT222">
        <v>41</v>
      </c>
      <c r="AV222">
        <v>-0.98269726311568995</v>
      </c>
      <c r="AW222">
        <v>-0.71325044915418156</v>
      </c>
      <c r="AX222">
        <v>-0.7009092642998509</v>
      </c>
      <c r="AY222">
        <v>-1.4410395941483474</v>
      </c>
      <c r="AZ222">
        <v>-1.2435279865790871</v>
      </c>
    </row>
    <row r="223" spans="42:52">
      <c r="AP223">
        <v>-1.0000100000000001</v>
      </c>
      <c r="AQ223">
        <v>-0.70710678118654768</v>
      </c>
      <c r="AR223">
        <v>-0.70710678118654746</v>
      </c>
      <c r="AT223">
        <v>41</v>
      </c>
      <c r="AV223">
        <v>-1.0176073929721257</v>
      </c>
      <c r="AW223">
        <v>-0.70090926429985079</v>
      </c>
      <c r="AX223">
        <v>-0.71325044915418168</v>
      </c>
      <c r="AY223">
        <v>-1.3431174663070822</v>
      </c>
      <c r="AZ223">
        <v>-1.3431740345667373</v>
      </c>
    </row>
    <row r="224" spans="42:52">
      <c r="AP224">
        <v>-1.0355303137905687</v>
      </c>
      <c r="AQ224">
        <v>-0.69465837045899759</v>
      </c>
      <c r="AR224">
        <v>-0.71933980033865086</v>
      </c>
      <c r="AT224">
        <v>42</v>
      </c>
      <c r="AV224">
        <v>-1.0537801252809622</v>
      </c>
      <c r="AW224">
        <v>-0.68835457569375402</v>
      </c>
      <c r="AX224">
        <v>-0.72537437101228763</v>
      </c>
      <c r="AY224">
        <v>-1.2435279865790889</v>
      </c>
      <c r="AZ224">
        <v>-1.4410395941483456</v>
      </c>
    </row>
    <row r="225" spans="42:52">
      <c r="AP225">
        <v>-1.0723687100246813</v>
      </c>
      <c r="AQ225">
        <v>-0.68199836006249892</v>
      </c>
      <c r="AR225">
        <v>-0.73135370161917013</v>
      </c>
      <c r="AT225">
        <v>43</v>
      </c>
      <c r="AV225">
        <v>-1.0913085010692709</v>
      </c>
      <c r="AW225">
        <v>-0.67559020761566035</v>
      </c>
      <c r="AX225">
        <v>-0.73727733681012386</v>
      </c>
      <c r="AY225">
        <v>-1.1420311778919645</v>
      </c>
      <c r="AZ225">
        <v>-1.5373556992601829</v>
      </c>
    </row>
    <row r="226" spans="42:52">
      <c r="AP226">
        <v>-1.1106125148291921</v>
      </c>
      <c r="AQ226">
        <v>-0.66913060635885846</v>
      </c>
      <c r="AR226">
        <v>-0.74314482547739402</v>
      </c>
      <c r="AT226">
        <v>43</v>
      </c>
      <c r="AV226">
        <v>-1.1302943863617529</v>
      </c>
      <c r="AW226">
        <v>-0.6626200482157375</v>
      </c>
      <c r="AX226">
        <v>-0.74895572078900219</v>
      </c>
      <c r="AY226">
        <v>-1.0384900843381848</v>
      </c>
      <c r="AZ226">
        <v>-1.6322323618164232</v>
      </c>
    </row>
    <row r="227" spans="42:52">
      <c r="AP227">
        <v>-1.1503684072210083</v>
      </c>
      <c r="AQ227">
        <v>-0.65605902899050761</v>
      </c>
      <c r="AR227">
        <v>-0.75470958022277168</v>
      </c>
      <c r="AT227">
        <v>44</v>
      </c>
      <c r="AV227">
        <v>-1.1708495661125378</v>
      </c>
      <c r="AW227">
        <v>-0.6494480483301841</v>
      </c>
      <c r="AX227">
        <v>-0.7604059656000306</v>
      </c>
      <c r="AY227">
        <v>-0.93272804045572144</v>
      </c>
      <c r="AZ227">
        <v>-1.7258009508438841</v>
      </c>
    </row>
    <row r="228" spans="42:52">
      <c r="AP228">
        <v>-1.1917535925942093</v>
      </c>
      <c r="AQ228">
        <v>-0.64278760968653947</v>
      </c>
      <c r="AR228">
        <v>-0.7660444431189779</v>
      </c>
      <c r="AT228">
        <v>45</v>
      </c>
      <c r="AV228">
        <v>-1.213097004092933</v>
      </c>
      <c r="AW228">
        <v>-0.63607822027776384</v>
      </c>
      <c r="AX228">
        <v>-0.77162458338772</v>
      </c>
      <c r="AY228">
        <v>-0.82455548458131656</v>
      </c>
      <c r="AZ228">
        <v>-1.8181867847564233</v>
      </c>
    </row>
    <row r="229" spans="42:52">
      <c r="AP229">
        <v>-1.2348971565350524</v>
      </c>
      <c r="AQ229">
        <v>-0.62932039104983717</v>
      </c>
      <c r="AR229">
        <v>-0.77714596145697112</v>
      </c>
      <c r="AT229">
        <v>45</v>
      </c>
      <c r="AV229">
        <v>-1.2571722989189544</v>
      </c>
      <c r="AW229">
        <v>-0.62251463663761963</v>
      </c>
      <c r="AX229">
        <v>-0.78260815685241381</v>
      </c>
      <c r="AY229">
        <v>-0.71376829816767895</v>
      </c>
      <c r="AZ229">
        <v>-1.9095099388919134</v>
      </c>
    </row>
    <row r="230" spans="42:52">
      <c r="AP230">
        <v>-1.2799416321930794</v>
      </c>
      <c r="AQ230">
        <v>-0.61566147532565807</v>
      </c>
      <c r="AR230">
        <v>-0.78801075360672213</v>
      </c>
      <c r="AT230">
        <v>46</v>
      </c>
      <c r="AV230">
        <v>-1.3032253728412049</v>
      </c>
      <c r="AW230">
        <v>-0.60876142900872088</v>
      </c>
      <c r="AX230">
        <v>-0.79335334029123494</v>
      </c>
      <c r="AY230">
        <v>-0.60014592118081644</v>
      </c>
      <c r="AZ230">
        <v>-1.9998859964781861</v>
      </c>
    </row>
    <row r="231" spans="42:52">
      <c r="AP231">
        <v>-1.32704482162041</v>
      </c>
      <c r="AQ231">
        <v>-0.60181502315204827</v>
      </c>
      <c r="AR231">
        <v>-0.79863551004729283</v>
      </c>
      <c r="AT231">
        <v>47</v>
      </c>
      <c r="AV231">
        <v>-1.3514224379458069</v>
      </c>
      <c r="AW231">
        <v>-0.5948227867513417</v>
      </c>
      <c r="AX231">
        <v>-0.80385686061721706</v>
      </c>
      <c r="AY231">
        <v>-0.48344920284870962</v>
      </c>
      <c r="AZ231">
        <v>-2.0894267541060527</v>
      </c>
    </row>
    <row r="232" spans="42:52">
      <c r="AP232">
        <v>-1.3763819204711731</v>
      </c>
      <c r="AQ232">
        <v>-0.58778525229247325</v>
      </c>
      <c r="AR232">
        <v>-0.80901699437494734</v>
      </c>
      <c r="AT232">
        <v>47</v>
      </c>
      <c r="AV232">
        <v>-1.4019482944763337</v>
      </c>
      <c r="AW232">
        <v>-0.58070295571094033</v>
      </c>
      <c r="AX232">
        <v>-0.81411551835631879</v>
      </c>
      <c r="AY232">
        <v>-0.36341793879729511</v>
      </c>
      <c r="AZ232">
        <v>-2.1782408919387564</v>
      </c>
    </row>
    <row r="233" spans="42:52">
      <c r="AP233">
        <v>-1.4281480067421135</v>
      </c>
      <c r="AQ233">
        <v>-0.57357643635104638</v>
      </c>
      <c r="AR233">
        <v>-0.81915204428899158</v>
      </c>
      <c r="AT233">
        <v>48</v>
      </c>
      <c r="AV233">
        <v>-1.4550090286724449</v>
      </c>
      <c r="AW233">
        <v>-0.56640623692483283</v>
      </c>
      <c r="AX233">
        <v>-0.8241261886220157</v>
      </c>
      <c r="AY233">
        <v>-0.23976803535946445</v>
      </c>
      <c r="AZ233">
        <v>-2.2664346183124575</v>
      </c>
    </row>
    <row r="234" spans="42:52">
      <c r="AP234">
        <v>-1.4825609685127386</v>
      </c>
      <c r="AQ234">
        <v>-0.55919290347074724</v>
      </c>
      <c r="AR234">
        <v>-0.8290375725550414</v>
      </c>
      <c r="AT234">
        <v>48</v>
      </c>
      <c r="AV234">
        <v>-1.5108351936149003</v>
      </c>
      <c r="AW234">
        <v>-0.55193698531205837</v>
      </c>
      <c r="AX234">
        <v>-0.8338858220671681</v>
      </c>
      <c r="AY234">
        <v>-0.11218822902312198</v>
      </c>
      <c r="AZ234">
        <v>-2.3541122980685731</v>
      </c>
    </row>
    <row r="235" spans="42:52">
      <c r="AP235">
        <v>-1.5398649638145834</v>
      </c>
      <c r="AQ235">
        <v>-0.54463903501502697</v>
      </c>
      <c r="AR235">
        <v>-0.83867056794542405</v>
      </c>
      <c r="AT235">
        <v>49</v>
      </c>
      <c r="AV235">
        <v>-1.5696855771174889</v>
      </c>
      <c r="AW235">
        <v>-0.53729960834682422</v>
      </c>
      <c r="AX235">
        <v>-0.8433914458128855</v>
      </c>
      <c r="AY235">
        <v>1.9663727135842635E-2</v>
      </c>
      <c r="AZ235">
        <v>-2.4413770739048468</v>
      </c>
    </row>
    <row r="236" spans="42:52">
      <c r="AP236">
        <v>-1.6003345290410502</v>
      </c>
      <c r="AQ236">
        <v>-0.52991926423320501</v>
      </c>
      <c r="AR236">
        <v>-0.84804809615642596</v>
      </c>
      <c r="AT236">
        <v>49</v>
      </c>
      <c r="AV236">
        <v>-1.6318516871287907</v>
      </c>
      <c r="AW236">
        <v>-0.52249856471594858</v>
      </c>
      <c r="AX236">
        <v>-0.8526401643540924</v>
      </c>
      <c r="AY236">
        <v>0.15616551858001682</v>
      </c>
      <c r="AZ236">
        <v>-2.5283314902490277</v>
      </c>
    </row>
    <row r="237" spans="42:52">
      <c r="AP237">
        <v>-1.6642794823505169</v>
      </c>
      <c r="AQ237">
        <v>-0.51503807491005449</v>
      </c>
      <c r="AR237">
        <v>-0.85716730070211211</v>
      </c>
      <c r="AT237">
        <v>50</v>
      </c>
      <c r="AV237">
        <v>-1.6976631193260892</v>
      </c>
      <c r="AW237">
        <v>-0.50753836296070409</v>
      </c>
      <c r="AX237">
        <v>-0.86162916044152582</v>
      </c>
      <c r="AY237">
        <v>0.29773550049716047</v>
      </c>
      <c r="AZ237">
        <v>-2.6150781296718701</v>
      </c>
    </row>
    <row r="238" spans="42:52">
      <c r="AP238">
        <v>-1.7320508075688754</v>
      </c>
      <c r="AQ238">
        <v>-0.50000000000000044</v>
      </c>
      <c r="AR238">
        <v>-0.86602540378443837</v>
      </c>
      <c r="AT238">
        <v>50</v>
      </c>
      <c r="AV238">
        <v>-1.7674940162428905</v>
      </c>
      <c r="AW238">
        <v>-0.49242356010346722</v>
      </c>
      <c r="AX238">
        <v>-0.87035569593989959</v>
      </c>
      <c r="AY238">
        <v>0.44483887281679291</v>
      </c>
      <c r="AZ238">
        <v>-2.7017202727058303</v>
      </c>
    </row>
    <row r="239" spans="42:52">
      <c r="AP239">
        <v>-1.8040477552714249</v>
      </c>
      <c r="AQ239">
        <v>-0.48480962024633684</v>
      </c>
      <c r="AR239">
        <v>-0.87461970713939596</v>
      </c>
      <c r="AT239">
        <v>51</v>
      </c>
      <c r="AV239">
        <v>-1.8417708860334567</v>
      </c>
      <c r="AW239">
        <v>-0.47715876025960868</v>
      </c>
      <c r="AX239">
        <v>-0.87881711266196527</v>
      </c>
      <c r="AY239">
        <v>0.597995009782883</v>
      </c>
      <c r="AZ239">
        <v>-2.7883625931843801</v>
      </c>
    </row>
    <row r="240" spans="42:52">
      <c r="AP240">
        <v>-1.8807264653463323</v>
      </c>
      <c r="AQ240">
        <v>-0.46947156278589075</v>
      </c>
      <c r="AR240">
        <v>-0.88294759285892699</v>
      </c>
      <c r="AT240">
        <v>51</v>
      </c>
      <c r="AV240">
        <v>-1.9209821269711636</v>
      </c>
      <c r="AW240">
        <v>-0.46174861323503441</v>
      </c>
      <c r="AX240">
        <v>-0.88701083317822149</v>
      </c>
      <c r="AY240">
        <v>0.75778621071002661</v>
      </c>
      <c r="AZ240">
        <v>-2.8751119029521153</v>
      </c>
    </row>
    <row r="241" spans="42:52">
      <c r="AP241">
        <v>-1.9626105055051497</v>
      </c>
      <c r="AQ241">
        <v>-0.45399049973954692</v>
      </c>
      <c r="AR241">
        <v>-0.89100652418836779</v>
      </c>
      <c r="AT241">
        <v>52</v>
      </c>
      <c r="AV241">
        <v>-2.0056897082590162</v>
      </c>
      <c r="AW241">
        <v>-0.44619781310980944</v>
      </c>
      <c r="AX241">
        <v>-0.89493436160202477</v>
      </c>
      <c r="AY241">
        <v>0.92486821191146351</v>
      </c>
      <c r="AZ241">
        <v>-2.9620779621416995</v>
      </c>
    </row>
    <row r="242" spans="42:52">
      <c r="AP242">
        <v>-2.0503038415792942</v>
      </c>
      <c r="AQ242">
        <v>-0.43837114678907774</v>
      </c>
      <c r="AR242">
        <v>-0.89879404629916682</v>
      </c>
      <c r="AT242">
        <v>52</v>
      </c>
      <c r="AV242">
        <v>-2.0965435990881742</v>
      </c>
      <c r="AW242">
        <v>-0.43051109680829514</v>
      </c>
      <c r="AX242">
        <v>-0.90258528434986063</v>
      </c>
      <c r="AY242">
        <v>1.0999828969286973</v>
      </c>
      <c r="AZ242">
        <v>-3.0493743743417574</v>
      </c>
    </row>
    <row r="243" spans="42:52">
      <c r="AP243">
        <v>-2.1445069205095555</v>
      </c>
      <c r="AQ243">
        <v>-0.42261826174069994</v>
      </c>
      <c r="AR243">
        <v>-0.90630778703664971</v>
      </c>
      <c r="AT243">
        <v>52</v>
      </c>
      <c r="AV243">
        <v>-2.194299731165037</v>
      </c>
      <c r="AW243">
        <v>-0.41469324265623925</v>
      </c>
      <c r="AX243">
        <v>-0.9099612708765431</v>
      </c>
      <c r="AY243">
        <v>1.2839737720677125</v>
      </c>
      <c r="AZ243">
        <v>-3.1371195901296689</v>
      </c>
    </row>
    <row r="244" spans="42:52">
      <c r="AP244">
        <v>-2.2460367739042169</v>
      </c>
      <c r="AQ244">
        <v>-0.4067366430758001</v>
      </c>
      <c r="AR244">
        <v>-0.91354545764260098</v>
      </c>
      <c r="AT244">
        <v>53</v>
      </c>
      <c r="AV244">
        <v>-2.2998425472362598</v>
      </c>
      <c r="AW244">
        <v>-0.39874906892524575</v>
      </c>
      <c r="AX244">
        <v>-0.91706007438512427</v>
      </c>
      <c r="AY244">
        <v>1.4778049496868544</v>
      </c>
      <c r="AZ244">
        <v>-3.2254380479487224</v>
      </c>
    </row>
    <row r="245" spans="42:52">
      <c r="AP245">
        <v>-2.3558523658237522</v>
      </c>
      <c r="AQ245">
        <v>-0.39073112848927383</v>
      </c>
      <c r="AR245">
        <v>-0.92050485345244026</v>
      </c>
      <c r="AT245">
        <v>53</v>
      </c>
      <c r="AV245">
        <v>-2.4142135623730971</v>
      </c>
      <c r="AW245">
        <v>-0.3826834323650895</v>
      </c>
      <c r="AX245">
        <v>-0.92387953251128685</v>
      </c>
      <c r="AY245">
        <v>1.6825846213187052</v>
      </c>
      <c r="AZ245">
        <v>-3.3144614886414012</v>
      </c>
    </row>
    <row r="246" spans="42:52">
      <c r="AP246">
        <v>-2.4750868534162938</v>
      </c>
      <c r="AQ246">
        <v>-0.37460659341591229</v>
      </c>
      <c r="AR246">
        <v>-0.92718385456678731</v>
      </c>
      <c r="AT246">
        <v>53</v>
      </c>
      <c r="AV246">
        <v>-2.5386478956643082</v>
      </c>
      <c r="AW246">
        <v>-0.36650122672429719</v>
      </c>
      <c r="AX246">
        <v>-0.93041756798202457</v>
      </c>
      <c r="AY246">
        <v>1.8995943339750827</v>
      </c>
      <c r="AZ246">
        <v>-3.4043304897800981</v>
      </c>
    </row>
    <row r="247" spans="42:52">
      <c r="AP247">
        <v>-2.6050890646937979</v>
      </c>
      <c r="AQ247">
        <v>-0.35836794954530071</v>
      </c>
      <c r="AR247">
        <v>-0.93358042649720163</v>
      </c>
      <c r="AT247">
        <v>53</v>
      </c>
      <c r="AV247">
        <v>-2.6746214939268227</v>
      </c>
      <c r="AW247">
        <v>-0.3502073812594676</v>
      </c>
      <c r="AX247">
        <v>-0.93667218924839757</v>
      </c>
      <c r="AY247">
        <v>2.1303258468798099</v>
      </c>
      <c r="AZ247">
        <v>-3.4951962792285611</v>
      </c>
    </row>
    <row r="248" spans="42:52">
      <c r="AP248">
        <v>-2.7474774194546168</v>
      </c>
      <c r="AQ248">
        <v>-0.34202014332566938</v>
      </c>
      <c r="AR248">
        <v>-0.93969262078590821</v>
      </c>
      <c r="AT248">
        <v>54</v>
      </c>
      <c r="AV248">
        <v>-2.823912885600798</v>
      </c>
      <c r="AW248">
        <v>-0.33380685923377124</v>
      </c>
      <c r="AX248">
        <v>-0.94264149109217832</v>
      </c>
      <c r="AY248">
        <v>2.3765280046799706</v>
      </c>
      <c r="AZ248">
        <v>-3.5872229055330176</v>
      </c>
    </row>
    <row r="249" spans="42:52">
      <c r="AP249">
        <v>-2.9042108776758231</v>
      </c>
      <c r="AQ249">
        <v>-0.32556815445715664</v>
      </c>
      <c r="AR249">
        <v>-0.94551857559931685</v>
      </c>
      <c r="AT249">
        <v>54</v>
      </c>
      <c r="AV249">
        <v>-2.9886849627428882</v>
      </c>
      <c r="AW249">
        <v>-0.31730465640509264</v>
      </c>
      <c r="AX249">
        <v>-0.94832365520619921</v>
      </c>
      <c r="AY249">
        <v>2.640267013191405</v>
      </c>
      <c r="AZ249">
        <v>-3.680589867872714</v>
      </c>
    </row>
    <row r="250" spans="42:52">
      <c r="AP250">
        <v>-3.0776835371752518</v>
      </c>
      <c r="AQ250">
        <v>-0.30901699437494756</v>
      </c>
      <c r="AR250">
        <v>-0.95105651629515353</v>
      </c>
      <c r="AT250">
        <v>54</v>
      </c>
      <c r="AV250">
        <v>-3.1715948023632046</v>
      </c>
      <c r="AW250">
        <v>-0.30070579950427379</v>
      </c>
      <c r="AX250">
        <v>-0.95371695074822671</v>
      </c>
      <c r="AY250">
        <v>2.924004896694079</v>
      </c>
      <c r="AZ250">
        <v>-3.7754953435522833</v>
      </c>
    </row>
    <row r="251" spans="42:52">
      <c r="AP251">
        <v>-3.2708526184841364</v>
      </c>
      <c r="AQ251">
        <v>-0.2923717047227371</v>
      </c>
      <c r="AR251">
        <v>-0.95630475596303532</v>
      </c>
      <c r="AT251">
        <v>54</v>
      </c>
      <c r="AV251">
        <v>-3.3759434225912459</v>
      </c>
      <c r="AW251">
        <v>-0.28401534470392265</v>
      </c>
      <c r="AX251">
        <v>-0.95881973486819305</v>
      </c>
      <c r="AY251">
        <v>3.2307029959574312</v>
      </c>
      <c r="AZ251">
        <v>-3.872160201244772</v>
      </c>
    </row>
    <row r="252" spans="42:52">
      <c r="AP252">
        <v>-3.4874144438409127</v>
      </c>
      <c r="AQ252">
        <v>-0.27563735581699889</v>
      </c>
      <c r="AR252">
        <v>-0.96126169593831901</v>
      </c>
      <c r="AT252">
        <v>54</v>
      </c>
      <c r="AV252">
        <v>-3.6058835087608712</v>
      </c>
      <c r="AW252">
        <v>-0.26723837607825707</v>
      </c>
      <c r="AX252">
        <v>-0.96363045320862295</v>
      </c>
      <c r="AY252">
        <v>3.5639605358458812</v>
      </c>
      <c r="AZ252">
        <v>-3.9708330610080527</v>
      </c>
    </row>
    <row r="253" spans="42:52">
      <c r="AP253">
        <v>-3.732050807568879</v>
      </c>
      <c r="AQ253">
        <v>-0.25881904510252063</v>
      </c>
      <c r="AR253">
        <v>-0.96592582628906831</v>
      </c>
      <c r="AT253">
        <v>53</v>
      </c>
      <c r="AV253">
        <v>-3.8667130948987314</v>
      </c>
      <c r="AW253">
        <v>-0.25038000405444183</v>
      </c>
      <c r="AX253">
        <v>-0.96814764037810763</v>
      </c>
      <c r="AY253">
        <v>3.9282032302755123</v>
      </c>
      <c r="AZ253">
        <v>-4.0717967697244912</v>
      </c>
    </row>
    <row r="254" spans="42:52">
      <c r="AP254">
        <v>-4.0107809335358438</v>
      </c>
      <c r="AQ254">
        <v>-0.24192189559966779</v>
      </c>
      <c r="AR254">
        <v>-0.97029572627599647</v>
      </c>
      <c r="AT254">
        <v>53</v>
      </c>
      <c r="AV254">
        <v>-4.1652997700904217</v>
      </c>
      <c r="AW254">
        <v>-0.23344536385590514</v>
      </c>
      <c r="AX254">
        <v>-0.97236992039767667</v>
      </c>
      <c r="AY254">
        <v>4.3289447819797857</v>
      </c>
      <c r="AZ254">
        <v>-4.1753768231883068</v>
      </c>
    </row>
    <row r="255" spans="42:52">
      <c r="AP255">
        <v>-4.3314758742841502</v>
      </c>
      <c r="AQ255">
        <v>-0.22495105434386525</v>
      </c>
      <c r="AR255">
        <v>-0.97437006478523513</v>
      </c>
      <c r="AT255">
        <v>53</v>
      </c>
      <c r="AV255">
        <v>-4.5107085036620589</v>
      </c>
      <c r="AW255">
        <v>-0.21643961393810282</v>
      </c>
      <c r="AX255">
        <v>-0.97629600711993336</v>
      </c>
      <c r="AY255">
        <v>4.773157094725816</v>
      </c>
      <c r="AZ255">
        <v>-4.2819525177035578</v>
      </c>
    </row>
    <row r="256" spans="42:52">
      <c r="AP256">
        <v>-4.7046301094784431</v>
      </c>
      <c r="AQ256">
        <v>-0.20791169081775979</v>
      </c>
      <c r="AR256">
        <v>-0.97814760073380558</v>
      </c>
      <c r="AT256">
        <v>53</v>
      </c>
      <c r="AV256">
        <v>-4.9151570310712023</v>
      </c>
      <c r="AW256">
        <v>-0.1993679344171973</v>
      </c>
      <c r="AX256">
        <v>-0.97992470462082959</v>
      </c>
      <c r="AY256">
        <v>5.2698069872068558</v>
      </c>
      <c r="AZ256">
        <v>-4.3919720144444909</v>
      </c>
    </row>
    <row r="257" spans="42:52">
      <c r="AP257">
        <v>-5.144554015970292</v>
      </c>
      <c r="AQ257">
        <v>-0.19080899537654547</v>
      </c>
      <c r="AR257">
        <v>-0.98162718344766386</v>
      </c>
      <c r="AT257">
        <v>52</v>
      </c>
      <c r="AV257">
        <v>-5.3955171743191279</v>
      </c>
      <c r="AW257">
        <v>-0.18223552549214778</v>
      </c>
      <c r="AX257">
        <v>-0.98325490756395451</v>
      </c>
      <c r="AY257">
        <v>5.8306558098582535</v>
      </c>
      <c r="AZ257">
        <v>-4.5059731572400796</v>
      </c>
    </row>
    <row r="258" spans="42:52">
      <c r="AP258">
        <v>-5.6712818196177102</v>
      </c>
      <c r="AQ258">
        <v>-0.17364817766693033</v>
      </c>
      <c r="AR258">
        <v>-0.98480775301220802</v>
      </c>
      <c r="AT258">
        <v>52</v>
      </c>
      <c r="AV258">
        <v>-5.9757643644330463</v>
      </c>
      <c r="AW258">
        <v>-0.16504760586067815</v>
      </c>
      <c r="AX258">
        <v>-0.98628560153723133</v>
      </c>
      <c r="AY258">
        <v>6.4714890872452084</v>
      </c>
      <c r="AZ258">
        <v>-4.6246130035990181</v>
      </c>
    </row>
    <row r="259" spans="42:52">
      <c r="AP259">
        <v>-6.3137515146750358</v>
      </c>
      <c r="AQ259">
        <v>-0.15643446504023104</v>
      </c>
      <c r="AR259">
        <v>-0.98768834059513766</v>
      </c>
      <c r="AT259">
        <v>51</v>
      </c>
      <c r="AV259">
        <v>-6.6911562383174168</v>
      </c>
      <c r="AW259">
        <v>-0.14780941112961046</v>
      </c>
      <c r="AX259">
        <v>-0.98901586336191682</v>
      </c>
      <c r="AY259">
        <v>7.2140792339708426</v>
      </c>
      <c r="AZ259">
        <v>-4.7487110157989125</v>
      </c>
    </row>
    <row r="260" spans="42:52">
      <c r="AP260">
        <v>-7.1153697223842354</v>
      </c>
      <c r="AQ260">
        <v>-0.13917310096006494</v>
      </c>
      <c r="AR260">
        <v>-0.99026806874157036</v>
      </c>
      <c r="AT260">
        <v>50</v>
      </c>
      <c r="AV260">
        <v>-7.5957541127251487</v>
      </c>
      <c r="AW260">
        <v>-0.13052619222005163</v>
      </c>
      <c r="AX260">
        <v>-0.99144486137381038</v>
      </c>
      <c r="AY260">
        <v>8.0894609286182106</v>
      </c>
      <c r="AZ260">
        <v>-4.8793145658828818</v>
      </c>
    </row>
    <row r="261" spans="42:52">
      <c r="AP261">
        <v>-8.1443464279746145</v>
      </c>
      <c r="AQ261">
        <v>-0.12186934340514717</v>
      </c>
      <c r="AR261">
        <v>-0.99254615164132209</v>
      </c>
      <c r="AT261">
        <v>49</v>
      </c>
      <c r="AV261">
        <v>-8.7768873568699384</v>
      </c>
      <c r="AW261">
        <v>-0.11320321376790694</v>
      </c>
      <c r="AX261">
        <v>-0.99357185567658746</v>
      </c>
      <c r="AY261">
        <v>9.1437011151466656</v>
      </c>
      <c r="AZ261">
        <v>-5.0178027472289903</v>
      </c>
    </row>
    <row r="262" spans="42:52">
      <c r="AP262">
        <v>-9.514364454222596</v>
      </c>
      <c r="AQ262">
        <v>-0.10452846326765336</v>
      </c>
      <c r="AR262">
        <v>-0.9945218953682734</v>
      </c>
      <c r="AT262">
        <v>48</v>
      </c>
      <c r="AV262">
        <v>-10.385397080138112</v>
      </c>
      <c r="AW262">
        <v>-9.5845752520224411E-2</v>
      </c>
      <c r="AX262">
        <v>-0.99539619836717874</v>
      </c>
      <c r="AY262">
        <v>10.448772522304342</v>
      </c>
      <c r="AZ262">
        <v>-5.1660601077184554</v>
      </c>
    </row>
    <row r="263" spans="42:52">
      <c r="AP263">
        <v>-11.430052302761332</v>
      </c>
      <c r="AQ263">
        <v>-8.7155742747658249E-2</v>
      </c>
      <c r="AR263">
        <v>-0.99619469809174555</v>
      </c>
      <c r="AT263">
        <v>46</v>
      </c>
      <c r="AV263">
        <v>-12.706204736174604</v>
      </c>
      <c r="AW263">
        <v>-7.8459095727845568E-2</v>
      </c>
      <c r="AX263">
        <v>-0.99691733373312796</v>
      </c>
      <c r="AY263">
        <v>12.124896697455981</v>
      </c>
      <c r="AZ263">
        <v>-5.3267883478682165</v>
      </c>
    </row>
    <row r="264" spans="42:52">
      <c r="AP264">
        <v>-14.300666256711871</v>
      </c>
      <c r="AQ264">
        <v>-6.975647374412558E-2</v>
      </c>
      <c r="AR264">
        <v>-0.9975640502598242</v>
      </c>
      <c r="AT264">
        <v>44</v>
      </c>
      <c r="AV264">
        <v>-16.349855476099453</v>
      </c>
      <c r="AW264">
        <v>-6.1048539534857692E-2</v>
      </c>
      <c r="AX264">
        <v>-0.99813479842186692</v>
      </c>
      <c r="AY264">
        <v>14.392085457355012</v>
      </c>
      <c r="AZ264">
        <v>-5.5041196631440261</v>
      </c>
    </row>
    <row r="265" spans="42:52">
      <c r="AP265">
        <v>-19.081136687728037</v>
      </c>
      <c r="AQ265">
        <v>-5.2335956242944306E-2</v>
      </c>
      <c r="AR265">
        <v>-0.99862953475457383</v>
      </c>
      <c r="AT265">
        <v>42</v>
      </c>
      <c r="AV265">
        <v>-22.903765548431128</v>
      </c>
      <c r="AW265">
        <v>-4.3619387365336132E-2</v>
      </c>
      <c r="AX265">
        <v>-0.9990482215818578</v>
      </c>
      <c r="AY265">
        <v>17.710248359886979</v>
      </c>
      <c r="AZ265">
        <v>-5.7049907579259003</v>
      </c>
    </row>
    <row r="266" spans="42:52">
      <c r="AP266">
        <v>-28.63625328291505</v>
      </c>
      <c r="AQ266">
        <v>-3.4899496702501649E-2</v>
      </c>
      <c r="AR266">
        <v>-0.99939082701909565</v>
      </c>
      <c r="AT266">
        <v>38</v>
      </c>
      <c r="AV266">
        <v>-38.188459297025126</v>
      </c>
      <c r="AW266">
        <v>-2.6176948307873482E-2</v>
      </c>
      <c r="AX266">
        <v>-0.99965732497555726</v>
      </c>
      <c r="AY266">
        <v>19</v>
      </c>
      <c r="AZ266">
        <v>-5.9428980069378596</v>
      </c>
    </row>
    <row r="267" spans="42:52">
      <c r="AP267">
        <v>-57.289961630759471</v>
      </c>
      <c r="AQ267">
        <v>-1.7452406437283498E-2</v>
      </c>
      <c r="AR267">
        <v>-0.99984769515639127</v>
      </c>
      <c r="AT267">
        <v>32</v>
      </c>
      <c r="AV267">
        <v>-63.656741162871199</v>
      </c>
      <c r="AW267">
        <v>-1.5707317311820769E-2</v>
      </c>
      <c r="AX267">
        <v>-0.99987663248166059</v>
      </c>
      <c r="AY267">
        <v>20</v>
      </c>
      <c r="AZ267">
        <v>-6.2526298924207886</v>
      </c>
    </row>
    <row r="268" spans="42:52">
      <c r="AP268">
        <v>57.289961630760679</v>
      </c>
      <c r="AQ268">
        <v>1.745240643728313E-2</v>
      </c>
      <c r="AR268">
        <v>-0.99984769515639127</v>
      </c>
      <c r="AV268">
        <v>38.188459297025666</v>
      </c>
      <c r="AW268">
        <v>2.6176948307873114E-2</v>
      </c>
      <c r="AX268">
        <v>-0.99965732497555726</v>
      </c>
      <c r="AY268">
        <v>20</v>
      </c>
      <c r="AZ268">
        <v>-6.2526298924207966</v>
      </c>
    </row>
    <row r="269" spans="42:52">
      <c r="AP269">
        <v>28.636253282915352</v>
      </c>
      <c r="AQ269">
        <v>3.4899496702501281E-2</v>
      </c>
      <c r="AR269">
        <v>-0.99939082701909576</v>
      </c>
      <c r="AV269">
        <v>22.90376554843132</v>
      </c>
      <c r="AW269">
        <v>4.3619387365335764E-2</v>
      </c>
      <c r="AX269">
        <v>-0.9990482215818578</v>
      </c>
      <c r="AY269">
        <v>19</v>
      </c>
      <c r="AZ269">
        <v>-5.942898006937865</v>
      </c>
    </row>
    <row r="270" spans="42:52">
      <c r="AP270">
        <v>19.081136687728172</v>
      </c>
      <c r="AQ270">
        <v>5.2335956242943946E-2</v>
      </c>
      <c r="AR270">
        <v>-0.99862953475457383</v>
      </c>
      <c r="AV270">
        <v>16.349855476099787</v>
      </c>
      <c r="AW270">
        <v>6.1048539534856443E-2</v>
      </c>
      <c r="AX270">
        <v>-0.99813479842186703</v>
      </c>
      <c r="AY270">
        <v>17.710248359887068</v>
      </c>
      <c r="AZ270">
        <v>-5.7049907579259047</v>
      </c>
    </row>
    <row r="271" spans="42:52">
      <c r="AP271">
        <v>14.300666256711946</v>
      </c>
      <c r="AQ271">
        <v>6.9756473744125219E-2</v>
      </c>
      <c r="AR271">
        <v>-0.99756405025982431</v>
      </c>
      <c r="AV271">
        <v>12.706204736174808</v>
      </c>
      <c r="AW271">
        <v>7.8459095727844319E-2</v>
      </c>
      <c r="AX271">
        <v>-0.99691733373312807</v>
      </c>
      <c r="AY271">
        <v>14.392085457355069</v>
      </c>
      <c r="AZ271">
        <v>-5.5041196631440297</v>
      </c>
    </row>
    <row r="272" spans="42:52">
      <c r="AP272">
        <v>11.43005230276138</v>
      </c>
      <c r="AQ272">
        <v>8.7155742747657888E-2</v>
      </c>
      <c r="AR272">
        <v>-0.99619469809174555</v>
      </c>
      <c r="AV272">
        <v>10.385397080138249</v>
      </c>
      <c r="AW272">
        <v>9.5845752520223162E-2</v>
      </c>
      <c r="AX272">
        <v>-0.99539619836717885</v>
      </c>
      <c r="AY272">
        <v>12.12489669745602</v>
      </c>
      <c r="AZ272">
        <v>-5.3267883478682201</v>
      </c>
    </row>
    <row r="273" spans="42:52">
      <c r="AP273">
        <v>9.5143644542226298</v>
      </c>
      <c r="AQ273">
        <v>0.10452846326765299</v>
      </c>
      <c r="AR273">
        <v>-0.9945218953682734</v>
      </c>
      <c r="AV273">
        <v>8.7768873568699668</v>
      </c>
      <c r="AW273">
        <v>0.11320321376790658</v>
      </c>
      <c r="AX273">
        <v>-0.99357185567658757</v>
      </c>
      <c r="AY273">
        <v>10.448772522304374</v>
      </c>
      <c r="AZ273">
        <v>-5.1660601077184589</v>
      </c>
    </row>
    <row r="274" spans="42:52">
      <c r="AP274">
        <v>8.1443464279745807</v>
      </c>
      <c r="AQ274">
        <v>0.12186934340514768</v>
      </c>
      <c r="AR274">
        <v>-0.99254615164132198</v>
      </c>
      <c r="AV274">
        <v>7.5957541127251185</v>
      </c>
      <c r="AW274">
        <v>0.13052619222005213</v>
      </c>
      <c r="AX274">
        <v>-0.99144486137381038</v>
      </c>
      <c r="AY274">
        <v>9.1437011151466301</v>
      </c>
      <c r="AZ274">
        <v>-5.0178027472289859</v>
      </c>
    </row>
    <row r="275" spans="42:52">
      <c r="AP275">
        <v>7.1153697223842087</v>
      </c>
      <c r="AQ275">
        <v>0.13917310096006547</v>
      </c>
      <c r="AR275">
        <v>-0.99026806874157036</v>
      </c>
      <c r="AV275">
        <v>6.6911562383173937</v>
      </c>
      <c r="AW275">
        <v>0.14780941112961096</v>
      </c>
      <c r="AX275">
        <v>-0.98901586336191682</v>
      </c>
      <c r="AY275">
        <v>8.0894609286181822</v>
      </c>
      <c r="AZ275">
        <v>-4.8793145658828774</v>
      </c>
    </row>
    <row r="276" spans="42:52">
      <c r="AP276">
        <v>6.3137515146750509</v>
      </c>
      <c r="AQ276">
        <v>0.15643446504023067</v>
      </c>
      <c r="AR276">
        <v>-0.98768834059513777</v>
      </c>
      <c r="AV276">
        <v>5.9757643644330596</v>
      </c>
      <c r="AW276">
        <v>0.16504760586067779</v>
      </c>
      <c r="AX276">
        <v>-0.98628560153723133</v>
      </c>
      <c r="AY276">
        <v>7.2140792339708604</v>
      </c>
      <c r="AZ276">
        <v>-4.7487110157989143</v>
      </c>
    </row>
    <row r="277" spans="42:52">
      <c r="AP277">
        <v>5.6712818196177226</v>
      </c>
      <c r="AQ277">
        <v>0.17364817766692997</v>
      </c>
      <c r="AR277">
        <v>-0.98480775301220813</v>
      </c>
      <c r="AV277">
        <v>5.3955171743191386</v>
      </c>
      <c r="AW277">
        <v>0.18223552549214742</v>
      </c>
      <c r="AX277">
        <v>-0.98325490756395462</v>
      </c>
      <c r="AY277">
        <v>6.4714890872452226</v>
      </c>
      <c r="AZ277">
        <v>-4.6246130035990207</v>
      </c>
    </row>
    <row r="278" spans="42:52">
      <c r="AP278">
        <v>5.1445540159703258</v>
      </c>
      <c r="AQ278">
        <v>0.19080899537654425</v>
      </c>
      <c r="AR278">
        <v>-0.98162718344766409</v>
      </c>
      <c r="AV278">
        <v>4.9151570310712112</v>
      </c>
      <c r="AW278">
        <v>0.19936793441719694</v>
      </c>
      <c r="AX278">
        <v>-0.9799247046208297</v>
      </c>
      <c r="AY278">
        <v>5.8306558098582943</v>
      </c>
      <c r="AZ278">
        <v>-4.5059731572400885</v>
      </c>
    </row>
    <row r="279" spans="42:52">
      <c r="AP279">
        <v>4.7046301094784724</v>
      </c>
      <c r="AQ279">
        <v>0.20791169081775857</v>
      </c>
      <c r="AR279">
        <v>-0.9781476007338058</v>
      </c>
      <c r="AV279">
        <v>4.5107085036620669</v>
      </c>
      <c r="AW279">
        <v>0.21643961393810246</v>
      </c>
      <c r="AX279">
        <v>-0.97629600711993347</v>
      </c>
      <c r="AY279">
        <v>5.2698069872068931</v>
      </c>
      <c r="AZ279">
        <v>-4.3919720144444998</v>
      </c>
    </row>
    <row r="280" spans="42:52">
      <c r="AP280">
        <v>4.3314758742841573</v>
      </c>
      <c r="AQ280">
        <v>0.22495105434386492</v>
      </c>
      <c r="AR280">
        <v>-0.97437006478523525</v>
      </c>
      <c r="AV280">
        <v>4.1652997700904288</v>
      </c>
      <c r="AW280">
        <v>0.23344536385590478</v>
      </c>
      <c r="AX280">
        <v>-0.97236992039767678</v>
      </c>
      <c r="AY280">
        <v>4.7731570947258248</v>
      </c>
      <c r="AZ280">
        <v>-4.2819525177035604</v>
      </c>
    </row>
    <row r="281" spans="42:52">
      <c r="AP281">
        <v>4.01078093353585</v>
      </c>
      <c r="AQ281">
        <v>0.24192189559966745</v>
      </c>
      <c r="AR281">
        <v>-0.97029572627599658</v>
      </c>
      <c r="AV281">
        <v>3.8667130948987372</v>
      </c>
      <c r="AW281">
        <v>0.25038000405444144</v>
      </c>
      <c r="AX281">
        <v>-0.96814764037810774</v>
      </c>
      <c r="AY281">
        <v>4.3289447819797946</v>
      </c>
      <c r="AZ281">
        <v>-4.1753768231883086</v>
      </c>
    </row>
    <row r="282" spans="42:52">
      <c r="AP282">
        <v>3.7320508075688714</v>
      </c>
      <c r="AQ282">
        <v>0.25881904510252113</v>
      </c>
      <c r="AR282">
        <v>-0.9659258262890682</v>
      </c>
      <c r="AV282">
        <v>3.6058835087608765</v>
      </c>
      <c r="AW282">
        <v>0.26723837607825673</v>
      </c>
      <c r="AX282">
        <v>-0.96363045320862306</v>
      </c>
      <c r="AY282">
        <v>3.9282032302754999</v>
      </c>
      <c r="AZ282">
        <v>-4.0717967697244886</v>
      </c>
    </row>
    <row r="283" spans="42:52">
      <c r="AP283">
        <v>3.487414443840906</v>
      </c>
      <c r="AQ283">
        <v>0.27563735581699939</v>
      </c>
      <c r="AR283">
        <v>-0.96126169593831878</v>
      </c>
      <c r="AV283">
        <v>3.3759434225912504</v>
      </c>
      <c r="AW283">
        <v>0.28401534470392231</v>
      </c>
      <c r="AX283">
        <v>-0.95881973486819316</v>
      </c>
      <c r="AY283">
        <v>3.5639605358458724</v>
      </c>
      <c r="AZ283">
        <v>-3.97083306100805</v>
      </c>
    </row>
    <row r="284" spans="42:52">
      <c r="AP284">
        <v>3.2708526184841409</v>
      </c>
      <c r="AQ284">
        <v>0.29237170472273671</v>
      </c>
      <c r="AR284">
        <v>-0.95630475596303544</v>
      </c>
      <c r="AV284">
        <v>3.1715948023632183</v>
      </c>
      <c r="AW284">
        <v>0.30070579950427262</v>
      </c>
      <c r="AX284">
        <v>-0.95371695074822704</v>
      </c>
      <c r="AY284">
        <v>3.2307029959574383</v>
      </c>
      <c r="AZ284">
        <v>-3.8721602012447742</v>
      </c>
    </row>
    <row r="285" spans="42:52">
      <c r="AP285">
        <v>3.0776835371752553</v>
      </c>
      <c r="AQ285">
        <v>0.30901699437494723</v>
      </c>
      <c r="AR285">
        <v>-0.95105651629515364</v>
      </c>
      <c r="AV285">
        <v>2.9886849627428917</v>
      </c>
      <c r="AW285">
        <v>0.31730465640509226</v>
      </c>
      <c r="AX285">
        <v>-0.94832365520619932</v>
      </c>
      <c r="AY285">
        <v>2.9240048966940844</v>
      </c>
      <c r="AZ285">
        <v>-3.7754953435522851</v>
      </c>
    </row>
    <row r="286" spans="42:52">
      <c r="AP286">
        <v>2.9042108776758266</v>
      </c>
      <c r="AQ286">
        <v>0.32556815445715631</v>
      </c>
      <c r="AR286">
        <v>-0.94551857559931696</v>
      </c>
      <c r="AV286">
        <v>2.8239128856008011</v>
      </c>
      <c r="AW286">
        <v>0.3338068592337709</v>
      </c>
      <c r="AX286">
        <v>-0.94264149109217843</v>
      </c>
      <c r="AY286">
        <v>2.6402670131914103</v>
      </c>
      <c r="AZ286">
        <v>-3.6805898678727162</v>
      </c>
    </row>
    <row r="287" spans="42:52">
      <c r="AP287">
        <v>2.7474774194546274</v>
      </c>
      <c r="AQ287">
        <v>0.34202014332566816</v>
      </c>
      <c r="AR287">
        <v>-0.93969262078590854</v>
      </c>
      <c r="AV287">
        <v>2.6746214939268258</v>
      </c>
      <c r="AW287">
        <v>0.35020738125946721</v>
      </c>
      <c r="AX287">
        <v>-0.93667218924839768</v>
      </c>
      <c r="AY287">
        <v>2.3765280046799884</v>
      </c>
      <c r="AZ287">
        <v>-3.5872229055330243</v>
      </c>
    </row>
    <row r="288" spans="42:52">
      <c r="AP288">
        <v>2.6050890646938076</v>
      </c>
      <c r="AQ288">
        <v>0.35836794954529955</v>
      </c>
      <c r="AR288">
        <v>-0.93358042649720208</v>
      </c>
      <c r="AV288">
        <v>2.5386478956643108</v>
      </c>
      <c r="AW288">
        <v>0.36650122672429686</v>
      </c>
      <c r="AX288">
        <v>-0.93041756798202468</v>
      </c>
      <c r="AY288">
        <v>2.1303258468798276</v>
      </c>
      <c r="AZ288">
        <v>-3.4951962792285678</v>
      </c>
    </row>
    <row r="289" spans="42:52">
      <c r="AP289">
        <v>2.4750868534162964</v>
      </c>
      <c r="AQ289">
        <v>0.37460659341591196</v>
      </c>
      <c r="AR289">
        <v>-0.92718385456678742</v>
      </c>
      <c r="AV289">
        <v>2.4142135623730936</v>
      </c>
      <c r="AW289">
        <v>0.38268343236509</v>
      </c>
      <c r="AX289">
        <v>-0.92387953251128663</v>
      </c>
      <c r="AY289">
        <v>1.899594333975088</v>
      </c>
      <c r="AZ289">
        <v>-3.4043304897800999</v>
      </c>
    </row>
    <row r="290" spans="42:52">
      <c r="AP290">
        <v>2.3558523658237549</v>
      </c>
      <c r="AQ290">
        <v>0.39073112848927349</v>
      </c>
      <c r="AR290">
        <v>-0.92050485345244049</v>
      </c>
      <c r="AV290">
        <v>2.2998425472362567</v>
      </c>
      <c r="AW290">
        <v>0.39874906892524625</v>
      </c>
      <c r="AX290">
        <v>-0.91706007438512405</v>
      </c>
      <c r="AY290">
        <v>1.6825846213187088</v>
      </c>
      <c r="AZ290">
        <v>-3.3144614886414034</v>
      </c>
    </row>
    <row r="291" spans="42:52">
      <c r="AP291">
        <v>2.2460367739042137</v>
      </c>
      <c r="AQ291">
        <v>0.40673664307580054</v>
      </c>
      <c r="AR291">
        <v>-0.91354545764260076</v>
      </c>
      <c r="AV291">
        <v>2.1942997311650387</v>
      </c>
      <c r="AW291">
        <v>0.41469324265623891</v>
      </c>
      <c r="AX291">
        <v>-0.90996127087654322</v>
      </c>
      <c r="AY291">
        <v>1.4778049496868491</v>
      </c>
      <c r="AZ291">
        <v>-3.2254380479487197</v>
      </c>
    </row>
    <row r="292" spans="42:52">
      <c r="AP292">
        <v>2.1445069205095577</v>
      </c>
      <c r="AQ292">
        <v>0.42261826174069961</v>
      </c>
      <c r="AR292">
        <v>-0.90630778703664994</v>
      </c>
      <c r="AV292">
        <v>2.0965435990881764</v>
      </c>
      <c r="AW292">
        <v>0.4305110968082948</v>
      </c>
      <c r="AX292">
        <v>-0.90258528434986074</v>
      </c>
      <c r="AY292">
        <v>1.2839737720677178</v>
      </c>
      <c r="AZ292">
        <v>-3.1371195901296707</v>
      </c>
    </row>
    <row r="293" spans="42:52">
      <c r="AP293">
        <v>2.0503038415792965</v>
      </c>
      <c r="AQ293">
        <v>0.4383711467890774</v>
      </c>
      <c r="AR293">
        <v>-0.89879404629916704</v>
      </c>
      <c r="AV293">
        <v>2.0056897082590224</v>
      </c>
      <c r="AW293">
        <v>0.44619781310980833</v>
      </c>
      <c r="AX293">
        <v>-0.89493436160202533</v>
      </c>
      <c r="AY293">
        <v>1.0999828969287027</v>
      </c>
      <c r="AZ293">
        <v>-3.0493743743417596</v>
      </c>
    </row>
    <row r="294" spans="42:52">
      <c r="AP294">
        <v>1.9626105055051515</v>
      </c>
      <c r="AQ294">
        <v>0.45399049973954664</v>
      </c>
      <c r="AR294">
        <v>-0.8910065241883679</v>
      </c>
      <c r="AV294">
        <v>1.9209821269711693</v>
      </c>
      <c r="AW294">
        <v>0.46174861323503325</v>
      </c>
      <c r="AX294">
        <v>-0.88701083317822205</v>
      </c>
      <c r="AY294">
        <v>0.92486821191146706</v>
      </c>
      <c r="AZ294">
        <v>-2.9620779621417013</v>
      </c>
    </row>
    <row r="295" spans="42:52">
      <c r="AP295">
        <v>1.8807264653463338</v>
      </c>
      <c r="AQ295">
        <v>0.46947156278589042</v>
      </c>
      <c r="AR295">
        <v>-0.8829475928589271</v>
      </c>
      <c r="AV295">
        <v>1.8417708860334623</v>
      </c>
      <c r="AW295">
        <v>0.47715876025960757</v>
      </c>
      <c r="AX295">
        <v>-0.87881711266196583</v>
      </c>
      <c r="AY295">
        <v>0.75778621071003016</v>
      </c>
      <c r="AZ295">
        <v>-2.875111902952117</v>
      </c>
    </row>
    <row r="296" spans="42:52">
      <c r="AP296">
        <v>1.8040477552714265</v>
      </c>
      <c r="AQ296">
        <v>0.4848096202463365</v>
      </c>
      <c r="AR296">
        <v>-0.87461970713939607</v>
      </c>
      <c r="AV296">
        <v>1.767494016242892</v>
      </c>
      <c r="AW296">
        <v>0.49242356010346688</v>
      </c>
      <c r="AX296">
        <v>-0.87035569593989981</v>
      </c>
      <c r="AY296">
        <v>0.59799500978288656</v>
      </c>
      <c r="AZ296">
        <v>-2.7883625931843827</v>
      </c>
    </row>
    <row r="297" spans="42:52">
      <c r="AP297">
        <v>1.732050807568877</v>
      </c>
      <c r="AQ297">
        <v>0.50000000000000011</v>
      </c>
      <c r="AR297">
        <v>-0.8660254037844386</v>
      </c>
      <c r="AV297">
        <v>1.6976631193260872</v>
      </c>
      <c r="AW297">
        <v>0.50753836296070454</v>
      </c>
      <c r="AX297">
        <v>-0.86162916044152549</v>
      </c>
      <c r="AY297">
        <v>0.44483887281679646</v>
      </c>
      <c r="AZ297">
        <v>-2.701720272705832</v>
      </c>
    </row>
    <row r="298" spans="42:52">
      <c r="AP298">
        <v>1.6642794823505183</v>
      </c>
      <c r="AQ298">
        <v>0.51503807491005416</v>
      </c>
      <c r="AR298">
        <v>-0.85716730070211233</v>
      </c>
      <c r="AV298">
        <v>1.6318516871287887</v>
      </c>
      <c r="AW298">
        <v>0.52249856471594902</v>
      </c>
      <c r="AX298">
        <v>-0.85264016435409207</v>
      </c>
      <c r="AY298">
        <v>0.29773550049716313</v>
      </c>
      <c r="AZ298">
        <v>-2.6150781296718719</v>
      </c>
    </row>
    <row r="299" spans="42:52">
      <c r="AP299">
        <v>1.6003345290410513</v>
      </c>
      <c r="AQ299">
        <v>0.52991926423320468</v>
      </c>
      <c r="AR299">
        <v>-0.84804809615642618</v>
      </c>
      <c r="AV299">
        <v>1.5696855771174902</v>
      </c>
      <c r="AW299">
        <v>0.53729960834682389</v>
      </c>
      <c r="AX299">
        <v>-0.84339144581288572</v>
      </c>
      <c r="AY299">
        <v>0.15616551858001948</v>
      </c>
      <c r="AZ299">
        <v>-2.5283314902490295</v>
      </c>
    </row>
    <row r="300" spans="42:52">
      <c r="AP300">
        <v>1.5398649638145847</v>
      </c>
      <c r="AQ300">
        <v>0.54463903501502664</v>
      </c>
      <c r="AR300">
        <v>-0.83867056794542427</v>
      </c>
      <c r="AV300">
        <v>1.5108351936149016</v>
      </c>
      <c r="AW300">
        <v>0.55193698531205804</v>
      </c>
      <c r="AX300">
        <v>-0.83388582206716833</v>
      </c>
      <c r="AY300">
        <v>1.9663727135845299E-2</v>
      </c>
      <c r="AZ300">
        <v>-2.4413770739048495</v>
      </c>
    </row>
    <row r="301" spans="42:52">
      <c r="AP301">
        <v>1.4825609685127425</v>
      </c>
      <c r="AQ301">
        <v>0.55919290347074624</v>
      </c>
      <c r="AR301">
        <v>-0.82903757255504207</v>
      </c>
      <c r="AV301">
        <v>1.455009028672446</v>
      </c>
      <c r="AW301">
        <v>0.5664062369248325</v>
      </c>
      <c r="AX301">
        <v>-0.82412618862201581</v>
      </c>
      <c r="AY301">
        <v>-0.1121882290231131</v>
      </c>
      <c r="AZ301">
        <v>-2.3541122980685794</v>
      </c>
    </row>
    <row r="302" spans="42:52">
      <c r="AP302">
        <v>1.4281480067421146</v>
      </c>
      <c r="AQ302">
        <v>0.57357643635104605</v>
      </c>
      <c r="AR302">
        <v>-0.8191520442889918</v>
      </c>
      <c r="AV302">
        <v>1.4019482944763375</v>
      </c>
      <c r="AW302">
        <v>0.58070295571093933</v>
      </c>
      <c r="AX302">
        <v>-0.81411551835631957</v>
      </c>
      <c r="AY302">
        <v>-0.23976803535946178</v>
      </c>
      <c r="AZ302">
        <v>-2.2664346183124593</v>
      </c>
    </row>
    <row r="303" spans="42:52">
      <c r="AP303">
        <v>1.3763819204711742</v>
      </c>
      <c r="AQ303">
        <v>0.58778525229247292</v>
      </c>
      <c r="AR303">
        <v>-0.80901699437494756</v>
      </c>
      <c r="AV303">
        <v>1.3514224379458104</v>
      </c>
      <c r="AW303">
        <v>0.5948227867513407</v>
      </c>
      <c r="AX303">
        <v>-0.80385686061721773</v>
      </c>
      <c r="AY303">
        <v>-0.36341793879729245</v>
      </c>
      <c r="AZ303">
        <v>-2.178240891938759</v>
      </c>
    </row>
    <row r="304" spans="42:52">
      <c r="AP304">
        <v>1.3270448216204112</v>
      </c>
      <c r="AQ304">
        <v>0.60181502315204793</v>
      </c>
      <c r="AR304">
        <v>-0.79863551004729305</v>
      </c>
      <c r="AV304">
        <v>1.303225372841206</v>
      </c>
      <c r="AW304">
        <v>0.60876142900872054</v>
      </c>
      <c r="AX304">
        <v>-0.79335334029123517</v>
      </c>
      <c r="AY304">
        <v>-0.48344920284870696</v>
      </c>
      <c r="AZ304">
        <v>-2.0894267541060554</v>
      </c>
    </row>
    <row r="305" spans="42:52">
      <c r="AP305">
        <v>1.2799416321930781</v>
      </c>
      <c r="AQ305">
        <v>0.61566147532565851</v>
      </c>
      <c r="AR305">
        <v>-0.78801075360672179</v>
      </c>
      <c r="AV305">
        <v>1.2571722989189553</v>
      </c>
      <c r="AW305">
        <v>0.6225146366376193</v>
      </c>
      <c r="AX305">
        <v>-0.78260815685241403</v>
      </c>
      <c r="AY305">
        <v>-0.60014592118082</v>
      </c>
      <c r="AZ305">
        <v>-1.9998859964781834</v>
      </c>
    </row>
    <row r="306" spans="42:52">
      <c r="AP306">
        <v>1.2348971565350513</v>
      </c>
      <c r="AQ306">
        <v>0.6293203910498375</v>
      </c>
      <c r="AR306">
        <v>-0.77714596145697079</v>
      </c>
      <c r="AV306">
        <v>1.2130970040929316</v>
      </c>
      <c r="AW306">
        <v>0.63607822027776428</v>
      </c>
      <c r="AX306">
        <v>-0.77162458338771966</v>
      </c>
      <c r="AY306">
        <v>-0.71376829816768161</v>
      </c>
      <c r="AZ306">
        <v>-1.9095099388919117</v>
      </c>
    </row>
    <row r="307" spans="42:52">
      <c r="AP307">
        <v>1.1917535925942102</v>
      </c>
      <c r="AQ307">
        <v>0.64278760968653925</v>
      </c>
      <c r="AR307">
        <v>-0.76604444311897812</v>
      </c>
      <c r="AV307">
        <v>1.1708495661125387</v>
      </c>
      <c r="AW307">
        <v>0.64944804833018388</v>
      </c>
      <c r="AX307">
        <v>-0.76040596560003082</v>
      </c>
      <c r="AY307">
        <v>-0.82455548458131389</v>
      </c>
      <c r="AZ307">
        <v>-1.818186784756425</v>
      </c>
    </row>
    <row r="308" spans="42:52">
      <c r="AP308">
        <v>1.1503684072210103</v>
      </c>
      <c r="AQ308">
        <v>0.65605902899050705</v>
      </c>
      <c r="AR308">
        <v>-0.75470958022277224</v>
      </c>
      <c r="AV308">
        <v>1.1302943863617529</v>
      </c>
      <c r="AW308">
        <v>0.6626200482157375</v>
      </c>
      <c r="AX308">
        <v>-0.74895572078900208</v>
      </c>
      <c r="AY308">
        <v>-0.93272804045571611</v>
      </c>
      <c r="AZ308">
        <v>-1.7258009508438876</v>
      </c>
    </row>
    <row r="309" spans="42:52">
      <c r="AP309">
        <v>1.1106125148291941</v>
      </c>
      <c r="AQ309">
        <v>0.66913060635885779</v>
      </c>
      <c r="AR309">
        <v>-0.74314482547739458</v>
      </c>
      <c r="AV309">
        <v>1.0913085010692718</v>
      </c>
      <c r="AW309">
        <v>0.67559020761566013</v>
      </c>
      <c r="AX309">
        <v>-0.7372773368101242</v>
      </c>
      <c r="AY309">
        <v>-1.0384900843381795</v>
      </c>
      <c r="AZ309">
        <v>-1.6322323618164276</v>
      </c>
    </row>
    <row r="310" spans="42:52">
      <c r="AP310">
        <v>1.0723687100246841</v>
      </c>
      <c r="AQ310">
        <v>0.68199836006249803</v>
      </c>
      <c r="AR310">
        <v>-0.73135370161917101</v>
      </c>
      <c r="AV310">
        <v>1.0537801252809629</v>
      </c>
      <c r="AW310">
        <v>0.68835457569375369</v>
      </c>
      <c r="AX310">
        <v>-0.72537437101228786</v>
      </c>
      <c r="AY310">
        <v>-1.1420311778919574</v>
      </c>
      <c r="AZ310">
        <v>-1.53735569926019</v>
      </c>
    </row>
    <row r="311" spans="42:52">
      <c r="AP311">
        <v>1.0355303137905714</v>
      </c>
      <c r="AQ311">
        <v>0.69465837045899659</v>
      </c>
      <c r="AR311">
        <v>-0.71933980033865175</v>
      </c>
      <c r="AV311">
        <v>1.0176073929721263</v>
      </c>
      <c r="AW311">
        <v>0.70090926429985045</v>
      </c>
      <c r="AX311">
        <v>-0.71325044915418201</v>
      </c>
      <c r="AY311">
        <v>-1.2435279865790818</v>
      </c>
      <c r="AZ311">
        <v>-1.4410395941483527</v>
      </c>
    </row>
    <row r="312" spans="42:52">
      <c r="AP312">
        <v>1.0000100000000001</v>
      </c>
      <c r="AQ312">
        <v>0.70710678118654735</v>
      </c>
      <c r="AR312">
        <v>-0.70710678118654768</v>
      </c>
      <c r="AV312">
        <v>0.98269726311568983</v>
      </c>
      <c r="AW312">
        <v>0.71325044915418168</v>
      </c>
      <c r="AX312">
        <v>-0.70090926429985079</v>
      </c>
      <c r="AY312">
        <v>-1.3431174663070822</v>
      </c>
      <c r="AZ312">
        <v>-1.3431740345667373</v>
      </c>
    </row>
    <row r="313" spans="42:52">
      <c r="AP313">
        <v>0.96568877480707482</v>
      </c>
      <c r="AQ313">
        <v>0.71933980033865086</v>
      </c>
      <c r="AR313">
        <v>-0.69465837045899759</v>
      </c>
      <c r="AV313">
        <v>0.94896456671487994</v>
      </c>
      <c r="AW313">
        <v>0.72537437101228763</v>
      </c>
      <c r="AX313">
        <v>-0.68835457569375402</v>
      </c>
      <c r="AY313">
        <v>-1.4410395941483456</v>
      </c>
      <c r="AZ313">
        <v>-1.2435279865790889</v>
      </c>
    </row>
    <row r="314" spans="42:52">
      <c r="AP314">
        <v>0.93251508613766121</v>
      </c>
      <c r="AQ314">
        <v>0.73135370161917068</v>
      </c>
      <c r="AR314">
        <v>-0.68199836006249825</v>
      </c>
      <c r="AV314">
        <v>0.91633117401742392</v>
      </c>
      <c r="AW314">
        <v>0.73727733681012386</v>
      </c>
      <c r="AX314">
        <v>-0.67559020761566047</v>
      </c>
      <c r="AY314">
        <v>-1.5373556992601873</v>
      </c>
      <c r="AZ314">
        <v>-1.1420311778919601</v>
      </c>
    </row>
    <row r="315" spans="42:52">
      <c r="AP315">
        <v>0.90040404429783982</v>
      </c>
      <c r="AQ315">
        <v>0.74314482547739424</v>
      </c>
      <c r="AR315">
        <v>-0.66913060635885813</v>
      </c>
      <c r="AV315">
        <v>0.88472526455594458</v>
      </c>
      <c r="AW315">
        <v>0.74895572078900186</v>
      </c>
      <c r="AX315">
        <v>-0.66262004821573783</v>
      </c>
      <c r="AY315">
        <v>-1.6322323618164249</v>
      </c>
      <c r="AZ315">
        <v>-1.0384900843381821</v>
      </c>
    </row>
    <row r="316" spans="42:52">
      <c r="AP316">
        <v>0.8692867378162269</v>
      </c>
      <c r="AQ316">
        <v>0.7547095802227719</v>
      </c>
      <c r="AR316">
        <v>-0.65605902899050739</v>
      </c>
      <c r="AV316">
        <v>0.85408068546346783</v>
      </c>
      <c r="AW316">
        <v>0.76040596560003049</v>
      </c>
      <c r="AX316">
        <v>-0.64944804833018421</v>
      </c>
      <c r="AY316">
        <v>-1.7258009508438859</v>
      </c>
      <c r="AZ316">
        <v>-0.93272804045571966</v>
      </c>
    </row>
    <row r="317" spans="42:52">
      <c r="AP317">
        <v>0.83909963117728059</v>
      </c>
      <c r="AQ317">
        <v>0.76604444311897779</v>
      </c>
      <c r="AR317">
        <v>-0.64278760968653958</v>
      </c>
      <c r="AV317">
        <v>0.82433638581749569</v>
      </c>
      <c r="AW317">
        <v>0.77162458338772</v>
      </c>
      <c r="AX317">
        <v>-0.63607822027776395</v>
      </c>
      <c r="AY317">
        <v>-1.8181867847564233</v>
      </c>
      <c r="AZ317">
        <v>-0.82455548458131744</v>
      </c>
    </row>
    <row r="318" spans="42:52">
      <c r="AP318">
        <v>0.80978403319500802</v>
      </c>
      <c r="AQ318">
        <v>0.77714596145697057</v>
      </c>
      <c r="AR318">
        <v>-0.62932039104983784</v>
      </c>
      <c r="AV318">
        <v>0.79543591666782876</v>
      </c>
      <c r="AW318">
        <v>0.78260815685241381</v>
      </c>
      <c r="AX318">
        <v>-0.62251463663761963</v>
      </c>
      <c r="AY318">
        <v>-1.909509938891909</v>
      </c>
      <c r="AZ318">
        <v>-0.71376829816768517</v>
      </c>
    </row>
    <row r="319" spans="42:52">
      <c r="AP319">
        <v>0.78128562650671851</v>
      </c>
      <c r="AQ319">
        <v>0.78801075360672157</v>
      </c>
      <c r="AR319">
        <v>-0.61566147532565885</v>
      </c>
      <c r="AV319">
        <v>0.76732698797896093</v>
      </c>
      <c r="AW319">
        <v>0.79335334029123494</v>
      </c>
      <c r="AX319">
        <v>-0.60876142900872088</v>
      </c>
      <c r="AY319">
        <v>-1.9998859964781808</v>
      </c>
      <c r="AZ319">
        <v>-0.60014592118082266</v>
      </c>
    </row>
    <row r="320" spans="42:52">
      <c r="AP320">
        <v>0.75355405010279419</v>
      </c>
      <c r="AQ320">
        <v>0.79863551004729283</v>
      </c>
      <c r="AR320">
        <v>-0.60181502315204827</v>
      </c>
      <c r="AV320">
        <v>0.73996107502848718</v>
      </c>
      <c r="AW320">
        <v>0.80385686061721751</v>
      </c>
      <c r="AX320">
        <v>-0.59482278675134104</v>
      </c>
      <c r="AY320">
        <v>-2.0894267541060527</v>
      </c>
      <c r="AZ320">
        <v>-0.48344920284870962</v>
      </c>
    </row>
    <row r="321" spans="42:52">
      <c r="AP321">
        <v>0.72654252800536123</v>
      </c>
      <c r="AQ321">
        <v>0.80901699437494734</v>
      </c>
      <c r="AR321">
        <v>-0.58778525229247336</v>
      </c>
      <c r="AV321">
        <v>0.7132930678970052</v>
      </c>
      <c r="AW321">
        <v>0.81411551835631935</v>
      </c>
      <c r="AX321">
        <v>-0.58070295571093966</v>
      </c>
      <c r="AY321">
        <v>-2.1782408919387564</v>
      </c>
      <c r="AZ321">
        <v>-0.363417938797296</v>
      </c>
    </row>
    <row r="322" spans="42:52">
      <c r="AP322">
        <v>0.70020753820971038</v>
      </c>
      <c r="AQ322">
        <v>0.81915204428899158</v>
      </c>
      <c r="AR322">
        <v>-0.57357643635104649</v>
      </c>
      <c r="AV322">
        <v>0.68728095860161331</v>
      </c>
      <c r="AW322">
        <v>0.82412618862201559</v>
      </c>
      <c r="AX322">
        <v>-0.56640623692483294</v>
      </c>
      <c r="AY322">
        <v>-2.2664346183124575</v>
      </c>
      <c r="AZ322">
        <v>-0.23976803535946534</v>
      </c>
    </row>
    <row r="323" spans="42:52">
      <c r="AP323">
        <v>0.67450851684242752</v>
      </c>
      <c r="AQ323">
        <v>0.8290375725550414</v>
      </c>
      <c r="AR323">
        <v>-0.55919290347074735</v>
      </c>
      <c r="AV323">
        <v>0.66188556119569064</v>
      </c>
      <c r="AW323">
        <v>0.83388582206716855</v>
      </c>
      <c r="AX323">
        <v>-0.5519369853120577</v>
      </c>
      <c r="AY323">
        <v>-2.3541122980685723</v>
      </c>
      <c r="AZ323">
        <v>-0.11218822902312287</v>
      </c>
    </row>
    <row r="324" spans="42:52">
      <c r="AP324">
        <v>0.64940759319751051</v>
      </c>
      <c r="AQ324">
        <v>0.83867056794542405</v>
      </c>
      <c r="AR324">
        <v>-0.54463903501502697</v>
      </c>
      <c r="AV324">
        <v>0.63707026080749385</v>
      </c>
      <c r="AW324">
        <v>0.8433914458128855</v>
      </c>
      <c r="AX324">
        <v>-0.53729960834682422</v>
      </c>
      <c r="AY324">
        <v>-2.4413770739048468</v>
      </c>
      <c r="AZ324">
        <v>1.9663727135841746E-2</v>
      </c>
    </row>
    <row r="325" spans="42:52">
      <c r="AP325">
        <v>0.62486935190932891</v>
      </c>
      <c r="AQ325">
        <v>0.8480480961564254</v>
      </c>
      <c r="AR325">
        <v>-0.52991926423320579</v>
      </c>
      <c r="AV325">
        <v>0.61280078813993166</v>
      </c>
      <c r="AW325">
        <v>0.85264016435409229</v>
      </c>
      <c r="AX325">
        <v>-0.52249856471594869</v>
      </c>
      <c r="AY325">
        <v>-2.5283314902490233</v>
      </c>
      <c r="AZ325">
        <v>0.15616551858000971</v>
      </c>
    </row>
    <row r="326" spans="42:52">
      <c r="AP326">
        <v>0.60086061902756083</v>
      </c>
      <c r="AQ326">
        <v>0.85716730070211211</v>
      </c>
      <c r="AR326">
        <v>-0.51503807491005449</v>
      </c>
      <c r="AV326">
        <v>0.58904501642055229</v>
      </c>
      <c r="AW326">
        <v>0.86162916044152527</v>
      </c>
      <c r="AX326">
        <v>-0.50753836296070487</v>
      </c>
      <c r="AY326">
        <v>-2.6150781296718701</v>
      </c>
      <c r="AZ326">
        <v>0.29773550049715958</v>
      </c>
    </row>
    <row r="327" spans="42:52">
      <c r="AP327">
        <v>0.57735026918962651</v>
      </c>
      <c r="AQ327">
        <v>0.86602540378443837</v>
      </c>
      <c r="AR327">
        <v>-0.50000000000000044</v>
      </c>
      <c r="AV327">
        <v>0.56577277818777028</v>
      </c>
      <c r="AW327">
        <v>0.87035569593989959</v>
      </c>
      <c r="AX327">
        <v>-0.49242356010346727</v>
      </c>
      <c r="AY327">
        <v>-2.7017202727058294</v>
      </c>
      <c r="AZ327">
        <v>0.44483887281679202</v>
      </c>
    </row>
    <row r="328" spans="42:52">
      <c r="AP328">
        <v>0.55430905145276865</v>
      </c>
      <c r="AQ328">
        <v>0.87461970713939585</v>
      </c>
      <c r="AR328">
        <v>-0.48480962024633689</v>
      </c>
      <c r="AV328">
        <v>0.54295569963843737</v>
      </c>
      <c r="AW328">
        <v>0.87881711266196516</v>
      </c>
      <c r="AX328">
        <v>-0.47715876025960874</v>
      </c>
      <c r="AY328">
        <v>-2.7883625931843801</v>
      </c>
      <c r="AZ328">
        <v>0.597995009782883</v>
      </c>
    </row>
    <row r="329" spans="42:52">
      <c r="AP329">
        <v>0.53170943166147877</v>
      </c>
      <c r="AQ329">
        <v>0.88294759285892688</v>
      </c>
      <c r="AR329">
        <v>-0.46947156278589081</v>
      </c>
      <c r="AV329">
        <v>0.5205670505517459</v>
      </c>
      <c r="AW329">
        <v>0.88701083317822182</v>
      </c>
      <c r="AX329">
        <v>-0.46174861323503363</v>
      </c>
      <c r="AY329">
        <v>-2.8751119029521153</v>
      </c>
      <c r="AZ329">
        <v>0.75778621071002572</v>
      </c>
    </row>
    <row r="330" spans="42:52">
      <c r="AP330">
        <v>0.50952544949442913</v>
      </c>
      <c r="AQ330">
        <v>0.89100652418836779</v>
      </c>
      <c r="AR330">
        <v>-0.45399049973954697</v>
      </c>
      <c r="AV330">
        <v>0.49858160805343249</v>
      </c>
      <c r="AW330">
        <v>0.89493436160202466</v>
      </c>
      <c r="AX330">
        <v>-0.44619781310980949</v>
      </c>
      <c r="AY330">
        <v>-2.9620779621416995</v>
      </c>
      <c r="AZ330">
        <v>0.92486821191146262</v>
      </c>
    </row>
    <row r="331" spans="42:52">
      <c r="AP331">
        <v>0.48773258856586083</v>
      </c>
      <c r="AQ331">
        <v>0.89879404629916715</v>
      </c>
      <c r="AR331">
        <v>-0.43837114678907702</v>
      </c>
      <c r="AV331">
        <v>0.47697553269816029</v>
      </c>
      <c r="AW331">
        <v>0.90258528434986052</v>
      </c>
      <c r="AX331">
        <v>-0.43051109680829519</v>
      </c>
      <c r="AY331">
        <v>-3.0493743743417618</v>
      </c>
      <c r="AZ331">
        <v>1.0999828969287062</v>
      </c>
    </row>
    <row r="332" spans="42:52">
      <c r="AP332">
        <v>0.46630765815499936</v>
      </c>
      <c r="AQ332">
        <v>0.90630778703664971</v>
      </c>
      <c r="AR332">
        <v>-0.4226182617407</v>
      </c>
      <c r="AV332">
        <v>0.45572625553258611</v>
      </c>
      <c r="AW332">
        <v>0.90996127087654277</v>
      </c>
      <c r="AX332">
        <v>-0.41469324265624008</v>
      </c>
      <c r="AY332">
        <v>-3.1371195901296685</v>
      </c>
      <c r="AZ332">
        <v>1.2839737720677125</v>
      </c>
    </row>
    <row r="333" spans="42:52">
      <c r="AP333">
        <v>0.4452286853085361</v>
      </c>
      <c r="AQ333">
        <v>0.91354545764260098</v>
      </c>
      <c r="AR333">
        <v>-0.40673664307580015</v>
      </c>
      <c r="AV333">
        <v>0.43481237496093417</v>
      </c>
      <c r="AW333">
        <v>0.91706007438512382</v>
      </c>
      <c r="AX333">
        <v>-0.39874906892524664</v>
      </c>
      <c r="AY333">
        <v>-3.2254380479487219</v>
      </c>
      <c r="AZ333">
        <v>1.4778049496868544</v>
      </c>
    </row>
    <row r="334" spans="42:52">
      <c r="AP334">
        <v>0.42447481620960592</v>
      </c>
      <c r="AQ334">
        <v>0.92050485345243993</v>
      </c>
      <c r="AR334">
        <v>-0.39073112848927471</v>
      </c>
      <c r="AV334">
        <v>0.41421356237309481</v>
      </c>
      <c r="AW334">
        <v>0.92387953251128685</v>
      </c>
      <c r="AX334">
        <v>-0.38268343236508956</v>
      </c>
      <c r="AY334">
        <v>-3.3144614886413968</v>
      </c>
      <c r="AZ334">
        <v>1.6825846213186946</v>
      </c>
    </row>
    <row r="335" spans="42:52">
      <c r="AP335">
        <v>0.40402622583515718</v>
      </c>
      <c r="AQ335">
        <v>0.92718385456678731</v>
      </c>
      <c r="AR335">
        <v>-0.37460659341591235</v>
      </c>
      <c r="AV335">
        <v>0.39391047561494236</v>
      </c>
      <c r="AW335">
        <v>0.93041756798202457</v>
      </c>
      <c r="AX335">
        <v>-0.36650122672429725</v>
      </c>
      <c r="AY335">
        <v>-3.4043304897800981</v>
      </c>
      <c r="AZ335">
        <v>1.8995943339750827</v>
      </c>
    </row>
    <row r="336" spans="42:52">
      <c r="AP336">
        <v>0.38386403503541638</v>
      </c>
      <c r="AQ336">
        <v>0.93358042649720152</v>
      </c>
      <c r="AR336">
        <v>-0.35836794954530077</v>
      </c>
      <c r="AV336">
        <v>0.37388467948480492</v>
      </c>
      <c r="AW336">
        <v>0.93667218924839757</v>
      </c>
      <c r="AX336">
        <v>-0.35020738125946765</v>
      </c>
      <c r="AY336">
        <v>-3.4951962792285607</v>
      </c>
      <c r="AZ336">
        <v>2.1303258468798099</v>
      </c>
    </row>
    <row r="337" spans="42:52">
      <c r="AP337">
        <v>0.36397023426620218</v>
      </c>
      <c r="AQ337">
        <v>0.93969262078590843</v>
      </c>
      <c r="AR337">
        <v>-0.3420201433256686</v>
      </c>
      <c r="AV337">
        <v>0.35411857253069845</v>
      </c>
      <c r="AW337">
        <v>0.94264149109217832</v>
      </c>
      <c r="AX337">
        <v>-0.33380685923377129</v>
      </c>
      <c r="AY337">
        <v>-3.587222905533022</v>
      </c>
      <c r="AZ337">
        <v>2.3765280046799813</v>
      </c>
    </row>
    <row r="338" spans="42:52">
      <c r="AP338">
        <v>0.34432761328966627</v>
      </c>
      <c r="AQ338">
        <v>0.94551857559931651</v>
      </c>
      <c r="AR338">
        <v>-0.32556815445715753</v>
      </c>
      <c r="AV338">
        <v>0.33459531950207283</v>
      </c>
      <c r="AW338">
        <v>0.94832365520619943</v>
      </c>
      <c r="AX338">
        <v>-0.31730465640509187</v>
      </c>
      <c r="AY338">
        <v>-3.6805898678727087</v>
      </c>
      <c r="AZ338">
        <v>2.6402670131913908</v>
      </c>
    </row>
    <row r="339" spans="42:52">
      <c r="AP339">
        <v>0.32491969623290656</v>
      </c>
      <c r="AQ339">
        <v>0.95105651629515353</v>
      </c>
      <c r="AR339">
        <v>-0.30901699437494762</v>
      </c>
      <c r="AV339">
        <v>0.31529878887898438</v>
      </c>
      <c r="AW339">
        <v>0.95371695074822671</v>
      </c>
      <c r="AX339">
        <v>-0.30070579950427384</v>
      </c>
      <c r="AY339">
        <v>-3.7754953435522829</v>
      </c>
      <c r="AZ339">
        <v>2.924004896694079</v>
      </c>
    </row>
    <row r="340" spans="42:52">
      <c r="AP340">
        <v>0.30573068145865984</v>
      </c>
      <c r="AQ340">
        <v>0.95630475596303566</v>
      </c>
      <c r="AR340">
        <v>-0.29237170472273627</v>
      </c>
      <c r="AV340">
        <v>0.29621349496208033</v>
      </c>
      <c r="AW340">
        <v>0.95881973486819305</v>
      </c>
      <c r="AX340">
        <v>-0.2840153447039227</v>
      </c>
      <c r="AY340">
        <v>-3.8721602012447769</v>
      </c>
      <c r="AZ340">
        <v>3.2307029959574471</v>
      </c>
    </row>
    <row r="341" spans="42:52">
      <c r="AP341">
        <v>0.28674538575880865</v>
      </c>
      <c r="AQ341">
        <v>0.96126169593831867</v>
      </c>
      <c r="AR341">
        <v>-0.27563735581699977</v>
      </c>
      <c r="AV341">
        <v>0.27732454405983975</v>
      </c>
      <c r="AW341">
        <v>0.96363045320862273</v>
      </c>
      <c r="AX341">
        <v>-0.26723837607825801</v>
      </c>
      <c r="AY341">
        <v>-3.9708330610080473</v>
      </c>
      <c r="AZ341">
        <v>3.5639605358458635</v>
      </c>
    </row>
    <row r="342" spans="42:52">
      <c r="AP342">
        <v>0.26794919243112264</v>
      </c>
      <c r="AQ342">
        <v>0.96592582628906831</v>
      </c>
      <c r="AR342">
        <v>-0.25881904510252068</v>
      </c>
      <c r="AV342">
        <v>0.25861758435589077</v>
      </c>
      <c r="AW342">
        <v>0.96814764037810763</v>
      </c>
      <c r="AX342">
        <v>-0.25038000405444188</v>
      </c>
      <c r="AY342">
        <v>-4.0717967697244912</v>
      </c>
      <c r="AZ342">
        <v>3.9282032302755105</v>
      </c>
    </row>
    <row r="343" spans="42:52">
      <c r="AP343">
        <v>0.24932800284318082</v>
      </c>
      <c r="AQ343">
        <v>0.97029572627599647</v>
      </c>
      <c r="AR343">
        <v>-0.24192189559966787</v>
      </c>
      <c r="AV343">
        <v>0.24007875908011675</v>
      </c>
      <c r="AW343">
        <v>0.97236992039767645</v>
      </c>
      <c r="AX343">
        <v>-0.23344536385590609</v>
      </c>
      <c r="AY343">
        <v>-4.1753768231883059</v>
      </c>
      <c r="AZ343">
        <v>4.3289447819797839</v>
      </c>
    </row>
    <row r="344" spans="42:52">
      <c r="AP344">
        <v>0.23086819112556348</v>
      </c>
      <c r="AQ344">
        <v>0.97437006478523513</v>
      </c>
      <c r="AR344">
        <v>-0.22495105434386534</v>
      </c>
      <c r="AV344">
        <v>0.22169466264293988</v>
      </c>
      <c r="AW344">
        <v>0.97629600711993336</v>
      </c>
      <c r="AX344">
        <v>-0.21643961393810288</v>
      </c>
      <c r="AY344">
        <v>-4.2819525177035569</v>
      </c>
      <c r="AZ344">
        <v>4.7731570947258124</v>
      </c>
    </row>
    <row r="345" spans="42:52">
      <c r="AP345">
        <v>0.21255656167002268</v>
      </c>
      <c r="AQ345">
        <v>0.97814760073380558</v>
      </c>
      <c r="AR345">
        <v>-0.20791169081775987</v>
      </c>
      <c r="AV345">
        <v>0.20345229942369863</v>
      </c>
      <c r="AW345">
        <v>0.9799247046208297</v>
      </c>
      <c r="AX345">
        <v>-0.1993679344171965</v>
      </c>
      <c r="AY345">
        <v>-4.3919720144444909</v>
      </c>
      <c r="AZ345">
        <v>5.269806987206854</v>
      </c>
    </row>
    <row r="346" spans="42:52">
      <c r="AP346">
        <v>0.19438030913771831</v>
      </c>
      <c r="AQ346">
        <v>0.98162718344766398</v>
      </c>
      <c r="AR346">
        <v>-0.19080899537654467</v>
      </c>
      <c r="AV346">
        <v>0.18533904493153477</v>
      </c>
      <c r="AW346">
        <v>0.98325490756395451</v>
      </c>
      <c r="AX346">
        <v>-0.18223552549214783</v>
      </c>
      <c r="AY346">
        <v>-4.5059731572400858</v>
      </c>
      <c r="AZ346">
        <v>5.8306558098582819</v>
      </c>
    </row>
    <row r="347" spans="42:52">
      <c r="AP347">
        <v>0.17632698070846592</v>
      </c>
      <c r="AQ347">
        <v>0.98480775301220791</v>
      </c>
      <c r="AR347">
        <v>-0.17364817766693127</v>
      </c>
      <c r="AV347">
        <v>0.16734260908141924</v>
      </c>
      <c r="AW347">
        <v>0.98628560153723144</v>
      </c>
      <c r="AX347">
        <v>-0.16504760586067735</v>
      </c>
      <c r="AY347">
        <v>-4.624613003599011</v>
      </c>
      <c r="AZ347">
        <v>6.4714890872451711</v>
      </c>
    </row>
    <row r="348" spans="42:52">
      <c r="AP348">
        <v>0.15838444032453655</v>
      </c>
      <c r="AQ348">
        <v>0.98768834059513766</v>
      </c>
      <c r="AR348">
        <v>-0.15643446504023112</v>
      </c>
      <c r="AV348">
        <v>0.14945100134912859</v>
      </c>
      <c r="AW348">
        <v>0.98901586336191671</v>
      </c>
      <c r="AX348">
        <v>-0.14780941112961138</v>
      </c>
      <c r="AY348">
        <v>-4.7487110157989108</v>
      </c>
      <c r="AZ348">
        <v>7.2140792339708408</v>
      </c>
    </row>
    <row r="349" spans="42:52">
      <c r="AP349">
        <v>0.1405408347023919</v>
      </c>
      <c r="AQ349">
        <v>0.99026806874157025</v>
      </c>
      <c r="AR349">
        <v>-0.13917310096006588</v>
      </c>
      <c r="AV349">
        <v>0.13165249758739594</v>
      </c>
      <c r="AW349">
        <v>0.99144486137381038</v>
      </c>
      <c r="AX349">
        <v>-0.13052619222005168</v>
      </c>
      <c r="AY349">
        <v>-4.8793145658828747</v>
      </c>
      <c r="AZ349">
        <v>8.0894609286181574</v>
      </c>
    </row>
    <row r="350" spans="42:52">
      <c r="AP350">
        <v>0.12278456090290524</v>
      </c>
      <c r="AQ350">
        <v>0.99254615164132198</v>
      </c>
      <c r="AR350">
        <v>-0.12186934340514811</v>
      </c>
      <c r="AV350">
        <v>0.11393560830164579</v>
      </c>
      <c r="AW350">
        <v>0.99357185567658746</v>
      </c>
      <c r="AX350">
        <v>-0.11320321376790701</v>
      </c>
      <c r="AY350">
        <v>-5.0178027472289823</v>
      </c>
      <c r="AZ350">
        <v>9.1437011151466017</v>
      </c>
    </row>
    <row r="351" spans="42:52">
      <c r="AP351">
        <v>0.1051042352656764</v>
      </c>
      <c r="AQ351">
        <v>0.99452189536827329</v>
      </c>
      <c r="AR351">
        <v>-0.10452846326765342</v>
      </c>
      <c r="AV351">
        <v>9.6289048197539112E-2</v>
      </c>
      <c r="AW351">
        <v>0.99539619836717874</v>
      </c>
      <c r="AX351">
        <v>-9.5845752520224481E-2</v>
      </c>
      <c r="AY351">
        <v>-5.1660601077184545</v>
      </c>
      <c r="AZ351">
        <v>10.448772522304338</v>
      </c>
    </row>
    <row r="352" spans="42:52">
      <c r="AP352">
        <v>8.7488663525924146E-2</v>
      </c>
      <c r="AQ352">
        <v>0.99619469809174555</v>
      </c>
      <c r="AR352">
        <v>-8.7155742747658319E-2</v>
      </c>
      <c r="AV352">
        <v>7.8701706824619133E-2</v>
      </c>
      <c r="AW352">
        <v>0.99691733373312796</v>
      </c>
      <c r="AX352">
        <v>-7.8459095727845624E-2</v>
      </c>
      <c r="AY352">
        <v>-5.3267883478682165</v>
      </c>
      <c r="AZ352">
        <v>12.124896697455974</v>
      </c>
    </row>
    <row r="353" spans="42:52">
      <c r="AP353">
        <v>6.9926811943509859E-2</v>
      </c>
      <c r="AQ353">
        <v>0.99756405025982431</v>
      </c>
      <c r="AR353">
        <v>-6.9756473744124761E-2</v>
      </c>
      <c r="AV353">
        <v>6.11626201504843E-2</v>
      </c>
      <c r="AW353">
        <v>0.99813479842186692</v>
      </c>
      <c r="AX353">
        <v>-6.1048539534856866E-2</v>
      </c>
      <c r="AY353">
        <v>-5.504119663144035</v>
      </c>
      <c r="AZ353">
        <v>14.39208545735514</v>
      </c>
    </row>
    <row r="354" spans="42:52">
      <c r="AP354">
        <v>5.2407779283041744E-2</v>
      </c>
      <c r="AQ354">
        <v>0.99862953475457383</v>
      </c>
      <c r="AR354">
        <v>-5.2335956242944369E-2</v>
      </c>
      <c r="AV354">
        <v>4.3660942908511365E-2</v>
      </c>
      <c r="AW354">
        <v>0.9990482215818578</v>
      </c>
      <c r="AX354">
        <v>-4.3619387365335306E-2</v>
      </c>
      <c r="AY354">
        <v>-5.7049907579258994</v>
      </c>
      <c r="AZ354">
        <v>17.710248359886965</v>
      </c>
    </row>
    <row r="355" spans="42:52">
      <c r="AP355">
        <v>3.4920769491747577E-2</v>
      </c>
      <c r="AQ355">
        <v>0.99939082701909576</v>
      </c>
      <c r="AR355">
        <v>-3.4899496702500823E-2</v>
      </c>
      <c r="AV355">
        <v>2.618592156918732E-2</v>
      </c>
      <c r="AW355">
        <v>0.99965732497555726</v>
      </c>
      <c r="AX355">
        <v>-2.6176948307873545E-2</v>
      </c>
      <c r="AY355">
        <v>-5.9428980069378721</v>
      </c>
      <c r="AZ355">
        <v>19</v>
      </c>
    </row>
    <row r="356" spans="42:52">
      <c r="AP356">
        <v>1.7455064928218522E-2</v>
      </c>
      <c r="AQ356">
        <v>0.99984769515639127</v>
      </c>
      <c r="AR356">
        <v>-1.7452406437284448E-2</v>
      </c>
      <c r="AV356">
        <v>1.5709255323664184E-2</v>
      </c>
      <c r="AW356">
        <v>0.99987663248166059</v>
      </c>
      <c r="AX356">
        <v>-1.5707317311819943E-2</v>
      </c>
      <c r="AY356">
        <v>-6.2526298924207682</v>
      </c>
      <c r="AZ356">
        <v>20</v>
      </c>
    </row>
  </sheetData>
  <mergeCells count="18">
    <mergeCell ref="BC45:BC48"/>
    <mergeCell ref="BE16:BV19"/>
    <mergeCell ref="BC31:BC37"/>
    <mergeCell ref="BC38:BC44"/>
    <mergeCell ref="BE8:BV15"/>
    <mergeCell ref="BC8:BC15"/>
    <mergeCell ref="BC16:BC23"/>
    <mergeCell ref="BC24:BC30"/>
    <mergeCell ref="BE54:BV61"/>
    <mergeCell ref="BC1:BC7"/>
    <mergeCell ref="BE29:BV35"/>
    <mergeCell ref="BE36:BV41"/>
    <mergeCell ref="BE42:BV47"/>
    <mergeCell ref="BE20:BV26"/>
    <mergeCell ref="BE27:BV28"/>
    <mergeCell ref="BE1:BV7"/>
    <mergeCell ref="BC49:BC50"/>
    <mergeCell ref="BE48:BV53"/>
  </mergeCells>
  <phoneticPr fontId="2"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V161"/>
  <sheetViews>
    <sheetView workbookViewId="0"/>
  </sheetViews>
  <sheetFormatPr defaultColWidth="16.7109375" defaultRowHeight="12.75"/>
  <cols>
    <col min="1" max="128" width="2.7109375" customWidth="1"/>
    <col min="129" max="254" width="9.140625" customWidth="1"/>
    <col min="255" max="255" width="26.5703125" customWidth="1"/>
  </cols>
  <sheetData>
    <row r="1" spans="1:256" ht="14.25">
      <c r="A1" s="498">
        <v>200043</v>
      </c>
      <c r="B1" s="498">
        <v>200043</v>
      </c>
      <c r="C1" s="498">
        <v>200043</v>
      </c>
      <c r="D1" s="498">
        <v>200043</v>
      </c>
      <c r="E1" s="498">
        <v>200020</v>
      </c>
      <c r="F1" s="499">
        <v>24</v>
      </c>
      <c r="G1" s="499">
        <v>24</v>
      </c>
      <c r="H1" s="499">
        <v>24</v>
      </c>
      <c r="I1" s="499">
        <v>24</v>
      </c>
      <c r="J1" s="499">
        <v>24</v>
      </c>
      <c r="K1" s="499">
        <v>24</v>
      </c>
      <c r="L1" s="499">
        <v>24</v>
      </c>
      <c r="M1" s="2260">
        <v>24</v>
      </c>
      <c r="N1" s="499">
        <v>20</v>
      </c>
      <c r="O1" s="499">
        <v>20</v>
      </c>
      <c r="P1" s="499">
        <v>20</v>
      </c>
      <c r="Q1" s="499">
        <v>20</v>
      </c>
      <c r="R1" s="499">
        <v>20</v>
      </c>
      <c r="S1" s="499">
        <v>20</v>
      </c>
      <c r="T1" s="499">
        <v>20</v>
      </c>
      <c r="U1" s="499">
        <v>20</v>
      </c>
      <c r="V1" s="499">
        <v>20</v>
      </c>
      <c r="W1" s="499">
        <v>20</v>
      </c>
      <c r="X1" s="499">
        <v>20</v>
      </c>
      <c r="Y1" s="499">
        <v>20</v>
      </c>
      <c r="Z1" s="499">
        <v>20</v>
      </c>
      <c r="AA1" s="499">
        <v>20</v>
      </c>
      <c r="AB1" s="499">
        <v>20</v>
      </c>
      <c r="AC1" s="499">
        <v>20</v>
      </c>
      <c r="AD1" s="499">
        <v>20</v>
      </c>
      <c r="AE1" s="499">
        <v>20</v>
      </c>
      <c r="AF1" s="499">
        <v>20</v>
      </c>
      <c r="AG1" s="499">
        <v>20</v>
      </c>
      <c r="AH1" s="499">
        <v>20</v>
      </c>
      <c r="AI1" s="499">
        <v>20</v>
      </c>
      <c r="AJ1" s="499">
        <v>20</v>
      </c>
      <c r="AK1" s="499">
        <v>20</v>
      </c>
      <c r="AL1" s="499">
        <v>20</v>
      </c>
      <c r="AM1" s="499">
        <v>20</v>
      </c>
      <c r="AN1" s="499">
        <v>20</v>
      </c>
      <c r="AO1" s="499">
        <v>20</v>
      </c>
      <c r="AP1" s="499">
        <v>20</v>
      </c>
      <c r="AQ1" s="499">
        <v>20</v>
      </c>
      <c r="AR1" s="499">
        <v>19</v>
      </c>
      <c r="AS1" s="499">
        <v>19</v>
      </c>
      <c r="AT1" s="499">
        <v>19</v>
      </c>
      <c r="AU1" s="499">
        <v>19</v>
      </c>
      <c r="AV1" s="499">
        <v>19</v>
      </c>
      <c r="AW1" s="499">
        <v>19</v>
      </c>
      <c r="AX1" s="499">
        <v>19</v>
      </c>
      <c r="AY1" s="499">
        <v>20</v>
      </c>
      <c r="AZ1" s="499">
        <v>20</v>
      </c>
      <c r="BA1" s="499">
        <v>20</v>
      </c>
      <c r="BB1" s="499">
        <v>20</v>
      </c>
      <c r="BC1" s="499">
        <v>20</v>
      </c>
      <c r="BD1" s="499">
        <v>20</v>
      </c>
      <c r="BE1" s="499">
        <v>20</v>
      </c>
      <c r="BF1" s="499">
        <v>20</v>
      </c>
      <c r="BG1" s="499">
        <v>20</v>
      </c>
      <c r="BH1" s="499">
        <v>20</v>
      </c>
      <c r="BI1" s="499">
        <v>20</v>
      </c>
      <c r="BJ1" s="499">
        <v>20</v>
      </c>
      <c r="BK1" s="499">
        <v>20</v>
      </c>
      <c r="BL1" s="499">
        <v>20</v>
      </c>
      <c r="BM1" s="499">
        <v>20</v>
      </c>
      <c r="BN1" s="499">
        <v>20</v>
      </c>
      <c r="BO1" s="499">
        <v>20</v>
      </c>
      <c r="BP1" s="499">
        <v>20</v>
      </c>
      <c r="BQ1" s="499">
        <v>20</v>
      </c>
      <c r="BR1" s="499">
        <v>20</v>
      </c>
      <c r="BS1" s="499">
        <v>20</v>
      </c>
      <c r="BT1" s="499">
        <v>20</v>
      </c>
      <c r="BU1" s="499">
        <v>20</v>
      </c>
      <c r="BV1" s="499">
        <v>20</v>
      </c>
      <c r="BW1" s="499">
        <v>20</v>
      </c>
      <c r="BX1" s="499">
        <v>20</v>
      </c>
      <c r="BY1" s="499">
        <v>20</v>
      </c>
      <c r="BZ1" s="499">
        <v>20</v>
      </c>
      <c r="CA1" s="499">
        <v>20</v>
      </c>
      <c r="CB1" s="499">
        <v>20</v>
      </c>
      <c r="CC1" s="499">
        <v>20</v>
      </c>
      <c r="CD1" s="499">
        <v>20</v>
      </c>
      <c r="CE1" s="499">
        <v>20</v>
      </c>
      <c r="CF1" s="499">
        <v>20</v>
      </c>
      <c r="CG1" s="499">
        <v>20</v>
      </c>
      <c r="CH1" s="499">
        <v>20</v>
      </c>
      <c r="CI1" s="499">
        <v>20</v>
      </c>
      <c r="CJ1" s="499">
        <v>20</v>
      </c>
      <c r="CK1" s="499">
        <v>20</v>
      </c>
      <c r="CL1" s="499">
        <v>20</v>
      </c>
      <c r="CM1" s="499">
        <v>20</v>
      </c>
      <c r="CN1" s="499">
        <v>20</v>
      </c>
      <c r="CO1" s="499">
        <v>20</v>
      </c>
      <c r="CP1" s="499">
        <v>20</v>
      </c>
      <c r="CQ1" s="499">
        <v>20</v>
      </c>
      <c r="CR1" s="499">
        <v>20</v>
      </c>
      <c r="CS1" s="499">
        <v>20</v>
      </c>
      <c r="CT1" s="499">
        <v>20</v>
      </c>
      <c r="CU1" s="499">
        <v>20</v>
      </c>
      <c r="CV1" s="499">
        <v>20</v>
      </c>
      <c r="CW1" s="499">
        <v>20</v>
      </c>
      <c r="CX1" s="499">
        <v>20</v>
      </c>
      <c r="CY1" s="503">
        <v>20</v>
      </c>
      <c r="CZ1" s="503">
        <v>35</v>
      </c>
      <c r="DA1" s="503">
        <v>35</v>
      </c>
      <c r="DB1" s="503">
        <v>35</v>
      </c>
      <c r="DC1" s="503">
        <v>20</v>
      </c>
      <c r="DD1" s="498">
        <v>200020</v>
      </c>
      <c r="DE1" s="498">
        <v>200020</v>
      </c>
      <c r="DF1" s="498">
        <v>200020</v>
      </c>
      <c r="DG1" s="498">
        <v>200020</v>
      </c>
      <c r="DH1" s="498">
        <v>200020</v>
      </c>
      <c r="DI1" s="498">
        <f>10000*22+22</f>
        <v>220022</v>
      </c>
      <c r="DJ1" s="498">
        <f t="shared" ref="DJ1:DX1" si="0">10000*22+22</f>
        <v>220022</v>
      </c>
      <c r="DK1" s="498">
        <f t="shared" si="0"/>
        <v>220022</v>
      </c>
      <c r="DL1" s="498">
        <f t="shared" si="0"/>
        <v>220022</v>
      </c>
      <c r="DM1" s="498">
        <f t="shared" si="0"/>
        <v>220022</v>
      </c>
      <c r="DN1" s="498">
        <f t="shared" si="0"/>
        <v>220022</v>
      </c>
      <c r="DO1" s="498">
        <f t="shared" si="0"/>
        <v>220022</v>
      </c>
      <c r="DP1" s="498">
        <f t="shared" si="0"/>
        <v>220022</v>
      </c>
      <c r="DQ1" s="498">
        <f t="shared" si="0"/>
        <v>220022</v>
      </c>
      <c r="DR1" s="498">
        <f t="shared" si="0"/>
        <v>220022</v>
      </c>
      <c r="DS1" s="498">
        <f t="shared" si="0"/>
        <v>220022</v>
      </c>
      <c r="DT1" s="498">
        <f t="shared" si="0"/>
        <v>220022</v>
      </c>
      <c r="DU1" s="498">
        <f t="shared" si="0"/>
        <v>220022</v>
      </c>
      <c r="DV1" s="498">
        <f t="shared" si="0"/>
        <v>220022</v>
      </c>
      <c r="DW1" s="498">
        <f t="shared" si="0"/>
        <v>220022</v>
      </c>
      <c r="DX1" s="498">
        <f t="shared" si="0"/>
        <v>220022</v>
      </c>
      <c r="DY1" s="499"/>
      <c r="DZ1" s="499"/>
      <c r="EA1" s="499"/>
      <c r="EB1" s="499"/>
      <c r="EC1" s="800" t="s">
        <v>977</v>
      </c>
      <c r="ED1" s="499">
        <f>AX7</f>
        <v>190019.065</v>
      </c>
      <c r="EE1" s="499"/>
      <c r="EF1" s="499"/>
      <c r="EG1" s="499"/>
      <c r="EH1" s="499"/>
      <c r="EI1" s="499"/>
      <c r="EJ1" s="499"/>
      <c r="EK1" s="1875">
        <v>1</v>
      </c>
      <c r="EL1" s="1875">
        <v>1</v>
      </c>
      <c r="EM1" s="1875" t="s">
        <v>670</v>
      </c>
      <c r="EN1" s="499"/>
      <c r="EO1" s="499"/>
      <c r="IU1" s="499" t="s">
        <v>628</v>
      </c>
      <c r="IV1" s="499">
        <v>128</v>
      </c>
    </row>
    <row r="2" spans="1:256" ht="14.25" customHeight="1">
      <c r="A2" s="498">
        <v>200043</v>
      </c>
      <c r="B2" s="500">
        <f>128*9+4</f>
        <v>1156</v>
      </c>
      <c r="C2" s="500" t="s">
        <v>633</v>
      </c>
      <c r="D2" s="500">
        <f>128*9+5</f>
        <v>1157</v>
      </c>
      <c r="E2" s="498">
        <f>10000*20+43+0.1599</f>
        <v>200043.1599</v>
      </c>
      <c r="F2" s="2258">
        <v>240024</v>
      </c>
      <c r="G2" s="1703">
        <f>128*6+120</f>
        <v>888</v>
      </c>
      <c r="H2" s="1703">
        <f>128*6+4</f>
        <v>772</v>
      </c>
      <c r="I2" s="1703"/>
      <c r="J2" s="1703"/>
      <c r="K2" s="1703"/>
      <c r="L2" s="1703"/>
      <c r="M2" s="1707">
        <f>128*9+20+0.5+0.256+0.0102</f>
        <v>1172.7662</v>
      </c>
      <c r="N2" s="498">
        <v>240024</v>
      </c>
      <c r="O2" s="501"/>
      <c r="P2" s="1703"/>
      <c r="Q2" s="1703"/>
      <c r="R2" s="1703"/>
      <c r="S2" s="1703">
        <f>128*6+59</f>
        <v>827</v>
      </c>
      <c r="T2" s="1703">
        <f>128*6+59+0.256+0.01</f>
        <v>827.26599999999996</v>
      </c>
      <c r="U2" s="498">
        <v>210021</v>
      </c>
      <c r="V2" s="498">
        <v>210021</v>
      </c>
      <c r="W2" s="498">
        <v>210021</v>
      </c>
      <c r="X2" s="498">
        <v>210021</v>
      </c>
      <c r="Y2" s="498">
        <v>210021</v>
      </c>
      <c r="Z2" s="498">
        <v>210021</v>
      </c>
      <c r="AA2" s="498">
        <v>210021</v>
      </c>
      <c r="AB2" s="503"/>
      <c r="AC2" s="503"/>
      <c r="AD2" s="503"/>
      <c r="AE2" s="498">
        <v>190019</v>
      </c>
      <c r="AF2" s="498">
        <v>190019</v>
      </c>
      <c r="AG2" s="498">
        <v>190019</v>
      </c>
      <c r="AH2" s="498">
        <v>190019</v>
      </c>
      <c r="AI2" s="498">
        <v>190019</v>
      </c>
      <c r="AJ2" s="498">
        <v>190019</v>
      </c>
      <c r="AK2" s="498">
        <v>190019</v>
      </c>
      <c r="AL2" s="498">
        <v>190019</v>
      </c>
      <c r="AM2" s="498">
        <v>190019</v>
      </c>
      <c r="AN2" s="498">
        <v>190019</v>
      </c>
      <c r="AO2" s="498">
        <v>190019</v>
      </c>
      <c r="AP2" s="498">
        <v>190019</v>
      </c>
      <c r="AQ2" s="498">
        <v>190019</v>
      </c>
      <c r="AR2" s="498">
        <v>190019</v>
      </c>
      <c r="AS2" s="757">
        <f>190000+128+19</f>
        <v>190147</v>
      </c>
      <c r="AT2" s="1377">
        <f>190000+128+19</f>
        <v>190147</v>
      </c>
      <c r="AU2" s="757">
        <f>128+19</f>
        <v>147</v>
      </c>
      <c r="AV2" s="757">
        <f>128*14+116</f>
        <v>1908</v>
      </c>
      <c r="AW2" s="757">
        <v>9.2999999999999992E-3</v>
      </c>
      <c r="AX2" s="498">
        <v>190019</v>
      </c>
      <c r="AY2" s="757"/>
      <c r="AZ2" s="757">
        <f>0.256+0.006</f>
        <v>0.26200000000000001</v>
      </c>
      <c r="BA2" s="517">
        <v>200020</v>
      </c>
      <c r="BB2" s="517">
        <v>200020</v>
      </c>
      <c r="BC2" s="517">
        <v>200020</v>
      </c>
      <c r="BD2" s="517">
        <v>200020</v>
      </c>
      <c r="BE2" s="517">
        <v>200020</v>
      </c>
      <c r="BF2" s="517">
        <v>200020</v>
      </c>
      <c r="BG2" s="517">
        <v>200020</v>
      </c>
      <c r="BH2" s="517">
        <v>200020</v>
      </c>
      <c r="BI2" s="505">
        <v>200020</v>
      </c>
      <c r="BJ2" s="505">
        <v>200020</v>
      </c>
      <c r="BK2" s="505">
        <v>200020</v>
      </c>
      <c r="BL2" s="505">
        <v>200020</v>
      </c>
      <c r="BM2" s="505">
        <v>200020</v>
      </c>
      <c r="BN2" s="505">
        <v>200020</v>
      </c>
      <c r="BO2" s="505">
        <v>200020</v>
      </c>
      <c r="BP2" s="505">
        <v>200020</v>
      </c>
      <c r="BQ2" s="505">
        <v>200020</v>
      </c>
      <c r="BR2" s="505">
        <v>200020</v>
      </c>
      <c r="BS2" s="505">
        <v>200020</v>
      </c>
      <c r="BT2" s="505">
        <v>200020</v>
      </c>
      <c r="BU2" s="505">
        <v>200020</v>
      </c>
      <c r="BV2" s="505">
        <v>200020</v>
      </c>
      <c r="BW2" s="505">
        <v>200020</v>
      </c>
      <c r="BX2" s="757">
        <f>0.256+0.001+0.0006</f>
        <v>0.2576</v>
      </c>
      <c r="BY2" s="757"/>
      <c r="BZ2" s="3111">
        <f>200000+128*17+4</f>
        <v>202180</v>
      </c>
      <c r="CA2" s="3111">
        <f>200000+128*17+4</f>
        <v>202180</v>
      </c>
      <c r="CB2" s="3112">
        <f>128*6+5</f>
        <v>773</v>
      </c>
      <c r="CC2" s="498">
        <v>200020</v>
      </c>
      <c r="CD2" s="503"/>
      <c r="CE2" s="503"/>
      <c r="CF2" s="498">
        <f t="shared" ref="CF2:CX2" si="1">200000+20</f>
        <v>200020</v>
      </c>
      <c r="CG2" s="498">
        <f t="shared" si="1"/>
        <v>200020</v>
      </c>
      <c r="CH2" s="498">
        <f t="shared" si="1"/>
        <v>200020</v>
      </c>
      <c r="CI2" s="498">
        <f t="shared" si="1"/>
        <v>200020</v>
      </c>
      <c r="CJ2" s="498">
        <f t="shared" si="1"/>
        <v>200020</v>
      </c>
      <c r="CK2" s="498">
        <f t="shared" si="1"/>
        <v>200020</v>
      </c>
      <c r="CL2" s="498">
        <f t="shared" si="1"/>
        <v>200020</v>
      </c>
      <c r="CM2" s="498">
        <f t="shared" si="1"/>
        <v>200020</v>
      </c>
      <c r="CN2" s="498">
        <f t="shared" si="1"/>
        <v>200020</v>
      </c>
      <c r="CO2" s="498">
        <f t="shared" si="1"/>
        <v>200020</v>
      </c>
      <c r="CP2" s="498">
        <f t="shared" si="1"/>
        <v>200020</v>
      </c>
      <c r="CQ2" s="498">
        <f t="shared" si="1"/>
        <v>200020</v>
      </c>
      <c r="CR2" s="498">
        <f t="shared" si="1"/>
        <v>200020</v>
      </c>
      <c r="CS2" s="498">
        <f t="shared" si="1"/>
        <v>200020</v>
      </c>
      <c r="CT2" s="498">
        <f t="shared" si="1"/>
        <v>200020</v>
      </c>
      <c r="CU2" s="498">
        <f t="shared" si="1"/>
        <v>200020</v>
      </c>
      <c r="CV2" s="498">
        <f t="shared" si="1"/>
        <v>200020</v>
      </c>
      <c r="CW2" s="498">
        <f t="shared" si="1"/>
        <v>200020</v>
      </c>
      <c r="CX2" s="498">
        <f t="shared" si="1"/>
        <v>200020</v>
      </c>
      <c r="CY2" s="498">
        <v>200020</v>
      </c>
      <c r="CZ2" s="1378"/>
      <c r="DA2" s="1378">
        <f>0.019</f>
        <v>1.9E-2</v>
      </c>
      <c r="DB2" s="1378"/>
      <c r="DC2" s="498">
        <v>200020</v>
      </c>
      <c r="DD2" s="503"/>
      <c r="DE2" s="503"/>
      <c r="DF2" s="535">
        <v>21</v>
      </c>
      <c r="DG2" s="503"/>
      <c r="DH2" s="503"/>
      <c r="DI2" s="503"/>
      <c r="DJ2" s="503"/>
      <c r="DK2" s="759">
        <f>460000+128*6+17</f>
        <v>460785</v>
      </c>
      <c r="DL2" s="759">
        <f>460000+128*6+17</f>
        <v>460785</v>
      </c>
      <c r="DM2" s="760">
        <f>460000+128*6+17</f>
        <v>460785</v>
      </c>
      <c r="DN2" s="759">
        <f>460000+128*6+17</f>
        <v>460785</v>
      </c>
      <c r="DO2" s="759">
        <f>460000+128*9+25</f>
        <v>461177</v>
      </c>
      <c r="DP2" s="535">
        <f>128*4+47</f>
        <v>559</v>
      </c>
      <c r="DQ2" s="1379"/>
      <c r="DR2" s="1380">
        <f>128*9+33</f>
        <v>1185</v>
      </c>
      <c r="DS2" s="1380">
        <f>128*9+33+0.114</f>
        <v>1185.114</v>
      </c>
      <c r="DT2" s="1381"/>
      <c r="DU2" s="1380">
        <f>128*9+33+0.114</f>
        <v>1185.114</v>
      </c>
      <c r="DV2" s="1380">
        <f>128*9+33+0.384+0.002</f>
        <v>1185.386</v>
      </c>
      <c r="DW2" s="1382">
        <f>128*9+33+0.114</f>
        <v>1185.114</v>
      </c>
      <c r="DX2" s="498">
        <f t="shared" ref="DX2:DX15" si="2">10000*22+22</f>
        <v>220022</v>
      </c>
      <c r="DY2" s="499"/>
      <c r="DZ2" s="499"/>
      <c r="EA2" s="499"/>
      <c r="EB2" s="499"/>
      <c r="EC2" s="800"/>
      <c r="ED2" s="499">
        <f>X9</f>
        <v>21.065000000000001</v>
      </c>
      <c r="EE2" s="499"/>
      <c r="EF2" s="499"/>
      <c r="EK2" s="1876">
        <v>2</v>
      </c>
      <c r="EL2" s="1876">
        <v>2</v>
      </c>
      <c r="EM2" s="1876" t="s">
        <v>670</v>
      </c>
      <c r="IU2" s="499" t="s">
        <v>629</v>
      </c>
      <c r="IV2" s="499">
        <v>80</v>
      </c>
    </row>
    <row r="3" spans="1:256" ht="13.5" customHeight="1">
      <c r="A3" s="498">
        <v>200043</v>
      </c>
      <c r="B3" s="500">
        <f>128*14+2</f>
        <v>1794</v>
      </c>
      <c r="C3" s="500">
        <f>0.5+0.256+0.035</f>
        <v>0.79100000000000004</v>
      </c>
      <c r="D3" s="500">
        <f>128*14+22</f>
        <v>1814</v>
      </c>
      <c r="E3" s="3448">
        <f>10000*20+43+0.038</f>
        <v>200043.038</v>
      </c>
      <c r="F3" s="1703"/>
      <c r="G3" s="1711"/>
      <c r="H3" s="1704"/>
      <c r="I3" s="2257">
        <v>24</v>
      </c>
      <c r="J3" s="1703"/>
      <c r="K3" s="2257">
        <v>24</v>
      </c>
      <c r="L3" s="1711"/>
      <c r="M3" s="1703"/>
      <c r="N3" s="498">
        <v>240024</v>
      </c>
      <c r="O3" s="1703"/>
      <c r="P3" s="532">
        <f>128*4+39</f>
        <v>551</v>
      </c>
      <c r="Q3" s="532">
        <f>128*4+39</f>
        <v>551</v>
      </c>
      <c r="R3" s="532">
        <f>128*4+39</f>
        <v>551</v>
      </c>
      <c r="S3" s="532">
        <f>128*4+39</f>
        <v>551</v>
      </c>
      <c r="T3" s="532">
        <f>128*4+39</f>
        <v>551</v>
      </c>
      <c r="U3" s="504">
        <v>21</v>
      </c>
      <c r="V3" s="504">
        <v>21</v>
      </c>
      <c r="W3" s="504">
        <v>21</v>
      </c>
      <c r="X3" s="503">
        <f>128*9+24+0.5+0.256+0.006</f>
        <v>1176.7620000000002</v>
      </c>
      <c r="Y3" s="533">
        <f>128*9+18</f>
        <v>1170</v>
      </c>
      <c r="Z3" s="533">
        <f>128*9+20</f>
        <v>1172</v>
      </c>
      <c r="AA3" s="533">
        <f>128*9+23</f>
        <v>1175</v>
      </c>
      <c r="AB3" s="503">
        <f>128*3+32</f>
        <v>416</v>
      </c>
      <c r="AC3" s="503"/>
      <c r="AD3" s="503"/>
      <c r="AE3" s="498">
        <v>190019</v>
      </c>
      <c r="AF3" s="501">
        <f t="shared" ref="AF3:AK3" si="3">128*9+8</f>
        <v>1160</v>
      </c>
      <c r="AG3" s="1703">
        <f>128*9+8</f>
        <v>1160</v>
      </c>
      <c r="AH3" s="1703">
        <f>128*9+8+0.256+0.01</f>
        <v>1160.2660000000001</v>
      </c>
      <c r="AI3" s="501">
        <f t="shared" si="3"/>
        <v>1160</v>
      </c>
      <c r="AJ3" s="1703">
        <f>128*9+8</f>
        <v>1160</v>
      </c>
      <c r="AK3" s="501">
        <f t="shared" si="3"/>
        <v>1160</v>
      </c>
      <c r="AL3" s="498">
        <v>190019</v>
      </c>
      <c r="AM3" s="504">
        <f>128*9+8</f>
        <v>1160</v>
      </c>
      <c r="AN3" s="504">
        <f>128*9+8</f>
        <v>1160</v>
      </c>
      <c r="AO3" s="768">
        <f>128*9+8+0.5+0.384+0.003</f>
        <v>1160.8869999999999</v>
      </c>
      <c r="AP3" s="504">
        <f>128*9+8+0.5+0.256+0.001</f>
        <v>1160.7570000000001</v>
      </c>
      <c r="AQ3" s="504">
        <f>128*9+8</f>
        <v>1160</v>
      </c>
      <c r="AR3" s="498">
        <v>190019</v>
      </c>
      <c r="AS3" s="544">
        <f>128*14+13+0.256+0.007+0.0005</f>
        <v>1805.2635000000002</v>
      </c>
      <c r="AT3" s="498">
        <v>190019</v>
      </c>
      <c r="AU3" s="784">
        <f>190000+128+19+0.129</f>
        <v>190147.12899999999</v>
      </c>
      <c r="AV3" s="498">
        <v>190019</v>
      </c>
      <c r="AW3" s="498">
        <v>190019</v>
      </c>
      <c r="AX3" s="498">
        <v>190019</v>
      </c>
      <c r="AY3" s="3111">
        <f>200000+128*17+3</f>
        <v>202179</v>
      </c>
      <c r="AZ3" s="3111">
        <f>200000+128*17+3</f>
        <v>202179</v>
      </c>
      <c r="BA3" s="517">
        <v>200020</v>
      </c>
      <c r="BB3" s="509">
        <f>128*9+22+0.256+0.008+0.0008</f>
        <v>1174.2648000000002</v>
      </c>
      <c r="BC3" s="509"/>
      <c r="BD3" s="1384">
        <f>0.384+0.003+0.0004</f>
        <v>0.38740000000000002</v>
      </c>
      <c r="BE3" s="509"/>
      <c r="BF3" s="509"/>
      <c r="BG3" s="509"/>
      <c r="BH3" s="1385">
        <f>200020+0.065</f>
        <v>200020.065</v>
      </c>
      <c r="BI3" s="505">
        <v>200020</v>
      </c>
      <c r="BJ3" s="2887"/>
      <c r="BK3" s="2888"/>
      <c r="BL3" s="2887"/>
      <c r="BM3" s="2888"/>
      <c r="BN3" s="2887"/>
      <c r="BO3" s="2884">
        <v>200020</v>
      </c>
      <c r="BP3" s="2839"/>
      <c r="BQ3" s="2840"/>
      <c r="BR3" s="2840"/>
      <c r="BS3" s="2840"/>
      <c r="BT3" s="2840"/>
      <c r="BU3" s="2840"/>
      <c r="BV3" s="2886">
        <f>128*9+22+0.256+0.001+0.0002</f>
        <v>1174.2572</v>
      </c>
      <c r="BW3" s="505">
        <v>200020</v>
      </c>
      <c r="BX3" s="505">
        <v>200020</v>
      </c>
      <c r="BY3" s="757"/>
      <c r="BZ3" s="3111">
        <f>200000+128*17+3</f>
        <v>202179</v>
      </c>
      <c r="CA3" s="3111">
        <f>200000+128*17+3</f>
        <v>202179</v>
      </c>
      <c r="CB3" s="3113"/>
      <c r="CC3" s="498">
        <v>200020</v>
      </c>
      <c r="CD3" s="503"/>
      <c r="CE3" s="503"/>
      <c r="CF3" s="498">
        <f>200000+20</f>
        <v>200020</v>
      </c>
      <c r="CG3" s="498"/>
      <c r="CH3" s="498"/>
      <c r="CI3" s="498"/>
      <c r="CJ3" s="498"/>
      <c r="CK3" s="498">
        <f>200000+20</f>
        <v>200020</v>
      </c>
      <c r="CL3" s="498"/>
      <c r="CM3" s="677">
        <f>0.384+0.0031</f>
        <v>0.3871</v>
      </c>
      <c r="CN3" s="498"/>
      <c r="CO3" s="498">
        <f>200000+20</f>
        <v>200020</v>
      </c>
      <c r="CP3" s="498"/>
      <c r="CQ3" s="498"/>
      <c r="CR3" s="498"/>
      <c r="CS3" s="498"/>
      <c r="CT3" s="528">
        <f>200020+0.156</f>
        <v>200020.15599999999</v>
      </c>
      <c r="CU3" s="839">
        <f>200000+128*9+58</f>
        <v>201210</v>
      </c>
      <c r="CV3" s="839">
        <f>200000+128*9+59</f>
        <v>201211</v>
      </c>
      <c r="CW3" s="707">
        <f>0.256+0.016</f>
        <v>0.27200000000000002</v>
      </c>
      <c r="CX3" s="707"/>
      <c r="CY3" s="498">
        <v>200020</v>
      </c>
      <c r="CZ3" s="1378"/>
      <c r="DA3" s="503">
        <v>35</v>
      </c>
      <c r="DB3" s="1386"/>
      <c r="DC3" s="498">
        <v>200020</v>
      </c>
      <c r="DD3" s="503"/>
      <c r="DE3" s="503"/>
      <c r="DF3" s="535">
        <v>21</v>
      </c>
      <c r="DG3" s="503"/>
      <c r="DH3" s="503"/>
      <c r="DI3" s="2702">
        <f>128*6+1</f>
        <v>769</v>
      </c>
      <c r="DJ3" s="759">
        <f>460000+128*6+17</f>
        <v>460785</v>
      </c>
      <c r="DK3" s="760">
        <f>460000+128*6+17</f>
        <v>460785</v>
      </c>
      <c r="DL3" s="503"/>
      <c r="DM3" s="759">
        <f>460000+128*9+25</f>
        <v>461177</v>
      </c>
      <c r="DN3" s="759">
        <f>460000+128*6+17</f>
        <v>460785</v>
      </c>
      <c r="DO3" s="760">
        <f>460000+128*6+17</f>
        <v>460785</v>
      </c>
      <c r="DP3" s="535">
        <f>128*4+47</f>
        <v>559</v>
      </c>
      <c r="DQ3" s="1379"/>
      <c r="DR3" s="1380">
        <f>128*9+33+0.114</f>
        <v>1185.114</v>
      </c>
      <c r="DS3" s="1380">
        <f>128*9+33+0.114</f>
        <v>1185.114</v>
      </c>
      <c r="DT3" s="1381"/>
      <c r="DU3" s="1380">
        <f>128*9+33+0.114</f>
        <v>1185.114</v>
      </c>
      <c r="DV3" s="1380">
        <f>128*9+33+0.114</f>
        <v>1185.114</v>
      </c>
      <c r="DW3" s="1382">
        <f>128*9+33+0.114</f>
        <v>1185.114</v>
      </c>
      <c r="DX3" s="498">
        <f t="shared" si="2"/>
        <v>220022</v>
      </c>
      <c r="DY3" s="499"/>
      <c r="DZ3" s="499"/>
      <c r="EA3" s="499"/>
      <c r="EB3" s="499"/>
      <c r="EC3" s="800"/>
      <c r="ED3" s="499">
        <f>DP22</f>
        <v>21.065000000000001</v>
      </c>
      <c r="EE3" s="499"/>
      <c r="EF3" s="499"/>
      <c r="EK3" s="1876">
        <v>3</v>
      </c>
      <c r="EL3" s="1876">
        <v>3</v>
      </c>
      <c r="EM3" s="1876" t="s">
        <v>670</v>
      </c>
      <c r="IU3" s="499" t="s">
        <v>738</v>
      </c>
      <c r="IV3" s="499">
        <v>32</v>
      </c>
    </row>
    <row r="4" spans="1:256" ht="13.5" customHeight="1">
      <c r="A4" s="498">
        <v>200043</v>
      </c>
      <c r="B4" s="498">
        <v>200043</v>
      </c>
      <c r="C4" s="500">
        <f>128*5+41</f>
        <v>681</v>
      </c>
      <c r="D4" s="498">
        <v>200043</v>
      </c>
      <c r="E4" s="498">
        <v>200043</v>
      </c>
      <c r="F4" s="1703"/>
      <c r="G4" s="1703"/>
      <c r="H4" s="1703"/>
      <c r="I4" s="1703"/>
      <c r="J4" s="1703"/>
      <c r="K4" s="1703"/>
      <c r="L4" s="1703"/>
      <c r="M4" s="1703"/>
      <c r="N4" s="498">
        <v>240024</v>
      </c>
      <c r="O4" s="1703"/>
      <c r="P4" s="534">
        <f>128*4+39</f>
        <v>551</v>
      </c>
      <c r="Q4" s="503"/>
      <c r="R4" s="503"/>
      <c r="S4" s="503"/>
      <c r="T4" s="503"/>
      <c r="U4" s="503">
        <f>128*9+23</f>
        <v>1175</v>
      </c>
      <c r="V4" s="535">
        <f>128*9+20</f>
        <v>1172</v>
      </c>
      <c r="W4" s="535">
        <f>128*9+23</f>
        <v>1175</v>
      </c>
      <c r="X4" s="503">
        <f>128*9+22</f>
        <v>1174</v>
      </c>
      <c r="Y4" s="514">
        <v>31</v>
      </c>
      <c r="Z4" s="2340">
        <v>31</v>
      </c>
      <c r="AA4" s="504">
        <v>21</v>
      </c>
      <c r="AB4" s="503">
        <f>128*14+9</f>
        <v>1801</v>
      </c>
      <c r="AC4" s="503"/>
      <c r="AD4" s="503"/>
      <c r="AE4" s="498">
        <v>190019</v>
      </c>
      <c r="AF4" s="1703">
        <f>128*9+8</f>
        <v>1160</v>
      </c>
      <c r="AG4" s="498">
        <v>190019</v>
      </c>
      <c r="AH4" s="498">
        <v>190019</v>
      </c>
      <c r="AI4" s="677">
        <f>190019+0.106</f>
        <v>190019.106</v>
      </c>
      <c r="AJ4" s="498">
        <v>190019</v>
      </c>
      <c r="AK4" s="1703">
        <f>128*9+8</f>
        <v>1160</v>
      </c>
      <c r="AL4" s="498">
        <v>190019</v>
      </c>
      <c r="AM4" s="504">
        <f>128*9+50</f>
        <v>1202</v>
      </c>
      <c r="AN4" s="510">
        <f>128*9+51</f>
        <v>1203</v>
      </c>
      <c r="AO4" s="504">
        <f>128*9+51</f>
        <v>1203</v>
      </c>
      <c r="AP4" s="510">
        <f>128*9+51</f>
        <v>1203</v>
      </c>
      <c r="AQ4" s="504">
        <f>128*9+8</f>
        <v>1160</v>
      </c>
      <c r="AR4" s="498">
        <v>190019</v>
      </c>
      <c r="AS4" s="498">
        <v>190019</v>
      </c>
      <c r="AT4" s="498">
        <v>190019</v>
      </c>
      <c r="AU4" s="504"/>
      <c r="AV4" s="785"/>
      <c r="AW4" s="1387">
        <f>128*9+26+0.061</f>
        <v>1178.0609999999999</v>
      </c>
      <c r="AX4" s="498">
        <v>190019</v>
      </c>
      <c r="AY4" s="3111">
        <f>200000+128*17+3</f>
        <v>202179</v>
      </c>
      <c r="AZ4" s="3111">
        <f>200000+128*17+3</f>
        <v>202179</v>
      </c>
      <c r="BA4" s="517">
        <v>200020</v>
      </c>
      <c r="BB4" s="509"/>
      <c r="BC4" s="792">
        <f>0.384+0.003+0.0004</f>
        <v>0.38740000000000002</v>
      </c>
      <c r="BD4" s="517">
        <v>200020</v>
      </c>
      <c r="BE4" s="514"/>
      <c r="BF4" s="1729">
        <f>128*9+24+0.5+0.256+0.004</f>
        <v>1176.76</v>
      </c>
      <c r="BG4" s="509">
        <v>0.06</v>
      </c>
      <c r="BH4" s="1388">
        <v>200000</v>
      </c>
      <c r="BI4" s="1389">
        <f>10000*20+128*5+35</f>
        <v>200675</v>
      </c>
      <c r="BJ4" s="2888"/>
      <c r="BK4" s="1390"/>
      <c r="BL4" s="757"/>
      <c r="BM4" s="1390"/>
      <c r="BN4" s="757"/>
      <c r="BO4" s="504">
        <v>20</v>
      </c>
      <c r="BP4" s="511"/>
      <c r="BQ4" s="511"/>
      <c r="BR4" s="511"/>
      <c r="BS4" s="511">
        <f>128*3+32</f>
        <v>416</v>
      </c>
      <c r="BT4" s="511"/>
      <c r="BU4" s="511"/>
      <c r="BV4" s="2840"/>
      <c r="BW4" s="523">
        <v>200020</v>
      </c>
      <c r="BX4" s="505">
        <v>200020</v>
      </c>
      <c r="BY4" s="1377">
        <f>128*8+3</f>
        <v>1027</v>
      </c>
      <c r="BZ4" s="3111">
        <f>200000+128*17+3</f>
        <v>202179</v>
      </c>
      <c r="CA4" s="3111">
        <f>200000+128*17+3</f>
        <v>202179</v>
      </c>
      <c r="CB4" s="3114">
        <f>128*8+3</f>
        <v>1027</v>
      </c>
      <c r="CC4" s="498">
        <v>200020</v>
      </c>
      <c r="CD4" s="503"/>
      <c r="CE4" s="503"/>
      <c r="CF4" s="498">
        <f>200000+20</f>
        <v>200020</v>
      </c>
      <c r="CG4" s="498"/>
      <c r="CH4" s="498"/>
      <c r="CI4" s="1391">
        <f>0.256+0.004</f>
        <v>0.26</v>
      </c>
      <c r="CJ4" s="498"/>
      <c r="CK4" s="498">
        <f>200000+128*5+39</f>
        <v>200679</v>
      </c>
      <c r="CL4" s="498"/>
      <c r="CM4" s="498">
        <v>200000</v>
      </c>
      <c r="CN4" s="498"/>
      <c r="CO4" s="1391">
        <f>200000+128*5+39</f>
        <v>200679</v>
      </c>
      <c r="CP4" s="498"/>
      <c r="CQ4" s="498"/>
      <c r="CR4" s="498"/>
      <c r="CS4" s="528">
        <f>0.384+0.002</f>
        <v>0.38600000000000001</v>
      </c>
      <c r="CT4" s="498">
        <f>200000+20</f>
        <v>200020</v>
      </c>
      <c r="CU4" s="498">
        <f>200000+20</f>
        <v>200020</v>
      </c>
      <c r="CV4" s="840">
        <f>200000+128*9+58</f>
        <v>201210</v>
      </c>
      <c r="CW4" s="498">
        <f>200000+20</f>
        <v>200020</v>
      </c>
      <c r="CX4" s="707"/>
      <c r="CY4" s="498">
        <v>200020</v>
      </c>
      <c r="CZ4" s="1378"/>
      <c r="DA4" s="1378">
        <f>0.019</f>
        <v>1.9E-2</v>
      </c>
      <c r="DB4" s="1386"/>
      <c r="DC4" s="498">
        <v>200020</v>
      </c>
      <c r="DD4" s="503"/>
      <c r="DE4" s="503"/>
      <c r="DF4" s="535">
        <v>21</v>
      </c>
      <c r="DG4" s="503"/>
      <c r="DH4" s="503"/>
      <c r="DI4" s="503"/>
      <c r="DJ4" s="759">
        <f>460000+128*9+25</f>
        <v>461177</v>
      </c>
      <c r="DK4" s="759">
        <f>460000+128*6+17</f>
        <v>460785</v>
      </c>
      <c r="DL4" s="1392"/>
      <c r="DM4" s="759">
        <f>460000+128*6+17</f>
        <v>460785</v>
      </c>
      <c r="DN4" s="518"/>
      <c r="DO4" s="759">
        <f>460000+128*6+17</f>
        <v>460785</v>
      </c>
      <c r="DP4" s="535">
        <f>128*4+47</f>
        <v>559</v>
      </c>
      <c r="DQ4" s="1379"/>
      <c r="DR4" s="1379"/>
      <c r="DS4" s="1379"/>
      <c r="DT4" s="1381"/>
      <c r="DU4" s="1379"/>
      <c r="DV4" s="1379"/>
      <c r="DW4" s="1393">
        <f>0.256+0.003</f>
        <v>0.25900000000000001</v>
      </c>
      <c r="DX4" s="498">
        <f t="shared" si="2"/>
        <v>220022</v>
      </c>
      <c r="DY4" s="499"/>
      <c r="DZ4" s="499"/>
      <c r="EA4" s="499"/>
      <c r="EB4" s="499"/>
      <c r="EC4" s="800"/>
      <c r="ED4" s="499">
        <f>BT24</f>
        <v>200020.065</v>
      </c>
      <c r="EE4" s="499"/>
      <c r="EF4" s="499"/>
      <c r="EK4" s="1876">
        <v>4</v>
      </c>
      <c r="EL4" s="1876">
        <v>4</v>
      </c>
      <c r="EM4" s="1876" t="s">
        <v>670</v>
      </c>
      <c r="IU4" s="499" t="s">
        <v>630</v>
      </c>
      <c r="IV4" s="499">
        <v>32</v>
      </c>
    </row>
    <row r="5" spans="1:256" ht="13.5" customHeight="1">
      <c r="A5" s="2261">
        <v>24</v>
      </c>
      <c r="B5" s="1703">
        <f>128*6+3</f>
        <v>771</v>
      </c>
      <c r="C5" s="1703"/>
      <c r="D5" s="1703"/>
      <c r="E5" s="1703"/>
      <c r="F5" s="1703">
        <f>128*14+3</f>
        <v>1795</v>
      </c>
      <c r="G5" s="1703"/>
      <c r="H5" s="1703"/>
      <c r="I5" s="1703"/>
      <c r="J5" s="1703"/>
      <c r="K5" s="1703"/>
      <c r="L5" s="1703"/>
      <c r="M5" s="1703">
        <f>128*6+4</f>
        <v>772</v>
      </c>
      <c r="N5" s="498">
        <v>240024</v>
      </c>
      <c r="O5" s="1703"/>
      <c r="P5" s="534">
        <f>128*4+39</f>
        <v>551</v>
      </c>
      <c r="Q5" s="503"/>
      <c r="R5" s="518"/>
      <c r="S5" s="503"/>
      <c r="T5" s="503"/>
      <c r="U5" s="514">
        <v>31</v>
      </c>
      <c r="V5" s="2340">
        <v>31</v>
      </c>
      <c r="W5" s="514">
        <v>24</v>
      </c>
      <c r="X5" s="534">
        <f>128*9+21</f>
        <v>1173</v>
      </c>
      <c r="Y5" s="503">
        <f>128*9+22</f>
        <v>1174</v>
      </c>
      <c r="Z5" s="503">
        <f>128*9+21</f>
        <v>1173</v>
      </c>
      <c r="AA5" s="504">
        <v>21</v>
      </c>
      <c r="AB5" s="503"/>
      <c r="AC5" s="503"/>
      <c r="AD5" s="498">
        <v>190019</v>
      </c>
      <c r="AE5" s="498">
        <v>190019</v>
      </c>
      <c r="AF5" s="501">
        <f>128*9+8</f>
        <v>1160</v>
      </c>
      <c r="AG5" s="698">
        <f>190019+0.131</f>
        <v>190019.13099999999</v>
      </c>
      <c r="AH5" s="501">
        <f>128*9+1+0.53</f>
        <v>1153.53</v>
      </c>
      <c r="AI5" s="1703">
        <f>128*9+8+0.5+0.256+0.006</f>
        <v>1160.7620000000002</v>
      </c>
      <c r="AJ5" s="498">
        <v>190019</v>
      </c>
      <c r="AK5" s="501">
        <f>128*9+8</f>
        <v>1160</v>
      </c>
      <c r="AL5" s="504">
        <f>128*9+53</f>
        <v>1205</v>
      </c>
      <c r="AM5" s="504"/>
      <c r="AN5" s="504"/>
      <c r="AO5" s="504">
        <f>0.384+0.004</f>
        <v>0.38800000000000001</v>
      </c>
      <c r="AP5" s="770">
        <f>128*9+51</f>
        <v>1203</v>
      </c>
      <c r="AQ5" s="504">
        <f>128*9+8</f>
        <v>1160</v>
      </c>
      <c r="AR5" s="504">
        <f>128*9+52</f>
        <v>1204</v>
      </c>
      <c r="AS5" s="504">
        <f>128*9+52</f>
        <v>1204</v>
      </c>
      <c r="AT5" s="528">
        <f>128*9+50</f>
        <v>1202</v>
      </c>
      <c r="AU5" s="504"/>
      <c r="AV5" s="504">
        <f>128*14+14+0.139</f>
        <v>1806.1389999999999</v>
      </c>
      <c r="AW5" s="752"/>
      <c r="AX5" s="528">
        <f>190019+0.033</f>
        <v>190019.033</v>
      </c>
      <c r="AY5" s="3111">
        <f>200000+128*17+4</f>
        <v>202180</v>
      </c>
      <c r="AZ5" s="3111">
        <f>200000+128*17+4</f>
        <v>202180</v>
      </c>
      <c r="BA5" s="517">
        <v>200020</v>
      </c>
      <c r="BB5" s="509">
        <f>128*9+19</f>
        <v>1171</v>
      </c>
      <c r="BC5" s="509"/>
      <c r="BD5" s="509"/>
      <c r="BE5" s="509"/>
      <c r="BF5" s="509"/>
      <c r="BG5" s="509"/>
      <c r="BH5" s="517">
        <v>200020</v>
      </c>
      <c r="BI5" s="505">
        <v>200020</v>
      </c>
      <c r="BJ5" s="2887"/>
      <c r="BK5" s="787"/>
      <c r="BL5" s="787"/>
      <c r="BM5" s="787"/>
      <c r="BN5" s="1395">
        <f>128*10+1+0.059</f>
        <v>1281.059</v>
      </c>
      <c r="BO5" s="504">
        <v>20</v>
      </c>
      <c r="BP5" s="511"/>
      <c r="BQ5" s="2891">
        <v>190000</v>
      </c>
      <c r="BR5" s="511"/>
      <c r="BS5" s="511"/>
      <c r="BT5" s="2891">
        <v>190000</v>
      </c>
      <c r="BU5" s="843">
        <f>0.384+0.003+0.0004</f>
        <v>0.38740000000000002</v>
      </c>
      <c r="BV5" s="511"/>
      <c r="BW5" s="2884">
        <v>200020</v>
      </c>
      <c r="BX5" s="505">
        <v>200020</v>
      </c>
      <c r="BY5" s="498">
        <v>200020</v>
      </c>
      <c r="BZ5" s="1396">
        <f>200000+128+42</f>
        <v>200170</v>
      </c>
      <c r="CA5" s="705">
        <f>200000+128+42</f>
        <v>200170</v>
      </c>
      <c r="CB5" s="498">
        <v>200020</v>
      </c>
      <c r="CC5" s="498">
        <v>200020</v>
      </c>
      <c r="CD5" s="503"/>
      <c r="CE5" s="503"/>
      <c r="CF5" s="498">
        <f>200000+20</f>
        <v>200020</v>
      </c>
      <c r="CG5" s="498">
        <f>200000+20</f>
        <v>200020</v>
      </c>
      <c r="CH5" s="1026">
        <f>200000+128*4+34</f>
        <v>200546</v>
      </c>
      <c r="CI5" s="1026">
        <f>200000+128*4+34</f>
        <v>200546</v>
      </c>
      <c r="CJ5" s="498">
        <f>200000+20</f>
        <v>200020</v>
      </c>
      <c r="CK5" s="498">
        <f>200000+20</f>
        <v>200020</v>
      </c>
      <c r="CL5" s="498">
        <v>200000</v>
      </c>
      <c r="CM5" s="536"/>
      <c r="CN5" s="498">
        <v>200000</v>
      </c>
      <c r="CO5" s="498">
        <f>200000+20</f>
        <v>200020</v>
      </c>
      <c r="CP5" s="1397">
        <f>200000+20+0.065</f>
        <v>200020.065</v>
      </c>
      <c r="CQ5" s="1026">
        <f>200000+128*4+34</f>
        <v>200546</v>
      </c>
      <c r="CR5" s="1026">
        <f>200000+128*4+34</f>
        <v>200546</v>
      </c>
      <c r="CS5" s="498">
        <f>200000+20</f>
        <v>200020</v>
      </c>
      <c r="CT5" s="498">
        <f>200000+20</f>
        <v>200020</v>
      </c>
      <c r="CU5" s="498">
        <f>200000+20</f>
        <v>200020</v>
      </c>
      <c r="CV5" s="810">
        <f>200000+128*9+59</f>
        <v>201211</v>
      </c>
      <c r="CW5" s="810">
        <f>200000+128*9+60</f>
        <v>201212</v>
      </c>
      <c r="CX5" s="707">
        <f>128*14+116</f>
        <v>1908</v>
      </c>
      <c r="CY5" s="498">
        <v>200020</v>
      </c>
      <c r="CZ5" s="1378"/>
      <c r="DA5" s="503">
        <v>35</v>
      </c>
      <c r="DB5" s="1386"/>
      <c r="DC5" s="498">
        <v>200020</v>
      </c>
      <c r="DD5" s="503"/>
      <c r="DE5" s="503"/>
      <c r="DF5" s="535">
        <f>128*9+34</f>
        <v>1186</v>
      </c>
      <c r="DG5" s="503"/>
      <c r="DH5" s="503"/>
      <c r="DI5" s="503"/>
      <c r="DJ5" s="503"/>
      <c r="DK5" s="759">
        <f>460000+128*6+17</f>
        <v>460785</v>
      </c>
      <c r="DL5" s="760">
        <f>460000+128*9+25</f>
        <v>461177</v>
      </c>
      <c r="DM5" s="759">
        <f>460000+128*6+17</f>
        <v>460785</v>
      </c>
      <c r="DN5" s="759">
        <f>460000+128*6+17</f>
        <v>460785</v>
      </c>
      <c r="DO5" s="759">
        <f>460000+128*9+25</f>
        <v>461177</v>
      </c>
      <c r="DP5" s="535">
        <f>128*4+47</f>
        <v>559</v>
      </c>
      <c r="DQ5" s="1379"/>
      <c r="DR5" s="1380">
        <f>128*9+33</f>
        <v>1185</v>
      </c>
      <c r="DS5" s="1380">
        <f>128*9+33+0.114</f>
        <v>1185.114</v>
      </c>
      <c r="DT5" s="1381"/>
      <c r="DU5" s="1380">
        <f t="shared" ref="DU5:DW6" si="4">128*9+33+0.114</f>
        <v>1185.114</v>
      </c>
      <c r="DV5" s="1380">
        <f t="shared" si="4"/>
        <v>1185.114</v>
      </c>
      <c r="DW5" s="1382">
        <f t="shared" si="4"/>
        <v>1185.114</v>
      </c>
      <c r="DX5" s="498">
        <f t="shared" si="2"/>
        <v>220022</v>
      </c>
      <c r="DY5" s="499"/>
      <c r="DZ5" s="499"/>
      <c r="EA5" s="499"/>
      <c r="EB5" s="499"/>
      <c r="EC5" s="800" t="s">
        <v>979</v>
      </c>
      <c r="ED5" s="499">
        <f>CP5</f>
        <v>200020.065</v>
      </c>
      <c r="EE5" s="499"/>
      <c r="EF5" s="499"/>
      <c r="EK5" s="1875">
        <v>1</v>
      </c>
      <c r="EL5" s="1876">
        <v>5</v>
      </c>
      <c r="EM5" s="1876" t="s">
        <v>670</v>
      </c>
      <c r="IU5" s="499" t="s">
        <v>631</v>
      </c>
      <c r="IV5" s="499">
        <v>32</v>
      </c>
    </row>
    <row r="6" spans="1:256" ht="13.5" customHeight="1" thickBot="1">
      <c r="A6" s="499">
        <v>24</v>
      </c>
      <c r="B6" s="498">
        <v>240024</v>
      </c>
      <c r="C6" s="498">
        <v>240024</v>
      </c>
      <c r="D6" s="498">
        <v>240024</v>
      </c>
      <c r="E6" s="2259">
        <v>24</v>
      </c>
      <c r="F6" s="1703"/>
      <c r="G6" s="1711"/>
      <c r="H6" s="1703"/>
      <c r="I6" s="2257">
        <v>24</v>
      </c>
      <c r="J6" s="1703"/>
      <c r="K6" s="2257">
        <v>24</v>
      </c>
      <c r="L6" s="1712"/>
      <c r="M6" s="1703">
        <f>128*6+4</f>
        <v>772</v>
      </c>
      <c r="N6" s="498">
        <v>240024</v>
      </c>
      <c r="O6" s="1703"/>
      <c r="P6" s="534">
        <f>128*4+39</f>
        <v>551</v>
      </c>
      <c r="Q6" s="503"/>
      <c r="R6" s="518"/>
      <c r="S6" s="503"/>
      <c r="T6" s="503"/>
      <c r="U6" s="514">
        <v>24</v>
      </c>
      <c r="V6" s="503">
        <f>128*9+18</f>
        <v>1170</v>
      </c>
      <c r="W6" s="503">
        <f>128*9+21</f>
        <v>1173</v>
      </c>
      <c r="X6" s="514">
        <v>24</v>
      </c>
      <c r="Y6" s="514">
        <v>31</v>
      </c>
      <c r="Z6" s="503">
        <f>128*9+22</f>
        <v>1174</v>
      </c>
      <c r="AA6" s="504">
        <v>21</v>
      </c>
      <c r="AB6" s="503"/>
      <c r="AC6" s="503"/>
      <c r="AD6" s="498">
        <v>190019</v>
      </c>
      <c r="AE6" s="1705">
        <f>128*9+8+0.5+0.384+0.003</f>
        <v>1160.8869999999999</v>
      </c>
      <c r="AF6" s="1703">
        <f>128*9+8</f>
        <v>1160</v>
      </c>
      <c r="AG6" s="698">
        <f>190019+0.134</f>
        <v>190019.13399999999</v>
      </c>
      <c r="AH6" s="1703">
        <f>128*9+8+0.256+0.035</f>
        <v>1160.2910000000002</v>
      </c>
      <c r="AI6" s="1703">
        <f>128*9+8+0.384+0.003</f>
        <v>1160.3869999999999</v>
      </c>
      <c r="AJ6" s="1703">
        <f>128*9+8</f>
        <v>1160</v>
      </c>
      <c r="AK6" s="1703">
        <f>128*9+8</f>
        <v>1160</v>
      </c>
      <c r="AL6" s="498">
        <v>190019</v>
      </c>
      <c r="AM6" s="768">
        <f>128*9+50</f>
        <v>1202</v>
      </c>
      <c r="AN6" s="769">
        <f>128*9+51</f>
        <v>1203</v>
      </c>
      <c r="AO6" s="768">
        <f>128*9+51</f>
        <v>1203</v>
      </c>
      <c r="AP6" s="769">
        <f>128*9+51</f>
        <v>1203</v>
      </c>
      <c r="AQ6" s="504">
        <f>128*9+8</f>
        <v>1160</v>
      </c>
      <c r="AR6" s="498">
        <v>190019</v>
      </c>
      <c r="AS6" s="498">
        <v>190019</v>
      </c>
      <c r="AT6" s="498">
        <v>190019</v>
      </c>
      <c r="AU6" s="504"/>
      <c r="AV6" s="504"/>
      <c r="AW6" s="752">
        <f>0.256+0.005</f>
        <v>0.26100000000000001</v>
      </c>
      <c r="AX6" s="498">
        <v>190019</v>
      </c>
      <c r="AY6" s="3111">
        <f>200000+128*17+4</f>
        <v>202180</v>
      </c>
      <c r="AZ6" s="3111">
        <f>200000+128*17+4</f>
        <v>202180</v>
      </c>
      <c r="BA6" s="517">
        <v>200020</v>
      </c>
      <c r="BB6" s="517">
        <v>200020</v>
      </c>
      <c r="BC6" s="517">
        <v>200020</v>
      </c>
      <c r="BD6" s="517">
        <v>200020</v>
      </c>
      <c r="BE6" s="525">
        <f>10000*20+128*5+35</f>
        <v>200675</v>
      </c>
      <c r="BF6" s="517">
        <v>200020</v>
      </c>
      <c r="BG6" s="517">
        <v>200020</v>
      </c>
      <c r="BH6" s="517">
        <v>200020</v>
      </c>
      <c r="BI6" s="505">
        <v>200020</v>
      </c>
      <c r="BJ6" s="2889">
        <f>200020+0.065</f>
        <v>200020.065</v>
      </c>
      <c r="BK6" s="499">
        <v>20</v>
      </c>
      <c r="BL6" s="1398">
        <f>128*5+39</f>
        <v>679</v>
      </c>
      <c r="BM6" s="499">
        <v>20</v>
      </c>
      <c r="BN6" s="504">
        <v>20</v>
      </c>
      <c r="BO6" s="504">
        <v>20</v>
      </c>
      <c r="BP6" s="511"/>
      <c r="BQ6" s="514"/>
      <c r="BR6" s="514"/>
      <c r="BS6" s="514"/>
      <c r="BT6" s="514"/>
      <c r="BU6" s="504">
        <v>35</v>
      </c>
      <c r="BV6" s="1399">
        <f>128*4+39+0.256+0.015</f>
        <v>551.27099999999996</v>
      </c>
      <c r="BW6" s="2884">
        <v>200020</v>
      </c>
      <c r="BX6" s="505">
        <v>200020</v>
      </c>
      <c r="BY6" s="503">
        <v>3.0000000000000001E-3</v>
      </c>
      <c r="BZ6" s="503"/>
      <c r="CA6" s="503"/>
      <c r="CB6" s="503"/>
      <c r="CC6" s="503"/>
      <c r="CD6" s="503"/>
      <c r="CE6" s="503"/>
      <c r="CF6" s="513"/>
      <c r="CG6" s="513"/>
      <c r="CH6" s="513"/>
      <c r="CI6" s="513"/>
      <c r="CJ6" s="513"/>
      <c r="CK6" s="513"/>
      <c r="CL6" s="504"/>
      <c r="CM6" s="503">
        <f>128*9+6</f>
        <v>1158</v>
      </c>
      <c r="CN6" s="504"/>
      <c r="CO6" s="513"/>
      <c r="CP6" s="513"/>
      <c r="CQ6" s="513"/>
      <c r="CR6" s="513"/>
      <c r="CS6" s="513"/>
      <c r="CT6" s="513"/>
      <c r="CU6" s="498">
        <f>200000+20</f>
        <v>200020</v>
      </c>
      <c r="CV6" s="498">
        <f>200000+20</f>
        <v>200020</v>
      </c>
      <c r="CW6" s="498">
        <f>200000+20</f>
        <v>200020</v>
      </c>
      <c r="CX6" s="498">
        <f>200000+20</f>
        <v>200020</v>
      </c>
      <c r="CY6" s="498">
        <v>200020</v>
      </c>
      <c r="CZ6" s="1378"/>
      <c r="DA6" s="1378">
        <f>0.019</f>
        <v>1.9E-2</v>
      </c>
      <c r="DB6" s="1386"/>
      <c r="DC6" s="498">
        <v>200020</v>
      </c>
      <c r="DD6" s="503"/>
      <c r="DE6" s="503"/>
      <c r="DF6" s="535">
        <f>128*9+34</f>
        <v>1186</v>
      </c>
      <c r="DG6" s="503"/>
      <c r="DH6" s="503"/>
      <c r="DI6" s="503">
        <f>128*6+1</f>
        <v>769</v>
      </c>
      <c r="DJ6" s="759">
        <f>460000+128*6+17</f>
        <v>460785</v>
      </c>
      <c r="DK6" s="759">
        <f>460000+128*9+25</f>
        <v>461177</v>
      </c>
      <c r="DL6" s="759">
        <f>460000+128*6+17</f>
        <v>460785</v>
      </c>
      <c r="DM6" s="759">
        <f>460000+128*6+17</f>
        <v>460785</v>
      </c>
      <c r="DN6" s="759">
        <f>460000+128*6+17</f>
        <v>460785</v>
      </c>
      <c r="DO6" s="759">
        <f>460000+128*6+17</f>
        <v>460785</v>
      </c>
      <c r="DP6" s="535">
        <f>128*4+47</f>
        <v>559</v>
      </c>
      <c r="DQ6" s="1379"/>
      <c r="DR6" s="1380">
        <f>128*9+33+0.114</f>
        <v>1185.114</v>
      </c>
      <c r="DS6" s="1380">
        <f>128*9+33+0.114</f>
        <v>1185.114</v>
      </c>
      <c r="DT6" s="1381"/>
      <c r="DU6" s="1380">
        <f t="shared" si="4"/>
        <v>1185.114</v>
      </c>
      <c r="DV6" s="1380">
        <f t="shared" si="4"/>
        <v>1185.114</v>
      </c>
      <c r="DW6" s="1382">
        <f t="shared" si="4"/>
        <v>1185.114</v>
      </c>
      <c r="DX6" s="498">
        <f t="shared" si="2"/>
        <v>220022</v>
      </c>
      <c r="DY6" s="499"/>
      <c r="DZ6" s="499"/>
      <c r="EA6" s="499"/>
      <c r="EB6" s="499"/>
      <c r="EC6" s="800"/>
      <c r="ED6" s="499">
        <f>CE12</f>
        <v>210021.065</v>
      </c>
      <c r="EE6" s="499"/>
      <c r="EF6" s="499"/>
      <c r="EK6" s="1876">
        <v>2</v>
      </c>
      <c r="EL6" s="1876">
        <v>6</v>
      </c>
      <c r="EM6" s="1876" t="s">
        <v>670</v>
      </c>
      <c r="IU6" s="499" t="s">
        <v>669</v>
      </c>
      <c r="IV6" s="499">
        <v>4</v>
      </c>
    </row>
    <row r="7" spans="1:256" ht="13.5" customHeight="1" thickTop="1" thickBot="1">
      <c r="A7" s="499">
        <v>20</v>
      </c>
      <c r="B7" s="503">
        <f>128*6+3</f>
        <v>771</v>
      </c>
      <c r="C7" s="503"/>
      <c r="D7" s="503">
        <f>128*6+3</f>
        <v>771</v>
      </c>
      <c r="E7" s="528">
        <f>240024+0.11</f>
        <v>240024.11</v>
      </c>
      <c r="F7" s="1708">
        <f>128*9+21+0.5+0.256+0.0206</f>
        <v>1173.7766000000001</v>
      </c>
      <c r="G7" s="1703"/>
      <c r="H7" s="1703"/>
      <c r="I7" s="1703"/>
      <c r="J7" s="1703"/>
      <c r="K7" s="1703"/>
      <c r="L7" s="1703">
        <v>4.4000000000000003E-3</v>
      </c>
      <c r="M7" s="1703">
        <f>128*9+23+0.0204</f>
        <v>1175.0204000000001</v>
      </c>
      <c r="N7" s="498">
        <v>240024</v>
      </c>
      <c r="O7" s="1703"/>
      <c r="P7" s="534">
        <f>128*4+39</f>
        <v>551</v>
      </c>
      <c r="Q7" s="503"/>
      <c r="R7" s="503"/>
      <c r="S7" s="503"/>
      <c r="T7" s="503"/>
      <c r="U7" s="503">
        <f>128*9+19+0.5+0.256+0.005+0.0007</f>
        <v>1171.7617000000002</v>
      </c>
      <c r="V7" s="503">
        <f>128*9+19</f>
        <v>1171</v>
      </c>
      <c r="W7" s="503">
        <f>128*9+22</f>
        <v>1174</v>
      </c>
      <c r="X7" s="503">
        <f>128*9+19</f>
        <v>1171</v>
      </c>
      <c r="Y7" s="503">
        <f>128*9+18</f>
        <v>1170</v>
      </c>
      <c r="Z7" s="503">
        <f>128*9+18</f>
        <v>1170</v>
      </c>
      <c r="AA7" s="504">
        <v>21</v>
      </c>
      <c r="AB7" s="503"/>
      <c r="AC7" s="503"/>
      <c r="AD7" s="498">
        <v>190019</v>
      </c>
      <c r="AE7" s="1703">
        <f>128*9+51</f>
        <v>1203</v>
      </c>
      <c r="AF7" s="1703">
        <f>128*9+50</f>
        <v>1202</v>
      </c>
      <c r="AG7" s="498">
        <v>190019</v>
      </c>
      <c r="AH7" s="501">
        <f>128*9+8+0.5+0.256+0.009</f>
        <v>1160.7650000000001</v>
      </c>
      <c r="AI7" s="1703">
        <f>128*9+19+0.5+0.256+0.005</f>
        <v>1171.7610000000002</v>
      </c>
      <c r="AJ7" s="498">
        <v>190019</v>
      </c>
      <c r="AK7" s="1703">
        <f>128*9+8+0.5+0.256+0.01</f>
        <v>1160.7660000000001</v>
      </c>
      <c r="AL7" s="498">
        <v>190019</v>
      </c>
      <c r="AM7" s="504">
        <f>128*9+8+0.03</f>
        <v>1160.03</v>
      </c>
      <c r="AN7" s="504">
        <f>128*9+8</f>
        <v>1160</v>
      </c>
      <c r="AO7" s="527">
        <f>128*9+8+0.5+0.384+0.003</f>
        <v>1160.8869999999999</v>
      </c>
      <c r="AP7" s="504">
        <f>128*9+8</f>
        <v>1160</v>
      </c>
      <c r="AQ7" s="504">
        <f>128*9+8</f>
        <v>1160</v>
      </c>
      <c r="AR7" s="498">
        <v>190019</v>
      </c>
      <c r="AS7" s="498">
        <v>190019</v>
      </c>
      <c r="AT7" s="498">
        <v>190019</v>
      </c>
      <c r="AU7" s="504"/>
      <c r="AV7" s="504"/>
      <c r="AW7" s="752">
        <f>128*14+5</f>
        <v>1797</v>
      </c>
      <c r="AX7" s="1715">
        <f>190019+0.065</f>
        <v>190019.065</v>
      </c>
      <c r="AY7" s="1396">
        <f>190000+128+42</f>
        <v>190170</v>
      </c>
      <c r="AZ7" s="705">
        <f>190000+128+42</f>
        <v>190170</v>
      </c>
      <c r="BA7" s="498">
        <v>200020</v>
      </c>
      <c r="BB7" s="498">
        <v>200020</v>
      </c>
      <c r="BC7" s="498">
        <v>200020</v>
      </c>
      <c r="BD7" s="498">
        <v>200020</v>
      </c>
      <c r="BE7" s="1401">
        <f>10000*20</f>
        <v>200000</v>
      </c>
      <c r="BF7" s="498">
        <v>200020</v>
      </c>
      <c r="BG7" s="498">
        <v>200020</v>
      </c>
      <c r="BH7" s="498">
        <v>200020</v>
      </c>
      <c r="BI7" s="505">
        <v>200020</v>
      </c>
      <c r="BJ7" s="2840"/>
      <c r="BK7" s="511"/>
      <c r="BL7" s="511"/>
      <c r="BM7" s="511"/>
      <c r="BN7" s="511"/>
      <c r="BO7" s="511"/>
      <c r="BP7" s="511"/>
      <c r="BQ7" s="514"/>
      <c r="BR7" s="514"/>
      <c r="BS7" s="514"/>
      <c r="BT7" s="514"/>
      <c r="BU7" s="757">
        <f>128*3+32</f>
        <v>416</v>
      </c>
      <c r="BV7" s="1402"/>
      <c r="BW7" s="2885">
        <f>200020+0.065</f>
        <v>200020.065</v>
      </c>
      <c r="BX7" s="505">
        <v>200020</v>
      </c>
      <c r="BY7" s="503"/>
      <c r="BZ7" s="503"/>
      <c r="CA7" s="503"/>
      <c r="CB7" s="503"/>
      <c r="CC7" s="503"/>
      <c r="CD7" s="503"/>
      <c r="CE7" s="503"/>
      <c r="CF7" s="513"/>
      <c r="CG7" s="513"/>
      <c r="CH7" s="513"/>
      <c r="CI7" s="513"/>
      <c r="CJ7" s="513"/>
      <c r="CK7" s="513"/>
      <c r="CL7" s="513"/>
      <c r="CM7" s="513">
        <f>128*9+6</f>
        <v>1158</v>
      </c>
      <c r="CN7" s="513"/>
      <c r="CO7" s="513"/>
      <c r="CP7" s="513"/>
      <c r="CQ7" s="513"/>
      <c r="CR7" s="513"/>
      <c r="CS7" s="513"/>
      <c r="CT7" s="513"/>
      <c r="CU7" s="503"/>
      <c r="CV7" s="503"/>
      <c r="CW7" s="503"/>
      <c r="CX7" s="503"/>
      <c r="CY7" s="498">
        <v>200020</v>
      </c>
      <c r="CZ7" s="1378"/>
      <c r="DA7" s="503">
        <v>35</v>
      </c>
      <c r="DB7" s="1386"/>
      <c r="DC7" s="498">
        <v>200020</v>
      </c>
      <c r="DD7" s="503"/>
      <c r="DE7" s="503"/>
      <c r="DF7" s="535">
        <f>128*9+34</f>
        <v>1186</v>
      </c>
      <c r="DG7" s="503"/>
      <c r="DH7" s="503"/>
      <c r="DI7" s="503"/>
      <c r="DJ7" s="503">
        <f>128*6+1</f>
        <v>769</v>
      </c>
      <c r="DK7" s="503">
        <f>128*9+25</f>
        <v>1177</v>
      </c>
      <c r="DL7" s="759">
        <f>460000+128*6+17</f>
        <v>460785</v>
      </c>
      <c r="DM7" s="759"/>
      <c r="DN7" s="759">
        <f>460000+128*6+17</f>
        <v>460785</v>
      </c>
      <c r="DO7" s="760">
        <f>460000+128*6+17</f>
        <v>460785</v>
      </c>
      <c r="DP7" s="503">
        <f>128*6+1</f>
        <v>769</v>
      </c>
      <c r="DQ7" s="1403">
        <f>10000*21+21</f>
        <v>210021</v>
      </c>
      <c r="DR7" s="1379"/>
      <c r="DS7" s="1379"/>
      <c r="DT7" s="1381"/>
      <c r="DU7" s="1379"/>
      <c r="DV7" s="1379"/>
      <c r="DW7" s="1404"/>
      <c r="DX7" s="498">
        <f t="shared" si="2"/>
        <v>220022</v>
      </c>
      <c r="DY7" s="499"/>
      <c r="DZ7" s="499"/>
      <c r="EA7" s="499"/>
      <c r="EB7" s="499"/>
      <c r="EC7" s="800"/>
      <c r="ED7" s="499">
        <f>BW7</f>
        <v>200020.065</v>
      </c>
      <c r="EE7" s="499"/>
      <c r="EF7" s="499"/>
      <c r="EK7" s="1876">
        <v>3</v>
      </c>
      <c r="EL7" s="1876">
        <v>7</v>
      </c>
      <c r="EM7" s="1876" t="s">
        <v>670</v>
      </c>
      <c r="IU7" s="499" t="s">
        <v>866</v>
      </c>
      <c r="IV7" s="499">
        <v>7</v>
      </c>
    </row>
    <row r="8" spans="1:256" ht="13.5" customHeight="1" thickTop="1" thickBot="1">
      <c r="A8" s="499">
        <v>20</v>
      </c>
      <c r="B8" s="503"/>
      <c r="C8" s="503"/>
      <c r="D8" s="503"/>
      <c r="E8" s="498">
        <v>240024</v>
      </c>
      <c r="F8" s="498">
        <v>240024</v>
      </c>
      <c r="G8" s="498">
        <v>240024</v>
      </c>
      <c r="H8" s="498">
        <v>240024</v>
      </c>
      <c r="I8" s="498">
        <v>240024</v>
      </c>
      <c r="J8" s="1728">
        <f>240000+128*5+35</f>
        <v>240675</v>
      </c>
      <c r="K8" s="498">
        <v>240024</v>
      </c>
      <c r="L8" s="498">
        <v>240024</v>
      </c>
      <c r="M8" s="498">
        <v>240024</v>
      </c>
      <c r="N8" s="498">
        <v>240024</v>
      </c>
      <c r="O8" s="501"/>
      <c r="P8" s="534">
        <f>128*4+39</f>
        <v>551</v>
      </c>
      <c r="Q8" s="503"/>
      <c r="R8" s="503"/>
      <c r="S8" s="503"/>
      <c r="T8" s="503"/>
      <c r="U8" s="498">
        <v>210021</v>
      </c>
      <c r="V8" s="498">
        <v>210021</v>
      </c>
      <c r="W8" s="498">
        <v>210021</v>
      </c>
      <c r="X8" s="498">
        <v>210021</v>
      </c>
      <c r="Y8" s="498">
        <v>210021</v>
      </c>
      <c r="Z8" s="498">
        <v>210021</v>
      </c>
      <c r="AA8" s="498">
        <v>210021</v>
      </c>
      <c r="AB8" s="503"/>
      <c r="AC8" s="503"/>
      <c r="AD8" s="498">
        <f>190019+0.133</f>
        <v>190019.133</v>
      </c>
      <c r="AE8" s="1703"/>
      <c r="AF8" s="1703">
        <f>128*14+12</f>
        <v>1804</v>
      </c>
      <c r="AG8" s="498">
        <v>190019</v>
      </c>
      <c r="AH8" s="498">
        <v>190019</v>
      </c>
      <c r="AI8" s="498">
        <v>190019</v>
      </c>
      <c r="AJ8" s="498">
        <v>190019</v>
      </c>
      <c r="AK8" s="1716">
        <f>190019+0.107</f>
        <v>190019.10699999999</v>
      </c>
      <c r="AL8" s="498">
        <v>190019</v>
      </c>
      <c r="AM8" s="498">
        <v>190019</v>
      </c>
      <c r="AN8" s="498">
        <v>190019</v>
      </c>
      <c r="AO8" s="498">
        <v>190019</v>
      </c>
      <c r="AP8" s="498">
        <v>190019</v>
      </c>
      <c r="AQ8" s="498">
        <v>190019</v>
      </c>
      <c r="AR8" s="677">
        <v>190033</v>
      </c>
      <c r="AS8" s="498">
        <v>190019</v>
      </c>
      <c r="AT8" s="498">
        <v>190019</v>
      </c>
      <c r="AU8" s="1405">
        <f>128*4+34+0.256+0.0252</f>
        <v>546.28120000000001</v>
      </c>
      <c r="AV8" s="1405">
        <f>128*4+34</f>
        <v>546</v>
      </c>
      <c r="AW8" s="1405">
        <f>128*4+34</f>
        <v>546</v>
      </c>
      <c r="AX8" s="498">
        <v>190019</v>
      </c>
      <c r="AY8" s="503"/>
      <c r="AZ8" s="503"/>
      <c r="BA8" s="498">
        <v>200020</v>
      </c>
      <c r="BB8" s="2843"/>
      <c r="BC8" s="2839"/>
      <c r="BD8" s="2840">
        <f>128*3+32</f>
        <v>416</v>
      </c>
      <c r="BE8" s="2840">
        <f>128*3+32</f>
        <v>416</v>
      </c>
      <c r="BF8" s="2840"/>
      <c r="BG8" s="2844"/>
      <c r="BH8" s="498">
        <v>200020</v>
      </c>
      <c r="BI8" s="505">
        <v>200020</v>
      </c>
      <c r="BJ8" s="2840"/>
      <c r="BK8" s="511"/>
      <c r="BL8" s="511">
        <f>128*3+32</f>
        <v>416</v>
      </c>
      <c r="BM8" s="511"/>
      <c r="BN8" s="511"/>
      <c r="BO8" s="511"/>
      <c r="BP8" s="511"/>
      <c r="BQ8" s="511"/>
      <c r="BR8" s="514"/>
      <c r="BS8" s="514"/>
      <c r="BT8" s="514"/>
      <c r="BU8" s="504">
        <v>35</v>
      </c>
      <c r="BV8" s="1406">
        <f>128*4+39+0.256+0.016</f>
        <v>551.27199999999993</v>
      </c>
      <c r="BW8" s="2884">
        <v>200020</v>
      </c>
      <c r="BX8" s="505">
        <v>200020</v>
      </c>
      <c r="BY8" s="503"/>
      <c r="BZ8" s="503"/>
      <c r="CA8" s="503"/>
      <c r="CB8" s="503"/>
      <c r="CC8" s="511"/>
      <c r="CD8" s="511"/>
      <c r="CE8" s="514"/>
      <c r="CF8" s="513"/>
      <c r="CG8" s="513"/>
      <c r="CH8" s="513"/>
      <c r="CI8" s="513"/>
      <c r="CJ8" s="513"/>
      <c r="CK8" s="513"/>
      <c r="CL8" s="513"/>
      <c r="CM8" s="513">
        <f>128*9+6</f>
        <v>1158</v>
      </c>
      <c r="CN8" s="513"/>
      <c r="CO8" s="513"/>
      <c r="CP8" s="513"/>
      <c r="CQ8" s="513"/>
      <c r="CR8" s="513"/>
      <c r="CS8" s="513"/>
      <c r="CT8" s="513"/>
      <c r="CU8" s="535">
        <f>128*4+39+0.139</f>
        <v>551.13900000000001</v>
      </c>
      <c r="CV8" s="3834"/>
      <c r="CW8" s="503"/>
      <c r="CX8" s="503"/>
      <c r="CY8" s="498">
        <v>200020</v>
      </c>
      <c r="CZ8" s="1378"/>
      <c r="DA8" s="1378"/>
      <c r="DB8" s="1386"/>
      <c r="DC8" s="498">
        <v>200020</v>
      </c>
      <c r="DD8" s="503"/>
      <c r="DE8" s="503"/>
      <c r="DF8" s="535">
        <f>128*9+34</f>
        <v>1186</v>
      </c>
      <c r="DG8" s="503"/>
      <c r="DH8" s="503"/>
      <c r="DI8" s="503"/>
      <c r="DJ8" s="503"/>
      <c r="DK8" s="2705">
        <f>128*6+1</f>
        <v>769</v>
      </c>
      <c r="DL8" s="759">
        <f>460000+128*9+25</f>
        <v>461177</v>
      </c>
      <c r="DM8" s="760">
        <f>460000+128*6+17</f>
        <v>460785</v>
      </c>
      <c r="DN8" s="759">
        <f>460000+128*6+17</f>
        <v>460785</v>
      </c>
      <c r="DO8" s="759">
        <f>460000+128*6+17</f>
        <v>460785</v>
      </c>
      <c r="DP8" s="503">
        <f>128*9+25</f>
        <v>1177</v>
      </c>
      <c r="DQ8" s="532"/>
      <c r="DR8" s="532">
        <f>128*4+47</f>
        <v>559</v>
      </c>
      <c r="DS8" s="532">
        <f>128*4+47</f>
        <v>559</v>
      </c>
      <c r="DT8" s="532">
        <f>128*9+32</f>
        <v>1184</v>
      </c>
      <c r="DU8" s="532">
        <f>128*4+47</f>
        <v>559</v>
      </c>
      <c r="DV8" s="532">
        <f>128*4+47</f>
        <v>559</v>
      </c>
      <c r="DW8" s="532">
        <f>128*4+47</f>
        <v>559</v>
      </c>
      <c r="DX8" s="498">
        <f t="shared" si="2"/>
        <v>220022</v>
      </c>
      <c r="DY8" s="499"/>
      <c r="DZ8" s="499"/>
      <c r="EA8" s="499"/>
      <c r="EB8" s="499"/>
      <c r="EC8" s="499"/>
      <c r="ED8" s="499">
        <f>U39</f>
        <v>11.065</v>
      </c>
      <c r="EE8" s="499"/>
      <c r="EF8" s="499"/>
      <c r="EK8" s="1876">
        <v>4</v>
      </c>
      <c r="EL8" s="1876">
        <v>8</v>
      </c>
      <c r="EM8" s="1876">
        <f>U39</f>
        <v>11.065</v>
      </c>
      <c r="IU8" s="499" t="s">
        <v>867</v>
      </c>
      <c r="IV8" s="499">
        <v>79</v>
      </c>
    </row>
    <row r="9" spans="1:256" ht="13.5" customHeight="1" thickTop="1" thickBot="1">
      <c r="A9" s="499">
        <v>20</v>
      </c>
      <c r="B9" s="518"/>
      <c r="C9" s="503"/>
      <c r="D9" s="503"/>
      <c r="E9" s="503"/>
      <c r="F9" s="503"/>
      <c r="G9" s="518"/>
      <c r="H9" s="503"/>
      <c r="I9" s="503"/>
      <c r="J9" s="3589"/>
      <c r="K9" s="3589"/>
      <c r="L9" s="3589"/>
      <c r="M9" s="3589"/>
      <c r="N9" s="3589"/>
      <c r="O9" s="3589"/>
      <c r="P9" s="503"/>
      <c r="Q9" s="503"/>
      <c r="R9" s="503"/>
      <c r="S9" s="503"/>
      <c r="T9" s="518"/>
      <c r="U9" s="535">
        <f t="shared" ref="U9:U21" si="5">128*9+34</f>
        <v>1186</v>
      </c>
      <c r="V9" s="503"/>
      <c r="W9" s="503"/>
      <c r="X9" s="1408">
        <f>21+0.065</f>
        <v>21.065000000000001</v>
      </c>
      <c r="Y9" s="537">
        <f>128*14+5</f>
        <v>1797</v>
      </c>
      <c r="Z9" s="537"/>
      <c r="AA9" s="503"/>
      <c r="AB9" s="503"/>
      <c r="AC9" s="503"/>
      <c r="AD9" s="498">
        <v>190019</v>
      </c>
      <c r="AE9" s="677">
        <f>190019+0.107</f>
        <v>190019.10699999999</v>
      </c>
      <c r="AF9" s="1717">
        <f>128*5+41</f>
        <v>681</v>
      </c>
      <c r="AG9" s="677">
        <f>190019+0.108</f>
        <v>190019.10800000001</v>
      </c>
      <c r="AH9" s="504">
        <v>200020</v>
      </c>
      <c r="AI9" s="504">
        <v>200020</v>
      </c>
      <c r="AJ9" s="504">
        <v>200020</v>
      </c>
      <c r="AK9" s="504">
        <v>200020</v>
      </c>
      <c r="AL9" s="504">
        <v>200020</v>
      </c>
      <c r="AM9" s="3109">
        <f>128*17+3+0.384+0.003+0.0005</f>
        <v>2179.3875000000003</v>
      </c>
      <c r="AN9" s="504">
        <v>200020</v>
      </c>
      <c r="AO9" s="503"/>
      <c r="AP9" s="503"/>
      <c r="AQ9" s="498">
        <v>200020</v>
      </c>
      <c r="AR9" s="1409">
        <f>200000+128+33</f>
        <v>200161</v>
      </c>
      <c r="AS9" s="498">
        <v>200020</v>
      </c>
      <c r="AT9" s="503"/>
      <c r="AU9" s="503"/>
      <c r="AV9" s="503"/>
      <c r="AW9" s="503"/>
      <c r="AX9" s="503"/>
      <c r="AY9" s="503"/>
      <c r="AZ9" s="503"/>
      <c r="BA9" s="498">
        <v>200020</v>
      </c>
      <c r="BB9" s="2839"/>
      <c r="BC9" s="1123">
        <f>128*3+32</f>
        <v>416</v>
      </c>
      <c r="BD9" s="2841">
        <f>10000*42+42</f>
        <v>420042</v>
      </c>
      <c r="BE9" s="1123"/>
      <c r="BF9" s="2841">
        <f>10000*42+42</f>
        <v>420042</v>
      </c>
      <c r="BG9" s="2840">
        <f>128*3+32</f>
        <v>416</v>
      </c>
      <c r="BH9" s="498">
        <v>200020</v>
      </c>
      <c r="BI9" s="505">
        <v>200020</v>
      </c>
      <c r="BJ9" s="2840"/>
      <c r="BK9" s="2890">
        <v>190000</v>
      </c>
      <c r="BL9" s="511"/>
      <c r="BM9" s="511"/>
      <c r="BN9" s="2890">
        <v>190000</v>
      </c>
      <c r="BO9" s="511"/>
      <c r="BP9" s="511"/>
      <c r="BQ9" s="2890">
        <v>190000</v>
      </c>
      <c r="BR9" s="511"/>
      <c r="BS9" s="511"/>
      <c r="BT9" s="2891">
        <v>420000</v>
      </c>
      <c r="BU9" s="511"/>
      <c r="BV9" s="511"/>
      <c r="BW9" s="2884">
        <v>200020</v>
      </c>
      <c r="BX9" s="505">
        <v>200020</v>
      </c>
      <c r="BY9" s="503"/>
      <c r="BZ9" s="503"/>
      <c r="CA9" s="503"/>
      <c r="CB9" s="503"/>
      <c r="CC9" s="511"/>
      <c r="CD9" s="511"/>
      <c r="CE9" s="1410">
        <f>128*14+15</f>
        <v>1807</v>
      </c>
      <c r="CF9" s="513">
        <f>128*9+6</f>
        <v>1158</v>
      </c>
      <c r="CG9" s="513"/>
      <c r="CH9" s="513"/>
      <c r="CI9" s="513"/>
      <c r="CJ9" s="513"/>
      <c r="CK9" s="513"/>
      <c r="CL9" s="1411">
        <f>128*9+30+0.5+0.256+0.006</f>
        <v>1182.7620000000002</v>
      </c>
      <c r="CM9" s="513">
        <f>128*9+6</f>
        <v>1158</v>
      </c>
      <c r="CN9" s="513"/>
      <c r="CO9" s="513"/>
      <c r="CP9" s="513"/>
      <c r="CQ9" s="513"/>
      <c r="CR9" s="513"/>
      <c r="CS9" s="513"/>
      <c r="CT9" s="513"/>
      <c r="CU9" s="498">
        <v>240024</v>
      </c>
      <c r="CV9" s="3833">
        <f>240000+128*9+57</f>
        <v>241209</v>
      </c>
      <c r="CW9" s="498">
        <v>240024</v>
      </c>
      <c r="CX9" s="503"/>
      <c r="CY9" s="498">
        <v>200020</v>
      </c>
      <c r="CZ9" s="1378"/>
      <c r="DA9" s="1378"/>
      <c r="DB9" s="1386"/>
      <c r="DC9" s="498">
        <v>200020</v>
      </c>
      <c r="DD9" s="503"/>
      <c r="DE9" s="503">
        <v>9.2999999999999992E-3</v>
      </c>
      <c r="DF9" s="535">
        <f>128*9+34</f>
        <v>1186</v>
      </c>
      <c r="DG9" s="503">
        <f>128*9+25</f>
        <v>1177</v>
      </c>
      <c r="DH9" s="503"/>
      <c r="DI9" s="759">
        <f t="shared" ref="DI9:DO13" si="6">460000+128*6+17</f>
        <v>460785</v>
      </c>
      <c r="DJ9" s="759">
        <f>460000+128*9+25</f>
        <v>461177</v>
      </c>
      <c r="DK9" s="759">
        <f t="shared" si="6"/>
        <v>460785</v>
      </c>
      <c r="DL9" s="759">
        <f>460000+128*6+17</f>
        <v>460785</v>
      </c>
      <c r="DM9" s="759">
        <f>460000+128*6+17</f>
        <v>460785</v>
      </c>
      <c r="DN9" s="759">
        <f>460000+128*6+17</f>
        <v>460785</v>
      </c>
      <c r="DO9" s="759">
        <f>460000+128*9+25</f>
        <v>461177</v>
      </c>
      <c r="DP9" s="759">
        <f>460000+128*6+17</f>
        <v>460785</v>
      </c>
      <c r="DQ9" s="759">
        <f>460000+128*6+17</f>
        <v>460785</v>
      </c>
      <c r="DR9" s="503">
        <f>128*9+25</f>
        <v>1177</v>
      </c>
      <c r="DS9" s="518"/>
      <c r="DT9" s="1412"/>
      <c r="DU9" s="503"/>
      <c r="DV9" s="518"/>
      <c r="DW9" s="760">
        <f>460000+128*6+17</f>
        <v>460785</v>
      </c>
      <c r="DX9" s="498">
        <f t="shared" si="2"/>
        <v>220022</v>
      </c>
      <c r="DY9" s="499"/>
      <c r="DZ9" s="499"/>
      <c r="EA9" s="499"/>
      <c r="EB9" s="499"/>
      <c r="EC9" s="800" t="s">
        <v>978</v>
      </c>
      <c r="ED9" s="499">
        <f>N43</f>
        <v>200148</v>
      </c>
      <c r="EE9" s="499"/>
      <c r="EF9" s="499"/>
      <c r="EK9" s="1875">
        <v>1</v>
      </c>
      <c r="EL9" s="1876">
        <v>9</v>
      </c>
      <c r="EM9" s="1876">
        <f>L42</f>
        <v>200020.065</v>
      </c>
      <c r="IU9" s="499" t="s">
        <v>869</v>
      </c>
      <c r="IV9" s="499">
        <v>0</v>
      </c>
    </row>
    <row r="10" spans="1:256" ht="15" customHeight="1" thickTop="1" thickBot="1">
      <c r="A10" s="499">
        <v>20</v>
      </c>
      <c r="B10" s="503"/>
      <c r="C10" s="503"/>
      <c r="D10" s="518"/>
      <c r="E10" s="503"/>
      <c r="F10" s="503"/>
      <c r="G10" s="503"/>
      <c r="H10" s="503"/>
      <c r="I10" s="503"/>
      <c r="J10" s="3589"/>
      <c r="K10" s="518"/>
      <c r="L10" s="503"/>
      <c r="M10" s="503"/>
      <c r="N10" s="503"/>
      <c r="O10" s="518"/>
      <c r="P10" s="503"/>
      <c r="Q10" s="1703"/>
      <c r="R10" s="1703">
        <f>128*14+24+0.059+0.0002</f>
        <v>1816.0591999999999</v>
      </c>
      <c r="S10" s="1703"/>
      <c r="T10" s="503"/>
      <c r="U10" s="535">
        <f t="shared" si="5"/>
        <v>1186</v>
      </c>
      <c r="V10" s="503"/>
      <c r="W10" s="503"/>
      <c r="X10" s="504">
        <v>21</v>
      </c>
      <c r="Y10" s="504">
        <v>21</v>
      </c>
      <c r="Z10" s="532">
        <f>260000+128*4+39</f>
        <v>260551</v>
      </c>
      <c r="AA10" s="503"/>
      <c r="AB10" s="503"/>
      <c r="AC10" s="503"/>
      <c r="AD10" s="503"/>
      <c r="AE10" s="503"/>
      <c r="AF10" s="773"/>
      <c r="AG10" s="503"/>
      <c r="AH10" s="504">
        <v>200020</v>
      </c>
      <c r="AI10" s="504">
        <v>200020</v>
      </c>
      <c r="AJ10" s="776"/>
      <c r="AK10" s="776"/>
      <c r="AL10" s="504">
        <v>200020</v>
      </c>
      <c r="AM10" s="757">
        <f>10000*20+128+20</f>
        <v>200148</v>
      </c>
      <c r="AN10" s="1413">
        <f>10000*20+128+20</f>
        <v>200148</v>
      </c>
      <c r="AO10" s="503"/>
      <c r="AP10" s="503"/>
      <c r="AQ10" s="773">
        <f>128*14+7</f>
        <v>1799</v>
      </c>
      <c r="AR10" s="1414">
        <f t="shared" ref="AR10:AR19" si="7">128+33</f>
        <v>161</v>
      </c>
      <c r="AS10" s="773"/>
      <c r="AT10" s="503"/>
      <c r="AU10" s="503"/>
      <c r="AV10" s="518"/>
      <c r="AW10" s="503"/>
      <c r="AX10" s="503"/>
      <c r="AY10" s="503"/>
      <c r="AZ10" s="503"/>
      <c r="BA10" s="498">
        <v>200020</v>
      </c>
      <c r="BB10" s="2840"/>
      <c r="BC10" s="2840"/>
      <c r="BD10" s="2840"/>
      <c r="BE10" s="2840"/>
      <c r="BF10" s="2840"/>
      <c r="BG10" s="2842"/>
      <c r="BH10" s="498">
        <v>200020</v>
      </c>
      <c r="BI10" s="505">
        <v>200020</v>
      </c>
      <c r="BJ10" s="2840"/>
      <c r="BK10" s="511"/>
      <c r="BL10" s="511"/>
      <c r="BM10" s="511"/>
      <c r="BN10" s="511"/>
      <c r="BO10" s="511"/>
      <c r="BP10" s="511"/>
      <c r="BQ10" s="511"/>
      <c r="BR10" s="511"/>
      <c r="BS10" s="511"/>
      <c r="BT10" s="511"/>
      <c r="BU10" s="511"/>
      <c r="BV10" s="2883"/>
      <c r="BW10" s="505">
        <v>200020</v>
      </c>
      <c r="BX10" s="505">
        <v>200020</v>
      </c>
      <c r="BY10" s="503"/>
      <c r="BZ10" s="503"/>
      <c r="CA10" s="503"/>
      <c r="CB10" s="503"/>
      <c r="CC10" s="771">
        <f>10000*21+21</f>
        <v>210021</v>
      </c>
      <c r="CD10" s="527">
        <f>420000+128*4+34</f>
        <v>420546</v>
      </c>
      <c r="CE10" s="498">
        <f>10000*21+21</f>
        <v>210021</v>
      </c>
      <c r="CF10" s="513"/>
      <c r="CG10" s="513"/>
      <c r="CH10" s="513"/>
      <c r="CI10" s="513"/>
      <c r="CJ10" s="513"/>
      <c r="CK10" s="513"/>
      <c r="CL10" s="513"/>
      <c r="CM10" s="782">
        <f>128*9+6</f>
        <v>1158</v>
      </c>
      <c r="CN10" s="513"/>
      <c r="CO10" s="513"/>
      <c r="CP10" s="513"/>
      <c r="CQ10" s="513"/>
      <c r="CR10" s="513"/>
      <c r="CS10" s="513"/>
      <c r="CT10" s="513"/>
      <c r="CU10" s="498">
        <v>240024</v>
      </c>
      <c r="CV10" s="1705">
        <f>128*9+9+0.384+0.0085</f>
        <v>1161.3924999999999</v>
      </c>
      <c r="CW10" s="498">
        <v>240024</v>
      </c>
      <c r="CX10" s="503"/>
      <c r="CY10" s="498">
        <v>200020</v>
      </c>
      <c r="CZ10" s="1378"/>
      <c r="DA10" s="1378"/>
      <c r="DB10" s="1386"/>
      <c r="DC10" s="498">
        <v>200020</v>
      </c>
      <c r="DD10" s="503"/>
      <c r="DE10" s="498">
        <f>210000+21</f>
        <v>210021</v>
      </c>
      <c r="DF10" s="498">
        <f>210000+21</f>
        <v>210021</v>
      </c>
      <c r="DG10" s="503"/>
      <c r="DH10" s="503">
        <f>128*6+1</f>
        <v>769</v>
      </c>
      <c r="DI10" s="759">
        <f t="shared" si="6"/>
        <v>460785</v>
      </c>
      <c r="DJ10" s="759">
        <f t="shared" si="6"/>
        <v>460785</v>
      </c>
      <c r="DK10" s="760">
        <f>460000+128*6+17</f>
        <v>460785</v>
      </c>
      <c r="DL10" s="759">
        <f>460000+128*9+25</f>
        <v>461177</v>
      </c>
      <c r="DM10" s="760">
        <f>460000</f>
        <v>460000</v>
      </c>
      <c r="DN10" s="518"/>
      <c r="DO10" s="759">
        <f t="shared" si="6"/>
        <v>460785</v>
      </c>
      <c r="DP10" s="759">
        <f>460000+128*9+25</f>
        <v>461177</v>
      </c>
      <c r="DQ10" s="759">
        <f>460000+128*6+17</f>
        <v>460785</v>
      </c>
      <c r="DR10" s="759">
        <f>460000+128*6+17</f>
        <v>460785</v>
      </c>
      <c r="DS10" s="760">
        <f>460000+128*6+17</f>
        <v>460785</v>
      </c>
      <c r="DT10" s="759">
        <f>460000+128*6+17</f>
        <v>460785</v>
      </c>
      <c r="DU10" s="759">
        <f>460000+128*9+25</f>
        <v>461177</v>
      </c>
      <c r="DV10" s="759">
        <f>460000+128*6+17</f>
        <v>460785</v>
      </c>
      <c r="DW10" s="759">
        <f>460000+128*6+17</f>
        <v>460785</v>
      </c>
      <c r="DX10" s="498">
        <f t="shared" si="2"/>
        <v>220022</v>
      </c>
      <c r="DY10" s="499"/>
      <c r="DZ10" s="499"/>
      <c r="EA10" s="499"/>
      <c r="EB10" s="499"/>
      <c r="EC10" s="800"/>
      <c r="ED10" s="499">
        <f>AZ66</f>
        <v>2058</v>
      </c>
      <c r="EE10" s="499"/>
      <c r="EF10" s="499"/>
      <c r="EK10" s="1876">
        <v>2</v>
      </c>
      <c r="EL10" s="1876">
        <v>10</v>
      </c>
      <c r="EM10" s="1876">
        <f>BB66</f>
        <v>0</v>
      </c>
      <c r="IU10" s="499" t="s">
        <v>868</v>
      </c>
      <c r="IV10" s="499">
        <v>80</v>
      </c>
    </row>
    <row r="11" spans="1:256" ht="15" customHeight="1" thickTop="1" thickBot="1">
      <c r="A11" s="499">
        <v>20</v>
      </c>
      <c r="B11" s="503">
        <f>128*9+20</f>
        <v>1172</v>
      </c>
      <c r="C11" s="503"/>
      <c r="D11" s="503"/>
      <c r="E11" s="503"/>
      <c r="F11" s="503"/>
      <c r="G11" s="503"/>
      <c r="H11" s="503"/>
      <c r="I11" s="518"/>
      <c r="J11" s="3589"/>
      <c r="K11" s="2702">
        <f>128*6+2</f>
        <v>770</v>
      </c>
      <c r="L11" s="503"/>
      <c r="M11" s="503"/>
      <c r="N11" s="503"/>
      <c r="O11" s="503"/>
      <c r="P11" s="503"/>
      <c r="Q11" s="1703"/>
      <c r="R11" s="1704">
        <f>24+0.131</f>
        <v>24.131</v>
      </c>
      <c r="S11" s="1703">
        <f>0.059+0.0001</f>
        <v>5.91E-2</v>
      </c>
      <c r="T11" s="503"/>
      <c r="U11" s="535">
        <f t="shared" si="5"/>
        <v>1186</v>
      </c>
      <c r="V11" s="503"/>
      <c r="W11" s="503"/>
      <c r="X11" s="503"/>
      <c r="Y11" s="503"/>
      <c r="Z11" s="503"/>
      <c r="AA11" s="503"/>
      <c r="AB11" s="503"/>
      <c r="AC11" s="503"/>
      <c r="AD11" s="503"/>
      <c r="AE11" s="503"/>
      <c r="AF11" s="773"/>
      <c r="AG11" s="503"/>
      <c r="AH11" s="504">
        <v>200020</v>
      </c>
      <c r="AI11" s="504">
        <v>200020</v>
      </c>
      <c r="AJ11" s="331"/>
      <c r="AK11" s="776"/>
      <c r="AL11" s="504">
        <v>200020</v>
      </c>
      <c r="AM11" s="504">
        <v>200020</v>
      </c>
      <c r="AN11" s="504">
        <v>200020</v>
      </c>
      <c r="AO11" s="503"/>
      <c r="AP11" s="503"/>
      <c r="AQ11" s="773">
        <f t="shared" ref="AQ11:AQ19" si="8">128*14+7</f>
        <v>1799</v>
      </c>
      <c r="AR11" s="514">
        <f t="shared" si="7"/>
        <v>161</v>
      </c>
      <c r="AS11" s="773"/>
      <c r="AT11" s="518"/>
      <c r="AU11" s="503"/>
      <c r="AV11" s="503"/>
      <c r="AW11" s="503"/>
      <c r="AX11" s="518"/>
      <c r="AY11" s="518"/>
      <c r="AZ11" s="503"/>
      <c r="BA11" s="498">
        <v>200020</v>
      </c>
      <c r="BB11" s="498">
        <v>200020</v>
      </c>
      <c r="BC11" s="498">
        <v>200020</v>
      </c>
      <c r="BD11" s="677">
        <f>200020+0.135</f>
        <v>200020.13500000001</v>
      </c>
      <c r="BE11" s="498">
        <f>10000*20+128*5+37</f>
        <v>200677</v>
      </c>
      <c r="BF11" s="498">
        <v>200020</v>
      </c>
      <c r="BG11" s="498">
        <v>200020</v>
      </c>
      <c r="BH11" s="498">
        <v>200020</v>
      </c>
      <c r="BI11" s="505">
        <v>200020</v>
      </c>
      <c r="BJ11" s="2883"/>
      <c r="BK11" s="2840"/>
      <c r="BL11" s="2840"/>
      <c r="BM11" s="2840"/>
      <c r="BN11" s="2840"/>
      <c r="BO11" s="2840"/>
      <c r="BP11" s="2840"/>
      <c r="BQ11" s="2840"/>
      <c r="BR11" s="2840"/>
      <c r="BS11" s="2840"/>
      <c r="BT11" s="2840"/>
      <c r="BU11" s="2840"/>
      <c r="BV11" s="2840">
        <f>128*9+19</f>
        <v>1171</v>
      </c>
      <c r="BW11" s="505">
        <v>200020</v>
      </c>
      <c r="BX11" s="505">
        <v>200020</v>
      </c>
      <c r="BY11" s="503"/>
      <c r="BZ11" s="503"/>
      <c r="CA11" s="511"/>
      <c r="CB11" s="1419"/>
      <c r="CC11" s="1391">
        <f>10000*21+128*5+39</f>
        <v>210679</v>
      </c>
      <c r="CD11" s="504"/>
      <c r="CE11" s="770">
        <f>128*4+34</f>
        <v>546</v>
      </c>
      <c r="CF11" s="513"/>
      <c r="CG11" s="513"/>
      <c r="CH11" s="513"/>
      <c r="CI11" s="513"/>
      <c r="CJ11" s="513"/>
      <c r="CK11" s="513"/>
      <c r="CL11" s="513"/>
      <c r="CM11" s="513"/>
      <c r="CN11" s="513"/>
      <c r="CO11" s="513"/>
      <c r="CP11" s="513"/>
      <c r="CQ11" s="513"/>
      <c r="CR11" s="513"/>
      <c r="CS11" s="513"/>
      <c r="CT11" s="513"/>
      <c r="CU11" s="498">
        <v>240024</v>
      </c>
      <c r="CV11" s="3832">
        <f>240000+128*9+8+0.256+0.0166+0.5</f>
        <v>241160.7726</v>
      </c>
      <c r="CW11" s="498">
        <v>240024</v>
      </c>
      <c r="CX11" s="503"/>
      <c r="CY11" s="498">
        <v>200020</v>
      </c>
      <c r="CZ11" s="1378"/>
      <c r="DA11" s="1378"/>
      <c r="DB11" s="1386"/>
      <c r="DC11" s="498">
        <v>200020</v>
      </c>
      <c r="DD11" s="503"/>
      <c r="DE11" s="498">
        <f>210000+21</f>
        <v>210021</v>
      </c>
      <c r="DF11" s="498">
        <f>210000+21</f>
        <v>210021</v>
      </c>
      <c r="DG11" s="503"/>
      <c r="DH11" s="503"/>
      <c r="DI11" s="759">
        <f t="shared" si="6"/>
        <v>460785</v>
      </c>
      <c r="DJ11" s="759">
        <f t="shared" si="6"/>
        <v>460785</v>
      </c>
      <c r="DK11" s="759">
        <f t="shared" si="6"/>
        <v>460785</v>
      </c>
      <c r="DL11" s="759">
        <f>460000</f>
        <v>460000</v>
      </c>
      <c r="DM11" s="503"/>
      <c r="DN11" s="759">
        <f t="shared" si="6"/>
        <v>460785</v>
      </c>
      <c r="DO11" s="759">
        <f t="shared" si="6"/>
        <v>460785</v>
      </c>
      <c r="DP11" s="760">
        <f>460000+128*6+17</f>
        <v>460785</v>
      </c>
      <c r="DQ11" s="759">
        <f>460000+128*6+17</f>
        <v>460785</v>
      </c>
      <c r="DR11" s="760">
        <f>460000+128*6+17</f>
        <v>460785</v>
      </c>
      <c r="DS11" s="759">
        <f>460000+128*9+25</f>
        <v>461177</v>
      </c>
      <c r="DT11" s="759">
        <f>460000+128*9+25</f>
        <v>461177</v>
      </c>
      <c r="DU11" s="759"/>
      <c r="DV11" s="760">
        <f>460000+128*6+17</f>
        <v>460785</v>
      </c>
      <c r="DW11" s="759">
        <f>460000+128*9+25</f>
        <v>461177</v>
      </c>
      <c r="DX11" s="498">
        <f t="shared" si="2"/>
        <v>220022</v>
      </c>
      <c r="DY11" s="499"/>
      <c r="DZ11" s="499"/>
      <c r="EA11" s="499"/>
      <c r="EB11" s="499"/>
      <c r="EC11" s="499"/>
      <c r="ED11" s="499">
        <f>BW78</f>
        <v>27.065000000000001</v>
      </c>
      <c r="EE11" s="499"/>
      <c r="EF11" s="499"/>
      <c r="EK11" s="1876">
        <v>3</v>
      </c>
      <c r="EL11" s="1876">
        <v>11</v>
      </c>
      <c r="EM11" s="1876">
        <f>BY78</f>
        <v>0</v>
      </c>
      <c r="IU11" s="499" t="s">
        <v>870</v>
      </c>
      <c r="IV11" s="499">
        <v>280</v>
      </c>
    </row>
    <row r="12" spans="1:256" ht="14.25" customHeight="1" thickTop="1" thickBot="1">
      <c r="A12" s="499">
        <v>20</v>
      </c>
      <c r="B12" s="1706">
        <v>190019</v>
      </c>
      <c r="C12" s="1706">
        <f>190019+0.133</f>
        <v>190019.133</v>
      </c>
      <c r="D12" s="1706">
        <f>190019+0.133</f>
        <v>190019.133</v>
      </c>
      <c r="E12" s="1706">
        <f>190019+0.133</f>
        <v>190019.133</v>
      </c>
      <c r="F12" s="1706">
        <v>190019</v>
      </c>
      <c r="G12" s="518"/>
      <c r="H12" s="503"/>
      <c r="I12" s="2702">
        <f>128*6+1</f>
        <v>769</v>
      </c>
      <c r="J12" s="3589"/>
      <c r="K12" s="503"/>
      <c r="L12" s="503"/>
      <c r="M12" s="503"/>
      <c r="N12" s="503"/>
      <c r="O12" s="503"/>
      <c r="P12" s="503"/>
      <c r="Q12" s="1703"/>
      <c r="R12" s="1705">
        <f>128*9+20</f>
        <v>1172</v>
      </c>
      <c r="S12" s="1703"/>
      <c r="T12" s="503"/>
      <c r="U12" s="535">
        <f t="shared" si="5"/>
        <v>1186</v>
      </c>
      <c r="V12" s="503">
        <f>128*6+59</f>
        <v>827</v>
      </c>
      <c r="W12" s="504">
        <v>21</v>
      </c>
      <c r="X12" s="503"/>
      <c r="Y12" s="503"/>
      <c r="Z12" s="504">
        <v>200020</v>
      </c>
      <c r="AA12" s="503"/>
      <c r="AB12" s="503"/>
      <c r="AC12" s="503"/>
      <c r="AD12" s="503"/>
      <c r="AE12" s="503"/>
      <c r="AF12" s="773"/>
      <c r="AG12" s="503"/>
      <c r="AH12" s="504">
        <v>200020</v>
      </c>
      <c r="AI12" s="331"/>
      <c r="AJ12" s="775"/>
      <c r="AK12" s="1180">
        <f>128*3+32</f>
        <v>416</v>
      </c>
      <c r="AL12" s="776"/>
      <c r="AM12" s="504">
        <v>200020</v>
      </c>
      <c r="AN12" s="504">
        <v>200020</v>
      </c>
      <c r="AO12" s="503"/>
      <c r="AP12" s="503"/>
      <c r="AQ12" s="773">
        <f t="shared" si="8"/>
        <v>1799</v>
      </c>
      <c r="AR12" s="514">
        <f t="shared" si="7"/>
        <v>161</v>
      </c>
      <c r="AS12" s="773"/>
      <c r="AT12" s="503"/>
      <c r="AU12" s="503"/>
      <c r="AV12" s="503"/>
      <c r="AW12" s="503"/>
      <c r="AX12" s="503"/>
      <c r="AY12" s="503"/>
      <c r="AZ12" s="503"/>
      <c r="BA12" s="503"/>
      <c r="BB12" s="503"/>
      <c r="BC12" s="503"/>
      <c r="BD12" s="503"/>
      <c r="BE12" s="503"/>
      <c r="BF12" s="503"/>
      <c r="BG12" s="503"/>
      <c r="BH12" s="503">
        <v>3.0000000000000001E-3</v>
      </c>
      <c r="BI12" s="505">
        <v>200020</v>
      </c>
      <c r="BJ12" s="505">
        <v>200020</v>
      </c>
      <c r="BK12" s="505">
        <v>200020</v>
      </c>
      <c r="BL12" s="505">
        <v>200020</v>
      </c>
      <c r="BM12" s="505">
        <v>200020</v>
      </c>
      <c r="BN12" s="505">
        <v>200020</v>
      </c>
      <c r="BO12" s="505">
        <v>200020</v>
      </c>
      <c r="BP12" s="505">
        <v>200020</v>
      </c>
      <c r="BQ12" s="505">
        <v>200020</v>
      </c>
      <c r="BR12" s="793">
        <f>200020+0.135</f>
        <v>200020.13500000001</v>
      </c>
      <c r="BS12" s="505">
        <f>10000*20+128*5+39</f>
        <v>200679</v>
      </c>
      <c r="BT12" s="505">
        <v>200020</v>
      </c>
      <c r="BU12" s="505">
        <v>200020</v>
      </c>
      <c r="BV12" s="505">
        <v>200020</v>
      </c>
      <c r="BW12" s="505">
        <v>200020</v>
      </c>
      <c r="BX12" s="503"/>
      <c r="BY12" s="503"/>
      <c r="BZ12" s="503"/>
      <c r="CA12" s="514"/>
      <c r="CB12" s="503"/>
      <c r="CC12" s="771">
        <f>10000*21+21</f>
        <v>210021</v>
      </c>
      <c r="CD12" s="768">
        <f>420000+128*4+34</f>
        <v>420546</v>
      </c>
      <c r="CE12" s="1420">
        <f>10000*21+21+0.065</f>
        <v>210021.065</v>
      </c>
      <c r="CF12" s="513"/>
      <c r="CG12" s="513"/>
      <c r="CH12" s="513"/>
      <c r="CI12" s="513"/>
      <c r="CJ12" s="513"/>
      <c r="CK12" s="513"/>
      <c r="CL12" s="513"/>
      <c r="CM12" s="513"/>
      <c r="CN12" s="513"/>
      <c r="CO12" s="513"/>
      <c r="CP12" s="513"/>
      <c r="CQ12" s="513"/>
      <c r="CR12" s="513"/>
      <c r="CS12" s="513"/>
      <c r="CT12" s="513"/>
      <c r="CU12" s="503"/>
      <c r="CV12" s="2705">
        <f>128*9+51</f>
        <v>1203</v>
      </c>
      <c r="CW12" s="503"/>
      <c r="CX12" s="503"/>
      <c r="CY12" s="498">
        <v>200020</v>
      </c>
      <c r="CZ12" s="1421">
        <f>200000</f>
        <v>200000</v>
      </c>
      <c r="DA12" s="1421">
        <f>200000</f>
        <v>200000</v>
      </c>
      <c r="DB12" s="1421">
        <f>200000</f>
        <v>200000</v>
      </c>
      <c r="DC12" s="498">
        <v>200020</v>
      </c>
      <c r="DD12" s="533">
        <f>128*8+8+0.0001</f>
        <v>1032.0001</v>
      </c>
      <c r="DE12" s="503"/>
      <c r="DF12" s="535">
        <f>128*9+34</f>
        <v>1186</v>
      </c>
      <c r="DG12" s="503"/>
      <c r="DH12" s="503"/>
      <c r="DI12" s="503">
        <f>128*6+1</f>
        <v>769</v>
      </c>
      <c r="DJ12" s="760">
        <f>460000+128*6+17</f>
        <v>460785</v>
      </c>
      <c r="DK12" s="759">
        <f t="shared" si="6"/>
        <v>460785</v>
      </c>
      <c r="DL12" s="759">
        <f t="shared" si="6"/>
        <v>460785</v>
      </c>
      <c r="DM12" s="759">
        <f t="shared" si="6"/>
        <v>460785</v>
      </c>
      <c r="DN12" s="759">
        <f t="shared" si="6"/>
        <v>460785</v>
      </c>
      <c r="DO12" s="759">
        <f t="shared" si="6"/>
        <v>460785</v>
      </c>
      <c r="DP12" s="759">
        <f>460000+128*9+25</f>
        <v>461177</v>
      </c>
      <c r="DQ12" s="759">
        <f t="shared" ref="DQ12:DS13" si="9">460000+128*6+17</f>
        <v>460785</v>
      </c>
      <c r="DR12" s="759">
        <f t="shared" si="9"/>
        <v>460785</v>
      </c>
      <c r="DS12" s="759">
        <f t="shared" si="9"/>
        <v>460785</v>
      </c>
      <c r="DT12" s="759">
        <f>460000+128*9+25</f>
        <v>461177</v>
      </c>
      <c r="DU12" s="760">
        <f>460000+128*6+17</f>
        <v>460785</v>
      </c>
      <c r="DV12" s="759">
        <f>460000+128*6+17</f>
        <v>460785</v>
      </c>
      <c r="DW12" s="760">
        <f>460000+128*6+17</f>
        <v>460785</v>
      </c>
      <c r="DX12" s="498">
        <f t="shared" si="2"/>
        <v>220022</v>
      </c>
      <c r="DY12" s="499"/>
      <c r="DZ12" s="499"/>
      <c r="EA12" s="499"/>
      <c r="EB12" s="499"/>
      <c r="EC12" s="499"/>
      <c r="ED12" s="499">
        <f>BW76</f>
        <v>27.065000000000001</v>
      </c>
      <c r="EE12" s="499"/>
      <c r="EF12" s="499"/>
      <c r="EK12" s="1876">
        <v>4</v>
      </c>
      <c r="EL12" s="1876">
        <v>12</v>
      </c>
      <c r="EM12" s="1876">
        <f>BY76</f>
        <v>27</v>
      </c>
      <c r="IU12" s="499" t="s">
        <v>671</v>
      </c>
      <c r="IV12" s="499">
        <v>300</v>
      </c>
    </row>
    <row r="13" spans="1:256" ht="14.25" customHeight="1" thickTop="1" thickBot="1">
      <c r="A13" s="499">
        <v>20</v>
      </c>
      <c r="B13" s="1706">
        <v>190019</v>
      </c>
      <c r="C13" s="1705">
        <f>128*9+28+0.147</f>
        <v>1180.1469999999999</v>
      </c>
      <c r="D13" s="1703">
        <f>128*6+161</f>
        <v>929</v>
      </c>
      <c r="E13" s="1703"/>
      <c r="F13" s="1706">
        <f>190019+0.132</f>
        <v>190019.13200000001</v>
      </c>
      <c r="G13" s="1422"/>
      <c r="H13" s="3706" t="s">
        <v>627</v>
      </c>
      <c r="I13" s="3589"/>
      <c r="J13" s="3589"/>
      <c r="K13" s="518"/>
      <c r="L13" s="503"/>
      <c r="M13" s="503"/>
      <c r="N13" s="518"/>
      <c r="O13" s="503"/>
      <c r="P13" s="2702">
        <f>128*6+2</f>
        <v>770</v>
      </c>
      <c r="Q13" s="503"/>
      <c r="R13" s="503"/>
      <c r="S13" s="518"/>
      <c r="T13" s="503"/>
      <c r="U13" s="498">
        <f>210000+21</f>
        <v>210021</v>
      </c>
      <c r="V13" s="503"/>
      <c r="W13" s="503"/>
      <c r="X13" s="503"/>
      <c r="Y13" s="503"/>
      <c r="Z13" s="504"/>
      <c r="AA13" s="503"/>
      <c r="AB13" s="503"/>
      <c r="AC13" s="503"/>
      <c r="AD13" s="503"/>
      <c r="AE13" s="503"/>
      <c r="AF13" s="773"/>
      <c r="AG13" s="504">
        <v>200020</v>
      </c>
      <c r="AH13" s="504">
        <v>200020</v>
      </c>
      <c r="AI13" s="331"/>
      <c r="AJ13" s="1180">
        <f>128*3+32</f>
        <v>416</v>
      </c>
      <c r="AK13" s="331"/>
      <c r="AL13" s="331"/>
      <c r="AM13" s="504">
        <v>200020</v>
      </c>
      <c r="AN13" s="504">
        <v>200020</v>
      </c>
      <c r="AO13" s="503"/>
      <c r="AP13" s="503"/>
      <c r="AQ13" s="773">
        <f t="shared" si="8"/>
        <v>1799</v>
      </c>
      <c r="AR13" s="514">
        <f t="shared" si="7"/>
        <v>161</v>
      </c>
      <c r="AS13" s="773"/>
      <c r="AT13" s="503"/>
      <c r="AU13" s="503"/>
      <c r="AV13" s="518"/>
      <c r="AW13" s="503"/>
      <c r="AX13" s="503"/>
      <c r="AY13" s="503"/>
      <c r="AZ13" s="503"/>
      <c r="BA13" s="503"/>
      <c r="BB13" s="503"/>
      <c r="BC13" s="503"/>
      <c r="BD13" s="518"/>
      <c r="BE13" s="503"/>
      <c r="BF13" s="503"/>
      <c r="BG13" s="503"/>
      <c r="BH13" s="503"/>
      <c r="BI13" s="503"/>
      <c r="BJ13" s="503"/>
      <c r="BK13" s="503"/>
      <c r="BL13" s="503"/>
      <c r="BM13" s="503"/>
      <c r="BN13" s="503"/>
      <c r="BO13" s="503"/>
      <c r="BP13" s="503"/>
      <c r="BQ13" s="503"/>
      <c r="BR13" s="503"/>
      <c r="BS13" s="503"/>
      <c r="BT13" s="503">
        <f>128*3+32</f>
        <v>416</v>
      </c>
      <c r="BU13" s="503"/>
      <c r="BV13" s="503"/>
      <c r="BW13" s="503"/>
      <c r="BX13" s="503"/>
      <c r="BY13" s="503"/>
      <c r="BZ13" s="503"/>
      <c r="CA13" s="514"/>
      <c r="CB13" s="503"/>
      <c r="CC13" s="503"/>
      <c r="CD13" s="503"/>
      <c r="CE13" s="503"/>
      <c r="CF13" s="513"/>
      <c r="CG13" s="513"/>
      <c r="CH13" s="513"/>
      <c r="CI13" s="513"/>
      <c r="CJ13" s="513"/>
      <c r="CK13" s="513"/>
      <c r="CL13" s="513"/>
      <c r="CM13" s="513"/>
      <c r="CN13" s="513"/>
      <c r="CO13" s="513"/>
      <c r="CP13" s="513"/>
      <c r="CQ13" s="513"/>
      <c r="CR13" s="513"/>
      <c r="CS13" s="513"/>
      <c r="CT13" s="513"/>
      <c r="CU13" s="503"/>
      <c r="CV13" s="503"/>
      <c r="CW13" s="503"/>
      <c r="CX13" s="518"/>
      <c r="CY13" s="503"/>
      <c r="CZ13" s="1423">
        <f>0.06</f>
        <v>0.06</v>
      </c>
      <c r="DA13" s="1423">
        <f>0.06</f>
        <v>0.06</v>
      </c>
      <c r="DB13" s="1423">
        <f>0.06</f>
        <v>0.06</v>
      </c>
      <c r="DC13" s="503"/>
      <c r="DD13" s="503"/>
      <c r="DE13" s="503"/>
      <c r="DF13" s="535">
        <f>128*9+34</f>
        <v>1186</v>
      </c>
      <c r="DG13" s="503"/>
      <c r="DH13" s="503"/>
      <c r="DI13" s="759">
        <f t="shared" si="6"/>
        <v>460785</v>
      </c>
      <c r="DJ13" s="759">
        <f t="shared" si="6"/>
        <v>460785</v>
      </c>
      <c r="DK13" s="760">
        <f>460000+128*6+17</f>
        <v>460785</v>
      </c>
      <c r="DL13" s="759">
        <f>460000+128*9+25</f>
        <v>461177</v>
      </c>
      <c r="DM13" s="760">
        <f>460000</f>
        <v>460000</v>
      </c>
      <c r="DN13" s="518"/>
      <c r="DO13" s="759">
        <f t="shared" si="6"/>
        <v>460785</v>
      </c>
      <c r="DP13" s="759">
        <f>460000+128*9+25</f>
        <v>461177</v>
      </c>
      <c r="DQ13" s="759">
        <f t="shared" si="9"/>
        <v>460785</v>
      </c>
      <c r="DR13" s="759">
        <f t="shared" si="9"/>
        <v>460785</v>
      </c>
      <c r="DS13" s="760">
        <f t="shared" si="9"/>
        <v>460785</v>
      </c>
      <c r="DT13" s="759">
        <f>460000+128*6+17</f>
        <v>460785</v>
      </c>
      <c r="DU13" s="759">
        <f>460000+128*9+25</f>
        <v>461177</v>
      </c>
      <c r="DV13" s="759">
        <f>460000+128*6+17</f>
        <v>460785</v>
      </c>
      <c r="DW13" s="759">
        <f>460000+128*6+17</f>
        <v>460785</v>
      </c>
      <c r="DX13" s="498">
        <f t="shared" si="2"/>
        <v>220022</v>
      </c>
      <c r="DY13" s="499"/>
      <c r="DZ13" s="499"/>
      <c r="EA13" s="499"/>
      <c r="EB13" s="499"/>
      <c r="EC13" s="800" t="s">
        <v>980</v>
      </c>
      <c r="ED13" s="499">
        <f>BP76</f>
        <v>27.129000000000001</v>
      </c>
      <c r="EE13" s="499"/>
      <c r="EF13" s="499"/>
      <c r="EK13" s="1875">
        <v>1</v>
      </c>
      <c r="EL13" s="1876">
        <v>13</v>
      </c>
      <c r="EM13" s="1876">
        <f>BR76</f>
        <v>27</v>
      </c>
      <c r="IU13" s="499" t="s">
        <v>672</v>
      </c>
      <c r="IV13" s="499">
        <v>16</v>
      </c>
    </row>
    <row r="14" spans="1:256" ht="14.25" customHeight="1" thickTop="1" thickBot="1">
      <c r="A14" s="499">
        <v>20</v>
      </c>
      <c r="B14" s="1706">
        <v>190019</v>
      </c>
      <c r="C14" s="1703"/>
      <c r="D14" s="1711"/>
      <c r="E14" s="1707">
        <f>128*9+18</f>
        <v>1170</v>
      </c>
      <c r="F14" s="1706">
        <f>190019+0.133</f>
        <v>190019.133</v>
      </c>
      <c r="G14" s="3589"/>
      <c r="H14" s="503"/>
      <c r="I14" s="503"/>
      <c r="J14" s="3589"/>
      <c r="K14" s="3589"/>
      <c r="L14" s="3589"/>
      <c r="M14" s="3589"/>
      <c r="N14" s="3589"/>
      <c r="O14" s="3589"/>
      <c r="P14" s="3589"/>
      <c r="Q14" s="3589"/>
      <c r="R14" s="3589"/>
      <c r="S14" s="3589"/>
      <c r="T14" s="3589"/>
      <c r="U14" s="1424">
        <f>210000+128*5+39</f>
        <v>210679</v>
      </c>
      <c r="V14" s="772">
        <f>128*14+4</f>
        <v>1796</v>
      </c>
      <c r="W14" s="777">
        <f>128*14+9</f>
        <v>1801</v>
      </c>
      <c r="X14" s="514">
        <f>128*3+32</f>
        <v>416</v>
      </c>
      <c r="Y14" s="514"/>
      <c r="Z14" s="1425">
        <v>110000</v>
      </c>
      <c r="AA14" s="504"/>
      <c r="AB14" s="504">
        <v>200020</v>
      </c>
      <c r="AC14" s="503"/>
      <c r="AD14" s="503"/>
      <c r="AE14" s="503"/>
      <c r="AF14" s="773"/>
      <c r="AG14" s="504">
        <v>200020</v>
      </c>
      <c r="AH14" s="331"/>
      <c r="AI14" s="331"/>
      <c r="AJ14" s="504">
        <v>200020</v>
      </c>
      <c r="AK14" s="1180">
        <f>128*3+32</f>
        <v>416</v>
      </c>
      <c r="AL14" s="1180">
        <f>128*3+32</f>
        <v>416</v>
      </c>
      <c r="AM14" s="331"/>
      <c r="AN14" s="504">
        <v>200020</v>
      </c>
      <c r="AO14" s="503"/>
      <c r="AP14" s="503"/>
      <c r="AQ14" s="773">
        <f t="shared" si="8"/>
        <v>1799</v>
      </c>
      <c r="AR14" s="514">
        <f t="shared" si="7"/>
        <v>161</v>
      </c>
      <c r="AS14" s="773"/>
      <c r="AT14" s="503"/>
      <c r="AU14" s="503"/>
      <c r="AV14" s="503"/>
      <c r="AW14" s="503"/>
      <c r="AX14" s="503"/>
      <c r="AY14" s="518"/>
      <c r="AZ14" s="503"/>
      <c r="BA14" s="503"/>
      <c r="BB14" s="503"/>
      <c r="BC14" s="503"/>
      <c r="BD14" s="503"/>
      <c r="BE14" s="503"/>
      <c r="BF14" s="503"/>
      <c r="BG14" s="503"/>
      <c r="BH14" s="503"/>
      <c r="BI14" s="503"/>
      <c r="BJ14" s="503"/>
      <c r="BK14" s="503"/>
      <c r="BL14" s="503"/>
      <c r="BM14" s="503"/>
      <c r="BN14" s="503"/>
      <c r="BO14" s="503"/>
      <c r="BP14" s="503"/>
      <c r="BQ14" s="503"/>
      <c r="BR14" s="503"/>
      <c r="BS14" s="503"/>
      <c r="BT14" s="503"/>
      <c r="BU14" s="503"/>
      <c r="BV14" s="503"/>
      <c r="BW14" s="503"/>
      <c r="BX14" s="503"/>
      <c r="BY14" s="503"/>
      <c r="BZ14" s="503"/>
      <c r="CA14" s="514"/>
      <c r="CB14" s="503"/>
      <c r="CC14" s="503"/>
      <c r="CD14" s="773"/>
      <c r="CE14" s="535">
        <f>128*9+27</f>
        <v>1179</v>
      </c>
      <c r="CF14" s="781">
        <f>128*4+39</f>
        <v>551</v>
      </c>
      <c r="CG14" s="781">
        <f>128*4+39</f>
        <v>551</v>
      </c>
      <c r="CH14" s="781">
        <f>128*4+39</f>
        <v>551</v>
      </c>
      <c r="CI14" s="513"/>
      <c r="CJ14" s="513"/>
      <c r="CK14" s="513"/>
      <c r="CL14" s="513"/>
      <c r="CM14" s="513"/>
      <c r="CN14" s="513"/>
      <c r="CO14" s="513"/>
      <c r="CP14" s="513"/>
      <c r="CQ14" s="781">
        <f>128*4+39</f>
        <v>551</v>
      </c>
      <c r="CR14" s="781">
        <f>128*4+39</f>
        <v>551</v>
      </c>
      <c r="CS14" s="781">
        <f>128*4+39</f>
        <v>551</v>
      </c>
      <c r="CT14" s="781">
        <f>128*4+39</f>
        <v>551</v>
      </c>
      <c r="CU14" s="533">
        <f>128*9+27</f>
        <v>1179</v>
      </c>
      <c r="CV14" s="773"/>
      <c r="CW14" s="503"/>
      <c r="CX14" s="503"/>
      <c r="CY14" s="503"/>
      <c r="CZ14" s="1423"/>
      <c r="DA14" s="1423"/>
      <c r="DB14" s="1423"/>
      <c r="DC14" s="503"/>
      <c r="DD14" s="503"/>
      <c r="DE14" s="503"/>
      <c r="DF14" s="535">
        <f>128*9+34</f>
        <v>1186</v>
      </c>
      <c r="DG14" s="503"/>
      <c r="DH14" s="518"/>
      <c r="DI14" s="503"/>
      <c r="DJ14" s="773"/>
      <c r="DK14" s="2702">
        <f>128*6+1</f>
        <v>769</v>
      </c>
      <c r="DL14" s="503"/>
      <c r="DM14" s="503"/>
      <c r="DN14" s="773"/>
      <c r="DO14" s="503">
        <f>128*6+1</f>
        <v>769</v>
      </c>
      <c r="DP14" s="503"/>
      <c r="DQ14" s="773"/>
      <c r="DR14" s="503">
        <f>128*9+25</f>
        <v>1177</v>
      </c>
      <c r="DS14" s="503"/>
      <c r="DT14" s="503">
        <f>128*6+1</f>
        <v>769</v>
      </c>
      <c r="DU14" s="503"/>
      <c r="DV14" s="503">
        <f>128*9+25</f>
        <v>1177</v>
      </c>
      <c r="DW14" s="773"/>
      <c r="DX14" s="498">
        <f t="shared" si="2"/>
        <v>220022</v>
      </c>
      <c r="DY14" s="499"/>
      <c r="DZ14" s="499"/>
      <c r="EA14" s="499"/>
      <c r="EB14" s="499"/>
      <c r="EC14" s="499"/>
      <c r="ED14" s="499">
        <f>G74</f>
        <v>20.18</v>
      </c>
      <c r="EE14" s="499"/>
      <c r="EF14" s="499"/>
      <c r="EK14" s="1876">
        <v>2</v>
      </c>
      <c r="EL14" s="1876">
        <v>14</v>
      </c>
      <c r="EM14" s="1876">
        <f>ER21</f>
        <v>0</v>
      </c>
      <c r="IU14" s="499" t="s">
        <v>673</v>
      </c>
      <c r="IV14" s="499">
        <v>32</v>
      </c>
    </row>
    <row r="15" spans="1:256" ht="14.25" customHeight="1" thickTop="1" thickBot="1">
      <c r="A15" s="499">
        <v>20</v>
      </c>
      <c r="B15" s="1706">
        <v>190019</v>
      </c>
      <c r="C15" s="1709">
        <f>128*9+24+0.5+0.256+0.004</f>
        <v>1176.76</v>
      </c>
      <c r="D15" s="1703"/>
      <c r="E15" s="1703">
        <f>128*9+8+0.5+0.256+0.005</f>
        <v>1160.7610000000002</v>
      </c>
      <c r="F15" s="1706">
        <v>190019</v>
      </c>
      <c r="G15" s="3589"/>
      <c r="H15" s="503"/>
      <c r="I15" s="503"/>
      <c r="J15" s="503"/>
      <c r="K15" s="503"/>
      <c r="L15" s="2702">
        <f>128*6+2</f>
        <v>770</v>
      </c>
      <c r="M15" s="503"/>
      <c r="N15" s="503"/>
      <c r="O15" s="518"/>
      <c r="P15" s="518"/>
      <c r="Q15" s="518"/>
      <c r="R15" s="503"/>
      <c r="S15" s="503"/>
      <c r="T15" s="503"/>
      <c r="U15" s="498">
        <f>210000+21</f>
        <v>210021</v>
      </c>
      <c r="V15" s="503"/>
      <c r="W15" s="773"/>
      <c r="X15" s="503"/>
      <c r="Y15" s="503"/>
      <c r="Z15" s="504"/>
      <c r="AA15" s="503"/>
      <c r="AB15" s="503"/>
      <c r="AC15" s="503"/>
      <c r="AD15" s="503"/>
      <c r="AE15" s="503"/>
      <c r="AF15" s="773"/>
      <c r="AG15" s="504">
        <v>200020</v>
      </c>
      <c r="AH15" s="1426"/>
      <c r="AI15" s="331"/>
      <c r="AJ15" s="331"/>
      <c r="AK15" s="331"/>
      <c r="AL15" s="331"/>
      <c r="AM15" s="1426"/>
      <c r="AN15" s="504">
        <v>200020</v>
      </c>
      <c r="AO15" s="503"/>
      <c r="AP15" s="503"/>
      <c r="AQ15" s="773">
        <f t="shared" si="8"/>
        <v>1799</v>
      </c>
      <c r="AR15" s="514">
        <f t="shared" si="7"/>
        <v>161</v>
      </c>
      <c r="AS15" s="773"/>
      <c r="AT15" s="503"/>
      <c r="AU15" s="503"/>
      <c r="AV15" s="503"/>
      <c r="AW15" s="518"/>
      <c r="AX15" s="503"/>
      <c r="AY15" s="503"/>
      <c r="AZ15" s="503"/>
      <c r="BA15" s="498">
        <v>200020</v>
      </c>
      <c r="BB15" s="1427"/>
      <c r="BC15" s="1427"/>
      <c r="BD15" s="1427"/>
      <c r="BE15" s="1427"/>
      <c r="BF15" s="498">
        <v>200020</v>
      </c>
      <c r="BG15" s="503"/>
      <c r="BH15" s="503"/>
      <c r="BI15" s="504">
        <f>128*6+60</f>
        <v>828</v>
      </c>
      <c r="BJ15" s="757"/>
      <c r="BK15" s="757"/>
      <c r="BL15" s="757"/>
      <c r="BM15" s="757"/>
      <c r="BN15" s="757"/>
      <c r="BO15" s="757"/>
      <c r="BP15" s="757"/>
      <c r="BQ15" s="757"/>
      <c r="BR15" s="757"/>
      <c r="BS15" s="757"/>
      <c r="BT15" s="757"/>
      <c r="BU15" s="757"/>
      <c r="BV15" s="757"/>
      <c r="BW15" s="504">
        <f>128*6+60</f>
        <v>828</v>
      </c>
      <c r="BX15" s="503"/>
      <c r="BY15" s="503"/>
      <c r="BZ15" s="503"/>
      <c r="CA15" s="514"/>
      <c r="CB15" s="503"/>
      <c r="CC15" s="503"/>
      <c r="CD15" s="773"/>
      <c r="CE15" s="1410">
        <f>128*14+23</f>
        <v>1815</v>
      </c>
      <c r="CF15" s="513">
        <f>128*9+6</f>
        <v>1158</v>
      </c>
      <c r="CG15" s="513">
        <f>128*9+6</f>
        <v>1158</v>
      </c>
      <c r="CH15" s="782">
        <f>128*9+6</f>
        <v>1158</v>
      </c>
      <c r="CI15" s="513"/>
      <c r="CJ15" s="1428">
        <f>128*9+6+0.256+0.005</f>
        <v>1158.2610000000002</v>
      </c>
      <c r="CK15" s="513"/>
      <c r="CL15" s="513"/>
      <c r="CM15" s="513"/>
      <c r="CN15" s="513"/>
      <c r="CO15" s="513"/>
      <c r="CP15" s="781">
        <f>128*9+29</f>
        <v>1181</v>
      </c>
      <c r="CQ15" s="782">
        <f>128*9+6</f>
        <v>1158</v>
      </c>
      <c r="CR15" s="513">
        <f>128*9+6</f>
        <v>1158</v>
      </c>
      <c r="CS15" s="513">
        <f>128*9+6</f>
        <v>1158</v>
      </c>
      <c r="CT15" s="513">
        <f>128*9+6</f>
        <v>1158</v>
      </c>
      <c r="CU15" s="783"/>
      <c r="CV15" s="773"/>
      <c r="CW15" s="518"/>
      <c r="CX15" s="503"/>
      <c r="CY15" s="503"/>
      <c r="CZ15" s="1423"/>
      <c r="DA15" s="1423"/>
      <c r="DB15" s="1423"/>
      <c r="DC15" s="503"/>
      <c r="DD15" s="503"/>
      <c r="DE15" s="503"/>
      <c r="DF15" s="535">
        <f>128*9+34</f>
        <v>1186</v>
      </c>
      <c r="DG15" s="503"/>
      <c r="DH15" s="503"/>
      <c r="DI15" s="503"/>
      <c r="DJ15" s="503"/>
      <c r="DK15" s="503"/>
      <c r="DL15" s="503"/>
      <c r="DM15" s="518"/>
      <c r="DN15" s="503"/>
      <c r="DO15" s="503"/>
      <c r="DP15" s="503"/>
      <c r="DQ15" s="503"/>
      <c r="DR15" s="503"/>
      <c r="DS15" s="503"/>
      <c r="DT15" s="503"/>
      <c r="DU15" s="503"/>
      <c r="DV15" s="503"/>
      <c r="DW15" s="503"/>
      <c r="DX15" s="498">
        <f t="shared" si="2"/>
        <v>220022</v>
      </c>
      <c r="DY15" s="499"/>
      <c r="DZ15" s="499"/>
      <c r="EA15" s="499"/>
      <c r="EB15" s="499"/>
      <c r="EC15" s="499"/>
      <c r="ED15" s="499">
        <f>AX72</f>
        <v>2127</v>
      </c>
      <c r="EE15" s="499"/>
      <c r="EF15" s="499"/>
      <c r="EK15" s="1876">
        <v>3</v>
      </c>
      <c r="EL15" s="1876">
        <v>15</v>
      </c>
      <c r="EM15" s="1876">
        <f>BA72</f>
        <v>0</v>
      </c>
      <c r="IU15" s="499" t="s">
        <v>710</v>
      </c>
      <c r="IV15" s="499">
        <v>20</v>
      </c>
    </row>
    <row r="16" spans="1:256" ht="14.25" customHeight="1" thickTop="1" thickBot="1">
      <c r="A16" s="499">
        <v>20</v>
      </c>
      <c r="B16" s="1706">
        <v>190019</v>
      </c>
      <c r="C16" s="1706">
        <v>190019</v>
      </c>
      <c r="D16" s="1710">
        <f>190019+0.11</f>
        <v>190019.11</v>
      </c>
      <c r="E16" s="1706">
        <v>190019</v>
      </c>
      <c r="F16" s="1706">
        <v>190019</v>
      </c>
      <c r="G16" s="3589"/>
      <c r="H16" s="503"/>
      <c r="I16" s="503"/>
      <c r="J16" s="503"/>
      <c r="K16" s="503"/>
      <c r="L16" s="503"/>
      <c r="M16" s="503"/>
      <c r="N16" s="518">
        <f>128*6+1</f>
        <v>769</v>
      </c>
      <c r="O16" s="503"/>
      <c r="P16" s="503"/>
      <c r="Q16" s="518">
        <f>128*6+1</f>
        <v>769</v>
      </c>
      <c r="R16" s="503"/>
      <c r="S16" s="503"/>
      <c r="T16" s="503"/>
      <c r="U16" s="535">
        <f t="shared" si="5"/>
        <v>1186</v>
      </c>
      <c r="V16" s="503"/>
      <c r="W16" s="773"/>
      <c r="X16" s="503"/>
      <c r="Y16" s="503"/>
      <c r="Z16" s="504">
        <v>200020</v>
      </c>
      <c r="AA16" s="503"/>
      <c r="AB16" s="773"/>
      <c r="AC16" s="773"/>
      <c r="AD16" s="773"/>
      <c r="AE16" s="773"/>
      <c r="AF16" s="773"/>
      <c r="AG16" s="504">
        <v>200020</v>
      </c>
      <c r="AH16" s="504">
        <v>200020</v>
      </c>
      <c r="AI16" s="504">
        <v>200020</v>
      </c>
      <c r="AJ16" s="331">
        <f>128*5+39</f>
        <v>679</v>
      </c>
      <c r="AK16" s="504">
        <v>200020</v>
      </c>
      <c r="AL16" s="504">
        <v>200020</v>
      </c>
      <c r="AM16" s="504">
        <v>200020</v>
      </c>
      <c r="AN16" s="504">
        <v>200020</v>
      </c>
      <c r="AO16" s="503"/>
      <c r="AP16" s="503"/>
      <c r="AQ16" s="773">
        <f t="shared" si="8"/>
        <v>1799</v>
      </c>
      <c r="AR16" s="514">
        <f t="shared" si="7"/>
        <v>161</v>
      </c>
      <c r="AS16" s="773"/>
      <c r="AT16" s="518"/>
      <c r="AU16" s="503"/>
      <c r="AV16" s="503"/>
      <c r="AW16" s="503"/>
      <c r="AX16" s="503"/>
      <c r="AY16" s="503"/>
      <c r="AZ16" s="503">
        <f>128*14+8</f>
        <v>1800</v>
      </c>
      <c r="BA16" s="1427"/>
      <c r="BB16" s="1429"/>
      <c r="BC16" s="1429"/>
      <c r="BD16" s="1429"/>
      <c r="BE16" s="1429"/>
      <c r="BF16" s="1427"/>
      <c r="BG16" s="503"/>
      <c r="BH16" s="503"/>
      <c r="BI16" s="504"/>
      <c r="BJ16" s="504">
        <v>21</v>
      </c>
      <c r="BK16" s="757"/>
      <c r="BL16" s="757"/>
      <c r="BM16" s="757">
        <v>21</v>
      </c>
      <c r="BN16" s="757"/>
      <c r="BO16" s="757"/>
      <c r="BP16" s="757">
        <v>21</v>
      </c>
      <c r="BQ16" s="757"/>
      <c r="BR16" s="757"/>
      <c r="BS16" s="757">
        <v>21</v>
      </c>
      <c r="BT16" s="757"/>
      <c r="BU16" s="757"/>
      <c r="BV16" s="757">
        <v>21</v>
      </c>
      <c r="BW16" s="504"/>
      <c r="BX16" s="503"/>
      <c r="BY16" s="503"/>
      <c r="BZ16" s="503"/>
      <c r="CA16" s="514"/>
      <c r="CB16" s="503"/>
      <c r="CC16" s="503"/>
      <c r="CD16" s="773"/>
      <c r="CE16" s="503">
        <f>128*9+27</f>
        <v>1179</v>
      </c>
      <c r="CF16" s="529">
        <f>128*4+39</f>
        <v>551</v>
      </c>
      <c r="CG16" s="529">
        <f>128*4+39</f>
        <v>551</v>
      </c>
      <c r="CH16" s="529">
        <f>128*4+39</f>
        <v>551</v>
      </c>
      <c r="CI16" s="513"/>
      <c r="CJ16" s="513"/>
      <c r="CK16" s="513"/>
      <c r="CL16" s="513"/>
      <c r="CM16" s="513"/>
      <c r="CN16" s="513"/>
      <c r="CO16" s="513"/>
      <c r="CP16" s="513">
        <f>128*9+6</f>
        <v>1158</v>
      </c>
      <c r="CQ16" s="529">
        <f>128*4+39</f>
        <v>551</v>
      </c>
      <c r="CR16" s="529">
        <f>128*4+39</f>
        <v>551</v>
      </c>
      <c r="CS16" s="529">
        <f>128*4+39</f>
        <v>551</v>
      </c>
      <c r="CT16" s="529">
        <f>128*4+39</f>
        <v>551</v>
      </c>
      <c r="CU16" s="534">
        <f>128*9+27</f>
        <v>1179</v>
      </c>
      <c r="CV16" s="773"/>
      <c r="CW16" s="503"/>
      <c r="CX16" s="503"/>
      <c r="CY16" s="498">
        <v>200020</v>
      </c>
      <c r="CZ16" s="1430">
        <f>10000*20</f>
        <v>200000</v>
      </c>
      <c r="DA16" s="1430">
        <f>10000*20</f>
        <v>200000</v>
      </c>
      <c r="DB16" s="1430">
        <f>10000*20</f>
        <v>200000</v>
      </c>
      <c r="DC16" s="498">
        <v>200020</v>
      </c>
      <c r="DD16" s="503"/>
      <c r="DE16" s="503"/>
      <c r="DF16" s="503">
        <f>128*9+27</f>
        <v>1179</v>
      </c>
      <c r="DG16" s="503">
        <f>128*9+34</f>
        <v>1186</v>
      </c>
      <c r="DH16" s="503">
        <f>128*9+34</f>
        <v>1186</v>
      </c>
      <c r="DI16" s="503">
        <f>128*9+34</f>
        <v>1186</v>
      </c>
      <c r="DJ16" s="503">
        <f>128*9+34</f>
        <v>1186</v>
      </c>
      <c r="DK16" s="498">
        <f>200000+20</f>
        <v>200020</v>
      </c>
      <c r="DL16" s="1431">
        <f>200000+128*5+35</f>
        <v>200675</v>
      </c>
      <c r="DM16" s="498">
        <f>200000+20</f>
        <v>200020</v>
      </c>
      <c r="DN16" s="503">
        <f>128*9+34</f>
        <v>1186</v>
      </c>
      <c r="DO16" s="503">
        <f>128*9+34</f>
        <v>1186</v>
      </c>
      <c r="DP16" s="503">
        <f>128*9+34</f>
        <v>1186</v>
      </c>
      <c r="DQ16" s="504">
        <v>20</v>
      </c>
      <c r="DR16" s="504">
        <v>20</v>
      </c>
      <c r="DS16" s="504">
        <v>20</v>
      </c>
      <c r="DT16" s="504">
        <v>20</v>
      </c>
      <c r="DU16" s="504">
        <v>20</v>
      </c>
      <c r="DV16" s="504">
        <v>20</v>
      </c>
      <c r="DW16" s="504">
        <v>20</v>
      </c>
      <c r="DX16" s="504">
        <v>20</v>
      </c>
      <c r="DY16" s="499"/>
      <c r="DZ16" s="499"/>
      <c r="EA16" s="499"/>
      <c r="EB16" s="499"/>
      <c r="EC16" s="499"/>
      <c r="ED16" s="499">
        <f>CQ48</f>
        <v>2064</v>
      </c>
      <c r="EE16" s="499">
        <f>H62</f>
        <v>200043.17499999999</v>
      </c>
      <c r="EF16" s="499"/>
      <c r="EK16" s="1876">
        <v>4</v>
      </c>
      <c r="EL16" s="1876">
        <v>16</v>
      </c>
      <c r="EM16" s="1876">
        <f>DH42</f>
        <v>48.174999999999997</v>
      </c>
      <c r="IU16" s="499" t="s">
        <v>711</v>
      </c>
      <c r="IV16" s="499">
        <v>32</v>
      </c>
    </row>
    <row r="17" spans="1:256" ht="16.5" thickTop="1" thickBot="1">
      <c r="A17" s="499">
        <v>20</v>
      </c>
      <c r="B17" s="503"/>
      <c r="C17" s="3589">
        <f>0.003+0.0002</f>
        <v>3.2000000000000002E-3</v>
      </c>
      <c r="D17" s="3589">
        <f>0.003+0.0001</f>
        <v>3.0999999999999999E-3</v>
      </c>
      <c r="E17" s="3589"/>
      <c r="F17" s="3589"/>
      <c r="G17" s="3589"/>
      <c r="H17" s="503"/>
      <c r="I17" s="503"/>
      <c r="J17" s="503"/>
      <c r="K17" s="503"/>
      <c r="L17" s="518"/>
      <c r="M17" s="518">
        <f>128*6+1</f>
        <v>769</v>
      </c>
      <c r="N17" s="518"/>
      <c r="O17" s="499">
        <f>128*12+26</f>
        <v>1562</v>
      </c>
      <c r="P17" s="499">
        <f>128*12+27</f>
        <v>1563</v>
      </c>
      <c r="Q17" s="503"/>
      <c r="R17" s="518">
        <f>128*6+1</f>
        <v>769</v>
      </c>
      <c r="S17" s="518"/>
      <c r="T17" s="503"/>
      <c r="U17" s="535">
        <f t="shared" si="5"/>
        <v>1186</v>
      </c>
      <c r="V17" s="503"/>
      <c r="W17" s="773"/>
      <c r="X17" s="773"/>
      <c r="Y17" s="773"/>
      <c r="Z17" s="773"/>
      <c r="AA17" s="773"/>
      <c r="AB17" s="773"/>
      <c r="AC17" s="504">
        <v>200020</v>
      </c>
      <c r="AD17" s="503"/>
      <c r="AE17" s="503"/>
      <c r="AF17" s="773"/>
      <c r="AG17" s="773"/>
      <c r="AH17" s="773"/>
      <c r="AI17" s="773"/>
      <c r="AJ17" s="773">
        <f>128*14+6</f>
        <v>1798</v>
      </c>
      <c r="AK17" s="773"/>
      <c r="AL17" s="773"/>
      <c r="AM17" s="773"/>
      <c r="AN17" s="773"/>
      <c r="AO17" s="773"/>
      <c r="AP17" s="773"/>
      <c r="AQ17" s="773">
        <f t="shared" si="8"/>
        <v>1799</v>
      </c>
      <c r="AR17" s="514">
        <f t="shared" si="7"/>
        <v>161</v>
      </c>
      <c r="AS17" s="773"/>
      <c r="AT17" s="773"/>
      <c r="AU17" s="773"/>
      <c r="AV17" s="773"/>
      <c r="AW17" s="773"/>
      <c r="AX17" s="773"/>
      <c r="AY17" s="773"/>
      <c r="AZ17" s="773">
        <f>128*14+8</f>
        <v>1800</v>
      </c>
      <c r="BA17" s="1427"/>
      <c r="BB17" s="1429"/>
      <c r="BC17" s="513"/>
      <c r="BD17" s="513"/>
      <c r="BE17" s="1429"/>
      <c r="BF17" s="1427"/>
      <c r="BG17" s="503"/>
      <c r="BH17" s="503"/>
      <c r="BI17" s="504"/>
      <c r="BJ17" s="504"/>
      <c r="BK17" s="504">
        <f>128*6+60</f>
        <v>828</v>
      </c>
      <c r="BL17" s="757"/>
      <c r="BM17" s="757"/>
      <c r="BN17" s="757"/>
      <c r="BO17" s="757"/>
      <c r="BP17" s="757"/>
      <c r="BQ17" s="757"/>
      <c r="BR17" s="757"/>
      <c r="BS17" s="757"/>
      <c r="BT17" s="757"/>
      <c r="BU17" s="757"/>
      <c r="BV17" s="504">
        <f>128*6+60</f>
        <v>828</v>
      </c>
      <c r="BW17" s="504"/>
      <c r="BX17" s="503"/>
      <c r="BY17" s="503"/>
      <c r="BZ17" s="503"/>
      <c r="CA17" s="514"/>
      <c r="CB17" s="503"/>
      <c r="CC17" s="503"/>
      <c r="CD17" s="503"/>
      <c r="CE17" s="503"/>
      <c r="CF17" s="513"/>
      <c r="CG17" s="513"/>
      <c r="CH17" s="513"/>
      <c r="CI17" s="513"/>
      <c r="CJ17" s="513"/>
      <c r="CK17" s="513"/>
      <c r="CL17" s="513"/>
      <c r="CM17" s="513"/>
      <c r="CN17" s="781">
        <f>128*9+29</f>
        <v>1181</v>
      </c>
      <c r="CO17" s="513">
        <f>128*9+6</f>
        <v>1158</v>
      </c>
      <c r="CP17" s="513">
        <f>128*9+29</f>
        <v>1181</v>
      </c>
      <c r="CQ17" s="513"/>
      <c r="CR17" s="513"/>
      <c r="CS17" s="513"/>
      <c r="CT17" s="513"/>
      <c r="CU17" s="503"/>
      <c r="CV17" s="503"/>
      <c r="CW17" s="503"/>
      <c r="CX17" s="503"/>
      <c r="CY17" s="503"/>
      <c r="CZ17" s="1432"/>
      <c r="DA17" s="1423">
        <f>128*2+44</f>
        <v>300</v>
      </c>
      <c r="DB17" s="1432"/>
      <c r="DC17" s="503"/>
      <c r="DD17" s="503"/>
      <c r="DE17" s="503"/>
      <c r="DF17" s="503"/>
      <c r="DG17" s="503"/>
      <c r="DH17" s="503"/>
      <c r="DI17" s="503"/>
      <c r="DJ17" s="503"/>
      <c r="DK17" s="503"/>
      <c r="DL17" s="503">
        <f>128*14+16</f>
        <v>1808</v>
      </c>
      <c r="DM17" s="503"/>
      <c r="DN17" s="503"/>
      <c r="DO17" s="503"/>
      <c r="DP17" s="503"/>
      <c r="DQ17" s="504">
        <v>20</v>
      </c>
      <c r="DR17" s="537"/>
      <c r="DS17" s="1433"/>
      <c r="DT17" s="537">
        <f>0.256+0.001</f>
        <v>0.25700000000000001</v>
      </c>
      <c r="DU17" s="2892"/>
      <c r="DV17" s="537"/>
      <c r="DW17" s="3115">
        <f>128*17+2</f>
        <v>2178</v>
      </c>
      <c r="DX17" s="504">
        <v>20</v>
      </c>
      <c r="DY17" s="499"/>
      <c r="DZ17" s="499"/>
      <c r="EA17" s="499"/>
      <c r="EB17" s="499"/>
      <c r="EC17" s="499"/>
      <c r="ED17" s="499"/>
      <c r="EE17" s="499"/>
      <c r="EF17" s="499"/>
      <c r="EG17" s="499"/>
      <c r="EH17" s="499"/>
      <c r="EI17" s="499"/>
      <c r="EJ17" s="499"/>
      <c r="EK17" s="499"/>
      <c r="EL17" s="499"/>
      <c r="EM17" s="499"/>
      <c r="EN17" s="499"/>
      <c r="IU17" s="499" t="s">
        <v>632</v>
      </c>
      <c r="IV17" s="499" t="s">
        <v>86</v>
      </c>
    </row>
    <row r="18" spans="1:256" ht="16.5" thickTop="1" thickBot="1">
      <c r="A18" s="499">
        <v>20</v>
      </c>
      <c r="B18" s="503"/>
      <c r="C18" s="503"/>
      <c r="D18" s="503"/>
      <c r="E18" s="503"/>
      <c r="F18" s="503"/>
      <c r="G18" s="3589"/>
      <c r="H18" s="503"/>
      <c r="I18" s="3107">
        <f>128*3+32</f>
        <v>416</v>
      </c>
      <c r="J18" s="1435" t="s">
        <v>627</v>
      </c>
      <c r="K18" s="503"/>
      <c r="L18" s="503"/>
      <c r="M18" s="518"/>
      <c r="N18" s="499">
        <f>128*12+28</f>
        <v>1564</v>
      </c>
      <c r="O18" s="499">
        <f>128*12+29</f>
        <v>1565</v>
      </c>
      <c r="P18" s="499">
        <f>128*12+30</f>
        <v>1566</v>
      </c>
      <c r="Q18" s="499">
        <f>128*12+31</f>
        <v>1567</v>
      </c>
      <c r="R18" s="503"/>
      <c r="S18" s="503"/>
      <c r="T18" s="518">
        <f>128*6+1</f>
        <v>769</v>
      </c>
      <c r="U18" s="535">
        <f t="shared" si="5"/>
        <v>1186</v>
      </c>
      <c r="V18" s="503"/>
      <c r="W18" s="773"/>
      <c r="X18" s="503"/>
      <c r="Y18" s="503"/>
      <c r="Z18" s="503"/>
      <c r="AA18" s="2702">
        <f>128*6+2</f>
        <v>770</v>
      </c>
      <c r="AB18" s="503"/>
      <c r="AC18" s="504"/>
      <c r="AD18" s="503"/>
      <c r="AE18" s="503"/>
      <c r="AF18" s="773"/>
      <c r="AG18" s="773"/>
      <c r="AH18" s="773"/>
      <c r="AI18" s="773"/>
      <c r="AJ18" s="773">
        <f>128*14+6</f>
        <v>1798</v>
      </c>
      <c r="AK18" s="773"/>
      <c r="AL18" s="773"/>
      <c r="AM18" s="773"/>
      <c r="AN18" s="773"/>
      <c r="AO18" s="773"/>
      <c r="AP18" s="773"/>
      <c r="AQ18" s="773">
        <f t="shared" si="8"/>
        <v>1799</v>
      </c>
      <c r="AR18" s="514">
        <f t="shared" si="7"/>
        <v>161</v>
      </c>
      <c r="AS18" s="773"/>
      <c r="AT18" s="773"/>
      <c r="AU18" s="773"/>
      <c r="AV18" s="773"/>
      <c r="AW18" s="773"/>
      <c r="AX18" s="773"/>
      <c r="AY18" s="773"/>
      <c r="AZ18" s="773">
        <f>128*14+8</f>
        <v>1800</v>
      </c>
      <c r="BA18" s="1427"/>
      <c r="BB18" s="1429"/>
      <c r="BC18" s="513"/>
      <c r="BD18" s="513"/>
      <c r="BE18" s="1429"/>
      <c r="BF18" s="1427"/>
      <c r="BG18" s="503"/>
      <c r="BH18" s="2702">
        <f>128*6+2</f>
        <v>770</v>
      </c>
      <c r="BI18" s="503"/>
      <c r="BJ18" s="503"/>
      <c r="BK18" s="503"/>
      <c r="BL18" s="503"/>
      <c r="BM18" s="503"/>
      <c r="BN18" s="503"/>
      <c r="BO18" s="503"/>
      <c r="BP18" s="503"/>
      <c r="BQ18" s="503"/>
      <c r="BR18" s="503"/>
      <c r="BS18" s="503"/>
      <c r="BT18" s="503"/>
      <c r="BU18" s="503"/>
      <c r="BV18" s="503"/>
      <c r="BW18" s="503"/>
      <c r="BX18" s="503"/>
      <c r="BY18" s="503"/>
      <c r="BZ18" s="2702">
        <f>128*6+2</f>
        <v>770</v>
      </c>
      <c r="CA18" s="514"/>
      <c r="CB18" s="503"/>
      <c r="CC18" s="503"/>
      <c r="CD18" s="503"/>
      <c r="CE18" s="503"/>
      <c r="CF18" s="513"/>
      <c r="CG18" s="513"/>
      <c r="CH18" s="513"/>
      <c r="CI18" s="513"/>
      <c r="CJ18" s="513"/>
      <c r="CK18" s="513"/>
      <c r="CL18" s="513"/>
      <c r="CM18" s="1436">
        <f>128*9+30+0.5+0.256+0.01</f>
        <v>1182.7660000000001</v>
      </c>
      <c r="CN18" s="513">
        <f>128*9+6</f>
        <v>1158</v>
      </c>
      <c r="CO18" s="513"/>
      <c r="CP18" s="513"/>
      <c r="CQ18" s="513"/>
      <c r="CR18" s="513"/>
      <c r="CS18" s="513"/>
      <c r="CT18" s="513"/>
      <c r="CU18" s="503"/>
      <c r="CV18" s="503"/>
      <c r="CW18" s="518"/>
      <c r="CX18" s="503"/>
      <c r="CY18" s="1437">
        <f>128*12+1</f>
        <v>1537</v>
      </c>
      <c r="CZ18" s="1432"/>
      <c r="DA18" s="1423">
        <f>128*2+44</f>
        <v>300</v>
      </c>
      <c r="DB18" s="1432"/>
      <c r="DC18" s="1437">
        <f>128*12+3</f>
        <v>1539</v>
      </c>
      <c r="DD18" s="503"/>
      <c r="DE18" s="503"/>
      <c r="DF18" s="503"/>
      <c r="DG18" s="518"/>
      <c r="DH18" s="503"/>
      <c r="DI18" s="2702">
        <f>128*6+2</f>
        <v>770</v>
      </c>
      <c r="DJ18" s="503"/>
      <c r="DK18" s="503"/>
      <c r="DL18" s="503"/>
      <c r="DM18" s="503"/>
      <c r="DN18" s="503"/>
      <c r="DO18" s="2702">
        <f>128*6+2</f>
        <v>770</v>
      </c>
      <c r="DP18" s="503"/>
      <c r="DQ18" s="504">
        <v>20</v>
      </c>
      <c r="DR18" s="1433"/>
      <c r="DS18" s="537"/>
      <c r="DT18" s="1433"/>
      <c r="DU18" s="537"/>
      <c r="DV18" s="537"/>
      <c r="DW18" s="1434">
        <f>128*6+5</f>
        <v>773</v>
      </c>
      <c r="DX18" s="504">
        <v>20</v>
      </c>
      <c r="DY18" s="499"/>
      <c r="DZ18" s="499"/>
      <c r="EA18" s="499"/>
      <c r="EB18" s="499"/>
      <c r="EC18" s="499"/>
      <c r="ED18" s="499"/>
      <c r="EE18" s="499"/>
      <c r="EF18" s="499"/>
      <c r="EG18" s="499"/>
      <c r="EH18" s="499"/>
      <c r="EI18" s="499"/>
      <c r="EJ18" s="499"/>
      <c r="EK18" s="499"/>
      <c r="EL18" s="499"/>
      <c r="EM18" s="499"/>
      <c r="EN18" s="499"/>
      <c r="IU18" s="499" t="s">
        <v>855</v>
      </c>
      <c r="IV18" s="499" t="s">
        <v>854</v>
      </c>
    </row>
    <row r="19" spans="1:256" ht="16.5" thickTop="1" thickBot="1">
      <c r="A19" s="499">
        <v>20</v>
      </c>
      <c r="B19" s="503"/>
      <c r="C19" s="503"/>
      <c r="D19" s="503"/>
      <c r="E19" s="503"/>
      <c r="F19" s="503">
        <f>128*3+32</f>
        <v>416</v>
      </c>
      <c r="G19" s="3589"/>
      <c r="H19" s="503"/>
      <c r="I19" s="503"/>
      <c r="J19" s="503"/>
      <c r="K19" s="503"/>
      <c r="L19" s="518"/>
      <c r="M19" s="518"/>
      <c r="N19" s="499">
        <f>128*12+32</f>
        <v>1568</v>
      </c>
      <c r="O19" s="499">
        <f>128*12+33</f>
        <v>1569</v>
      </c>
      <c r="P19" s="499">
        <f>128*12+34</f>
        <v>1570</v>
      </c>
      <c r="Q19" s="499">
        <f>128*12+35</f>
        <v>1571</v>
      </c>
      <c r="R19" s="518"/>
      <c r="S19" s="518"/>
      <c r="T19" s="503"/>
      <c r="U19" s="535">
        <f t="shared" si="5"/>
        <v>1186</v>
      </c>
      <c r="V19" s="503"/>
      <c r="W19" s="773"/>
      <c r="X19" s="773"/>
      <c r="Y19" s="773"/>
      <c r="Z19" s="1438">
        <f>128*14+10</f>
        <v>1802</v>
      </c>
      <c r="AA19" s="511">
        <f>128*3+32</f>
        <v>416</v>
      </c>
      <c r="AB19" s="514"/>
      <c r="AC19" s="1439">
        <v>490000</v>
      </c>
      <c r="AD19" s="504"/>
      <c r="AE19" s="504">
        <v>200020</v>
      </c>
      <c r="AF19" s="503"/>
      <c r="AG19" s="503"/>
      <c r="AH19" s="504">
        <v>200020</v>
      </c>
      <c r="AI19" s="504">
        <v>200020</v>
      </c>
      <c r="AJ19" s="331">
        <f>128*5+39</f>
        <v>679</v>
      </c>
      <c r="AK19" s="504">
        <v>200020</v>
      </c>
      <c r="AL19" s="504">
        <v>200020</v>
      </c>
      <c r="AM19" s="503"/>
      <c r="AN19" s="503"/>
      <c r="AO19" s="503"/>
      <c r="AP19" s="503"/>
      <c r="AQ19" s="773">
        <f t="shared" si="8"/>
        <v>1799</v>
      </c>
      <c r="AR19" s="514">
        <f t="shared" si="7"/>
        <v>161</v>
      </c>
      <c r="AS19" s="773"/>
      <c r="AT19" s="503"/>
      <c r="AU19" s="503"/>
      <c r="AV19" s="503"/>
      <c r="AW19" s="503"/>
      <c r="AX19" s="503"/>
      <c r="AY19" s="503"/>
      <c r="AZ19" s="503">
        <f>128*14+8</f>
        <v>1800</v>
      </c>
      <c r="BA19" s="1427"/>
      <c r="BB19" s="1429"/>
      <c r="BC19" s="1429"/>
      <c r="BD19" s="1429"/>
      <c r="BE19" s="1429"/>
      <c r="BF19" s="1427"/>
      <c r="BG19" s="503"/>
      <c r="BH19" s="503"/>
      <c r="BI19" s="503"/>
      <c r="BJ19" s="503"/>
      <c r="BK19" s="504">
        <v>21</v>
      </c>
      <c r="BL19" s="503">
        <f>128*6+59</f>
        <v>827</v>
      </c>
      <c r="BM19" s="503"/>
      <c r="BN19" s="503"/>
      <c r="BO19" s="511"/>
      <c r="BP19" s="511"/>
      <c r="BQ19" s="511"/>
      <c r="BR19" s="511"/>
      <c r="BS19" s="511"/>
      <c r="BT19" s="511"/>
      <c r="BU19" s="511"/>
      <c r="BV19" s="511"/>
      <c r="BW19" s="511"/>
      <c r="BX19" s="511"/>
      <c r="BY19" s="511"/>
      <c r="BZ19" s="511"/>
      <c r="CA19" s="514"/>
      <c r="CB19" s="503"/>
      <c r="CC19" s="503"/>
      <c r="CD19" s="503"/>
      <c r="CE19" s="503"/>
      <c r="CF19" s="513"/>
      <c r="CG19" s="513"/>
      <c r="CH19" s="513"/>
      <c r="CI19" s="513"/>
      <c r="CJ19" s="513"/>
      <c r="CK19" s="513"/>
      <c r="CL19" s="513"/>
      <c r="CM19" s="782">
        <f>128*9+6</f>
        <v>1158</v>
      </c>
      <c r="CN19" s="513">
        <f>128*9+29</f>
        <v>1181</v>
      </c>
      <c r="CO19" s="513"/>
      <c r="CP19" s="513"/>
      <c r="CQ19" s="513"/>
      <c r="CR19" s="513"/>
      <c r="CS19" s="513"/>
      <c r="CT19" s="513"/>
      <c r="CU19" s="503"/>
      <c r="CV19" s="503"/>
      <c r="CW19" s="503"/>
      <c r="CX19" s="503"/>
      <c r="CY19" s="1437">
        <f>128*12+2</f>
        <v>1538</v>
      </c>
      <c r="CZ19" s="1432"/>
      <c r="DA19" s="1423">
        <f>128*2+44</f>
        <v>300</v>
      </c>
      <c r="DB19" s="1432"/>
      <c r="DC19" s="1437">
        <f>128*12+4</f>
        <v>1540</v>
      </c>
      <c r="DD19" s="503"/>
      <c r="DE19" s="503"/>
      <c r="DF19" s="503"/>
      <c r="DG19" s="503"/>
      <c r="DH19" s="503"/>
      <c r="DI19" s="503"/>
      <c r="DJ19" s="503"/>
      <c r="DK19" s="503"/>
      <c r="DL19" s="503"/>
      <c r="DM19" s="503"/>
      <c r="DN19" s="503"/>
      <c r="DO19" s="503"/>
      <c r="DP19" s="503"/>
      <c r="DQ19" s="504">
        <v>20</v>
      </c>
      <c r="DR19" s="1440">
        <f>128*5+38</f>
        <v>678</v>
      </c>
      <c r="DS19" s="779">
        <f>20+ 0.065</f>
        <v>20.065000000000001</v>
      </c>
      <c r="DT19" s="504">
        <v>20</v>
      </c>
      <c r="DU19" s="504">
        <v>20</v>
      </c>
      <c r="DV19" s="504">
        <v>20</v>
      </c>
      <c r="DW19" s="504">
        <v>20</v>
      </c>
      <c r="DX19" s="504">
        <v>20</v>
      </c>
      <c r="DY19" s="499"/>
      <c r="DZ19" s="499"/>
      <c r="EA19" s="499"/>
      <c r="EB19" s="499"/>
      <c r="EC19" s="499"/>
      <c r="EK19" s="499"/>
      <c r="EL19" s="499"/>
      <c r="IU19" s="499" t="s">
        <v>857</v>
      </c>
      <c r="IV19" s="499" t="s">
        <v>856</v>
      </c>
    </row>
    <row r="20" spans="1:256" ht="14.25" thickTop="1" thickBot="1">
      <c r="A20" s="499">
        <v>20</v>
      </c>
      <c r="B20" s="503"/>
      <c r="C20" s="3589"/>
      <c r="D20" s="773">
        <f>128*3+31</f>
        <v>415</v>
      </c>
      <c r="E20" s="3589"/>
      <c r="F20" s="3589"/>
      <c r="G20" s="3589"/>
      <c r="H20" s="3589"/>
      <c r="I20" s="3589"/>
      <c r="J20" s="2702">
        <f>128*6+2</f>
        <v>770</v>
      </c>
      <c r="K20" s="503"/>
      <c r="L20" s="503"/>
      <c r="M20" s="518"/>
      <c r="N20" s="499">
        <f>128*12+36</f>
        <v>1572</v>
      </c>
      <c r="O20" s="499">
        <f>128*12+37</f>
        <v>1573</v>
      </c>
      <c r="P20" s="499">
        <f>128*12+38</f>
        <v>1574</v>
      </c>
      <c r="Q20" s="499">
        <f>128*12+39</f>
        <v>1575</v>
      </c>
      <c r="R20" s="518"/>
      <c r="S20" s="2702">
        <f>128*6+1</f>
        <v>769</v>
      </c>
      <c r="T20" s="2705">
        <f>128*6+1</f>
        <v>769</v>
      </c>
      <c r="U20" s="535">
        <f t="shared" si="5"/>
        <v>1186</v>
      </c>
      <c r="V20" s="503"/>
      <c r="W20" s="503"/>
      <c r="X20" s="503"/>
      <c r="Y20" s="773"/>
      <c r="Z20" s="503">
        <f>128*14+10</f>
        <v>1802</v>
      </c>
      <c r="AA20" s="503"/>
      <c r="AB20" s="503"/>
      <c r="AC20" s="504"/>
      <c r="AD20" s="503"/>
      <c r="AE20" s="503"/>
      <c r="AF20" s="503"/>
      <c r="AG20" s="503"/>
      <c r="AH20" s="504">
        <v>200020</v>
      </c>
      <c r="AI20" s="504"/>
      <c r="AJ20" s="504"/>
      <c r="AK20" s="774"/>
      <c r="AL20" s="504">
        <v>200020</v>
      </c>
      <c r="AM20" s="503"/>
      <c r="AN20" s="503"/>
      <c r="AO20" s="503"/>
      <c r="AP20" s="503"/>
      <c r="AQ20" s="498">
        <v>200020</v>
      </c>
      <c r="AR20" s="778">
        <f>200000+128+33</f>
        <v>200161</v>
      </c>
      <c r="AS20" s="498">
        <v>200020</v>
      </c>
      <c r="AT20" s="498">
        <v>200020</v>
      </c>
      <c r="AU20" s="1441">
        <f>10000*20+128*4+34</f>
        <v>200546</v>
      </c>
      <c r="AV20" s="498">
        <v>200020</v>
      </c>
      <c r="AW20" s="498">
        <v>200020</v>
      </c>
      <c r="AX20" s="503"/>
      <c r="AY20" s="503"/>
      <c r="AZ20" s="503"/>
      <c r="BA20" s="498">
        <v>200020</v>
      </c>
      <c r="BB20" s="1427"/>
      <c r="BC20" s="1427"/>
      <c r="BD20" s="1427"/>
      <c r="BE20" s="1427"/>
      <c r="BF20" s="498">
        <v>200020</v>
      </c>
      <c r="BG20" s="503"/>
      <c r="BH20" s="503"/>
      <c r="BI20" s="504">
        <v>21</v>
      </c>
      <c r="BJ20" s="503">
        <f>128*6+59</f>
        <v>827</v>
      </c>
      <c r="BK20" s="503"/>
      <c r="BL20" s="503"/>
      <c r="BM20" s="503"/>
      <c r="BN20" s="503"/>
      <c r="BO20" s="511"/>
      <c r="BP20" s="514"/>
      <c r="BQ20" s="503"/>
      <c r="BR20" s="503"/>
      <c r="BS20" s="503"/>
      <c r="BT20" s="514"/>
      <c r="BU20" s="503"/>
      <c r="BV20" s="503"/>
      <c r="BW20" s="503"/>
      <c r="BX20" s="503"/>
      <c r="BY20" s="503"/>
      <c r="BZ20" s="503"/>
      <c r="CA20" s="348"/>
      <c r="CB20" s="503"/>
      <c r="CC20" s="503"/>
      <c r="CD20" s="503"/>
      <c r="CE20" s="503"/>
      <c r="CF20" s="513"/>
      <c r="CG20" s="513"/>
      <c r="CH20" s="513"/>
      <c r="CI20" s="513"/>
      <c r="CJ20" s="513"/>
      <c r="CK20" s="513"/>
      <c r="CL20" s="513"/>
      <c r="CM20" s="513">
        <f>128*9+6</f>
        <v>1158</v>
      </c>
      <c r="CN20" s="513"/>
      <c r="CO20" s="513"/>
      <c r="CP20" s="513"/>
      <c r="CQ20" s="513"/>
      <c r="CR20" s="513"/>
      <c r="CS20" s="513"/>
      <c r="CT20" s="513"/>
      <c r="CU20" s="503"/>
      <c r="CV20" s="503"/>
      <c r="CW20" s="503"/>
      <c r="CX20" s="503"/>
      <c r="CY20" s="503"/>
      <c r="CZ20" s="1432" t="s">
        <v>739</v>
      </c>
      <c r="DA20" s="1423">
        <f>128*2+44</f>
        <v>300</v>
      </c>
      <c r="DB20" s="1432" t="s">
        <v>739</v>
      </c>
      <c r="DC20" s="503"/>
      <c r="DD20" s="503"/>
      <c r="DE20" s="503"/>
      <c r="DF20" s="503"/>
      <c r="DG20" s="503"/>
      <c r="DH20" s="503"/>
      <c r="DI20" s="503"/>
      <c r="DJ20" s="503"/>
      <c r="DK20" s="503"/>
      <c r="DL20" s="518"/>
      <c r="DM20" s="503"/>
      <c r="DN20" s="503"/>
      <c r="DO20" s="503"/>
      <c r="DP20" s="503"/>
      <c r="DQ20" s="503"/>
      <c r="DR20" s="503">
        <f>128*6+60</f>
        <v>828</v>
      </c>
      <c r="DS20" s="503"/>
      <c r="DT20" s="503"/>
      <c r="DU20" s="503"/>
      <c r="DV20" s="503">
        <f>128*6+5</f>
        <v>773</v>
      </c>
      <c r="DW20" s="3652">
        <f>128*9+25+0.11</f>
        <v>1177.1099999999999</v>
      </c>
      <c r="DX20" s="499">
        <v>20</v>
      </c>
      <c r="DY20" s="499"/>
      <c r="DZ20" s="499"/>
      <c r="EA20" s="499"/>
      <c r="EB20" s="499"/>
      <c r="EC20" s="499"/>
      <c r="EK20" s="499"/>
      <c r="EL20" s="499"/>
      <c r="IU20" s="499" t="s">
        <v>859</v>
      </c>
      <c r="IV20" s="499" t="s">
        <v>858</v>
      </c>
    </row>
    <row r="21" spans="1:256" ht="15.75" customHeight="1" thickTop="1" thickBot="1">
      <c r="A21" s="499">
        <v>20</v>
      </c>
      <c r="B21" s="503"/>
      <c r="C21" s="1703">
        <v>21</v>
      </c>
      <c r="D21" s="1703"/>
      <c r="E21" s="1703"/>
      <c r="F21" s="1703"/>
      <c r="G21" s="1703"/>
      <c r="H21" s="1703"/>
      <c r="I21" s="1703">
        <v>21</v>
      </c>
      <c r="J21" s="503">
        <f>128*6+60</f>
        <v>828</v>
      </c>
      <c r="K21" s="503"/>
      <c r="L21" s="503"/>
      <c r="M21" s="518">
        <f>128*6+1</f>
        <v>769</v>
      </c>
      <c r="N21" s="503"/>
      <c r="O21" s="499">
        <f>128*12+40</f>
        <v>1576</v>
      </c>
      <c r="P21" s="499">
        <f>128*12+41</f>
        <v>1577</v>
      </c>
      <c r="Q21" s="503"/>
      <c r="R21" s="503">
        <f>128*6+1</f>
        <v>769</v>
      </c>
      <c r="S21" s="503"/>
      <c r="T21" s="503">
        <f>128*6+1</f>
        <v>769</v>
      </c>
      <c r="U21" s="535">
        <f t="shared" si="5"/>
        <v>1186</v>
      </c>
      <c r="V21" s="503"/>
      <c r="W21" s="503"/>
      <c r="X21" s="503"/>
      <c r="Y21" s="773"/>
      <c r="Z21" s="1438">
        <f>128*14+10</f>
        <v>1802</v>
      </c>
      <c r="AA21" s="511">
        <f>128*3+31</f>
        <v>415</v>
      </c>
      <c r="AB21" s="514"/>
      <c r="AC21" s="1439">
        <v>490000</v>
      </c>
      <c r="AD21" s="504"/>
      <c r="AE21" s="504">
        <v>200020</v>
      </c>
      <c r="AF21" s="503"/>
      <c r="AG21" s="503"/>
      <c r="AH21" s="504">
        <v>200020</v>
      </c>
      <c r="AI21" s="510"/>
      <c r="AJ21" s="504">
        <f>128*3+31</f>
        <v>415</v>
      </c>
      <c r="AK21" s="504">
        <f>128*3+31</f>
        <v>415</v>
      </c>
      <c r="AL21" s="504">
        <v>200020</v>
      </c>
      <c r="AM21" s="503"/>
      <c r="AN21" s="503"/>
      <c r="AO21" s="503"/>
      <c r="AP21" s="503"/>
      <c r="AQ21" s="498">
        <v>200020</v>
      </c>
      <c r="AR21" s="778">
        <f>200000+128+33</f>
        <v>200161</v>
      </c>
      <c r="AS21" s="498">
        <v>200020</v>
      </c>
      <c r="AT21" s="703">
        <f>128*9+26+0.145</f>
        <v>1178.145</v>
      </c>
      <c r="AU21" s="522"/>
      <c r="AV21" s="703">
        <f>128*9+26+0.033</f>
        <v>1178.0329999999999</v>
      </c>
      <c r="AW21" s="498">
        <v>200020</v>
      </c>
      <c r="AX21" s="503"/>
      <c r="AY21" s="518"/>
      <c r="AZ21" s="503"/>
      <c r="BA21" s="503"/>
      <c r="BB21" s="503"/>
      <c r="BC21" s="503"/>
      <c r="BD21" s="518"/>
      <c r="BE21" s="503"/>
      <c r="BF21" s="503"/>
      <c r="BG21" s="503"/>
      <c r="BH21" s="503"/>
      <c r="BI21" s="503"/>
      <c r="BJ21" s="503"/>
      <c r="BK21" s="503"/>
      <c r="BL21" s="518"/>
      <c r="BM21" s="503"/>
      <c r="BN21" s="503"/>
      <c r="BO21" s="511"/>
      <c r="BP21" s="514"/>
      <c r="BQ21" s="503"/>
      <c r="BR21" s="503"/>
      <c r="BS21" s="504">
        <v>200020</v>
      </c>
      <c r="BT21" s="824">
        <f>10000*20+128*5+38</f>
        <v>200678</v>
      </c>
      <c r="BU21" s="504">
        <v>200020</v>
      </c>
      <c r="BV21" s="503"/>
      <c r="BW21" s="503"/>
      <c r="BX21" s="503"/>
      <c r="BY21" s="498">
        <v>190019</v>
      </c>
      <c r="BZ21" s="498">
        <v>190019</v>
      </c>
      <c r="CA21" s="498">
        <f>190019+0.132</f>
        <v>190019.13200000001</v>
      </c>
      <c r="CB21" s="498">
        <v>190019</v>
      </c>
      <c r="CC21" s="498">
        <v>190019</v>
      </c>
      <c r="CD21" s="503"/>
      <c r="CE21" s="503"/>
      <c r="CF21" s="513"/>
      <c r="CG21" s="513"/>
      <c r="CH21" s="513"/>
      <c r="CI21" s="513"/>
      <c r="CJ21" s="513"/>
      <c r="CK21" s="513"/>
      <c r="CL21" s="513"/>
      <c r="CM21" s="513">
        <f>128*9+6</f>
        <v>1158</v>
      </c>
      <c r="CN21" s="513"/>
      <c r="CO21" s="513"/>
      <c r="CP21" s="513"/>
      <c r="CQ21" s="513"/>
      <c r="CR21" s="513"/>
      <c r="CS21" s="513"/>
      <c r="CT21" s="513"/>
      <c r="CU21" s="503"/>
      <c r="CV21" s="503"/>
      <c r="CW21" s="503"/>
      <c r="CX21" s="503"/>
      <c r="CY21" s="789"/>
      <c r="CZ21" s="1432"/>
      <c r="DA21" s="1432"/>
      <c r="DB21" s="1432"/>
      <c r="DC21" s="789"/>
      <c r="DD21" s="503"/>
      <c r="DE21" s="503"/>
      <c r="DF21" s="1703"/>
      <c r="DG21" s="1703"/>
      <c r="DH21" s="1703"/>
      <c r="DI21" s="1703"/>
      <c r="DJ21" s="1703"/>
      <c r="DK21" s="503"/>
      <c r="DL21" s="503"/>
      <c r="DM21" s="503"/>
      <c r="DN21" s="518"/>
      <c r="DO21" s="503"/>
      <c r="DP21" s="503"/>
      <c r="DQ21" s="503"/>
      <c r="DR21" s="503"/>
      <c r="DS21" s="503"/>
      <c r="DT21" s="503"/>
      <c r="DU21" s="503"/>
      <c r="DV21" s="503"/>
      <c r="DW21" s="518"/>
      <c r="DX21" s="499">
        <v>20</v>
      </c>
      <c r="DY21" s="499"/>
      <c r="DZ21" s="499"/>
      <c r="EA21" s="499"/>
      <c r="EB21" s="499"/>
      <c r="EC21" s="499"/>
      <c r="EK21" s="499"/>
      <c r="EL21" s="499"/>
      <c r="IU21" s="499" t="s">
        <v>861</v>
      </c>
      <c r="IV21" s="499" t="s">
        <v>860</v>
      </c>
    </row>
    <row r="22" spans="1:256" ht="15.75" customHeight="1" thickTop="1" thickBot="1">
      <c r="A22" s="499">
        <v>20</v>
      </c>
      <c r="B22" s="503"/>
      <c r="C22" s="1703">
        <v>21</v>
      </c>
      <c r="D22" s="1703"/>
      <c r="E22" s="1703">
        <f>128*3+32</f>
        <v>416</v>
      </c>
      <c r="F22" s="1703"/>
      <c r="G22" s="1703">
        <f>128*3+32</f>
        <v>416</v>
      </c>
      <c r="H22" s="1703"/>
      <c r="I22" s="1703">
        <v>21</v>
      </c>
      <c r="J22" s="535">
        <f>128*9+20+0.059</f>
        <v>1172.059</v>
      </c>
      <c r="K22" s="503"/>
      <c r="L22" s="503"/>
      <c r="M22" s="518"/>
      <c r="N22" s="518">
        <f>128*6+1</f>
        <v>769</v>
      </c>
      <c r="O22" s="503"/>
      <c r="P22" s="503"/>
      <c r="Q22" s="518">
        <f>128*6+1</f>
        <v>769</v>
      </c>
      <c r="R22" s="2704">
        <f>128*6+1</f>
        <v>769</v>
      </c>
      <c r="S22" s="2704">
        <f>128*6+1</f>
        <v>769</v>
      </c>
      <c r="T22" s="760">
        <f>460000+128*9+25</f>
        <v>461177</v>
      </c>
      <c r="U22" s="1442">
        <f>460000+128*9+34</f>
        <v>461186</v>
      </c>
      <c r="V22" s="503"/>
      <c r="W22" s="503"/>
      <c r="X22" s="503"/>
      <c r="Y22" s="503"/>
      <c r="Z22" s="503"/>
      <c r="AA22" s="503"/>
      <c r="AB22" s="503"/>
      <c r="AC22" s="504"/>
      <c r="AD22" s="503"/>
      <c r="AE22" s="503"/>
      <c r="AF22" s="503"/>
      <c r="AG22" s="503"/>
      <c r="AH22" s="504">
        <v>200020</v>
      </c>
      <c r="AI22" s="504"/>
      <c r="AJ22" s="504"/>
      <c r="AK22" s="774"/>
      <c r="AL22" s="504">
        <v>200020</v>
      </c>
      <c r="AM22" s="503"/>
      <c r="AN22" s="503"/>
      <c r="AO22" s="503"/>
      <c r="AP22" s="503"/>
      <c r="AQ22" s="498">
        <v>200020</v>
      </c>
      <c r="AR22" s="778">
        <f>200000+128+33</f>
        <v>200161</v>
      </c>
      <c r="AS22" s="498">
        <v>200020</v>
      </c>
      <c r="AT22" s="500">
        <v>0.13900000000000001</v>
      </c>
      <c r="AU22" s="500">
        <f>0.5+0.256+0.035</f>
        <v>0.79100000000000004</v>
      </c>
      <c r="AV22" s="500"/>
      <c r="AW22" s="522">
        <f>10000*20+128*5+41</f>
        <v>200681</v>
      </c>
      <c r="AX22" s="503"/>
      <c r="AY22" s="503"/>
      <c r="AZ22" s="503"/>
      <c r="BA22" s="503"/>
      <c r="BB22" s="503"/>
      <c r="BC22" s="503"/>
      <c r="BD22" s="518"/>
      <c r="BE22" s="503"/>
      <c r="BF22" s="503"/>
      <c r="BG22" s="503"/>
      <c r="BH22" s="503"/>
      <c r="BI22" s="503"/>
      <c r="BJ22" s="503"/>
      <c r="BK22" s="503"/>
      <c r="BL22" s="503"/>
      <c r="BM22" s="503"/>
      <c r="BN22" s="503"/>
      <c r="BO22" s="511"/>
      <c r="BP22" s="514"/>
      <c r="BQ22" s="503"/>
      <c r="BR22" s="503"/>
      <c r="BS22" s="754">
        <f>10000*20+128*4+34</f>
        <v>200546</v>
      </c>
      <c r="BT22" s="504"/>
      <c r="BU22" s="770">
        <f>10000*20+128*4+34</f>
        <v>200546</v>
      </c>
      <c r="BV22" s="503"/>
      <c r="BW22" s="503"/>
      <c r="BX22" s="503"/>
      <c r="BY22" s="528">
        <f>190019+0.143</f>
        <v>190019.14300000001</v>
      </c>
      <c r="BZ22" s="757">
        <f>128*14+116</f>
        <v>1908</v>
      </c>
      <c r="CA22" s="757"/>
      <c r="CB22" s="757">
        <f>128*9+20+0.5+0.256+0.009+0.0002</f>
        <v>1172.7652</v>
      </c>
      <c r="CC22" s="498">
        <v>190019</v>
      </c>
      <c r="CD22" s="503"/>
      <c r="CE22" s="503"/>
      <c r="CF22" s="513"/>
      <c r="CG22" s="513"/>
      <c r="CH22" s="513"/>
      <c r="CI22" s="513"/>
      <c r="CJ22" s="513"/>
      <c r="CK22" s="513"/>
      <c r="CL22" s="781">
        <f>128*9+29</f>
        <v>1181</v>
      </c>
      <c r="CM22" s="782">
        <f>128*9+6</f>
        <v>1158</v>
      </c>
      <c r="CN22" s="539">
        <f>128*9+29</f>
        <v>1181</v>
      </c>
      <c r="CO22" s="513"/>
      <c r="CP22" s="513"/>
      <c r="CQ22" s="513"/>
      <c r="CR22" s="513"/>
      <c r="CS22" s="513"/>
      <c r="CT22" s="513"/>
      <c r="CU22" s="503"/>
      <c r="CV22" s="518"/>
      <c r="CW22" s="503"/>
      <c r="CX22" s="1410"/>
      <c r="CY22" s="789"/>
      <c r="CZ22" s="1432"/>
      <c r="DA22" s="1432"/>
      <c r="DB22" s="1432"/>
      <c r="DC22" s="789"/>
      <c r="DD22" s="783"/>
      <c r="DE22" s="503"/>
      <c r="DF22" s="1703"/>
      <c r="DG22" s="1705">
        <f>24+0.131</f>
        <v>24.131</v>
      </c>
      <c r="DH22" s="1703"/>
      <c r="DI22" s="1703">
        <v>24</v>
      </c>
      <c r="DJ22" s="1703"/>
      <c r="DK22" s="503"/>
      <c r="DL22" s="503"/>
      <c r="DM22" s="503"/>
      <c r="DN22" s="503"/>
      <c r="DO22" s="503"/>
      <c r="DP22" s="1443">
        <f>21+0.065</f>
        <v>21.065000000000001</v>
      </c>
      <c r="DQ22" s="503"/>
      <c r="DR22" s="503"/>
      <c r="DS22" s="503"/>
      <c r="DT22" s="503"/>
      <c r="DU22" s="503"/>
      <c r="DV22" s="2705">
        <f>128*6+1</f>
        <v>769</v>
      </c>
      <c r="DW22" s="503"/>
      <c r="DX22" s="499">
        <v>20</v>
      </c>
      <c r="DY22" s="499"/>
      <c r="DZ22" s="499"/>
      <c r="EA22" s="499"/>
      <c r="EB22" s="499"/>
      <c r="EC22" s="499"/>
      <c r="EK22" s="499"/>
      <c r="EL22" s="499"/>
      <c r="IU22" s="499" t="s">
        <v>863</v>
      </c>
      <c r="IV22" s="499" t="s">
        <v>862</v>
      </c>
    </row>
    <row r="23" spans="1:256" ht="15.75" customHeight="1" thickTop="1" thickBot="1">
      <c r="A23" s="499">
        <v>20</v>
      </c>
      <c r="B23" s="503"/>
      <c r="C23" s="1703">
        <v>21</v>
      </c>
      <c r="D23" s="1703">
        <v>21</v>
      </c>
      <c r="E23" s="1703">
        <v>21</v>
      </c>
      <c r="F23" s="1703">
        <v>21</v>
      </c>
      <c r="G23" s="1703">
        <v>21</v>
      </c>
      <c r="H23" s="1703">
        <v>21</v>
      </c>
      <c r="I23" s="1703">
        <v>21</v>
      </c>
      <c r="J23" s="503">
        <f>128*6+59</f>
        <v>827</v>
      </c>
      <c r="K23" s="503"/>
      <c r="L23" s="503"/>
      <c r="M23" s="503"/>
      <c r="N23" s="503"/>
      <c r="O23" s="518"/>
      <c r="P23" s="2702">
        <f>128*6+1</f>
        <v>769</v>
      </c>
      <c r="Q23" s="2703">
        <f>128*6+1</f>
        <v>769</v>
      </c>
      <c r="R23" s="2705">
        <f>128*6+1</f>
        <v>769</v>
      </c>
      <c r="S23" s="760">
        <f>460000+128*9+25</f>
        <v>461177</v>
      </c>
      <c r="T23" s="759">
        <f>460000+128*6+17</f>
        <v>460785</v>
      </c>
      <c r="U23" s="1442">
        <f>460000+128*9+34</f>
        <v>461186</v>
      </c>
      <c r="V23" s="503"/>
      <c r="W23" s="503"/>
      <c r="X23" s="503"/>
      <c r="Y23" s="503"/>
      <c r="Z23" s="503"/>
      <c r="AA23" s="503"/>
      <c r="AB23" s="503"/>
      <c r="AC23" s="504">
        <v>200020</v>
      </c>
      <c r="AD23" s="503"/>
      <c r="AE23" s="503"/>
      <c r="AF23" s="503"/>
      <c r="AG23" s="503"/>
      <c r="AH23" s="504">
        <v>200020</v>
      </c>
      <c r="AI23" s="504">
        <v>200020</v>
      </c>
      <c r="AJ23" s="504">
        <v>200020</v>
      </c>
      <c r="AK23" s="504">
        <v>200020</v>
      </c>
      <c r="AL23" s="504">
        <v>200020</v>
      </c>
      <c r="AM23" s="503"/>
      <c r="AN23" s="503"/>
      <c r="AO23" s="503"/>
      <c r="AP23" s="503"/>
      <c r="AQ23" s="498">
        <v>200020</v>
      </c>
      <c r="AR23" s="504">
        <v>33</v>
      </c>
      <c r="AS23" s="698">
        <f>200020+0.018</f>
        <v>200020.01800000001</v>
      </c>
      <c r="AT23" s="500"/>
      <c r="AU23" s="500"/>
      <c r="AV23" s="500">
        <v>8.9999999999999993E-3</v>
      </c>
      <c r="AW23" s="498">
        <v>200020</v>
      </c>
      <c r="AX23" s="503"/>
      <c r="AY23" s="503"/>
      <c r="AZ23" s="503"/>
      <c r="BA23" s="518"/>
      <c r="BB23" s="518"/>
      <c r="BC23" s="503"/>
      <c r="BD23" s="503"/>
      <c r="BE23" s="503"/>
      <c r="BF23" s="503"/>
      <c r="BG23" s="518"/>
      <c r="BH23" s="518"/>
      <c r="BI23" s="503"/>
      <c r="BJ23" s="503"/>
      <c r="BK23" s="503"/>
      <c r="BL23" s="503"/>
      <c r="BM23" s="503"/>
      <c r="BN23" s="503"/>
      <c r="BO23" s="511"/>
      <c r="BP23" s="514"/>
      <c r="BQ23" s="503"/>
      <c r="BR23" s="503"/>
      <c r="BS23" s="754">
        <f>10000*20+128*4+34</f>
        <v>200546</v>
      </c>
      <c r="BT23" s="504"/>
      <c r="BU23" s="770">
        <f>10000*20+128*4+34</f>
        <v>200546</v>
      </c>
      <c r="BV23" s="503"/>
      <c r="BW23" s="503"/>
      <c r="BX23" s="503"/>
      <c r="BY23" s="498">
        <v>190019</v>
      </c>
      <c r="BZ23" s="757"/>
      <c r="CA23" s="1444">
        <f>128*9+49+0.5+0.256+0.021+0.0007</f>
        <v>1201.7777000000001</v>
      </c>
      <c r="CB23" s="1390">
        <f>0.256+0.008</f>
        <v>0.26400000000000001</v>
      </c>
      <c r="CC23" s="498">
        <v>190019</v>
      </c>
      <c r="CD23" s="503"/>
      <c r="CE23" s="503"/>
      <c r="CF23" s="513"/>
      <c r="CG23" s="513"/>
      <c r="CH23" s="513"/>
      <c r="CI23" s="513"/>
      <c r="CJ23" s="513"/>
      <c r="CK23" s="513"/>
      <c r="CL23" s="538">
        <f>128*9+29</f>
        <v>1181</v>
      </c>
      <c r="CM23" s="513">
        <f>128*9+6</f>
        <v>1158</v>
      </c>
      <c r="CN23" s="513">
        <f>128*9+29</f>
        <v>1181</v>
      </c>
      <c r="CO23" s="513"/>
      <c r="CP23" s="513"/>
      <c r="CQ23" s="513"/>
      <c r="CR23" s="513"/>
      <c r="CS23" s="513"/>
      <c r="CT23" s="513"/>
      <c r="CU23" s="503"/>
      <c r="CV23" s="503"/>
      <c r="CW23" s="503"/>
      <c r="CX23" s="503"/>
      <c r="CY23" s="789"/>
      <c r="CZ23" s="1432"/>
      <c r="DA23" s="1432"/>
      <c r="DB23" s="1423">
        <f>128*2+44</f>
        <v>300</v>
      </c>
      <c r="DC23" s="789"/>
      <c r="DD23" s="503"/>
      <c r="DE23" s="503"/>
      <c r="DF23" s="1703"/>
      <c r="DG23" s="1705">
        <f>128*14+17+0.059+0.0008</f>
        <v>1809.0598</v>
      </c>
      <c r="DH23" s="1703"/>
      <c r="DI23" s="1703"/>
      <c r="DJ23" s="1703"/>
      <c r="DK23" s="503"/>
      <c r="DL23" s="518"/>
      <c r="DM23" s="503"/>
      <c r="DN23" s="503"/>
      <c r="DO23" s="503"/>
      <c r="DP23" s="503">
        <f>128*6+59</f>
        <v>827</v>
      </c>
      <c r="DQ23" s="503"/>
      <c r="DR23" s="503"/>
      <c r="DS23" s="503"/>
      <c r="DT23" s="2702">
        <f>128*6+1</f>
        <v>769</v>
      </c>
      <c r="DU23" s="518"/>
      <c r="DV23" s="518"/>
      <c r="DW23" s="503"/>
      <c r="DX23" s="499">
        <v>20</v>
      </c>
      <c r="DY23" s="499"/>
      <c r="DZ23" s="499"/>
      <c r="EA23" s="499"/>
      <c r="EB23" s="499"/>
      <c r="EC23" s="499"/>
      <c r="EK23" s="499"/>
      <c r="EL23" s="499"/>
      <c r="IU23" s="499" t="s">
        <v>864</v>
      </c>
      <c r="IV23" s="499" t="s">
        <v>1052</v>
      </c>
    </row>
    <row r="24" spans="1:256" ht="16.5" thickTop="1" thickBot="1">
      <c r="A24" s="499">
        <v>20</v>
      </c>
      <c r="B24" s="503">
        <f>128*14+11</f>
        <v>1803</v>
      </c>
      <c r="C24" s="503"/>
      <c r="D24" s="503"/>
      <c r="E24" s="503"/>
      <c r="F24" s="503"/>
      <c r="G24" s="503"/>
      <c r="H24" s="503"/>
      <c r="I24" s="503"/>
      <c r="J24" s="503"/>
      <c r="K24" s="503"/>
      <c r="L24" s="503"/>
      <c r="M24" s="503"/>
      <c r="N24" s="2702">
        <f>128*6+1</f>
        <v>769</v>
      </c>
      <c r="O24" s="503"/>
      <c r="P24" s="2705">
        <f>128*9+25</f>
        <v>1177</v>
      </c>
      <c r="Q24" s="759">
        <f>460000+128*6+17</f>
        <v>460785</v>
      </c>
      <c r="R24" s="759">
        <f>460000+128*6+17</f>
        <v>460785</v>
      </c>
      <c r="S24" s="759">
        <f>460000+128*6+17</f>
        <v>460785</v>
      </c>
      <c r="T24" s="759">
        <f>460000+128*6+20</f>
        <v>460788</v>
      </c>
      <c r="U24" s="1442">
        <f>460000+128*9+34</f>
        <v>461186</v>
      </c>
      <c r="V24" s="503"/>
      <c r="W24" s="503">
        <f>128*14+4</f>
        <v>1796</v>
      </c>
      <c r="X24" s="503"/>
      <c r="Y24" s="503"/>
      <c r="Z24" s="503"/>
      <c r="AA24" s="503"/>
      <c r="AB24" s="503"/>
      <c r="AC24" s="503">
        <f>128*6+59</f>
        <v>827</v>
      </c>
      <c r="AD24" s="503"/>
      <c r="AE24" s="503"/>
      <c r="AF24" s="503"/>
      <c r="AG24" s="503"/>
      <c r="AH24" s="503"/>
      <c r="AI24" s="503"/>
      <c r="AJ24" s="503"/>
      <c r="AK24" s="503"/>
      <c r="AL24" s="503"/>
      <c r="AM24" s="503"/>
      <c r="AN24" s="503"/>
      <c r="AO24" s="503"/>
      <c r="AP24" s="503"/>
      <c r="AQ24" s="498">
        <v>200020</v>
      </c>
      <c r="AR24" s="498">
        <v>20</v>
      </c>
      <c r="AS24" s="498">
        <v>200020</v>
      </c>
      <c r="AT24" s="541">
        <f>128*9+4</f>
        <v>1156</v>
      </c>
      <c r="AU24" s="802">
        <f>128*9+28+0.147</f>
        <v>1180.1469999999999</v>
      </c>
      <c r="AV24" s="801">
        <f>128*9+4</f>
        <v>1156</v>
      </c>
      <c r="AW24" s="498">
        <v>200020</v>
      </c>
      <c r="AX24" s="503"/>
      <c r="AY24" s="503"/>
      <c r="AZ24" s="503"/>
      <c r="BA24" s="503"/>
      <c r="BB24" s="503"/>
      <c r="BC24" s="503"/>
      <c r="BD24" s="503"/>
      <c r="BE24" s="503"/>
      <c r="BF24" s="503"/>
      <c r="BG24" s="503"/>
      <c r="BH24" s="503"/>
      <c r="BI24" s="503"/>
      <c r="BJ24" s="498">
        <v>200020</v>
      </c>
      <c r="BK24" s="498">
        <v>200020</v>
      </c>
      <c r="BL24" s="498">
        <v>200020</v>
      </c>
      <c r="BM24" s="1445">
        <f t="shared" ref="BM24:BR24" si="10">10000*20</f>
        <v>200000</v>
      </c>
      <c r="BN24" s="1445">
        <f t="shared" si="10"/>
        <v>200000</v>
      </c>
      <c r="BO24" s="1445">
        <f t="shared" si="10"/>
        <v>200000</v>
      </c>
      <c r="BP24" s="1445">
        <f t="shared" si="10"/>
        <v>200000</v>
      </c>
      <c r="BQ24" s="1445">
        <f t="shared" si="10"/>
        <v>200000</v>
      </c>
      <c r="BR24" s="1445">
        <f t="shared" si="10"/>
        <v>200000</v>
      </c>
      <c r="BS24" s="498">
        <v>200020</v>
      </c>
      <c r="BT24" s="780">
        <f>200020+0.065</f>
        <v>200020.065</v>
      </c>
      <c r="BU24" s="498">
        <v>200020</v>
      </c>
      <c r="BV24" s="503"/>
      <c r="BW24" s="503"/>
      <c r="BX24" s="503"/>
      <c r="BY24" s="498">
        <v>190019</v>
      </c>
      <c r="BZ24" s="498">
        <v>190019</v>
      </c>
      <c r="CA24" s="498">
        <v>190019</v>
      </c>
      <c r="CB24" s="498">
        <v>190019</v>
      </c>
      <c r="CC24" s="498">
        <v>190019</v>
      </c>
      <c r="CD24" s="503"/>
      <c r="CE24" s="503"/>
      <c r="CF24" s="513"/>
      <c r="CG24" s="513"/>
      <c r="CH24" s="513"/>
      <c r="CI24" s="781">
        <f>128*9+29+0.5+0.256+0.0155</f>
        <v>1181.7715000000001</v>
      </c>
      <c r="CJ24" s="513">
        <f>128*9+6+0.5+0.384+0.003</f>
        <v>1158.8869999999999</v>
      </c>
      <c r="CK24" s="539">
        <f>128*9+29</f>
        <v>1181</v>
      </c>
      <c r="CL24" s="513"/>
      <c r="CM24" s="513"/>
      <c r="CN24" s="513"/>
      <c r="CO24" s="781">
        <f>128*9+29</f>
        <v>1181</v>
      </c>
      <c r="CP24" s="513">
        <f>128*9+6+0.5+0.384+0.003</f>
        <v>1158.8869999999999</v>
      </c>
      <c r="CQ24" s="539">
        <f>128*9+29</f>
        <v>1181</v>
      </c>
      <c r="CR24" s="513"/>
      <c r="CS24" s="513"/>
      <c r="CT24" s="513"/>
      <c r="CU24" s="503"/>
      <c r="CV24" s="503"/>
      <c r="CW24" s="503"/>
      <c r="CX24" s="503"/>
      <c r="CY24" s="503"/>
      <c r="CZ24" s="1432"/>
      <c r="DA24" s="1432"/>
      <c r="DB24" s="1423">
        <f>128*2+44</f>
        <v>300</v>
      </c>
      <c r="DC24" s="503"/>
      <c r="DD24" s="503"/>
      <c r="DE24" s="503"/>
      <c r="DF24" s="503"/>
      <c r="DG24" s="503"/>
      <c r="DH24" s="503"/>
      <c r="DI24" s="503"/>
      <c r="DJ24" s="503"/>
      <c r="DK24" s="503"/>
      <c r="DL24" s="503"/>
      <c r="DM24" s="503"/>
      <c r="DN24" s="503"/>
      <c r="DO24" s="503"/>
      <c r="DP24" s="503"/>
      <c r="DQ24" s="503"/>
      <c r="DR24" s="503"/>
      <c r="DS24" s="3646">
        <f>128*9+25</f>
        <v>1177</v>
      </c>
      <c r="DT24" s="503"/>
      <c r="DU24" s="2702">
        <f>128*6+1</f>
        <v>769</v>
      </c>
      <c r="DV24" s="503"/>
      <c r="DW24" s="3599">
        <f>128*9+25</f>
        <v>1177</v>
      </c>
      <c r="DX24" s="499">
        <v>20</v>
      </c>
      <c r="DY24" s="499"/>
      <c r="IU24" s="499" t="s">
        <v>865</v>
      </c>
      <c r="IV24" s="499" t="s">
        <v>1053</v>
      </c>
    </row>
    <row r="25" spans="1:256" ht="15.75" thickTop="1">
      <c r="A25" s="498">
        <v>200020</v>
      </c>
      <c r="B25" s="704">
        <f>10000*20+128+20+0.131</f>
        <v>200148.13099999999</v>
      </c>
      <c r="C25" s="498">
        <v>200020</v>
      </c>
      <c r="D25" s="498">
        <v>200020</v>
      </c>
      <c r="E25" s="498">
        <v>200020</v>
      </c>
      <c r="F25" s="498">
        <v>200020</v>
      </c>
      <c r="G25" s="498">
        <v>200020</v>
      </c>
      <c r="H25" s="498">
        <v>200020</v>
      </c>
      <c r="I25" s="498">
        <v>200020</v>
      </c>
      <c r="J25" s="498">
        <v>200020</v>
      </c>
      <c r="K25" s="498">
        <v>200020</v>
      </c>
      <c r="L25" s="498">
        <v>200020</v>
      </c>
      <c r="M25" s="498">
        <v>200020</v>
      </c>
      <c r="N25" s="498">
        <v>200020</v>
      </c>
      <c r="O25" s="498">
        <v>200020</v>
      </c>
      <c r="P25" s="498">
        <v>200020</v>
      </c>
      <c r="Q25" s="498">
        <v>200020</v>
      </c>
      <c r="R25" s="498">
        <v>200020</v>
      </c>
      <c r="S25" s="498">
        <v>200020</v>
      </c>
      <c r="T25" s="498">
        <v>200020</v>
      </c>
      <c r="U25" s="498">
        <v>200020</v>
      </c>
      <c r="V25" s="705">
        <f>128*3+32</f>
        <v>416</v>
      </c>
      <c r="W25" s="498">
        <v>200020</v>
      </c>
      <c r="X25" s="498">
        <v>200020</v>
      </c>
      <c r="Y25" s="498">
        <v>200020</v>
      </c>
      <c r="Z25" s="498">
        <v>200020</v>
      </c>
      <c r="AA25" s="498">
        <v>200020</v>
      </c>
      <c r="AB25" s="498">
        <v>200020</v>
      </c>
      <c r="AC25" s="498">
        <v>200020</v>
      </c>
      <c r="AD25" s="498">
        <v>200020</v>
      </c>
      <c r="AE25" s="498">
        <v>200020</v>
      </c>
      <c r="AF25" s="498">
        <v>200020</v>
      </c>
      <c r="AG25" s="498">
        <v>200020</v>
      </c>
      <c r="AH25" s="498">
        <v>200020</v>
      </c>
      <c r="AI25" s="498">
        <v>200020</v>
      </c>
      <c r="AJ25" s="498">
        <v>200020</v>
      </c>
      <c r="AK25" s="498">
        <v>200020</v>
      </c>
      <c r="AL25" s="498">
        <v>200020</v>
      </c>
      <c r="AM25" s="705">
        <f>200000+128*3+31</f>
        <v>200415</v>
      </c>
      <c r="AN25" s="498">
        <v>200020</v>
      </c>
      <c r="AO25" s="498">
        <v>200020</v>
      </c>
      <c r="AP25" s="498">
        <v>200020</v>
      </c>
      <c r="AQ25" s="498">
        <v>200020</v>
      </c>
      <c r="AR25" s="498">
        <v>200020</v>
      </c>
      <c r="AS25" s="498">
        <v>200020</v>
      </c>
      <c r="AT25" s="498">
        <v>200020</v>
      </c>
      <c r="AU25" s="498">
        <v>200020</v>
      </c>
      <c r="AV25" s="498">
        <v>200020</v>
      </c>
      <c r="AW25" s="498">
        <v>200020</v>
      </c>
      <c r="AX25" s="498">
        <v>200020</v>
      </c>
      <c r="AY25" s="498">
        <v>200020</v>
      </c>
      <c r="AZ25" s="498">
        <v>200020</v>
      </c>
      <c r="BA25" s="498">
        <v>200020</v>
      </c>
      <c r="BB25" s="498">
        <v>200020</v>
      </c>
      <c r="BC25" s="498">
        <v>200020</v>
      </c>
      <c r="BD25" s="498">
        <v>200020</v>
      </c>
      <c r="BE25" s="498">
        <v>200020</v>
      </c>
      <c r="BF25" s="498">
        <v>200020</v>
      </c>
      <c r="BG25" s="498">
        <v>200020</v>
      </c>
      <c r="BH25" s="498">
        <v>200020</v>
      </c>
      <c r="BI25" s="498">
        <v>200020</v>
      </c>
      <c r="BJ25" s="498">
        <v>200020</v>
      </c>
      <c r="BK25" s="504"/>
      <c r="BL25" s="504">
        <f>200000+33</f>
        <v>200033</v>
      </c>
      <c r="BM25" s="504">
        <f t="shared" ref="BM25:BR25" si="11">128+33</f>
        <v>161</v>
      </c>
      <c r="BN25" s="504">
        <f t="shared" si="11"/>
        <v>161</v>
      </c>
      <c r="BO25" s="1446">
        <f t="shared" si="11"/>
        <v>161</v>
      </c>
      <c r="BP25" s="1447">
        <f t="shared" si="11"/>
        <v>161</v>
      </c>
      <c r="BQ25" s="504">
        <f t="shared" si="11"/>
        <v>161</v>
      </c>
      <c r="BR25" s="504">
        <f t="shared" si="11"/>
        <v>161</v>
      </c>
      <c r="BS25" s="504">
        <f>200000+33</f>
        <v>200033</v>
      </c>
      <c r="BT25" s="504"/>
      <c r="BU25" s="498">
        <v>200020</v>
      </c>
      <c r="BV25" s="498">
        <v>200020</v>
      </c>
      <c r="BW25" s="498">
        <v>200020</v>
      </c>
      <c r="BX25" s="498">
        <v>200020</v>
      </c>
      <c r="BY25" s="498">
        <v>200020</v>
      </c>
      <c r="BZ25" s="498">
        <v>200020</v>
      </c>
      <c r="CA25" s="498">
        <v>200020</v>
      </c>
      <c r="CB25" s="498">
        <v>200020</v>
      </c>
      <c r="CC25" s="498">
        <v>200020</v>
      </c>
      <c r="CD25" s="498">
        <v>200020</v>
      </c>
      <c r="CE25" s="525">
        <v>200020</v>
      </c>
      <c r="CF25" s="525">
        <v>200020</v>
      </c>
      <c r="CG25" s="1448">
        <v>200020</v>
      </c>
      <c r="CH25" s="1448">
        <v>200020</v>
      </c>
      <c r="CI25" s="1448">
        <v>200020</v>
      </c>
      <c r="CJ25" s="1448">
        <v>200020</v>
      </c>
      <c r="CK25" s="1448">
        <v>200020</v>
      </c>
      <c r="CL25" s="1448">
        <v>200020</v>
      </c>
      <c r="CM25" s="1448">
        <f>200000+0.0595</f>
        <v>200000.0595</v>
      </c>
      <c r="CN25" s="1448">
        <v>200020</v>
      </c>
      <c r="CO25" s="1448">
        <v>200020</v>
      </c>
      <c r="CP25" s="3662">
        <f>200000+128+20</f>
        <v>200148</v>
      </c>
      <c r="CQ25" s="1448">
        <v>200020</v>
      </c>
      <c r="CR25" s="1448">
        <v>200020</v>
      </c>
      <c r="CS25" s="1448">
        <v>200020</v>
      </c>
      <c r="CT25" s="525">
        <v>200020</v>
      </c>
      <c r="CU25" s="498">
        <v>200020</v>
      </c>
      <c r="CV25" s="498">
        <v>200020</v>
      </c>
      <c r="CW25" s="498">
        <v>200020</v>
      </c>
      <c r="CX25" s="517">
        <v>200020</v>
      </c>
      <c r="CY25" s="503"/>
      <c r="CZ25" s="1432"/>
      <c r="DA25" s="1432"/>
      <c r="DB25" s="1423">
        <f>128*2+44</f>
        <v>300</v>
      </c>
      <c r="DC25" s="503"/>
      <c r="DD25" s="545">
        <v>200020</v>
      </c>
      <c r="DE25" s="498">
        <v>200020</v>
      </c>
      <c r="DF25" s="498">
        <v>200020</v>
      </c>
      <c r="DG25" s="498">
        <v>200020</v>
      </c>
      <c r="DH25" s="498">
        <v>200020</v>
      </c>
      <c r="DI25" s="498">
        <v>200020</v>
      </c>
      <c r="DJ25" s="498">
        <v>200020</v>
      </c>
      <c r="DK25" s="498">
        <v>200020</v>
      </c>
      <c r="DL25" s="505">
        <v>200020</v>
      </c>
      <c r="DM25" s="523">
        <v>200020</v>
      </c>
      <c r="DN25" s="523">
        <v>200020</v>
      </c>
      <c r="DO25" s="523">
        <v>200020</v>
      </c>
      <c r="DP25" s="523">
        <v>200020</v>
      </c>
      <c r="DQ25" s="523">
        <v>200020</v>
      </c>
      <c r="DR25" s="523">
        <v>200020</v>
      </c>
      <c r="DS25" s="2072">
        <f>200000+128+20</f>
        <v>200148</v>
      </c>
      <c r="DT25" s="523">
        <v>200020</v>
      </c>
      <c r="DU25" s="523">
        <v>200020</v>
      </c>
      <c r="DV25" s="523">
        <v>200020</v>
      </c>
      <c r="DW25" s="505">
        <v>200020</v>
      </c>
      <c r="DX25" s="505">
        <v>200020</v>
      </c>
      <c r="DY25" s="499"/>
      <c r="IU25" s="499" t="s">
        <v>1003</v>
      </c>
      <c r="IV25" s="499" t="s">
        <v>1002</v>
      </c>
    </row>
    <row r="26" spans="1:256" ht="13.5" thickBot="1">
      <c r="A26" s="499">
        <v>20</v>
      </c>
      <c r="B26" s="504">
        <f t="shared" ref="B26:B31" si="12">128+20</f>
        <v>148</v>
      </c>
      <c r="C26" s="503">
        <f t="shared" ref="C26:C31" si="13">128*14+116</f>
        <v>1908</v>
      </c>
      <c r="D26" s="503"/>
      <c r="E26" s="503"/>
      <c r="F26" s="503"/>
      <c r="G26" s="503"/>
      <c r="H26" s="503"/>
      <c r="I26" s="498">
        <v>200020</v>
      </c>
      <c r="J26" s="1450"/>
      <c r="K26" s="1450"/>
      <c r="L26" s="1450"/>
      <c r="M26" s="1450"/>
      <c r="N26" s="1450"/>
      <c r="O26" s="1450"/>
      <c r="P26" s="1450"/>
      <c r="Q26" s="1451">
        <f>10000*20+128+20+0.129</f>
        <v>200148.12899999999</v>
      </c>
      <c r="R26" s="778">
        <f>128+20</f>
        <v>148</v>
      </c>
      <c r="S26" s="778">
        <f>128+20</f>
        <v>148</v>
      </c>
      <c r="T26" s="778">
        <f>128+20</f>
        <v>148</v>
      </c>
      <c r="U26" s="778">
        <f>128+20</f>
        <v>148</v>
      </c>
      <c r="V26" s="778">
        <f>128+20</f>
        <v>148</v>
      </c>
      <c r="W26" s="528">
        <v>200020</v>
      </c>
      <c r="X26" s="706"/>
      <c r="Y26" s="706"/>
      <c r="Z26" s="706"/>
      <c r="AA26" s="706"/>
      <c r="AB26" s="706"/>
      <c r="AC26" s="706"/>
      <c r="AD26" s="706"/>
      <c r="AE26" s="706"/>
      <c r="AF26" s="706"/>
      <c r="AG26" s="706"/>
      <c r="AH26" s="706"/>
      <c r="AI26" s="498">
        <v>20</v>
      </c>
      <c r="AJ26" s="537"/>
      <c r="AK26" s="537"/>
      <c r="AL26" s="498">
        <v>20</v>
      </c>
      <c r="AM26" s="1452"/>
      <c r="AN26" s="498">
        <v>20</v>
      </c>
      <c r="AT26" s="498">
        <v>200020</v>
      </c>
      <c r="AU26" s="503"/>
      <c r="AV26" s="503"/>
      <c r="AW26" s="503"/>
      <c r="AX26" s="503"/>
      <c r="AY26" s="503"/>
      <c r="AZ26" s="503"/>
      <c r="BA26" s="503"/>
      <c r="BB26" s="503"/>
      <c r="BC26" s="503"/>
      <c r="BD26" s="503"/>
      <c r="BE26" s="503"/>
      <c r="BF26" s="503"/>
      <c r="BG26" s="514"/>
      <c r="BH26" s="514"/>
      <c r="BI26" s="514"/>
      <c r="BJ26" s="498">
        <v>200020</v>
      </c>
      <c r="BK26" s="498">
        <v>200020</v>
      </c>
      <c r="BL26" s="498">
        <v>200020</v>
      </c>
      <c r="BM26" s="498">
        <f t="shared" ref="BM26:BR26" si="14">10000*20+128*14+34</f>
        <v>201826</v>
      </c>
      <c r="BN26" s="498">
        <f t="shared" si="14"/>
        <v>201826</v>
      </c>
      <c r="BO26" s="498">
        <f t="shared" si="14"/>
        <v>201826</v>
      </c>
      <c r="BP26" s="498">
        <f t="shared" si="14"/>
        <v>201826</v>
      </c>
      <c r="BQ26" s="498">
        <f t="shared" si="14"/>
        <v>201826</v>
      </c>
      <c r="BR26" s="498">
        <f t="shared" si="14"/>
        <v>201826</v>
      </c>
      <c r="BS26" s="498">
        <v>200020</v>
      </c>
      <c r="BT26" s="498">
        <v>200020</v>
      </c>
      <c r="BU26" s="498">
        <v>200020</v>
      </c>
      <c r="BV26" s="504">
        <f>10000*20+49</f>
        <v>200049</v>
      </c>
      <c r="BW26" s="768">
        <f>10000*20+49+0.067</f>
        <v>200049.06700000001</v>
      </c>
      <c r="BX26" s="752">
        <f>10000*20+49</f>
        <v>200049</v>
      </c>
      <c r="BY26" s="498">
        <f>10000*20+21</f>
        <v>200021</v>
      </c>
      <c r="BZ26" s="499"/>
      <c r="CA26" s="499"/>
      <c r="CB26" s="499"/>
      <c r="CC26" s="499"/>
      <c r="CD26" s="499"/>
      <c r="CE26" s="499"/>
      <c r="CF26" s="525">
        <v>200020</v>
      </c>
      <c r="CG26" s="499"/>
      <c r="CH26" s="499"/>
      <c r="CI26" s="499"/>
      <c r="CJ26" s="525">
        <v>200020</v>
      </c>
      <c r="CK26" s="525">
        <v>200020</v>
      </c>
      <c r="CL26" s="525">
        <v>200020</v>
      </c>
      <c r="CM26" s="1453">
        <f>10000*20+128*14+116</f>
        <v>201908</v>
      </c>
      <c r="CN26" s="517">
        <v>200020</v>
      </c>
      <c r="CO26" s="1184">
        <f>200000+20</f>
        <v>200020</v>
      </c>
      <c r="CP26" s="1184">
        <f>200000+128+20</f>
        <v>200148</v>
      </c>
      <c r="CQ26" s="707">
        <f>128*14+116</f>
        <v>1908</v>
      </c>
      <c r="CR26" s="707">
        <f>128*14+28</f>
        <v>1820</v>
      </c>
      <c r="CS26" s="2342">
        <f>128*9+15</f>
        <v>1167</v>
      </c>
      <c r="CT26" s="525">
        <v>200042</v>
      </c>
      <c r="CU26" s="499"/>
      <c r="CV26" s="499"/>
      <c r="CW26" s="499"/>
      <c r="CX26" s="498">
        <v>200020</v>
      </c>
      <c r="CY26" s="503"/>
      <c r="CZ26" s="1423">
        <f>128*2+44</f>
        <v>300</v>
      </c>
      <c r="DA26" s="1432"/>
      <c r="DB26" s="1432"/>
      <c r="DC26" s="503"/>
      <c r="DD26" s="498">
        <v>200020</v>
      </c>
      <c r="DE26" s="498">
        <v>200020</v>
      </c>
      <c r="DF26" s="498">
        <v>200020</v>
      </c>
      <c r="DG26" s="498">
        <v>200020</v>
      </c>
      <c r="DH26" s="498">
        <v>200020</v>
      </c>
      <c r="DI26" s="498">
        <v>200020</v>
      </c>
      <c r="DJ26" s="498">
        <v>200020</v>
      </c>
      <c r="DK26" s="498">
        <v>200020</v>
      </c>
      <c r="DL26" s="505">
        <v>200020</v>
      </c>
      <c r="DM26" s="523">
        <v>200020</v>
      </c>
      <c r="DN26" s="523">
        <v>200020</v>
      </c>
      <c r="DO26" s="523">
        <v>200020</v>
      </c>
      <c r="DP26" s="523">
        <v>200020</v>
      </c>
      <c r="DQ26" s="523">
        <v>200020</v>
      </c>
      <c r="DR26" s="523">
        <v>200020</v>
      </c>
      <c r="DS26" s="2072">
        <f>200000+128+20</f>
        <v>200148</v>
      </c>
      <c r="DT26" s="523">
        <v>200020</v>
      </c>
      <c r="DU26" s="523">
        <v>200020</v>
      </c>
      <c r="DV26" s="523">
        <v>200020</v>
      </c>
      <c r="DW26" s="505">
        <v>200020</v>
      </c>
      <c r="DX26" s="499">
        <v>20</v>
      </c>
      <c r="DY26" s="499"/>
      <c r="IU26" s="499" t="s">
        <v>954</v>
      </c>
      <c r="IV26" s="499">
        <v>1</v>
      </c>
    </row>
    <row r="27" spans="1:256" ht="17.25" thickTop="1" thickBot="1">
      <c r="A27" s="499">
        <v>20</v>
      </c>
      <c r="B27" s="504">
        <f t="shared" si="12"/>
        <v>148</v>
      </c>
      <c r="C27" s="503">
        <f t="shared" si="13"/>
        <v>1908</v>
      </c>
      <c r="D27" s="503"/>
      <c r="E27" s="503"/>
      <c r="F27" s="503"/>
      <c r="G27" s="503"/>
      <c r="H27" s="503"/>
      <c r="I27" s="498">
        <v>200020</v>
      </c>
      <c r="J27" s="1450"/>
      <c r="K27" s="498">
        <f>10000*20+128*4+34</f>
        <v>200546</v>
      </c>
      <c r="L27" s="498">
        <v>200020</v>
      </c>
      <c r="M27" s="522">
        <f>10000*20+128*5+40</f>
        <v>200680</v>
      </c>
      <c r="N27" s="677">
        <f>200020+0.159</f>
        <v>200020.15900000001</v>
      </c>
      <c r="O27" s="498">
        <f>10000*20+128*4+34</f>
        <v>200546</v>
      </c>
      <c r="P27" s="1450"/>
      <c r="Q27" s="498">
        <v>200020</v>
      </c>
      <c r="R27" s="498">
        <v>200020</v>
      </c>
      <c r="S27" s="498">
        <v>200020</v>
      </c>
      <c r="T27" s="498">
        <v>200020</v>
      </c>
      <c r="U27" s="498">
        <f>128*5+38</f>
        <v>678</v>
      </c>
      <c r="V27" s="498">
        <v>200020</v>
      </c>
      <c r="W27" s="498">
        <v>200020</v>
      </c>
      <c r="X27" s="706"/>
      <c r="Y27" s="707"/>
      <c r="Z27" s="707"/>
      <c r="AA27" s="707"/>
      <c r="AB27" s="707"/>
      <c r="AC27" s="707"/>
      <c r="AD27" s="707"/>
      <c r="AE27" s="707"/>
      <c r="AF27" s="707"/>
      <c r="AG27" s="707"/>
      <c r="AH27" s="706"/>
      <c r="AI27" s="498">
        <v>20</v>
      </c>
      <c r="AJ27" s="537"/>
      <c r="AK27" s="537">
        <f>128*14+116</f>
        <v>1908</v>
      </c>
      <c r="AL27" s="537">
        <f>128*5+39</f>
        <v>679</v>
      </c>
      <c r="AM27" s="537"/>
      <c r="AN27" s="498">
        <v>20</v>
      </c>
      <c r="AT27" s="498">
        <v>200020</v>
      </c>
      <c r="AU27" s="503"/>
      <c r="AV27" s="503"/>
      <c r="AW27" s="503"/>
      <c r="AX27" s="503"/>
      <c r="AY27" s="503"/>
      <c r="AZ27" s="503"/>
      <c r="BA27" s="503"/>
      <c r="BB27" s="503"/>
      <c r="BC27" s="503"/>
      <c r="BD27" s="503"/>
      <c r="BE27" s="503"/>
      <c r="BF27" s="503"/>
      <c r="BG27" s="514"/>
      <c r="BH27" s="514"/>
      <c r="BI27" s="514"/>
      <c r="BJ27" s="514"/>
      <c r="BK27" s="514"/>
      <c r="BL27" s="514"/>
      <c r="BM27" s="514"/>
      <c r="BN27" s="514"/>
      <c r="BO27" s="514"/>
      <c r="BP27" s="514"/>
      <c r="BQ27" s="514"/>
      <c r="BR27" s="514"/>
      <c r="BS27" s="514"/>
      <c r="BT27" s="514"/>
      <c r="BU27" s="498">
        <f>10000*4+4</f>
        <v>40004</v>
      </c>
      <c r="BV27" s="752">
        <f>10000*20+49</f>
        <v>200049</v>
      </c>
      <c r="BW27" s="1441">
        <f>128*11+5</f>
        <v>1413</v>
      </c>
      <c r="BX27" s="752">
        <f>10000*20+49</f>
        <v>200049</v>
      </c>
      <c r="BY27" s="517">
        <v>500020</v>
      </c>
      <c r="BZ27" s="517">
        <v>500020</v>
      </c>
      <c r="CA27" s="517">
        <v>500020</v>
      </c>
      <c r="CB27" s="517">
        <v>500020</v>
      </c>
      <c r="CC27" s="517">
        <v>500020</v>
      </c>
      <c r="CD27" s="517">
        <v>500020</v>
      </c>
      <c r="CE27" s="499"/>
      <c r="CF27" s="525">
        <v>200020</v>
      </c>
      <c r="CG27" s="499"/>
      <c r="CH27" s="499"/>
      <c r="CI27" s="499"/>
      <c r="CJ27" s="525">
        <v>200020</v>
      </c>
      <c r="CK27" s="525">
        <v>200020</v>
      </c>
      <c r="CL27" s="525">
        <v>200020</v>
      </c>
      <c r="CM27" s="1453">
        <f>10000*20+0.256+0.009</f>
        <v>200000.26499999998</v>
      </c>
      <c r="CN27" s="517">
        <v>200020</v>
      </c>
      <c r="CO27" s="1184">
        <f>200000+20</f>
        <v>200020</v>
      </c>
      <c r="CP27" s="1184">
        <f>200000+128+20</f>
        <v>200148</v>
      </c>
      <c r="CQ27" s="707">
        <f>128*14+116</f>
        <v>1908</v>
      </c>
      <c r="CR27" s="1469">
        <f>128*14+28</f>
        <v>1820</v>
      </c>
      <c r="CS27" s="1166">
        <v>-44</v>
      </c>
      <c r="CT27" s="525">
        <v>200001</v>
      </c>
      <c r="CU27" s="499"/>
      <c r="CV27" s="499"/>
      <c r="CW27" s="499"/>
      <c r="CX27" s="498">
        <v>200020</v>
      </c>
      <c r="CY27" s="503"/>
      <c r="CZ27" s="1423">
        <f>128*2+44</f>
        <v>300</v>
      </c>
      <c r="DA27" s="1432"/>
      <c r="DB27" s="1432"/>
      <c r="DC27" s="503"/>
      <c r="DD27" s="498">
        <v>200020</v>
      </c>
      <c r="DE27" s="504">
        <v>20</v>
      </c>
      <c r="DF27" s="504">
        <v>20</v>
      </c>
      <c r="DG27" s="504">
        <v>20</v>
      </c>
      <c r="DI27" s="504">
        <v>20</v>
      </c>
      <c r="DJ27" s="504">
        <v>20</v>
      </c>
      <c r="DK27" s="504">
        <v>20</v>
      </c>
      <c r="DL27" s="505">
        <v>200020</v>
      </c>
      <c r="DM27" s="523">
        <v>200020</v>
      </c>
      <c r="DN27" s="504">
        <v>42</v>
      </c>
      <c r="DO27" s="504">
        <v>42</v>
      </c>
      <c r="DP27" s="2255">
        <v>26</v>
      </c>
      <c r="DQ27" s="1822"/>
      <c r="DR27" s="1822">
        <f>128*14+116</f>
        <v>1908</v>
      </c>
      <c r="DS27" s="1444">
        <f>200000+128+20</f>
        <v>200148</v>
      </c>
      <c r="DT27" s="504">
        <v>20</v>
      </c>
      <c r="DU27" s="499"/>
      <c r="DV27" s="499"/>
      <c r="DW27" s="499"/>
      <c r="DX27" s="499">
        <v>20</v>
      </c>
      <c r="DY27" s="499"/>
      <c r="IU27" s="499" t="s">
        <v>953</v>
      </c>
      <c r="IV27" s="499">
        <v>20</v>
      </c>
    </row>
    <row r="28" spans="1:256" ht="16.5" thickTop="1" thickBot="1">
      <c r="A28" s="499">
        <v>20</v>
      </c>
      <c r="B28" s="504">
        <f t="shared" si="12"/>
        <v>148</v>
      </c>
      <c r="C28" s="503">
        <f t="shared" si="13"/>
        <v>1908</v>
      </c>
      <c r="D28" s="522">
        <f>10000*20+128*4+34</f>
        <v>200546</v>
      </c>
      <c r="E28" s="522">
        <f>10000*20+128*4+34</f>
        <v>200546</v>
      </c>
      <c r="F28" s="522">
        <f>10000*20+128*4+34</f>
        <v>200546</v>
      </c>
      <c r="G28" s="503"/>
      <c r="H28" s="503"/>
      <c r="I28" s="522">
        <f>10000*20+128*5+40</f>
        <v>200680</v>
      </c>
      <c r="J28" s="1450"/>
      <c r="K28" s="498">
        <f>10000*20+128*4+34</f>
        <v>200546</v>
      </c>
      <c r="L28" s="801">
        <f>128*9+42</f>
        <v>1194</v>
      </c>
      <c r="M28" s="500">
        <f>128*8+2</f>
        <v>1026</v>
      </c>
      <c r="N28" s="541">
        <f>128*9+5</f>
        <v>1157</v>
      </c>
      <c r="O28" s="498">
        <f>10000*20+128*4+34</f>
        <v>200546</v>
      </c>
      <c r="P28" s="1450"/>
      <c r="Q28" s="498">
        <v>200020</v>
      </c>
      <c r="R28" s="707"/>
      <c r="S28" s="707"/>
      <c r="T28" s="1454"/>
      <c r="U28" s="707">
        <f>128*14+116</f>
        <v>1908</v>
      </c>
      <c r="V28" s="707"/>
      <c r="W28" s="498">
        <v>200020</v>
      </c>
      <c r="X28" s="706"/>
      <c r="Y28" s="707"/>
      <c r="Z28" s="498">
        <v>200020</v>
      </c>
      <c r="AA28" s="498">
        <v>200020</v>
      </c>
      <c r="AB28" s="498">
        <v>200020</v>
      </c>
      <c r="AC28" s="498">
        <v>200020</v>
      </c>
      <c r="AD28" s="498">
        <v>200020</v>
      </c>
      <c r="AE28" s="498">
        <v>200020</v>
      </c>
      <c r="AF28" s="706"/>
      <c r="AG28" s="708"/>
      <c r="AH28" s="706"/>
      <c r="AI28" s="498">
        <f>20+0.113</f>
        <v>20.113</v>
      </c>
      <c r="AJ28" s="537">
        <f>128*10+7</f>
        <v>1287</v>
      </c>
      <c r="AK28" s="537">
        <f>128*14+116</f>
        <v>1908</v>
      </c>
      <c r="AL28" s="498">
        <v>20</v>
      </c>
      <c r="AM28" s="498">
        <v>20</v>
      </c>
      <c r="AN28" s="498">
        <v>20</v>
      </c>
      <c r="AT28" s="505">
        <v>200020</v>
      </c>
      <c r="AU28" s="505">
        <v>500020</v>
      </c>
      <c r="AV28" s="505">
        <v>200020</v>
      </c>
      <c r="AW28" s="505">
        <v>500020</v>
      </c>
      <c r="AX28" s="505">
        <v>200020</v>
      </c>
      <c r="AY28" s="505">
        <v>500020</v>
      </c>
      <c r="AZ28" s="505">
        <v>200020</v>
      </c>
      <c r="BA28" s="505">
        <v>500020</v>
      </c>
      <c r="BB28" s="505">
        <v>200020</v>
      </c>
      <c r="BC28" s="505">
        <v>500020</v>
      </c>
      <c r="BD28" s="505">
        <v>200020</v>
      </c>
      <c r="BE28" s="505">
        <f>500020+0.133</f>
        <v>500020.13299999997</v>
      </c>
      <c r="BF28" s="505">
        <v>200020</v>
      </c>
      <c r="BG28" s="505">
        <v>500020</v>
      </c>
      <c r="BH28" s="505">
        <v>200020</v>
      </c>
      <c r="BI28" s="514"/>
      <c r="BJ28" s="514"/>
      <c r="BK28" s="514"/>
      <c r="BL28" s="514"/>
      <c r="BM28" s="514"/>
      <c r="BN28" s="514"/>
      <c r="BO28" s="514"/>
      <c r="BP28" s="514"/>
      <c r="BQ28" s="514"/>
      <c r="BR28" s="514"/>
      <c r="BS28" s="514"/>
      <c r="BT28" s="514"/>
      <c r="BU28" s="498">
        <f>10000*4+4</f>
        <v>40004</v>
      </c>
      <c r="BV28" s="677">
        <f>10000*4+4+0.125</f>
        <v>40004.125</v>
      </c>
      <c r="BW28" s="3070">
        <f>10000*4+128*5+30+0.151</f>
        <v>40670.150999999998</v>
      </c>
      <c r="BX28" s="498">
        <f>10000*4+4</f>
        <v>40004</v>
      </c>
      <c r="BY28" s="517">
        <v>500020</v>
      </c>
      <c r="BZ28" s="499"/>
      <c r="CA28" s="499"/>
      <c r="CB28" s="499"/>
      <c r="CC28" s="499"/>
      <c r="CD28" s="517">
        <v>500020</v>
      </c>
      <c r="CE28" s="499"/>
      <c r="CF28" s="525">
        <v>200020</v>
      </c>
      <c r="CG28" s="499"/>
      <c r="CH28" s="499"/>
      <c r="CI28" s="499"/>
      <c r="CJ28" s="525">
        <v>200020</v>
      </c>
      <c r="CK28" s="525">
        <v>200020</v>
      </c>
      <c r="CL28" s="525">
        <v>200020</v>
      </c>
      <c r="CM28" s="525">
        <v>500020</v>
      </c>
      <c r="CN28" s="517">
        <v>200020</v>
      </c>
      <c r="CO28" s="1184">
        <f>200000+20</f>
        <v>200020</v>
      </c>
      <c r="CP28" s="1184">
        <f>200000+128+20</f>
        <v>200148</v>
      </c>
      <c r="CQ28" s="707">
        <f>128*14+116</f>
        <v>1908</v>
      </c>
      <c r="CR28" s="707">
        <f>128*14+28</f>
        <v>1820</v>
      </c>
      <c r="CS28" s="2342">
        <f>128*9+15</f>
        <v>1167</v>
      </c>
      <c r="CT28" s="525">
        <v>200042</v>
      </c>
      <c r="CW28" s="499"/>
      <c r="CX28" s="498">
        <v>200020</v>
      </c>
      <c r="CY28" s="503"/>
      <c r="CZ28" s="1423">
        <f>128*2+44</f>
        <v>300</v>
      </c>
      <c r="DA28" s="1432"/>
      <c r="DB28" s="1432"/>
      <c r="DC28" s="503"/>
      <c r="DD28" s="498">
        <v>200020</v>
      </c>
      <c r="DE28" s="515">
        <v>20</v>
      </c>
      <c r="DF28" s="1455">
        <f t="shared" ref="DF28:DF33" si="15">128*2+44</f>
        <v>300</v>
      </c>
      <c r="DG28" s="504">
        <v>20</v>
      </c>
      <c r="DI28" s="515">
        <v>20</v>
      </c>
      <c r="DJ28" s="3084"/>
      <c r="DK28" s="504">
        <v>20</v>
      </c>
      <c r="DL28" s="505">
        <v>200020</v>
      </c>
      <c r="DM28" s="523">
        <v>200020</v>
      </c>
      <c r="DN28" s="504">
        <v>42</v>
      </c>
      <c r="DO28" s="3651"/>
      <c r="DP28" s="1901"/>
      <c r="DQ28" s="1901">
        <f>128*14+27</f>
        <v>1819</v>
      </c>
      <c r="DR28" s="504">
        <v>42</v>
      </c>
      <c r="DS28" s="504">
        <v>20</v>
      </c>
      <c r="DT28" s="504">
        <v>20</v>
      </c>
      <c r="DU28" s="499"/>
      <c r="DV28" s="499"/>
      <c r="DW28" s="499"/>
      <c r="DX28" s="499">
        <v>20</v>
      </c>
      <c r="DY28" s="499"/>
      <c r="IU28" s="499" t="s">
        <v>963</v>
      </c>
      <c r="IV28" s="499" t="s">
        <v>339</v>
      </c>
    </row>
    <row r="29" spans="1:256" ht="17.25" thickTop="1" thickBot="1">
      <c r="A29" s="499">
        <v>20</v>
      </c>
      <c r="B29" s="504">
        <f t="shared" si="12"/>
        <v>148</v>
      </c>
      <c r="C29" s="503">
        <f t="shared" si="13"/>
        <v>1908</v>
      </c>
      <c r="D29" s="522">
        <f>10000*20+128*4+34</f>
        <v>200546</v>
      </c>
      <c r="E29" s="1435"/>
      <c r="F29" s="522">
        <f>10000*20+128*4+34</f>
        <v>200546</v>
      </c>
      <c r="G29" s="503"/>
      <c r="H29" s="503"/>
      <c r="I29" s="498">
        <v>200020</v>
      </c>
      <c r="J29" s="1450"/>
      <c r="K29" s="498">
        <f>10000*20+128*4+34</f>
        <v>200546</v>
      </c>
      <c r="L29" s="500">
        <f>128*6+9</f>
        <v>777</v>
      </c>
      <c r="M29" s="500"/>
      <c r="N29" s="500"/>
      <c r="O29" s="498">
        <f>10000*20+128*4+34</f>
        <v>200546</v>
      </c>
      <c r="P29" s="1450"/>
      <c r="Q29" s="498">
        <v>200020</v>
      </c>
      <c r="R29" s="706"/>
      <c r="S29" s="706"/>
      <c r="T29" s="707"/>
      <c r="U29" s="706"/>
      <c r="V29" s="706"/>
      <c r="W29" s="498">
        <v>200020</v>
      </c>
      <c r="X29" s="706"/>
      <c r="Y29" s="707"/>
      <c r="Z29" s="707"/>
      <c r="AA29" s="707"/>
      <c r="AB29" s="707"/>
      <c r="AC29" s="707">
        <f>128*8+2</f>
        <v>1026</v>
      </c>
      <c r="AD29" s="707"/>
      <c r="AE29" s="498">
        <v>200020</v>
      </c>
      <c r="AF29" s="706"/>
      <c r="AG29" s="707"/>
      <c r="AH29" s="706"/>
      <c r="AI29" s="498">
        <v>20</v>
      </c>
      <c r="AJ29" s="537"/>
      <c r="AK29" s="537">
        <f>128*14+116</f>
        <v>1908</v>
      </c>
      <c r="AL29" s="537">
        <f>128*5+38</f>
        <v>678</v>
      </c>
      <c r="AM29" s="1388">
        <f>128+20</f>
        <v>148</v>
      </c>
      <c r="AN29" s="498">
        <v>20</v>
      </c>
      <c r="AT29" s="505">
        <v>500020</v>
      </c>
      <c r="AU29" s="504">
        <v>200043</v>
      </c>
      <c r="AV29" s="504">
        <f>10000*20+43+0.134</f>
        <v>200043.13399999999</v>
      </c>
      <c r="AW29" s="504">
        <v>200043</v>
      </c>
      <c r="AX29" s="504">
        <v>200043</v>
      </c>
      <c r="AY29" s="504">
        <v>43</v>
      </c>
      <c r="AZ29" s="504">
        <v>200043</v>
      </c>
      <c r="BA29" s="504">
        <f>10000*20+43+0.134</f>
        <v>200043.13399999999</v>
      </c>
      <c r="BB29" s="504">
        <v>200043</v>
      </c>
      <c r="BC29" s="504">
        <v>200043</v>
      </c>
      <c r="BD29" s="504">
        <v>200043</v>
      </c>
      <c r="BE29" s="504">
        <f>10000*20+43+0.133</f>
        <v>200043.133</v>
      </c>
      <c r="BF29" s="504">
        <v>200043</v>
      </c>
      <c r="BG29" s="504">
        <v>200043</v>
      </c>
      <c r="BH29" s="505">
        <v>500020</v>
      </c>
      <c r="BI29" s="514"/>
      <c r="BJ29" s="514"/>
      <c r="BK29" s="503"/>
      <c r="BL29" s="503"/>
      <c r="BM29" s="514"/>
      <c r="BN29" s="514"/>
      <c r="BO29" s="514"/>
      <c r="BP29" s="514"/>
      <c r="BQ29" s="514"/>
      <c r="BR29" s="514"/>
      <c r="BS29" s="514"/>
      <c r="BT29" s="514"/>
      <c r="BU29" s="514"/>
      <c r="BV29" s="514"/>
      <c r="BW29" s="514">
        <f>128*14+19</f>
        <v>1811</v>
      </c>
      <c r="BX29" s="514"/>
      <c r="BY29" s="517">
        <v>500020</v>
      </c>
      <c r="BZ29" s="517">
        <v>500020</v>
      </c>
      <c r="CA29" s="517">
        <v>500020</v>
      </c>
      <c r="CB29" s="517">
        <v>500020</v>
      </c>
      <c r="CC29" s="517">
        <v>500020</v>
      </c>
      <c r="CD29" s="517">
        <v>500020</v>
      </c>
      <c r="CE29" s="499"/>
      <c r="CF29" s="525">
        <v>200020</v>
      </c>
      <c r="CG29" s="525">
        <v>500020</v>
      </c>
      <c r="CH29" s="525">
        <v>500020</v>
      </c>
      <c r="CI29" s="525">
        <v>500020</v>
      </c>
      <c r="CJ29" s="525">
        <v>500020</v>
      </c>
      <c r="CK29" s="525">
        <v>500020</v>
      </c>
      <c r="CL29" s="525">
        <v>500020</v>
      </c>
      <c r="CM29" s="525">
        <v>500020</v>
      </c>
      <c r="CN29" s="525">
        <v>500020</v>
      </c>
      <c r="CO29" s="525">
        <v>500020</v>
      </c>
      <c r="CP29" s="525">
        <v>500020</v>
      </c>
      <c r="CQ29" s="525">
        <v>500020</v>
      </c>
      <c r="CR29" s="525">
        <v>500020</v>
      </c>
      <c r="CS29" s="525">
        <v>500020</v>
      </c>
      <c r="CT29" s="525">
        <v>200020</v>
      </c>
      <c r="CW29" s="499"/>
      <c r="CX29" s="498">
        <v>200020</v>
      </c>
      <c r="CY29" s="503"/>
      <c r="CZ29" s="1423">
        <f>0.06</f>
        <v>0.06</v>
      </c>
      <c r="DA29" s="1423">
        <f>0.06</f>
        <v>0.06</v>
      </c>
      <c r="DB29" s="1423">
        <f>0.06</f>
        <v>0.06</v>
      </c>
      <c r="DC29" s="503"/>
      <c r="DD29" s="498">
        <v>200020</v>
      </c>
      <c r="DE29" s="515">
        <v>20</v>
      </c>
      <c r="DF29" s="1455">
        <f t="shared" si="15"/>
        <v>300</v>
      </c>
      <c r="DG29" s="504">
        <f>10000*20+49</f>
        <v>200049</v>
      </c>
      <c r="DI29" s="515">
        <f>10000*20+49</f>
        <v>200049</v>
      </c>
      <c r="DJ29" s="3084"/>
      <c r="DK29" s="504">
        <v>20</v>
      </c>
      <c r="DL29" s="505">
        <v>200020</v>
      </c>
      <c r="DM29" s="523">
        <v>200020</v>
      </c>
      <c r="DN29" s="3650">
        <v>14</v>
      </c>
      <c r="DO29" s="1901"/>
      <c r="DP29" s="3647">
        <v>-42</v>
      </c>
      <c r="DQ29" s="1901"/>
      <c r="DR29" s="3648">
        <v>14</v>
      </c>
      <c r="DT29" s="499"/>
      <c r="DU29" s="499"/>
      <c r="DV29" s="499"/>
      <c r="DW29" s="499"/>
      <c r="DX29" s="499">
        <v>20</v>
      </c>
      <c r="DY29" s="499"/>
      <c r="IU29" s="499" t="s">
        <v>983</v>
      </c>
      <c r="IV29" s="499" t="s">
        <v>984</v>
      </c>
    </row>
    <row r="30" spans="1:256" ht="16.5" thickTop="1" thickBot="1">
      <c r="A30" s="499">
        <v>20</v>
      </c>
      <c r="B30" s="504">
        <f t="shared" si="12"/>
        <v>148</v>
      </c>
      <c r="C30" s="503">
        <f t="shared" si="13"/>
        <v>1908</v>
      </c>
      <c r="D30" s="503"/>
      <c r="E30" s="503"/>
      <c r="F30" s="503"/>
      <c r="G30" s="503"/>
      <c r="H30" s="503"/>
      <c r="I30" s="498">
        <v>200020</v>
      </c>
      <c r="J30" s="1450"/>
      <c r="K30" s="498">
        <f>10000*20+128*4+34</f>
        <v>200546</v>
      </c>
      <c r="L30" s="498">
        <f>10000*20+128*4+34</f>
        <v>200546</v>
      </c>
      <c r="M30" s="498">
        <f>10000*20+128*4+34</f>
        <v>200546</v>
      </c>
      <c r="N30" s="498">
        <f>10000*20+128*4+34</f>
        <v>200546</v>
      </c>
      <c r="O30" s="498">
        <f>10000*20+128*4+34</f>
        <v>200546</v>
      </c>
      <c r="P30" s="1450"/>
      <c r="Q30" s="498">
        <v>200020</v>
      </c>
      <c r="R30" s="706"/>
      <c r="S30" s="706"/>
      <c r="T30" s="707"/>
      <c r="U30" s="706"/>
      <c r="V30" s="706"/>
      <c r="W30" s="498">
        <v>200020</v>
      </c>
      <c r="X30" s="706"/>
      <c r="Y30" s="706"/>
      <c r="Z30" s="706"/>
      <c r="AA30" s="706"/>
      <c r="AB30" s="1456"/>
      <c r="AC30" s="707"/>
      <c r="AD30" s="706"/>
      <c r="AE30" s="498">
        <v>200020</v>
      </c>
      <c r="AF30" s="706"/>
      <c r="AG30" s="707"/>
      <c r="AH30" s="706"/>
      <c r="AI30" s="498">
        <v>20</v>
      </c>
      <c r="AJ30" s="537"/>
      <c r="AK30" s="537"/>
      <c r="AL30" s="498">
        <v>20</v>
      </c>
      <c r="AM30" s="1388">
        <f>128+20</f>
        <v>148</v>
      </c>
      <c r="AN30" s="498">
        <v>20</v>
      </c>
      <c r="AT30" s="505">
        <v>200020</v>
      </c>
      <c r="AU30" s="1457">
        <f>128*9+56</f>
        <v>1208</v>
      </c>
      <c r="AV30" s="1458">
        <f>128*8+2</f>
        <v>1026</v>
      </c>
      <c r="AW30" s="1459">
        <f>128*5+41</f>
        <v>681</v>
      </c>
      <c r="AX30" s="1459">
        <f>128*9+5+0.009+0.0007</f>
        <v>1157.0097000000001</v>
      </c>
      <c r="AY30" s="504">
        <v>43</v>
      </c>
      <c r="AZ30" s="500"/>
      <c r="BA30" s="703">
        <f>128*9+83</f>
        <v>1235</v>
      </c>
      <c r="BB30" s="500"/>
      <c r="BC30" s="504">
        <v>43</v>
      </c>
      <c r="BD30" s="805">
        <f>128*9+26+0.173</f>
        <v>1178.173</v>
      </c>
      <c r="BE30" s="1460"/>
      <c r="BF30" s="805">
        <f>128*9+26+0.152</f>
        <v>1178.152</v>
      </c>
      <c r="BG30" s="504">
        <v>200043</v>
      </c>
      <c r="BH30" s="505">
        <v>200020</v>
      </c>
      <c r="BI30" s="514"/>
      <c r="BJ30" s="514"/>
      <c r="BK30" s="503"/>
      <c r="BL30" s="503"/>
      <c r="BM30" s="514"/>
      <c r="BN30" s="514"/>
      <c r="BO30" s="514"/>
      <c r="BP30" s="514"/>
      <c r="BQ30" s="514"/>
      <c r="BR30" s="514"/>
      <c r="BS30" s="514"/>
      <c r="BT30" s="514"/>
      <c r="BU30" s="514"/>
      <c r="BV30" s="514"/>
      <c r="BW30" s="3103">
        <f>128*17+8</f>
        <v>2184</v>
      </c>
      <c r="BX30" s="514"/>
      <c r="BY30" s="514"/>
      <c r="BZ30" s="514"/>
      <c r="CA30" s="514"/>
      <c r="CB30" s="514"/>
      <c r="CC30" s="514"/>
      <c r="CD30" s="517">
        <v>500020</v>
      </c>
      <c r="CE30" s="499"/>
      <c r="CF30" s="499"/>
      <c r="CG30" s="499"/>
      <c r="CH30" s="499"/>
      <c r="CI30" s="499"/>
      <c r="CJ30" s="499"/>
      <c r="CK30" s="499"/>
      <c r="CL30" s="499"/>
      <c r="CM30" s="499"/>
      <c r="CX30" s="498">
        <v>200020</v>
      </c>
      <c r="CY30" s="498">
        <v>200020</v>
      </c>
      <c r="CZ30" s="1421">
        <f>200000</f>
        <v>200000</v>
      </c>
      <c r="DA30" s="1421">
        <f>200000</f>
        <v>200000</v>
      </c>
      <c r="DB30" s="1421">
        <f>200000</f>
        <v>200000</v>
      </c>
      <c r="DC30" s="498">
        <v>200020</v>
      </c>
      <c r="DD30" s="498">
        <v>200020</v>
      </c>
      <c r="DE30" s="515">
        <v>20</v>
      </c>
      <c r="DF30" s="1455">
        <f t="shared" si="15"/>
        <v>300</v>
      </c>
      <c r="DG30" s="504">
        <f>10000*20+49</f>
        <v>200049</v>
      </c>
      <c r="DI30" s="515">
        <f>10000*20+49</f>
        <v>200049</v>
      </c>
      <c r="DJ30" s="3084"/>
      <c r="DK30" s="504">
        <v>20</v>
      </c>
      <c r="DL30" s="505">
        <v>200020</v>
      </c>
      <c r="DM30" s="523">
        <v>200020</v>
      </c>
      <c r="DN30" s="504">
        <v>42</v>
      </c>
      <c r="DO30" s="1901">
        <v>0.2175</v>
      </c>
      <c r="DP30" s="3651"/>
      <c r="DQ30" s="1901">
        <v>0.2175</v>
      </c>
      <c r="DR30" s="504">
        <v>42</v>
      </c>
      <c r="DU30" s="499"/>
      <c r="DW30" s="499"/>
      <c r="DX30" s="499">
        <v>20</v>
      </c>
      <c r="DY30" s="499"/>
      <c r="IU30" s="499" t="s">
        <v>524</v>
      </c>
      <c r="IV30" s="1608">
        <v>2</v>
      </c>
    </row>
    <row r="31" spans="1:256" ht="17.25" thickTop="1" thickBot="1">
      <c r="A31" s="499">
        <v>20</v>
      </c>
      <c r="B31" s="504">
        <f t="shared" si="12"/>
        <v>148</v>
      </c>
      <c r="C31" s="503">
        <f t="shared" si="13"/>
        <v>1908</v>
      </c>
      <c r="D31" s="503"/>
      <c r="E31" s="503"/>
      <c r="F31" s="503"/>
      <c r="G31" s="503"/>
      <c r="H31" s="503"/>
      <c r="I31" s="498">
        <v>200020</v>
      </c>
      <c r="J31" s="1450"/>
      <c r="K31" s="1450"/>
      <c r="L31" s="1450"/>
      <c r="M31" s="1450"/>
      <c r="N31" s="1450"/>
      <c r="O31" s="1450"/>
      <c r="P31" s="1450"/>
      <c r="Q31" s="498">
        <v>200020</v>
      </c>
      <c r="R31" s="706"/>
      <c r="S31" s="706"/>
      <c r="T31" s="708"/>
      <c r="U31" s="706"/>
      <c r="V31" s="706"/>
      <c r="W31" s="498">
        <v>200020</v>
      </c>
      <c r="X31" s="498">
        <v>200020</v>
      </c>
      <c r="Y31" s="498">
        <v>200020</v>
      </c>
      <c r="Z31" s="498">
        <v>200020</v>
      </c>
      <c r="AA31" s="498">
        <v>200020</v>
      </c>
      <c r="AB31" s="706"/>
      <c r="AC31" s="1461"/>
      <c r="AD31" s="706"/>
      <c r="AE31" s="498">
        <v>200020</v>
      </c>
      <c r="AF31" s="706"/>
      <c r="AG31" s="708"/>
      <c r="AH31" s="706"/>
      <c r="AI31" s="498">
        <v>20</v>
      </c>
      <c r="AJ31" s="537"/>
      <c r="AK31" s="537"/>
      <c r="AL31" s="498">
        <v>20</v>
      </c>
      <c r="AM31" s="1388">
        <f>128+20</f>
        <v>148</v>
      </c>
      <c r="AN31" s="498">
        <v>20</v>
      </c>
      <c r="AT31" s="505">
        <v>500020</v>
      </c>
      <c r="AU31" s="1457">
        <f>128*9+56</f>
        <v>1208</v>
      </c>
      <c r="AV31" s="1459"/>
      <c r="AW31" s="1462">
        <v>43</v>
      </c>
      <c r="AX31" s="1462">
        <v>43</v>
      </c>
      <c r="AY31" s="504">
        <v>43</v>
      </c>
      <c r="AZ31" s="500"/>
      <c r="BA31" s="500"/>
      <c r="BB31" s="500"/>
      <c r="BC31" s="504">
        <v>43</v>
      </c>
      <c r="BD31" s="1460"/>
      <c r="BE31" s="1460"/>
      <c r="BF31" s="1460"/>
      <c r="BG31" s="504">
        <f>10000*20+43+0.133</f>
        <v>200043.133</v>
      </c>
      <c r="BH31" s="505">
        <f>500020+0.133</f>
        <v>500020.13299999997</v>
      </c>
      <c r="BI31" s="514"/>
      <c r="BJ31" s="2394">
        <f>128*6+2</f>
        <v>770</v>
      </c>
      <c r="BK31" s="503"/>
      <c r="BL31" s="503"/>
      <c r="BM31" s="514"/>
      <c r="BN31" s="514"/>
      <c r="BO31" s="514"/>
      <c r="BP31" s="514"/>
      <c r="BQ31" s="514"/>
      <c r="BR31" s="514"/>
      <c r="BS31" s="514"/>
      <c r="BT31" s="514"/>
      <c r="BU31" s="514"/>
      <c r="BV31" s="514"/>
      <c r="BW31" s="514"/>
      <c r="BX31" s="514"/>
      <c r="BY31" s="514"/>
      <c r="BZ31" s="514"/>
      <c r="CA31" s="514"/>
      <c r="CB31" s="514"/>
      <c r="CC31" s="514"/>
      <c r="CD31" s="517">
        <v>500020</v>
      </c>
      <c r="CE31" s="499"/>
      <c r="CF31" s="499"/>
      <c r="CG31" s="499"/>
      <c r="CH31" s="499"/>
      <c r="CI31" s="499"/>
      <c r="CJ31" s="499"/>
      <c r="CK31" s="499"/>
      <c r="CL31" s="499"/>
      <c r="CM31" s="499"/>
      <c r="CX31" s="498">
        <v>200020</v>
      </c>
      <c r="CY31" s="498">
        <v>200020</v>
      </c>
      <c r="CZ31" s="1378"/>
      <c r="DA31" s="1378"/>
      <c r="DB31" s="1386"/>
      <c r="DC31" s="498">
        <v>200020</v>
      </c>
      <c r="DD31" s="498">
        <v>200020</v>
      </c>
      <c r="DE31" s="515">
        <v>20</v>
      </c>
      <c r="DF31" s="1455">
        <f t="shared" si="15"/>
        <v>300</v>
      </c>
      <c r="DG31" s="504">
        <f>10000*20+49</f>
        <v>200049</v>
      </c>
      <c r="DI31" s="515">
        <f>10000*20+49</f>
        <v>200049</v>
      </c>
      <c r="DJ31" s="3084"/>
      <c r="DK31" s="504">
        <v>20</v>
      </c>
      <c r="DL31" s="505">
        <v>200020</v>
      </c>
      <c r="DM31" s="523">
        <v>200020</v>
      </c>
      <c r="DN31" s="504">
        <v>42</v>
      </c>
      <c r="DO31" s="504">
        <v>42</v>
      </c>
      <c r="DP31" s="3649">
        <v>14</v>
      </c>
      <c r="DQ31" s="504">
        <v>42</v>
      </c>
      <c r="DR31" s="504">
        <v>42</v>
      </c>
      <c r="DU31" s="499"/>
      <c r="DW31" s="499"/>
      <c r="DX31" s="499">
        <v>20</v>
      </c>
      <c r="DY31" s="499"/>
      <c r="IU31" s="499" t="s">
        <v>523</v>
      </c>
      <c r="IV31" s="499">
        <v>3</v>
      </c>
    </row>
    <row r="32" spans="1:256" ht="16.5" thickTop="1" thickBot="1">
      <c r="A32" s="499">
        <v>20</v>
      </c>
      <c r="B32" s="498">
        <v>200020</v>
      </c>
      <c r="C32" s="498">
        <v>200020</v>
      </c>
      <c r="D32" s="498">
        <v>200020</v>
      </c>
      <c r="E32" s="1463">
        <f>10000*20+128*5+40</f>
        <v>200680</v>
      </c>
      <c r="F32" s="498">
        <v>200020</v>
      </c>
      <c r="G32" s="498">
        <v>200020</v>
      </c>
      <c r="H32" s="498">
        <v>200020</v>
      </c>
      <c r="I32" s="498">
        <v>200020</v>
      </c>
      <c r="J32" s="498">
        <v>200020</v>
      </c>
      <c r="K32" s="678">
        <f>200020+0.256+0.012</f>
        <v>200020.26799999998</v>
      </c>
      <c r="L32" s="498">
        <v>200020</v>
      </c>
      <c r="M32" s="498">
        <v>200020</v>
      </c>
      <c r="N32" s="498">
        <v>200020</v>
      </c>
      <c r="O32" s="678">
        <f>200020+0.256+0.012</f>
        <v>200020.26799999998</v>
      </c>
      <c r="P32" s="498">
        <v>200020</v>
      </c>
      <c r="Q32" s="498">
        <v>200020</v>
      </c>
      <c r="R32" s="706"/>
      <c r="S32" s="706"/>
      <c r="T32" s="707"/>
      <c r="U32" s="706"/>
      <c r="V32" s="706"/>
      <c r="W32" s="706"/>
      <c r="X32" s="706"/>
      <c r="Y32" s="706"/>
      <c r="Z32" s="706"/>
      <c r="AA32" s="706"/>
      <c r="AB32" s="706"/>
      <c r="AC32" s="707"/>
      <c r="AD32" s="706"/>
      <c r="AE32" s="498">
        <v>200020</v>
      </c>
      <c r="AF32" s="706"/>
      <c r="AG32" s="707"/>
      <c r="AH32" s="706"/>
      <c r="AI32" s="498">
        <v>20</v>
      </c>
      <c r="AJ32" s="537"/>
      <c r="AK32" s="537"/>
      <c r="AL32" s="498">
        <v>20</v>
      </c>
      <c r="AM32" s="1388">
        <f>128+20</f>
        <v>148</v>
      </c>
      <c r="AN32" s="498">
        <v>20</v>
      </c>
      <c r="AT32" s="505">
        <v>200020</v>
      </c>
      <c r="AU32" s="1457">
        <f>128*9+56</f>
        <v>1208</v>
      </c>
      <c r="AV32" s="1459">
        <v>0.13900000000000001</v>
      </c>
      <c r="AW32" s="1459"/>
      <c r="AX32" s="1459"/>
      <c r="AY32" s="801">
        <f>128*5+41+0.1545</f>
        <v>681.15449999999998</v>
      </c>
      <c r="AZ32" s="500"/>
      <c r="BA32" s="500">
        <f>0.5+0.256+0.035</f>
        <v>0.79100000000000004</v>
      </c>
      <c r="BB32" s="500"/>
      <c r="BC32" s="500">
        <f>128*5+41</f>
        <v>681</v>
      </c>
      <c r="BD32" s="1460"/>
      <c r="BE32" s="1460"/>
      <c r="BF32" s="804">
        <f>128*9+49</f>
        <v>1201</v>
      </c>
      <c r="BG32" s="504">
        <v>200043</v>
      </c>
      <c r="BH32" s="505">
        <v>200020</v>
      </c>
      <c r="BI32" s="514"/>
      <c r="BJ32" s="514"/>
      <c r="BK32" s="503"/>
      <c r="BL32" s="503"/>
      <c r="BM32" s="514"/>
      <c r="BN32" s="514"/>
      <c r="BO32" s="514"/>
      <c r="BP32" s="514"/>
      <c r="BQ32" s="514"/>
      <c r="BR32" s="514"/>
      <c r="BS32" s="514"/>
      <c r="BT32" s="514"/>
      <c r="BU32" s="514"/>
      <c r="BV32" s="514"/>
      <c r="BW32" s="514"/>
      <c r="BX32" s="514"/>
      <c r="BY32" s="505">
        <v>500020</v>
      </c>
      <c r="BZ32" s="2951">
        <f>10000*50+128*5+30</f>
        <v>500670</v>
      </c>
      <c r="CA32" s="505">
        <v>500020</v>
      </c>
      <c r="CB32" s="505">
        <v>200020</v>
      </c>
      <c r="CC32" s="505">
        <v>200020</v>
      </c>
      <c r="CD32" s="505">
        <v>200020</v>
      </c>
      <c r="CE32" s="499"/>
      <c r="CF32" s="499"/>
      <c r="CG32" s="499"/>
      <c r="CH32" s="499"/>
      <c r="CI32" s="504">
        <v>20</v>
      </c>
      <c r="CJ32" s="504">
        <v>50</v>
      </c>
      <c r="CK32" s="504">
        <v>50</v>
      </c>
      <c r="CL32" s="504">
        <v>20</v>
      </c>
      <c r="CM32" s="499"/>
      <c r="CN32" s="499"/>
      <c r="CO32" s="499"/>
      <c r="CP32" s="504">
        <v>20</v>
      </c>
      <c r="CQ32" s="504">
        <v>50</v>
      </c>
      <c r="CR32" s="504">
        <v>50</v>
      </c>
      <c r="CS32" s="504">
        <v>20</v>
      </c>
      <c r="CT32" s="504">
        <v>20</v>
      </c>
      <c r="CU32" s="504">
        <v>20</v>
      </c>
      <c r="CX32" s="498">
        <v>200020</v>
      </c>
      <c r="CY32" s="498">
        <v>200020</v>
      </c>
      <c r="CZ32" s="1378"/>
      <c r="DA32" s="1378"/>
      <c r="DB32" s="1386"/>
      <c r="DC32" s="498">
        <v>200020</v>
      </c>
      <c r="DD32" s="498">
        <v>200020</v>
      </c>
      <c r="DE32" s="515">
        <v>20</v>
      </c>
      <c r="DF32" s="1455">
        <f t="shared" si="15"/>
        <v>300</v>
      </c>
      <c r="DG32" s="504">
        <v>20</v>
      </c>
      <c r="DH32" s="498">
        <v>20</v>
      </c>
      <c r="DI32" s="515">
        <v>20</v>
      </c>
      <c r="DJ32" s="3084"/>
      <c r="DK32" s="504">
        <v>20</v>
      </c>
      <c r="DL32" s="505">
        <v>200020</v>
      </c>
      <c r="DM32" s="523">
        <v>200020</v>
      </c>
      <c r="DU32" s="499"/>
      <c r="DW32" s="499"/>
      <c r="DX32" s="499">
        <v>20</v>
      </c>
      <c r="DY32" s="499"/>
      <c r="IU32" s="499" t="s">
        <v>525</v>
      </c>
      <c r="IV32" s="499">
        <v>4</v>
      </c>
    </row>
    <row r="33" spans="1:256" ht="16.5" thickTop="1" thickBot="1">
      <c r="A33" s="499">
        <v>20</v>
      </c>
      <c r="B33" s="503"/>
      <c r="C33" s="503"/>
      <c r="D33" s="503"/>
      <c r="E33" s="503">
        <f>128*8+2</f>
        <v>1026</v>
      </c>
      <c r="F33" s="503"/>
      <c r="G33" s="503"/>
      <c r="H33" s="503"/>
      <c r="I33" s="503"/>
      <c r="J33" s="498">
        <v>200020</v>
      </c>
      <c r="K33" s="499"/>
      <c r="L33" s="499"/>
      <c r="M33" s="499"/>
      <c r="N33" s="499"/>
      <c r="O33" s="499"/>
      <c r="P33" s="499"/>
      <c r="Q33" s="498">
        <v>200020</v>
      </c>
      <c r="R33" s="706"/>
      <c r="S33" s="706"/>
      <c r="T33" s="707"/>
      <c r="U33" s="707"/>
      <c r="V33" s="707"/>
      <c r="W33" s="1464"/>
      <c r="X33" s="707"/>
      <c r="Y33" s="707"/>
      <c r="Z33" s="707"/>
      <c r="AA33" s="707"/>
      <c r="AB33" s="707"/>
      <c r="AC33" s="707"/>
      <c r="AD33" s="706"/>
      <c r="AE33" s="498">
        <v>200020</v>
      </c>
      <c r="AF33" s="706"/>
      <c r="AG33" s="707"/>
      <c r="AH33" s="706"/>
      <c r="AI33" s="498">
        <v>20</v>
      </c>
      <c r="AJ33" s="498">
        <v>200020</v>
      </c>
      <c r="AK33" s="498">
        <v>200020</v>
      </c>
      <c r="AL33" s="498">
        <v>20</v>
      </c>
      <c r="AM33" s="1465">
        <f>128+20+0.13</f>
        <v>148.13</v>
      </c>
      <c r="AN33" s="498">
        <v>20</v>
      </c>
      <c r="AT33" s="505">
        <v>500020</v>
      </c>
      <c r="AU33" s="1457">
        <f>128*9+56</f>
        <v>1208</v>
      </c>
      <c r="AV33" s="1459"/>
      <c r="AW33" s="1462">
        <v>43</v>
      </c>
      <c r="AX33" s="1462">
        <v>43</v>
      </c>
      <c r="AY33" s="504">
        <v>43</v>
      </c>
      <c r="AZ33" s="500"/>
      <c r="BA33" s="500"/>
      <c r="BB33" s="500"/>
      <c r="BC33" s="504">
        <v>43</v>
      </c>
      <c r="BD33" s="1460"/>
      <c r="BE33" s="1460"/>
      <c r="BF33" s="1460"/>
      <c r="BG33" s="504">
        <f>10000*20+43+0.133</f>
        <v>200043.133</v>
      </c>
      <c r="BH33" s="505">
        <f>500020+0.133</f>
        <v>500020.13299999997</v>
      </c>
      <c r="BI33" s="514"/>
      <c r="BJ33" s="514"/>
      <c r="BK33" s="503"/>
      <c r="BL33" s="503"/>
      <c r="BM33" s="514"/>
      <c r="BN33" s="514"/>
      <c r="BO33" s="514"/>
      <c r="BP33" s="517">
        <v>200020</v>
      </c>
      <c r="BQ33" s="517">
        <f>10000*42+42</f>
        <v>420042</v>
      </c>
      <c r="BR33" s="1466">
        <f>200020+0.132</f>
        <v>200020.13200000001</v>
      </c>
      <c r="BS33" s="1467">
        <f>10000*50+128*4+34</f>
        <v>500546</v>
      </c>
      <c r="BT33" s="1467">
        <f>10000*50+128*4+34</f>
        <v>500546</v>
      </c>
      <c r="BU33" s="514"/>
      <c r="BV33" s="514"/>
      <c r="BW33" s="514"/>
      <c r="BX33" s="514"/>
      <c r="BY33" s="1468">
        <f>10000*50+128*4+34</f>
        <v>500546</v>
      </c>
      <c r="BZ33" s="500"/>
      <c r="CA33" s="500"/>
      <c r="CB33" s="504">
        <f>33</f>
        <v>33</v>
      </c>
      <c r="CC33" s="504">
        <v>42</v>
      </c>
      <c r="CD33" s="504">
        <v>42</v>
      </c>
      <c r="CE33" s="499"/>
      <c r="CF33" s="499"/>
      <c r="CG33" s="504">
        <v>20</v>
      </c>
      <c r="CH33" s="504">
        <v>42</v>
      </c>
      <c r="CI33" s="504">
        <v>20</v>
      </c>
      <c r="CJ33" s="757"/>
      <c r="CK33" s="1383">
        <f>0.384+0.0032</f>
        <v>0.38719999999999999</v>
      </c>
      <c r="CL33" s="504">
        <v>50</v>
      </c>
      <c r="CM33" s="504">
        <v>50</v>
      </c>
      <c r="CN33" s="504">
        <v>50</v>
      </c>
      <c r="CO33" s="504">
        <v>50</v>
      </c>
      <c r="CP33" s="504">
        <v>20</v>
      </c>
      <c r="CQ33" s="757"/>
      <c r="CR33" s="757"/>
      <c r="CS33" s="504">
        <f>33</f>
        <v>33</v>
      </c>
      <c r="CT33" s="504">
        <v>42</v>
      </c>
      <c r="CU33" s="504">
        <v>20</v>
      </c>
      <c r="CX33" s="498">
        <v>200020</v>
      </c>
      <c r="CY33" s="498">
        <v>200020</v>
      </c>
      <c r="CZ33" s="1378"/>
      <c r="DA33" s="1378"/>
      <c r="DB33" s="1386"/>
      <c r="DC33" s="498">
        <v>200020</v>
      </c>
      <c r="DD33" s="498">
        <v>200020</v>
      </c>
      <c r="DE33" s="515">
        <v>20</v>
      </c>
      <c r="DF33" s="1455">
        <f t="shared" si="15"/>
        <v>300</v>
      </c>
      <c r="DG33" s="504">
        <f>10000*20+49</f>
        <v>200049</v>
      </c>
      <c r="DH33" s="677">
        <f>10000*20+49+0.07</f>
        <v>200049.07</v>
      </c>
      <c r="DI33" s="515">
        <f>10000*20+49</f>
        <v>200049</v>
      </c>
      <c r="DJ33" s="3084"/>
      <c r="DK33" s="504">
        <v>20</v>
      </c>
      <c r="DL33" s="505">
        <v>200020</v>
      </c>
      <c r="DM33" s="523">
        <v>200020</v>
      </c>
      <c r="DX33" s="499">
        <v>20</v>
      </c>
      <c r="DY33" s="499"/>
      <c r="IU33" t="s">
        <v>550</v>
      </c>
      <c r="IV33" s="499">
        <v>4</v>
      </c>
    </row>
    <row r="34" spans="1:256" ht="17.25" thickTop="1" thickBot="1">
      <c r="A34" s="499">
        <v>20</v>
      </c>
      <c r="B34" s="503"/>
      <c r="C34" s="503"/>
      <c r="D34" s="513"/>
      <c r="E34" s="503"/>
      <c r="F34" s="503"/>
      <c r="G34" s="513"/>
      <c r="H34" s="503"/>
      <c r="I34" s="503"/>
      <c r="J34" s="498">
        <v>200020</v>
      </c>
      <c r="K34" s="499"/>
      <c r="L34" s="499"/>
      <c r="M34" s="499"/>
      <c r="N34" s="499"/>
      <c r="O34" s="499"/>
      <c r="P34" s="499"/>
      <c r="Q34" s="498">
        <v>200020</v>
      </c>
      <c r="R34" s="706"/>
      <c r="S34" s="706"/>
      <c r="T34" s="706"/>
      <c r="U34" s="706"/>
      <c r="V34" s="706"/>
      <c r="W34" s="706"/>
      <c r="X34" s="706"/>
      <c r="Y34" s="706"/>
      <c r="Z34" s="706"/>
      <c r="AA34" s="706"/>
      <c r="AB34" s="706"/>
      <c r="AC34" s="706"/>
      <c r="AD34" s="706"/>
      <c r="AE34" s="498">
        <v>200020</v>
      </c>
      <c r="AF34" s="707">
        <f>128*10+6</f>
        <v>1286</v>
      </c>
      <c r="AG34" s="1469"/>
      <c r="AH34" s="707">
        <f>128*10+5</f>
        <v>1285</v>
      </c>
      <c r="AI34" s="1470">
        <f>128+20+0.129</f>
        <v>148.12899999999999</v>
      </c>
      <c r="AJ34" s="1388">
        <f>128+20</f>
        <v>148</v>
      </c>
      <c r="AK34" s="1471">
        <f>128+20</f>
        <v>148</v>
      </c>
      <c r="AL34" s="1388">
        <f>128+20</f>
        <v>148</v>
      </c>
      <c r="AM34" s="1388">
        <f>128+20</f>
        <v>148</v>
      </c>
      <c r="AN34" s="498">
        <v>20</v>
      </c>
      <c r="AT34" s="505">
        <v>200020</v>
      </c>
      <c r="AU34" s="1457">
        <f>128*9+56</f>
        <v>1208</v>
      </c>
      <c r="AV34" s="1459">
        <f>0.12+0.0005</f>
        <v>0.1205</v>
      </c>
      <c r="AW34" s="1459">
        <f>128*5+41</f>
        <v>681</v>
      </c>
      <c r="AX34" s="806">
        <f>128*9+5+0.03+0.0007</f>
        <v>1157.0307</v>
      </c>
      <c r="AY34" s="504">
        <v>43</v>
      </c>
      <c r="AZ34" s="500"/>
      <c r="BA34" s="348"/>
      <c r="BB34" s="500"/>
      <c r="BC34" s="504">
        <v>43</v>
      </c>
      <c r="BD34" s="1472">
        <f>128*9+26+0.152</f>
        <v>1178.152</v>
      </c>
      <c r="BE34" s="1460"/>
      <c r="BF34" s="1473">
        <f>128*9+26+0.152</f>
        <v>1178.152</v>
      </c>
      <c r="BG34" s="504">
        <v>200043</v>
      </c>
      <c r="BH34" s="505">
        <v>200020</v>
      </c>
      <c r="BI34" s="514"/>
      <c r="BJ34" s="514"/>
      <c r="BK34" s="503"/>
      <c r="BL34" s="503"/>
      <c r="BM34" s="514"/>
      <c r="BN34" s="514"/>
      <c r="BO34" s="514"/>
      <c r="BP34" s="1466">
        <f>10000*42+42+0.067</f>
        <v>420042.06699999998</v>
      </c>
      <c r="BQ34" s="767">
        <f>128*11+8</f>
        <v>1416</v>
      </c>
      <c r="BR34" s="500">
        <f>128*5+30+0.15</f>
        <v>670.15</v>
      </c>
      <c r="BS34" s="3724">
        <f>128*11+11+0.256+0.0012</f>
        <v>1419.2572</v>
      </c>
      <c r="BT34" s="1467">
        <f>10000*50+128*4+34</f>
        <v>500546</v>
      </c>
      <c r="BU34" s="1129">
        <f>10000*50</f>
        <v>500000</v>
      </c>
      <c r="BV34" s="778">
        <f>10000*50</f>
        <v>500000</v>
      </c>
      <c r="BW34" s="778">
        <f>10000*50</f>
        <v>500000</v>
      </c>
      <c r="BX34" s="1474">
        <f>10000*50</f>
        <v>500000</v>
      </c>
      <c r="BY34" s="1475">
        <f>10000*50+128*4+34+0.256+0.005</f>
        <v>500546.261</v>
      </c>
      <c r="BZ34" s="500"/>
      <c r="CA34" s="500"/>
      <c r="CB34" s="1703">
        <f>128*5+30+0.15</f>
        <v>670.15</v>
      </c>
      <c r="CC34" s="1400">
        <f>128*11+9</f>
        <v>1417</v>
      </c>
      <c r="CD34" s="754">
        <f>42+0.067</f>
        <v>42.067</v>
      </c>
      <c r="CE34" s="499"/>
      <c r="CF34" s="499"/>
      <c r="CG34" s="770">
        <f>42+0.068</f>
        <v>42.067999999999998</v>
      </c>
      <c r="CH34" s="767">
        <f>128*11+8</f>
        <v>1416</v>
      </c>
      <c r="CI34" s="500">
        <f>128*5+30+0.151</f>
        <v>670.15099999999995</v>
      </c>
      <c r="CJ34" s="757"/>
      <c r="CK34" s="510"/>
      <c r="CL34" s="1039"/>
      <c r="CM34" s="757"/>
      <c r="CN34" s="510"/>
      <c r="CO34" s="1039"/>
      <c r="CP34" s="757"/>
      <c r="CQ34" s="510"/>
      <c r="CR34" s="757"/>
      <c r="CS34" s="1703">
        <f>128*5+30+0.151</f>
        <v>670.15099999999995</v>
      </c>
      <c r="CT34" s="1400">
        <f>128*11+9</f>
        <v>1417</v>
      </c>
      <c r="CU34" s="754">
        <f>42+0.068</f>
        <v>42.067999999999998</v>
      </c>
      <c r="CX34" s="498">
        <v>200020</v>
      </c>
      <c r="CY34" s="498">
        <v>200020</v>
      </c>
      <c r="CZ34" s="1378"/>
      <c r="DA34" s="1378"/>
      <c r="DB34" s="1386"/>
      <c r="DC34" s="498">
        <v>200020</v>
      </c>
      <c r="DD34" s="498">
        <v>200020</v>
      </c>
      <c r="DE34" s="515">
        <v>20</v>
      </c>
      <c r="DF34" s="1455"/>
      <c r="DG34" s="504">
        <f>10000*20+49</f>
        <v>200049</v>
      </c>
      <c r="DH34" s="1441">
        <f>128*11+5</f>
        <v>1413</v>
      </c>
      <c r="DI34" s="515">
        <f>10000*20+49</f>
        <v>200049</v>
      </c>
      <c r="DJ34" s="3084"/>
      <c r="DK34" s="504">
        <v>20</v>
      </c>
      <c r="DL34" s="505">
        <v>200020</v>
      </c>
      <c r="DM34" s="523">
        <v>200020</v>
      </c>
      <c r="DX34" s="499">
        <v>20</v>
      </c>
      <c r="DY34" s="499"/>
      <c r="IU34" s="499" t="s">
        <v>899</v>
      </c>
      <c r="IV34" s="499" t="s">
        <v>900</v>
      </c>
    </row>
    <row r="35" spans="1:256" ht="14.25" thickTop="1" thickBot="1">
      <c r="A35" s="499">
        <v>20</v>
      </c>
      <c r="B35" s="503"/>
      <c r="C35" s="503">
        <v>4.3E-3</v>
      </c>
      <c r="D35" s="513"/>
      <c r="E35" s="503"/>
      <c r="F35" s="503"/>
      <c r="G35" s="513"/>
      <c r="H35" s="503">
        <v>4.7000000000000002E-3</v>
      </c>
      <c r="I35" s="503"/>
      <c r="J35" s="498">
        <v>200020</v>
      </c>
      <c r="K35" s="499"/>
      <c r="L35" s="499"/>
      <c r="M35" s="499"/>
      <c r="N35" s="499"/>
      <c r="O35" s="499"/>
      <c r="P35" s="499"/>
      <c r="Q35" s="498">
        <v>200020</v>
      </c>
      <c r="R35" s="498">
        <v>200020</v>
      </c>
      <c r="S35" s="498">
        <v>200020</v>
      </c>
      <c r="T35" s="498">
        <v>200020</v>
      </c>
      <c r="U35" s="498">
        <v>200020</v>
      </c>
      <c r="V35" s="498">
        <v>200020</v>
      </c>
      <c r="W35" s="498">
        <v>200020</v>
      </c>
      <c r="X35" s="498">
        <v>200020</v>
      </c>
      <c r="Y35" s="498">
        <v>200020</v>
      </c>
      <c r="Z35" s="498">
        <v>200020</v>
      </c>
      <c r="AA35" s="498">
        <v>200020</v>
      </c>
      <c r="AB35" s="498">
        <v>200020</v>
      </c>
      <c r="AC35" s="498">
        <v>200020</v>
      </c>
      <c r="AD35" s="498">
        <v>200020</v>
      </c>
      <c r="AE35" s="498">
        <v>200020</v>
      </c>
      <c r="AF35" s="498">
        <v>200020</v>
      </c>
      <c r="AG35" s="498">
        <v>200020</v>
      </c>
      <c r="AH35" s="498">
        <v>200020</v>
      </c>
      <c r="AI35" s="498">
        <v>20</v>
      </c>
      <c r="AJ35" s="498">
        <v>200020</v>
      </c>
      <c r="AK35" s="498">
        <v>200020</v>
      </c>
      <c r="AL35" s="498">
        <v>200020</v>
      </c>
      <c r="AM35" s="498">
        <v>200020</v>
      </c>
      <c r="AN35" s="498">
        <v>20</v>
      </c>
      <c r="AT35" s="505">
        <v>500020</v>
      </c>
      <c r="AU35" s="504">
        <v>43</v>
      </c>
      <c r="AV35" s="504">
        <f>43+0.159</f>
        <v>43.158999999999999</v>
      </c>
      <c r="AW35" s="504">
        <v>43</v>
      </c>
      <c r="AX35" s="504">
        <v>43</v>
      </c>
      <c r="AY35" s="504">
        <v>43</v>
      </c>
      <c r="AZ35" s="500"/>
      <c r="BA35" s="500"/>
      <c r="BB35" s="500"/>
      <c r="BC35" s="504">
        <v>43</v>
      </c>
      <c r="BD35" s="768">
        <f>43+0.038</f>
        <v>43.037999999999997</v>
      </c>
      <c r="BE35" s="504">
        <v>43</v>
      </c>
      <c r="BF35" s="504">
        <v>43</v>
      </c>
      <c r="BG35" s="504">
        <v>200043</v>
      </c>
      <c r="BH35" s="505">
        <v>500020</v>
      </c>
      <c r="BI35" s="514"/>
      <c r="BJ35" s="514"/>
      <c r="BK35" s="514"/>
      <c r="BL35" s="514"/>
      <c r="BM35" s="514"/>
      <c r="BN35" s="514"/>
      <c r="BO35" s="514"/>
      <c r="BP35" s="517">
        <v>200020</v>
      </c>
      <c r="BQ35" s="517">
        <f>10000*42+42</f>
        <v>420042</v>
      </c>
      <c r="BR35" s="517">
        <v>200020</v>
      </c>
      <c r="BS35" s="517">
        <f>500020+0.132</f>
        <v>500020.13199999998</v>
      </c>
      <c r="BT35" s="517">
        <v>500020</v>
      </c>
      <c r="BU35" s="514"/>
      <c r="BV35" s="514"/>
      <c r="BW35" s="514"/>
      <c r="BX35" s="514"/>
      <c r="BY35" s="1468">
        <f>10000*50+128*4+34</f>
        <v>500546</v>
      </c>
      <c r="BZ35" s="500"/>
      <c r="CA35" s="500"/>
      <c r="CB35" s="504">
        <f>33</f>
        <v>33</v>
      </c>
      <c r="CC35" s="504">
        <v>42</v>
      </c>
      <c r="CD35" s="504">
        <v>42</v>
      </c>
      <c r="CE35" s="499"/>
      <c r="CF35" s="499"/>
      <c r="CG35" s="504">
        <v>20</v>
      </c>
      <c r="CH35" s="504">
        <v>42</v>
      </c>
      <c r="CI35" s="504">
        <v>20</v>
      </c>
      <c r="CJ35" s="757"/>
      <c r="CK35" s="1444">
        <f>0.384+0.0034</f>
        <v>0.38740000000000002</v>
      </c>
      <c r="CL35" s="504">
        <v>50</v>
      </c>
      <c r="CM35" s="504">
        <v>50</v>
      </c>
      <c r="CN35" s="504">
        <v>50</v>
      </c>
      <c r="CO35" s="504">
        <v>50</v>
      </c>
      <c r="CP35" s="504">
        <v>20</v>
      </c>
      <c r="CQ35" s="757"/>
      <c r="CR35" s="757"/>
      <c r="CS35" s="504">
        <f>33</f>
        <v>33</v>
      </c>
      <c r="CT35" s="504">
        <v>42</v>
      </c>
      <c r="CU35" s="504">
        <v>20</v>
      </c>
      <c r="CX35" s="498">
        <v>200020</v>
      </c>
      <c r="CY35" s="498">
        <v>200020</v>
      </c>
      <c r="CZ35" s="1378"/>
      <c r="DA35" s="532">
        <f>35+0.113</f>
        <v>35.113</v>
      </c>
      <c r="DB35" s="1386"/>
      <c r="DC35" s="498">
        <v>200020</v>
      </c>
      <c r="DD35" s="498">
        <v>200020</v>
      </c>
      <c r="DE35" s="515">
        <v>20</v>
      </c>
      <c r="DF35" s="1455"/>
      <c r="DG35" s="504">
        <f>10000*20+49</f>
        <v>200049</v>
      </c>
      <c r="DH35" s="766">
        <f>10000*20+128*5+30+0.15</f>
        <v>200670.15</v>
      </c>
      <c r="DI35" s="515">
        <f>10000*20+49</f>
        <v>200049</v>
      </c>
      <c r="DJ35" s="3084"/>
      <c r="DK35" s="504">
        <v>20</v>
      </c>
      <c r="DL35" s="505">
        <v>200020</v>
      </c>
      <c r="DM35" s="523">
        <v>200020</v>
      </c>
      <c r="DX35" s="499">
        <v>20</v>
      </c>
      <c r="DY35" s="499"/>
      <c r="IU35" s="499" t="s">
        <v>901</v>
      </c>
      <c r="IV35" s="499">
        <v>26</v>
      </c>
    </row>
    <row r="36" spans="1:256" ht="13.5" customHeight="1" thickTop="1" thickBot="1">
      <c r="A36" s="499">
        <v>20</v>
      </c>
      <c r="B36" s="503"/>
      <c r="C36" s="503"/>
      <c r="D36" s="513"/>
      <c r="E36" s="503"/>
      <c r="F36" s="503"/>
      <c r="G36" s="513"/>
      <c r="H36" s="503"/>
      <c r="I36" s="503"/>
      <c r="J36" s="498">
        <v>200020</v>
      </c>
      <c r="K36" s="499"/>
      <c r="L36" s="499"/>
      <c r="M36" s="499"/>
      <c r="N36" s="499"/>
      <c r="O36" s="499"/>
      <c r="P36" s="499"/>
      <c r="Q36" s="499"/>
      <c r="R36" s="499"/>
      <c r="S36" s="499"/>
      <c r="T36" s="499"/>
      <c r="U36" s="499"/>
      <c r="V36" s="499"/>
      <c r="W36" s="499"/>
      <c r="X36" s="499"/>
      <c r="AT36" s="505">
        <v>200020</v>
      </c>
      <c r="AU36" s="504">
        <v>49</v>
      </c>
      <c r="AV36" s="504">
        <v>49</v>
      </c>
      <c r="AW36" s="504">
        <v>33</v>
      </c>
      <c r="AX36" s="500"/>
      <c r="AY36" s="500"/>
      <c r="AZ36" s="2934">
        <v>0.115</v>
      </c>
      <c r="BA36" s="2934"/>
      <c r="BB36" s="2935">
        <v>0.115</v>
      </c>
      <c r="BC36" s="703">
        <f>128*9+83</f>
        <v>1235</v>
      </c>
      <c r="BD36" s="500"/>
      <c r="BE36" s="500"/>
      <c r="BF36" s="500"/>
      <c r="BG36" s="500">
        <v>0.115</v>
      </c>
      <c r="BH36" s="1713">
        <f>10000*20+128*4+34</f>
        <v>200546</v>
      </c>
      <c r="BI36" s="348"/>
      <c r="BJ36" s="514"/>
      <c r="BK36" s="514"/>
      <c r="BL36" s="514"/>
      <c r="BM36" s="514"/>
      <c r="BN36" s="514"/>
      <c r="BO36" s="514"/>
      <c r="BP36" s="514"/>
      <c r="BQ36" s="514"/>
      <c r="BR36" s="514"/>
      <c r="BS36" s="514"/>
      <c r="BT36" s="514"/>
      <c r="BU36" s="514"/>
      <c r="BV36" s="514"/>
      <c r="BW36" s="514"/>
      <c r="BX36" s="514"/>
      <c r="BY36" s="505">
        <v>500020</v>
      </c>
      <c r="BZ36" s="505">
        <v>200020</v>
      </c>
      <c r="CA36" s="505">
        <v>200020</v>
      </c>
      <c r="CB36" s="505">
        <v>200020</v>
      </c>
      <c r="CC36" s="505">
        <v>200020</v>
      </c>
      <c r="CD36" s="505">
        <v>200020</v>
      </c>
      <c r="CE36" s="499"/>
      <c r="CF36" s="499"/>
      <c r="CG36" s="499"/>
      <c r="CH36" s="499"/>
      <c r="CI36" s="504">
        <v>20</v>
      </c>
      <c r="CJ36" s="504">
        <v>50</v>
      </c>
      <c r="CK36" s="504">
        <v>50</v>
      </c>
      <c r="CL36" s="504">
        <v>20</v>
      </c>
      <c r="CM36" s="499"/>
      <c r="CN36" s="499"/>
      <c r="CO36" s="499"/>
      <c r="CP36" s="504">
        <v>20</v>
      </c>
      <c r="CQ36" s="504">
        <v>50</v>
      </c>
      <c r="CR36" s="504">
        <v>50</v>
      </c>
      <c r="CS36" s="504">
        <v>20</v>
      </c>
      <c r="CT36" s="504">
        <v>20</v>
      </c>
      <c r="CU36" s="504">
        <v>20</v>
      </c>
      <c r="CX36" s="498">
        <v>200020</v>
      </c>
      <c r="CY36" s="498">
        <v>200020</v>
      </c>
      <c r="CZ36" s="1378" t="s">
        <v>739</v>
      </c>
      <c r="DA36" s="503">
        <v>35</v>
      </c>
      <c r="DB36" s="1386"/>
      <c r="DC36" s="498">
        <v>200020</v>
      </c>
      <c r="DD36" s="498">
        <v>200020</v>
      </c>
      <c r="DE36" s="515">
        <v>20</v>
      </c>
      <c r="DF36" s="1476"/>
      <c r="DG36" s="504">
        <v>20</v>
      </c>
      <c r="DH36" s="1477"/>
      <c r="DI36" s="515">
        <v>20</v>
      </c>
      <c r="DJ36" s="3085"/>
      <c r="DK36" s="504">
        <v>20</v>
      </c>
      <c r="DL36" s="505">
        <v>200020</v>
      </c>
      <c r="DM36" s="523">
        <v>200020</v>
      </c>
      <c r="DX36" s="499">
        <v>20</v>
      </c>
      <c r="DY36" s="499"/>
      <c r="IU36" s="499" t="s">
        <v>902</v>
      </c>
    </row>
    <row r="37" spans="1:256" ht="13.5" customHeight="1" thickTop="1" thickBot="1">
      <c r="A37" s="499">
        <v>20</v>
      </c>
      <c r="B37" s="503"/>
      <c r="C37" s="503">
        <v>4.3E-3</v>
      </c>
      <c r="D37" s="513"/>
      <c r="E37" s="513"/>
      <c r="F37" s="513"/>
      <c r="G37" s="513"/>
      <c r="H37" s="503">
        <v>4.7000000000000002E-3</v>
      </c>
      <c r="I37" s="503"/>
      <c r="J37" s="498">
        <v>200020</v>
      </c>
      <c r="K37" s="499"/>
      <c r="AE37" s="498">
        <v>200020</v>
      </c>
      <c r="AF37" s="498">
        <v>200020</v>
      </c>
      <c r="AG37" s="498">
        <v>200020</v>
      </c>
      <c r="AH37" s="498">
        <v>200020</v>
      </c>
      <c r="AI37" s="498">
        <v>500050</v>
      </c>
      <c r="AJ37" s="498">
        <v>200020</v>
      </c>
      <c r="AK37" s="498">
        <v>500050</v>
      </c>
      <c r="AL37" s="498">
        <v>200020</v>
      </c>
      <c r="AM37" s="498">
        <v>500050</v>
      </c>
      <c r="AN37" s="498">
        <v>200020</v>
      </c>
      <c r="AO37" s="498">
        <v>500050</v>
      </c>
      <c r="AP37" s="498">
        <v>200020</v>
      </c>
      <c r="AQ37" s="498">
        <v>500050</v>
      </c>
      <c r="AR37" s="498">
        <v>200020</v>
      </c>
      <c r="AS37" s="498">
        <v>200020</v>
      </c>
      <c r="AT37" s="505">
        <v>500020</v>
      </c>
      <c r="AU37" s="1400">
        <f>49+0.067</f>
        <v>49.067</v>
      </c>
      <c r="AV37" s="767">
        <f>128*11+1</f>
        <v>1409</v>
      </c>
      <c r="AW37" s="1703">
        <f>128*5+30+0.15</f>
        <v>670.15</v>
      </c>
      <c r="AX37" s="500"/>
      <c r="AY37" s="500"/>
      <c r="AZ37" s="2934"/>
      <c r="BA37" s="2934"/>
      <c r="BB37" s="2935"/>
      <c r="BC37" s="500"/>
      <c r="BD37" s="500"/>
      <c r="BE37" s="500"/>
      <c r="BF37" s="500"/>
      <c r="BG37" s="1478">
        <f>128*9+41+0.256+0.005</f>
        <v>1193.2610000000002</v>
      </c>
      <c r="BH37" s="1713">
        <f>10000*50+128*4+34</f>
        <v>500546</v>
      </c>
      <c r="BI37" s="348"/>
      <c r="BJ37" s="514"/>
      <c r="BK37" s="514"/>
      <c r="BL37" s="514"/>
      <c r="BM37" s="514"/>
      <c r="BN37" s="514"/>
      <c r="BO37" s="514"/>
      <c r="BP37" s="514"/>
      <c r="BQ37" s="514"/>
      <c r="BR37" s="514"/>
      <c r="BS37" s="514"/>
      <c r="BT37" s="514"/>
      <c r="BU37" s="514"/>
      <c r="BV37" s="514"/>
      <c r="BW37" s="514"/>
      <c r="BX37" s="514"/>
      <c r="BY37" s="517">
        <v>500020</v>
      </c>
      <c r="BZ37" s="1449"/>
      <c r="CA37" s="1449"/>
      <c r="CB37" s="499"/>
      <c r="CC37" s="499"/>
      <c r="CD37" s="499"/>
      <c r="CE37" s="499"/>
      <c r="CF37" s="499"/>
      <c r="CG37" s="499"/>
      <c r="CH37" s="499"/>
      <c r="CI37" s="499"/>
      <c r="CJ37" s="499"/>
      <c r="CK37" s="499"/>
      <c r="CL37" s="499"/>
      <c r="CX37" s="498">
        <v>200020</v>
      </c>
      <c r="CY37" s="498">
        <v>200020</v>
      </c>
      <c r="CZ37" s="1378"/>
      <c r="DA37" s="1378">
        <f>0.03</f>
        <v>0.03</v>
      </c>
      <c r="DB37" s="1386"/>
      <c r="DC37" s="498">
        <v>200020</v>
      </c>
      <c r="DD37" s="498">
        <v>200020</v>
      </c>
      <c r="DE37" s="515">
        <v>20</v>
      </c>
      <c r="DF37" s="1476"/>
      <c r="DG37" s="1479"/>
      <c r="DH37" s="1480"/>
      <c r="DI37" s="1479"/>
      <c r="DJ37" s="3085" t="s">
        <v>739</v>
      </c>
      <c r="DK37" s="504">
        <v>20</v>
      </c>
      <c r="DL37" s="505">
        <v>200020</v>
      </c>
      <c r="DM37" s="523">
        <v>200020</v>
      </c>
      <c r="DX37" s="499">
        <v>20</v>
      </c>
      <c r="DY37" s="499"/>
      <c r="IU37" t="s">
        <v>1091</v>
      </c>
      <c r="IV37" s="499">
        <v>168</v>
      </c>
    </row>
    <row r="38" spans="1:256" ht="13.5" customHeight="1" thickTop="1">
      <c r="A38" s="499">
        <v>20</v>
      </c>
      <c r="B38" s="503"/>
      <c r="C38" s="503"/>
      <c r="D38" s="503"/>
      <c r="E38" s="503"/>
      <c r="F38" s="503">
        <f>128*10+16</f>
        <v>1296</v>
      </c>
      <c r="G38" s="503"/>
      <c r="H38" s="503"/>
      <c r="I38" s="503"/>
      <c r="J38" s="498">
        <v>200020</v>
      </c>
      <c r="K38" s="499"/>
      <c r="N38" s="498">
        <v>20</v>
      </c>
      <c r="O38" s="498">
        <v>20</v>
      </c>
      <c r="P38" s="498">
        <v>20</v>
      </c>
      <c r="Q38" s="498">
        <v>20</v>
      </c>
      <c r="R38" s="498">
        <v>20</v>
      </c>
      <c r="S38" s="498">
        <v>20</v>
      </c>
      <c r="T38" s="498">
        <v>20</v>
      </c>
      <c r="U38" s="498">
        <v>20</v>
      </c>
      <c r="V38" s="498">
        <v>20</v>
      </c>
      <c r="W38" s="498">
        <v>20</v>
      </c>
      <c r="X38" s="498">
        <v>20</v>
      </c>
      <c r="AE38" s="498">
        <v>200020</v>
      </c>
      <c r="AF38" s="2894"/>
      <c r="AG38" s="2895"/>
      <c r="AH38" s="2895"/>
      <c r="AI38" s="2895">
        <f>0.059</f>
        <v>5.8999999999999997E-2</v>
      </c>
      <c r="AJ38" s="2895"/>
      <c r="AK38" s="2895"/>
      <c r="AL38" s="2895"/>
      <c r="AM38" s="2895"/>
      <c r="AN38" s="2895"/>
      <c r="AO38" s="2895">
        <f>0.059</f>
        <v>5.8999999999999997E-2</v>
      </c>
      <c r="AP38" s="2895"/>
      <c r="AQ38" s="2895"/>
      <c r="AR38" s="2896"/>
      <c r="AS38" s="498">
        <v>200020</v>
      </c>
      <c r="AT38" s="505">
        <v>200020</v>
      </c>
      <c r="AU38" s="504">
        <v>49</v>
      </c>
      <c r="AV38" s="504">
        <v>49</v>
      </c>
      <c r="AW38" s="504">
        <v>33</v>
      </c>
      <c r="AX38" s="500">
        <v>0.115</v>
      </c>
      <c r="AY38" s="348"/>
      <c r="AZ38" s="2935"/>
      <c r="BA38" s="2936">
        <f>0.5+0.256+0.035</f>
        <v>0.79100000000000004</v>
      </c>
      <c r="BB38" s="2935"/>
      <c r="BC38" s="500"/>
      <c r="BD38" s="348"/>
      <c r="BE38" s="500">
        <f>0.5+0.256+0.035</f>
        <v>0.79100000000000004</v>
      </c>
      <c r="BF38" s="500"/>
      <c r="BG38" s="1481"/>
      <c r="BH38" s="1713">
        <f>10000*20</f>
        <v>200000</v>
      </c>
      <c r="BI38" s="348"/>
      <c r="BJ38" s="514"/>
      <c r="BK38" s="514"/>
      <c r="BL38" s="514"/>
      <c r="BM38" s="514"/>
      <c r="BN38" s="514"/>
      <c r="BO38" s="514"/>
      <c r="BP38" s="3103">
        <f>128*17+8</f>
        <v>2184</v>
      </c>
      <c r="BQ38" s="514"/>
      <c r="BR38" s="514"/>
      <c r="BS38" s="514"/>
      <c r="BT38" s="514"/>
      <c r="BU38" s="514"/>
      <c r="BV38" s="514"/>
      <c r="BW38" s="514"/>
      <c r="BX38" s="514"/>
      <c r="BY38" s="517">
        <v>200020</v>
      </c>
      <c r="BZ38" s="1449"/>
      <c r="CA38" s="1449"/>
      <c r="CB38" s="499"/>
      <c r="CC38" s="499"/>
      <c r="CD38" s="499"/>
      <c r="CE38" s="499"/>
      <c r="CX38" s="498">
        <v>200020</v>
      </c>
      <c r="CY38" s="498">
        <v>200020</v>
      </c>
      <c r="CZ38" s="1378"/>
      <c r="DA38" s="1378">
        <f>0.03</f>
        <v>0.03</v>
      </c>
      <c r="DB38" s="1386"/>
      <c r="DC38" s="498">
        <v>200020</v>
      </c>
      <c r="DD38" s="498">
        <v>200020</v>
      </c>
      <c r="DE38" s="515">
        <v>20</v>
      </c>
      <c r="DF38" s="1476"/>
      <c r="DG38" s="1480"/>
      <c r="DH38" s="1482">
        <f>48+0.124</f>
        <v>48.124000000000002</v>
      </c>
      <c r="DI38" s="1480"/>
      <c r="DJ38" s="3085"/>
      <c r="DK38" s="504">
        <v>20</v>
      </c>
      <c r="DL38" s="505">
        <v>200020</v>
      </c>
      <c r="DM38" s="523">
        <v>200020</v>
      </c>
      <c r="DX38" s="499">
        <v>20</v>
      </c>
      <c r="DY38" s="499"/>
      <c r="IU38" t="s">
        <v>1092</v>
      </c>
      <c r="IV38" s="499">
        <v>178</v>
      </c>
    </row>
    <row r="39" spans="1:256" ht="13.5" customHeight="1">
      <c r="A39" s="499">
        <v>20</v>
      </c>
      <c r="B39" s="503"/>
      <c r="C39" s="503"/>
      <c r="D39" s="503"/>
      <c r="E39" s="503"/>
      <c r="F39" s="503"/>
      <c r="G39" s="503"/>
      <c r="H39" s="503"/>
      <c r="I39" s="503"/>
      <c r="J39" s="498">
        <v>200020</v>
      </c>
      <c r="K39" s="499"/>
      <c r="L39" s="500">
        <v>49</v>
      </c>
      <c r="M39" s="500">
        <v>49</v>
      </c>
      <c r="N39" s="504">
        <f>33</f>
        <v>33</v>
      </c>
      <c r="O39" s="537"/>
      <c r="P39" s="537"/>
      <c r="Q39" s="537"/>
      <c r="R39" s="498">
        <v>20</v>
      </c>
      <c r="S39" s="537"/>
      <c r="T39" s="537"/>
      <c r="U39" s="1483">
        <f>11+0.065</f>
        <v>11.065</v>
      </c>
      <c r="V39" s="1484">
        <f>128*8+2</f>
        <v>1026</v>
      </c>
      <c r="W39" s="1434"/>
      <c r="X39" s="498">
        <v>20</v>
      </c>
      <c r="AE39" s="498">
        <v>200020</v>
      </c>
      <c r="AF39" s="2895"/>
      <c r="AG39" s="514"/>
      <c r="AH39" s="514"/>
      <c r="AI39" s="504">
        <v>42</v>
      </c>
      <c r="AJ39" s="514"/>
      <c r="AK39" s="514"/>
      <c r="AL39" s="514"/>
      <c r="AM39" s="514"/>
      <c r="AN39" s="514"/>
      <c r="AO39" s="504">
        <v>42</v>
      </c>
      <c r="AP39" s="514"/>
      <c r="AQ39" s="514"/>
      <c r="AR39" s="2896"/>
      <c r="AS39" s="498">
        <v>500050</v>
      </c>
      <c r="AT39" s="505">
        <v>500020</v>
      </c>
      <c r="AU39" s="1400">
        <f>49+0.067</f>
        <v>49.067</v>
      </c>
      <c r="AV39" s="767">
        <f>128*11+2</f>
        <v>1410</v>
      </c>
      <c r="AW39" s="1703">
        <f>128*5+30+0.151</f>
        <v>670.15099999999995</v>
      </c>
      <c r="AX39" s="500"/>
      <c r="AY39" s="500"/>
      <c r="AZ39" s="2934"/>
      <c r="BA39" s="2934"/>
      <c r="BB39" s="2935"/>
      <c r="BC39" s="500"/>
      <c r="BD39" s="500"/>
      <c r="BE39" s="500"/>
      <c r="BF39" s="500"/>
      <c r="BG39" s="1481"/>
      <c r="BH39" s="1713">
        <f>10000*50+128*4+34</f>
        <v>500546</v>
      </c>
      <c r="BI39" s="348"/>
      <c r="BJ39" s="514"/>
      <c r="BK39" s="514"/>
      <c r="BL39" s="514"/>
      <c r="BM39" s="514"/>
      <c r="BN39" s="514"/>
      <c r="BO39" s="514"/>
      <c r="BP39" s="514"/>
      <c r="BQ39" s="514"/>
      <c r="BR39" s="514"/>
      <c r="BS39" s="514"/>
      <c r="BT39" s="514"/>
      <c r="BU39" s="514"/>
      <c r="BV39" s="514"/>
      <c r="BW39" s="514"/>
      <c r="BX39" s="514"/>
      <c r="BY39" s="517">
        <v>500020</v>
      </c>
      <c r="BZ39" s="1449"/>
      <c r="CA39" s="1449"/>
      <c r="CB39" s="499"/>
      <c r="CC39" s="499"/>
      <c r="CD39" s="499"/>
      <c r="CE39" s="499"/>
      <c r="CX39" s="498">
        <v>200020</v>
      </c>
      <c r="CY39" s="498">
        <v>200020</v>
      </c>
      <c r="CZ39" s="1378"/>
      <c r="DA39" s="503">
        <v>35</v>
      </c>
      <c r="DB39" s="788">
        <v>35</v>
      </c>
      <c r="DC39" s="498">
        <v>200020</v>
      </c>
      <c r="DD39" s="498">
        <v>200020</v>
      </c>
      <c r="DE39" s="1485">
        <f>20+0.124</f>
        <v>20.123999999999999</v>
      </c>
      <c r="DF39" s="1476"/>
      <c r="DG39" s="1479"/>
      <c r="DH39" s="1480"/>
      <c r="DI39" s="1479"/>
      <c r="DJ39" s="3085"/>
      <c r="DK39" s="754">
        <f>20+0.124</f>
        <v>20.123999999999999</v>
      </c>
      <c r="DL39" s="505">
        <v>200020</v>
      </c>
      <c r="DM39" s="523">
        <v>200020</v>
      </c>
      <c r="DX39" s="499">
        <v>20</v>
      </c>
      <c r="DY39" s="499"/>
      <c r="IU39" t="s">
        <v>567</v>
      </c>
      <c r="IV39" s="499">
        <v>4</v>
      </c>
    </row>
    <row r="40" spans="1:256" ht="13.5" customHeight="1">
      <c r="A40" s="499">
        <v>20</v>
      </c>
      <c r="B40" s="498">
        <v>200020</v>
      </c>
      <c r="C40" s="498">
        <v>200020</v>
      </c>
      <c r="D40" s="498">
        <v>200020</v>
      </c>
      <c r="E40" s="498">
        <v>200020</v>
      </c>
      <c r="F40" s="498">
        <v>200020</v>
      </c>
      <c r="G40" s="498">
        <v>200020</v>
      </c>
      <c r="H40" s="498">
        <v>200020</v>
      </c>
      <c r="I40" s="498">
        <v>200020</v>
      </c>
      <c r="J40" s="498">
        <v>200020</v>
      </c>
      <c r="L40" s="801">
        <f>49+0.07</f>
        <v>49.07</v>
      </c>
      <c r="M40" s="767">
        <f>128*11+2</f>
        <v>1410</v>
      </c>
      <c r="N40" s="1703">
        <f>128*5+30+0.15</f>
        <v>670.15</v>
      </c>
      <c r="O40" s="537">
        <f>128*6+60</f>
        <v>828</v>
      </c>
      <c r="P40" s="1486"/>
      <c r="Q40" s="1487">
        <f>0.256+0.0043</f>
        <v>0.26030000000000003</v>
      </c>
      <c r="R40" s="1487">
        <f>128*5+37</f>
        <v>677</v>
      </c>
      <c r="S40" s="537"/>
      <c r="T40" s="537">
        <f>0.5+0.256+0.035</f>
        <v>0.79100000000000004</v>
      </c>
      <c r="U40" s="537"/>
      <c r="V40" s="537"/>
      <c r="W40" s="537"/>
      <c r="X40" s="498">
        <v>20</v>
      </c>
      <c r="AE40" s="498">
        <v>500050</v>
      </c>
      <c r="AF40" s="2895"/>
      <c r="AG40" s="792">
        <f>0.384+0.0104</f>
        <v>0.39440000000000003</v>
      </c>
      <c r="AH40" s="514"/>
      <c r="AI40" s="524"/>
      <c r="AJ40" s="514"/>
      <c r="AK40" s="514"/>
      <c r="AL40" s="514"/>
      <c r="AM40" s="514"/>
      <c r="AN40" s="514"/>
      <c r="AO40" s="524"/>
      <c r="AP40" s="514"/>
      <c r="AQ40" s="514"/>
      <c r="AR40" s="2896"/>
      <c r="AS40" s="498">
        <v>200020</v>
      </c>
      <c r="AT40" s="505">
        <v>200020</v>
      </c>
      <c r="AU40" s="504">
        <v>49</v>
      </c>
      <c r="AV40" s="504">
        <v>49</v>
      </c>
      <c r="AW40" s="504">
        <f>33</f>
        <v>33</v>
      </c>
      <c r="AX40" s="500"/>
      <c r="AY40" s="500"/>
      <c r="AZ40" s="2934">
        <v>0.115</v>
      </c>
      <c r="BA40" s="2934"/>
      <c r="BB40" s="2935">
        <v>0.115</v>
      </c>
      <c r="BC40" s="500">
        <f>128*9+83</f>
        <v>1235</v>
      </c>
      <c r="BD40" s="500"/>
      <c r="BE40" s="500"/>
      <c r="BF40" s="500"/>
      <c r="BG40" s="500">
        <v>0.115</v>
      </c>
      <c r="BH40" s="1713">
        <f>10000*20+128*4+34</f>
        <v>200546</v>
      </c>
      <c r="BI40" s="348"/>
      <c r="BJ40" s="514"/>
      <c r="BK40" s="514"/>
      <c r="BL40" s="514"/>
      <c r="BM40" s="514"/>
      <c r="BN40" s="514"/>
      <c r="BO40" s="514"/>
      <c r="BP40" s="514"/>
      <c r="BQ40" s="514"/>
      <c r="BR40" s="514"/>
      <c r="BS40" s="514"/>
      <c r="BT40" s="514"/>
      <c r="BU40" s="514"/>
      <c r="BV40" s="514"/>
      <c r="BW40" s="514"/>
      <c r="BX40" s="514"/>
      <c r="BY40" s="517">
        <v>200020</v>
      </c>
      <c r="BZ40" s="1449"/>
      <c r="CA40" s="1449"/>
      <c r="CB40" s="499"/>
      <c r="CJ40" s="499"/>
      <c r="CK40" s="499"/>
      <c r="CX40" s="498">
        <v>200020</v>
      </c>
      <c r="CY40" s="498">
        <v>200020</v>
      </c>
      <c r="CZ40" s="788">
        <v>35</v>
      </c>
      <c r="DA40" s="503">
        <v>35</v>
      </c>
      <c r="DB40" s="503">
        <v>35</v>
      </c>
      <c r="DC40" s="498">
        <v>200020</v>
      </c>
      <c r="DD40" s="498">
        <v>200020</v>
      </c>
      <c r="DE40" s="515">
        <v>20</v>
      </c>
      <c r="DF40" s="1488"/>
      <c r="DG40" s="1480"/>
      <c r="DH40" s="1480">
        <f>48+0.123</f>
        <v>48.122999999999998</v>
      </c>
      <c r="DI40" s="1480"/>
      <c r="DJ40" s="3086"/>
      <c r="DK40" s="504">
        <v>20</v>
      </c>
      <c r="DL40" s="505">
        <v>200020</v>
      </c>
      <c r="DM40" s="523">
        <v>200020</v>
      </c>
      <c r="DX40" s="499">
        <v>20</v>
      </c>
      <c r="DY40" s="499"/>
      <c r="IU40" t="s">
        <v>886</v>
      </c>
      <c r="IV40" s="499">
        <v>98</v>
      </c>
    </row>
    <row r="41" spans="1:256" ht="15.75">
      <c r="A41" s="499">
        <v>20</v>
      </c>
      <c r="L41" s="500">
        <v>49</v>
      </c>
      <c r="M41" s="500">
        <v>49</v>
      </c>
      <c r="N41" s="504">
        <f>33</f>
        <v>33</v>
      </c>
      <c r="O41" s="537"/>
      <c r="P41" s="537"/>
      <c r="Q41" s="537"/>
      <c r="R41" s="498">
        <v>20</v>
      </c>
      <c r="S41" s="537"/>
      <c r="T41" s="537"/>
      <c r="U41" s="537"/>
      <c r="V41" s="537"/>
      <c r="W41" s="537"/>
      <c r="X41" s="498">
        <v>200043</v>
      </c>
      <c r="Y41" s="498">
        <v>200043</v>
      </c>
      <c r="Z41" s="498">
        <v>200043</v>
      </c>
      <c r="AE41" s="498">
        <v>200020</v>
      </c>
      <c r="AF41" s="2895">
        <f>0.059</f>
        <v>5.8999999999999997E-2</v>
      </c>
      <c r="AG41" s="504">
        <v>42</v>
      </c>
      <c r="AH41" s="524"/>
      <c r="AI41" s="819">
        <f>110000+128*11+4+0.256+0.011</f>
        <v>111412.26699999999</v>
      </c>
      <c r="AJ41" s="524"/>
      <c r="AK41" s="504">
        <v>42</v>
      </c>
      <c r="AL41" s="514">
        <f>0.059</f>
        <v>5.8999999999999997E-2</v>
      </c>
      <c r="AM41" s="504">
        <v>42</v>
      </c>
      <c r="AN41" s="524"/>
      <c r="AO41" s="1489">
        <f>110000+128*11+4+0.256+0.011</f>
        <v>111412.26699999999</v>
      </c>
      <c r="AP41" s="524"/>
      <c r="AQ41" s="504">
        <v>42</v>
      </c>
      <c r="AR41" s="2896">
        <f>0.059</f>
        <v>5.8999999999999997E-2</v>
      </c>
      <c r="AS41" s="498">
        <v>500050</v>
      </c>
      <c r="AT41" s="505">
        <v>500020</v>
      </c>
      <c r="AU41" s="504">
        <v>43</v>
      </c>
      <c r="AV41" s="504">
        <v>43</v>
      </c>
      <c r="AW41" s="504">
        <f>43+0.018</f>
        <v>43.018000000000001</v>
      </c>
      <c r="AX41" s="504">
        <v>43</v>
      </c>
      <c r="AY41" s="504">
        <v>43</v>
      </c>
      <c r="AZ41" s="500"/>
      <c r="BA41" s="500"/>
      <c r="BB41" s="500"/>
      <c r="BC41" s="504">
        <v>43</v>
      </c>
      <c r="BD41" s="527">
        <f>43+0.058</f>
        <v>43.058</v>
      </c>
      <c r="BE41" s="500">
        <f>128*5+41</f>
        <v>681</v>
      </c>
      <c r="BF41" s="504">
        <v>43</v>
      </c>
      <c r="BG41" s="504">
        <v>200043</v>
      </c>
      <c r="BH41" s="505">
        <v>500020</v>
      </c>
      <c r="BI41" s="514"/>
      <c r="BJ41" s="514"/>
      <c r="BK41" s="514"/>
      <c r="BL41" s="514"/>
      <c r="BM41" s="514"/>
      <c r="BN41" s="514"/>
      <c r="BO41" s="514"/>
      <c r="BP41" s="514"/>
      <c r="BQ41" s="514"/>
      <c r="BR41" s="1002"/>
      <c r="BS41" s="1002"/>
      <c r="BT41" s="514"/>
      <c r="BU41" s="514"/>
      <c r="BV41" s="514"/>
      <c r="BW41" s="514"/>
      <c r="BX41" s="514"/>
      <c r="BY41" s="517">
        <v>500020</v>
      </c>
      <c r="BZ41" s="1449"/>
      <c r="CJ41" s="499"/>
      <c r="CK41" s="499"/>
      <c r="CX41" s="505">
        <f t="shared" ref="CX41:DD41" si="16">10000*22+22</f>
        <v>220022</v>
      </c>
      <c r="CY41" s="505">
        <f t="shared" si="16"/>
        <v>220022</v>
      </c>
      <c r="CZ41" s="505">
        <f t="shared" si="16"/>
        <v>220022</v>
      </c>
      <c r="DA41" s="505">
        <f t="shared" si="16"/>
        <v>220022</v>
      </c>
      <c r="DB41" s="505">
        <f t="shared" si="16"/>
        <v>220022</v>
      </c>
      <c r="DC41" s="505">
        <f t="shared" si="16"/>
        <v>220022</v>
      </c>
      <c r="DD41" s="505">
        <f t="shared" si="16"/>
        <v>220022</v>
      </c>
      <c r="DE41" s="515">
        <v>20</v>
      </c>
      <c r="DF41" s="1488"/>
      <c r="DG41" s="1479"/>
      <c r="DH41" s="1480"/>
      <c r="DI41" s="1479"/>
      <c r="DJ41" s="3086"/>
      <c r="DK41" s="504">
        <v>20</v>
      </c>
      <c r="DL41" s="505">
        <v>200020</v>
      </c>
      <c r="DM41" s="505">
        <v>200020</v>
      </c>
      <c r="DN41" s="505">
        <v>200020</v>
      </c>
      <c r="DO41" s="505">
        <v>200020</v>
      </c>
      <c r="DP41" s="505">
        <v>200020</v>
      </c>
      <c r="DQ41" s="505">
        <v>200020</v>
      </c>
      <c r="DR41" s="505">
        <v>200020</v>
      </c>
      <c r="DS41" s="505">
        <v>200020</v>
      </c>
      <c r="DT41" s="505">
        <v>200020</v>
      </c>
      <c r="DU41" s="505">
        <v>200020</v>
      </c>
      <c r="DV41" s="505">
        <v>200020</v>
      </c>
      <c r="DW41" s="505">
        <v>200020</v>
      </c>
      <c r="DX41" s="499">
        <v>20</v>
      </c>
      <c r="DY41" s="499"/>
      <c r="IU41" t="s">
        <v>887</v>
      </c>
      <c r="IV41" s="499">
        <v>104</v>
      </c>
    </row>
    <row r="42" spans="1:256" ht="15.75">
      <c r="A42" s="499">
        <v>20</v>
      </c>
      <c r="E42" s="498">
        <v>200020</v>
      </c>
      <c r="F42" s="498">
        <v>200020</v>
      </c>
      <c r="G42" s="498">
        <v>200020</v>
      </c>
      <c r="H42" s="498">
        <v>200020</v>
      </c>
      <c r="I42" s="498">
        <v>200020</v>
      </c>
      <c r="J42" s="498">
        <v>200020</v>
      </c>
      <c r="K42" s="498">
        <v>200020</v>
      </c>
      <c r="L42" s="1490">
        <f>200020+0.065</f>
        <v>200020.065</v>
      </c>
      <c r="M42" s="498">
        <v>20</v>
      </c>
      <c r="N42" s="498">
        <v>20</v>
      </c>
      <c r="O42" s="537"/>
      <c r="P42" s="1486"/>
      <c r="Q42" s="537"/>
      <c r="R42" s="498">
        <v>20</v>
      </c>
      <c r="S42" s="498">
        <v>200043</v>
      </c>
      <c r="T42" s="498">
        <v>200043</v>
      </c>
      <c r="U42" s="498">
        <v>200043</v>
      </c>
      <c r="V42" s="498">
        <v>200043</v>
      </c>
      <c r="W42" s="498">
        <v>200043</v>
      </c>
      <c r="X42" s="498">
        <v>200043</v>
      </c>
      <c r="Y42" s="1491">
        <f>128*9+5</f>
        <v>1157</v>
      </c>
      <c r="Z42" s="498">
        <v>200043</v>
      </c>
      <c r="AA42" s="499"/>
      <c r="AB42" s="499"/>
      <c r="AC42" s="499"/>
      <c r="AE42" s="498">
        <v>500050</v>
      </c>
      <c r="AF42" s="2895"/>
      <c r="AG42" s="514"/>
      <c r="AH42" s="514"/>
      <c r="AI42" s="524"/>
      <c r="AJ42" s="514"/>
      <c r="AK42" s="514"/>
      <c r="AL42" s="514"/>
      <c r="AM42" s="514"/>
      <c r="AN42" s="514"/>
      <c r="AO42" s="524"/>
      <c r="AP42" s="514"/>
      <c r="AQ42" s="514"/>
      <c r="AR42" s="2896"/>
      <c r="AS42" s="498">
        <v>200020</v>
      </c>
      <c r="AT42" s="505">
        <v>200020</v>
      </c>
      <c r="AU42" s="504">
        <v>200043</v>
      </c>
      <c r="AV42" s="803">
        <f>128*9+26+0.152</f>
        <v>1178.152</v>
      </c>
      <c r="AW42" s="1492">
        <f>0.384+0.003+0.0002</f>
        <v>0.38719999999999999</v>
      </c>
      <c r="AX42" s="804">
        <f>128*9+48+0.122</f>
        <v>1200.1220000000001</v>
      </c>
      <c r="AY42" s="504">
        <v>43</v>
      </c>
      <c r="AZ42" s="500"/>
      <c r="BA42" s="348"/>
      <c r="BB42" s="500"/>
      <c r="BC42" s="504">
        <v>43</v>
      </c>
      <c r="BD42" s="1493">
        <f>128*9+26+0.152</f>
        <v>1178.152</v>
      </c>
      <c r="BE42" s="1460"/>
      <c r="BF42" s="1493">
        <f>128*9+26+0.173</f>
        <v>1178.173</v>
      </c>
      <c r="BG42" s="504">
        <v>200043</v>
      </c>
      <c r="BH42" s="505">
        <v>200020</v>
      </c>
      <c r="BI42" s="514"/>
      <c r="BJ42" s="514"/>
      <c r="BK42" s="503"/>
      <c r="BL42" s="503"/>
      <c r="BM42" s="514"/>
      <c r="BN42" s="514"/>
      <c r="BO42" s="514"/>
      <c r="BP42" s="514"/>
      <c r="BQ42" s="514"/>
      <c r="BR42" s="514"/>
      <c r="BS42" s="514"/>
      <c r="BT42" s="514"/>
      <c r="BU42" s="514"/>
      <c r="BV42" s="514"/>
      <c r="BW42" s="514"/>
      <c r="BX42" s="514"/>
      <c r="BY42" s="517">
        <v>200020</v>
      </c>
      <c r="BZ42" s="1449"/>
      <c r="CJ42" s="499"/>
      <c r="DE42" s="515">
        <v>20</v>
      </c>
      <c r="DF42" s="1488"/>
      <c r="DG42" s="1480"/>
      <c r="DH42" s="1494">
        <f>48+0.175</f>
        <v>48.174999999999997</v>
      </c>
      <c r="DI42" s="1480"/>
      <c r="DJ42" s="3086"/>
      <c r="DK42" s="504">
        <v>20</v>
      </c>
      <c r="DL42" s="499"/>
      <c r="DM42" s="499"/>
      <c r="DX42" s="499">
        <v>20</v>
      </c>
      <c r="DY42" s="499"/>
      <c r="IU42" t="s">
        <v>1095</v>
      </c>
      <c r="IV42" t="s">
        <v>87</v>
      </c>
    </row>
    <row r="43" spans="1:256" ht="15.75">
      <c r="A43" s="499">
        <v>20</v>
      </c>
      <c r="E43" s="498">
        <v>200020</v>
      </c>
      <c r="F43" s="707"/>
      <c r="G43" s="707"/>
      <c r="H43" s="707">
        <f>128*8+4</f>
        <v>1028</v>
      </c>
      <c r="I43" s="707"/>
      <c r="J43" s="775"/>
      <c r="K43" s="707"/>
      <c r="L43" s="1495"/>
      <c r="M43" s="1487"/>
      <c r="N43" s="1496">
        <f>10000*20+128+20</f>
        <v>200148</v>
      </c>
      <c r="O43" s="537"/>
      <c r="P43" s="537"/>
      <c r="Q43" s="537"/>
      <c r="R43" s="2950">
        <f>128*5+41</f>
        <v>681</v>
      </c>
      <c r="S43" s="750"/>
      <c r="T43" s="750"/>
      <c r="U43" s="750">
        <f>128*9+36+0.0092</f>
        <v>1188.0092</v>
      </c>
      <c r="V43" s="1491">
        <f>128*9+36+0.256+0.0068</f>
        <v>1188.2628000000002</v>
      </c>
      <c r="W43" s="750"/>
      <c r="X43" s="758">
        <f>128*5+41+0.159</f>
        <v>681.15899999999999</v>
      </c>
      <c r="Y43" s="750"/>
      <c r="Z43" s="498">
        <v>200043</v>
      </c>
      <c r="AA43" s="499"/>
      <c r="AB43" s="499"/>
      <c r="AC43" s="499"/>
      <c r="AD43" s="499"/>
      <c r="AE43" s="498">
        <v>200020</v>
      </c>
      <c r="AF43" s="2895"/>
      <c r="AG43" s="514"/>
      <c r="AH43" s="514"/>
      <c r="AI43" s="504">
        <v>42</v>
      </c>
      <c r="AJ43" s="514"/>
      <c r="AK43" s="514"/>
      <c r="AL43" s="514"/>
      <c r="AM43" s="514">
        <f>0.256+0.005</f>
        <v>0.26100000000000001</v>
      </c>
      <c r="AN43" s="514"/>
      <c r="AO43" s="504">
        <v>42</v>
      </c>
      <c r="AP43" s="514"/>
      <c r="AQ43" s="514"/>
      <c r="AR43" s="2896"/>
      <c r="AS43" s="498">
        <v>500050</v>
      </c>
      <c r="AT43" s="505">
        <v>500020</v>
      </c>
      <c r="AU43" s="504">
        <f>10000*20+43+0.133</f>
        <v>200043.133</v>
      </c>
      <c r="AV43" s="1460"/>
      <c r="AW43" s="1460"/>
      <c r="AX43" s="504">
        <v>43</v>
      </c>
      <c r="AY43" s="504">
        <v>43</v>
      </c>
      <c r="AZ43" s="500"/>
      <c r="BA43" s="500"/>
      <c r="BB43" s="500"/>
      <c r="BC43" s="504">
        <f>43+0.134</f>
        <v>43.134</v>
      </c>
      <c r="BD43" s="1460"/>
      <c r="BE43" s="1460"/>
      <c r="BF43" s="1460"/>
      <c r="BG43" s="504">
        <f>10000*20+43+0.133</f>
        <v>200043.133</v>
      </c>
      <c r="BH43" s="505">
        <f>500020+0.133</f>
        <v>500020.13299999997</v>
      </c>
      <c r="BI43" s="514"/>
      <c r="BJ43" s="514"/>
      <c r="BK43" s="503"/>
      <c r="BL43" s="503"/>
      <c r="BM43" s="514"/>
      <c r="BN43" s="3075"/>
      <c r="BO43" s="514"/>
      <c r="BP43" s="514"/>
      <c r="BQ43" s="514"/>
      <c r="BR43" s="517">
        <v>200020</v>
      </c>
      <c r="BS43" s="517">
        <v>200020</v>
      </c>
      <c r="BT43" s="517">
        <v>200020</v>
      </c>
      <c r="BU43" s="517">
        <v>200020</v>
      </c>
      <c r="BV43" s="517">
        <v>200020</v>
      </c>
      <c r="BW43" s="517">
        <v>200020</v>
      </c>
      <c r="BX43" s="517">
        <v>200020</v>
      </c>
      <c r="BY43" s="517">
        <v>200020</v>
      </c>
      <c r="BZ43" s="1449"/>
      <c r="CJ43" s="504">
        <v>19</v>
      </c>
      <c r="CK43" s="504">
        <v>19</v>
      </c>
      <c r="CL43" s="504">
        <v>19</v>
      </c>
      <c r="CM43" s="504">
        <v>19</v>
      </c>
      <c r="CN43" s="504">
        <v>19</v>
      </c>
      <c r="CO43" s="504">
        <v>19</v>
      </c>
      <c r="CP43" s="505">
        <f t="shared" ref="CP43:CW43" si="17">10000*20+19</f>
        <v>200019</v>
      </c>
      <c r="CQ43" s="525">
        <f t="shared" si="17"/>
        <v>200019</v>
      </c>
      <c r="CR43" s="525">
        <f t="shared" si="17"/>
        <v>200019</v>
      </c>
      <c r="CS43" s="525">
        <f t="shared" si="17"/>
        <v>200019</v>
      </c>
      <c r="CT43" s="525">
        <f t="shared" si="17"/>
        <v>200019</v>
      </c>
      <c r="CU43" s="525">
        <f t="shared" si="17"/>
        <v>200019</v>
      </c>
      <c r="CV43" s="505">
        <f t="shared" si="17"/>
        <v>200019</v>
      </c>
      <c r="CW43" s="505">
        <f t="shared" si="17"/>
        <v>200019</v>
      </c>
      <c r="CX43" s="505">
        <v>200020</v>
      </c>
      <c r="CY43" s="505">
        <v>200020</v>
      </c>
      <c r="CZ43" s="505">
        <v>200020</v>
      </c>
      <c r="DE43" s="1485">
        <f>20+0.124</f>
        <v>20.123999999999999</v>
      </c>
      <c r="DF43" s="1488"/>
      <c r="DG43" s="1479"/>
      <c r="DH43" s="1480"/>
      <c r="DI43" s="1479"/>
      <c r="DJ43" s="3086"/>
      <c r="DK43" s="754">
        <f>20+0.124</f>
        <v>20.123999999999999</v>
      </c>
      <c r="DL43" s="499"/>
      <c r="DM43" s="499"/>
      <c r="DX43" s="499">
        <v>20</v>
      </c>
      <c r="DY43" s="499"/>
      <c r="IU43" t="s">
        <v>1096</v>
      </c>
      <c r="IV43" s="499">
        <v>49</v>
      </c>
    </row>
    <row r="44" spans="1:256" ht="16.5" thickBot="1">
      <c r="A44" s="499">
        <v>20</v>
      </c>
      <c r="E44" s="498">
        <v>200020</v>
      </c>
      <c r="F44" s="706"/>
      <c r="G44" s="706"/>
      <c r="H44" s="706"/>
      <c r="I44" s="706"/>
      <c r="J44" s="706"/>
      <c r="K44" s="706"/>
      <c r="L44" s="807">
        <v>19</v>
      </c>
      <c r="M44" s="807">
        <v>19</v>
      </c>
      <c r="N44" s="498">
        <v>20</v>
      </c>
      <c r="O44" s="498">
        <v>20</v>
      </c>
      <c r="P44" s="498">
        <v>20</v>
      </c>
      <c r="Q44" s="498">
        <v>20</v>
      </c>
      <c r="R44" s="498">
        <v>200043</v>
      </c>
      <c r="S44" s="750"/>
      <c r="T44" s="750"/>
      <c r="U44" s="750"/>
      <c r="V44" s="750"/>
      <c r="W44" s="750"/>
      <c r="X44" s="498">
        <v>200043</v>
      </c>
      <c r="Y44" s="498">
        <v>200043</v>
      </c>
      <c r="Z44" s="498">
        <v>200043</v>
      </c>
      <c r="AA44" s="498">
        <v>200043</v>
      </c>
      <c r="AB44" s="499"/>
      <c r="AC44" s="499"/>
      <c r="AD44" s="499"/>
      <c r="AE44" s="498">
        <v>200020</v>
      </c>
      <c r="AF44" s="2895"/>
      <c r="AG44" s="2895"/>
      <c r="AH44" s="2895"/>
      <c r="AI44" s="2895">
        <v>5.8999999999999997E-2</v>
      </c>
      <c r="AJ44" s="2895"/>
      <c r="AK44" s="2895"/>
      <c r="AL44" s="2895"/>
      <c r="AM44" s="2895"/>
      <c r="AN44" s="2895"/>
      <c r="AO44" s="2895">
        <v>5.8999999999999997E-2</v>
      </c>
      <c r="AP44" s="2895"/>
      <c r="AQ44" s="2894"/>
      <c r="AR44" s="2896"/>
      <c r="AS44" s="498">
        <v>500050</v>
      </c>
      <c r="AT44" s="505">
        <v>200020</v>
      </c>
      <c r="AU44" s="504">
        <f>10000*20+43+0.134</f>
        <v>200043.13399999999</v>
      </c>
      <c r="AV44" s="803">
        <f>128*9+26+0.152</f>
        <v>1178.152</v>
      </c>
      <c r="AW44" s="1460"/>
      <c r="AX44" s="1460"/>
      <c r="AY44" s="500">
        <f>128*5+41</f>
        <v>681</v>
      </c>
      <c r="AZ44" s="500"/>
      <c r="BA44" s="500">
        <f>0.5+0.256+0.035</f>
        <v>0.79100000000000004</v>
      </c>
      <c r="BB44" s="500"/>
      <c r="BC44" s="504">
        <v>43</v>
      </c>
      <c r="BD44" s="1493">
        <f>128*9+26+0.152</f>
        <v>1178.152</v>
      </c>
      <c r="BE44" s="1460"/>
      <c r="BF44" s="1493">
        <f>128*9+26+0.152</f>
        <v>1178.152</v>
      </c>
      <c r="BG44" s="504">
        <f>10000*20+43+0.018</f>
        <v>200043.01800000001</v>
      </c>
      <c r="BH44" s="505">
        <v>200020</v>
      </c>
      <c r="BI44" s="514"/>
      <c r="BJ44" s="514"/>
      <c r="BK44" s="503"/>
      <c r="BL44" s="503"/>
      <c r="BM44" s="514"/>
      <c r="BN44" s="3076"/>
      <c r="BO44" s="514"/>
      <c r="BP44" s="514"/>
      <c r="BQ44" s="514"/>
      <c r="BR44" s="517">
        <v>200020</v>
      </c>
      <c r="BY44" s="517">
        <v>200020</v>
      </c>
      <c r="BZ44" s="1449"/>
      <c r="CH44" s="504">
        <v>25</v>
      </c>
      <c r="CI44" s="504">
        <v>25</v>
      </c>
      <c r="CJ44" s="504">
        <v>19</v>
      </c>
      <c r="CK44" s="3095">
        <v>0.161</v>
      </c>
      <c r="CL44" s="3095"/>
      <c r="CM44" s="3095"/>
      <c r="CN44" s="3095"/>
      <c r="CO44" s="3094">
        <v>0.21729999999999999</v>
      </c>
      <c r="CP44" s="505">
        <f>10000*20+19</f>
        <v>200019</v>
      </c>
      <c r="CQ44" s="3091">
        <v>9.1999999999999998E-2</v>
      </c>
      <c r="CR44" s="3091">
        <v>9.1999999999999998E-2</v>
      </c>
      <c r="CS44" s="3090">
        <v>8.9999999999999993E-3</v>
      </c>
      <c r="CT44" s="541">
        <f>128+19</f>
        <v>147</v>
      </c>
      <c r="CU44" s="500">
        <f>128+19</f>
        <v>147</v>
      </c>
      <c r="CV44" s="504">
        <v>19</v>
      </c>
      <c r="CW44" s="504">
        <v>19</v>
      </c>
      <c r="CZ44" s="505">
        <v>200020</v>
      </c>
      <c r="DE44" s="515">
        <v>20</v>
      </c>
      <c r="DF44" s="1488" t="s">
        <v>739</v>
      </c>
      <c r="DG44" s="1480"/>
      <c r="DH44" s="1480"/>
      <c r="DI44" s="1480"/>
      <c r="DJ44" s="3086"/>
      <c r="DK44" s="504">
        <v>20</v>
      </c>
      <c r="DL44" s="499"/>
      <c r="DM44" s="499"/>
      <c r="DX44" s="499">
        <v>20</v>
      </c>
      <c r="DY44" s="499"/>
      <c r="IV44" t="s">
        <v>89</v>
      </c>
    </row>
    <row r="45" spans="1:256" ht="17.25" thickTop="1" thickBot="1">
      <c r="A45" s="499">
        <v>20</v>
      </c>
      <c r="E45" s="498">
        <v>200020</v>
      </c>
      <c r="F45" s="706"/>
      <c r="G45" s="706"/>
      <c r="H45" s="706"/>
      <c r="I45" s="706"/>
      <c r="J45" s="706"/>
      <c r="K45" s="706"/>
      <c r="L45" s="807">
        <v>19</v>
      </c>
      <c r="M45" s="807">
        <v>19</v>
      </c>
      <c r="N45" s="537">
        <f>0.256+0.006</f>
        <v>0.26200000000000001</v>
      </c>
      <c r="O45" s="818">
        <f>10000*20+128+19+0.131</f>
        <v>200147.13099999999</v>
      </c>
      <c r="P45" s="705">
        <f>10000*20+128+19</f>
        <v>200147</v>
      </c>
      <c r="Q45" s="752">
        <v>19</v>
      </c>
      <c r="R45" s="498">
        <v>200043</v>
      </c>
      <c r="S45" s="750"/>
      <c r="T45" s="750">
        <f>128*9+35</f>
        <v>1187</v>
      </c>
      <c r="U45" s="750"/>
      <c r="V45" s="750">
        <f>128*9+35</f>
        <v>1187</v>
      </c>
      <c r="W45" s="750"/>
      <c r="X45" s="750">
        <f>128*5+41</f>
        <v>681</v>
      </c>
      <c r="Y45" s="1491"/>
      <c r="Z45" s="3171">
        <f>128*17+2</f>
        <v>2178</v>
      </c>
      <c r="AA45" s="498">
        <v>200043</v>
      </c>
      <c r="AB45" s="499"/>
      <c r="AC45" s="499"/>
      <c r="AD45" s="499"/>
      <c r="AE45" s="498">
        <v>200020</v>
      </c>
      <c r="AF45" s="498">
        <v>200020</v>
      </c>
      <c r="AG45" s="498">
        <v>200020</v>
      </c>
      <c r="AH45" s="498">
        <v>200020</v>
      </c>
      <c r="AI45" s="498">
        <v>200020</v>
      </c>
      <c r="AJ45" s="498">
        <v>200020</v>
      </c>
      <c r="AK45" s="677">
        <f>200020+0.135</f>
        <v>200020.13500000001</v>
      </c>
      <c r="AL45" s="498">
        <v>200000</v>
      </c>
      <c r="AM45" s="498">
        <v>200020</v>
      </c>
      <c r="AN45" s="498">
        <v>200020</v>
      </c>
      <c r="AO45" s="498">
        <v>200020</v>
      </c>
      <c r="AP45" s="498">
        <v>200020</v>
      </c>
      <c r="AQ45" s="498">
        <v>200020</v>
      </c>
      <c r="AR45" s="498">
        <v>200020</v>
      </c>
      <c r="AS45" s="766">
        <v>200020</v>
      </c>
      <c r="AT45" s="505">
        <v>500020</v>
      </c>
      <c r="AU45" s="504">
        <f>10000*20+43+0.133</f>
        <v>200043.133</v>
      </c>
      <c r="AV45" s="1460"/>
      <c r="AW45" s="1460">
        <f>0.019</f>
        <v>1.9E-2</v>
      </c>
      <c r="AX45" s="1460"/>
      <c r="AY45" s="504">
        <v>43</v>
      </c>
      <c r="AZ45" s="500"/>
      <c r="BA45" s="500">
        <f>128*9+46</f>
        <v>1198</v>
      </c>
      <c r="BB45" s="500"/>
      <c r="BC45" s="504">
        <v>43</v>
      </c>
      <c r="BD45" s="1460">
        <f>128*10+1</f>
        <v>1281</v>
      </c>
      <c r="BE45" s="1460"/>
      <c r="BF45" s="1460"/>
      <c r="BG45" s="504">
        <f>10000*20+43+0.133</f>
        <v>200043.133</v>
      </c>
      <c r="BH45" s="505">
        <f>500020+0.133</f>
        <v>500020.13299999997</v>
      </c>
      <c r="BI45" s="514"/>
      <c r="BJ45" s="2394">
        <f>128*6+2</f>
        <v>770</v>
      </c>
      <c r="BK45" s="503"/>
      <c r="BL45" s="503"/>
      <c r="BM45" s="514"/>
      <c r="BN45" s="3077"/>
      <c r="BO45" s="514"/>
      <c r="BP45" s="514"/>
      <c r="BQ45" s="514"/>
      <c r="BR45" s="517">
        <v>200020</v>
      </c>
      <c r="BS45" s="517">
        <v>200020</v>
      </c>
      <c r="BT45" s="517">
        <v>200020</v>
      </c>
      <c r="BU45" s="517">
        <f>10000*42+42</f>
        <v>420042</v>
      </c>
      <c r="BV45" s="517">
        <v>200020</v>
      </c>
      <c r="BW45" s="517">
        <v>200020</v>
      </c>
      <c r="BY45" s="517">
        <v>200020</v>
      </c>
      <c r="BZ45" s="1449"/>
      <c r="CH45" s="504">
        <v>25</v>
      </c>
      <c r="CI45" s="3128">
        <f>128*17+9+0.019</f>
        <v>2185.0189999999998</v>
      </c>
      <c r="CJ45" s="3098">
        <f>128*5+37</f>
        <v>677</v>
      </c>
      <c r="CK45" s="3096"/>
      <c r="CL45" s="3096"/>
      <c r="CM45" s="3096"/>
      <c r="CN45" s="3096"/>
      <c r="CO45" s="3125">
        <f>128*17+9</f>
        <v>2185</v>
      </c>
      <c r="CP45" s="3092">
        <f>10000*20+128*5+37</f>
        <v>200677</v>
      </c>
      <c r="CQ45" s="3090"/>
      <c r="CR45" s="3090"/>
      <c r="CS45" s="3125">
        <f>128*17+9</f>
        <v>2185</v>
      </c>
      <c r="CT45" s="504">
        <v>19</v>
      </c>
      <c r="CU45" s="3089">
        <f>128*14+116</f>
        <v>1908</v>
      </c>
      <c r="CV45" s="3089">
        <f>128*10+50</f>
        <v>1330</v>
      </c>
      <c r="CW45" s="504">
        <v>19</v>
      </c>
      <c r="CZ45" s="505">
        <v>200020</v>
      </c>
      <c r="DE45" s="515">
        <v>20</v>
      </c>
      <c r="DF45" s="1488"/>
      <c r="DG45" s="504">
        <v>20</v>
      </c>
      <c r="DH45" s="504">
        <v>20</v>
      </c>
      <c r="DI45" s="515">
        <v>20</v>
      </c>
      <c r="DJ45" s="3086"/>
      <c r="DK45" s="504">
        <v>20</v>
      </c>
      <c r="DL45" s="499"/>
      <c r="DM45" s="499"/>
      <c r="DX45" s="499">
        <v>20</v>
      </c>
      <c r="DY45" s="499"/>
      <c r="IV45" s="499">
        <v>50</v>
      </c>
    </row>
    <row r="46" spans="1:256" ht="17.25" thickTop="1" thickBot="1">
      <c r="A46" s="499">
        <v>20</v>
      </c>
      <c r="E46" s="498">
        <v>200020</v>
      </c>
      <c r="F46" s="707"/>
      <c r="G46" s="809">
        <f>128*9+31</f>
        <v>1183</v>
      </c>
      <c r="H46" s="707"/>
      <c r="I46" s="707"/>
      <c r="J46" s="775"/>
      <c r="K46" s="707"/>
      <c r="L46" s="707"/>
      <c r="M46" s="784">
        <f>10000*20+128+19</f>
        <v>200147</v>
      </c>
      <c r="N46" s="537"/>
      <c r="O46" s="807">
        <v>19</v>
      </c>
      <c r="P46" s="537"/>
      <c r="Q46" s="752">
        <v>20</v>
      </c>
      <c r="R46" s="698">
        <f>10000*20+43+0.038</f>
        <v>200043.038</v>
      </c>
      <c r="S46" s="750"/>
      <c r="T46" s="750"/>
      <c r="U46" s="750"/>
      <c r="V46" s="750"/>
      <c r="W46" s="750"/>
      <c r="X46" s="528">
        <f>10000*20+43+0.038</f>
        <v>200043.038</v>
      </c>
      <c r="Y46" s="750"/>
      <c r="Z46" s="1491">
        <f>128*9+28+0.148</f>
        <v>1180.1479999999999</v>
      </c>
      <c r="AA46" s="498">
        <v>200043</v>
      </c>
      <c r="AB46" s="499"/>
      <c r="AC46" s="499"/>
      <c r="AD46" s="499"/>
      <c r="AE46" s="499"/>
      <c r="AF46" s="499"/>
      <c r="AG46" s="498">
        <v>49</v>
      </c>
      <c r="AH46" s="504">
        <v>49</v>
      </c>
      <c r="AI46" s="1497">
        <f>200033</f>
        <v>200033</v>
      </c>
      <c r="AJ46" s="814"/>
      <c r="AK46" s="814"/>
      <c r="AL46" s="814"/>
      <c r="AM46" s="814"/>
      <c r="AN46" s="814"/>
      <c r="AO46" s="814"/>
      <c r="AP46" s="814"/>
      <c r="AQ46" s="814"/>
      <c r="AR46" s="1498"/>
      <c r="AS46" s="766">
        <v>500050</v>
      </c>
      <c r="AT46" s="505">
        <v>200020</v>
      </c>
      <c r="AU46" s="504">
        <v>200043</v>
      </c>
      <c r="AV46" s="803">
        <f>128*9+48+0.122</f>
        <v>1200.1220000000001</v>
      </c>
      <c r="AW46" s="1460"/>
      <c r="AX46" s="1473">
        <f>128*9+48+0.122</f>
        <v>1200.1220000000001</v>
      </c>
      <c r="AY46" s="504">
        <v>43</v>
      </c>
      <c r="AZ46" s="500"/>
      <c r="BA46" s="500"/>
      <c r="BB46" s="500"/>
      <c r="BC46" s="504">
        <v>43</v>
      </c>
      <c r="BD46" s="1493">
        <f>128*9+26+0.152</f>
        <v>1178.152</v>
      </c>
      <c r="BE46" s="1460"/>
      <c r="BF46" s="1493">
        <f>128*9+26+0.152</f>
        <v>1178.152</v>
      </c>
      <c r="BG46" s="504">
        <v>200043</v>
      </c>
      <c r="BH46" s="505">
        <v>200020</v>
      </c>
      <c r="BI46" s="514"/>
      <c r="BJ46" s="514"/>
      <c r="BK46" s="503"/>
      <c r="BL46" s="503"/>
      <c r="BM46" s="514"/>
      <c r="BN46" s="514"/>
      <c r="BO46" s="514"/>
      <c r="BP46" s="514"/>
      <c r="BQ46" s="514"/>
      <c r="BR46" s="517">
        <v>200020</v>
      </c>
      <c r="BS46" s="517">
        <v>200020</v>
      </c>
      <c r="BT46" s="3687"/>
      <c r="BU46" s="3430">
        <f>0.384+0.0032</f>
        <v>0.38719999999999999</v>
      </c>
      <c r="BV46" s="3687">
        <f>128*10+15</f>
        <v>1295</v>
      </c>
      <c r="BW46" s="517">
        <f>200020+0.132</f>
        <v>200020.13200000001</v>
      </c>
      <c r="BY46" s="517">
        <v>200020</v>
      </c>
      <c r="BZ46" s="1449"/>
      <c r="CC46" s="504">
        <v>25</v>
      </c>
      <c r="CD46" s="504">
        <v>25</v>
      </c>
      <c r="CE46" s="504">
        <v>25</v>
      </c>
      <c r="CF46" s="504">
        <v>25</v>
      </c>
      <c r="CG46" s="504">
        <v>25</v>
      </c>
      <c r="CH46" s="504">
        <v>25</v>
      </c>
      <c r="CI46" s="504">
        <v>25</v>
      </c>
      <c r="CJ46" s="504">
        <v>19</v>
      </c>
      <c r="CK46" s="3096"/>
      <c r="CL46" s="3096"/>
      <c r="CM46" s="3096"/>
      <c r="CN46" s="3096"/>
      <c r="CO46" s="3094">
        <v>0.21729999999999999</v>
      </c>
      <c r="CP46" s="505">
        <f>10000*20+19</f>
        <v>200019</v>
      </c>
      <c r="CQ46" s="504">
        <v>19</v>
      </c>
      <c r="CR46" s="504">
        <v>19</v>
      </c>
      <c r="CS46" s="504">
        <v>19</v>
      </c>
      <c r="CT46" s="504">
        <v>19</v>
      </c>
      <c r="CU46" s="504">
        <v>19</v>
      </c>
      <c r="CV46" s="504">
        <v>19</v>
      </c>
      <c r="CW46" s="504">
        <v>19</v>
      </c>
      <c r="CZ46" s="505">
        <v>200020</v>
      </c>
      <c r="DE46" s="515">
        <v>20</v>
      </c>
      <c r="DF46" s="1488"/>
      <c r="DG46" s="504">
        <v>20</v>
      </c>
      <c r="DH46" s="499"/>
      <c r="DI46" s="515">
        <v>20</v>
      </c>
      <c r="DJ46" s="3086"/>
      <c r="DK46" s="504">
        <v>20</v>
      </c>
      <c r="DL46" s="499"/>
      <c r="DM46" s="499"/>
      <c r="DX46" s="499">
        <v>20</v>
      </c>
      <c r="DY46" s="499"/>
    </row>
    <row r="47" spans="1:256" ht="16.5" thickTop="1">
      <c r="A47" s="499">
        <v>20</v>
      </c>
      <c r="E47" s="498">
        <v>200020</v>
      </c>
      <c r="F47" s="707"/>
      <c r="G47" s="707"/>
      <c r="H47" s="707"/>
      <c r="I47" s="707"/>
      <c r="J47" s="707"/>
      <c r="K47" s="707"/>
      <c r="L47" s="707"/>
      <c r="M47" s="784">
        <f>10000*20+128+19</f>
        <v>200147</v>
      </c>
      <c r="N47" s="807">
        <v>19</v>
      </c>
      <c r="O47" s="807">
        <v>19</v>
      </c>
      <c r="P47" s="537"/>
      <c r="Q47" s="752">
        <v>20</v>
      </c>
      <c r="R47" s="498">
        <v>200043</v>
      </c>
      <c r="S47" s="750"/>
      <c r="T47" s="750">
        <f>128*9+35+0.5+0.256+0.0241</f>
        <v>1187.7801000000002</v>
      </c>
      <c r="U47" s="750"/>
      <c r="V47" s="750">
        <f>128*9+35</f>
        <v>1187</v>
      </c>
      <c r="W47" s="750"/>
      <c r="X47" s="698">
        <f>10000*20+43+0.058</f>
        <v>200043.05799999999</v>
      </c>
      <c r="Y47" s="750">
        <f>0.5+0.256+0.035</f>
        <v>0.79100000000000004</v>
      </c>
      <c r="Z47" s="761">
        <f>128*9+83</f>
        <v>1235</v>
      </c>
      <c r="AA47" s="498">
        <v>200043</v>
      </c>
      <c r="AB47" s="499"/>
      <c r="AC47" s="499"/>
      <c r="AD47" s="499"/>
      <c r="AE47" s="499"/>
      <c r="AF47" s="499"/>
      <c r="AG47" s="698">
        <f>49+0.07</f>
        <v>49.07</v>
      </c>
      <c r="AH47" s="811">
        <f>128*6+59</f>
        <v>827</v>
      </c>
      <c r="AI47" s="3078">
        <f>200000+128*5+30</f>
        <v>200670</v>
      </c>
      <c r="AJ47" s="1499"/>
      <c r="AK47" s="1499"/>
      <c r="AL47" s="1499"/>
      <c r="AM47" s="1499"/>
      <c r="AN47" s="812">
        <f>128*3+32</f>
        <v>416</v>
      </c>
      <c r="AO47" s="1497">
        <v>420042</v>
      </c>
      <c r="AP47" s="812"/>
      <c r="AQ47" s="1497">
        <v>420042</v>
      </c>
      <c r="AR47" s="1500"/>
      <c r="AS47" s="766">
        <v>200020</v>
      </c>
      <c r="AT47" s="505">
        <v>500020</v>
      </c>
      <c r="AU47" s="504">
        <v>200043</v>
      </c>
      <c r="AV47" s="504">
        <v>200043</v>
      </c>
      <c r="AW47" s="504">
        <f>10000*20+43+0.133</f>
        <v>200043.133</v>
      </c>
      <c r="AX47" s="504">
        <v>200043</v>
      </c>
      <c r="AY47" s="504">
        <v>43</v>
      </c>
      <c r="AZ47" s="504">
        <v>200043</v>
      </c>
      <c r="BA47" s="527">
        <f>10000*20+43+0.038</f>
        <v>200043.038</v>
      </c>
      <c r="BB47" s="504">
        <v>200043</v>
      </c>
      <c r="BC47" s="504">
        <v>43</v>
      </c>
      <c r="BD47" s="504">
        <v>200043</v>
      </c>
      <c r="BE47" s="504">
        <f>10000*20+43+0.133</f>
        <v>200043.133</v>
      </c>
      <c r="BF47" s="504">
        <v>200043</v>
      </c>
      <c r="BG47" s="504">
        <v>200043</v>
      </c>
      <c r="BH47" s="505">
        <v>500020</v>
      </c>
      <c r="BI47" s="514"/>
      <c r="BJ47" s="514"/>
      <c r="BK47" s="503"/>
      <c r="BL47" s="503"/>
      <c r="BM47" s="514"/>
      <c r="BN47" s="514"/>
      <c r="BO47" s="514"/>
      <c r="BP47" s="514"/>
      <c r="BQ47" s="514"/>
      <c r="BR47" s="517">
        <v>200020</v>
      </c>
      <c r="BS47" s="517">
        <f>10000*42+42</f>
        <v>420042</v>
      </c>
      <c r="BT47" s="2010">
        <f>128*9+69+0.083</f>
        <v>1221.0830000000001</v>
      </c>
      <c r="BU47" s="517">
        <f>10000*42+42</f>
        <v>420042</v>
      </c>
      <c r="BV47" s="517">
        <v>200020</v>
      </c>
      <c r="BW47" s="517">
        <f>500020+0.132</f>
        <v>500020.13199999998</v>
      </c>
      <c r="BX47" s="517">
        <v>500020</v>
      </c>
      <c r="BY47" s="517">
        <v>200020</v>
      </c>
      <c r="BZ47" s="1449"/>
      <c r="CC47" s="504">
        <v>25</v>
      </c>
      <c r="CD47" s="3089">
        <f>128*14+116+0.256+0.05</f>
        <v>1908.306</v>
      </c>
      <c r="CE47" s="3093">
        <f>128*5+37</f>
        <v>677</v>
      </c>
      <c r="CF47" s="3090"/>
      <c r="CG47" s="504">
        <v>25</v>
      </c>
      <c r="CH47" s="3090"/>
      <c r="CI47" s="3090"/>
      <c r="CJ47" s="504">
        <v>19</v>
      </c>
      <c r="CK47" s="3094">
        <v>0.2177</v>
      </c>
      <c r="CL47" s="3096"/>
      <c r="CM47" s="3096"/>
      <c r="CN47" s="3096"/>
      <c r="CO47" s="3096">
        <f>128*9+61</f>
        <v>1213</v>
      </c>
      <c r="CP47" s="505">
        <f>10000*20+19</f>
        <v>200019</v>
      </c>
      <c r="CQ47" s="3094">
        <v>0.2177</v>
      </c>
      <c r="CR47" s="3090"/>
      <c r="CS47" s="3090"/>
      <c r="CT47" s="504">
        <v>19</v>
      </c>
      <c r="CU47" s="768">
        <v>12</v>
      </c>
      <c r="CV47" s="504">
        <v>19</v>
      </c>
      <c r="CZ47" s="505">
        <v>200020</v>
      </c>
      <c r="DE47" s="515">
        <v>20</v>
      </c>
      <c r="DF47" s="1501"/>
      <c r="DG47" s="504">
        <v>20</v>
      </c>
      <c r="DH47" s="499"/>
      <c r="DI47" s="515">
        <v>20</v>
      </c>
      <c r="DJ47" s="3087"/>
      <c r="DK47" s="504">
        <v>20</v>
      </c>
      <c r="DL47" s="499"/>
      <c r="DM47" s="499"/>
      <c r="DX47" s="499">
        <v>20</v>
      </c>
      <c r="DY47" s="499"/>
    </row>
    <row r="48" spans="1:256" ht="15.75">
      <c r="A48" s="499">
        <v>20</v>
      </c>
      <c r="E48" s="498">
        <v>200020</v>
      </c>
      <c r="F48" s="498">
        <v>200020</v>
      </c>
      <c r="G48" s="498">
        <v>200020</v>
      </c>
      <c r="H48" s="498">
        <v>200020</v>
      </c>
      <c r="I48" s="807">
        <v>19</v>
      </c>
      <c r="J48" s="807">
        <v>19</v>
      </c>
      <c r="K48" s="807">
        <v>19</v>
      </c>
      <c r="L48" s="807">
        <v>19</v>
      </c>
      <c r="M48" s="810">
        <f>10000*20+128+19+0.113</f>
        <v>200147.11300000001</v>
      </c>
      <c r="N48" s="775"/>
      <c r="O48" s="807">
        <v>19</v>
      </c>
      <c r="P48" s="537">
        <f>0.256+0.008</f>
        <v>0.26400000000000001</v>
      </c>
      <c r="Q48" s="752">
        <v>20</v>
      </c>
      <c r="R48" s="498">
        <v>200043</v>
      </c>
      <c r="S48" s="751">
        <f>128*9+54+0.119</f>
        <v>1206.1189999999999</v>
      </c>
      <c r="T48" s="750"/>
      <c r="U48" s="751"/>
      <c r="V48" s="750"/>
      <c r="W48" s="751">
        <f>128*9+37+0.149</f>
        <v>1189.1489999999999</v>
      </c>
      <c r="X48" s="498">
        <v>200043</v>
      </c>
      <c r="Y48" s="750">
        <v>0.115</v>
      </c>
      <c r="Z48" s="750"/>
      <c r="AA48" s="498">
        <v>200043</v>
      </c>
      <c r="AB48" s="498">
        <v>200020</v>
      </c>
      <c r="AC48" s="498">
        <v>200020</v>
      </c>
      <c r="AD48" s="498">
        <v>200020</v>
      </c>
      <c r="AE48" s="498">
        <v>200020</v>
      </c>
      <c r="AF48" s="498">
        <v>200020</v>
      </c>
      <c r="AG48" s="498">
        <v>49</v>
      </c>
      <c r="AH48" s="504">
        <v>49</v>
      </c>
      <c r="AI48" s="1497">
        <f>200033</f>
        <v>200033</v>
      </c>
      <c r="AJ48" s="1499"/>
      <c r="AK48" s="1499"/>
      <c r="AL48" s="1499"/>
      <c r="AM48" s="1499"/>
      <c r="AN48" s="1499"/>
      <c r="AO48" s="1499"/>
      <c r="AP48" s="1502"/>
      <c r="AQ48" s="813">
        <f>128*3+32</f>
        <v>416</v>
      </c>
      <c r="AR48" s="1500"/>
      <c r="AS48" s="766">
        <v>500050</v>
      </c>
      <c r="AT48" s="505">
        <v>200020</v>
      </c>
      <c r="AU48" s="505">
        <v>500020</v>
      </c>
      <c r="AV48" s="505">
        <v>200020</v>
      </c>
      <c r="AW48" s="505">
        <f>500020+0.133</f>
        <v>500020.13299999997</v>
      </c>
      <c r="AX48" s="505">
        <v>200020</v>
      </c>
      <c r="AY48" s="505">
        <v>500020</v>
      </c>
      <c r="AZ48" s="505">
        <v>200020</v>
      </c>
      <c r="BA48" s="505">
        <v>500020</v>
      </c>
      <c r="BB48" s="505">
        <v>200020</v>
      </c>
      <c r="BC48" s="505">
        <v>500020</v>
      </c>
      <c r="BD48" s="505">
        <v>200020</v>
      </c>
      <c r="BE48" s="505">
        <f>500020+0.133</f>
        <v>500020.13299999997</v>
      </c>
      <c r="BF48" s="505">
        <v>200020</v>
      </c>
      <c r="BG48" s="505">
        <v>500020</v>
      </c>
      <c r="BH48" s="505">
        <v>200020</v>
      </c>
      <c r="BI48" s="514"/>
      <c r="BJ48" s="514"/>
      <c r="BK48" s="503"/>
      <c r="BL48" s="503"/>
      <c r="BM48" s="514"/>
      <c r="BN48" s="514"/>
      <c r="BO48" s="514"/>
      <c r="BP48" s="514"/>
      <c r="BQ48" s="514"/>
      <c r="BR48" s="517">
        <v>200020</v>
      </c>
      <c r="BS48" s="517">
        <v>200020</v>
      </c>
      <c r="BT48" s="3687"/>
      <c r="BU48" s="3687"/>
      <c r="BV48" s="3687">
        <f>128*14+116</f>
        <v>1908</v>
      </c>
      <c r="BW48" s="3725">
        <f>128*11+11</f>
        <v>1419</v>
      </c>
      <c r="BX48" s="1793">
        <f>128*9+20+0.5+0.256+0.0102</f>
        <v>1172.7662</v>
      </c>
      <c r="BY48" s="517">
        <v>200020</v>
      </c>
      <c r="BZ48" s="1449"/>
      <c r="CC48" s="504">
        <v>25</v>
      </c>
      <c r="CD48" s="3124">
        <f>128*5+35</f>
        <v>675</v>
      </c>
      <c r="CE48" s="770">
        <v>25</v>
      </c>
      <c r="CF48" s="801">
        <f>128+25</f>
        <v>153</v>
      </c>
      <c r="CG48" s="801">
        <f>128+25</f>
        <v>153</v>
      </c>
      <c r="CH48" s="3089">
        <f>128*10+49</f>
        <v>1329</v>
      </c>
      <c r="CI48" s="3090">
        <f>128*14+26</f>
        <v>1818</v>
      </c>
      <c r="CJ48" s="3093">
        <f>128*5+37</f>
        <v>677</v>
      </c>
      <c r="CK48" s="3126">
        <f>128*17+9</f>
        <v>2185</v>
      </c>
      <c r="CL48" s="3096"/>
      <c r="CM48" s="3097">
        <f>0.5+0.256+0.035</f>
        <v>0.79100000000000004</v>
      </c>
      <c r="CN48" s="3096"/>
      <c r="CO48" s="3096"/>
      <c r="CP48" s="3092">
        <f>10000*20+128*5+37</f>
        <v>200677</v>
      </c>
      <c r="CQ48" s="1949">
        <f>128*16+16</f>
        <v>2064</v>
      </c>
      <c r="CR48" s="3090">
        <f>128*14+25</f>
        <v>1817</v>
      </c>
      <c r="CS48" s="1949">
        <f>128*16+64+16</f>
        <v>2128</v>
      </c>
      <c r="CT48" s="3090">
        <f>128*14+116</f>
        <v>1908</v>
      </c>
      <c r="CU48" s="1752">
        <f>128+12</f>
        <v>140</v>
      </c>
      <c r="CV48" s="504">
        <v>19</v>
      </c>
      <c r="CZ48" s="505">
        <v>200020</v>
      </c>
      <c r="DE48" s="515">
        <v>20</v>
      </c>
      <c r="DF48" s="1501"/>
      <c r="DG48" s="504">
        <v>20</v>
      </c>
      <c r="DH48" s="499"/>
      <c r="DI48" s="504">
        <v>20</v>
      </c>
      <c r="DJ48" s="3087"/>
      <c r="DK48" s="504">
        <v>20</v>
      </c>
      <c r="DL48" s="499"/>
      <c r="DM48" s="499"/>
      <c r="DX48" s="499">
        <v>20</v>
      </c>
      <c r="DY48" s="499"/>
      <c r="EE48" s="1503" t="s">
        <v>627</v>
      </c>
    </row>
    <row r="49" spans="1:144" ht="15.75">
      <c r="A49" s="499">
        <v>20</v>
      </c>
      <c r="K49" s="807">
        <v>19</v>
      </c>
      <c r="L49" s="807">
        <v>19</v>
      </c>
      <c r="M49" s="1504"/>
      <c r="N49" s="537"/>
      <c r="O49" s="807">
        <v>19</v>
      </c>
      <c r="P49" s="537"/>
      <c r="Q49" s="752">
        <v>20</v>
      </c>
      <c r="R49" s="498">
        <v>200043</v>
      </c>
      <c r="S49" s="756">
        <f>10000*20</f>
        <v>200000</v>
      </c>
      <c r="T49" s="498">
        <v>200043</v>
      </c>
      <c r="U49" s="678">
        <f>10000*20+43+0.038</f>
        <v>200043.038</v>
      </c>
      <c r="V49" s="498">
        <v>200043</v>
      </c>
      <c r="W49" s="498">
        <v>200043</v>
      </c>
      <c r="X49" s="498">
        <v>200043</v>
      </c>
      <c r="Y49" s="498">
        <v>200020</v>
      </c>
      <c r="Z49" s="1388">
        <f>128+20</f>
        <v>148</v>
      </c>
      <c r="AA49" s="1505">
        <f>128+20+0.033</f>
        <v>148.03299999999999</v>
      </c>
      <c r="AB49" s="537"/>
      <c r="AC49" s="1506">
        <f>128*8+4</f>
        <v>1028</v>
      </c>
      <c r="AD49" s="537"/>
      <c r="AE49" s="537"/>
      <c r="AF49" s="498">
        <v>200020</v>
      </c>
      <c r="AG49" s="698">
        <f>49+0.069</f>
        <v>49.069000000000003</v>
      </c>
      <c r="AH49" s="1714">
        <f>128*11+3</f>
        <v>1411</v>
      </c>
      <c r="AI49" s="1497">
        <f>200000+128*5+30+0.151</f>
        <v>200670.15100000001</v>
      </c>
      <c r="AJ49" s="1499">
        <f>128*14+18</f>
        <v>1810</v>
      </c>
      <c r="AK49" s="1499"/>
      <c r="AL49" s="1499"/>
      <c r="AM49" s="1499"/>
      <c r="AN49" s="812">
        <f>128*3+32</f>
        <v>416</v>
      </c>
      <c r="AO49" s="1497">
        <v>420042</v>
      </c>
      <c r="AP49" s="812"/>
      <c r="AQ49" s="1497">
        <v>420042</v>
      </c>
      <c r="AR49" s="1500"/>
      <c r="AS49" s="766">
        <v>200020</v>
      </c>
      <c r="AT49" s="511">
        <v>35</v>
      </c>
      <c r="AU49" s="514"/>
      <c r="AV49" s="514"/>
      <c r="AW49" s="514"/>
      <c r="AX49" s="514"/>
      <c r="AY49" s="514"/>
      <c r="AZ49" s="514"/>
      <c r="BA49" s="514"/>
      <c r="BB49" s="514"/>
      <c r="BC49" s="514"/>
      <c r="BD49" s="514"/>
      <c r="BE49" s="514"/>
      <c r="BF49" s="514"/>
      <c r="BG49" s="514"/>
      <c r="BH49" s="514"/>
      <c r="BI49" s="514"/>
      <c r="BJ49" s="514"/>
      <c r="BK49" s="514"/>
      <c r="BL49" s="514"/>
      <c r="BM49" s="514"/>
      <c r="BN49" s="514"/>
      <c r="BO49" s="514"/>
      <c r="BP49" s="514"/>
      <c r="BQ49" s="514"/>
      <c r="BR49" s="517">
        <v>200020</v>
      </c>
      <c r="BS49" s="517">
        <v>200020</v>
      </c>
      <c r="BT49" s="517">
        <v>500020</v>
      </c>
      <c r="BU49" s="517">
        <f>10000*42+42</f>
        <v>420042</v>
      </c>
      <c r="BV49" s="517">
        <v>500020</v>
      </c>
      <c r="BW49" s="517">
        <v>500020</v>
      </c>
      <c r="BX49" s="517">
        <v>500020</v>
      </c>
      <c r="BY49" s="517">
        <v>200020</v>
      </c>
      <c r="BZ49" s="1449"/>
      <c r="CC49" s="504">
        <v>25</v>
      </c>
      <c r="CD49" s="3089">
        <f>128*14+116+0.256+0.05</f>
        <v>1908.306</v>
      </c>
      <c r="CE49" s="3093">
        <f>128*5+37</f>
        <v>677</v>
      </c>
      <c r="CF49" s="3090"/>
      <c r="CG49" s="504">
        <v>25</v>
      </c>
      <c r="CH49" s="3090"/>
      <c r="CI49" s="3090"/>
      <c r="CJ49" s="504">
        <v>19</v>
      </c>
      <c r="CK49" s="3094">
        <v>0.2177</v>
      </c>
      <c r="CL49" s="3096"/>
      <c r="CM49" s="3096"/>
      <c r="CN49" s="3096"/>
      <c r="CO49" s="3096">
        <f>128*9+61</f>
        <v>1213</v>
      </c>
      <c r="CP49" s="505">
        <f>10000*20+19</f>
        <v>200019</v>
      </c>
      <c r="CQ49" s="3094">
        <v>0.2177</v>
      </c>
      <c r="CR49" s="3091"/>
      <c r="CS49" s="3091"/>
      <c r="CT49" s="504">
        <v>19</v>
      </c>
      <c r="CU49" s="1752">
        <f>128+12</f>
        <v>140</v>
      </c>
      <c r="CV49" s="504">
        <v>19</v>
      </c>
      <c r="CZ49" s="505">
        <v>200020</v>
      </c>
      <c r="DE49" s="504">
        <v>20</v>
      </c>
      <c r="DF49" s="1507"/>
      <c r="DG49" s="504">
        <v>20</v>
      </c>
      <c r="DH49" s="499"/>
      <c r="DI49" s="504">
        <v>20</v>
      </c>
      <c r="DJ49" s="3088"/>
      <c r="DK49" s="504">
        <v>20</v>
      </c>
      <c r="DL49" s="499"/>
      <c r="DM49" s="499"/>
      <c r="DX49" s="499">
        <v>20</v>
      </c>
      <c r="DY49" s="499"/>
    </row>
    <row r="50" spans="1:144" ht="16.5" thickBot="1">
      <c r="A50" s="499">
        <v>20</v>
      </c>
      <c r="K50" s="807">
        <v>19</v>
      </c>
      <c r="L50" s="807">
        <v>19</v>
      </c>
      <c r="M50" s="775"/>
      <c r="N50" s="537">
        <v>31</v>
      </c>
      <c r="O50" s="807">
        <v>19</v>
      </c>
      <c r="P50" s="537">
        <f>0.256+0.008</f>
        <v>0.26400000000000001</v>
      </c>
      <c r="Q50" s="752">
        <v>20</v>
      </c>
      <c r="R50" s="498">
        <f>10000*48+48</f>
        <v>480048</v>
      </c>
      <c r="S50" s="1508">
        <f>10000*48+128*5+41</f>
        <v>480681</v>
      </c>
      <c r="T50" s="677">
        <f>10000*48+48+0.256+0.012</f>
        <v>480048.26799999998</v>
      </c>
      <c r="U50" s="498">
        <f>10000*48+48</f>
        <v>480048</v>
      </c>
      <c r="V50" s="677">
        <f>10000*48+48+0.256+0.012</f>
        <v>480048.26799999998</v>
      </c>
      <c r="W50" s="498">
        <f>10000*48+48</f>
        <v>480048</v>
      </c>
      <c r="X50" s="677">
        <f>10000*48+48+0.256+0.012</f>
        <v>480048.26799999998</v>
      </c>
      <c r="Y50" s="498">
        <f>10000*48+48</f>
        <v>480048</v>
      </c>
      <c r="Z50" s="677">
        <f>10000*48+48+0.256+0.012</f>
        <v>480048.26799999998</v>
      </c>
      <c r="AA50" s="498">
        <f>10000*48+48</f>
        <v>480048</v>
      </c>
      <c r="AB50" s="677">
        <f>10000*48+48+0.256+0.012</f>
        <v>480048.26799999998</v>
      </c>
      <c r="AC50" s="498">
        <f>10000*48+48</f>
        <v>480048</v>
      </c>
      <c r="AD50" s="498">
        <f>10000*48+48</f>
        <v>480048</v>
      </c>
      <c r="AE50" s="537"/>
      <c r="AF50" s="498">
        <v>200020</v>
      </c>
      <c r="AG50" s="498">
        <v>49</v>
      </c>
      <c r="AH50" s="504">
        <v>49</v>
      </c>
      <c r="AI50" s="1497">
        <f>200033</f>
        <v>200033</v>
      </c>
      <c r="AJ50" s="814"/>
      <c r="AK50" s="814"/>
      <c r="AL50" s="814"/>
      <c r="AM50" s="814"/>
      <c r="AN50" s="814"/>
      <c r="AO50" s="814"/>
      <c r="AP50" s="814"/>
      <c r="AQ50" s="814"/>
      <c r="AR50" s="1498"/>
      <c r="AS50" s="766">
        <v>500050</v>
      </c>
      <c r="AT50" s="511">
        <v>35</v>
      </c>
      <c r="AU50" s="514"/>
      <c r="AV50" s="504">
        <v>200020</v>
      </c>
      <c r="AW50" s="504">
        <v>200020</v>
      </c>
      <c r="AX50" s="504">
        <f>200020+0.133</f>
        <v>200020.133</v>
      </c>
      <c r="AY50" s="504">
        <v>200020</v>
      </c>
      <c r="AZ50" s="504">
        <f>200020+0.133</f>
        <v>200020.133</v>
      </c>
      <c r="BA50" s="504">
        <v>200020</v>
      </c>
      <c r="BB50" s="504">
        <f>200020+0.133</f>
        <v>200020.133</v>
      </c>
      <c r="BC50" s="504">
        <v>200020</v>
      </c>
      <c r="BD50" s="504">
        <f>200020+0.133</f>
        <v>200020.133</v>
      </c>
      <c r="BE50" s="504">
        <v>200020</v>
      </c>
      <c r="BF50" s="504">
        <f>200020+0.133</f>
        <v>200020.133</v>
      </c>
      <c r="BG50" s="504">
        <v>200020</v>
      </c>
      <c r="BH50" s="504">
        <v>200020</v>
      </c>
      <c r="BI50" s="514"/>
      <c r="BJ50" s="514"/>
      <c r="BK50" s="514"/>
      <c r="BL50" s="1214"/>
      <c r="BM50" s="1214"/>
      <c r="BN50" s="1603"/>
      <c r="BO50" s="514"/>
      <c r="BP50" s="514"/>
      <c r="BQ50" s="514"/>
      <c r="BR50" s="517">
        <v>500020</v>
      </c>
      <c r="BY50" s="517">
        <v>200020</v>
      </c>
      <c r="CC50" s="504">
        <v>25</v>
      </c>
      <c r="CD50" s="504">
        <v>25</v>
      </c>
      <c r="CE50" s="504">
        <v>25</v>
      </c>
      <c r="CF50" s="504">
        <v>25</v>
      </c>
      <c r="CG50" s="504">
        <v>25</v>
      </c>
      <c r="CH50" s="504">
        <v>25</v>
      </c>
      <c r="CI50" s="504">
        <v>25</v>
      </c>
      <c r="CJ50" s="504">
        <v>19</v>
      </c>
      <c r="CK50" s="3096"/>
      <c r="CL50" s="3096"/>
      <c r="CM50" s="3096"/>
      <c r="CN50" s="3096"/>
      <c r="CO50" s="3094">
        <v>0.21729999999999999</v>
      </c>
      <c r="CP50" s="505">
        <f>10000*20+19</f>
        <v>200019</v>
      </c>
      <c r="CQ50" s="504">
        <v>19</v>
      </c>
      <c r="CR50" s="504">
        <v>19</v>
      </c>
      <c r="CS50" s="504">
        <v>19</v>
      </c>
      <c r="CT50" s="504">
        <v>19</v>
      </c>
      <c r="CU50" s="1752">
        <f>128+12</f>
        <v>140</v>
      </c>
      <c r="CV50" s="504">
        <v>19</v>
      </c>
      <c r="CZ50" s="505">
        <v>200020</v>
      </c>
      <c r="DE50" s="515">
        <v>20</v>
      </c>
      <c r="DF50" s="1501"/>
      <c r="DG50" s="504">
        <v>20</v>
      </c>
      <c r="DH50" s="504">
        <v>20</v>
      </c>
      <c r="DI50" s="515">
        <v>20</v>
      </c>
      <c r="DJ50" s="3087">
        <f t="shared" ref="DJ50:DJ55" si="18">128*2+44</f>
        <v>300</v>
      </c>
      <c r="DK50" s="504">
        <v>20</v>
      </c>
      <c r="DL50" s="499"/>
      <c r="DM50" s="499"/>
      <c r="DX50" s="499">
        <v>20</v>
      </c>
      <c r="DY50" s="499"/>
    </row>
    <row r="51" spans="1:144" ht="17.25" thickBot="1">
      <c r="A51" s="499">
        <v>20</v>
      </c>
      <c r="K51" s="807">
        <v>19</v>
      </c>
      <c r="L51" s="784">
        <f>10000*20+128+19</f>
        <v>200147</v>
      </c>
      <c r="M51" s="537"/>
      <c r="N51" s="807">
        <v>19</v>
      </c>
      <c r="O51" s="498">
        <v>200020</v>
      </c>
      <c r="P51" s="504">
        <f>48</f>
        <v>48</v>
      </c>
      <c r="Q51" s="504">
        <f>48</f>
        <v>48</v>
      </c>
      <c r="R51" s="1509">
        <f>10000*48+48</f>
        <v>480048</v>
      </c>
      <c r="S51" s="1510"/>
      <c r="T51" s="1510"/>
      <c r="U51" s="1510"/>
      <c r="V51" s="1510"/>
      <c r="W51" s="1510"/>
      <c r="X51" s="1510"/>
      <c r="Y51" s="1510"/>
      <c r="Z51" s="1510"/>
      <c r="AA51" s="1510"/>
      <c r="AB51" s="1510"/>
      <c r="AC51" s="1511"/>
      <c r="AD51" s="498">
        <f>10000*48+48</f>
        <v>480048</v>
      </c>
      <c r="AE51" s="537"/>
      <c r="AF51" s="766">
        <v>200020</v>
      </c>
      <c r="AG51" s="766">
        <v>200020</v>
      </c>
      <c r="AH51" s="766">
        <v>200020</v>
      </c>
      <c r="AI51" s="766">
        <v>200020</v>
      </c>
      <c r="AJ51" s="766">
        <v>200020</v>
      </c>
      <c r="AK51" s="820">
        <f>200020+0.136</f>
        <v>200020.136</v>
      </c>
      <c r="AL51" s="766">
        <v>200000</v>
      </c>
      <c r="AM51" s="766">
        <v>200020</v>
      </c>
      <c r="AN51" s="766">
        <v>200020</v>
      </c>
      <c r="AO51" s="766">
        <v>200020</v>
      </c>
      <c r="AP51" s="766">
        <v>200020</v>
      </c>
      <c r="AQ51" s="766">
        <v>200020</v>
      </c>
      <c r="AR51" s="766">
        <v>200020</v>
      </c>
      <c r="AS51" s="817">
        <v>200020</v>
      </c>
      <c r="AT51" s="504">
        <v>35</v>
      </c>
      <c r="AU51" s="514"/>
      <c r="AV51" s="504">
        <v>200020</v>
      </c>
      <c r="BH51" s="504">
        <v>200020</v>
      </c>
      <c r="BI51" s="514"/>
      <c r="BJ51" s="514"/>
      <c r="BK51" s="514"/>
      <c r="BL51" s="1217"/>
      <c r="BM51" s="1217"/>
      <c r="BN51" s="1604"/>
      <c r="BO51" s="514"/>
      <c r="BP51" s="514"/>
      <c r="BQ51" s="514"/>
      <c r="BR51" s="505">
        <v>500020</v>
      </c>
      <c r="BS51" s="505">
        <v>500020</v>
      </c>
      <c r="BT51" s="505">
        <v>500020</v>
      </c>
      <c r="BU51" s="505">
        <v>500020</v>
      </c>
      <c r="BV51" s="505">
        <v>500020</v>
      </c>
      <c r="BW51" s="505">
        <v>500020</v>
      </c>
      <c r="BX51" s="517">
        <v>200020</v>
      </c>
      <c r="BY51" s="517">
        <v>200020</v>
      </c>
      <c r="CH51" s="504">
        <v>25</v>
      </c>
      <c r="CI51" s="3127">
        <f>128*17+9+0.02</f>
        <v>2185.02</v>
      </c>
      <c r="CJ51" s="3098">
        <f>128*5+37</f>
        <v>677</v>
      </c>
      <c r="CK51" s="3096"/>
      <c r="CL51" s="3096"/>
      <c r="CM51" s="3096"/>
      <c r="CN51" s="3096"/>
      <c r="CO51" s="3125">
        <f>128*17+9</f>
        <v>2185</v>
      </c>
      <c r="CP51" s="3092">
        <f>10000*20+128*5+37</f>
        <v>200677</v>
      </c>
      <c r="CQ51" s="3090"/>
      <c r="CR51" s="504">
        <v>19</v>
      </c>
      <c r="CS51" s="504">
        <v>4</v>
      </c>
      <c r="CT51" s="504">
        <v>4</v>
      </c>
      <c r="CU51" s="1752">
        <f>128+12</f>
        <v>140</v>
      </c>
      <c r="CV51" s="504">
        <v>4</v>
      </c>
      <c r="CW51" s="504">
        <v>4</v>
      </c>
      <c r="CZ51" s="505">
        <v>200020</v>
      </c>
      <c r="DE51" s="515">
        <v>20</v>
      </c>
      <c r="DF51" s="1501"/>
      <c r="DG51" s="504">
        <v>20</v>
      </c>
      <c r="DH51" s="707">
        <f>128*14+116</f>
        <v>1908</v>
      </c>
      <c r="DI51" s="707">
        <f>0.0603</f>
        <v>6.0299999999999999E-2</v>
      </c>
      <c r="DJ51" s="3087">
        <f t="shared" si="18"/>
        <v>300</v>
      </c>
      <c r="DK51" s="504">
        <v>20</v>
      </c>
      <c r="DL51" s="499"/>
      <c r="DM51" s="499"/>
      <c r="DX51" s="499">
        <v>20</v>
      </c>
      <c r="DY51" s="499"/>
    </row>
    <row r="52" spans="1:144" ht="15.75">
      <c r="A52" s="499">
        <v>20</v>
      </c>
      <c r="K52" s="807">
        <v>19</v>
      </c>
      <c r="L52" s="784">
        <f>10000*20+128+19</f>
        <v>200147</v>
      </c>
      <c r="M52" s="775"/>
      <c r="N52" s="807">
        <v>19</v>
      </c>
      <c r="O52" s="498">
        <f>10000*20+48</f>
        <v>200048</v>
      </c>
      <c r="P52" s="537">
        <f>128*10+5</f>
        <v>1285</v>
      </c>
      <c r="Q52" s="537"/>
      <c r="R52" s="498">
        <f>10000*48+48</f>
        <v>480048</v>
      </c>
      <c r="S52" s="1510"/>
      <c r="T52" s="1512"/>
      <c r="U52" s="1513">
        <f>128*12+5</f>
        <v>1541</v>
      </c>
      <c r="V52" s="1513">
        <f>128*12+6</f>
        <v>1542</v>
      </c>
      <c r="W52" s="1513">
        <f>128*12+7</f>
        <v>1543</v>
      </c>
      <c r="X52" s="1513">
        <f>128*12+8</f>
        <v>1544</v>
      </c>
      <c r="Y52" s="1513">
        <f>128*12+9</f>
        <v>1545</v>
      </c>
      <c r="Z52" s="1513">
        <f>128*12+10</f>
        <v>1546</v>
      </c>
      <c r="AA52" s="1513">
        <f>128*12+11</f>
        <v>1547</v>
      </c>
      <c r="AB52" s="1514">
        <f>128*9+38</f>
        <v>1190</v>
      </c>
      <c r="AC52" s="1511"/>
      <c r="AD52" s="528">
        <f>10000*48+48+0.256+0.012</f>
        <v>480048.26799999998</v>
      </c>
      <c r="AE52" s="537"/>
      <c r="AF52" s="766">
        <v>200020</v>
      </c>
      <c r="AG52" s="1515"/>
      <c r="AH52" s="814"/>
      <c r="AI52" s="814"/>
      <c r="AJ52" s="814"/>
      <c r="AK52" s="814"/>
      <c r="AL52" s="814"/>
      <c r="AM52" s="814"/>
      <c r="AN52" s="1515"/>
      <c r="AO52" s="814"/>
      <c r="AP52" s="814"/>
      <c r="AQ52" s="2845">
        <f>128*9+75</f>
        <v>1227</v>
      </c>
      <c r="AR52" s="816"/>
      <c r="AS52" s="817">
        <v>500050</v>
      </c>
      <c r="AT52" s="504">
        <v>35</v>
      </c>
      <c r="AU52" s="514">
        <f>128*8+4</f>
        <v>1028</v>
      </c>
      <c r="AV52" s="504">
        <v>200020</v>
      </c>
      <c r="BH52" s="504">
        <f>200020+0.133</f>
        <v>200020.133</v>
      </c>
      <c r="BI52" s="514"/>
      <c r="BJ52" s="514"/>
      <c r="BK52" s="517">
        <v>500020</v>
      </c>
      <c r="BL52" s="517">
        <v>500050</v>
      </c>
      <c r="BM52" s="517">
        <v>500050</v>
      </c>
      <c r="BN52" s="517">
        <v>500050</v>
      </c>
      <c r="BO52" s="517">
        <v>500020</v>
      </c>
      <c r="BP52" s="514"/>
      <c r="BQ52" s="514"/>
      <c r="BR52" s="505">
        <v>500020</v>
      </c>
      <c r="CH52" s="504">
        <v>25</v>
      </c>
      <c r="CI52" s="504">
        <v>25</v>
      </c>
      <c r="CJ52" s="504">
        <v>19</v>
      </c>
      <c r="CK52" s="3096">
        <v>0.161</v>
      </c>
      <c r="CL52" s="3096"/>
      <c r="CM52" s="3096"/>
      <c r="CN52" s="3096"/>
      <c r="CO52" s="3094">
        <v>0.21729999999999999</v>
      </c>
      <c r="CP52" s="505">
        <f>10000*20+19</f>
        <v>200019</v>
      </c>
      <c r="CQ52" s="3090"/>
      <c r="CR52" s="504">
        <v>19</v>
      </c>
      <c r="CS52" s="504">
        <v>4</v>
      </c>
      <c r="CT52" s="2333">
        <f>128*10+16</f>
        <v>1296</v>
      </c>
      <c r="CU52" s="2333">
        <f>0.256+0.0261</f>
        <v>0.28210000000000002</v>
      </c>
      <c r="CV52" s="2333">
        <f>128*10+15</f>
        <v>1295</v>
      </c>
      <c r="CW52" s="504">
        <v>4</v>
      </c>
      <c r="CZ52" s="505">
        <v>200020</v>
      </c>
      <c r="DE52" s="515">
        <v>20</v>
      </c>
      <c r="DF52" s="1501"/>
      <c r="DG52" s="504">
        <v>20</v>
      </c>
      <c r="DH52" s="707"/>
      <c r="DI52" s="515">
        <v>20</v>
      </c>
      <c r="DJ52" s="3087">
        <f t="shared" si="18"/>
        <v>300</v>
      </c>
      <c r="DK52" s="504">
        <v>20</v>
      </c>
      <c r="DL52" s="499"/>
      <c r="DM52" s="499"/>
      <c r="DX52" s="499">
        <v>20</v>
      </c>
      <c r="DY52" s="499"/>
    </row>
    <row r="53" spans="1:144">
      <c r="A53" s="499">
        <v>20</v>
      </c>
      <c r="G53" s="498">
        <v>200020</v>
      </c>
      <c r="H53" s="498">
        <v>200020</v>
      </c>
      <c r="I53" s="498">
        <v>200020</v>
      </c>
      <c r="J53" s="498">
        <v>200020</v>
      </c>
      <c r="K53" s="807">
        <v>19</v>
      </c>
      <c r="L53" s="784">
        <f>10000*20+128+19+0.131</f>
        <v>200147.13099999999</v>
      </c>
      <c r="M53" s="807">
        <v>19</v>
      </c>
      <c r="N53" s="807">
        <v>19</v>
      </c>
      <c r="O53" s="498">
        <f>10000*20+48</f>
        <v>200048</v>
      </c>
      <c r="P53" s="537"/>
      <c r="Q53" s="537"/>
      <c r="R53" s="498">
        <f>10000*48+48</f>
        <v>480048</v>
      </c>
      <c r="S53" s="1510"/>
      <c r="T53" s="1516"/>
      <c r="U53" s="1517">
        <f>128*9+39</f>
        <v>1191</v>
      </c>
      <c r="V53" s="1518">
        <f>128*12+13</f>
        <v>1549</v>
      </c>
      <c r="W53" s="1518">
        <f>128*12+14</f>
        <v>1550</v>
      </c>
      <c r="X53" s="1518">
        <f>128*12+15</f>
        <v>1551</v>
      </c>
      <c r="Y53" s="1518">
        <f>128*12+16</f>
        <v>1552</v>
      </c>
      <c r="Z53" s="1518">
        <f>128*12+17</f>
        <v>1553</v>
      </c>
      <c r="AA53" s="1518">
        <f>128*12+18</f>
        <v>1554</v>
      </c>
      <c r="AB53" s="1514">
        <f>128*9+38</f>
        <v>1190</v>
      </c>
      <c r="AC53" s="1511"/>
      <c r="AD53" s="498">
        <f>10000*48+48</f>
        <v>480048</v>
      </c>
      <c r="AE53" s="537"/>
      <c r="AF53" s="766">
        <v>200020</v>
      </c>
      <c r="AG53" s="816"/>
      <c r="AH53" s="1497">
        <v>420042</v>
      </c>
      <c r="AI53" s="1499">
        <f>128*3+32</f>
        <v>416</v>
      </c>
      <c r="AJ53" s="1499"/>
      <c r="AK53" s="1499"/>
      <c r="AL53" s="812"/>
      <c r="AM53" s="1497">
        <v>420042</v>
      </c>
      <c r="AN53" s="1499">
        <f>128*3+32</f>
        <v>416</v>
      </c>
      <c r="AO53" s="1499">
        <f>128*3+32</f>
        <v>416</v>
      </c>
      <c r="AP53" s="812"/>
      <c r="AQ53" s="1519">
        <f>0.256+0.011</f>
        <v>0.26700000000000002</v>
      </c>
      <c r="AR53" s="816"/>
      <c r="AS53" s="817">
        <v>200020</v>
      </c>
      <c r="AT53" s="504">
        <v>35</v>
      </c>
      <c r="AU53" s="514">
        <v>8.9999999999999993E-3</v>
      </c>
      <c r="AV53" s="504">
        <v>200020</v>
      </c>
      <c r="BH53" s="504">
        <v>200020</v>
      </c>
      <c r="BI53" s="514"/>
      <c r="BJ53" s="514"/>
      <c r="BK53" s="517">
        <v>500020</v>
      </c>
      <c r="BL53" s="505">
        <v>500020</v>
      </c>
      <c r="BM53" s="2070">
        <f>10000*50+37</f>
        <v>500037</v>
      </c>
      <c r="BN53" s="505">
        <v>500020</v>
      </c>
      <c r="BO53" s="517">
        <v>500020</v>
      </c>
      <c r="BP53" s="514"/>
      <c r="BQ53" s="514"/>
      <c r="BR53" s="505">
        <v>500020</v>
      </c>
      <c r="CJ53" s="504">
        <v>19</v>
      </c>
      <c r="CK53" s="504">
        <v>19</v>
      </c>
      <c r="CL53" s="504">
        <v>19</v>
      </c>
      <c r="CM53" s="504">
        <v>19</v>
      </c>
      <c r="CN53" s="504">
        <v>19</v>
      </c>
      <c r="CO53" s="504">
        <v>19</v>
      </c>
      <c r="CP53" s="505">
        <f t="shared" ref="CP53:CP58" si="19">10000*20+19</f>
        <v>200019</v>
      </c>
      <c r="CQ53" s="3090"/>
      <c r="CR53" s="504">
        <v>19</v>
      </c>
      <c r="CS53" s="504">
        <v>4</v>
      </c>
      <c r="CT53" s="2333"/>
      <c r="CU53" s="2333"/>
      <c r="CV53" s="2333"/>
      <c r="CW53" s="504">
        <v>4</v>
      </c>
      <c r="CZ53" s="505">
        <v>200020</v>
      </c>
      <c r="DE53" s="515">
        <v>20</v>
      </c>
      <c r="DF53" s="1501"/>
      <c r="DG53" s="504">
        <v>20</v>
      </c>
      <c r="DH53" s="707">
        <f>128*10+7</f>
        <v>1287</v>
      </c>
      <c r="DI53" s="515">
        <v>20</v>
      </c>
      <c r="DJ53" s="3087">
        <f t="shared" si="18"/>
        <v>300</v>
      </c>
      <c r="DK53" s="504">
        <v>20</v>
      </c>
      <c r="DL53" s="499"/>
      <c r="DM53" s="499"/>
      <c r="DX53" s="499">
        <v>20</v>
      </c>
      <c r="DY53" s="499"/>
    </row>
    <row r="54" spans="1:144" ht="13.5" thickBot="1">
      <c r="A54" s="499">
        <v>20</v>
      </c>
      <c r="C54" s="498">
        <v>200043</v>
      </c>
      <c r="D54" s="498">
        <v>200043</v>
      </c>
      <c r="E54" s="498">
        <v>200043</v>
      </c>
      <c r="F54" s="498">
        <v>200043</v>
      </c>
      <c r="G54" s="498">
        <v>200043</v>
      </c>
      <c r="H54" s="498">
        <f>10000*20+43+0.018</f>
        <v>200043.01800000001</v>
      </c>
      <c r="I54" s="498">
        <v>200043</v>
      </c>
      <c r="J54" s="498">
        <v>200043</v>
      </c>
      <c r="K54" s="498">
        <f>10000*20+48</f>
        <v>200048</v>
      </c>
      <c r="L54" s="537"/>
      <c r="M54" s="537"/>
      <c r="N54" s="807">
        <v>33</v>
      </c>
      <c r="O54" s="498">
        <f>10000*20+48</f>
        <v>200048</v>
      </c>
      <c r="P54" s="537"/>
      <c r="Q54" s="1520">
        <f>128*12+12</f>
        <v>1548</v>
      </c>
      <c r="R54" s="1509">
        <f>10000*48+48+0.116</f>
        <v>480048.11599999998</v>
      </c>
      <c r="S54" s="1510"/>
      <c r="T54" s="1512"/>
      <c r="U54" s="1518">
        <f>128*12+19</f>
        <v>1555</v>
      </c>
      <c r="V54" s="1518">
        <f>128*12+20</f>
        <v>1556</v>
      </c>
      <c r="W54" s="1518">
        <f>128*12+21</f>
        <v>1557</v>
      </c>
      <c r="X54" s="1518">
        <f>128*12+22</f>
        <v>1558</v>
      </c>
      <c r="Y54" s="1518">
        <f>128*12+23</f>
        <v>1559</v>
      </c>
      <c r="Z54" s="1518">
        <f>128*12+24</f>
        <v>1560</v>
      </c>
      <c r="AA54" s="1518">
        <f>128*12+25</f>
        <v>1561</v>
      </c>
      <c r="AB54" s="1514">
        <f>128*9+38</f>
        <v>1190</v>
      </c>
      <c r="AC54" s="1511"/>
      <c r="AD54" s="528">
        <f>10000*48+48+0.256+0.012</f>
        <v>480048.26799999998</v>
      </c>
      <c r="AE54" s="1484">
        <f>128*8+3</f>
        <v>1027</v>
      </c>
      <c r="AF54" s="766">
        <v>200020</v>
      </c>
      <c r="AG54" s="814"/>
      <c r="AH54" s="1499"/>
      <c r="AI54" s="1499"/>
      <c r="AJ54" s="1499"/>
      <c r="AK54" s="1499"/>
      <c r="AL54" s="812"/>
      <c r="AM54" s="1499"/>
      <c r="AN54" s="1521"/>
      <c r="AO54" s="1497">
        <v>420042</v>
      </c>
      <c r="AP54" s="812">
        <f>128*6+139+0.256+0.0225</f>
        <v>907.27850000000001</v>
      </c>
      <c r="AQ54" s="1522">
        <f>110000+128*11+7+0.256+0.011</f>
        <v>111415.26699999999</v>
      </c>
      <c r="AR54" s="816"/>
      <c r="AS54" s="817">
        <v>500050</v>
      </c>
      <c r="AT54" s="504">
        <v>35</v>
      </c>
      <c r="AU54" s="514"/>
      <c r="AV54" s="504">
        <v>200020</v>
      </c>
      <c r="BH54" s="504">
        <f>200020+0.133</f>
        <v>200020.133</v>
      </c>
      <c r="BI54" s="514"/>
      <c r="BJ54" s="514"/>
      <c r="BK54" s="3116">
        <f>500000+128*5+37</f>
        <v>500677</v>
      </c>
      <c r="BL54" s="996">
        <f>10000*50+37</f>
        <v>500037</v>
      </c>
      <c r="BM54" s="2335">
        <f>200020+0.151</f>
        <v>200020.15100000001</v>
      </c>
      <c r="BN54" s="2338">
        <f>10000*50+37</f>
        <v>500037</v>
      </c>
      <c r="BO54" s="3116">
        <f>500000+128*5+37</f>
        <v>500677</v>
      </c>
      <c r="BP54" s="514"/>
      <c r="BQ54" s="514"/>
      <c r="BR54" s="505">
        <v>500020</v>
      </c>
      <c r="CP54" s="498">
        <f t="shared" si="19"/>
        <v>200019</v>
      </c>
      <c r="CQ54" s="3090"/>
      <c r="CR54" s="3090"/>
      <c r="CS54" s="523">
        <v>500019</v>
      </c>
      <c r="CT54" s="523">
        <v>500020</v>
      </c>
      <c r="CU54" s="523">
        <v>500020</v>
      </c>
      <c r="CV54" s="2339">
        <v>500000</v>
      </c>
      <c r="CW54" s="505">
        <v>500020</v>
      </c>
      <c r="CZ54" s="505">
        <v>200020</v>
      </c>
      <c r="DE54" s="515">
        <v>20</v>
      </c>
      <c r="DF54" s="1501"/>
      <c r="DG54" s="504">
        <v>20</v>
      </c>
      <c r="DH54" s="504">
        <v>20</v>
      </c>
      <c r="DI54" s="515">
        <v>20</v>
      </c>
      <c r="DJ54" s="3087">
        <f t="shared" si="18"/>
        <v>300</v>
      </c>
      <c r="DK54" s="504">
        <v>20</v>
      </c>
      <c r="DL54" s="499"/>
      <c r="DM54" s="499"/>
      <c r="DX54" s="499">
        <v>20</v>
      </c>
      <c r="DY54" s="499"/>
      <c r="DZ54" s="499"/>
      <c r="EA54" s="499"/>
      <c r="EB54" s="499"/>
      <c r="EC54" s="499"/>
      <c r="ED54" s="499"/>
      <c r="EE54" s="499"/>
      <c r="EF54" s="499"/>
      <c r="EG54" s="499"/>
      <c r="EH54" s="499"/>
      <c r="EI54" s="499"/>
      <c r="EJ54" s="499"/>
      <c r="EK54" s="499"/>
      <c r="EL54" s="499"/>
      <c r="EM54" s="499"/>
      <c r="EN54" s="499"/>
    </row>
    <row r="55" spans="1:144" ht="14.25" thickTop="1" thickBot="1">
      <c r="A55" s="499">
        <v>20</v>
      </c>
      <c r="C55" s="498">
        <v>200043</v>
      </c>
      <c r="D55" s="1523">
        <f>128*9+48+0.122</f>
        <v>1200.1220000000001</v>
      </c>
      <c r="E55" s="1524"/>
      <c r="F55" s="1525">
        <v>9.1999999999999998E-3</v>
      </c>
      <c r="G55" s="498">
        <v>200043</v>
      </c>
      <c r="H55" s="500"/>
      <c r="I55" s="500"/>
      <c r="J55" s="498">
        <v>200043</v>
      </c>
      <c r="K55" s="498">
        <f>10000*20+48</f>
        <v>200048</v>
      </c>
      <c r="L55" s="775"/>
      <c r="M55" s="537">
        <f>128*14+116</f>
        <v>1908</v>
      </c>
      <c r="N55" s="784">
        <f>10000*20+128+33</f>
        <v>200161</v>
      </c>
      <c r="O55" s="498">
        <f>10000*20+48</f>
        <v>200048</v>
      </c>
      <c r="P55" s="537"/>
      <c r="Q55" s="537"/>
      <c r="R55" s="498">
        <f>10000*48+48</f>
        <v>480048</v>
      </c>
      <c r="S55" s="1510"/>
      <c r="T55" s="1510"/>
      <c r="U55" s="1510"/>
      <c r="V55" s="1510"/>
      <c r="W55" s="1510"/>
      <c r="X55" s="1510"/>
      <c r="Y55" s="1510"/>
      <c r="Z55" s="1510"/>
      <c r="AA55" s="1510"/>
      <c r="AB55" s="1510"/>
      <c r="AC55" s="1511"/>
      <c r="AD55" s="498">
        <f>10000*48+48</f>
        <v>480048</v>
      </c>
      <c r="AE55" s="537"/>
      <c r="AF55" s="766">
        <v>200020</v>
      </c>
      <c r="AG55" s="814">
        <f>128*9+21+0.5+0.256+0.015+0.0006</f>
        <v>1173.7716000000003</v>
      </c>
      <c r="AH55" s="814"/>
      <c r="AI55" s="814"/>
      <c r="AJ55" s="814"/>
      <c r="AK55" s="814"/>
      <c r="AL55" s="814"/>
      <c r="AM55" s="814"/>
      <c r="AN55" s="814"/>
      <c r="AO55" s="814"/>
      <c r="AP55" s="814"/>
      <c r="AQ55" s="814"/>
      <c r="AR55" s="816">
        <f>128*9+20+0.5+0.256+0.0528</f>
        <v>1172.8088</v>
      </c>
      <c r="AS55" s="817">
        <v>200020</v>
      </c>
      <c r="AT55" s="504">
        <v>35</v>
      </c>
      <c r="AU55" s="514"/>
      <c r="AV55" s="504">
        <v>200020</v>
      </c>
      <c r="BH55" s="504">
        <v>200020</v>
      </c>
      <c r="BI55" s="514"/>
      <c r="BJ55" s="514"/>
      <c r="BK55" s="517">
        <v>500020</v>
      </c>
      <c r="BL55" s="705">
        <v>500020</v>
      </c>
      <c r="BM55" s="2336">
        <f>200000+128*11+10</f>
        <v>201418</v>
      </c>
      <c r="BN55" s="1453">
        <v>500020</v>
      </c>
      <c r="BO55" s="517">
        <v>500020</v>
      </c>
      <c r="BP55" s="514"/>
      <c r="BQ55" s="514"/>
      <c r="BR55" s="505">
        <v>500020</v>
      </c>
      <c r="CP55" s="498">
        <f t="shared" si="19"/>
        <v>200019</v>
      </c>
      <c r="CQ55" s="3090"/>
      <c r="CR55" s="3091">
        <v>9.1999999999999998E-2</v>
      </c>
      <c r="CS55" s="517">
        <v>500019</v>
      </c>
      <c r="CT55" s="505">
        <v>500020</v>
      </c>
      <c r="CU55" s="2339">
        <f>10000*50</f>
        <v>500000</v>
      </c>
      <c r="CV55" s="996">
        <f>10000*50</f>
        <v>500000</v>
      </c>
      <c r="CW55" s="517">
        <v>500020</v>
      </c>
      <c r="CZ55" s="505">
        <v>200020</v>
      </c>
      <c r="DE55" s="515">
        <v>20</v>
      </c>
      <c r="DF55" s="1501"/>
      <c r="DG55" s="504">
        <v>20</v>
      </c>
      <c r="DH55" s="3073">
        <f>128*10+3</f>
        <v>1283</v>
      </c>
      <c r="DI55" s="515">
        <v>20</v>
      </c>
      <c r="DJ55" s="3087">
        <f t="shared" si="18"/>
        <v>300</v>
      </c>
      <c r="DK55" s="504">
        <v>20</v>
      </c>
      <c r="DL55" s="499"/>
      <c r="DM55" s="499"/>
      <c r="DX55" s="499">
        <v>20</v>
      </c>
      <c r="DY55" s="499"/>
      <c r="DZ55" s="499"/>
      <c r="EA55" s="499"/>
      <c r="EB55" s="499"/>
      <c r="EC55" s="499"/>
      <c r="ED55" s="499"/>
      <c r="EE55" s="499"/>
      <c r="EF55" s="499"/>
      <c r="EG55" s="499"/>
      <c r="EH55" s="499"/>
      <c r="EI55" s="499"/>
      <c r="EJ55" s="499"/>
      <c r="EK55" s="499"/>
      <c r="EL55" s="499"/>
      <c r="EM55" s="499"/>
      <c r="EN55" s="499"/>
    </row>
    <row r="56" spans="1:144" ht="13.5" thickTop="1">
      <c r="A56" s="499">
        <v>20</v>
      </c>
      <c r="C56" s="498">
        <v>200043</v>
      </c>
      <c r="D56" s="1524"/>
      <c r="E56" s="1524"/>
      <c r="F56" s="1525">
        <f>128*8+4</f>
        <v>1028</v>
      </c>
      <c r="G56" s="1526">
        <f>10000*20+128*5+41</f>
        <v>200681</v>
      </c>
      <c r="H56" s="500">
        <f>128*6+60</f>
        <v>828</v>
      </c>
      <c r="I56" s="500"/>
      <c r="J56" s="498">
        <v>200043</v>
      </c>
      <c r="K56" s="498">
        <f>10000*20+48</f>
        <v>200048</v>
      </c>
      <c r="L56" s="498">
        <f>10000*20+48</f>
        <v>200048</v>
      </c>
      <c r="M56" s="498">
        <f>10000*20+48</f>
        <v>200048</v>
      </c>
      <c r="N56" s="784">
        <f>10000*20+128+33</f>
        <v>200161</v>
      </c>
      <c r="O56" s="498">
        <f>10000*20+48</f>
        <v>200048</v>
      </c>
      <c r="P56" s="498">
        <f>10000*20+48</f>
        <v>200048</v>
      </c>
      <c r="Q56" s="537"/>
      <c r="R56" s="498">
        <f>10000*48+48</f>
        <v>480048</v>
      </c>
      <c r="S56" s="498">
        <f>10000*48+48</f>
        <v>480048</v>
      </c>
      <c r="T56" s="678">
        <f>10000*48+48+0.256+0.012</f>
        <v>480048.26799999998</v>
      </c>
      <c r="U56" s="498">
        <f>10000*48+48</f>
        <v>480048</v>
      </c>
      <c r="V56" s="678">
        <f>10000*48+48+0.256+0.012</f>
        <v>480048.26799999998</v>
      </c>
      <c r="W56" s="498">
        <f>10000*48+48</f>
        <v>480048</v>
      </c>
      <c r="X56" s="678">
        <f>10000*48+48+0.256+0.012</f>
        <v>480048.26799999998</v>
      </c>
      <c r="Y56" s="498">
        <f>10000*48+48</f>
        <v>480048</v>
      </c>
      <c r="Z56" s="678">
        <f>10000*48+48+0.256+0.012</f>
        <v>480048.26799999998</v>
      </c>
      <c r="AA56" s="498">
        <f>10000*48+48</f>
        <v>480048</v>
      </c>
      <c r="AB56" s="678">
        <f>10000*48+48+0.256+0.012</f>
        <v>480048.26799999998</v>
      </c>
      <c r="AC56" s="498">
        <f>10000*48+48</f>
        <v>480048</v>
      </c>
      <c r="AD56" s="498">
        <f>10000*48+48</f>
        <v>480048</v>
      </c>
      <c r="AE56" s="537"/>
      <c r="AF56" s="498">
        <v>200020</v>
      </c>
      <c r="AG56" s="498">
        <v>200020</v>
      </c>
      <c r="AH56" s="498">
        <v>200020</v>
      </c>
      <c r="AI56" s="498">
        <v>500050</v>
      </c>
      <c r="AJ56" s="498">
        <v>200020</v>
      </c>
      <c r="AK56" s="498">
        <v>500050</v>
      </c>
      <c r="AL56" s="498">
        <v>200020</v>
      </c>
      <c r="AM56" s="498">
        <v>500050</v>
      </c>
      <c r="AN56" s="498">
        <v>200020</v>
      </c>
      <c r="AO56" s="498">
        <v>500050</v>
      </c>
      <c r="AP56" s="498">
        <v>200020</v>
      </c>
      <c r="AQ56" s="498">
        <v>500050</v>
      </c>
      <c r="AR56" s="498">
        <v>200020</v>
      </c>
      <c r="AS56" s="817">
        <v>500050</v>
      </c>
      <c r="AT56" s="504">
        <v>35</v>
      </c>
      <c r="AU56" s="514"/>
      <c r="AV56" s="504">
        <v>200020</v>
      </c>
      <c r="AW56" s="504">
        <v>200020</v>
      </c>
      <c r="AX56" s="504">
        <f>200020+0.133</f>
        <v>200020.133</v>
      </c>
      <c r="AY56" s="504">
        <v>200020</v>
      </c>
      <c r="AZ56" s="504">
        <f>200020+0.133</f>
        <v>200020.133</v>
      </c>
      <c r="BA56" s="504">
        <v>200020</v>
      </c>
      <c r="BB56" s="504">
        <f>200020+0.133</f>
        <v>200020.133</v>
      </c>
      <c r="BC56" s="504">
        <v>200020</v>
      </c>
      <c r="BD56" s="504">
        <f>200020+0.133</f>
        <v>200020.133</v>
      </c>
      <c r="BE56" s="504">
        <v>200020</v>
      </c>
      <c r="BF56" s="504">
        <f>200020+0.133</f>
        <v>200020.133</v>
      </c>
      <c r="BG56" s="504">
        <v>200020</v>
      </c>
      <c r="BH56" s="504">
        <v>200020</v>
      </c>
      <c r="BI56" s="514"/>
      <c r="BJ56" s="514"/>
      <c r="BK56" s="517">
        <v>500020</v>
      </c>
      <c r="BL56" s="517">
        <v>500020</v>
      </c>
      <c r="BM56" s="3074">
        <f>500000+0.256+0.046</f>
        <v>500000.30199999997</v>
      </c>
      <c r="BN56" s="517">
        <v>500020</v>
      </c>
      <c r="BO56" s="517">
        <v>500020</v>
      </c>
      <c r="BP56" s="514"/>
      <c r="BQ56" s="514"/>
      <c r="BR56" s="505">
        <v>500020</v>
      </c>
      <c r="CP56" s="498">
        <f t="shared" si="19"/>
        <v>200019</v>
      </c>
      <c r="CQ56" s="3090"/>
      <c r="CR56" s="3091">
        <v>9.1999999999999998E-2</v>
      </c>
      <c r="CS56" s="517">
        <v>500019</v>
      </c>
      <c r="CT56" s="1209">
        <v>500020</v>
      </c>
      <c r="CU56" s="2339">
        <f>10000*20</f>
        <v>200000</v>
      </c>
      <c r="CV56" s="1209">
        <v>500020</v>
      </c>
      <c r="CW56" s="517">
        <v>500000</v>
      </c>
      <c r="CZ56" s="505">
        <v>200020</v>
      </c>
      <c r="DE56" s="515">
        <v>20</v>
      </c>
      <c r="DF56" s="1501"/>
      <c r="DG56" s="504">
        <v>20</v>
      </c>
      <c r="DH56" s="3072">
        <f>128*5+30</f>
        <v>670</v>
      </c>
      <c r="DI56" s="515">
        <v>20</v>
      </c>
      <c r="DJ56" s="3087"/>
      <c r="DK56" s="504">
        <v>20</v>
      </c>
      <c r="DL56" s="499"/>
      <c r="DM56" s="499"/>
      <c r="DX56" s="499">
        <v>20</v>
      </c>
      <c r="DY56" s="499"/>
      <c r="DZ56" s="499"/>
      <c r="EA56" s="499"/>
      <c r="EB56" s="499"/>
      <c r="EC56" s="499"/>
      <c r="ED56" s="499"/>
      <c r="EE56" s="499"/>
      <c r="EF56" s="499"/>
      <c r="EG56" s="499"/>
      <c r="EH56" s="499"/>
      <c r="EI56" s="499"/>
      <c r="EJ56" s="499"/>
      <c r="EK56" s="499"/>
      <c r="EL56" s="499"/>
      <c r="EM56" s="499"/>
      <c r="EN56" s="499"/>
    </row>
    <row r="57" spans="1:144" ht="15">
      <c r="A57" s="499">
        <v>20</v>
      </c>
      <c r="C57" s="498">
        <v>200043</v>
      </c>
      <c r="D57" s="1527">
        <f>128*9+28+0.159</f>
        <v>1180.1590000000001</v>
      </c>
      <c r="E57" s="1524">
        <f>128*6+60</f>
        <v>828</v>
      </c>
      <c r="F57" s="1525"/>
      <c r="G57" s="498">
        <v>200043</v>
      </c>
      <c r="H57" s="500"/>
      <c r="I57" s="500">
        <f>128*6+60</f>
        <v>828</v>
      </c>
      <c r="J57" s="537"/>
      <c r="K57" s="537"/>
      <c r="L57" s="537"/>
      <c r="M57" s="537"/>
      <c r="N57" s="537"/>
      <c r="O57" s="537"/>
      <c r="P57" s="537"/>
      <c r="Q57" s="537"/>
      <c r="R57" s="537"/>
      <c r="S57" s="537"/>
      <c r="T57" s="537"/>
      <c r="U57" s="537"/>
      <c r="V57" s="537"/>
      <c r="W57" s="537"/>
      <c r="X57" s="537"/>
      <c r="Y57" s="537"/>
      <c r="Z57" s="537"/>
      <c r="AA57" s="1434">
        <f>128*8+2</f>
        <v>1026</v>
      </c>
      <c r="AB57" s="537"/>
      <c r="AC57" s="537"/>
      <c r="AD57" s="537"/>
      <c r="AE57" s="537"/>
      <c r="AF57" s="498">
        <v>200020</v>
      </c>
      <c r="AG57" s="504">
        <v>20</v>
      </c>
      <c r="AH57" s="1528"/>
      <c r="AI57" s="1528"/>
      <c r="AJ57" s="504">
        <v>43</v>
      </c>
      <c r="AK57" s="1528"/>
      <c r="AL57" s="504">
        <v>43</v>
      </c>
      <c r="AM57" s="1528"/>
      <c r="AN57" s="1528"/>
      <c r="AO57" s="1528"/>
      <c r="AP57" s="2953">
        <f>128*5+41</f>
        <v>681</v>
      </c>
      <c r="AQ57" s="1528">
        <f>128*14+116</f>
        <v>1908</v>
      </c>
      <c r="AR57" s="1530">
        <v>50</v>
      </c>
      <c r="AS57" s="517">
        <v>200020</v>
      </c>
      <c r="AT57" s="514"/>
      <c r="AU57" s="514"/>
      <c r="AV57" s="3106">
        <f>128*17+7</f>
        <v>2183</v>
      </c>
      <c r="AW57" s="514"/>
      <c r="AX57" s="514"/>
      <c r="AY57" s="514"/>
      <c r="AZ57" s="514"/>
      <c r="BA57" s="514"/>
      <c r="BB57" s="514"/>
      <c r="BC57" s="514"/>
      <c r="BD57" s="514"/>
      <c r="BE57" s="514"/>
      <c r="BF57" s="514"/>
      <c r="BG57" s="514"/>
      <c r="BH57" s="514"/>
      <c r="BI57" s="514"/>
      <c r="BJ57" s="514"/>
      <c r="BK57" s="514">
        <f>128*3+32</f>
        <v>416</v>
      </c>
      <c r="BL57" s="514"/>
      <c r="BM57" s="514"/>
      <c r="BN57" s="514"/>
      <c r="BO57" s="514">
        <f>35</f>
        <v>35</v>
      </c>
      <c r="BP57" s="514"/>
      <c r="BQ57" s="514"/>
      <c r="BR57" s="505">
        <v>500020</v>
      </c>
      <c r="CP57" s="498">
        <f t="shared" si="19"/>
        <v>200019</v>
      </c>
      <c r="CQ57" s="3129">
        <f>128*17+9</f>
        <v>2185</v>
      </c>
      <c r="CR57" s="3090">
        <v>8.9999999999999993E-3</v>
      </c>
      <c r="CS57" s="517">
        <v>500019</v>
      </c>
      <c r="CT57" s="1209">
        <v>500020</v>
      </c>
      <c r="CU57" s="2074">
        <f>10000*50+128*11+10+0.5</f>
        <v>501418.5</v>
      </c>
      <c r="CV57" s="1209">
        <v>500020</v>
      </c>
      <c r="CW57" s="517">
        <v>500020</v>
      </c>
      <c r="CZ57" s="505">
        <v>200020</v>
      </c>
      <c r="DE57" s="515">
        <v>20</v>
      </c>
      <c r="DF57" s="1476"/>
      <c r="DG57" s="1479"/>
      <c r="DH57" s="1480"/>
      <c r="DI57" s="1479"/>
      <c r="DJ57" s="3085"/>
      <c r="DK57" s="504">
        <v>20</v>
      </c>
      <c r="DL57" s="499"/>
      <c r="DM57" s="499"/>
      <c r="DX57" s="499">
        <v>20</v>
      </c>
      <c r="DY57" s="499"/>
      <c r="DZ57" s="499"/>
      <c r="EA57" s="499"/>
      <c r="EB57" s="499"/>
      <c r="EC57" s="499"/>
      <c r="ED57" s="499"/>
      <c r="EE57" s="499"/>
      <c r="EF57" s="499"/>
      <c r="EG57" s="499"/>
      <c r="EH57" s="499"/>
      <c r="EI57" s="499"/>
      <c r="EJ57" s="499"/>
      <c r="EK57" s="499"/>
      <c r="EL57" s="499"/>
      <c r="EM57" s="499"/>
      <c r="EN57" s="499"/>
    </row>
    <row r="58" spans="1:144">
      <c r="A58" s="499">
        <v>20</v>
      </c>
      <c r="B58" s="498">
        <v>200043</v>
      </c>
      <c r="C58" s="498">
        <v>200043</v>
      </c>
      <c r="D58" s="498">
        <v>200043</v>
      </c>
      <c r="E58" s="1531">
        <f>10000*20+128*9+47</f>
        <v>201199</v>
      </c>
      <c r="F58" s="498">
        <v>200043</v>
      </c>
      <c r="G58" s="498">
        <v>200043</v>
      </c>
      <c r="H58" s="498">
        <v>200043</v>
      </c>
      <c r="I58" s="500"/>
      <c r="J58" s="498">
        <v>200043</v>
      </c>
      <c r="K58" s="498">
        <f t="shared" ref="K58:P58" si="20">10000*20+48</f>
        <v>200048</v>
      </c>
      <c r="L58" s="498">
        <f t="shared" si="20"/>
        <v>200048</v>
      </c>
      <c r="M58" s="498">
        <f t="shared" si="20"/>
        <v>200048</v>
      </c>
      <c r="N58" s="498">
        <f t="shared" si="20"/>
        <v>200048</v>
      </c>
      <c r="O58" s="498">
        <f t="shared" si="20"/>
        <v>200048</v>
      </c>
      <c r="P58" s="498">
        <f t="shared" si="20"/>
        <v>200048</v>
      </c>
      <c r="Q58" s="498">
        <v>200020</v>
      </c>
      <c r="R58" s="498">
        <v>200020</v>
      </c>
      <c r="S58" s="498">
        <v>200020</v>
      </c>
      <c r="T58" s="498">
        <v>200020</v>
      </c>
      <c r="U58" s="537"/>
      <c r="V58" s="498">
        <v>200020</v>
      </c>
      <c r="W58" s="498">
        <v>200020</v>
      </c>
      <c r="X58" s="498">
        <v>200020</v>
      </c>
      <c r="Y58" s="498">
        <v>200020</v>
      </c>
      <c r="Z58" s="498">
        <v>200020</v>
      </c>
      <c r="AA58" s="498">
        <v>200020</v>
      </c>
      <c r="AB58" s="498">
        <v>200020</v>
      </c>
      <c r="AC58" s="498">
        <v>200020</v>
      </c>
      <c r="AD58" s="498">
        <v>200020</v>
      </c>
      <c r="AE58" s="498">
        <v>200020</v>
      </c>
      <c r="AF58" s="498">
        <v>200020</v>
      </c>
      <c r="AG58" s="504">
        <v>50</v>
      </c>
      <c r="AH58" s="1528"/>
      <c r="AI58" s="1528"/>
      <c r="AJ58" s="2953">
        <f>128*5+41</f>
        <v>681</v>
      </c>
      <c r="AK58" s="1528"/>
      <c r="AL58" s="1529">
        <f>128*5+41</f>
        <v>681</v>
      </c>
      <c r="AM58" s="1528"/>
      <c r="AN58" s="1528">
        <f>128*8+3</f>
        <v>1027</v>
      </c>
      <c r="AO58" s="1528"/>
      <c r="AP58" s="504">
        <v>43</v>
      </c>
      <c r="AQ58" s="1532">
        <f>128*9+28+0.147</f>
        <v>1180.1469999999999</v>
      </c>
      <c r="AR58" s="1530">
        <v>20</v>
      </c>
      <c r="AS58" s="517">
        <v>200020</v>
      </c>
      <c r="AT58" s="514"/>
      <c r="AU58" s="514"/>
      <c r="AV58" s="514"/>
      <c r="AW58" s="514"/>
      <c r="AX58" s="514"/>
      <c r="AY58" s="514"/>
      <c r="AZ58" s="514"/>
      <c r="BA58" s="514"/>
      <c r="BB58" s="514"/>
      <c r="BC58" s="514"/>
      <c r="BD58" s="514"/>
      <c r="BE58" s="514"/>
      <c r="BF58" s="514"/>
      <c r="BG58" s="514"/>
      <c r="BH58" s="514"/>
      <c r="BI58" s="517">
        <v>200020</v>
      </c>
      <c r="BJ58" s="517">
        <v>200020</v>
      </c>
      <c r="BK58" s="517">
        <v>200020</v>
      </c>
      <c r="BL58" s="517">
        <v>200020</v>
      </c>
      <c r="BM58" s="517">
        <v>200020</v>
      </c>
      <c r="BN58" s="517">
        <v>200020</v>
      </c>
      <c r="BO58" s="517">
        <v>200020</v>
      </c>
      <c r="BP58" s="517">
        <v>200020</v>
      </c>
      <c r="BQ58" s="517">
        <v>200020</v>
      </c>
      <c r="BR58" s="505">
        <v>500020</v>
      </c>
      <c r="CP58" s="498">
        <f t="shared" si="19"/>
        <v>200019</v>
      </c>
      <c r="CQ58" s="504">
        <v>19</v>
      </c>
      <c r="CR58" s="504">
        <v>19</v>
      </c>
      <c r="CS58" s="517">
        <v>500020</v>
      </c>
      <c r="CT58" s="517">
        <v>200020</v>
      </c>
      <c r="CU58" s="2334">
        <f>500020+0.22</f>
        <v>500020.22</v>
      </c>
      <c r="CV58" s="517">
        <v>200020</v>
      </c>
      <c r="CW58" s="517">
        <v>500020</v>
      </c>
      <c r="CZ58" s="505">
        <v>200020</v>
      </c>
      <c r="DD58" s="499"/>
      <c r="DE58" s="515">
        <v>20</v>
      </c>
      <c r="DF58" s="1476"/>
      <c r="DG58" s="1480"/>
      <c r="DH58" s="1482">
        <f>48+0.124</f>
        <v>48.124000000000002</v>
      </c>
      <c r="DI58" s="1480"/>
      <c r="DJ58" s="3085"/>
      <c r="DK58" s="504">
        <v>20</v>
      </c>
      <c r="DL58" s="499"/>
      <c r="DM58" s="499"/>
      <c r="DX58" s="499">
        <v>20</v>
      </c>
      <c r="DY58" s="499"/>
      <c r="DZ58" s="499"/>
      <c r="EA58" s="499"/>
      <c r="EB58" s="499"/>
      <c r="EC58" s="499"/>
      <c r="ED58" s="499"/>
      <c r="EE58" s="499"/>
      <c r="EF58" s="499"/>
      <c r="EG58" s="499"/>
      <c r="EH58" s="499"/>
      <c r="EI58" s="499"/>
      <c r="EJ58" s="499"/>
      <c r="EK58" s="499"/>
      <c r="EL58" s="499"/>
      <c r="EM58" s="499"/>
      <c r="EN58" s="499"/>
    </row>
    <row r="59" spans="1:144">
      <c r="A59" s="499">
        <v>20</v>
      </c>
      <c r="B59" s="498">
        <v>200043</v>
      </c>
      <c r="C59" s="537"/>
      <c r="D59" s="1524">
        <f>128*9+45+0.5+0.256+0.023+0.0008</f>
        <v>1197.7798</v>
      </c>
      <c r="E59" s="1524">
        <f>128*9+45+0.06</f>
        <v>1197.06</v>
      </c>
      <c r="F59" s="1524">
        <f>128*9+45</f>
        <v>1197</v>
      </c>
      <c r="G59" s="537"/>
      <c r="H59" s="705">
        <f>10000*20+128*5+41</f>
        <v>200681</v>
      </c>
      <c r="I59" s="500">
        <f>128*6+60</f>
        <v>828</v>
      </c>
      <c r="J59" s="498">
        <v>200043</v>
      </c>
      <c r="K59" s="499"/>
      <c r="L59" s="499"/>
      <c r="O59" s="498">
        <v>200043</v>
      </c>
      <c r="P59" s="498">
        <v>200043</v>
      </c>
      <c r="Q59" s="498">
        <f>10000*20+43+0.134</f>
        <v>200043.13399999999</v>
      </c>
      <c r="R59" s="498">
        <v>200043</v>
      </c>
      <c r="S59" s="498">
        <v>200043</v>
      </c>
      <c r="T59" s="498">
        <v>200020</v>
      </c>
      <c r="U59" s="537"/>
      <c r="V59" s="498">
        <v>200020</v>
      </c>
      <c r="W59" s="1377">
        <f>128*9+28+0.147</f>
        <v>1180.1469999999999</v>
      </c>
      <c r="X59" s="757"/>
      <c r="Y59" s="757"/>
      <c r="Z59" s="1533">
        <f>0.384+0.0045</f>
        <v>0.38850000000000001</v>
      </c>
      <c r="AA59" s="757"/>
      <c r="AB59" s="757"/>
      <c r="AC59" s="1470">
        <f>128+20</f>
        <v>148</v>
      </c>
      <c r="AD59" s="1388">
        <f>128+20</f>
        <v>148</v>
      </c>
      <c r="AE59" s="1388">
        <f>128+20</f>
        <v>148</v>
      </c>
      <c r="AF59" s="498">
        <v>200020</v>
      </c>
      <c r="AG59" s="504">
        <v>20</v>
      </c>
      <c r="AH59" s="1528"/>
      <c r="AI59" s="1528">
        <f>128*9+24+0.5+0.256+0.016</f>
        <v>1176.7720000000002</v>
      </c>
      <c r="AJ59" s="504">
        <v>43</v>
      </c>
      <c r="AK59" s="1528"/>
      <c r="AL59" s="504">
        <v>43</v>
      </c>
      <c r="AM59" s="1528"/>
      <c r="AN59" s="1528"/>
      <c r="AO59" s="504">
        <v>43</v>
      </c>
      <c r="AP59" s="504">
        <v>43</v>
      </c>
      <c r="AQ59" s="504">
        <v>43</v>
      </c>
      <c r="AR59" s="1530">
        <v>20</v>
      </c>
      <c r="AS59" s="517">
        <v>200020</v>
      </c>
      <c r="AT59" s="517">
        <v>200020</v>
      </c>
      <c r="AU59" s="517">
        <v>200020</v>
      </c>
      <c r="AV59" s="517">
        <v>200020</v>
      </c>
      <c r="AW59" s="517">
        <v>200020</v>
      </c>
      <c r="AX59" s="517">
        <v>200020</v>
      </c>
      <c r="AY59" s="517">
        <v>200020</v>
      </c>
      <c r="AZ59" s="517">
        <v>200020</v>
      </c>
      <c r="BA59" s="517">
        <v>200020</v>
      </c>
      <c r="BB59" s="517">
        <v>200020</v>
      </c>
      <c r="BC59" s="517">
        <v>200020</v>
      </c>
      <c r="BD59" s="517">
        <v>200020</v>
      </c>
      <c r="BE59" s="517">
        <v>200020</v>
      </c>
      <c r="BF59" s="517">
        <v>200020</v>
      </c>
      <c r="BG59" s="517">
        <v>200020</v>
      </c>
      <c r="BH59" s="517">
        <v>200020</v>
      </c>
      <c r="BI59" s="517">
        <v>200020</v>
      </c>
      <c r="BK59" s="499"/>
      <c r="BL59" s="499"/>
      <c r="BM59" s="499"/>
      <c r="BN59" s="499"/>
      <c r="BO59" s="499"/>
      <c r="BP59" s="499"/>
      <c r="BQ59" s="499"/>
      <c r="BR59" s="499"/>
      <c r="CP59" s="498">
        <v>200020</v>
      </c>
      <c r="CV59" s="498">
        <v>320000</v>
      </c>
      <c r="CZ59" s="505">
        <v>200020</v>
      </c>
      <c r="DD59" s="499"/>
      <c r="DE59" s="1485">
        <f>20+0.124</f>
        <v>20.123999999999999</v>
      </c>
      <c r="DF59" s="1476"/>
      <c r="DG59" s="1479"/>
      <c r="DH59" s="1480"/>
      <c r="DI59" s="1479"/>
      <c r="DJ59" s="3085"/>
      <c r="DK59" s="754">
        <f>20+0.124</f>
        <v>20.123999999999999</v>
      </c>
      <c r="DL59" s="499"/>
      <c r="DM59" s="499"/>
      <c r="DX59" s="499">
        <v>20</v>
      </c>
      <c r="DY59" s="499"/>
      <c r="DZ59" s="499"/>
      <c r="EA59" s="499"/>
      <c r="EB59" s="499"/>
      <c r="EC59" s="499"/>
      <c r="ED59" s="499"/>
      <c r="EE59" s="499"/>
      <c r="EF59" s="499"/>
      <c r="EG59" s="499"/>
      <c r="EH59" s="499"/>
      <c r="EI59" s="499"/>
      <c r="EJ59" s="499"/>
      <c r="EK59" s="499"/>
      <c r="EL59" s="499"/>
      <c r="EM59" s="499"/>
      <c r="EN59" s="499"/>
    </row>
    <row r="60" spans="1:144">
      <c r="A60" s="499">
        <v>20</v>
      </c>
      <c r="B60" s="498">
        <v>200043</v>
      </c>
      <c r="C60" s="537"/>
      <c r="D60" s="1534">
        <f>128*9+46</f>
        <v>1198</v>
      </c>
      <c r="E60" s="1534">
        <f t="shared" ref="D60:F61" si="21">128*9+46</f>
        <v>1198</v>
      </c>
      <c r="F60" s="1534">
        <f t="shared" si="21"/>
        <v>1198</v>
      </c>
      <c r="G60" s="537"/>
      <c r="H60" s="498">
        <v>200043</v>
      </c>
      <c r="I60" s="500"/>
      <c r="J60" s="498">
        <v>200043</v>
      </c>
      <c r="O60" s="498">
        <v>200043</v>
      </c>
      <c r="P60" s="758">
        <f t="shared" ref="P60:P65" si="22">128*9+42+0.119</f>
        <v>1194.1189999999999</v>
      </c>
      <c r="Q60" s="750"/>
      <c r="R60" s="1491">
        <f>128*9+37+0.149</f>
        <v>1189.1489999999999</v>
      </c>
      <c r="S60" s="498">
        <v>200043</v>
      </c>
      <c r="T60" s="498">
        <v>200020</v>
      </c>
      <c r="U60" s="537"/>
      <c r="V60" s="498">
        <v>200020</v>
      </c>
      <c r="W60" s="498">
        <v>20</v>
      </c>
      <c r="X60" s="1377">
        <f>128*5+38</f>
        <v>678</v>
      </c>
      <c r="Y60" s="498">
        <v>20</v>
      </c>
      <c r="Z60" s="498">
        <v>20</v>
      </c>
      <c r="AA60" s="498">
        <v>20</v>
      </c>
      <c r="AB60" s="1377">
        <f>128*5+38</f>
        <v>678</v>
      </c>
      <c r="AC60" s="498">
        <v>20</v>
      </c>
      <c r="AD60" s="498">
        <v>20</v>
      </c>
      <c r="AE60" s="757">
        <f>128*14+116</f>
        <v>1908</v>
      </c>
      <c r="AF60" s="498">
        <v>200020</v>
      </c>
      <c r="AG60" s="504">
        <v>50</v>
      </c>
      <c r="AH60" s="504">
        <v>43</v>
      </c>
      <c r="AI60" s="504">
        <v>43</v>
      </c>
      <c r="AJ60" s="504">
        <v>43</v>
      </c>
      <c r="AK60" s="1528"/>
      <c r="AL60" s="504">
        <v>43</v>
      </c>
      <c r="AM60" s="504">
        <v>43</v>
      </c>
      <c r="AN60" s="504">
        <v>43</v>
      </c>
      <c r="AO60" s="504">
        <v>43</v>
      </c>
      <c r="AP60" s="1528">
        <f>0.256+0.001</f>
        <v>0.25700000000000001</v>
      </c>
      <c r="AQ60" s="1528"/>
      <c r="AR60" s="1530">
        <v>50</v>
      </c>
      <c r="AS60" s="517">
        <v>200020</v>
      </c>
      <c r="BH60" s="499"/>
      <c r="BK60" s="499"/>
      <c r="BL60" s="499"/>
      <c r="BM60" s="499"/>
      <c r="BN60" s="499"/>
      <c r="BO60" s="499"/>
      <c r="BP60" s="499"/>
      <c r="BQ60" s="499"/>
      <c r="BR60" s="499"/>
      <c r="CP60" s="498">
        <v>200020</v>
      </c>
      <c r="CZ60" s="505">
        <v>200020</v>
      </c>
      <c r="DD60" s="499"/>
      <c r="DE60" s="515">
        <v>20</v>
      </c>
      <c r="DF60" s="1488"/>
      <c r="DG60" s="1480"/>
      <c r="DH60" s="1480">
        <f>48+0.123</f>
        <v>48.122999999999998</v>
      </c>
      <c r="DI60" s="1480"/>
      <c r="DJ60" s="3086"/>
      <c r="DK60" s="504">
        <v>20</v>
      </c>
      <c r="DL60" s="499"/>
      <c r="DM60" s="499"/>
      <c r="DX60" s="499">
        <v>20</v>
      </c>
      <c r="DY60" s="499"/>
      <c r="DZ60" s="499"/>
      <c r="EA60" s="499"/>
      <c r="EB60" s="499"/>
      <c r="EC60" s="499"/>
      <c r="ED60" s="499"/>
      <c r="EE60" s="499"/>
      <c r="EF60" s="499"/>
      <c r="EG60" s="499"/>
      <c r="EH60" s="499"/>
      <c r="EI60" s="499"/>
      <c r="EJ60" s="499"/>
      <c r="EK60" s="499"/>
      <c r="EL60" s="499"/>
      <c r="EM60" s="499"/>
      <c r="EN60" s="499"/>
    </row>
    <row r="61" spans="1:144">
      <c r="A61" s="499">
        <v>20</v>
      </c>
      <c r="B61" s="498">
        <v>200043</v>
      </c>
      <c r="C61" s="537"/>
      <c r="D61" s="537">
        <f t="shared" si="21"/>
        <v>1198</v>
      </c>
      <c r="E61" s="537">
        <f t="shared" si="21"/>
        <v>1198</v>
      </c>
      <c r="F61" s="537">
        <f t="shared" si="21"/>
        <v>1198</v>
      </c>
      <c r="G61" s="537"/>
      <c r="H61" s="498">
        <f>10000*20+43+0.123</f>
        <v>200043.12299999999</v>
      </c>
      <c r="I61" s="500"/>
      <c r="J61" s="498">
        <v>200043</v>
      </c>
      <c r="O61" s="498">
        <v>200043</v>
      </c>
      <c r="P61" s="758">
        <f t="shared" si="22"/>
        <v>1194.1189999999999</v>
      </c>
      <c r="Q61" s="750"/>
      <c r="R61" s="750"/>
      <c r="S61" s="528">
        <v>200043</v>
      </c>
      <c r="T61" s="498">
        <v>200020</v>
      </c>
      <c r="U61" s="537"/>
      <c r="V61" s="498">
        <v>200020</v>
      </c>
      <c r="W61" s="498">
        <v>20</v>
      </c>
      <c r="X61" s="1377"/>
      <c r="Y61" s="1377">
        <f>128*9+41</f>
        <v>1193</v>
      </c>
      <c r="Z61" s="504"/>
      <c r="AA61" s="504"/>
      <c r="AB61" s="504"/>
      <c r="AC61" s="510"/>
      <c r="AD61" s="528">
        <f>24+0.117</f>
        <v>24.117000000000001</v>
      </c>
      <c r="AE61" s="757"/>
      <c r="AF61" s="498">
        <v>200020</v>
      </c>
      <c r="AG61" s="504">
        <v>20</v>
      </c>
      <c r="AH61" s="1528">
        <f>128*9+21+0.5+0.256+0.0272</f>
        <v>1173.7832000000001</v>
      </c>
      <c r="AI61" s="1528"/>
      <c r="AJ61" s="1528"/>
      <c r="AK61" s="1528"/>
      <c r="AL61" s="1528"/>
      <c r="AM61" s="1528"/>
      <c r="AN61" s="504">
        <v>43</v>
      </c>
      <c r="AO61" s="1528"/>
      <c r="AP61" s="1528"/>
      <c r="AQ61" s="1528"/>
      <c r="AR61" s="1530">
        <v>20</v>
      </c>
      <c r="AS61" s="517">
        <v>200020</v>
      </c>
      <c r="BE61" s="498">
        <v>190019</v>
      </c>
      <c r="BF61" s="498">
        <v>190019</v>
      </c>
      <c r="BG61" s="498">
        <v>190019</v>
      </c>
      <c r="BQ61" s="499"/>
      <c r="BR61" s="499"/>
      <c r="CP61" s="498">
        <v>200020</v>
      </c>
      <c r="CQ61" s="525">
        <v>200020</v>
      </c>
      <c r="CR61" s="525">
        <v>200020</v>
      </c>
      <c r="CS61" s="2337">
        <v>200020</v>
      </c>
      <c r="CT61" s="505">
        <v>200020</v>
      </c>
      <c r="CU61" s="505">
        <v>200020</v>
      </c>
      <c r="CV61" s="505">
        <v>200020</v>
      </c>
      <c r="CW61" s="505">
        <v>200020</v>
      </c>
      <c r="CX61" s="505">
        <v>200020</v>
      </c>
      <c r="CY61" s="505">
        <v>200020</v>
      </c>
      <c r="CZ61" s="505">
        <v>200020</v>
      </c>
      <c r="DD61" s="499"/>
      <c r="DE61" s="515">
        <v>20</v>
      </c>
      <c r="DF61" s="1488"/>
      <c r="DG61" s="1479"/>
      <c r="DH61" s="1480"/>
      <c r="DI61" s="1479"/>
      <c r="DJ61" s="3086"/>
      <c r="DK61" s="504">
        <v>20</v>
      </c>
      <c r="DL61" s="499"/>
      <c r="DM61" s="499"/>
      <c r="DX61" s="499">
        <v>20</v>
      </c>
      <c r="DY61" s="499"/>
      <c r="DZ61" s="499"/>
      <c r="EA61" s="499"/>
      <c r="EB61" s="499"/>
      <c r="EC61" s="499"/>
      <c r="ED61" s="499"/>
      <c r="EE61" s="499"/>
      <c r="EF61" s="499"/>
      <c r="EG61" s="499"/>
      <c r="EH61" s="499"/>
      <c r="EI61" s="499"/>
      <c r="EJ61" s="499"/>
      <c r="EK61" s="499"/>
      <c r="EL61" s="499"/>
      <c r="EM61" s="499"/>
      <c r="EN61" s="499"/>
    </row>
    <row r="62" spans="1:144">
      <c r="A62" s="499">
        <v>20</v>
      </c>
      <c r="B62" s="498">
        <v>200043</v>
      </c>
      <c r="C62" s="1506">
        <f>128*8+2</f>
        <v>1026</v>
      </c>
      <c r="D62" s="537"/>
      <c r="E62" s="537"/>
      <c r="F62" s="537"/>
      <c r="G62" s="537"/>
      <c r="H62" s="1535">
        <f>10000*20+43+0.175</f>
        <v>200043.17499999999</v>
      </c>
      <c r="I62" s="500"/>
      <c r="J62" s="498">
        <v>200043</v>
      </c>
      <c r="O62" s="498">
        <v>200043</v>
      </c>
      <c r="P62" s="758">
        <f t="shared" si="22"/>
        <v>1194.1189999999999</v>
      </c>
      <c r="Q62" s="750"/>
      <c r="R62" s="750"/>
      <c r="S62" s="756">
        <f>10000*20+128*5+41</f>
        <v>200681</v>
      </c>
      <c r="T62" s="698">
        <f>10000*20+128*9+54+0.114</f>
        <v>201206.114</v>
      </c>
      <c r="U62" s="537"/>
      <c r="V62" s="498">
        <v>200020</v>
      </c>
      <c r="W62" s="498">
        <v>20</v>
      </c>
      <c r="X62" s="1377"/>
      <c r="Y62" s="1377">
        <f>128*9+41</f>
        <v>1193</v>
      </c>
      <c r="Z62" s="504"/>
      <c r="AA62" s="504"/>
      <c r="AB62" s="504"/>
      <c r="AC62" s="510"/>
      <c r="AD62" s="528">
        <f>24+0.117</f>
        <v>24.117000000000001</v>
      </c>
      <c r="AE62" s="757">
        <f>128*10+15</f>
        <v>1295</v>
      </c>
      <c r="AF62" s="498">
        <v>200020</v>
      </c>
      <c r="AG62" s="504">
        <v>50</v>
      </c>
      <c r="AH62" s="1528"/>
      <c r="AI62" s="1528"/>
      <c r="AJ62" s="1528"/>
      <c r="AK62" s="1528">
        <f>0.5+0.256+0.035</f>
        <v>0.79100000000000004</v>
      </c>
      <c r="AL62" s="1528"/>
      <c r="AM62" s="1528"/>
      <c r="AN62" s="1529">
        <f>128*5+41</f>
        <v>681</v>
      </c>
      <c r="AO62" s="1528"/>
      <c r="AP62" s="1528"/>
      <c r="AQ62" s="1528"/>
      <c r="AR62" s="1530">
        <v>50</v>
      </c>
      <c r="AS62" s="517">
        <v>200020</v>
      </c>
      <c r="BE62" s="498">
        <v>190019</v>
      </c>
      <c r="BF62" s="707"/>
      <c r="BG62" s="498">
        <v>190019</v>
      </c>
      <c r="DD62" s="499"/>
      <c r="DE62" s="515">
        <v>20</v>
      </c>
      <c r="DF62" s="1488"/>
      <c r="DG62" s="1480"/>
      <c r="DH62" s="1494">
        <f>48+0.175</f>
        <v>48.174999999999997</v>
      </c>
      <c r="DI62" s="1480"/>
      <c r="DJ62" s="3086"/>
      <c r="DK62" s="504">
        <v>20</v>
      </c>
      <c r="DL62" s="499"/>
      <c r="DM62" s="499"/>
      <c r="DX62" s="499">
        <v>20</v>
      </c>
      <c r="DY62" s="499"/>
      <c r="DZ62" s="499"/>
      <c r="EA62" s="499"/>
      <c r="EB62" s="499"/>
      <c r="EC62" s="499"/>
      <c r="ED62" s="499"/>
      <c r="EE62" s="499"/>
      <c r="EF62" s="499"/>
      <c r="EG62" s="499"/>
      <c r="EH62" s="499"/>
      <c r="EI62" s="499"/>
      <c r="EJ62" s="499"/>
      <c r="EK62" s="499"/>
      <c r="EL62" s="499"/>
      <c r="EM62" s="499"/>
      <c r="EN62" s="499"/>
    </row>
    <row r="63" spans="1:144">
      <c r="A63" s="499">
        <v>20</v>
      </c>
      <c r="B63" s="498">
        <v>200043</v>
      </c>
      <c r="C63" s="1487">
        <f>0.256+0.004</f>
        <v>0.26</v>
      </c>
      <c r="D63" s="1536">
        <f>10000*20+45</f>
        <v>200045</v>
      </c>
      <c r="E63" s="1536">
        <f>10000*20+45+0.093</f>
        <v>200045.09299999999</v>
      </c>
      <c r="F63" s="1536">
        <f>10000*20+45</f>
        <v>200045</v>
      </c>
      <c r="G63" s="537"/>
      <c r="H63" s="498">
        <v>200043</v>
      </c>
      <c r="I63" s="500"/>
      <c r="J63" s="498">
        <v>200043</v>
      </c>
      <c r="O63" s="498">
        <v>200043</v>
      </c>
      <c r="P63" s="758">
        <f t="shared" si="22"/>
        <v>1194.1189999999999</v>
      </c>
      <c r="Q63" s="750"/>
      <c r="R63" s="1491">
        <f>128*9+43</f>
        <v>1195</v>
      </c>
      <c r="S63" s="498">
        <v>200043</v>
      </c>
      <c r="T63" s="498">
        <v>200020</v>
      </c>
      <c r="U63" s="537"/>
      <c r="V63" s="537"/>
      <c r="W63" s="498">
        <f>128*5+38</f>
        <v>678</v>
      </c>
      <c r="X63" s="1377"/>
      <c r="Y63" s="1377">
        <f>128*9+41</f>
        <v>1193</v>
      </c>
      <c r="Z63" s="504"/>
      <c r="AA63" s="504"/>
      <c r="AB63" s="504"/>
      <c r="AC63" s="510"/>
      <c r="AD63" s="528">
        <f>24+0.117</f>
        <v>24.117000000000001</v>
      </c>
      <c r="AE63" s="757"/>
      <c r="AF63" s="498">
        <v>200020</v>
      </c>
      <c r="AG63" s="504">
        <v>49</v>
      </c>
      <c r="AH63" s="504">
        <v>49</v>
      </c>
      <c r="AI63" s="504">
        <f>33</f>
        <v>33</v>
      </c>
      <c r="AJ63" s="1528"/>
      <c r="AK63" s="1528"/>
      <c r="AL63" s="1528"/>
      <c r="AM63" s="1528"/>
      <c r="AN63" s="504">
        <v>43</v>
      </c>
      <c r="AO63" s="1528"/>
      <c r="AP63" s="1528"/>
      <c r="AQ63" s="1528"/>
      <c r="AR63" s="1530">
        <v>20</v>
      </c>
      <c r="AS63" s="517">
        <v>200020</v>
      </c>
      <c r="BE63" s="498">
        <v>190019</v>
      </c>
      <c r="BF63" s="707"/>
      <c r="BG63" s="498">
        <v>190019</v>
      </c>
      <c r="BQ63" s="498">
        <v>190019</v>
      </c>
      <c r="BR63" s="498">
        <v>190019</v>
      </c>
      <c r="BS63" s="498">
        <v>190019</v>
      </c>
      <c r="BT63" s="498">
        <v>190019</v>
      </c>
      <c r="BU63" s="498">
        <v>190019</v>
      </c>
      <c r="BV63" s="498">
        <v>190019</v>
      </c>
      <c r="CA63" s="525">
        <v>240024</v>
      </c>
      <c r="CB63" s="525">
        <v>240024</v>
      </c>
      <c r="CC63" s="525">
        <v>240024</v>
      </c>
      <c r="CD63" s="525">
        <v>240024</v>
      </c>
      <c r="CE63" s="525">
        <v>240024</v>
      </c>
      <c r="CF63" s="525">
        <v>240024</v>
      </c>
      <c r="CG63" s="525">
        <v>240024</v>
      </c>
      <c r="CH63" s="525">
        <v>240024</v>
      </c>
      <c r="CI63" s="525">
        <v>240024</v>
      </c>
      <c r="CJ63" s="517">
        <v>240024</v>
      </c>
      <c r="CM63" s="499"/>
      <c r="DD63" s="499"/>
      <c r="DE63" s="1485">
        <f>20+0.124</f>
        <v>20.123999999999999</v>
      </c>
      <c r="DF63" s="1488"/>
      <c r="DG63" s="1479"/>
      <c r="DH63" s="1480"/>
      <c r="DI63" s="1479"/>
      <c r="DJ63" s="3086"/>
      <c r="DK63" s="754">
        <f>20+0.124</f>
        <v>20.123999999999999</v>
      </c>
      <c r="DL63" s="499"/>
      <c r="DM63" s="499"/>
      <c r="DX63" s="499">
        <v>20</v>
      </c>
      <c r="DY63" s="499"/>
      <c r="DZ63" s="499"/>
      <c r="EA63" s="499"/>
      <c r="EB63" s="499"/>
      <c r="EC63" s="499"/>
      <c r="ED63" s="499"/>
      <c r="EE63" s="499"/>
      <c r="EF63" s="499"/>
      <c r="EG63" s="499"/>
      <c r="EH63" s="499"/>
      <c r="EI63" s="499"/>
      <c r="EJ63" s="499"/>
      <c r="EK63" s="499"/>
      <c r="EL63" s="499"/>
      <c r="EM63" s="499"/>
      <c r="EN63" s="499"/>
    </row>
    <row r="64" spans="1:144" ht="14.25" customHeight="1">
      <c r="A64" s="499">
        <v>20</v>
      </c>
      <c r="B64" s="498">
        <v>200043</v>
      </c>
      <c r="C64" s="498">
        <v>200020</v>
      </c>
      <c r="D64" s="498">
        <v>200020</v>
      </c>
      <c r="E64" s="498">
        <v>200020</v>
      </c>
      <c r="F64" s="498">
        <v>200020</v>
      </c>
      <c r="G64" s="498">
        <v>200020</v>
      </c>
      <c r="H64" s="498">
        <v>200043</v>
      </c>
      <c r="I64" s="500"/>
      <c r="J64" s="498">
        <v>200043</v>
      </c>
      <c r="O64" s="498">
        <v>200043</v>
      </c>
      <c r="P64" s="758">
        <f t="shared" si="22"/>
        <v>1194.1189999999999</v>
      </c>
      <c r="Q64" s="750"/>
      <c r="R64" s="750"/>
      <c r="S64" s="528">
        <f>10000*20+43+0.038</f>
        <v>200043.038</v>
      </c>
      <c r="T64" s="498">
        <v>200020</v>
      </c>
      <c r="U64" s="498">
        <v>200020</v>
      </c>
      <c r="V64" s="498">
        <v>200020</v>
      </c>
      <c r="W64" s="498">
        <v>20</v>
      </c>
      <c r="X64" s="1377"/>
      <c r="Y64" s="1377">
        <f>128*9+41</f>
        <v>1193</v>
      </c>
      <c r="Z64" s="504"/>
      <c r="AA64" s="504"/>
      <c r="AB64" s="504"/>
      <c r="AC64" s="510"/>
      <c r="AD64" s="528">
        <f>24+0.117</f>
        <v>24.117000000000001</v>
      </c>
      <c r="AE64" s="1537"/>
      <c r="AF64" s="498">
        <v>200020</v>
      </c>
      <c r="AG64" s="1400">
        <f>49+0.068</f>
        <v>49.067999999999998</v>
      </c>
      <c r="AH64" s="767">
        <f>128*11+1</f>
        <v>1409</v>
      </c>
      <c r="AI64" s="1703">
        <f>128*5+30+0.151</f>
        <v>670.15099999999995</v>
      </c>
      <c r="AJ64" s="1528"/>
      <c r="AK64" s="1528"/>
      <c r="AL64" s="1528"/>
      <c r="AM64" s="1528"/>
      <c r="AN64" s="504">
        <v>43</v>
      </c>
      <c r="AO64" s="1528"/>
      <c r="AP64" s="1528"/>
      <c r="AQ64" s="1528">
        <f>128*8+2</f>
        <v>1026</v>
      </c>
      <c r="AR64" s="1530">
        <v>50</v>
      </c>
      <c r="AS64" s="517">
        <v>200020</v>
      </c>
      <c r="AT64" s="499"/>
      <c r="AU64" s="499"/>
      <c r="AV64" s="504">
        <v>19</v>
      </c>
      <c r="AW64" s="498">
        <v>190019</v>
      </c>
      <c r="AX64" s="498">
        <v>190019</v>
      </c>
      <c r="AY64" s="498">
        <v>190019</v>
      </c>
      <c r="AZ64" s="498">
        <v>190019</v>
      </c>
      <c r="BE64" s="498">
        <v>190019</v>
      </c>
      <c r="BF64" s="1538">
        <f>128*2+42</f>
        <v>298</v>
      </c>
      <c r="BG64" s="498">
        <v>190019</v>
      </c>
      <c r="BK64" s="499"/>
      <c r="BL64" s="499"/>
      <c r="BM64" s="499"/>
      <c r="BN64" s="499"/>
      <c r="BO64" s="499"/>
      <c r="BP64" s="499"/>
      <c r="BQ64" s="498">
        <v>190019</v>
      </c>
      <c r="BR64" s="784">
        <f>10000*19+128+19</f>
        <v>190147</v>
      </c>
      <c r="BS64" s="1822">
        <f>128*14+116</f>
        <v>1908</v>
      </c>
      <c r="BT64" s="1822">
        <f>0.256+0.028</f>
        <v>0.28400000000000003</v>
      </c>
      <c r="BU64" s="1822">
        <f>128*10+51</f>
        <v>1331</v>
      </c>
      <c r="BV64" s="498">
        <v>190019</v>
      </c>
      <c r="BW64" s="498">
        <v>190019</v>
      </c>
      <c r="BX64" s="498">
        <v>190019</v>
      </c>
      <c r="BY64" s="498">
        <v>190019</v>
      </c>
      <c r="BZ64" s="498">
        <v>190019</v>
      </c>
      <c r="CA64" s="498">
        <v>190019</v>
      </c>
      <c r="CB64" s="498">
        <v>190019</v>
      </c>
      <c r="CC64" s="498">
        <v>190019</v>
      </c>
      <c r="CF64" s="499"/>
      <c r="CG64" s="499"/>
      <c r="CI64" s="499"/>
      <c r="CQ64" s="499"/>
      <c r="DD64" s="499"/>
      <c r="DE64" s="515">
        <v>20</v>
      </c>
      <c r="DF64" s="1488" t="s">
        <v>739</v>
      </c>
      <c r="DG64" s="1480"/>
      <c r="DH64" s="1480"/>
      <c r="DI64" s="1480"/>
      <c r="DJ64" s="3086" t="s">
        <v>739</v>
      </c>
      <c r="DK64" s="504">
        <v>20</v>
      </c>
      <c r="DL64" s="499"/>
      <c r="DM64" s="499"/>
      <c r="DX64" s="499">
        <v>20</v>
      </c>
      <c r="DY64" s="499"/>
      <c r="DZ64" s="499"/>
      <c r="EA64" s="499"/>
      <c r="EB64" s="499"/>
      <c r="EC64" s="499"/>
      <c r="ED64" s="499"/>
      <c r="EE64" s="499"/>
      <c r="EF64" s="499"/>
      <c r="EG64" s="499"/>
      <c r="EH64" s="499"/>
      <c r="EI64" s="499"/>
      <c r="EJ64" s="499"/>
      <c r="EK64" s="499"/>
      <c r="EL64" s="499"/>
      <c r="EM64" s="499"/>
      <c r="EN64" s="499"/>
    </row>
    <row r="65" spans="1:144">
      <c r="A65" s="499">
        <v>20</v>
      </c>
      <c r="B65" s="498">
        <v>200020</v>
      </c>
      <c r="C65" s="537"/>
      <c r="D65" s="537">
        <f>128*10+15</f>
        <v>1295</v>
      </c>
      <c r="E65" s="537"/>
      <c r="F65" s="537"/>
      <c r="G65" s="537"/>
      <c r="H65" s="2949">
        <f>10000*20+128*5+41</f>
        <v>200681</v>
      </c>
      <c r="I65" s="500">
        <f>128*6+60</f>
        <v>828</v>
      </c>
      <c r="J65" s="498">
        <v>200043</v>
      </c>
      <c r="O65" s="498">
        <v>200043</v>
      </c>
      <c r="P65" s="758">
        <f t="shared" si="22"/>
        <v>1194.1189999999999</v>
      </c>
      <c r="Q65" s="750"/>
      <c r="R65" s="750">
        <f>128*9+43+0.5+0.0091</f>
        <v>1195.5091</v>
      </c>
      <c r="S65" s="498">
        <v>200043</v>
      </c>
      <c r="V65" s="499"/>
      <c r="W65" s="498">
        <v>20</v>
      </c>
      <c r="X65" s="1377"/>
      <c r="Y65" s="1377">
        <f>128*9+41</f>
        <v>1193</v>
      </c>
      <c r="Z65" s="504"/>
      <c r="AA65" s="504"/>
      <c r="AB65" s="504"/>
      <c r="AC65" s="510"/>
      <c r="AD65" s="528">
        <f>24+0.117</f>
        <v>24.117000000000001</v>
      </c>
      <c r="AE65" s="757">
        <f>128*10+16</f>
        <v>1296</v>
      </c>
      <c r="AF65" s="498">
        <v>200020</v>
      </c>
      <c r="AG65" s="504">
        <v>49</v>
      </c>
      <c r="AH65" s="504">
        <v>49</v>
      </c>
      <c r="AI65" s="504">
        <f>33</f>
        <v>33</v>
      </c>
      <c r="AJ65" s="1528"/>
      <c r="AK65" s="504">
        <v>43</v>
      </c>
      <c r="AL65" s="1529">
        <f>128*5+41</f>
        <v>681</v>
      </c>
      <c r="AM65" s="504">
        <v>43</v>
      </c>
      <c r="AN65" s="504">
        <v>43</v>
      </c>
      <c r="AO65" s="504">
        <v>43</v>
      </c>
      <c r="AP65" s="504">
        <v>43</v>
      </c>
      <c r="AQ65" s="1529">
        <f>128*5+41</f>
        <v>681</v>
      </c>
      <c r="AR65" s="1530">
        <v>20</v>
      </c>
      <c r="AS65" s="517">
        <v>200020</v>
      </c>
      <c r="AT65" s="504">
        <v>19</v>
      </c>
      <c r="AU65" s="504">
        <v>19</v>
      </c>
      <c r="AV65" s="504">
        <v>19</v>
      </c>
      <c r="AW65" s="504"/>
      <c r="AX65" s="504"/>
      <c r="AY65" s="754">
        <f>0.384+0.004</f>
        <v>0.38800000000000001</v>
      </c>
      <c r="AZ65" s="528">
        <f>10000*19+19+0.1848</f>
        <v>190019.18479999999</v>
      </c>
      <c r="BA65" s="498">
        <v>190019</v>
      </c>
      <c r="BB65" s="498">
        <v>190019</v>
      </c>
      <c r="BC65" s="498">
        <f>10000*19+19+0.06</f>
        <v>190019.06</v>
      </c>
      <c r="BD65" s="498">
        <v>190019</v>
      </c>
      <c r="BE65" s="498">
        <v>190019</v>
      </c>
      <c r="BF65" s="1539">
        <f>128*2+42</f>
        <v>298</v>
      </c>
      <c r="BG65" s="498">
        <v>190019</v>
      </c>
      <c r="BH65" s="498">
        <v>190019</v>
      </c>
      <c r="BI65" s="498">
        <v>190019</v>
      </c>
      <c r="BJ65" s="498">
        <v>190019</v>
      </c>
      <c r="BK65" s="498">
        <v>190019</v>
      </c>
      <c r="BL65" s="498">
        <v>190019</v>
      </c>
      <c r="BM65" s="498">
        <v>190019</v>
      </c>
      <c r="BN65" s="498">
        <v>190019</v>
      </c>
      <c r="BO65" s="498">
        <v>190019</v>
      </c>
      <c r="BP65" s="498">
        <v>190019</v>
      </c>
      <c r="BQ65" s="498">
        <v>190019</v>
      </c>
      <c r="BR65" s="784">
        <f>10000*19+128+19+0.06</f>
        <v>190147.06</v>
      </c>
      <c r="BS65" s="771">
        <v>190019</v>
      </c>
      <c r="BT65" s="498">
        <v>190019</v>
      </c>
      <c r="BU65" s="498">
        <v>190019</v>
      </c>
      <c r="BV65" s="498">
        <v>190019</v>
      </c>
      <c r="BW65" s="766"/>
      <c r="BX65" s="766"/>
      <c r="BY65" s="504">
        <f>19</f>
        <v>19</v>
      </c>
      <c r="BZ65" s="504"/>
      <c r="CA65" s="504"/>
      <c r="CB65" s="504"/>
      <c r="CC65" s="498">
        <v>190019</v>
      </c>
      <c r="CD65" s="498">
        <v>190019</v>
      </c>
      <c r="CM65" s="498">
        <f t="shared" ref="CM65:CO67" si="23">10000*21+48</f>
        <v>210048</v>
      </c>
      <c r="CN65" s="498">
        <f t="shared" si="23"/>
        <v>210048</v>
      </c>
      <c r="CO65" s="498">
        <f t="shared" si="23"/>
        <v>210048</v>
      </c>
      <c r="DD65" s="499"/>
      <c r="DE65" s="515">
        <v>20</v>
      </c>
      <c r="DF65" s="1455"/>
      <c r="DG65" s="504">
        <v>20</v>
      </c>
      <c r="DH65" s="1540"/>
      <c r="DI65" s="515">
        <v>20</v>
      </c>
      <c r="DJ65" s="3084"/>
      <c r="DK65" s="504">
        <v>20</v>
      </c>
      <c r="DL65" s="499"/>
      <c r="DM65" s="499"/>
      <c r="DX65" s="499">
        <v>20</v>
      </c>
      <c r="DY65" s="499"/>
      <c r="DZ65" s="499"/>
      <c r="EA65" s="499"/>
      <c r="EB65" s="499"/>
      <c r="EC65" s="499"/>
      <c r="ED65" s="499"/>
      <c r="EE65" s="499"/>
      <c r="EF65" s="499"/>
      <c r="EG65" s="499"/>
      <c r="EH65" s="499"/>
      <c r="EI65" s="499"/>
      <c r="EJ65" s="499"/>
      <c r="EK65" s="499"/>
      <c r="EL65" s="499"/>
      <c r="EM65" s="499"/>
      <c r="EN65" s="499"/>
    </row>
    <row r="66" spans="1:144" ht="14.25" customHeight="1" thickBot="1">
      <c r="A66" s="499">
        <v>20</v>
      </c>
      <c r="B66" s="498">
        <v>200020</v>
      </c>
      <c r="C66" s="498">
        <v>200020</v>
      </c>
      <c r="D66" s="498">
        <v>200020</v>
      </c>
      <c r="E66" s="498">
        <v>200020</v>
      </c>
      <c r="F66" s="498">
        <v>200020</v>
      </c>
      <c r="G66" s="498">
        <v>200020</v>
      </c>
      <c r="H66" s="498">
        <v>200043</v>
      </c>
      <c r="I66" s="498">
        <v>200043</v>
      </c>
      <c r="J66" s="498">
        <v>200043</v>
      </c>
      <c r="M66" s="498">
        <v>200043</v>
      </c>
      <c r="N66" s="498">
        <v>200043</v>
      </c>
      <c r="O66" s="498">
        <f>10000*20+43+0.059</f>
        <v>200043.05900000001</v>
      </c>
      <c r="P66" s="498">
        <v>200043</v>
      </c>
      <c r="Q66" s="756">
        <f>10000*20+128*5+41</f>
        <v>200681</v>
      </c>
      <c r="R66" s="498">
        <v>200043</v>
      </c>
      <c r="S66" s="498">
        <f>10000*20+43+0.059</f>
        <v>200043.05900000001</v>
      </c>
      <c r="W66" s="498">
        <v>20</v>
      </c>
      <c r="X66" s="498">
        <v>20</v>
      </c>
      <c r="Y66" s="498">
        <v>20</v>
      </c>
      <c r="Z66" s="498">
        <v>20</v>
      </c>
      <c r="AA66" s="498">
        <v>20</v>
      </c>
      <c r="AB66" s="498">
        <v>20</v>
      </c>
      <c r="AC66" s="498">
        <v>20</v>
      </c>
      <c r="AD66" s="498">
        <v>20</v>
      </c>
      <c r="AE66" s="1541">
        <f t="shared" ref="AE66:AE71" si="24">10000*49+128+49</f>
        <v>490177</v>
      </c>
      <c r="AF66" s="498">
        <v>200020</v>
      </c>
      <c r="AG66" s="770">
        <f>49+0.068</f>
        <v>49.067999999999998</v>
      </c>
      <c r="AH66" s="1714">
        <f>128*11+3</f>
        <v>1411</v>
      </c>
      <c r="AI66" s="1703">
        <f>128*5+30+0.15</f>
        <v>670.15</v>
      </c>
      <c r="AJ66" s="1528"/>
      <c r="AK66" s="1529">
        <f>128*5+41</f>
        <v>681</v>
      </c>
      <c r="AL66" s="1528"/>
      <c r="AM66" s="1528"/>
      <c r="AN66" s="1528"/>
      <c r="AO66" s="504">
        <v>43</v>
      </c>
      <c r="AP66" s="1528"/>
      <c r="AQ66" s="1528"/>
      <c r="AR66" s="1530">
        <v>50</v>
      </c>
      <c r="AS66" s="517">
        <v>200020</v>
      </c>
      <c r="AT66" s="504">
        <v>19</v>
      </c>
      <c r="AU66" s="769"/>
      <c r="AV66" s="2945">
        <f>128*5+39</f>
        <v>679</v>
      </c>
      <c r="AW66" s="504"/>
      <c r="AX66" s="769"/>
      <c r="AY66" s="504"/>
      <c r="AZ66" s="1542">
        <f>128*16+10</f>
        <v>2058</v>
      </c>
      <c r="BA66" s="1543">
        <f>128*9+39</f>
        <v>1191</v>
      </c>
      <c r="BB66" s="1418"/>
      <c r="BC66" s="823"/>
      <c r="BD66" s="1718"/>
      <c r="BE66" s="823"/>
      <c r="BF66" s="823"/>
      <c r="BG66" s="823"/>
      <c r="BH66" s="1544">
        <f>128*9+57</f>
        <v>1209</v>
      </c>
      <c r="BI66" s="823"/>
      <c r="BJ66" s="823"/>
      <c r="BK66" s="1545"/>
      <c r="BL66" s="1543">
        <f>128*9+39</f>
        <v>1191</v>
      </c>
      <c r="BM66" s="1546"/>
      <c r="BN66" s="1547">
        <f>128*9+57</f>
        <v>1209</v>
      </c>
      <c r="BO66" s="1544">
        <f>128*9+57</f>
        <v>1209</v>
      </c>
      <c r="BP66" s="1548">
        <f>128*9+57</f>
        <v>1209</v>
      </c>
      <c r="BQ66" s="1549"/>
      <c r="BR66" s="823"/>
      <c r="BS66" s="1550"/>
      <c r="BT66" s="1551">
        <f>128*9+31</f>
        <v>1183</v>
      </c>
      <c r="BU66" s="823">
        <f>128*9+52</f>
        <v>1204</v>
      </c>
      <c r="BV66" s="528">
        <f>128*9+50</f>
        <v>1202</v>
      </c>
      <c r="BW66" s="766"/>
      <c r="BX66" s="811">
        <f>128*9+54+0.214</f>
        <v>1206.2139999999999</v>
      </c>
      <c r="BY66" s="766">
        <f>128*5+38</f>
        <v>678</v>
      </c>
      <c r="BZ66" s="504">
        <f>128*6+60</f>
        <v>828</v>
      </c>
      <c r="CA66" s="1552"/>
      <c r="CB66" s="504">
        <f>128*6+60</f>
        <v>828</v>
      </c>
      <c r="CC66" s="1377" t="s">
        <v>944</v>
      </c>
      <c r="CD66" s="528">
        <f>190038+0.022</f>
        <v>190038.022</v>
      </c>
      <c r="CM66" s="498">
        <f t="shared" si="23"/>
        <v>210048</v>
      </c>
      <c r="CN66" s="498">
        <f t="shared" si="23"/>
        <v>210048</v>
      </c>
      <c r="CO66" s="498">
        <f t="shared" si="23"/>
        <v>210048</v>
      </c>
      <c r="DD66" s="499"/>
      <c r="DE66" s="515">
        <v>20</v>
      </c>
      <c r="DF66" s="1455"/>
      <c r="DG66" s="504">
        <f>10000*20+49</f>
        <v>200049</v>
      </c>
      <c r="DH66" s="766">
        <f>10000*20+128*5+30+0.15</f>
        <v>200670.15</v>
      </c>
      <c r="DI66" s="515">
        <f>10000*20+49</f>
        <v>200049</v>
      </c>
      <c r="DJ66" s="3084"/>
      <c r="DK66" s="504">
        <v>20</v>
      </c>
      <c r="DL66" s="499"/>
      <c r="DM66" s="499"/>
      <c r="DX66" s="499">
        <v>20</v>
      </c>
      <c r="DY66" s="499"/>
      <c r="DZ66" s="499"/>
      <c r="EA66" s="499"/>
      <c r="EB66" s="499"/>
      <c r="EC66" s="499"/>
      <c r="ED66" s="499"/>
      <c r="EE66" s="499"/>
      <c r="EF66" s="499"/>
      <c r="EG66" s="499"/>
      <c r="EH66" s="499"/>
      <c r="EI66" s="499"/>
      <c r="EJ66" s="499"/>
      <c r="EK66" s="499"/>
      <c r="EL66" s="499"/>
      <c r="EM66" s="499"/>
      <c r="EN66" s="499"/>
    </row>
    <row r="67" spans="1:144" ht="15" thickTop="1">
      <c r="A67" s="499">
        <v>20</v>
      </c>
      <c r="M67" s="498">
        <v>200043</v>
      </c>
      <c r="N67" s="750">
        <f>128*6+120</f>
        <v>888</v>
      </c>
      <c r="O67" s="498">
        <v>200043</v>
      </c>
      <c r="P67" s="750"/>
      <c r="Q67" s="750"/>
      <c r="R67" s="750"/>
      <c r="S67" s="498">
        <v>200043</v>
      </c>
      <c r="T67" s="499"/>
      <c r="U67" s="499"/>
      <c r="V67" s="499"/>
      <c r="W67" s="499"/>
      <c r="X67" s="499"/>
      <c r="Y67" s="499"/>
      <c r="Z67" s="499"/>
      <c r="AA67" s="499"/>
      <c r="AB67" s="499"/>
      <c r="AC67" s="499"/>
      <c r="AD67" s="498">
        <v>20</v>
      </c>
      <c r="AE67" s="1541">
        <f t="shared" si="24"/>
        <v>490177</v>
      </c>
      <c r="AF67" s="504">
        <v>20</v>
      </c>
      <c r="AG67" s="504">
        <v>49</v>
      </c>
      <c r="AH67" s="504">
        <v>49</v>
      </c>
      <c r="AI67" s="504">
        <f>33</f>
        <v>33</v>
      </c>
      <c r="AJ67" s="1528"/>
      <c r="AK67" s="504">
        <v>43</v>
      </c>
      <c r="AL67" s="1528"/>
      <c r="AM67" s="1528">
        <f>0.256+0.005</f>
        <v>0.26100000000000001</v>
      </c>
      <c r="AN67" s="1528"/>
      <c r="AO67" s="1529">
        <f>128*5+41</f>
        <v>681</v>
      </c>
      <c r="AP67" s="1528"/>
      <c r="AQ67" s="1528">
        <f>0.256+0.009</f>
        <v>0.26500000000000001</v>
      </c>
      <c r="AR67" s="1530">
        <v>20</v>
      </c>
      <c r="AS67" s="517">
        <v>200020</v>
      </c>
      <c r="AT67" s="504">
        <v>19</v>
      </c>
      <c r="AU67" s="1553"/>
      <c r="AV67" s="498">
        <v>190019</v>
      </c>
      <c r="AW67" s="504"/>
      <c r="AX67" s="504"/>
      <c r="AY67" s="754">
        <f>0.384+0.004</f>
        <v>0.38800000000000001</v>
      </c>
      <c r="AZ67" s="528">
        <f>10000*19+19+0.1842</f>
        <v>190019.18419999999</v>
      </c>
      <c r="BA67" s="498">
        <v>190019</v>
      </c>
      <c r="BB67" s="498">
        <v>190019</v>
      </c>
      <c r="BC67" s="2998">
        <f>19+0.11</f>
        <v>19.11</v>
      </c>
      <c r="BD67" s="498">
        <v>190019</v>
      </c>
      <c r="BE67" s="498">
        <v>190019</v>
      </c>
      <c r="BF67" s="498">
        <v>190019</v>
      </c>
      <c r="BG67" s="498">
        <v>190019</v>
      </c>
      <c r="BH67" s="498">
        <v>190019</v>
      </c>
      <c r="BI67" s="498">
        <v>190019</v>
      </c>
      <c r="BJ67" s="1555">
        <f>128*2+42</f>
        <v>298</v>
      </c>
      <c r="BK67" s="498">
        <v>190019</v>
      </c>
      <c r="BL67" s="498">
        <v>190019</v>
      </c>
      <c r="BM67" s="498">
        <v>190019</v>
      </c>
      <c r="BN67" s="498">
        <v>190019</v>
      </c>
      <c r="BO67" s="498">
        <v>190019</v>
      </c>
      <c r="BP67" s="498">
        <v>190019</v>
      </c>
      <c r="BQ67" s="498">
        <v>190019</v>
      </c>
      <c r="BR67" s="498">
        <v>190019</v>
      </c>
      <c r="BS67" s="498">
        <v>190019</v>
      </c>
      <c r="BT67" s="498">
        <v>190019</v>
      </c>
      <c r="BU67" s="498">
        <v>190019</v>
      </c>
      <c r="BV67" s="498">
        <v>190019</v>
      </c>
      <c r="BW67" s="766"/>
      <c r="BX67" s="766"/>
      <c r="BY67" s="498">
        <v>190019</v>
      </c>
      <c r="BZ67" s="504"/>
      <c r="CA67" s="517"/>
      <c r="CB67" s="504"/>
      <c r="CC67" s="498">
        <v>190019</v>
      </c>
      <c r="CD67" s="498">
        <v>190019</v>
      </c>
      <c r="CK67" s="499"/>
      <c r="CM67" s="498">
        <f t="shared" si="23"/>
        <v>210048</v>
      </c>
      <c r="CN67" s="498">
        <f t="shared" si="23"/>
        <v>210048</v>
      </c>
      <c r="CO67" s="498">
        <f t="shared" si="23"/>
        <v>210048</v>
      </c>
      <c r="CQ67" s="499"/>
      <c r="DD67" s="499"/>
      <c r="DE67" s="515">
        <v>20</v>
      </c>
      <c r="DF67" s="1455"/>
      <c r="DG67" s="504">
        <f>10000*20+49</f>
        <v>200049</v>
      </c>
      <c r="DH67" s="1556">
        <f>128*11+6</f>
        <v>1414</v>
      </c>
      <c r="DI67" s="515">
        <f>10000*20+49</f>
        <v>200049</v>
      </c>
      <c r="DJ67" s="3084"/>
      <c r="DK67" s="504">
        <v>20</v>
      </c>
      <c r="DL67" s="499"/>
      <c r="DM67" s="499"/>
      <c r="DN67" s="499"/>
      <c r="DO67" s="499"/>
      <c r="DP67" s="499"/>
      <c r="DQ67" s="499"/>
      <c r="DR67" s="499"/>
      <c r="DS67" s="499"/>
      <c r="DT67" s="499"/>
      <c r="DU67" s="499"/>
      <c r="DV67" s="499"/>
      <c r="DW67" s="499"/>
      <c r="DX67" s="499">
        <v>20</v>
      </c>
      <c r="DY67" s="499"/>
      <c r="DZ67" s="499"/>
      <c r="EA67" s="499"/>
      <c r="EB67" s="499"/>
      <c r="EC67" s="499"/>
      <c r="ED67" s="499"/>
      <c r="EE67" s="499"/>
      <c r="EF67" s="499"/>
      <c r="EG67" s="499"/>
      <c r="EH67" s="499"/>
      <c r="EI67" s="499"/>
      <c r="EJ67" s="499"/>
      <c r="EK67" s="499"/>
      <c r="EL67" s="499"/>
      <c r="EM67" s="499"/>
      <c r="EN67" s="499"/>
    </row>
    <row r="68" spans="1:144">
      <c r="A68" s="499">
        <v>20</v>
      </c>
      <c r="B68" s="499"/>
      <c r="C68" s="499"/>
      <c r="D68" s="499"/>
      <c r="E68" s="499"/>
      <c r="F68" s="499"/>
      <c r="G68" s="499"/>
      <c r="M68" s="498">
        <v>200043</v>
      </c>
      <c r="N68" s="750">
        <f>128*10+1</f>
        <v>1281</v>
      </c>
      <c r="O68" s="756">
        <f>10000*20+128*5+41</f>
        <v>200681</v>
      </c>
      <c r="P68" s="750"/>
      <c r="Q68" s="761">
        <f>128*9+44</f>
        <v>1196</v>
      </c>
      <c r="R68" s="750"/>
      <c r="S68" s="498">
        <f>10000*20+43+0.121</f>
        <v>200043.12100000001</v>
      </c>
      <c r="W68" s="499"/>
      <c r="X68" s="499"/>
      <c r="Y68" s="499"/>
      <c r="AD68" s="498">
        <v>20</v>
      </c>
      <c r="AE68" s="1557">
        <f t="shared" si="24"/>
        <v>490177</v>
      </c>
      <c r="AF68" s="498">
        <v>20</v>
      </c>
      <c r="AG68" s="1528">
        <f>128*6+60</f>
        <v>828</v>
      </c>
      <c r="AH68" s="1528"/>
      <c r="AI68" s="1528"/>
      <c r="AJ68" s="1528"/>
      <c r="AK68" s="504">
        <v>43</v>
      </c>
      <c r="AL68" s="1528"/>
      <c r="AM68" s="1528"/>
      <c r="AN68" s="1528"/>
      <c r="AO68" s="504">
        <v>43</v>
      </c>
      <c r="AP68" s="1528"/>
      <c r="AQ68" s="1528"/>
      <c r="AR68" s="1530">
        <v>50</v>
      </c>
      <c r="AS68" s="517">
        <v>200020</v>
      </c>
      <c r="AT68" s="504">
        <v>19</v>
      </c>
      <c r="AU68" s="3082">
        <f>128*5+35</f>
        <v>675</v>
      </c>
      <c r="AV68" s="498">
        <v>190019</v>
      </c>
      <c r="AW68" s="498">
        <v>190019</v>
      </c>
      <c r="AX68" s="498">
        <v>190019</v>
      </c>
      <c r="AY68" s="498">
        <v>190019</v>
      </c>
      <c r="AZ68" s="498">
        <v>190019</v>
      </c>
      <c r="BB68" s="498">
        <v>20</v>
      </c>
      <c r="BC68" s="1558">
        <f>128*9+7+0.0035</f>
        <v>1159.0035</v>
      </c>
      <c r="BD68" s="498">
        <v>20</v>
      </c>
      <c r="BI68" s="498">
        <v>190019</v>
      </c>
      <c r="BJ68" s="707"/>
      <c r="BK68" s="498">
        <v>190019</v>
      </c>
      <c r="BL68" s="499"/>
      <c r="BM68" s="499"/>
      <c r="BN68" s="499"/>
      <c r="BO68" s="499"/>
      <c r="BP68" s="499"/>
      <c r="BQ68" s="499"/>
      <c r="BR68" s="499"/>
      <c r="BS68" s="499"/>
      <c r="BT68" s="499"/>
      <c r="BU68" s="499"/>
      <c r="BV68" s="498">
        <v>190019</v>
      </c>
      <c r="BW68" s="498">
        <v>190019</v>
      </c>
      <c r="BX68" s="498">
        <v>190019</v>
      </c>
      <c r="BY68" s="498">
        <v>190019</v>
      </c>
      <c r="BZ68" s="498">
        <v>190019</v>
      </c>
      <c r="CA68" s="517">
        <v>190019</v>
      </c>
      <c r="CB68" s="498">
        <v>190019</v>
      </c>
      <c r="CC68" s="504">
        <f>10000*20+48</f>
        <v>200048</v>
      </c>
      <c r="CD68" s="504">
        <f>10000*20+48</f>
        <v>200048</v>
      </c>
      <c r="CE68" s="1449"/>
      <c r="CF68" s="1449"/>
      <c r="CG68" s="499"/>
      <c r="CH68" s="499"/>
      <c r="CI68" s="499"/>
      <c r="CJ68" s="499"/>
      <c r="CK68" s="499"/>
      <c r="CL68" s="499"/>
      <c r="CM68" s="499"/>
      <c r="CN68" s="499"/>
      <c r="CO68" s="499"/>
      <c r="CQ68" s="517">
        <f>10000*21+48</f>
        <v>210048</v>
      </c>
      <c r="CS68" s="499"/>
      <c r="DD68" s="499"/>
      <c r="DE68" s="515">
        <v>20</v>
      </c>
      <c r="DF68" s="1455"/>
      <c r="DG68" s="504">
        <f>10000*20+49</f>
        <v>200049</v>
      </c>
      <c r="DH68" s="678">
        <f>10000*20+49+0.07</f>
        <v>200049.07</v>
      </c>
      <c r="DI68" s="515">
        <f>10000*20+49</f>
        <v>200049</v>
      </c>
      <c r="DJ68" s="3084"/>
      <c r="DK68" s="504">
        <v>20</v>
      </c>
      <c r="DL68" s="499"/>
      <c r="DM68" s="499"/>
      <c r="DN68" s="499"/>
      <c r="DO68" s="517">
        <v>200020</v>
      </c>
      <c r="DP68" s="499"/>
      <c r="DQ68" s="499"/>
      <c r="DR68" s="499"/>
      <c r="DS68" s="499"/>
      <c r="DT68" s="499"/>
      <c r="DU68" s="499"/>
      <c r="DV68" s="499"/>
      <c r="DW68" s="517">
        <v>200020</v>
      </c>
      <c r="DX68" s="499">
        <v>20</v>
      </c>
      <c r="DY68" s="499"/>
      <c r="DZ68" s="499"/>
      <c r="EA68" s="499"/>
      <c r="EB68" s="499"/>
      <c r="EC68" s="499"/>
      <c r="ED68" s="499"/>
      <c r="EE68" s="499"/>
      <c r="EF68" s="499"/>
      <c r="EG68" s="499"/>
      <c r="EH68" s="499"/>
      <c r="EI68" s="499"/>
      <c r="EJ68" s="499"/>
      <c r="EK68" s="499"/>
      <c r="EL68" s="499"/>
      <c r="EM68" s="499"/>
      <c r="EN68" s="499"/>
    </row>
    <row r="69" spans="1:144" ht="14.25">
      <c r="A69" s="499">
        <v>20</v>
      </c>
      <c r="B69" s="499"/>
      <c r="C69" s="499"/>
      <c r="D69" s="499"/>
      <c r="E69" s="499"/>
      <c r="F69" s="499"/>
      <c r="G69" s="499"/>
      <c r="M69" s="498">
        <v>200043</v>
      </c>
      <c r="N69" s="758">
        <f>128*9+5</f>
        <v>1157</v>
      </c>
      <c r="O69" s="498">
        <v>200043</v>
      </c>
      <c r="P69" s="750"/>
      <c r="Q69" s="751">
        <f>128*8+2</f>
        <v>1026</v>
      </c>
      <c r="R69" s="750"/>
      <c r="S69" s="498">
        <v>200043</v>
      </c>
      <c r="W69" s="505">
        <v>490049</v>
      </c>
      <c r="X69" s="505">
        <v>490049</v>
      </c>
      <c r="Y69" s="505">
        <v>490049</v>
      </c>
      <c r="Z69" s="505">
        <v>490049</v>
      </c>
      <c r="AA69" s="505">
        <v>490049</v>
      </c>
      <c r="AB69" s="505">
        <v>490049</v>
      </c>
      <c r="AC69" s="505">
        <v>490049</v>
      </c>
      <c r="AD69" s="505">
        <v>490049</v>
      </c>
      <c r="AE69" s="1541">
        <f t="shared" si="24"/>
        <v>490177</v>
      </c>
      <c r="AF69" s="498">
        <v>20</v>
      </c>
      <c r="AG69" s="2952">
        <f>128*5+41</f>
        <v>681</v>
      </c>
      <c r="AH69" s="504">
        <v>43</v>
      </c>
      <c r="AI69" s="504">
        <v>43</v>
      </c>
      <c r="AJ69" s="504">
        <v>43</v>
      </c>
      <c r="AK69" s="504">
        <v>43</v>
      </c>
      <c r="AL69" s="504">
        <v>43</v>
      </c>
      <c r="AM69" s="504">
        <v>43</v>
      </c>
      <c r="AN69" s="504">
        <v>43</v>
      </c>
      <c r="AO69" s="504">
        <v>43</v>
      </c>
      <c r="AP69" s="504">
        <v>43</v>
      </c>
      <c r="AQ69" s="504">
        <v>43</v>
      </c>
      <c r="AR69" s="1530">
        <v>20</v>
      </c>
      <c r="AS69" s="517">
        <v>200020</v>
      </c>
      <c r="AT69" s="504">
        <v>19</v>
      </c>
      <c r="AU69" s="1553"/>
      <c r="AV69" s="498">
        <v>190019</v>
      </c>
      <c r="AW69" s="499"/>
      <c r="AX69" s="498">
        <v>20</v>
      </c>
      <c r="AY69" s="498">
        <v>20</v>
      </c>
      <c r="AZ69" s="498">
        <v>20</v>
      </c>
      <c r="BA69" s="498">
        <v>20</v>
      </c>
      <c r="BB69" s="498">
        <v>20</v>
      </c>
      <c r="BC69" s="1554">
        <f>20+0.11</f>
        <v>20.11</v>
      </c>
      <c r="BD69" s="498">
        <v>20</v>
      </c>
      <c r="BE69" s="498">
        <v>20</v>
      </c>
      <c r="BF69" s="498">
        <v>20</v>
      </c>
      <c r="BG69" s="498">
        <v>20</v>
      </c>
      <c r="BH69" s="498">
        <v>20</v>
      </c>
      <c r="BI69" s="498">
        <v>190019</v>
      </c>
      <c r="BJ69" s="707"/>
      <c r="BK69" s="498">
        <v>190019</v>
      </c>
      <c r="BQ69" s="504">
        <v>27</v>
      </c>
      <c r="BR69" s="504">
        <v>27</v>
      </c>
      <c r="BS69" s="504">
        <v>27</v>
      </c>
      <c r="BT69" s="504">
        <v>27</v>
      </c>
      <c r="BU69" s="504">
        <v>27</v>
      </c>
      <c r="BV69" s="504">
        <v>27</v>
      </c>
      <c r="BW69" s="504">
        <v>27</v>
      </c>
      <c r="BX69" s="504">
        <v>27</v>
      </c>
      <c r="BY69" s="504">
        <v>27</v>
      </c>
      <c r="BZ69" s="504">
        <v>27</v>
      </c>
      <c r="CA69" s="517">
        <v>27</v>
      </c>
      <c r="CB69" s="1449"/>
      <c r="CC69" s="499"/>
      <c r="CD69" s="499"/>
      <c r="CE69" s="499"/>
      <c r="CF69" s="499"/>
      <c r="CG69" s="499"/>
      <c r="CH69" s="499"/>
      <c r="CI69" s="499"/>
      <c r="CJ69" s="499"/>
      <c r="CK69" s="499"/>
      <c r="CL69" s="499"/>
      <c r="CM69" s="499"/>
      <c r="CN69" s="499"/>
      <c r="CO69" s="499"/>
      <c r="CP69" s="499"/>
      <c r="CQ69" s="517">
        <f>10000*21+48</f>
        <v>210048</v>
      </c>
      <c r="CS69" s="499"/>
      <c r="DD69" s="499"/>
      <c r="DE69" s="515">
        <v>20</v>
      </c>
      <c r="DF69" s="1455"/>
      <c r="DG69" s="504">
        <v>20</v>
      </c>
      <c r="DI69" s="515">
        <v>20</v>
      </c>
      <c r="DJ69" s="3084"/>
      <c r="DK69" s="504">
        <v>20</v>
      </c>
      <c r="DL69" s="499"/>
      <c r="DM69" s="499"/>
      <c r="DN69" s="517">
        <v>200020</v>
      </c>
      <c r="DO69" s="517">
        <v>200020</v>
      </c>
      <c r="DP69" s="499"/>
      <c r="DQ69" s="499"/>
      <c r="DR69" s="499"/>
      <c r="DS69" s="499"/>
      <c r="DT69" s="499"/>
      <c r="DU69" s="499"/>
      <c r="DV69" s="499"/>
      <c r="DW69" s="517">
        <v>200020</v>
      </c>
      <c r="DX69" s="517">
        <v>200020</v>
      </c>
      <c r="DY69" s="499"/>
      <c r="DZ69" s="499"/>
      <c r="EA69" s="499"/>
      <c r="EB69" s="499"/>
      <c r="EC69" s="499"/>
      <c r="ED69" s="499"/>
      <c r="EE69" s="499"/>
      <c r="EF69" s="499"/>
      <c r="EG69" s="499"/>
      <c r="EH69" s="499"/>
      <c r="EI69" s="499"/>
      <c r="EJ69" s="499"/>
      <c r="EK69" s="499"/>
      <c r="EL69" s="499"/>
      <c r="EM69" s="499"/>
      <c r="EN69" s="499"/>
    </row>
    <row r="70" spans="1:144" ht="14.25">
      <c r="A70" s="499">
        <v>20</v>
      </c>
      <c r="B70" s="499"/>
      <c r="C70" s="499"/>
      <c r="D70" s="499"/>
      <c r="E70" s="499"/>
      <c r="F70" s="499"/>
      <c r="G70" s="499"/>
      <c r="M70" s="498">
        <v>200043</v>
      </c>
      <c r="N70" s="498">
        <v>200043</v>
      </c>
      <c r="O70" s="498">
        <v>200043</v>
      </c>
      <c r="P70" s="750"/>
      <c r="Q70" s="750"/>
      <c r="R70" s="750"/>
      <c r="S70" s="498">
        <v>200043</v>
      </c>
      <c r="W70" s="505">
        <v>490049</v>
      </c>
      <c r="X70" s="814"/>
      <c r="Y70" s="814"/>
      <c r="Z70" s="814"/>
      <c r="AA70" s="814"/>
      <c r="AB70" s="814"/>
      <c r="AC70" s="814"/>
      <c r="AD70" s="1560">
        <f>128*14+116</f>
        <v>1908</v>
      </c>
      <c r="AE70" s="1561">
        <f t="shared" si="24"/>
        <v>490177</v>
      </c>
      <c r="AF70" s="498">
        <v>20</v>
      </c>
      <c r="AG70" s="1377"/>
      <c r="AH70" s="504">
        <v>43</v>
      </c>
      <c r="AI70" s="504">
        <v>43</v>
      </c>
      <c r="AJ70" s="1383">
        <f>0.384+0.0038</f>
        <v>0.38780000000000003</v>
      </c>
      <c r="AK70" s="504">
        <v>43</v>
      </c>
      <c r="AL70" s="1383">
        <f>0.384+0.0038</f>
        <v>0.38780000000000003</v>
      </c>
      <c r="AM70" s="504">
        <v>43</v>
      </c>
      <c r="AN70" s="1383">
        <f>0.384+0.0038</f>
        <v>0.38780000000000003</v>
      </c>
      <c r="AO70" s="504">
        <v>43</v>
      </c>
      <c r="AP70" s="837">
        <f>0.384+0.0048</f>
        <v>0.38880000000000003</v>
      </c>
      <c r="AQ70" s="837"/>
      <c r="AR70" s="1530">
        <v>50</v>
      </c>
      <c r="AS70" s="517">
        <v>200020</v>
      </c>
      <c r="AT70" s="504">
        <v>19</v>
      </c>
      <c r="AU70" s="769"/>
      <c r="AV70" s="498">
        <v>190019</v>
      </c>
      <c r="AW70" s="498">
        <v>20</v>
      </c>
      <c r="AX70" s="498">
        <v>20</v>
      </c>
      <c r="AY70" s="498">
        <v>20</v>
      </c>
      <c r="AZ70" s="498">
        <v>20</v>
      </c>
      <c r="BA70" s="1554">
        <f>20+0.182</f>
        <v>20.181999999999999</v>
      </c>
      <c r="BB70" s="498">
        <v>20</v>
      </c>
      <c r="BC70" s="1554">
        <f>20+0.182</f>
        <v>20.181999999999999</v>
      </c>
      <c r="BD70" s="498">
        <v>20</v>
      </c>
      <c r="BE70" s="1554">
        <f>20+0.182</f>
        <v>20.181999999999999</v>
      </c>
      <c r="BF70" s="498">
        <v>20</v>
      </c>
      <c r="BG70" s="498">
        <v>20</v>
      </c>
      <c r="BH70" s="498">
        <v>20</v>
      </c>
      <c r="BI70" s="498">
        <v>190019</v>
      </c>
      <c r="BJ70" s="498">
        <v>190019</v>
      </c>
      <c r="BK70" s="498">
        <v>190019</v>
      </c>
      <c r="BM70" s="504">
        <v>27</v>
      </c>
      <c r="BN70" s="504">
        <v>27</v>
      </c>
      <c r="BO70" s="504">
        <v>27</v>
      </c>
      <c r="BP70" s="504">
        <v>27</v>
      </c>
      <c r="BQ70" s="504">
        <v>27</v>
      </c>
      <c r="BR70" s="537"/>
      <c r="BS70" s="537"/>
      <c r="BT70" s="500">
        <f>10000*20+128*5+40</f>
        <v>200680</v>
      </c>
      <c r="BU70" s="537"/>
      <c r="BV70" s="537"/>
      <c r="BW70" s="537"/>
      <c r="BX70" s="500">
        <f>10000*20+128*5+40</f>
        <v>200680</v>
      </c>
      <c r="BY70" s="537"/>
      <c r="BZ70" s="537"/>
      <c r="CA70" s="517">
        <v>27</v>
      </c>
      <c r="CB70" s="1449"/>
      <c r="CC70" s="499"/>
      <c r="CD70" s="499"/>
      <c r="CE70" s="499"/>
      <c r="CF70" s="499"/>
      <c r="CG70" s="499"/>
      <c r="CH70" s="503">
        <f>128*9+1+0.5+0.002</f>
        <v>1153.502</v>
      </c>
      <c r="CI70" s="499"/>
      <c r="CJ70" s="499"/>
      <c r="CK70" s="499"/>
      <c r="CP70" s="499"/>
      <c r="CQ70" s="517">
        <f>10000*21+48</f>
        <v>210048</v>
      </c>
      <c r="CS70" s="499"/>
      <c r="DD70" s="499"/>
      <c r="DE70" s="515">
        <v>20</v>
      </c>
      <c r="DF70" s="1455"/>
      <c r="DG70" s="504">
        <v>20</v>
      </c>
      <c r="DI70" s="515">
        <v>20</v>
      </c>
      <c r="DJ70" s="3084"/>
      <c r="DK70" s="504">
        <v>20</v>
      </c>
      <c r="DL70" s="499"/>
      <c r="DM70" s="499"/>
      <c r="DN70" s="499"/>
      <c r="DO70" s="499"/>
      <c r="DP70" s="499"/>
      <c r="DQ70" s="517">
        <v>200020</v>
      </c>
      <c r="DR70" s="3074">
        <f>200020+0.059</f>
        <v>200020.05900000001</v>
      </c>
      <c r="DS70" s="517">
        <v>200020</v>
      </c>
      <c r="DT70" s="499"/>
      <c r="DU70" s="499"/>
      <c r="DV70" s="499"/>
      <c r="DW70" s="499"/>
      <c r="DX70" s="499">
        <v>20</v>
      </c>
      <c r="DY70" s="499"/>
      <c r="DZ70" s="499"/>
      <c r="EA70" s="499"/>
      <c r="EB70" s="499"/>
      <c r="EC70" s="499"/>
      <c r="ED70" s="499"/>
      <c r="EE70" s="499"/>
      <c r="EF70" s="499"/>
      <c r="EG70" s="499"/>
      <c r="EH70" s="499"/>
      <c r="EI70" s="499"/>
      <c r="EJ70" s="499"/>
      <c r="EK70" s="499"/>
      <c r="EL70" s="499"/>
      <c r="EM70" s="499"/>
      <c r="EN70" s="499"/>
    </row>
    <row r="71" spans="1:144">
      <c r="A71" s="499">
        <v>20</v>
      </c>
      <c r="B71" s="499"/>
      <c r="C71" s="498">
        <v>200020</v>
      </c>
      <c r="D71" s="498">
        <v>200020</v>
      </c>
      <c r="E71" s="498">
        <v>200020</v>
      </c>
      <c r="F71" s="498">
        <v>200020</v>
      </c>
      <c r="G71" s="498">
        <v>200020</v>
      </c>
      <c r="H71" s="498">
        <v>200020</v>
      </c>
      <c r="I71" s="498">
        <v>200020</v>
      </c>
      <c r="M71" s="499"/>
      <c r="N71" s="499"/>
      <c r="O71" s="498">
        <f>10000*20+43+0.059</f>
        <v>200043.05900000001</v>
      </c>
      <c r="P71" s="498">
        <v>200043</v>
      </c>
      <c r="Q71" s="820">
        <f>10000*20+128+43+0.038</f>
        <v>200171.038</v>
      </c>
      <c r="R71" s="498">
        <v>200043</v>
      </c>
      <c r="S71" s="498">
        <f>10000*20+43+0.059</f>
        <v>200043.05900000001</v>
      </c>
      <c r="W71" s="505">
        <v>490049</v>
      </c>
      <c r="X71" s="814"/>
      <c r="Y71" s="508">
        <f>10000*42+42</f>
        <v>420042</v>
      </c>
      <c r="Z71" s="1562">
        <f>0.384+0.008</f>
        <v>0.39200000000000002</v>
      </c>
      <c r="AA71" s="508">
        <f>10000*42+42</f>
        <v>420042</v>
      </c>
      <c r="AB71" s="1562">
        <f>0.384+0.008</f>
        <v>0.39200000000000002</v>
      </c>
      <c r="AC71" s="508">
        <f>10000*42+42</f>
        <v>420042</v>
      </c>
      <c r="AD71" s="1560">
        <f>128*14+116</f>
        <v>1908</v>
      </c>
      <c r="AE71" s="1541">
        <f t="shared" si="24"/>
        <v>490177</v>
      </c>
      <c r="AF71" s="498">
        <v>20</v>
      </c>
      <c r="AG71" s="1377"/>
      <c r="AH71" s="1559">
        <f>128*5+41</f>
        <v>681</v>
      </c>
      <c r="AI71" s="1559"/>
      <c r="AJ71" s="1559"/>
      <c r="AK71" s="1559"/>
      <c r="AL71" s="1563"/>
      <c r="AM71" s="1559"/>
      <c r="AN71" s="1563"/>
      <c r="AO71" s="1559">
        <f>128*5+41</f>
        <v>681</v>
      </c>
      <c r="AP71" s="837"/>
      <c r="AQ71" s="1564">
        <f>128*9+28+0.148</f>
        <v>1180.1479999999999</v>
      </c>
      <c r="AR71" s="1530">
        <v>20</v>
      </c>
      <c r="AS71" s="517">
        <v>200020</v>
      </c>
      <c r="AT71" s="504">
        <v>19</v>
      </c>
      <c r="AU71" s="1553"/>
      <c r="AV71" s="839">
        <f>10000*19+128+19</f>
        <v>190147</v>
      </c>
      <c r="AW71" s="839">
        <f>10000*19+128+19</f>
        <v>190147</v>
      </c>
      <c r="AX71" s="498">
        <v>20</v>
      </c>
      <c r="AY71" s="707">
        <f>128*6+20</f>
        <v>788</v>
      </c>
      <c r="AZ71" s="707"/>
      <c r="BA71" s="707"/>
      <c r="BB71" s="707"/>
      <c r="BC71" s="707"/>
      <c r="BD71" s="707">
        <f>128*10+8</f>
        <v>1288</v>
      </c>
      <c r="BE71" s="707"/>
      <c r="BF71" s="707">
        <f>128*16+15</f>
        <v>2063</v>
      </c>
      <c r="BG71" s="707"/>
      <c r="BH71" s="498">
        <v>20</v>
      </c>
      <c r="BM71" s="504">
        <v>27</v>
      </c>
      <c r="BN71" s="537"/>
      <c r="BO71" s="537"/>
      <c r="BP71" s="537"/>
      <c r="BQ71" s="504">
        <v>27</v>
      </c>
      <c r="BR71" s="537"/>
      <c r="BS71" s="504">
        <v>27</v>
      </c>
      <c r="BT71" s="504">
        <v>27</v>
      </c>
      <c r="BU71" s="768">
        <f>128*4+34</f>
        <v>546</v>
      </c>
      <c r="BV71" s="768">
        <f>128*4+34</f>
        <v>546</v>
      </c>
      <c r="BW71" s="768">
        <f>128*4+34</f>
        <v>546</v>
      </c>
      <c r="BX71" s="504">
        <v>27</v>
      </c>
      <c r="BY71" s="504">
        <v>27</v>
      </c>
      <c r="BZ71" s="537"/>
      <c r="CA71" s="517">
        <v>27</v>
      </c>
      <c r="CB71" s="1449"/>
      <c r="CC71" s="499"/>
      <c r="CD71" s="499"/>
      <c r="CE71" s="499"/>
      <c r="CF71" s="499"/>
      <c r="CG71" s="499"/>
      <c r="CH71" s="499"/>
      <c r="CI71" s="499"/>
      <c r="CJ71" s="503">
        <f>128*9+1+0.5+0.001</f>
        <v>1153.501</v>
      </c>
      <c r="CK71" s="504">
        <v>26</v>
      </c>
      <c r="CL71" s="504">
        <v>26</v>
      </c>
      <c r="CM71" s="503">
        <f>128*9+1+0.5+0.001</f>
        <v>1153.501</v>
      </c>
      <c r="CN71" s="499"/>
      <c r="CO71" s="499"/>
      <c r="CP71" s="499"/>
      <c r="CQ71" s="498">
        <f t="shared" ref="CQ71:CQ76" si="25">10000*20+48</f>
        <v>200048</v>
      </c>
      <c r="CS71" s="499"/>
      <c r="CV71" s="499"/>
      <c r="CW71" s="499"/>
      <c r="CX71" s="499"/>
      <c r="CY71" s="499"/>
      <c r="CZ71" s="499"/>
      <c r="DA71" s="499"/>
      <c r="DB71" s="499"/>
      <c r="DC71" s="499"/>
      <c r="DD71" s="499"/>
      <c r="DE71" s="504">
        <v>20</v>
      </c>
      <c r="DF71" s="504">
        <v>20</v>
      </c>
      <c r="DG71" s="504">
        <v>20</v>
      </c>
      <c r="DI71" s="504">
        <v>20</v>
      </c>
      <c r="DJ71" s="504">
        <v>20</v>
      </c>
      <c r="DK71" s="504">
        <v>20</v>
      </c>
      <c r="DM71" s="499"/>
      <c r="DN71" s="499"/>
      <c r="DO71" s="499"/>
      <c r="DP71" s="499"/>
      <c r="DQ71" s="517">
        <v>200020</v>
      </c>
      <c r="DR71" s="517">
        <f>200000+128*14+21+0.256+0.007</f>
        <v>201813.26300000001</v>
      </c>
      <c r="DS71" s="3074">
        <f>200020+0.256+0.041</f>
        <v>200020.29699999999</v>
      </c>
      <c r="DT71" s="3074">
        <f>200020+0.256+0.041</f>
        <v>200020.29699999999</v>
      </c>
      <c r="DU71" s="517">
        <v>200020</v>
      </c>
      <c r="DV71" s="499"/>
      <c r="DW71" s="499"/>
      <c r="DX71" s="499">
        <v>20</v>
      </c>
      <c r="DY71" s="499"/>
      <c r="DZ71" s="499"/>
      <c r="EA71" s="499"/>
      <c r="EB71" s="499"/>
      <c r="EC71" s="499"/>
      <c r="ED71" s="499"/>
      <c r="EE71" s="499"/>
      <c r="EF71" s="499"/>
      <c r="EG71" s="499"/>
      <c r="EH71" s="499"/>
      <c r="EI71" s="499"/>
      <c r="EJ71" s="499"/>
      <c r="EK71" s="499"/>
      <c r="EL71" s="499"/>
      <c r="EM71" s="499"/>
      <c r="EN71" s="499"/>
    </row>
    <row r="72" spans="1:144">
      <c r="A72" s="499">
        <v>20</v>
      </c>
      <c r="B72" s="499"/>
      <c r="C72" s="498">
        <v>200020</v>
      </c>
      <c r="D72" s="954">
        <v>200020</v>
      </c>
      <c r="E72" s="954">
        <v>200020</v>
      </c>
      <c r="F72" s="954">
        <v>200020</v>
      </c>
      <c r="G72" s="954">
        <v>200020</v>
      </c>
      <c r="H72" s="950">
        <v>200020</v>
      </c>
      <c r="I72" s="498">
        <v>200020</v>
      </c>
      <c r="J72" s="498">
        <v>200020</v>
      </c>
      <c r="K72" s="498">
        <v>200020</v>
      </c>
      <c r="L72" s="498">
        <v>200020</v>
      </c>
      <c r="M72" s="498">
        <v>200020</v>
      </c>
      <c r="N72" s="498">
        <v>200020</v>
      </c>
      <c r="P72" s="504">
        <v>200043</v>
      </c>
      <c r="Q72" s="1184">
        <f>10000*20+128+43</f>
        <v>200171</v>
      </c>
      <c r="R72" s="504">
        <v>200043</v>
      </c>
      <c r="S72" s="499"/>
      <c r="W72" s="505">
        <v>490049</v>
      </c>
      <c r="X72" s="814"/>
      <c r="Y72" s="1499"/>
      <c r="Z72" s="1499"/>
      <c r="AA72" s="1499"/>
      <c r="AB72" s="1499"/>
      <c r="AC72" s="1499"/>
      <c r="AD72" s="1560"/>
      <c r="AE72" s="505">
        <v>490049</v>
      </c>
      <c r="AF72" s="504">
        <v>20</v>
      </c>
      <c r="AG72" s="1377">
        <f>128*6+4</f>
        <v>772</v>
      </c>
      <c r="AH72" s="504">
        <v>43</v>
      </c>
      <c r="AI72" s="504">
        <v>43</v>
      </c>
      <c r="AJ72" s="1444">
        <f>0.384+0.0036</f>
        <v>0.3876</v>
      </c>
      <c r="AK72" s="504">
        <v>43</v>
      </c>
      <c r="AL72" s="1444">
        <f>0.384+0.0036</f>
        <v>0.3876</v>
      </c>
      <c r="AM72" s="504">
        <v>43</v>
      </c>
      <c r="AN72" s="1444">
        <f>0.384+0.0036</f>
        <v>0.3876</v>
      </c>
      <c r="AO72" s="504">
        <v>43</v>
      </c>
      <c r="AP72" s="837"/>
      <c r="AQ72" s="837"/>
      <c r="AR72" s="1530">
        <v>50</v>
      </c>
      <c r="AS72" s="517">
        <v>200020</v>
      </c>
      <c r="AT72" s="504">
        <v>19</v>
      </c>
      <c r="AU72" s="3083">
        <f>128*5+35</f>
        <v>675</v>
      </c>
      <c r="AV72" s="498">
        <v>190019</v>
      </c>
      <c r="AW72" s="707">
        <f>128*14+116</f>
        <v>1908</v>
      </c>
      <c r="AX72" s="707">
        <f>128*16+64+15</f>
        <v>2127</v>
      </c>
      <c r="AY72" s="707"/>
      <c r="AZ72" s="707"/>
      <c r="BA72" s="707"/>
      <c r="BB72" s="707"/>
      <c r="BC72" s="707"/>
      <c r="BD72" s="1558">
        <f>20+0.182</f>
        <v>20.181999999999999</v>
      </c>
      <c r="BE72" s="707"/>
      <c r="BF72" s="707">
        <f>128*16+15</f>
        <v>2063</v>
      </c>
      <c r="BG72" s="707">
        <f>128*10+7</f>
        <v>1287</v>
      </c>
      <c r="BH72" s="498">
        <v>20</v>
      </c>
      <c r="BK72" s="499"/>
      <c r="BM72" s="504">
        <v>27</v>
      </c>
      <c r="BN72" s="537"/>
      <c r="BO72" s="537">
        <v>0.25700000000000001</v>
      </c>
      <c r="BP72" s="537"/>
      <c r="BQ72" s="504">
        <v>27</v>
      </c>
      <c r="BR72" s="500">
        <f>10000*20+128*5+40</f>
        <v>200680</v>
      </c>
      <c r="BS72" s="504">
        <v>27</v>
      </c>
      <c r="BT72" s="500">
        <f>11+0.163</f>
        <v>11.163</v>
      </c>
      <c r="BU72" s="500"/>
      <c r="BV72" s="500"/>
      <c r="BW72" s="500"/>
      <c r="BX72" s="703">
        <f>128*9+3+0.155</f>
        <v>1155.155</v>
      </c>
      <c r="BY72" s="504">
        <v>27</v>
      </c>
      <c r="BZ72" s="500">
        <f>10000*20+128*5+40</f>
        <v>200680</v>
      </c>
      <c r="CA72" s="504">
        <v>27</v>
      </c>
      <c r="CB72" s="93"/>
      <c r="CC72" s="499"/>
      <c r="CD72" s="499"/>
      <c r="CE72" s="499"/>
      <c r="CF72" s="499"/>
      <c r="CG72" s="499"/>
      <c r="CH72" s="499"/>
      <c r="CI72" s="503">
        <f>128*9+1+0.5+0.001</f>
        <v>1153.501</v>
      </c>
      <c r="CJ72" s="504">
        <v>26</v>
      </c>
      <c r="CK72" s="1567">
        <f>128*12+26+0.059</f>
        <v>1562.059</v>
      </c>
      <c r="CL72" s="1568">
        <f>128*12+27+0.256+0.01</f>
        <v>1563.2660000000001</v>
      </c>
      <c r="CM72" s="504">
        <v>26</v>
      </c>
      <c r="CN72" s="503">
        <f>128*9+1+0.5+0.001</f>
        <v>1153.501</v>
      </c>
      <c r="CO72" s="499"/>
      <c r="CP72" s="499"/>
      <c r="CQ72" s="498">
        <f t="shared" si="25"/>
        <v>200048</v>
      </c>
      <c r="CR72" s="499"/>
      <c r="CS72" s="499"/>
      <c r="CT72" s="499"/>
      <c r="CU72" s="499"/>
      <c r="CV72" s="499"/>
      <c r="CW72" s="499"/>
      <c r="CX72" s="499"/>
      <c r="CY72" s="499"/>
      <c r="CZ72" s="499"/>
      <c r="DA72" s="499"/>
      <c r="DB72" s="499"/>
      <c r="DC72" s="499"/>
      <c r="DD72" s="499"/>
      <c r="DE72" s="499"/>
      <c r="DM72" s="499"/>
      <c r="DN72" s="499"/>
      <c r="DO72" s="499"/>
      <c r="DP72" s="504">
        <v>20</v>
      </c>
      <c r="DQ72" s="504">
        <v>20</v>
      </c>
      <c r="DR72" s="1444">
        <f>128*14+116+0.256+0.041</f>
        <v>1908.297</v>
      </c>
      <c r="DS72" s="1444">
        <f>128+20+0.256+0.041</f>
        <v>148.297</v>
      </c>
      <c r="DT72" s="1444">
        <f>0.256+0.041</f>
        <v>0.29699999999999999</v>
      </c>
      <c r="DU72" s="504">
        <v>20</v>
      </c>
      <c r="DV72" s="504">
        <v>20</v>
      </c>
      <c r="DW72" s="499"/>
      <c r="DX72" s="499">
        <v>20</v>
      </c>
      <c r="DY72" s="499"/>
      <c r="DZ72" s="499"/>
      <c r="EA72" s="499"/>
      <c r="EB72" s="499"/>
      <c r="EC72" s="499"/>
      <c r="ED72" s="499"/>
      <c r="EE72" s="499"/>
      <c r="EF72" s="499"/>
      <c r="EG72" s="499"/>
      <c r="EH72" s="499"/>
      <c r="EI72" s="499"/>
      <c r="EJ72" s="499"/>
      <c r="EK72" s="499"/>
      <c r="EL72" s="499"/>
      <c r="EM72" s="499"/>
      <c r="EN72" s="499"/>
    </row>
    <row r="73" spans="1:144">
      <c r="A73" s="499">
        <v>20</v>
      </c>
      <c r="B73" s="499"/>
      <c r="C73" s="498">
        <v>200020</v>
      </c>
      <c r="D73" s="954">
        <v>200020</v>
      </c>
      <c r="E73" s="707">
        <f>128*10+34</f>
        <v>1314</v>
      </c>
      <c r="F73" s="510">
        <f>128*14+116</f>
        <v>1908</v>
      </c>
      <c r="G73" s="1565">
        <f>10000*20+128*4+34+0.256+0.007</f>
        <v>200546.26300000001</v>
      </c>
      <c r="H73" s="1499"/>
      <c r="I73" s="814"/>
      <c r="J73" s="814"/>
      <c r="K73" s="814"/>
      <c r="L73" s="814"/>
      <c r="M73" s="816"/>
      <c r="N73" s="498">
        <v>200020</v>
      </c>
      <c r="O73" s="504">
        <v>200043</v>
      </c>
      <c r="P73" s="504">
        <v>200043</v>
      </c>
      <c r="Q73" s="1184">
        <f>10000*20+128+43</f>
        <v>200171</v>
      </c>
      <c r="R73" s="504">
        <v>200043</v>
      </c>
      <c r="W73" s="505">
        <v>490049</v>
      </c>
      <c r="X73" s="814"/>
      <c r="Y73" s="508">
        <f>10000*42+42</f>
        <v>420042</v>
      </c>
      <c r="Z73" s="1499"/>
      <c r="AA73" s="512">
        <f>490000+0.256+0.007</f>
        <v>490000.26299999998</v>
      </c>
      <c r="AB73" s="1499"/>
      <c r="AC73" s="508">
        <f>10000*42+42</f>
        <v>420042</v>
      </c>
      <c r="AD73" s="1560"/>
      <c r="AE73" s="505">
        <v>490049</v>
      </c>
      <c r="AF73" s="504">
        <v>20</v>
      </c>
      <c r="AG73" s="504">
        <v>20</v>
      </c>
      <c r="AH73" s="504">
        <v>50</v>
      </c>
      <c r="AI73" s="504">
        <v>50</v>
      </c>
      <c r="AJ73" s="504">
        <v>20</v>
      </c>
      <c r="AK73" s="504">
        <v>50</v>
      </c>
      <c r="AL73" s="504">
        <v>20</v>
      </c>
      <c r="AM73" s="504">
        <v>50</v>
      </c>
      <c r="AN73" s="504">
        <v>20</v>
      </c>
      <c r="AO73" s="504">
        <v>50</v>
      </c>
      <c r="AP73" s="504">
        <v>20</v>
      </c>
      <c r="AQ73" s="504">
        <v>50</v>
      </c>
      <c r="AR73" s="1530">
        <v>20</v>
      </c>
      <c r="AS73" s="517">
        <v>200020</v>
      </c>
      <c r="AT73" s="504">
        <v>19</v>
      </c>
      <c r="AU73" s="3071"/>
      <c r="AV73" s="498">
        <v>190019</v>
      </c>
      <c r="AW73" s="498">
        <v>20</v>
      </c>
      <c r="AX73" s="498">
        <v>20</v>
      </c>
      <c r="AY73" s="707">
        <f>128*10+1</f>
        <v>1281</v>
      </c>
      <c r="AZ73" s="1566">
        <f>128*9+66+0.185</f>
        <v>1218.1849999999999</v>
      </c>
      <c r="BA73" s="707"/>
      <c r="BB73" s="707"/>
      <c r="BC73" s="707"/>
      <c r="BD73" s="707">
        <f>128*10+8</f>
        <v>1288</v>
      </c>
      <c r="BE73" s="707"/>
      <c r="BF73" s="707">
        <f>128*16+15</f>
        <v>2063</v>
      </c>
      <c r="BG73" s="707"/>
      <c r="BH73" s="498">
        <v>20</v>
      </c>
      <c r="BK73" s="499"/>
      <c r="BM73" s="504">
        <v>27</v>
      </c>
      <c r="BN73" s="537"/>
      <c r="BO73" s="537">
        <f>128*14+116</f>
        <v>1908</v>
      </c>
      <c r="BP73" s="537"/>
      <c r="BQ73" s="504">
        <v>27</v>
      </c>
      <c r="BR73" s="757"/>
      <c r="BS73" s="770">
        <f>128*4+34</f>
        <v>546</v>
      </c>
      <c r="BT73" s="500"/>
      <c r="BU73" s="3081"/>
      <c r="BV73" s="819">
        <f>110000+128*11+7</f>
        <v>111415</v>
      </c>
      <c r="BW73" s="3081"/>
      <c r="BX73" s="500"/>
      <c r="BY73" s="754">
        <f>128*4+34</f>
        <v>546</v>
      </c>
      <c r="BZ73" s="537"/>
      <c r="CA73" s="504">
        <v>27</v>
      </c>
      <c r="CB73" s="1449"/>
      <c r="CC73" s="499"/>
      <c r="CD73" s="498">
        <f>10000*32</f>
        <v>320000</v>
      </c>
      <c r="CE73" s="499"/>
      <c r="CF73" s="504">
        <v>26</v>
      </c>
      <c r="CG73" s="504">
        <v>26</v>
      </c>
      <c r="CH73" s="504">
        <v>26</v>
      </c>
      <c r="CI73" s="504">
        <v>26</v>
      </c>
      <c r="CJ73" s="1568">
        <f>128*12+28+0.059</f>
        <v>1564.059</v>
      </c>
      <c r="CK73" s="1567">
        <f>128*12+29</f>
        <v>1565</v>
      </c>
      <c r="CL73" s="1567">
        <f>128*12+30</f>
        <v>1566</v>
      </c>
      <c r="CM73" s="1574">
        <f>128*12+31</f>
        <v>1567</v>
      </c>
      <c r="CN73" s="504">
        <v>26</v>
      </c>
      <c r="CO73" s="499"/>
      <c r="CP73" s="503">
        <f>128*9+1+0.5+0.001</f>
        <v>1153.501</v>
      </c>
      <c r="CQ73" s="498">
        <f t="shared" si="25"/>
        <v>200048</v>
      </c>
      <c r="CR73" s="499"/>
      <c r="CS73" s="499"/>
      <c r="CT73" s="499"/>
      <c r="CU73" s="499"/>
      <c r="CV73" s="499"/>
      <c r="CW73" s="499"/>
      <c r="CX73" s="525">
        <f>10000*20+48</f>
        <v>200048</v>
      </c>
      <c r="CY73" s="525">
        <f>10000*20+48</f>
        <v>200048</v>
      </c>
      <c r="CZ73" s="525">
        <f t="shared" ref="CZ73:DL73" si="26">10000*20+48</f>
        <v>200048</v>
      </c>
      <c r="DA73" s="525">
        <f t="shared" si="26"/>
        <v>200048</v>
      </c>
      <c r="DB73" s="525">
        <f t="shared" si="26"/>
        <v>200048</v>
      </c>
      <c r="DC73" s="525">
        <f t="shared" si="26"/>
        <v>200048</v>
      </c>
      <c r="DD73" s="525">
        <f t="shared" si="26"/>
        <v>200048</v>
      </c>
      <c r="DE73" s="525">
        <f t="shared" si="26"/>
        <v>200048</v>
      </c>
      <c r="DF73" s="525">
        <f t="shared" si="26"/>
        <v>200048</v>
      </c>
      <c r="DG73" s="525">
        <f t="shared" si="26"/>
        <v>200048</v>
      </c>
      <c r="DH73" s="525">
        <f t="shared" si="26"/>
        <v>200048</v>
      </c>
      <c r="DI73" s="525">
        <f t="shared" si="26"/>
        <v>200048</v>
      </c>
      <c r="DJ73" s="525">
        <f t="shared" si="26"/>
        <v>200048</v>
      </c>
      <c r="DK73" s="525">
        <f t="shared" si="26"/>
        <v>200048</v>
      </c>
      <c r="DL73" s="525">
        <f t="shared" si="26"/>
        <v>200048</v>
      </c>
      <c r="DM73" s="499"/>
      <c r="DN73" s="499"/>
      <c r="DO73" s="499"/>
      <c r="DP73" s="504">
        <v>20</v>
      </c>
      <c r="DQ73" s="1569">
        <f>128*12+1</f>
        <v>1537</v>
      </c>
      <c r="DR73" s="504">
        <v>20</v>
      </c>
      <c r="DS73" s="757">
        <f>128+20</f>
        <v>148</v>
      </c>
      <c r="DT73" s="504">
        <v>20</v>
      </c>
      <c r="DU73" s="1569">
        <f>128*12+3</f>
        <v>1539</v>
      </c>
      <c r="DV73" s="504">
        <v>20</v>
      </c>
      <c r="DW73" s="499"/>
      <c r="DX73" s="499">
        <v>20</v>
      </c>
      <c r="DY73" s="499"/>
      <c r="DZ73" s="499"/>
      <c r="EA73" s="499"/>
      <c r="EB73" s="499"/>
      <c r="EC73" s="499"/>
      <c r="ED73" s="499"/>
      <c r="EE73" s="499"/>
      <c r="EF73" s="499"/>
      <c r="EG73" s="499"/>
      <c r="EH73" s="499"/>
      <c r="EI73" s="499"/>
      <c r="EJ73" s="499"/>
      <c r="EK73" s="499"/>
      <c r="EL73" s="499"/>
      <c r="EM73" s="499"/>
      <c r="EN73" s="499"/>
    </row>
    <row r="74" spans="1:144" ht="15.75">
      <c r="A74" s="499">
        <v>20</v>
      </c>
      <c r="B74" s="499"/>
      <c r="C74" s="498">
        <v>200020</v>
      </c>
      <c r="D74" s="954">
        <v>200020</v>
      </c>
      <c r="E74" s="1180">
        <v>200020</v>
      </c>
      <c r="F74" s="1570">
        <f>10000*20+128*5+40</f>
        <v>200680</v>
      </c>
      <c r="G74" s="1571">
        <f>20+0.18</f>
        <v>20.18</v>
      </c>
      <c r="H74" s="1499"/>
      <c r="I74" s="1499">
        <f>128*9+61</f>
        <v>1213</v>
      </c>
      <c r="J74" s="1499"/>
      <c r="K74" s="1499">
        <f>128*9+61</f>
        <v>1213</v>
      </c>
      <c r="L74" s="1499"/>
      <c r="M74" s="816"/>
      <c r="N74" s="766">
        <f>10000*20+128*5+38</f>
        <v>200678</v>
      </c>
      <c r="O74" s="707">
        <f>128*14+116</f>
        <v>1908</v>
      </c>
      <c r="P74" s="707"/>
      <c r="Q74" s="1184">
        <f>10000*20+128+43</f>
        <v>200171</v>
      </c>
      <c r="R74" s="504">
        <v>200043</v>
      </c>
      <c r="W74" s="505">
        <v>490049</v>
      </c>
      <c r="X74" s="814"/>
      <c r="Y74" s="1499"/>
      <c r="Z74" s="1499"/>
      <c r="AA74" s="1499"/>
      <c r="AB74" s="1499"/>
      <c r="AC74" s="1572">
        <f>0.384+0.008</f>
        <v>0.39200000000000002</v>
      </c>
      <c r="AD74" s="1560"/>
      <c r="AE74" s="505">
        <v>490049</v>
      </c>
      <c r="AG74" s="499"/>
      <c r="AH74" s="499"/>
      <c r="AI74" s="499"/>
      <c r="AJ74" s="499"/>
      <c r="AK74" s="499"/>
      <c r="AL74" s="499"/>
      <c r="AM74" s="499"/>
      <c r="AN74" s="499"/>
      <c r="AO74" s="499"/>
      <c r="AP74" s="499"/>
      <c r="AQ74" s="499"/>
      <c r="AR74" s="499"/>
      <c r="AS74" s="499"/>
      <c r="AT74" s="504">
        <v>4</v>
      </c>
      <c r="AU74" s="769"/>
      <c r="AV74" s="754">
        <f>4+0.125</f>
        <v>4.125</v>
      </c>
      <c r="AW74" s="499"/>
      <c r="AX74" s="498">
        <v>20</v>
      </c>
      <c r="AY74" s="498">
        <v>20</v>
      </c>
      <c r="AZ74" s="498">
        <v>20</v>
      </c>
      <c r="BA74" s="498">
        <v>20</v>
      </c>
      <c r="BB74" s="1566">
        <f>20+0.182</f>
        <v>20.181999999999999</v>
      </c>
      <c r="BC74" s="498">
        <v>20</v>
      </c>
      <c r="BD74" s="498">
        <v>20</v>
      </c>
      <c r="BE74" s="498">
        <v>20</v>
      </c>
      <c r="BF74" s="1566">
        <f>20+0.182</f>
        <v>20.181999999999999</v>
      </c>
      <c r="BG74" s="498">
        <v>20</v>
      </c>
      <c r="BH74" s="498">
        <v>20</v>
      </c>
      <c r="BM74" s="504">
        <v>27</v>
      </c>
      <c r="BN74" s="504">
        <v>27</v>
      </c>
      <c r="BO74" s="1573">
        <f>128+27</f>
        <v>155</v>
      </c>
      <c r="BP74" s="504">
        <v>27</v>
      </c>
      <c r="BQ74" s="504">
        <v>27</v>
      </c>
      <c r="BR74" s="3104">
        <f>128*17+2</f>
        <v>2178</v>
      </c>
      <c r="BS74" s="770">
        <f>128*4+34</f>
        <v>546</v>
      </c>
      <c r="BT74" s="500"/>
      <c r="BU74" s="3080"/>
      <c r="BV74" s="3080"/>
      <c r="BW74" s="3081"/>
      <c r="BX74" s="500"/>
      <c r="BY74" s="754">
        <f>128*4+34</f>
        <v>546</v>
      </c>
      <c r="BZ74" s="3105">
        <f>128*17+2</f>
        <v>2178</v>
      </c>
      <c r="CA74" s="504">
        <f>27+0.163</f>
        <v>27.163</v>
      </c>
      <c r="CB74" s="1449"/>
      <c r="CC74" s="499"/>
      <c r="CD74" s="499"/>
      <c r="CE74" s="499"/>
      <c r="CF74" s="504">
        <f>2+0.059</f>
        <v>2.0590000000000002</v>
      </c>
      <c r="CG74" s="2553">
        <f>128*9+7+0.256+0.016</f>
        <v>1159.2720000000002</v>
      </c>
      <c r="CH74" s="2226">
        <f>128*14+116+0.059</f>
        <v>1908.059</v>
      </c>
      <c r="CI74" s="3737">
        <f>26+0.11</f>
        <v>26.11</v>
      </c>
      <c r="CJ74" s="1568">
        <f>128*12+32+0.0593</f>
        <v>1568.0592999999999</v>
      </c>
      <c r="CK74" s="1567">
        <f>128*12+33</f>
        <v>1569</v>
      </c>
      <c r="CL74" s="772">
        <f>128*12+34</f>
        <v>1570</v>
      </c>
      <c r="CM74" s="1574">
        <f>128*12+35</f>
        <v>1571</v>
      </c>
      <c r="CN74" s="504">
        <v>26</v>
      </c>
      <c r="CO74" s="499"/>
      <c r="CP74" s="499"/>
      <c r="CQ74" s="498">
        <f t="shared" si="25"/>
        <v>200048</v>
      </c>
      <c r="CR74" s="499"/>
      <c r="CS74" s="499"/>
      <c r="CT74" s="499"/>
      <c r="CU74" s="499"/>
      <c r="CV74" s="499"/>
      <c r="CW74" s="499"/>
      <c r="CX74" s="517">
        <f>10000*20+48</f>
        <v>200048</v>
      </c>
      <c r="CY74" s="3130">
        <f>128*10+16</f>
        <v>1296</v>
      </c>
      <c r="CZ74" s="517">
        <f>10000*48+48</f>
        <v>480048</v>
      </c>
      <c r="DA74" s="1575">
        <f>10000*48+48</f>
        <v>480048</v>
      </c>
      <c r="DB74" s="1576">
        <f>10000*48+48+0.256+0.013</f>
        <v>480048.26899999997</v>
      </c>
      <c r="DC74" s="1575">
        <f>10000*48+48</f>
        <v>480048</v>
      </c>
      <c r="DD74" s="1576">
        <f>10000*48+48+0.256+0.013</f>
        <v>480048.26899999997</v>
      </c>
      <c r="DE74" s="1575">
        <f>10000*48+48</f>
        <v>480048</v>
      </c>
      <c r="DF74" s="1576">
        <f>10000*48+48+0.256+0.013</f>
        <v>480048.26899999997</v>
      </c>
      <c r="DG74" s="1575">
        <f>10000*48+48</f>
        <v>480048</v>
      </c>
      <c r="DH74" s="1576">
        <f>10000*48+48+0.256+0.013</f>
        <v>480048.26899999997</v>
      </c>
      <c r="DI74" s="1575">
        <f>10000*48+48</f>
        <v>480048</v>
      </c>
      <c r="DJ74" s="1576">
        <f>10000*48+48+0.256+0.013</f>
        <v>480048.26899999997</v>
      </c>
      <c r="DK74" s="1575">
        <f>10000*48+48</f>
        <v>480048</v>
      </c>
      <c r="DL74" s="517">
        <f>10000*48+48</f>
        <v>480048</v>
      </c>
      <c r="DM74" s="499"/>
      <c r="DN74" s="499"/>
      <c r="DO74" s="499"/>
      <c r="DP74" s="504">
        <v>20</v>
      </c>
      <c r="DQ74" s="1569">
        <f>128*12+2</f>
        <v>1538</v>
      </c>
      <c r="DR74" s="504">
        <v>20</v>
      </c>
      <c r="DS74" s="757">
        <f>128+20</f>
        <v>148</v>
      </c>
      <c r="DT74" s="504">
        <v>20</v>
      </c>
      <c r="DU74" s="1569">
        <f>128*12+4</f>
        <v>1540</v>
      </c>
      <c r="DV74" s="504">
        <v>20</v>
      </c>
      <c r="DW74" s="499"/>
      <c r="DX74" s="499">
        <v>20</v>
      </c>
      <c r="DY74" s="499"/>
      <c r="DZ74" s="499"/>
      <c r="EA74" s="499"/>
      <c r="EB74" s="499"/>
      <c r="EC74" s="499"/>
      <c r="ED74" s="499"/>
      <c r="EE74" s="499"/>
      <c r="EF74" s="499"/>
      <c r="EG74" s="499"/>
      <c r="EH74" s="499"/>
      <c r="EI74" s="499"/>
      <c r="EJ74" s="499"/>
      <c r="EK74" s="499"/>
      <c r="EL74" s="499"/>
      <c r="EM74" s="499"/>
      <c r="EN74" s="499"/>
    </row>
    <row r="75" spans="1:144">
      <c r="A75" s="499">
        <v>20</v>
      </c>
      <c r="B75" s="499"/>
      <c r="C75" s="498">
        <v>200020</v>
      </c>
      <c r="D75" s="951">
        <v>200020</v>
      </c>
      <c r="E75" s="1499"/>
      <c r="F75" s="1499"/>
      <c r="G75" s="1499"/>
      <c r="H75" s="1499"/>
      <c r="I75" s="1499"/>
      <c r="J75" s="1499"/>
      <c r="K75" s="1499"/>
      <c r="L75" s="1499"/>
      <c r="M75" s="816"/>
      <c r="N75" s="498">
        <v>200020</v>
      </c>
      <c r="O75" s="504">
        <v>200043</v>
      </c>
      <c r="P75" s="504">
        <v>200043</v>
      </c>
      <c r="Q75" s="504">
        <v>200043</v>
      </c>
      <c r="R75" s="504">
        <v>200043</v>
      </c>
      <c r="W75" s="505">
        <v>490049</v>
      </c>
      <c r="X75" s="814"/>
      <c r="Y75" s="508">
        <f>10000*42+42</f>
        <v>420042</v>
      </c>
      <c r="Z75" s="1499"/>
      <c r="AA75" s="508">
        <f>10000*42+42</f>
        <v>420042</v>
      </c>
      <c r="AB75" s="1499"/>
      <c r="AC75" s="508">
        <f>10000*42+42</f>
        <v>420042</v>
      </c>
      <c r="AD75" s="1560"/>
      <c r="AE75" s="505">
        <v>490049</v>
      </c>
      <c r="AG75" s="499"/>
      <c r="AH75" s="499"/>
      <c r="AI75" s="499"/>
      <c r="AJ75" s="499"/>
      <c r="AK75" s="499"/>
      <c r="AL75" s="499"/>
      <c r="AM75" s="499"/>
      <c r="AN75" s="499"/>
      <c r="AO75" s="499"/>
      <c r="AP75" s="499"/>
      <c r="AQ75" s="499"/>
      <c r="AR75" s="499"/>
      <c r="AS75" s="499"/>
      <c r="AT75" s="504">
        <f>10000*20+49</f>
        <v>200049</v>
      </c>
      <c r="AU75" s="766">
        <f>10000*20+128*5+30+0.151</f>
        <v>200670.15100000001</v>
      </c>
      <c r="AV75" s="504">
        <f>10000*20+49</f>
        <v>200049</v>
      </c>
      <c r="AW75" s="499"/>
      <c r="AX75" s="498">
        <v>20</v>
      </c>
      <c r="AY75" s="498">
        <v>20</v>
      </c>
      <c r="AZ75" s="498">
        <v>20</v>
      </c>
      <c r="BA75" s="498">
        <v>20</v>
      </c>
      <c r="BB75" s="498">
        <v>20</v>
      </c>
      <c r="BC75" s="498">
        <v>20</v>
      </c>
      <c r="BD75" s="498">
        <v>20</v>
      </c>
      <c r="BE75" s="498">
        <v>20</v>
      </c>
      <c r="BF75" s="498">
        <v>20</v>
      </c>
      <c r="BG75" s="498">
        <v>20</v>
      </c>
      <c r="BH75" s="498">
        <v>20</v>
      </c>
      <c r="BN75" s="504">
        <v>27</v>
      </c>
      <c r="BO75" s="537"/>
      <c r="BP75" s="500">
        <f>10000*20+128*5+40</f>
        <v>200680</v>
      </c>
      <c r="BQ75" s="537"/>
      <c r="BR75" s="537"/>
      <c r="BS75" s="504">
        <f>27</f>
        <v>27</v>
      </c>
      <c r="BT75" s="500"/>
      <c r="BU75" s="500"/>
      <c r="BV75" s="500"/>
      <c r="BW75" s="500"/>
      <c r="BX75" s="500"/>
      <c r="BY75" s="504">
        <v>27</v>
      </c>
      <c r="BZ75" s="537"/>
      <c r="CA75" s="504">
        <v>27</v>
      </c>
      <c r="CB75" s="1449"/>
      <c r="CC75" s="499"/>
      <c r="CD75" s="499"/>
      <c r="CE75" s="499"/>
      <c r="CF75" s="504">
        <v>26</v>
      </c>
      <c r="CG75" s="504">
        <v>26</v>
      </c>
      <c r="CH75" s="504">
        <v>26</v>
      </c>
      <c r="CI75" s="504">
        <v>26</v>
      </c>
      <c r="CJ75" s="1568">
        <f>128*12+36+0.059</f>
        <v>1572.059</v>
      </c>
      <c r="CK75" s="1567">
        <f>128*12+37</f>
        <v>1573</v>
      </c>
      <c r="CL75" s="1567">
        <f>128*12+38+0.03</f>
        <v>1574.03</v>
      </c>
      <c r="CM75" s="1574">
        <f>128*12+39</f>
        <v>1575</v>
      </c>
      <c r="CN75" s="504">
        <v>26</v>
      </c>
      <c r="CO75" s="503">
        <f>128*9+1+0.5+0.001</f>
        <v>1153.501</v>
      </c>
      <c r="CQ75" s="498">
        <f t="shared" si="25"/>
        <v>200048</v>
      </c>
      <c r="CR75" s="499"/>
      <c r="CS75" s="499"/>
      <c r="CT75" s="499"/>
      <c r="CU75" s="499"/>
      <c r="CV75" s="525">
        <f>10000*20+48</f>
        <v>200048</v>
      </c>
      <c r="CW75" s="525">
        <f>10000*20+48</f>
        <v>200048</v>
      </c>
      <c r="CX75" s="525">
        <f>10000*20+48</f>
        <v>200048</v>
      </c>
      <c r="CY75" s="1577">
        <f>10000*20+128*10+1+0.059</f>
        <v>201281.05900000001</v>
      </c>
      <c r="CZ75" s="3131">
        <f>10000*48+128*9+2+0.059</f>
        <v>481154.05900000001</v>
      </c>
      <c r="DA75" s="1578">
        <f>128*6+59+0.256+0.005</f>
        <v>827.26099999999997</v>
      </c>
      <c r="DB75" s="504">
        <v>48</v>
      </c>
      <c r="DC75" s="504">
        <v>48</v>
      </c>
      <c r="DD75" s="504">
        <v>48</v>
      </c>
      <c r="DE75" s="504">
        <v>48</v>
      </c>
      <c r="DF75" s="504">
        <v>48</v>
      </c>
      <c r="DG75" s="504">
        <v>48</v>
      </c>
      <c r="DH75" s="504">
        <v>48</v>
      </c>
      <c r="DI75" s="504">
        <v>48</v>
      </c>
      <c r="DJ75" s="504">
        <v>48</v>
      </c>
      <c r="DK75" s="1579"/>
      <c r="DL75" s="517">
        <f>10000*48+48</f>
        <v>480048</v>
      </c>
      <c r="DM75" s="499"/>
      <c r="DN75" s="499"/>
      <c r="DO75" s="499"/>
      <c r="DP75" s="504">
        <v>20</v>
      </c>
      <c r="DQ75" s="537"/>
      <c r="DR75" s="504">
        <v>20</v>
      </c>
      <c r="DS75" s="1383">
        <f>128+20+0.116</f>
        <v>148.11600000000001</v>
      </c>
      <c r="DT75" s="504">
        <v>20</v>
      </c>
      <c r="DU75" s="537"/>
      <c r="DV75" s="504">
        <v>20</v>
      </c>
      <c r="DW75" s="499"/>
      <c r="DX75" s="499">
        <v>20</v>
      </c>
      <c r="DY75" s="499"/>
      <c r="DZ75" s="499"/>
      <c r="EA75" s="499"/>
      <c r="EB75" s="499"/>
      <c r="EC75" s="499"/>
      <c r="ED75" s="499"/>
      <c r="EE75" s="499"/>
      <c r="EF75" s="499"/>
      <c r="EG75" s="499"/>
      <c r="EH75" s="499"/>
      <c r="EI75" s="499"/>
      <c r="EJ75" s="499"/>
      <c r="EK75" s="499"/>
      <c r="EL75" s="499"/>
      <c r="EM75" s="499"/>
      <c r="EN75" s="499"/>
    </row>
    <row r="76" spans="1:144" ht="13.5">
      <c r="A76" s="499">
        <v>20</v>
      </c>
      <c r="B76" s="499"/>
      <c r="C76" s="498">
        <v>200020</v>
      </c>
      <c r="D76" s="498">
        <v>200020</v>
      </c>
      <c r="E76" s="814">
        <f>128*8+2</f>
        <v>1026</v>
      </c>
      <c r="F76" s="1499"/>
      <c r="G76" s="1499">
        <f>0.384+0.003</f>
        <v>0.38700000000000001</v>
      </c>
      <c r="H76" s="1499"/>
      <c r="I76" s="1499">
        <f>128*9+61</f>
        <v>1213</v>
      </c>
      <c r="J76" s="1499"/>
      <c r="K76" s="1499">
        <f>128*9+61</f>
        <v>1213</v>
      </c>
      <c r="L76" s="1499"/>
      <c r="M76" s="816"/>
      <c r="N76" s="498">
        <v>200020</v>
      </c>
      <c r="O76" s="499"/>
      <c r="P76" s="499"/>
      <c r="Q76" s="1449"/>
      <c r="W76" s="505">
        <v>490049</v>
      </c>
      <c r="X76" s="814">
        <f>0.256+0.008</f>
        <v>0.26400000000000001</v>
      </c>
      <c r="Y76" s="814"/>
      <c r="Z76" s="814"/>
      <c r="AA76" s="814"/>
      <c r="AB76" s="814"/>
      <c r="AC76" s="814"/>
      <c r="AD76" s="1560"/>
      <c r="AE76" s="505">
        <v>490049</v>
      </c>
      <c r="AG76" s="499"/>
      <c r="AH76" s="499"/>
      <c r="AI76" s="499"/>
      <c r="AJ76" s="499"/>
      <c r="AK76" s="499"/>
      <c r="AL76" s="499"/>
      <c r="AM76" s="499"/>
      <c r="AN76" s="499"/>
      <c r="AO76" s="499"/>
      <c r="AP76" s="499"/>
      <c r="AQ76" s="499"/>
      <c r="AR76" s="499"/>
      <c r="AS76" s="499"/>
      <c r="AT76" s="504">
        <f>10000*20+49</f>
        <v>200049</v>
      </c>
      <c r="AU76" s="1556">
        <f>128*11+6</f>
        <v>1414</v>
      </c>
      <c r="AV76" s="504">
        <f>10000*20+49</f>
        <v>200049</v>
      </c>
      <c r="AW76" s="499"/>
      <c r="AX76" s="499"/>
      <c r="BN76" s="504">
        <f>27+0.163</f>
        <v>27.163</v>
      </c>
      <c r="BO76" s="537"/>
      <c r="BP76" s="1580">
        <f>27+0.129</f>
        <v>27.129000000000001</v>
      </c>
      <c r="BQ76" s="504">
        <v>27</v>
      </c>
      <c r="BR76" s="504">
        <v>27</v>
      </c>
      <c r="BS76" s="504">
        <v>27</v>
      </c>
      <c r="BT76" s="527">
        <f>128*4+34</f>
        <v>546</v>
      </c>
      <c r="BU76" s="504">
        <f>27+0.163</f>
        <v>27.163</v>
      </c>
      <c r="BV76" s="500">
        <f>10000*20+128*5+40</f>
        <v>200680</v>
      </c>
      <c r="BW76" s="1581">
        <f>27+0.065</f>
        <v>27.065000000000001</v>
      </c>
      <c r="BX76" s="3099">
        <f>128*4+34+0.256+0.003</f>
        <v>546.25900000000001</v>
      </c>
      <c r="BY76" s="504">
        <v>27</v>
      </c>
      <c r="BZ76" s="1582">
        <f>128*9+69+0.083</f>
        <v>1221.0830000000001</v>
      </c>
      <c r="CA76" s="504">
        <v>27</v>
      </c>
      <c r="CB76" s="504">
        <v>27</v>
      </c>
      <c r="CC76" s="499"/>
      <c r="CD76" s="499"/>
      <c r="CE76" s="498">
        <f>10000*21+48</f>
        <v>210048</v>
      </c>
      <c r="CF76" s="499"/>
      <c r="CG76" s="499"/>
      <c r="CH76" s="499"/>
      <c r="CI76" s="503">
        <f>128*9+1+0.5+0.001</f>
        <v>1153.501</v>
      </c>
      <c r="CJ76" s="504">
        <v>26</v>
      </c>
      <c r="CK76" s="1567">
        <f>128*12+40</f>
        <v>1576</v>
      </c>
      <c r="CL76" s="1568">
        <f>128*12+41</f>
        <v>1577</v>
      </c>
      <c r="CM76" s="504">
        <v>26</v>
      </c>
      <c r="CN76" s="503">
        <f>128*9+1+0.5+0.001</f>
        <v>1153.501</v>
      </c>
      <c r="CO76" s="499"/>
      <c r="CQ76" s="498">
        <f t="shared" si="25"/>
        <v>200048</v>
      </c>
      <c r="CR76" s="499"/>
      <c r="CS76" s="499"/>
      <c r="CT76" s="499"/>
      <c r="CU76" s="499"/>
      <c r="CV76" s="517">
        <f>10000*20+48</f>
        <v>200048</v>
      </c>
      <c r="CW76" s="1583">
        <f t="shared" ref="CW76:CX80" si="27">10000*48+48</f>
        <v>480048</v>
      </c>
      <c r="CX76" s="1583">
        <f t="shared" si="27"/>
        <v>480048</v>
      </c>
      <c r="CY76" s="1583">
        <f>10000*48+128*9+2</f>
        <v>481154</v>
      </c>
      <c r="CZ76" s="517">
        <f>10000*48+48</f>
        <v>480048</v>
      </c>
      <c r="DA76" s="1578">
        <f>128*6+59</f>
        <v>827</v>
      </c>
      <c r="DB76" s="504">
        <v>48</v>
      </c>
      <c r="DC76" s="1584">
        <f>128*12+5</f>
        <v>1541</v>
      </c>
      <c r="DD76" s="1584">
        <f>128*12+6</f>
        <v>1542</v>
      </c>
      <c r="DE76" s="1595">
        <f>128*12+7+0.256+0.002</f>
        <v>1543.258</v>
      </c>
      <c r="DF76" s="1584">
        <f>128*12+8</f>
        <v>1544</v>
      </c>
      <c r="DG76" s="1584">
        <f>128*12+9</f>
        <v>1545</v>
      </c>
      <c r="DH76" s="1584">
        <f>128*12+10</f>
        <v>1546</v>
      </c>
      <c r="DI76" s="1585">
        <f>128*12+11</f>
        <v>1547</v>
      </c>
      <c r="DJ76" s="754">
        <f>48+0.256+0.011</f>
        <v>48.267000000000003</v>
      </c>
      <c r="DK76" s="1579"/>
      <c r="DL76" s="1586">
        <f>10000*48+48+0.256+0.013</f>
        <v>480048.26899999997</v>
      </c>
      <c r="DM76" s="499"/>
      <c r="DN76" s="499"/>
      <c r="DO76" s="499"/>
      <c r="DP76" s="504">
        <v>20</v>
      </c>
      <c r="DQ76" s="537"/>
      <c r="DR76" s="537"/>
      <c r="DS76" s="537">
        <f>128*6+9</f>
        <v>777</v>
      </c>
      <c r="DT76" s="537"/>
      <c r="DU76" s="537"/>
      <c r="DV76" s="504">
        <v>20</v>
      </c>
      <c r="DW76" s="499"/>
      <c r="DX76" s="499">
        <v>20</v>
      </c>
      <c r="DY76" s="499"/>
      <c r="DZ76" s="499"/>
      <c r="EA76" s="499"/>
      <c r="EB76" s="499"/>
      <c r="EC76" s="499"/>
      <c r="ED76" s="499"/>
      <c r="EE76" s="499"/>
      <c r="EF76" s="499"/>
      <c r="EG76" s="499"/>
      <c r="EH76" s="499"/>
      <c r="EI76" s="499"/>
      <c r="EJ76" s="499"/>
      <c r="EK76" s="499"/>
      <c r="EL76" s="499"/>
      <c r="EM76" s="499"/>
      <c r="EN76" s="499"/>
    </row>
    <row r="77" spans="1:144" ht="13.5">
      <c r="A77" s="499">
        <v>20</v>
      </c>
      <c r="B77" s="499"/>
      <c r="C77" s="499"/>
      <c r="D77" s="498">
        <v>200020</v>
      </c>
      <c r="E77" s="814"/>
      <c r="F77" s="814"/>
      <c r="G77" s="814"/>
      <c r="H77" s="814"/>
      <c r="I77" s="814"/>
      <c r="J77" s="814"/>
      <c r="K77" s="814"/>
      <c r="L77" s="814"/>
      <c r="M77" s="816"/>
      <c r="N77" s="498">
        <v>200020</v>
      </c>
      <c r="O77" s="499"/>
      <c r="P77" s="499"/>
      <c r="Q77" s="1449"/>
      <c r="W77" s="505">
        <v>490049</v>
      </c>
      <c r="X77" s="505">
        <v>490049</v>
      </c>
      <c r="Y77" s="505">
        <v>490049</v>
      </c>
      <c r="Z77" s="505">
        <v>490049</v>
      </c>
      <c r="AA77" s="505">
        <v>490049</v>
      </c>
      <c r="AB77" s="505">
        <v>490049</v>
      </c>
      <c r="AC77" s="505">
        <v>490049</v>
      </c>
      <c r="AD77" s="505">
        <v>490049</v>
      </c>
      <c r="AE77" s="505">
        <v>490049</v>
      </c>
      <c r="AG77" s="499"/>
      <c r="AH77" s="499"/>
      <c r="AI77" s="499"/>
      <c r="AJ77" s="499"/>
      <c r="AK77" s="499"/>
      <c r="AL77" s="499"/>
      <c r="AM77" s="499"/>
      <c r="AN77" s="499"/>
      <c r="AO77" s="499"/>
      <c r="AP77" s="499"/>
      <c r="AQ77" s="499"/>
      <c r="AR77" s="499"/>
      <c r="AS77" s="499"/>
      <c r="AT77" s="504">
        <f>10000*20+49</f>
        <v>200049</v>
      </c>
      <c r="AU77" s="678">
        <f>10000*20+49+0.067</f>
        <v>200049.06700000001</v>
      </c>
      <c r="AV77" s="504">
        <f>10000*20+49</f>
        <v>200049</v>
      </c>
      <c r="AW77" s="499"/>
      <c r="AX77" s="499"/>
      <c r="BN77" s="504">
        <v>27</v>
      </c>
      <c r="BO77" s="537"/>
      <c r="BP77" s="500">
        <f>10000*20+128*5+40</f>
        <v>200680</v>
      </c>
      <c r="BQ77" s="537"/>
      <c r="BR77" s="537"/>
      <c r="BS77" s="1587">
        <f>10000*20+128*5+40</f>
        <v>200680</v>
      </c>
      <c r="BT77" s="537"/>
      <c r="BU77" s="1588"/>
      <c r="BV77" s="537"/>
      <c r="BW77" s="1589">
        <f>10000*20+128*5+40</f>
        <v>200680</v>
      </c>
      <c r="BX77" s="1590">
        <f>128*10+7</f>
        <v>1287</v>
      </c>
      <c r="BY77" s="1590"/>
      <c r="BZ77" s="1590"/>
      <c r="CA77" s="1590"/>
      <c r="CB77" s="504">
        <v>27</v>
      </c>
      <c r="CC77" s="499"/>
      <c r="CD77" s="499"/>
      <c r="CE77" s="498">
        <f>10000*21+48</f>
        <v>210048</v>
      </c>
      <c r="CF77" s="499"/>
      <c r="CG77" s="499"/>
      <c r="CH77" s="499"/>
      <c r="CI77" s="499"/>
      <c r="CJ77" s="503">
        <f>128*9+1+0.5+0.001</f>
        <v>1153.501</v>
      </c>
      <c r="CK77" s="504">
        <v>26</v>
      </c>
      <c r="CL77" s="504">
        <v>26</v>
      </c>
      <c r="CM77" s="503">
        <f>128*9+1+0.5+0.001</f>
        <v>1153.501</v>
      </c>
      <c r="CN77" s="503">
        <f>128*9+1+0.5+0.001</f>
        <v>1153.501</v>
      </c>
      <c r="CO77" s="499"/>
      <c r="CQ77" s="517">
        <f>10000*46+48</f>
        <v>460048</v>
      </c>
      <c r="CR77" s="499"/>
      <c r="CS77" s="499"/>
      <c r="CT77" s="499"/>
      <c r="CU77" s="499"/>
      <c r="CV77" s="517">
        <f>10000*20+48</f>
        <v>200048</v>
      </c>
      <c r="CW77" s="1583">
        <f t="shared" si="27"/>
        <v>480048</v>
      </c>
      <c r="CX77" s="504">
        <f t="shared" si="27"/>
        <v>480048</v>
      </c>
      <c r="CY77" s="1591">
        <f>10000*48+128*9+2</f>
        <v>481154</v>
      </c>
      <c r="CZ77" s="517">
        <f>10000*48+48</f>
        <v>480048</v>
      </c>
      <c r="DA77" s="1578">
        <f>128*6+59</f>
        <v>827</v>
      </c>
      <c r="DB77" s="504">
        <v>48</v>
      </c>
      <c r="DC77" s="1592">
        <f>128*9+40+0.06</f>
        <v>1192.06</v>
      </c>
      <c r="DD77" s="1584">
        <f>128*12+13</f>
        <v>1549</v>
      </c>
      <c r="DE77" s="1584">
        <f>128*12+14</f>
        <v>1550</v>
      </c>
      <c r="DF77" s="1584">
        <f>128*12+15</f>
        <v>1551</v>
      </c>
      <c r="DG77" s="1584">
        <f>128*12+16</f>
        <v>1552</v>
      </c>
      <c r="DH77" s="1584">
        <f>128*12+17</f>
        <v>1553</v>
      </c>
      <c r="DI77" s="1585">
        <f>128*12+18</f>
        <v>1554</v>
      </c>
      <c r="DJ77" s="754">
        <f>48+0.256+0.011</f>
        <v>48.267000000000003</v>
      </c>
      <c r="DK77" s="1579"/>
      <c r="DL77" s="517">
        <f>10000*48+48</f>
        <v>480048</v>
      </c>
      <c r="DM77" s="499"/>
      <c r="DN77" s="499"/>
      <c r="DO77" s="499"/>
      <c r="DP77" s="504">
        <v>20</v>
      </c>
      <c r="DQ77" s="504">
        <v>20</v>
      </c>
      <c r="DR77" s="537">
        <f>128*9+2</f>
        <v>1154</v>
      </c>
      <c r="DS77" s="504">
        <v>20</v>
      </c>
      <c r="DT77" s="537">
        <f>128*9+2</f>
        <v>1154</v>
      </c>
      <c r="DU77" s="504">
        <v>20</v>
      </c>
      <c r="DV77" s="504">
        <v>20</v>
      </c>
      <c r="DW77" s="499"/>
      <c r="DX77" s="499">
        <v>20</v>
      </c>
      <c r="DY77" s="499"/>
      <c r="DZ77" s="499"/>
      <c r="EA77" s="499"/>
      <c r="EB77" s="499"/>
      <c r="EC77" s="499"/>
      <c r="ED77" s="499"/>
      <c r="EE77" s="499"/>
      <c r="EF77" s="499"/>
      <c r="EG77" s="499"/>
      <c r="EH77" s="499"/>
      <c r="EI77" s="499"/>
      <c r="EJ77" s="499"/>
      <c r="EK77" s="499"/>
      <c r="EL77" s="499"/>
      <c r="EM77" s="499"/>
      <c r="EN77" s="499"/>
    </row>
    <row r="78" spans="1:144" ht="13.5">
      <c r="A78" s="499">
        <v>20</v>
      </c>
      <c r="B78" s="499"/>
      <c r="C78" s="499"/>
      <c r="D78" s="498">
        <v>200020</v>
      </c>
      <c r="E78" s="498">
        <v>200020</v>
      </c>
      <c r="F78" s="498">
        <v>200020</v>
      </c>
      <c r="G78" s="498">
        <v>200020</v>
      </c>
      <c r="H78" s="498">
        <v>200020</v>
      </c>
      <c r="I78" s="498">
        <v>200020</v>
      </c>
      <c r="J78" s="498">
        <v>200020</v>
      </c>
      <c r="K78" s="498">
        <v>200020</v>
      </c>
      <c r="L78" s="498">
        <v>200020</v>
      </c>
      <c r="M78" s="498">
        <v>200020</v>
      </c>
      <c r="N78" s="498">
        <v>200020</v>
      </c>
      <c r="O78" s="499"/>
      <c r="P78" s="499"/>
      <c r="Q78" s="1449"/>
      <c r="AG78" s="499"/>
      <c r="AH78" s="499"/>
      <c r="AI78" s="499"/>
      <c r="AJ78" s="499"/>
      <c r="AK78" s="499"/>
      <c r="AL78" s="499"/>
      <c r="AM78" s="499"/>
      <c r="AN78" s="499"/>
      <c r="AO78" s="499"/>
      <c r="AP78" s="499"/>
      <c r="AQ78" s="499"/>
      <c r="AR78" s="499"/>
      <c r="AS78" s="499"/>
      <c r="AT78" s="499"/>
      <c r="AU78" s="499"/>
      <c r="AV78" s="499"/>
      <c r="AW78" s="499"/>
      <c r="AX78" s="499"/>
      <c r="BN78" s="504">
        <v>27</v>
      </c>
      <c r="BO78" s="504">
        <v>27</v>
      </c>
      <c r="BP78" s="504">
        <v>27</v>
      </c>
      <c r="BQ78" s="504">
        <v>27</v>
      </c>
      <c r="BR78" s="504">
        <v>27</v>
      </c>
      <c r="BS78" s="504">
        <v>27</v>
      </c>
      <c r="BT78" s="504">
        <v>27</v>
      </c>
      <c r="BU78" s="504">
        <v>27</v>
      </c>
      <c r="BV78" s="504">
        <v>27</v>
      </c>
      <c r="BW78" s="1593">
        <f>27+0.065</f>
        <v>27.065000000000001</v>
      </c>
      <c r="BX78" s="1590">
        <f>128*10+8</f>
        <v>1288</v>
      </c>
      <c r="BY78" s="1590"/>
      <c r="BZ78" s="1590"/>
      <c r="CA78" s="1590"/>
      <c r="CB78" s="504">
        <v>27</v>
      </c>
      <c r="CC78" s="499"/>
      <c r="CD78" s="499"/>
      <c r="CE78" s="498">
        <f>10000*21+48</f>
        <v>210048</v>
      </c>
      <c r="CF78" s="499"/>
      <c r="CG78" s="499"/>
      <c r="CH78" s="499"/>
      <c r="CI78" s="499"/>
      <c r="CJ78" s="499"/>
      <c r="CK78" s="499"/>
      <c r="CL78" s="503">
        <f>128*9+1+0.5+0.001</f>
        <v>1153.501</v>
      </c>
      <c r="CM78" s="503">
        <f>128*9+1+0.5+0.001</f>
        <v>1153.501</v>
      </c>
      <c r="CN78" s="499"/>
      <c r="CO78" s="499"/>
      <c r="CQ78" s="517">
        <f>10000*46+48</f>
        <v>460048</v>
      </c>
      <c r="CR78" s="499"/>
      <c r="CS78" s="499"/>
      <c r="CT78" s="499"/>
      <c r="CU78" s="499"/>
      <c r="CV78" s="517">
        <f>10000*20+48</f>
        <v>200048</v>
      </c>
      <c r="CW78" s="1583">
        <f t="shared" si="27"/>
        <v>480048</v>
      </c>
      <c r="CX78" s="515">
        <f t="shared" si="27"/>
        <v>480048</v>
      </c>
      <c r="CY78" s="1594">
        <f>128*12+12+0.059</f>
        <v>1548.059</v>
      </c>
      <c r="CZ78" s="1466">
        <f>10000*48+48+0.256+0.012</f>
        <v>480048.26799999998</v>
      </c>
      <c r="DA78" s="1578">
        <f>128*6+59</f>
        <v>827</v>
      </c>
      <c r="DB78" s="755">
        <f>128*9+2</f>
        <v>1154</v>
      </c>
      <c r="DC78" s="1584">
        <f>128*12+19+0.06</f>
        <v>1555.06</v>
      </c>
      <c r="DD78" s="1584">
        <f>128*12+20</f>
        <v>1556</v>
      </c>
      <c r="DE78" s="1584">
        <f>128*12+21</f>
        <v>1557</v>
      </c>
      <c r="DF78" s="1584">
        <f>128*12+22</f>
        <v>1558</v>
      </c>
      <c r="DG78" s="2020">
        <f>128*12+23</f>
        <v>1559</v>
      </c>
      <c r="DH78" s="1584">
        <f>128*12+24</f>
        <v>1560</v>
      </c>
      <c r="DI78" s="1585">
        <f>128*12+25</f>
        <v>1561</v>
      </c>
      <c r="DJ78" s="754">
        <f>48+0.256+0.011</f>
        <v>48.267000000000003</v>
      </c>
      <c r="DK78" s="1579"/>
      <c r="DL78" s="1586">
        <f>10000*48+48+0.256+0.013</f>
        <v>480048.26899999997</v>
      </c>
      <c r="DM78" s="499"/>
      <c r="DN78" s="499"/>
      <c r="DO78" s="499"/>
      <c r="DP78" s="504">
        <v>20</v>
      </c>
      <c r="DQ78" s="537"/>
      <c r="DR78" s="537">
        <f>128*10+5</f>
        <v>1285</v>
      </c>
      <c r="DS78" s="537"/>
      <c r="DT78" s="537">
        <f>128*10+6</f>
        <v>1286</v>
      </c>
      <c r="DU78" s="537"/>
      <c r="DV78" s="504">
        <v>20</v>
      </c>
      <c r="DW78" s="499"/>
      <c r="DX78" s="499">
        <v>20</v>
      </c>
      <c r="DY78" s="499"/>
      <c r="DZ78" s="499"/>
      <c r="EA78" s="499"/>
      <c r="EB78" s="499"/>
      <c r="EC78" s="499"/>
      <c r="ED78" s="499"/>
      <c r="EE78" s="499"/>
      <c r="EF78" s="499"/>
      <c r="EG78" s="499"/>
      <c r="EH78" s="499"/>
      <c r="EI78" s="499"/>
      <c r="EJ78" s="499"/>
      <c r="EK78" s="499"/>
      <c r="EL78" s="499"/>
      <c r="EM78" s="499"/>
      <c r="EN78" s="499"/>
    </row>
    <row r="79" spans="1:144">
      <c r="A79" s="499">
        <v>20</v>
      </c>
      <c r="B79" s="499"/>
      <c r="C79" s="499"/>
      <c r="D79" s="499"/>
      <c r="E79" s="499"/>
      <c r="F79" s="499"/>
      <c r="G79" s="499"/>
      <c r="H79" s="499"/>
      <c r="I79" s="499"/>
      <c r="J79" s="499"/>
      <c r="K79" s="499"/>
      <c r="L79" s="499"/>
      <c r="M79" s="499"/>
      <c r="N79" s="499"/>
      <c r="O79" s="499"/>
      <c r="P79" s="499"/>
      <c r="Q79" s="499"/>
      <c r="R79" s="499"/>
      <c r="S79" s="499"/>
      <c r="T79" s="499"/>
      <c r="U79" s="499"/>
      <c r="AG79" s="499"/>
      <c r="AH79" s="499"/>
      <c r="AI79" s="499"/>
      <c r="AJ79" s="499"/>
      <c r="AK79" s="499"/>
      <c r="AL79" s="499"/>
      <c r="AM79" s="499"/>
      <c r="AN79" s="499"/>
      <c r="AO79" s="499"/>
      <c r="AP79" s="499"/>
      <c r="AQ79" s="499"/>
      <c r="AR79" s="499"/>
      <c r="AS79" s="499"/>
      <c r="AT79" s="499"/>
      <c r="AU79" s="499"/>
      <c r="AV79" s="499"/>
      <c r="AW79" s="499"/>
      <c r="AX79" s="499"/>
      <c r="AY79" s="499"/>
      <c r="AZ79" s="499"/>
      <c r="BA79" s="499"/>
      <c r="BB79" s="499"/>
      <c r="BC79" s="499"/>
      <c r="BD79" s="499"/>
      <c r="BE79" s="499"/>
      <c r="BF79" s="499"/>
      <c r="BG79" s="499"/>
      <c r="BI79" s="499"/>
      <c r="BJ79" s="499"/>
      <c r="BK79" s="499"/>
      <c r="BQ79" s="1449"/>
      <c r="BR79" s="1449"/>
      <c r="BS79" s="1449"/>
      <c r="BT79" s="1449"/>
      <c r="BU79" s="1449"/>
      <c r="BV79" s="1449"/>
      <c r="BW79" s="504">
        <v>27</v>
      </c>
      <c r="BX79" s="504">
        <v>27</v>
      </c>
      <c r="BY79" s="504">
        <v>27</v>
      </c>
      <c r="BZ79" s="504">
        <v>27</v>
      </c>
      <c r="CA79" s="504">
        <f>27+0.163</f>
        <v>27.163</v>
      </c>
      <c r="CB79" s="504">
        <v>27</v>
      </c>
      <c r="CC79" s="499"/>
      <c r="CD79" s="499"/>
      <c r="CE79" s="499"/>
      <c r="CF79" s="499"/>
      <c r="CG79" s="499"/>
      <c r="CH79" s="499"/>
      <c r="CI79" s="499"/>
      <c r="CJ79" s="499"/>
      <c r="CK79" s="499"/>
      <c r="CL79" s="499"/>
      <c r="CM79" s="499"/>
      <c r="CN79" s="499"/>
      <c r="CO79" s="499"/>
      <c r="CP79" s="517">
        <f>10000*46+48</f>
        <v>460048</v>
      </c>
      <c r="CQ79" s="517">
        <f>10000*46+48</f>
        <v>460048</v>
      </c>
      <c r="CR79" s="499"/>
      <c r="CS79" s="499"/>
      <c r="CT79" s="499"/>
      <c r="CU79" s="499"/>
      <c r="CV79" s="517">
        <f>10000*20+48</f>
        <v>200048</v>
      </c>
      <c r="CW79" s="1583">
        <f t="shared" si="27"/>
        <v>480048</v>
      </c>
      <c r="CX79" s="504">
        <f t="shared" si="27"/>
        <v>480048</v>
      </c>
      <c r="CY79" s="1596">
        <f>10000*48+48</f>
        <v>480048</v>
      </c>
      <c r="CZ79" s="517">
        <f>10000*48+48</f>
        <v>480048</v>
      </c>
      <c r="DA79" s="1578">
        <f>128*10+5+0.059</f>
        <v>1285.059</v>
      </c>
      <c r="DB79" s="504">
        <v>48</v>
      </c>
      <c r="DC79" s="504">
        <f>48+0.06</f>
        <v>48.06</v>
      </c>
      <c r="DD79" s="504">
        <v>48</v>
      </c>
      <c r="DE79" s="504">
        <v>48</v>
      </c>
      <c r="DF79" s="504">
        <v>48</v>
      </c>
      <c r="DG79" s="504">
        <v>48</v>
      </c>
      <c r="DH79" s="504">
        <v>48</v>
      </c>
      <c r="DI79" s="504">
        <v>48</v>
      </c>
      <c r="DJ79" s="504">
        <v>48</v>
      </c>
      <c r="DK79" s="1579"/>
      <c r="DL79" s="517">
        <f>10000*48+48</f>
        <v>480048</v>
      </c>
      <c r="DM79" s="499"/>
      <c r="DN79" s="499"/>
      <c r="DO79" s="499"/>
      <c r="DP79" s="504">
        <v>20</v>
      </c>
      <c r="DQ79" s="504">
        <v>20</v>
      </c>
      <c r="DR79" s="504">
        <v>20</v>
      </c>
      <c r="DS79" s="504">
        <v>20</v>
      </c>
      <c r="DT79" s="504">
        <v>20</v>
      </c>
      <c r="DU79" s="504">
        <v>20</v>
      </c>
      <c r="DV79" s="504">
        <v>20</v>
      </c>
      <c r="DW79" s="499"/>
      <c r="DX79" s="499">
        <v>20</v>
      </c>
      <c r="DY79" s="499"/>
      <c r="DZ79" s="499"/>
      <c r="EA79" s="499"/>
      <c r="EB79" s="499"/>
      <c r="EC79" s="499"/>
      <c r="ED79" s="499"/>
      <c r="EE79" s="499"/>
      <c r="EF79" s="499"/>
      <c r="EG79" s="499"/>
      <c r="EH79" s="499"/>
      <c r="EI79" s="499"/>
      <c r="EJ79" s="499"/>
      <c r="EK79" s="499"/>
      <c r="EL79" s="499"/>
      <c r="EM79" s="499"/>
      <c r="EN79" s="499"/>
    </row>
    <row r="80" spans="1:144">
      <c r="A80" s="499">
        <v>20</v>
      </c>
      <c r="B80" s="499">
        <v>20</v>
      </c>
      <c r="C80" s="499">
        <v>20</v>
      </c>
      <c r="D80" s="499">
        <v>20</v>
      </c>
      <c r="E80" s="499">
        <v>20</v>
      </c>
      <c r="F80" s="499">
        <v>20</v>
      </c>
      <c r="G80" s="499">
        <v>20</v>
      </c>
      <c r="H80" s="499">
        <v>20</v>
      </c>
      <c r="I80" s="499">
        <v>20</v>
      </c>
      <c r="J80" s="499">
        <v>20</v>
      </c>
      <c r="K80" s="499">
        <v>20</v>
      </c>
      <c r="L80" s="499">
        <v>20</v>
      </c>
      <c r="M80" s="499">
        <v>20</v>
      </c>
      <c r="N80" s="499">
        <v>20</v>
      </c>
      <c r="O80" s="499">
        <v>20</v>
      </c>
      <c r="P80" s="499">
        <v>20</v>
      </c>
      <c r="Q80" s="499">
        <v>20</v>
      </c>
      <c r="R80" s="499">
        <v>20</v>
      </c>
      <c r="S80" s="499">
        <v>20</v>
      </c>
      <c r="T80" s="499">
        <v>20</v>
      </c>
      <c r="U80" s="499">
        <v>20</v>
      </c>
      <c r="V80" s="499">
        <v>20</v>
      </c>
      <c r="W80" s="499">
        <v>20</v>
      </c>
      <c r="X80" s="499">
        <v>20</v>
      </c>
      <c r="Y80" s="499">
        <v>20</v>
      </c>
      <c r="Z80" s="499">
        <v>20</v>
      </c>
      <c r="AA80" s="499">
        <v>20</v>
      </c>
      <c r="AB80" s="499">
        <v>20</v>
      </c>
      <c r="AC80" s="499">
        <v>20</v>
      </c>
      <c r="AD80" s="499">
        <v>20</v>
      </c>
      <c r="AE80" s="499">
        <v>20</v>
      </c>
      <c r="AF80" s="499">
        <v>20</v>
      </c>
      <c r="AG80" s="499">
        <v>20</v>
      </c>
      <c r="AH80" s="499">
        <v>20</v>
      </c>
      <c r="AI80" s="499">
        <v>20</v>
      </c>
      <c r="AJ80" s="499">
        <v>20</v>
      </c>
      <c r="AK80" s="499">
        <v>20</v>
      </c>
      <c r="AL80" s="499">
        <v>20</v>
      </c>
      <c r="AM80" s="499">
        <v>20</v>
      </c>
      <c r="AN80" s="499">
        <v>20</v>
      </c>
      <c r="AO80" s="499">
        <v>20</v>
      </c>
      <c r="AP80" s="499">
        <v>20</v>
      </c>
      <c r="AQ80" s="499">
        <v>20</v>
      </c>
      <c r="AR80" s="499">
        <v>20</v>
      </c>
      <c r="AS80" s="499">
        <v>20</v>
      </c>
      <c r="AT80" s="499">
        <v>20</v>
      </c>
      <c r="AU80" s="499">
        <v>20</v>
      </c>
      <c r="AV80" s="499">
        <v>20</v>
      </c>
      <c r="AW80" s="499">
        <v>20</v>
      </c>
      <c r="AX80" s="499">
        <v>20</v>
      </c>
      <c r="AY80" s="499">
        <v>20</v>
      </c>
      <c r="AZ80" s="499">
        <v>20</v>
      </c>
      <c r="BA80" s="499">
        <v>20</v>
      </c>
      <c r="BB80" s="499">
        <v>20</v>
      </c>
      <c r="BC80" s="499">
        <v>20</v>
      </c>
      <c r="BD80" s="499">
        <v>20</v>
      </c>
      <c r="BE80" s="499">
        <v>20</v>
      </c>
      <c r="BF80" s="499">
        <v>20</v>
      </c>
      <c r="BG80" s="499">
        <v>20</v>
      </c>
      <c r="BH80" s="499">
        <v>20</v>
      </c>
      <c r="BI80" s="499">
        <v>20</v>
      </c>
      <c r="BJ80" s="499">
        <v>20</v>
      </c>
      <c r="BK80" s="499">
        <v>20</v>
      </c>
      <c r="BL80" s="499">
        <v>20</v>
      </c>
      <c r="BM80" s="499">
        <v>20</v>
      </c>
      <c r="BN80" s="499">
        <v>20</v>
      </c>
      <c r="BO80" s="499">
        <v>20</v>
      </c>
      <c r="BP80" s="499">
        <v>20</v>
      </c>
      <c r="BQ80" s="499">
        <v>20</v>
      </c>
      <c r="BR80" s="499">
        <v>20</v>
      </c>
      <c r="BS80" s="499">
        <v>20</v>
      </c>
      <c r="BT80" s="499">
        <v>20</v>
      </c>
      <c r="BU80" s="499">
        <v>20</v>
      </c>
      <c r="BV80" s="499">
        <v>20</v>
      </c>
      <c r="BW80" s="499">
        <v>20</v>
      </c>
      <c r="BX80" s="499">
        <v>20</v>
      </c>
      <c r="BY80" s="499">
        <v>20</v>
      </c>
      <c r="BZ80" s="499">
        <v>20</v>
      </c>
      <c r="CA80" s="499">
        <v>20</v>
      </c>
      <c r="CB80" s="499">
        <v>20</v>
      </c>
      <c r="CC80" s="525">
        <f>10000*20+48</f>
        <v>200048</v>
      </c>
      <c r="CD80" s="525">
        <f>10000*20+48</f>
        <v>200048</v>
      </c>
      <c r="CE80" s="525">
        <f>10000*20+48</f>
        <v>200048</v>
      </c>
      <c r="CF80" s="525">
        <f t="shared" ref="CF80:CV80" si="28">10000*20+48</f>
        <v>200048</v>
      </c>
      <c r="CG80" s="525">
        <f t="shared" si="28"/>
        <v>200048</v>
      </c>
      <c r="CH80" s="525">
        <f t="shared" si="28"/>
        <v>200048</v>
      </c>
      <c r="CI80" s="525">
        <f t="shared" si="28"/>
        <v>200048</v>
      </c>
      <c r="CJ80" s="525">
        <f t="shared" si="28"/>
        <v>200048</v>
      </c>
      <c r="CK80" s="525">
        <f t="shared" si="28"/>
        <v>200048</v>
      </c>
      <c r="CL80" s="525">
        <f t="shared" si="28"/>
        <v>200048</v>
      </c>
      <c r="CM80" s="517">
        <f>10000*46+48</f>
        <v>460048</v>
      </c>
      <c r="CN80" s="517">
        <f>10000*46+48</f>
        <v>460048</v>
      </c>
      <c r="CO80" s="517">
        <f>10000*46+48</f>
        <v>460048</v>
      </c>
      <c r="CP80" s="517">
        <f>10000*46+48</f>
        <v>460048</v>
      </c>
      <c r="CQ80" s="517">
        <f>10000*46+48</f>
        <v>460048</v>
      </c>
      <c r="CR80" s="525">
        <f t="shared" si="28"/>
        <v>200048</v>
      </c>
      <c r="CS80" s="525">
        <f t="shared" si="28"/>
        <v>200048</v>
      </c>
      <c r="CT80" s="525">
        <f t="shared" si="28"/>
        <v>200048</v>
      </c>
      <c r="CU80" s="525">
        <f t="shared" si="28"/>
        <v>200048</v>
      </c>
      <c r="CV80" s="525">
        <f t="shared" si="28"/>
        <v>200048</v>
      </c>
      <c r="CW80" s="1583">
        <f t="shared" si="27"/>
        <v>480048</v>
      </c>
      <c r="CX80" s="1583">
        <f t="shared" si="27"/>
        <v>480048</v>
      </c>
      <c r="CY80" s="1583">
        <f>10000*48+48</f>
        <v>480048</v>
      </c>
      <c r="CZ80" s="517">
        <f>10000*48+48</f>
        <v>480048</v>
      </c>
      <c r="DA80" s="1575">
        <f t="shared" ref="DA80:DK80" si="29">10000*48+48</f>
        <v>480048</v>
      </c>
      <c r="DB80" s="1597">
        <f>10000*48+48+0.256+0.013</f>
        <v>480048.26899999997</v>
      </c>
      <c r="DC80" s="1575">
        <f t="shared" si="29"/>
        <v>480048</v>
      </c>
      <c r="DD80" s="1597">
        <f>10000*48+48+0.256+0.013</f>
        <v>480048.26899999997</v>
      </c>
      <c r="DE80" s="1575">
        <f t="shared" si="29"/>
        <v>480048</v>
      </c>
      <c r="DF80" s="1597">
        <f>10000*48+48+0.256+0.013</f>
        <v>480048.26899999997</v>
      </c>
      <c r="DG80" s="1575">
        <f t="shared" si="29"/>
        <v>480048</v>
      </c>
      <c r="DH80" s="1597">
        <f>10000*48+48+0.256+0.013</f>
        <v>480048.26899999997</v>
      </c>
      <c r="DI80" s="1575">
        <f t="shared" si="29"/>
        <v>480048</v>
      </c>
      <c r="DJ80" s="1597">
        <f>10000*48+48+0.256+0.013</f>
        <v>480048.26899999997</v>
      </c>
      <c r="DK80" s="1575">
        <f t="shared" si="29"/>
        <v>480048</v>
      </c>
      <c r="DL80" s="517">
        <f>10000*48+48</f>
        <v>480048</v>
      </c>
      <c r="DM80" s="752">
        <v>20</v>
      </c>
      <c r="DN80" s="545">
        <v>20</v>
      </c>
      <c r="DO80" s="517">
        <v>20</v>
      </c>
      <c r="DP80" s="505">
        <v>20</v>
      </c>
      <c r="DQ80" s="1449">
        <v>20</v>
      </c>
      <c r="DR80" s="499">
        <v>20</v>
      </c>
      <c r="DS80" s="499">
        <v>20</v>
      </c>
      <c r="DT80" s="499">
        <v>20</v>
      </c>
      <c r="DU80" s="499">
        <v>20</v>
      </c>
      <c r="DV80" s="1598">
        <v>20</v>
      </c>
      <c r="DW80" s="545">
        <v>20</v>
      </c>
      <c r="DX80" s="517">
        <v>20</v>
      </c>
      <c r="DY80" s="499"/>
      <c r="DZ80" s="499"/>
      <c r="EA80" s="499"/>
      <c r="EB80" s="499"/>
      <c r="EC80" s="499"/>
      <c r="ED80" s="499"/>
      <c r="EE80" s="499"/>
      <c r="EF80" s="499"/>
      <c r="EG80" s="499"/>
      <c r="EH80" s="499"/>
      <c r="EI80" s="499"/>
      <c r="EJ80" s="499"/>
      <c r="EK80" s="499"/>
      <c r="EL80" s="499"/>
      <c r="EM80" s="499"/>
      <c r="EN80" s="499"/>
    </row>
    <row r="81" spans="1:89">
      <c r="A81" s="994" t="s">
        <v>670</v>
      </c>
      <c r="B81" s="1221" t="s">
        <v>169</v>
      </c>
    </row>
    <row r="82" spans="1:89">
      <c r="A82" s="1222" t="s">
        <v>1057</v>
      </c>
      <c r="B82" s="1">
        <v>2</v>
      </c>
      <c r="C82" s="1226"/>
      <c r="D82" s="1">
        <v>1</v>
      </c>
      <c r="E82" s="1">
        <v>10</v>
      </c>
      <c r="F82">
        <v>10</v>
      </c>
      <c r="G82">
        <v>10</v>
      </c>
      <c r="H82" s="1">
        <v>0</v>
      </c>
      <c r="I82" s="1" t="s">
        <v>30</v>
      </c>
      <c r="J82">
        <v>4</v>
      </c>
      <c r="K82" s="1226"/>
      <c r="L82" s="1">
        <v>1</v>
      </c>
      <c r="M82">
        <v>10</v>
      </c>
      <c r="N82">
        <v>10</v>
      </c>
      <c r="O82">
        <v>10</v>
      </c>
      <c r="P82" s="1">
        <v>0</v>
      </c>
      <c r="Q82" s="1" t="s">
        <v>31</v>
      </c>
      <c r="R82">
        <v>4</v>
      </c>
      <c r="S82" s="1226"/>
      <c r="T82" s="1">
        <v>1</v>
      </c>
      <c r="U82">
        <v>1</v>
      </c>
      <c r="V82">
        <v>3</v>
      </c>
      <c r="W82">
        <v>2</v>
      </c>
      <c r="X82" s="1">
        <v>0</v>
      </c>
      <c r="Y82" s="1" t="s">
        <v>32</v>
      </c>
      <c r="Z82">
        <v>1</v>
      </c>
      <c r="AA82" s="1226"/>
      <c r="AB82" s="1">
        <v>2</v>
      </c>
      <c r="AC82">
        <v>1</v>
      </c>
      <c r="AD82">
        <v>3</v>
      </c>
      <c r="AE82">
        <v>2</v>
      </c>
      <c r="AF82" s="1">
        <v>0</v>
      </c>
      <c r="AG82" s="1" t="s">
        <v>33</v>
      </c>
      <c r="AH82">
        <v>1</v>
      </c>
      <c r="AI82" s="1226"/>
      <c r="AJ82" s="1">
        <v>2</v>
      </c>
      <c r="AK82">
        <v>1</v>
      </c>
      <c r="AL82">
        <v>3</v>
      </c>
      <c r="AM82">
        <v>2</v>
      </c>
      <c r="AN82" s="1">
        <v>0</v>
      </c>
      <c r="AO82" s="1" t="s">
        <v>34</v>
      </c>
      <c r="AP82">
        <v>1</v>
      </c>
      <c r="AQ82" s="1226"/>
      <c r="AR82" s="1">
        <v>2</v>
      </c>
      <c r="AS82">
        <v>1</v>
      </c>
      <c r="AT82">
        <v>3</v>
      </c>
      <c r="AU82">
        <v>2</v>
      </c>
      <c r="AV82" s="1">
        <v>0</v>
      </c>
      <c r="AW82" s="1" t="s">
        <v>35</v>
      </c>
      <c r="AX82">
        <v>1</v>
      </c>
      <c r="AY82" s="1226"/>
      <c r="AZ82" s="1">
        <v>2</v>
      </c>
      <c r="BA82">
        <v>1</v>
      </c>
      <c r="BB82">
        <v>3</v>
      </c>
      <c r="BC82">
        <v>2</v>
      </c>
      <c r="BD82" s="1">
        <v>0</v>
      </c>
      <c r="BE82" s="1" t="s">
        <v>36</v>
      </c>
      <c r="BF82">
        <v>1</v>
      </c>
      <c r="BG82" s="1226"/>
      <c r="BH82" s="1">
        <v>2</v>
      </c>
      <c r="BI82">
        <v>1</v>
      </c>
      <c r="BJ82">
        <v>3</v>
      </c>
      <c r="BK82">
        <v>2</v>
      </c>
      <c r="BL82" s="1">
        <v>0</v>
      </c>
      <c r="BM82" s="1" t="s">
        <v>37</v>
      </c>
      <c r="BN82">
        <v>1</v>
      </c>
      <c r="BO82" s="1226"/>
      <c r="BP82" s="1">
        <v>2</v>
      </c>
      <c r="BQ82">
        <v>1</v>
      </c>
      <c r="BR82">
        <v>3</v>
      </c>
      <c r="BS82">
        <v>2</v>
      </c>
      <c r="BT82" s="1">
        <v>0</v>
      </c>
      <c r="BU82" s="1" t="s">
        <v>41</v>
      </c>
      <c r="BV82">
        <v>1</v>
      </c>
      <c r="BW82" s="1226"/>
      <c r="BX82" s="1">
        <v>2</v>
      </c>
      <c r="BY82">
        <v>1</v>
      </c>
      <c r="BZ82">
        <v>3</v>
      </c>
      <c r="CA82">
        <v>2</v>
      </c>
      <c r="CB82" s="1">
        <v>0</v>
      </c>
      <c r="CC82" s="1" t="s">
        <v>42</v>
      </c>
      <c r="CD82">
        <v>1</v>
      </c>
      <c r="CE82" s="1226">
        <v>14</v>
      </c>
      <c r="CF82" s="1">
        <v>2</v>
      </c>
      <c r="CG82">
        <v>2</v>
      </c>
      <c r="CH82">
        <v>4</v>
      </c>
      <c r="CI82">
        <v>2</v>
      </c>
      <c r="CJ82" s="1">
        <v>9</v>
      </c>
      <c r="CK82" s="1" t="s">
        <v>43</v>
      </c>
    </row>
    <row r="83" spans="1:89">
      <c r="A83" s="1222" t="s">
        <v>1058</v>
      </c>
      <c r="B83" s="1">
        <v>1</v>
      </c>
      <c r="C83" s="1"/>
      <c r="D83" s="1">
        <v>2</v>
      </c>
      <c r="E83" s="1" t="s">
        <v>44</v>
      </c>
    </row>
    <row r="84" spans="1:89">
      <c r="A84" s="1222" t="s">
        <v>1060</v>
      </c>
      <c r="B84" s="1">
        <v>1</v>
      </c>
      <c r="C84" s="1"/>
      <c r="D84" s="1">
        <v>2</v>
      </c>
      <c r="E84" s="1" t="s">
        <v>45</v>
      </c>
    </row>
    <row r="85" spans="1:89">
      <c r="A85" s="1222" t="s">
        <v>1061</v>
      </c>
      <c r="B85" s="1">
        <v>1</v>
      </c>
      <c r="C85" s="1"/>
      <c r="D85" s="1">
        <v>5</v>
      </c>
      <c r="E85" s="1" t="s">
        <v>46</v>
      </c>
    </row>
    <row r="86" spans="1:89">
      <c r="A86" s="1222" t="s">
        <v>1063</v>
      </c>
      <c r="B86" s="1">
        <v>1</v>
      </c>
      <c r="C86" s="1"/>
      <c r="D86" s="1">
        <v>3</v>
      </c>
      <c r="E86" s="1" t="s">
        <v>47</v>
      </c>
    </row>
    <row r="87" spans="1:89">
      <c r="A87" s="1222" t="s">
        <v>1065</v>
      </c>
      <c r="B87" s="1">
        <v>1</v>
      </c>
      <c r="C87" s="1"/>
      <c r="D87" s="1">
        <v>5</v>
      </c>
      <c r="E87" s="1" t="s">
        <v>48</v>
      </c>
    </row>
    <row r="88" spans="1:89">
      <c r="A88" s="1222" t="s">
        <v>1067</v>
      </c>
      <c r="B88" s="1">
        <v>1</v>
      </c>
      <c r="C88" s="1"/>
      <c r="D88" s="1">
        <v>5</v>
      </c>
      <c r="E88" s="1" t="s">
        <v>49</v>
      </c>
    </row>
    <row r="89" spans="1:89">
      <c r="A89" s="1222" t="s">
        <v>1068</v>
      </c>
      <c r="B89" s="1">
        <v>1</v>
      </c>
      <c r="C89" s="1"/>
      <c r="D89" s="1">
        <v>2</v>
      </c>
      <c r="E89" s="1" t="s">
        <v>50</v>
      </c>
    </row>
    <row r="90" spans="1:89">
      <c r="A90" s="1222" t="s">
        <v>1069</v>
      </c>
      <c r="B90" s="1">
        <v>1</v>
      </c>
      <c r="C90" s="1"/>
      <c r="D90" s="1">
        <v>3</v>
      </c>
      <c r="E90" s="1" t="s">
        <v>51</v>
      </c>
    </row>
    <row r="91" spans="1:89">
      <c r="A91" s="1222" t="s">
        <v>1070</v>
      </c>
      <c r="B91" s="1">
        <v>1</v>
      </c>
      <c r="C91" s="1"/>
      <c r="D91" s="1">
        <v>3</v>
      </c>
      <c r="E91" s="1" t="s">
        <v>52</v>
      </c>
    </row>
    <row r="92" spans="1:89">
      <c r="A92" s="1222" t="s">
        <v>1071</v>
      </c>
      <c r="B92" s="1">
        <v>1</v>
      </c>
      <c r="C92" s="1"/>
      <c r="D92" s="1">
        <v>7</v>
      </c>
      <c r="E92" s="1" t="s">
        <v>53</v>
      </c>
    </row>
    <row r="93" spans="1:89">
      <c r="A93" s="1223">
        <v>12</v>
      </c>
      <c r="B93" s="1">
        <v>1</v>
      </c>
      <c r="C93" s="1"/>
      <c r="D93" s="1">
        <v>2</v>
      </c>
      <c r="E93" s="1" t="s">
        <v>54</v>
      </c>
    </row>
    <row r="94" spans="1:89">
      <c r="A94" s="1223">
        <v>13</v>
      </c>
      <c r="B94" s="1">
        <v>1</v>
      </c>
      <c r="C94" s="1"/>
      <c r="D94" s="1">
        <v>3</v>
      </c>
      <c r="E94" s="1" t="s">
        <v>55</v>
      </c>
    </row>
    <row r="95" spans="1:89">
      <c r="A95" s="1223">
        <v>14</v>
      </c>
      <c r="B95" s="1">
        <v>1</v>
      </c>
      <c r="C95" s="1"/>
      <c r="D95" s="1">
        <v>2</v>
      </c>
      <c r="E95" s="1" t="s">
        <v>56</v>
      </c>
    </row>
    <row r="96" spans="1:89">
      <c r="A96" s="1223">
        <v>15</v>
      </c>
      <c r="B96" s="1">
        <v>1</v>
      </c>
      <c r="C96" s="1"/>
      <c r="D96" s="1">
        <v>5</v>
      </c>
      <c r="E96" s="1" t="s">
        <v>57</v>
      </c>
    </row>
    <row r="97" spans="1:26">
      <c r="A97" s="1049">
        <v>16</v>
      </c>
      <c r="B97" s="1">
        <v>1</v>
      </c>
      <c r="C97" s="1"/>
      <c r="D97" s="1">
        <v>2</v>
      </c>
      <c r="E97" s="1" t="s">
        <v>58</v>
      </c>
    </row>
    <row r="98" spans="1:26">
      <c r="A98" s="1049">
        <v>17</v>
      </c>
      <c r="B98" s="1">
        <v>2</v>
      </c>
      <c r="C98" s="1226"/>
      <c r="D98" s="1">
        <v>1</v>
      </c>
      <c r="E98" s="1">
        <v>10</v>
      </c>
      <c r="F98">
        <v>10</v>
      </c>
      <c r="G98">
        <v>10</v>
      </c>
      <c r="H98" s="1">
        <v>0</v>
      </c>
      <c r="I98" s="1" t="s">
        <v>59</v>
      </c>
      <c r="J98">
        <v>4</v>
      </c>
      <c r="K98" s="1226"/>
      <c r="L98" s="1">
        <v>1</v>
      </c>
      <c r="M98" s="1">
        <v>10</v>
      </c>
      <c r="N98">
        <v>10</v>
      </c>
      <c r="O98">
        <v>10</v>
      </c>
      <c r="P98" s="1">
        <v>0</v>
      </c>
      <c r="Q98" s="1" t="s">
        <v>60</v>
      </c>
      <c r="R98">
        <v>4</v>
      </c>
      <c r="S98" s="1226"/>
      <c r="T98" s="1">
        <v>1</v>
      </c>
      <c r="U98" s="1">
        <v>10</v>
      </c>
      <c r="V98">
        <v>10</v>
      </c>
      <c r="W98">
        <v>10</v>
      </c>
      <c r="X98" s="1">
        <v>0</v>
      </c>
      <c r="Y98" s="1" t="s">
        <v>61</v>
      </c>
      <c r="Z98">
        <v>4</v>
      </c>
    </row>
    <row r="99" spans="1:26">
      <c r="A99" s="1049">
        <v>18</v>
      </c>
      <c r="B99" s="1">
        <v>1</v>
      </c>
      <c r="C99" s="1"/>
      <c r="D99" s="1">
        <v>5</v>
      </c>
      <c r="E99" s="1" t="s">
        <v>62</v>
      </c>
    </row>
    <row r="100" spans="1:26">
      <c r="A100" s="1049">
        <v>19</v>
      </c>
      <c r="B100" s="1">
        <v>1</v>
      </c>
      <c r="C100" s="1"/>
      <c r="D100" s="1">
        <v>5</v>
      </c>
      <c r="E100" s="1" t="s">
        <v>63</v>
      </c>
    </row>
    <row r="101" spans="1:26">
      <c r="A101" s="1049">
        <v>20</v>
      </c>
      <c r="B101" s="1">
        <v>2</v>
      </c>
      <c r="C101" s="1226"/>
      <c r="D101" s="1">
        <v>2</v>
      </c>
      <c r="E101" s="1">
        <v>2</v>
      </c>
      <c r="F101">
        <v>4</v>
      </c>
      <c r="G101">
        <v>2</v>
      </c>
      <c r="H101" s="1">
        <v>9</v>
      </c>
      <c r="I101" s="1227" t="s">
        <v>64</v>
      </c>
      <c r="J101">
        <v>9</v>
      </c>
      <c r="K101" s="1226"/>
      <c r="L101" s="1">
        <v>2</v>
      </c>
      <c r="M101" s="1">
        <v>2</v>
      </c>
      <c r="N101">
        <v>4</v>
      </c>
      <c r="O101">
        <v>2</v>
      </c>
      <c r="P101" s="1">
        <v>9</v>
      </c>
      <c r="Q101" s="1227" t="s">
        <v>317</v>
      </c>
      <c r="R101">
        <v>9</v>
      </c>
      <c r="S101" s="1226"/>
      <c r="T101" s="1">
        <v>2</v>
      </c>
      <c r="U101" s="1">
        <v>2</v>
      </c>
      <c r="V101">
        <v>4</v>
      </c>
      <c r="W101">
        <v>2</v>
      </c>
      <c r="X101" s="1">
        <v>9</v>
      </c>
      <c r="Y101" t="s">
        <v>0</v>
      </c>
      <c r="Z101">
        <v>9</v>
      </c>
    </row>
    <row r="102" spans="1:26">
      <c r="A102" s="1049">
        <v>21</v>
      </c>
      <c r="B102" s="1">
        <v>1</v>
      </c>
      <c r="C102" s="1"/>
      <c r="D102" s="1">
        <v>5</v>
      </c>
      <c r="E102" s="1" t="s">
        <v>65</v>
      </c>
    </row>
    <row r="103" spans="1:26">
      <c r="A103" s="1049">
        <v>22</v>
      </c>
      <c r="B103" s="1">
        <v>1</v>
      </c>
      <c r="C103" s="1"/>
      <c r="D103" s="1">
        <v>7</v>
      </c>
      <c r="E103" s="1" t="s">
        <v>66</v>
      </c>
    </row>
    <row r="104" spans="1:26">
      <c r="A104" s="1049">
        <v>23</v>
      </c>
      <c r="B104" s="1">
        <v>1</v>
      </c>
      <c r="C104" s="1"/>
      <c r="D104" s="1">
        <v>2</v>
      </c>
      <c r="E104" s="1" t="s">
        <v>67</v>
      </c>
    </row>
    <row r="105" spans="1:26">
      <c r="A105" s="1049">
        <v>24</v>
      </c>
      <c r="B105" s="1">
        <v>1</v>
      </c>
      <c r="C105" s="1"/>
      <c r="D105" s="1">
        <v>5</v>
      </c>
      <c r="E105" s="1" t="s">
        <v>68</v>
      </c>
    </row>
    <row r="106" spans="1:26">
      <c r="A106" s="1049">
        <v>25</v>
      </c>
      <c r="B106" s="1">
        <v>1</v>
      </c>
      <c r="C106" s="1"/>
      <c r="D106" s="1">
        <v>2</v>
      </c>
      <c r="E106" s="1" t="s">
        <v>557</v>
      </c>
    </row>
    <row r="107" spans="1:26">
      <c r="A107" s="1049">
        <v>26</v>
      </c>
      <c r="B107" s="1">
        <v>1</v>
      </c>
      <c r="C107" s="1"/>
      <c r="D107" s="1">
        <v>3</v>
      </c>
      <c r="E107" s="1" t="s">
        <v>558</v>
      </c>
    </row>
    <row r="108" spans="1:26">
      <c r="A108" s="1049">
        <v>27</v>
      </c>
      <c r="B108" s="1">
        <v>3</v>
      </c>
      <c r="C108" s="1226">
        <v>51</v>
      </c>
      <c r="D108" s="1">
        <v>5</v>
      </c>
      <c r="E108" s="1">
        <v>2</v>
      </c>
      <c r="F108" s="1">
        <v>4</v>
      </c>
      <c r="G108" s="1">
        <v>1</v>
      </c>
      <c r="H108" s="1">
        <v>53</v>
      </c>
      <c r="I108" s="1">
        <v>1</v>
      </c>
      <c r="J108" s="1">
        <v>110</v>
      </c>
      <c r="K108" s="1">
        <v>2</v>
      </c>
      <c r="L108" s="1">
        <v>9</v>
      </c>
      <c r="M108" t="s">
        <v>184</v>
      </c>
      <c r="N108">
        <v>5</v>
      </c>
    </row>
    <row r="109" spans="1:26">
      <c r="A109" s="1049">
        <v>28</v>
      </c>
      <c r="B109" s="1">
        <v>3</v>
      </c>
      <c r="C109" s="1226">
        <v>51</v>
      </c>
      <c r="D109" s="1">
        <v>5</v>
      </c>
      <c r="E109" s="1">
        <v>2</v>
      </c>
      <c r="F109" s="1">
        <v>4</v>
      </c>
      <c r="G109" s="1">
        <v>4</v>
      </c>
      <c r="H109" s="1">
        <v>63</v>
      </c>
      <c r="I109" s="1">
        <v>4</v>
      </c>
      <c r="J109" s="1">
        <v>106</v>
      </c>
      <c r="K109" s="1">
        <v>2</v>
      </c>
      <c r="L109" s="1">
        <v>9</v>
      </c>
      <c r="M109" t="s">
        <v>168</v>
      </c>
      <c r="N109">
        <v>5</v>
      </c>
    </row>
    <row r="110" spans="1:26">
      <c r="A110" s="1049">
        <v>29</v>
      </c>
      <c r="B110" s="1"/>
      <c r="C110" s="1"/>
      <c r="D110" s="1"/>
      <c r="E110" s="1"/>
    </row>
    <row r="111" spans="1:26">
      <c r="A111" s="1049">
        <v>30</v>
      </c>
      <c r="B111" s="1"/>
      <c r="C111" s="1"/>
      <c r="D111" s="1"/>
      <c r="E111" s="1"/>
    </row>
    <row r="112" spans="1:26">
      <c r="A112" s="1049">
        <v>31</v>
      </c>
      <c r="B112" s="1"/>
      <c r="C112" s="1"/>
      <c r="D112" s="1"/>
      <c r="E112" s="1"/>
    </row>
    <row r="113" spans="1:14">
      <c r="A113" s="1049">
        <v>32</v>
      </c>
      <c r="B113" s="1"/>
      <c r="C113" s="1"/>
      <c r="D113" s="1"/>
      <c r="E113" s="1"/>
    </row>
    <row r="114" spans="1:14">
      <c r="A114" s="1049">
        <v>33</v>
      </c>
      <c r="B114" s="1"/>
      <c r="C114" s="1"/>
      <c r="D114" s="1"/>
      <c r="E114" s="1"/>
    </row>
    <row r="115" spans="1:14">
      <c r="A115" s="1049">
        <v>34</v>
      </c>
      <c r="B115" s="1">
        <v>3</v>
      </c>
      <c r="C115" s="1226">
        <v>51</v>
      </c>
      <c r="D115" s="1">
        <v>5</v>
      </c>
      <c r="E115" s="1">
        <v>2</v>
      </c>
      <c r="F115" s="1">
        <v>4</v>
      </c>
      <c r="G115" s="1">
        <v>1</v>
      </c>
      <c r="H115" s="1">
        <v>48</v>
      </c>
      <c r="I115" s="1">
        <v>1</v>
      </c>
      <c r="J115" s="1">
        <v>110</v>
      </c>
      <c r="K115" s="1">
        <v>2</v>
      </c>
      <c r="L115" s="1">
        <v>9</v>
      </c>
      <c r="M115" t="s">
        <v>903</v>
      </c>
      <c r="N115">
        <v>5</v>
      </c>
    </row>
    <row r="116" spans="1:14">
      <c r="A116" s="1049">
        <v>35</v>
      </c>
      <c r="E116" s="1"/>
    </row>
    <row r="117" spans="1:14">
      <c r="A117" s="1049">
        <v>36</v>
      </c>
      <c r="E117" s="1"/>
    </row>
    <row r="118" spans="1:14">
      <c r="A118" s="1049">
        <v>37</v>
      </c>
      <c r="E118" s="1"/>
    </row>
    <row r="119" spans="1:14">
      <c r="A119" s="1049">
        <v>38</v>
      </c>
      <c r="E119" s="1"/>
    </row>
    <row r="120" spans="1:14">
      <c r="A120" s="1049">
        <v>39</v>
      </c>
      <c r="E120" s="1"/>
    </row>
    <row r="121" spans="1:14">
      <c r="A121" s="1224">
        <v>40</v>
      </c>
      <c r="B121" s="93"/>
      <c r="C121" s="93"/>
      <c r="D121" s="93"/>
      <c r="E121" s="540"/>
      <c r="F121" s="93"/>
      <c r="G121" s="93"/>
      <c r="H121" s="93"/>
      <c r="I121" s="93"/>
      <c r="J121" s="93"/>
      <c r="K121" s="93"/>
      <c r="L121" s="93"/>
      <c r="M121" s="93"/>
    </row>
    <row r="122" spans="1:14">
      <c r="A122" s="1223">
        <v>41</v>
      </c>
      <c r="E122" s="1"/>
    </row>
    <row r="123" spans="1:14">
      <c r="A123" s="1049">
        <v>42</v>
      </c>
      <c r="E123" s="1"/>
    </row>
    <row r="124" spans="1:14">
      <c r="A124" s="1049">
        <v>43</v>
      </c>
      <c r="E124" s="1"/>
    </row>
    <row r="125" spans="1:14">
      <c r="A125" s="1049">
        <v>44</v>
      </c>
      <c r="E125" s="1"/>
    </row>
    <row r="126" spans="1:14">
      <c r="A126" s="1049">
        <v>45</v>
      </c>
      <c r="E126" s="1"/>
    </row>
    <row r="127" spans="1:14">
      <c r="A127" s="1049">
        <v>46</v>
      </c>
      <c r="E127" s="1"/>
    </row>
    <row r="128" spans="1:14">
      <c r="A128" s="1049">
        <v>47</v>
      </c>
      <c r="E128" s="1"/>
    </row>
    <row r="129" spans="1:39">
      <c r="A129" s="1049">
        <v>48</v>
      </c>
      <c r="E129" s="1"/>
    </row>
    <row r="130" spans="1:39">
      <c r="A130" s="1049">
        <v>49</v>
      </c>
      <c r="B130" s="1">
        <v>3</v>
      </c>
      <c r="C130" s="1226"/>
      <c r="D130" s="1">
        <v>5</v>
      </c>
      <c r="E130" s="1">
        <v>2</v>
      </c>
      <c r="F130" s="1">
        <v>4</v>
      </c>
      <c r="G130" s="1">
        <v>8</v>
      </c>
      <c r="H130" s="1">
        <v>68</v>
      </c>
      <c r="I130" s="1">
        <v>6</v>
      </c>
      <c r="J130" s="1">
        <v>104</v>
      </c>
      <c r="K130" s="1">
        <v>2</v>
      </c>
      <c r="L130" s="1">
        <v>9</v>
      </c>
      <c r="M130" t="s">
        <v>185</v>
      </c>
      <c r="N130">
        <v>5</v>
      </c>
    </row>
    <row r="131" spans="1:39">
      <c r="A131" s="1225">
        <v>50</v>
      </c>
      <c r="B131" s="1">
        <v>3</v>
      </c>
      <c r="C131" s="1226"/>
      <c r="D131" s="1">
        <v>5</v>
      </c>
      <c r="E131" s="1">
        <v>2</v>
      </c>
      <c r="F131" s="1">
        <v>4</v>
      </c>
      <c r="G131" s="1">
        <v>10</v>
      </c>
      <c r="H131" s="1">
        <v>69</v>
      </c>
      <c r="I131" s="1">
        <v>5</v>
      </c>
      <c r="J131" s="1">
        <v>105</v>
      </c>
      <c r="K131" s="1">
        <v>2</v>
      </c>
      <c r="L131" s="1">
        <v>9</v>
      </c>
      <c r="M131" t="s">
        <v>170</v>
      </c>
      <c r="N131">
        <v>5</v>
      </c>
      <c r="O131" s="1226"/>
      <c r="P131" s="1">
        <v>5</v>
      </c>
      <c r="Q131" s="1">
        <v>2</v>
      </c>
      <c r="R131" s="1">
        <v>4</v>
      </c>
      <c r="S131" s="1">
        <v>11</v>
      </c>
      <c r="T131" s="1">
        <v>68</v>
      </c>
      <c r="U131" s="1">
        <v>6</v>
      </c>
      <c r="V131" s="1">
        <v>104</v>
      </c>
      <c r="W131" s="1">
        <v>2</v>
      </c>
      <c r="X131" s="1">
        <v>9</v>
      </c>
      <c r="Y131" t="s">
        <v>171</v>
      </c>
      <c r="Z131">
        <v>5</v>
      </c>
    </row>
    <row r="132" spans="1:39">
      <c r="A132" s="1228" t="s">
        <v>69</v>
      </c>
      <c r="B132" s="1599">
        <v>4</v>
      </c>
      <c r="C132" s="1599">
        <v>20091970</v>
      </c>
      <c r="D132" s="1599">
        <v>50</v>
      </c>
      <c r="E132" s="1600">
        <v>112358</v>
      </c>
      <c r="F132" s="1599">
        <v>40</v>
      </c>
      <c r="G132" s="1599">
        <v>654543</v>
      </c>
      <c r="H132" s="1599">
        <v>45</v>
      </c>
      <c r="I132" s="1599"/>
    </row>
    <row r="133" spans="1:39">
      <c r="A133" s="1601" t="s">
        <v>70</v>
      </c>
      <c r="B133" s="1">
        <v>1</v>
      </c>
      <c r="C133" s="1"/>
      <c r="D133" s="1">
        <v>7</v>
      </c>
      <c r="E133" s="1" t="s">
        <v>71</v>
      </c>
    </row>
    <row r="134" spans="1:39">
      <c r="A134" s="1229">
        <v>53</v>
      </c>
      <c r="B134" s="1">
        <v>1</v>
      </c>
      <c r="C134" s="1"/>
      <c r="D134" s="1">
        <v>7</v>
      </c>
      <c r="E134" s="1" t="s">
        <v>72</v>
      </c>
    </row>
    <row r="135" spans="1:39">
      <c r="A135" s="1229">
        <v>54</v>
      </c>
      <c r="B135" s="1">
        <v>1</v>
      </c>
      <c r="C135" s="1"/>
      <c r="D135" s="1">
        <v>7</v>
      </c>
      <c r="E135" s="1" t="s">
        <v>73</v>
      </c>
    </row>
    <row r="136" spans="1:39">
      <c r="A136" s="1229">
        <v>55</v>
      </c>
      <c r="B136" s="1">
        <v>1</v>
      </c>
      <c r="C136" s="1"/>
      <c r="D136" s="1">
        <v>5</v>
      </c>
      <c r="E136" s="1" t="s">
        <v>74</v>
      </c>
    </row>
    <row r="137" spans="1:39">
      <c r="A137" s="1229">
        <v>56</v>
      </c>
      <c r="B137" s="1">
        <v>1</v>
      </c>
      <c r="C137" s="1"/>
      <c r="D137" s="1">
        <v>7</v>
      </c>
      <c r="E137" s="1" t="s">
        <v>75</v>
      </c>
    </row>
    <row r="138" spans="1:39">
      <c r="A138" s="1229">
        <v>57</v>
      </c>
      <c r="B138" s="1"/>
      <c r="C138" s="1"/>
      <c r="D138" s="1"/>
      <c r="E138" s="1"/>
    </row>
    <row r="139" spans="1:39">
      <c r="A139" s="1229">
        <v>58</v>
      </c>
      <c r="B139" s="1">
        <v>1</v>
      </c>
      <c r="C139" s="1"/>
      <c r="D139" s="1">
        <v>5</v>
      </c>
      <c r="E139" s="1" t="s">
        <v>76</v>
      </c>
      <c r="AM139" t="s">
        <v>1073</v>
      </c>
    </row>
    <row r="140" spans="1:39">
      <c r="A140" s="1229">
        <v>59</v>
      </c>
      <c r="B140" s="1">
        <v>2</v>
      </c>
      <c r="C140" s="1226"/>
      <c r="D140" s="1">
        <v>4</v>
      </c>
      <c r="E140" s="1">
        <v>4</v>
      </c>
      <c r="F140">
        <v>4</v>
      </c>
      <c r="G140">
        <v>7</v>
      </c>
      <c r="H140" s="1">
        <v>0</v>
      </c>
      <c r="I140" s="1230" t="s">
        <v>496</v>
      </c>
      <c r="J140">
        <v>3</v>
      </c>
      <c r="K140" s="1226"/>
      <c r="L140" s="1">
        <v>4</v>
      </c>
      <c r="M140">
        <v>4</v>
      </c>
      <c r="N140">
        <v>4</v>
      </c>
      <c r="O140">
        <v>7</v>
      </c>
      <c r="P140" s="1">
        <v>0</v>
      </c>
      <c r="Q140" s="1" t="s">
        <v>497</v>
      </c>
      <c r="R140">
        <v>3</v>
      </c>
      <c r="S140" s="1226"/>
      <c r="T140" s="1">
        <v>4</v>
      </c>
      <c r="U140">
        <v>4</v>
      </c>
      <c r="V140">
        <v>4</v>
      </c>
      <c r="W140">
        <v>7</v>
      </c>
      <c r="X140" s="1">
        <v>0</v>
      </c>
      <c r="Y140" s="1" t="s">
        <v>78</v>
      </c>
      <c r="Z140">
        <v>3</v>
      </c>
      <c r="AA140" s="1226"/>
      <c r="AB140" s="1">
        <v>4</v>
      </c>
      <c r="AC140">
        <v>4</v>
      </c>
      <c r="AD140">
        <v>4</v>
      </c>
      <c r="AE140">
        <v>7</v>
      </c>
      <c r="AF140" s="1">
        <v>0</v>
      </c>
      <c r="AG140" s="1" t="s">
        <v>288</v>
      </c>
      <c r="AH140">
        <v>3</v>
      </c>
      <c r="AM140" t="s">
        <v>1073</v>
      </c>
    </row>
    <row r="141" spans="1:39">
      <c r="A141" s="1229">
        <v>60</v>
      </c>
      <c r="B141" s="1">
        <v>2</v>
      </c>
      <c r="C141" s="1226"/>
      <c r="D141" s="1">
        <v>4</v>
      </c>
      <c r="E141" s="1">
        <v>4</v>
      </c>
      <c r="F141">
        <v>4</v>
      </c>
      <c r="G141">
        <v>7</v>
      </c>
      <c r="H141" s="1">
        <v>0</v>
      </c>
      <c r="I141" s="1230" t="s">
        <v>77</v>
      </c>
      <c r="J141">
        <v>3</v>
      </c>
      <c r="K141" s="1226"/>
      <c r="L141" s="1">
        <v>4</v>
      </c>
      <c r="M141">
        <v>4</v>
      </c>
      <c r="N141">
        <v>4</v>
      </c>
      <c r="O141">
        <v>7</v>
      </c>
      <c r="P141" s="1">
        <v>0</v>
      </c>
      <c r="Q141" s="1" t="s">
        <v>497</v>
      </c>
      <c r="R141">
        <v>3</v>
      </c>
      <c r="S141" s="1226"/>
      <c r="T141" s="1">
        <v>4</v>
      </c>
      <c r="U141">
        <v>4</v>
      </c>
      <c r="V141">
        <v>4</v>
      </c>
      <c r="W141">
        <v>7</v>
      </c>
      <c r="X141" s="1">
        <v>0</v>
      </c>
      <c r="Y141" s="1" t="s">
        <v>78</v>
      </c>
      <c r="Z141">
        <v>3</v>
      </c>
      <c r="AA141" s="1226"/>
      <c r="AB141" s="1">
        <v>4</v>
      </c>
      <c r="AC141">
        <v>4</v>
      </c>
      <c r="AD141">
        <v>4</v>
      </c>
      <c r="AE141">
        <v>7</v>
      </c>
      <c r="AF141" s="1">
        <v>0</v>
      </c>
      <c r="AG141" s="1" t="s">
        <v>288</v>
      </c>
      <c r="AH141">
        <v>3</v>
      </c>
      <c r="AM141" t="s">
        <v>1073</v>
      </c>
    </row>
    <row r="142" spans="1:39">
      <c r="A142" s="1229">
        <v>61</v>
      </c>
      <c r="B142" s="1">
        <v>2</v>
      </c>
      <c r="C142" s="1"/>
      <c r="D142" s="1">
        <v>7</v>
      </c>
      <c r="E142" s="1">
        <v>4</v>
      </c>
      <c r="F142">
        <v>4</v>
      </c>
      <c r="G142">
        <v>5</v>
      </c>
      <c r="H142" s="1">
        <v>0</v>
      </c>
      <c r="I142" s="1230" t="s">
        <v>79</v>
      </c>
      <c r="J142">
        <v>10</v>
      </c>
      <c r="K142" s="1226"/>
      <c r="L142" s="1">
        <v>7</v>
      </c>
      <c r="M142">
        <v>4</v>
      </c>
      <c r="N142">
        <v>4</v>
      </c>
      <c r="O142">
        <v>5</v>
      </c>
      <c r="P142" s="1">
        <v>0</v>
      </c>
      <c r="Q142" s="1230" t="s">
        <v>80</v>
      </c>
      <c r="R142">
        <v>10</v>
      </c>
      <c r="S142" s="1226"/>
      <c r="T142" s="1">
        <v>7</v>
      </c>
      <c r="U142">
        <v>4</v>
      </c>
      <c r="V142">
        <v>4</v>
      </c>
      <c r="W142">
        <v>5</v>
      </c>
      <c r="X142" s="1">
        <v>0</v>
      </c>
      <c r="Y142" s="1230" t="s">
        <v>81</v>
      </c>
      <c r="Z142">
        <v>10</v>
      </c>
      <c r="AM142" t="s">
        <v>1079</v>
      </c>
    </row>
    <row r="143" spans="1:39">
      <c r="A143" s="1229">
        <v>62</v>
      </c>
      <c r="B143" s="1">
        <v>2</v>
      </c>
      <c r="C143" s="1226"/>
      <c r="D143" s="1">
        <v>7</v>
      </c>
      <c r="E143" s="1">
        <v>4</v>
      </c>
      <c r="F143">
        <v>4</v>
      </c>
      <c r="G143">
        <v>5</v>
      </c>
      <c r="H143" s="1">
        <v>0</v>
      </c>
      <c r="I143" s="1230" t="s">
        <v>79</v>
      </c>
      <c r="J143">
        <v>10</v>
      </c>
      <c r="K143" s="1226"/>
      <c r="L143" s="1">
        <v>7</v>
      </c>
      <c r="M143">
        <v>4</v>
      </c>
      <c r="N143">
        <v>4</v>
      </c>
      <c r="O143">
        <v>5</v>
      </c>
      <c r="P143" s="1">
        <v>0</v>
      </c>
      <c r="Q143" s="1230" t="s">
        <v>80</v>
      </c>
      <c r="R143">
        <v>10</v>
      </c>
      <c r="S143" s="1226"/>
      <c r="T143" s="1">
        <v>7</v>
      </c>
      <c r="U143">
        <v>4</v>
      </c>
      <c r="V143">
        <v>4</v>
      </c>
      <c r="W143">
        <v>5</v>
      </c>
      <c r="X143" s="1">
        <v>0</v>
      </c>
      <c r="Y143" s="1230" t="s">
        <v>81</v>
      </c>
      <c r="Z143">
        <v>10</v>
      </c>
      <c r="AM143" t="s">
        <v>1079</v>
      </c>
    </row>
    <row r="144" spans="1:39">
      <c r="A144" s="1229">
        <v>63</v>
      </c>
      <c r="B144" s="1">
        <v>19</v>
      </c>
      <c r="C144" s="1"/>
      <c r="D144" s="1"/>
      <c r="E144" s="1"/>
    </row>
    <row r="145" spans="1:15">
      <c r="A145" s="1229">
        <v>64</v>
      </c>
      <c r="B145" s="1"/>
      <c r="C145" s="1"/>
      <c r="D145" s="1"/>
      <c r="E145" s="1"/>
    </row>
    <row r="146" spans="1:15">
      <c r="A146" s="1229">
        <v>65</v>
      </c>
      <c r="B146" s="1"/>
      <c r="C146" s="1"/>
      <c r="D146" s="1"/>
      <c r="E146" s="1"/>
    </row>
    <row r="147" spans="1:15">
      <c r="A147" s="1229">
        <v>66</v>
      </c>
      <c r="B147" s="1"/>
      <c r="C147" s="1"/>
      <c r="D147" s="1"/>
      <c r="E147" s="1"/>
    </row>
    <row r="148" spans="1:15">
      <c r="A148" s="1229">
        <v>67</v>
      </c>
      <c r="B148" s="1"/>
      <c r="C148" s="1"/>
      <c r="D148" s="1"/>
      <c r="E148" s="1"/>
    </row>
    <row r="149" spans="1:15">
      <c r="A149" s="1229">
        <v>68</v>
      </c>
      <c r="B149" s="1"/>
      <c r="C149" s="1"/>
      <c r="D149" s="1"/>
      <c r="E149" s="1"/>
    </row>
    <row r="150" spans="1:15">
      <c r="A150" s="1229">
        <v>69</v>
      </c>
      <c r="B150" s="1"/>
      <c r="C150" s="1"/>
      <c r="D150" s="1"/>
      <c r="E150" s="1"/>
    </row>
    <row r="151" spans="1:15">
      <c r="A151" s="1231">
        <v>70</v>
      </c>
      <c r="B151" s="176"/>
      <c r="C151" s="176"/>
      <c r="D151" s="176"/>
      <c r="E151" s="176"/>
      <c r="F151" s="73"/>
      <c r="G151" s="73"/>
      <c r="H151" s="73"/>
    </row>
    <row r="152" spans="1:15">
      <c r="A152" s="1601" t="s">
        <v>82</v>
      </c>
      <c r="B152" s="1">
        <v>2</v>
      </c>
      <c r="C152" s="1226"/>
      <c r="D152" s="1">
        <v>1</v>
      </c>
      <c r="E152" s="1">
        <v>10</v>
      </c>
      <c r="F152">
        <v>10</v>
      </c>
      <c r="G152">
        <v>4</v>
      </c>
      <c r="H152" s="1">
        <v>0</v>
      </c>
      <c r="I152" s="1230" t="s">
        <v>83</v>
      </c>
      <c r="J152">
        <v>10</v>
      </c>
      <c r="O152" t="s">
        <v>1081</v>
      </c>
    </row>
    <row r="153" spans="1:15">
      <c r="A153" s="1229">
        <v>72</v>
      </c>
      <c r="B153" s="1">
        <v>2</v>
      </c>
      <c r="C153" s="1226"/>
      <c r="D153" s="1">
        <v>1</v>
      </c>
      <c r="E153" s="1">
        <v>10</v>
      </c>
      <c r="F153">
        <v>10</v>
      </c>
      <c r="G153">
        <v>4</v>
      </c>
      <c r="H153" s="1">
        <v>0</v>
      </c>
      <c r="I153" t="s">
        <v>907</v>
      </c>
      <c r="J153">
        <v>10</v>
      </c>
      <c r="O153" t="s">
        <v>1083</v>
      </c>
    </row>
    <row r="154" spans="1:15">
      <c r="A154" s="1229">
        <v>73</v>
      </c>
      <c r="B154" s="1">
        <v>2</v>
      </c>
      <c r="C154" s="1226"/>
      <c r="D154" s="1">
        <v>1</v>
      </c>
      <c r="E154" s="1">
        <v>10</v>
      </c>
      <c r="F154">
        <v>10</v>
      </c>
      <c r="G154">
        <v>4</v>
      </c>
      <c r="H154" s="1">
        <v>0</v>
      </c>
      <c r="I154" t="s">
        <v>84</v>
      </c>
      <c r="J154">
        <v>10</v>
      </c>
      <c r="O154" t="s">
        <v>1085</v>
      </c>
    </row>
    <row r="155" spans="1:15">
      <c r="A155" s="1229">
        <v>74</v>
      </c>
      <c r="B155" s="1">
        <v>2</v>
      </c>
      <c r="C155" s="1226"/>
      <c r="D155" s="1">
        <v>1</v>
      </c>
      <c r="E155" s="1">
        <v>10</v>
      </c>
      <c r="F155">
        <v>10</v>
      </c>
      <c r="G155">
        <v>4</v>
      </c>
      <c r="H155" s="1">
        <v>0</v>
      </c>
      <c r="I155" s="1230" t="s">
        <v>85</v>
      </c>
      <c r="J155">
        <v>10</v>
      </c>
      <c r="O155" t="s">
        <v>1086</v>
      </c>
    </row>
    <row r="156" spans="1:15">
      <c r="A156" s="1229">
        <v>75</v>
      </c>
      <c r="B156" s="1">
        <v>2</v>
      </c>
      <c r="C156" s="1226"/>
      <c r="D156" s="1">
        <v>1</v>
      </c>
      <c r="E156" s="1">
        <v>10</v>
      </c>
      <c r="F156">
        <v>10</v>
      </c>
      <c r="G156">
        <v>4</v>
      </c>
      <c r="H156" s="1">
        <v>0</v>
      </c>
      <c r="I156" s="1230" t="s">
        <v>906</v>
      </c>
      <c r="J156">
        <v>10</v>
      </c>
      <c r="O156" t="s">
        <v>1088</v>
      </c>
    </row>
    <row r="157" spans="1:15">
      <c r="A157" s="1229">
        <v>76</v>
      </c>
      <c r="B157" s="1">
        <v>2</v>
      </c>
      <c r="C157" s="1226"/>
      <c r="D157" s="1">
        <v>1</v>
      </c>
      <c r="E157" s="1">
        <v>10</v>
      </c>
      <c r="F157">
        <v>10</v>
      </c>
      <c r="G157">
        <v>10</v>
      </c>
      <c r="H157" s="1">
        <v>0</v>
      </c>
      <c r="I157" s="1" t="s">
        <v>560</v>
      </c>
      <c r="J157">
        <v>10</v>
      </c>
      <c r="O157" t="s">
        <v>1089</v>
      </c>
    </row>
    <row r="158" spans="1:15">
      <c r="A158" s="1229">
        <v>77</v>
      </c>
      <c r="B158" s="1">
        <v>2</v>
      </c>
      <c r="C158" s="1226"/>
      <c r="D158" s="1">
        <v>1</v>
      </c>
      <c r="E158" s="1">
        <v>10</v>
      </c>
      <c r="F158">
        <v>10</v>
      </c>
      <c r="G158">
        <v>10</v>
      </c>
      <c r="H158" s="1">
        <v>0</v>
      </c>
      <c r="I158" s="1230" t="s">
        <v>162</v>
      </c>
      <c r="J158">
        <v>4</v>
      </c>
      <c r="O158" t="s">
        <v>1121</v>
      </c>
    </row>
    <row r="159" spans="1:15">
      <c r="A159" s="1229">
        <v>78</v>
      </c>
      <c r="B159" s="1">
        <v>2</v>
      </c>
      <c r="C159" s="1226"/>
      <c r="D159" s="1">
        <v>1</v>
      </c>
      <c r="E159" s="1">
        <v>10</v>
      </c>
      <c r="F159">
        <v>10</v>
      </c>
      <c r="G159">
        <v>10</v>
      </c>
      <c r="H159" s="1">
        <v>0</v>
      </c>
      <c r="I159" s="1230" t="s">
        <v>161</v>
      </c>
      <c r="J159">
        <v>4</v>
      </c>
      <c r="O159" t="s">
        <v>250</v>
      </c>
    </row>
    <row r="160" spans="1:15">
      <c r="A160" s="1229">
        <v>79</v>
      </c>
      <c r="B160" s="1"/>
      <c r="C160" s="1"/>
      <c r="D160" s="1"/>
      <c r="E160" s="1"/>
    </row>
    <row r="161" spans="1:5">
      <c r="A161" s="1229">
        <v>80</v>
      </c>
      <c r="B161" s="1"/>
      <c r="C161" s="1"/>
      <c r="D161" s="1"/>
      <c r="E161" s="1"/>
    </row>
  </sheetData>
  <sheetProtection password="DF7C" sheet="1"/>
  <phoneticPr fontId="2" type="noConversion"/>
  <pageMargins left="0.7" right="0.7" top="0.75" bottom="0.75" header="0.3" footer="0.3"/>
  <pageSetup paperSize="9" orientation="portrait" horizontalDpi="300" verticalDpi="300"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2"/>
  <dimension ref="A1:IV145"/>
  <sheetViews>
    <sheetView topLeftCell="A37" zoomScale="180" zoomScaleNormal="180" workbookViewId="0">
      <selection activeCell="AY56" sqref="AY56"/>
    </sheetView>
  </sheetViews>
  <sheetFormatPr defaultColWidth="14" defaultRowHeight="9" customHeight="1"/>
  <cols>
    <col min="1" max="9" width="1.7109375" customWidth="1"/>
    <col min="10" max="11" width="1.85546875" customWidth="1"/>
    <col min="12" max="13" width="1.7109375" customWidth="1"/>
    <col min="14" max="14" width="2" customWidth="1"/>
    <col min="15" max="17" width="1.85546875" customWidth="1"/>
    <col min="18" max="18" width="1.7109375" customWidth="1"/>
    <col min="19" max="19" width="1.85546875" customWidth="1"/>
    <col min="20" max="21" width="1.7109375" customWidth="1"/>
    <col min="22" max="22" width="1.85546875" customWidth="1"/>
    <col min="23" max="24" width="1.7109375" customWidth="1"/>
    <col min="25" max="25" width="1.85546875" customWidth="1"/>
    <col min="26" max="26" width="1.7109375" customWidth="1"/>
    <col min="27" max="27" width="2" customWidth="1"/>
    <col min="28" max="29" width="1.7109375" customWidth="1"/>
    <col min="30" max="30" width="1.85546875" customWidth="1"/>
    <col min="31" max="36" width="1.7109375" customWidth="1"/>
    <col min="37" max="37" width="1.85546875" customWidth="1"/>
    <col min="38" max="39" width="1.7109375" customWidth="1"/>
    <col min="40" max="41" width="2" customWidth="1"/>
    <col min="42" max="45" width="1.85546875" customWidth="1"/>
    <col min="46" max="112" width="1.7109375" customWidth="1"/>
    <col min="113" max="113" width="28" customWidth="1"/>
    <col min="255" max="255" width="27" customWidth="1"/>
  </cols>
  <sheetData>
    <row r="1" spans="1:256" ht="9" customHeight="1">
      <c r="A1" s="1449">
        <v>200020</v>
      </c>
      <c r="B1" s="1449">
        <v>200020</v>
      </c>
      <c r="C1" s="1449">
        <v>200020</v>
      </c>
      <c r="D1" s="1449">
        <v>200020</v>
      </c>
      <c r="E1" s="1449">
        <v>200020</v>
      </c>
      <c r="F1" s="1449">
        <v>200020</v>
      </c>
      <c r="G1" s="1449">
        <v>200020</v>
      </c>
      <c r="H1" s="1449">
        <v>200020</v>
      </c>
      <c r="I1" s="1449">
        <v>200020</v>
      </c>
      <c r="J1" s="1449">
        <v>200020</v>
      </c>
      <c r="K1" s="1449">
        <v>200020</v>
      </c>
      <c r="L1" s="1449">
        <v>200020</v>
      </c>
      <c r="M1" s="1449">
        <v>200020</v>
      </c>
      <c r="N1" s="1449">
        <v>200020</v>
      </c>
      <c r="O1" s="1449">
        <v>200020</v>
      </c>
      <c r="P1" s="1449">
        <v>200020</v>
      </c>
      <c r="Q1" s="1449">
        <v>200020</v>
      </c>
      <c r="R1" s="1449">
        <v>200020</v>
      </c>
      <c r="S1" s="1449">
        <v>200020</v>
      </c>
      <c r="T1" s="1449">
        <v>200020</v>
      </c>
      <c r="U1" s="1449">
        <v>200020</v>
      </c>
      <c r="V1" s="1449">
        <v>200020</v>
      </c>
      <c r="W1" s="1449">
        <v>200020</v>
      </c>
      <c r="X1" s="1449">
        <v>200020</v>
      </c>
      <c r="Y1" s="1449">
        <v>200020</v>
      </c>
      <c r="Z1" s="1449">
        <v>200020</v>
      </c>
      <c r="AA1" s="1449">
        <v>200020</v>
      </c>
      <c r="AB1" s="1449">
        <v>200020</v>
      </c>
      <c r="AC1" s="1449">
        <v>200020</v>
      </c>
      <c r="AD1" s="1449">
        <v>200020</v>
      </c>
      <c r="AE1" s="1449">
        <v>200020</v>
      </c>
      <c r="AF1" s="1449">
        <v>200020</v>
      </c>
      <c r="AG1" s="1449">
        <v>200020</v>
      </c>
      <c r="AH1" s="1449">
        <v>200020</v>
      </c>
      <c r="AI1" s="1449">
        <v>200020</v>
      </c>
      <c r="AJ1" s="1449">
        <v>200020</v>
      </c>
      <c r="AK1" s="1449">
        <v>200020</v>
      </c>
      <c r="AL1" s="1449">
        <v>200020</v>
      </c>
      <c r="AM1" s="1449">
        <v>200020</v>
      </c>
      <c r="AN1" s="1449">
        <v>200020</v>
      </c>
      <c r="AO1" s="1449">
        <v>200020</v>
      </c>
      <c r="AP1" s="1449">
        <v>200020</v>
      </c>
      <c r="AQ1" s="1449">
        <v>200020</v>
      </c>
      <c r="AR1" s="1449">
        <v>200020</v>
      </c>
      <c r="AS1" s="1449">
        <v>200020</v>
      </c>
      <c r="AT1" s="1449">
        <v>200020</v>
      </c>
      <c r="AU1" s="1449">
        <v>200020</v>
      </c>
      <c r="AV1" s="1449">
        <v>200020</v>
      </c>
      <c r="AW1" s="1449">
        <v>200020</v>
      </c>
      <c r="AX1" s="1449">
        <v>200020</v>
      </c>
      <c r="AY1" s="1449">
        <v>200020</v>
      </c>
      <c r="AZ1" s="1449">
        <v>200020</v>
      </c>
      <c r="BA1" s="1449">
        <v>200020</v>
      </c>
      <c r="BB1" s="1449">
        <v>200020</v>
      </c>
      <c r="BC1" s="1449">
        <v>200020</v>
      </c>
      <c r="BD1" s="1449">
        <v>200020</v>
      </c>
      <c r="BE1" s="1449">
        <v>200020</v>
      </c>
      <c r="BF1" s="1449">
        <v>200020</v>
      </c>
      <c r="BG1" s="1449">
        <v>200020</v>
      </c>
      <c r="BH1" s="1449">
        <v>200020</v>
      </c>
      <c r="BI1" s="1449">
        <v>200020</v>
      </c>
      <c r="BJ1" s="1449">
        <v>200020</v>
      </c>
      <c r="BK1" s="1449">
        <v>200020</v>
      </c>
      <c r="BL1" s="1449">
        <v>200020</v>
      </c>
      <c r="BM1" s="1449">
        <v>200020</v>
      </c>
      <c r="BN1" s="1449">
        <v>200020</v>
      </c>
      <c r="BO1" s="1449">
        <v>200020</v>
      </c>
      <c r="BP1" s="1449">
        <v>200020</v>
      </c>
      <c r="BQ1" s="1449">
        <v>200020</v>
      </c>
      <c r="BR1" s="1449">
        <v>200020</v>
      </c>
      <c r="BS1" s="1449">
        <v>200020</v>
      </c>
      <c r="BT1" s="1449">
        <v>200020</v>
      </c>
      <c r="BU1" s="1449">
        <v>200020</v>
      </c>
      <c r="BV1" s="1449">
        <v>200020</v>
      </c>
      <c r="BW1" s="1449">
        <v>200020</v>
      </c>
      <c r="BX1" s="3186">
        <v>200020</v>
      </c>
      <c r="BY1" s="771">
        <v>200020</v>
      </c>
      <c r="BZ1" s="771">
        <v>200020</v>
      </c>
      <c r="CA1" s="771">
        <v>200020</v>
      </c>
      <c r="CB1" s="771">
        <v>200020</v>
      </c>
      <c r="CC1" s="771">
        <v>200020</v>
      </c>
      <c r="CD1" s="771">
        <v>200020</v>
      </c>
      <c r="CE1" s="771">
        <v>200020</v>
      </c>
      <c r="CF1" s="771">
        <v>200020</v>
      </c>
      <c r="CG1" s="771">
        <v>200020</v>
      </c>
      <c r="CH1" s="771">
        <v>200020</v>
      </c>
      <c r="CI1" s="771">
        <v>200020</v>
      </c>
      <c r="CJ1" s="771">
        <v>200020</v>
      </c>
      <c r="CK1" s="771">
        <v>200020</v>
      </c>
      <c r="CL1" s="771">
        <v>200020</v>
      </c>
      <c r="CM1" s="771">
        <v>200020</v>
      </c>
      <c r="CN1" s="771">
        <v>200020</v>
      </c>
      <c r="CO1" s="771">
        <v>200020</v>
      </c>
      <c r="CP1" s="771">
        <v>200020</v>
      </c>
      <c r="CQ1" s="771">
        <v>200020</v>
      </c>
      <c r="CR1" s="498">
        <v>200020</v>
      </c>
      <c r="CV1" s="800" t="s">
        <v>977</v>
      </c>
      <c r="CW1" s="499"/>
      <c r="CX1" s="499"/>
      <c r="CY1" s="499"/>
      <c r="CZ1" s="499"/>
      <c r="DA1" s="499"/>
      <c r="DB1" s="499"/>
      <c r="DC1" s="499"/>
      <c r="DD1" s="799">
        <v>1</v>
      </c>
      <c r="DE1" s="994">
        <v>1</v>
      </c>
      <c r="DF1" t="s">
        <v>1040</v>
      </c>
      <c r="IU1" s="1616" t="s">
        <v>628</v>
      </c>
      <c r="IV1" s="1616">
        <v>96</v>
      </c>
    </row>
    <row r="2" spans="1:256" ht="9" customHeight="1">
      <c r="A2" s="1449">
        <v>200020</v>
      </c>
      <c r="B2" s="498">
        <v>190019</v>
      </c>
      <c r="C2" s="498">
        <v>190019</v>
      </c>
      <c r="D2" s="498">
        <v>190019</v>
      </c>
      <c r="E2" s="498">
        <v>190019</v>
      </c>
      <c r="F2" s="498">
        <v>190019</v>
      </c>
      <c r="G2" s="498">
        <v>190019</v>
      </c>
      <c r="H2" s="498">
        <v>190019</v>
      </c>
      <c r="I2" s="498">
        <v>190019</v>
      </c>
      <c r="J2" s="498">
        <v>190019</v>
      </c>
      <c r="K2" s="498">
        <v>190019</v>
      </c>
      <c r="L2" s="498">
        <v>190019</v>
      </c>
      <c r="M2" s="498">
        <v>190019</v>
      </c>
      <c r="N2" s="498">
        <v>190019</v>
      </c>
      <c r="O2" s="498">
        <v>190019</v>
      </c>
      <c r="P2" s="498">
        <v>190019</v>
      </c>
      <c r="Q2" s="498">
        <v>190019</v>
      </c>
      <c r="R2" s="498">
        <v>190019</v>
      </c>
      <c r="S2" s="498">
        <v>190019</v>
      </c>
      <c r="T2" s="498">
        <v>190019</v>
      </c>
      <c r="U2" s="498">
        <v>190019</v>
      </c>
      <c r="V2" s="498">
        <v>190019</v>
      </c>
      <c r="W2" s="498">
        <v>190019</v>
      </c>
      <c r="X2" s="498">
        <v>190019</v>
      </c>
      <c r="Y2" s="498">
        <v>190019</v>
      </c>
      <c r="Z2" s="498">
        <v>190019</v>
      </c>
      <c r="AA2" s="792">
        <f>128*9+20+0.5+0.256+0.0102</f>
        <v>1172.7662</v>
      </c>
      <c r="AB2" s="514"/>
      <c r="AC2" s="514"/>
      <c r="AD2" s="514"/>
      <c r="AE2" s="514"/>
      <c r="AF2" s="514"/>
      <c r="AG2" s="514"/>
      <c r="AH2" s="514"/>
      <c r="AI2" s="514"/>
      <c r="AJ2" s="514"/>
      <c r="AK2" s="514"/>
      <c r="AL2" s="514"/>
      <c r="AM2" s="514"/>
      <c r="AN2" s="514"/>
      <c r="AO2" s="514"/>
      <c r="AP2" s="514"/>
      <c r="AQ2" s="514"/>
      <c r="AR2" s="514"/>
      <c r="AS2" s="514"/>
      <c r="AT2" s="514"/>
      <c r="AU2" s="514"/>
      <c r="AV2" s="514"/>
      <c r="AW2" s="514"/>
      <c r="AX2" s="514"/>
      <c r="AY2" s="514"/>
      <c r="AZ2" s="514"/>
      <c r="BA2" s="514"/>
      <c r="BB2" s="514"/>
      <c r="BC2" s="514"/>
      <c r="BD2" s="514"/>
      <c r="BE2" s="514"/>
      <c r="BF2" s="514"/>
      <c r="BG2" s="514"/>
      <c r="BH2" s="514"/>
      <c r="BI2" s="514"/>
      <c r="BJ2" s="514"/>
      <c r="BK2" s="514"/>
      <c r="BL2" s="514"/>
      <c r="BM2" s="514"/>
      <c r="BN2" s="514"/>
      <c r="BO2" s="514"/>
      <c r="BP2" s="514"/>
      <c r="BQ2" s="514"/>
      <c r="BR2" s="514"/>
      <c r="BS2" s="514"/>
      <c r="BT2" s="514"/>
      <c r="BU2" s="514"/>
      <c r="BV2" s="514"/>
      <c r="BW2" s="514"/>
      <c r="BX2" s="514"/>
      <c r="BY2" s="498">
        <v>200020</v>
      </c>
      <c r="BZ2" s="757">
        <f>128*8+3+0.384+0.004</f>
        <v>1027.3879999999999</v>
      </c>
      <c r="CA2" s="1879">
        <f>128*17+64+3</f>
        <v>2243</v>
      </c>
      <c r="CB2" s="1879">
        <f>128*17+64+3</f>
        <v>2243</v>
      </c>
      <c r="CC2" s="838">
        <f>20+0.156</f>
        <v>20.155999999999999</v>
      </c>
      <c r="CD2" s="810">
        <f>128*9+58</f>
        <v>1210</v>
      </c>
      <c r="CE2" s="818"/>
      <c r="CF2" s="818">
        <f>128*9+2</f>
        <v>1154</v>
      </c>
      <c r="CG2" s="995">
        <f>128*9+69+0.083</f>
        <v>1221.0830000000001</v>
      </c>
      <c r="CH2" s="818">
        <f>128*9+2</f>
        <v>1154</v>
      </c>
      <c r="CI2" s="757">
        <f>128*14+116</f>
        <v>1908</v>
      </c>
      <c r="CJ2" s="757">
        <f>128*10+5+0.256+0.014</f>
        <v>1285.27</v>
      </c>
      <c r="CK2" s="757">
        <v>200020</v>
      </c>
      <c r="CL2" s="757"/>
      <c r="CM2" s="757"/>
      <c r="CN2" s="757">
        <v>200020</v>
      </c>
      <c r="CO2" s="1879">
        <f>128*17+64+3</f>
        <v>2243</v>
      </c>
      <c r="CP2" s="1879">
        <f>128*17+64+3</f>
        <v>2243</v>
      </c>
      <c r="CQ2" s="757">
        <f>128*8+3+0.384+0.004</f>
        <v>1027.3879999999999</v>
      </c>
      <c r="CR2" s="498">
        <v>200020</v>
      </c>
      <c r="CV2" s="800"/>
      <c r="CW2" s="499"/>
      <c r="CX2" s="499"/>
      <c r="CY2" s="499"/>
      <c r="DD2" s="1">
        <v>2</v>
      </c>
      <c r="DE2" s="326">
        <v>2</v>
      </c>
      <c r="DF2" t="s">
        <v>1041</v>
      </c>
      <c r="IU2" s="1616" t="s">
        <v>629</v>
      </c>
      <c r="IV2" s="1616">
        <v>64</v>
      </c>
    </row>
    <row r="3" spans="1:256" ht="9" customHeight="1">
      <c r="A3" s="1449">
        <v>200020</v>
      </c>
      <c r="B3" s="504">
        <f>19</f>
        <v>19</v>
      </c>
      <c r="C3" s="504"/>
      <c r="D3" s="504">
        <f>128*14+7</f>
        <v>1799</v>
      </c>
      <c r="E3" s="504"/>
      <c r="F3" s="504"/>
      <c r="G3" s="504">
        <v>190019</v>
      </c>
      <c r="H3" s="504">
        <f>128*9+8+0.256+0.0295</f>
        <v>1160.2855000000002</v>
      </c>
      <c r="I3" s="504">
        <f>128*9+8+0.004</f>
        <v>1160.0039999999999</v>
      </c>
      <c r="J3" s="504">
        <f>128*9+8+0.5+0.256+0.005</f>
        <v>1160.7610000000002</v>
      </c>
      <c r="K3" s="504">
        <f>128*9+52</f>
        <v>1204</v>
      </c>
      <c r="L3" s="504"/>
      <c r="M3" s="504">
        <f>128*6+4</f>
        <v>772</v>
      </c>
      <c r="N3" s="770">
        <f>128*9+50</f>
        <v>1202</v>
      </c>
      <c r="O3" s="504">
        <f>128*9+1+0.004</f>
        <v>1153.0039999999999</v>
      </c>
      <c r="P3" s="504">
        <f>128*9+8</f>
        <v>1160</v>
      </c>
      <c r="Q3" s="504">
        <f>128*9+8+0.004</f>
        <v>1160.0039999999999</v>
      </c>
      <c r="R3" s="504">
        <f>128*9+8</f>
        <v>1160</v>
      </c>
      <c r="S3" s="504">
        <f>128*9+52+0.5+0.009</f>
        <v>1204.509</v>
      </c>
      <c r="T3" s="504"/>
      <c r="U3" s="504"/>
      <c r="V3" s="504"/>
      <c r="W3" s="504"/>
      <c r="X3" s="504">
        <v>4.4000000000000003E-3</v>
      </c>
      <c r="Y3" s="504">
        <f>128*9+23+0.5+0.256+0.0202</f>
        <v>1175.7762</v>
      </c>
      <c r="Z3" s="498">
        <v>190019</v>
      </c>
      <c r="AA3" s="514">
        <f>128*6+3</f>
        <v>771</v>
      </c>
      <c r="AB3" s="514"/>
      <c r="AC3" s="2707">
        <f>128*6+2</f>
        <v>770</v>
      </c>
      <c r="AD3" s="514"/>
      <c r="AE3" s="514"/>
      <c r="AF3" s="773"/>
      <c r="AG3" s="773"/>
      <c r="AH3" s="773"/>
      <c r="AI3" s="514"/>
      <c r="AJ3" s="505">
        <v>200020</v>
      </c>
      <c r="AK3" s="505">
        <v>200020</v>
      </c>
      <c r="AL3" s="505">
        <v>200020</v>
      </c>
      <c r="AM3" s="505">
        <v>200020</v>
      </c>
      <c r="AN3" s="505">
        <v>200020</v>
      </c>
      <c r="AO3" s="505">
        <v>200020</v>
      </c>
      <c r="AP3" s="505">
        <v>200042</v>
      </c>
      <c r="AQ3" s="505">
        <v>200020</v>
      </c>
      <c r="AR3" s="505">
        <v>200020</v>
      </c>
      <c r="AS3" s="505">
        <v>200020</v>
      </c>
      <c r="AT3" s="505">
        <v>200020</v>
      </c>
      <c r="AU3" s="505">
        <v>200020</v>
      </c>
      <c r="AV3" s="505">
        <v>200020</v>
      </c>
      <c r="AW3" s="505">
        <v>200020</v>
      </c>
      <c r="AX3" s="505">
        <v>200020</v>
      </c>
      <c r="AY3" s="505">
        <v>200020</v>
      </c>
      <c r="AZ3" s="505">
        <v>200020</v>
      </c>
      <c r="BA3" s="505">
        <v>200020</v>
      </c>
      <c r="BB3" s="505">
        <v>200020</v>
      </c>
      <c r="BC3" s="514"/>
      <c r="BD3" s="504">
        <v>200020</v>
      </c>
      <c r="BE3" s="504">
        <v>200020</v>
      </c>
      <c r="BF3" s="504">
        <v>200020</v>
      </c>
      <c r="BG3" s="504">
        <v>200020</v>
      </c>
      <c r="BH3" s="504">
        <v>200020</v>
      </c>
      <c r="BI3" s="504">
        <v>200020</v>
      </c>
      <c r="BJ3" s="504">
        <v>200020</v>
      </c>
      <c r="BK3" s="504">
        <v>200020</v>
      </c>
      <c r="BL3" s="504">
        <v>200020</v>
      </c>
      <c r="BM3" s="504">
        <v>200020</v>
      </c>
      <c r="BN3" s="504">
        <v>200020</v>
      </c>
      <c r="BO3" s="504">
        <v>200020</v>
      </c>
      <c r="BP3" s="504">
        <v>200020</v>
      </c>
      <c r="BQ3" s="504">
        <v>200020</v>
      </c>
      <c r="BR3" s="504">
        <v>200020</v>
      </c>
      <c r="BS3" s="514"/>
      <c r="BT3" s="503"/>
      <c r="BU3" s="503"/>
      <c r="BV3" s="503"/>
      <c r="BW3" s="503"/>
      <c r="BX3" s="503"/>
      <c r="BY3" s="505">
        <v>420042</v>
      </c>
      <c r="BZ3" s="996">
        <f>10000*20+128+42</f>
        <v>200170</v>
      </c>
      <c r="CA3" s="996">
        <f>10000*20+128+42</f>
        <v>200170</v>
      </c>
      <c r="CB3" s="997">
        <f>10000*20+128+42</f>
        <v>200170</v>
      </c>
      <c r="CC3" s="505">
        <v>200020</v>
      </c>
      <c r="CD3" s="505">
        <v>200020</v>
      </c>
      <c r="CE3" s="505">
        <v>200020</v>
      </c>
      <c r="CF3" s="505">
        <v>200020</v>
      </c>
      <c r="CG3" s="505">
        <v>200020</v>
      </c>
      <c r="CH3" s="505">
        <v>200020</v>
      </c>
      <c r="CI3" s="505">
        <v>200020</v>
      </c>
      <c r="CJ3" s="505">
        <v>200020</v>
      </c>
      <c r="CK3" s="505">
        <v>200042</v>
      </c>
      <c r="CL3" s="505">
        <v>200020</v>
      </c>
      <c r="CM3" s="505">
        <v>200020</v>
      </c>
      <c r="CN3" s="505">
        <v>200020</v>
      </c>
      <c r="CO3" s="998">
        <f>10000*20+128+42</f>
        <v>200170</v>
      </c>
      <c r="CP3" s="996">
        <f>10000*20+128+42</f>
        <v>200170</v>
      </c>
      <c r="CQ3" s="996">
        <f>10000*20+128+42</f>
        <v>200170</v>
      </c>
      <c r="CR3" s="505">
        <v>200042</v>
      </c>
      <c r="CV3" s="800"/>
      <c r="CW3" s="499"/>
      <c r="CX3" s="499"/>
      <c r="CY3" s="499"/>
      <c r="DD3" s="1">
        <v>3</v>
      </c>
      <c r="DE3" s="326">
        <v>3</v>
      </c>
      <c r="DF3" t="s">
        <v>1042</v>
      </c>
      <c r="IU3" s="1616" t="s">
        <v>738</v>
      </c>
      <c r="IV3" s="1616">
        <v>32</v>
      </c>
    </row>
    <row r="4" spans="1:256" ht="9" customHeight="1">
      <c r="A4" s="504">
        <f>190038</f>
        <v>190038</v>
      </c>
      <c r="B4" s="757" t="s">
        <v>648</v>
      </c>
      <c r="C4" s="504">
        <f>128*6+60</f>
        <v>828</v>
      </c>
      <c r="D4" s="999">
        <f>128*14+7</f>
        <v>1799</v>
      </c>
      <c r="E4" s="504"/>
      <c r="F4" s="504"/>
      <c r="G4" s="504">
        <f>128*5+35</f>
        <v>675</v>
      </c>
      <c r="H4" s="504"/>
      <c r="I4" s="504"/>
      <c r="J4" s="504"/>
      <c r="K4" s="504"/>
      <c r="L4" s="999"/>
      <c r="M4" s="504"/>
      <c r="N4" s="504"/>
      <c r="O4" s="504"/>
      <c r="P4" s="504"/>
      <c r="Q4" s="999"/>
      <c r="R4" s="504"/>
      <c r="S4" s="504"/>
      <c r="T4" s="504"/>
      <c r="U4" s="504"/>
      <c r="V4" s="1000"/>
      <c r="W4" s="504"/>
      <c r="X4" s="504"/>
      <c r="Y4" s="504">
        <f>128*9+50</f>
        <v>1202</v>
      </c>
      <c r="Z4" s="498">
        <v>190019</v>
      </c>
      <c r="AA4" s="514"/>
      <c r="AB4" s="514"/>
      <c r="AC4" s="514"/>
      <c r="AD4" s="514"/>
      <c r="AE4" s="514"/>
      <c r="AF4" s="773"/>
      <c r="AG4" s="1790"/>
      <c r="AH4" s="773"/>
      <c r="AI4" s="514"/>
      <c r="AJ4" s="505">
        <v>200020</v>
      </c>
      <c r="AK4" s="2840"/>
      <c r="AL4" s="2840"/>
      <c r="AM4" s="2901"/>
      <c r="AN4" s="2840"/>
      <c r="AO4" s="2840"/>
      <c r="AP4" s="2902"/>
      <c r="AQ4" s="2840"/>
      <c r="AR4" s="2840"/>
      <c r="AS4" s="2840"/>
      <c r="AT4" s="2901"/>
      <c r="AU4" s="2901"/>
      <c r="AV4" s="2901"/>
      <c r="AW4" s="2901"/>
      <c r="AX4" s="2903"/>
      <c r="AY4" s="2840"/>
      <c r="AZ4" s="2840"/>
      <c r="BA4" s="2840"/>
      <c r="BB4" s="505">
        <v>200020</v>
      </c>
      <c r="BC4" s="1002">
        <f>0.384+0.004</f>
        <v>0.38800000000000001</v>
      </c>
      <c r="BD4" s="504">
        <v>200020</v>
      </c>
      <c r="BE4" s="707"/>
      <c r="BF4" s="755">
        <f>128*9+50</f>
        <v>1202</v>
      </c>
      <c r="BG4" s="707">
        <f>128*9+8+0.5+0.1209</f>
        <v>1160.6208999999999</v>
      </c>
      <c r="BH4" s="707">
        <f>128*9+8+0.5+0.009</f>
        <v>1160.509</v>
      </c>
      <c r="BI4" s="707">
        <f>128*9+8+0.004</f>
        <v>1160.0039999999999</v>
      </c>
      <c r="BJ4" s="707">
        <f>128*9+8</f>
        <v>1160</v>
      </c>
      <c r="BK4" s="707">
        <f>128*9+71+0.5+0.384+0.004</f>
        <v>1223.8879999999999</v>
      </c>
      <c r="BL4" s="707">
        <f>128*9+8+0.004</f>
        <v>1160.0039999999999</v>
      </c>
      <c r="BM4" s="707">
        <f>128*9+8+0.0045</f>
        <v>1160.0045</v>
      </c>
      <c r="BN4" s="707">
        <f>128*9+8+0.5+0.256+0.015</f>
        <v>1160.7710000000002</v>
      </c>
      <c r="BO4" s="707">
        <f>128*9+8+0.5+0.0304</f>
        <v>1160.5304000000001</v>
      </c>
      <c r="BP4" s="811">
        <f>128*9+50</f>
        <v>1202</v>
      </c>
      <c r="BQ4" s="707"/>
      <c r="BR4" s="504">
        <v>200020</v>
      </c>
      <c r="BS4" s="514"/>
      <c r="BT4" s="503"/>
      <c r="BU4" s="498">
        <v>200020</v>
      </c>
      <c r="BV4" s="545">
        <f>10000*42+0.0055</f>
        <v>420000.00550000003</v>
      </c>
      <c r="BW4" s="498">
        <v>200020</v>
      </c>
      <c r="BX4" s="503"/>
      <c r="BY4" s="505">
        <v>200020</v>
      </c>
      <c r="BZ4" s="509"/>
      <c r="CA4" s="509"/>
      <c r="CB4" s="509"/>
      <c r="CC4" s="509"/>
      <c r="CD4" s="509"/>
      <c r="CE4" s="509"/>
      <c r="CF4" s="509"/>
      <c r="CG4" s="509"/>
      <c r="CH4" s="509"/>
      <c r="CI4" s="509"/>
      <c r="CJ4" s="509"/>
      <c r="CK4" s="1001"/>
      <c r="CL4" s="509"/>
      <c r="CM4" s="509"/>
      <c r="CN4" s="509"/>
      <c r="CO4" s="509"/>
      <c r="CP4" s="509"/>
      <c r="CQ4" s="509"/>
      <c r="CR4" s="505">
        <v>200020</v>
      </c>
      <c r="CV4" s="800"/>
      <c r="CW4" s="499"/>
      <c r="CX4" s="499"/>
      <c r="CY4" s="499"/>
      <c r="DD4" s="1">
        <v>4</v>
      </c>
      <c r="DE4" s="326">
        <v>4</v>
      </c>
      <c r="DF4" t="s">
        <v>1043</v>
      </c>
      <c r="IU4" s="1616" t="s">
        <v>630</v>
      </c>
      <c r="IV4" s="1616">
        <v>32</v>
      </c>
    </row>
    <row r="5" spans="1:256" ht="9" customHeight="1" thickBot="1">
      <c r="A5" s="1449">
        <v>200020</v>
      </c>
      <c r="B5" s="498">
        <v>190019</v>
      </c>
      <c r="C5" s="504"/>
      <c r="D5" s="504">
        <f>128*14+7</f>
        <v>1799</v>
      </c>
      <c r="E5" s="504"/>
      <c r="F5" s="504"/>
      <c r="G5" s="504">
        <v>190019</v>
      </c>
      <c r="H5" s="504">
        <f>128*9+8+0.256+0.01</f>
        <v>1160.2660000000001</v>
      </c>
      <c r="I5" s="754">
        <f>128*9+50</f>
        <v>1202</v>
      </c>
      <c r="J5" s="504"/>
      <c r="K5" s="504"/>
      <c r="L5" s="504">
        <f>128*9+52</f>
        <v>1204</v>
      </c>
      <c r="M5" s="504">
        <f>128*9+8+0.03</f>
        <v>1160.03</v>
      </c>
      <c r="N5" s="504">
        <f>128*9+8+0.5+0.256+0.006</f>
        <v>1160.7620000000002</v>
      </c>
      <c r="O5" s="504">
        <f>128*9+52</f>
        <v>1204</v>
      </c>
      <c r="P5" s="504"/>
      <c r="Q5" s="504"/>
      <c r="R5" s="504"/>
      <c r="S5" s="504">
        <f>128*9+21</f>
        <v>1173</v>
      </c>
      <c r="T5" s="504">
        <f>128*6+3</f>
        <v>771</v>
      </c>
      <c r="U5" s="504">
        <f>128*9+52+0.5+0.02</f>
        <v>1204.52</v>
      </c>
      <c r="V5" s="504"/>
      <c r="W5" s="504"/>
      <c r="X5" s="504"/>
      <c r="Y5" s="504"/>
      <c r="Z5" s="1003">
        <f>128*5+35</f>
        <v>675</v>
      </c>
      <c r="AA5" s="514"/>
      <c r="AB5" s="514"/>
      <c r="AC5" s="514"/>
      <c r="AD5" s="777"/>
      <c r="AE5" s="514"/>
      <c r="AF5" s="773"/>
      <c r="AG5" s="1790"/>
      <c r="AH5" s="773"/>
      <c r="AI5" s="514"/>
      <c r="AJ5" s="505">
        <v>200020</v>
      </c>
      <c r="AK5" s="2840"/>
      <c r="AL5" s="2909">
        <f t="shared" ref="AL5:AM7" si="0">10000*42</f>
        <v>420000</v>
      </c>
      <c r="AM5" s="2910">
        <f t="shared" si="0"/>
        <v>420000</v>
      </c>
      <c r="AN5" s="2911">
        <f>10000*42</f>
        <v>420000</v>
      </c>
      <c r="AO5" s="514"/>
      <c r="AP5" s="1004">
        <f>128*2+49</f>
        <v>305</v>
      </c>
      <c r="AQ5" s="514"/>
      <c r="AR5" s="2891">
        <v>200000</v>
      </c>
      <c r="AS5" s="514"/>
      <c r="AT5" s="1005"/>
      <c r="AU5" s="1005"/>
      <c r="AV5" s="1005"/>
      <c r="AW5" s="1005"/>
      <c r="AX5" s="1006"/>
      <c r="AY5" s="514"/>
      <c r="AZ5" s="2891">
        <v>200000</v>
      </c>
      <c r="BA5" s="2840"/>
      <c r="BB5" s="505">
        <v>200020</v>
      </c>
      <c r="BC5" s="514"/>
      <c r="BD5" s="504">
        <v>200020</v>
      </c>
      <c r="BE5" s="707"/>
      <c r="BF5" s="707"/>
      <c r="BG5" s="707"/>
      <c r="BH5" s="755">
        <f>128*9+21</f>
        <v>1173</v>
      </c>
      <c r="BI5" s="707">
        <f>0.384+0.004</f>
        <v>0.38800000000000001</v>
      </c>
      <c r="BJ5" s="707"/>
      <c r="BK5" s="510"/>
      <c r="BL5" s="707"/>
      <c r="BM5" s="707">
        <f>0.384+0.004</f>
        <v>0.38800000000000001</v>
      </c>
      <c r="BN5" s="707">
        <f>128*9+20</f>
        <v>1172</v>
      </c>
      <c r="BO5" s="707"/>
      <c r="BP5" s="707"/>
      <c r="BQ5" s="707"/>
      <c r="BR5" s="504">
        <v>200020</v>
      </c>
      <c r="BS5" s="514">
        <f>0.0093</f>
        <v>9.2999999999999992E-3</v>
      </c>
      <c r="BT5" s="513"/>
      <c r="BU5" s="513"/>
      <c r="BV5" s="513"/>
      <c r="BW5" s="513"/>
      <c r="BX5" s="503"/>
      <c r="BY5" s="505">
        <v>200020</v>
      </c>
      <c r="BZ5" s="509"/>
      <c r="CA5" s="514"/>
      <c r="CB5" s="1007">
        <f>128*9+75+0.208</f>
        <v>1227.2080000000001</v>
      </c>
      <c r="CC5" s="514"/>
      <c r="CD5" s="1008">
        <f>128*9+75+0.208</f>
        <v>1227.2080000000001</v>
      </c>
      <c r="CE5" s="1009">
        <f>128*9+57+0.184</f>
        <v>1209.184</v>
      </c>
      <c r="CF5" s="843">
        <f>128*9+75+0.208</f>
        <v>1227.2080000000001</v>
      </c>
      <c r="CG5" s="514"/>
      <c r="CH5" s="514"/>
      <c r="CI5" s="791">
        <v>420042</v>
      </c>
      <c r="CJ5" s="1010"/>
      <c r="CK5" s="1011"/>
      <c r="CL5" s="1012">
        <f>128*2+35</f>
        <v>291</v>
      </c>
      <c r="CM5" s="791">
        <v>420042</v>
      </c>
      <c r="CN5" s="514"/>
      <c r="CO5" s="514"/>
      <c r="CP5" s="514"/>
      <c r="CQ5" s="509"/>
      <c r="CR5" s="505">
        <v>200020</v>
      </c>
      <c r="CV5" s="800" t="s">
        <v>979</v>
      </c>
      <c r="CW5" s="499"/>
      <c r="CX5" s="499"/>
      <c r="CY5" s="499"/>
      <c r="DD5" s="799">
        <v>1</v>
      </c>
      <c r="DE5" s="326">
        <v>5</v>
      </c>
      <c r="DF5" t="s">
        <v>1044</v>
      </c>
      <c r="IU5" s="1616" t="s">
        <v>631</v>
      </c>
      <c r="IV5" s="1616">
        <v>32</v>
      </c>
    </row>
    <row r="6" spans="1:256" ht="9" customHeight="1" thickTop="1" thickBot="1">
      <c r="A6" s="1449">
        <v>200020</v>
      </c>
      <c r="B6" s="498">
        <v>190019</v>
      </c>
      <c r="C6" s="504">
        <v>190019</v>
      </c>
      <c r="D6" s="504">
        <v>190019</v>
      </c>
      <c r="E6" s="504">
        <f>128*5+35</f>
        <v>675</v>
      </c>
      <c r="F6" s="504">
        <v>190019</v>
      </c>
      <c r="G6" s="504">
        <v>190019</v>
      </c>
      <c r="H6" s="504">
        <v>190019</v>
      </c>
      <c r="I6" s="504">
        <v>190019</v>
      </c>
      <c r="J6" s="331">
        <f>128*5+39</f>
        <v>679</v>
      </c>
      <c r="K6" s="527">
        <f>190019+0.135</f>
        <v>190019.13500000001</v>
      </c>
      <c r="L6" s="504">
        <v>190019</v>
      </c>
      <c r="M6" s="504">
        <v>190019</v>
      </c>
      <c r="N6" s="504">
        <v>190019</v>
      </c>
      <c r="O6" s="504">
        <v>190019</v>
      </c>
      <c r="P6" s="527">
        <f>190019+0.135</f>
        <v>190019.13500000001</v>
      </c>
      <c r="Q6" s="331">
        <f>128*5+39</f>
        <v>679</v>
      </c>
      <c r="R6" s="504">
        <v>190019</v>
      </c>
      <c r="S6" s="504">
        <v>190019</v>
      </c>
      <c r="T6" s="504">
        <v>190019</v>
      </c>
      <c r="U6" s="504">
        <v>190019</v>
      </c>
      <c r="V6" s="504">
        <v>190019</v>
      </c>
      <c r="W6" s="527">
        <f>190019+0.135</f>
        <v>190019.13500000001</v>
      </c>
      <c r="X6" s="331">
        <f>128*5+39</f>
        <v>679</v>
      </c>
      <c r="Y6" s="498">
        <v>190019</v>
      </c>
      <c r="Z6" s="498">
        <v>190019</v>
      </c>
      <c r="AA6" s="498">
        <v>190019</v>
      </c>
      <c r="AB6" s="498">
        <v>190019</v>
      </c>
      <c r="AC6" s="498">
        <v>190019</v>
      </c>
      <c r="AD6" s="514"/>
      <c r="AE6" s="514"/>
      <c r="AF6" s="773"/>
      <c r="AG6" s="1790"/>
      <c r="AH6" s="773"/>
      <c r="AI6" s="514"/>
      <c r="AJ6" s="505">
        <v>200020</v>
      </c>
      <c r="AK6" s="2840"/>
      <c r="AL6" s="2909">
        <f t="shared" si="0"/>
        <v>420000</v>
      </c>
      <c r="AM6" s="2907">
        <f>128*9+57+0.184</f>
        <v>1209.184</v>
      </c>
      <c r="AN6" s="2911">
        <f>10000*42</f>
        <v>420000</v>
      </c>
      <c r="AO6" s="1015">
        <f>128*8+3</f>
        <v>1027</v>
      </c>
      <c r="AP6" s="1013"/>
      <c r="AQ6" s="514"/>
      <c r="AR6" s="514"/>
      <c r="AS6" s="792">
        <f>128*9+71</f>
        <v>1223</v>
      </c>
      <c r="AT6" s="1005">
        <f>128*9+70</f>
        <v>1222</v>
      </c>
      <c r="AU6" s="1014">
        <f>128*9+52</f>
        <v>1204</v>
      </c>
      <c r="AV6" s="1005">
        <f>128*9+70</f>
        <v>1222</v>
      </c>
      <c r="AW6" s="1014">
        <f>128*9+52</f>
        <v>1204</v>
      </c>
      <c r="AX6" s="1005">
        <f>128*9+70</f>
        <v>1222</v>
      </c>
      <c r="AY6" s="1015">
        <f>128*9+71</f>
        <v>1223</v>
      </c>
      <c r="AZ6" s="514"/>
      <c r="BA6" s="2840"/>
      <c r="BB6" s="505">
        <v>200020</v>
      </c>
      <c r="BC6" s="498">
        <v>200020</v>
      </c>
      <c r="BD6" s="498">
        <v>200020</v>
      </c>
      <c r="BE6" s="1016">
        <f>10000*20+128*5+39</f>
        <v>200679</v>
      </c>
      <c r="BF6" s="498">
        <v>200020</v>
      </c>
      <c r="BG6" s="498">
        <v>200020</v>
      </c>
      <c r="BH6" s="498">
        <v>200020</v>
      </c>
      <c r="BI6" s="498">
        <v>200020</v>
      </c>
      <c r="BJ6" s="498">
        <v>200020</v>
      </c>
      <c r="BK6" s="498">
        <v>200020</v>
      </c>
      <c r="BL6" s="498">
        <v>200020</v>
      </c>
      <c r="BM6" s="498">
        <v>200020</v>
      </c>
      <c r="BN6" s="498">
        <v>200020</v>
      </c>
      <c r="BO6" s="498">
        <v>200020</v>
      </c>
      <c r="BP6" s="1016">
        <f>10000*20+128*5+39</f>
        <v>200679</v>
      </c>
      <c r="BQ6" s="677">
        <f>10000*20+20+0.135</f>
        <v>200020.13500000001</v>
      </c>
      <c r="BR6" s="498">
        <v>200020</v>
      </c>
      <c r="BS6" s="498">
        <v>200020</v>
      </c>
      <c r="BT6" s="513"/>
      <c r="BU6" s="513"/>
      <c r="BV6" s="513"/>
      <c r="BW6" s="513"/>
      <c r="BX6" s="503"/>
      <c r="BY6" s="505">
        <v>200020</v>
      </c>
      <c r="BZ6" s="509"/>
      <c r="CA6" s="514"/>
      <c r="CB6" s="1017">
        <f>128*9+57+0.184</f>
        <v>1209.184</v>
      </c>
      <c r="CC6" s="1011"/>
      <c r="CD6" s="1011"/>
      <c r="CE6" s="1011"/>
      <c r="CF6" s="1018"/>
      <c r="CG6" s="514"/>
      <c r="CH6" s="514"/>
      <c r="CI6" s="514"/>
      <c r="CJ6" s="514"/>
      <c r="CK6" s="1011"/>
      <c r="CL6" s="514"/>
      <c r="CM6" s="514"/>
      <c r="CN6" s="514"/>
      <c r="CO6" s="1019"/>
      <c r="CP6" s="1007">
        <f>128*9+75+0.208</f>
        <v>1227.2080000000001</v>
      </c>
      <c r="CQ6" s="509"/>
      <c r="CR6" s="505">
        <v>200020</v>
      </c>
      <c r="CV6" s="800"/>
      <c r="CW6" s="499"/>
      <c r="CX6" s="499"/>
      <c r="CY6" s="499"/>
      <c r="DD6" s="1">
        <v>2</v>
      </c>
      <c r="DE6" s="326">
        <v>6</v>
      </c>
      <c r="DF6" t="s">
        <v>1045</v>
      </c>
      <c r="IU6" s="1616" t="s">
        <v>669</v>
      </c>
      <c r="IV6" s="1616">
        <v>4</v>
      </c>
    </row>
    <row r="7" spans="1:256" ht="9" customHeight="1" thickTop="1" thickBot="1">
      <c r="A7" s="1449">
        <v>200020</v>
      </c>
      <c r="B7" s="498">
        <v>190019</v>
      </c>
      <c r="C7" s="504">
        <f>128*9+21+0.5+0.256+0.0206</f>
        <v>1173.7766000000001</v>
      </c>
      <c r="D7" s="504"/>
      <c r="E7" s="504"/>
      <c r="F7" s="504"/>
      <c r="G7" s="504">
        <v>190019</v>
      </c>
      <c r="H7" s="331"/>
      <c r="I7" s="331"/>
      <c r="J7" s="331">
        <f>0.256+0.022</f>
        <v>0.27800000000000002</v>
      </c>
      <c r="K7" s="331"/>
      <c r="L7" s="1020"/>
      <c r="M7" s="504">
        <v>190019</v>
      </c>
      <c r="N7" s="999"/>
      <c r="O7" s="331"/>
      <c r="P7" s="331"/>
      <c r="Q7" s="331"/>
      <c r="R7" s="999"/>
      <c r="S7" s="504">
        <v>190019</v>
      </c>
      <c r="T7" s="999"/>
      <c r="U7" s="331"/>
      <c r="V7" s="331"/>
      <c r="W7" s="331"/>
      <c r="X7" s="331"/>
      <c r="Y7" s="331"/>
      <c r="Z7" s="331"/>
      <c r="AA7" s="331"/>
      <c r="AB7" s="1021"/>
      <c r="AC7" s="498">
        <v>190019</v>
      </c>
      <c r="AD7" s="514"/>
      <c r="AE7" s="514"/>
      <c r="AF7" s="773"/>
      <c r="AG7" s="773"/>
      <c r="AH7" s="773"/>
      <c r="AI7" s="514"/>
      <c r="AJ7" s="505">
        <v>200020</v>
      </c>
      <c r="AK7" s="2840"/>
      <c r="AL7" s="2909">
        <f t="shared" si="0"/>
        <v>420000</v>
      </c>
      <c r="AM7" s="2912">
        <f t="shared" si="0"/>
        <v>420000</v>
      </c>
      <c r="AN7" s="2911">
        <f>10000*42</f>
        <v>420000</v>
      </c>
      <c r="AO7" s="514"/>
      <c r="AP7" s="1013"/>
      <c r="AQ7" s="514"/>
      <c r="AR7" s="514"/>
      <c r="AS7" s="514"/>
      <c r="AT7" s="1005"/>
      <c r="AU7" s="1022">
        <f>128*9+70</f>
        <v>1222</v>
      </c>
      <c r="AV7" s="1005"/>
      <c r="AW7" s="1022">
        <f>128*9+70</f>
        <v>1222</v>
      </c>
      <c r="AX7" s="1006"/>
      <c r="AY7" s="514"/>
      <c r="AZ7" s="514"/>
      <c r="BA7" s="2840"/>
      <c r="BB7" s="793">
        <f>10000*20+20+0.208</f>
        <v>200020.20800000001</v>
      </c>
      <c r="BC7" s="498">
        <v>200020</v>
      </c>
      <c r="BD7" s="2897"/>
      <c r="BE7" s="2897"/>
      <c r="BF7" s="2897"/>
      <c r="BG7" s="2897"/>
      <c r="BH7" s="2897"/>
      <c r="BI7" s="2897"/>
      <c r="BJ7" s="2897"/>
      <c r="BK7" s="2897"/>
      <c r="BL7" s="2897"/>
      <c r="BM7" s="2897"/>
      <c r="BN7" s="2897"/>
      <c r="BO7" s="2897"/>
      <c r="BP7" s="2897"/>
      <c r="BQ7" s="2897"/>
      <c r="BR7" s="2898"/>
      <c r="BS7" s="677">
        <f>10000*20+20+0.208</f>
        <v>200020.20800000001</v>
      </c>
      <c r="BT7" s="1023">
        <f>42</f>
        <v>42</v>
      </c>
      <c r="BU7" s="781">
        <f>128*4+39+0.06</f>
        <v>551.05999999999995</v>
      </c>
      <c r="BV7" s="781">
        <f>128*4+39</f>
        <v>551</v>
      </c>
      <c r="BW7" s="781">
        <f>128*4+39+0.06</f>
        <v>551.05999999999995</v>
      </c>
      <c r="BX7" s="1023">
        <f>42</f>
        <v>42</v>
      </c>
      <c r="BY7" s="505">
        <v>200020</v>
      </c>
      <c r="BZ7" s="509"/>
      <c r="CA7" s="514"/>
      <c r="CB7" s="1024">
        <f>128*9+75+0.208</f>
        <v>1227.2080000000001</v>
      </c>
      <c r="CC7" s="514"/>
      <c r="CD7" s="1025">
        <v>420000</v>
      </c>
      <c r="CE7" s="1011"/>
      <c r="CF7" s="514"/>
      <c r="CG7" s="1026">
        <v>420042</v>
      </c>
      <c r="CH7" s="771">
        <f>10000*20</f>
        <v>200000</v>
      </c>
      <c r="CI7" s="1027">
        <v>420042</v>
      </c>
      <c r="CJ7" s="1028">
        <f>128*9+70+0.5+0.256+0.0013</f>
        <v>1222.7573</v>
      </c>
      <c r="CK7" s="1011"/>
      <c r="CL7" s="1011"/>
      <c r="CM7" s="1011"/>
      <c r="CN7" s="1011"/>
      <c r="CO7" s="1029">
        <f>128*9+17</f>
        <v>1169</v>
      </c>
      <c r="CP7" s="1009">
        <f>128*9+57+0.184</f>
        <v>1209.184</v>
      </c>
      <c r="CQ7" s="509"/>
      <c r="CR7" s="505">
        <v>200020</v>
      </c>
      <c r="CV7" s="800"/>
      <c r="CW7" s="499"/>
      <c r="CX7" s="499"/>
      <c r="CY7" s="499"/>
      <c r="DD7" s="1">
        <v>3</v>
      </c>
      <c r="DE7" s="326">
        <v>7</v>
      </c>
      <c r="DF7" t="s">
        <v>1046</v>
      </c>
      <c r="IU7" s="1616" t="s">
        <v>866</v>
      </c>
      <c r="IV7" s="1616">
        <v>7</v>
      </c>
    </row>
    <row r="8" spans="1:256" ht="9" customHeight="1" thickTop="1">
      <c r="A8" s="1449">
        <v>200020</v>
      </c>
      <c r="B8" s="498">
        <v>190019</v>
      </c>
      <c r="C8" s="504"/>
      <c r="D8" s="504"/>
      <c r="E8" s="999"/>
      <c r="F8" s="504"/>
      <c r="G8" s="504">
        <v>190019</v>
      </c>
      <c r="H8" s="331"/>
      <c r="I8" s="504">
        <v>190019</v>
      </c>
      <c r="J8" s="504">
        <v>190019</v>
      </c>
      <c r="K8" s="504">
        <v>190019</v>
      </c>
      <c r="L8" s="331">
        <f>128*3+32</f>
        <v>416</v>
      </c>
      <c r="M8" s="504">
        <v>190019</v>
      </c>
      <c r="N8" s="331"/>
      <c r="O8" s="504">
        <v>190019</v>
      </c>
      <c r="P8" s="331"/>
      <c r="Q8" s="504">
        <v>190019</v>
      </c>
      <c r="R8" s="331"/>
      <c r="S8" s="504">
        <v>190019</v>
      </c>
      <c r="T8" s="331"/>
      <c r="U8" s="504">
        <v>190019</v>
      </c>
      <c r="V8" s="504">
        <v>190019</v>
      </c>
      <c r="W8" s="504">
        <v>190019</v>
      </c>
      <c r="X8" s="331">
        <f>128*3+32</f>
        <v>416</v>
      </c>
      <c r="Y8" s="504">
        <v>190019</v>
      </c>
      <c r="Z8" s="504">
        <v>190019</v>
      </c>
      <c r="AA8" s="504">
        <v>190019</v>
      </c>
      <c r="AB8" s="331"/>
      <c r="AC8" s="498">
        <v>190019</v>
      </c>
      <c r="AD8" s="498">
        <v>190019</v>
      </c>
      <c r="AE8" s="514"/>
      <c r="AF8" s="514"/>
      <c r="AG8" s="514"/>
      <c r="AH8" s="514"/>
      <c r="AI8" s="841">
        <v>190019</v>
      </c>
      <c r="AJ8" s="505">
        <v>200020</v>
      </c>
      <c r="AK8" s="2840"/>
      <c r="AL8" s="514"/>
      <c r="AM8" s="1005"/>
      <c r="AN8" s="514"/>
      <c r="AO8" s="514"/>
      <c r="AP8" s="791">
        <v>420042</v>
      </c>
      <c r="AQ8" s="1010">
        <f>128*2+35</f>
        <v>291</v>
      </c>
      <c r="AR8" s="831"/>
      <c r="AS8" s="791">
        <v>420042</v>
      </c>
      <c r="AT8" s="1005"/>
      <c r="AU8" s="1005">
        <f>128*9+70</f>
        <v>1222</v>
      </c>
      <c r="AV8" s="1005"/>
      <c r="AW8" s="1005">
        <f>128*9+70</f>
        <v>1222</v>
      </c>
      <c r="AX8" s="1006"/>
      <c r="AY8" s="514"/>
      <c r="AZ8" s="514"/>
      <c r="BA8" s="2840"/>
      <c r="BB8" s="2941">
        <f>10000*20+128*9+72+0.207</f>
        <v>201224.20699999999</v>
      </c>
      <c r="BC8" s="766">
        <f>10000*20</f>
        <v>200000</v>
      </c>
      <c r="BD8" s="2897"/>
      <c r="BE8" s="812"/>
      <c r="BF8" s="2900"/>
      <c r="BG8" s="2899">
        <v>490000</v>
      </c>
      <c r="BH8" s="2900"/>
      <c r="BI8" s="812"/>
      <c r="BJ8" s="2900"/>
      <c r="BK8" s="2899">
        <v>490000</v>
      </c>
      <c r="BL8" s="2900"/>
      <c r="BM8" s="812"/>
      <c r="BN8" s="2900"/>
      <c r="BO8" s="2899">
        <v>490000</v>
      </c>
      <c r="BP8" s="2900"/>
      <c r="BQ8" s="812"/>
      <c r="BR8" s="2898"/>
      <c r="BS8" s="1030">
        <f>10000*20+128*9+72+0.207</f>
        <v>201224.20699999999</v>
      </c>
      <c r="BT8" s="707"/>
      <c r="BU8" s="1031"/>
      <c r="BV8" s="1031"/>
      <c r="BW8" s="1031"/>
      <c r="BX8" s="707"/>
      <c r="BY8" s="793">
        <f>10000*20+128*9+74</f>
        <v>201226</v>
      </c>
      <c r="BZ8" s="509"/>
      <c r="CA8" s="514"/>
      <c r="CB8" s="1032">
        <f>10000*49+49+0.208</f>
        <v>490049.20799999998</v>
      </c>
      <c r="CC8" s="1019"/>
      <c r="CD8" s="514"/>
      <c r="CE8" s="1011"/>
      <c r="CF8" s="514"/>
      <c r="CG8" s="1033">
        <f>10000*20+128*9+76</f>
        <v>201228</v>
      </c>
      <c r="CH8" s="771">
        <f>128*10+1+0.384+0.002</f>
        <v>1281.386</v>
      </c>
      <c r="CI8" s="1034">
        <f>10000*20+128*9+76</f>
        <v>201228</v>
      </c>
      <c r="CJ8" s="514"/>
      <c r="CK8" s="822"/>
      <c r="CL8" s="1025">
        <v>420000</v>
      </c>
      <c r="CM8" s="514"/>
      <c r="CN8" s="514"/>
      <c r="CO8" s="1035"/>
      <c r="CP8" s="1024">
        <f>128*9+75+0.208</f>
        <v>1227.2080000000001</v>
      </c>
      <c r="CQ8" s="509"/>
      <c r="CR8" s="505">
        <v>200020</v>
      </c>
      <c r="CV8" s="499"/>
      <c r="CW8" s="499"/>
      <c r="CX8" s="499"/>
      <c r="CY8" s="499"/>
      <c r="DD8" s="1">
        <v>4</v>
      </c>
      <c r="DE8" s="326">
        <v>8</v>
      </c>
      <c r="DF8" t="s">
        <v>1127</v>
      </c>
      <c r="IU8" s="1616" t="s">
        <v>867</v>
      </c>
      <c r="IV8" s="1616">
        <v>79</v>
      </c>
    </row>
    <row r="9" spans="1:256" ht="9" customHeight="1" thickBot="1">
      <c r="A9" s="1449">
        <v>200020</v>
      </c>
      <c r="B9" s="498">
        <v>190019</v>
      </c>
      <c r="C9" s="504"/>
      <c r="D9" s="504"/>
      <c r="E9" s="504"/>
      <c r="F9" s="504"/>
      <c r="G9" s="504">
        <v>190019</v>
      </c>
      <c r="H9" s="331"/>
      <c r="I9" s="999"/>
      <c r="J9" s="331"/>
      <c r="K9" s="331"/>
      <c r="L9" s="331"/>
      <c r="M9" s="504">
        <v>190019</v>
      </c>
      <c r="N9" s="331"/>
      <c r="O9" s="331">
        <f>128*3+32</f>
        <v>416</v>
      </c>
      <c r="P9" s="999"/>
      <c r="Q9" s="504">
        <v>190019</v>
      </c>
      <c r="R9" s="331"/>
      <c r="S9" s="504">
        <v>190019</v>
      </c>
      <c r="T9" s="1877">
        <f>128*8+3</f>
        <v>1027</v>
      </c>
      <c r="U9" s="504">
        <v>190019</v>
      </c>
      <c r="V9" s="331"/>
      <c r="W9" s="504">
        <v>190019</v>
      </c>
      <c r="X9" s="331"/>
      <c r="Y9" s="331"/>
      <c r="Z9" s="1036">
        <f>0.256+0.003</f>
        <v>0.25900000000000001</v>
      </c>
      <c r="AA9" s="504">
        <v>190019</v>
      </c>
      <c r="AB9" s="331">
        <f>128*3+32</f>
        <v>416</v>
      </c>
      <c r="AC9" s="331"/>
      <c r="AD9" s="498">
        <v>190019</v>
      </c>
      <c r="AE9" s="514"/>
      <c r="AF9" s="514"/>
      <c r="AG9" s="514"/>
      <c r="AH9" s="514">
        <v>0.06</v>
      </c>
      <c r="AI9" s="2946">
        <f>190000+128*5+37</f>
        <v>190677</v>
      </c>
      <c r="AJ9" s="505">
        <f>10000*20</f>
        <v>200000</v>
      </c>
      <c r="AK9" s="2840">
        <f>128*14+4</f>
        <v>1796</v>
      </c>
      <c r="AL9" s="514"/>
      <c r="AM9" s="1005"/>
      <c r="AN9" s="514"/>
      <c r="AO9" s="514"/>
      <c r="AP9" s="514"/>
      <c r="AQ9" s="514"/>
      <c r="AR9" s="514"/>
      <c r="AS9" s="514"/>
      <c r="AT9" s="1037"/>
      <c r="AU9" s="1038">
        <f>128*9+70</f>
        <v>1222</v>
      </c>
      <c r="AV9" s="1005"/>
      <c r="AW9" s="3188">
        <f>128*9+70+0.5+0.384+0.004</f>
        <v>1222.8879999999999</v>
      </c>
      <c r="AX9" s="1038"/>
      <c r="AY9" s="514"/>
      <c r="AZ9" s="514"/>
      <c r="BA9" s="2840"/>
      <c r="BB9" s="2941">
        <f>10000*20+128*9+72+0.207</f>
        <v>201224.20699999999</v>
      </c>
      <c r="BC9" s="766">
        <f>10000*20</f>
        <v>200000</v>
      </c>
      <c r="BD9" s="2897"/>
      <c r="BE9" s="812"/>
      <c r="BF9" s="2900"/>
      <c r="BG9" s="2900"/>
      <c r="BH9" s="2900"/>
      <c r="BI9" s="1960">
        <f>128*8+3</f>
        <v>1027</v>
      </c>
      <c r="BJ9" s="2900"/>
      <c r="BK9" s="2900"/>
      <c r="BL9" s="2900"/>
      <c r="BM9" s="812"/>
      <c r="BN9" s="2900"/>
      <c r="BO9" s="2900"/>
      <c r="BP9" s="2900"/>
      <c r="BQ9" s="812">
        <f>128*8+3</f>
        <v>1027</v>
      </c>
      <c r="BR9" s="2898"/>
      <c r="BS9" s="1030">
        <f>10000*20+128*9+72+0.207</f>
        <v>201224.20699999999</v>
      </c>
      <c r="BT9" s="707"/>
      <c r="BU9" s="1039"/>
      <c r="BV9" s="787"/>
      <c r="BW9" s="1039"/>
      <c r="BX9" s="707"/>
      <c r="BY9" s="505">
        <f>10000*20</f>
        <v>200000</v>
      </c>
      <c r="BZ9" s="509"/>
      <c r="CA9" s="514"/>
      <c r="CB9" s="1040">
        <f>128*9+57+0.184</f>
        <v>1209.184</v>
      </c>
      <c r="CC9" s="1011"/>
      <c r="CD9" s="1011"/>
      <c r="CE9" s="1011"/>
      <c r="CF9" s="514"/>
      <c r="CG9" s="1026">
        <v>420042</v>
      </c>
      <c r="CH9" s="1026">
        <f>10000*20+128*9+76</f>
        <v>201228</v>
      </c>
      <c r="CI9" s="1041">
        <f>10000*42+42+0.065</f>
        <v>420042.065</v>
      </c>
      <c r="CJ9" s="514"/>
      <c r="CK9" s="1042">
        <f>128*9+6</f>
        <v>1158</v>
      </c>
      <c r="CL9" s="514"/>
      <c r="CM9" s="514"/>
      <c r="CN9" s="1043">
        <f>128*9+71</f>
        <v>1223</v>
      </c>
      <c r="CO9" s="514"/>
      <c r="CP9" s="514"/>
      <c r="CQ9" s="509"/>
      <c r="CR9" s="505">
        <v>200020</v>
      </c>
      <c r="CV9" s="800" t="s">
        <v>978</v>
      </c>
      <c r="CW9" s="499"/>
      <c r="CX9" s="499"/>
      <c r="CY9" s="499"/>
      <c r="DD9" s="799">
        <v>1</v>
      </c>
      <c r="DE9" s="326">
        <v>9</v>
      </c>
      <c r="DF9" t="s">
        <v>1128</v>
      </c>
      <c r="IU9" s="1616" t="s">
        <v>869</v>
      </c>
      <c r="IV9" s="1616">
        <v>0</v>
      </c>
    </row>
    <row r="10" spans="1:256" ht="9" customHeight="1">
      <c r="A10" s="1449">
        <v>200020</v>
      </c>
      <c r="B10" s="498">
        <v>190019</v>
      </c>
      <c r="C10" s="824">
        <f>128*5+37</f>
        <v>677</v>
      </c>
      <c r="D10" s="504">
        <v>190019</v>
      </c>
      <c r="E10" s="504">
        <v>190019</v>
      </c>
      <c r="F10" s="504">
        <v>190019</v>
      </c>
      <c r="G10" s="504">
        <v>190019</v>
      </c>
      <c r="H10" s="331"/>
      <c r="I10" s="331"/>
      <c r="J10" s="504">
        <v>190019</v>
      </c>
      <c r="K10" s="331">
        <f>128*3+32</f>
        <v>416</v>
      </c>
      <c r="L10" s="504">
        <v>190019</v>
      </c>
      <c r="M10" s="504">
        <v>190019</v>
      </c>
      <c r="N10" s="331"/>
      <c r="O10" s="331"/>
      <c r="P10" s="331"/>
      <c r="Q10" s="331">
        <f>128*3+32</f>
        <v>416</v>
      </c>
      <c r="R10" s="331"/>
      <c r="S10" s="504">
        <v>190019</v>
      </c>
      <c r="T10" s="1062"/>
      <c r="U10" s="504">
        <v>190019</v>
      </c>
      <c r="V10" s="504">
        <v>190019</v>
      </c>
      <c r="W10" s="504">
        <v>190019</v>
      </c>
      <c r="X10" s="331"/>
      <c r="Y10" s="331"/>
      <c r="Z10" s="1878">
        <f>128*8+3</f>
        <v>1027</v>
      </c>
      <c r="AA10" s="504">
        <v>190019</v>
      </c>
      <c r="AB10" s="331"/>
      <c r="AC10" s="331"/>
      <c r="AD10" s="498">
        <v>190019</v>
      </c>
      <c r="AE10" s="514"/>
      <c r="AF10" s="514"/>
      <c r="AG10" s="514"/>
      <c r="AH10" s="514"/>
      <c r="AI10" s="841">
        <v>190019</v>
      </c>
      <c r="AJ10" s="505">
        <v>200020</v>
      </c>
      <c r="AK10" s="2840"/>
      <c r="AL10" s="514"/>
      <c r="AM10" s="1005"/>
      <c r="AN10" s="514"/>
      <c r="AO10" s="514"/>
      <c r="AP10" s="791">
        <v>420042</v>
      </c>
      <c r="AQ10" s="1010"/>
      <c r="AR10" s="1012">
        <f>128*2+35</f>
        <v>291</v>
      </c>
      <c r="AS10" s="791">
        <v>420042</v>
      </c>
      <c r="AT10" s="1022"/>
      <c r="AU10" s="1022">
        <f>128*9+70</f>
        <v>1222</v>
      </c>
      <c r="AV10" s="1022"/>
      <c r="AW10" s="1022">
        <f>128*9+70</f>
        <v>1222</v>
      </c>
      <c r="AX10" s="1044"/>
      <c r="AY10" s="514"/>
      <c r="AZ10" s="514"/>
      <c r="BA10" s="2840"/>
      <c r="BB10" s="2941">
        <f>10000*20+128*9+72+0.207</f>
        <v>201224.20699999999</v>
      </c>
      <c r="BC10" s="766">
        <f>10000*20</f>
        <v>200000</v>
      </c>
      <c r="BD10" s="2897"/>
      <c r="BE10" s="812"/>
      <c r="BF10" s="2900"/>
      <c r="BG10" s="2899">
        <v>490000</v>
      </c>
      <c r="BH10" s="2900"/>
      <c r="BI10" s="812"/>
      <c r="BJ10" s="2900"/>
      <c r="BK10" s="2899">
        <v>490000</v>
      </c>
      <c r="BL10" s="2900"/>
      <c r="BM10" s="812"/>
      <c r="BN10" s="2900"/>
      <c r="BO10" s="2899">
        <v>490000</v>
      </c>
      <c r="BP10" s="2900"/>
      <c r="BQ10" s="812"/>
      <c r="BR10" s="2898"/>
      <c r="BS10" s="1030">
        <f>10000*20+128*9+72+0.207</f>
        <v>201224.20699999999</v>
      </c>
      <c r="BT10" s="707"/>
      <c r="BU10" s="707"/>
      <c r="BV10" s="707"/>
      <c r="BW10" s="707"/>
      <c r="BX10" s="707"/>
      <c r="BY10" s="1045">
        <f>10000*20+128*9+74</f>
        <v>201226</v>
      </c>
      <c r="BZ10" s="509"/>
      <c r="CA10" s="514"/>
      <c r="CB10" s="1046">
        <f>10000*49+49+0.208</f>
        <v>490049.20799999998</v>
      </c>
      <c r="CC10" s="1035"/>
      <c r="CD10" s="514"/>
      <c r="CE10" s="1047">
        <f>128*9+6</f>
        <v>1158</v>
      </c>
      <c r="CF10" s="514"/>
      <c r="CG10" s="514"/>
      <c r="CH10" s="514"/>
      <c r="CI10" s="514"/>
      <c r="CJ10" s="514"/>
      <c r="CK10" s="1048">
        <f>128*9+6</f>
        <v>1158</v>
      </c>
      <c r="CL10" s="514"/>
      <c r="CM10" s="792">
        <f>128*9+71</f>
        <v>1223</v>
      </c>
      <c r="CN10" s="511">
        <f>128*9+70+0.256+0.006</f>
        <v>1222.2620000000002</v>
      </c>
      <c r="CO10" s="1015">
        <f>128*9+71</f>
        <v>1223</v>
      </c>
      <c r="CP10" s="1015">
        <f>0.384+0.002</f>
        <v>0.38600000000000001</v>
      </c>
      <c r="CQ10" s="509"/>
      <c r="CR10" s="505">
        <v>200020</v>
      </c>
      <c r="CV10" s="800"/>
      <c r="CW10" s="499"/>
      <c r="CX10" s="499"/>
      <c r="CY10" s="499"/>
      <c r="DD10" s="1">
        <v>2</v>
      </c>
      <c r="DE10" s="1049">
        <v>10</v>
      </c>
      <c r="DF10" t="s">
        <v>1129</v>
      </c>
      <c r="IU10" s="1616" t="s">
        <v>868</v>
      </c>
      <c r="IV10" s="1616">
        <v>80</v>
      </c>
    </row>
    <row r="11" spans="1:256" ht="9" customHeight="1" thickBot="1">
      <c r="A11" s="1449">
        <v>200020</v>
      </c>
      <c r="B11" s="498">
        <v>190019</v>
      </c>
      <c r="C11" s="504">
        <f>128*14+1</f>
        <v>1793</v>
      </c>
      <c r="D11" s="1050">
        <f>190000+128*4+34+0.06</f>
        <v>190546.06</v>
      </c>
      <c r="E11" s="1051"/>
      <c r="F11" s="1051">
        <f>128*9+4+0.5+0.03</f>
        <v>1156.53</v>
      </c>
      <c r="G11" s="504">
        <v>190019</v>
      </c>
      <c r="H11" s="331"/>
      <c r="I11" s="331"/>
      <c r="J11" s="331"/>
      <c r="K11" s="331">
        <f>128*3+32</f>
        <v>416</v>
      </c>
      <c r="L11" s="331"/>
      <c r="M11" s="504">
        <v>190019</v>
      </c>
      <c r="N11" s="504">
        <v>190019</v>
      </c>
      <c r="O11" s="331"/>
      <c r="P11" s="504">
        <v>190019</v>
      </c>
      <c r="Q11" s="331">
        <f>128*3+32</f>
        <v>416</v>
      </c>
      <c r="R11" s="504">
        <v>190019</v>
      </c>
      <c r="S11" s="504">
        <v>190019</v>
      </c>
      <c r="T11" s="1062"/>
      <c r="U11" s="504">
        <v>190019</v>
      </c>
      <c r="V11" s="331"/>
      <c r="W11" s="331">
        <f>128*3+32</f>
        <v>416</v>
      </c>
      <c r="X11" s="331"/>
      <c r="Y11" s="999"/>
      <c r="Z11" s="504">
        <v>190019</v>
      </c>
      <c r="AA11" s="331"/>
      <c r="AB11" s="331"/>
      <c r="AC11" s="331"/>
      <c r="AD11" s="498">
        <v>190019</v>
      </c>
      <c r="AE11" s="514"/>
      <c r="AF11" s="773"/>
      <c r="AG11" s="773"/>
      <c r="AH11" s="773"/>
      <c r="AI11" s="514"/>
      <c r="AJ11" s="505">
        <v>200020</v>
      </c>
      <c r="AK11" s="2840"/>
      <c r="AL11" s="2909">
        <f t="shared" ref="AL11:AM13" si="1">10000*42</f>
        <v>420000</v>
      </c>
      <c r="AM11" s="2910">
        <f t="shared" si="1"/>
        <v>420000</v>
      </c>
      <c r="AN11" s="2911">
        <f>10000*42</f>
        <v>420000</v>
      </c>
      <c r="AO11" s="514"/>
      <c r="AP11" s="1011"/>
      <c r="AQ11" s="514"/>
      <c r="AR11" s="514"/>
      <c r="AS11" s="514"/>
      <c r="AT11" s="1005"/>
      <c r="AU11" s="1005">
        <f>128*9+70</f>
        <v>1222</v>
      </c>
      <c r="AV11" s="1005"/>
      <c r="AW11" s="1005">
        <f>128*9+70</f>
        <v>1222</v>
      </c>
      <c r="AX11" s="1006"/>
      <c r="AY11" s="514"/>
      <c r="AZ11" s="514"/>
      <c r="BA11" s="2840"/>
      <c r="BB11" s="1045">
        <f>10000*20+20+0.208</f>
        <v>200020.20800000001</v>
      </c>
      <c r="BC11" s="498">
        <v>200020</v>
      </c>
      <c r="BD11" s="2897"/>
      <c r="BE11" s="2897"/>
      <c r="BF11" s="2897"/>
      <c r="BG11" s="2897"/>
      <c r="BH11" s="2897"/>
      <c r="BI11" s="2897"/>
      <c r="BJ11" s="2897"/>
      <c r="BK11" s="2897"/>
      <c r="BL11" s="2897"/>
      <c r="BM11" s="2897"/>
      <c r="BN11" s="2897"/>
      <c r="BO11" s="2897"/>
      <c r="BP11" s="2897"/>
      <c r="BQ11" s="2897"/>
      <c r="BR11" s="2898"/>
      <c r="BS11" s="678">
        <f>10000*20+20+0.208</f>
        <v>200020.20800000001</v>
      </c>
      <c r="BT11" s="504">
        <f>42</f>
        <v>42</v>
      </c>
      <c r="BU11" s="1052">
        <f>128*4+39+0.06</f>
        <v>551.05999999999995</v>
      </c>
      <c r="BV11" s="529">
        <f>128*4+39</f>
        <v>551</v>
      </c>
      <c r="BW11" s="1052">
        <f>128*4+39+0.06</f>
        <v>551.05999999999995</v>
      </c>
      <c r="BX11" s="504">
        <f>42</f>
        <v>42</v>
      </c>
      <c r="BY11" s="505">
        <v>200020</v>
      </c>
      <c r="BZ11" s="509"/>
      <c r="CA11" s="514"/>
      <c r="CB11" s="514"/>
      <c r="CC11" s="514"/>
      <c r="CD11" s="514"/>
      <c r="CE11" s="1011"/>
      <c r="CF11" s="1011"/>
      <c r="CG11" s="1011"/>
      <c r="CH11" s="1048"/>
      <c r="CI11" s="1011"/>
      <c r="CJ11" s="514"/>
      <c r="CK11" s="514"/>
      <c r="CL11" s="514"/>
      <c r="CM11" s="514"/>
      <c r="CN11" s="1022">
        <f>128*9+70</f>
        <v>1222</v>
      </c>
      <c r="CO11" s="514"/>
      <c r="CP11" s="514"/>
      <c r="CQ11" s="509"/>
      <c r="CR11" s="505">
        <v>200020</v>
      </c>
      <c r="CV11" s="499"/>
      <c r="CW11" s="499"/>
      <c r="CX11" s="499"/>
      <c r="CY11" s="499"/>
      <c r="DD11" s="1">
        <v>3</v>
      </c>
      <c r="DE11" s="1049">
        <v>11</v>
      </c>
      <c r="DF11" t="s">
        <v>1131</v>
      </c>
      <c r="IU11" s="1616" t="s">
        <v>870</v>
      </c>
      <c r="IV11" s="1616">
        <v>280</v>
      </c>
    </row>
    <row r="12" spans="1:256" ht="9" customHeight="1" thickTop="1" thickBot="1">
      <c r="A12" s="1449">
        <v>200020</v>
      </c>
      <c r="B12" s="498">
        <v>190019</v>
      </c>
      <c r="C12" s="504"/>
      <c r="D12" s="504">
        <v>190019</v>
      </c>
      <c r="E12" s="1051"/>
      <c r="F12" s="1051"/>
      <c r="G12" s="504">
        <v>190019</v>
      </c>
      <c r="H12" s="1020"/>
      <c r="I12" s="504">
        <v>190019</v>
      </c>
      <c r="J12" s="504">
        <v>190019</v>
      </c>
      <c r="K12" s="331">
        <f>128*3+32</f>
        <v>416</v>
      </c>
      <c r="L12" s="331"/>
      <c r="M12" s="504">
        <v>190019</v>
      </c>
      <c r="N12" s="1053"/>
      <c r="O12" s="331"/>
      <c r="P12" s="331"/>
      <c r="Q12" s="331"/>
      <c r="R12" s="504">
        <v>190019</v>
      </c>
      <c r="S12" s="504">
        <v>190019</v>
      </c>
      <c r="T12" s="1062"/>
      <c r="U12" s="504">
        <v>190019</v>
      </c>
      <c r="V12" s="331">
        <f>128*8+3</f>
        <v>1027</v>
      </c>
      <c r="W12" s="331"/>
      <c r="X12" s="504">
        <v>190019</v>
      </c>
      <c r="Y12" s="331"/>
      <c r="Z12" s="504">
        <v>190019</v>
      </c>
      <c r="AA12" s="331">
        <f>128*3+32</f>
        <v>416</v>
      </c>
      <c r="AB12" s="331"/>
      <c r="AC12" s="498">
        <v>190019</v>
      </c>
      <c r="AD12" s="498">
        <v>190019</v>
      </c>
      <c r="AE12" s="514"/>
      <c r="AF12" s="773"/>
      <c r="AG12" s="1790"/>
      <c r="AH12" s="773"/>
      <c r="AI12" s="514"/>
      <c r="AJ12" s="505">
        <v>200020</v>
      </c>
      <c r="AK12" s="2840"/>
      <c r="AL12" s="2909">
        <f t="shared" si="1"/>
        <v>420000</v>
      </c>
      <c r="AM12" s="2908">
        <f>128*9+57+0.184</f>
        <v>1209.184</v>
      </c>
      <c r="AN12" s="2911">
        <f>10000*42</f>
        <v>420000</v>
      </c>
      <c r="AO12" s="1015">
        <f>128*8+3</f>
        <v>1027</v>
      </c>
      <c r="AP12" s="1013"/>
      <c r="AQ12" s="514"/>
      <c r="AR12" s="514"/>
      <c r="AS12" s="792">
        <f>128*9+71</f>
        <v>1223</v>
      </c>
      <c r="AT12" s="1005">
        <f>128*9+70</f>
        <v>1222</v>
      </c>
      <c r="AU12" s="1014">
        <f>128*9+52</f>
        <v>1204</v>
      </c>
      <c r="AV12" s="1005">
        <f>128*9+70</f>
        <v>1222</v>
      </c>
      <c r="AW12" s="1014">
        <f>128*9+52</f>
        <v>1204</v>
      </c>
      <c r="AX12" s="1005">
        <f>128*9+70</f>
        <v>1222</v>
      </c>
      <c r="AY12" s="1015">
        <f>128*9+71</f>
        <v>1223</v>
      </c>
      <c r="AZ12" s="514"/>
      <c r="BA12" s="2840"/>
      <c r="BB12" s="505">
        <v>200020</v>
      </c>
      <c r="BC12" s="498">
        <v>200020</v>
      </c>
      <c r="BD12" s="678">
        <f>10000*20+20+0.135</f>
        <v>200020.13500000001</v>
      </c>
      <c r="BE12" s="1016">
        <f>10000*20+128*5+39</f>
        <v>200679</v>
      </c>
      <c r="BF12" s="498">
        <v>200020</v>
      </c>
      <c r="BG12" s="498">
        <v>200020</v>
      </c>
      <c r="BH12" s="498">
        <v>200020</v>
      </c>
      <c r="BI12" s="498">
        <v>200020</v>
      </c>
      <c r="BJ12" s="498">
        <v>200020</v>
      </c>
      <c r="BK12" s="498">
        <v>200020</v>
      </c>
      <c r="BL12" s="498">
        <v>200020</v>
      </c>
      <c r="BM12" s="705">
        <f>10000*20+0.12</f>
        <v>200000.12</v>
      </c>
      <c r="BN12" s="705">
        <f>10000*20+0.004</f>
        <v>200000.00399999999</v>
      </c>
      <c r="BO12" s="678">
        <f>10000*20+20+0.135</f>
        <v>200020.13500000001</v>
      </c>
      <c r="BP12" s="1016">
        <f>10000*20+128*5+39</f>
        <v>200679</v>
      </c>
      <c r="BQ12" s="498">
        <v>200020</v>
      </c>
      <c r="BR12" s="498">
        <v>200020</v>
      </c>
      <c r="BS12" s="498">
        <v>200020</v>
      </c>
      <c r="BT12" s="1054">
        <f>128*9+75+0.208</f>
        <v>1227.2080000000001</v>
      </c>
      <c r="BU12" s="1055">
        <f>128*9+31</f>
        <v>1183</v>
      </c>
      <c r="BV12" s="513"/>
      <c r="BW12" s="773">
        <f>128*14+116+0.256+0.0161</f>
        <v>1908.2721000000001</v>
      </c>
      <c r="BX12" s="513"/>
      <c r="BY12" s="505">
        <v>200020</v>
      </c>
      <c r="BZ12" s="509"/>
      <c r="CA12" s="514"/>
      <c r="CB12" s="1019"/>
      <c r="CC12" s="514"/>
      <c r="CD12" s="1056"/>
      <c r="CE12" s="1011"/>
      <c r="CF12" s="1018"/>
      <c r="CG12" s="514"/>
      <c r="CH12" s="1025">
        <v>390000</v>
      </c>
      <c r="CI12" s="514"/>
      <c r="CJ12" s="1005"/>
      <c r="CK12" s="1005"/>
      <c r="CL12" s="1005"/>
      <c r="CM12" s="1005"/>
      <c r="CN12" s="1005">
        <f>128*9+70</f>
        <v>1222</v>
      </c>
      <c r="CO12" s="1005"/>
      <c r="CP12" s="1005"/>
      <c r="CQ12" s="1057"/>
      <c r="CR12" s="505">
        <v>200020</v>
      </c>
      <c r="CV12" s="499"/>
      <c r="CW12" s="499"/>
      <c r="CX12" s="499"/>
      <c r="CY12" s="499"/>
      <c r="DD12" s="1">
        <v>4</v>
      </c>
      <c r="DE12" s="1049">
        <v>12</v>
      </c>
      <c r="DF12" t="s">
        <v>1132</v>
      </c>
      <c r="IU12" s="1616" t="s">
        <v>671</v>
      </c>
      <c r="IV12" s="1616">
        <v>300</v>
      </c>
    </row>
    <row r="13" spans="1:256" ht="9" customHeight="1" thickTop="1" thickBot="1">
      <c r="A13" s="1449">
        <v>200020</v>
      </c>
      <c r="B13" s="498">
        <v>190019</v>
      </c>
      <c r="C13" s="999"/>
      <c r="D13" s="1058">
        <f>128*5+40</f>
        <v>680</v>
      </c>
      <c r="E13" s="1051"/>
      <c r="F13" s="1051"/>
      <c r="G13" s="504">
        <v>190019</v>
      </c>
      <c r="H13" s="1020"/>
      <c r="I13" s="1020"/>
      <c r="J13" s="331"/>
      <c r="K13" s="331"/>
      <c r="L13" s="331"/>
      <c r="M13" s="504">
        <v>190019</v>
      </c>
      <c r="N13" s="331"/>
      <c r="O13" s="1053"/>
      <c r="P13" s="1053"/>
      <c r="Q13" s="504">
        <v>190019</v>
      </c>
      <c r="R13" s="504">
        <v>190019</v>
      </c>
      <c r="S13" s="504">
        <v>190019</v>
      </c>
      <c r="T13" s="774"/>
      <c r="U13" s="774"/>
      <c r="V13" s="331"/>
      <c r="W13" s="331"/>
      <c r="X13" s="331"/>
      <c r="Y13" s="331"/>
      <c r="Z13" s="331"/>
      <c r="AA13" s="774"/>
      <c r="AB13" s="774"/>
      <c r="AC13" s="498">
        <v>190019</v>
      </c>
      <c r="AD13" s="514"/>
      <c r="AE13" s="514"/>
      <c r="AF13" s="773"/>
      <c r="AG13" s="1790"/>
      <c r="AH13" s="773"/>
      <c r="AI13" s="514"/>
      <c r="AJ13" s="505">
        <v>200020</v>
      </c>
      <c r="AK13" s="2840"/>
      <c r="AL13" s="2909">
        <f t="shared" si="1"/>
        <v>420000</v>
      </c>
      <c r="AM13" s="2912">
        <f t="shared" si="1"/>
        <v>420000</v>
      </c>
      <c r="AN13" s="2911">
        <f>10000*42</f>
        <v>420000</v>
      </c>
      <c r="AO13" s="514"/>
      <c r="AP13" s="1059">
        <f>128*2+49</f>
        <v>305</v>
      </c>
      <c r="AQ13" s="514"/>
      <c r="AR13" s="2891">
        <v>200000</v>
      </c>
      <c r="AS13" s="514"/>
      <c r="AT13" s="1005"/>
      <c r="AU13" s="1022"/>
      <c r="AV13" s="1005"/>
      <c r="AW13" s="1022"/>
      <c r="AX13" s="1006"/>
      <c r="AY13" s="514"/>
      <c r="AZ13" s="2891">
        <v>200000</v>
      </c>
      <c r="BA13" s="2840"/>
      <c r="BB13" s="505">
        <v>200020</v>
      </c>
      <c r="BC13" s="504">
        <v>42</v>
      </c>
      <c r="BD13" s="331"/>
      <c r="BE13" s="331"/>
      <c r="BF13" s="331"/>
      <c r="BG13" s="331"/>
      <c r="BH13" s="498">
        <v>200020</v>
      </c>
      <c r="BI13" s="757"/>
      <c r="BJ13" s="331"/>
      <c r="BK13" s="999"/>
      <c r="BL13" s="504">
        <v>20</v>
      </c>
      <c r="BM13" s="504">
        <v>20</v>
      </c>
      <c r="BN13" s="504">
        <v>20</v>
      </c>
      <c r="BO13" s="504">
        <v>20</v>
      </c>
      <c r="BP13" s="331"/>
      <c r="BQ13" s="331"/>
      <c r="BR13" s="498">
        <v>200020</v>
      </c>
      <c r="BS13" s="498">
        <v>200020</v>
      </c>
      <c r="BT13" s="513"/>
      <c r="BU13" s="513"/>
      <c r="BV13" s="513"/>
      <c r="BW13" s="513"/>
      <c r="BX13" s="1060"/>
      <c r="BY13" s="505">
        <v>200020</v>
      </c>
      <c r="BZ13" s="509"/>
      <c r="CA13" s="1056"/>
      <c r="CB13" s="1061">
        <f>128*10+5</f>
        <v>1285</v>
      </c>
      <c r="CC13" s="1018"/>
      <c r="CD13" s="1008">
        <f>128*9+75+0.208</f>
        <v>1227.2080000000001</v>
      </c>
      <c r="CE13" s="1017">
        <f>128*9+57+0.184</f>
        <v>1209.184</v>
      </c>
      <c r="CF13" s="843">
        <f>128*9+75+0.208</f>
        <v>1227.2080000000001</v>
      </c>
      <c r="CG13" s="514"/>
      <c r="CH13" s="514"/>
      <c r="CI13" s="514"/>
      <c r="CJ13" s="1005"/>
      <c r="CK13" s="1005"/>
      <c r="CL13" s="1005"/>
      <c r="CM13" s="1005"/>
      <c r="CN13" s="1005">
        <f>128*9+70</f>
        <v>1222</v>
      </c>
      <c r="CO13" s="1005"/>
      <c r="CP13" s="1005"/>
      <c r="CQ13" s="1057"/>
      <c r="CR13" s="505">
        <v>200020</v>
      </c>
      <c r="CV13" s="800" t="s">
        <v>980</v>
      </c>
      <c r="CW13" s="499"/>
      <c r="CX13" s="499"/>
      <c r="CY13" s="499"/>
      <c r="DD13" s="799">
        <v>1</v>
      </c>
      <c r="DE13" s="1049">
        <v>13</v>
      </c>
      <c r="DF13" t="s">
        <v>268</v>
      </c>
      <c r="IU13" s="1616" t="s">
        <v>672</v>
      </c>
      <c r="IV13" s="1616">
        <v>16</v>
      </c>
    </row>
    <row r="14" spans="1:256" ht="9" customHeight="1" thickTop="1" thickBot="1">
      <c r="A14" s="1449">
        <v>200020</v>
      </c>
      <c r="B14" s="498">
        <v>190019</v>
      </c>
      <c r="C14" s="504"/>
      <c r="D14" s="504">
        <v>190019</v>
      </c>
      <c r="E14" s="1051">
        <f>0.256+0.026</f>
        <v>0.28200000000000003</v>
      </c>
      <c r="F14" s="1051"/>
      <c r="G14" s="504">
        <v>190019</v>
      </c>
      <c r="H14" s="504">
        <v>190019</v>
      </c>
      <c r="I14" s="504">
        <v>190019</v>
      </c>
      <c r="J14" s="504">
        <v>190019</v>
      </c>
      <c r="K14" s="504">
        <v>190019</v>
      </c>
      <c r="L14" s="504">
        <v>190019</v>
      </c>
      <c r="M14" s="504">
        <v>190019</v>
      </c>
      <c r="N14" s="768">
        <f>190019+0.011</f>
        <v>190019.011</v>
      </c>
      <c r="O14" s="504">
        <v>190019</v>
      </c>
      <c r="P14" s="768">
        <f>190019+0.205</f>
        <v>190019.20499999999</v>
      </c>
      <c r="Q14" s="504">
        <v>190019</v>
      </c>
      <c r="R14" s="504">
        <v>190019</v>
      </c>
      <c r="S14" s="504">
        <v>190019</v>
      </c>
      <c r="T14" s="504">
        <v>190019</v>
      </c>
      <c r="U14" s="504">
        <v>190019</v>
      </c>
      <c r="V14" s="504">
        <v>190019</v>
      </c>
      <c r="W14" s="768">
        <f>190019+0.011</f>
        <v>190019.011</v>
      </c>
      <c r="X14" s="504">
        <v>190019</v>
      </c>
      <c r="Y14" s="498">
        <v>190019</v>
      </c>
      <c r="Z14" s="498">
        <v>190019</v>
      </c>
      <c r="AA14" s="498">
        <v>190019</v>
      </c>
      <c r="AB14" s="498">
        <v>190019</v>
      </c>
      <c r="AC14" s="498">
        <v>190019</v>
      </c>
      <c r="AD14" s="514"/>
      <c r="AE14" s="514"/>
      <c r="AF14" s="773"/>
      <c r="AG14" s="1790"/>
      <c r="AH14" s="773"/>
      <c r="AI14" s="514"/>
      <c r="AJ14" s="505">
        <v>200020</v>
      </c>
      <c r="AK14" s="2840"/>
      <c r="AL14" s="2840"/>
      <c r="AM14" s="2904"/>
      <c r="AN14" s="2840"/>
      <c r="AO14" s="2840"/>
      <c r="AP14" s="2905"/>
      <c r="AQ14" s="2840"/>
      <c r="AR14" s="2840"/>
      <c r="AS14" s="2840"/>
      <c r="AT14" s="2904"/>
      <c r="AU14" s="2901"/>
      <c r="AV14" s="2904"/>
      <c r="AW14" s="2901"/>
      <c r="AX14" s="2906"/>
      <c r="AY14" s="2840"/>
      <c r="AZ14" s="2840"/>
      <c r="BA14" s="2840"/>
      <c r="BB14" s="505">
        <v>200020</v>
      </c>
      <c r="BC14" s="504">
        <v>35</v>
      </c>
      <c r="BD14" s="331"/>
      <c r="BE14" s="707">
        <f>128*4+36</f>
        <v>548</v>
      </c>
      <c r="BF14" s="1062">
        <f>128*3+32</f>
        <v>416</v>
      </c>
      <c r="BG14" s="331"/>
      <c r="BH14" s="498">
        <v>200020</v>
      </c>
      <c r="BI14" s="757">
        <f>10000*20+0.004</f>
        <v>200000.00399999999</v>
      </c>
      <c r="BJ14" s="504">
        <v>35</v>
      </c>
      <c r="BK14" s="331"/>
      <c r="BL14" s="1062">
        <f>128*3+32</f>
        <v>416</v>
      </c>
      <c r="BM14" s="331"/>
      <c r="BN14" s="331"/>
      <c r="BO14" s="331"/>
      <c r="BP14" s="331"/>
      <c r="BQ14" s="331"/>
      <c r="BR14" s="498">
        <v>200020</v>
      </c>
      <c r="BS14" s="503">
        <f>0.0053</f>
        <v>5.3E-3</v>
      </c>
      <c r="BT14" s="513"/>
      <c r="BU14" s="513"/>
      <c r="BV14" s="513"/>
      <c r="BW14" s="513"/>
      <c r="BX14" s="1060"/>
      <c r="BY14" s="505">
        <v>200020</v>
      </c>
      <c r="BZ14" s="509"/>
      <c r="CA14" s="514"/>
      <c r="CB14" s="514"/>
      <c r="CC14" s="514"/>
      <c r="CD14" s="514"/>
      <c r="CE14" s="514"/>
      <c r="CF14" s="514"/>
      <c r="CG14" s="514"/>
      <c r="CH14" s="514"/>
      <c r="CI14" s="514"/>
      <c r="CJ14" s="1005"/>
      <c r="CK14" s="1005"/>
      <c r="CL14" s="514"/>
      <c r="CM14" s="514"/>
      <c r="CN14" s="1002">
        <f>128*9+71</f>
        <v>1223</v>
      </c>
      <c r="CO14" s="514"/>
      <c r="CP14" s="514"/>
      <c r="CQ14" s="509"/>
      <c r="CR14" s="505">
        <v>200020</v>
      </c>
      <c r="CV14" s="499"/>
      <c r="CW14" s="499"/>
      <c r="CX14" s="499"/>
      <c r="CY14" s="499"/>
      <c r="DD14" s="1">
        <v>2</v>
      </c>
      <c r="DE14" s="1049">
        <v>14</v>
      </c>
      <c r="DF14" t="s">
        <v>1136</v>
      </c>
      <c r="IU14" s="1616" t="s">
        <v>673</v>
      </c>
      <c r="IV14" s="1616">
        <v>32</v>
      </c>
    </row>
    <row r="15" spans="1:256" ht="9" customHeight="1" thickTop="1" thickBot="1">
      <c r="A15" s="1449">
        <v>200020</v>
      </c>
      <c r="B15" s="498">
        <v>190019</v>
      </c>
      <c r="C15" s="504"/>
      <c r="D15" s="1050">
        <f>190000+128*4+34+0.06</f>
        <v>190546.06</v>
      </c>
      <c r="E15" s="1051"/>
      <c r="F15" s="1063">
        <f>128*9+4+0.5+0.256+0.005</f>
        <v>1156.7610000000002</v>
      </c>
      <c r="G15" s="504">
        <v>190019</v>
      </c>
      <c r="H15" s="500">
        <f>128*9+1+0.004</f>
        <v>1153.0039999999999</v>
      </c>
      <c r="I15" s="500">
        <f>128*9+1+0.004</f>
        <v>1153.0039999999999</v>
      </c>
      <c r="J15" s="500">
        <f t="shared" ref="J15:K17" si="2">128*9+8</f>
        <v>1160</v>
      </c>
      <c r="K15" s="500">
        <f>128*9+8+0.5+0.019</f>
        <v>1160.519</v>
      </c>
      <c r="L15" s="500">
        <f>128*9+19</f>
        <v>1171</v>
      </c>
      <c r="M15" s="768">
        <f>190019+0.208</f>
        <v>190019.20800000001</v>
      </c>
      <c r="N15" s="500">
        <f>128*9+19</f>
        <v>1171</v>
      </c>
      <c r="O15" s="500">
        <f>128*9+73+0.5+0.256+0.001</f>
        <v>1225.7570000000001</v>
      </c>
      <c r="P15" s="500">
        <f>128*9+52</f>
        <v>1204</v>
      </c>
      <c r="Q15" s="500">
        <f>128*9+73+0.5+0.009</f>
        <v>1225.509</v>
      </c>
      <c r="R15" s="541">
        <f>128*9+53+0.16</f>
        <v>1205.1600000000001</v>
      </c>
      <c r="S15" s="768">
        <f>190019+0.208</f>
        <v>190019.20800000001</v>
      </c>
      <c r="T15" s="1064">
        <f>128*9+1</f>
        <v>1153</v>
      </c>
      <c r="U15" s="500">
        <f>128*9+1</f>
        <v>1153</v>
      </c>
      <c r="V15" s="500">
        <f>128*9+8</f>
        <v>1160</v>
      </c>
      <c r="W15" s="500">
        <f>128*9+1</f>
        <v>1153</v>
      </c>
      <c r="X15" s="500">
        <f>128*9+1</f>
        <v>1153</v>
      </c>
      <c r="Y15" s="528">
        <f>200020+0.156</f>
        <v>200020.15599999999</v>
      </c>
      <c r="Z15" s="839">
        <f>200000+128*9+59</f>
        <v>201211</v>
      </c>
      <c r="AA15" s="784">
        <f>200000+128*9+59</f>
        <v>201211</v>
      </c>
      <c r="AB15" s="818">
        <f>200000+128*9+59</f>
        <v>201211</v>
      </c>
      <c r="AC15" s="498">
        <v>190019</v>
      </c>
      <c r="AD15" s="514"/>
      <c r="AE15" s="514"/>
      <c r="AF15" s="773"/>
      <c r="AG15" s="773"/>
      <c r="AH15" s="773"/>
      <c r="AI15" s="514"/>
      <c r="AJ15" s="505">
        <v>200020</v>
      </c>
      <c r="AK15" s="505">
        <v>200020</v>
      </c>
      <c r="AL15" s="505">
        <v>200020</v>
      </c>
      <c r="AM15" s="505">
        <v>200020</v>
      </c>
      <c r="AN15" s="505">
        <v>200020</v>
      </c>
      <c r="AO15" s="505">
        <v>200020</v>
      </c>
      <c r="AP15" s="505">
        <v>200042</v>
      </c>
      <c r="AQ15" s="505">
        <v>200020</v>
      </c>
      <c r="AR15" s="505">
        <v>200020</v>
      </c>
      <c r="AS15" s="505">
        <v>200020</v>
      </c>
      <c r="AT15" s="505">
        <v>200020</v>
      </c>
      <c r="AU15" s="505">
        <v>200020</v>
      </c>
      <c r="AV15" s="505">
        <v>200020</v>
      </c>
      <c r="AW15" s="505">
        <v>200020</v>
      </c>
      <c r="AX15" s="505">
        <v>200020</v>
      </c>
      <c r="AY15" s="505">
        <v>200020</v>
      </c>
      <c r="AZ15" s="505">
        <v>200020</v>
      </c>
      <c r="BA15" s="505">
        <v>200020</v>
      </c>
      <c r="BB15" s="505">
        <v>200020</v>
      </c>
      <c r="BC15" s="331"/>
      <c r="BD15" s="331"/>
      <c r="BE15" s="331"/>
      <c r="BF15" s="331"/>
      <c r="BG15" s="999"/>
      <c r="BH15" s="498">
        <v>200020</v>
      </c>
      <c r="BI15" s="757">
        <f>10000*20+0.004</f>
        <v>200000.00399999999</v>
      </c>
      <c r="BJ15" s="504">
        <v>20</v>
      </c>
      <c r="BK15" s="331"/>
      <c r="BL15" s="331"/>
      <c r="BM15" s="707">
        <f>128*4+36</f>
        <v>548</v>
      </c>
      <c r="BN15" s="707">
        <f>128*4+36</f>
        <v>548</v>
      </c>
      <c r="BO15" s="331"/>
      <c r="BP15" s="504">
        <v>42</v>
      </c>
      <c r="BQ15" s="331"/>
      <c r="BR15" s="498">
        <v>200020</v>
      </c>
      <c r="BS15" s="498">
        <v>200020</v>
      </c>
      <c r="BT15" s="503"/>
      <c r="BU15" s="772"/>
      <c r="BV15" s="772"/>
      <c r="BW15" s="1065">
        <f>128*9+31</f>
        <v>1183</v>
      </c>
      <c r="BX15" s="772"/>
      <c r="BY15" s="505">
        <v>200020</v>
      </c>
      <c r="BZ15" s="1066">
        <v>200020</v>
      </c>
      <c r="CA15" s="1066">
        <v>200020</v>
      </c>
      <c r="CB15" s="525">
        <f>10000*42+128*4+39</f>
        <v>420551</v>
      </c>
      <c r="CC15" s="525">
        <f>10000*42+128*4+39</f>
        <v>420551</v>
      </c>
      <c r="CD15" s="525">
        <f>10000*42+128*4+39</f>
        <v>420551</v>
      </c>
      <c r="CE15" s="1067">
        <f>10000*42+128*4+39</f>
        <v>420551</v>
      </c>
      <c r="CF15" s="511"/>
      <c r="CG15" s="514"/>
      <c r="CH15" s="514"/>
      <c r="CI15" s="757">
        <v>420042</v>
      </c>
      <c r="CJ15" s="757">
        <v>420042</v>
      </c>
      <c r="CK15" s="1068">
        <v>420042</v>
      </c>
      <c r="CL15" s="1069"/>
      <c r="CM15" s="1069"/>
      <c r="CN15" s="1069"/>
      <c r="CO15" s="1069"/>
      <c r="CP15" s="1070">
        <f>128*9+6+0.5+0.256+0.02</f>
        <v>1158.7760000000001</v>
      </c>
      <c r="CQ15" s="1071">
        <v>420042</v>
      </c>
      <c r="CR15" s="505">
        <v>200020</v>
      </c>
      <c r="DD15" s="1">
        <v>3</v>
      </c>
      <c r="DE15" s="1049">
        <v>15</v>
      </c>
      <c r="DF15" t="s">
        <v>1047</v>
      </c>
      <c r="IU15" s="1616" t="s">
        <v>710</v>
      </c>
      <c r="IV15" s="1616">
        <v>20</v>
      </c>
    </row>
    <row r="16" spans="1:256" ht="9" customHeight="1" thickTop="1">
      <c r="A16" s="1449">
        <v>200020</v>
      </c>
      <c r="B16" s="498">
        <v>190019</v>
      </c>
      <c r="C16" s="504"/>
      <c r="D16" s="504">
        <v>190019</v>
      </c>
      <c r="E16" s="504">
        <v>190019</v>
      </c>
      <c r="F16" s="504">
        <v>190019</v>
      </c>
      <c r="G16" s="504">
        <v>190019</v>
      </c>
      <c r="H16" s="500">
        <f t="shared" ref="H16:I18" si="3">128*9+8</f>
        <v>1160</v>
      </c>
      <c r="I16" s="500">
        <f t="shared" si="3"/>
        <v>1160</v>
      </c>
      <c r="J16" s="500">
        <f t="shared" si="2"/>
        <v>1160</v>
      </c>
      <c r="K16" s="500">
        <f>128*9+8+0.019</f>
        <v>1160.019</v>
      </c>
      <c r="L16" s="500">
        <f>128*9+8</f>
        <v>1160</v>
      </c>
      <c r="M16" s="500">
        <f>128*9+8</f>
        <v>1160</v>
      </c>
      <c r="N16" s="500">
        <f>128*9+73</f>
        <v>1225</v>
      </c>
      <c r="O16" s="500">
        <f t="shared" ref="O16:R18" si="4">128*9+73</f>
        <v>1225</v>
      </c>
      <c r="P16" s="504">
        <v>190019</v>
      </c>
      <c r="Q16" s="500">
        <f t="shared" si="4"/>
        <v>1225</v>
      </c>
      <c r="R16" s="500">
        <f t="shared" si="4"/>
        <v>1225</v>
      </c>
      <c r="S16" s="500">
        <f>128*9+8</f>
        <v>1160</v>
      </c>
      <c r="T16" s="500">
        <f>128*9+8</f>
        <v>1160</v>
      </c>
      <c r="U16" s="500">
        <f>128*9+8</f>
        <v>1160</v>
      </c>
      <c r="V16" s="500">
        <f>128*9+8</f>
        <v>1160</v>
      </c>
      <c r="W16" s="500">
        <f>128*9+8</f>
        <v>1160</v>
      </c>
      <c r="X16" s="541">
        <f>128*9+8+0.384+0.003</f>
        <v>1160.3869999999999</v>
      </c>
      <c r="Y16" s="498">
        <v>200020</v>
      </c>
      <c r="Z16" s="840">
        <f t="shared" ref="Z16:AB17" si="5">200000+128*9+58</f>
        <v>201210</v>
      </c>
      <c r="AA16" s="840">
        <f t="shared" si="5"/>
        <v>201210</v>
      </c>
      <c r="AB16" s="840">
        <f t="shared" si="5"/>
        <v>201210</v>
      </c>
      <c r="AC16" s="498">
        <v>190019</v>
      </c>
      <c r="AD16" s="514"/>
      <c r="AE16" s="514"/>
      <c r="AF16" s="514"/>
      <c r="AG16" s="514"/>
      <c r="AH16" s="514"/>
      <c r="AI16" s="514"/>
      <c r="AJ16" s="514"/>
      <c r="AK16" s="514"/>
      <c r="AL16" s="514"/>
      <c r="AM16" s="514"/>
      <c r="AN16" s="514"/>
      <c r="AO16" s="514"/>
      <c r="AP16" s="514"/>
      <c r="AQ16" s="514"/>
      <c r="AR16" s="514"/>
      <c r="AS16" s="514"/>
      <c r="AT16" s="514"/>
      <c r="AU16" s="514"/>
      <c r="AV16" s="514"/>
      <c r="AW16" s="514"/>
      <c r="AX16" s="514"/>
      <c r="AY16" s="514"/>
      <c r="AZ16" s="514"/>
      <c r="BA16" s="514"/>
      <c r="BB16" s="498">
        <v>200020</v>
      </c>
      <c r="BC16" s="999"/>
      <c r="BD16" s="331"/>
      <c r="BE16" s="331"/>
      <c r="BF16" s="331"/>
      <c r="BG16" s="504">
        <v>20</v>
      </c>
      <c r="BH16" s="504">
        <v>20</v>
      </c>
      <c r="BI16" s="504">
        <v>200020</v>
      </c>
      <c r="BJ16" s="504">
        <v>20</v>
      </c>
      <c r="BK16" s="331"/>
      <c r="BL16" s="331"/>
      <c r="BM16" s="331"/>
      <c r="BN16" s="1062">
        <f>128*3+32</f>
        <v>416</v>
      </c>
      <c r="BO16" s="331"/>
      <c r="BP16" s="707">
        <f>128*4+36</f>
        <v>548</v>
      </c>
      <c r="BQ16" s="999"/>
      <c r="BR16" s="331"/>
      <c r="BS16" s="498">
        <v>200020</v>
      </c>
      <c r="BT16" s="754">
        <f>42</f>
        <v>42</v>
      </c>
      <c r="BU16" s="1072" t="s">
        <v>739</v>
      </c>
      <c r="BV16" s="1072"/>
      <c r="BW16" s="1072"/>
      <c r="BX16" s="1072"/>
      <c r="BY16" s="1073">
        <f>10000*20</f>
        <v>200000</v>
      </c>
      <c r="BZ16" s="1074">
        <f>10000*20</f>
        <v>200000</v>
      </c>
      <c r="CA16" s="1075"/>
      <c r="CB16" s="1075"/>
      <c r="CC16" s="1075"/>
      <c r="CD16" s="1075"/>
      <c r="CE16" s="1075"/>
      <c r="CF16" s="1075"/>
      <c r="CG16" s="1075"/>
      <c r="CH16" s="1075" t="s">
        <v>739</v>
      </c>
      <c r="CI16" s="1076">
        <f>128*2+44</f>
        <v>300</v>
      </c>
      <c r="CJ16" s="1076">
        <f>128*2+44</f>
        <v>300</v>
      </c>
      <c r="CK16" s="1068">
        <v>420042</v>
      </c>
      <c r="CL16" s="514"/>
      <c r="CM16" s="514"/>
      <c r="CN16" s="514"/>
      <c r="CO16" s="514"/>
      <c r="CP16" s="514"/>
      <c r="CQ16" s="509"/>
      <c r="CR16" s="505">
        <v>200020</v>
      </c>
      <c r="DD16" s="1">
        <v>4</v>
      </c>
      <c r="DE16" s="1049">
        <v>16</v>
      </c>
      <c r="DF16" t="s">
        <v>1048</v>
      </c>
      <c r="IU16" s="1616" t="s">
        <v>711</v>
      </c>
      <c r="IV16" s="1616">
        <v>32</v>
      </c>
    </row>
    <row r="17" spans="1:256" ht="9" customHeight="1">
      <c r="A17" s="1449">
        <v>200020</v>
      </c>
      <c r="B17" s="498">
        <v>190019</v>
      </c>
      <c r="C17" s="504"/>
      <c r="D17" s="1050">
        <f>190000+128*4+34+0.06</f>
        <v>190546.06</v>
      </c>
      <c r="E17" s="1051"/>
      <c r="F17" s="1051">
        <f>128*9+4</f>
        <v>1156</v>
      </c>
      <c r="G17" s="504">
        <v>190019</v>
      </c>
      <c r="H17" s="500">
        <f t="shared" si="3"/>
        <v>1160</v>
      </c>
      <c r="I17" s="500">
        <f t="shared" si="3"/>
        <v>1160</v>
      </c>
      <c r="J17" s="500">
        <f t="shared" si="2"/>
        <v>1160</v>
      </c>
      <c r="K17" s="500">
        <f t="shared" si="2"/>
        <v>1160</v>
      </c>
      <c r="L17" s="500">
        <f>128*9+8</f>
        <v>1160</v>
      </c>
      <c r="M17" s="527">
        <f>190019+0.208</f>
        <v>190019.20800000001</v>
      </c>
      <c r="N17" s="500">
        <f>128*9+73</f>
        <v>1225</v>
      </c>
      <c r="O17" s="500">
        <f t="shared" si="4"/>
        <v>1225</v>
      </c>
      <c r="P17" s="500">
        <f>128*9+73+0.256+0.035</f>
        <v>1225.2910000000002</v>
      </c>
      <c r="Q17" s="500">
        <f t="shared" si="4"/>
        <v>1225</v>
      </c>
      <c r="R17" s="500">
        <f t="shared" si="4"/>
        <v>1225</v>
      </c>
      <c r="S17" s="527">
        <f>190019+0.208</f>
        <v>190019.20800000001</v>
      </c>
      <c r="T17" s="500">
        <f>128*9+8</f>
        <v>1160</v>
      </c>
      <c r="U17" s="500">
        <f>128*9+8</f>
        <v>1160</v>
      </c>
      <c r="V17" s="500">
        <f>128*9+8</f>
        <v>1160</v>
      </c>
      <c r="W17" s="504">
        <v>190019</v>
      </c>
      <c r="X17" s="504">
        <v>190019</v>
      </c>
      <c r="Y17" s="498">
        <v>190019</v>
      </c>
      <c r="Z17" s="840">
        <f t="shared" si="5"/>
        <v>201210</v>
      </c>
      <c r="AA17" s="840">
        <f t="shared" si="5"/>
        <v>201210</v>
      </c>
      <c r="AB17" s="840">
        <f t="shared" si="5"/>
        <v>201210</v>
      </c>
      <c r="AC17" s="498">
        <v>190019</v>
      </c>
      <c r="AD17" s="514"/>
      <c r="AE17" s="514"/>
      <c r="AF17" s="514"/>
      <c r="AG17" s="514"/>
      <c r="AH17" s="514"/>
      <c r="AI17" s="514"/>
      <c r="AJ17" s="514"/>
      <c r="AK17" s="514"/>
      <c r="AL17" s="514"/>
      <c r="AM17" s="514"/>
      <c r="AN17" s="514"/>
      <c r="AO17" s="514"/>
      <c r="AP17" s="514"/>
      <c r="AQ17" s="514"/>
      <c r="AR17" s="514"/>
      <c r="AS17" s="514"/>
      <c r="AT17" s="514"/>
      <c r="AU17" s="514"/>
      <c r="AV17" s="514"/>
      <c r="AW17" s="514"/>
      <c r="AX17" s="514"/>
      <c r="AY17" s="514"/>
      <c r="AZ17" s="514"/>
      <c r="BA17" s="514"/>
      <c r="BB17" s="498">
        <v>200020</v>
      </c>
      <c r="BC17" s="504">
        <v>20</v>
      </c>
      <c r="BD17" s="707">
        <f>128*4+36</f>
        <v>548</v>
      </c>
      <c r="BE17" s="331"/>
      <c r="BF17" s="504">
        <v>20</v>
      </c>
      <c r="BG17" s="1077">
        <f>128*14+116+0.256+0.009</f>
        <v>1908.2650000000001</v>
      </c>
      <c r="BH17" s="1078">
        <f>128+20+0.131</f>
        <v>148.131</v>
      </c>
      <c r="BI17" s="498">
        <v>200020</v>
      </c>
      <c r="BJ17" s="504">
        <v>20</v>
      </c>
      <c r="BK17" s="331"/>
      <c r="BL17" s="707">
        <f>128*4+36</f>
        <v>548</v>
      </c>
      <c r="BM17" s="771">
        <v>20</v>
      </c>
      <c r="BN17" s="771">
        <v>200020</v>
      </c>
      <c r="BO17" s="498">
        <v>20</v>
      </c>
      <c r="BP17" s="1079"/>
      <c r="BQ17" s="331"/>
      <c r="BR17" s="331"/>
      <c r="BS17" s="498">
        <v>200020</v>
      </c>
      <c r="BT17" s="503"/>
      <c r="BU17" s="772"/>
      <c r="BV17" s="772"/>
      <c r="BW17" s="772"/>
      <c r="BX17" s="1080"/>
      <c r="BY17" s="505">
        <v>200020</v>
      </c>
      <c r="BZ17" s="508">
        <v>200020</v>
      </c>
      <c r="CA17" s="1066">
        <v>200020</v>
      </c>
      <c r="CB17" s="1066">
        <v>200020</v>
      </c>
      <c r="CC17" s="1066">
        <v>200020</v>
      </c>
      <c r="CD17" s="1066">
        <v>200020</v>
      </c>
      <c r="CE17" s="1066">
        <v>200020</v>
      </c>
      <c r="CF17" s="1066">
        <v>200020</v>
      </c>
      <c r="CG17" s="1066">
        <v>200020</v>
      </c>
      <c r="CH17" s="1066">
        <v>200020</v>
      </c>
      <c r="CI17" s="1081">
        <f>10000*20+128*9+76+0.256+0.0085</f>
        <v>201228.26449999999</v>
      </c>
      <c r="CJ17" s="1066">
        <f>10000*20+128*14+116</f>
        <v>201908</v>
      </c>
      <c r="CK17" s="508">
        <v>200020</v>
      </c>
      <c r="CL17" s="509"/>
      <c r="CM17" s="1025">
        <v>200000</v>
      </c>
      <c r="CN17" s="1025">
        <v>200000</v>
      </c>
      <c r="CO17" s="1025">
        <v>200000</v>
      </c>
      <c r="CP17" s="509"/>
      <c r="CQ17" s="509"/>
      <c r="CR17" s="505">
        <v>200020</v>
      </c>
      <c r="CV17" t="s">
        <v>1049</v>
      </c>
      <c r="DE17" s="1049">
        <v>7</v>
      </c>
      <c r="IU17" s="1616" t="s">
        <v>632</v>
      </c>
      <c r="IV17" s="1616" t="s">
        <v>1050</v>
      </c>
    </row>
    <row r="18" spans="1:256" ht="9" customHeight="1">
      <c r="A18" s="1449">
        <v>200020</v>
      </c>
      <c r="B18" s="498">
        <v>190019</v>
      </c>
      <c r="C18" s="504"/>
      <c r="D18" s="504">
        <v>190019</v>
      </c>
      <c r="E18" s="1082">
        <f>0.384+0.004</f>
        <v>0.38800000000000001</v>
      </c>
      <c r="F18" s="1051"/>
      <c r="G18" s="504">
        <v>190019</v>
      </c>
      <c r="H18" s="500">
        <f t="shared" si="3"/>
        <v>1160</v>
      </c>
      <c r="I18" s="541">
        <f>128*9+8+0.5+0.384+0.0034</f>
        <v>1160.8874000000001</v>
      </c>
      <c r="J18" s="504">
        <v>190019</v>
      </c>
      <c r="K18" s="802">
        <f>128*9+8+0.5+0.384+0.003</f>
        <v>1160.8869999999999</v>
      </c>
      <c r="L18" s="802">
        <f>128*9+8+0.384+0.003</f>
        <v>1160.3869999999999</v>
      </c>
      <c r="M18" s="504">
        <v>190019</v>
      </c>
      <c r="N18" s="801">
        <f>128*9+53+0.384+0.003</f>
        <v>1205.3869999999999</v>
      </c>
      <c r="O18" s="500">
        <f t="shared" si="4"/>
        <v>1225</v>
      </c>
      <c r="P18" s="500">
        <f t="shared" si="4"/>
        <v>1225</v>
      </c>
      <c r="Q18" s="500">
        <f t="shared" si="4"/>
        <v>1225</v>
      </c>
      <c r="R18" s="541">
        <f>128*9+73+0.5+0.384+0.003</f>
        <v>1225.8869999999999</v>
      </c>
      <c r="S18" s="504">
        <v>190019</v>
      </c>
      <c r="T18" s="500">
        <f>128*9+19+0.5+0.256+0.0063</f>
        <v>1171.7623000000001</v>
      </c>
      <c r="U18" s="801">
        <f>128*9+8+0.5+0.384+0.003</f>
        <v>1160.8869999999999</v>
      </c>
      <c r="V18" s="500">
        <f>128*9+8</f>
        <v>1160</v>
      </c>
      <c r="W18" s="500">
        <f>128*9+8</f>
        <v>1160</v>
      </c>
      <c r="X18" s="500">
        <f>128*9+8</f>
        <v>1160</v>
      </c>
      <c r="Y18" s="498">
        <v>190019</v>
      </c>
      <c r="Z18" s="810">
        <f>200000+128*9+59</f>
        <v>201211</v>
      </c>
      <c r="AA18" s="705">
        <f>200000+128*9+59</f>
        <v>201211</v>
      </c>
      <c r="AB18" s="840">
        <f>200000+128*9+58</f>
        <v>201210</v>
      </c>
      <c r="AC18" s="498">
        <v>190019</v>
      </c>
      <c r="AD18" s="514"/>
      <c r="AE18" s="514"/>
      <c r="AF18" s="514"/>
      <c r="AG18" s="514">
        <f>128*14+2</f>
        <v>1794</v>
      </c>
      <c r="AH18" s="514"/>
      <c r="AI18" s="1007">
        <f t="shared" ref="AI18:BB18" si="6">128*4+47</f>
        <v>559</v>
      </c>
      <c r="AJ18" s="1007">
        <f t="shared" si="6"/>
        <v>559</v>
      </c>
      <c r="AK18" s="1007">
        <f t="shared" si="6"/>
        <v>559</v>
      </c>
      <c r="AL18" s="1007">
        <f t="shared" si="6"/>
        <v>559</v>
      </c>
      <c r="AM18" s="1007">
        <f t="shared" si="6"/>
        <v>559</v>
      </c>
      <c r="AN18" s="1007">
        <f t="shared" si="6"/>
        <v>559</v>
      </c>
      <c r="AO18" s="1007">
        <f t="shared" si="6"/>
        <v>559</v>
      </c>
      <c r="AP18" s="1007">
        <f t="shared" si="6"/>
        <v>559</v>
      </c>
      <c r="AQ18" s="1007">
        <f t="shared" si="6"/>
        <v>559</v>
      </c>
      <c r="AR18" s="1007">
        <f t="shared" si="6"/>
        <v>559</v>
      </c>
      <c r="AS18" s="1007">
        <f t="shared" si="6"/>
        <v>559</v>
      </c>
      <c r="AT18" s="1007">
        <f t="shared" si="6"/>
        <v>559</v>
      </c>
      <c r="AU18" s="1007">
        <f t="shared" si="6"/>
        <v>559</v>
      </c>
      <c r="AV18" s="1007">
        <f t="shared" si="6"/>
        <v>559</v>
      </c>
      <c r="AW18" s="1007">
        <f t="shared" si="6"/>
        <v>559</v>
      </c>
      <c r="AX18" s="1007">
        <f t="shared" si="6"/>
        <v>559</v>
      </c>
      <c r="AY18" s="1007">
        <f t="shared" si="6"/>
        <v>559</v>
      </c>
      <c r="AZ18" s="1007">
        <f t="shared" si="6"/>
        <v>559</v>
      </c>
      <c r="BA18" s="1007">
        <f t="shared" si="6"/>
        <v>559</v>
      </c>
      <c r="BB18" s="1083">
        <f t="shared" si="6"/>
        <v>559</v>
      </c>
      <c r="BC18" s="498">
        <v>200020</v>
      </c>
      <c r="BD18" s="331"/>
      <c r="BE18" s="331"/>
      <c r="BF18" s="504">
        <v>20</v>
      </c>
      <c r="BG18" s="504">
        <v>20</v>
      </c>
      <c r="BH18" s="776"/>
      <c r="BI18" s="504">
        <v>200020</v>
      </c>
      <c r="BJ18" s="999"/>
      <c r="BK18" s="331"/>
      <c r="BL18" s="498">
        <v>200020</v>
      </c>
      <c r="BM18" s="498">
        <v>200020</v>
      </c>
      <c r="BN18" s="503"/>
      <c r="BO18" s="498">
        <v>200020</v>
      </c>
      <c r="BP18" s="498">
        <v>200020</v>
      </c>
      <c r="BQ18" s="498">
        <v>200020</v>
      </c>
      <c r="BR18" s="498">
        <v>200020</v>
      </c>
      <c r="BS18" s="498">
        <v>200020</v>
      </c>
      <c r="BT18" s="498">
        <v>200020</v>
      </c>
      <c r="BU18" s="498">
        <v>200020</v>
      </c>
      <c r="BV18" s="498">
        <v>200020</v>
      </c>
      <c r="BW18" s="498">
        <v>200020</v>
      </c>
      <c r="BX18" s="498">
        <v>200020</v>
      </c>
      <c r="BY18" s="505">
        <v>200020</v>
      </c>
      <c r="BZ18" s="505">
        <v>200020</v>
      </c>
      <c r="CA18" s="505">
        <v>200020</v>
      </c>
      <c r="CB18" s="505">
        <v>200020</v>
      </c>
      <c r="CC18" s="505">
        <v>200020</v>
      </c>
      <c r="CD18" s="505">
        <v>200020</v>
      </c>
      <c r="CE18" s="505">
        <v>200020</v>
      </c>
      <c r="CF18" s="505">
        <v>200020</v>
      </c>
      <c r="CG18" s="505">
        <v>200020</v>
      </c>
      <c r="CH18" s="505">
        <v>200020</v>
      </c>
      <c r="CI18" s="505">
        <v>200020</v>
      </c>
      <c r="CJ18" s="505">
        <v>200020</v>
      </c>
      <c r="CK18" s="505">
        <v>200020</v>
      </c>
      <c r="CL18" s="1084">
        <f>10000*20+20+0.208</f>
        <v>200020.20800000001</v>
      </c>
      <c r="CM18" s="1085">
        <f>10000*20+128*9+72+0.207</f>
        <v>201224.20699999999</v>
      </c>
      <c r="CN18" s="1085">
        <f>10000*20+128*9+72+0.207</f>
        <v>201224.20699999999</v>
      </c>
      <c r="CO18" s="1085">
        <f>10000*20+128*9+72+0.207</f>
        <v>201224.20699999999</v>
      </c>
      <c r="CP18" s="1086">
        <f>10000*20+20+0.208</f>
        <v>200020.20800000001</v>
      </c>
      <c r="CQ18" s="505">
        <v>200020</v>
      </c>
      <c r="CR18" s="505">
        <v>200020</v>
      </c>
      <c r="CV18" t="s">
        <v>1051</v>
      </c>
      <c r="DD18" s="1">
        <v>1</v>
      </c>
      <c r="DE18">
        <f>CM27</f>
        <v>421409</v>
      </c>
      <c r="IU18" s="1616" t="s">
        <v>855</v>
      </c>
      <c r="IV18" s="1616" t="s">
        <v>854</v>
      </c>
    </row>
    <row r="19" spans="1:256" ht="9" customHeight="1">
      <c r="A19" s="1449">
        <v>200020</v>
      </c>
      <c r="B19" s="498">
        <v>190019</v>
      </c>
      <c r="C19" s="999"/>
      <c r="D19" s="1087">
        <f>128*5+40</f>
        <v>680</v>
      </c>
      <c r="E19" s="1051"/>
      <c r="F19" s="1051"/>
      <c r="G19" s="504">
        <v>190019</v>
      </c>
      <c r="H19" s="500">
        <f>128*9+8</f>
        <v>1160</v>
      </c>
      <c r="I19" s="504">
        <v>190019</v>
      </c>
      <c r="J19" s="504">
        <v>190019</v>
      </c>
      <c r="K19" s="527">
        <f>190019+0.106</f>
        <v>190019.106</v>
      </c>
      <c r="L19" s="527">
        <f>190019+0.106</f>
        <v>190019.106</v>
      </c>
      <c r="M19" s="504">
        <v>190019</v>
      </c>
      <c r="N19" s="527">
        <f>190019+0.004</f>
        <v>190019.00399999999</v>
      </c>
      <c r="O19" s="504">
        <v>190019</v>
      </c>
      <c r="P19" s="527">
        <f>128*9+53+0.134</f>
        <v>1205.134</v>
      </c>
      <c r="Q19" s="504">
        <v>190019</v>
      </c>
      <c r="R19" s="527">
        <f>190019+0.004</f>
        <v>190019.00399999999</v>
      </c>
      <c r="S19" s="504">
        <v>190019</v>
      </c>
      <c r="T19" s="504">
        <v>190019</v>
      </c>
      <c r="U19" s="527">
        <f>190019+0.106</f>
        <v>190019.106</v>
      </c>
      <c r="V19" s="504">
        <v>190019</v>
      </c>
      <c r="W19" s="504">
        <v>190019</v>
      </c>
      <c r="X19" s="500">
        <f>128*9+8</f>
        <v>1160</v>
      </c>
      <c r="Y19" s="498">
        <v>190019</v>
      </c>
      <c r="Z19" s="784">
        <f>200000+128*9+59</f>
        <v>201211</v>
      </c>
      <c r="AA19" s="818">
        <f>200000+128*9+58</f>
        <v>201210</v>
      </c>
      <c r="AB19" s="705">
        <f>200000+128*9+59</f>
        <v>201211</v>
      </c>
      <c r="AC19" s="498">
        <v>190019</v>
      </c>
      <c r="AD19" s="514"/>
      <c r="AE19" s="514"/>
      <c r="AF19" s="1088">
        <f>19+0.175</f>
        <v>19.175000000000001</v>
      </c>
      <c r="AG19" s="1024">
        <f>128*9+32</f>
        <v>1184</v>
      </c>
      <c r="AH19" s="1088">
        <f>19+0.175</f>
        <v>19.175000000000001</v>
      </c>
      <c r="AI19" s="503"/>
      <c r="AJ19" s="503">
        <f>128*6+1</f>
        <v>769</v>
      </c>
      <c r="AK19" s="503"/>
      <c r="AL19" s="503">
        <f>128*6+1</f>
        <v>769</v>
      </c>
      <c r="AM19" s="503"/>
      <c r="AN19" s="503"/>
      <c r="AO19" s="503"/>
      <c r="AP19" s="503">
        <f>128*6+1</f>
        <v>769</v>
      </c>
      <c r="AQ19" s="503"/>
      <c r="AR19" s="503"/>
      <c r="AS19" s="518">
        <f>128*6+1</f>
        <v>769</v>
      </c>
      <c r="AT19" s="503"/>
      <c r="AU19" s="503"/>
      <c r="AV19" s="518">
        <f>128*6+1</f>
        <v>769</v>
      </c>
      <c r="AW19" s="503"/>
      <c r="AX19" s="503">
        <f>128*6+1</f>
        <v>769</v>
      </c>
      <c r="AY19" s="518">
        <f>128*6+1</f>
        <v>769</v>
      </c>
      <c r="AZ19" s="503"/>
      <c r="BA19" s="503">
        <f>128*6+1</f>
        <v>769</v>
      </c>
      <c r="BB19" s="503">
        <f>128*14+3</f>
        <v>1795</v>
      </c>
      <c r="BC19" s="498">
        <v>200020</v>
      </c>
      <c r="BD19" s="331"/>
      <c r="BE19" s="999"/>
      <c r="BF19" s="331"/>
      <c r="BG19" s="331"/>
      <c r="BH19" s="331"/>
      <c r="BI19" s="504">
        <v>200020</v>
      </c>
      <c r="BJ19" s="331"/>
      <c r="BK19" s="331"/>
      <c r="BL19" s="1079"/>
      <c r="BM19" s="498">
        <v>200020</v>
      </c>
      <c r="BN19" s="503"/>
      <c r="BO19" s="503"/>
      <c r="BP19" s="503"/>
      <c r="BQ19" s="503"/>
      <c r="BR19" s="503"/>
      <c r="BS19" s="503"/>
      <c r="BT19" s="503"/>
      <c r="BU19" s="498">
        <v>200020</v>
      </c>
      <c r="BV19" s="503"/>
      <c r="BW19" s="503"/>
      <c r="BX19" s="503"/>
      <c r="BY19" s="503"/>
      <c r="BZ19" s="503"/>
      <c r="CA19" s="503"/>
      <c r="CB19" s="503"/>
      <c r="CC19" s="503"/>
      <c r="CD19" s="503"/>
      <c r="CE19" s="503"/>
      <c r="CF19" s="503"/>
      <c r="CG19" s="503"/>
      <c r="CH19" s="503"/>
      <c r="CI19" s="503"/>
      <c r="CJ19" s="503"/>
      <c r="CK19" s="503"/>
      <c r="CL19" s="503"/>
      <c r="CM19" s="514"/>
      <c r="CN19" s="514"/>
      <c r="CO19" s="514"/>
      <c r="CP19" s="503"/>
      <c r="CQ19" s="503"/>
      <c r="CR19" s="1449">
        <v>200020</v>
      </c>
      <c r="DD19" s="1">
        <v>2</v>
      </c>
      <c r="DE19">
        <f>CC28</f>
        <v>421410</v>
      </c>
      <c r="IU19" s="1616" t="s">
        <v>857</v>
      </c>
      <c r="IV19" s="1616" t="s">
        <v>856</v>
      </c>
    </row>
    <row r="20" spans="1:256" ht="9" customHeight="1">
      <c r="A20" s="1449">
        <v>200020</v>
      </c>
      <c r="B20" s="498">
        <v>190019</v>
      </c>
      <c r="C20" s="504"/>
      <c r="D20" s="504">
        <v>190019</v>
      </c>
      <c r="E20" s="1082">
        <f>0.384+0.002</f>
        <v>0.38600000000000001</v>
      </c>
      <c r="F20" s="1051"/>
      <c r="G20" s="504">
        <v>190019</v>
      </c>
      <c r="H20" s="504">
        <f>128*9+52</f>
        <v>1204</v>
      </c>
      <c r="I20" s="504">
        <v>190019</v>
      </c>
      <c r="J20" s="1050">
        <f>128*9+4</f>
        <v>1156</v>
      </c>
      <c r="K20" s="1051"/>
      <c r="L20" s="1051"/>
      <c r="M20" s="1051"/>
      <c r="N20" s="1082">
        <f>128*9+4+0.5+0.256+0.006</f>
        <v>1156.7620000000002</v>
      </c>
      <c r="O20" s="504">
        <v>190019</v>
      </c>
      <c r="P20" s="504">
        <f>128*9+73</f>
        <v>1225</v>
      </c>
      <c r="Q20" s="504">
        <v>190019</v>
      </c>
      <c r="R20" s="1050">
        <f>128*9+4+0.5+0.256+0.001</f>
        <v>1156.7570000000001</v>
      </c>
      <c r="S20" s="1051"/>
      <c r="T20" s="1051"/>
      <c r="U20" s="1051"/>
      <c r="V20" s="1082">
        <f>128*9+4</f>
        <v>1156</v>
      </c>
      <c r="W20" s="504">
        <v>190019</v>
      </c>
      <c r="X20" s="504">
        <f>128*9+52</f>
        <v>1204</v>
      </c>
      <c r="Y20" s="498">
        <v>190019</v>
      </c>
      <c r="Z20" s="766">
        <f>200020+0.156</f>
        <v>200020.15599999999</v>
      </c>
      <c r="AA20" s="504">
        <f>20</f>
        <v>20</v>
      </c>
      <c r="AB20" s="504">
        <v>20</v>
      </c>
      <c r="AC20" s="498">
        <v>190019</v>
      </c>
      <c r="AD20" s="514"/>
      <c r="AE20" s="792">
        <f>128*4+47</f>
        <v>559</v>
      </c>
      <c r="AF20" s="1089">
        <f>460000+128*6+17</f>
        <v>460785</v>
      </c>
      <c r="AG20" s="514"/>
      <c r="AH20" s="514"/>
      <c r="AI20" s="503">
        <f>128*9+25</f>
        <v>1177</v>
      </c>
      <c r="AJ20" s="1089">
        <f t="shared" ref="AI20:AK21" si="7">460000+128*6+17</f>
        <v>460785</v>
      </c>
      <c r="AK20" s="1089">
        <f t="shared" si="7"/>
        <v>460785</v>
      </c>
      <c r="AL20" s="1090">
        <f>460000+128*6+17</f>
        <v>460785</v>
      </c>
      <c r="AM20" s="1089">
        <f>460000+128*6+17</f>
        <v>460785</v>
      </c>
      <c r="AN20" s="1090">
        <f>460000+128*6+17</f>
        <v>460785</v>
      </c>
      <c r="AO20" s="1089">
        <f>460000+128*9+25</f>
        <v>461177</v>
      </c>
      <c r="AP20" s="1089">
        <f>460000+128*9+25</f>
        <v>461177</v>
      </c>
      <c r="AQ20" s="1089">
        <f>460000+128*6+17</f>
        <v>460785</v>
      </c>
      <c r="AR20" s="1089">
        <f>460000+128*6+17</f>
        <v>460785</v>
      </c>
      <c r="AS20" s="1090">
        <f>460000+128*6+17</f>
        <v>460785</v>
      </c>
      <c r="AT20" s="1089">
        <f>460000+128*6+17</f>
        <v>460785</v>
      </c>
      <c r="AU20" s="1089">
        <f>460000+128*9+25</f>
        <v>461177</v>
      </c>
      <c r="AV20" s="535">
        <f>128*8+3</f>
        <v>1027</v>
      </c>
      <c r="AW20" s="1091">
        <f t="shared" ref="AW20:AY21" si="8">128*9+46</f>
        <v>1198</v>
      </c>
      <c r="AX20" s="1091">
        <f t="shared" si="8"/>
        <v>1198</v>
      </c>
      <c r="AY20" s="828">
        <f t="shared" si="8"/>
        <v>1198</v>
      </c>
      <c r="AZ20" s="503"/>
      <c r="BA20" s="1092">
        <f>128*9+24+0.5+0.256+0.0055</f>
        <v>1176.7615000000001</v>
      </c>
      <c r="BB20" s="1093">
        <f>10000*43+45+0.1751</f>
        <v>430045.17509999999</v>
      </c>
      <c r="BC20" s="498">
        <v>200020</v>
      </c>
      <c r="BD20" s="504">
        <v>24</v>
      </c>
      <c r="BE20" s="504">
        <v>35</v>
      </c>
      <c r="BF20" s="504">
        <v>31</v>
      </c>
      <c r="BG20" s="331"/>
      <c r="BH20" s="331"/>
      <c r="BI20" s="498">
        <v>200020</v>
      </c>
      <c r="BJ20" s="498">
        <v>200020</v>
      </c>
      <c r="BK20" s="498">
        <v>200020</v>
      </c>
      <c r="BL20" s="498">
        <v>200020</v>
      </c>
      <c r="BM20" s="498">
        <v>200020</v>
      </c>
      <c r="BN20" s="503"/>
      <c r="BO20" s="498">
        <v>240024</v>
      </c>
      <c r="BP20" s="498">
        <v>240024</v>
      </c>
      <c r="BQ20" s="498">
        <f>240024+0.133</f>
        <v>240024.133</v>
      </c>
      <c r="BR20" s="498">
        <v>240024</v>
      </c>
      <c r="BS20" s="498">
        <v>240024</v>
      </c>
      <c r="BT20" s="503"/>
      <c r="BU20" s="498">
        <v>200020</v>
      </c>
      <c r="BV20" s="503"/>
      <c r="BW20" s="2706">
        <v>2E-3</v>
      </c>
      <c r="BX20" s="514"/>
      <c r="BY20" s="514"/>
      <c r="BZ20" s="514"/>
      <c r="CA20" s="514"/>
      <c r="CB20" s="514"/>
      <c r="CC20" s="2706">
        <v>2E-3</v>
      </c>
      <c r="CD20" s="514"/>
      <c r="CE20" s="514"/>
      <c r="CF20" s="514"/>
      <c r="CG20" s="514"/>
      <c r="CH20" s="514"/>
      <c r="CI20" s="514"/>
      <c r="CJ20" s="2706">
        <v>2E-3</v>
      </c>
      <c r="CK20" s="514"/>
      <c r="CL20" s="514"/>
      <c r="CM20" s="514"/>
      <c r="CN20" s="514"/>
      <c r="CO20" s="514"/>
      <c r="CP20" s="503"/>
      <c r="CQ20" s="503"/>
      <c r="CR20" s="1449">
        <v>200020</v>
      </c>
      <c r="DD20" s="1">
        <v>3</v>
      </c>
      <c r="DE20">
        <f>CQ37</f>
        <v>111411</v>
      </c>
      <c r="IU20" s="1616" t="s">
        <v>859</v>
      </c>
      <c r="IV20" s="1616" t="s">
        <v>858</v>
      </c>
    </row>
    <row r="21" spans="1:256" ht="9" customHeight="1">
      <c r="A21" s="1449">
        <v>200020</v>
      </c>
      <c r="B21" s="498">
        <v>190019</v>
      </c>
      <c r="C21" s="504"/>
      <c r="D21" s="1050">
        <f>190000+128*4+34+0.06</f>
        <v>190546.06</v>
      </c>
      <c r="E21" s="1051"/>
      <c r="F21" s="1063">
        <f>128*9+4</f>
        <v>1156</v>
      </c>
      <c r="G21" s="504">
        <v>190019</v>
      </c>
      <c r="H21" s="504">
        <f>128*9+73</f>
        <v>1225</v>
      </c>
      <c r="I21" s="504">
        <v>190019</v>
      </c>
      <c r="J21" s="1051"/>
      <c r="K21" s="1094">
        <f>0.384+0.004</f>
        <v>0.38800000000000001</v>
      </c>
      <c r="L21" s="1051"/>
      <c r="M21" s="1094">
        <f>0.384+0.003</f>
        <v>0.38700000000000001</v>
      </c>
      <c r="N21" s="1051"/>
      <c r="O21" s="504">
        <v>190019</v>
      </c>
      <c r="P21" s="504">
        <f>128*9+73</f>
        <v>1225</v>
      </c>
      <c r="Q21" s="504">
        <v>190019</v>
      </c>
      <c r="R21" s="1051"/>
      <c r="S21" s="1094">
        <f>0.384+0.002</f>
        <v>0.38600000000000001</v>
      </c>
      <c r="T21" s="1051"/>
      <c r="U21" s="1094">
        <f>0.384+0.004</f>
        <v>0.38800000000000001</v>
      </c>
      <c r="V21" s="1051"/>
      <c r="W21" s="504">
        <v>190019</v>
      </c>
      <c r="X21" s="504">
        <f>128*9+73</f>
        <v>1225</v>
      </c>
      <c r="Y21" s="498">
        <v>190019</v>
      </c>
      <c r="Z21" s="500">
        <f>128*16+5</f>
        <v>2053</v>
      </c>
      <c r="AA21" s="703">
        <f>128*9+37+0.149</f>
        <v>1189.1489999999999</v>
      </c>
      <c r="AB21" s="801">
        <f>128*9+4+0.5+0.256+0.006</f>
        <v>1156.7620000000002</v>
      </c>
      <c r="AC21" s="498">
        <v>190019</v>
      </c>
      <c r="AD21" s="514"/>
      <c r="AE21" s="792">
        <f>128*4+47</f>
        <v>559</v>
      </c>
      <c r="AF21" s="1089">
        <f>460000+128*6+17</f>
        <v>460785</v>
      </c>
      <c r="AG21" s="514"/>
      <c r="AH21" s="1095"/>
      <c r="AI21" s="1089">
        <f t="shared" si="7"/>
        <v>460785</v>
      </c>
      <c r="AJ21" s="1089">
        <f t="shared" si="7"/>
        <v>460785</v>
      </c>
      <c r="AK21" s="1089">
        <f t="shared" si="7"/>
        <v>460785</v>
      </c>
      <c r="AL21" s="1089">
        <f>460000+128*9+25</f>
        <v>461177</v>
      </c>
      <c r="AM21" s="1089">
        <f>460000+128*6+17</f>
        <v>460785</v>
      </c>
      <c r="AN21" s="1089">
        <f>460000+128*6+17</f>
        <v>460785</v>
      </c>
      <c r="AO21" s="1089">
        <f>460000+128*6+17</f>
        <v>460785</v>
      </c>
      <c r="AP21" s="1089">
        <f>460000+128*9+25</f>
        <v>461177</v>
      </c>
      <c r="AQ21" s="1090">
        <f>460000+128*6+17</f>
        <v>460785</v>
      </c>
      <c r="AR21" s="503">
        <f>128*8+3</f>
        <v>1027</v>
      </c>
      <c r="AS21" s="1089">
        <f>460000+128*9+25</f>
        <v>461177</v>
      </c>
      <c r="AT21" s="1089">
        <f>460000+128*6+17</f>
        <v>460785</v>
      </c>
      <c r="AU21" s="1090">
        <f>460000+128*6+17</f>
        <v>460785</v>
      </c>
      <c r="AV21" s="535">
        <f>128*8+3</f>
        <v>1027</v>
      </c>
      <c r="AW21" s="1091">
        <f t="shared" si="8"/>
        <v>1198</v>
      </c>
      <c r="AX21" s="1091">
        <f t="shared" si="8"/>
        <v>1198</v>
      </c>
      <c r="AY21" s="828">
        <f t="shared" si="8"/>
        <v>1198</v>
      </c>
      <c r="AZ21" s="503"/>
      <c r="BA21" s="1092">
        <f>128*9+24</f>
        <v>1176</v>
      </c>
      <c r="BB21" s="1093">
        <f>10000*43+45+0.1759</f>
        <v>430045.17589999997</v>
      </c>
      <c r="BC21" s="498">
        <v>200020</v>
      </c>
      <c r="BD21" s="498">
        <v>200020</v>
      </c>
      <c r="BE21" s="498">
        <v>200020</v>
      </c>
      <c r="BF21" s="498">
        <v>200020</v>
      </c>
      <c r="BG21" s="498">
        <v>200020</v>
      </c>
      <c r="BH21" s="498">
        <v>200020</v>
      </c>
      <c r="BI21" s="498">
        <v>200020</v>
      </c>
      <c r="BJ21" s="503"/>
      <c r="BK21" s="503"/>
      <c r="BL21" s="503"/>
      <c r="BM21" s="503"/>
      <c r="BN21" s="503"/>
      <c r="BO21" s="498">
        <f>240024+0.132</f>
        <v>240024.13200000001</v>
      </c>
      <c r="BP21" s="1703"/>
      <c r="BQ21" s="1703"/>
      <c r="BR21" s="1724">
        <f>128*9+20+0.5+0.256+0.002+0.0002</f>
        <v>1172.7582</v>
      </c>
      <c r="BS21" s="498">
        <v>240024</v>
      </c>
      <c r="BT21" s="503"/>
      <c r="BU21" s="498">
        <v>200020</v>
      </c>
      <c r="BV21" s="503"/>
      <c r="BW21" s="514"/>
      <c r="BX21" s="514"/>
      <c r="BY21" s="1883">
        <f>128*17+3</f>
        <v>2179</v>
      </c>
      <c r="BZ21" s="514"/>
      <c r="CA21" s="514"/>
      <c r="CB21" s="514"/>
      <c r="CC21" s="514"/>
      <c r="CD21" s="514"/>
      <c r="CE21" s="514"/>
      <c r="CF21" s="514"/>
      <c r="CG21" s="514"/>
      <c r="CH21" s="514"/>
      <c r="CI21" s="514"/>
      <c r="CJ21" s="514"/>
      <c r="CK21" s="514"/>
      <c r="CL21" s="514"/>
      <c r="CM21" s="1883">
        <f>128*17+8</f>
        <v>2184</v>
      </c>
      <c r="CN21" s="514"/>
      <c r="CO21" s="2706">
        <v>2E-3</v>
      </c>
      <c r="CP21" s="503"/>
      <c r="CQ21" s="503"/>
      <c r="CR21" s="1449">
        <v>200020</v>
      </c>
      <c r="DD21" s="1">
        <v>4</v>
      </c>
      <c r="DE21">
        <f>AU30</f>
        <v>201412</v>
      </c>
      <c r="IU21" s="1616" t="s">
        <v>861</v>
      </c>
      <c r="IV21" s="1616" t="s">
        <v>860</v>
      </c>
    </row>
    <row r="22" spans="1:256" ht="9" customHeight="1">
      <c r="A22" s="1449">
        <v>200020</v>
      </c>
      <c r="B22" s="498">
        <v>190019</v>
      </c>
      <c r="C22" s="504"/>
      <c r="D22" s="504">
        <v>190019</v>
      </c>
      <c r="E22" s="504">
        <v>190019</v>
      </c>
      <c r="F22" s="504">
        <v>190019</v>
      </c>
      <c r="G22" s="504">
        <v>190019</v>
      </c>
      <c r="H22" s="504">
        <f>128*9+50</f>
        <v>1202</v>
      </c>
      <c r="I22" s="504">
        <v>190019</v>
      </c>
      <c r="J22" s="1063">
        <f>190000+128*4+34+0.06</f>
        <v>190546.06</v>
      </c>
      <c r="K22" s="504">
        <v>190019</v>
      </c>
      <c r="L22" s="1087">
        <f>128*5+40</f>
        <v>680</v>
      </c>
      <c r="M22" s="504">
        <v>190019</v>
      </c>
      <c r="N22" s="1063">
        <f>190000+128*4+34+0.06</f>
        <v>190546.06</v>
      </c>
      <c r="O22" s="504">
        <v>190019</v>
      </c>
      <c r="P22" s="768">
        <f>128*9+74</f>
        <v>1226</v>
      </c>
      <c r="Q22" s="504">
        <v>190019</v>
      </c>
      <c r="R22" s="1063">
        <f>190000+128*4+34+0.06</f>
        <v>190546.06</v>
      </c>
      <c r="S22" s="504">
        <v>190019</v>
      </c>
      <c r="T22" s="1087">
        <f>128*5+40</f>
        <v>680</v>
      </c>
      <c r="U22" s="504">
        <v>190019</v>
      </c>
      <c r="V22" s="1063">
        <f>190000+128*4+34+0.06</f>
        <v>190546.06</v>
      </c>
      <c r="W22" s="504">
        <v>190019</v>
      </c>
      <c r="X22" s="504">
        <f>128*9+50</f>
        <v>1202</v>
      </c>
      <c r="Y22" s="498">
        <v>190019</v>
      </c>
      <c r="Z22" s="500"/>
      <c r="AA22" s="500">
        <f>128*6+139+0.5+0.256+0.035</f>
        <v>907.79099999999994</v>
      </c>
      <c r="AB22" s="804">
        <f>128*9+48+0.122</f>
        <v>1200.1220000000001</v>
      </c>
      <c r="AC22" s="498">
        <v>190019</v>
      </c>
      <c r="AD22" s="514"/>
      <c r="AE22" s="792">
        <f>128*4+47</f>
        <v>559</v>
      </c>
      <c r="AF22" s="514"/>
      <c r="AG22" s="514">
        <f>0.0024</f>
        <v>2.3999999999999998E-3</v>
      </c>
      <c r="AH22" s="789"/>
      <c r="AI22" s="789"/>
      <c r="AJ22" s="1096"/>
      <c r="AK22" s="1089">
        <f>460000+128*6+17</f>
        <v>460785</v>
      </c>
      <c r="AL22" s="1090">
        <f>460000+128*6+17</f>
        <v>460785</v>
      </c>
      <c r="AM22" s="1089">
        <f>460000+128*6+17</f>
        <v>460785</v>
      </c>
      <c r="AN22" s="1089">
        <f>460000+128*9+25</f>
        <v>461177</v>
      </c>
      <c r="AO22" s="1089">
        <f>460000+128*6+17</f>
        <v>460785</v>
      </c>
      <c r="AP22" s="503">
        <f>128*8+3</f>
        <v>1027</v>
      </c>
      <c r="AQ22" s="1089">
        <f>460000+128*6+17</f>
        <v>460785</v>
      </c>
      <c r="AR22" s="1097"/>
      <c r="AS22" s="1089">
        <f>460000+0.0175</f>
        <v>460000.01750000002</v>
      </c>
      <c r="AT22" s="518"/>
      <c r="AU22" s="1089">
        <f>460000+128*6+17</f>
        <v>460785</v>
      </c>
      <c r="AV22" s="503">
        <f>128*9+25</f>
        <v>1177</v>
      </c>
      <c r="AW22" s="503"/>
      <c r="AX22" s="503">
        <f>128*9+25</f>
        <v>1177</v>
      </c>
      <c r="AY22" s="503"/>
      <c r="AZ22" s="503">
        <f>128*9+25</f>
        <v>1177</v>
      </c>
      <c r="BA22" s="1723"/>
      <c r="BB22" s="1089">
        <f>460000+128*9+25</f>
        <v>461177</v>
      </c>
      <c r="BC22" s="1098">
        <f>460000+128*6+17</f>
        <v>460785</v>
      </c>
      <c r="BD22" s="788"/>
      <c r="BE22" s="1089">
        <f>460000+128*9+25</f>
        <v>461177</v>
      </c>
      <c r="BF22" s="1089">
        <f>460000+0.0175</f>
        <v>460000.01750000002</v>
      </c>
      <c r="BG22" s="1090">
        <f>460000+128*6+17</f>
        <v>460785</v>
      </c>
      <c r="BH22" s="1089">
        <f>460000+128*6+17</f>
        <v>460785</v>
      </c>
      <c r="BI22" s="1099"/>
      <c r="BJ22" s="1719"/>
      <c r="BK22" s="1722"/>
      <c r="BL22" s="1721"/>
      <c r="BM22" s="498">
        <v>200020</v>
      </c>
      <c r="BN22" s="503"/>
      <c r="BO22" s="498">
        <v>240024</v>
      </c>
      <c r="BP22" s="1703"/>
      <c r="BQ22" s="1703"/>
      <c r="BR22" s="1714">
        <f>128*9+26+0.061</f>
        <v>1178.0609999999999</v>
      </c>
      <c r="BS22" s="498">
        <f>240024+0.133</f>
        <v>240024.133</v>
      </c>
      <c r="BT22" s="503"/>
      <c r="BU22" s="498">
        <v>200020</v>
      </c>
      <c r="BV22" s="503"/>
      <c r="BW22" s="503"/>
      <c r="BX22" s="1882">
        <f>128*17+64+4</f>
        <v>2244</v>
      </c>
      <c r="BY22" s="503"/>
      <c r="BZ22" s="503"/>
      <c r="CA22" s="503"/>
      <c r="CB22" s="503"/>
      <c r="CC22" s="503"/>
      <c r="CD22" s="503"/>
      <c r="CE22" s="503"/>
      <c r="CF22" s="503"/>
      <c r="CG22" s="503"/>
      <c r="CH22" s="503"/>
      <c r="CI22" s="503"/>
      <c r="CJ22" s="503"/>
      <c r="CK22" s="503"/>
      <c r="CL22" s="503"/>
      <c r="CM22" s="514"/>
      <c r="CN22" s="514"/>
      <c r="CO22" s="503"/>
      <c r="CP22" s="503"/>
      <c r="CQ22" s="503"/>
      <c r="CR22" s="1449">
        <v>200020</v>
      </c>
      <c r="DD22" s="1">
        <v>5</v>
      </c>
      <c r="DE22">
        <f>AS40</f>
        <v>421413</v>
      </c>
      <c r="IU22" s="1616" t="s">
        <v>863</v>
      </c>
      <c r="IV22" s="1616" t="s">
        <v>862</v>
      </c>
    </row>
    <row r="23" spans="1:256" ht="9" customHeight="1">
      <c r="A23" s="1449">
        <v>200020</v>
      </c>
      <c r="B23" s="498">
        <v>190019</v>
      </c>
      <c r="C23" s="785"/>
      <c r="D23" s="504"/>
      <c r="E23" s="504"/>
      <c r="F23" s="504"/>
      <c r="G23" s="504"/>
      <c r="H23" s="504"/>
      <c r="I23" s="504"/>
      <c r="J23" s="504"/>
      <c r="K23" s="504"/>
      <c r="L23" s="999"/>
      <c r="M23" s="504"/>
      <c r="N23" s="504"/>
      <c r="O23" s="504"/>
      <c r="P23" s="504"/>
      <c r="Q23" s="504"/>
      <c r="R23" s="504"/>
      <c r="S23" s="504"/>
      <c r="T23" s="999"/>
      <c r="U23" s="504"/>
      <c r="V23" s="504"/>
      <c r="W23" s="504"/>
      <c r="X23" s="504"/>
      <c r="Y23" s="1943">
        <f>128*5+30</f>
        <v>670</v>
      </c>
      <c r="Z23" s="500"/>
      <c r="AA23" s="1100">
        <f>128*9+49+0.5+0.256+0.0047</f>
        <v>1201.7607</v>
      </c>
      <c r="AB23" s="500">
        <f>128*9+5</f>
        <v>1157</v>
      </c>
      <c r="AC23" s="498">
        <v>190019</v>
      </c>
      <c r="AD23" s="514"/>
      <c r="AE23" s="792">
        <f>128*4+47</f>
        <v>559</v>
      </c>
      <c r="AF23" s="514"/>
      <c r="AG23" s="503">
        <f>128*9+25</f>
        <v>1177</v>
      </c>
      <c r="AH23" s="1101">
        <f>128*2+44</f>
        <v>300</v>
      </c>
      <c r="AI23" s="1102">
        <f>128*2+44</f>
        <v>300</v>
      </c>
      <c r="AJ23" s="1103" t="s">
        <v>739</v>
      </c>
      <c r="AK23" s="1103"/>
      <c r="AL23" s="1103"/>
      <c r="AM23" s="1103"/>
      <c r="AN23" s="1103"/>
      <c r="AO23" s="1103"/>
      <c r="AP23" s="1103"/>
      <c r="AQ23" s="1103"/>
      <c r="AR23" s="1103"/>
      <c r="AS23" s="1104">
        <v>460000</v>
      </c>
      <c r="AT23" s="1103"/>
      <c r="AU23" s="1103"/>
      <c r="AV23" s="1103"/>
      <c r="AW23" s="1103"/>
      <c r="AX23" s="1103"/>
      <c r="AY23" s="1103"/>
      <c r="AZ23" s="1103"/>
      <c r="BA23" s="1103"/>
      <c r="BB23" s="1103"/>
      <c r="BC23" s="1103"/>
      <c r="BD23" s="1103"/>
      <c r="BE23" s="1103"/>
      <c r="BF23" s="1104">
        <v>460000</v>
      </c>
      <c r="BG23" s="1103"/>
      <c r="BH23" s="1103"/>
      <c r="BI23" s="1103"/>
      <c r="BJ23" s="1103"/>
      <c r="BK23" s="1101"/>
      <c r="BL23" s="1105" t="s">
        <v>739</v>
      </c>
      <c r="BM23" s="498">
        <v>200020</v>
      </c>
      <c r="BN23" s="503"/>
      <c r="BO23" s="498">
        <v>240024</v>
      </c>
      <c r="BP23" s="1725">
        <f>128*9+4</f>
        <v>1156</v>
      </c>
      <c r="BQ23" s="1703"/>
      <c r="BR23" s="1726">
        <f>128*9+48+0.122</f>
        <v>1200.1220000000001</v>
      </c>
      <c r="BS23" s="498">
        <v>240024</v>
      </c>
      <c r="BT23" s="503"/>
      <c r="BU23" s="498">
        <v>200020</v>
      </c>
      <c r="BV23" s="504">
        <f>128*5+37</f>
        <v>677</v>
      </c>
      <c r="BW23" s="504">
        <v>20</v>
      </c>
      <c r="BX23" s="527">
        <f>128*9+76</f>
        <v>1228</v>
      </c>
      <c r="BY23" s="505">
        <v>200020</v>
      </c>
      <c r="BZ23" s="505">
        <v>200020</v>
      </c>
      <c r="CA23" s="505">
        <v>200020</v>
      </c>
      <c r="CB23" s="505">
        <v>200020</v>
      </c>
      <c r="CC23" s="505">
        <v>200020</v>
      </c>
      <c r="CD23" s="505">
        <v>200020</v>
      </c>
      <c r="CE23" s="505">
        <v>200020</v>
      </c>
      <c r="CF23" s="505">
        <v>200020</v>
      </c>
      <c r="CG23" s="505">
        <v>200020</v>
      </c>
      <c r="CH23" s="505">
        <v>200020</v>
      </c>
      <c r="CI23" s="505">
        <v>200020</v>
      </c>
      <c r="CJ23" s="505">
        <v>200020</v>
      </c>
      <c r="CK23" s="505">
        <v>200020</v>
      </c>
      <c r="CL23" s="1084">
        <f>10000*20+20+0.208</f>
        <v>200020.20800000001</v>
      </c>
      <c r="CM23" s="1106">
        <f>10000*20+128*9+72+0.207</f>
        <v>201224.20699999999</v>
      </c>
      <c r="CN23" s="1106">
        <f>10000*20+128*9+72+0.207</f>
        <v>201224.20699999999</v>
      </c>
      <c r="CO23" s="1086">
        <f>10000*20+20+0.208</f>
        <v>200020.20800000001</v>
      </c>
      <c r="CP23" s="505">
        <v>200020</v>
      </c>
      <c r="CQ23" s="505">
        <v>200020</v>
      </c>
      <c r="CR23" s="505">
        <v>200020</v>
      </c>
      <c r="DD23" s="1">
        <v>6</v>
      </c>
      <c r="DE23">
        <f>BA31</f>
        <v>421414</v>
      </c>
      <c r="IU23" s="1616" t="s">
        <v>864</v>
      </c>
      <c r="IV23" s="1616" t="s">
        <v>1052</v>
      </c>
    </row>
    <row r="24" spans="1:256" ht="9" customHeight="1" thickBot="1">
      <c r="A24" s="1449">
        <v>200019</v>
      </c>
      <c r="B24" s="498">
        <v>190019</v>
      </c>
      <c r="C24" s="498">
        <v>190019</v>
      </c>
      <c r="D24" s="498">
        <v>190019</v>
      </c>
      <c r="E24" s="498">
        <v>190019</v>
      </c>
      <c r="F24" s="498">
        <v>190019</v>
      </c>
      <c r="G24" s="498">
        <v>190019</v>
      </c>
      <c r="H24" s="771">
        <v>190019</v>
      </c>
      <c r="I24" s="498">
        <v>190019</v>
      </c>
      <c r="J24" s="498">
        <v>190019</v>
      </c>
      <c r="K24" s="498">
        <v>190019</v>
      </c>
      <c r="L24" s="498">
        <v>190019</v>
      </c>
      <c r="M24" s="498">
        <v>190019</v>
      </c>
      <c r="N24" s="498">
        <v>190019</v>
      </c>
      <c r="O24" s="498">
        <v>190019</v>
      </c>
      <c r="P24" s="498">
        <v>190019</v>
      </c>
      <c r="Q24" s="498">
        <v>190019</v>
      </c>
      <c r="R24" s="498">
        <v>190019</v>
      </c>
      <c r="S24" s="498">
        <v>190019</v>
      </c>
      <c r="T24" s="498">
        <v>190019</v>
      </c>
      <c r="U24" s="498">
        <v>190019</v>
      </c>
      <c r="V24" s="498">
        <v>190019</v>
      </c>
      <c r="W24" s="678">
        <f>128*5+41+0.1545</f>
        <v>681.15449999999998</v>
      </c>
      <c r="X24" s="780">
        <f>190019+0.209</f>
        <v>190019.209</v>
      </c>
      <c r="Y24" s="498">
        <v>190019</v>
      </c>
      <c r="Z24" s="498">
        <v>190019</v>
      </c>
      <c r="AA24" s="498">
        <v>190019</v>
      </c>
      <c r="AB24" s="498">
        <v>190019</v>
      </c>
      <c r="AC24" s="498">
        <v>190019</v>
      </c>
      <c r="AD24" s="514"/>
      <c r="AE24" s="792">
        <f>128*4+47</f>
        <v>559</v>
      </c>
      <c r="AF24" s="514"/>
      <c r="AG24" s="503">
        <f>128*9+25</f>
        <v>1177</v>
      </c>
      <c r="AH24" s="1107">
        <f>128*9+24</f>
        <v>1176</v>
      </c>
      <c r="AI24" s="1075"/>
      <c r="AJ24" s="1075"/>
      <c r="AK24" s="1075"/>
      <c r="AL24" s="1075"/>
      <c r="AM24" s="1075"/>
      <c r="AN24" s="1075"/>
      <c r="AO24" s="1108">
        <v>460000</v>
      </c>
      <c r="AP24" s="1075"/>
      <c r="AQ24" s="1075"/>
      <c r="AR24" s="1075"/>
      <c r="AS24" s="1075"/>
      <c r="AT24" s="1075"/>
      <c r="AU24" s="1075"/>
      <c r="AV24" s="1075"/>
      <c r="AW24" s="1075"/>
      <c r="AX24" s="1108">
        <v>460000</v>
      </c>
      <c r="AY24" s="1075"/>
      <c r="AZ24" s="1075"/>
      <c r="BA24" s="1075"/>
      <c r="BB24" s="1108">
        <v>460000</v>
      </c>
      <c r="BC24" s="1075"/>
      <c r="BD24" s="1075"/>
      <c r="BE24" s="1075"/>
      <c r="BF24" s="1075"/>
      <c r="BG24" s="1075"/>
      <c r="BH24" s="1075"/>
      <c r="BI24" s="1109"/>
      <c r="BJ24" s="1075"/>
      <c r="BK24" s="1109">
        <f>128*9+17+0.5+0.384+0.003</f>
        <v>1169.8869999999999</v>
      </c>
      <c r="BL24" s="1107">
        <f>128*9+24</f>
        <v>1176</v>
      </c>
      <c r="BM24" s="498">
        <v>200020</v>
      </c>
      <c r="BN24" s="503"/>
      <c r="BO24" s="498">
        <v>240024</v>
      </c>
      <c r="BP24" s="498">
        <f>240024+0.133</f>
        <v>240024.133</v>
      </c>
      <c r="BQ24" s="1710">
        <f>240024+0.11</f>
        <v>240024.11</v>
      </c>
      <c r="BR24" s="498">
        <v>240024</v>
      </c>
      <c r="BS24" s="498">
        <v>240024</v>
      </c>
      <c r="BT24" s="503"/>
      <c r="BU24" s="498">
        <v>200020</v>
      </c>
      <c r="BV24" s="787"/>
      <c r="BW24" s="787">
        <f>128*16+14</f>
        <v>2062</v>
      </c>
      <c r="BX24" s="787"/>
      <c r="BY24" s="505">
        <v>200020</v>
      </c>
      <c r="BZ24" s="1110"/>
      <c r="CA24" s="1110"/>
      <c r="CB24" s="1110"/>
      <c r="CC24" s="1110"/>
      <c r="CD24" s="1110"/>
      <c r="CE24" s="1110"/>
      <c r="CF24" s="1111"/>
      <c r="CG24" s="1111"/>
      <c r="CH24" s="1112"/>
      <c r="CI24" s="1880">
        <f>128*9+70+0.5+0.384+0.004</f>
        <v>1222.8879999999999</v>
      </c>
      <c r="CJ24" s="1111">
        <f>128*9+70+0.5+0.256+0.006</f>
        <v>1222.7620000000002</v>
      </c>
      <c r="CK24" s="1113">
        <f>128*9+71</f>
        <v>1223</v>
      </c>
      <c r="CL24" s="1110"/>
      <c r="CM24" s="1110"/>
      <c r="CN24" s="1110"/>
      <c r="CO24" s="1110"/>
      <c r="CP24" s="1110"/>
      <c r="CQ24" s="1110">
        <f>128*9+21+0.0592</f>
        <v>1173.0591999999999</v>
      </c>
      <c r="CR24" s="1114">
        <v>200020</v>
      </c>
      <c r="DD24" s="1">
        <v>7</v>
      </c>
      <c r="DE24">
        <f>BG59</f>
        <v>1415</v>
      </c>
      <c r="IU24" s="1616" t="s">
        <v>865</v>
      </c>
      <c r="IV24" s="1616" t="s">
        <v>1053</v>
      </c>
    </row>
    <row r="25" spans="1:256" ht="9" customHeight="1" thickTop="1" thickBot="1">
      <c r="A25" s="1449">
        <v>200019</v>
      </c>
      <c r="B25" s="707">
        <f>128*10+15</f>
        <v>1295</v>
      </c>
      <c r="C25" s="707"/>
      <c r="D25" s="707"/>
      <c r="E25" s="707"/>
      <c r="F25" s="707"/>
      <c r="G25" s="707"/>
      <c r="H25" s="1456"/>
      <c r="I25" s="504">
        <v>190019</v>
      </c>
      <c r="J25" s="1456"/>
      <c r="K25" s="1456"/>
      <c r="L25" s="1456"/>
      <c r="M25" s="1456"/>
      <c r="N25" s="1456"/>
      <c r="O25" s="1456"/>
      <c r="P25" s="1456"/>
      <c r="Q25" s="1456"/>
      <c r="R25" s="1456"/>
      <c r="S25" s="1785"/>
      <c r="T25" s="698">
        <f>190019+0.159</f>
        <v>190019.15900000001</v>
      </c>
      <c r="U25" s="1115"/>
      <c r="V25" s="1115"/>
      <c r="W25" s="1115"/>
      <c r="X25" s="1115"/>
      <c r="Y25" s="1115">
        <f>0.12+0.0004</f>
        <v>0.12039999999999999</v>
      </c>
      <c r="Z25" s="1116">
        <f>128*5+41+0.159</f>
        <v>681.15899999999999</v>
      </c>
      <c r="AA25" s="1117">
        <f>0.384+0.002</f>
        <v>0.38600000000000001</v>
      </c>
      <c r="AB25" s="806">
        <f>128*9+5+0.256+0.0067</f>
        <v>1157.2627</v>
      </c>
      <c r="AC25" s="498">
        <v>190019</v>
      </c>
      <c r="AD25" s="1123">
        <f>128*9+34</f>
        <v>1186</v>
      </c>
      <c r="AE25" s="498">
        <v>200020</v>
      </c>
      <c r="AF25" s="514"/>
      <c r="AG25" s="514"/>
      <c r="AH25" s="789"/>
      <c r="AI25" s="789"/>
      <c r="AJ25" s="503">
        <f>128*8+4</f>
        <v>1028</v>
      </c>
      <c r="AK25" s="1089">
        <f>460000+128*6+17</f>
        <v>460785</v>
      </c>
      <c r="AL25" s="1089">
        <f>460000+128*6+17</f>
        <v>460785</v>
      </c>
      <c r="AM25" s="1089">
        <f>460000+128*6+17</f>
        <v>460785</v>
      </c>
      <c r="AN25" s="1089">
        <f>460000+128*9+25</f>
        <v>461177</v>
      </c>
      <c r="AO25" s="1089">
        <f>460000+0.0171</f>
        <v>460000.0171</v>
      </c>
      <c r="AP25" s="1089">
        <f>460000+128*6+17</f>
        <v>460785</v>
      </c>
      <c r="AQ25" s="1089">
        <f>460000+128*6+17</f>
        <v>460785</v>
      </c>
      <c r="AR25" s="1089">
        <f>460000+128*9+25</f>
        <v>461177</v>
      </c>
      <c r="AS25" s="1089">
        <f>460000+128*6+17</f>
        <v>460785</v>
      </c>
      <c r="AT25" s="1089">
        <f>460000+128*6+17</f>
        <v>460785</v>
      </c>
      <c r="AU25" s="1090">
        <f>460000+128*6+17</f>
        <v>460785</v>
      </c>
      <c r="AV25" s="1089">
        <f>460000+128*6+17</f>
        <v>460785</v>
      </c>
      <c r="AW25" s="1089">
        <f>460000+128*9+25</f>
        <v>461177</v>
      </c>
      <c r="AX25" s="1089">
        <f>460000+0.0171</f>
        <v>460000.0171</v>
      </c>
      <c r="AY25" s="1089">
        <f>460000+128*9+25</f>
        <v>461177</v>
      </c>
      <c r="AZ25" s="503"/>
      <c r="BA25" s="503">
        <f>128*9+25</f>
        <v>1177</v>
      </c>
      <c r="BB25" s="1089">
        <f>460000+0.0171</f>
        <v>460000.0171</v>
      </c>
      <c r="BC25" s="1089">
        <f>460000+128*6+17</f>
        <v>460785</v>
      </c>
      <c r="BD25" s="1089">
        <f>460000+128*6+17</f>
        <v>460785</v>
      </c>
      <c r="BE25" s="1089">
        <f>460000+128*9+25</f>
        <v>461177</v>
      </c>
      <c r="BF25" s="1089">
        <f>460000+128*6+17</f>
        <v>460785</v>
      </c>
      <c r="BG25" s="1089">
        <f>460000+128*6+17</f>
        <v>460785</v>
      </c>
      <c r="BH25" s="503">
        <f>128*9+25</f>
        <v>1177</v>
      </c>
      <c r="BI25" s="503"/>
      <c r="BJ25" s="1720"/>
      <c r="BK25" s="1722"/>
      <c r="BL25" s="1721"/>
      <c r="BM25" s="498">
        <v>200020</v>
      </c>
      <c r="BN25" s="503">
        <f>128*8+3</f>
        <v>1027</v>
      </c>
      <c r="BO25" s="503"/>
      <c r="BP25" s="503"/>
      <c r="BQ25" s="503">
        <f>0.003+0.0007</f>
        <v>3.7000000000000002E-3</v>
      </c>
      <c r="BR25" s="503"/>
      <c r="BS25" s="503">
        <f>128*9+25</f>
        <v>1177</v>
      </c>
      <c r="BT25" s="503"/>
      <c r="BU25" s="498">
        <v>200020</v>
      </c>
      <c r="BV25" s="1118">
        <f>128*9+21+0.5+0.256+0.0288</f>
        <v>1173.7848000000001</v>
      </c>
      <c r="BW25" s="787"/>
      <c r="BX25" s="1119">
        <f>128*9+23+0.5+0.256+0.0034</f>
        <v>1175.7594000000001</v>
      </c>
      <c r="BY25" s="505">
        <v>200020</v>
      </c>
      <c r="BZ25" s="1110"/>
      <c r="CA25" s="514"/>
      <c r="CB25" s="514"/>
      <c r="CC25" s="514"/>
      <c r="CD25" s="514"/>
      <c r="CE25" s="514"/>
      <c r="CF25" s="1120"/>
      <c r="CG25" s="1120"/>
      <c r="CH25" s="1120"/>
      <c r="CI25" s="1120"/>
      <c r="CJ25" s="1121"/>
      <c r="CK25" s="514"/>
      <c r="CL25" s="514"/>
      <c r="CM25" s="514"/>
      <c r="CN25" s="514"/>
      <c r="CO25" s="514"/>
      <c r="CP25" s="514"/>
      <c r="CQ25" s="1122">
        <f>10000*20+128*9+78+0.5+0.2111</f>
        <v>201230.71109999999</v>
      </c>
      <c r="CR25" s="1114">
        <v>200020</v>
      </c>
      <c r="DD25" s="1">
        <v>8</v>
      </c>
      <c r="DE25">
        <f>BN63</f>
        <v>421416</v>
      </c>
      <c r="IU25" s="1616" t="s">
        <v>1003</v>
      </c>
      <c r="IV25" s="1616" t="s">
        <v>1002</v>
      </c>
    </row>
    <row r="26" spans="1:256" ht="9" customHeight="1" thickTop="1" thickBot="1">
      <c r="A26" s="1449">
        <v>200019</v>
      </c>
      <c r="B26" s="707"/>
      <c r="C26" s="707"/>
      <c r="D26" s="1775"/>
      <c r="E26" s="1775"/>
      <c r="F26" s="1775"/>
      <c r="G26" s="707"/>
      <c r="H26" s="707"/>
      <c r="I26" s="504">
        <v>190019</v>
      </c>
      <c r="J26" s="707"/>
      <c r="K26" s="707"/>
      <c r="L26" s="707"/>
      <c r="M26" s="707"/>
      <c r="N26" s="707"/>
      <c r="O26" s="707"/>
      <c r="P26" s="707"/>
      <c r="Q26" s="707"/>
      <c r="R26" s="707">
        <v>0.2112</v>
      </c>
      <c r="S26" s="1786"/>
      <c r="T26" s="498">
        <v>190019</v>
      </c>
      <c r="U26" s="1115">
        <f>128*9+56</f>
        <v>1208</v>
      </c>
      <c r="V26" s="1115">
        <f>128*9+56</f>
        <v>1208</v>
      </c>
      <c r="W26" s="1115">
        <f>128*9+56</f>
        <v>1208</v>
      </c>
      <c r="X26" s="1115">
        <f>128*9+56</f>
        <v>1208</v>
      </c>
      <c r="Y26" s="1115">
        <f>128*9+56</f>
        <v>1208</v>
      </c>
      <c r="Z26" s="498">
        <v>190019</v>
      </c>
      <c r="AA26" s="498">
        <v>190019</v>
      </c>
      <c r="AB26" s="498">
        <v>190019</v>
      </c>
      <c r="AC26" s="504">
        <v>27</v>
      </c>
      <c r="AD26" s="504">
        <v>27</v>
      </c>
      <c r="AE26" s="504">
        <v>27</v>
      </c>
      <c r="AF26" s="498">
        <v>200020</v>
      </c>
      <c r="AG26" s="498">
        <v>200020</v>
      </c>
      <c r="AH26" s="678">
        <f>10000*20+20+0.124</f>
        <v>200020.12400000001</v>
      </c>
      <c r="AI26" s="498">
        <v>200020</v>
      </c>
      <c r="AJ26" s="498">
        <v>200020</v>
      </c>
      <c r="AK26" s="498">
        <v>200020</v>
      </c>
      <c r="AL26" s="498">
        <v>200020</v>
      </c>
      <c r="AM26" s="498">
        <v>200020</v>
      </c>
      <c r="AN26" s="498">
        <v>200020</v>
      </c>
      <c r="AO26" s="498">
        <v>200020</v>
      </c>
      <c r="AP26" s="498">
        <v>200020</v>
      </c>
      <c r="AQ26" s="498">
        <v>200020</v>
      </c>
      <c r="AR26" s="498">
        <v>200020</v>
      </c>
      <c r="AS26" s="498">
        <v>200020</v>
      </c>
      <c r="AT26" s="498">
        <v>200020</v>
      </c>
      <c r="AU26" s="498">
        <v>200020</v>
      </c>
      <c r="AV26" s="498">
        <v>200020</v>
      </c>
      <c r="AW26" s="498">
        <v>200020</v>
      </c>
      <c r="AX26" s="498">
        <v>200020</v>
      </c>
      <c r="AY26" s="498">
        <v>200020</v>
      </c>
      <c r="AZ26" s="498">
        <v>200020</v>
      </c>
      <c r="BA26" s="498">
        <v>200020</v>
      </c>
      <c r="BB26" s="498">
        <v>200020</v>
      </c>
      <c r="BC26" s="498">
        <v>200020</v>
      </c>
      <c r="BD26" s="498">
        <v>200020</v>
      </c>
      <c r="BE26" s="498">
        <f>10000*24+20</f>
        <v>240020</v>
      </c>
      <c r="BF26" s="498">
        <v>200020</v>
      </c>
      <c r="BG26" s="498">
        <v>200020</v>
      </c>
      <c r="BH26" s="498">
        <v>200020</v>
      </c>
      <c r="BI26" s="498">
        <v>200020</v>
      </c>
      <c r="BJ26" s="498">
        <v>200020</v>
      </c>
      <c r="BK26" s="498">
        <v>200020</v>
      </c>
      <c r="BL26" s="498">
        <v>200020</v>
      </c>
      <c r="BM26" s="498">
        <v>200020</v>
      </c>
      <c r="BN26" s="498">
        <v>200020</v>
      </c>
      <c r="BO26" s="498">
        <v>200020</v>
      </c>
      <c r="BP26" s="498">
        <v>200020</v>
      </c>
      <c r="BQ26" s="498">
        <v>200020</v>
      </c>
      <c r="BR26" s="498">
        <v>200020</v>
      </c>
      <c r="BS26" s="498">
        <v>200020</v>
      </c>
      <c r="BT26" s="498">
        <v>200020</v>
      </c>
      <c r="BU26" s="498">
        <v>200020</v>
      </c>
      <c r="BV26" s="498">
        <v>200020</v>
      </c>
      <c r="BW26" s="498">
        <v>200020</v>
      </c>
      <c r="BX26" s="498">
        <v>200020</v>
      </c>
      <c r="BY26" s="505">
        <v>200020</v>
      </c>
      <c r="BZ26" s="1110"/>
      <c r="CA26" s="514"/>
      <c r="CB26" s="771">
        <v>420042</v>
      </c>
      <c r="CC26" s="771">
        <v>350035</v>
      </c>
      <c r="CD26" s="791">
        <v>420042</v>
      </c>
      <c r="CE26" s="514"/>
      <c r="CF26" s="1120"/>
      <c r="CG26" s="1120"/>
      <c r="CH26" s="1120"/>
      <c r="CI26" s="1124"/>
      <c r="CJ26" s="1121"/>
      <c r="CK26" s="514"/>
      <c r="CL26" s="771">
        <v>420042</v>
      </c>
      <c r="CM26" s="771">
        <v>350035</v>
      </c>
      <c r="CN26" s="791">
        <v>420042</v>
      </c>
      <c r="CO26" s="514"/>
      <c r="CP26" s="514"/>
      <c r="CQ26" s="1125">
        <f>10000*20+128*9+78+0.004</f>
        <v>201230.00399999999</v>
      </c>
      <c r="CR26" s="1114">
        <v>200020</v>
      </c>
      <c r="DD26" s="1">
        <v>9</v>
      </c>
      <c r="DE26">
        <f>P54</f>
        <v>421417</v>
      </c>
      <c r="IU26" s="1616" t="s">
        <v>954</v>
      </c>
      <c r="IV26" s="1616"/>
    </row>
    <row r="27" spans="1:256" ht="9" customHeight="1" thickTop="1" thickBot="1">
      <c r="A27" s="1449">
        <v>200019</v>
      </c>
      <c r="B27" s="707"/>
      <c r="C27" s="1761"/>
      <c r="D27" s="1787"/>
      <c r="E27" s="707">
        <v>42</v>
      </c>
      <c r="F27" s="1787"/>
      <c r="G27" s="707"/>
      <c r="H27" s="707"/>
      <c r="I27" s="504">
        <v>190019</v>
      </c>
      <c r="J27" s="707"/>
      <c r="K27" s="707"/>
      <c r="L27" s="1456"/>
      <c r="M27" s="707"/>
      <c r="N27" s="707"/>
      <c r="O27" s="707"/>
      <c r="P27" s="1456"/>
      <c r="Q27" s="707"/>
      <c r="R27" s="707"/>
      <c r="S27" s="1786"/>
      <c r="T27" s="498">
        <v>190019</v>
      </c>
      <c r="U27" s="498">
        <v>190019</v>
      </c>
      <c r="V27" s="498">
        <v>190019</v>
      </c>
      <c r="W27" s="498">
        <v>190019</v>
      </c>
      <c r="X27" s="498">
        <v>190019</v>
      </c>
      <c r="Y27" s="498">
        <v>190019</v>
      </c>
      <c r="Z27" s="504">
        <v>27</v>
      </c>
      <c r="AA27" s="1160"/>
      <c r="AB27" s="504">
        <v>27</v>
      </c>
      <c r="AC27" s="1160">
        <f>128*6+195</f>
        <v>963</v>
      </c>
      <c r="AD27" s="1816"/>
      <c r="AE27" s="1816"/>
      <c r="AF27" s="504">
        <v>200043</v>
      </c>
      <c r="AG27" s="504">
        <v>200020</v>
      </c>
      <c r="AH27" s="1816"/>
      <c r="AI27" s="1812">
        <f>110000</f>
        <v>110000</v>
      </c>
      <c r="AJ27" s="1816"/>
      <c r="AK27" s="3449">
        <f>10000*20+128*5+40</f>
        <v>200680</v>
      </c>
      <c r="AL27" s="1160"/>
      <c r="AM27" s="498">
        <v>200020</v>
      </c>
      <c r="AN27" s="1160"/>
      <c r="AO27" s="1816"/>
      <c r="AP27" s="1816"/>
      <c r="AQ27" s="752">
        <v>200043</v>
      </c>
      <c r="AR27" s="498">
        <v>200020</v>
      </c>
      <c r="AS27" s="498">
        <v>200020</v>
      </c>
      <c r="AT27" s="498">
        <v>200020</v>
      </c>
      <c r="AU27" s="498">
        <v>200020</v>
      </c>
      <c r="AV27" s="498">
        <v>200020</v>
      </c>
      <c r="AW27" s="498">
        <v>200020</v>
      </c>
      <c r="AX27" s="498">
        <v>200020</v>
      </c>
      <c r="AY27" s="503"/>
      <c r="AZ27" s="503"/>
      <c r="BA27" s="503"/>
      <c r="BB27" s="535">
        <f>128*8+4</f>
        <v>1028</v>
      </c>
      <c r="BC27" s="714">
        <f>240000+128*9+21</f>
        <v>241173</v>
      </c>
      <c r="BD27" s="503"/>
      <c r="BE27" s="503">
        <f>128*9+67+0.004</f>
        <v>1219.0039999999999</v>
      </c>
      <c r="BF27" s="503"/>
      <c r="BG27" s="534"/>
      <c r="BH27" s="503"/>
      <c r="BI27" s="503"/>
      <c r="BJ27" s="535">
        <f>128*9+20</f>
        <v>1172</v>
      </c>
      <c r="BK27" s="503"/>
      <c r="BL27" s="503"/>
      <c r="BM27" s="503"/>
      <c r="BN27" s="503"/>
      <c r="BO27" s="517">
        <v>200020</v>
      </c>
      <c r="BP27" s="503"/>
      <c r="BQ27" s="503"/>
      <c r="BR27" s="707">
        <v>42</v>
      </c>
      <c r="BS27" s="503"/>
      <c r="BT27" s="503"/>
      <c r="BU27" s="498">
        <v>200020</v>
      </c>
      <c r="BV27" s="2937"/>
      <c r="BW27" s="2938"/>
      <c r="BX27" s="841">
        <v>200020</v>
      </c>
      <c r="BY27" s="505">
        <v>200020</v>
      </c>
      <c r="BZ27" s="1110"/>
      <c r="CA27" s="514"/>
      <c r="CB27" s="528">
        <f>350035+0.1504</f>
        <v>350035.15039999998</v>
      </c>
      <c r="CC27" s="771">
        <v>350035</v>
      </c>
      <c r="CD27" s="771">
        <v>350035</v>
      </c>
      <c r="CE27" s="1126">
        <v>350000</v>
      </c>
      <c r="CF27" s="1127">
        <v>350000</v>
      </c>
      <c r="CG27" s="1128">
        <v>350000</v>
      </c>
      <c r="CH27" s="1127">
        <v>350000</v>
      </c>
      <c r="CI27" s="1128">
        <v>350000</v>
      </c>
      <c r="CJ27" s="1127">
        <v>350000</v>
      </c>
      <c r="CK27" s="1129">
        <v>350000</v>
      </c>
      <c r="CL27" s="952">
        <f>350035+0.067</f>
        <v>350035.06699999998</v>
      </c>
      <c r="CM27" s="953">
        <f>420000+128*11+1</f>
        <v>421409</v>
      </c>
      <c r="CN27" s="1126">
        <f>350000+128*5+39</f>
        <v>350679</v>
      </c>
      <c r="CO27" s="514"/>
      <c r="CP27" s="514"/>
      <c r="CQ27" s="1130">
        <f>10000*20+128*9+78</f>
        <v>201230</v>
      </c>
      <c r="CR27" s="1114">
        <v>200020</v>
      </c>
      <c r="DD27" s="326">
        <v>10</v>
      </c>
      <c r="DE27">
        <f>AC41</f>
        <v>111418</v>
      </c>
      <c r="IU27" s="1616" t="s">
        <v>953</v>
      </c>
      <c r="IV27" s="1616">
        <v>50</v>
      </c>
    </row>
    <row r="28" spans="1:256" ht="9" customHeight="1" thickTop="1" thickBot="1">
      <c r="A28" s="1449">
        <v>200019</v>
      </c>
      <c r="B28" s="707"/>
      <c r="C28" s="1761"/>
      <c r="D28" s="1787"/>
      <c r="E28" s="707">
        <v>42</v>
      </c>
      <c r="F28" s="1787"/>
      <c r="G28" s="1761"/>
      <c r="H28" s="707"/>
      <c r="I28" s="707"/>
      <c r="J28" s="707"/>
      <c r="K28" s="1761"/>
      <c r="L28" s="1023">
        <v>190019</v>
      </c>
      <c r="M28" s="1761"/>
      <c r="N28" s="707"/>
      <c r="O28" s="1786"/>
      <c r="P28" s="504">
        <v>190019</v>
      </c>
      <c r="Q28" s="1761"/>
      <c r="R28" s="707"/>
      <c r="S28" s="1761"/>
      <c r="T28" s="504">
        <v>190019</v>
      </c>
      <c r="U28" s="1836">
        <v>27</v>
      </c>
      <c r="V28" s="504">
        <v>27</v>
      </c>
      <c r="W28" s="768">
        <v>53</v>
      </c>
      <c r="X28" s="768">
        <v>53</v>
      </c>
      <c r="Y28" s="504">
        <v>42</v>
      </c>
      <c r="Z28" s="1160"/>
      <c r="AA28" s="1160">
        <f>128*6+195</f>
        <v>963</v>
      </c>
      <c r="AB28" s="1851">
        <f>128*9+74</f>
        <v>1226</v>
      </c>
      <c r="AC28" s="1160"/>
      <c r="AD28" s="1816"/>
      <c r="AE28" s="1812">
        <f>110000</f>
        <v>110000</v>
      </c>
      <c r="AF28" s="504">
        <v>200043</v>
      </c>
      <c r="AG28" s="504">
        <v>200020</v>
      </c>
      <c r="AH28" s="1832">
        <f>128*4+34</f>
        <v>546</v>
      </c>
      <c r="AI28" s="1832">
        <f>128*4+34</f>
        <v>546</v>
      </c>
      <c r="AJ28" s="1832">
        <f>128*4+34</f>
        <v>546</v>
      </c>
      <c r="AK28" s="770">
        <f>200020+0.18</f>
        <v>200020.18</v>
      </c>
      <c r="AL28" s="1160"/>
      <c r="AM28" s="1827">
        <f>128*9+74</f>
        <v>1226</v>
      </c>
      <c r="AN28" s="1160"/>
      <c r="AO28" s="1816"/>
      <c r="AP28" s="1812">
        <f>110000</f>
        <v>110000</v>
      </c>
      <c r="AQ28" s="752">
        <v>200043</v>
      </c>
      <c r="AR28" s="498">
        <v>200020</v>
      </c>
      <c r="AS28" s="504"/>
      <c r="AT28" s="504"/>
      <c r="AU28" s="754">
        <f>0.0033</f>
        <v>3.3E-3</v>
      </c>
      <c r="AV28" s="504"/>
      <c r="AW28" s="504"/>
      <c r="AX28" s="2948">
        <f>10000*20+128*5+37</f>
        <v>200677</v>
      </c>
      <c r="AY28" s="1131"/>
      <c r="AZ28" s="514"/>
      <c r="BA28" s="514"/>
      <c r="BB28" s="514">
        <v>0.06</v>
      </c>
      <c r="BC28" s="521">
        <v>240000</v>
      </c>
      <c r="BD28" s="514"/>
      <c r="BE28" s="514"/>
      <c r="BF28" s="514"/>
      <c r="BG28" s="514"/>
      <c r="BH28" s="514"/>
      <c r="BI28" s="514"/>
      <c r="BJ28" s="514"/>
      <c r="BK28" s="514"/>
      <c r="BL28" s="514"/>
      <c r="BM28" s="514"/>
      <c r="BN28" s="514"/>
      <c r="BO28" s="517">
        <f>10000*20+128*5+37</f>
        <v>200677</v>
      </c>
      <c r="BP28" s="514"/>
      <c r="BQ28" s="514"/>
      <c r="BR28" s="707">
        <f>128*4+39</f>
        <v>551</v>
      </c>
      <c r="BS28" s="514"/>
      <c r="BT28" s="514">
        <f>128*14+6</f>
        <v>1798</v>
      </c>
      <c r="BU28" s="1132">
        <f>10000*20+128*9+68+0.215</f>
        <v>201220.215</v>
      </c>
      <c r="BV28" s="2937"/>
      <c r="BW28" s="2938"/>
      <c r="BX28" s="2947">
        <f>10000*20+128*5+39</f>
        <v>200679</v>
      </c>
      <c r="BY28" s="1133">
        <f>10000*20+128*5+37</f>
        <v>200677</v>
      </c>
      <c r="BZ28" s="1110"/>
      <c r="CA28" s="514"/>
      <c r="CB28" s="1126">
        <f>350000+128*5+39</f>
        <v>350679</v>
      </c>
      <c r="CC28" s="1134">
        <f>420000+128*11+2</f>
        <v>421410</v>
      </c>
      <c r="CD28" s="1033">
        <f>350035+0.067</f>
        <v>350035.06699999998</v>
      </c>
      <c r="CE28" s="1126">
        <v>350000</v>
      </c>
      <c r="CF28" s="1127">
        <v>350000</v>
      </c>
      <c r="CG28" s="1128">
        <v>350000</v>
      </c>
      <c r="CH28" s="1127">
        <v>350000</v>
      </c>
      <c r="CI28" s="1128">
        <v>350000</v>
      </c>
      <c r="CJ28" s="1127">
        <v>350000</v>
      </c>
      <c r="CK28" s="1129">
        <v>350000</v>
      </c>
      <c r="CL28" s="771">
        <v>350035</v>
      </c>
      <c r="CM28" s="771">
        <v>350035</v>
      </c>
      <c r="CN28" s="1034">
        <f>350035+0.1504</f>
        <v>350035.15039999998</v>
      </c>
      <c r="CO28" s="514"/>
      <c r="CP28" s="514"/>
      <c r="CQ28" s="1125">
        <f>10000*20+128*9+78</f>
        <v>201230</v>
      </c>
      <c r="CR28" s="1114">
        <v>200020</v>
      </c>
      <c r="DD28" s="326">
        <v>11</v>
      </c>
      <c r="DE28">
        <f>AC45</f>
        <v>111419</v>
      </c>
      <c r="IU28" s="1616" t="s">
        <v>963</v>
      </c>
      <c r="IV28" s="1616" t="s">
        <v>1056</v>
      </c>
    </row>
    <row r="29" spans="1:256" ht="9" customHeight="1" thickTop="1" thickBot="1">
      <c r="A29" s="1449">
        <v>200019</v>
      </c>
      <c r="B29" s="707"/>
      <c r="C29" s="1761"/>
      <c r="D29" s="1787"/>
      <c r="E29" s="1787"/>
      <c r="F29" s="1738">
        <f>128*9+6</f>
        <v>1158</v>
      </c>
      <c r="G29" s="1761"/>
      <c r="H29" s="707">
        <v>42</v>
      </c>
      <c r="I29" s="504">
        <v>190019</v>
      </c>
      <c r="J29" s="707"/>
      <c r="K29" s="1761"/>
      <c r="L29" s="504">
        <v>190019</v>
      </c>
      <c r="M29" s="1761"/>
      <c r="N29" s="707"/>
      <c r="O29" s="1786"/>
      <c r="P29" s="504">
        <v>190019</v>
      </c>
      <c r="Q29" s="498">
        <v>190019</v>
      </c>
      <c r="R29" s="504">
        <f>128*4+39+0.384+0.002</f>
        <v>551.38599999999997</v>
      </c>
      <c r="S29" s="498">
        <v>190019</v>
      </c>
      <c r="T29" s="504">
        <v>27</v>
      </c>
      <c r="U29" s="1872">
        <f>128+27</f>
        <v>155</v>
      </c>
      <c r="V29" s="1872">
        <f>128+27</f>
        <v>155</v>
      </c>
      <c r="W29" s="1160"/>
      <c r="X29" s="1160"/>
      <c r="Y29" s="1160">
        <f>128*6+195</f>
        <v>963</v>
      </c>
      <c r="Z29" s="1160"/>
      <c r="AA29" s="1160">
        <f>0.188</f>
        <v>0.188</v>
      </c>
      <c r="AB29" s="1852">
        <f>128*9+74</f>
        <v>1226</v>
      </c>
      <c r="AC29" s="1160"/>
      <c r="AD29" s="3052">
        <f>128*17+2</f>
        <v>2178</v>
      </c>
      <c r="AE29" s="1816"/>
      <c r="AF29" s="504">
        <v>200043</v>
      </c>
      <c r="AG29" s="504">
        <v>200020</v>
      </c>
      <c r="AH29" s="1160"/>
      <c r="AI29" s="1160"/>
      <c r="AJ29" s="1160">
        <f>128*6+195</f>
        <v>963</v>
      </c>
      <c r="AK29" s="1160"/>
      <c r="AL29" s="1160"/>
      <c r="AM29" s="1828">
        <f>128*9+74</f>
        <v>1226</v>
      </c>
      <c r="AN29" s="1160"/>
      <c r="AO29" s="1816"/>
      <c r="AP29" s="1816"/>
      <c r="AQ29" s="752">
        <v>200043</v>
      </c>
      <c r="AR29" s="498">
        <v>200020</v>
      </c>
      <c r="AS29" s="504"/>
      <c r="AT29" s="527">
        <f>128*9+21</f>
        <v>1173</v>
      </c>
      <c r="AU29" s="752">
        <f>128*9+52+0.5+0.211</f>
        <v>1204.711</v>
      </c>
      <c r="AV29" s="498">
        <v>200020</v>
      </c>
      <c r="AW29" s="504"/>
      <c r="AX29" s="498">
        <v>200020</v>
      </c>
      <c r="AY29" s="503"/>
      <c r="AZ29" s="503"/>
      <c r="BA29" s="503"/>
      <c r="BB29" s="535">
        <f>128*8+3</f>
        <v>1027</v>
      </c>
      <c r="BC29" s="502">
        <f>240000+128*9+24</f>
        <v>241176</v>
      </c>
      <c r="BD29" s="503"/>
      <c r="BE29" s="503"/>
      <c r="BF29" s="514"/>
      <c r="BG29" s="503"/>
      <c r="BH29" s="514"/>
      <c r="BI29" s="503"/>
      <c r="BJ29" s="503"/>
      <c r="BK29" s="503"/>
      <c r="BL29" s="503"/>
      <c r="BM29" s="514"/>
      <c r="BN29" s="503"/>
      <c r="BO29" s="517">
        <v>200020</v>
      </c>
      <c r="BP29" s="503"/>
      <c r="BQ29" s="514"/>
      <c r="BR29" s="707">
        <f>128*4+39+0.384+0.002</f>
        <v>551.38599999999997</v>
      </c>
      <c r="BS29" s="514"/>
      <c r="BT29" s="503"/>
      <c r="BU29" s="498">
        <v>200020</v>
      </c>
      <c r="BV29" s="2937"/>
      <c r="BW29" s="2938"/>
      <c r="BX29" s="841">
        <v>200020</v>
      </c>
      <c r="BY29" s="505">
        <v>200020</v>
      </c>
      <c r="BZ29" s="1110"/>
      <c r="CA29" s="514"/>
      <c r="CB29" s="771">
        <v>420042</v>
      </c>
      <c r="CC29" s="771">
        <v>350035</v>
      </c>
      <c r="CD29" s="791">
        <v>420042</v>
      </c>
      <c r="CE29" s="514"/>
      <c r="CF29" s="1124"/>
      <c r="CG29" s="1124"/>
      <c r="CH29" s="1124"/>
      <c r="CI29" s="1124"/>
      <c r="CJ29" s="1135"/>
      <c r="CK29" s="514"/>
      <c r="CL29" s="771">
        <v>420042</v>
      </c>
      <c r="CM29" s="771">
        <v>350035</v>
      </c>
      <c r="CN29" s="791">
        <v>420042</v>
      </c>
      <c r="CO29" s="514"/>
      <c r="CP29" s="514"/>
      <c r="CQ29" s="1130">
        <f>10000*20+128*9+78+0.004</f>
        <v>201230.00399999999</v>
      </c>
      <c r="CR29" s="1114">
        <v>200020</v>
      </c>
      <c r="DD29" s="326">
        <v>12</v>
      </c>
      <c r="DE29">
        <f>AC49</f>
        <v>111420</v>
      </c>
      <c r="IU29" s="1616" t="s">
        <v>983</v>
      </c>
      <c r="IV29" s="1616" t="s">
        <v>1055</v>
      </c>
    </row>
    <row r="30" spans="1:256" ht="9" customHeight="1" thickTop="1" thickBot="1">
      <c r="A30" s="1449">
        <v>200019</v>
      </c>
      <c r="B30" s="1884">
        <f>128*17+64+3</f>
        <v>2243</v>
      </c>
      <c r="C30" s="1761"/>
      <c r="D30" s="1787"/>
      <c r="E30" s="1787"/>
      <c r="F30" s="1777"/>
      <c r="G30" s="1761"/>
      <c r="H30" s="504">
        <v>190019</v>
      </c>
      <c r="I30" s="504">
        <v>190019</v>
      </c>
      <c r="J30" s="1456"/>
      <c r="K30" s="1761"/>
      <c r="L30" s="504">
        <v>190019</v>
      </c>
      <c r="M30" s="1761"/>
      <c r="N30" s="707"/>
      <c r="O30" s="707"/>
      <c r="P30" s="1884">
        <f>128*17+64+3</f>
        <v>2243</v>
      </c>
      <c r="Q30" s="707"/>
      <c r="R30" s="707"/>
      <c r="S30" s="1456"/>
      <c r="T30" s="504">
        <v>190019</v>
      </c>
      <c r="U30" s="1871">
        <f>128*14+116</f>
        <v>1908</v>
      </c>
      <c r="V30" s="1870">
        <f>270027</f>
        <v>270027</v>
      </c>
      <c r="W30" s="1915"/>
      <c r="X30" s="1160"/>
      <c r="Y30" s="1160"/>
      <c r="Z30" s="1160"/>
      <c r="AA30" s="1160">
        <f>128*6+195</f>
        <v>963</v>
      </c>
      <c r="AB30" s="504">
        <v>27</v>
      </c>
      <c r="AC30" s="1160"/>
      <c r="AD30" s="1160"/>
      <c r="AE30" s="1160">
        <f>128*6+195</f>
        <v>963</v>
      </c>
      <c r="AF30" s="504">
        <v>27</v>
      </c>
      <c r="AG30" s="1837">
        <f>200020+0.209</f>
        <v>200020.209</v>
      </c>
      <c r="AH30" s="1160"/>
      <c r="AI30" s="1885">
        <f>128*17+64+4</f>
        <v>2244</v>
      </c>
      <c r="AJ30" s="1160"/>
      <c r="AK30" s="1160"/>
      <c r="AL30" s="1160">
        <f>128*6+195</f>
        <v>963</v>
      </c>
      <c r="AM30" s="498">
        <v>200020</v>
      </c>
      <c r="AN30" s="1160"/>
      <c r="AO30" s="1160"/>
      <c r="AP30" s="1160"/>
      <c r="AQ30" s="504">
        <v>200020</v>
      </c>
      <c r="AR30" s="504">
        <v>200020</v>
      </c>
      <c r="AS30" s="504"/>
      <c r="AT30" s="498">
        <v>200020</v>
      </c>
      <c r="AU30" s="1136">
        <f>200000+128*11+4</f>
        <v>201412</v>
      </c>
      <c r="AV30" s="498">
        <v>200020</v>
      </c>
      <c r="AW30" s="504"/>
      <c r="AX30" s="498">
        <v>200020</v>
      </c>
      <c r="AY30" s="498">
        <v>200020</v>
      </c>
      <c r="AZ30" s="498">
        <v>200020</v>
      </c>
      <c r="BA30" s="498">
        <v>420042</v>
      </c>
      <c r="BB30" s="498">
        <v>420042</v>
      </c>
      <c r="BC30" s="771">
        <f t="shared" ref="BC30:BC37" si="9">10000*24+24</f>
        <v>240024</v>
      </c>
      <c r="BD30" s="2262">
        <f>10000*24+24</f>
        <v>240024</v>
      </c>
      <c r="BE30" s="771">
        <f>10000*24+24</f>
        <v>240024</v>
      </c>
      <c r="BF30" s="520">
        <f>10000*24+128*5+35</f>
        <v>240675</v>
      </c>
      <c r="BG30" s="704">
        <f>10000*24+24+0.135</f>
        <v>240024.13500000001</v>
      </c>
      <c r="BH30" s="520">
        <f>10000*24+128*5+35</f>
        <v>240675</v>
      </c>
      <c r="BI30" s="771">
        <f>10000*24+24</f>
        <v>240024</v>
      </c>
      <c r="BJ30" s="771">
        <f>10000*24+24</f>
        <v>240024</v>
      </c>
      <c r="BK30" s="771">
        <f>10000*24+24</f>
        <v>240024</v>
      </c>
      <c r="BL30" s="771">
        <f>10000*24+24</f>
        <v>240024</v>
      </c>
      <c r="BM30" s="520">
        <f>10000*24+128*5+39</f>
        <v>240679</v>
      </c>
      <c r="BN30" s="498">
        <f>10000*24+24</f>
        <v>240024</v>
      </c>
      <c r="BO30" s="498">
        <v>200020</v>
      </c>
      <c r="BP30" s="503"/>
      <c r="BQ30" s="514"/>
      <c r="BR30" s="707">
        <f>128*4+39+0.384+0.002</f>
        <v>551.38599999999997</v>
      </c>
      <c r="BS30" s="514"/>
      <c r="BT30" s="503"/>
      <c r="BU30" s="498">
        <v>200020</v>
      </c>
      <c r="BV30" s="2937"/>
      <c r="BW30" s="2938"/>
      <c r="BX30" s="841">
        <v>200020</v>
      </c>
      <c r="BY30" s="505">
        <v>200020</v>
      </c>
      <c r="BZ30" s="1110"/>
      <c r="CA30" s="514"/>
      <c r="CB30" s="514"/>
      <c r="CC30" s="1015">
        <f>128*8+3</f>
        <v>1027</v>
      </c>
      <c r="CD30" s="514"/>
      <c r="CE30" s="514"/>
      <c r="CF30" s="1120"/>
      <c r="CG30" s="1120"/>
      <c r="CH30" s="1120"/>
      <c r="CI30" s="1120"/>
      <c r="CJ30" s="1121"/>
      <c r="CK30" s="514"/>
      <c r="CL30" s="514"/>
      <c r="CM30" s="514"/>
      <c r="CN30" s="514"/>
      <c r="CO30" s="514"/>
      <c r="CP30" s="514"/>
      <c r="CQ30" s="1125">
        <f>10000*20+128*9+78+0.5+0.256+0.001</f>
        <v>201230.75699999998</v>
      </c>
      <c r="CR30" s="1114">
        <v>200020</v>
      </c>
      <c r="DD30" s="326">
        <v>13</v>
      </c>
      <c r="DE30">
        <f>AJ37</f>
        <v>1421</v>
      </c>
      <c r="IU30" s="1616" t="s">
        <v>524</v>
      </c>
      <c r="IV30" s="1616">
        <v>2</v>
      </c>
    </row>
    <row r="31" spans="1:256" ht="9" customHeight="1" thickTop="1" thickBot="1">
      <c r="A31" s="1449">
        <v>200019</v>
      </c>
      <c r="B31" s="707"/>
      <c r="C31" s="1761"/>
      <c r="D31" s="504">
        <f>128*4+39+0.384+0.002</f>
        <v>551.38599999999997</v>
      </c>
      <c r="E31" s="1787"/>
      <c r="F31" s="1777"/>
      <c r="G31" s="1761"/>
      <c r="H31" s="707"/>
      <c r="I31" s="504">
        <v>190019</v>
      </c>
      <c r="J31" s="504">
        <v>190019</v>
      </c>
      <c r="K31" s="504">
        <v>190019</v>
      </c>
      <c r="L31" s="504">
        <v>190019</v>
      </c>
      <c r="M31" s="504">
        <v>190019</v>
      </c>
      <c r="N31" s="504">
        <v>190019</v>
      </c>
      <c r="O31" s="504">
        <v>190019</v>
      </c>
      <c r="P31" s="504">
        <v>190019</v>
      </c>
      <c r="Q31" s="504">
        <v>190019</v>
      </c>
      <c r="R31" s="707"/>
      <c r="S31" s="1761"/>
      <c r="T31" s="504">
        <v>190019</v>
      </c>
      <c r="U31" s="1871">
        <f>128*10+34</f>
        <v>1314</v>
      </c>
      <c r="V31" s="504">
        <v>27</v>
      </c>
      <c r="W31" s="1916">
        <f>128*9+74</f>
        <v>1226</v>
      </c>
      <c r="X31" s="1160">
        <f>128*6+195</f>
        <v>963</v>
      </c>
      <c r="Y31" s="1885">
        <f>128*17+64+4</f>
        <v>2244</v>
      </c>
      <c r="Z31" s="1160">
        <v>0.19700000000000001</v>
      </c>
      <c r="AA31" s="1158">
        <f>128*9+74</f>
        <v>1226</v>
      </c>
      <c r="AB31" s="504">
        <v>27</v>
      </c>
      <c r="AC31" s="1160">
        <f>128*6+195</f>
        <v>963</v>
      </c>
      <c r="AD31" s="1816"/>
      <c r="AE31" s="1816"/>
      <c r="AF31" s="504">
        <v>200043</v>
      </c>
      <c r="AG31" s="504">
        <v>200020</v>
      </c>
      <c r="AH31" s="1157">
        <f>128*9+74</f>
        <v>1226</v>
      </c>
      <c r="AI31" s="1160">
        <f>128*6+195</f>
        <v>963</v>
      </c>
      <c r="AJ31" s="1160"/>
      <c r="AK31" s="1160"/>
      <c r="AL31" s="1158">
        <f>128*9+74</f>
        <v>1226</v>
      </c>
      <c r="AM31" s="498">
        <v>200020</v>
      </c>
      <c r="AN31" s="1160"/>
      <c r="AO31" s="1815"/>
      <c r="AP31" s="1815"/>
      <c r="AQ31" s="1163">
        <v>200043</v>
      </c>
      <c r="AR31" s="504">
        <v>200020</v>
      </c>
      <c r="AS31" s="504"/>
      <c r="AT31" s="498">
        <v>200020</v>
      </c>
      <c r="AU31" s="1137">
        <f>10000*20+20+0.151</f>
        <v>200020.15100000001</v>
      </c>
      <c r="AV31" s="498">
        <v>200020</v>
      </c>
      <c r="AW31" s="504"/>
      <c r="AX31" s="528">
        <f>10000*20+128*9+77+0.5+0.256+0.02</f>
        <v>201229.77599999998</v>
      </c>
      <c r="AY31" s="1138">
        <f>10000*20+128*9+80</f>
        <v>201232</v>
      </c>
      <c r="AZ31" s="707">
        <f>390000+128*5+35</f>
        <v>390675</v>
      </c>
      <c r="BA31" s="1134">
        <f>420000+128*11+6</f>
        <v>421414</v>
      </c>
      <c r="BB31" s="528">
        <f>10000*20+42+0.067</f>
        <v>200042.06700000001</v>
      </c>
      <c r="BC31" s="771">
        <f t="shared" si="9"/>
        <v>240024</v>
      </c>
      <c r="BD31" s="707"/>
      <c r="BE31" s="707"/>
      <c r="BF31" s="707"/>
      <c r="BG31" s="707"/>
      <c r="BH31" s="707"/>
      <c r="BI31" s="707"/>
      <c r="BJ31" s="707"/>
      <c r="BK31" s="498">
        <f>10000*24+24</f>
        <v>240024</v>
      </c>
      <c r="BL31" s="1139">
        <v>420000</v>
      </c>
      <c r="BM31" s="814"/>
      <c r="BN31" s="816">
        <f>128*9+24+0.009</f>
        <v>1176.009</v>
      </c>
      <c r="BO31" s="498">
        <v>200020</v>
      </c>
      <c r="BP31" s="503"/>
      <c r="BQ31" s="514"/>
      <c r="BR31" s="514"/>
      <c r="BS31" s="514"/>
      <c r="BT31" s="503"/>
      <c r="BU31" s="498">
        <v>200020</v>
      </c>
      <c r="BV31" s="2937"/>
      <c r="BW31" s="2938"/>
      <c r="BX31" s="841">
        <v>200020</v>
      </c>
      <c r="BY31" s="505">
        <v>200020</v>
      </c>
      <c r="BZ31" s="1110"/>
      <c r="CA31" s="514"/>
      <c r="CB31" s="1140">
        <v>490000</v>
      </c>
      <c r="CC31" s="1015">
        <f>128*8+3</f>
        <v>1027</v>
      </c>
      <c r="CD31" s="514"/>
      <c r="CE31" s="514"/>
      <c r="CF31" s="1120"/>
      <c r="CG31" s="1120"/>
      <c r="CH31" s="1120"/>
      <c r="CI31" s="1120"/>
      <c r="CJ31" s="1121"/>
      <c r="CK31" s="514"/>
      <c r="CL31" s="514"/>
      <c r="CM31" s="514"/>
      <c r="CN31" s="514"/>
      <c r="CO31" s="514"/>
      <c r="CP31" s="514"/>
      <c r="CQ31" s="1141">
        <f>10000*20+128*9+78</f>
        <v>201230</v>
      </c>
      <c r="CR31" s="1114">
        <v>200020</v>
      </c>
      <c r="IU31" s="1616" t="s">
        <v>523</v>
      </c>
      <c r="IV31" s="1616">
        <v>3</v>
      </c>
    </row>
    <row r="32" spans="1:256" ht="9" customHeight="1" thickTop="1" thickBot="1">
      <c r="A32" s="1449">
        <v>200019</v>
      </c>
      <c r="B32" s="707"/>
      <c r="C32" s="707"/>
      <c r="D32" s="1738">
        <f>128*9+6</f>
        <v>1158</v>
      </c>
      <c r="E32" s="1787"/>
      <c r="F32" s="1777"/>
      <c r="G32" s="1761"/>
      <c r="H32" s="707"/>
      <c r="I32" s="504">
        <f>128*4+39+0.384+0.002</f>
        <v>551.38599999999997</v>
      </c>
      <c r="J32" s="1884">
        <f>128*17+64+3</f>
        <v>2243</v>
      </c>
      <c r="K32" s="707"/>
      <c r="L32" s="707"/>
      <c r="M32" s="707"/>
      <c r="N32" s="707"/>
      <c r="O32" s="707"/>
      <c r="P32" s="707"/>
      <c r="Q32" s="707"/>
      <c r="R32" s="707">
        <v>0.2114</v>
      </c>
      <c r="S32" s="1761"/>
      <c r="T32" s="504">
        <v>190019</v>
      </c>
      <c r="U32" s="1836">
        <v>27</v>
      </c>
      <c r="V32" s="504">
        <v>270027</v>
      </c>
      <c r="W32" s="1802">
        <f>270027+0.126</f>
        <v>270027.12599999999</v>
      </c>
      <c r="X32" s="1850">
        <f>10000*27+128*9+72+0.207</f>
        <v>271224.20699999999</v>
      </c>
      <c r="Y32" s="1850">
        <f>10000*27+128*9+72+0.207</f>
        <v>271224.20699999999</v>
      </c>
      <c r="Z32" s="1850">
        <f>10000*27+128*9+72+0.207</f>
        <v>271224.20699999999</v>
      </c>
      <c r="AA32" s="1802">
        <f>270027+0.126</f>
        <v>270027.12599999999</v>
      </c>
      <c r="AB32" s="504">
        <v>270027</v>
      </c>
      <c r="AC32" s="1160"/>
      <c r="AD32" s="1816"/>
      <c r="AE32" s="1812">
        <f>110000</f>
        <v>110000</v>
      </c>
      <c r="AF32" s="504">
        <v>200043</v>
      </c>
      <c r="AG32" s="504">
        <v>200020</v>
      </c>
      <c r="AH32" s="1802">
        <f>200020+0.136</f>
        <v>200020.136</v>
      </c>
      <c r="AI32" s="1834">
        <f>10000*50+128*9+72+0.207</f>
        <v>501224.20699999999</v>
      </c>
      <c r="AJ32" s="1834">
        <f>10000*20+128*9+72+0.207</f>
        <v>201224.20699999999</v>
      </c>
      <c r="AK32" s="1834">
        <f>10000*50+128*9+72+0.207</f>
        <v>501224.20699999999</v>
      </c>
      <c r="AL32" s="1802">
        <f>200020+0.136</f>
        <v>200020.136</v>
      </c>
      <c r="AM32" s="505">
        <v>200020</v>
      </c>
      <c r="AN32" s="1160"/>
      <c r="AO32" s="1815"/>
      <c r="AP32" s="1166">
        <f>110000+128*11+11</f>
        <v>111419</v>
      </c>
      <c r="AQ32" s="1163">
        <v>200043</v>
      </c>
      <c r="AR32" s="504">
        <v>200020</v>
      </c>
      <c r="AS32" s="504"/>
      <c r="AT32" s="498">
        <v>200020</v>
      </c>
      <c r="AU32" s="1137">
        <v>200020</v>
      </c>
      <c r="AV32" s="498">
        <v>200020</v>
      </c>
      <c r="AW32" s="504"/>
      <c r="AX32" s="498">
        <v>200020</v>
      </c>
      <c r="AY32" s="498">
        <v>200020</v>
      </c>
      <c r="AZ32" s="498">
        <v>200020</v>
      </c>
      <c r="BA32" s="498">
        <v>200042</v>
      </c>
      <c r="BB32" s="498">
        <v>200042</v>
      </c>
      <c r="BC32" s="771">
        <f t="shared" si="9"/>
        <v>240024</v>
      </c>
      <c r="BD32" s="510"/>
      <c r="BE32" s="707"/>
      <c r="BF32" s="707"/>
      <c r="BG32" s="771">
        <f>10000*24+24</f>
        <v>240024</v>
      </c>
      <c r="BH32" s="1142"/>
      <c r="BI32" s="771">
        <f>10000*24+24</f>
        <v>240024</v>
      </c>
      <c r="BJ32" s="707"/>
      <c r="BK32" s="771">
        <f>10000*24+24</f>
        <v>240024</v>
      </c>
      <c r="BL32" s="1143">
        <f>10000*24+128*5+35</f>
        <v>240675</v>
      </c>
      <c r="BM32" s="771">
        <v>420042</v>
      </c>
      <c r="BN32" s="816">
        <v>42</v>
      </c>
      <c r="BO32" s="498">
        <v>200020</v>
      </c>
      <c r="BP32" s="514"/>
      <c r="BQ32" s="514"/>
      <c r="BR32" s="503">
        <v>2E-3</v>
      </c>
      <c r="BS32" s="503"/>
      <c r="BT32" s="503"/>
      <c r="BU32" s="498">
        <v>200020</v>
      </c>
      <c r="BV32" s="2937"/>
      <c r="BW32" s="2938"/>
      <c r="BX32" s="841">
        <v>200020</v>
      </c>
      <c r="BY32" s="505">
        <v>200020</v>
      </c>
      <c r="BZ32" s="1110"/>
      <c r="CA32" s="1110"/>
      <c r="CB32" s="1110"/>
      <c r="CC32" s="1110"/>
      <c r="CD32" s="1110"/>
      <c r="CE32" s="1110"/>
      <c r="CF32" s="1144"/>
      <c r="CG32" s="1145"/>
      <c r="CH32" s="1146">
        <f>10000*20+128*9+79</f>
        <v>201231</v>
      </c>
      <c r="CI32" s="1147">
        <f>10000*20+128*9+78</f>
        <v>201230</v>
      </c>
      <c r="CJ32" s="1147">
        <f>10000*20+128*9+78</f>
        <v>201230</v>
      </c>
      <c r="CK32" s="1148">
        <f>10000*20+128*9+78</f>
        <v>201230</v>
      </c>
      <c r="CL32" s="1149">
        <f>10000*20+128*9+78</f>
        <v>201230</v>
      </c>
      <c r="CM32" s="1148">
        <f>10000*20+128*9+78</f>
        <v>201230</v>
      </c>
      <c r="CN32" s="1149">
        <f>10000*20+128*9+78+0.004</f>
        <v>201230.00399999999</v>
      </c>
      <c r="CO32" s="1148">
        <f>10000*20+128*9+78</f>
        <v>201230</v>
      </c>
      <c r="CP32" s="839">
        <f>10000*20+128*9+78</f>
        <v>201230</v>
      </c>
      <c r="CQ32" s="1141">
        <f>10000*20+128*9+79</f>
        <v>201231</v>
      </c>
      <c r="CR32" s="1114">
        <v>200020</v>
      </c>
      <c r="IU32" s="1616" t="s">
        <v>525</v>
      </c>
      <c r="IV32" s="1616">
        <v>4</v>
      </c>
    </row>
    <row r="33" spans="1:256" ht="9" customHeight="1" thickTop="1" thickBot="1">
      <c r="A33" s="1449">
        <v>200019</v>
      </c>
      <c r="B33" s="707"/>
      <c r="C33" s="707"/>
      <c r="D33" s="1777"/>
      <c r="E33" s="1787"/>
      <c r="F33" s="1777"/>
      <c r="G33" s="1761"/>
      <c r="H33" s="707"/>
      <c r="I33" s="504">
        <v>190019</v>
      </c>
      <c r="J33" s="707"/>
      <c r="K33" s="1456"/>
      <c r="L33" s="1456"/>
      <c r="M33" s="1456"/>
      <c r="N33" s="1456"/>
      <c r="O33" s="1456"/>
      <c r="P33" s="1456"/>
      <c r="Q33" s="1456"/>
      <c r="R33" s="1456"/>
      <c r="S33" s="1761"/>
      <c r="T33" s="504">
        <v>190019</v>
      </c>
      <c r="U33" s="1836">
        <v>27</v>
      </c>
      <c r="V33" s="772"/>
      <c r="W33" s="772"/>
      <c r="X33" s="772"/>
      <c r="Y33" s="772"/>
      <c r="Z33" s="772"/>
      <c r="AB33" s="1864">
        <f>270000+128*4+34</f>
        <v>270546</v>
      </c>
      <c r="AC33" s="1160"/>
      <c r="AD33" s="1816"/>
      <c r="AE33" s="1816"/>
      <c r="AF33" s="504">
        <v>27</v>
      </c>
      <c r="AG33" s="1840"/>
      <c r="AH33" s="772"/>
      <c r="AI33" s="772"/>
      <c r="AJ33" s="772"/>
      <c r="AK33" s="772">
        <v>0.13900000000000001</v>
      </c>
      <c r="AL33" s="1080"/>
      <c r="AM33" s="1797">
        <f>500000+128*4+34</f>
        <v>500546</v>
      </c>
      <c r="AN33" s="1160"/>
      <c r="AO33" s="1815"/>
      <c r="AP33" s="1815"/>
      <c r="AQ33" s="1163">
        <v>200043</v>
      </c>
      <c r="AR33" s="504">
        <v>200020</v>
      </c>
      <c r="AS33" s="504"/>
      <c r="AT33" s="1039"/>
      <c r="AU33" s="504"/>
      <c r="AV33" s="1039"/>
      <c r="AW33" s="504"/>
      <c r="AX33" s="498">
        <v>200020</v>
      </c>
      <c r="AY33" s="498">
        <v>200043</v>
      </c>
      <c r="AZ33" s="498">
        <v>200043</v>
      </c>
      <c r="BA33" s="498">
        <v>200043</v>
      </c>
      <c r="BB33" s="498">
        <v>200043</v>
      </c>
      <c r="BC33" s="771">
        <f t="shared" si="9"/>
        <v>240024</v>
      </c>
      <c r="BD33" s="771">
        <f>10000*24+24</f>
        <v>240024</v>
      </c>
      <c r="BE33" s="771">
        <f>10000*24+24</f>
        <v>240024</v>
      </c>
      <c r="BF33" s="707"/>
      <c r="BG33" s="771">
        <f>10000*24+24</f>
        <v>240024</v>
      </c>
      <c r="BH33" s="771">
        <f>10000*24+24</f>
        <v>240024</v>
      </c>
      <c r="BI33" s="771">
        <f>10000*24+24</f>
        <v>240024</v>
      </c>
      <c r="BJ33" s="707"/>
      <c r="BK33" s="771">
        <f>10000*24+24</f>
        <v>240024</v>
      </c>
      <c r="BL33" s="707">
        <f>128*3+32</f>
        <v>416</v>
      </c>
      <c r="BM33" s="771">
        <f>10000*24+24</f>
        <v>240024</v>
      </c>
      <c r="BN33" s="771">
        <f>10000*24+24</f>
        <v>240024</v>
      </c>
      <c r="BO33" s="771">
        <f>10000*24+24</f>
        <v>240024</v>
      </c>
      <c r="BP33" s="771">
        <f>10000*24+128*5+37</f>
        <v>240677</v>
      </c>
      <c r="BQ33" s="771">
        <f>10000*24+24</f>
        <v>240024</v>
      </c>
      <c r="BR33" s="771">
        <f>10000*24+24</f>
        <v>240024</v>
      </c>
      <c r="BS33" s="771">
        <f>10000*24+24</f>
        <v>240024</v>
      </c>
      <c r="BT33" s="771">
        <f>10000*24+24</f>
        <v>240024</v>
      </c>
      <c r="BU33" s="498">
        <v>200020</v>
      </c>
      <c r="BV33" s="2937"/>
      <c r="BW33" s="2938"/>
      <c r="BX33" s="841">
        <v>200020</v>
      </c>
      <c r="BY33" s="505">
        <v>200020</v>
      </c>
      <c r="BZ33" s="505">
        <v>200020</v>
      </c>
      <c r="CA33" s="505">
        <v>200020</v>
      </c>
      <c r="CB33" s="505">
        <v>200020</v>
      </c>
      <c r="CC33" s="505">
        <v>200020</v>
      </c>
      <c r="CD33" s="505">
        <v>200020</v>
      </c>
      <c r="CE33" s="505">
        <v>200020</v>
      </c>
      <c r="CF33" s="505">
        <v>200020</v>
      </c>
      <c r="CG33" s="523">
        <v>200020</v>
      </c>
      <c r="CH33" s="1150">
        <f>10000*20+128*9+77</f>
        <v>201229</v>
      </c>
      <c r="CI33" s="1114">
        <v>200020</v>
      </c>
      <c r="CJ33" s="1114">
        <v>200020</v>
      </c>
      <c r="CK33" s="1114">
        <v>200020</v>
      </c>
      <c r="CL33" s="1114">
        <v>200020</v>
      </c>
      <c r="CM33" s="1114">
        <v>200020</v>
      </c>
      <c r="CN33" s="1114">
        <v>200020</v>
      </c>
      <c r="CO33" s="1151">
        <f>10000*20+128*5+41</f>
        <v>200681</v>
      </c>
      <c r="CP33" s="1114">
        <v>200020</v>
      </c>
      <c r="CQ33" s="1152">
        <v>200020</v>
      </c>
      <c r="CR33" s="1114">
        <v>200020</v>
      </c>
      <c r="IU33" s="1616" t="s">
        <v>550</v>
      </c>
      <c r="IV33" s="1616">
        <v>4</v>
      </c>
    </row>
    <row r="34" spans="1:256" ht="9" customHeight="1" thickTop="1" thickBot="1">
      <c r="A34" s="1449">
        <v>200019</v>
      </c>
      <c r="B34" s="707"/>
      <c r="C34" s="1761"/>
      <c r="D34" s="1777"/>
      <c r="E34" s="1787"/>
      <c r="F34" s="1777"/>
      <c r="G34" s="1761"/>
      <c r="H34" s="1884">
        <f>128*17+64+4</f>
        <v>2244</v>
      </c>
      <c r="I34" s="504">
        <v>190019</v>
      </c>
      <c r="J34" s="707"/>
      <c r="K34" s="1456"/>
      <c r="L34" s="1023">
        <v>190019</v>
      </c>
      <c r="M34" s="1023">
        <v>190019</v>
      </c>
      <c r="N34" s="1023">
        <v>190019</v>
      </c>
      <c r="O34" s="1023">
        <v>190019</v>
      </c>
      <c r="P34" s="1023">
        <v>270019</v>
      </c>
      <c r="Q34" s="1023">
        <v>190019</v>
      </c>
      <c r="R34" s="1023">
        <f>128*4+39+0.384+0.002</f>
        <v>551.38599999999997</v>
      </c>
      <c r="S34" s="1023">
        <v>190019</v>
      </c>
      <c r="T34" s="1207">
        <f>190051</f>
        <v>190051</v>
      </c>
      <c r="U34" s="772"/>
      <c r="V34" s="772"/>
      <c r="W34" s="1858"/>
      <c r="X34" s="1861"/>
      <c r="Y34" s="1862">
        <f>128*9+62+0.1881</f>
        <v>1214.1881000000001</v>
      </c>
      <c r="Z34" s="1858"/>
      <c r="AA34" s="772"/>
      <c r="AB34" s="1864">
        <f>270000+128*4+34</f>
        <v>270546</v>
      </c>
      <c r="AC34" s="1160"/>
      <c r="AD34" s="1160"/>
      <c r="AE34" s="1160">
        <f>128*6+195</f>
        <v>963</v>
      </c>
      <c r="AF34" s="504">
        <v>27</v>
      </c>
      <c r="AG34" s="1836">
        <v>27</v>
      </c>
      <c r="AH34" s="1836">
        <v>27</v>
      </c>
      <c r="AI34" s="772">
        <f>0.2116</f>
        <v>0.21160000000000001</v>
      </c>
      <c r="AJ34" s="772"/>
      <c r="AK34" s="772"/>
      <c r="AL34" s="1080"/>
      <c r="AM34" s="1797">
        <f>200000+128*4+34</f>
        <v>200546</v>
      </c>
      <c r="AN34" s="1160"/>
      <c r="AO34" s="1160"/>
      <c r="AP34" s="1160"/>
      <c r="AQ34" s="504">
        <v>200020</v>
      </c>
      <c r="AR34" s="504">
        <v>200020</v>
      </c>
      <c r="AS34" s="504"/>
      <c r="AT34" s="1039"/>
      <c r="AU34" s="504"/>
      <c r="AV34" s="1039"/>
      <c r="AW34" s="504"/>
      <c r="AX34" s="498">
        <v>200020</v>
      </c>
      <c r="AY34" s="498">
        <v>200043</v>
      </c>
      <c r="AZ34" s="703">
        <f>128*9+26+0.033</f>
        <v>1178.0329999999999</v>
      </c>
      <c r="BA34" s="805">
        <f>128*9+48+0.122</f>
        <v>1200.1220000000001</v>
      </c>
      <c r="BB34" s="500">
        <f>128*9+4+0.5+0.139</f>
        <v>1156.6389999999999</v>
      </c>
      <c r="BC34" s="771">
        <f t="shared" si="9"/>
        <v>240024</v>
      </c>
      <c r="BD34" s="707"/>
      <c r="BE34" s="707">
        <f>128*3+32</f>
        <v>416</v>
      </c>
      <c r="BF34" s="707"/>
      <c r="BG34" s="707"/>
      <c r="BH34" s="707"/>
      <c r="BI34" s="707">
        <f>128*3+32</f>
        <v>416</v>
      </c>
      <c r="BJ34" s="707"/>
      <c r="BK34" s="708"/>
      <c r="BL34" s="1142"/>
      <c r="BM34" s="771">
        <f>10000*24+24</f>
        <v>240024</v>
      </c>
      <c r="BN34" s="509"/>
      <c r="BO34" s="1153"/>
      <c r="BP34" s="509"/>
      <c r="BQ34" s="1153"/>
      <c r="BR34" s="815"/>
      <c r="BS34" s="771">
        <f>10000*24+24</f>
        <v>240024</v>
      </c>
      <c r="BT34" s="771">
        <f>10000*24+24</f>
        <v>240024</v>
      </c>
      <c r="BU34" s="498">
        <v>200020</v>
      </c>
      <c r="BV34" s="2937"/>
      <c r="BW34" s="2938"/>
      <c r="BX34" s="771">
        <v>200020</v>
      </c>
      <c r="BY34" s="771">
        <v>200020</v>
      </c>
      <c r="BZ34" s="771">
        <v>200020</v>
      </c>
      <c r="CA34" s="771">
        <v>200020</v>
      </c>
      <c r="CB34" s="771">
        <v>200020</v>
      </c>
      <c r="CC34" s="771">
        <v>200020</v>
      </c>
      <c r="CD34" s="771">
        <v>200020</v>
      </c>
      <c r="CE34" s="771">
        <v>200020</v>
      </c>
      <c r="CF34" s="498">
        <v>200020</v>
      </c>
      <c r="CG34" s="523">
        <v>200020</v>
      </c>
      <c r="CH34" s="996">
        <f>10000*20+128*9+77+0.059</f>
        <v>201229.05900000001</v>
      </c>
      <c r="CI34" s="505">
        <v>200043</v>
      </c>
      <c r="CJ34" s="505">
        <v>200043</v>
      </c>
      <c r="CK34" s="505">
        <v>200043</v>
      </c>
      <c r="CL34" s="505">
        <v>200043</v>
      </c>
      <c r="CM34" s="505">
        <v>200020</v>
      </c>
      <c r="CN34" s="505">
        <v>200020</v>
      </c>
      <c r="CO34" s="996">
        <f>10000*20</f>
        <v>200000</v>
      </c>
      <c r="CP34" s="1154">
        <f>10000*20+20+0.065</f>
        <v>200020.065</v>
      </c>
      <c r="CQ34" s="505">
        <v>200020</v>
      </c>
      <c r="CR34" s="955">
        <v>200020</v>
      </c>
      <c r="IU34" s="1616" t="s">
        <v>899</v>
      </c>
      <c r="IV34" s="1616"/>
    </row>
    <row r="35" spans="1:256" ht="9" customHeight="1" thickTop="1" thickBot="1">
      <c r="A35" s="1449">
        <v>200019</v>
      </c>
      <c r="B35" s="707"/>
      <c r="C35" s="1761"/>
      <c r="D35" s="1777"/>
      <c r="E35" s="1787"/>
      <c r="F35" s="1777"/>
      <c r="G35" s="1761"/>
      <c r="H35" s="707"/>
      <c r="I35" s="504">
        <v>190019</v>
      </c>
      <c r="J35" s="707"/>
      <c r="K35" s="1456"/>
      <c r="L35" s="1456"/>
      <c r="M35" s="1456"/>
      <c r="N35" s="1456"/>
      <c r="O35" s="1456"/>
      <c r="P35" s="504">
        <v>270019</v>
      </c>
      <c r="Q35" s="1456"/>
      <c r="R35" s="1456"/>
      <c r="S35" s="1456"/>
      <c r="T35" s="1442">
        <f>190019+0.1969</f>
        <v>190019.19690000001</v>
      </c>
      <c r="U35" s="772"/>
      <c r="V35" s="1858"/>
      <c r="W35" s="772">
        <v>0.19700000000000001</v>
      </c>
      <c r="X35" s="1863"/>
      <c r="Y35" s="1610">
        <v>53</v>
      </c>
      <c r="Z35" s="1858"/>
      <c r="AA35" s="772">
        <v>0.19700000000000001</v>
      </c>
      <c r="AB35" s="1864">
        <f>270000+128*4+34</f>
        <v>270546</v>
      </c>
      <c r="AC35" s="1160"/>
      <c r="AD35" s="1815"/>
      <c r="AE35" s="1815"/>
      <c r="AF35" s="1163">
        <v>200043</v>
      </c>
      <c r="AG35" s="1836">
        <v>27</v>
      </c>
      <c r="AH35" s="1847">
        <f>128*10+3+0.1395</f>
        <v>1283.1395</v>
      </c>
      <c r="AI35" s="1839">
        <v>270027</v>
      </c>
      <c r="AJ35" s="1849">
        <f>270000+128*5+38</f>
        <v>270678</v>
      </c>
      <c r="AK35" s="1839">
        <v>270027</v>
      </c>
      <c r="AL35" s="1886">
        <f>128*17+64+4</f>
        <v>2244</v>
      </c>
      <c r="AM35" s="1797">
        <f>500000+128*4+34</f>
        <v>500546</v>
      </c>
      <c r="AN35" s="1160"/>
      <c r="AO35" s="3052">
        <f>128*17+3</f>
        <v>2179</v>
      </c>
      <c r="AP35" s="1816"/>
      <c r="AQ35" s="752">
        <v>200043</v>
      </c>
      <c r="AR35" s="498">
        <v>200020</v>
      </c>
      <c r="AS35" s="504"/>
      <c r="AT35" s="1039"/>
      <c r="AU35" s="1039"/>
      <c r="AV35" s="1039"/>
      <c r="AW35" s="504"/>
      <c r="AX35" s="498">
        <v>200020</v>
      </c>
      <c r="AY35" s="703">
        <f>128*9+5</f>
        <v>1157</v>
      </c>
      <c r="AZ35" s="801">
        <f>0.384+0.0036</f>
        <v>0.3876</v>
      </c>
      <c r="BA35" s="500"/>
      <c r="BB35" s="703">
        <f>128*9+4+0.5+0.256+0.005</f>
        <v>1156.7610000000002</v>
      </c>
      <c r="BC35" s="771">
        <f t="shared" si="9"/>
        <v>240024</v>
      </c>
      <c r="BD35" s="707"/>
      <c r="BE35" s="771">
        <f>10000*24+24</f>
        <v>240024</v>
      </c>
      <c r="BF35" s="707"/>
      <c r="BG35" s="771">
        <f>10000*24+24</f>
        <v>240024</v>
      </c>
      <c r="BH35" s="771">
        <f>10000*24+24</f>
        <v>240024</v>
      </c>
      <c r="BI35" s="707">
        <f>128*3+32</f>
        <v>416</v>
      </c>
      <c r="BJ35" s="771">
        <f>10000*24+24</f>
        <v>240024</v>
      </c>
      <c r="BK35" s="771">
        <f>10000*24+24</f>
        <v>240024</v>
      </c>
      <c r="BL35" s="771">
        <f>10000*24+24</f>
        <v>240024</v>
      </c>
      <c r="BM35" s="771">
        <f>10000*24+24</f>
        <v>240024</v>
      </c>
      <c r="BN35" s="526">
        <f>128*3+32</f>
        <v>416</v>
      </c>
      <c r="BO35" s="514"/>
      <c r="BP35" s="1155">
        <f>10000*24+24</f>
        <v>240024</v>
      </c>
      <c r="BQ35" s="514"/>
      <c r="BR35" s="815">
        <f>128*3+32</f>
        <v>416</v>
      </c>
      <c r="BS35" s="771">
        <f>10000*24+24</f>
        <v>240024</v>
      </c>
      <c r="BT35" s="771">
        <f>10000*24+24</f>
        <v>240024</v>
      </c>
      <c r="BU35" s="498">
        <v>200020</v>
      </c>
      <c r="BV35" s="2937"/>
      <c r="BW35" s="2937"/>
      <c r="BX35" s="2937"/>
      <c r="BY35" s="2937"/>
      <c r="BZ35" s="2940">
        <f>0.384+0.004</f>
        <v>0.38800000000000001</v>
      </c>
      <c r="CA35" s="2937"/>
      <c r="CB35" s="2937"/>
      <c r="CC35" s="2937"/>
      <c r="CD35" s="2937"/>
      <c r="CE35" s="2938"/>
      <c r="CF35" s="541">
        <f>200000+128*4+34</f>
        <v>200546</v>
      </c>
      <c r="CG35" s="1156">
        <f>128*9+49+0.5+0.256+0.0027</f>
        <v>1201.7587000000001</v>
      </c>
      <c r="CH35" s="1157">
        <f>128*9+79</f>
        <v>1231</v>
      </c>
      <c r="CI35" s="1157">
        <f>128*9+78</f>
        <v>1230</v>
      </c>
      <c r="CJ35" s="1158">
        <f>128*9+78</f>
        <v>1230</v>
      </c>
      <c r="CK35" s="1157">
        <f>128*9+78</f>
        <v>1230</v>
      </c>
      <c r="CL35" s="1138">
        <f>128*9+77</f>
        <v>1229</v>
      </c>
      <c r="CM35" s="1158">
        <f>128*9+79</f>
        <v>1231</v>
      </c>
      <c r="CN35" s="1159">
        <f>128*9+81+0.212</f>
        <v>1233.212</v>
      </c>
      <c r="CO35" s="1160"/>
      <c r="CP35" s="805">
        <f>128*9+82+0.213</f>
        <v>1234.213</v>
      </c>
      <c r="CQ35" s="805">
        <f>128*9+81+0.212</f>
        <v>1233.212</v>
      </c>
      <c r="CR35" s="504">
        <v>200043</v>
      </c>
      <c r="IU35" s="1616" t="s">
        <v>901</v>
      </c>
      <c r="IV35" s="1616"/>
    </row>
    <row r="36" spans="1:256" ht="9" customHeight="1" thickTop="1" thickBot="1">
      <c r="A36" s="1449">
        <v>200019</v>
      </c>
      <c r="B36" s="707">
        <f>128*10+6</f>
        <v>1286</v>
      </c>
      <c r="C36" s="1761"/>
      <c r="D36" s="1777"/>
      <c r="E36" s="1787"/>
      <c r="F36" s="1777"/>
      <c r="G36" s="1761"/>
      <c r="H36" s="707">
        <f>128*10+6</f>
        <v>1286</v>
      </c>
      <c r="I36" s="504">
        <v>190019</v>
      </c>
      <c r="J36" s="707"/>
      <c r="K36" s="707"/>
      <c r="L36" s="707"/>
      <c r="M36" s="707"/>
      <c r="N36" s="707">
        <v>0.2112</v>
      </c>
      <c r="O36" s="1761"/>
      <c r="P36" s="504">
        <v>270019</v>
      </c>
      <c r="Q36" s="1456"/>
      <c r="R36" s="1031"/>
      <c r="S36" s="1456"/>
      <c r="T36" s="770">
        <f>190019+0.195</f>
        <v>190019.19500000001</v>
      </c>
      <c r="U36" s="1866">
        <f>128+53</f>
        <v>181</v>
      </c>
      <c r="V36" s="1610">
        <f>10000*20+53</f>
        <v>200053</v>
      </c>
      <c r="W36" s="1858"/>
      <c r="X36" s="1858"/>
      <c r="Y36" s="1857">
        <f>0.256+0.004</f>
        <v>0.26</v>
      </c>
      <c r="Z36" s="1858"/>
      <c r="AA36" s="772"/>
      <c r="AB36" s="1864">
        <f>270000+128*4+34</f>
        <v>270546</v>
      </c>
      <c r="AC36" s="1160"/>
      <c r="AD36" s="1815"/>
      <c r="AE36" s="1166">
        <f>110000+128*11+12</f>
        <v>111420</v>
      </c>
      <c r="AF36" s="1163">
        <v>200043</v>
      </c>
      <c r="AG36" s="1836">
        <v>27</v>
      </c>
      <c r="AH36" s="1846">
        <f>270000+128*5+40</f>
        <v>270680</v>
      </c>
      <c r="AI36" s="1839">
        <v>270027</v>
      </c>
      <c r="AJ36" s="1844">
        <f>270000+128*5+40</f>
        <v>270680</v>
      </c>
      <c r="AK36" s="1839">
        <v>270027</v>
      </c>
      <c r="AL36" s="1080"/>
      <c r="AM36" s="1797">
        <f>200000+128*4+34</f>
        <v>200546</v>
      </c>
      <c r="AN36" s="1160"/>
      <c r="AO36" s="1816"/>
      <c r="AP36" s="1812">
        <f>110000</f>
        <v>110000</v>
      </c>
      <c r="AQ36" s="752">
        <v>200043</v>
      </c>
      <c r="AR36" s="498">
        <v>200020</v>
      </c>
      <c r="AS36" s="1161">
        <f>128*4+35</f>
        <v>547</v>
      </c>
      <c r="AT36" s="498">
        <f>10000*20+49</f>
        <v>200049</v>
      </c>
      <c r="AU36" s="1946">
        <f>128*5+37</f>
        <v>677</v>
      </c>
      <c r="AV36" s="498">
        <f>10000*20+49</f>
        <v>200049</v>
      </c>
      <c r="AW36" s="1161">
        <f>128*4+35</f>
        <v>547</v>
      </c>
      <c r="AX36" s="498">
        <v>200020</v>
      </c>
      <c r="AY36" s="498">
        <v>200043</v>
      </c>
      <c r="AZ36" s="678">
        <f>10000*20+43+0.058</f>
        <v>200043.05799999999</v>
      </c>
      <c r="BA36" s="500">
        <f>10000*20+128*5+41</f>
        <v>200681</v>
      </c>
      <c r="BB36" s="498">
        <v>200043</v>
      </c>
      <c r="BC36" s="498">
        <f t="shared" si="9"/>
        <v>240024</v>
      </c>
      <c r="BD36" s="1142"/>
      <c r="BE36" s="707"/>
      <c r="BF36" s="707"/>
      <c r="BG36" s="510"/>
      <c r="BH36" s="707"/>
      <c r="BI36" s="707"/>
      <c r="BJ36" s="1142"/>
      <c r="BK36" s="771">
        <f>10000*24+24</f>
        <v>240024</v>
      </c>
      <c r="BL36" s="771">
        <f>10000*24+24</f>
        <v>240024</v>
      </c>
      <c r="BM36" s="509"/>
      <c r="BN36" s="526"/>
      <c r="BO36" s="514"/>
      <c r="BP36" s="1155">
        <f>240000+128*4+39+0.384+0.002</f>
        <v>240551.386</v>
      </c>
      <c r="BQ36" s="514"/>
      <c r="BR36" s="509"/>
      <c r="BS36" s="815"/>
      <c r="BT36" s="771">
        <f>10000*24+24</f>
        <v>240024</v>
      </c>
      <c r="BU36" s="498">
        <v>200020</v>
      </c>
      <c r="BV36" s="2939">
        <f>128*9+28+0.147</f>
        <v>1180.1469999999999</v>
      </c>
      <c r="BW36" s="2937"/>
      <c r="BX36" s="2937"/>
      <c r="BY36" s="2937"/>
      <c r="BZ36" s="2937"/>
      <c r="CA36" s="2940">
        <f>0.384+0.004</f>
        <v>0.38800000000000001</v>
      </c>
      <c r="CB36" s="2937"/>
      <c r="CC36" s="2937"/>
      <c r="CD36" s="2937"/>
      <c r="CE36" s="2938"/>
      <c r="CF36" s="541">
        <f>200000+128*4+34</f>
        <v>200546</v>
      </c>
      <c r="CG36" s="500">
        <f>0.5+0.256+0.035</f>
        <v>0.79100000000000004</v>
      </c>
      <c r="CH36" s="500"/>
      <c r="CI36" s="500"/>
      <c r="CJ36" s="500"/>
      <c r="CK36" s="500">
        <f>128*14+5</f>
        <v>1797</v>
      </c>
      <c r="CL36" s="504">
        <v>200043</v>
      </c>
      <c r="CM36" s="1162">
        <f>128*9+78</f>
        <v>1230</v>
      </c>
      <c r="CN36" s="500"/>
      <c r="CO36" s="500"/>
      <c r="CP36" s="1804"/>
      <c r="CQ36" s="1804"/>
      <c r="CR36" s="1805">
        <v>200043</v>
      </c>
      <c r="IU36" s="1616" t="s">
        <v>902</v>
      </c>
      <c r="IV36" s="1616"/>
    </row>
    <row r="37" spans="1:256" ht="9" customHeight="1" thickTop="1" thickBot="1">
      <c r="A37" s="1449">
        <v>200019</v>
      </c>
      <c r="B37" s="707"/>
      <c r="C37" s="1761"/>
      <c r="D37" s="1777"/>
      <c r="E37" s="504">
        <f>128*4+39+0.384+0.002</f>
        <v>551.38599999999997</v>
      </c>
      <c r="F37" s="1777"/>
      <c r="G37" s="1761"/>
      <c r="H37" s="707"/>
      <c r="I37" s="504">
        <v>190019</v>
      </c>
      <c r="J37" s="707"/>
      <c r="K37" s="1456"/>
      <c r="L37" s="1456"/>
      <c r="M37" s="1456"/>
      <c r="N37" s="707"/>
      <c r="O37" s="1761"/>
      <c r="P37" s="504">
        <v>270019</v>
      </c>
      <c r="Q37" s="1456"/>
      <c r="R37" s="707"/>
      <c r="S37" s="1761"/>
      <c r="T37" s="770">
        <f>190019+0.195</f>
        <v>190019.19500000001</v>
      </c>
      <c r="U37" s="1866">
        <f>128+53</f>
        <v>181</v>
      </c>
      <c r="V37" s="1068">
        <f>128*10+17</f>
        <v>1297</v>
      </c>
      <c r="W37" s="1610">
        <f>10000*20+53</f>
        <v>200053</v>
      </c>
      <c r="X37" s="1859"/>
      <c r="Y37" s="1860"/>
      <c r="Z37" s="1865"/>
      <c r="AA37" s="3051">
        <f>128*17+2</f>
        <v>2178</v>
      </c>
      <c r="AB37" s="1864">
        <f>270000+128*4+34</f>
        <v>270546</v>
      </c>
      <c r="AC37" s="1160"/>
      <c r="AD37" s="1815"/>
      <c r="AE37" s="1815"/>
      <c r="AF37" s="1163">
        <v>200043</v>
      </c>
      <c r="AG37" s="1836">
        <v>27</v>
      </c>
      <c r="AH37" s="1842">
        <f>128*11+13</f>
        <v>1421</v>
      </c>
      <c r="AI37" s="1839">
        <v>270027</v>
      </c>
      <c r="AJ37" s="1842">
        <f>128*11+13</f>
        <v>1421</v>
      </c>
      <c r="AK37" s="1839">
        <v>270027</v>
      </c>
      <c r="AL37" s="1886">
        <f>128*17+64+3</f>
        <v>2243</v>
      </c>
      <c r="AM37" s="1797">
        <f>500000+128*4+34</f>
        <v>500546</v>
      </c>
      <c r="AN37" s="1160"/>
      <c r="AO37" s="1816"/>
      <c r="AP37" s="1816"/>
      <c r="AQ37" s="752">
        <v>200043</v>
      </c>
      <c r="AR37" s="498">
        <v>200020</v>
      </c>
      <c r="AS37" s="527">
        <f>128*8+3</f>
        <v>1027</v>
      </c>
      <c r="AT37" s="1039"/>
      <c r="AU37" s="1039"/>
      <c r="AV37" s="1039"/>
      <c r="AW37" s="527">
        <f>128*8+3</f>
        <v>1027</v>
      </c>
      <c r="AX37" s="498">
        <v>200020</v>
      </c>
      <c r="AY37" s="498">
        <v>200043</v>
      </c>
      <c r="AZ37" s="703">
        <f>128*9+28+0.147</f>
        <v>1180.1469999999999</v>
      </c>
      <c r="BA37" s="500"/>
      <c r="BB37" s="498">
        <f>10000*20+43+0.018</f>
        <v>200043.01800000001</v>
      </c>
      <c r="BC37" s="771">
        <f t="shared" si="9"/>
        <v>240024</v>
      </c>
      <c r="BD37" s="771">
        <f>10000*24+24</f>
        <v>240024</v>
      </c>
      <c r="BE37" s="771">
        <f>10000*24+24</f>
        <v>240024</v>
      </c>
      <c r="BF37" s="771">
        <f>10000*24+24</f>
        <v>240024</v>
      </c>
      <c r="BG37" s="771">
        <f>10000*24+24</f>
        <v>240024</v>
      </c>
      <c r="BH37" s="771">
        <f>10000*24+24</f>
        <v>240024</v>
      </c>
      <c r="BI37" s="771">
        <f>10000*24+42</f>
        <v>240042</v>
      </c>
      <c r="BJ37" s="1164">
        <f>128*4+39+0.256+0.052</f>
        <v>551.30799999999999</v>
      </c>
      <c r="BK37" s="771">
        <f>10000*24+42</f>
        <v>240042</v>
      </c>
      <c r="BL37" s="771">
        <f>10000*24+24</f>
        <v>240024</v>
      </c>
      <c r="BM37" s="509"/>
      <c r="BN37" s="526"/>
      <c r="BO37" s="514"/>
      <c r="BP37" s="1155">
        <f>240000+128*4+39+0.384+0.002</f>
        <v>240551.386</v>
      </c>
      <c r="BQ37" s="514"/>
      <c r="BR37" s="509"/>
      <c r="BS37" s="815"/>
      <c r="BT37" s="771">
        <f>10000*24+24</f>
        <v>240024</v>
      </c>
      <c r="BU37" s="498">
        <v>200020</v>
      </c>
      <c r="BV37" s="498">
        <v>200020</v>
      </c>
      <c r="BW37" s="498">
        <v>200020</v>
      </c>
      <c r="BX37" s="1165">
        <f>10000*20+128*4+34</f>
        <v>200546</v>
      </c>
      <c r="BY37" s="1165">
        <f>10000*20+128*4+34</f>
        <v>200546</v>
      </c>
      <c r="BZ37" s="677">
        <f>10000*20+43+0.038</f>
        <v>200043.038</v>
      </c>
      <c r="CA37" s="1165">
        <f>10000*20+128*4+34</f>
        <v>200546</v>
      </c>
      <c r="CB37" s="1165">
        <f>10000*20+128*4+34</f>
        <v>200546</v>
      </c>
      <c r="CC37" s="498">
        <v>200020</v>
      </c>
      <c r="CD37" s="2937"/>
      <c r="CE37" s="2938"/>
      <c r="CF37" s="541">
        <f>200000+128*4+34</f>
        <v>200546</v>
      </c>
      <c r="CG37" s="500"/>
      <c r="CH37" s="761">
        <f>128*9+44</f>
        <v>1196</v>
      </c>
      <c r="CI37" s="761"/>
      <c r="CJ37" s="761">
        <f>128*9+43</f>
        <v>1195</v>
      </c>
      <c r="CK37" s="820">
        <f>128*9+77</f>
        <v>1229</v>
      </c>
      <c r="CL37" s="504">
        <v>200043</v>
      </c>
      <c r="CM37" s="1162">
        <f>128*9+78</f>
        <v>1230</v>
      </c>
      <c r="CN37" s="500"/>
      <c r="CO37" s="500">
        <f>0.5+0.256+0.035</f>
        <v>0.79100000000000004</v>
      </c>
      <c r="CP37" s="1804"/>
      <c r="CQ37" s="1166">
        <f>110000+128*11+3</f>
        <v>111411</v>
      </c>
      <c r="CR37" s="1803">
        <v>200043</v>
      </c>
      <c r="IU37" s="1616" t="s">
        <v>1091</v>
      </c>
      <c r="IV37" s="1616">
        <v>168</v>
      </c>
    </row>
    <row r="38" spans="1:256" ht="9" customHeight="1" thickTop="1" thickBot="1">
      <c r="A38" s="1449">
        <v>200019</v>
      </c>
      <c r="B38" s="707"/>
      <c r="C38" s="1761"/>
      <c r="D38" s="1777"/>
      <c r="E38" s="2263">
        <v>24</v>
      </c>
      <c r="F38" s="1779">
        <f>128*9+17</f>
        <v>1169</v>
      </c>
      <c r="G38" s="1761"/>
      <c r="H38" s="707"/>
      <c r="I38" s="504">
        <v>190019</v>
      </c>
      <c r="J38" s="707"/>
      <c r="K38" s="1456"/>
      <c r="L38" s="504">
        <f>128*4+39+0.384+0.002</f>
        <v>551.38599999999997</v>
      </c>
      <c r="M38" s="1456"/>
      <c r="N38" s="707"/>
      <c r="O38" s="1761"/>
      <c r="P38" s="504">
        <v>270019</v>
      </c>
      <c r="Q38" s="1456"/>
      <c r="R38" s="707"/>
      <c r="S38" s="1761"/>
      <c r="T38" s="504">
        <v>190019</v>
      </c>
      <c r="U38" s="527">
        <v>53</v>
      </c>
      <c r="V38" s="527">
        <v>53</v>
      </c>
      <c r="W38" s="1207">
        <v>190019</v>
      </c>
      <c r="X38" s="1867">
        <v>53</v>
      </c>
      <c r="Y38" s="1207">
        <f>190019+0.195</f>
        <v>190019.19500000001</v>
      </c>
      <c r="AA38" s="772"/>
      <c r="AB38" s="505">
        <v>270027</v>
      </c>
      <c r="AC38" s="1160">
        <f>128*6+195</f>
        <v>963</v>
      </c>
      <c r="AD38" s="1835"/>
      <c r="AE38" s="1835"/>
      <c r="AF38" s="1836">
        <v>27</v>
      </c>
      <c r="AG38" s="1838">
        <v>270027</v>
      </c>
      <c r="AH38" s="1843">
        <f>270027+0.068</f>
        <v>270027.06800000003</v>
      </c>
      <c r="AI38" s="1838">
        <v>270027</v>
      </c>
      <c r="AJ38" s="1843">
        <f>270027+0.067</f>
        <v>270027.06699999998</v>
      </c>
      <c r="AK38" s="1845">
        <v>270000</v>
      </c>
      <c r="AL38" s="1841"/>
      <c r="AM38" s="523">
        <v>200020</v>
      </c>
      <c r="AN38" s="1823"/>
      <c r="AO38" s="1823"/>
      <c r="AP38" s="1823"/>
      <c r="AQ38" s="1824">
        <v>200020</v>
      </c>
      <c r="AR38" s="498">
        <v>200020</v>
      </c>
      <c r="AS38" s="504"/>
      <c r="AT38" s="1039"/>
      <c r="AU38" s="504"/>
      <c r="AV38" s="504"/>
      <c r="AW38" s="823"/>
      <c r="AX38" s="498">
        <v>200020</v>
      </c>
      <c r="AY38" s="498">
        <v>200043</v>
      </c>
      <c r="AZ38" s="500"/>
      <c r="BA38" s="1167">
        <f>128*9+49+0.5+0.256+0.0257</f>
        <v>1201.7817</v>
      </c>
      <c r="BB38" s="498">
        <v>200043</v>
      </c>
      <c r="BC38" s="498">
        <v>200020</v>
      </c>
      <c r="BD38" s="498">
        <v>200020</v>
      </c>
      <c r="BE38" s="498">
        <v>200020</v>
      </c>
      <c r="BF38" s="498">
        <v>200020</v>
      </c>
      <c r="BG38" s="498">
        <v>200020</v>
      </c>
      <c r="BH38" s="677">
        <f>200020+0.184</f>
        <v>200020.18400000001</v>
      </c>
      <c r="BI38" s="498">
        <v>200020</v>
      </c>
      <c r="BJ38" s="1138">
        <f>200000+128+20+0.113</f>
        <v>200148.11300000001</v>
      </c>
      <c r="BK38" s="821">
        <f>200000+128+42</f>
        <v>200170</v>
      </c>
      <c r="BL38" s="771">
        <f>10000*24+20</f>
        <v>240020</v>
      </c>
      <c r="BM38" s="771">
        <v>420042</v>
      </c>
      <c r="BN38" s="1155">
        <v>420042</v>
      </c>
      <c r="BO38" s="514"/>
      <c r="BP38" s="1155">
        <f>10000*24+24</f>
        <v>240024</v>
      </c>
      <c r="BQ38" s="514"/>
      <c r="BR38" s="950">
        <v>420042</v>
      </c>
      <c r="BS38" s="771">
        <v>420042</v>
      </c>
      <c r="BT38" s="498">
        <v>200020</v>
      </c>
      <c r="BU38" s="1168">
        <f>0.256+0.004</f>
        <v>0.26</v>
      </c>
      <c r="BV38" s="1169">
        <v>200043</v>
      </c>
      <c r="BW38" s="750"/>
      <c r="BX38" s="750">
        <f>128*9+35</f>
        <v>1187</v>
      </c>
      <c r="BY38" s="750"/>
      <c r="BZ38" s="750">
        <f>128*9+35</f>
        <v>1187</v>
      </c>
      <c r="CA38" s="750"/>
      <c r="CB38" s="750">
        <f>128*9+35</f>
        <v>1187</v>
      </c>
      <c r="CC38" s="1170">
        <f>10000*20+128*4+34</f>
        <v>200546</v>
      </c>
      <c r="CD38" s="2937"/>
      <c r="CE38" s="2938"/>
      <c r="CF38" s="698">
        <f>10000*20+20+0.159</f>
        <v>200020.15900000001</v>
      </c>
      <c r="CG38" s="500"/>
      <c r="CH38" s="1169"/>
      <c r="CI38" s="1169"/>
      <c r="CJ38" s="761">
        <f>128*9+37+0.149</f>
        <v>1189.1489999999999</v>
      </c>
      <c r="CK38" s="1171">
        <f>128*9+80</f>
        <v>1232</v>
      </c>
      <c r="CL38" s="504">
        <v>200043</v>
      </c>
      <c r="CM38" s="1162">
        <f>128*9+78</f>
        <v>1230</v>
      </c>
      <c r="CN38" s="500"/>
      <c r="CO38" s="500"/>
      <c r="CP38" s="1804"/>
      <c r="CQ38" s="1804"/>
      <c r="CR38" s="1805">
        <v>200043</v>
      </c>
      <c r="IU38" s="1616" t="s">
        <v>1092</v>
      </c>
      <c r="IV38" s="1616">
        <v>178</v>
      </c>
    </row>
    <row r="39" spans="1:256" ht="9" customHeight="1" thickTop="1" thickBot="1">
      <c r="A39" s="1449">
        <v>200019</v>
      </c>
      <c r="B39" s="707">
        <v>42</v>
      </c>
      <c r="C39" s="1761"/>
      <c r="D39" s="1777"/>
      <c r="E39" s="1777"/>
      <c r="F39" s="1777"/>
      <c r="G39" s="1761"/>
      <c r="H39" s="707">
        <v>42</v>
      </c>
      <c r="I39" s="504">
        <v>190019</v>
      </c>
      <c r="J39" s="707"/>
      <c r="K39" s="1761"/>
      <c r="L39" s="504">
        <v>190019</v>
      </c>
      <c r="M39" s="1456"/>
      <c r="N39" s="707"/>
      <c r="O39" s="707"/>
      <c r="P39" s="707"/>
      <c r="Q39" s="707"/>
      <c r="R39" s="707"/>
      <c r="S39" s="1761"/>
      <c r="T39" s="504">
        <v>190019</v>
      </c>
      <c r="U39" s="1163">
        <v>200043</v>
      </c>
      <c r="V39" s="1163">
        <f>10000*20+43+0.022</f>
        <v>200043.022</v>
      </c>
      <c r="W39" s="1163">
        <v>200043</v>
      </c>
      <c r="X39" s="504">
        <v>200020</v>
      </c>
      <c r="Y39" s="504">
        <v>200020</v>
      </c>
      <c r="Z39" s="1868">
        <f>200053</f>
        <v>200053</v>
      </c>
      <c r="AA39" s="1869">
        <f>200020+0.1961</f>
        <v>200020.1961</v>
      </c>
      <c r="AB39" s="504">
        <v>200020</v>
      </c>
      <c r="AC39" s="504">
        <v>200020</v>
      </c>
      <c r="AD39" s="504">
        <v>27</v>
      </c>
      <c r="AE39" s="504">
        <v>27</v>
      </c>
      <c r="AF39" s="504">
        <v>200020</v>
      </c>
      <c r="AG39" s="504">
        <f>200043</f>
        <v>200043</v>
      </c>
      <c r="AH39" s="504">
        <f>200043+0.022</f>
        <v>200043.022</v>
      </c>
      <c r="AI39" s="504">
        <f>200043</f>
        <v>200043</v>
      </c>
      <c r="AJ39" s="504">
        <v>200020</v>
      </c>
      <c r="AK39" s="1848">
        <f>200020+0.065</f>
        <v>200020.065</v>
      </c>
      <c r="AL39" s="1853">
        <v>490049</v>
      </c>
      <c r="AM39" s="505">
        <v>500020</v>
      </c>
      <c r="AN39" s="504">
        <v>200020</v>
      </c>
      <c r="AO39" s="504">
        <v>200020</v>
      </c>
      <c r="AP39" s="504">
        <v>200020</v>
      </c>
      <c r="AQ39" s="752">
        <v>200020</v>
      </c>
      <c r="AR39" s="498">
        <v>200020</v>
      </c>
      <c r="AS39" s="498">
        <f>10000*20+49</f>
        <v>200049</v>
      </c>
      <c r="AT39" s="498">
        <f>10000*20+49</f>
        <v>200049</v>
      </c>
      <c r="AU39" s="504"/>
      <c r="AV39" s="1039"/>
      <c r="AW39" s="823"/>
      <c r="AX39" s="498">
        <v>200020</v>
      </c>
      <c r="AY39" s="498">
        <v>200043</v>
      </c>
      <c r="AZ39" s="1172">
        <f>10000*20+128*5+41</f>
        <v>200681</v>
      </c>
      <c r="BA39" s="678">
        <v>200043</v>
      </c>
      <c r="BB39" s="498">
        <v>200043</v>
      </c>
      <c r="BC39" s="1173">
        <f>0.384+0.0038</f>
        <v>0.38780000000000003</v>
      </c>
      <c r="BD39" s="823"/>
      <c r="BE39" s="823"/>
      <c r="BF39" s="823"/>
      <c r="BG39" s="1174">
        <f>10000*20+128*4+34+0.256+0.016</f>
        <v>200546.272</v>
      </c>
      <c r="BH39" s="504"/>
      <c r="BI39" s="543">
        <f>20+0.065</f>
        <v>20.065000000000001</v>
      </c>
      <c r="BJ39" s="1175">
        <f>128*8+3</f>
        <v>1027</v>
      </c>
      <c r="BK39" s="839">
        <f>200000+128+20+0.033</f>
        <v>200148.033</v>
      </c>
      <c r="BL39" s="771">
        <f>10000*24+20</f>
        <v>240020</v>
      </c>
      <c r="BM39" s="771">
        <v>420042</v>
      </c>
      <c r="BN39" s="1155">
        <v>420042</v>
      </c>
      <c r="BO39" s="514"/>
      <c r="BP39" s="514"/>
      <c r="BQ39" s="514"/>
      <c r="BR39" s="950">
        <v>420042</v>
      </c>
      <c r="BS39" s="771">
        <v>420042</v>
      </c>
      <c r="BT39" s="498">
        <v>200020</v>
      </c>
      <c r="BU39" s="1159">
        <f>0.384+0.0023</f>
        <v>0.38630000000000003</v>
      </c>
      <c r="BV39" s="1176">
        <f>10000*20+43+0.175</f>
        <v>200043.17499999999</v>
      </c>
      <c r="BW39" s="750"/>
      <c r="BX39" s="750"/>
      <c r="BY39" s="750"/>
      <c r="BZ39" s="750"/>
      <c r="CA39" s="750"/>
      <c r="CB39" s="750"/>
      <c r="CC39" s="1170">
        <f>10000*20+128*4+34</f>
        <v>200546</v>
      </c>
      <c r="CD39" s="2937"/>
      <c r="CE39" s="2938"/>
      <c r="CF39" s="1944">
        <f>200000+128*5+37</f>
        <v>200677</v>
      </c>
      <c r="CG39" s="500"/>
      <c r="CH39" s="500">
        <f>128*8+3</f>
        <v>1027</v>
      </c>
      <c r="CI39" s="504">
        <f>10000*20+43+0.121</f>
        <v>200043.12100000001</v>
      </c>
      <c r="CJ39" s="1171">
        <f>128*9+59</f>
        <v>1211</v>
      </c>
      <c r="CK39" s="1177">
        <f>128*9+59</f>
        <v>1211</v>
      </c>
      <c r="CL39" s="504">
        <v>200043</v>
      </c>
      <c r="CM39" s="1157">
        <f>128*9+79</f>
        <v>1231</v>
      </c>
      <c r="CN39" s="1158">
        <f>128*9+79</f>
        <v>1231</v>
      </c>
      <c r="CO39" s="500"/>
      <c r="CP39" s="541">
        <f>128*8+2</f>
        <v>1026</v>
      </c>
      <c r="CQ39" s="541">
        <f>128*9+26+0.064</f>
        <v>1178.0640000000001</v>
      </c>
      <c r="CR39" s="504">
        <v>200043</v>
      </c>
      <c r="IU39" s="1616" t="s">
        <v>567</v>
      </c>
      <c r="IV39" s="1616">
        <v>4</v>
      </c>
    </row>
    <row r="40" spans="1:256" ht="9" customHeight="1" thickTop="1" thickBot="1">
      <c r="A40" s="1449">
        <v>200019</v>
      </c>
      <c r="B40" s="707"/>
      <c r="C40" s="1761"/>
      <c r="D40" s="1777"/>
      <c r="E40" s="1777"/>
      <c r="F40" s="1777"/>
      <c r="G40" s="1761"/>
      <c r="H40" s="707"/>
      <c r="I40" s="504">
        <v>190019</v>
      </c>
      <c r="J40" s="707"/>
      <c r="K40" s="1761"/>
      <c r="L40" s="504">
        <v>190019</v>
      </c>
      <c r="M40" s="504">
        <v>190019</v>
      </c>
      <c r="N40" s="504">
        <v>190019</v>
      </c>
      <c r="O40" s="504">
        <v>190019</v>
      </c>
      <c r="P40" s="504">
        <v>190019</v>
      </c>
      <c r="Q40" s="504">
        <v>190019</v>
      </c>
      <c r="R40" s="504">
        <v>190019</v>
      </c>
      <c r="S40" s="504">
        <v>190019</v>
      </c>
      <c r="T40" s="504">
        <v>200020</v>
      </c>
      <c r="U40" s="1815"/>
      <c r="V40" s="1166" t="s">
        <v>944</v>
      </c>
      <c r="W40" s="1815"/>
      <c r="X40" s="1830">
        <f>10000*20+128*5+40</f>
        <v>200680</v>
      </c>
      <c r="Y40" s="1589"/>
      <c r="Z40" s="504">
        <v>200020</v>
      </c>
      <c r="AA40" s="1589"/>
      <c r="AB40" s="1815"/>
      <c r="AC40" s="1815"/>
      <c r="AD40" s="1163">
        <v>200043</v>
      </c>
      <c r="AE40" s="504">
        <v>200020</v>
      </c>
      <c r="AF40" s="498">
        <v>200020</v>
      </c>
      <c r="AG40" s="1816"/>
      <c r="AH40" s="1812">
        <f>110000</f>
        <v>110000</v>
      </c>
      <c r="AI40" s="1816"/>
      <c r="AJ40" s="1942">
        <f>10000*20+128*5+40</f>
        <v>200680</v>
      </c>
      <c r="AK40" s="1160"/>
      <c r="AL40" s="498">
        <v>200020</v>
      </c>
      <c r="AM40" s="1160"/>
      <c r="AN40" s="1814"/>
      <c r="AO40" s="1814"/>
      <c r="AP40" s="1163">
        <v>200043</v>
      </c>
      <c r="AQ40" s="752">
        <v>200020</v>
      </c>
      <c r="AR40" s="698">
        <f>10000*20+49+0.067</f>
        <v>200049.06700000001</v>
      </c>
      <c r="AS40" s="953">
        <f>420000+128*11+5</f>
        <v>421413</v>
      </c>
      <c r="AT40" s="1177">
        <f>350000+128*5+39</f>
        <v>350679</v>
      </c>
      <c r="AU40" s="504"/>
      <c r="AV40" s="504"/>
      <c r="AW40" s="823"/>
      <c r="AX40" s="498">
        <f>128*5+37</f>
        <v>677</v>
      </c>
      <c r="AY40" s="823"/>
      <c r="AZ40" s="823"/>
      <c r="BA40" s="823"/>
      <c r="BB40" s="823"/>
      <c r="BC40" s="823"/>
      <c r="BD40" s="823"/>
      <c r="BE40" s="823"/>
      <c r="BF40" s="823"/>
      <c r="BG40" s="1178">
        <f>20+0.18</f>
        <v>20.18</v>
      </c>
      <c r="BH40" s="1179">
        <f>10000*20+128*5+40</f>
        <v>200680</v>
      </c>
      <c r="BI40" s="504">
        <v>200020</v>
      </c>
      <c r="BJ40" s="1180"/>
      <c r="BK40" s="498">
        <v>200020</v>
      </c>
      <c r="BL40" s="498">
        <v>200020</v>
      </c>
      <c r="BM40" s="509"/>
      <c r="BN40" s="526"/>
      <c r="BO40" s="1181"/>
      <c r="BP40" s="514"/>
      <c r="BQ40" s="1181"/>
      <c r="BR40" s="509"/>
      <c r="BS40" s="815"/>
      <c r="BT40" s="498">
        <v>200020</v>
      </c>
      <c r="BU40" s="1182"/>
      <c r="BV40" s="1169">
        <v>200043</v>
      </c>
      <c r="BW40" s="750"/>
      <c r="BX40" s="750"/>
      <c r="BY40" s="750"/>
      <c r="BZ40" s="750">
        <f>128*9+35</f>
        <v>1187</v>
      </c>
      <c r="CA40" s="750"/>
      <c r="CB40" s="750">
        <f>128*9+35</f>
        <v>1187</v>
      </c>
      <c r="CC40" s="498">
        <v>200020</v>
      </c>
      <c r="CD40" s="2937"/>
      <c r="CE40" s="2938"/>
      <c r="CF40" s="498">
        <v>200020</v>
      </c>
      <c r="CG40" s="498">
        <v>200020</v>
      </c>
      <c r="CH40" s="500">
        <f>128*5+41</f>
        <v>681</v>
      </c>
      <c r="CI40" s="504">
        <v>43</v>
      </c>
      <c r="CJ40" s="1164">
        <f>128*9+80</f>
        <v>1232</v>
      </c>
      <c r="CK40" s="504">
        <v>43</v>
      </c>
      <c r="CL40" s="504">
        <v>200043</v>
      </c>
      <c r="CM40" s="504">
        <v>200043</v>
      </c>
      <c r="CN40" s="1162">
        <f>128*9+78</f>
        <v>1230</v>
      </c>
      <c r="CO40" s="500"/>
      <c r="CP40" s="504">
        <f>10000*20+43+0.135</f>
        <v>200043.13500000001</v>
      </c>
      <c r="CQ40" s="504">
        <v>200043</v>
      </c>
      <c r="CR40" s="504">
        <v>200043</v>
      </c>
      <c r="IU40" s="1616" t="s">
        <v>886</v>
      </c>
      <c r="IV40" s="1616">
        <v>98</v>
      </c>
    </row>
    <row r="41" spans="1:256" ht="9" customHeight="1" thickTop="1" thickBot="1">
      <c r="A41" s="1449">
        <v>200019</v>
      </c>
      <c r="B41" s="707"/>
      <c r="C41" s="1761"/>
      <c r="D41" s="1777"/>
      <c r="E41" s="1777"/>
      <c r="F41" s="2263">
        <v>24</v>
      </c>
      <c r="G41" s="1761"/>
      <c r="H41" s="707"/>
      <c r="I41" s="504">
        <v>190019</v>
      </c>
      <c r="J41" s="707"/>
      <c r="K41" s="1456"/>
      <c r="L41" s="1456"/>
      <c r="M41" s="1456"/>
      <c r="N41" s="1456"/>
      <c r="O41" s="1456"/>
      <c r="P41" s="1456"/>
      <c r="Q41" s="504">
        <f>128*4+39+0.384+0.004</f>
        <v>551.38800000000003</v>
      </c>
      <c r="R41" s="504">
        <v>190019</v>
      </c>
      <c r="S41" s="1789">
        <f>0.256+0.007</f>
        <v>0.26300000000000001</v>
      </c>
      <c r="T41" s="504">
        <v>200020</v>
      </c>
      <c r="U41" s="1831">
        <f>128*4+34</f>
        <v>546</v>
      </c>
      <c r="V41" s="1831">
        <f>128*4+34</f>
        <v>546</v>
      </c>
      <c r="W41" s="1831">
        <f>128*4+34</f>
        <v>546</v>
      </c>
      <c r="X41" s="1829">
        <f>20+0.18</f>
        <v>20.18</v>
      </c>
      <c r="Y41" s="1589"/>
      <c r="Z41" s="1826">
        <f>128*9+74</f>
        <v>1226</v>
      </c>
      <c r="AA41" s="1589"/>
      <c r="AB41" s="1815"/>
      <c r="AC41" s="1166">
        <f>110000+128*11+10</f>
        <v>111418</v>
      </c>
      <c r="AD41" s="1163">
        <v>200043</v>
      </c>
      <c r="AE41" s="504">
        <v>200020</v>
      </c>
      <c r="AF41" s="498">
        <v>200020</v>
      </c>
      <c r="AG41" s="1832">
        <f>128*4+34</f>
        <v>546</v>
      </c>
      <c r="AH41" s="1832">
        <f>128*4+34</f>
        <v>546</v>
      </c>
      <c r="AI41" s="1832">
        <f>128*4+34</f>
        <v>546</v>
      </c>
      <c r="AJ41" s="770">
        <f>200020+0.18</f>
        <v>200020.18</v>
      </c>
      <c r="AK41" s="1160"/>
      <c r="AL41" s="1827">
        <f>128*9+74</f>
        <v>1226</v>
      </c>
      <c r="AM41" s="1160"/>
      <c r="AN41" s="1814"/>
      <c r="AO41" s="1166">
        <f>110000+128*11+10</f>
        <v>111418</v>
      </c>
      <c r="AP41" s="1163">
        <v>200043</v>
      </c>
      <c r="AQ41" s="504">
        <v>200020</v>
      </c>
      <c r="AR41" s="498">
        <f>10000*20+49</f>
        <v>200049</v>
      </c>
      <c r="AS41" s="498">
        <f>10000*20+49</f>
        <v>200049</v>
      </c>
      <c r="AT41" s="498">
        <f>10000*20+49</f>
        <v>200049</v>
      </c>
      <c r="AU41" s="498">
        <v>200020</v>
      </c>
      <c r="AV41" s="498">
        <v>200020</v>
      </c>
      <c r="AW41" s="498">
        <v>200020</v>
      </c>
      <c r="AX41" s="498">
        <v>200020</v>
      </c>
      <c r="AY41" s="823"/>
      <c r="AZ41" s="823"/>
      <c r="BA41" s="823"/>
      <c r="BB41" s="823"/>
      <c r="BC41" s="823"/>
      <c r="BD41" s="823"/>
      <c r="BE41" s="823">
        <v>0.13900000000000001</v>
      </c>
      <c r="BF41" s="823"/>
      <c r="BG41" s="823"/>
      <c r="BH41" s="823"/>
      <c r="BI41" s="707">
        <f>10000*20+128*5+40</f>
        <v>200680</v>
      </c>
      <c r="BJ41" s="1180"/>
      <c r="BK41" s="498">
        <v>200020</v>
      </c>
      <c r="BL41" s="498">
        <v>200020</v>
      </c>
      <c r="BM41" s="509"/>
      <c r="BN41" s="504">
        <f>128*4+39</f>
        <v>551</v>
      </c>
      <c r="BO41" s="515">
        <f>128*4+39</f>
        <v>551</v>
      </c>
      <c r="BP41" s="514"/>
      <c r="BQ41" s="504">
        <f>128*4+39</f>
        <v>551</v>
      </c>
      <c r="BR41" s="515">
        <f>128*4+39</f>
        <v>551</v>
      </c>
      <c r="BS41" s="815"/>
      <c r="BT41" s="498">
        <v>200020</v>
      </c>
      <c r="BU41" s="1159">
        <f>0.384+0.004</f>
        <v>0.38800000000000001</v>
      </c>
      <c r="BV41" s="1169">
        <v>200043</v>
      </c>
      <c r="BW41" s="1169">
        <f>128*9+85</f>
        <v>1237</v>
      </c>
      <c r="BX41" s="1183">
        <f>128*9+86</f>
        <v>1238</v>
      </c>
      <c r="BY41" s="750"/>
      <c r="BZ41" s="750"/>
      <c r="CA41" s="750"/>
      <c r="CB41" s="750"/>
      <c r="CC41" s="1172">
        <f>10000*20+128*5+30</f>
        <v>200670</v>
      </c>
      <c r="CD41" s="2937"/>
      <c r="CE41" s="2938"/>
      <c r="CF41" s="541">
        <f>200000+128*4+34</f>
        <v>200546</v>
      </c>
      <c r="CG41" s="805">
        <f>128*9+48+0.122</f>
        <v>1200.1220000000001</v>
      </c>
      <c r="CH41" s="500"/>
      <c r="CI41" s="541">
        <f>128*8+3</f>
        <v>1027</v>
      </c>
      <c r="CJ41" s="1157">
        <f>128*9+79</f>
        <v>1231</v>
      </c>
      <c r="CK41" s="1158">
        <f>128*9+79</f>
        <v>1231</v>
      </c>
      <c r="CL41" s="504">
        <v>200043</v>
      </c>
      <c r="CM41" s="1159">
        <f>128*9+79</f>
        <v>1231</v>
      </c>
      <c r="CN41" s="1160">
        <f>128*9+79</f>
        <v>1231</v>
      </c>
      <c r="CO41" s="500"/>
      <c r="CP41" s="1804"/>
      <c r="CQ41" s="1804"/>
      <c r="CR41" s="1805">
        <v>200043</v>
      </c>
      <c r="IU41" s="1616" t="s">
        <v>887</v>
      </c>
      <c r="IV41" s="1616">
        <v>104</v>
      </c>
    </row>
    <row r="42" spans="1:256" ht="9" customHeight="1" thickTop="1" thickBot="1">
      <c r="A42" s="1449">
        <v>200019</v>
      </c>
      <c r="B42" s="707"/>
      <c r="C42" s="1761"/>
      <c r="D42" s="1777"/>
      <c r="E42" s="1777"/>
      <c r="F42" s="1780"/>
      <c r="G42" s="1761"/>
      <c r="H42" s="1884">
        <f>128*17+64+3</f>
        <v>2243</v>
      </c>
      <c r="I42" s="504">
        <v>190019</v>
      </c>
      <c r="J42" s="707">
        <v>0.21160000000000001</v>
      </c>
      <c r="K42" s="707"/>
      <c r="L42" s="707"/>
      <c r="M42" s="707"/>
      <c r="N42" s="707"/>
      <c r="O42" s="707"/>
      <c r="P42" s="1456"/>
      <c r="Q42" s="1456"/>
      <c r="R42" s="504">
        <v>190019</v>
      </c>
      <c r="S42" s="1799">
        <f>128*9+57</f>
        <v>1209</v>
      </c>
      <c r="T42" s="498">
        <v>200020</v>
      </c>
      <c r="U42" s="1809">
        <f>128*9+81+0.212</f>
        <v>1233.212</v>
      </c>
      <c r="V42" s="1589"/>
      <c r="W42" s="1589"/>
      <c r="X42" s="1589"/>
      <c r="Y42" s="1589"/>
      <c r="Z42" s="1825">
        <f>128*9+74</f>
        <v>1226</v>
      </c>
      <c r="AA42" s="1589"/>
      <c r="AB42" s="1815"/>
      <c r="AC42" s="1815"/>
      <c r="AD42" s="1163">
        <v>200043</v>
      </c>
      <c r="AE42" s="504">
        <v>200020</v>
      </c>
      <c r="AF42" s="498">
        <v>200020</v>
      </c>
      <c r="AG42" s="1162">
        <f>128*9+81+0.212</f>
        <v>1233.212</v>
      </c>
      <c r="AH42" s="1160"/>
      <c r="AI42" s="1160"/>
      <c r="AJ42" s="1160"/>
      <c r="AK42" s="1160"/>
      <c r="AL42" s="1828">
        <f>128*9+74</f>
        <v>1226</v>
      </c>
      <c r="AM42" s="1160"/>
      <c r="AN42" s="1814"/>
      <c r="AO42" s="1814"/>
      <c r="AP42" s="1163">
        <v>200043</v>
      </c>
      <c r="AQ42" s="504">
        <v>200020</v>
      </c>
      <c r="AR42" s="1685">
        <f>128*12+1</f>
        <v>1537</v>
      </c>
      <c r="AS42" s="1394"/>
      <c r="AT42" s="770">
        <f>128*4+34</f>
        <v>546</v>
      </c>
      <c r="AU42" s="504"/>
      <c r="AV42" s="1394">
        <f>128*9+24+0.5+0.256+0.027</f>
        <v>1176.7830000000001</v>
      </c>
      <c r="AW42" s="498">
        <v>200020</v>
      </c>
      <c r="AX42" s="498">
        <v>200020</v>
      </c>
      <c r="AY42" s="504">
        <v>20</v>
      </c>
      <c r="AZ42" s="504">
        <v>20</v>
      </c>
      <c r="BA42" s="504">
        <v>20</v>
      </c>
      <c r="BB42" s="779">
        <f>42+0.065</f>
        <v>42.064999999999998</v>
      </c>
      <c r="BC42" s="1184">
        <f t="shared" ref="BC42:BH42" si="10">128*4+34</f>
        <v>546</v>
      </c>
      <c r="BD42" s="1184">
        <f t="shared" si="10"/>
        <v>546</v>
      </c>
      <c r="BE42" s="1184">
        <f t="shared" si="10"/>
        <v>546</v>
      </c>
      <c r="BF42" s="1184">
        <f t="shared" si="10"/>
        <v>546</v>
      </c>
      <c r="BG42" s="1184">
        <f t="shared" si="10"/>
        <v>546</v>
      </c>
      <c r="BH42" s="1184">
        <f t="shared" si="10"/>
        <v>546</v>
      </c>
      <c r="BI42" s="504">
        <v>200020</v>
      </c>
      <c r="BJ42" s="1180"/>
      <c r="BK42" s="498">
        <v>200020</v>
      </c>
      <c r="BL42" s="498">
        <v>200020</v>
      </c>
      <c r="BM42" s="509"/>
      <c r="BN42" s="509">
        <f>128*3+32</f>
        <v>416</v>
      </c>
      <c r="BO42" s="526"/>
      <c r="BP42" s="514"/>
      <c r="BQ42" s="514"/>
      <c r="BR42" s="526">
        <f>128*3+32</f>
        <v>416</v>
      </c>
      <c r="BS42" s="815"/>
      <c r="BT42" s="498">
        <v>200020</v>
      </c>
      <c r="BU42" s="1157"/>
      <c r="BV42" s="1185">
        <f>10000*20+128*9+76</f>
        <v>201228</v>
      </c>
      <c r="BW42" s="750"/>
      <c r="BX42" s="1185">
        <f>128*9+85</f>
        <v>1237</v>
      </c>
      <c r="BY42" s="750"/>
      <c r="BZ42" s="750">
        <f>128*9+35</f>
        <v>1187</v>
      </c>
      <c r="CA42" s="750"/>
      <c r="CB42" s="750"/>
      <c r="CC42" s="498">
        <v>200020</v>
      </c>
      <c r="CD42" s="2937"/>
      <c r="CE42" s="2938"/>
      <c r="CF42" s="541">
        <f>200000+128*4+34</f>
        <v>200546</v>
      </c>
      <c r="CG42" s="500"/>
      <c r="CH42" s="500">
        <f>0.5+0.256+0.035</f>
        <v>0.79100000000000004</v>
      </c>
      <c r="CI42" s="500"/>
      <c r="CJ42" s="802">
        <f>128*9+83</f>
        <v>1235</v>
      </c>
      <c r="CK42" s="1159">
        <f>128*9+78</f>
        <v>1230</v>
      </c>
      <c r="CL42" s="504">
        <v>200043</v>
      </c>
      <c r="CM42" s="1162">
        <f>128*9+78</f>
        <v>1230</v>
      </c>
      <c r="CN42" s="500"/>
      <c r="CO42" s="500"/>
      <c r="CP42" s="1804"/>
      <c r="CQ42" s="1166">
        <f>110000+128*11+3</f>
        <v>111411</v>
      </c>
      <c r="CR42" s="1805">
        <v>200043</v>
      </c>
      <c r="DI42" s="499"/>
      <c r="DJ42" s="499"/>
      <c r="IU42" s="1616"/>
    </row>
    <row r="43" spans="1:256" ht="9" customHeight="1" thickTop="1" thickBot="1">
      <c r="A43" s="1449">
        <v>200019</v>
      </c>
      <c r="B43" s="707"/>
      <c r="C43" s="1761"/>
      <c r="D43" s="1779">
        <f>128*9+17</f>
        <v>1169</v>
      </c>
      <c r="E43" s="1777"/>
      <c r="F43" s="1780"/>
      <c r="G43" s="1761"/>
      <c r="H43" s="707"/>
      <c r="I43" s="504">
        <v>190019</v>
      </c>
      <c r="J43" s="1456"/>
      <c r="K43" s="1456"/>
      <c r="L43" s="1456"/>
      <c r="M43" s="1456"/>
      <c r="N43" s="707">
        <v>0.2114</v>
      </c>
      <c r="O43" s="707"/>
      <c r="P43" s="707">
        <v>0.21160000000000001</v>
      </c>
      <c r="Q43" s="504">
        <v>190019</v>
      </c>
      <c r="R43" s="504">
        <v>190019</v>
      </c>
      <c r="S43" s="1800">
        <f>128*9+57</f>
        <v>1209</v>
      </c>
      <c r="T43" s="1808">
        <f>200020+0.209</f>
        <v>200020.209</v>
      </c>
      <c r="U43" s="1589"/>
      <c r="V43" s="1589"/>
      <c r="W43" s="1589"/>
      <c r="X43" s="1589"/>
      <c r="Y43" s="1589">
        <f>128*6+115</f>
        <v>883</v>
      </c>
      <c r="Z43" s="498">
        <v>200020</v>
      </c>
      <c r="AA43" s="1589"/>
      <c r="AB43" s="1589"/>
      <c r="AC43" s="1589"/>
      <c r="AD43" s="504">
        <v>200020</v>
      </c>
      <c r="AE43" s="504">
        <v>200020</v>
      </c>
      <c r="AF43" s="1813">
        <f>200020+0.209</f>
        <v>200020.209</v>
      </c>
      <c r="AG43" s="1160"/>
      <c r="AH43" s="1160"/>
      <c r="AI43" s="1885">
        <f>128*17+64+3</f>
        <v>2243</v>
      </c>
      <c r="AJ43" s="1160"/>
      <c r="AK43" s="1160">
        <f>128*6+195</f>
        <v>963</v>
      </c>
      <c r="AL43" s="498">
        <v>200020</v>
      </c>
      <c r="AM43" s="1160"/>
      <c r="AN43" s="1160"/>
      <c r="AO43" s="1160"/>
      <c r="AP43" s="504">
        <v>200020</v>
      </c>
      <c r="AQ43" s="504">
        <v>200020</v>
      </c>
      <c r="AR43" s="1394"/>
      <c r="AS43" s="1394"/>
      <c r="AT43" s="770">
        <f>128*4+39</f>
        <v>551</v>
      </c>
      <c r="AU43" s="1394"/>
      <c r="AV43" s="504"/>
      <c r="AW43" s="498">
        <v>200020</v>
      </c>
      <c r="AX43" s="2154">
        <f>128*17+2+0.384+0.0039</f>
        <v>2178.3879000000002</v>
      </c>
      <c r="AY43" s="2154">
        <f>128*17+4+0.384+0.003</f>
        <v>2180.3870000000002</v>
      </c>
      <c r="AZ43" s="2154">
        <f>128*17+3</f>
        <v>2179</v>
      </c>
      <c r="BA43" s="2154">
        <f>128*17+3</f>
        <v>2179</v>
      </c>
      <c r="BB43" s="1186">
        <f>128+42</f>
        <v>170</v>
      </c>
      <c r="BC43" s="1180">
        <v>0.13900000000000001</v>
      </c>
      <c r="BD43" s="1180"/>
      <c r="BE43" s="1180"/>
      <c r="BF43" s="1180"/>
      <c r="BG43" s="1180"/>
      <c r="BH43" s="1187">
        <f>128*9+66+0.185</f>
        <v>1218.1849999999999</v>
      </c>
      <c r="BI43" s="504">
        <v>200020</v>
      </c>
      <c r="BJ43" s="1180"/>
      <c r="BK43" s="498">
        <v>200020</v>
      </c>
      <c r="BL43" s="498">
        <v>200020</v>
      </c>
      <c r="BM43" s="498">
        <f>10000*24+24</f>
        <v>240024</v>
      </c>
      <c r="BN43" s="1188">
        <f>10000*24+0.256+0.002</f>
        <v>240000.258</v>
      </c>
      <c r="BO43" s="1155">
        <f>10000*24+128*4+5</f>
        <v>240517</v>
      </c>
      <c r="BP43" s="509"/>
      <c r="BQ43" s="815"/>
      <c r="BR43" s="950">
        <f>10000*24+24</f>
        <v>240024</v>
      </c>
      <c r="BS43" s="771">
        <f>10000*24+24</f>
        <v>240024</v>
      </c>
      <c r="BT43" s="498">
        <v>200020</v>
      </c>
      <c r="BU43" s="1182"/>
      <c r="BV43" s="1185">
        <f>10000*20+128*9+76</f>
        <v>201228</v>
      </c>
      <c r="BW43" s="750">
        <f>128*10+1</f>
        <v>1281</v>
      </c>
      <c r="BX43" s="758">
        <f>128*9+85</f>
        <v>1237</v>
      </c>
      <c r="BY43" s="750"/>
      <c r="BZ43" s="750"/>
      <c r="CA43" s="750"/>
      <c r="CB43" s="750"/>
      <c r="CC43" s="1170">
        <f>10000*20+128*4+34</f>
        <v>200546</v>
      </c>
      <c r="CD43" s="2937"/>
      <c r="CE43" s="2938"/>
      <c r="CF43" s="498">
        <v>200020</v>
      </c>
      <c r="CG43" s="803">
        <f>128*9+48+0.122</f>
        <v>1200.1220000000001</v>
      </c>
      <c r="CH43" s="500">
        <f>128*8+2</f>
        <v>1026</v>
      </c>
      <c r="CI43" s="541">
        <f>128*9+26+0.145</f>
        <v>1178.145</v>
      </c>
      <c r="CJ43" s="504">
        <v>200043</v>
      </c>
      <c r="CK43" s="1160">
        <f>128*9+77</f>
        <v>1229</v>
      </c>
      <c r="CL43" s="498">
        <v>200043</v>
      </c>
      <c r="CM43" s="1160">
        <f>128*9+77</f>
        <v>1229</v>
      </c>
      <c r="CN43" s="498">
        <v>200043</v>
      </c>
      <c r="CO43" s="803">
        <f>128*9+82+0.213</f>
        <v>1234.213</v>
      </c>
      <c r="CP43" s="1804"/>
      <c r="CQ43" s="1804"/>
      <c r="CR43" s="1805">
        <v>200043</v>
      </c>
      <c r="DI43" s="499"/>
      <c r="DJ43" s="499"/>
      <c r="IU43" s="1616"/>
    </row>
    <row r="44" spans="1:256" ht="9" customHeight="1" thickTop="1" thickBot="1">
      <c r="A44" s="1449">
        <v>200019</v>
      </c>
      <c r="B44" s="1884">
        <f>128*17+64+4</f>
        <v>2244</v>
      </c>
      <c r="C44" s="1761"/>
      <c r="D44" s="1777"/>
      <c r="E44" s="1777"/>
      <c r="F44" s="2263">
        <v>24</v>
      </c>
      <c r="G44" s="1761"/>
      <c r="H44" s="707"/>
      <c r="I44" s="504">
        <v>190019</v>
      </c>
      <c r="J44" s="504">
        <v>190019</v>
      </c>
      <c r="K44" s="504">
        <v>190019</v>
      </c>
      <c r="L44" s="504">
        <v>190019</v>
      </c>
      <c r="M44" s="527">
        <f>128*4+39+0.256+0.0081</f>
        <v>551.26409999999998</v>
      </c>
      <c r="N44" s="504">
        <v>190019</v>
      </c>
      <c r="O44" s="1184">
        <f>128*5+38+0.1845</f>
        <v>678.18449999999996</v>
      </c>
      <c r="P44" s="504">
        <v>190019</v>
      </c>
      <c r="Q44" s="1789"/>
      <c r="R44" s="504">
        <v>190019</v>
      </c>
      <c r="S44" s="1801">
        <f>128*9+57</f>
        <v>1209</v>
      </c>
      <c r="T44" s="498">
        <v>200020</v>
      </c>
      <c r="U44" s="1809">
        <f>128*9+74</f>
        <v>1226</v>
      </c>
      <c r="V44" s="1589"/>
      <c r="W44" s="1589"/>
      <c r="X44" s="1589"/>
      <c r="Y44" s="1810">
        <f>128*9+74</f>
        <v>1226</v>
      </c>
      <c r="Z44" s="498">
        <v>200020</v>
      </c>
      <c r="AA44" s="1809">
        <f>128*9+81+0.212</f>
        <v>1233.212</v>
      </c>
      <c r="AB44" s="1815"/>
      <c r="AC44" s="1815"/>
      <c r="AD44" s="1163">
        <v>200043</v>
      </c>
      <c r="AE44" s="504">
        <v>200020</v>
      </c>
      <c r="AF44" s="498">
        <v>200020</v>
      </c>
      <c r="AG44" s="1157">
        <f>128*9+74</f>
        <v>1226</v>
      </c>
      <c r="AH44" s="1160"/>
      <c r="AI44" s="1160"/>
      <c r="AJ44" s="1160"/>
      <c r="AK44" s="1158">
        <f>128*9+74</f>
        <v>1226</v>
      </c>
      <c r="AL44" s="498">
        <v>200020</v>
      </c>
      <c r="AM44" s="1160"/>
      <c r="AN44" s="1816"/>
      <c r="AO44" s="1816"/>
      <c r="AP44" s="752">
        <v>200043</v>
      </c>
      <c r="AQ44" s="498">
        <v>200020</v>
      </c>
      <c r="AR44" s="504"/>
      <c r="AS44" s="504"/>
      <c r="AT44" s="770">
        <f>128*4+34</f>
        <v>546</v>
      </c>
      <c r="AU44" s="1394"/>
      <c r="AV44" s="1686">
        <f>128*12+2</f>
        <v>1538</v>
      </c>
      <c r="AW44" s="498">
        <v>200020</v>
      </c>
      <c r="AX44" s="2154">
        <f>128*17+2+0.384+0.0049</f>
        <v>2178.3888999999999</v>
      </c>
      <c r="AY44" s="2154">
        <f>128*17+4+0.384+0.002</f>
        <v>2180.386</v>
      </c>
      <c r="AZ44" s="2154">
        <f>128*17+3</f>
        <v>2179</v>
      </c>
      <c r="BA44" s="2154">
        <f>128*17+3</f>
        <v>2179</v>
      </c>
      <c r="BB44" s="1189">
        <f>128+42</f>
        <v>170</v>
      </c>
      <c r="BC44" s="1180"/>
      <c r="BD44" s="1180"/>
      <c r="BE44" s="1180"/>
      <c r="BF44" s="1180"/>
      <c r="BG44" s="1180"/>
      <c r="BH44" s="1187">
        <f>128*9+66+0.185</f>
        <v>1218.1849999999999</v>
      </c>
      <c r="BI44" s="504">
        <v>200020</v>
      </c>
      <c r="BJ44" s="1180"/>
      <c r="BK44" s="498">
        <v>200020</v>
      </c>
      <c r="BL44" s="810">
        <f>128*9+1+0.256+0.015</f>
        <v>1153.2710000000002</v>
      </c>
      <c r="BM44" s="771">
        <f>10000*24+24</f>
        <v>240024</v>
      </c>
      <c r="BN44" s="771">
        <f>10000*24+24</f>
        <v>240024</v>
      </c>
      <c r="BO44" s="771">
        <f>10000*24+24</f>
        <v>240024</v>
      </c>
      <c r="BP44" s="771">
        <v>420042</v>
      </c>
      <c r="BQ44" s="771">
        <v>420042</v>
      </c>
      <c r="BR44" s="771">
        <f>10000*24+24</f>
        <v>240024</v>
      </c>
      <c r="BS44" s="771">
        <f>10000*24+24</f>
        <v>240024</v>
      </c>
      <c r="BT44" s="498">
        <v>200020</v>
      </c>
      <c r="BU44" s="1182"/>
      <c r="BV44" s="1185">
        <f>10000*20+128*9+76</f>
        <v>201228</v>
      </c>
      <c r="BW44" s="750"/>
      <c r="BX44" s="751">
        <f>128*9+86</f>
        <v>1238</v>
      </c>
      <c r="BY44" s="1169">
        <f>128*9+85</f>
        <v>1237</v>
      </c>
      <c r="BZ44" s="1169">
        <f>128*9+85</f>
        <v>1237</v>
      </c>
      <c r="CA44" s="1183">
        <f>128*9+86</f>
        <v>1238</v>
      </c>
      <c r="CB44" s="750"/>
      <c r="CC44" s="498">
        <v>200020</v>
      </c>
      <c r="CD44" s="2937"/>
      <c r="CE44" s="2938"/>
      <c r="CF44" s="1945">
        <f>200000+128*5+30</f>
        <v>200670</v>
      </c>
      <c r="CG44" s="500"/>
      <c r="CH44" s="500"/>
      <c r="CI44" s="804">
        <f>128*9+48+0.122</f>
        <v>1200.1220000000001</v>
      </c>
      <c r="CJ44" s="766">
        <v>200043</v>
      </c>
      <c r="CK44" s="1177">
        <f>200000+128*9+77</f>
        <v>201229</v>
      </c>
      <c r="CL44" s="1177">
        <v>200043</v>
      </c>
      <c r="CM44" s="1177">
        <f>430000+128*9+77</f>
        <v>431229</v>
      </c>
      <c r="CN44" s="766">
        <v>200043</v>
      </c>
      <c r="CO44" s="803">
        <f>128*9+81+0.212</f>
        <v>1233.212</v>
      </c>
      <c r="CP44" s="500"/>
      <c r="CQ44" s="802">
        <f>128*9+26+0.173</f>
        <v>1178.173</v>
      </c>
      <c r="CR44" s="504">
        <v>200043</v>
      </c>
      <c r="DI44" s="499"/>
      <c r="DJ44" s="499"/>
    </row>
    <row r="45" spans="1:256" ht="9" customHeight="1" thickTop="1" thickBot="1">
      <c r="A45" s="1449">
        <v>200019</v>
      </c>
      <c r="B45" s="707"/>
      <c r="C45" s="1761"/>
      <c r="D45" s="1777"/>
      <c r="E45" s="1777"/>
      <c r="F45" s="1777"/>
      <c r="G45" s="1761">
        <v>42</v>
      </c>
      <c r="H45" s="707">
        <v>42</v>
      </c>
      <c r="I45" s="523">
        <v>190019</v>
      </c>
      <c r="J45" s="523">
        <v>190019</v>
      </c>
      <c r="K45" s="1873">
        <f>0.256+0.008</f>
        <v>0.26400000000000001</v>
      </c>
      <c r="L45" s="523">
        <v>190019</v>
      </c>
      <c r="M45" s="1874">
        <f>128+19</f>
        <v>147</v>
      </c>
      <c r="N45" s="1820">
        <f>500000+128+19</f>
        <v>500147</v>
      </c>
      <c r="O45" s="1789"/>
      <c r="P45" s="504">
        <v>190019</v>
      </c>
      <c r="Q45" s="1789"/>
      <c r="R45" s="504">
        <v>190019</v>
      </c>
      <c r="S45" s="1789"/>
      <c r="T45" s="498">
        <v>190019</v>
      </c>
      <c r="U45" s="1802">
        <f>200020+0.136</f>
        <v>200020.136</v>
      </c>
      <c r="V45" s="1798">
        <f>10000*50+128*9+72+0.207</f>
        <v>501224.20699999999</v>
      </c>
      <c r="W45" s="1798">
        <f>10000*20+128*9+72+0.207</f>
        <v>201224.20699999999</v>
      </c>
      <c r="X45" s="1798">
        <f>10000*50+128*9+72+0.207</f>
        <v>501224.20699999999</v>
      </c>
      <c r="Y45" s="1802">
        <f>200020+0.136</f>
        <v>200020.136</v>
      </c>
      <c r="Z45" s="505">
        <v>200020</v>
      </c>
      <c r="AA45" s="1809">
        <f>128*9+82+0.213</f>
        <v>1234.213</v>
      </c>
      <c r="AB45" s="1815"/>
      <c r="AC45" s="1166">
        <f>110000+128*11+11</f>
        <v>111419</v>
      </c>
      <c r="AD45" s="1163">
        <v>200043</v>
      </c>
      <c r="AE45" s="504">
        <v>200020</v>
      </c>
      <c r="AF45" s="498">
        <v>190019</v>
      </c>
      <c r="AG45" s="1802">
        <f>200020+0.136</f>
        <v>200020.136</v>
      </c>
      <c r="AH45" s="1798">
        <f>10000*50+128*9+72+0.207</f>
        <v>501224.20699999999</v>
      </c>
      <c r="AI45" s="1798">
        <f>10000*20+128*9+72+0.207</f>
        <v>201224.20699999999</v>
      </c>
      <c r="AJ45" s="1798">
        <f>10000*50+128*9+72+0.207</f>
        <v>501224.20699999999</v>
      </c>
      <c r="AK45" s="1802">
        <f>200020+0.136</f>
        <v>200020.136</v>
      </c>
      <c r="AL45" s="505">
        <v>200020</v>
      </c>
      <c r="AM45" s="1157">
        <f>128*9+81+0.212</f>
        <v>1233.212</v>
      </c>
      <c r="AN45" s="1816"/>
      <c r="AO45" s="1812">
        <f>110000</f>
        <v>110000</v>
      </c>
      <c r="AP45" s="752">
        <v>200043</v>
      </c>
      <c r="AQ45" s="498">
        <v>200020</v>
      </c>
      <c r="AR45" s="498">
        <f>200000+128*5+37</f>
        <v>200677</v>
      </c>
      <c r="AS45" s="498">
        <v>200020</v>
      </c>
      <c r="AT45" s="498">
        <v>200020</v>
      </c>
      <c r="AU45" s="498">
        <v>200020</v>
      </c>
      <c r="AV45" s="498">
        <v>200020</v>
      </c>
      <c r="AW45" s="951">
        <v>200020</v>
      </c>
      <c r="AX45" s="951">
        <v>200020</v>
      </c>
      <c r="AY45" s="951">
        <f>420005</f>
        <v>420005</v>
      </c>
      <c r="AZ45" s="951">
        <f>420005+0.11</f>
        <v>420005.11</v>
      </c>
      <c r="BA45" s="950">
        <v>200020</v>
      </c>
      <c r="BB45" s="950">
        <v>420042</v>
      </c>
      <c r="BC45" s="498">
        <v>200020</v>
      </c>
      <c r="BD45" s="498">
        <v>200020</v>
      </c>
      <c r="BE45" s="498">
        <v>200020</v>
      </c>
      <c r="BF45" s="498">
        <v>200020</v>
      </c>
      <c r="BG45" s="707">
        <f>10000*20+128*5+40</f>
        <v>200680</v>
      </c>
      <c r="BH45" s="504">
        <v>200020</v>
      </c>
      <c r="BI45" s="504">
        <v>200020</v>
      </c>
      <c r="BJ45" s="1180"/>
      <c r="BK45" s="498">
        <v>200020</v>
      </c>
      <c r="BL45" s="1695">
        <f>128*9+1</f>
        <v>1153</v>
      </c>
      <c r="BM45" s="1694"/>
      <c r="BN45" s="498">
        <v>200020</v>
      </c>
      <c r="BO45" s="771">
        <f>10000*49+20</f>
        <v>490020</v>
      </c>
      <c r="BP45" s="771">
        <f>10000*49+20</f>
        <v>490020</v>
      </c>
      <c r="BQ45" s="771">
        <f>10000*49+20</f>
        <v>490020</v>
      </c>
      <c r="BR45" s="498">
        <v>200020</v>
      </c>
      <c r="BS45" s="498">
        <v>200020</v>
      </c>
      <c r="BT45" s="498">
        <v>200020</v>
      </c>
      <c r="BU45" s="1182"/>
      <c r="BV45" s="1169">
        <v>200043</v>
      </c>
      <c r="BW45" s="756">
        <f>10000*20+128*9+76</f>
        <v>201228</v>
      </c>
      <c r="BX45" s="1170">
        <f>10000*20+128*9+67</f>
        <v>201219</v>
      </c>
      <c r="BY45" s="1190">
        <f>10000*20+128*9+67</f>
        <v>201219</v>
      </c>
      <c r="BZ45" s="756">
        <f>10000*20+128*9+76</f>
        <v>201228</v>
      </c>
      <c r="CA45" s="756">
        <v>200043</v>
      </c>
      <c r="CB45" s="756">
        <f>10000*20+128*5+41</f>
        <v>200681</v>
      </c>
      <c r="CC45" s="498">
        <v>200020</v>
      </c>
      <c r="CD45" s="2937"/>
      <c r="CE45" s="2938"/>
      <c r="CF45" s="498">
        <v>200020</v>
      </c>
      <c r="CG45" s="498">
        <v>200043</v>
      </c>
      <c r="CH45" s="500">
        <f>128*5+41</f>
        <v>681</v>
      </c>
      <c r="CI45" s="498">
        <v>200043</v>
      </c>
      <c r="CJ45" s="766">
        <v>200043</v>
      </c>
      <c r="CK45" s="1191">
        <f>128*9+31+0.184</f>
        <v>1183.184</v>
      </c>
      <c r="CL45" s="817">
        <f>430000+43+0.184</f>
        <v>430043.18400000001</v>
      </c>
      <c r="CM45" s="1192"/>
      <c r="CN45" s="766">
        <f>430043</f>
        <v>430043</v>
      </c>
      <c r="CO45" s="498">
        <v>200043</v>
      </c>
      <c r="CP45" s="500">
        <f>128*5+41</f>
        <v>681</v>
      </c>
      <c r="CQ45" s="498">
        <v>200043</v>
      </c>
      <c r="CR45" s="504">
        <v>200043</v>
      </c>
      <c r="DI45" s="499"/>
      <c r="DJ45" s="499"/>
    </row>
    <row r="46" spans="1:256" ht="9" customHeight="1" thickTop="1" thickBot="1">
      <c r="A46" s="1449">
        <v>200019</v>
      </c>
      <c r="B46" s="707"/>
      <c r="C46" s="1761"/>
      <c r="D46" s="2263">
        <v>24</v>
      </c>
      <c r="E46" s="1779">
        <f>128*9+17</f>
        <v>1169</v>
      </c>
      <c r="F46" s="1777"/>
      <c r="G46" s="1761">
        <v>42</v>
      </c>
      <c r="H46" s="707"/>
      <c r="I46" s="1789"/>
      <c r="J46" s="1791">
        <f>128*2+42</f>
        <v>298</v>
      </c>
      <c r="K46" s="1789"/>
      <c r="L46" s="504">
        <v>190019</v>
      </c>
      <c r="M46" s="504">
        <v>190019</v>
      </c>
      <c r="N46" s="505">
        <v>500019</v>
      </c>
      <c r="O46" s="1789"/>
      <c r="P46" s="504">
        <v>190019</v>
      </c>
      <c r="Q46" s="1538">
        <f>128*2+42</f>
        <v>298</v>
      </c>
      <c r="R46" s="504">
        <v>190019</v>
      </c>
      <c r="S46" s="1789"/>
      <c r="T46" s="498">
        <v>190019</v>
      </c>
      <c r="U46" s="514"/>
      <c r="V46" s="514"/>
      <c r="W46" s="514"/>
      <c r="X46" s="514"/>
      <c r="Y46" s="514"/>
      <c r="Z46" s="1797">
        <f>500000+128*4+34</f>
        <v>500546</v>
      </c>
      <c r="AA46" s="1589"/>
      <c r="AB46" s="1815"/>
      <c r="AC46" s="1815"/>
      <c r="AD46" s="1163">
        <v>200043</v>
      </c>
      <c r="AE46" s="504">
        <v>200020</v>
      </c>
      <c r="AF46" s="498">
        <v>190019</v>
      </c>
      <c r="AG46" s="1210"/>
      <c r="AH46" s="1210">
        <f>128*14+13</f>
        <v>1805</v>
      </c>
      <c r="AI46" s="1210">
        <f>128*14+13</f>
        <v>1805</v>
      </c>
      <c r="AJ46" s="1210">
        <f>128*14+13</f>
        <v>1805</v>
      </c>
      <c r="AK46" s="1819"/>
      <c r="AL46" s="1797">
        <f>500000+128*4+34</f>
        <v>500546</v>
      </c>
      <c r="AM46" s="1157">
        <f>128*9+82</f>
        <v>1234</v>
      </c>
      <c r="AN46" s="1816"/>
      <c r="AO46" s="1816"/>
      <c r="AP46" s="752">
        <v>200043</v>
      </c>
      <c r="AQ46" s="498">
        <v>200020</v>
      </c>
      <c r="AR46" s="1679">
        <f>128*6+3+0.2114</f>
        <v>771.21140000000003</v>
      </c>
      <c r="AS46" s="1679">
        <f>128*6+3</f>
        <v>771</v>
      </c>
      <c r="AT46" s="1680">
        <f>128*9+6+0.384+0.0027</f>
        <v>1158.3867</v>
      </c>
      <c r="AU46" s="1679">
        <f>128*6+3+0.0037</f>
        <v>771.00369999999998</v>
      </c>
      <c r="AV46" s="1680">
        <f>128*8+2+0.384+0.0037</f>
        <v>1026.3877</v>
      </c>
      <c r="AW46" s="1682">
        <f>128*8+2+0.384+0.0037</f>
        <v>1026.3877</v>
      </c>
      <c r="AX46" s="1684">
        <f>128*6+3</f>
        <v>771</v>
      </c>
      <c r="AY46" s="541">
        <f t="shared" ref="AY46:AZ50" si="11">128*4+34</f>
        <v>546</v>
      </c>
      <c r="AZ46" s="801">
        <f t="shared" si="11"/>
        <v>546</v>
      </c>
      <c r="BA46" s="1647"/>
      <c r="BB46" s="1645"/>
      <c r="BC46" s="1645"/>
      <c r="BD46" s="1645"/>
      <c r="BE46" s="1652"/>
      <c r="BF46" s="498">
        <v>200020</v>
      </c>
      <c r="BG46" s="1193"/>
      <c r="BH46" s="1180"/>
      <c r="BI46" s="1180"/>
      <c r="BJ46" s="1193"/>
      <c r="BK46" s="498">
        <v>200020</v>
      </c>
      <c r="BL46" s="498">
        <v>200020</v>
      </c>
      <c r="BM46" s="840">
        <f>200000+128*9+2</f>
        <v>201154</v>
      </c>
      <c r="BN46" s="498">
        <v>200020</v>
      </c>
      <c r="BO46" s="1687">
        <f>128*12+1</f>
        <v>1537</v>
      </c>
      <c r="BP46" s="786"/>
      <c r="BQ46" s="790">
        <f>128*9+1</f>
        <v>1153</v>
      </c>
      <c r="BR46" s="1691">
        <f>128*9+74</f>
        <v>1226</v>
      </c>
      <c r="BS46" s="1691">
        <f>128*9+74</f>
        <v>1226</v>
      </c>
      <c r="BT46" s="498">
        <v>200020</v>
      </c>
      <c r="BU46" s="1182"/>
      <c r="BV46" s="1182"/>
      <c r="BW46" s="1182"/>
      <c r="BX46" s="1182"/>
      <c r="BY46" s="1182"/>
      <c r="BZ46" s="1162">
        <f>0.384+0.004</f>
        <v>0.38800000000000001</v>
      </c>
      <c r="CA46" s="1182"/>
      <c r="CB46" s="1194"/>
      <c r="CC46" s="791">
        <v>200020</v>
      </c>
      <c r="CD46" s="2937"/>
      <c r="CE46" s="2938"/>
      <c r="CF46" s="1944">
        <f>200000+128*5+37</f>
        <v>200677</v>
      </c>
      <c r="CG46" s="500"/>
      <c r="CH46" s="500"/>
      <c r="CI46" s="1195">
        <f>128*9+28+0.148</f>
        <v>1180.1479999999999</v>
      </c>
      <c r="CJ46" s="766">
        <v>200043</v>
      </c>
      <c r="CK46" s="1196"/>
      <c r="CL46" s="766">
        <f>10000*20+43+0.1504</f>
        <v>200043.15040000001</v>
      </c>
      <c r="CM46" s="1177">
        <f>430000+128*9+58</f>
        <v>431210</v>
      </c>
      <c r="CN46" s="766">
        <v>200043</v>
      </c>
      <c r="CO46" s="1160">
        <f>0.115</f>
        <v>0.115</v>
      </c>
      <c r="CP46" s="1160"/>
      <c r="CQ46" s="1159">
        <f>128*9+48+0.122</f>
        <v>1200.1220000000001</v>
      </c>
      <c r="CR46" s="955">
        <v>200020</v>
      </c>
      <c r="DI46" s="499"/>
      <c r="DJ46" s="499"/>
    </row>
    <row r="47" spans="1:256" ht="9" customHeight="1" thickTop="1" thickBot="1">
      <c r="A47" s="1449">
        <v>200019</v>
      </c>
      <c r="B47" s="707"/>
      <c r="C47" s="1761"/>
      <c r="D47" s="1780"/>
      <c r="E47" s="1777"/>
      <c r="F47" s="1777"/>
      <c r="G47" s="1761">
        <v>42</v>
      </c>
      <c r="H47" s="707">
        <v>42</v>
      </c>
      <c r="I47" s="504">
        <v>13</v>
      </c>
      <c r="J47" s="504">
        <v>13</v>
      </c>
      <c r="K47" s="1789"/>
      <c r="L47" s="1789">
        <f>128*2+42</f>
        <v>298</v>
      </c>
      <c r="M47" s="1789"/>
      <c r="N47" s="505">
        <v>500019</v>
      </c>
      <c r="O47" s="1789"/>
      <c r="P47" s="1789"/>
      <c r="Q47" s="1789"/>
      <c r="R47" s="1789"/>
      <c r="S47" s="1789"/>
      <c r="T47" s="498">
        <v>190019</v>
      </c>
      <c r="U47" s="503">
        <f>0.0018</f>
        <v>1.8E-3</v>
      </c>
      <c r="V47" s="503"/>
      <c r="W47" s="503"/>
      <c r="X47" s="503"/>
      <c r="Y47" s="514"/>
      <c r="Z47" s="1797">
        <f>200000+128*4+34</f>
        <v>200546</v>
      </c>
      <c r="AA47" s="1589"/>
      <c r="AB47" s="1589"/>
      <c r="AC47" s="1589"/>
      <c r="AD47" s="504">
        <v>200020</v>
      </c>
      <c r="AE47" s="504">
        <v>200020</v>
      </c>
      <c r="AF47" s="1817">
        <v>190019</v>
      </c>
      <c r="AG47" s="1210"/>
      <c r="AH47" s="1210"/>
      <c r="AI47" s="1210"/>
      <c r="AJ47" s="1210"/>
      <c r="AK47" s="1819"/>
      <c r="AL47" s="1797">
        <f>200000+128*4+34</f>
        <v>200546</v>
      </c>
      <c r="AM47" s="1160"/>
      <c r="AN47" s="1160"/>
      <c r="AO47" s="1160"/>
      <c r="AP47" s="504">
        <v>200020</v>
      </c>
      <c r="AQ47" s="1683">
        <f>200020+0.065</f>
        <v>200020.065</v>
      </c>
      <c r="AR47" s="1681">
        <f>128*8+2+0.384+0.0039</f>
        <v>1026.3878999999999</v>
      </c>
      <c r="AS47" s="1667"/>
      <c r="AT47" s="1665"/>
      <c r="AU47" s="1665"/>
      <c r="AV47" s="1678"/>
      <c r="AW47" s="1667"/>
      <c r="AX47" s="1665"/>
      <c r="AY47" s="541">
        <f t="shared" si="11"/>
        <v>546</v>
      </c>
      <c r="AZ47" s="801">
        <f t="shared" si="11"/>
        <v>546</v>
      </c>
      <c r="BA47" s="1647"/>
      <c r="BB47" s="1499">
        <f>128*9+61</f>
        <v>1213</v>
      </c>
      <c r="BC47" s="1647"/>
      <c r="BD47" s="1499">
        <f>128*9+61</f>
        <v>1213</v>
      </c>
      <c r="BE47" s="1644"/>
      <c r="BF47" s="498">
        <v>200020</v>
      </c>
      <c r="BG47" s="498">
        <v>200020</v>
      </c>
      <c r="BH47" s="498">
        <v>200020</v>
      </c>
      <c r="BI47" s="498">
        <v>200020</v>
      </c>
      <c r="BJ47" s="498">
        <v>200020</v>
      </c>
      <c r="BK47" s="498">
        <v>200020</v>
      </c>
      <c r="BL47" s="498">
        <v>200020</v>
      </c>
      <c r="BM47" s="705"/>
      <c r="BN47" s="810">
        <f>200000+128*9+2</f>
        <v>201154</v>
      </c>
      <c r="BO47" s="1689"/>
      <c r="BP47" s="787"/>
      <c r="BQ47" s="1377">
        <f>128*9+1+0.256+0.04</f>
        <v>1153.296</v>
      </c>
      <c r="BR47" s="787"/>
      <c r="BS47" s="947"/>
      <c r="BT47" s="498">
        <v>200020</v>
      </c>
      <c r="BU47" s="1160">
        <f>128*9+21+0.5+0.0096</f>
        <v>1173.5096000000001</v>
      </c>
      <c r="BV47" s="1182"/>
      <c r="BW47" s="1162">
        <f>128*9+37+0.149</f>
        <v>1189.1489999999999</v>
      </c>
      <c r="BX47" s="1182"/>
      <c r="BY47" s="1182"/>
      <c r="BZ47" s="1182"/>
      <c r="CA47" s="1160">
        <v>0.1205</v>
      </c>
      <c r="CB47" s="1197">
        <f>128*9+20</f>
        <v>1172</v>
      </c>
      <c r="CC47" s="791">
        <v>200020</v>
      </c>
      <c r="CD47" s="2937"/>
      <c r="CE47" s="2938"/>
      <c r="CF47" s="498">
        <v>200020</v>
      </c>
      <c r="CG47" s="500"/>
      <c r="CH47" s="500"/>
      <c r="CI47" s="500">
        <v>0.13900000000000001</v>
      </c>
      <c r="CJ47" s="498">
        <v>200043</v>
      </c>
      <c r="CK47" s="1148">
        <f>200000+128*9+59</f>
        <v>201211</v>
      </c>
      <c r="CL47" s="1149">
        <f>128*9+58</f>
        <v>1210</v>
      </c>
      <c r="CM47" s="1177">
        <f>128*9+59</f>
        <v>1211</v>
      </c>
      <c r="CN47" s="1198">
        <f>10000*20+45+0.093</f>
        <v>200045.09299999999</v>
      </c>
      <c r="CO47" s="1160"/>
      <c r="CP47" s="1160"/>
      <c r="CQ47" s="1199">
        <f>128*9+46</f>
        <v>1198</v>
      </c>
      <c r="CR47" s="955">
        <v>200020</v>
      </c>
      <c r="DI47" s="499"/>
      <c r="DJ47" s="499"/>
    </row>
    <row r="48" spans="1:256" ht="9" customHeight="1" thickTop="1" thickBot="1">
      <c r="A48" s="1449">
        <v>200019</v>
      </c>
      <c r="B48" s="707">
        <v>42</v>
      </c>
      <c r="C48" s="1761"/>
      <c r="D48" s="1780"/>
      <c r="E48" s="1777"/>
      <c r="F48" s="1777"/>
      <c r="G48" s="1761">
        <v>42</v>
      </c>
      <c r="H48" s="707"/>
      <c r="I48" s="1789"/>
      <c r="J48" s="1791">
        <f>128*2+42</f>
        <v>298</v>
      </c>
      <c r="K48" s="1789"/>
      <c r="L48" s="504">
        <v>190019</v>
      </c>
      <c r="M48" s="504">
        <v>190019</v>
      </c>
      <c r="N48" s="505">
        <v>500019</v>
      </c>
      <c r="O48" s="1789"/>
      <c r="P48" s="504">
        <v>190019</v>
      </c>
      <c r="Q48" s="504">
        <v>190019</v>
      </c>
      <c r="R48" s="1538">
        <f>128*2+42</f>
        <v>298</v>
      </c>
      <c r="S48" s="752">
        <v>190019</v>
      </c>
      <c r="T48" s="498">
        <v>190019</v>
      </c>
      <c r="U48" s="518"/>
      <c r="Y48" s="514"/>
      <c r="Z48" s="1797">
        <f>500000+128*4+34</f>
        <v>500546</v>
      </c>
      <c r="AA48" s="1589"/>
      <c r="AB48" s="1815"/>
      <c r="AC48" s="1815"/>
      <c r="AD48" s="1163">
        <v>200043</v>
      </c>
      <c r="AE48" s="1207">
        <v>190019</v>
      </c>
      <c r="AF48" s="1817">
        <v>190019</v>
      </c>
      <c r="AG48" s="1210"/>
      <c r="AH48" s="1210"/>
      <c r="AI48" s="1210"/>
      <c r="AJ48" s="1210"/>
      <c r="AK48" s="1819"/>
      <c r="AL48" s="1797">
        <f>500000+128*4+34</f>
        <v>500546</v>
      </c>
      <c r="AM48" s="1160"/>
      <c r="AN48" s="1816"/>
      <c r="AO48" s="1816"/>
      <c r="AP48" s="752">
        <v>200043</v>
      </c>
      <c r="AQ48" s="498">
        <v>200020</v>
      </c>
      <c r="AR48" s="1664"/>
      <c r="AS48" s="1670"/>
      <c r="AT48" s="1670"/>
      <c r="AU48" s="1670"/>
      <c r="AV48" s="1670"/>
      <c r="AW48" s="1670"/>
      <c r="AX48" s="1665"/>
      <c r="AY48" s="541">
        <f t="shared" si="11"/>
        <v>546</v>
      </c>
      <c r="AZ48" s="801">
        <f t="shared" si="11"/>
        <v>546</v>
      </c>
      <c r="BA48" s="1647"/>
      <c r="BB48" s="1646"/>
      <c r="BC48" s="1653">
        <f>128*10+39</f>
        <v>1319</v>
      </c>
      <c r="BD48" s="1647"/>
      <c r="BE48" s="1645"/>
      <c r="BF48" s="1652"/>
      <c r="BG48" s="498">
        <v>200020</v>
      </c>
      <c r="BH48" s="511"/>
      <c r="BI48" s="511"/>
      <c r="BJ48" s="511"/>
      <c r="BK48" s="514"/>
      <c r="BL48" s="517">
        <v>200020</v>
      </c>
      <c r="BM48" s="784">
        <f>200000+128*9+2</f>
        <v>201154</v>
      </c>
      <c r="BN48" s="498">
        <v>200020</v>
      </c>
      <c r="BO48" s="1690">
        <f>128*9+74</f>
        <v>1226</v>
      </c>
      <c r="BP48" s="1690">
        <f>128*9+74</f>
        <v>1226</v>
      </c>
      <c r="BQ48" s="790">
        <f>128*9+1</f>
        <v>1153</v>
      </c>
      <c r="BR48" s="786"/>
      <c r="BS48" s="1688">
        <f>128*12+2</f>
        <v>1538</v>
      </c>
      <c r="BT48" s="498">
        <v>200020</v>
      </c>
      <c r="BU48" s="498">
        <v>43</v>
      </c>
      <c r="BV48" s="498">
        <v>43</v>
      </c>
      <c r="BW48" s="498">
        <v>43</v>
      </c>
      <c r="BX48" s="498">
        <v>43</v>
      </c>
      <c r="BY48" s="678">
        <f>43+0.058</f>
        <v>43.058</v>
      </c>
      <c r="BZ48" s="498">
        <v>43</v>
      </c>
      <c r="CA48" s="498">
        <v>43</v>
      </c>
      <c r="CB48" s="498">
        <v>43</v>
      </c>
      <c r="CC48" s="498">
        <v>200020</v>
      </c>
      <c r="CD48" s="2937"/>
      <c r="CE48" s="2938"/>
      <c r="CF48" s="541">
        <f>200000+128*4+34</f>
        <v>200546</v>
      </c>
      <c r="CG48" s="500"/>
      <c r="CH48" s="500"/>
      <c r="CI48" s="500"/>
      <c r="CJ48" s="498">
        <v>200043</v>
      </c>
      <c r="CK48" s="498">
        <v>200043</v>
      </c>
      <c r="CL48" s="498">
        <v>200043</v>
      </c>
      <c r="CM48" s="498">
        <v>200043</v>
      </c>
      <c r="CN48" s="498">
        <v>200043</v>
      </c>
      <c r="CO48" s="1160"/>
      <c r="CP48" s="1160"/>
      <c r="CQ48" s="1160"/>
      <c r="CR48" s="955">
        <v>200020</v>
      </c>
      <c r="DI48" s="499"/>
      <c r="DJ48" s="499"/>
    </row>
    <row r="49" spans="1:114" ht="9" customHeight="1" thickTop="1" thickBot="1">
      <c r="A49" s="1449">
        <v>200019</v>
      </c>
      <c r="B49" s="707"/>
      <c r="C49" s="1761"/>
      <c r="D49" s="1780"/>
      <c r="E49" s="1777"/>
      <c r="F49" s="1777"/>
      <c r="G49" s="1761">
        <v>42</v>
      </c>
      <c r="H49" s="707">
        <v>42</v>
      </c>
      <c r="I49" s="504">
        <v>190019</v>
      </c>
      <c r="J49" s="504">
        <v>190019</v>
      </c>
      <c r="K49" s="1789"/>
      <c r="L49" s="504">
        <v>190019</v>
      </c>
      <c r="M49" s="504">
        <v>190019</v>
      </c>
      <c r="N49" s="505">
        <v>500019</v>
      </c>
      <c r="O49" s="1789"/>
      <c r="P49" s="504">
        <v>190019</v>
      </c>
      <c r="Q49" s="504">
        <v>190019</v>
      </c>
      <c r="R49" s="1789"/>
      <c r="S49" s="504">
        <v>190019</v>
      </c>
      <c r="T49" s="518"/>
      <c r="W49" s="518"/>
      <c r="Y49" s="514"/>
      <c r="Z49" s="1797">
        <f>200000+128*4+34</f>
        <v>200546</v>
      </c>
      <c r="AA49" s="1589"/>
      <c r="AB49" s="1815"/>
      <c r="AC49" s="1166">
        <f>110000+128*11+12</f>
        <v>111420</v>
      </c>
      <c r="AD49" s="1163">
        <v>200043</v>
      </c>
      <c r="AE49" s="1207">
        <v>190019</v>
      </c>
      <c r="AF49" s="1210"/>
      <c r="AG49" s="1210"/>
      <c r="AH49" s="1818"/>
      <c r="AI49" s="1210"/>
      <c r="AJ49" s="1210"/>
      <c r="AK49" s="1819"/>
      <c r="AL49" s="1797">
        <f>200000+128*4+34</f>
        <v>200546</v>
      </c>
      <c r="AM49" s="1160"/>
      <c r="AN49" s="1816"/>
      <c r="AO49" s="1812">
        <f>110000</f>
        <v>110000</v>
      </c>
      <c r="AP49" s="752">
        <v>200043</v>
      </c>
      <c r="AQ49" s="498">
        <v>200020</v>
      </c>
      <c r="AR49" s="1666"/>
      <c r="AS49" s="1670"/>
      <c r="AT49" s="1676">
        <f>128*9+16+0.256+0.039</f>
        <v>1168.2950000000001</v>
      </c>
      <c r="AU49" s="1670"/>
      <c r="AV49" s="1670"/>
      <c r="AW49" s="1670"/>
      <c r="AX49" s="1669"/>
      <c r="AY49" s="541">
        <f t="shared" si="11"/>
        <v>546</v>
      </c>
      <c r="AZ49" s="801">
        <f t="shared" si="11"/>
        <v>546</v>
      </c>
      <c r="BA49" s="1647"/>
      <c r="BB49" s="1647"/>
      <c r="BC49" s="1648">
        <f>128*9+11</f>
        <v>1163</v>
      </c>
      <c r="BD49" s="1649">
        <f>128*9+10+0.384+0.0034</f>
        <v>1162.3874000000001</v>
      </c>
      <c r="BE49" s="1649">
        <f>128*9+11</f>
        <v>1163</v>
      </c>
      <c r="BF49" s="1652"/>
      <c r="BG49" s="1662">
        <f>10000*20+128*9+72+0.207</f>
        <v>201224.20699999999</v>
      </c>
      <c r="BH49" s="511"/>
      <c r="BI49" s="511"/>
      <c r="BJ49" s="2706">
        <v>2E-3</v>
      </c>
      <c r="BK49" s="514"/>
      <c r="BL49" s="517">
        <v>200020</v>
      </c>
      <c r="BM49" s="840">
        <f>128*9+74+0.256+0.006</f>
        <v>1226.2620000000002</v>
      </c>
      <c r="BN49" s="498">
        <v>200020</v>
      </c>
      <c r="BO49" s="771">
        <v>370020</v>
      </c>
      <c r="BP49" s="778">
        <f>200000+128*9+58</f>
        <v>201210</v>
      </c>
      <c r="BQ49" s="771">
        <v>200020</v>
      </c>
      <c r="BR49" s="771">
        <v>200020</v>
      </c>
      <c r="BS49" s="841">
        <v>200020</v>
      </c>
      <c r="BT49" s="505">
        <v>200020</v>
      </c>
      <c r="BU49" s="505">
        <v>200020</v>
      </c>
      <c r="BV49" s="505">
        <v>200020</v>
      </c>
      <c r="BW49" s="505">
        <v>200020</v>
      </c>
      <c r="BX49" s="505">
        <v>200020</v>
      </c>
      <c r="BY49" s="505">
        <v>200020</v>
      </c>
      <c r="BZ49" s="505">
        <v>200020</v>
      </c>
      <c r="CA49" s="505">
        <v>200020</v>
      </c>
      <c r="CB49" s="1200">
        <f>128*9+5+0.5+0.256+0.0035</f>
        <v>1157.7595000000001</v>
      </c>
      <c r="CC49" s="498">
        <v>200020</v>
      </c>
      <c r="CD49" s="2937"/>
      <c r="CE49" s="2938"/>
      <c r="CF49" s="541">
        <f>200000+128*4+34</f>
        <v>200546</v>
      </c>
      <c r="CG49" s="802">
        <f>128*9+83</f>
        <v>1235</v>
      </c>
      <c r="CH49" s="802">
        <f>128*9+83</f>
        <v>1235</v>
      </c>
      <c r="CI49" s="500"/>
      <c r="CJ49" s="500"/>
      <c r="CK49" s="541">
        <f>128*8+4</f>
        <v>1028</v>
      </c>
      <c r="CL49" s="500"/>
      <c r="CM49" s="1201">
        <f>128*5+41</f>
        <v>681</v>
      </c>
      <c r="CN49" s="1160"/>
      <c r="CO49" s="1160"/>
      <c r="CP49" s="1162">
        <f>128*9+83</f>
        <v>1235</v>
      </c>
      <c r="CQ49" s="1157">
        <f>128*9+36+0.256+0.0154</f>
        <v>1188.2714000000001</v>
      </c>
      <c r="CR49" s="955">
        <v>200020</v>
      </c>
      <c r="DI49" s="499"/>
      <c r="DJ49" s="499"/>
    </row>
    <row r="50" spans="1:114" ht="9" customHeight="1" thickTop="1" thickBot="1">
      <c r="A50" s="1449">
        <v>200019</v>
      </c>
      <c r="B50" s="707"/>
      <c r="C50" s="1761"/>
      <c r="D50" s="2263">
        <v>24</v>
      </c>
      <c r="E50" s="1777"/>
      <c r="F50" s="1777"/>
      <c r="G50" s="1761"/>
      <c r="H50" s="707"/>
      <c r="I50" s="504">
        <v>190019</v>
      </c>
      <c r="J50" s="504">
        <v>190019</v>
      </c>
      <c r="K50" s="1789"/>
      <c r="L50" s="1789"/>
      <c r="M50" s="1789"/>
      <c r="N50" s="1821">
        <v>500000</v>
      </c>
      <c r="O50" s="1789"/>
      <c r="P50" s="504">
        <v>190019</v>
      </c>
      <c r="Q50" s="504">
        <v>190019</v>
      </c>
      <c r="R50" s="1789"/>
      <c r="S50" s="504">
        <v>190019</v>
      </c>
      <c r="V50" s="518"/>
      <c r="Y50" s="514"/>
      <c r="Z50" s="1797">
        <f>500000+128*4+34</f>
        <v>500546</v>
      </c>
      <c r="AA50" s="1589"/>
      <c r="AB50" s="1815"/>
      <c r="AC50" s="1815"/>
      <c r="AD50" s="1163">
        <v>200043</v>
      </c>
      <c r="AE50" s="1207">
        <v>190019</v>
      </c>
      <c r="AF50" s="1210"/>
      <c r="AG50" s="1818"/>
      <c r="AH50" s="1210"/>
      <c r="AI50" s="1210"/>
      <c r="AJ50" s="1210"/>
      <c r="AK50" s="1819"/>
      <c r="AL50" s="1797">
        <f>500000+128*4+34</f>
        <v>500546</v>
      </c>
      <c r="AM50" s="1160"/>
      <c r="AN50" s="1816"/>
      <c r="AO50" s="1816"/>
      <c r="AP50" s="752">
        <v>200043</v>
      </c>
      <c r="AQ50" s="498">
        <v>200020</v>
      </c>
      <c r="AR50" s="1671"/>
      <c r="AS50" s="1677">
        <f>420042+0.065</f>
        <v>420042.065</v>
      </c>
      <c r="AT50" s="1647">
        <f>128*9+6</f>
        <v>1158</v>
      </c>
      <c r="AU50" s="1672"/>
      <c r="AV50" s="1647">
        <f>0.2112</f>
        <v>0.2112</v>
      </c>
      <c r="AW50" s="1669"/>
      <c r="AX50" s="1669"/>
      <c r="AY50" s="541">
        <f t="shared" si="11"/>
        <v>546</v>
      </c>
      <c r="AZ50" s="801">
        <f t="shared" si="11"/>
        <v>546</v>
      </c>
      <c r="BA50" s="1647"/>
      <c r="BB50" s="1647"/>
      <c r="BC50" s="1648">
        <f>128*9+10</f>
        <v>1162</v>
      </c>
      <c r="BD50" s="1069">
        <f>128*9+9</f>
        <v>1161</v>
      </c>
      <c r="BE50" s="1651">
        <f>128*9+10</f>
        <v>1162</v>
      </c>
      <c r="BF50" s="1652"/>
      <c r="BG50" s="1662">
        <f>10000*20+128*9+72+0.207</f>
        <v>201224.20699999999</v>
      </c>
      <c r="BH50" s="511"/>
      <c r="BI50" s="511"/>
      <c r="BJ50" s="511"/>
      <c r="BK50" s="514"/>
      <c r="BL50" s="517">
        <v>200020</v>
      </c>
      <c r="BM50" s="677">
        <v>200020</v>
      </c>
      <c r="BN50" s="498">
        <v>200020</v>
      </c>
      <c r="BO50" s="1602">
        <f>200000+128*9+59</f>
        <v>201211</v>
      </c>
      <c r="BP50" s="778">
        <f>200000+128*9+59</f>
        <v>201211</v>
      </c>
      <c r="BQ50" s="505">
        <v>200020</v>
      </c>
      <c r="BR50" s="771">
        <v>200020</v>
      </c>
      <c r="BS50" s="771">
        <v>200020</v>
      </c>
      <c r="BT50" s="498">
        <v>200020</v>
      </c>
      <c r="BU50" s="498">
        <f>10000*20+19</f>
        <v>200019</v>
      </c>
      <c r="BV50" s="498">
        <f>10000*20+19</f>
        <v>200019</v>
      </c>
      <c r="BW50" s="498">
        <f>10000*20+19</f>
        <v>200019</v>
      </c>
      <c r="BX50" s="498">
        <f>10000*20+19</f>
        <v>200019</v>
      </c>
      <c r="BY50" s="505">
        <v>200020</v>
      </c>
      <c r="BZ50" s="505">
        <v>200020</v>
      </c>
      <c r="CA50" s="505">
        <v>200020</v>
      </c>
      <c r="CB50" s="522">
        <f>10000*20+128*5+41</f>
        <v>200681</v>
      </c>
      <c r="CC50" s="498">
        <v>200020</v>
      </c>
      <c r="CD50" s="498">
        <v>200020</v>
      </c>
      <c r="CE50" s="1202">
        <f>10000*20+128*5+41</f>
        <v>200681</v>
      </c>
      <c r="CF50" s="498">
        <v>200020</v>
      </c>
      <c r="CG50" s="498">
        <v>200020</v>
      </c>
      <c r="CH50" s="498">
        <v>200020</v>
      </c>
      <c r="CI50" s="498">
        <v>200020</v>
      </c>
      <c r="CJ50" s="498">
        <v>200020</v>
      </c>
      <c r="CK50" s="498">
        <v>200020</v>
      </c>
      <c r="CL50" s="522">
        <f>10000*20+128*5+41+0.1545</f>
        <v>200681.1545</v>
      </c>
      <c r="CM50" s="498">
        <v>200020</v>
      </c>
      <c r="CN50" s="498">
        <v>200020</v>
      </c>
      <c r="CO50" s="498">
        <v>200020</v>
      </c>
      <c r="CP50" s="498">
        <v>200020</v>
      </c>
      <c r="CQ50" s="498">
        <v>200020</v>
      </c>
      <c r="CR50" s="955">
        <v>200020</v>
      </c>
      <c r="DI50" s="499"/>
      <c r="DJ50" s="499"/>
    </row>
    <row r="51" spans="1:114" ht="9" customHeight="1" thickTop="1" thickBot="1">
      <c r="A51" s="1449">
        <v>200019</v>
      </c>
      <c r="B51" s="707"/>
      <c r="C51" s="1761"/>
      <c r="D51" s="1777"/>
      <c r="E51" s="1777"/>
      <c r="F51" s="1779"/>
      <c r="G51" s="1761"/>
      <c r="H51" s="1884">
        <f>128*17+64+3</f>
        <v>2243</v>
      </c>
      <c r="I51" s="504">
        <v>190019</v>
      </c>
      <c r="J51" s="504">
        <v>190019</v>
      </c>
      <c r="K51" s="504">
        <v>190019</v>
      </c>
      <c r="L51" s="1788">
        <f>128*2+42</f>
        <v>298</v>
      </c>
      <c r="M51" s="504">
        <v>190019</v>
      </c>
      <c r="N51" s="1821">
        <v>500000</v>
      </c>
      <c r="O51" s="504">
        <v>190019</v>
      </c>
      <c r="P51" s="504">
        <v>190019</v>
      </c>
      <c r="Q51" s="504">
        <v>190019</v>
      </c>
      <c r="R51" s="504">
        <v>190019</v>
      </c>
      <c r="S51" s="504">
        <v>190019</v>
      </c>
      <c r="T51" s="504">
        <v>19</v>
      </c>
      <c r="W51" s="504">
        <v>19</v>
      </c>
      <c r="X51" s="3100">
        <f>128*17+8</f>
        <v>2184</v>
      </c>
      <c r="Y51" s="514"/>
      <c r="Z51" s="505">
        <v>200020</v>
      </c>
      <c r="AA51" s="1825">
        <f>128*9+28+0.147</f>
        <v>1180.1469999999999</v>
      </c>
      <c r="AB51" s="1825">
        <f>128*9+81+0.212</f>
        <v>1233.212</v>
      </c>
      <c r="AC51" s="1825">
        <f>128*9+82+0.213</f>
        <v>1234.213</v>
      </c>
      <c r="AD51" s="504">
        <v>200020</v>
      </c>
      <c r="AE51" s="504">
        <v>190019</v>
      </c>
      <c r="AF51" s="1207">
        <v>19</v>
      </c>
      <c r="AG51" s="1210"/>
      <c r="AH51" s="1211"/>
      <c r="AI51" s="504">
        <v>19</v>
      </c>
      <c r="AJ51" s="1210"/>
      <c r="AK51" s="1819"/>
      <c r="AL51" s="505">
        <v>200020</v>
      </c>
      <c r="AM51" s="1162">
        <f>128*9+37+0.149</f>
        <v>1189.1489999999999</v>
      </c>
      <c r="AN51" s="1160">
        <f>0.0045</f>
        <v>4.4999999999999997E-3</v>
      </c>
      <c r="AO51" s="1160">
        <f>0.0045</f>
        <v>4.4999999999999997E-3</v>
      </c>
      <c r="AP51" s="504">
        <v>200020</v>
      </c>
      <c r="AQ51" s="791">
        <v>200020</v>
      </c>
      <c r="AR51" s="1666"/>
      <c r="AS51" s="1667"/>
      <c r="AT51" s="1667"/>
      <c r="AU51" s="1667"/>
      <c r="AV51" s="1647"/>
      <c r="AW51" s="1669"/>
      <c r="AX51" s="1669"/>
      <c r="AY51" s="541">
        <f>128*4+34</f>
        <v>546</v>
      </c>
      <c r="AZ51" s="801"/>
      <c r="BA51" s="504">
        <v>20</v>
      </c>
      <c r="BB51" s="1647"/>
      <c r="BC51" s="1069">
        <f>128*9+11</f>
        <v>1163</v>
      </c>
      <c r="BD51" s="1650">
        <f>128*9+10+0.256+0.0041</f>
        <v>1162.2601000000002</v>
      </c>
      <c r="BE51" s="1651">
        <f>128*9+11</f>
        <v>1163</v>
      </c>
      <c r="BF51" s="1652"/>
      <c r="BG51" s="1662">
        <f>10000*20+128*9+72+0.207</f>
        <v>201224.20699999999</v>
      </c>
      <c r="BH51" s="511"/>
      <c r="BI51" s="511"/>
      <c r="BJ51" s="511"/>
      <c r="BK51" s="514"/>
      <c r="BL51" s="1586">
        <f>200000+128*9+76</f>
        <v>201228</v>
      </c>
      <c r="BM51" s="1698">
        <f>128*8+4+0.384+0.004</f>
        <v>1028.3879999999999</v>
      </c>
      <c r="BN51" s="517">
        <v>200020</v>
      </c>
      <c r="BO51" s="1692">
        <f>200000+128*9+59</f>
        <v>201211</v>
      </c>
      <c r="BP51" s="757">
        <f>128*10+34</f>
        <v>1314</v>
      </c>
      <c r="BQ51" s="505">
        <v>200020</v>
      </c>
      <c r="BR51" s="498">
        <v>200020</v>
      </c>
      <c r="BS51" s="813">
        <f>110000+128*11+4+0.5</f>
        <v>111412.5</v>
      </c>
      <c r="BT51" s="498">
        <v>200020</v>
      </c>
      <c r="BU51" s="757">
        <f>128*6+4</f>
        <v>772</v>
      </c>
      <c r="BV51" s="757">
        <f>128*6+3</f>
        <v>771</v>
      </c>
      <c r="BW51" s="757"/>
      <c r="BX51" s="498">
        <f>10000*20+19</f>
        <v>200019</v>
      </c>
      <c r="BY51" s="498">
        <v>200042</v>
      </c>
      <c r="BZ51" s="498">
        <v>200042</v>
      </c>
      <c r="CA51" s="1084">
        <f>10000*20+31+0.117</f>
        <v>200031.117</v>
      </c>
      <c r="CB51" s="500"/>
      <c r="CC51" s="1160"/>
      <c r="CD51" s="1160"/>
      <c r="CE51" s="1160">
        <f>0.5+0.256+0.035</f>
        <v>0.79100000000000004</v>
      </c>
      <c r="CF51" s="1158">
        <f>0.384+0.0032</f>
        <v>0.38719999999999999</v>
      </c>
      <c r="CG51" s="1160">
        <f>128*9+4</f>
        <v>1156</v>
      </c>
      <c r="CH51" s="498">
        <v>200043</v>
      </c>
      <c r="CI51" s="1203">
        <f>128*9+5+0.256+0.0245</f>
        <v>1157.2805000000001</v>
      </c>
      <c r="CJ51" s="498">
        <v>200043</v>
      </c>
      <c r="CK51" s="1204">
        <f>128*9+56</f>
        <v>1208</v>
      </c>
      <c r="CL51" s="1205"/>
      <c r="CM51" s="1203">
        <f>128*9+56</f>
        <v>1208</v>
      </c>
      <c r="CN51" s="498">
        <v>200020</v>
      </c>
      <c r="CO51" s="1206">
        <f>128*14+116</f>
        <v>1908</v>
      </c>
      <c r="CP51" s="1206">
        <f>128*10+8</f>
        <v>1288</v>
      </c>
      <c r="CQ51" s="818">
        <f>10000*20+128+20</f>
        <v>200148</v>
      </c>
      <c r="CR51" s="498">
        <v>200020</v>
      </c>
      <c r="DI51" s="499"/>
      <c r="DJ51" s="499"/>
    </row>
    <row r="52" spans="1:114" ht="9" customHeight="1" thickTop="1" thickBot="1">
      <c r="A52" s="1449">
        <v>200019</v>
      </c>
      <c r="B52" s="707"/>
      <c r="C52" s="1761"/>
      <c r="D52" s="1777"/>
      <c r="E52" s="1777"/>
      <c r="F52" s="1777"/>
      <c r="G52" s="1761"/>
      <c r="H52" s="707"/>
      <c r="I52" s="707">
        <f>128*5+37</f>
        <v>677</v>
      </c>
      <c r="J52" s="707">
        <f>128*10+1</f>
        <v>1281</v>
      </c>
      <c r="K52" s="504">
        <v>190019</v>
      </c>
      <c r="L52" s="1789"/>
      <c r="M52" s="504">
        <v>190019</v>
      </c>
      <c r="N52" s="1789"/>
      <c r="O52" s="1789">
        <f>128*2+42</f>
        <v>298</v>
      </c>
      <c r="P52" s="1789"/>
      <c r="Q52" s="1789"/>
      <c r="R52" s="504">
        <v>190019</v>
      </c>
      <c r="S52" s="768">
        <f>18+0.067</f>
        <v>18.067</v>
      </c>
      <c r="T52" s="504">
        <v>19</v>
      </c>
      <c r="U52" s="1789"/>
      <c r="V52" s="1789">
        <f>128*14+12</f>
        <v>1804</v>
      </c>
      <c r="W52" s="504">
        <v>19</v>
      </c>
      <c r="X52" s="1854">
        <f>128*4+13</f>
        <v>525</v>
      </c>
      <c r="Y52" s="808">
        <f>128*5+39</f>
        <v>679</v>
      </c>
      <c r="Z52" s="523">
        <v>500019</v>
      </c>
      <c r="AA52" s="523">
        <v>200020</v>
      </c>
      <c r="AB52" s="523">
        <v>500020</v>
      </c>
      <c r="AC52" s="523">
        <v>200020</v>
      </c>
      <c r="AD52" s="505">
        <v>500020</v>
      </c>
      <c r="AE52" s="768">
        <f>18+0.067</f>
        <v>18.067</v>
      </c>
      <c r="AF52" s="504">
        <v>19</v>
      </c>
      <c r="AG52" s="1789"/>
      <c r="AH52" s="1789"/>
      <c r="AI52" s="504">
        <v>19</v>
      </c>
      <c r="AJ52" s="1854">
        <f>128*4+13</f>
        <v>525</v>
      </c>
      <c r="AK52" s="1078"/>
      <c r="AL52" s="523">
        <v>500019</v>
      </c>
      <c r="AM52" s="523">
        <v>200020</v>
      </c>
      <c r="AN52" s="523">
        <v>500020</v>
      </c>
      <c r="AO52" s="505">
        <v>200020</v>
      </c>
      <c r="AP52" s="1824">
        <v>500020</v>
      </c>
      <c r="AQ52" s="498">
        <v>200020</v>
      </c>
      <c r="AR52" s="1664"/>
      <c r="AS52" s="1667"/>
      <c r="AT52" s="1646">
        <f>0.2118</f>
        <v>0.21179999999999999</v>
      </c>
      <c r="AU52" s="1647"/>
      <c r="AV52" s="1647">
        <v>0.2114</v>
      </c>
      <c r="AW52" s="1669"/>
      <c r="AX52" s="1669"/>
      <c r="AY52" s="541">
        <f>128*4+34</f>
        <v>546</v>
      </c>
      <c r="AZ52" s="801">
        <f>128*14+9</f>
        <v>1801</v>
      </c>
      <c r="BA52" s="1693">
        <f>10000*20+128*5+40</f>
        <v>200680</v>
      </c>
      <c r="BB52" s="1647">
        <f>128*14+8</f>
        <v>1800</v>
      </c>
      <c r="BC52" s="1647"/>
      <c r="BD52" s="1647"/>
      <c r="BE52" s="1661"/>
      <c r="BF52" s="1652"/>
      <c r="BG52" s="498">
        <v>200020</v>
      </c>
      <c r="BH52" s="511"/>
      <c r="BI52" s="503"/>
      <c r="BJ52" s="503">
        <f>128*9+20</f>
        <v>1172</v>
      </c>
      <c r="BK52" s="514"/>
      <c r="BL52" s="1586">
        <f>200000+128*9+76</f>
        <v>201228</v>
      </c>
      <c r="BM52" s="1698">
        <f>128*8+4+0.384+0.004</f>
        <v>1028.3879999999999</v>
      </c>
      <c r="BN52" s="517">
        <v>200020</v>
      </c>
      <c r="BO52" s="505">
        <v>200020</v>
      </c>
      <c r="BP52" s="505">
        <v>200020</v>
      </c>
      <c r="BQ52" s="505">
        <v>200020</v>
      </c>
      <c r="BR52" s="771">
        <v>200020</v>
      </c>
      <c r="BS52" s="757">
        <f>10000*20</f>
        <v>200000</v>
      </c>
      <c r="BT52" s="498">
        <v>200020</v>
      </c>
      <c r="BU52" s="757"/>
      <c r="BV52" s="757"/>
      <c r="BW52" s="757"/>
      <c r="BX52" s="707">
        <f>390000+128*5+35</f>
        <v>390675</v>
      </c>
      <c r="BY52" s="1134">
        <f>420000+128*11+6</f>
        <v>421414</v>
      </c>
      <c r="BZ52" s="528">
        <f>10000*20+42+0.07</f>
        <v>200042.07</v>
      </c>
      <c r="CA52" s="1084">
        <f>10000*20+31+0.117</f>
        <v>200031.117</v>
      </c>
      <c r="CB52" s="500"/>
      <c r="CC52" s="1160"/>
      <c r="CD52" s="1160"/>
      <c r="CE52" s="1160"/>
      <c r="CF52" s="1160"/>
      <c r="CG52" s="1159">
        <f>128*9+4</f>
        <v>1156</v>
      </c>
      <c r="CH52" s="498">
        <v>200043</v>
      </c>
      <c r="CI52" s="1205">
        <v>0.13900000000000001</v>
      </c>
      <c r="CJ52" s="705">
        <f>10000*20+128*5+41</f>
        <v>200681</v>
      </c>
      <c r="CK52" s="1205"/>
      <c r="CL52" s="1205"/>
      <c r="CM52" s="1203"/>
      <c r="CN52" s="839">
        <f>10000*20+128+20+0.159</f>
        <v>200148.15900000001</v>
      </c>
      <c r="CO52" s="839">
        <f>10000*20+128+20</f>
        <v>200148</v>
      </c>
      <c r="CP52" s="498">
        <v>200020</v>
      </c>
      <c r="CQ52" s="1206">
        <f>128*14+116</f>
        <v>1908</v>
      </c>
      <c r="CR52" s="498">
        <v>200020</v>
      </c>
      <c r="DI52" s="499"/>
      <c r="DJ52" s="499"/>
    </row>
    <row r="53" spans="1:114" ht="9" customHeight="1" thickTop="1" thickBot="1">
      <c r="A53" s="1449">
        <v>200019</v>
      </c>
      <c r="B53" s="1884">
        <f>128*17+64+3</f>
        <v>2243</v>
      </c>
      <c r="C53" s="1761"/>
      <c r="D53" s="1779">
        <f>128*9+17+0.5+0.256+0.015</f>
        <v>1169.7710000000002</v>
      </c>
      <c r="E53" s="504">
        <f>128*4+39+0.384+0.002</f>
        <v>551.38599999999997</v>
      </c>
      <c r="F53" s="1777"/>
      <c r="G53" s="1761"/>
      <c r="H53" s="707"/>
      <c r="I53" s="504">
        <v>190019</v>
      </c>
      <c r="J53" s="504">
        <v>190019</v>
      </c>
      <c r="K53" s="504">
        <v>190019</v>
      </c>
      <c r="L53" s="504">
        <v>190019</v>
      </c>
      <c r="M53" s="504">
        <v>190019</v>
      </c>
      <c r="N53" s="1789"/>
      <c r="O53" s="504">
        <v>190019</v>
      </c>
      <c r="P53" s="768">
        <f>18+0.07</f>
        <v>18.07</v>
      </c>
      <c r="Q53" s="504">
        <v>18</v>
      </c>
      <c r="R53" s="504">
        <v>18</v>
      </c>
      <c r="S53" s="1557">
        <f>420000+128*11+9</f>
        <v>421417</v>
      </c>
      <c r="T53" s="504">
        <v>18</v>
      </c>
      <c r="U53" s="504">
        <v>19</v>
      </c>
      <c r="V53" s="1789"/>
      <c r="W53" s="504">
        <v>19</v>
      </c>
      <c r="X53" s="503"/>
      <c r="Y53" s="503"/>
      <c r="Z53" s="760">
        <f>460000+128*9+25</f>
        <v>461177</v>
      </c>
      <c r="AA53" s="503"/>
      <c r="AB53" s="503"/>
      <c r="AC53" s="532">
        <f>128*9+21+0.5+0.256+0.0216</f>
        <v>1173.7776000000001</v>
      </c>
      <c r="AD53" s="504">
        <v>18</v>
      </c>
      <c r="AE53" s="1811">
        <f>420000</f>
        <v>420000</v>
      </c>
      <c r="AF53" s="504">
        <v>18</v>
      </c>
      <c r="AG53" s="504">
        <v>19</v>
      </c>
      <c r="AH53" s="1789"/>
      <c r="AI53" s="504">
        <v>19</v>
      </c>
      <c r="AJ53" s="1210"/>
      <c r="AK53" s="1210"/>
      <c r="AL53" s="1210">
        <v>1E-3</v>
      </c>
      <c r="AM53" s="1210"/>
      <c r="AN53" s="1210"/>
      <c r="AO53" s="1211"/>
      <c r="AP53" s="1033">
        <f>200000+128+20+0.113</f>
        <v>200148.11300000001</v>
      </c>
      <c r="AQ53" s="528">
        <v>200020</v>
      </c>
      <c r="AR53" s="1671">
        <v>20</v>
      </c>
      <c r="AS53" s="1855"/>
      <c r="AT53" s="1856"/>
      <c r="AU53" s="504">
        <v>20</v>
      </c>
      <c r="AV53" s="1668">
        <f>128*4+35</f>
        <v>547</v>
      </c>
      <c r="AW53" s="1668">
        <f>128*4+35</f>
        <v>547</v>
      </c>
      <c r="AX53" s="504">
        <v>20</v>
      </c>
      <c r="AY53" s="541"/>
      <c r="AZ53" s="801"/>
      <c r="BA53" s="1663">
        <f>20+0.18</f>
        <v>20.18</v>
      </c>
      <c r="BB53" s="1646"/>
      <c r="BC53" s="1653">
        <f>128*10+39</f>
        <v>1319</v>
      </c>
      <c r="BD53" s="1213"/>
      <c r="BE53" s="1660">
        <f>490000+128*9+76</f>
        <v>491228</v>
      </c>
      <c r="BF53" s="1652"/>
      <c r="BG53" s="498">
        <v>200020</v>
      </c>
      <c r="BH53" s="511"/>
      <c r="BI53" s="503"/>
      <c r="BJ53" s="503">
        <v>3.2000000000000002E-3</v>
      </c>
      <c r="BK53" s="514"/>
      <c r="BL53" s="517">
        <v>200020</v>
      </c>
      <c r="BM53" s="1747">
        <f>0.256+0.0021</f>
        <v>0.2581</v>
      </c>
      <c r="BN53" s="1696"/>
      <c r="BO53" s="505">
        <v>200020</v>
      </c>
      <c r="BP53" s="498">
        <f>10000*20+19</f>
        <v>200019</v>
      </c>
      <c r="BQ53" s="498">
        <f>10000*20+19</f>
        <v>200019</v>
      </c>
      <c r="BR53" s="498">
        <f>10000*20+19</f>
        <v>200019</v>
      </c>
      <c r="BS53" s="778">
        <f>10000*19</f>
        <v>190000</v>
      </c>
      <c r="BT53" s="498">
        <f>10000*20+19</f>
        <v>200019</v>
      </c>
      <c r="BU53" s="771">
        <f>10000*20+19</f>
        <v>200019</v>
      </c>
      <c r="BV53" s="498">
        <f>10000*20+19</f>
        <v>200019</v>
      </c>
      <c r="BW53" s="757"/>
      <c r="BX53" s="505">
        <f t="shared" ref="BX53:BX63" si="12">10000*20+19</f>
        <v>200019</v>
      </c>
      <c r="BY53" s="505">
        <v>200042</v>
      </c>
      <c r="BZ53" s="505">
        <v>200042</v>
      </c>
      <c r="CA53" s="505">
        <v>200020</v>
      </c>
      <c r="CB53" s="505">
        <v>200043</v>
      </c>
      <c r="CC53" s="505">
        <v>200043</v>
      </c>
      <c r="CD53" s="505">
        <v>200043</v>
      </c>
      <c r="CE53" s="1045">
        <f>10000*20+43+0.038</f>
        <v>200043.038</v>
      </c>
      <c r="CF53" s="505">
        <v>200043</v>
      </c>
      <c r="CG53" s="505">
        <v>200043</v>
      </c>
      <c r="CH53" s="505">
        <v>200043</v>
      </c>
      <c r="CI53" s="505">
        <v>200043</v>
      </c>
      <c r="CJ53" s="505">
        <v>200043</v>
      </c>
      <c r="CK53" s="505">
        <v>200020</v>
      </c>
      <c r="CL53" s="505">
        <v>200020</v>
      </c>
      <c r="CM53" s="505">
        <v>200020</v>
      </c>
      <c r="CN53" s="505">
        <v>200020</v>
      </c>
      <c r="CO53" s="505">
        <v>200020</v>
      </c>
      <c r="CP53" s="505">
        <v>200020</v>
      </c>
      <c r="CQ53" s="1209">
        <f>10000*20+0.256+0.007</f>
        <v>200000.26300000001</v>
      </c>
      <c r="CR53" s="505">
        <v>200020</v>
      </c>
      <c r="DI53" s="499"/>
      <c r="DJ53" s="499"/>
    </row>
    <row r="54" spans="1:114" ht="9" customHeight="1" thickTop="1" thickBot="1">
      <c r="A54" s="1449">
        <v>200019</v>
      </c>
      <c r="B54" s="707"/>
      <c r="C54" s="1761"/>
      <c r="D54" s="1777"/>
      <c r="E54" s="2263">
        <v>24</v>
      </c>
      <c r="F54" s="1777"/>
      <c r="G54" s="1761">
        <v>42</v>
      </c>
      <c r="H54" s="707">
        <v>42</v>
      </c>
      <c r="I54" s="504">
        <v>190019</v>
      </c>
      <c r="J54" s="504">
        <v>190019</v>
      </c>
      <c r="K54" s="1789">
        <f>128*8+3</f>
        <v>1027</v>
      </c>
      <c r="L54" s="1789"/>
      <c r="M54" s="1789"/>
      <c r="N54" s="1789"/>
      <c r="O54" s="504">
        <v>18</v>
      </c>
      <c r="P54" s="1796">
        <f>420000+128*11+9</f>
        <v>421417</v>
      </c>
      <c r="Q54" s="504">
        <v>18</v>
      </c>
      <c r="R54" s="504">
        <v>19</v>
      </c>
      <c r="S54" s="707">
        <f>128*5+39</f>
        <v>679</v>
      </c>
      <c r="T54" s="504">
        <v>19</v>
      </c>
      <c r="U54" s="504">
        <v>19</v>
      </c>
      <c r="V54" s="1789"/>
      <c r="W54" s="504">
        <v>19</v>
      </c>
      <c r="X54" s="503">
        <f>0.003</f>
        <v>3.0000000000000001E-3</v>
      </c>
      <c r="Y54" s="503"/>
      <c r="Z54" s="503"/>
      <c r="AA54" s="760">
        <f>460000+128*9+25</f>
        <v>461177</v>
      </c>
      <c r="AB54" s="759">
        <f>460000+128*6+17</f>
        <v>460785</v>
      </c>
      <c r="AC54" s="504">
        <v>18</v>
      </c>
      <c r="AD54" s="504">
        <v>19</v>
      </c>
      <c r="AE54" s="1945">
        <f>128*5+39</f>
        <v>679</v>
      </c>
      <c r="AF54" s="504">
        <v>19</v>
      </c>
      <c r="AG54" s="504">
        <v>19</v>
      </c>
      <c r="AH54" s="1789"/>
      <c r="AI54" s="504">
        <v>19</v>
      </c>
      <c r="AJ54" s="1210">
        <v>3.0000000000000001E-3</v>
      </c>
      <c r="AK54" s="1210"/>
      <c r="AL54" s="1210">
        <f>128*14+14</f>
        <v>1806</v>
      </c>
      <c r="AM54" s="1210">
        <f>128*6+1+0.0234</f>
        <v>769.02340000000004</v>
      </c>
      <c r="AN54" s="1211">
        <v>1E-3</v>
      </c>
      <c r="AO54" s="504">
        <v>18</v>
      </c>
      <c r="AP54" s="1822">
        <f>128*14+116</f>
        <v>1908</v>
      </c>
      <c r="AQ54" s="498">
        <v>200020</v>
      </c>
      <c r="AR54" s="1666"/>
      <c r="AS54" s="1667"/>
      <c r="AT54" s="1646">
        <f>0.2116</f>
        <v>0.21160000000000001</v>
      </c>
      <c r="AU54" s="1180"/>
      <c r="AV54" s="1675"/>
      <c r="AW54" s="1675"/>
      <c r="AX54" s="1180">
        <f>10000*20+128*5+40</f>
        <v>200680</v>
      </c>
      <c r="AY54" s="541">
        <f>128*16+64+1</f>
        <v>2113</v>
      </c>
      <c r="AZ54" s="801">
        <f>128*4+34</f>
        <v>546</v>
      </c>
      <c r="BA54" s="1647"/>
      <c r="BB54" s="1499">
        <f>128*9+61</f>
        <v>1213</v>
      </c>
      <c r="BC54" s="1647"/>
      <c r="BD54" s="1499">
        <f>128*9+61</f>
        <v>1213</v>
      </c>
      <c r="BE54" s="1647"/>
      <c r="BF54" s="1652"/>
      <c r="BG54" s="498">
        <v>200020</v>
      </c>
      <c r="BH54" s="511"/>
      <c r="BI54" s="511"/>
      <c r="BJ54" s="511"/>
      <c r="BK54" s="514"/>
      <c r="BL54" s="517">
        <v>200020</v>
      </c>
      <c r="BM54" s="517">
        <v>200020</v>
      </c>
      <c r="BN54" s="1697">
        <f>200000+128*5+37</f>
        <v>200677</v>
      </c>
      <c r="BO54" s="505">
        <v>200020</v>
      </c>
      <c r="BP54" s="498">
        <f t="shared" ref="BP54:BP59" si="13">10000*20+19</f>
        <v>200019</v>
      </c>
      <c r="BQ54" s="946">
        <f>128*9+20+0.5+0.256+0.005+0.0008</f>
        <v>1172.7618000000002</v>
      </c>
      <c r="BR54" s="786"/>
      <c r="BS54" s="790"/>
      <c r="BT54" s="786"/>
      <c r="BU54" s="947">
        <f>128*6+3</f>
        <v>771</v>
      </c>
      <c r="BV54" s="705">
        <f>10000*20+19+0.11</f>
        <v>200019.11</v>
      </c>
      <c r="BW54" s="757"/>
      <c r="BX54" s="505">
        <f t="shared" si="12"/>
        <v>200019</v>
      </c>
      <c r="BY54" s="525">
        <v>200020</v>
      </c>
      <c r="BZ54" s="525">
        <v>200020</v>
      </c>
      <c r="CA54" s="525">
        <v>200020</v>
      </c>
      <c r="CB54" s="525">
        <v>200020</v>
      </c>
      <c r="CC54" s="525">
        <v>200020</v>
      </c>
      <c r="CD54" s="525">
        <v>200020</v>
      </c>
      <c r="CE54" s="525">
        <v>200020</v>
      </c>
      <c r="CF54" s="525">
        <v>200020</v>
      </c>
      <c r="CG54" s="525">
        <v>200020</v>
      </c>
      <c r="CH54" s="525">
        <v>200020</v>
      </c>
      <c r="CI54" s="525">
        <v>200020</v>
      </c>
      <c r="CJ54" s="525">
        <v>200020</v>
      </c>
      <c r="CK54" s="525">
        <v>200020</v>
      </c>
      <c r="CL54" s="525">
        <v>200020</v>
      </c>
      <c r="CM54" s="525">
        <f>10000*20</f>
        <v>200000</v>
      </c>
      <c r="CN54" s="525">
        <v>200020</v>
      </c>
      <c r="CO54" s="525">
        <v>200020</v>
      </c>
      <c r="CP54" s="525">
        <v>200020</v>
      </c>
      <c r="CQ54" s="525">
        <v>200020</v>
      </c>
      <c r="CR54" s="517">
        <v>200020</v>
      </c>
      <c r="DI54" s="499"/>
      <c r="DJ54" s="499"/>
    </row>
    <row r="55" spans="1:114" ht="9" customHeight="1" thickTop="1" thickBot="1">
      <c r="A55" s="1449">
        <v>200019</v>
      </c>
      <c r="B55" s="707"/>
      <c r="C55" s="1761"/>
      <c r="D55" s="1777"/>
      <c r="E55" s="1777"/>
      <c r="F55" s="1777"/>
      <c r="G55" s="1761">
        <v>42</v>
      </c>
      <c r="H55" s="1789"/>
      <c r="I55" s="1789"/>
      <c r="J55" s="1789">
        <f>128*2+42</f>
        <v>298</v>
      </c>
      <c r="K55" s="1789"/>
      <c r="L55" s="504">
        <v>190019</v>
      </c>
      <c r="M55" s="504">
        <v>190019</v>
      </c>
      <c r="N55" s="504">
        <v>190019</v>
      </c>
      <c r="O55" s="504">
        <v>19</v>
      </c>
      <c r="P55" s="707">
        <f>128*5+39</f>
        <v>679</v>
      </c>
      <c r="Q55" s="504">
        <v>19</v>
      </c>
      <c r="R55" s="1789"/>
      <c r="S55" s="1789"/>
      <c r="T55" s="755"/>
      <c r="U55" s="1789"/>
      <c r="V55" s="755"/>
      <c r="W55" s="504">
        <v>19</v>
      </c>
      <c r="X55" s="503"/>
      <c r="Y55" s="503">
        <f>0.004</f>
        <v>4.0000000000000001E-3</v>
      </c>
      <c r="Z55" s="760">
        <f>460000+128*9+25</f>
        <v>461177</v>
      </c>
      <c r="AA55" s="1218">
        <f>460000+128*6+17</f>
        <v>460785</v>
      </c>
      <c r="AB55" s="759">
        <f>460000+128*6+20</f>
        <v>460788</v>
      </c>
      <c r="AC55" s="504">
        <v>19</v>
      </c>
      <c r="AD55" s="3053">
        <f>128*17+4</f>
        <v>2180</v>
      </c>
      <c r="AE55" s="1789"/>
      <c r="AF55" s="3053">
        <f>128*17+3</f>
        <v>2179</v>
      </c>
      <c r="AG55" s="1789"/>
      <c r="AH55" s="1789"/>
      <c r="AI55" s="504">
        <v>19</v>
      </c>
      <c r="AJ55" s="1210"/>
      <c r="AK55" s="1210">
        <v>4.0000000000000001E-3</v>
      </c>
      <c r="AL55" s="1210">
        <f>128*6+1</f>
        <v>769</v>
      </c>
      <c r="AM55" s="1210">
        <f>128*6+1+0.0042</f>
        <v>769.00419999999997</v>
      </c>
      <c r="AN55" s="1833">
        <f>0.256+0.0028</f>
        <v>0.25880000000000003</v>
      </c>
      <c r="AO55" s="504">
        <v>19</v>
      </c>
      <c r="AP55" s="1822">
        <f>128*10+34</f>
        <v>1314</v>
      </c>
      <c r="AQ55" s="498">
        <v>200020</v>
      </c>
      <c r="AR55" s="1666"/>
      <c r="AS55" s="1664"/>
      <c r="AT55" s="1664"/>
      <c r="AU55" s="1673">
        <f>128*4+35</f>
        <v>547</v>
      </c>
      <c r="AV55" s="1673">
        <f>128*4+35</f>
        <v>547</v>
      </c>
      <c r="AW55" s="1674">
        <f>128*4+35</f>
        <v>547</v>
      </c>
      <c r="AX55" s="504">
        <v>20</v>
      </c>
      <c r="AY55" s="541"/>
      <c r="AZ55" s="801">
        <f>128*4+34</f>
        <v>546</v>
      </c>
      <c r="BA55" s="1647"/>
      <c r="BB55" s="1645"/>
      <c r="BC55" s="1645"/>
      <c r="BD55" s="1645"/>
      <c r="BE55" s="1645"/>
      <c r="BF55" s="1652"/>
      <c r="BG55" s="498">
        <v>200020</v>
      </c>
      <c r="BH55" s="511"/>
      <c r="BI55" s="511"/>
      <c r="BJ55" s="2706">
        <v>2E-3</v>
      </c>
      <c r="BK55" s="514"/>
      <c r="BL55" s="514"/>
      <c r="BM55" s="514">
        <f>128*9+21</f>
        <v>1173</v>
      </c>
      <c r="BN55" s="514"/>
      <c r="BO55" s="505">
        <v>200020</v>
      </c>
      <c r="BP55" s="498">
        <f t="shared" si="13"/>
        <v>200019</v>
      </c>
      <c r="BQ55" s="948"/>
      <c r="BR55" s="787"/>
      <c r="BS55" s="757"/>
      <c r="BT55" s="787"/>
      <c r="BU55" s="947">
        <f>128*6+3</f>
        <v>771</v>
      </c>
      <c r="BV55" s="498">
        <f t="shared" ref="BV55:BV62" si="14">10000*20+19</f>
        <v>200019</v>
      </c>
      <c r="BW55" s="757"/>
      <c r="BX55" s="505">
        <f t="shared" si="12"/>
        <v>200019</v>
      </c>
      <c r="BY55" s="517">
        <v>200020</v>
      </c>
      <c r="BZ55" s="1110"/>
      <c r="CA55" s="1110"/>
      <c r="CB55" s="1110"/>
      <c r="CC55" s="1110"/>
      <c r="CD55" s="1110"/>
      <c r="CE55" s="1110"/>
      <c r="CF55" s="1110"/>
      <c r="CG55" s="1110"/>
      <c r="CH55" s="1110"/>
      <c r="CI55" s="1110"/>
      <c r="CJ55" s="1110"/>
      <c r="CK55" s="1110"/>
      <c r="CL55" s="1110"/>
      <c r="CM55" s="1110"/>
      <c r="CN55" s="1110"/>
      <c r="CO55" s="1110"/>
      <c r="CP55" s="1110"/>
      <c r="CQ55" s="1212"/>
      <c r="CR55" s="517">
        <v>200020</v>
      </c>
      <c r="DI55" s="499"/>
      <c r="DJ55" s="499"/>
    </row>
    <row r="56" spans="1:114" ht="9" customHeight="1" thickTop="1" thickBot="1">
      <c r="A56" s="1449">
        <v>200019</v>
      </c>
      <c r="B56" s="707">
        <f>128*10+15</f>
        <v>1295</v>
      </c>
      <c r="C56" s="1761"/>
      <c r="D56" s="1777"/>
      <c r="E56" s="1777"/>
      <c r="F56" s="1777"/>
      <c r="G56" s="1761">
        <v>42</v>
      </c>
      <c r="H56" s="707">
        <v>42</v>
      </c>
      <c r="I56" s="504">
        <v>190019</v>
      </c>
      <c r="J56" s="504">
        <v>190019</v>
      </c>
      <c r="K56" s="1789"/>
      <c r="L56" s="1789"/>
      <c r="M56" s="1791">
        <f>128*2+42</f>
        <v>298</v>
      </c>
      <c r="N56" s="1791"/>
      <c r="O56" s="504">
        <v>26</v>
      </c>
      <c r="P56" s="1789"/>
      <c r="Q56" s="504">
        <v>26</v>
      </c>
      <c r="R56" s="504">
        <v>19</v>
      </c>
      <c r="S56" s="504">
        <v>19</v>
      </c>
      <c r="T56" s="504">
        <v>19</v>
      </c>
      <c r="U56" s="504">
        <v>19</v>
      </c>
      <c r="V56" s="504">
        <v>19</v>
      </c>
      <c r="W56" s="504">
        <v>26</v>
      </c>
      <c r="X56" s="504">
        <v>26</v>
      </c>
      <c r="Y56" s="504">
        <v>26</v>
      </c>
      <c r="Z56" s="504">
        <v>26</v>
      </c>
      <c r="AA56" s="504">
        <v>26</v>
      </c>
      <c r="AB56" s="504">
        <v>26</v>
      </c>
      <c r="AC56" s="504">
        <v>26</v>
      </c>
      <c r="AD56" s="504">
        <v>19</v>
      </c>
      <c r="AE56" s="504">
        <v>19</v>
      </c>
      <c r="AF56" s="504">
        <v>19</v>
      </c>
      <c r="AG56" s="504">
        <v>19</v>
      </c>
      <c r="AH56" s="504">
        <v>19</v>
      </c>
      <c r="AI56" s="504">
        <v>26</v>
      </c>
      <c r="AJ56" s="504">
        <v>26</v>
      </c>
      <c r="AK56" s="504">
        <v>26</v>
      </c>
      <c r="AL56" s="504">
        <v>26</v>
      </c>
      <c r="AM56" s="504">
        <v>26</v>
      </c>
      <c r="AN56" s="504">
        <v>26</v>
      </c>
      <c r="AO56" s="504">
        <v>26</v>
      </c>
      <c r="AP56" s="1822">
        <f>128*6+9</f>
        <v>777</v>
      </c>
      <c r="AQ56" s="498">
        <v>200020</v>
      </c>
      <c r="AR56" s="771">
        <v>200020</v>
      </c>
      <c r="AS56" s="498">
        <v>200020</v>
      </c>
      <c r="AT56" s="1766">
        <v>200020</v>
      </c>
      <c r="AU56" s="498">
        <v>200020</v>
      </c>
      <c r="AV56" s="1767">
        <v>200020</v>
      </c>
      <c r="AW56" s="950">
        <v>200020</v>
      </c>
      <c r="AX56" s="950">
        <v>420020</v>
      </c>
      <c r="AY56" s="950">
        <v>420020</v>
      </c>
      <c r="AZ56" s="950">
        <v>420020</v>
      </c>
      <c r="BA56" s="950">
        <v>200020</v>
      </c>
      <c r="BB56" s="950">
        <v>200020</v>
      </c>
      <c r="BC56" s="498">
        <v>200020</v>
      </c>
      <c r="BD56" s="498">
        <v>200020</v>
      </c>
      <c r="BE56" s="498">
        <v>200020</v>
      </c>
      <c r="BF56" s="498">
        <v>200020</v>
      </c>
      <c r="BG56" s="498">
        <v>200020</v>
      </c>
      <c r="BH56" s="511"/>
      <c r="BI56" s="511"/>
      <c r="BJ56" s="511"/>
      <c r="BK56" s="514"/>
      <c r="BL56" s="514"/>
      <c r="BM56" s="514"/>
      <c r="BN56" s="1743"/>
      <c r="BO56" s="505">
        <v>200020</v>
      </c>
      <c r="BP56" s="498">
        <f t="shared" si="13"/>
        <v>200019</v>
      </c>
      <c r="BQ56" s="948"/>
      <c r="BR56" s="787"/>
      <c r="BS56" s="787"/>
      <c r="BT56" s="787"/>
      <c r="BU56" s="947"/>
      <c r="BV56" s="498">
        <f t="shared" si="14"/>
        <v>200019</v>
      </c>
      <c r="BW56" s="757"/>
      <c r="BX56" s="505">
        <f t="shared" si="12"/>
        <v>200019</v>
      </c>
      <c r="BY56" s="517">
        <v>200020</v>
      </c>
      <c r="BZ56" s="1110"/>
      <c r="CA56" s="504">
        <v>420042</v>
      </c>
      <c r="CB56" s="504">
        <v>420042</v>
      </c>
      <c r="CC56" s="504">
        <v>35</v>
      </c>
      <c r="CD56" s="504">
        <v>420042</v>
      </c>
      <c r="CE56" s="504">
        <v>420042</v>
      </c>
      <c r="CF56" s="514"/>
      <c r="CG56" s="514"/>
      <c r="CH56" s="514"/>
      <c r="CI56" s="514"/>
      <c r="CJ56" s="514"/>
      <c r="CK56" s="514"/>
      <c r="CL56" s="514"/>
      <c r="CM56" s="504">
        <v>35</v>
      </c>
      <c r="CN56" s="504">
        <v>420042</v>
      </c>
      <c r="CO56" s="504">
        <v>420042</v>
      </c>
      <c r="CP56" s="514"/>
      <c r="CQ56" s="1212"/>
      <c r="CR56" s="517">
        <v>200020</v>
      </c>
      <c r="DI56" s="499"/>
      <c r="DJ56" s="499"/>
    </row>
    <row r="57" spans="1:114" ht="9" customHeight="1" thickTop="1" thickBot="1">
      <c r="A57" s="1449">
        <v>200019</v>
      </c>
      <c r="B57" s="707"/>
      <c r="C57" s="1761"/>
      <c r="D57" s="1777"/>
      <c r="E57" s="1777"/>
      <c r="F57" s="1777"/>
      <c r="G57" s="1761"/>
      <c r="H57" s="707"/>
      <c r="I57" s="504">
        <v>190019</v>
      </c>
      <c r="J57" s="1789">
        <f>128*8+3</f>
        <v>1027</v>
      </c>
      <c r="K57" s="1795"/>
      <c r="L57" s="504">
        <v>26</v>
      </c>
      <c r="M57" s="504">
        <v>26</v>
      </c>
      <c r="N57" s="504">
        <v>26</v>
      </c>
      <c r="O57" s="504">
        <v>26</v>
      </c>
      <c r="P57" s="1789"/>
      <c r="Q57" s="504">
        <v>26</v>
      </c>
      <c r="R57" s="1738">
        <f>128*8+3</f>
        <v>1027</v>
      </c>
      <c r="S57" s="1738"/>
      <c r="T57" s="1738"/>
      <c r="U57" s="1738"/>
      <c r="V57" s="1738"/>
      <c r="W57" s="1738"/>
      <c r="X57" s="1738"/>
      <c r="Y57" s="1771"/>
      <c r="Z57" s="1738"/>
      <c r="AA57" s="1762"/>
      <c r="AB57" s="1762"/>
      <c r="AC57" s="1762"/>
      <c r="AD57" s="504">
        <v>26</v>
      </c>
      <c r="AE57" s="504">
        <v>26</v>
      </c>
      <c r="AF57" s="504">
        <v>26</v>
      </c>
      <c r="AG57" s="504">
        <v>26</v>
      </c>
      <c r="AH57" s="504">
        <v>26</v>
      </c>
      <c r="AI57" s="504">
        <v>26</v>
      </c>
      <c r="AJ57" s="504">
        <v>26</v>
      </c>
      <c r="AK57" s="504">
        <v>26</v>
      </c>
      <c r="AL57" s="504">
        <v>26</v>
      </c>
      <c r="AM57" s="504">
        <f>128*4+39+0.384+0.002</f>
        <v>551.38599999999997</v>
      </c>
      <c r="AN57" s="504">
        <f>128*4+39+0.384+0.002</f>
        <v>551.38599999999997</v>
      </c>
      <c r="AO57" s="504">
        <v>26</v>
      </c>
      <c r="AP57" s="504">
        <v>26</v>
      </c>
      <c r="AQ57" s="504">
        <v>26</v>
      </c>
      <c r="AR57" s="504">
        <v>26</v>
      </c>
      <c r="AS57" s="504">
        <v>26</v>
      </c>
      <c r="AT57" s="504">
        <v>26</v>
      </c>
      <c r="AU57" s="498">
        <v>26</v>
      </c>
      <c r="AV57" s="771">
        <v>130013</v>
      </c>
      <c r="AW57" s="771">
        <v>130013</v>
      </c>
      <c r="AX57" s="771">
        <v>200020</v>
      </c>
      <c r="AY57" s="771">
        <v>200020</v>
      </c>
      <c r="AZ57" s="771">
        <v>200050</v>
      </c>
      <c r="BA57" s="771">
        <v>200050</v>
      </c>
      <c r="BB57" s="771">
        <v>200050</v>
      </c>
      <c r="BC57" s="791">
        <v>200043</v>
      </c>
      <c r="BD57" s="1568"/>
      <c r="BE57" s="1700"/>
      <c r="BF57" s="1753"/>
      <c r="BG57" s="1768">
        <v>19</v>
      </c>
      <c r="BH57" s="1770">
        <f>128*4+13</f>
        <v>525</v>
      </c>
      <c r="BI57" s="532">
        <f>128*4+13</f>
        <v>525</v>
      </c>
      <c r="BJ57" s="771">
        <v>200020</v>
      </c>
      <c r="BK57" s="771">
        <v>500050</v>
      </c>
      <c r="BL57" s="771">
        <v>500050</v>
      </c>
      <c r="BM57" s="771">
        <v>500020</v>
      </c>
      <c r="BN57" s="1769">
        <f>500000+128*5+41</f>
        <v>500681</v>
      </c>
      <c r="BO57" s="505">
        <v>200020</v>
      </c>
      <c r="BP57" s="498">
        <f t="shared" si="13"/>
        <v>200019</v>
      </c>
      <c r="BQ57" s="949">
        <f>10000*35</f>
        <v>350000</v>
      </c>
      <c r="BR57" s="950">
        <f>10000*49</f>
        <v>490000</v>
      </c>
      <c r="BS57" s="950">
        <f>10000*37</f>
        <v>370000</v>
      </c>
      <c r="BT57" s="950">
        <f>10000*49</f>
        <v>490000</v>
      </c>
      <c r="BU57" s="949">
        <f>10000*35</f>
        <v>350000</v>
      </c>
      <c r="BV57" s="498">
        <f t="shared" si="14"/>
        <v>200019</v>
      </c>
      <c r="BW57" s="757"/>
      <c r="BX57" s="505">
        <f t="shared" si="12"/>
        <v>200019</v>
      </c>
      <c r="BY57" s="517">
        <v>200020</v>
      </c>
      <c r="BZ57" s="1110"/>
      <c r="CA57" s="504">
        <v>420042</v>
      </c>
      <c r="CB57" s="787"/>
      <c r="CC57" s="510"/>
      <c r="CD57" s="1881">
        <f>128*8+3</f>
        <v>1027</v>
      </c>
      <c r="CE57" s="504">
        <v>35</v>
      </c>
      <c r="CF57" s="504">
        <v>35</v>
      </c>
      <c r="CG57" s="504">
        <v>35</v>
      </c>
      <c r="CH57" s="504">
        <v>35</v>
      </c>
      <c r="CI57" s="504">
        <v>35</v>
      </c>
      <c r="CJ57" s="504">
        <v>35</v>
      </c>
      <c r="CK57" s="504">
        <v>35</v>
      </c>
      <c r="CL57" s="504">
        <v>420042</v>
      </c>
      <c r="CM57" s="504">
        <v>350035</v>
      </c>
      <c r="CN57" s="787"/>
      <c r="CO57" s="504">
        <v>420042</v>
      </c>
      <c r="CP57" s="514"/>
      <c r="CQ57" s="1212"/>
      <c r="CR57" s="517">
        <v>200020</v>
      </c>
      <c r="DI57" s="499"/>
      <c r="DJ57" s="499"/>
    </row>
    <row r="58" spans="1:114" ht="9" customHeight="1" thickTop="1" thickBot="1">
      <c r="A58" s="1449">
        <v>200019</v>
      </c>
      <c r="B58" s="707"/>
      <c r="C58" s="1761"/>
      <c r="D58" s="1777"/>
      <c r="E58" s="1777"/>
      <c r="F58" s="1777"/>
      <c r="G58" s="1761"/>
      <c r="H58" s="707"/>
      <c r="I58" s="504">
        <v>190019</v>
      </c>
      <c r="J58" s="1792"/>
      <c r="K58" s="1792"/>
      <c r="L58" s="1792"/>
      <c r="M58" s="1792"/>
      <c r="N58" s="1792"/>
      <c r="O58" s="1793"/>
      <c r="P58" s="1794">
        <f>128*2+42</f>
        <v>298</v>
      </c>
      <c r="Q58" s="504">
        <v>26</v>
      </c>
      <c r="R58" s="1776">
        <f>128*9+71</f>
        <v>1223</v>
      </c>
      <c r="S58" s="1759"/>
      <c r="T58" s="1759"/>
      <c r="U58" s="1759"/>
      <c r="V58" s="1759"/>
      <c r="W58" s="1759"/>
      <c r="X58" s="1759"/>
      <c r="Y58" s="1759"/>
      <c r="Z58" s="1759"/>
      <c r="AA58" s="1759"/>
      <c r="AB58" s="1759"/>
      <c r="AC58" s="1759"/>
      <c r="AD58" s="1759"/>
      <c r="AE58" s="1759"/>
      <c r="AF58" s="1759"/>
      <c r="AG58" s="1765">
        <f>128*9+17</f>
        <v>1169</v>
      </c>
      <c r="AH58" s="1738">
        <f>128*9+6</f>
        <v>1158</v>
      </c>
      <c r="AI58" s="1757"/>
      <c r="AJ58" s="1757"/>
      <c r="AK58" s="1757"/>
      <c r="AL58" s="1757"/>
      <c r="AM58" s="1757"/>
      <c r="AN58" s="1757"/>
      <c r="AO58" s="1757"/>
      <c r="AP58" s="1757"/>
      <c r="AQ58" s="1764">
        <f>128*9+16</f>
        <v>1168</v>
      </c>
      <c r="AR58" s="1756">
        <f>128*9+6</f>
        <v>1158</v>
      </c>
      <c r="AS58" s="1739">
        <f>128*14+11</f>
        <v>1803</v>
      </c>
      <c r="AT58" s="1740">
        <v>5.0000000000000001E-3</v>
      </c>
      <c r="AU58" s="514">
        <v>26</v>
      </c>
      <c r="AV58" s="503"/>
      <c r="AW58" s="503"/>
      <c r="AX58" s="517">
        <v>200020</v>
      </c>
      <c r="AY58" s="1751">
        <f>128*9+26+0.152</f>
        <v>1178.152</v>
      </c>
      <c r="AZ58" s="1744"/>
      <c r="BA58" s="1744"/>
      <c r="BB58" s="1744"/>
      <c r="BC58" s="504">
        <v>200043</v>
      </c>
      <c r="BD58" s="1568"/>
      <c r="BE58" s="1701"/>
      <c r="BF58" s="1699">
        <v>200020</v>
      </c>
      <c r="BG58" s="1755">
        <v>19</v>
      </c>
      <c r="BH58" s="1568">
        <f>128*14+10</f>
        <v>1802</v>
      </c>
      <c r="BI58" s="503"/>
      <c r="BJ58" s="498">
        <v>200020</v>
      </c>
      <c r="BK58" s="504">
        <f>0.1208</f>
        <v>0.1208</v>
      </c>
      <c r="BL58" s="504"/>
      <c r="BM58" s="504"/>
      <c r="BN58" s="504"/>
      <c r="BO58" s="505">
        <v>200043</v>
      </c>
      <c r="BP58" s="498">
        <f t="shared" si="13"/>
        <v>200019</v>
      </c>
      <c r="BQ58" s="948"/>
      <c r="BR58" s="787"/>
      <c r="BS58" s="787"/>
      <c r="BT58" s="787"/>
      <c r="BU58" s="947"/>
      <c r="BV58" s="498">
        <f t="shared" si="14"/>
        <v>200019</v>
      </c>
      <c r="BW58" s="1643"/>
      <c r="BX58" s="505">
        <f t="shared" si="12"/>
        <v>200019</v>
      </c>
      <c r="BY58" s="517">
        <v>200020</v>
      </c>
      <c r="BZ58" s="1110"/>
      <c r="CA58" s="504">
        <v>350035</v>
      </c>
      <c r="CB58" s="787"/>
      <c r="CC58" s="754">
        <f>35+0.1514</f>
        <v>35.151400000000002</v>
      </c>
      <c r="CD58" s="787"/>
      <c r="CE58" s="3110">
        <f>128*17+8</f>
        <v>2184</v>
      </c>
      <c r="CF58" s="1039"/>
      <c r="CG58" s="787"/>
      <c r="CH58" s="1214">
        <f>128*9+40</f>
        <v>1192</v>
      </c>
      <c r="CI58" s="787"/>
      <c r="CJ58" s="1039"/>
      <c r="CK58" s="1039"/>
      <c r="CL58" s="770">
        <f>350035+0.068</f>
        <v>350035.06800000003</v>
      </c>
      <c r="CM58" s="1215">
        <f>420000+128*11+1</f>
        <v>421409</v>
      </c>
      <c r="CN58" s="1039"/>
      <c r="CO58" s="515">
        <v>350035</v>
      </c>
      <c r="CP58" s="514"/>
      <c r="CQ58" s="1212"/>
      <c r="CR58" s="517">
        <v>200020</v>
      </c>
      <c r="DI58" s="499"/>
      <c r="DJ58" s="499"/>
    </row>
    <row r="59" spans="1:114" ht="9" customHeight="1" thickTop="1" thickBot="1">
      <c r="A59" s="1449">
        <v>200019</v>
      </c>
      <c r="B59" s="707">
        <v>42</v>
      </c>
      <c r="C59" s="1761"/>
      <c r="D59" s="1777"/>
      <c r="E59" s="1777"/>
      <c r="F59" s="1777"/>
      <c r="G59" s="504">
        <v>26</v>
      </c>
      <c r="H59" s="504">
        <v>26</v>
      </c>
      <c r="I59" s="504">
        <v>26</v>
      </c>
      <c r="J59" s="504">
        <v>26</v>
      </c>
      <c r="K59" s="504">
        <v>26</v>
      </c>
      <c r="L59" s="1789"/>
      <c r="M59" s="1789"/>
      <c r="N59" s="504">
        <v>26</v>
      </c>
      <c r="O59" s="504">
        <v>26</v>
      </c>
      <c r="P59" s="504">
        <v>26</v>
      </c>
      <c r="Q59" s="504">
        <v>26</v>
      </c>
      <c r="R59" s="1774">
        <f>128*9+70</f>
        <v>1222</v>
      </c>
      <c r="S59" s="1774"/>
      <c r="T59" s="1774"/>
      <c r="U59" s="1774"/>
      <c r="V59" s="1774"/>
      <c r="W59" s="2263">
        <v>24</v>
      </c>
      <c r="X59" s="1774"/>
      <c r="Y59" s="1774"/>
      <c r="Z59" s="1774"/>
      <c r="AA59" s="1774"/>
      <c r="AB59" s="1774"/>
      <c r="AC59" s="1774"/>
      <c r="AD59" s="1774"/>
      <c r="AE59" s="1738"/>
      <c r="AF59" s="504">
        <v>26</v>
      </c>
      <c r="AG59" s="1738"/>
      <c r="AH59" s="1771"/>
      <c r="AI59" s="1738"/>
      <c r="AJ59" s="504">
        <v>26</v>
      </c>
      <c r="AK59" s="1771"/>
      <c r="AL59" s="504">
        <v>26</v>
      </c>
      <c r="AM59" s="1738"/>
      <c r="AN59" s="1738"/>
      <c r="AO59" s="504">
        <f>128*4+39+0.384+0.002</f>
        <v>551.38599999999997</v>
      </c>
      <c r="AP59" s="504">
        <v>26</v>
      </c>
      <c r="AQ59" s="1738"/>
      <c r="AR59" s="1737"/>
      <c r="AS59" s="1739">
        <f>128*14+11</f>
        <v>1803</v>
      </c>
      <c r="AT59" s="1740"/>
      <c r="AU59" s="514">
        <v>26</v>
      </c>
      <c r="AV59" s="1568"/>
      <c r="AW59" s="503"/>
      <c r="AX59" s="517">
        <v>200020</v>
      </c>
      <c r="AY59" s="1744"/>
      <c r="AZ59" s="1746">
        <f>128*9+83</f>
        <v>1235</v>
      </c>
      <c r="BA59" s="504">
        <v>200043</v>
      </c>
      <c r="BB59" s="1750">
        <f>128*9+28+0.148</f>
        <v>1180.1479999999999</v>
      </c>
      <c r="BC59" s="515">
        <v>200043</v>
      </c>
      <c r="BD59" s="1568"/>
      <c r="BE59" s="1701"/>
      <c r="BF59" s="1699">
        <f>200020+0.151</f>
        <v>200020.15100000001</v>
      </c>
      <c r="BG59" s="1773">
        <f>128*11+7</f>
        <v>1415</v>
      </c>
      <c r="BH59" s="1568">
        <f>128*14+10</f>
        <v>1802</v>
      </c>
      <c r="BI59" s="1741"/>
      <c r="BJ59" s="528">
        <f>200000+128*4+34</f>
        <v>200546</v>
      </c>
      <c r="BK59" s="504"/>
      <c r="BL59" s="504">
        <f>128*6+115</f>
        <v>883</v>
      </c>
      <c r="BM59" s="504">
        <v>200043</v>
      </c>
      <c r="BN59" s="1742">
        <v>200043</v>
      </c>
      <c r="BO59" s="505">
        <v>200043</v>
      </c>
      <c r="BP59" s="498">
        <f t="shared" si="13"/>
        <v>200019</v>
      </c>
      <c r="BQ59" s="948">
        <f>128*6+3</f>
        <v>771</v>
      </c>
      <c r="BR59" s="787"/>
      <c r="BS59" s="757"/>
      <c r="BT59" s="757"/>
      <c r="BU59" s="947"/>
      <c r="BV59" s="818">
        <f>10000*20+128+19+0.131</f>
        <v>200147.13099999999</v>
      </c>
      <c r="BW59" s="757">
        <f>10000*20+128+19</f>
        <v>200147</v>
      </c>
      <c r="BX59" s="505">
        <f t="shared" si="12"/>
        <v>200019</v>
      </c>
      <c r="BY59" s="517">
        <v>200020</v>
      </c>
      <c r="BZ59" s="1110"/>
      <c r="CA59" s="504">
        <v>350035</v>
      </c>
      <c r="CB59" s="1039"/>
      <c r="CC59" s="999">
        <f>420000+128*11+2</f>
        <v>421410</v>
      </c>
      <c r="CD59" s="754">
        <f>350035+0.068</f>
        <v>350035.06800000003</v>
      </c>
      <c r="CE59" s="1216"/>
      <c r="CF59" s="1216"/>
      <c r="CG59" s="787"/>
      <c r="CH59" s="1217">
        <f>128*9+40</f>
        <v>1192</v>
      </c>
      <c r="CI59" s="787"/>
      <c r="CJ59" s="1216"/>
      <c r="CK59" s="1216"/>
      <c r="CL59" s="787"/>
      <c r="CM59" s="770">
        <f>35+0.1514</f>
        <v>35.151400000000002</v>
      </c>
      <c r="CN59" s="787"/>
      <c r="CO59" s="515">
        <v>350035</v>
      </c>
      <c r="CP59" s="514"/>
      <c r="CQ59" s="1212"/>
      <c r="CR59" s="517">
        <v>200020</v>
      </c>
      <c r="DI59" s="499"/>
      <c r="DJ59" s="499"/>
    </row>
    <row r="60" spans="1:114" ht="9" customHeight="1" thickTop="1" thickBot="1">
      <c r="A60" s="1449">
        <v>200019</v>
      </c>
      <c r="B60" s="707"/>
      <c r="C60" s="1761"/>
      <c r="D60" s="1777"/>
      <c r="E60" s="1777"/>
      <c r="F60" s="1778">
        <f>128*9+17</f>
        <v>1169</v>
      </c>
      <c r="G60" s="1806"/>
      <c r="H60" s="1807"/>
      <c r="I60" s="1806">
        <f>128*9+74</f>
        <v>1226</v>
      </c>
      <c r="J60" s="1806">
        <f>128*9+74</f>
        <v>1226</v>
      </c>
      <c r="K60" s="504">
        <v>26</v>
      </c>
      <c r="L60" s="504">
        <v>26</v>
      </c>
      <c r="M60" s="504">
        <v>26</v>
      </c>
      <c r="N60" s="504">
        <v>20</v>
      </c>
      <c r="O60" s="1738">
        <f>128*9+6</f>
        <v>1158</v>
      </c>
      <c r="P60" s="1761"/>
      <c r="Q60" s="1761"/>
      <c r="R60" s="1456"/>
      <c r="S60" s="1761"/>
      <c r="T60" s="1761"/>
      <c r="U60" s="1761"/>
      <c r="V60" s="1761"/>
      <c r="W60" s="1456"/>
      <c r="X60" s="1761"/>
      <c r="Y60" s="1758">
        <f>128*9+16</f>
        <v>1168</v>
      </c>
      <c r="Z60" s="1738">
        <f>128*9+6</f>
        <v>1158</v>
      </c>
      <c r="AA60" s="504">
        <v>26</v>
      </c>
      <c r="AB60" s="504">
        <f>128*4+39</f>
        <v>551</v>
      </c>
      <c r="AC60" s="504">
        <v>26</v>
      </c>
      <c r="AD60" s="1738">
        <f>128*9+6</f>
        <v>1158</v>
      </c>
      <c r="AE60" s="1759"/>
      <c r="AF60" s="1759"/>
      <c r="AG60" s="1759"/>
      <c r="AH60" s="1759"/>
      <c r="AI60" s="1759"/>
      <c r="AJ60" s="1759"/>
      <c r="AK60" s="1759"/>
      <c r="AL60" s="1759"/>
      <c r="AM60" s="1759"/>
      <c r="AN60" s="1759"/>
      <c r="AO60" s="1759"/>
      <c r="AP60" s="1759"/>
      <c r="AQ60" s="1765">
        <f>128*9+17</f>
        <v>1169</v>
      </c>
      <c r="AR60" s="1738">
        <f>128*9+6</f>
        <v>1158</v>
      </c>
      <c r="AS60" s="1739">
        <f>200000+128*14+11</f>
        <v>201803</v>
      </c>
      <c r="AT60" s="1727">
        <f>128*11+7+0.5</f>
        <v>1415.5</v>
      </c>
      <c r="AU60" s="514">
        <v>26</v>
      </c>
      <c r="AV60" s="1568"/>
      <c r="AW60" s="773"/>
      <c r="AX60" s="517">
        <v>200020</v>
      </c>
      <c r="AY60" s="1744">
        <f>200000+128*5+30</f>
        <v>200670</v>
      </c>
      <c r="AZ60" s="504">
        <v>200043</v>
      </c>
      <c r="BA60" s="504">
        <v>200043</v>
      </c>
      <c r="BB60" s="504">
        <v>200043</v>
      </c>
      <c r="BC60" s="504">
        <v>200043</v>
      </c>
      <c r="BD60" s="1568"/>
      <c r="BE60" s="1701"/>
      <c r="BF60" s="1699">
        <v>200020</v>
      </c>
      <c r="BG60" s="1755">
        <v>19</v>
      </c>
      <c r="BH60" s="1568">
        <f>128*14+10</f>
        <v>1802</v>
      </c>
      <c r="BI60" s="503"/>
      <c r="BJ60" s="498">
        <v>200020</v>
      </c>
      <c r="BK60" s="504">
        <f>200000+128*5+41</f>
        <v>200681</v>
      </c>
      <c r="BL60" s="504">
        <v>200043</v>
      </c>
      <c r="BM60" s="1752">
        <f>128*9+83</f>
        <v>1235</v>
      </c>
      <c r="BN60" s="1752">
        <f>128*9+83</f>
        <v>1235</v>
      </c>
      <c r="BO60" s="505">
        <v>200043</v>
      </c>
      <c r="BP60" s="771">
        <v>200020</v>
      </c>
      <c r="BQ60" s="950">
        <f>10000*49+49</f>
        <v>490049</v>
      </c>
      <c r="BR60" s="951">
        <f>10000*49+49</f>
        <v>490049</v>
      </c>
      <c r="BS60" s="757"/>
      <c r="BT60" s="787"/>
      <c r="BU60" s="947">
        <f>128*6+4</f>
        <v>772</v>
      </c>
      <c r="BV60" s="498">
        <f t="shared" si="14"/>
        <v>200019</v>
      </c>
      <c r="BW60" s="757"/>
      <c r="BX60" s="505">
        <f t="shared" si="12"/>
        <v>200019</v>
      </c>
      <c r="BY60" s="517">
        <v>200020</v>
      </c>
      <c r="BZ60" s="1110"/>
      <c r="CA60" s="504">
        <v>420042</v>
      </c>
      <c r="CB60" s="787"/>
      <c r="CC60" s="504">
        <v>35</v>
      </c>
      <c r="CD60" s="504">
        <v>420042</v>
      </c>
      <c r="CE60" s="504">
        <v>35</v>
      </c>
      <c r="CF60" s="504">
        <v>35</v>
      </c>
      <c r="CG60" s="504">
        <v>35</v>
      </c>
      <c r="CH60" s="504">
        <v>35</v>
      </c>
      <c r="CI60" s="504">
        <v>35</v>
      </c>
      <c r="CJ60" s="504">
        <v>35</v>
      </c>
      <c r="CK60" s="504">
        <v>35</v>
      </c>
      <c r="CL60" s="787"/>
      <c r="CM60" s="510"/>
      <c r="CN60" s="787"/>
      <c r="CO60" s="504">
        <v>420042</v>
      </c>
      <c r="CP60" s="514"/>
      <c r="CQ60" s="1212"/>
      <c r="CR60" s="517">
        <v>200020</v>
      </c>
      <c r="DI60" s="499"/>
      <c r="DJ60" s="499"/>
    </row>
    <row r="61" spans="1:114" ht="9" customHeight="1" thickTop="1" thickBot="1">
      <c r="A61" s="1449">
        <v>200019</v>
      </c>
      <c r="B61" s="707"/>
      <c r="C61" s="1761"/>
      <c r="D61" s="1777"/>
      <c r="E61" s="1778">
        <f>128*9+17</f>
        <v>1169</v>
      </c>
      <c r="F61" s="1738">
        <f>128*9+6</f>
        <v>1158</v>
      </c>
      <c r="G61" s="1757"/>
      <c r="H61" s="1757"/>
      <c r="I61" s="1757"/>
      <c r="J61" s="1757"/>
      <c r="K61" s="1757"/>
      <c r="L61" s="1757"/>
      <c r="M61" s="1757"/>
      <c r="N61" s="1782">
        <f>128*5+37</f>
        <v>677</v>
      </c>
      <c r="O61" s="1757"/>
      <c r="P61" s="1757"/>
      <c r="Q61" s="1781">
        <f>128*9+16</f>
        <v>1168</v>
      </c>
      <c r="R61" s="1757"/>
      <c r="S61" s="1757"/>
      <c r="T61" s="1757"/>
      <c r="U61" s="1757"/>
      <c r="V61" s="1757"/>
      <c r="W61" s="1757"/>
      <c r="X61" s="1757"/>
      <c r="Y61" s="1757"/>
      <c r="Z61" s="1764">
        <f>128*9+16</f>
        <v>1168</v>
      </c>
      <c r="AA61" s="1738">
        <f>128*9+6</f>
        <v>1158</v>
      </c>
      <c r="AB61" s="1775"/>
      <c r="AC61" s="1775"/>
      <c r="AD61" s="1775"/>
      <c r="AE61" s="1738"/>
      <c r="AF61" s="1738"/>
      <c r="AG61" s="1738"/>
      <c r="AH61" s="1763"/>
      <c r="AI61" s="1763"/>
      <c r="AJ61" s="1763"/>
      <c r="AK61" s="504">
        <v>26</v>
      </c>
      <c r="AL61" s="1738"/>
      <c r="AM61" s="1738"/>
      <c r="AN61" s="1738"/>
      <c r="AO61" s="1738"/>
      <c r="AP61" s="504">
        <v>26</v>
      </c>
      <c r="AQ61" s="504">
        <v>26</v>
      </c>
      <c r="AR61" s="504">
        <v>26</v>
      </c>
      <c r="AS61" s="1739">
        <f>128*14+11</f>
        <v>1803</v>
      </c>
      <c r="AT61" s="1739"/>
      <c r="AU61" s="511">
        <v>26</v>
      </c>
      <c r="AV61" s="1568"/>
      <c r="AW61" s="503"/>
      <c r="AX61" s="517">
        <f>200050</f>
        <v>200050</v>
      </c>
      <c r="AY61" s="1745"/>
      <c r="AZ61" s="1745"/>
      <c r="BA61" s="1744"/>
      <c r="BB61" s="1744"/>
      <c r="BC61" s="504">
        <v>200043</v>
      </c>
      <c r="BD61" s="1568"/>
      <c r="BE61" s="1701"/>
      <c r="BF61" s="1701"/>
      <c r="BG61" s="1702">
        <v>19</v>
      </c>
      <c r="BH61" s="510"/>
      <c r="BI61" s="503"/>
      <c r="BJ61" s="1754">
        <f>200000+128*4+34</f>
        <v>200546</v>
      </c>
      <c r="BK61" s="1744"/>
      <c r="BL61" s="1744"/>
      <c r="BM61" s="1744"/>
      <c r="BN61" s="1744"/>
      <c r="BO61" s="505">
        <v>200043</v>
      </c>
      <c r="BP61" s="952">
        <f>10000*20+49+0.07</f>
        <v>200049.07</v>
      </c>
      <c r="BQ61" s="953">
        <f>420000+128*11+5</f>
        <v>421413</v>
      </c>
      <c r="BR61" s="954">
        <f>390000+128*5+39</f>
        <v>390679</v>
      </c>
      <c r="BS61" s="948"/>
      <c r="BT61" s="948"/>
      <c r="BU61" s="947">
        <f>128*6+4</f>
        <v>772</v>
      </c>
      <c r="BV61" s="498">
        <f t="shared" si="14"/>
        <v>200019</v>
      </c>
      <c r="BW61" s="757"/>
      <c r="BX61" s="505">
        <f t="shared" si="12"/>
        <v>200019</v>
      </c>
      <c r="BY61" s="517">
        <v>200020</v>
      </c>
      <c r="BZ61" s="1110"/>
      <c r="CA61" s="504">
        <v>420042</v>
      </c>
      <c r="CB61" s="504">
        <v>420042</v>
      </c>
      <c r="CC61" s="504">
        <v>35</v>
      </c>
      <c r="CD61" s="514"/>
      <c r="CE61" s="514"/>
      <c r="CF61" s="514"/>
      <c r="CG61" s="514"/>
      <c r="CH61" s="514"/>
      <c r="CI61" s="514"/>
      <c r="CJ61" s="514"/>
      <c r="CK61" s="504">
        <v>420042</v>
      </c>
      <c r="CL61" s="504">
        <v>420042</v>
      </c>
      <c r="CM61" s="504">
        <v>35</v>
      </c>
      <c r="CN61" s="504">
        <v>420042</v>
      </c>
      <c r="CO61" s="504">
        <v>420042</v>
      </c>
      <c r="CP61" s="514"/>
      <c r="CQ61" s="1212"/>
      <c r="CR61" s="517">
        <v>200020</v>
      </c>
      <c r="DI61" s="499"/>
      <c r="DJ61" s="499"/>
    </row>
    <row r="62" spans="1:114" ht="9" customHeight="1" thickTop="1" thickBot="1">
      <c r="A62" s="1449">
        <v>200019</v>
      </c>
      <c r="B62" s="707"/>
      <c r="C62" s="1761"/>
      <c r="D62" s="1778">
        <f>128*9+17</f>
        <v>1169</v>
      </c>
      <c r="E62" s="1738">
        <f>128*9+6+0.5+0.211</f>
        <v>1158.711</v>
      </c>
      <c r="F62" s="1738"/>
      <c r="G62" s="1738"/>
      <c r="H62" s="1738"/>
      <c r="I62" s="1738">
        <v>42</v>
      </c>
      <c r="J62" s="1738"/>
      <c r="K62" s="1738"/>
      <c r="L62" s="1738"/>
      <c r="M62" s="1738"/>
      <c r="N62" s="1783">
        <f>20+0.065</f>
        <v>20.065000000000001</v>
      </c>
      <c r="O62" s="1738"/>
      <c r="P62" s="1738">
        <f>128*8+4</f>
        <v>1028</v>
      </c>
      <c r="Q62" s="1738"/>
      <c r="R62" s="1738"/>
      <c r="S62" s="1738"/>
      <c r="T62" s="1738">
        <f>128*6+5</f>
        <v>773</v>
      </c>
      <c r="U62" s="1738">
        <f>128*6+3</f>
        <v>771</v>
      </c>
      <c r="V62" s="1738">
        <f>128*6+5</f>
        <v>773</v>
      </c>
      <c r="W62" s="1738"/>
      <c r="X62" s="1738">
        <f>128*8+3</f>
        <v>1027</v>
      </c>
      <c r="Y62" s="1738"/>
      <c r="Z62" s="1738"/>
      <c r="AA62" s="1738">
        <v>5.0000000000000001E-3</v>
      </c>
      <c r="AB62" s="504">
        <v>26</v>
      </c>
      <c r="AC62" s="504">
        <v>26</v>
      </c>
      <c r="AD62" s="504">
        <v>26</v>
      </c>
      <c r="AE62" s="504">
        <v>26</v>
      </c>
      <c r="AF62" s="1948">
        <f>128*5+37</f>
        <v>677</v>
      </c>
      <c r="AG62" s="504">
        <v>26</v>
      </c>
      <c r="AH62" s="1760">
        <f>128*4+36</f>
        <v>548</v>
      </c>
      <c r="AI62" s="1760">
        <f>128*4+36</f>
        <v>548</v>
      </c>
      <c r="AJ62" s="504">
        <v>26</v>
      </c>
      <c r="AK62" s="504">
        <v>26</v>
      </c>
      <c r="AL62" s="1948">
        <f>128*5+37</f>
        <v>677</v>
      </c>
      <c r="AM62" s="504">
        <v>26</v>
      </c>
      <c r="AN62" s="1760">
        <f>128*4+36</f>
        <v>548</v>
      </c>
      <c r="AO62" s="504">
        <v>26</v>
      </c>
      <c r="AP62" s="504">
        <v>26</v>
      </c>
      <c r="AQ62" s="1737">
        <f>128*10+16</f>
        <v>1296</v>
      </c>
      <c r="AR62" s="504">
        <v>26</v>
      </c>
      <c r="AS62" s="1947">
        <f>128*5+39</f>
        <v>679</v>
      </c>
      <c r="AT62" s="705">
        <v>26</v>
      </c>
      <c r="AU62" s="504">
        <v>26</v>
      </c>
      <c r="AV62" s="1530">
        <v>200020</v>
      </c>
      <c r="AW62" s="525">
        <v>200050</v>
      </c>
      <c r="AX62" s="517">
        <v>200020</v>
      </c>
      <c r="AY62" s="1745"/>
      <c r="AZ62" s="804">
        <f>128*9+83+0.5+0.256+0.0232</f>
        <v>1235.7792000000002</v>
      </c>
      <c r="BA62" s="498">
        <v>200033</v>
      </c>
      <c r="BB62" s="504">
        <f>128*5+30</f>
        <v>670</v>
      </c>
      <c r="BC62" s="504">
        <v>200033</v>
      </c>
      <c r="BD62" s="503"/>
      <c r="BE62" s="503"/>
      <c r="BF62" s="503"/>
      <c r="BG62" s="517">
        <v>20</v>
      </c>
      <c r="BH62" s="1748">
        <f>200000+128*5+35</f>
        <v>200675</v>
      </c>
      <c r="BI62" s="498">
        <v>500020</v>
      </c>
      <c r="BJ62" s="498">
        <v>200020</v>
      </c>
      <c r="BK62" s="1744"/>
      <c r="BL62" s="1744"/>
      <c r="BM62" s="498">
        <v>200033</v>
      </c>
      <c r="BN62" s="1744">
        <f>128*5+30</f>
        <v>670</v>
      </c>
      <c r="BO62" s="505">
        <f>10000*20+33</f>
        <v>200033</v>
      </c>
      <c r="BP62" s="771">
        <v>200020</v>
      </c>
      <c r="BQ62" s="771">
        <f>10000*20+49</f>
        <v>200049</v>
      </c>
      <c r="BR62" s="498">
        <f>10000*49+49</f>
        <v>490049</v>
      </c>
      <c r="BS62" s="498">
        <f>10000*20+19</f>
        <v>200019</v>
      </c>
      <c r="BT62" s="498">
        <f>10000*20+19</f>
        <v>200019</v>
      </c>
      <c r="BU62" s="771">
        <f>10000*20+19</f>
        <v>200019</v>
      </c>
      <c r="BV62" s="498">
        <f t="shared" si="14"/>
        <v>200019</v>
      </c>
      <c r="BW62" s="757"/>
      <c r="BX62" s="505">
        <f t="shared" si="12"/>
        <v>200019</v>
      </c>
      <c r="BY62" s="517">
        <v>200020</v>
      </c>
      <c r="BZ62" s="1110"/>
      <c r="CA62" s="514"/>
      <c r="CB62" s="1219">
        <v>490000</v>
      </c>
      <c r="CC62" s="514"/>
      <c r="CD62" s="514"/>
      <c r="CE62" s="514"/>
      <c r="CF62" s="514"/>
      <c r="CG62" s="514"/>
      <c r="CH62" s="514"/>
      <c r="CI62" s="514"/>
      <c r="CJ62" s="514"/>
      <c r="CK62" s="514"/>
      <c r="CL62" s="514"/>
      <c r="CM62" s="514"/>
      <c r="CN62" s="514"/>
      <c r="CO62" s="514"/>
      <c r="CP62" s="514"/>
      <c r="CQ62" s="1212"/>
      <c r="CR62" s="517">
        <v>200020</v>
      </c>
      <c r="DI62" s="499"/>
      <c r="DJ62" s="499"/>
    </row>
    <row r="63" spans="1:114" ht="9" customHeight="1" thickTop="1" thickBot="1">
      <c r="A63" s="1449">
        <v>200019</v>
      </c>
      <c r="B63" s="707"/>
      <c r="C63" s="1761"/>
      <c r="D63" s="1738">
        <f>128*9+6</f>
        <v>1158</v>
      </c>
      <c r="E63" s="1738"/>
      <c r="F63" s="1738"/>
      <c r="G63" s="1738"/>
      <c r="H63" s="1738"/>
      <c r="I63" s="1738">
        <f>128*4+39+0.005</f>
        <v>551.005</v>
      </c>
      <c r="J63" s="1738"/>
      <c r="K63" s="1738"/>
      <c r="L63" s="1738"/>
      <c r="M63" s="1738"/>
      <c r="N63" s="707">
        <f>128*4+39+0.005</f>
        <v>551.005</v>
      </c>
      <c r="O63" s="1763"/>
      <c r="P63" s="1763"/>
      <c r="Q63" s="1763"/>
      <c r="R63" s="1763"/>
      <c r="S63" s="1763"/>
      <c r="T63" s="504">
        <v>26</v>
      </c>
      <c r="U63" s="504">
        <v>26</v>
      </c>
      <c r="V63" s="504">
        <v>26</v>
      </c>
      <c r="W63" s="1762"/>
      <c r="X63" s="1762"/>
      <c r="Y63" s="1762"/>
      <c r="Z63" s="1762"/>
      <c r="AA63" s="1762"/>
      <c r="AB63" s="504">
        <v>26</v>
      </c>
      <c r="AC63" s="1738">
        <f>128*10+9</f>
        <v>1289</v>
      </c>
      <c r="AD63" s="1763"/>
      <c r="AE63" s="1738"/>
      <c r="AF63" s="1738"/>
      <c r="AG63" s="1784">
        <f>0.384+0.0041</f>
        <v>0.3881</v>
      </c>
      <c r="AH63" s="1738"/>
      <c r="AI63" s="1738"/>
      <c r="AJ63" s="1738">
        <v>5.0000000000000001E-3</v>
      </c>
      <c r="AK63" s="504">
        <v>26</v>
      </c>
      <c r="AL63" s="1738"/>
      <c r="AM63" s="1738"/>
      <c r="AN63" s="1738">
        <f>128*10+16</f>
        <v>1296</v>
      </c>
      <c r="AO63" s="1738"/>
      <c r="AP63" s="1738"/>
      <c r="AQ63" s="1738"/>
      <c r="AR63" s="1738"/>
      <c r="AS63" s="1738">
        <f>128*8+8</f>
        <v>1032</v>
      </c>
      <c r="AT63" s="1772"/>
      <c r="AU63" s="525">
        <v>26</v>
      </c>
      <c r="AV63" s="517">
        <v>200050</v>
      </c>
      <c r="AW63" s="1749">
        <f>0.256+0.0031</f>
        <v>0.2591</v>
      </c>
      <c r="AX63" s="1744">
        <f>200000+128*5+41</f>
        <v>200681</v>
      </c>
      <c r="AY63" s="1745"/>
      <c r="AZ63" s="804">
        <f>128*9+83</f>
        <v>1235</v>
      </c>
      <c r="BA63" s="498">
        <v>200033</v>
      </c>
      <c r="BB63" s="1556">
        <f>420000+128*11+8</f>
        <v>421416</v>
      </c>
      <c r="BC63" s="504">
        <v>200033</v>
      </c>
      <c r="BD63" s="503"/>
      <c r="BE63" s="503"/>
      <c r="BF63" s="503"/>
      <c r="BG63" s="517">
        <v>20</v>
      </c>
      <c r="BH63" s="1744"/>
      <c r="BI63" s="1744"/>
      <c r="BJ63" s="1744"/>
      <c r="BK63" s="1744"/>
      <c r="BL63" s="1750">
        <f>128*9+28+0.147</f>
        <v>1180.1469999999999</v>
      </c>
      <c r="BM63" s="498">
        <v>200033</v>
      </c>
      <c r="BN63" s="1556">
        <f>420000+128*11+8</f>
        <v>421416</v>
      </c>
      <c r="BO63" s="505">
        <f>10000*20+33</f>
        <v>200033</v>
      </c>
      <c r="BP63" s="503"/>
      <c r="BQ63" s="503"/>
      <c r="BR63" s="498">
        <f>10000*20+19</f>
        <v>200019</v>
      </c>
      <c r="BS63" s="757">
        <f>128*10+1</f>
        <v>1281</v>
      </c>
      <c r="BT63" s="757">
        <f>128*8+3</f>
        <v>1027</v>
      </c>
      <c r="BU63" s="757"/>
      <c r="BV63" s="837"/>
      <c r="BW63" s="757"/>
      <c r="BX63" s="505">
        <f t="shared" si="12"/>
        <v>200019</v>
      </c>
      <c r="BY63" s="517">
        <v>200020</v>
      </c>
      <c r="BZ63" s="1110"/>
      <c r="CA63" s="1110"/>
      <c r="CB63" s="1110"/>
      <c r="CC63" s="1110"/>
      <c r="CD63" s="1110"/>
      <c r="CE63" s="1110"/>
      <c r="CF63" s="1110"/>
      <c r="CG63" s="1110"/>
      <c r="CH63" s="1220">
        <v>200020</v>
      </c>
      <c r="CI63" s="1110"/>
      <c r="CJ63" s="1110"/>
      <c r="CK63" s="1110"/>
      <c r="CL63" s="1110"/>
      <c r="CM63" s="1110"/>
      <c r="CN63" s="1110"/>
      <c r="CO63" s="1110"/>
      <c r="CP63" s="1110"/>
      <c r="CQ63" s="1212"/>
      <c r="CR63" s="517">
        <v>200020</v>
      </c>
      <c r="DI63" s="499"/>
      <c r="DJ63" s="499"/>
    </row>
    <row r="64" spans="1:114" ht="9" customHeight="1" thickTop="1">
      <c r="A64" s="1449">
        <v>200019</v>
      </c>
      <c r="B64" s="1449">
        <v>200019</v>
      </c>
      <c r="C64" s="1449">
        <v>200019</v>
      </c>
      <c r="D64" s="1449">
        <v>200019</v>
      </c>
      <c r="E64" s="1449">
        <v>200019</v>
      </c>
      <c r="F64" s="1449">
        <v>200019</v>
      </c>
      <c r="G64" s="1449">
        <v>200019</v>
      </c>
      <c r="H64" s="1449">
        <v>200019</v>
      </c>
      <c r="I64" s="1449">
        <v>200019</v>
      </c>
      <c r="J64" s="1449">
        <v>200019</v>
      </c>
      <c r="K64" s="1449">
        <v>200019</v>
      </c>
      <c r="L64" s="1449">
        <v>200019</v>
      </c>
      <c r="M64" s="1449">
        <v>200019</v>
      </c>
      <c r="N64" s="1449">
        <v>200020</v>
      </c>
      <c r="O64" s="1449">
        <v>200020</v>
      </c>
      <c r="P64" s="1449">
        <v>200020</v>
      </c>
      <c r="Q64" s="1449">
        <v>200020</v>
      </c>
      <c r="R64" s="1449">
        <v>200020</v>
      </c>
      <c r="S64" s="1449">
        <v>200020</v>
      </c>
      <c r="T64" s="1449">
        <v>200020</v>
      </c>
      <c r="U64" s="1449">
        <v>200020</v>
      </c>
      <c r="V64" s="1449">
        <v>200020</v>
      </c>
      <c r="W64" s="1449">
        <v>200020</v>
      </c>
      <c r="X64" s="1449">
        <v>200020</v>
      </c>
      <c r="Y64" s="1449">
        <v>200020</v>
      </c>
      <c r="Z64" s="1449">
        <v>200020</v>
      </c>
      <c r="AA64" s="1449">
        <v>200020</v>
      </c>
      <c r="AB64" s="1449">
        <v>200026</v>
      </c>
      <c r="AC64" s="1449">
        <v>200026</v>
      </c>
      <c r="AD64" s="1449">
        <v>200026</v>
      </c>
      <c r="AE64" s="1449">
        <v>200026</v>
      </c>
      <c r="AF64" s="1449">
        <v>200026</v>
      </c>
      <c r="AG64" s="1449">
        <v>200026</v>
      </c>
      <c r="AH64" s="1449">
        <v>200026</v>
      </c>
      <c r="AI64" s="1449">
        <v>200026</v>
      </c>
      <c r="AJ64" s="1449">
        <v>200026</v>
      </c>
      <c r="AK64" s="1449">
        <v>200026</v>
      </c>
      <c r="AL64" s="1449">
        <v>200026</v>
      </c>
      <c r="AM64" s="1449">
        <v>200026</v>
      </c>
      <c r="AN64" s="1449">
        <v>200026</v>
      </c>
      <c r="AO64" s="1449">
        <v>200026</v>
      </c>
      <c r="AP64" s="1449">
        <v>200026</v>
      </c>
      <c r="AQ64" s="1449">
        <v>200026</v>
      </c>
      <c r="AR64" s="1449">
        <v>200026</v>
      </c>
      <c r="AS64" s="1449">
        <v>200026</v>
      </c>
      <c r="AT64" s="1449">
        <v>200026</v>
      </c>
      <c r="AU64" s="1449">
        <v>200026</v>
      </c>
      <c r="AV64" s="1449">
        <v>200020</v>
      </c>
      <c r="AW64" s="1449">
        <v>200020</v>
      </c>
      <c r="AX64" s="1449">
        <v>200020</v>
      </c>
      <c r="AY64" s="1449">
        <v>200020</v>
      </c>
      <c r="AZ64" s="1449">
        <v>200020</v>
      </c>
      <c r="BA64" s="1449">
        <v>200020</v>
      </c>
      <c r="BB64" s="1449">
        <f>200033+0.068</f>
        <v>200033.068</v>
      </c>
      <c r="BC64" s="1449">
        <v>200020</v>
      </c>
      <c r="BD64" s="1449">
        <v>200020</v>
      </c>
      <c r="BE64" s="1449">
        <v>200020</v>
      </c>
      <c r="BF64" s="1449">
        <v>200020</v>
      </c>
      <c r="BG64" s="1449">
        <v>200020</v>
      </c>
      <c r="BH64" s="1449">
        <v>200020</v>
      </c>
      <c r="BI64" s="1449">
        <v>200020</v>
      </c>
      <c r="BJ64" s="1449">
        <v>200020</v>
      </c>
      <c r="BK64" s="1449">
        <v>200020</v>
      </c>
      <c r="BL64" s="1449">
        <v>200020</v>
      </c>
      <c r="BM64" s="1449">
        <v>200020</v>
      </c>
      <c r="BN64" s="1449">
        <f>200033+0.067</f>
        <v>200033.06700000001</v>
      </c>
      <c r="BO64" s="1449">
        <v>200020</v>
      </c>
      <c r="BP64" s="1449">
        <v>200020</v>
      </c>
      <c r="BQ64" s="1449">
        <v>200020</v>
      </c>
      <c r="BR64" s="1449">
        <v>200020</v>
      </c>
      <c r="BS64" s="1449">
        <v>200019</v>
      </c>
      <c r="BT64" s="1449">
        <v>200019</v>
      </c>
      <c r="BU64" s="1449">
        <v>200019</v>
      </c>
      <c r="BV64" s="1449">
        <v>200019</v>
      </c>
      <c r="BW64" s="3187">
        <v>200019</v>
      </c>
      <c r="BX64" s="505">
        <f>10000*20+19</f>
        <v>200019</v>
      </c>
      <c r="BY64" s="525">
        <v>200020</v>
      </c>
      <c r="BZ64" s="525">
        <v>200020</v>
      </c>
      <c r="CA64" s="525">
        <v>200020</v>
      </c>
      <c r="CB64" s="525">
        <v>200020</v>
      </c>
      <c r="CC64" s="525">
        <v>200020</v>
      </c>
      <c r="CD64" s="525">
        <v>200020</v>
      </c>
      <c r="CE64" s="525">
        <v>200020</v>
      </c>
      <c r="CF64" s="525">
        <v>200020</v>
      </c>
      <c r="CG64" s="525">
        <v>200020</v>
      </c>
      <c r="CH64" s="525">
        <v>200020</v>
      </c>
      <c r="CI64" s="525">
        <v>200020</v>
      </c>
      <c r="CJ64" s="525">
        <v>200020</v>
      </c>
      <c r="CK64" s="525">
        <v>200020</v>
      </c>
      <c r="CL64" s="525">
        <v>200020</v>
      </c>
      <c r="CM64" s="525">
        <v>200020</v>
      </c>
      <c r="CN64" s="525">
        <v>200020</v>
      </c>
      <c r="CO64" s="525">
        <v>200020</v>
      </c>
      <c r="CP64" s="525">
        <v>200020</v>
      </c>
      <c r="CQ64" s="525">
        <v>200020</v>
      </c>
      <c r="CR64" s="517">
        <v>200020</v>
      </c>
      <c r="DI64" s="499"/>
      <c r="DJ64" s="499"/>
    </row>
    <row r="65" spans="1:14" ht="9" customHeight="1">
      <c r="A65" s="994" t="s">
        <v>670</v>
      </c>
      <c r="B65" s="1221" t="s">
        <v>169</v>
      </c>
    </row>
    <row r="66" spans="1:14" ht="9" customHeight="1">
      <c r="A66" s="1222" t="s">
        <v>1057</v>
      </c>
      <c r="B66" s="1">
        <v>1</v>
      </c>
      <c r="C66" s="1"/>
      <c r="D66" s="1">
        <v>5</v>
      </c>
      <c r="E66" s="1" t="s">
        <v>1122</v>
      </c>
    </row>
    <row r="67" spans="1:14" ht="9" customHeight="1">
      <c r="A67" s="1222" t="s">
        <v>1058</v>
      </c>
      <c r="B67" s="1">
        <v>1</v>
      </c>
      <c r="D67" s="1">
        <v>7</v>
      </c>
      <c r="E67" s="1" t="s">
        <v>1059</v>
      </c>
    </row>
    <row r="68" spans="1:14" ht="9" customHeight="1">
      <c r="A68" s="1222" t="s">
        <v>1060</v>
      </c>
      <c r="B68" s="1">
        <v>1</v>
      </c>
      <c r="C68" s="1"/>
      <c r="D68" s="1">
        <v>6</v>
      </c>
      <c r="E68" s="1" t="s">
        <v>260</v>
      </c>
    </row>
    <row r="69" spans="1:14" ht="9" customHeight="1">
      <c r="A69" s="1222" t="s">
        <v>1061</v>
      </c>
      <c r="B69" s="1">
        <v>1</v>
      </c>
      <c r="C69" s="1"/>
      <c r="D69" s="1">
        <v>5</v>
      </c>
      <c r="E69" s="1" t="s">
        <v>1062</v>
      </c>
    </row>
    <row r="70" spans="1:14" ht="9" customHeight="1">
      <c r="A70" s="1222" t="s">
        <v>1063</v>
      </c>
      <c r="B70" s="1">
        <v>1</v>
      </c>
      <c r="C70" s="1"/>
      <c r="D70" s="1">
        <v>5</v>
      </c>
      <c r="E70" s="1" t="s">
        <v>1064</v>
      </c>
    </row>
    <row r="71" spans="1:14" ht="9" customHeight="1">
      <c r="A71" s="1222" t="s">
        <v>1065</v>
      </c>
      <c r="B71" s="1">
        <v>1</v>
      </c>
      <c r="C71" s="1"/>
      <c r="D71" s="1">
        <v>5</v>
      </c>
      <c r="E71" s="1" t="s">
        <v>1066</v>
      </c>
    </row>
    <row r="72" spans="1:14" ht="9" customHeight="1">
      <c r="A72" s="1222" t="s">
        <v>1067</v>
      </c>
      <c r="B72" s="1">
        <v>1</v>
      </c>
      <c r="D72" s="1">
        <v>5</v>
      </c>
      <c r="E72" s="1" t="s">
        <v>1120</v>
      </c>
    </row>
    <row r="73" spans="1:14" ht="9" customHeight="1">
      <c r="A73" s="1222" t="s">
        <v>1068</v>
      </c>
      <c r="B73" s="1">
        <v>3</v>
      </c>
      <c r="C73" s="1226">
        <v>51</v>
      </c>
      <c r="D73" s="1">
        <v>6</v>
      </c>
      <c r="E73" s="1">
        <v>2</v>
      </c>
      <c r="F73" s="1">
        <v>4</v>
      </c>
      <c r="G73" s="1">
        <v>1</v>
      </c>
      <c r="H73" s="1">
        <v>42</v>
      </c>
      <c r="I73" s="1">
        <v>1</v>
      </c>
      <c r="J73" s="1">
        <v>110</v>
      </c>
      <c r="K73" s="1">
        <v>5</v>
      </c>
      <c r="L73" s="1">
        <v>9</v>
      </c>
      <c r="M73" s="1" t="s">
        <v>1126</v>
      </c>
      <c r="N73">
        <v>1</v>
      </c>
    </row>
    <row r="74" spans="1:14" ht="9" customHeight="1">
      <c r="A74" s="1222" t="s">
        <v>1069</v>
      </c>
      <c r="B74" s="1">
        <v>1</v>
      </c>
      <c r="D74" s="1">
        <v>2</v>
      </c>
      <c r="E74" s="1" t="s">
        <v>245</v>
      </c>
    </row>
    <row r="75" spans="1:14" ht="9" customHeight="1">
      <c r="A75" s="1222" t="s">
        <v>1070</v>
      </c>
      <c r="B75" s="1">
        <v>1</v>
      </c>
      <c r="D75" s="1">
        <v>5</v>
      </c>
      <c r="E75" s="1" t="s">
        <v>253</v>
      </c>
    </row>
    <row r="76" spans="1:14" ht="9" customHeight="1">
      <c r="A76" s="1222" t="s">
        <v>1071</v>
      </c>
      <c r="B76" s="1">
        <v>1</v>
      </c>
      <c r="D76" s="1">
        <v>5</v>
      </c>
      <c r="E76" s="1" t="s">
        <v>254</v>
      </c>
    </row>
    <row r="77" spans="1:14" ht="9" customHeight="1">
      <c r="A77" s="1223">
        <v>12</v>
      </c>
      <c r="B77" s="1">
        <v>1</v>
      </c>
      <c r="D77" s="1">
        <v>5</v>
      </c>
      <c r="E77" s="1" t="s">
        <v>1130</v>
      </c>
    </row>
    <row r="78" spans="1:14" ht="9" customHeight="1">
      <c r="A78" s="1223">
        <v>13</v>
      </c>
      <c r="B78" s="1">
        <v>1</v>
      </c>
      <c r="D78" s="1">
        <v>5</v>
      </c>
      <c r="E78" s="1" t="s">
        <v>262</v>
      </c>
    </row>
    <row r="79" spans="1:14" ht="9" customHeight="1">
      <c r="A79" s="1223">
        <v>14</v>
      </c>
      <c r="B79" s="1">
        <v>1</v>
      </c>
      <c r="D79" s="1">
        <v>5</v>
      </c>
      <c r="E79" s="1" t="s">
        <v>274</v>
      </c>
    </row>
    <row r="80" spans="1:14" ht="9" customHeight="1">
      <c r="A80" s="1223">
        <v>15</v>
      </c>
    </row>
    <row r="81" spans="1:1" ht="9" customHeight="1">
      <c r="A81" s="1049">
        <v>16</v>
      </c>
    </row>
    <row r="82" spans="1:1" ht="9" customHeight="1">
      <c r="A82" s="1049">
        <v>17</v>
      </c>
    </row>
    <row r="83" spans="1:1" ht="9" customHeight="1">
      <c r="A83" s="1049">
        <v>18</v>
      </c>
    </row>
    <row r="84" spans="1:1" ht="9" customHeight="1">
      <c r="A84" s="1049">
        <v>19</v>
      </c>
    </row>
    <row r="85" spans="1:1" ht="9" customHeight="1">
      <c r="A85" s="1049">
        <v>20</v>
      </c>
    </row>
    <row r="86" spans="1:1" ht="9" customHeight="1">
      <c r="A86" s="1049">
        <v>21</v>
      </c>
    </row>
    <row r="87" spans="1:1" ht="9" customHeight="1">
      <c r="A87" s="1049">
        <v>22</v>
      </c>
    </row>
    <row r="88" spans="1:1" ht="9" customHeight="1">
      <c r="A88" s="1049">
        <v>23</v>
      </c>
    </row>
    <row r="89" spans="1:1" ht="9" customHeight="1">
      <c r="A89" s="1049">
        <v>24</v>
      </c>
    </row>
    <row r="90" spans="1:1" ht="9" customHeight="1">
      <c r="A90" s="1049">
        <v>25</v>
      </c>
    </row>
    <row r="91" spans="1:1" ht="9" customHeight="1">
      <c r="A91" s="1049">
        <v>26</v>
      </c>
    </row>
    <row r="92" spans="1:1" ht="9" customHeight="1">
      <c r="A92" s="1049">
        <v>27</v>
      </c>
    </row>
    <row r="93" spans="1:1" ht="9" customHeight="1">
      <c r="A93" s="1049">
        <v>28</v>
      </c>
    </row>
    <row r="94" spans="1:1" ht="9" customHeight="1">
      <c r="A94" s="1049">
        <v>29</v>
      </c>
    </row>
    <row r="95" spans="1:1" ht="9" customHeight="1">
      <c r="A95" s="1049">
        <v>30</v>
      </c>
    </row>
    <row r="96" spans="1:1" ht="9" customHeight="1">
      <c r="A96" s="1049">
        <v>31</v>
      </c>
    </row>
    <row r="97" spans="1:1" ht="9" customHeight="1">
      <c r="A97" s="1049">
        <v>32</v>
      </c>
    </row>
    <row r="98" spans="1:1" ht="9" customHeight="1">
      <c r="A98" s="1049">
        <v>33</v>
      </c>
    </row>
    <row r="99" spans="1:1" ht="9" customHeight="1">
      <c r="A99" s="1049">
        <v>34</v>
      </c>
    </row>
    <row r="100" spans="1:1" ht="9" customHeight="1">
      <c r="A100" s="1049">
        <v>35</v>
      </c>
    </row>
    <row r="101" spans="1:1" ht="9" customHeight="1">
      <c r="A101" s="1049">
        <v>36</v>
      </c>
    </row>
    <row r="102" spans="1:1" ht="9" customHeight="1">
      <c r="A102" s="1049">
        <v>37</v>
      </c>
    </row>
    <row r="103" spans="1:1" ht="9" customHeight="1">
      <c r="A103" s="1049">
        <v>38</v>
      </c>
    </row>
    <row r="104" spans="1:1" ht="9" customHeight="1">
      <c r="A104" s="1049">
        <v>39</v>
      </c>
    </row>
    <row r="105" spans="1:1" ht="9" customHeight="1">
      <c r="A105" s="1224">
        <v>40</v>
      </c>
    </row>
    <row r="106" spans="1:1" ht="9" customHeight="1">
      <c r="A106" s="1223">
        <v>41</v>
      </c>
    </row>
    <row r="107" spans="1:1" ht="9" customHeight="1">
      <c r="A107" s="1049">
        <v>42</v>
      </c>
    </row>
    <row r="108" spans="1:1" ht="9" customHeight="1">
      <c r="A108" s="1049">
        <v>43</v>
      </c>
    </row>
    <row r="109" spans="1:1" ht="9" customHeight="1">
      <c r="A109" s="1049">
        <v>44</v>
      </c>
    </row>
    <row r="110" spans="1:1" ht="9" customHeight="1">
      <c r="A110" s="1049">
        <v>45</v>
      </c>
    </row>
    <row r="111" spans="1:1" ht="9" customHeight="1">
      <c r="A111" s="1049">
        <v>46</v>
      </c>
    </row>
    <row r="112" spans="1:1" ht="9" customHeight="1">
      <c r="A112" s="1049">
        <v>47</v>
      </c>
    </row>
    <row r="113" spans="1:42" ht="9" customHeight="1">
      <c r="A113" s="1049">
        <v>48</v>
      </c>
    </row>
    <row r="114" spans="1:42" ht="9" customHeight="1">
      <c r="A114" s="1049">
        <v>49</v>
      </c>
    </row>
    <row r="115" spans="1:42" ht="9" customHeight="1">
      <c r="A115" s="1225">
        <v>50</v>
      </c>
      <c r="B115" s="1">
        <v>2</v>
      </c>
      <c r="C115" s="1226"/>
      <c r="D115" s="1">
        <v>2</v>
      </c>
      <c r="E115" s="1">
        <v>2</v>
      </c>
      <c r="F115">
        <v>4</v>
      </c>
      <c r="G115">
        <v>5</v>
      </c>
      <c r="H115" s="1">
        <v>9</v>
      </c>
      <c r="I115" s="1232" t="s">
        <v>1134</v>
      </c>
      <c r="J115">
        <v>9</v>
      </c>
      <c r="K115" s="1226"/>
      <c r="L115" s="1">
        <v>2</v>
      </c>
      <c r="M115" s="1">
        <v>2</v>
      </c>
      <c r="N115">
        <v>4</v>
      </c>
      <c r="O115">
        <v>5</v>
      </c>
      <c r="P115" s="1">
        <v>9</v>
      </c>
      <c r="Q115" t="s">
        <v>1135</v>
      </c>
      <c r="R115">
        <v>9</v>
      </c>
      <c r="S115" s="1226"/>
      <c r="T115" s="1">
        <v>2</v>
      </c>
      <c r="U115" s="1">
        <v>2</v>
      </c>
      <c r="V115">
        <v>4</v>
      </c>
      <c r="W115">
        <v>5</v>
      </c>
      <c r="X115" s="1">
        <v>9</v>
      </c>
      <c r="Y115" t="s">
        <v>1133</v>
      </c>
      <c r="Z115">
        <v>9</v>
      </c>
    </row>
    <row r="116" spans="1:42" ht="9" customHeight="1">
      <c r="A116" s="1228" t="s">
        <v>69</v>
      </c>
      <c r="B116">
        <v>4</v>
      </c>
      <c r="C116">
        <v>12345671</v>
      </c>
      <c r="D116">
        <v>60</v>
      </c>
      <c r="E116">
        <v>135246357</v>
      </c>
      <c r="F116">
        <v>90</v>
      </c>
      <c r="G116">
        <v>7654321</v>
      </c>
      <c r="H116">
        <v>120</v>
      </c>
      <c r="I116">
        <v>1366613</v>
      </c>
      <c r="J116">
        <v>20</v>
      </c>
      <c r="K116">
        <v>32767</v>
      </c>
      <c r="L116">
        <v>40</v>
      </c>
    </row>
    <row r="117" spans="1:42" ht="9" customHeight="1">
      <c r="A117" s="1601" t="s">
        <v>70</v>
      </c>
      <c r="B117" s="1">
        <v>1</v>
      </c>
      <c r="C117" s="1"/>
      <c r="D117" s="1">
        <v>7</v>
      </c>
      <c r="E117" s="1" t="s">
        <v>499</v>
      </c>
    </row>
    <row r="118" spans="1:42" ht="9" customHeight="1">
      <c r="A118" s="1229">
        <v>53</v>
      </c>
      <c r="B118" s="1">
        <v>1</v>
      </c>
      <c r="C118" s="1"/>
      <c r="D118" s="1">
        <v>7</v>
      </c>
      <c r="E118" s="1" t="s">
        <v>72</v>
      </c>
    </row>
    <row r="119" spans="1:42" ht="9" customHeight="1">
      <c r="A119" s="1229">
        <v>54</v>
      </c>
      <c r="B119" s="1">
        <v>1</v>
      </c>
      <c r="C119" s="1"/>
      <c r="D119" s="1">
        <v>7</v>
      </c>
      <c r="E119" s="1" t="s">
        <v>500</v>
      </c>
    </row>
    <row r="120" spans="1:42" ht="9" customHeight="1">
      <c r="A120" s="1229">
        <v>55</v>
      </c>
      <c r="B120" s="1">
        <v>1</v>
      </c>
      <c r="C120" s="1"/>
      <c r="D120" s="1">
        <v>5</v>
      </c>
      <c r="E120" s="1" t="s">
        <v>498</v>
      </c>
    </row>
    <row r="121" spans="1:42" ht="9" customHeight="1">
      <c r="A121" s="1229">
        <v>56</v>
      </c>
    </row>
    <row r="122" spans="1:42" ht="9" customHeight="1">
      <c r="A122" s="1229">
        <v>57</v>
      </c>
    </row>
    <row r="123" spans="1:42" ht="9" customHeight="1">
      <c r="A123" s="1229">
        <v>58</v>
      </c>
      <c r="B123" s="1">
        <v>1</v>
      </c>
      <c r="C123" s="1"/>
      <c r="D123" s="1">
        <v>5</v>
      </c>
      <c r="E123" s="1" t="s">
        <v>1072</v>
      </c>
      <c r="AM123" t="s">
        <v>1073</v>
      </c>
    </row>
    <row r="124" spans="1:42" ht="9" customHeight="1">
      <c r="A124" s="1229">
        <v>59</v>
      </c>
      <c r="B124" s="1">
        <v>2</v>
      </c>
      <c r="C124" s="1226"/>
      <c r="D124" s="1">
        <v>4</v>
      </c>
      <c r="E124" s="1">
        <v>4</v>
      </c>
      <c r="F124">
        <v>4</v>
      </c>
      <c r="G124">
        <v>7</v>
      </c>
      <c r="H124" s="1">
        <v>0</v>
      </c>
      <c r="I124" s="1230" t="s">
        <v>270</v>
      </c>
      <c r="J124">
        <v>3</v>
      </c>
      <c r="K124" s="1226"/>
      <c r="L124" s="1">
        <v>4</v>
      </c>
      <c r="M124">
        <v>4</v>
      </c>
      <c r="N124">
        <v>4</v>
      </c>
      <c r="O124">
        <v>7</v>
      </c>
      <c r="P124" s="1">
        <v>0</v>
      </c>
      <c r="Q124" s="1" t="s">
        <v>269</v>
      </c>
      <c r="R124">
        <v>3</v>
      </c>
      <c r="S124" s="1226"/>
      <c r="T124" s="1">
        <v>4</v>
      </c>
      <c r="U124">
        <v>4</v>
      </c>
      <c r="V124">
        <v>4</v>
      </c>
      <c r="W124">
        <v>7</v>
      </c>
      <c r="X124" s="1">
        <v>0</v>
      </c>
      <c r="Y124" s="1" t="s">
        <v>271</v>
      </c>
      <c r="Z124">
        <v>3</v>
      </c>
      <c r="AA124" s="1226"/>
      <c r="AB124" s="1">
        <v>4</v>
      </c>
      <c r="AC124">
        <v>4</v>
      </c>
      <c r="AD124">
        <v>4</v>
      </c>
      <c r="AE124">
        <v>7</v>
      </c>
      <c r="AF124" s="1">
        <v>0</v>
      </c>
      <c r="AG124" s="1" t="s">
        <v>273</v>
      </c>
      <c r="AH124">
        <v>3</v>
      </c>
      <c r="AJ124" s="1">
        <v>4</v>
      </c>
      <c r="AK124">
        <v>4</v>
      </c>
      <c r="AL124">
        <v>4</v>
      </c>
      <c r="AM124">
        <v>7</v>
      </c>
      <c r="AN124" s="1">
        <v>0</v>
      </c>
      <c r="AO124" s="1" t="s">
        <v>1074</v>
      </c>
      <c r="AP124">
        <v>3</v>
      </c>
    </row>
    <row r="125" spans="1:42" ht="9" customHeight="1">
      <c r="A125" s="1229">
        <v>60</v>
      </c>
      <c r="B125" s="1">
        <v>2</v>
      </c>
      <c r="C125" s="1226"/>
      <c r="D125" s="1">
        <v>4</v>
      </c>
      <c r="E125" s="1">
        <v>4</v>
      </c>
      <c r="F125">
        <v>4</v>
      </c>
      <c r="G125">
        <v>7</v>
      </c>
      <c r="H125" s="1">
        <v>0</v>
      </c>
      <c r="I125" s="1230" t="s">
        <v>270</v>
      </c>
      <c r="J125">
        <v>3</v>
      </c>
      <c r="K125" s="1226"/>
      <c r="L125" s="1">
        <v>4</v>
      </c>
      <c r="M125">
        <v>4</v>
      </c>
      <c r="N125">
        <v>4</v>
      </c>
      <c r="O125">
        <v>7</v>
      </c>
      <c r="P125" s="1">
        <v>0</v>
      </c>
      <c r="Q125" s="1" t="s">
        <v>269</v>
      </c>
      <c r="R125">
        <v>3</v>
      </c>
      <c r="S125" s="1226"/>
      <c r="T125" s="1">
        <v>4</v>
      </c>
      <c r="U125">
        <v>4</v>
      </c>
      <c r="V125">
        <v>4</v>
      </c>
      <c r="W125">
        <v>7</v>
      </c>
      <c r="X125" s="1">
        <v>0</v>
      </c>
      <c r="Y125" s="1" t="s">
        <v>271</v>
      </c>
      <c r="Z125">
        <v>3</v>
      </c>
      <c r="AA125" s="1226"/>
      <c r="AB125" s="1">
        <v>4</v>
      </c>
      <c r="AC125">
        <v>4</v>
      </c>
      <c r="AD125">
        <v>4</v>
      </c>
      <c r="AE125">
        <v>7</v>
      </c>
      <c r="AF125" s="1">
        <v>0</v>
      </c>
      <c r="AG125" s="1" t="s">
        <v>272</v>
      </c>
      <c r="AH125">
        <v>3</v>
      </c>
      <c r="AJ125" s="1">
        <v>4</v>
      </c>
      <c r="AK125">
        <v>4</v>
      </c>
      <c r="AL125">
        <v>4</v>
      </c>
      <c r="AM125">
        <v>7</v>
      </c>
      <c r="AN125" s="1">
        <v>0</v>
      </c>
      <c r="AO125" s="1" t="s">
        <v>1074</v>
      </c>
      <c r="AP125">
        <v>3</v>
      </c>
    </row>
    <row r="126" spans="1:42" ht="9" customHeight="1">
      <c r="A126" s="1229">
        <v>61</v>
      </c>
      <c r="B126" s="1">
        <v>2</v>
      </c>
      <c r="C126" s="1"/>
      <c r="D126" s="1">
        <v>7</v>
      </c>
      <c r="E126" s="1">
        <v>4</v>
      </c>
      <c r="F126">
        <v>4</v>
      </c>
      <c r="G126">
        <v>5</v>
      </c>
      <c r="H126" s="1">
        <v>0</v>
      </c>
      <c r="I126" s="1230" t="s">
        <v>1075</v>
      </c>
      <c r="J126">
        <v>10</v>
      </c>
      <c r="K126" s="1226"/>
      <c r="L126" s="1">
        <v>7</v>
      </c>
      <c r="M126">
        <v>4</v>
      </c>
      <c r="N126">
        <v>4</v>
      </c>
      <c r="O126">
        <v>5</v>
      </c>
      <c r="P126" s="1">
        <v>0</v>
      </c>
      <c r="Q126" s="1230" t="s">
        <v>1076</v>
      </c>
      <c r="R126">
        <v>10</v>
      </c>
      <c r="S126" s="1226"/>
      <c r="T126" s="1">
        <v>7</v>
      </c>
      <c r="U126">
        <v>4</v>
      </c>
      <c r="V126">
        <v>4</v>
      </c>
      <c r="W126">
        <v>5</v>
      </c>
      <c r="X126" s="1">
        <v>0</v>
      </c>
      <c r="Y126" s="1" t="s">
        <v>1077</v>
      </c>
      <c r="Z126">
        <v>10</v>
      </c>
      <c r="AB126" s="1">
        <v>7</v>
      </c>
      <c r="AC126">
        <v>4</v>
      </c>
      <c r="AD126">
        <v>4</v>
      </c>
      <c r="AE126">
        <v>5</v>
      </c>
      <c r="AF126" s="1">
        <v>0</v>
      </c>
      <c r="AG126" s="1" t="s">
        <v>1078</v>
      </c>
      <c r="AH126">
        <v>10</v>
      </c>
      <c r="AM126" t="s">
        <v>1079</v>
      </c>
    </row>
    <row r="127" spans="1:42" ht="9" customHeight="1">
      <c r="A127" s="1229">
        <v>62</v>
      </c>
      <c r="B127" s="1">
        <v>2</v>
      </c>
      <c r="C127" s="1"/>
      <c r="D127" s="1">
        <v>7</v>
      </c>
      <c r="E127" s="1">
        <v>4</v>
      </c>
      <c r="F127">
        <v>4</v>
      </c>
      <c r="G127">
        <v>5</v>
      </c>
      <c r="H127" s="1">
        <v>0</v>
      </c>
      <c r="I127" s="1230" t="s">
        <v>1075</v>
      </c>
      <c r="J127">
        <v>10</v>
      </c>
      <c r="K127" s="1226"/>
      <c r="L127" s="1">
        <v>7</v>
      </c>
      <c r="M127">
        <v>4</v>
      </c>
      <c r="N127">
        <v>4</v>
      </c>
      <c r="O127">
        <v>5</v>
      </c>
      <c r="P127" s="1">
        <v>0</v>
      </c>
      <c r="Q127" s="1230" t="s">
        <v>1076</v>
      </c>
      <c r="R127">
        <v>10</v>
      </c>
      <c r="S127" s="1226"/>
      <c r="T127" s="1">
        <v>7</v>
      </c>
      <c r="U127">
        <v>4</v>
      </c>
      <c r="V127">
        <v>4</v>
      </c>
      <c r="W127">
        <v>5</v>
      </c>
      <c r="X127" s="1">
        <v>0</v>
      </c>
      <c r="Y127" s="1" t="s">
        <v>1077</v>
      </c>
      <c r="Z127">
        <v>10</v>
      </c>
      <c r="AB127" s="1">
        <v>7</v>
      </c>
      <c r="AC127">
        <v>4</v>
      </c>
      <c r="AD127">
        <v>4</v>
      </c>
      <c r="AE127">
        <v>5</v>
      </c>
      <c r="AF127" s="1">
        <v>0</v>
      </c>
      <c r="AG127" s="1" t="s">
        <v>1078</v>
      </c>
      <c r="AH127">
        <v>10</v>
      </c>
      <c r="AM127" t="s">
        <v>1079</v>
      </c>
    </row>
    <row r="128" spans="1:42" ht="9" customHeight="1">
      <c r="A128" s="1229">
        <v>63</v>
      </c>
    </row>
    <row r="129" spans="1:15" ht="9" customHeight="1">
      <c r="A129" s="1229">
        <v>64</v>
      </c>
    </row>
    <row r="130" spans="1:15" ht="9" customHeight="1">
      <c r="A130" s="1229">
        <v>65</v>
      </c>
    </row>
    <row r="131" spans="1:15" ht="9" customHeight="1">
      <c r="A131" s="1229">
        <v>66</v>
      </c>
    </row>
    <row r="132" spans="1:15" ht="9" customHeight="1">
      <c r="A132" s="1229">
        <v>67</v>
      </c>
    </row>
    <row r="133" spans="1:15" ht="9" customHeight="1">
      <c r="A133" s="1229">
        <v>68</v>
      </c>
    </row>
    <row r="134" spans="1:15" ht="9" customHeight="1">
      <c r="A134" s="1229">
        <v>69</v>
      </c>
    </row>
    <row r="135" spans="1:15" ht="9" customHeight="1">
      <c r="A135" s="1231">
        <v>70</v>
      </c>
    </row>
    <row r="136" spans="1:15" ht="9" customHeight="1">
      <c r="A136" s="1601" t="s">
        <v>82</v>
      </c>
      <c r="B136" s="1">
        <v>2</v>
      </c>
      <c r="C136" s="1226"/>
      <c r="D136" s="1">
        <v>1</v>
      </c>
      <c r="E136" s="1">
        <v>10</v>
      </c>
      <c r="F136">
        <v>10</v>
      </c>
      <c r="G136">
        <v>4</v>
      </c>
      <c r="H136" s="1">
        <v>0</v>
      </c>
      <c r="I136" s="1230" t="s">
        <v>264</v>
      </c>
      <c r="J136">
        <v>10</v>
      </c>
      <c r="O136" t="s">
        <v>1081</v>
      </c>
    </row>
    <row r="137" spans="1:15" ht="9" customHeight="1">
      <c r="A137" s="1229">
        <v>72</v>
      </c>
      <c r="B137" s="1">
        <v>2</v>
      </c>
      <c r="C137" s="1226"/>
      <c r="D137" s="1">
        <v>1</v>
      </c>
      <c r="E137" s="1">
        <v>10</v>
      </c>
      <c r="F137">
        <v>10</v>
      </c>
      <c r="G137">
        <v>4</v>
      </c>
      <c r="H137" s="1">
        <v>0</v>
      </c>
      <c r="I137" s="1230" t="s">
        <v>1082</v>
      </c>
      <c r="J137">
        <v>10</v>
      </c>
      <c r="O137" t="s">
        <v>1083</v>
      </c>
    </row>
    <row r="138" spans="1:15" ht="9" customHeight="1">
      <c r="A138" s="1229">
        <v>73</v>
      </c>
      <c r="B138" s="1">
        <v>2</v>
      </c>
      <c r="C138" s="1226"/>
      <c r="D138" s="1">
        <v>1</v>
      </c>
      <c r="E138" s="1">
        <v>10</v>
      </c>
      <c r="F138">
        <v>10</v>
      </c>
      <c r="G138">
        <v>4</v>
      </c>
      <c r="H138" s="1">
        <v>0</v>
      </c>
      <c r="I138" s="1230" t="s">
        <v>252</v>
      </c>
      <c r="J138">
        <v>10</v>
      </c>
      <c r="O138" t="s">
        <v>1085</v>
      </c>
    </row>
    <row r="139" spans="1:15" ht="9" customHeight="1">
      <c r="A139" s="1229">
        <v>74</v>
      </c>
      <c r="B139" s="1">
        <v>2</v>
      </c>
      <c r="C139" s="1226"/>
      <c r="D139" s="1">
        <v>1</v>
      </c>
      <c r="E139" s="1">
        <v>10</v>
      </c>
      <c r="F139">
        <v>10</v>
      </c>
      <c r="G139">
        <v>4</v>
      </c>
      <c r="H139" s="1">
        <v>0</v>
      </c>
      <c r="I139" s="1230" t="s">
        <v>251</v>
      </c>
      <c r="J139">
        <v>10</v>
      </c>
      <c r="O139" t="s">
        <v>1086</v>
      </c>
    </row>
    <row r="140" spans="1:15" ht="9" customHeight="1">
      <c r="A140" s="1229">
        <v>75</v>
      </c>
      <c r="B140" s="1">
        <v>2</v>
      </c>
      <c r="C140" s="1226"/>
      <c r="D140" s="1">
        <v>1</v>
      </c>
      <c r="E140" s="1">
        <v>10</v>
      </c>
      <c r="F140">
        <v>10</v>
      </c>
      <c r="G140">
        <v>4</v>
      </c>
      <c r="H140" s="1">
        <v>0</v>
      </c>
      <c r="I140" s="1232" t="s">
        <v>1087</v>
      </c>
      <c r="J140">
        <v>10</v>
      </c>
      <c r="O140" t="s">
        <v>1088</v>
      </c>
    </row>
    <row r="141" spans="1:15" ht="9" customHeight="1">
      <c r="A141" s="1229">
        <v>76</v>
      </c>
      <c r="B141" s="1">
        <v>2</v>
      </c>
      <c r="C141" s="1226"/>
      <c r="D141" s="1">
        <v>1</v>
      </c>
      <c r="E141" s="1">
        <v>10</v>
      </c>
      <c r="F141">
        <v>10</v>
      </c>
      <c r="G141">
        <v>9</v>
      </c>
      <c r="H141" s="1">
        <v>0</v>
      </c>
      <c r="I141" s="1227" t="s">
        <v>1123</v>
      </c>
      <c r="J141">
        <v>10</v>
      </c>
      <c r="O141" t="s">
        <v>1089</v>
      </c>
    </row>
    <row r="142" spans="1:15" ht="9" customHeight="1">
      <c r="A142" s="1229">
        <v>77</v>
      </c>
      <c r="B142" s="1">
        <v>2</v>
      </c>
      <c r="C142" s="1226"/>
      <c r="D142" s="1">
        <v>1</v>
      </c>
      <c r="E142" s="1">
        <v>10</v>
      </c>
      <c r="F142">
        <v>10</v>
      </c>
      <c r="G142">
        <v>9</v>
      </c>
      <c r="H142" s="1">
        <v>0</v>
      </c>
      <c r="I142" s="1230" t="s">
        <v>244</v>
      </c>
      <c r="J142">
        <v>10</v>
      </c>
      <c r="O142" t="s">
        <v>1121</v>
      </c>
    </row>
    <row r="143" spans="1:15" ht="9" customHeight="1">
      <c r="A143" s="1229">
        <v>78</v>
      </c>
      <c r="B143" s="1">
        <v>2</v>
      </c>
      <c r="C143" s="1226"/>
      <c r="D143" s="1">
        <v>1</v>
      </c>
      <c r="E143" s="1">
        <v>10</v>
      </c>
      <c r="F143">
        <v>10</v>
      </c>
      <c r="G143">
        <v>9</v>
      </c>
      <c r="H143" s="1">
        <v>0</v>
      </c>
      <c r="I143" s="1230" t="s">
        <v>1084</v>
      </c>
      <c r="J143">
        <v>10</v>
      </c>
      <c r="O143" t="s">
        <v>250</v>
      </c>
    </row>
    <row r="144" spans="1:15" ht="9" customHeight="1">
      <c r="A144" s="1229">
        <v>79</v>
      </c>
      <c r="B144" s="1">
        <v>2</v>
      </c>
      <c r="C144" s="1226"/>
      <c r="D144" s="1">
        <v>1</v>
      </c>
      <c r="E144" s="1">
        <v>10</v>
      </c>
      <c r="F144">
        <v>10</v>
      </c>
      <c r="G144">
        <v>9</v>
      </c>
      <c r="H144" s="1">
        <v>0</v>
      </c>
      <c r="I144" s="1230" t="s">
        <v>1080</v>
      </c>
      <c r="J144">
        <v>10</v>
      </c>
      <c r="O144" t="s">
        <v>263</v>
      </c>
    </row>
    <row r="145" spans="1:9" ht="9" customHeight="1">
      <c r="A145" s="1229">
        <v>80</v>
      </c>
      <c r="I145" s="1230"/>
    </row>
  </sheetData>
  <sheetProtection password="DF7C" sheet="1"/>
  <phoneticPr fontId="2" type="noConversion"/>
  <pageMargins left="0.75" right="0.75" top="1" bottom="1" header="0.5" footer="0.5"/>
  <pageSetup paperSize="9" orientation="portrait" horizontalDpi="300" verticalDpi="3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V209"/>
  <sheetViews>
    <sheetView topLeftCell="IB13" workbookViewId="0">
      <selection activeCell="IV26" sqref="IV26"/>
    </sheetView>
  </sheetViews>
  <sheetFormatPr defaultColWidth="18.140625" defaultRowHeight="12.75"/>
  <cols>
    <col min="1" max="65" width="2.7109375" customWidth="1"/>
    <col min="66" max="66" width="2.5703125" customWidth="1"/>
    <col min="67" max="254" width="9.140625" customWidth="1"/>
    <col min="255" max="255" width="28.5703125" customWidth="1"/>
  </cols>
  <sheetData>
    <row r="1" spans="1:256" ht="15">
      <c r="A1" s="2114">
        <v>24</v>
      </c>
      <c r="B1" s="2140">
        <f>10000*19+53+0.065</f>
        <v>190053.065</v>
      </c>
      <c r="C1" s="1026">
        <v>190053</v>
      </c>
      <c r="D1" s="1026">
        <v>190053</v>
      </c>
      <c r="E1" s="1026">
        <v>190053</v>
      </c>
      <c r="F1" s="1026">
        <v>190053</v>
      </c>
      <c r="G1" s="1026">
        <v>190053</v>
      </c>
      <c r="H1" s="1026">
        <v>190053</v>
      </c>
      <c r="I1" s="1026">
        <v>190053</v>
      </c>
      <c r="J1" s="1608">
        <f>53+0.081</f>
        <v>53.081000000000003</v>
      </c>
      <c r="K1" s="677">
        <v>190053</v>
      </c>
      <c r="L1" s="677">
        <v>190053</v>
      </c>
      <c r="M1" s="677">
        <v>190053</v>
      </c>
      <c r="N1" s="1608">
        <f>53+0.081</f>
        <v>53.081000000000003</v>
      </c>
      <c r="O1" s="677">
        <v>190053</v>
      </c>
      <c r="P1" s="677">
        <v>190053</v>
      </c>
      <c r="Q1" s="677">
        <v>190053</v>
      </c>
      <c r="R1" s="1608">
        <f>53+0.081</f>
        <v>53.081000000000003</v>
      </c>
      <c r="S1" s="677">
        <v>190053</v>
      </c>
      <c r="T1" s="677">
        <v>190053</v>
      </c>
      <c r="U1" s="677">
        <v>190053</v>
      </c>
      <c r="V1" s="1608">
        <f>53+0.081</f>
        <v>53.081000000000003</v>
      </c>
      <c r="W1" s="677">
        <v>190053</v>
      </c>
      <c r="X1" s="499">
        <v>24</v>
      </c>
      <c r="Y1" s="499">
        <v>24</v>
      </c>
      <c r="Z1" s="677">
        <v>200053</v>
      </c>
      <c r="AA1" s="677">
        <v>200053</v>
      </c>
      <c r="AB1" s="499">
        <v>24</v>
      </c>
      <c r="AC1" s="499">
        <v>24</v>
      </c>
      <c r="AD1" s="499">
        <v>24</v>
      </c>
      <c r="AE1" s="499">
        <v>24</v>
      </c>
      <c r="AF1" s="499">
        <v>24</v>
      </c>
      <c r="AG1" s="677">
        <v>200053</v>
      </c>
      <c r="AH1" s="677">
        <v>200053</v>
      </c>
      <c r="AI1" s="499">
        <v>24</v>
      </c>
      <c r="AJ1" s="528">
        <v>190019</v>
      </c>
      <c r="AK1" s="677">
        <v>190053</v>
      </c>
      <c r="AL1" s="677">
        <v>190053</v>
      </c>
      <c r="AM1" s="677">
        <v>190053</v>
      </c>
      <c r="AN1" s="677">
        <v>190053</v>
      </c>
      <c r="AO1" s="2082">
        <f>53+0.081</f>
        <v>53.081000000000003</v>
      </c>
      <c r="AP1" s="1026">
        <v>190053</v>
      </c>
      <c r="AQ1" s="1033">
        <v>190053</v>
      </c>
      <c r="AR1" s="1026">
        <v>190019</v>
      </c>
      <c r="AS1" s="1451">
        <v>19</v>
      </c>
      <c r="AT1" s="1602">
        <v>190053</v>
      </c>
      <c r="AU1" s="1602">
        <v>190053</v>
      </c>
      <c r="AV1" s="1608">
        <f>53+0.081</f>
        <v>53.081000000000003</v>
      </c>
      <c r="AW1" s="2092">
        <f>53</f>
        <v>53</v>
      </c>
      <c r="AX1" s="2092">
        <v>53</v>
      </c>
      <c r="AY1" s="504">
        <f>10000*19+18</f>
        <v>190018</v>
      </c>
      <c r="AZ1" s="2100">
        <f>10000*19+53+0.065</f>
        <v>190053.065</v>
      </c>
      <c r="BA1" s="499">
        <v>19</v>
      </c>
      <c r="BB1" s="1451">
        <v>190019</v>
      </c>
      <c r="BC1" s="1026">
        <f>10000*19+20</f>
        <v>190020</v>
      </c>
      <c r="BD1" s="1171">
        <f>10000*19+20</f>
        <v>190020</v>
      </c>
      <c r="BE1" s="1602">
        <v>190053</v>
      </c>
      <c r="BF1" s="1602">
        <v>190053</v>
      </c>
      <c r="BG1" s="1602">
        <v>190053</v>
      </c>
      <c r="BH1" s="1602">
        <v>190053</v>
      </c>
      <c r="BI1" s="1602">
        <v>190053</v>
      </c>
      <c r="BJ1" s="1602">
        <v>190053</v>
      </c>
      <c r="BK1" s="1602">
        <v>190053</v>
      </c>
      <c r="BL1" s="499">
        <v>19</v>
      </c>
      <c r="BS1" s="800" t="s">
        <v>977</v>
      </c>
      <c r="BT1" s="499"/>
      <c r="BU1" s="800">
        <v>1</v>
      </c>
      <c r="BV1" s="1887">
        <v>1</v>
      </c>
      <c r="BW1">
        <f>Z24</f>
        <v>0</v>
      </c>
      <c r="CH1" s="499"/>
      <c r="CI1" s="499"/>
      <c r="CJ1" s="499"/>
      <c r="CK1" s="499"/>
      <c r="IU1" s="499" t="s">
        <v>628</v>
      </c>
      <c r="IV1" s="499">
        <v>64</v>
      </c>
    </row>
    <row r="2" spans="1:256" ht="14.25" customHeight="1" thickBot="1">
      <c r="A2" s="698">
        <v>190053</v>
      </c>
      <c r="B2" s="2139">
        <f>260000+128*9+16+0.5+0.019</f>
        <v>261168.519</v>
      </c>
      <c r="C2" s="2124">
        <v>260000</v>
      </c>
      <c r="D2" s="2124">
        <v>260000</v>
      </c>
      <c r="E2" s="2124">
        <v>260000</v>
      </c>
      <c r="F2" s="2124">
        <v>260000</v>
      </c>
      <c r="G2" s="2124">
        <v>260000</v>
      </c>
      <c r="H2" s="2124">
        <v>260000</v>
      </c>
      <c r="I2" s="2137">
        <v>260000</v>
      </c>
      <c r="J2" s="2115"/>
      <c r="K2" s="2115"/>
      <c r="L2" s="2115"/>
      <c r="M2" s="2115"/>
      <c r="N2" s="2115"/>
      <c r="O2" s="2115"/>
      <c r="P2" s="2115"/>
      <c r="Q2" s="2115"/>
      <c r="R2" s="2115"/>
      <c r="S2" s="2115"/>
      <c r="T2" s="2115"/>
      <c r="U2" s="2115"/>
      <c r="V2" s="2115"/>
      <c r="W2" s="2107">
        <f>128*9+6+0.384+0.003</f>
        <v>1158.3869999999999</v>
      </c>
      <c r="X2" s="2028">
        <v>190053</v>
      </c>
      <c r="Y2" s="698">
        <v>190053</v>
      </c>
      <c r="Z2" s="707">
        <f>0.0041</f>
        <v>4.1000000000000003E-3</v>
      </c>
      <c r="AA2" s="707">
        <f>0.0041</f>
        <v>4.1000000000000003E-3</v>
      </c>
      <c r="AB2" s="498">
        <v>200020</v>
      </c>
      <c r="AC2" s="678">
        <f>10000*20+20+0.124</f>
        <v>200020.12400000001</v>
      </c>
      <c r="AD2" s="498">
        <v>200020</v>
      </c>
      <c r="AE2" s="498">
        <v>200020</v>
      </c>
      <c r="AF2" s="498">
        <v>200020</v>
      </c>
      <c r="AG2" s="707">
        <f>0.003</f>
        <v>3.0000000000000001E-3</v>
      </c>
      <c r="AH2" s="707">
        <f>0.003</f>
        <v>3.0000000000000001E-3</v>
      </c>
      <c r="AI2" s="528">
        <v>190053</v>
      </c>
      <c r="AJ2" s="698">
        <v>190053</v>
      </c>
      <c r="AK2" s="504"/>
      <c r="AL2" s="504"/>
      <c r="AM2" s="504"/>
      <c r="AN2" s="504">
        <v>0.13900000000000001</v>
      </c>
      <c r="AO2" s="2080"/>
      <c r="AP2" s="818">
        <f>128*10+6</f>
        <v>1286</v>
      </c>
      <c r="AQ2" s="2093">
        <v>190019</v>
      </c>
      <c r="AR2" s="1415">
        <f>128*11+4</f>
        <v>1412</v>
      </c>
      <c r="AS2" s="766">
        <v>190019</v>
      </c>
      <c r="AT2" s="1383">
        <f>0.384+0.003</f>
        <v>0.38700000000000001</v>
      </c>
      <c r="AU2" s="1383">
        <f>128*9+15</f>
        <v>1167</v>
      </c>
      <c r="AV2" s="2096"/>
      <c r="AW2" s="1383">
        <f>128*9+15</f>
        <v>1167</v>
      </c>
      <c r="AX2" s="1383">
        <f>0.384+0.003</f>
        <v>0.38700000000000001</v>
      </c>
      <c r="AY2" s="2101">
        <f>10000*19+128+18</f>
        <v>190146</v>
      </c>
      <c r="AZ2" s="504"/>
      <c r="BA2" s="754">
        <v>190053</v>
      </c>
      <c r="BB2" s="952">
        <f>10000*19+20</f>
        <v>190020</v>
      </c>
      <c r="BC2" s="514">
        <f>128*11+4+0.5</f>
        <v>1412.5</v>
      </c>
      <c r="BD2" s="1177"/>
      <c r="BE2" s="778"/>
      <c r="BF2" s="705"/>
      <c r="BG2" s="757"/>
      <c r="BH2" s="757"/>
      <c r="BI2" s="757"/>
      <c r="BJ2" s="757"/>
      <c r="BK2" s="757">
        <f>128*8+3</f>
        <v>1027</v>
      </c>
      <c r="BL2" s="2102">
        <v>53</v>
      </c>
      <c r="BN2" s="2110">
        <f>128*10+2</f>
        <v>1282</v>
      </c>
      <c r="BS2" s="800"/>
      <c r="BU2" s="1888">
        <v>2</v>
      </c>
      <c r="BV2" s="1889">
        <v>2</v>
      </c>
      <c r="BW2" t="s">
        <v>278</v>
      </c>
      <c r="CH2" s="499"/>
      <c r="CI2" s="499"/>
      <c r="CJ2" s="499"/>
      <c r="IU2" s="499" t="s">
        <v>629</v>
      </c>
      <c r="IV2" s="499">
        <v>128</v>
      </c>
    </row>
    <row r="3" spans="1:256" ht="12.75" customHeight="1" thickTop="1">
      <c r="A3" s="498">
        <f t="shared" ref="A3:A11" si="0">260026</f>
        <v>260026</v>
      </c>
      <c r="B3" s="2121">
        <f>128*9+6+0.384+0.003</f>
        <v>1158.3869999999999</v>
      </c>
      <c r="C3" s="2119"/>
      <c r="D3" s="2119"/>
      <c r="E3" s="2119"/>
      <c r="F3" s="2119"/>
      <c r="G3" s="2119"/>
      <c r="H3" s="2120"/>
      <c r="I3" s="498">
        <v>260026</v>
      </c>
      <c r="J3" s="2079"/>
      <c r="K3" s="2079"/>
      <c r="L3" s="2079"/>
      <c r="M3" s="2079"/>
      <c r="N3" s="2079"/>
      <c r="O3" s="2104"/>
      <c r="P3" s="2079"/>
      <c r="Q3" s="1417"/>
      <c r="R3" s="2079"/>
      <c r="S3" s="2079"/>
      <c r="T3" s="2079"/>
      <c r="U3" s="2079"/>
      <c r="V3" s="2079"/>
      <c r="W3" s="2108">
        <v>3.7000000000000002E-3</v>
      </c>
      <c r="X3" s="2028">
        <v>190053</v>
      </c>
      <c r="Y3" s="698">
        <v>190053</v>
      </c>
      <c r="Z3" s="2143">
        <f>128*12+23</f>
        <v>1559</v>
      </c>
      <c r="AA3" s="707"/>
      <c r="AB3" s="504">
        <f>200020</f>
        <v>200020</v>
      </c>
      <c r="AC3" s="1922"/>
      <c r="AD3" s="2893" t="s">
        <v>633</v>
      </c>
      <c r="AE3" s="1922"/>
      <c r="AF3" s="2795">
        <f>10000*20+128*5+40</f>
        <v>200680</v>
      </c>
      <c r="AG3" s="707"/>
      <c r="AH3" s="707"/>
      <c r="AI3" s="528">
        <v>190053</v>
      </c>
      <c r="AJ3" s="698">
        <v>190053</v>
      </c>
      <c r="AK3" s="504"/>
      <c r="AL3" s="2028">
        <f>10000*19+53+0.184</f>
        <v>190053.18400000001</v>
      </c>
      <c r="AM3" s="1417"/>
      <c r="AN3" s="504"/>
      <c r="AO3" s="2081"/>
      <c r="AP3" s="818">
        <f>128*8+3</f>
        <v>1027</v>
      </c>
      <c r="AQ3" s="528">
        <v>190019</v>
      </c>
      <c r="AR3" s="2209"/>
      <c r="AS3" s="2077">
        <f t="shared" ref="AS3:AS10" si="1">128*4+39</f>
        <v>551</v>
      </c>
      <c r="AT3" s="1417"/>
      <c r="AU3" s="1417"/>
      <c r="AV3" s="1417"/>
      <c r="AW3" s="1417"/>
      <c r="AX3" s="1417"/>
      <c r="AY3" s="2085">
        <f t="shared" ref="AY3:AY11" si="2">128*4+39</f>
        <v>551</v>
      </c>
      <c r="AZ3" s="504"/>
      <c r="BA3" s="754">
        <v>190053</v>
      </c>
      <c r="BB3" s="1138">
        <v>190053</v>
      </c>
      <c r="BC3" s="757"/>
      <c r="BD3" s="2089">
        <v>390042</v>
      </c>
      <c r="BE3" s="2090">
        <f>390000+128*4+53</f>
        <v>390565</v>
      </c>
      <c r="BF3" s="2090">
        <f>128*4+53</f>
        <v>565</v>
      </c>
      <c r="BG3" s="2090">
        <f>128*4+53</f>
        <v>565</v>
      </c>
      <c r="BH3" s="2090">
        <f>128*4+53</f>
        <v>565</v>
      </c>
      <c r="BI3" s="2090">
        <f>128*4+53</f>
        <v>565</v>
      </c>
      <c r="BJ3" s="2089">
        <v>42</v>
      </c>
      <c r="BK3" s="757"/>
      <c r="BL3" s="2102">
        <v>53</v>
      </c>
      <c r="BS3" s="800"/>
      <c r="BU3" s="1888">
        <v>3</v>
      </c>
      <c r="BV3" s="1889">
        <v>3</v>
      </c>
      <c r="BW3" t="s">
        <v>281</v>
      </c>
      <c r="CH3" s="499"/>
      <c r="CI3" s="499"/>
      <c r="CJ3" s="499"/>
      <c r="IU3" s="499" t="s">
        <v>738</v>
      </c>
      <c r="IV3" s="499">
        <v>32</v>
      </c>
    </row>
    <row r="4" spans="1:256" ht="15.75">
      <c r="A4" s="498">
        <f t="shared" si="0"/>
        <v>260026</v>
      </c>
      <c r="B4" s="2123">
        <f>128*10+1</f>
        <v>1281</v>
      </c>
      <c r="C4" s="2118"/>
      <c r="D4" s="2118"/>
      <c r="E4" s="2118"/>
      <c r="F4" s="2118"/>
      <c r="G4" s="2118"/>
      <c r="H4" s="2120"/>
      <c r="I4" s="498">
        <f>260000+128*4+39+0.384+0.002</f>
        <v>260551.386</v>
      </c>
      <c r="J4" s="2079"/>
      <c r="K4" s="2106"/>
      <c r="L4" s="2079"/>
      <c r="M4" s="2094">
        <v>26</v>
      </c>
      <c r="N4" s="2079"/>
      <c r="O4" s="2106"/>
      <c r="P4" s="2079"/>
      <c r="Q4" s="2094">
        <v>26</v>
      </c>
      <c r="R4" s="2079"/>
      <c r="S4" s="2079"/>
      <c r="T4" s="2079"/>
      <c r="U4" s="2079"/>
      <c r="V4" s="2079"/>
      <c r="W4" s="2109"/>
      <c r="X4" s="2028">
        <v>190053</v>
      </c>
      <c r="Y4" s="698">
        <v>190053</v>
      </c>
      <c r="Z4" s="707"/>
      <c r="AA4" s="707"/>
      <c r="AB4" s="504">
        <f>200020</f>
        <v>200020</v>
      </c>
      <c r="AC4" s="1923">
        <f>128*4+34</f>
        <v>546</v>
      </c>
      <c r="AD4" s="1923">
        <f>128*4+34+0.256+0.005</f>
        <v>546.26099999999997</v>
      </c>
      <c r="AE4" s="1923">
        <f>128*4+34</f>
        <v>546</v>
      </c>
      <c r="AF4" s="770">
        <f>200020+0.181</f>
        <v>200020.18100000001</v>
      </c>
      <c r="AG4" s="707">
        <f>128*6+195</f>
        <v>963</v>
      </c>
      <c r="AH4" s="707"/>
      <c r="AI4" s="528">
        <v>190053</v>
      </c>
      <c r="AJ4" s="698">
        <v>190053</v>
      </c>
      <c r="AK4" s="504"/>
      <c r="AL4" s="2077">
        <f>128*4+39</f>
        <v>551</v>
      </c>
      <c r="AM4" s="2079"/>
      <c r="AN4" s="504"/>
      <c r="AO4" s="2081"/>
      <c r="AP4" s="818">
        <f>128*8+4</f>
        <v>1028</v>
      </c>
      <c r="AQ4" s="528">
        <v>190019</v>
      </c>
      <c r="AR4" s="504"/>
      <c r="AS4" s="2078">
        <f t="shared" si="1"/>
        <v>551</v>
      </c>
      <c r="AT4" s="2079"/>
      <c r="AU4" s="2079"/>
      <c r="AV4" s="2094"/>
      <c r="AW4" s="2079"/>
      <c r="AX4" s="2079"/>
      <c r="AY4" s="2086">
        <f t="shared" si="2"/>
        <v>551</v>
      </c>
      <c r="AZ4" s="504">
        <f>0.0605</f>
        <v>6.0499999999999998E-2</v>
      </c>
      <c r="BA4" s="754">
        <v>190053</v>
      </c>
      <c r="BB4" s="1466">
        <v>190053</v>
      </c>
      <c r="BC4" s="757"/>
      <c r="BD4" s="2091">
        <f>390000+128*4+53</f>
        <v>390565</v>
      </c>
      <c r="BE4" s="1574"/>
      <c r="BF4" s="1574">
        <f>0.197</f>
        <v>0.19700000000000001</v>
      </c>
      <c r="BG4" s="1574">
        <v>26</v>
      </c>
      <c r="BH4" s="1574"/>
      <c r="BI4" s="1574">
        <f>0.198</f>
        <v>0.19800000000000001</v>
      </c>
      <c r="BJ4" s="2087">
        <f>128*4+53</f>
        <v>565</v>
      </c>
      <c r="BK4" s="757"/>
      <c r="BL4" s="2102">
        <v>53</v>
      </c>
      <c r="BS4" s="800"/>
      <c r="BU4" s="1888">
        <v>4</v>
      </c>
      <c r="BV4" s="1889">
        <v>4</v>
      </c>
      <c r="BW4" t="s">
        <v>1156</v>
      </c>
      <c r="CH4" s="499"/>
      <c r="CI4" s="499"/>
      <c r="CJ4" s="499"/>
      <c r="IU4" s="499" t="s">
        <v>630</v>
      </c>
      <c r="IV4" s="499">
        <v>32</v>
      </c>
    </row>
    <row r="5" spans="1:256" ht="12.75" customHeight="1">
      <c r="A5" s="498">
        <f t="shared" si="0"/>
        <v>260026</v>
      </c>
      <c r="B5" s="2132">
        <f>128*9+6</f>
        <v>1158</v>
      </c>
      <c r="C5" s="2128"/>
      <c r="D5" s="2094">
        <f>128*9+15</f>
        <v>1167</v>
      </c>
      <c r="E5" s="2079"/>
      <c r="F5" s="2130">
        <f>128*9+15</f>
        <v>1167</v>
      </c>
      <c r="G5" s="2118"/>
      <c r="H5" s="2120"/>
      <c r="I5" s="498">
        <v>260026</v>
      </c>
      <c r="J5" s="2079"/>
      <c r="K5" s="2106"/>
      <c r="L5" s="2079"/>
      <c r="M5" s="1417"/>
      <c r="N5" s="2127">
        <v>53</v>
      </c>
      <c r="O5" s="2106"/>
      <c r="P5" s="2127">
        <v>53</v>
      </c>
      <c r="Q5" s="1417"/>
      <c r="R5" s="2079"/>
      <c r="S5" s="2104">
        <f>128*8+3</f>
        <v>1027</v>
      </c>
      <c r="T5" s="2104"/>
      <c r="U5" s="2104"/>
      <c r="V5" s="2079"/>
      <c r="W5" s="1417"/>
      <c r="X5" s="2028">
        <v>190053</v>
      </c>
      <c r="Y5" s="698">
        <v>190053</v>
      </c>
      <c r="Z5" s="707"/>
      <c r="AA5" s="707"/>
      <c r="AB5" s="707"/>
      <c r="AC5" s="707"/>
      <c r="AD5" s="707"/>
      <c r="AE5" s="707"/>
      <c r="AF5" s="707"/>
      <c r="AG5" s="707"/>
      <c r="AH5" s="707"/>
      <c r="AI5" s="528">
        <v>190053</v>
      </c>
      <c r="AJ5" s="698">
        <v>190053</v>
      </c>
      <c r="AK5" s="504"/>
      <c r="AL5" s="2078">
        <f>128*4+39</f>
        <v>551</v>
      </c>
      <c r="AM5" s="2079"/>
      <c r="AN5" s="504"/>
      <c r="AO5" s="2081"/>
      <c r="AP5" s="2028">
        <v>190053</v>
      </c>
      <c r="AQ5" s="528">
        <v>190019</v>
      </c>
      <c r="AR5" s="504"/>
      <c r="AS5" s="2078">
        <f t="shared" si="1"/>
        <v>551</v>
      </c>
      <c r="AT5" s="2079"/>
      <c r="AU5" s="2079"/>
      <c r="AV5" s="1417"/>
      <c r="AW5" s="2079"/>
      <c r="AX5" s="2079"/>
      <c r="AY5" s="2086">
        <f t="shared" si="2"/>
        <v>551</v>
      </c>
      <c r="AZ5" s="757"/>
      <c r="BA5" s="754">
        <v>190053</v>
      </c>
      <c r="BB5" s="1466">
        <v>190053</v>
      </c>
      <c r="BC5" s="1388"/>
      <c r="BD5" s="2097">
        <f>128*4+53</f>
        <v>565</v>
      </c>
      <c r="BE5" s="1574">
        <f>0.198</f>
        <v>0.19800000000000001</v>
      </c>
      <c r="BF5" s="1574"/>
      <c r="BG5" s="1574"/>
      <c r="BH5" s="1574">
        <f>0.19</f>
        <v>0.19</v>
      </c>
      <c r="BI5" s="1574"/>
      <c r="BJ5" s="2087">
        <f>128*4+53</f>
        <v>565</v>
      </c>
      <c r="BK5" s="757"/>
      <c r="BL5" s="2102">
        <v>53</v>
      </c>
      <c r="BS5" s="800" t="s">
        <v>979</v>
      </c>
      <c r="BU5" s="800">
        <v>1</v>
      </c>
      <c r="BV5" s="1889">
        <v>5</v>
      </c>
      <c r="BW5" t="s">
        <v>1157</v>
      </c>
      <c r="CH5" s="499"/>
      <c r="CI5" s="499"/>
      <c r="CJ5" s="499"/>
      <c r="IU5" s="499" t="s">
        <v>631</v>
      </c>
      <c r="IV5" s="499">
        <v>32</v>
      </c>
    </row>
    <row r="6" spans="1:256" ht="13.5" customHeight="1">
      <c r="A6" s="498">
        <f t="shared" si="0"/>
        <v>260026</v>
      </c>
      <c r="B6" s="2122"/>
      <c r="C6" s="2128"/>
      <c r="D6" s="507">
        <f>128*8+3+0.256+0.001</f>
        <v>1027.2570000000001</v>
      </c>
      <c r="E6" s="3190">
        <f>128*11+6</f>
        <v>1414</v>
      </c>
      <c r="F6" s="2129"/>
      <c r="G6" s="2118"/>
      <c r="H6" s="2120"/>
      <c r="I6" s="498">
        <v>260026</v>
      </c>
      <c r="J6" s="2079"/>
      <c r="K6" s="2106"/>
      <c r="L6" s="2104"/>
      <c r="M6" s="2104"/>
      <c r="N6" s="1417"/>
      <c r="O6" s="2106">
        <f>128*10+6</f>
        <v>1286</v>
      </c>
      <c r="P6" s="1417"/>
      <c r="Q6" s="2104"/>
      <c r="R6" s="2104"/>
      <c r="S6" s="507"/>
      <c r="T6" s="1417"/>
      <c r="U6" s="1417"/>
      <c r="V6" s="2079"/>
      <c r="W6" s="2083"/>
      <c r="X6" s="2028">
        <v>190053</v>
      </c>
      <c r="Y6" s="698">
        <v>190053</v>
      </c>
      <c r="Z6" s="707">
        <f>128*6+195</f>
        <v>963</v>
      </c>
      <c r="AA6" s="507"/>
      <c r="AB6" s="507"/>
      <c r="AC6" s="507"/>
      <c r="AD6" s="707"/>
      <c r="AE6" s="507"/>
      <c r="AF6" s="507"/>
      <c r="AG6" s="507"/>
      <c r="AH6" s="707"/>
      <c r="AI6" s="528">
        <v>190053</v>
      </c>
      <c r="AJ6" s="698">
        <v>190053</v>
      </c>
      <c r="AK6" s="504"/>
      <c r="AL6" s="2078">
        <f>128*4+39</f>
        <v>551</v>
      </c>
      <c r="AM6" s="2079"/>
      <c r="AN6" s="504"/>
      <c r="AO6" s="2083"/>
      <c r="AP6" s="1624">
        <f>53+0.081</f>
        <v>53.081000000000003</v>
      </c>
      <c r="AQ6" s="528">
        <v>190019</v>
      </c>
      <c r="AR6" s="504"/>
      <c r="AS6" s="2254">
        <f>10000*19+53+0.184</f>
        <v>190053.18400000001</v>
      </c>
      <c r="AT6" s="2079"/>
      <c r="AU6" s="2094">
        <v>0.13900000000000001</v>
      </c>
      <c r="AV6" s="2079"/>
      <c r="AW6" s="2079"/>
      <c r="AX6" s="2079"/>
      <c r="AY6" s="504">
        <v>42</v>
      </c>
      <c r="AZ6" s="757">
        <f>128*5+30+0.151</f>
        <v>670.15099999999995</v>
      </c>
      <c r="BA6" s="504">
        <v>42</v>
      </c>
      <c r="BB6" s="698">
        <v>190053</v>
      </c>
      <c r="BC6" s="757"/>
      <c r="BD6" s="2091">
        <f t="shared" ref="BD6:BD11" si="3">128*4+53</f>
        <v>565</v>
      </c>
      <c r="BE6" s="1574"/>
      <c r="BF6" s="1574">
        <v>26</v>
      </c>
      <c r="BG6" s="1574"/>
      <c r="BH6" s="1574"/>
      <c r="BI6" s="1574">
        <v>0.11</v>
      </c>
      <c r="BJ6" s="2089">
        <v>42</v>
      </c>
      <c r="BK6" s="757">
        <f>128*5+30+0.15</f>
        <v>670.15</v>
      </c>
      <c r="BL6" s="504">
        <v>42</v>
      </c>
      <c r="BS6" s="800"/>
      <c r="BU6" s="1888">
        <v>2</v>
      </c>
      <c r="BV6" s="1889">
        <v>6</v>
      </c>
      <c r="BW6" t="s">
        <v>1159</v>
      </c>
      <c r="CH6" s="499"/>
      <c r="CI6" s="499"/>
      <c r="CJ6" s="499"/>
      <c r="IU6" s="499" t="s">
        <v>669</v>
      </c>
      <c r="IV6" s="499">
        <v>4</v>
      </c>
    </row>
    <row r="7" spans="1:256" ht="12" customHeight="1">
      <c r="A7" s="498">
        <f t="shared" si="0"/>
        <v>260026</v>
      </c>
      <c r="B7" s="2119"/>
      <c r="C7" s="2128"/>
      <c r="D7" s="504">
        <f>128*9+15</f>
        <v>1167</v>
      </c>
      <c r="E7" s="1417"/>
      <c r="F7" s="2130">
        <f>128*9+15</f>
        <v>1167</v>
      </c>
      <c r="G7" s="2118"/>
      <c r="H7" s="2120"/>
      <c r="I7" s="498">
        <f>260000+128*4+39+0.384+0.002</f>
        <v>260551.386</v>
      </c>
      <c r="J7" s="2079"/>
      <c r="K7" s="2106"/>
      <c r="L7" s="1417"/>
      <c r="M7" s="1417"/>
      <c r="N7" s="2127">
        <v>53</v>
      </c>
      <c r="O7" s="2106"/>
      <c r="P7" s="2127">
        <v>53</v>
      </c>
      <c r="Q7" s="1417"/>
      <c r="R7" s="1417"/>
      <c r="S7" s="2106"/>
      <c r="T7" s="2079"/>
      <c r="U7" s="2094">
        <v>26</v>
      </c>
      <c r="V7" s="2079"/>
      <c r="W7" s="2105"/>
      <c r="X7" s="2028">
        <v>190053</v>
      </c>
      <c r="Y7" s="698">
        <v>190053</v>
      </c>
      <c r="Z7" s="507"/>
      <c r="AA7" s="1925">
        <f>128*4+39</f>
        <v>551</v>
      </c>
      <c r="AB7" s="1925">
        <f>128*4+39</f>
        <v>551</v>
      </c>
      <c r="AC7" s="1925">
        <f>128*4+39</f>
        <v>551</v>
      </c>
      <c r="AD7" s="707"/>
      <c r="AE7" s="1925">
        <f>128*4+39</f>
        <v>551</v>
      </c>
      <c r="AF7" s="1925">
        <f>128*4+39</f>
        <v>551</v>
      </c>
      <c r="AG7" s="1925">
        <f>128*4+39</f>
        <v>551</v>
      </c>
      <c r="AH7" s="507"/>
      <c r="AI7" s="528">
        <v>190053</v>
      </c>
      <c r="AJ7" s="698">
        <v>190053</v>
      </c>
      <c r="AK7" s="504"/>
      <c r="AL7" s="2084">
        <f>10000*19+19+0.081</f>
        <v>190019.08100000001</v>
      </c>
      <c r="AM7" s="2079"/>
      <c r="AN7" s="504"/>
      <c r="AO7" s="2080"/>
      <c r="AP7" s="2028">
        <v>190053</v>
      </c>
      <c r="AQ7" s="528">
        <v>190019</v>
      </c>
      <c r="AR7" s="504"/>
      <c r="AS7" s="754"/>
      <c r="AT7" s="2079"/>
      <c r="AU7" s="1417"/>
      <c r="AV7" s="2079"/>
      <c r="AW7" s="2079"/>
      <c r="AX7" s="1417"/>
      <c r="AY7" s="504">
        <v>42</v>
      </c>
      <c r="AZ7" s="1148">
        <f>128*11+5</f>
        <v>1413</v>
      </c>
      <c r="BA7" s="754">
        <f>10000*19+11+0.067</f>
        <v>190011.06700000001</v>
      </c>
      <c r="BB7" s="2255">
        <v>190053</v>
      </c>
      <c r="BC7" s="757"/>
      <c r="BD7" s="2089">
        <v>42</v>
      </c>
      <c r="BE7" s="1574"/>
      <c r="BF7" s="1574"/>
      <c r="BG7" s="2087">
        <f>128*4+46</f>
        <v>558</v>
      </c>
      <c r="BH7" s="1574"/>
      <c r="BI7" s="2087"/>
      <c r="BJ7" s="504">
        <v>42</v>
      </c>
      <c r="BK7" s="1148">
        <f>128*11+5+0.384+0.002</f>
        <v>1413.386</v>
      </c>
      <c r="BL7" s="754">
        <f>10000*19+11+0.07</f>
        <v>190011.07</v>
      </c>
      <c r="BS7" s="800"/>
      <c r="BU7" s="1888">
        <v>3</v>
      </c>
      <c r="BV7" s="1889">
        <v>7</v>
      </c>
      <c r="BW7" t="s">
        <v>1160</v>
      </c>
      <c r="CH7" s="499"/>
      <c r="CI7" s="499"/>
      <c r="CJ7" s="499"/>
      <c r="IU7" s="499" t="s">
        <v>866</v>
      </c>
      <c r="IV7" s="499">
        <v>7</v>
      </c>
    </row>
    <row r="8" spans="1:256" ht="13.5" customHeight="1">
      <c r="A8" s="498">
        <f t="shared" si="0"/>
        <v>260026</v>
      </c>
      <c r="B8" s="2119"/>
      <c r="C8" s="2128"/>
      <c r="D8" s="2050"/>
      <c r="E8" s="2118"/>
      <c r="F8" s="2050"/>
      <c r="G8" s="2118"/>
      <c r="H8" s="2120"/>
      <c r="I8" s="498">
        <v>260026</v>
      </c>
      <c r="J8" s="2079"/>
      <c r="K8" s="2106"/>
      <c r="L8" s="2079"/>
      <c r="M8" s="2094">
        <v>26</v>
      </c>
      <c r="N8" s="1417"/>
      <c r="O8" s="1417"/>
      <c r="P8" s="1417"/>
      <c r="Q8" s="2094">
        <v>26</v>
      </c>
      <c r="R8" s="2079"/>
      <c r="S8" s="2106"/>
      <c r="T8" s="1417"/>
      <c r="U8" s="1417"/>
      <c r="V8" s="2127">
        <v>53</v>
      </c>
      <c r="W8" s="2105"/>
      <c r="X8" s="2028">
        <v>190053</v>
      </c>
      <c r="Y8" s="698">
        <f>10000*19+19+0.195</f>
        <v>190019.19500000001</v>
      </c>
      <c r="Z8" s="507"/>
      <c r="AA8" s="1926">
        <f>128*4+39</f>
        <v>551</v>
      </c>
      <c r="AB8" s="1924"/>
      <c r="AC8" s="1924"/>
      <c r="AD8" s="707"/>
      <c r="AE8" s="1924"/>
      <c r="AF8" s="1924"/>
      <c r="AG8" s="1927">
        <f>128*4+39</f>
        <v>551</v>
      </c>
      <c r="AH8" s="507"/>
      <c r="AI8" s="528">
        <f>10000*19+19+0.195</f>
        <v>190019.19500000001</v>
      </c>
      <c r="AJ8" s="498">
        <f>10000*19+19+0.195</f>
        <v>190019.19500000001</v>
      </c>
      <c r="AK8" s="504"/>
      <c r="AL8" s="2077">
        <f>128*4+39</f>
        <v>551</v>
      </c>
      <c r="AM8" s="2079"/>
      <c r="AN8" s="504"/>
      <c r="AO8" s="2081"/>
      <c r="AP8" s="818">
        <f>128*10+15</f>
        <v>1295</v>
      </c>
      <c r="AQ8" s="528">
        <v>190019</v>
      </c>
      <c r="AR8" s="504"/>
      <c r="AS8" s="2255">
        <f>10000*19+53+0.184</f>
        <v>190053.18400000001</v>
      </c>
      <c r="AT8" s="2079"/>
      <c r="AU8" s="2094"/>
      <c r="AV8" s="2079"/>
      <c r="AW8" s="2079"/>
      <c r="AX8" s="2079"/>
      <c r="AY8" s="504">
        <v>42</v>
      </c>
      <c r="AZ8" s="757">
        <f>128*5+30+0.151</f>
        <v>670.15099999999995</v>
      </c>
      <c r="BA8" s="504">
        <v>42</v>
      </c>
      <c r="BB8" s="810">
        <f>10000*19+128*8+4</f>
        <v>191028</v>
      </c>
      <c r="BC8" s="757"/>
      <c r="BD8" s="2091">
        <f t="shared" si="3"/>
        <v>565</v>
      </c>
      <c r="BE8" s="1574"/>
      <c r="BF8" s="1574">
        <v>26</v>
      </c>
      <c r="BG8" s="1574"/>
      <c r="BH8" s="1574"/>
      <c r="BI8" s="2087"/>
      <c r="BJ8" s="2089">
        <v>42</v>
      </c>
      <c r="BK8" s="757">
        <f>128*5+30+0.15</f>
        <v>670.15</v>
      </c>
      <c r="BL8" s="504">
        <v>42</v>
      </c>
      <c r="BS8" s="499"/>
      <c r="BU8" s="1888">
        <v>4</v>
      </c>
      <c r="BV8" s="1889">
        <v>8</v>
      </c>
      <c r="BW8" t="s">
        <v>1161</v>
      </c>
      <c r="CH8" s="499"/>
      <c r="CI8" s="499"/>
      <c r="CJ8" s="499"/>
      <c r="IU8" s="499" t="s">
        <v>867</v>
      </c>
      <c r="IV8" s="499">
        <v>79</v>
      </c>
    </row>
    <row r="9" spans="1:256" ht="12.75" customHeight="1">
      <c r="A9" s="498">
        <f t="shared" si="0"/>
        <v>260026</v>
      </c>
      <c r="B9" s="2138">
        <f>128*9+30+0.5+0.256+0.015</f>
        <v>1182.7710000000002</v>
      </c>
      <c r="C9" s="2118"/>
      <c r="D9" s="2050"/>
      <c r="E9" s="2142">
        <f>128*10+9</f>
        <v>1289</v>
      </c>
      <c r="F9" s="2050"/>
      <c r="G9" s="2118"/>
      <c r="H9" s="2120"/>
      <c r="I9" s="498">
        <v>260026</v>
      </c>
      <c r="J9" s="2079"/>
      <c r="K9" s="1417"/>
      <c r="L9" s="2079"/>
      <c r="M9" s="1417"/>
      <c r="N9" s="2079"/>
      <c r="O9" s="2104"/>
      <c r="P9" s="2079"/>
      <c r="Q9" s="2126">
        <f>53+0.081</f>
        <v>53.081000000000003</v>
      </c>
      <c r="R9" s="2079"/>
      <c r="S9" s="2106"/>
      <c r="T9" s="2079"/>
      <c r="U9" s="2079"/>
      <c r="V9" s="507"/>
      <c r="W9" s="2106"/>
      <c r="X9" s="754"/>
      <c r="Y9" s="528">
        <f>10000*19+128*5+37</f>
        <v>190677</v>
      </c>
      <c r="Z9" s="707"/>
      <c r="AA9" s="1926">
        <f>128*4+39</f>
        <v>551</v>
      </c>
      <c r="AB9" s="1931"/>
      <c r="AC9" s="1924"/>
      <c r="AD9" s="1939">
        <f>128*10+4</f>
        <v>1284</v>
      </c>
      <c r="AE9" s="1924"/>
      <c r="AF9" s="1931"/>
      <c r="AG9" s="1927">
        <f>128*4+39</f>
        <v>551</v>
      </c>
      <c r="AH9" s="707"/>
      <c r="AI9" s="528">
        <f>10000*19+128*5+35</f>
        <v>190675</v>
      </c>
      <c r="AJ9" s="504"/>
      <c r="AK9" s="504"/>
      <c r="AL9" s="2078">
        <f>128*4+39</f>
        <v>551</v>
      </c>
      <c r="AM9" s="2079"/>
      <c r="AN9" s="504"/>
      <c r="AO9" s="2081"/>
      <c r="AP9" s="818">
        <f>128*8+3</f>
        <v>1027</v>
      </c>
      <c r="AQ9" s="528">
        <v>190019</v>
      </c>
      <c r="AR9" s="504"/>
      <c r="AS9" s="2077">
        <f t="shared" si="1"/>
        <v>551</v>
      </c>
      <c r="AT9" s="2079"/>
      <c r="AU9" s="1417"/>
      <c r="AV9" s="2079"/>
      <c r="AW9" s="2079"/>
      <c r="AX9" s="2094">
        <f>128*10+1</f>
        <v>1281</v>
      </c>
      <c r="AY9" s="2085">
        <f t="shared" si="2"/>
        <v>551</v>
      </c>
      <c r="AZ9" s="757"/>
      <c r="BA9" s="754">
        <v>190053</v>
      </c>
      <c r="BB9" s="2028">
        <v>190053</v>
      </c>
      <c r="BC9" s="757"/>
      <c r="BD9" s="2091">
        <f t="shared" si="3"/>
        <v>565</v>
      </c>
      <c r="BE9" s="1574"/>
      <c r="BF9" s="1574">
        <f>0.19</f>
        <v>0.19</v>
      </c>
      <c r="BG9" s="1574"/>
      <c r="BH9" s="1574"/>
      <c r="BI9" s="1574">
        <v>26</v>
      </c>
      <c r="BJ9" s="2087">
        <f>128*4+53</f>
        <v>565</v>
      </c>
      <c r="BK9" s="757"/>
      <c r="BL9" s="2102">
        <v>53</v>
      </c>
      <c r="BS9" s="800" t="s">
        <v>978</v>
      </c>
      <c r="BU9" s="800">
        <v>1</v>
      </c>
      <c r="BV9" s="1889">
        <v>9</v>
      </c>
      <c r="BW9" t="s">
        <v>1162</v>
      </c>
      <c r="CH9" s="499"/>
      <c r="CI9" s="499"/>
      <c r="CJ9" s="499"/>
      <c r="IU9" s="499" t="s">
        <v>869</v>
      </c>
      <c r="IV9" s="499">
        <v>0</v>
      </c>
    </row>
    <row r="10" spans="1:256" ht="13.5" customHeight="1">
      <c r="A10" s="498">
        <f t="shared" si="0"/>
        <v>260026</v>
      </c>
      <c r="B10" s="2135">
        <f>128*9+6</f>
        <v>1158</v>
      </c>
      <c r="C10" s="2118"/>
      <c r="D10" s="2118"/>
      <c r="E10" s="2050"/>
      <c r="F10" s="2118"/>
      <c r="G10" s="2134">
        <f>128*9+30+0.5+0.256+0.006</f>
        <v>1182.7620000000002</v>
      </c>
      <c r="H10" s="2136">
        <f>128*9+6</f>
        <v>1158</v>
      </c>
      <c r="I10" s="2141">
        <v>260000</v>
      </c>
      <c r="J10" s="2104"/>
      <c r="K10" s="2104"/>
      <c r="L10" s="2079"/>
      <c r="M10" s="2094">
        <v>26</v>
      </c>
      <c r="N10" s="2094">
        <v>26</v>
      </c>
      <c r="O10" s="2106"/>
      <c r="P10" s="2079"/>
      <c r="Q10" s="504">
        <v>26</v>
      </c>
      <c r="R10" s="2079"/>
      <c r="S10" s="2106">
        <v>0.13900000000000001</v>
      </c>
      <c r="T10" s="2104"/>
      <c r="U10" s="2104"/>
      <c r="V10" s="2106"/>
      <c r="W10" s="1417"/>
      <c r="X10" s="2028">
        <v>190053</v>
      </c>
      <c r="Y10" s="698">
        <f>10000*19+19+0.195</f>
        <v>190019.19500000001</v>
      </c>
      <c r="Z10" s="507"/>
      <c r="AA10" s="1926">
        <f>128*4+39</f>
        <v>551</v>
      </c>
      <c r="AB10" s="1931"/>
      <c r="AC10" s="1924"/>
      <c r="AD10" s="707"/>
      <c r="AE10" s="1924">
        <f>128*6+195</f>
        <v>963</v>
      </c>
      <c r="AF10" s="1931"/>
      <c r="AG10" s="1927">
        <f>128*4+39</f>
        <v>551</v>
      </c>
      <c r="AH10" s="507"/>
      <c r="AI10" s="528">
        <f>10000*19+19+0.195</f>
        <v>190019.19500000001</v>
      </c>
      <c r="AJ10" s="498">
        <f>10000*19+19+0.195</f>
        <v>190019.19500000001</v>
      </c>
      <c r="AK10" s="504"/>
      <c r="AL10" s="2078">
        <f>128*4+39</f>
        <v>551</v>
      </c>
      <c r="AM10" s="2079"/>
      <c r="AN10" s="504"/>
      <c r="AO10" s="2081"/>
      <c r="AP10" s="818">
        <f>128*8+3</f>
        <v>1027</v>
      </c>
      <c r="AQ10" s="528">
        <v>190019</v>
      </c>
      <c r="AR10" s="504"/>
      <c r="AS10" s="2078">
        <f t="shared" si="1"/>
        <v>551</v>
      </c>
      <c r="AT10" s="2079"/>
      <c r="AU10" s="2079"/>
      <c r="AV10" s="2094">
        <f>128*8+3</f>
        <v>1027</v>
      </c>
      <c r="AW10" s="2079"/>
      <c r="AX10" s="1417"/>
      <c r="AY10" s="2086">
        <f t="shared" si="2"/>
        <v>551</v>
      </c>
      <c r="AZ10" s="504">
        <f>0.0601</f>
        <v>6.0100000000000001E-2</v>
      </c>
      <c r="BA10" s="754">
        <v>190053</v>
      </c>
      <c r="BB10" s="698">
        <v>190053</v>
      </c>
      <c r="BC10" s="757"/>
      <c r="BD10" s="2091">
        <f t="shared" si="3"/>
        <v>565</v>
      </c>
      <c r="BE10" s="1574">
        <f>0.198</f>
        <v>0.19800000000000001</v>
      </c>
      <c r="BF10" s="1574"/>
      <c r="BG10" s="1574">
        <v>22</v>
      </c>
      <c r="BH10" s="1574"/>
      <c r="BI10" s="1574"/>
      <c r="BJ10" s="2087">
        <f>128*4+53</f>
        <v>565</v>
      </c>
      <c r="BK10" s="757"/>
      <c r="BL10" s="2102">
        <v>53</v>
      </c>
      <c r="BS10" s="800"/>
      <c r="BU10" s="1888">
        <v>2</v>
      </c>
      <c r="BV10" s="1890">
        <v>10</v>
      </c>
      <c r="BW10" t="s">
        <v>296</v>
      </c>
      <c r="CH10" s="499"/>
      <c r="CI10" s="499"/>
      <c r="CJ10" s="499"/>
      <c r="IU10" s="499" t="s">
        <v>868</v>
      </c>
      <c r="IV10" s="499"/>
    </row>
    <row r="11" spans="1:256" ht="14.25" customHeight="1">
      <c r="A11" s="498">
        <f t="shared" si="0"/>
        <v>260026</v>
      </c>
      <c r="B11" s="2122"/>
      <c r="C11" s="2119"/>
      <c r="D11" s="2119"/>
      <c r="E11" s="2135">
        <f>128*4+39+0.384+0.003</f>
        <v>551.38700000000006</v>
      </c>
      <c r="F11" s="2119"/>
      <c r="G11" s="2119"/>
      <c r="H11" s="2125"/>
      <c r="I11" s="498">
        <v>260026</v>
      </c>
      <c r="J11" s="1417"/>
      <c r="K11" s="1417"/>
      <c r="L11" s="2079"/>
      <c r="M11" s="2106">
        <f>128*8+3</f>
        <v>1027</v>
      </c>
      <c r="N11" s="2106"/>
      <c r="O11" s="1417"/>
      <c r="P11" s="2079"/>
      <c r="Q11" s="1417"/>
      <c r="R11" s="2079"/>
      <c r="S11" s="1417"/>
      <c r="T11" s="1417"/>
      <c r="U11" s="1417"/>
      <c r="V11" s="1417"/>
      <c r="W11" s="2079"/>
      <c r="X11" s="2028">
        <v>190053</v>
      </c>
      <c r="Y11" s="698">
        <v>190053</v>
      </c>
      <c r="Z11" s="507"/>
      <c r="AA11" s="1926">
        <f>128*4+39</f>
        <v>551</v>
      </c>
      <c r="AB11" s="1924">
        <f>128*6+195</f>
        <v>963</v>
      </c>
      <c r="AC11" s="1924"/>
      <c r="AD11" s="1924"/>
      <c r="AE11" s="1924"/>
      <c r="AF11" s="1924"/>
      <c r="AG11" s="1927">
        <f>128*4+39</f>
        <v>551</v>
      </c>
      <c r="AH11" s="507"/>
      <c r="AI11" s="528">
        <v>190053</v>
      </c>
      <c r="AJ11" s="698">
        <v>190053</v>
      </c>
      <c r="AK11" s="504"/>
      <c r="AL11" s="2084">
        <f>10000*19+19+0.081</f>
        <v>190019.08100000001</v>
      </c>
      <c r="AM11" s="2079"/>
      <c r="AN11" s="504"/>
      <c r="AO11" s="2081"/>
      <c r="AP11" s="2028">
        <v>190053</v>
      </c>
      <c r="AQ11" s="528">
        <v>190019</v>
      </c>
      <c r="AR11" s="504"/>
      <c r="AS11" s="2078">
        <f>128*4+42</f>
        <v>554</v>
      </c>
      <c r="AT11" s="2079"/>
      <c r="AU11" s="2079"/>
      <c r="AV11" s="1417"/>
      <c r="AW11" s="2079"/>
      <c r="AX11" s="2079"/>
      <c r="AY11" s="2086">
        <f t="shared" si="2"/>
        <v>551</v>
      </c>
      <c r="AZ11" s="504"/>
      <c r="BA11" s="754">
        <v>190053</v>
      </c>
      <c r="BB11" s="698">
        <v>190053</v>
      </c>
      <c r="BC11" s="757"/>
      <c r="BD11" s="2091">
        <f t="shared" si="3"/>
        <v>565</v>
      </c>
      <c r="BE11" s="1574">
        <v>0.13900000000000001</v>
      </c>
      <c r="BF11" s="1574">
        <v>0.109</v>
      </c>
      <c r="BG11" s="1574">
        <f>0.197</f>
        <v>0.19700000000000001</v>
      </c>
      <c r="BH11" s="1574"/>
      <c r="BI11" s="1574">
        <f>0.198</f>
        <v>0.19800000000000001</v>
      </c>
      <c r="BJ11" s="2087">
        <f>128*4+53</f>
        <v>565</v>
      </c>
      <c r="BK11" s="757">
        <f>128*10+6</f>
        <v>1286</v>
      </c>
      <c r="BL11" s="2102">
        <v>53</v>
      </c>
      <c r="BS11" s="499"/>
      <c r="BU11" s="1888">
        <v>3</v>
      </c>
      <c r="BV11" s="1890">
        <v>11</v>
      </c>
      <c r="BW11" t="s">
        <v>297</v>
      </c>
      <c r="CH11" s="499"/>
      <c r="CI11" s="499"/>
      <c r="CJ11" s="499"/>
      <c r="IU11" s="499" t="s">
        <v>870</v>
      </c>
      <c r="IV11" s="499"/>
    </row>
    <row r="12" spans="1:256" ht="15.75">
      <c r="A12" s="952">
        <v>190053</v>
      </c>
      <c r="B12" s="2113">
        <v>260026</v>
      </c>
      <c r="C12" s="2113">
        <v>260026</v>
      </c>
      <c r="D12" s="2113">
        <v>260026</v>
      </c>
      <c r="E12" s="498">
        <v>260026</v>
      </c>
      <c r="F12" s="2113">
        <v>260026</v>
      </c>
      <c r="G12" s="2113">
        <v>260026</v>
      </c>
      <c r="H12" s="2113">
        <v>260026</v>
      </c>
      <c r="I12" s="2112">
        <v>53</v>
      </c>
      <c r="J12" s="2111">
        <v>53</v>
      </c>
      <c r="K12" s="2111">
        <v>53</v>
      </c>
      <c r="L12" s="2111">
        <v>53</v>
      </c>
      <c r="M12" s="2111">
        <v>53</v>
      </c>
      <c r="N12" s="2111">
        <v>53</v>
      </c>
      <c r="O12" s="2111">
        <v>53</v>
      </c>
      <c r="P12" s="2111">
        <v>53</v>
      </c>
      <c r="Q12" s="2255">
        <v>53</v>
      </c>
      <c r="R12" s="2117">
        <f>128*8+3+0.256+0.0016</f>
        <v>1027.2576000000001</v>
      </c>
      <c r="S12" s="2116">
        <f>128*9+15</f>
        <v>1167</v>
      </c>
      <c r="T12" s="1417"/>
      <c r="U12" s="1417"/>
      <c r="V12" s="2131">
        <f>128*9+15+0.195</f>
        <v>1167.1949999999999</v>
      </c>
      <c r="W12" s="2117">
        <f>128*8+3+0.256+0.006</f>
        <v>1027.2620000000002</v>
      </c>
      <c r="X12" s="2028">
        <v>190053</v>
      </c>
      <c r="Y12" s="698">
        <v>190053</v>
      </c>
      <c r="Z12" s="1929"/>
      <c r="AA12" s="1928"/>
      <c r="AB12" s="1928">
        <f>0.003</f>
        <v>3.0000000000000001E-3</v>
      </c>
      <c r="AC12" s="1928">
        <f>128*8+4</f>
        <v>1028</v>
      </c>
      <c r="AD12" s="1928"/>
      <c r="AE12" s="1928">
        <f>128*8+3</f>
        <v>1027</v>
      </c>
      <c r="AF12" s="1928">
        <f>0.003</f>
        <v>3.0000000000000001E-3</v>
      </c>
      <c r="AG12" s="1928"/>
      <c r="AH12" s="1930"/>
      <c r="AI12" s="528">
        <v>190053</v>
      </c>
      <c r="AJ12" s="698">
        <v>190053</v>
      </c>
      <c r="AK12" s="504"/>
      <c r="AL12" s="2077">
        <f>128*4+39</f>
        <v>551</v>
      </c>
      <c r="AM12" s="2079"/>
      <c r="AN12" s="504"/>
      <c r="AO12" s="504"/>
      <c r="AP12" s="504">
        <f>128*5+37</f>
        <v>677</v>
      </c>
      <c r="AQ12" s="504"/>
      <c r="AR12" s="504"/>
      <c r="AS12" s="2078">
        <f>128*4+42</f>
        <v>554</v>
      </c>
      <c r="AT12" s="2079"/>
      <c r="AU12" s="2098">
        <f>53+0.081</f>
        <v>53.081000000000003</v>
      </c>
      <c r="AV12" s="1417"/>
      <c r="AW12" s="2098">
        <f>53+0.081</f>
        <v>53.081000000000003</v>
      </c>
      <c r="AX12" s="2079"/>
      <c r="AY12" s="2086">
        <f>128*4+42</f>
        <v>554</v>
      </c>
      <c r="AZ12" s="504"/>
      <c r="BA12" s="754">
        <v>190053</v>
      </c>
      <c r="BB12" s="698">
        <v>190053</v>
      </c>
      <c r="BC12" s="757"/>
      <c r="BD12" s="2089">
        <v>42</v>
      </c>
      <c r="BE12" s="2088">
        <f>128*4+53</f>
        <v>565</v>
      </c>
      <c r="BF12" s="2099">
        <f>128*4+53+0.1951</f>
        <v>565.19510000000002</v>
      </c>
      <c r="BG12" s="2088">
        <f>128*4+53</f>
        <v>565</v>
      </c>
      <c r="BH12" s="2099">
        <f>128*4+53+0.1951</f>
        <v>565.19510000000002</v>
      </c>
      <c r="BI12" s="2088">
        <f>128*4+53</f>
        <v>565</v>
      </c>
      <c r="BJ12" s="2089">
        <v>42</v>
      </c>
      <c r="BK12" s="757"/>
      <c r="BL12" s="2102">
        <v>53</v>
      </c>
      <c r="BS12" s="499"/>
      <c r="BU12" s="1888">
        <v>4</v>
      </c>
      <c r="BV12" s="1890">
        <v>12</v>
      </c>
      <c r="BW12" t="s">
        <v>299</v>
      </c>
      <c r="CH12" s="499"/>
      <c r="CI12" s="499"/>
      <c r="CJ12" s="499"/>
      <c r="IU12" s="499" t="s">
        <v>671</v>
      </c>
      <c r="IV12" s="499">
        <v>300</v>
      </c>
    </row>
    <row r="13" spans="1:256" ht="12.75" customHeight="1">
      <c r="A13" s="528">
        <v>19</v>
      </c>
      <c r="B13" s="528">
        <v>19</v>
      </c>
      <c r="C13" s="528">
        <v>19</v>
      </c>
      <c r="D13" s="528">
        <v>19</v>
      </c>
      <c r="E13" s="528">
        <v>19</v>
      </c>
      <c r="F13" s="528">
        <v>19</v>
      </c>
      <c r="G13" s="528">
        <v>19</v>
      </c>
      <c r="H13" s="528">
        <v>19</v>
      </c>
      <c r="I13" s="528">
        <v>19</v>
      </c>
      <c r="J13" s="528">
        <v>19</v>
      </c>
      <c r="K13" s="528">
        <v>19</v>
      </c>
      <c r="L13" s="528">
        <v>19</v>
      </c>
      <c r="M13" s="528">
        <v>19</v>
      </c>
      <c r="N13" s="528">
        <v>19</v>
      </c>
      <c r="O13" s="528">
        <v>19</v>
      </c>
      <c r="P13" s="528">
        <v>19</v>
      </c>
      <c r="Q13" s="528">
        <v>19</v>
      </c>
      <c r="R13" s="2095">
        <v>53</v>
      </c>
      <c r="S13" s="2095">
        <v>53</v>
      </c>
      <c r="T13" s="2095">
        <f>53+0.081</f>
        <v>53.081000000000003</v>
      </c>
      <c r="U13" s="2095">
        <f>53+0.081</f>
        <v>53.081000000000003</v>
      </c>
      <c r="V13" s="2095">
        <v>53</v>
      </c>
      <c r="W13" s="2095">
        <v>53</v>
      </c>
      <c r="X13" s="528">
        <v>190019</v>
      </c>
      <c r="Y13" s="698">
        <v>190053</v>
      </c>
      <c r="Z13" s="707">
        <f>0.0036</f>
        <v>3.5999999999999999E-3</v>
      </c>
      <c r="AA13" s="1932">
        <f t="shared" ref="AA13:AG13" si="4">128*4+39</f>
        <v>551</v>
      </c>
      <c r="AB13" s="1932">
        <f t="shared" si="4"/>
        <v>551</v>
      </c>
      <c r="AC13" s="1932">
        <f t="shared" si="4"/>
        <v>551</v>
      </c>
      <c r="AD13" s="1932">
        <f t="shared" si="4"/>
        <v>551</v>
      </c>
      <c r="AE13" s="1932">
        <f t="shared" si="4"/>
        <v>551</v>
      </c>
      <c r="AF13" s="1932">
        <f t="shared" si="4"/>
        <v>551</v>
      </c>
      <c r="AG13" s="1932">
        <f t="shared" si="4"/>
        <v>551</v>
      </c>
      <c r="AH13" s="707">
        <f>0.0034</f>
        <v>3.3999999999999998E-3</v>
      </c>
      <c r="AI13" s="528">
        <v>190053</v>
      </c>
      <c r="AJ13" s="698">
        <v>190053</v>
      </c>
      <c r="AK13" s="504"/>
      <c r="AL13" s="2078">
        <f>128*4+39</f>
        <v>551</v>
      </c>
      <c r="AM13" s="1417"/>
      <c r="AN13" s="1417"/>
      <c r="AO13" s="2080"/>
      <c r="AP13" s="2028">
        <v>190053</v>
      </c>
      <c r="AQ13" s="2028">
        <v>190053</v>
      </c>
      <c r="AR13" s="504"/>
      <c r="AS13" s="754">
        <f>10000*19+19+0.184</f>
        <v>190019.18400000001</v>
      </c>
      <c r="AT13" s="2095">
        <v>53</v>
      </c>
      <c r="AU13" s="2095">
        <f>53</f>
        <v>53</v>
      </c>
      <c r="AV13" s="2095">
        <v>53</v>
      </c>
      <c r="AW13" s="2095">
        <f>53</f>
        <v>53</v>
      </c>
      <c r="AX13" s="2095">
        <v>53</v>
      </c>
      <c r="AY13" s="754">
        <v>190019</v>
      </c>
      <c r="AZ13" s="2043">
        <f>128*10+3</f>
        <v>1283</v>
      </c>
      <c r="BA13" s="754">
        <v>190053</v>
      </c>
      <c r="BB13" s="698">
        <v>190053</v>
      </c>
      <c r="BC13" s="757"/>
      <c r="BD13" s="757"/>
      <c r="BE13" s="757">
        <f>128*8+3</f>
        <v>1027</v>
      </c>
      <c r="BF13" s="757"/>
      <c r="BG13" s="757"/>
      <c r="BH13" s="757"/>
      <c r="BI13" s="757"/>
      <c r="BJ13" s="757"/>
      <c r="BK13" s="757"/>
      <c r="BL13" s="2102">
        <v>53</v>
      </c>
      <c r="BS13" s="800" t="s">
        <v>980</v>
      </c>
      <c r="BU13" s="800">
        <v>1</v>
      </c>
      <c r="BV13" s="1890">
        <v>13</v>
      </c>
      <c r="BW13" t="s">
        <v>1165</v>
      </c>
      <c r="CH13" s="499"/>
      <c r="CI13" s="499"/>
      <c r="CJ13" s="499"/>
      <c r="IU13" s="499" t="s">
        <v>672</v>
      </c>
      <c r="IV13" s="499">
        <v>16</v>
      </c>
    </row>
    <row r="14" spans="1:256" ht="15.75" customHeight="1" thickBot="1">
      <c r="A14" s="1611">
        <v>53</v>
      </c>
      <c r="B14" s="1992"/>
      <c r="C14" s="1992"/>
      <c r="D14" s="1992"/>
      <c r="E14" s="1992"/>
      <c r="F14" s="1992"/>
      <c r="G14" s="1992"/>
      <c r="H14" s="1992"/>
      <c r="I14" s="1992"/>
      <c r="J14" s="1992"/>
      <c r="K14" s="1992"/>
      <c r="L14" s="1992"/>
      <c r="M14" s="1992"/>
      <c r="N14" s="1992"/>
      <c r="O14" s="1992"/>
      <c r="P14" s="1992"/>
      <c r="Q14" s="528">
        <v>19</v>
      </c>
      <c r="R14" s="528">
        <v>19</v>
      </c>
      <c r="S14" s="528">
        <v>19</v>
      </c>
      <c r="T14" s="528">
        <v>19</v>
      </c>
      <c r="U14" s="528">
        <v>19</v>
      </c>
      <c r="V14" s="528">
        <v>19</v>
      </c>
      <c r="W14" s="528">
        <v>19</v>
      </c>
      <c r="X14" s="528">
        <v>190019</v>
      </c>
      <c r="Y14" s="698">
        <v>190053</v>
      </c>
      <c r="Z14" s="678">
        <v>190053</v>
      </c>
      <c r="AA14" s="678">
        <v>190053</v>
      </c>
      <c r="AB14" s="678">
        <v>190053</v>
      </c>
      <c r="AC14" s="2028">
        <f>10000*19+53+0.195</f>
        <v>190053.19500000001</v>
      </c>
      <c r="AD14" s="1938">
        <f>10000*19+128*5+38</f>
        <v>190678</v>
      </c>
      <c r="AE14" s="2028">
        <f>10000*19+53+0.195</f>
        <v>190053.19500000001</v>
      </c>
      <c r="AF14" s="678">
        <v>190053</v>
      </c>
      <c r="AG14" s="678">
        <v>190053</v>
      </c>
      <c r="AH14" s="678">
        <v>190053</v>
      </c>
      <c r="AI14" s="528">
        <v>190053</v>
      </c>
      <c r="AJ14" s="528">
        <v>190019</v>
      </c>
      <c r="AK14" s="678">
        <v>53</v>
      </c>
      <c r="AL14" s="1623">
        <v>53</v>
      </c>
      <c r="AM14" s="1623">
        <f>53+0.081</f>
        <v>53.081000000000003</v>
      </c>
      <c r="AN14" s="1623">
        <v>53</v>
      </c>
      <c r="AO14" s="1623">
        <f>53+0.081</f>
        <v>53.081000000000003</v>
      </c>
      <c r="AP14" s="528">
        <v>19</v>
      </c>
      <c r="AQ14" s="528">
        <v>19</v>
      </c>
      <c r="AR14" s="528">
        <v>19</v>
      </c>
      <c r="AS14" s="528">
        <v>19</v>
      </c>
      <c r="AT14" s="528">
        <v>19</v>
      </c>
      <c r="AU14" s="528">
        <v>19</v>
      </c>
      <c r="AV14" s="528">
        <v>19</v>
      </c>
      <c r="AW14" s="528">
        <v>19</v>
      </c>
      <c r="AX14" s="2063">
        <v>19</v>
      </c>
      <c r="AY14" s="2063">
        <v>19</v>
      </c>
      <c r="AZ14" s="527">
        <v>190053</v>
      </c>
      <c r="BA14" s="2063">
        <v>19</v>
      </c>
      <c r="BB14" s="2063">
        <v>19</v>
      </c>
      <c r="BC14" s="2256">
        <v>53</v>
      </c>
      <c r="BD14" s="2256">
        <v>53</v>
      </c>
      <c r="BE14" s="2256">
        <v>53</v>
      </c>
      <c r="BF14" s="2256">
        <v>53</v>
      </c>
      <c r="BG14" s="2256">
        <v>53</v>
      </c>
      <c r="BH14" s="2256">
        <v>53</v>
      </c>
      <c r="BI14" s="2256">
        <v>53</v>
      </c>
      <c r="BJ14" s="2256">
        <v>53</v>
      </c>
      <c r="BK14" s="2256">
        <v>53</v>
      </c>
      <c r="BL14" s="499">
        <v>19</v>
      </c>
      <c r="BS14" s="499"/>
      <c r="BU14" s="1888">
        <v>2</v>
      </c>
      <c r="BV14" s="1890">
        <v>14</v>
      </c>
      <c r="BW14" t="s">
        <v>1170</v>
      </c>
      <c r="CH14" s="499"/>
      <c r="CI14" s="499"/>
      <c r="CJ14" s="499"/>
      <c r="IU14" s="499" t="s">
        <v>673</v>
      </c>
      <c r="IV14" s="499">
        <v>32</v>
      </c>
    </row>
    <row r="15" spans="1:256" ht="14.25" customHeight="1" thickTop="1" thickBot="1">
      <c r="A15" s="1611">
        <v>53</v>
      </c>
      <c r="B15" s="1992"/>
      <c r="C15" s="1992"/>
      <c r="D15" s="1992"/>
      <c r="E15" s="1992"/>
      <c r="F15" s="1992"/>
      <c r="G15" s="1992"/>
      <c r="H15" s="1992"/>
      <c r="I15" s="1992"/>
      <c r="J15" s="1992"/>
      <c r="K15" s="1992"/>
      <c r="L15" s="1992"/>
      <c r="M15" s="1992"/>
      <c r="N15" s="1992"/>
      <c r="O15" s="1992"/>
      <c r="P15" s="1992"/>
      <c r="Q15" s="1992"/>
      <c r="R15" s="1992"/>
      <c r="S15" s="1992"/>
      <c r="T15" s="1992"/>
      <c r="U15" s="1992"/>
      <c r="V15" s="1992"/>
      <c r="W15" s="1992"/>
      <c r="X15" s="528">
        <v>19</v>
      </c>
      <c r="Y15" s="678">
        <v>190019</v>
      </c>
      <c r="Z15" s="678">
        <v>190019</v>
      </c>
      <c r="AA15" s="678">
        <v>190019</v>
      </c>
      <c r="AB15" s="678">
        <v>190019</v>
      </c>
      <c r="AC15" s="678">
        <f>10000*19+19+0.195</f>
        <v>190019.19500000001</v>
      </c>
      <c r="AD15" s="1941"/>
      <c r="AE15" s="678">
        <f>10000*19+19+0.195</f>
        <v>190019.19500000001</v>
      </c>
      <c r="AF15" s="678">
        <v>190019</v>
      </c>
      <c r="AG15" s="678">
        <v>190019</v>
      </c>
      <c r="AH15" s="678">
        <v>190019</v>
      </c>
      <c r="AI15" s="678">
        <v>190019</v>
      </c>
      <c r="AJ15" s="528">
        <v>19</v>
      </c>
      <c r="AK15" s="528">
        <v>19</v>
      </c>
      <c r="AL15" s="528">
        <v>19</v>
      </c>
      <c r="AM15" s="528">
        <v>19</v>
      </c>
      <c r="AN15" s="528">
        <v>19</v>
      </c>
      <c r="AO15" s="528">
        <v>19</v>
      </c>
      <c r="AP15" s="1992"/>
      <c r="AQ15" s="1992"/>
      <c r="AR15" s="528">
        <v>19</v>
      </c>
      <c r="AS15" s="528">
        <v>19</v>
      </c>
      <c r="AT15" s="528">
        <v>19</v>
      </c>
      <c r="AU15" s="1992"/>
      <c r="AV15" s="1992"/>
      <c r="AW15" s="838">
        <f>128*4+39</f>
        <v>551</v>
      </c>
      <c r="AX15" s="757">
        <f>128*9+15</f>
        <v>1167</v>
      </c>
      <c r="AY15" s="2133">
        <f>128*10+2</f>
        <v>1282</v>
      </c>
      <c r="AZ15" s="1086">
        <v>19</v>
      </c>
      <c r="BA15" s="503"/>
      <c r="BB15" s="2069">
        <v>190053</v>
      </c>
      <c r="BC15" s="1209">
        <v>190019</v>
      </c>
      <c r="BD15" s="757"/>
      <c r="BE15" s="757"/>
      <c r="BF15" s="2067">
        <f>128*12+22</f>
        <v>1558</v>
      </c>
      <c r="BG15" s="838">
        <v>190053</v>
      </c>
      <c r="BH15" s="1406">
        <v>190053</v>
      </c>
      <c r="BI15" s="2071">
        <v>190053</v>
      </c>
      <c r="BJ15" s="2071">
        <v>190053</v>
      </c>
      <c r="BK15" s="2069">
        <v>190053</v>
      </c>
      <c r="BL15" s="1209">
        <v>24</v>
      </c>
      <c r="BU15" s="1888">
        <v>3</v>
      </c>
      <c r="BV15" s="1890">
        <v>15</v>
      </c>
      <c r="BW15" t="s">
        <v>1137</v>
      </c>
      <c r="IU15" s="499" t="s">
        <v>710</v>
      </c>
      <c r="IV15" s="499">
        <v>20</v>
      </c>
    </row>
    <row r="16" spans="1:256" ht="14.25" thickTop="1" thickBot="1">
      <c r="A16" s="1611">
        <f>53+0.081</f>
        <v>53.081000000000003</v>
      </c>
      <c r="B16" s="1992"/>
      <c r="C16" s="1992"/>
      <c r="D16" s="1992"/>
      <c r="E16" s="1992"/>
      <c r="F16" s="1992"/>
      <c r="G16" s="812">
        <f>0.2118</f>
        <v>0.21179999999999999</v>
      </c>
      <c r="H16" s="812"/>
      <c r="I16" s="812"/>
      <c r="J16" s="812"/>
      <c r="K16" s="812"/>
      <c r="L16" s="812"/>
      <c r="M16" s="812">
        <f>0.2112</f>
        <v>0.2112</v>
      </c>
      <c r="N16" s="1993"/>
      <c r="O16" s="1992"/>
      <c r="P16" s="1992"/>
      <c r="Q16" s="1992"/>
      <c r="R16" s="1992"/>
      <c r="S16" s="1992"/>
      <c r="T16" s="1992"/>
      <c r="U16" s="1992"/>
      <c r="V16" s="1992"/>
      <c r="W16" s="1992"/>
      <c r="X16" s="1992"/>
      <c r="Y16" s="1992"/>
      <c r="Z16" s="1992"/>
      <c r="AA16" s="1992"/>
      <c r="AB16" s="1992"/>
      <c r="AC16" s="498">
        <f>10000*19+128*4+34</f>
        <v>190546</v>
      </c>
      <c r="AD16" s="1937"/>
      <c r="AE16" s="498">
        <f>10000*19+128*4+34</f>
        <v>190546</v>
      </c>
      <c r="AF16" s="1992"/>
      <c r="AG16" s="1992"/>
      <c r="AH16" s="1992"/>
      <c r="AI16" s="1992"/>
      <c r="AJ16" s="1992"/>
      <c r="AK16" s="1992"/>
      <c r="AL16" s="1992"/>
      <c r="AM16" s="511"/>
      <c r="AN16" s="511"/>
      <c r="AO16" s="514"/>
      <c r="AP16" s="1994"/>
      <c r="AQ16" s="1992"/>
      <c r="AR16" s="528">
        <v>19</v>
      </c>
      <c r="AS16" s="677">
        <f>53+0.081</f>
        <v>53.081000000000003</v>
      </c>
      <c r="AT16" s="528">
        <v>19</v>
      </c>
      <c r="AU16" s="1992"/>
      <c r="AV16" s="1992"/>
      <c r="AW16" s="838">
        <f>128*4+39</f>
        <v>551</v>
      </c>
      <c r="AX16" s="3189">
        <f>128*11+6</f>
        <v>1414</v>
      </c>
      <c r="AY16" s="1696">
        <f>128*9+15</f>
        <v>1167</v>
      </c>
      <c r="AZ16" s="1086">
        <v>19</v>
      </c>
      <c r="BA16" s="503"/>
      <c r="BB16" s="2069">
        <v>190053</v>
      </c>
      <c r="BC16" s="1209"/>
      <c r="BD16" s="757"/>
      <c r="BE16" s="757">
        <v>190019</v>
      </c>
      <c r="BF16" s="757">
        <v>190019</v>
      </c>
      <c r="BG16" s="757">
        <v>190019</v>
      </c>
      <c r="BH16" s="1696"/>
      <c r="BI16" s="2070"/>
      <c r="BJ16" s="2070"/>
      <c r="BK16" s="2068">
        <v>190053</v>
      </c>
      <c r="BL16" s="1209">
        <v>24</v>
      </c>
      <c r="BU16" s="1888">
        <v>4</v>
      </c>
      <c r="BV16" s="1890">
        <v>16</v>
      </c>
      <c r="BW16" t="s">
        <v>1138</v>
      </c>
      <c r="IU16" s="499" t="s">
        <v>711</v>
      </c>
      <c r="IV16" s="499">
        <v>32</v>
      </c>
    </row>
    <row r="17" spans="1:256" ht="14.25" customHeight="1" thickTop="1" thickBot="1">
      <c r="A17" s="1611">
        <v>53</v>
      </c>
      <c r="B17" s="1992"/>
      <c r="C17" s="1992"/>
      <c r="D17" s="1992"/>
      <c r="E17" s="1992"/>
      <c r="F17" s="812"/>
      <c r="G17" s="812"/>
      <c r="H17" s="504">
        <f>128*4+39+0.384+0.004</f>
        <v>551.38800000000003</v>
      </c>
      <c r="I17" s="812"/>
      <c r="J17" s="1166">
        <f>128*11+1</f>
        <v>1409</v>
      </c>
      <c r="K17" s="812"/>
      <c r="L17" s="504">
        <f>128*4+39+0.384+0.004</f>
        <v>551.38800000000003</v>
      </c>
      <c r="M17" s="812"/>
      <c r="N17" s="812"/>
      <c r="O17" s="1992"/>
      <c r="P17" s="1992"/>
      <c r="Q17" s="1992"/>
      <c r="R17" s="1992"/>
      <c r="S17" s="1992"/>
      <c r="T17" s="1992"/>
      <c r="U17" s="1992"/>
      <c r="V17" s="1992"/>
      <c r="W17" s="1992"/>
      <c r="X17" s="1992"/>
      <c r="Y17" s="1992"/>
      <c r="Z17" s="1992"/>
      <c r="AA17" s="1992"/>
      <c r="AB17" s="1992"/>
      <c r="AC17" s="678">
        <v>190019</v>
      </c>
      <c r="AD17" s="1935">
        <f>128*5+38</f>
        <v>678</v>
      </c>
      <c r="AE17" s="678">
        <v>190019</v>
      </c>
      <c r="AF17" s="1992"/>
      <c r="AG17" s="1992"/>
      <c r="AH17" s="1992"/>
      <c r="AI17" s="1992"/>
      <c r="AJ17" s="1992"/>
      <c r="AK17" s="1992"/>
      <c r="AL17" s="1992"/>
      <c r="AM17" s="511"/>
      <c r="AN17" s="1166">
        <f>128*11+7</f>
        <v>1415</v>
      </c>
      <c r="AO17" s="514"/>
      <c r="AP17" s="1992"/>
      <c r="AQ17" s="1992"/>
      <c r="AR17" s="504">
        <f>128*10+1</f>
        <v>1281</v>
      </c>
      <c r="AS17" s="1417"/>
      <c r="AT17" s="504">
        <f>128*10+8</f>
        <v>1288</v>
      </c>
      <c r="AU17" s="1992"/>
      <c r="AV17" s="1992"/>
      <c r="AW17" s="757">
        <v>42</v>
      </c>
      <c r="AX17" s="1383">
        <f>128*4+39</f>
        <v>551</v>
      </c>
      <c r="AY17" s="1406">
        <f>128*4+39</f>
        <v>551</v>
      </c>
      <c r="AZ17" s="1086">
        <v>19</v>
      </c>
      <c r="BA17" s="503"/>
      <c r="BB17" s="2069">
        <v>190053</v>
      </c>
      <c r="BC17" s="2070">
        <v>190019</v>
      </c>
      <c r="BD17" s="2070"/>
      <c r="BE17" s="2252">
        <v>190053</v>
      </c>
      <c r="BF17" s="2070"/>
      <c r="BG17" s="2070"/>
      <c r="BH17" s="2070"/>
      <c r="BI17" s="2252">
        <v>190053</v>
      </c>
      <c r="BJ17" s="2070"/>
      <c r="BK17" s="2070">
        <v>190019</v>
      </c>
      <c r="BL17" s="1209">
        <v>24</v>
      </c>
      <c r="BS17" t="s">
        <v>1049</v>
      </c>
      <c r="BU17" s="1891"/>
      <c r="BV17" s="1890">
        <v>1</v>
      </c>
      <c r="IU17" s="499" t="s">
        <v>632</v>
      </c>
      <c r="IV17" s="499" t="s">
        <v>87</v>
      </c>
    </row>
    <row r="18" spans="1:256" ht="15" customHeight="1" thickTop="1" thickBot="1">
      <c r="A18" s="1611">
        <v>53</v>
      </c>
      <c r="B18" s="1992"/>
      <c r="C18" s="1992"/>
      <c r="D18" s="1992"/>
      <c r="E18" s="1992"/>
      <c r="F18" s="812"/>
      <c r="G18" s="528">
        <v>190019</v>
      </c>
      <c r="H18" s="528">
        <v>190019</v>
      </c>
      <c r="I18" s="811">
        <f>128*9+15</f>
        <v>1167</v>
      </c>
      <c r="J18" s="811"/>
      <c r="K18" s="1958">
        <f>128*9+15</f>
        <v>1167</v>
      </c>
      <c r="L18" s="528">
        <v>190019</v>
      </c>
      <c r="M18" s="528">
        <v>190019</v>
      </c>
      <c r="N18" s="812">
        <f>128*14+116</f>
        <v>1908</v>
      </c>
      <c r="O18" s="1992"/>
      <c r="P18" s="1992"/>
      <c r="Q18" s="1992"/>
      <c r="R18" s="1990"/>
      <c r="S18" s="1990"/>
      <c r="T18" s="1990"/>
      <c r="U18" s="1990"/>
      <c r="V18" s="1990"/>
      <c r="W18" s="1990"/>
      <c r="X18" s="1990"/>
      <c r="Y18" s="1990"/>
      <c r="Z18" s="1992"/>
      <c r="AA18" s="1992"/>
      <c r="AB18" s="1992"/>
      <c r="AC18" s="498">
        <f>10000*19+128*4+34</f>
        <v>190546</v>
      </c>
      <c r="AD18" s="1937"/>
      <c r="AE18" s="498">
        <f>10000*19+128*4+34</f>
        <v>190546</v>
      </c>
      <c r="AF18" s="1992"/>
      <c r="AG18" s="1992"/>
      <c r="AH18" s="1992"/>
      <c r="AI18" s="1992"/>
      <c r="AJ18" s="1992"/>
      <c r="AK18" s="1992"/>
      <c r="AL18" s="1992"/>
      <c r="AM18" s="511"/>
      <c r="AN18" s="2144"/>
      <c r="AO18" s="514"/>
      <c r="AP18" s="1992"/>
      <c r="AQ18" s="514"/>
      <c r="AR18" s="514"/>
      <c r="AS18" s="1992"/>
      <c r="AT18" s="514"/>
      <c r="AU18" s="1992"/>
      <c r="AV18" s="1992"/>
      <c r="AW18" s="1992"/>
      <c r="AX18" s="1992"/>
      <c r="AY18" s="1992"/>
      <c r="AZ18" s="1086">
        <v>19</v>
      </c>
      <c r="BA18" s="503"/>
      <c r="BB18" s="2070"/>
      <c r="BC18" s="2069">
        <v>190053</v>
      </c>
      <c r="BD18" s="2070"/>
      <c r="BE18" s="2070"/>
      <c r="BF18" s="2070"/>
      <c r="BG18" s="2252">
        <v>190053</v>
      </c>
      <c r="BH18" s="2070"/>
      <c r="BI18" s="2070">
        <v>190019</v>
      </c>
      <c r="BJ18" s="2070">
        <f>128*14+116</f>
        <v>1908</v>
      </c>
      <c r="BK18" s="2070">
        <f>128*10+1</f>
        <v>1281</v>
      </c>
      <c r="BL18" s="2073">
        <v>190053</v>
      </c>
      <c r="BS18" t="s">
        <v>1051</v>
      </c>
      <c r="BU18" s="1888">
        <v>1</v>
      </c>
      <c r="BV18" s="1891">
        <f>U24</f>
        <v>1286</v>
      </c>
      <c r="IU18" s="499" t="s">
        <v>855</v>
      </c>
      <c r="IV18" s="499" t="s">
        <v>854</v>
      </c>
    </row>
    <row r="19" spans="1:256" ht="12.75" customHeight="1" thickTop="1" thickBot="1">
      <c r="A19" s="1611">
        <v>53</v>
      </c>
      <c r="B19" s="1992"/>
      <c r="C19" s="1992"/>
      <c r="D19" s="1992"/>
      <c r="E19" s="812"/>
      <c r="F19" s="528">
        <v>190019</v>
      </c>
      <c r="G19" s="528">
        <v>190019</v>
      </c>
      <c r="H19" s="677">
        <v>190053</v>
      </c>
      <c r="I19" s="528">
        <v>190019</v>
      </c>
      <c r="J19" s="839">
        <f>10000*42+128*5+37</f>
        <v>420677</v>
      </c>
      <c r="K19" s="528">
        <v>190019</v>
      </c>
      <c r="L19" s="677">
        <v>190053</v>
      </c>
      <c r="M19" s="528">
        <v>190019</v>
      </c>
      <c r="N19" s="812">
        <f>128*10+15</f>
        <v>1295</v>
      </c>
      <c r="O19" s="1992"/>
      <c r="P19" s="1992"/>
      <c r="Q19" s="1992"/>
      <c r="R19" s="812">
        <f>128*10+16</f>
        <v>1296</v>
      </c>
      <c r="S19" s="528">
        <v>190019</v>
      </c>
      <c r="T19" s="528">
        <v>190019</v>
      </c>
      <c r="U19" s="528">
        <v>190019</v>
      </c>
      <c r="V19" s="528">
        <v>420042</v>
      </c>
      <c r="W19" s="528">
        <v>190019</v>
      </c>
      <c r="X19" s="528">
        <v>190019</v>
      </c>
      <c r="Y19" s="528">
        <v>190019</v>
      </c>
      <c r="Z19" s="1992"/>
      <c r="AA19" s="1992"/>
      <c r="AB19" s="1992"/>
      <c r="AC19" s="677">
        <f>10000*19+19+0.195</f>
        <v>190019.19500000001</v>
      </c>
      <c r="AD19" s="1936">
        <f>128*5+38</f>
        <v>678</v>
      </c>
      <c r="AE19" s="677">
        <f>10000*19+19+0.195</f>
        <v>190019.19500000001</v>
      </c>
      <c r="AF19" s="1992">
        <f>128*9+6</f>
        <v>1158</v>
      </c>
      <c r="AG19" s="1992"/>
      <c r="AH19" s="1992"/>
      <c r="AI19" s="1992"/>
      <c r="AJ19" s="1992"/>
      <c r="AK19" s="1992"/>
      <c r="AL19" s="1992"/>
      <c r="AM19" s="2060">
        <f>128*9+30</f>
        <v>1182</v>
      </c>
      <c r="AN19" s="1992">
        <f>128*9+6</f>
        <v>1158</v>
      </c>
      <c r="AO19" s="1992"/>
      <c r="AP19" s="1992"/>
      <c r="AQ19" s="1992"/>
      <c r="AR19" s="1992"/>
      <c r="AS19" s="1992"/>
      <c r="AT19" s="707">
        <f>128*4+39+0.384+0.002</f>
        <v>551.38599999999997</v>
      </c>
      <c r="AU19" s="1992"/>
      <c r="AV19" s="1992"/>
      <c r="AW19" s="1992"/>
      <c r="AX19" s="1992"/>
      <c r="AY19" s="1992"/>
      <c r="AZ19" s="1086">
        <v>19</v>
      </c>
      <c r="BA19" s="503"/>
      <c r="BB19" s="2070"/>
      <c r="BC19" s="2069">
        <v>190053</v>
      </c>
      <c r="BD19" s="2072">
        <v>190053</v>
      </c>
      <c r="BE19" s="2072">
        <v>190053</v>
      </c>
      <c r="BF19" s="2072">
        <v>190053</v>
      </c>
      <c r="BG19" s="2069">
        <v>190053</v>
      </c>
      <c r="BH19" s="2070"/>
      <c r="BI19" s="2073">
        <v>190053</v>
      </c>
      <c r="BJ19" s="1399">
        <v>190053</v>
      </c>
      <c r="BK19" s="2072">
        <v>190053</v>
      </c>
      <c r="BL19" s="1209">
        <v>24</v>
      </c>
      <c r="BU19" s="1888">
        <v>2</v>
      </c>
      <c r="BV19">
        <f>R33</f>
        <v>1410</v>
      </c>
      <c r="IU19" s="499" t="s">
        <v>857</v>
      </c>
      <c r="IV19" s="499" t="s">
        <v>856</v>
      </c>
    </row>
    <row r="20" spans="1:256" ht="14.25" customHeight="1" thickTop="1" thickBot="1">
      <c r="A20" s="1611">
        <f>53+0.081</f>
        <v>53.081000000000003</v>
      </c>
      <c r="B20" s="1992"/>
      <c r="C20" s="1992"/>
      <c r="D20" s="812"/>
      <c r="E20" s="528">
        <v>190019</v>
      </c>
      <c r="F20" s="698">
        <v>190053</v>
      </c>
      <c r="G20" s="814"/>
      <c r="H20" s="814"/>
      <c r="I20" s="814"/>
      <c r="J20" s="814"/>
      <c r="K20" s="814"/>
      <c r="L20" s="1500"/>
      <c r="M20" s="528">
        <v>190053</v>
      </c>
      <c r="N20" s="528">
        <v>190019</v>
      </c>
      <c r="O20" s="1992"/>
      <c r="P20" s="1992"/>
      <c r="Q20" s="1992"/>
      <c r="R20" s="812">
        <f>128*10+34</f>
        <v>1314</v>
      </c>
      <c r="S20" s="528">
        <v>190019</v>
      </c>
      <c r="T20" s="1744">
        <f>128*9+21+0.5+0.256+0.0208</f>
        <v>1173.7768000000001</v>
      </c>
      <c r="U20" s="1744">
        <f>128*10+1</f>
        <v>1281</v>
      </c>
      <c r="V20" s="1744">
        <v>4.0000000000000001E-3</v>
      </c>
      <c r="W20" s="1744"/>
      <c r="X20" s="1744">
        <f>128*10+15</f>
        <v>1295</v>
      </c>
      <c r="Y20" s="528">
        <v>190019</v>
      </c>
      <c r="Z20" s="1992"/>
      <c r="AA20" s="1992"/>
      <c r="AB20" s="1992"/>
      <c r="AC20" s="1992"/>
      <c r="AD20" s="510"/>
      <c r="AE20" s="511"/>
      <c r="AF20" s="1499"/>
      <c r="AG20" s="812">
        <f>0.2112</f>
        <v>0.2112</v>
      </c>
      <c r="AH20" s="1992"/>
      <c r="AI20" s="1992"/>
      <c r="AJ20" s="1992"/>
      <c r="AK20" s="1992"/>
      <c r="AL20" s="1992"/>
      <c r="AM20" s="1992"/>
      <c r="AN20" s="1992"/>
      <c r="AO20" s="1992"/>
      <c r="AP20" s="1992"/>
      <c r="AQ20" s="1992"/>
      <c r="AR20" s="1992"/>
      <c r="AS20" s="1992"/>
      <c r="AT20" s="1992"/>
      <c r="AU20" s="1992"/>
      <c r="AV20" s="1992"/>
      <c r="AW20" s="1992"/>
      <c r="AX20" s="1992"/>
      <c r="AY20" s="1992"/>
      <c r="AZ20" s="523">
        <v>19</v>
      </c>
      <c r="BA20" s="523">
        <v>19</v>
      </c>
      <c r="BB20" s="523">
        <v>19</v>
      </c>
      <c r="BC20" s="1802">
        <v>19</v>
      </c>
      <c r="BD20" s="523">
        <v>19</v>
      </c>
      <c r="BE20" s="523">
        <v>19</v>
      </c>
      <c r="BF20" s="505">
        <v>19</v>
      </c>
      <c r="BG20" s="698">
        <v>190053</v>
      </c>
      <c r="BH20" s="1209"/>
      <c r="BI20" s="757">
        <v>190019</v>
      </c>
      <c r="BJ20" s="1406">
        <v>190053</v>
      </c>
      <c r="BK20" s="2068">
        <v>19</v>
      </c>
      <c r="BL20" s="1209">
        <v>24</v>
      </c>
      <c r="BU20" s="1888">
        <v>3</v>
      </c>
      <c r="BV20">
        <f>AG30</f>
        <v>1411</v>
      </c>
      <c r="IU20" s="499" t="s">
        <v>859</v>
      </c>
      <c r="IV20" s="499" t="s">
        <v>858</v>
      </c>
    </row>
    <row r="21" spans="1:256" ht="15" customHeight="1" thickTop="1" thickBot="1">
      <c r="A21" s="1611">
        <v>53</v>
      </c>
      <c r="B21" s="1992"/>
      <c r="C21" s="1992"/>
      <c r="D21" s="812"/>
      <c r="E21" s="528">
        <v>190019</v>
      </c>
      <c r="F21" s="698">
        <v>190053</v>
      </c>
      <c r="G21" s="814"/>
      <c r="H21" s="1499"/>
      <c r="I21" s="1961">
        <f>128*12+2</f>
        <v>1538</v>
      </c>
      <c r="J21" s="1499"/>
      <c r="K21" s="1961">
        <f>128*12+3</f>
        <v>1539</v>
      </c>
      <c r="L21" s="1500"/>
      <c r="M21" s="528">
        <v>190053</v>
      </c>
      <c r="N21" s="528">
        <v>190019</v>
      </c>
      <c r="O21" s="1992"/>
      <c r="P21" s="1992"/>
      <c r="Q21" s="1992"/>
      <c r="R21" s="812">
        <f>128*14+116</f>
        <v>1908</v>
      </c>
      <c r="S21" s="528">
        <f>10000*19+128*4+39</f>
        <v>190551</v>
      </c>
      <c r="T21" s="1949"/>
      <c r="U21" s="1949"/>
      <c r="V21" s="1952">
        <f>128*17+64+3</f>
        <v>2243</v>
      </c>
      <c r="W21" s="1950"/>
      <c r="X21" s="1954">
        <f>128*17+64+3</f>
        <v>2243</v>
      </c>
      <c r="Y21" s="528">
        <v>190019</v>
      </c>
      <c r="Z21" s="1992"/>
      <c r="AA21" s="1992"/>
      <c r="AB21" s="1992"/>
      <c r="AC21" s="1992"/>
      <c r="AD21" s="1992"/>
      <c r="AE21" s="1992"/>
      <c r="AF21" s="1992"/>
      <c r="AG21" s="812"/>
      <c r="AH21" s="1992"/>
      <c r="AI21" s="1992"/>
      <c r="AJ21" s="1992"/>
      <c r="AK21" s="1992"/>
      <c r="AL21" s="1992"/>
      <c r="AM21" s="1992"/>
      <c r="AN21" s="1992"/>
      <c r="AO21" s="1992"/>
      <c r="AP21" s="1992"/>
      <c r="AQ21" s="1992"/>
      <c r="AR21" s="1992"/>
      <c r="AS21" s="1992"/>
      <c r="AT21" s="1992"/>
      <c r="AU21" s="1992"/>
      <c r="AV21" s="1992"/>
      <c r="AW21" s="1992"/>
      <c r="AX21" s="1992"/>
      <c r="AY21" s="1992"/>
      <c r="AZ21" s="514"/>
      <c r="BA21" s="514"/>
      <c r="BB21" s="514"/>
      <c r="BC21" s="2052">
        <f>128*12+22</f>
        <v>1558</v>
      </c>
      <c r="BD21" s="514"/>
      <c r="BE21" s="514"/>
      <c r="BF21" s="505">
        <v>19</v>
      </c>
      <c r="BG21" s="698">
        <v>190053</v>
      </c>
      <c r="BH21" s="1209"/>
      <c r="BI21" s="757"/>
      <c r="BJ21" s="2074">
        <f>128*12+21</f>
        <v>1557</v>
      </c>
      <c r="BK21" s="2068">
        <v>53</v>
      </c>
      <c r="BL21" s="1209">
        <v>24</v>
      </c>
      <c r="BU21" s="1888">
        <v>4</v>
      </c>
      <c r="BV21">
        <f>AR2</f>
        <v>1412</v>
      </c>
      <c r="IU21" s="499" t="s">
        <v>861</v>
      </c>
      <c r="IV21" s="499" t="s">
        <v>860</v>
      </c>
    </row>
    <row r="22" spans="1:256" ht="15" customHeight="1" thickTop="1" thickBot="1">
      <c r="A22" s="1611">
        <v>53</v>
      </c>
      <c r="B22" s="1992"/>
      <c r="C22" s="1992"/>
      <c r="D22" s="812"/>
      <c r="E22" s="528">
        <v>190019</v>
      </c>
      <c r="F22" s="698">
        <v>190053</v>
      </c>
      <c r="G22" s="814">
        <v>35</v>
      </c>
      <c r="H22" s="1499"/>
      <c r="I22" s="1962">
        <f>128*12+4</f>
        <v>1540</v>
      </c>
      <c r="J22" s="1961">
        <f>128*12+5</f>
        <v>1541</v>
      </c>
      <c r="K22" s="1962">
        <f>128*12+6</f>
        <v>1542</v>
      </c>
      <c r="L22" s="1500"/>
      <c r="M22" s="528">
        <v>190053</v>
      </c>
      <c r="N22" s="528">
        <v>190019</v>
      </c>
      <c r="O22" s="1992"/>
      <c r="P22" s="1992"/>
      <c r="Q22" s="1992"/>
      <c r="R22" s="1992"/>
      <c r="S22" s="839">
        <v>190019</v>
      </c>
      <c r="T22" s="1952">
        <f>128*17+64+3</f>
        <v>2243</v>
      </c>
      <c r="U22" s="1744">
        <f>128*10+6</f>
        <v>1286</v>
      </c>
      <c r="V22" s="1949"/>
      <c r="W22" s="3193">
        <f>128*9+13</f>
        <v>1165</v>
      </c>
      <c r="X22" s="1955">
        <f>128*9+88</f>
        <v>1240</v>
      </c>
      <c r="Y22" s="698">
        <f>10000*19+19+0.1352</f>
        <v>190019.13519999999</v>
      </c>
      <c r="Z22" s="1992"/>
      <c r="AA22" s="1992"/>
      <c r="AB22" s="1992"/>
      <c r="AC22" s="1992"/>
      <c r="AD22" s="1992"/>
      <c r="AE22" s="1992"/>
      <c r="AF22" s="1992"/>
      <c r="AG22" s="812"/>
      <c r="AH22" s="1992"/>
      <c r="AI22" s="1992">
        <f>128*9+70</f>
        <v>1222</v>
      </c>
      <c r="AJ22" s="1992">
        <f>128*9+70</f>
        <v>1222</v>
      </c>
      <c r="AK22" s="2058">
        <f>128*9+71</f>
        <v>1223</v>
      </c>
      <c r="AL22" s="1992">
        <f t="shared" ref="AL22:AY22" si="5">128*9+6</f>
        <v>1158</v>
      </c>
      <c r="AM22" s="1992">
        <f t="shared" si="5"/>
        <v>1158</v>
      </c>
      <c r="AN22" s="1992">
        <f t="shared" si="5"/>
        <v>1158</v>
      </c>
      <c r="AO22" s="2045">
        <f>128*9+6</f>
        <v>1158</v>
      </c>
      <c r="AP22" s="1992">
        <f t="shared" si="5"/>
        <v>1158</v>
      </c>
      <c r="AQ22" s="1992">
        <f t="shared" si="5"/>
        <v>1158</v>
      </c>
      <c r="AR22" s="1992">
        <f t="shared" si="5"/>
        <v>1158</v>
      </c>
      <c r="AS22" s="2045">
        <f>128*9+6</f>
        <v>1158</v>
      </c>
      <c r="AT22" s="1992">
        <f t="shared" si="5"/>
        <v>1158</v>
      </c>
      <c r="AU22" s="1992">
        <f t="shared" si="5"/>
        <v>1158</v>
      </c>
      <c r="AV22" s="1992">
        <f t="shared" si="5"/>
        <v>1158</v>
      </c>
      <c r="AW22" s="2045">
        <f>128*9+6</f>
        <v>1158</v>
      </c>
      <c r="AX22" s="1992">
        <f t="shared" si="5"/>
        <v>1158</v>
      </c>
      <c r="AY22" s="1992">
        <f t="shared" si="5"/>
        <v>1158</v>
      </c>
      <c r="AZ22" s="2076"/>
      <c r="BA22" s="514"/>
      <c r="BB22" s="514"/>
      <c r="BC22" s="514"/>
      <c r="BD22" s="514"/>
      <c r="BE22" s="514"/>
      <c r="BF22" s="505">
        <v>19</v>
      </c>
      <c r="BG22" s="698">
        <v>190053</v>
      </c>
      <c r="BH22" s="2075">
        <v>190053</v>
      </c>
      <c r="BI22" s="1444">
        <v>190053</v>
      </c>
      <c r="BJ22" s="1399">
        <v>190053</v>
      </c>
      <c r="BK22" s="2068">
        <v>19</v>
      </c>
      <c r="BL22" s="1209">
        <v>24</v>
      </c>
      <c r="BU22" s="1888">
        <v>5</v>
      </c>
      <c r="BV22">
        <f>AZ7</f>
        <v>1413</v>
      </c>
      <c r="IU22" s="499" t="s">
        <v>863</v>
      </c>
      <c r="IV22" s="499" t="s">
        <v>862</v>
      </c>
    </row>
    <row r="23" spans="1:256" ht="14.25" customHeight="1" thickTop="1" thickBot="1">
      <c r="A23" s="1611">
        <v>53</v>
      </c>
      <c r="B23" s="1992"/>
      <c r="C23" s="812"/>
      <c r="D23" s="812"/>
      <c r="E23" s="528">
        <v>190019</v>
      </c>
      <c r="F23" s="698">
        <v>190053</v>
      </c>
      <c r="G23" s="814">
        <f>128*9+24+0.5+0.256+0.008</f>
        <v>1176.7640000000001</v>
      </c>
      <c r="H23" s="1499"/>
      <c r="I23" s="1962">
        <f>128*12+7</f>
        <v>1543</v>
      </c>
      <c r="J23" s="1962">
        <f>128*12+8</f>
        <v>1544</v>
      </c>
      <c r="K23" s="1962">
        <f>128*12+9</f>
        <v>1545</v>
      </c>
      <c r="L23" s="1500"/>
      <c r="M23" s="528">
        <v>190053</v>
      </c>
      <c r="N23" s="528">
        <v>190019</v>
      </c>
      <c r="O23" s="1992"/>
      <c r="P23" s="1992"/>
      <c r="Q23" s="1992"/>
      <c r="R23" s="812">
        <f>128*10+9</f>
        <v>1289</v>
      </c>
      <c r="S23" s="528">
        <v>420042</v>
      </c>
      <c r="T23" s="1949"/>
      <c r="U23" s="1166">
        <f>128*11+1</f>
        <v>1409</v>
      </c>
      <c r="V23" s="1952">
        <f>128*17+64+4</f>
        <v>2244</v>
      </c>
      <c r="W23" s="1950"/>
      <c r="X23" s="1951"/>
      <c r="Y23" s="528">
        <f>10000*19+128*5+37</f>
        <v>190677</v>
      </c>
      <c r="Z23" s="1991">
        <f>128*16+1</f>
        <v>2049</v>
      </c>
      <c r="AA23" s="1957"/>
      <c r="AB23" s="1957"/>
      <c r="AC23" s="1957"/>
      <c r="AD23" s="1957"/>
      <c r="AE23" s="1957"/>
      <c r="AF23" s="1957"/>
      <c r="AG23" s="812">
        <f>0.2114</f>
        <v>0.2114</v>
      </c>
      <c r="AH23" s="1992"/>
      <c r="AI23" s="1992"/>
      <c r="AJ23" s="1992"/>
      <c r="AK23" s="1992"/>
      <c r="AL23" s="1992"/>
      <c r="AM23" s="1992"/>
      <c r="AN23" s="1992"/>
      <c r="AO23" s="1992"/>
      <c r="AP23" s="1992"/>
      <c r="AQ23" s="1992"/>
      <c r="AR23" s="1992"/>
      <c r="AS23" s="1992"/>
      <c r="AT23" s="1992"/>
      <c r="AU23" s="771">
        <v>190019</v>
      </c>
      <c r="AV23" s="771">
        <v>190019</v>
      </c>
      <c r="AW23" s="771">
        <v>190019</v>
      </c>
      <c r="AX23" s="771">
        <v>190019</v>
      </c>
      <c r="AY23" s="771">
        <v>190019</v>
      </c>
      <c r="AZ23" s="771">
        <v>190019</v>
      </c>
      <c r="BA23" s="498">
        <v>190019</v>
      </c>
      <c r="BB23" s="498">
        <v>190019</v>
      </c>
      <c r="BC23" s="2066">
        <f>128*4+39</f>
        <v>551</v>
      </c>
      <c r="BD23" s="2066">
        <f>128*4+39</f>
        <v>551</v>
      </c>
      <c r="BE23" s="2066">
        <f>128*4+39</f>
        <v>551</v>
      </c>
      <c r="BF23" s="523">
        <v>19</v>
      </c>
      <c r="BG23" s="1086">
        <v>19</v>
      </c>
      <c r="BH23" s="2073">
        <v>19</v>
      </c>
      <c r="BI23" s="838">
        <v>19</v>
      </c>
      <c r="BJ23" s="1399">
        <v>190053</v>
      </c>
      <c r="BK23" s="2068">
        <v>19</v>
      </c>
      <c r="BL23" s="1209">
        <v>24</v>
      </c>
      <c r="BU23" s="1888">
        <v>6</v>
      </c>
      <c r="BV23">
        <f>AX16</f>
        <v>1414</v>
      </c>
      <c r="IU23" s="499" t="s">
        <v>864</v>
      </c>
      <c r="IV23" s="499" t="s">
        <v>1052</v>
      </c>
    </row>
    <row r="24" spans="1:256" ht="13.5" customHeight="1" thickTop="1" thickBot="1">
      <c r="A24" s="1611">
        <f>53+0.081</f>
        <v>53.081000000000003</v>
      </c>
      <c r="B24" s="1992"/>
      <c r="C24" s="812"/>
      <c r="D24" s="528">
        <v>190019</v>
      </c>
      <c r="E24" s="528">
        <v>190019</v>
      </c>
      <c r="F24" s="698">
        <v>190053</v>
      </c>
      <c r="G24" s="814"/>
      <c r="H24" s="1499"/>
      <c r="I24" s="1962">
        <f>128*12+10</f>
        <v>1546</v>
      </c>
      <c r="J24" s="1962">
        <f>128*12+11</f>
        <v>1547</v>
      </c>
      <c r="K24" s="1962">
        <f>128*12+12</f>
        <v>1548</v>
      </c>
      <c r="L24" s="1500"/>
      <c r="M24" s="528">
        <v>190053</v>
      </c>
      <c r="N24" s="528">
        <v>190019</v>
      </c>
      <c r="O24" s="1992"/>
      <c r="P24" s="1992"/>
      <c r="Q24" s="1992"/>
      <c r="R24" s="812">
        <f>128*14+116</f>
        <v>1908</v>
      </c>
      <c r="S24" s="528">
        <v>190019</v>
      </c>
      <c r="T24" s="1952">
        <f>128*17+64+3</f>
        <v>2243</v>
      </c>
      <c r="U24" s="1744">
        <f>128*10+6</f>
        <v>1286</v>
      </c>
      <c r="V24" s="1949"/>
      <c r="W24" s="3193">
        <f>128*9+13</f>
        <v>1165</v>
      </c>
      <c r="X24" s="1956">
        <f>128*9+88</f>
        <v>1240</v>
      </c>
      <c r="Y24" s="528">
        <v>190019</v>
      </c>
      <c r="Z24" s="1992"/>
      <c r="AA24" s="1992"/>
      <c r="AB24" s="1992"/>
      <c r="AC24" s="1992"/>
      <c r="AD24" s="1992"/>
      <c r="AE24" s="1992"/>
      <c r="AF24" s="1992"/>
      <c r="AG24" s="1992"/>
      <c r="AH24" s="1992"/>
      <c r="AI24" s="2059">
        <f>10000*19+19+0.065</f>
        <v>190019.065</v>
      </c>
      <c r="AJ24" s="704">
        <f t="shared" ref="AJ24:AT24" si="6">128*4+39</f>
        <v>551</v>
      </c>
      <c r="AK24" s="704">
        <f t="shared" si="6"/>
        <v>551</v>
      </c>
      <c r="AL24" s="704">
        <f t="shared" si="6"/>
        <v>551</v>
      </c>
      <c r="AM24" s="704">
        <f t="shared" si="6"/>
        <v>551</v>
      </c>
      <c r="AN24" s="704">
        <f t="shared" si="6"/>
        <v>551</v>
      </c>
      <c r="AO24" s="704">
        <f t="shared" si="6"/>
        <v>551</v>
      </c>
      <c r="AP24" s="704">
        <f t="shared" si="6"/>
        <v>551</v>
      </c>
      <c r="AQ24" s="704">
        <f t="shared" si="6"/>
        <v>551</v>
      </c>
      <c r="AR24" s="704">
        <f t="shared" si="6"/>
        <v>551</v>
      </c>
      <c r="AS24" s="704">
        <f t="shared" si="6"/>
        <v>551</v>
      </c>
      <c r="AT24" s="704">
        <f t="shared" si="6"/>
        <v>551</v>
      </c>
      <c r="AU24" s="778"/>
      <c r="AV24" s="778"/>
      <c r="AW24" s="778"/>
      <c r="AX24" s="778"/>
      <c r="AY24" s="778"/>
      <c r="AZ24" s="778"/>
      <c r="BA24" s="778"/>
      <c r="BB24" s="498">
        <v>190019</v>
      </c>
      <c r="BC24" s="778"/>
      <c r="BD24" s="778"/>
      <c r="BE24" s="778"/>
      <c r="BF24" s="778"/>
      <c r="BG24" s="778"/>
      <c r="BH24" s="528">
        <v>190053</v>
      </c>
      <c r="BI24" s="2073">
        <v>19</v>
      </c>
      <c r="BJ24" s="2072">
        <v>190053</v>
      </c>
      <c r="BK24" s="2068">
        <v>19</v>
      </c>
      <c r="BL24" s="499">
        <v>24</v>
      </c>
      <c r="BU24" s="1888">
        <v>7</v>
      </c>
      <c r="BV24">
        <f>AN17</f>
        <v>1415</v>
      </c>
      <c r="IU24" s="499" t="s">
        <v>865</v>
      </c>
      <c r="IV24" s="499" t="s">
        <v>1053</v>
      </c>
    </row>
    <row r="25" spans="1:256" ht="14.25" customHeight="1" thickTop="1" thickBot="1">
      <c r="A25" s="1611">
        <v>53</v>
      </c>
      <c r="B25" s="1992"/>
      <c r="C25" s="812"/>
      <c r="D25" s="528">
        <v>190019</v>
      </c>
      <c r="E25" s="528">
        <v>190019</v>
      </c>
      <c r="F25" s="1178">
        <f>10000*19+53+0.065</f>
        <v>190053.065</v>
      </c>
      <c r="G25" s="814">
        <v>35</v>
      </c>
      <c r="H25" s="1499"/>
      <c r="I25" s="1962">
        <f>128*12+13</f>
        <v>1549</v>
      </c>
      <c r="J25" s="1962">
        <f>128*12+14</f>
        <v>1550</v>
      </c>
      <c r="K25" s="1962">
        <f>128*12+15</f>
        <v>1551</v>
      </c>
      <c r="L25" s="1988">
        <f>128*8+3</f>
        <v>1027</v>
      </c>
      <c r="M25" s="528">
        <v>190053</v>
      </c>
      <c r="N25" s="528">
        <v>190019</v>
      </c>
      <c r="O25" s="1992"/>
      <c r="P25" s="1992"/>
      <c r="Q25" s="1992"/>
      <c r="R25" s="1992"/>
      <c r="S25" s="839">
        <v>190019</v>
      </c>
      <c r="T25" s="1949"/>
      <c r="U25" s="1949"/>
      <c r="V25" s="1952">
        <f>128*17+64+3</f>
        <v>2243</v>
      </c>
      <c r="W25" s="1950"/>
      <c r="X25" s="1953">
        <f>128*17+64+3</f>
        <v>2243</v>
      </c>
      <c r="Y25" s="528">
        <v>190019</v>
      </c>
      <c r="Z25" s="1992"/>
      <c r="AA25" s="1992"/>
      <c r="AB25" s="1992"/>
      <c r="AC25" s="1992"/>
      <c r="AD25" s="1992"/>
      <c r="AE25" s="1992"/>
      <c r="AF25" s="2061">
        <f>128*4+39+0.384+0.002</f>
        <v>551.38599999999997</v>
      </c>
      <c r="AG25" s="1992"/>
      <c r="AH25" s="2057"/>
      <c r="AI25" s="1033">
        <f>128*4+39</f>
        <v>551</v>
      </c>
      <c r="AJ25" s="778"/>
      <c r="AK25" s="771">
        <v>190019</v>
      </c>
      <c r="AL25" s="771">
        <v>190019</v>
      </c>
      <c r="AM25" s="771">
        <v>190019</v>
      </c>
      <c r="AN25" s="771">
        <v>190019</v>
      </c>
      <c r="AO25" s="771">
        <v>190019</v>
      </c>
      <c r="AP25" s="771">
        <v>190019</v>
      </c>
      <c r="AQ25" s="771">
        <v>190019</v>
      </c>
      <c r="AR25" s="771">
        <v>190019</v>
      </c>
      <c r="AS25" s="771">
        <v>190019</v>
      </c>
      <c r="AT25" s="771">
        <v>190019</v>
      </c>
      <c r="AU25" s="771">
        <v>190019</v>
      </c>
      <c r="AV25" s="771">
        <v>190019</v>
      </c>
      <c r="AW25" s="771">
        <v>190019</v>
      </c>
      <c r="AX25" s="771">
        <v>190019</v>
      </c>
      <c r="AY25" s="771">
        <v>190019</v>
      </c>
      <c r="AZ25" s="498">
        <v>190019</v>
      </c>
      <c r="BA25" s="778"/>
      <c r="BB25" s="528">
        <v>190053</v>
      </c>
      <c r="BC25" s="498">
        <v>190019</v>
      </c>
      <c r="BD25" s="498">
        <v>190019</v>
      </c>
      <c r="BE25" s="498">
        <v>190019</v>
      </c>
      <c r="BF25" s="498">
        <v>190019</v>
      </c>
      <c r="BG25" s="1602">
        <f>128*9+50</f>
        <v>1202</v>
      </c>
      <c r="BH25" s="528">
        <v>190053</v>
      </c>
      <c r="BI25" s="523">
        <v>190019</v>
      </c>
      <c r="BJ25" s="2063">
        <v>19</v>
      </c>
      <c r="BK25" s="2063">
        <v>19</v>
      </c>
      <c r="BL25" s="499">
        <v>24</v>
      </c>
      <c r="BU25" s="1888">
        <v>8</v>
      </c>
      <c r="BV25">
        <f>BK40</f>
        <v>111416</v>
      </c>
      <c r="IU25" s="499" t="s">
        <v>1003</v>
      </c>
      <c r="IV25" s="499" t="s">
        <v>1002</v>
      </c>
    </row>
    <row r="26" spans="1:256" ht="13.5" customHeight="1" thickTop="1" thickBot="1">
      <c r="A26" s="1611">
        <v>53</v>
      </c>
      <c r="B26" s="1992"/>
      <c r="C26" s="812"/>
      <c r="D26" s="528">
        <v>190019</v>
      </c>
      <c r="E26" s="1033">
        <f>10000*19+32</f>
        <v>190032</v>
      </c>
      <c r="F26" s="1970">
        <f>10000*19+128+32</f>
        <v>190160</v>
      </c>
      <c r="G26" s="814"/>
      <c r="H26" s="1499"/>
      <c r="I26" s="1499"/>
      <c r="J26" s="1499"/>
      <c r="K26" s="1499"/>
      <c r="L26" s="1500"/>
      <c r="M26" s="528">
        <v>190053</v>
      </c>
      <c r="N26" s="528">
        <v>190019</v>
      </c>
      <c r="O26" s="1992"/>
      <c r="P26" s="1992"/>
      <c r="Q26" s="1992"/>
      <c r="R26" s="812"/>
      <c r="S26" s="528">
        <v>190019</v>
      </c>
      <c r="T26" s="1751">
        <f>128*9+21+0.5+0.256+0.0016</f>
        <v>1173.7576000000001</v>
      </c>
      <c r="U26" s="1744">
        <v>4.0000000000000001E-3</v>
      </c>
      <c r="V26" s="1949"/>
      <c r="W26" s="1744">
        <f>128*9+24+0.5+0.256+0.015</f>
        <v>1176.7710000000002</v>
      </c>
      <c r="X26" s="1744">
        <f>0.256+0.0106</f>
        <v>0.2666</v>
      </c>
      <c r="Y26" s="528">
        <v>190019</v>
      </c>
      <c r="Z26" s="1992"/>
      <c r="AA26" s="1992"/>
      <c r="AB26" s="1992"/>
      <c r="AC26" s="1992"/>
      <c r="AD26" s="1992"/>
      <c r="AE26" s="1992"/>
      <c r="AF26" s="1992"/>
      <c r="AG26" s="1992"/>
      <c r="AH26" s="1992"/>
      <c r="AI26" s="771">
        <v>190019</v>
      </c>
      <c r="AJ26" s="1026">
        <f>128*4+39</f>
        <v>551</v>
      </c>
      <c r="AK26" s="1026">
        <f>128*4+39</f>
        <v>551</v>
      </c>
      <c r="AL26" s="778"/>
      <c r="AM26" s="778"/>
      <c r="AN26" s="778"/>
      <c r="AO26" s="778"/>
      <c r="AP26" s="778"/>
      <c r="AQ26" s="778"/>
      <c r="AR26" s="778"/>
      <c r="AS26" s="778"/>
      <c r="AT26" s="778"/>
      <c r="AU26" s="778"/>
      <c r="AV26" s="778"/>
      <c r="AW26" s="778"/>
      <c r="AX26" s="778"/>
      <c r="AY26" s="778"/>
      <c r="AZ26" s="498">
        <v>190019</v>
      </c>
      <c r="BA26" s="778"/>
      <c r="BB26" s="498">
        <v>190019</v>
      </c>
      <c r="BC26" s="498">
        <v>190019</v>
      </c>
      <c r="BD26" s="498">
        <v>190019</v>
      </c>
      <c r="BE26" s="698">
        <v>190053</v>
      </c>
      <c r="BF26" s="778"/>
      <c r="BG26" s="778">
        <f>128*9+8</f>
        <v>1160</v>
      </c>
      <c r="BH26" s="528">
        <v>190053</v>
      </c>
      <c r="BI26" s="498">
        <v>190019</v>
      </c>
      <c r="BJ26" s="503"/>
      <c r="BK26" s="503"/>
      <c r="BL26" s="499">
        <v>24</v>
      </c>
      <c r="BU26" s="1888">
        <v>9</v>
      </c>
      <c r="BV26">
        <f>BK47</f>
        <v>111417</v>
      </c>
      <c r="IU26" s="499" t="s">
        <v>954</v>
      </c>
      <c r="IV26" s="499">
        <v>1</v>
      </c>
    </row>
    <row r="27" spans="1:256" ht="12.75" customHeight="1" thickTop="1" thickBot="1">
      <c r="A27" s="1611">
        <v>53</v>
      </c>
      <c r="B27" s="1992"/>
      <c r="C27" s="812"/>
      <c r="D27" s="528">
        <v>190019</v>
      </c>
      <c r="E27" s="1033">
        <v>190019</v>
      </c>
      <c r="F27" s="498">
        <f>19+0.195</f>
        <v>19.195</v>
      </c>
      <c r="G27" s="814"/>
      <c r="H27" s="2005">
        <f>128*8+3</f>
        <v>1027</v>
      </c>
      <c r="I27" s="814"/>
      <c r="J27" s="814"/>
      <c r="K27" s="814"/>
      <c r="L27" s="1500">
        <f>128*6+3</f>
        <v>771</v>
      </c>
      <c r="M27" s="528">
        <v>190053</v>
      </c>
      <c r="N27" s="528">
        <v>190019</v>
      </c>
      <c r="O27" s="1992"/>
      <c r="P27" s="1992"/>
      <c r="Q27" s="1992"/>
      <c r="R27" s="813"/>
      <c r="S27" s="528">
        <v>190019</v>
      </c>
      <c r="T27" s="528">
        <v>190019</v>
      </c>
      <c r="U27" s="528">
        <v>190019</v>
      </c>
      <c r="V27" s="528">
        <v>420042</v>
      </c>
      <c r="W27" s="528">
        <v>190019</v>
      </c>
      <c r="X27" s="528">
        <v>190019</v>
      </c>
      <c r="Y27" s="528">
        <v>190019</v>
      </c>
      <c r="Z27" s="1994"/>
      <c r="AA27" s="1994"/>
      <c r="AB27" s="1994"/>
      <c r="AC27" s="1994"/>
      <c r="AD27" s="1994"/>
      <c r="AE27" s="1994"/>
      <c r="AF27" s="1994"/>
      <c r="AG27" s="1994"/>
      <c r="AH27" s="1994"/>
      <c r="AI27" s="1992"/>
      <c r="AJ27" s="2057"/>
      <c r="AK27" s="2057"/>
      <c r="AL27" s="498">
        <v>190019</v>
      </c>
      <c r="AM27" s="498">
        <v>190019</v>
      </c>
      <c r="AN27" s="498">
        <v>190019</v>
      </c>
      <c r="AO27" s="498">
        <v>190019</v>
      </c>
      <c r="AP27" s="498">
        <v>190019</v>
      </c>
      <c r="AQ27" s="498">
        <v>190019</v>
      </c>
      <c r="AR27" s="498">
        <v>190019</v>
      </c>
      <c r="AS27" s="498">
        <v>190019</v>
      </c>
      <c r="AT27" s="498">
        <v>190019</v>
      </c>
      <c r="AU27" s="498">
        <v>190019</v>
      </c>
      <c r="AV27" s="498">
        <v>190019</v>
      </c>
      <c r="AW27" s="498">
        <v>190019</v>
      </c>
      <c r="AX27" s="498">
        <v>190019</v>
      </c>
      <c r="AY27" s="778"/>
      <c r="AZ27" s="498">
        <v>190019</v>
      </c>
      <c r="BA27" s="778"/>
      <c r="BB27" s="778"/>
      <c r="BC27" s="1451">
        <f>0.384+0.003</f>
        <v>0.38700000000000001</v>
      </c>
      <c r="BD27" s="528">
        <v>190053</v>
      </c>
      <c r="BE27" s="698">
        <v>190053</v>
      </c>
      <c r="BF27" s="778"/>
      <c r="BG27" s="2065">
        <f>128*12+21</f>
        <v>1557</v>
      </c>
      <c r="BH27" s="528">
        <v>190053</v>
      </c>
      <c r="BI27" s="498">
        <v>190019</v>
      </c>
      <c r="BJ27" s="503"/>
      <c r="BK27" s="503"/>
      <c r="BL27" s="499">
        <v>24</v>
      </c>
      <c r="BU27" s="1888">
        <v>10</v>
      </c>
      <c r="BV27">
        <f>AT46</f>
        <v>111418</v>
      </c>
      <c r="IU27" s="499" t="s">
        <v>953</v>
      </c>
      <c r="IV27" s="499">
        <v>50</v>
      </c>
    </row>
    <row r="28" spans="1:256" ht="14.25" customHeight="1" thickTop="1" thickBot="1">
      <c r="A28" s="1611">
        <f>53+0.081</f>
        <v>53.081000000000003</v>
      </c>
      <c r="B28" s="1992"/>
      <c r="C28" s="812"/>
      <c r="D28" s="812"/>
      <c r="E28" s="1499"/>
      <c r="F28" s="528">
        <v>190019</v>
      </c>
      <c r="G28" s="498">
        <f>19+0.195</f>
        <v>19.195</v>
      </c>
      <c r="H28" s="528">
        <v>190019</v>
      </c>
      <c r="I28" s="528">
        <v>190019</v>
      </c>
      <c r="J28" s="1971">
        <f>10000*19+128*5+39</f>
        <v>190679</v>
      </c>
      <c r="K28" s="528">
        <v>190019</v>
      </c>
      <c r="L28" s="528">
        <v>190019</v>
      </c>
      <c r="M28" s="528">
        <v>190019</v>
      </c>
      <c r="N28" s="1973">
        <f>128*9+6</f>
        <v>1158</v>
      </c>
      <c r="O28" s="1974">
        <f>128*9+16</f>
        <v>1168</v>
      </c>
      <c r="P28" s="1757"/>
      <c r="Q28" s="1757"/>
      <c r="R28" s="1757"/>
      <c r="S28" s="1940">
        <f>128*9+6</f>
        <v>1158</v>
      </c>
      <c r="T28" s="1992"/>
      <c r="U28" s="1992"/>
      <c r="V28" s="1992"/>
      <c r="W28" s="1992"/>
      <c r="X28" s="1992"/>
      <c r="Y28" s="1992"/>
      <c r="Z28" s="1994"/>
      <c r="AA28" s="1994"/>
      <c r="AB28" s="1994"/>
      <c r="AC28" s="1994"/>
      <c r="AD28" s="1994"/>
      <c r="AE28" s="2045"/>
      <c r="AF28" s="2045"/>
      <c r="AG28" s="2045"/>
      <c r="AH28" s="2045"/>
      <c r="AI28" s="2045"/>
      <c r="AJ28" s="1992"/>
      <c r="AK28" s="1992"/>
      <c r="AL28" s="498">
        <v>190019</v>
      </c>
      <c r="AM28" s="511"/>
      <c r="AN28" s="511"/>
      <c r="AO28" s="2050"/>
      <c r="AP28" s="2050"/>
      <c r="AQ28" s="2050"/>
      <c r="AR28" s="511">
        <f>128*9+52</f>
        <v>1204</v>
      </c>
      <c r="AS28" s="511">
        <f>128*9+52</f>
        <v>1204</v>
      </c>
      <c r="AT28" s="2050"/>
      <c r="AU28" s="2050"/>
      <c r="AV28" s="2051"/>
      <c r="AW28" s="1123"/>
      <c r="AX28" s="498">
        <v>190019</v>
      </c>
      <c r="AY28" s="778"/>
      <c r="AZ28" s="498">
        <v>190019</v>
      </c>
      <c r="BA28" s="498">
        <v>190019</v>
      </c>
      <c r="BB28" s="498">
        <v>190019</v>
      </c>
      <c r="BC28" s="778"/>
      <c r="BD28" s="528">
        <v>190053</v>
      </c>
      <c r="BE28" s="2028">
        <v>190053</v>
      </c>
      <c r="BF28" s="778"/>
      <c r="BG28" s="778">
        <f>128*9+8</f>
        <v>1160</v>
      </c>
      <c r="BH28" s="528">
        <v>190053</v>
      </c>
      <c r="BI28" s="498">
        <v>190019</v>
      </c>
      <c r="BJ28" s="503"/>
      <c r="BK28" s="503"/>
      <c r="BL28" s="499">
        <v>24</v>
      </c>
      <c r="BU28" s="1888">
        <v>11</v>
      </c>
      <c r="BV28">
        <f>AC53</f>
        <v>1419</v>
      </c>
      <c r="IU28" s="499" t="s">
        <v>963</v>
      </c>
      <c r="IV28" t="s">
        <v>1054</v>
      </c>
    </row>
    <row r="29" spans="1:256" ht="14.25" thickTop="1" thickBot="1">
      <c r="A29" s="1611">
        <v>53</v>
      </c>
      <c r="B29" s="1992"/>
      <c r="C29" s="1992"/>
      <c r="D29" s="1992"/>
      <c r="E29" s="812"/>
      <c r="F29" s="812"/>
      <c r="G29" s="812"/>
      <c r="H29" s="812"/>
      <c r="I29" s="498">
        <f>19+0.195</f>
        <v>19.195</v>
      </c>
      <c r="J29" s="707"/>
      <c r="K29" s="1377">
        <f>128*9+50</f>
        <v>1202</v>
      </c>
      <c r="L29" s="528">
        <v>190019</v>
      </c>
      <c r="M29" s="757"/>
      <c r="N29" s="1972"/>
      <c r="O29" s="1992"/>
      <c r="P29" s="1992"/>
      <c r="Q29" s="1992"/>
      <c r="R29" s="1992"/>
      <c r="S29" s="1992"/>
      <c r="T29" s="1994"/>
      <c r="U29" s="1994"/>
      <c r="V29" s="1994"/>
      <c r="W29" s="1994"/>
      <c r="X29" s="1994"/>
      <c r="Y29" s="1994"/>
      <c r="Z29" s="1994"/>
      <c r="AA29" s="1994"/>
      <c r="AB29" s="1994"/>
      <c r="AC29" s="1994"/>
      <c r="AD29" s="1994"/>
      <c r="AE29" s="2030"/>
      <c r="AF29" s="771">
        <v>420042</v>
      </c>
      <c r="AG29" s="771">
        <v>420042</v>
      </c>
      <c r="AH29" s="498">
        <v>420042</v>
      </c>
      <c r="AI29" s="2030"/>
      <c r="AJ29" s="1994"/>
      <c r="AK29" s="2049">
        <f>128*6+5</f>
        <v>773</v>
      </c>
      <c r="AL29" s="498">
        <v>190019</v>
      </c>
      <c r="AM29" s="511"/>
      <c r="AN29" s="511"/>
      <c r="AO29" s="511"/>
      <c r="AP29" s="511"/>
      <c r="AQ29" s="511"/>
      <c r="AR29" s="1008">
        <f>128*4+39</f>
        <v>551</v>
      </c>
      <c r="AS29" s="511"/>
      <c r="AT29" s="511"/>
      <c r="AU29" s="511"/>
      <c r="AV29" s="514"/>
      <c r="AW29" s="514"/>
      <c r="AX29" s="2054">
        <f>420000+128*9+72+0.207</f>
        <v>421224.20699999999</v>
      </c>
      <c r="AY29" s="778"/>
      <c r="AZ29" s="498">
        <v>190019</v>
      </c>
      <c r="BA29" s="498">
        <v>190019</v>
      </c>
      <c r="BB29" s="498">
        <v>190019</v>
      </c>
      <c r="BC29" s="778"/>
      <c r="BD29" s="498">
        <v>190019</v>
      </c>
      <c r="BE29" s="1692">
        <f>128+19+0.113</f>
        <v>147.113</v>
      </c>
      <c r="BF29" s="778"/>
      <c r="BG29" s="778">
        <f>128*9+50</f>
        <v>1202</v>
      </c>
      <c r="BH29" s="528">
        <v>190053</v>
      </c>
      <c r="BI29" s="498">
        <v>190019</v>
      </c>
      <c r="BJ29" s="503"/>
      <c r="BK29" s="503"/>
      <c r="BL29" s="499">
        <v>24</v>
      </c>
      <c r="BU29" s="1888">
        <v>12</v>
      </c>
      <c r="BV29">
        <f>BI76</f>
        <v>111420</v>
      </c>
      <c r="IU29" s="499" t="s">
        <v>983</v>
      </c>
      <c r="IV29" t="s">
        <v>329</v>
      </c>
    </row>
    <row r="30" spans="1:256" ht="14.25" thickTop="1" thickBot="1">
      <c r="A30" s="1611">
        <v>53</v>
      </c>
      <c r="B30" s="1992"/>
      <c r="C30" s="1992"/>
      <c r="D30" s="1992"/>
      <c r="E30" s="1992"/>
      <c r="F30" s="1992"/>
      <c r="G30" s="528">
        <v>19</v>
      </c>
      <c r="H30" s="818"/>
      <c r="I30" s="528">
        <v>190019</v>
      </c>
      <c r="J30" s="498">
        <f>19+0.195</f>
        <v>19.195</v>
      </c>
      <c r="K30" s="528">
        <v>190019</v>
      </c>
      <c r="L30" s="498">
        <f>19+0.195</f>
        <v>19.195</v>
      </c>
      <c r="M30" s="757"/>
      <c r="N30" s="528">
        <v>19</v>
      </c>
      <c r="O30" s="1992"/>
      <c r="P30" s="1992"/>
      <c r="Q30" s="1992"/>
      <c r="R30" s="1992"/>
      <c r="S30" s="1992"/>
      <c r="T30" s="2021">
        <f>350000+0.256+0.042</f>
        <v>350000.29800000001</v>
      </c>
      <c r="U30" s="2021">
        <f>350000</f>
        <v>350000</v>
      </c>
      <c r="V30" s="2021">
        <f>350000+0.256+0.042</f>
        <v>350000.29800000001</v>
      </c>
      <c r="W30" s="1994"/>
      <c r="X30" s="2021">
        <f>350000+0.256+0.042</f>
        <v>350000.29800000001</v>
      </c>
      <c r="Y30" s="2021">
        <f>350000</f>
        <v>350000</v>
      </c>
      <c r="Z30" s="2021">
        <f>350000+0.256+0.042</f>
        <v>350000.29800000001</v>
      </c>
      <c r="AA30" s="2021">
        <f>350000</f>
        <v>350000</v>
      </c>
      <c r="AB30" s="2021">
        <f>350000+0.256+0.042</f>
        <v>350000.29800000001</v>
      </c>
      <c r="AC30" s="2021">
        <f>350000</f>
        <v>350000</v>
      </c>
      <c r="AD30" s="2021">
        <f>350000</f>
        <v>350000</v>
      </c>
      <c r="AE30" s="2046">
        <f>350000</f>
        <v>350000</v>
      </c>
      <c r="AF30" s="498">
        <f>128*5+39</f>
        <v>679</v>
      </c>
      <c r="AG30" s="1148">
        <f>128*11+3</f>
        <v>1411</v>
      </c>
      <c r="AH30" s="1033">
        <f>420042+0.067</f>
        <v>420042.06699999998</v>
      </c>
      <c r="AI30" s="2030"/>
      <c r="AJ30" s="2045"/>
      <c r="AK30" s="1387"/>
      <c r="AL30" s="498">
        <f>10000*42+128*5+37</f>
        <v>420677</v>
      </c>
      <c r="AM30" s="511"/>
      <c r="AN30" s="511"/>
      <c r="AO30" s="2052">
        <f>128*12+16</f>
        <v>1552</v>
      </c>
      <c r="AP30" s="2052">
        <f>128*12+17</f>
        <v>1553</v>
      </c>
      <c r="AQ30" s="2052">
        <f>128*12+18</f>
        <v>1554</v>
      </c>
      <c r="AR30" s="1008">
        <f>128*4+39</f>
        <v>551</v>
      </c>
      <c r="AS30" s="511"/>
      <c r="AT30" s="2052">
        <f>128*12+19</f>
        <v>1555</v>
      </c>
      <c r="AU30" s="2052">
        <f>128*12+20</f>
        <v>1556</v>
      </c>
      <c r="AV30" s="514"/>
      <c r="AW30" s="514"/>
      <c r="AX30" s="2054">
        <f>420000+128*9+72+0.207</f>
        <v>421224.20699999999</v>
      </c>
      <c r="AY30" s="778"/>
      <c r="AZ30" s="498">
        <v>190019</v>
      </c>
      <c r="BA30" s="778"/>
      <c r="BB30" s="778"/>
      <c r="BC30" s="778"/>
      <c r="BD30" s="498">
        <v>190019</v>
      </c>
      <c r="BE30" s="778">
        <f>128*14+116</f>
        <v>1908</v>
      </c>
      <c r="BF30" s="498">
        <v>190019</v>
      </c>
      <c r="BG30" s="1602">
        <f>0.384+0.002</f>
        <v>0.38600000000000001</v>
      </c>
      <c r="BH30" s="528">
        <v>190053</v>
      </c>
      <c r="BI30" s="498">
        <v>190019</v>
      </c>
      <c r="BJ30" s="503"/>
      <c r="BK30" s="503"/>
      <c r="BL30" s="499">
        <v>24</v>
      </c>
      <c r="BU30" s="1888">
        <v>13</v>
      </c>
      <c r="BV30">
        <f>AD88</f>
        <v>670.15099999999995</v>
      </c>
      <c r="IU30" s="499" t="s">
        <v>524</v>
      </c>
      <c r="IV30" s="1608">
        <v>2</v>
      </c>
    </row>
    <row r="31" spans="1:256" ht="14.25" thickTop="1" thickBot="1">
      <c r="A31" s="1611">
        <v>53</v>
      </c>
      <c r="B31" s="1996">
        <f>128*4+4</f>
        <v>516</v>
      </c>
      <c r="C31" s="1989">
        <f>128*9+76</f>
        <v>1228</v>
      </c>
      <c r="D31" s="1989">
        <f>128*9+76</f>
        <v>1228</v>
      </c>
      <c r="E31" s="1989">
        <f>128*9+76</f>
        <v>1228</v>
      </c>
      <c r="F31" s="1995">
        <f>128*4+4</f>
        <v>516</v>
      </c>
      <c r="G31" s="498">
        <f>19+0.195</f>
        <v>19.195</v>
      </c>
      <c r="H31" s="757"/>
      <c r="I31" s="757"/>
      <c r="J31" s="757"/>
      <c r="K31" s="757"/>
      <c r="L31" s="757"/>
      <c r="M31" s="757"/>
      <c r="N31" s="528">
        <v>19</v>
      </c>
      <c r="O31" s="1992"/>
      <c r="P31" s="1992"/>
      <c r="Q31" s="1992"/>
      <c r="R31" s="1992"/>
      <c r="S31" s="1992"/>
      <c r="T31" s="2032">
        <f>350000</f>
        <v>350000</v>
      </c>
      <c r="U31" s="1994"/>
      <c r="V31" s="2021">
        <f>350000</f>
        <v>350000</v>
      </c>
      <c r="W31" s="2039">
        <f>350000</f>
        <v>350000</v>
      </c>
      <c r="X31" s="2021">
        <f>350000</f>
        <v>350000</v>
      </c>
      <c r="Y31" s="1994"/>
      <c r="Z31" s="1994"/>
      <c r="AA31" s="1994"/>
      <c r="AB31" s="1994"/>
      <c r="AC31" s="1994"/>
      <c r="AD31" s="1994"/>
      <c r="AE31" s="1992"/>
      <c r="AF31" s="771">
        <v>420042</v>
      </c>
      <c r="AG31" s="771">
        <v>420042</v>
      </c>
      <c r="AH31" s="498">
        <v>420042</v>
      </c>
      <c r="AI31" s="1992"/>
      <c r="AJ31" s="1992"/>
      <c r="AK31" s="1387">
        <f>128*6+5</f>
        <v>773</v>
      </c>
      <c r="AL31" s="498">
        <v>190019</v>
      </c>
      <c r="AM31" s="511"/>
      <c r="AN31" s="511"/>
      <c r="AO31" s="511"/>
      <c r="AP31" s="511"/>
      <c r="AQ31" s="511"/>
      <c r="AR31" s="1008">
        <f>128*4+39</f>
        <v>551</v>
      </c>
      <c r="AS31" s="511"/>
      <c r="AT31" s="511"/>
      <c r="AU31" s="511"/>
      <c r="AV31" s="514"/>
      <c r="AW31" s="514"/>
      <c r="AX31" s="2054">
        <f>420000+128*9+72+0.207</f>
        <v>421224.20699999999</v>
      </c>
      <c r="AY31" s="778"/>
      <c r="AZ31" s="498">
        <v>190019</v>
      </c>
      <c r="BA31" s="778"/>
      <c r="BB31" s="498">
        <v>190019</v>
      </c>
      <c r="BC31" s="498">
        <v>190019</v>
      </c>
      <c r="BD31" s="498">
        <v>190019</v>
      </c>
      <c r="BE31" s="778">
        <f>128*10+18</f>
        <v>1298</v>
      </c>
      <c r="BF31" s="498">
        <v>190019</v>
      </c>
      <c r="BG31" s="778"/>
      <c r="BH31" s="528">
        <v>190053</v>
      </c>
      <c r="BI31" s="498">
        <v>190019</v>
      </c>
      <c r="BJ31" s="503"/>
      <c r="BK31" s="503"/>
      <c r="BL31" s="499">
        <v>24</v>
      </c>
      <c r="BU31" s="1888">
        <v>14</v>
      </c>
      <c r="BV31">
        <f>AA72</f>
        <v>201422.29399999999</v>
      </c>
      <c r="IU31" s="499" t="s">
        <v>523</v>
      </c>
      <c r="IV31" s="499">
        <v>3</v>
      </c>
    </row>
    <row r="32" spans="1:256" ht="14.25" thickTop="1" thickBot="1">
      <c r="A32" s="1611">
        <v>53</v>
      </c>
      <c r="B32" s="1990"/>
      <c r="C32" s="527">
        <f>128*17+64+3</f>
        <v>2243</v>
      </c>
      <c r="D32" s="527">
        <f>128*8+3+0.384+0.004</f>
        <v>1027.3879999999999</v>
      </c>
      <c r="E32" s="527">
        <f>128*17+64+3</f>
        <v>2243</v>
      </c>
      <c r="F32" s="1992"/>
      <c r="G32" s="528">
        <v>19</v>
      </c>
      <c r="H32" s="678">
        <f>53</f>
        <v>53</v>
      </c>
      <c r="I32" s="678">
        <f>53</f>
        <v>53</v>
      </c>
      <c r="J32" s="678">
        <f>53</f>
        <v>53</v>
      </c>
      <c r="K32" s="678">
        <f>53</f>
        <v>53</v>
      </c>
      <c r="L32" s="678">
        <f>53</f>
        <v>53</v>
      </c>
      <c r="M32" s="678">
        <f>53</f>
        <v>53</v>
      </c>
      <c r="N32" s="528">
        <v>19</v>
      </c>
      <c r="O32" s="1992"/>
      <c r="P32" s="1992"/>
      <c r="Q32" s="1766">
        <v>420042</v>
      </c>
      <c r="R32" s="1766">
        <v>420042</v>
      </c>
      <c r="S32" s="2034">
        <v>420042</v>
      </c>
      <c r="T32" s="2022">
        <f>350000</f>
        <v>350000</v>
      </c>
      <c r="U32" s="1994"/>
      <c r="V32" s="1994"/>
      <c r="W32" s="1994"/>
      <c r="X32" s="2021">
        <f>350000</f>
        <v>350000</v>
      </c>
      <c r="Y32" s="1992"/>
      <c r="Z32" s="2019">
        <v>0.21179999999999999</v>
      </c>
      <c r="AA32" s="2019"/>
      <c r="AB32" s="2019">
        <v>0.2112</v>
      </c>
      <c r="AC32" s="1992"/>
      <c r="AD32" s="1992"/>
      <c r="AE32" s="1992"/>
      <c r="AF32" s="1992"/>
      <c r="AG32" s="1992"/>
      <c r="AH32" s="1992"/>
      <c r="AI32" s="1994"/>
      <c r="AJ32" s="1994"/>
      <c r="AK32" s="1992"/>
      <c r="AL32" s="498">
        <v>190019</v>
      </c>
      <c r="AM32" s="511"/>
      <c r="AN32" s="511"/>
      <c r="AO32" s="2050"/>
      <c r="AP32" s="2050"/>
      <c r="AQ32" s="2050"/>
      <c r="AR32" s="511">
        <f>128*9+52</f>
        <v>1204</v>
      </c>
      <c r="AS32" s="511">
        <f>128*9+52</f>
        <v>1204</v>
      </c>
      <c r="AT32" s="2050"/>
      <c r="AU32" s="2050"/>
      <c r="AV32" s="2051"/>
      <c r="AW32" s="1123"/>
      <c r="AX32" s="498">
        <v>190019</v>
      </c>
      <c r="AY32" s="771">
        <v>190019</v>
      </c>
      <c r="AZ32" s="498">
        <v>190019</v>
      </c>
      <c r="BA32" s="2010">
        <f>128*9+69+0.083</f>
        <v>1221.0830000000001</v>
      </c>
      <c r="BB32" s="498">
        <v>190019</v>
      </c>
      <c r="BC32" s="498">
        <v>190019</v>
      </c>
      <c r="BD32" s="498">
        <v>190019</v>
      </c>
      <c r="BE32" s="778"/>
      <c r="BF32" s="498">
        <v>190019</v>
      </c>
      <c r="BG32" s="778"/>
      <c r="BH32" s="528">
        <v>190053</v>
      </c>
      <c r="BI32" s="498">
        <v>190019</v>
      </c>
      <c r="BJ32" s="503"/>
      <c r="BK32" s="503"/>
      <c r="BL32" s="499">
        <v>24</v>
      </c>
      <c r="IU32" s="499" t="s">
        <v>525</v>
      </c>
      <c r="IV32" s="499">
        <v>4</v>
      </c>
    </row>
    <row r="33" spans="1:256" ht="14.25" thickTop="1" thickBot="1">
      <c r="A33" s="1611">
        <v>53</v>
      </c>
      <c r="B33" s="1990"/>
      <c r="C33" s="754">
        <v>42</v>
      </c>
      <c r="D33" s="768">
        <f>128*9+76</f>
        <v>1228</v>
      </c>
      <c r="E33" s="754">
        <v>42</v>
      </c>
      <c r="F33" s="1992"/>
      <c r="G33" s="528">
        <v>19</v>
      </c>
      <c r="H33" s="528">
        <v>19</v>
      </c>
      <c r="I33" s="528">
        <v>19</v>
      </c>
      <c r="J33" s="528">
        <v>19</v>
      </c>
      <c r="K33" s="528">
        <v>19</v>
      </c>
      <c r="L33" s="528">
        <v>19</v>
      </c>
      <c r="M33" s="528">
        <v>19</v>
      </c>
      <c r="N33" s="528">
        <v>19</v>
      </c>
      <c r="O33" s="528">
        <v>19</v>
      </c>
      <c r="P33" s="1992"/>
      <c r="Q33" s="952">
        <f>420042+0.067</f>
        <v>420042.06699999998</v>
      </c>
      <c r="R33" s="1149">
        <f>128*11+2</f>
        <v>1410</v>
      </c>
      <c r="S33" s="766">
        <f>128*5+39</f>
        <v>679</v>
      </c>
      <c r="T33" s="1138">
        <f>350000</f>
        <v>350000</v>
      </c>
      <c r="U33" s="1996">
        <f>128*9+71</f>
        <v>1223</v>
      </c>
      <c r="V33" s="2019">
        <f>128*9+52+0.5+0.2112</f>
        <v>1204.7112</v>
      </c>
      <c r="W33" s="1992"/>
      <c r="X33" s="2021">
        <f>350000</f>
        <v>350000</v>
      </c>
      <c r="Y33" s="1992"/>
      <c r="Z33" s="2023"/>
      <c r="AA33" s="1992"/>
      <c r="AB33" s="2018">
        <f>128*9+71</f>
        <v>1223</v>
      </c>
      <c r="AC33" s="1992"/>
      <c r="AD33" s="1992"/>
      <c r="AE33" s="1992"/>
      <c r="AF33" s="1992"/>
      <c r="AG33" s="1992"/>
      <c r="AH33" s="1992"/>
      <c r="AI33" s="1994"/>
      <c r="AJ33" s="1994"/>
      <c r="AK33" s="1994"/>
      <c r="AL33" s="498">
        <v>190019</v>
      </c>
      <c r="AM33" s="498">
        <v>190019</v>
      </c>
      <c r="AN33" s="498">
        <v>190019</v>
      </c>
      <c r="AO33" s="498">
        <v>190019</v>
      </c>
      <c r="AP33" s="498">
        <v>190019</v>
      </c>
      <c r="AQ33" s="498">
        <v>190019</v>
      </c>
      <c r="AR33" s="498">
        <v>190019</v>
      </c>
      <c r="AS33" s="498">
        <v>190019</v>
      </c>
      <c r="AT33" s="498">
        <v>190019</v>
      </c>
      <c r="AU33" s="498">
        <v>190019</v>
      </c>
      <c r="AV33" s="498">
        <v>190019</v>
      </c>
      <c r="AW33" s="498">
        <v>190019</v>
      </c>
      <c r="AX33" s="771">
        <v>190019</v>
      </c>
      <c r="AY33" s="778"/>
      <c r="AZ33" s="778"/>
      <c r="BA33" s="778"/>
      <c r="BB33" s="778"/>
      <c r="BC33" s="778"/>
      <c r="BD33" s="498">
        <v>190019</v>
      </c>
      <c r="BE33" s="677">
        <v>190019</v>
      </c>
      <c r="BF33" s="498">
        <f>10000*19+19+0.195</f>
        <v>190019.19500000001</v>
      </c>
      <c r="BG33" s="778"/>
      <c r="BH33" s="528">
        <v>190053</v>
      </c>
      <c r="BI33" s="498">
        <v>190019</v>
      </c>
      <c r="BJ33" s="503"/>
      <c r="BK33" s="503"/>
      <c r="BL33" s="499">
        <v>24</v>
      </c>
      <c r="IU33" t="s">
        <v>550</v>
      </c>
      <c r="IV33" s="499">
        <v>18</v>
      </c>
    </row>
    <row r="34" spans="1:256" ht="14.25" customHeight="1" thickTop="1" thickBot="1">
      <c r="A34" s="1611">
        <v>53</v>
      </c>
      <c r="B34" s="1992"/>
      <c r="C34" s="1992"/>
      <c r="D34" s="1992"/>
      <c r="E34" s="1992"/>
      <c r="F34" s="1992"/>
      <c r="G34" s="528">
        <v>19</v>
      </c>
      <c r="H34" s="1998">
        <f>128*9+24+0.5+0.256+0.001</f>
        <v>1176.7570000000001</v>
      </c>
      <c r="I34" s="1998"/>
      <c r="J34" s="1999">
        <f>128*12+1</f>
        <v>1537</v>
      </c>
      <c r="K34" s="1998"/>
      <c r="L34" s="1998">
        <f>128*9+24+0.5+0.019</f>
        <v>1176.519</v>
      </c>
      <c r="M34" s="528">
        <v>19</v>
      </c>
      <c r="N34" s="1444">
        <f>128*9+50</f>
        <v>1202</v>
      </c>
      <c r="O34" s="528">
        <v>19</v>
      </c>
      <c r="P34" s="1992"/>
      <c r="Q34" s="771">
        <v>420042</v>
      </c>
      <c r="R34" s="771">
        <v>420042</v>
      </c>
      <c r="S34" s="498">
        <v>420042</v>
      </c>
      <c r="T34" s="1992"/>
      <c r="U34" s="1992"/>
      <c r="V34" s="1992">
        <f>128*9+70</f>
        <v>1222</v>
      </c>
      <c r="W34" s="1992"/>
      <c r="X34" s="2021">
        <f>350000+0.256+0.042</f>
        <v>350000.29800000001</v>
      </c>
      <c r="Y34" s="1992"/>
      <c r="Z34" s="2023">
        <v>0.21160000000000001</v>
      </c>
      <c r="AA34" s="2247">
        <f>0.384+0.0033</f>
        <v>0.38730000000000003</v>
      </c>
      <c r="AB34" s="2024">
        <f>128*9+70+0.5+0.2114</f>
        <v>1222.7113999999999</v>
      </c>
      <c r="AC34" s="1992">
        <f>128*9+6</f>
        <v>1158</v>
      </c>
      <c r="AD34" s="1992">
        <f>128*9+6</f>
        <v>1158</v>
      </c>
      <c r="AE34" s="2025">
        <v>0.2112</v>
      </c>
      <c r="AF34" s="1992"/>
      <c r="AG34" s="1992"/>
      <c r="AH34" s="1992"/>
      <c r="AI34" s="1992"/>
      <c r="AJ34" s="1994"/>
      <c r="AK34" s="1994"/>
      <c r="AL34" s="528">
        <f t="shared" ref="AL34:AL39" si="7">10000*19+128*4+39</f>
        <v>190551</v>
      </c>
      <c r="AM34" s="503"/>
      <c r="AN34" s="503"/>
      <c r="AO34" s="503"/>
      <c r="AP34" s="503"/>
      <c r="AQ34" s="503"/>
      <c r="AR34" s="503"/>
      <c r="AS34" s="503"/>
      <c r="AT34" s="503"/>
      <c r="AU34" s="511"/>
      <c r="AV34" s="1024">
        <f>128*9+40</f>
        <v>1192</v>
      </c>
      <c r="AW34" s="514"/>
      <c r="AX34" s="771">
        <v>190019</v>
      </c>
      <c r="AY34" s="778"/>
      <c r="AZ34" s="2062"/>
      <c r="BA34" s="778"/>
      <c r="BB34" s="2062"/>
      <c r="BC34" s="778"/>
      <c r="BD34" s="705">
        <f>10000*42+128*5+37</f>
        <v>420677</v>
      </c>
      <c r="BE34" s="778"/>
      <c r="BF34" s="778"/>
      <c r="BG34" s="2064"/>
      <c r="BH34" s="528">
        <v>53</v>
      </c>
      <c r="BI34" s="499">
        <v>24</v>
      </c>
      <c r="BJ34" s="2261">
        <v>24</v>
      </c>
      <c r="BK34" s="499">
        <v>24</v>
      </c>
      <c r="BL34" s="499">
        <v>24</v>
      </c>
      <c r="IU34" s="499" t="s">
        <v>899</v>
      </c>
    </row>
    <row r="35" spans="1:256" ht="14.25" customHeight="1" thickTop="1" thickBot="1">
      <c r="A35" s="1611">
        <v>53</v>
      </c>
      <c r="B35" s="1992"/>
      <c r="C35" s="1992"/>
      <c r="D35" s="1992"/>
      <c r="E35" s="1992"/>
      <c r="F35" s="1992"/>
      <c r="G35" s="528">
        <f>128*4+34</f>
        <v>546</v>
      </c>
      <c r="H35" s="1998"/>
      <c r="I35" s="1998"/>
      <c r="J35" s="1998"/>
      <c r="K35" s="1998"/>
      <c r="L35" s="1998"/>
      <c r="M35" s="2006">
        <f>128*5+35</f>
        <v>675</v>
      </c>
      <c r="N35" s="1998"/>
      <c r="O35" s="528">
        <f>19+0.163</f>
        <v>19.163</v>
      </c>
      <c r="P35" s="1992"/>
      <c r="Q35" s="1992"/>
      <c r="R35" s="1992"/>
      <c r="S35" s="1992"/>
      <c r="T35" s="1992"/>
      <c r="U35" s="1992"/>
      <c r="V35" s="1992">
        <f>128*9+70</f>
        <v>1222</v>
      </c>
      <c r="W35" s="1992"/>
      <c r="X35" s="2021">
        <f>350000</f>
        <v>350000</v>
      </c>
      <c r="Y35" s="2039">
        <f>350000</f>
        <v>350000</v>
      </c>
      <c r="Z35" s="1992"/>
      <c r="AA35" s="1992"/>
      <c r="AB35" s="1992">
        <f>128*9+70</f>
        <v>1222</v>
      </c>
      <c r="AC35" s="1992"/>
      <c r="AD35" s="1992"/>
      <c r="AE35" s="2018">
        <f>128*9+71</f>
        <v>1223</v>
      </c>
      <c r="AF35" s="1992"/>
      <c r="AG35" s="1992"/>
      <c r="AH35" s="1992"/>
      <c r="AI35" s="1992"/>
      <c r="AJ35" s="1992"/>
      <c r="AK35" s="1994"/>
      <c r="AL35" s="528">
        <f t="shared" si="7"/>
        <v>190551</v>
      </c>
      <c r="AM35" s="511"/>
      <c r="AN35" s="511"/>
      <c r="AO35" s="511"/>
      <c r="AP35" s="511"/>
      <c r="AQ35" s="511"/>
      <c r="AR35" s="511"/>
      <c r="AS35" s="511"/>
      <c r="AT35" s="511"/>
      <c r="AU35" s="514"/>
      <c r="AV35" s="2145">
        <f>128*11+7</f>
        <v>1415</v>
      </c>
      <c r="AW35" s="514"/>
      <c r="AX35" s="771">
        <v>190019</v>
      </c>
      <c r="AY35" s="778"/>
      <c r="AZ35" s="2066">
        <f>0.384+0.004</f>
        <v>0.38800000000000001</v>
      </c>
      <c r="BA35" s="778"/>
      <c r="BB35" s="2066">
        <f>0.384+0.004</f>
        <v>0.38800000000000001</v>
      </c>
      <c r="BC35" s="778"/>
      <c r="BD35" s="498">
        <v>190019</v>
      </c>
      <c r="BE35" s="678">
        <v>190053</v>
      </c>
      <c r="BF35" s="678">
        <v>190053</v>
      </c>
      <c r="BG35" s="678">
        <v>190053</v>
      </c>
      <c r="BH35" s="514">
        <v>35</v>
      </c>
      <c r="BI35" s="503"/>
      <c r="BJ35" s="503"/>
      <c r="BK35" s="503"/>
      <c r="BL35" s="2261">
        <v>24</v>
      </c>
      <c r="IU35" s="499" t="s">
        <v>901</v>
      </c>
    </row>
    <row r="36" spans="1:256" ht="14.25" customHeight="1" thickTop="1" thickBot="1">
      <c r="A36" s="1611">
        <v>53</v>
      </c>
      <c r="B36" s="1992"/>
      <c r="C36" s="1992"/>
      <c r="D36" s="1992"/>
      <c r="E36" s="1992"/>
      <c r="F36" s="1992"/>
      <c r="G36" s="528">
        <f>128*4+34</f>
        <v>546</v>
      </c>
      <c r="H36" s="1998"/>
      <c r="I36" s="2000">
        <f>128*8+3</f>
        <v>1027</v>
      </c>
      <c r="J36" s="1998"/>
      <c r="K36" s="2000">
        <f>128*8+3</f>
        <v>1027</v>
      </c>
      <c r="L36" s="1998"/>
      <c r="M36" s="528">
        <f>19+0.163</f>
        <v>19.163</v>
      </c>
      <c r="N36" s="528">
        <v>19</v>
      </c>
      <c r="O36" s="528">
        <v>19</v>
      </c>
      <c r="P36" s="1992"/>
      <c r="Q36" s="1992"/>
      <c r="R36" s="1992"/>
      <c r="S36" s="1992"/>
      <c r="T36" s="2027">
        <v>0.21179999999999999</v>
      </c>
      <c r="U36" s="2019"/>
      <c r="V36" s="1992">
        <f>128*9+70</f>
        <v>1222</v>
      </c>
      <c r="W36" s="1992"/>
      <c r="X36" s="2021">
        <f>350000</f>
        <v>350000</v>
      </c>
      <c r="Y36" s="1992"/>
      <c r="Z36" s="1992"/>
      <c r="AA36" s="1992"/>
      <c r="AB36" s="2017">
        <f>128*9+71</f>
        <v>1223</v>
      </c>
      <c r="AC36" s="1992"/>
      <c r="AD36" s="1992"/>
      <c r="AE36" s="1992">
        <f>128*9+70</f>
        <v>1222</v>
      </c>
      <c r="AF36" s="1992"/>
      <c r="AG36" s="1992"/>
      <c r="AH36" s="1992"/>
      <c r="AI36" s="1992"/>
      <c r="AJ36" s="1992"/>
      <c r="AK36" s="1994"/>
      <c r="AL36" s="528">
        <f t="shared" si="7"/>
        <v>190551</v>
      </c>
      <c r="AM36" s="514"/>
      <c r="AN36" s="503"/>
      <c r="AO36" s="503"/>
      <c r="AP36" s="503"/>
      <c r="AQ36" s="514"/>
      <c r="AR36" s="503"/>
      <c r="AS36" s="503"/>
      <c r="AT36" s="503"/>
      <c r="AU36" s="511"/>
      <c r="AV36" s="1024">
        <f>128*9+40</f>
        <v>1192</v>
      </c>
      <c r="AW36" s="514"/>
      <c r="AX36" s="771">
        <v>190019</v>
      </c>
      <c r="AY36" s="498">
        <v>190019</v>
      </c>
      <c r="AZ36" s="498">
        <v>190019</v>
      </c>
      <c r="BA36" s="498">
        <v>190019</v>
      </c>
      <c r="BB36" s="498">
        <v>190019</v>
      </c>
      <c r="BC36" s="498">
        <v>190019</v>
      </c>
      <c r="BD36" s="498">
        <v>190019</v>
      </c>
      <c r="BE36" s="498">
        <v>190019</v>
      </c>
      <c r="BF36" s="498">
        <v>190019</v>
      </c>
      <c r="BG36" s="498">
        <v>190019</v>
      </c>
      <c r="BH36" s="503"/>
      <c r="BI36" s="503"/>
      <c r="BJ36" s="503">
        <f>0.006</f>
        <v>6.0000000000000001E-3</v>
      </c>
      <c r="BK36" s="503"/>
      <c r="BL36" s="499">
        <v>24</v>
      </c>
      <c r="IU36" s="499" t="s">
        <v>902</v>
      </c>
    </row>
    <row r="37" spans="1:256" ht="15.75" customHeight="1" thickTop="1" thickBot="1">
      <c r="A37" s="1611">
        <f>53+0.081</f>
        <v>53.081000000000003</v>
      </c>
      <c r="B37" s="1992"/>
      <c r="C37" s="1992"/>
      <c r="D37" s="1992"/>
      <c r="E37" s="1992"/>
      <c r="F37" s="1992"/>
      <c r="G37" s="528">
        <v>19</v>
      </c>
      <c r="H37" s="1998">
        <f>128*9+24+0.5+0.256+0.015</f>
        <v>1176.7710000000002</v>
      </c>
      <c r="I37" s="1998"/>
      <c r="J37" s="1998"/>
      <c r="K37" s="1998"/>
      <c r="L37" s="1998">
        <f>128*9+21+0.5+0.256+0.0204</f>
        <v>1173.7764000000002</v>
      </c>
      <c r="M37" s="528">
        <v>19</v>
      </c>
      <c r="N37" s="1992"/>
      <c r="O37" s="1992"/>
      <c r="P37" s="1992"/>
      <c r="Q37" s="1992"/>
      <c r="R37" s="1992"/>
      <c r="S37" s="1992"/>
      <c r="T37" s="1590">
        <f>128*9+6</f>
        <v>1158</v>
      </c>
      <c r="U37" s="1992"/>
      <c r="V37" s="1992"/>
      <c r="W37" s="2026">
        <f>128*9+30</f>
        <v>1182</v>
      </c>
      <c r="X37" s="2048">
        <f>350000+128*9+6</f>
        <v>351158</v>
      </c>
      <c r="Y37" s="2037">
        <f>128*9+71</f>
        <v>1223</v>
      </c>
      <c r="Z37" s="1992">
        <f>128*9+70</f>
        <v>1222</v>
      </c>
      <c r="AA37" s="1992"/>
      <c r="AB37" s="3727">
        <f>0.384+0.003</f>
        <v>0.38700000000000001</v>
      </c>
      <c r="AC37" s="1992"/>
      <c r="AD37" s="1992"/>
      <c r="AE37" s="1992">
        <f>128*9+70</f>
        <v>1222</v>
      </c>
      <c r="AF37" s="1992"/>
      <c r="AG37" s="1992"/>
      <c r="AH37" s="1992"/>
      <c r="AI37" s="1992"/>
      <c r="AJ37" s="1992"/>
      <c r="AK37" s="1994"/>
      <c r="AL37" s="528">
        <f t="shared" si="7"/>
        <v>190551</v>
      </c>
      <c r="AM37" s="514"/>
      <c r="AN37" s="503"/>
      <c r="AO37" s="503"/>
      <c r="AP37" s="2147">
        <v>2E-3</v>
      </c>
      <c r="AQ37" s="514"/>
      <c r="AR37" s="498">
        <v>190019</v>
      </c>
      <c r="AS37" s="498">
        <v>190019</v>
      </c>
      <c r="AT37" s="498">
        <v>190019</v>
      </c>
      <c r="AU37" s="498">
        <v>190019</v>
      </c>
      <c r="AV37" s="498">
        <v>190019</v>
      </c>
      <c r="AW37" s="498">
        <v>190019</v>
      </c>
      <c r="AX37" s="498">
        <v>190019</v>
      </c>
      <c r="AY37" s="498">
        <v>190019</v>
      </c>
      <c r="AZ37" s="498">
        <v>190018</v>
      </c>
      <c r="BA37" s="498">
        <v>190019</v>
      </c>
      <c r="BB37" s="498">
        <v>190019</v>
      </c>
      <c r="BC37" s="498">
        <v>190019</v>
      </c>
      <c r="BD37" s="498">
        <v>190019</v>
      </c>
      <c r="BE37" s="498">
        <v>190019</v>
      </c>
      <c r="BF37" s="498">
        <v>190019</v>
      </c>
      <c r="BG37" s="498">
        <v>190019</v>
      </c>
      <c r="BH37" s="498">
        <v>190019</v>
      </c>
      <c r="BI37" s="498">
        <v>190019</v>
      </c>
      <c r="BJ37" s="2165">
        <f>128*4+34</f>
        <v>546</v>
      </c>
      <c r="BK37" s="498">
        <v>190019</v>
      </c>
      <c r="BL37" s="498">
        <v>190019</v>
      </c>
      <c r="IU37" t="s">
        <v>1091</v>
      </c>
      <c r="IV37" s="499">
        <v>168</v>
      </c>
    </row>
    <row r="38" spans="1:256" ht="13.5" customHeight="1" thickTop="1" thickBot="1">
      <c r="A38" s="1611">
        <v>53</v>
      </c>
      <c r="B38" s="1992"/>
      <c r="C38" s="1992"/>
      <c r="D38" s="1992"/>
      <c r="E38" s="1992"/>
      <c r="F38" s="528">
        <v>19</v>
      </c>
      <c r="G38" s="528">
        <v>19</v>
      </c>
      <c r="H38" s="528">
        <v>19</v>
      </c>
      <c r="I38" s="528">
        <v>19</v>
      </c>
      <c r="J38" s="1744">
        <f>128*5+30</f>
        <v>670</v>
      </c>
      <c r="K38" s="528">
        <v>19</v>
      </c>
      <c r="L38" s="528">
        <v>19</v>
      </c>
      <c r="M38" s="528">
        <v>19</v>
      </c>
      <c r="N38" s="528">
        <v>19</v>
      </c>
      <c r="O38" s="528">
        <v>19</v>
      </c>
      <c r="P38" s="528">
        <v>19</v>
      </c>
      <c r="Q38" s="528">
        <v>19</v>
      </c>
      <c r="R38" s="528">
        <v>19</v>
      </c>
      <c r="S38" s="528">
        <v>19</v>
      </c>
      <c r="T38" s="528">
        <v>19</v>
      </c>
      <c r="U38" s="2029">
        <f>128*9+71</f>
        <v>1223</v>
      </c>
      <c r="V38" s="1992">
        <f>128*9+70</f>
        <v>1222</v>
      </c>
      <c r="W38" s="1992"/>
      <c r="X38" s="2033">
        <f>350000</f>
        <v>350000</v>
      </c>
      <c r="Y38" s="1992"/>
      <c r="Z38" s="1992">
        <f>128*9+70+0.5+0.2116</f>
        <v>1222.7116000000001</v>
      </c>
      <c r="AA38" s="1992">
        <f>128*9+70</f>
        <v>1222</v>
      </c>
      <c r="AB38" s="2023">
        <f>128*9+70+0.5+0.2114</f>
        <v>1222.7113999999999</v>
      </c>
      <c r="AC38" s="1992">
        <f>128*9+70</f>
        <v>1222</v>
      </c>
      <c r="AD38" s="1992">
        <f>128*9+70</f>
        <v>1222</v>
      </c>
      <c r="AE38" s="2019">
        <f>128*9+52+0.5+0.2114</f>
        <v>1204.7113999999999</v>
      </c>
      <c r="AF38" s="1992"/>
      <c r="AG38" s="1992"/>
      <c r="AH38" s="1992"/>
      <c r="AI38" s="1992"/>
      <c r="AJ38" s="1992"/>
      <c r="AK38" s="1994"/>
      <c r="AL38" s="528">
        <f t="shared" si="7"/>
        <v>190551</v>
      </c>
      <c r="AM38" s="514"/>
      <c r="AN38" s="503"/>
      <c r="AO38" s="503"/>
      <c r="AP38" s="503"/>
      <c r="AQ38" s="514"/>
      <c r="AR38" s="498">
        <v>190019</v>
      </c>
      <c r="AS38" s="1744">
        <f>128*10+16</f>
        <v>1296</v>
      </c>
      <c r="AT38" s="2148">
        <f>128*9+66+0.185</f>
        <v>1218.1849999999999</v>
      </c>
      <c r="AU38" s="2151"/>
      <c r="AV38" s="2153"/>
      <c r="AW38" s="2160"/>
      <c r="AX38" s="2153"/>
      <c r="AY38" s="2152"/>
      <c r="AZ38" s="498">
        <f>128+18</f>
        <v>146</v>
      </c>
      <c r="BA38" s="2155">
        <f>128*17+3+0.384+0.004</f>
        <v>2179.3879999999999</v>
      </c>
      <c r="BB38" s="2155">
        <f>128*17+3+0.384+0.004</f>
        <v>2179.3879999999999</v>
      </c>
      <c r="BC38" s="498">
        <v>190019</v>
      </c>
      <c r="BD38" s="1752">
        <f>128*9+28+0.147</f>
        <v>1180.1469999999999</v>
      </c>
      <c r="BE38" s="1744">
        <v>4.0000000000000001E-3</v>
      </c>
      <c r="BF38" s="1744"/>
      <c r="BG38" s="1752">
        <f>128*9+26+0.062</f>
        <v>1178.0619999999999</v>
      </c>
      <c r="BH38" s="498">
        <v>190019</v>
      </c>
      <c r="BI38" s="2162"/>
      <c r="BJ38" s="2162"/>
      <c r="BK38" s="2162"/>
      <c r="BL38" s="498">
        <v>19</v>
      </c>
      <c r="IU38" t="s">
        <v>1092</v>
      </c>
      <c r="IV38" s="499">
        <v>178</v>
      </c>
    </row>
    <row r="39" spans="1:256" ht="15" customHeight="1" thickTop="1" thickBot="1">
      <c r="A39" s="1611">
        <v>53</v>
      </c>
      <c r="B39" s="1992"/>
      <c r="C39" s="1992"/>
      <c r="D39" s="1992"/>
      <c r="E39" s="1992"/>
      <c r="F39" s="528">
        <v>19</v>
      </c>
      <c r="G39" s="498">
        <v>43</v>
      </c>
      <c r="H39" s="498">
        <v>43</v>
      </c>
      <c r="I39" s="498">
        <v>43</v>
      </c>
      <c r="J39" s="1998"/>
      <c r="K39" s="1997">
        <f>43+0.209</f>
        <v>43.209000000000003</v>
      </c>
      <c r="L39" s="498">
        <v>43</v>
      </c>
      <c r="M39" s="498">
        <v>43</v>
      </c>
      <c r="N39" s="498">
        <v>43</v>
      </c>
      <c r="O39" s="528">
        <v>19</v>
      </c>
      <c r="P39" s="2014">
        <f>128*9+8+0.5+0.384+0.003</f>
        <v>1160.8869999999999</v>
      </c>
      <c r="Q39" s="2015">
        <f>128*9+8</f>
        <v>1160</v>
      </c>
      <c r="R39" s="2015">
        <f>128*9+8+0.5+0.384+0.004</f>
        <v>1160.8879999999999</v>
      </c>
      <c r="S39" s="2015">
        <f>128*9+8+0.004</f>
        <v>1160.0039999999999</v>
      </c>
      <c r="T39" s="528">
        <v>19</v>
      </c>
      <c r="U39" s="2030">
        <f>128*9+52</f>
        <v>1204</v>
      </c>
      <c r="V39" s="1992">
        <f>128*9+70+0.5+0.2114</f>
        <v>1222.7113999999999</v>
      </c>
      <c r="W39" s="1992"/>
      <c r="X39" s="2021">
        <f>350000+0.256+0.042</f>
        <v>350000.29800000001</v>
      </c>
      <c r="Y39" s="1992"/>
      <c r="Z39" s="1992"/>
      <c r="AA39" s="1992"/>
      <c r="AB39" s="2023"/>
      <c r="AC39" s="1992"/>
      <c r="AD39" s="1992"/>
      <c r="AE39" s="1992"/>
      <c r="AF39" s="1992"/>
      <c r="AG39" s="1992"/>
      <c r="AH39" s="1992"/>
      <c r="AI39" s="1992"/>
      <c r="AJ39" s="1992"/>
      <c r="AK39" s="1994"/>
      <c r="AL39" s="528">
        <f t="shared" si="7"/>
        <v>190551</v>
      </c>
      <c r="AM39" s="503"/>
      <c r="AN39" s="503"/>
      <c r="AO39" s="503"/>
      <c r="AP39" s="503"/>
      <c r="AQ39" s="514"/>
      <c r="AR39" s="528">
        <f>180018+0.136</f>
        <v>180018.136</v>
      </c>
      <c r="AS39" s="1744"/>
      <c r="AT39" s="2148">
        <f>128*9+66+0.185</f>
        <v>1218.1849999999999</v>
      </c>
      <c r="AU39" s="2151"/>
      <c r="AV39" s="2153"/>
      <c r="AW39" s="2188"/>
      <c r="AX39" s="2153"/>
      <c r="AY39" s="2152"/>
      <c r="AZ39" s="2189">
        <f>128+18</f>
        <v>146</v>
      </c>
      <c r="BA39" s="1744"/>
      <c r="BB39" s="1744"/>
      <c r="BC39" s="498">
        <v>190019</v>
      </c>
      <c r="BD39" s="1744"/>
      <c r="BE39" s="1744"/>
      <c r="BF39" s="1744"/>
      <c r="BG39" s="1744"/>
      <c r="BH39" s="2163">
        <f>128*4+34</f>
        <v>546</v>
      </c>
      <c r="BI39" s="2162"/>
      <c r="BJ39" s="1815"/>
      <c r="BK39" s="1815"/>
      <c r="BL39" s="1163">
        <v>43</v>
      </c>
      <c r="IU39" t="s">
        <v>567</v>
      </c>
      <c r="IV39" s="499">
        <v>4</v>
      </c>
    </row>
    <row r="40" spans="1:256" ht="14.25" customHeight="1" thickTop="1" thickBot="1">
      <c r="A40" s="504">
        <v>19</v>
      </c>
      <c r="B40" s="504">
        <v>19</v>
      </c>
      <c r="C40" s="504">
        <v>19</v>
      </c>
      <c r="D40" s="1992"/>
      <c r="E40" s="1992"/>
      <c r="F40" s="498">
        <v>430043</v>
      </c>
      <c r="G40" s="2001">
        <f>128*9+26+0.061</f>
        <v>1178.0609999999999</v>
      </c>
      <c r="H40" s="1998"/>
      <c r="I40" s="2002">
        <f>128*9+48+0.122</f>
        <v>1200.1220000000001</v>
      </c>
      <c r="J40" s="1998"/>
      <c r="K40" s="2002">
        <f>128*9+48+0.122</f>
        <v>1200.1220000000001</v>
      </c>
      <c r="L40" s="2002">
        <f>128*9+83</f>
        <v>1235</v>
      </c>
      <c r="M40" s="2003">
        <f>128*9+26+0.173</f>
        <v>1178.173</v>
      </c>
      <c r="N40" s="498">
        <v>43</v>
      </c>
      <c r="O40" s="2013">
        <f>19+0.209</f>
        <v>19.209</v>
      </c>
      <c r="P40" s="2016">
        <f>128*9+50</f>
        <v>1202</v>
      </c>
      <c r="Q40" s="2016">
        <f>128*9+51+0.003</f>
        <v>1203.0029999999999</v>
      </c>
      <c r="R40" s="2016">
        <f>128*9+51+0.5+0.384+0.002</f>
        <v>1203.886</v>
      </c>
      <c r="S40" s="2016">
        <f>128*9+50</f>
        <v>1202</v>
      </c>
      <c r="T40" s="528">
        <v>19</v>
      </c>
      <c r="U40" s="1992"/>
      <c r="V40" s="1992"/>
      <c r="W40" s="2021">
        <f>350000</f>
        <v>350000</v>
      </c>
      <c r="X40" s="2021">
        <f>350000</f>
        <v>350000</v>
      </c>
      <c r="Y40" s="1992"/>
      <c r="Z40" s="1992"/>
      <c r="AA40" s="1992"/>
      <c r="AB40" s="2018">
        <f>128*9+71</f>
        <v>1223</v>
      </c>
      <c r="AC40" s="1992"/>
      <c r="AD40" s="2021">
        <f>350000+0.256+0.042</f>
        <v>350000.29800000001</v>
      </c>
      <c r="AE40" s="1992"/>
      <c r="AF40" s="1992"/>
      <c r="AG40" s="1992"/>
      <c r="AH40" s="1992"/>
      <c r="AI40" s="1992"/>
      <c r="AJ40" s="1992"/>
      <c r="AK40" s="1994"/>
      <c r="AL40" s="498">
        <v>190019</v>
      </c>
      <c r="AM40" s="503"/>
      <c r="AN40" s="503"/>
      <c r="AO40" s="503"/>
      <c r="AP40" s="503"/>
      <c r="AQ40" s="514"/>
      <c r="AR40" s="2149">
        <f>180000+128*9+72+0.207</f>
        <v>181224.20699999999</v>
      </c>
      <c r="AS40" s="1744">
        <f>128*16+9</f>
        <v>2057</v>
      </c>
      <c r="AT40" s="1744"/>
      <c r="AU40" s="2157"/>
      <c r="AV40" s="2158"/>
      <c r="AW40" s="2161"/>
      <c r="AX40" s="2158"/>
      <c r="AY40" s="2159">
        <v>3.0000000000000001E-3</v>
      </c>
      <c r="AZ40" s="498">
        <v>19</v>
      </c>
      <c r="BA40" s="2155">
        <f>128*17+3+0.384+0.004</f>
        <v>2179.3879999999999</v>
      </c>
      <c r="BB40" s="2155">
        <f>128*17+3+0.384+0.004</f>
        <v>2179.3879999999999</v>
      </c>
      <c r="BC40" s="2172">
        <f>10000*19+128*9+68+0.215</f>
        <v>191220.215</v>
      </c>
      <c r="BD40" s="1744">
        <f>128*16+64+9</f>
        <v>2121</v>
      </c>
      <c r="BE40" s="1744"/>
      <c r="BF40" s="1744"/>
      <c r="BG40" s="1744"/>
      <c r="BH40" s="2163">
        <f>128*4+34</f>
        <v>546</v>
      </c>
      <c r="BI40" s="2162"/>
      <c r="BJ40" s="1815"/>
      <c r="BK40" s="1166">
        <f>110000+128*11+8</f>
        <v>111416</v>
      </c>
      <c r="BL40" s="1163">
        <v>43</v>
      </c>
      <c r="IU40" t="s">
        <v>886</v>
      </c>
      <c r="IV40" s="499">
        <v>98</v>
      </c>
    </row>
    <row r="41" spans="1:256" ht="13.5" customHeight="1" thickTop="1" thickBot="1">
      <c r="A41" s="504">
        <v>19</v>
      </c>
      <c r="B41" s="757"/>
      <c r="C41" s="707">
        <f>128*10+7</f>
        <v>1287</v>
      </c>
      <c r="D41" s="1992"/>
      <c r="E41" s="1996">
        <f>128*4+34</f>
        <v>546</v>
      </c>
      <c r="F41" s="2011">
        <f>430000+128*9+49+0.5+0.256+0.0285</f>
        <v>431201.78450000001</v>
      </c>
      <c r="G41" s="1998">
        <f>0.256+0.0067</f>
        <v>0.26269999999999999</v>
      </c>
      <c r="H41" s="1998"/>
      <c r="I41" s="1998"/>
      <c r="J41" s="1998"/>
      <c r="K41" s="1998"/>
      <c r="L41" s="1998"/>
      <c r="M41" s="1998"/>
      <c r="N41" s="1744">
        <f>128*5+41</f>
        <v>681</v>
      </c>
      <c r="O41" s="2015"/>
      <c r="P41" s="2015"/>
      <c r="Q41" s="2015"/>
      <c r="R41" s="2015"/>
      <c r="S41" s="2015"/>
      <c r="T41" s="2028">
        <f>128*5+40</f>
        <v>680</v>
      </c>
      <c r="U41" s="2031">
        <f>128*14+5</f>
        <v>1797</v>
      </c>
      <c r="V41" s="1428"/>
      <c r="W41" s="2047">
        <v>350000</v>
      </c>
      <c r="X41" s="1996">
        <f>128*9+71</f>
        <v>1223</v>
      </c>
      <c r="Y41" s="1992">
        <f>128*9+70</f>
        <v>1222</v>
      </c>
      <c r="Z41" s="1992"/>
      <c r="AA41" s="1992">
        <f>128*9+70</f>
        <v>1222</v>
      </c>
      <c r="AB41" s="1992">
        <f>128*9+70+0.5+0.2113</f>
        <v>1222.7112999999999</v>
      </c>
      <c r="AC41" s="1992"/>
      <c r="AD41" s="2040">
        <f>350000</f>
        <v>350000</v>
      </c>
      <c r="AE41" s="1992"/>
      <c r="AF41" s="1992"/>
      <c r="AG41" s="1992"/>
      <c r="AH41" s="1992"/>
      <c r="AI41" s="1992"/>
      <c r="AJ41" s="1992"/>
      <c r="AK41" s="1994"/>
      <c r="AL41" s="498">
        <v>190019</v>
      </c>
      <c r="AM41" s="503"/>
      <c r="AN41" s="514">
        <f>11+0.184</f>
        <v>11.183999999999999</v>
      </c>
      <c r="AO41" s="2204"/>
      <c r="AP41" s="503"/>
      <c r="AQ41" s="514"/>
      <c r="AR41" s="2149">
        <f>180000+128*9+72+0.207</f>
        <v>181224.20699999999</v>
      </c>
      <c r="AS41" s="1744">
        <f>128*16+9</f>
        <v>2057</v>
      </c>
      <c r="AT41" s="1744"/>
      <c r="AU41" s="2157"/>
      <c r="AV41" s="2158"/>
      <c r="AW41" s="2161"/>
      <c r="AX41" s="2158"/>
      <c r="AY41" s="2159">
        <v>3.0000000000000001E-3</v>
      </c>
      <c r="AZ41" s="498">
        <v>19</v>
      </c>
      <c r="BA41" s="2156">
        <f>128*17+3+0.384+0.004</f>
        <v>2179.3879999999999</v>
      </c>
      <c r="BB41" s="2155">
        <f>128*17+3+0.384+0.004</f>
        <v>2179.3879999999999</v>
      </c>
      <c r="BC41" s="498">
        <v>190019</v>
      </c>
      <c r="BD41" s="1744"/>
      <c r="BE41" s="1744"/>
      <c r="BF41" s="1998">
        <f>0.5+0.256+0.035</f>
        <v>0.79100000000000004</v>
      </c>
      <c r="BG41" s="1744"/>
      <c r="BH41" s="498">
        <v>190019</v>
      </c>
      <c r="BI41" s="2162"/>
      <c r="BJ41" s="1815"/>
      <c r="BK41" s="1815"/>
      <c r="BL41" s="1163">
        <v>43</v>
      </c>
      <c r="IU41" t="s">
        <v>887</v>
      </c>
      <c r="IV41" s="499">
        <v>104</v>
      </c>
    </row>
    <row r="42" spans="1:256" ht="15" customHeight="1" thickTop="1" thickBot="1">
      <c r="A42" s="504">
        <v>19</v>
      </c>
      <c r="B42" s="757">
        <v>1.9099999999999999E-2</v>
      </c>
      <c r="C42" s="707">
        <f>128*10+8</f>
        <v>1288</v>
      </c>
      <c r="D42" s="1992"/>
      <c r="E42" s="1996">
        <f>128*4+34</f>
        <v>546</v>
      </c>
      <c r="F42" s="2012">
        <f>430000+128*6+115+0.256+0.0157</f>
        <v>430883.27169999998</v>
      </c>
      <c r="G42" s="1998"/>
      <c r="H42" s="2000">
        <f>128*8+2</f>
        <v>1026</v>
      </c>
      <c r="I42" s="1998"/>
      <c r="J42" s="1998">
        <f>0.5+0.256+0.035</f>
        <v>0.79100000000000004</v>
      </c>
      <c r="K42" s="1998"/>
      <c r="L42" s="2000">
        <f>128*8+4</f>
        <v>1028</v>
      </c>
      <c r="M42" s="2003">
        <f>128*9+28+0.148</f>
        <v>1180.1479999999999</v>
      </c>
      <c r="N42" s="498">
        <v>43</v>
      </c>
      <c r="O42" s="528">
        <v>19</v>
      </c>
      <c r="P42" s="2014">
        <f>128*9+50</f>
        <v>1202</v>
      </c>
      <c r="Q42" s="2014">
        <f>128*9+51+0.256+0.001</f>
        <v>1203.2570000000001</v>
      </c>
      <c r="R42" s="2014">
        <f>128*9+51</f>
        <v>1203</v>
      </c>
      <c r="S42" s="2014">
        <f>128*9+50</f>
        <v>1202</v>
      </c>
      <c r="T42" s="528">
        <v>19</v>
      </c>
      <c r="U42" s="1992"/>
      <c r="V42" s="2018">
        <f>128*9+71</f>
        <v>1223</v>
      </c>
      <c r="W42" s="2033">
        <f>350000</f>
        <v>350000</v>
      </c>
      <c r="X42" s="1992"/>
      <c r="Y42" s="1992"/>
      <c r="Z42" s="1992"/>
      <c r="AA42" s="1992"/>
      <c r="AB42" s="2017">
        <f>128*9+71</f>
        <v>1223</v>
      </c>
      <c r="AC42" s="1992"/>
      <c r="AD42" s="2040">
        <f>350000</f>
        <v>350000</v>
      </c>
      <c r="AE42" s="1992"/>
      <c r="AF42" s="1992"/>
      <c r="AG42" s="1992"/>
      <c r="AH42" s="1992"/>
      <c r="AI42" s="1992"/>
      <c r="AJ42" s="1992"/>
      <c r="AK42" s="1994"/>
      <c r="AL42" s="498">
        <v>190019</v>
      </c>
      <c r="AM42" s="503"/>
      <c r="AN42" s="503"/>
      <c r="AO42" s="503"/>
      <c r="AP42" s="503"/>
      <c r="AQ42" s="503"/>
      <c r="AR42" s="528">
        <f>180018+0.136</f>
        <v>180018.136</v>
      </c>
      <c r="AS42" s="1744"/>
      <c r="AT42" s="2148">
        <f>128*9+66+0.185</f>
        <v>1218.1849999999999</v>
      </c>
      <c r="AU42" s="2151"/>
      <c r="AV42" s="2153"/>
      <c r="AW42" s="2188"/>
      <c r="AX42" s="2153"/>
      <c r="AY42" s="2152"/>
      <c r="AZ42" s="2190">
        <f>128+18</f>
        <v>146</v>
      </c>
      <c r="BA42" s="1744"/>
      <c r="BB42" s="1744"/>
      <c r="BC42" s="498">
        <v>190019</v>
      </c>
      <c r="BD42" s="1751">
        <f>128*9+48+0.122</f>
        <v>1200.1220000000001</v>
      </c>
      <c r="BE42" s="1744"/>
      <c r="BF42" s="1744"/>
      <c r="BG42" s="1744"/>
      <c r="BH42" s="1744">
        <f>128*5+40</f>
        <v>680</v>
      </c>
      <c r="BI42" s="2162"/>
      <c r="BJ42" s="1745"/>
      <c r="BK42" s="2162"/>
      <c r="BL42" s="498">
        <v>19</v>
      </c>
      <c r="IU42" s="1616"/>
    </row>
    <row r="43" spans="1:256" ht="14.25" customHeight="1" thickTop="1" thickBot="1">
      <c r="A43" s="504">
        <v>19</v>
      </c>
      <c r="B43" s="757"/>
      <c r="C43" s="504">
        <v>19</v>
      </c>
      <c r="D43" s="1992"/>
      <c r="E43" s="1992"/>
      <c r="F43" s="498">
        <v>430043</v>
      </c>
      <c r="G43" s="2001">
        <f>128*9+26+0.062</f>
        <v>1178.0619999999999</v>
      </c>
      <c r="H43" s="1998"/>
      <c r="I43" s="2004">
        <f>128*9+26+0.152</f>
        <v>1178.152</v>
      </c>
      <c r="J43" s="1998"/>
      <c r="K43" s="2004">
        <f>128*9+26+0.152</f>
        <v>1178.152</v>
      </c>
      <c r="L43" s="1998"/>
      <c r="M43" s="2003">
        <f>128*9+26+0.152</f>
        <v>1178.152</v>
      </c>
      <c r="N43" s="498">
        <v>43</v>
      </c>
      <c r="O43" s="528">
        <v>19</v>
      </c>
      <c r="P43" s="2016">
        <f>128*9+8+0.5+0.384+0.003</f>
        <v>1160.8869999999999</v>
      </c>
      <c r="Q43" s="2015">
        <f>128*9+8</f>
        <v>1160</v>
      </c>
      <c r="R43" s="2015">
        <f>128*9+8+0.5+0.384+0.004</f>
        <v>1160.8879999999999</v>
      </c>
      <c r="S43" s="2015">
        <f>128*9+8</f>
        <v>1160</v>
      </c>
      <c r="T43" s="528">
        <v>19</v>
      </c>
      <c r="U43" s="1992">
        <f>128*9+70+0.5+0.384+0.003</f>
        <v>1222.8869999999999</v>
      </c>
      <c r="V43" s="1992">
        <f>128*9+70</f>
        <v>1222</v>
      </c>
      <c r="W43" s="2021">
        <f>350000+0.256+0.042</f>
        <v>350000.29800000001</v>
      </c>
      <c r="X43" s="2033">
        <f>350000</f>
        <v>350000</v>
      </c>
      <c r="Y43" s="2033">
        <f>350000</f>
        <v>350000</v>
      </c>
      <c r="Z43" s="2021">
        <f>350000+0.256+0.042</f>
        <v>350000.29800000001</v>
      </c>
      <c r="AA43" s="2033">
        <f>350000</f>
        <v>350000</v>
      </c>
      <c r="AB43" s="2035">
        <f>350000</f>
        <v>350000</v>
      </c>
      <c r="AC43" s="2033">
        <f>350000</f>
        <v>350000</v>
      </c>
      <c r="AD43" s="2021">
        <f>350000+0.256+0.042</f>
        <v>350000.29800000001</v>
      </c>
      <c r="AE43" s="2033">
        <f>350000</f>
        <v>350000</v>
      </c>
      <c r="AF43" s="1992"/>
      <c r="AG43" s="1992"/>
      <c r="AH43" s="1992"/>
      <c r="AI43" s="1992"/>
      <c r="AJ43" s="1992"/>
      <c r="AK43" s="1994"/>
      <c r="AL43" s="498">
        <v>190019</v>
      </c>
      <c r="AM43" s="511">
        <v>31</v>
      </c>
      <c r="AN43" s="514">
        <v>35</v>
      </c>
      <c r="AO43" s="503"/>
      <c r="AP43" s="503"/>
      <c r="AQ43" s="503"/>
      <c r="AR43" s="498">
        <v>190019</v>
      </c>
      <c r="AS43" s="1744">
        <f>128*10+15</f>
        <v>1295</v>
      </c>
      <c r="AT43" s="2148">
        <f>128*9+66+0.185</f>
        <v>1218.1849999999999</v>
      </c>
      <c r="AU43" s="2151"/>
      <c r="AV43" s="2153"/>
      <c r="AW43" s="2160"/>
      <c r="AX43" s="2153"/>
      <c r="AY43" s="2152"/>
      <c r="AZ43" s="498">
        <f>128+18</f>
        <v>146</v>
      </c>
      <c r="BA43" s="2155">
        <f>128*17+3+0.384+0.004</f>
        <v>2179.3879999999999</v>
      </c>
      <c r="BB43" s="2155">
        <f>128*17+3+0.384+0.004</f>
        <v>2179.3879999999999</v>
      </c>
      <c r="BC43" s="498">
        <v>190019</v>
      </c>
      <c r="BD43" s="1751">
        <f>128*9+49</f>
        <v>1201</v>
      </c>
      <c r="BE43" s="1744"/>
      <c r="BF43" s="1744">
        <f>128*14+2</f>
        <v>1794</v>
      </c>
      <c r="BG43" s="1744"/>
      <c r="BH43" s="498">
        <v>190019</v>
      </c>
      <c r="BI43" s="2162"/>
      <c r="BJ43" s="2162"/>
      <c r="BK43" s="2163">
        <f>128*9+26+0.145</f>
        <v>1178.145</v>
      </c>
      <c r="BL43" s="498">
        <v>19</v>
      </c>
      <c r="IU43" s="1616"/>
    </row>
    <row r="44" spans="1:256" ht="14.25" customHeight="1" thickTop="1" thickBot="1">
      <c r="A44" s="504">
        <v>19</v>
      </c>
      <c r="B44" s="757"/>
      <c r="C44" s="504">
        <v>19</v>
      </c>
      <c r="D44" s="498">
        <v>430043</v>
      </c>
      <c r="E44" s="498">
        <v>430043</v>
      </c>
      <c r="F44" s="498">
        <v>43</v>
      </c>
      <c r="G44" s="498">
        <v>43</v>
      </c>
      <c r="H44" s="498">
        <f>43+0.134</f>
        <v>43.134</v>
      </c>
      <c r="I44" s="498">
        <v>43</v>
      </c>
      <c r="J44" s="1744">
        <f>128*5+30</f>
        <v>670</v>
      </c>
      <c r="K44" s="498">
        <v>43</v>
      </c>
      <c r="L44" s="498">
        <v>43</v>
      </c>
      <c r="M44" s="498">
        <v>43</v>
      </c>
      <c r="N44" s="498">
        <v>43</v>
      </c>
      <c r="O44" s="528">
        <v>19</v>
      </c>
      <c r="P44" s="528">
        <v>19</v>
      </c>
      <c r="Q44" s="528">
        <v>19</v>
      </c>
      <c r="R44" s="528">
        <v>19</v>
      </c>
      <c r="S44" s="528">
        <v>19</v>
      </c>
      <c r="T44" s="528">
        <v>19</v>
      </c>
      <c r="U44" s="1995">
        <f>128*9+71</f>
        <v>1223</v>
      </c>
      <c r="V44" s="1992">
        <f>128*9+6</f>
        <v>1158</v>
      </c>
      <c r="W44" s="1992"/>
      <c r="X44" s="1992"/>
      <c r="Y44" s="1992"/>
      <c r="Z44" s="1992"/>
      <c r="AA44" s="2036">
        <f>128*9+30</f>
        <v>1182</v>
      </c>
      <c r="AB44" s="1992">
        <f>128*9+6</f>
        <v>1158</v>
      </c>
      <c r="AC44" s="1992"/>
      <c r="AD44" s="1992"/>
      <c r="AE44" s="1992"/>
      <c r="AF44" s="1992"/>
      <c r="AG44" s="1992"/>
      <c r="AH44" s="1992"/>
      <c r="AI44" s="1992"/>
      <c r="AJ44" s="1992"/>
      <c r="AK44" s="1994"/>
      <c r="AL44" s="498">
        <v>190019</v>
      </c>
      <c r="AM44" s="498">
        <v>190019</v>
      </c>
      <c r="AN44" s="498">
        <v>190019</v>
      </c>
      <c r="AO44" s="498">
        <v>190019</v>
      </c>
      <c r="AP44" s="2173">
        <f>128*9+69+0.083</f>
        <v>1221.0830000000001</v>
      </c>
      <c r="AQ44" s="498">
        <v>190019</v>
      </c>
      <c r="AR44" s="498">
        <v>190019</v>
      </c>
      <c r="AS44" s="498">
        <v>190019</v>
      </c>
      <c r="AT44" s="498">
        <v>190019</v>
      </c>
      <c r="AU44" s="498">
        <v>190019</v>
      </c>
      <c r="AV44" s="498">
        <v>190019</v>
      </c>
      <c r="AW44" s="498">
        <v>190019</v>
      </c>
      <c r="AX44" s="498">
        <v>190019</v>
      </c>
      <c r="AY44" s="498">
        <v>190019</v>
      </c>
      <c r="AZ44" s="498">
        <f>10000*19+18</f>
        <v>190018</v>
      </c>
      <c r="BA44" s="498">
        <v>190019</v>
      </c>
      <c r="BB44" s="498">
        <v>190019</v>
      </c>
      <c r="BC44" s="498">
        <v>190019</v>
      </c>
      <c r="BD44" s="498">
        <v>190019</v>
      </c>
      <c r="BE44" s="498">
        <v>190019</v>
      </c>
      <c r="BF44" s="3221">
        <f>180000+128*9+69+0.083</f>
        <v>181221.08300000001</v>
      </c>
      <c r="BG44" s="498">
        <v>190019</v>
      </c>
      <c r="BH44" s="498">
        <v>190019</v>
      </c>
      <c r="BI44" s="498">
        <v>190019</v>
      </c>
      <c r="BJ44" s="3220">
        <f>128*5+34</f>
        <v>674</v>
      </c>
      <c r="BK44" s="498">
        <v>190019</v>
      </c>
      <c r="BL44" s="498">
        <v>190019</v>
      </c>
    </row>
    <row r="45" spans="1:256" ht="12" customHeight="1" thickTop="1" thickBot="1">
      <c r="A45" s="504">
        <v>19</v>
      </c>
      <c r="B45" s="757">
        <f>128*14+116</f>
        <v>1908</v>
      </c>
      <c r="C45" s="498">
        <v>43</v>
      </c>
      <c r="D45" s="2007">
        <f>128*9+56</f>
        <v>1208</v>
      </c>
      <c r="E45" s="2007">
        <f>128*9+56</f>
        <v>1208</v>
      </c>
      <c r="F45" s="498">
        <v>43</v>
      </c>
      <c r="G45" s="2002">
        <f>128*9+48+0.122</f>
        <v>1200.1220000000001</v>
      </c>
      <c r="H45" s="2003">
        <f>128*9+4</f>
        <v>1156</v>
      </c>
      <c r="I45" s="1998"/>
      <c r="J45" s="1998"/>
      <c r="K45" s="2002">
        <f>128*9+37+0.149</f>
        <v>1189.1489999999999</v>
      </c>
      <c r="L45" s="2003">
        <f>128*9+4</f>
        <v>1156</v>
      </c>
      <c r="M45" s="2001">
        <f>128*9+4</f>
        <v>1156</v>
      </c>
      <c r="N45" s="498">
        <v>43</v>
      </c>
      <c r="O45" s="528">
        <v>19</v>
      </c>
      <c r="P45" s="1992"/>
      <c r="Q45" s="1992"/>
      <c r="R45" s="1992"/>
      <c r="S45" s="1992"/>
      <c r="T45" s="1992"/>
      <c r="U45" s="1992"/>
      <c r="V45" s="1992"/>
      <c r="W45" s="1992"/>
      <c r="X45" s="1992"/>
      <c r="Y45" s="1992"/>
      <c r="Z45" s="1992"/>
      <c r="AA45" s="1992"/>
      <c r="AB45" s="1992"/>
      <c r="AC45" s="1992"/>
      <c r="AD45" s="1992"/>
      <c r="AE45" s="1992"/>
      <c r="AF45" s="1992"/>
      <c r="AG45" s="1992"/>
      <c r="AH45" s="1992"/>
      <c r="AI45" s="1992"/>
      <c r="AJ45" s="1992"/>
      <c r="AK45" s="1994"/>
      <c r="AL45" s="498">
        <v>190019</v>
      </c>
      <c r="AM45" s="2174">
        <f>128*9+21+0.5+0.256+0.003+0.0008</f>
        <v>1173.7598</v>
      </c>
      <c r="AN45" s="707"/>
      <c r="AO45" s="707"/>
      <c r="AP45" s="707"/>
      <c r="AQ45" s="1020"/>
      <c r="AR45" s="498">
        <v>190019</v>
      </c>
      <c r="AS45" s="498">
        <v>20</v>
      </c>
      <c r="AT45" s="498">
        <v>48</v>
      </c>
      <c r="AU45" s="498">
        <v>48</v>
      </c>
      <c r="AV45" s="498">
        <v>20</v>
      </c>
      <c r="AW45" s="498">
        <v>20</v>
      </c>
      <c r="AX45" s="498">
        <v>20</v>
      </c>
      <c r="AY45" s="498">
        <v>20</v>
      </c>
      <c r="AZ45" s="498">
        <v>20</v>
      </c>
      <c r="BA45" s="498">
        <v>20</v>
      </c>
      <c r="BB45" s="498">
        <v>20</v>
      </c>
      <c r="BC45" s="498">
        <v>190019</v>
      </c>
      <c r="BD45" s="1751">
        <f>128*9+48+0.122</f>
        <v>1200.1220000000001</v>
      </c>
      <c r="BE45" s="1752">
        <f>128*9+48+0.122</f>
        <v>1200.1220000000001</v>
      </c>
      <c r="BF45" s="1744"/>
      <c r="BG45" s="1912">
        <f>128*9+26+0.152</f>
        <v>1178.152</v>
      </c>
      <c r="BH45" s="498">
        <v>190019</v>
      </c>
      <c r="BI45" s="2162"/>
      <c r="BJ45" s="2162"/>
      <c r="BK45" s="2162"/>
      <c r="BL45" s="498">
        <v>19</v>
      </c>
    </row>
    <row r="46" spans="1:256" ht="15" customHeight="1" thickTop="1" thickBot="1">
      <c r="A46" s="705"/>
      <c r="B46" s="705"/>
      <c r="C46" s="705">
        <f>128*3+43+0.159</f>
        <v>427.15899999999999</v>
      </c>
      <c r="D46" s="1115">
        <v>0.1206</v>
      </c>
      <c r="E46" s="1115"/>
      <c r="F46" s="1751">
        <f>128*5+41+0.1545</f>
        <v>681.15449999999998</v>
      </c>
      <c r="G46" s="1998"/>
      <c r="H46" s="1998"/>
      <c r="I46" s="1998"/>
      <c r="J46" s="1998"/>
      <c r="K46" s="1998"/>
      <c r="L46" s="1998"/>
      <c r="M46" s="2003">
        <f>128*9+48+0.122</f>
        <v>1200.1220000000001</v>
      </c>
      <c r="N46" s="498">
        <v>43</v>
      </c>
      <c r="O46" s="528">
        <v>19</v>
      </c>
      <c r="P46" s="1992"/>
      <c r="Q46" s="1992"/>
      <c r="R46" s="1992"/>
      <c r="S46" s="1992"/>
      <c r="T46" s="1992"/>
      <c r="U46" s="1992"/>
      <c r="V46" s="1992"/>
      <c r="W46" s="1992"/>
      <c r="X46" s="1992"/>
      <c r="Y46" s="1992"/>
      <c r="Z46" s="1992"/>
      <c r="AA46" s="1992"/>
      <c r="AB46" s="1992"/>
      <c r="AC46" s="1992"/>
      <c r="AD46" s="1992"/>
      <c r="AE46" s="1992"/>
      <c r="AF46" s="1992"/>
      <c r="AG46" s="1992"/>
      <c r="AH46" s="1992"/>
      <c r="AI46" s="1992"/>
      <c r="AJ46" s="1992"/>
      <c r="AK46" s="1994"/>
      <c r="AL46" s="498">
        <v>190019</v>
      </c>
      <c r="AM46" s="707"/>
      <c r="AN46" s="707"/>
      <c r="AO46" s="498">
        <v>190019</v>
      </c>
      <c r="AP46" s="707"/>
      <c r="AQ46" s="707"/>
      <c r="AR46" s="498">
        <v>190019</v>
      </c>
      <c r="AS46" s="498">
        <v>48</v>
      </c>
      <c r="AT46" s="1166">
        <f>110000+128*11+10</f>
        <v>111418</v>
      </c>
      <c r="AU46" s="2181">
        <f>128*4+34</f>
        <v>546</v>
      </c>
      <c r="AV46" s="2191"/>
      <c r="AW46" s="2192">
        <f>128*9+43</f>
        <v>1195</v>
      </c>
      <c r="AX46" s="2192">
        <f>128*9+43</f>
        <v>1195</v>
      </c>
      <c r="AY46" s="2193">
        <f>128*9+26+0.145</f>
        <v>1178.145</v>
      </c>
      <c r="AZ46" s="2193">
        <f>128*9+48+0.122</f>
        <v>1200.1220000000001</v>
      </c>
      <c r="BA46" s="2193">
        <f>128*9+48+0.122</f>
        <v>1200.1220000000001</v>
      </c>
      <c r="BB46" s="498">
        <v>20</v>
      </c>
      <c r="BC46" s="498">
        <v>190019</v>
      </c>
      <c r="BD46" s="1744"/>
      <c r="BE46" s="1744"/>
      <c r="BF46" s="1744"/>
      <c r="BG46" s="1744"/>
      <c r="BH46" s="2163">
        <f>128*4+34</f>
        <v>546</v>
      </c>
      <c r="BI46" s="2162"/>
      <c r="BJ46" s="1815"/>
      <c r="BK46" s="1815"/>
      <c r="BL46" s="1163">
        <v>49</v>
      </c>
    </row>
    <row r="47" spans="1:256" ht="14.25" customHeight="1" thickTop="1" thickBot="1">
      <c r="A47" s="504">
        <v>19</v>
      </c>
      <c r="B47" s="504">
        <v>19</v>
      </c>
      <c r="C47" s="498">
        <v>43</v>
      </c>
      <c r="D47" s="498">
        <v>43</v>
      </c>
      <c r="E47" s="2009">
        <f>128*5+41+0.384+0.0035</f>
        <v>681.38750000000005</v>
      </c>
      <c r="F47" s="2008">
        <f>43+0.209</f>
        <v>43.209000000000003</v>
      </c>
      <c r="G47" s="1998"/>
      <c r="H47" s="2003">
        <f>128*9+4</f>
        <v>1156</v>
      </c>
      <c r="I47" s="1998"/>
      <c r="J47" s="1998"/>
      <c r="K47" s="1998"/>
      <c r="L47" s="2003">
        <f>128*9+4</f>
        <v>1156</v>
      </c>
      <c r="M47" s="2001">
        <f>128*9+4</f>
        <v>1156</v>
      </c>
      <c r="N47" s="498">
        <v>43</v>
      </c>
      <c r="O47" s="528">
        <v>19</v>
      </c>
      <c r="P47" s="1992"/>
      <c r="Q47" s="1992"/>
      <c r="R47" s="1992"/>
      <c r="S47" s="1992"/>
      <c r="T47" s="1992"/>
      <c r="U47" s="1992"/>
      <c r="V47" s="1992"/>
      <c r="W47" s="1992"/>
      <c r="X47" s="1992"/>
      <c r="Y47" s="1992"/>
      <c r="Z47" s="1992"/>
      <c r="AA47" s="1992"/>
      <c r="AB47" s="1992"/>
      <c r="AC47" s="1992"/>
      <c r="AD47" s="1992"/>
      <c r="AE47" s="1992"/>
      <c r="AF47" s="1992"/>
      <c r="AG47" s="1992"/>
      <c r="AH47" s="1992"/>
      <c r="AI47" s="1992"/>
      <c r="AJ47" s="1992"/>
      <c r="AK47" s="1994"/>
      <c r="AL47" s="498">
        <v>190019</v>
      </c>
      <c r="AM47" s="707"/>
      <c r="AN47" s="707"/>
      <c r="AO47" s="707">
        <f>128*4+39+0.384+0.003</f>
        <v>551.38700000000006</v>
      </c>
      <c r="AP47" s="707"/>
      <c r="AQ47" s="707"/>
      <c r="AR47" s="498">
        <v>190019</v>
      </c>
      <c r="AS47" s="498">
        <v>48</v>
      </c>
      <c r="AT47" s="2179"/>
      <c r="AU47" s="2181">
        <f>128*4+34</f>
        <v>546</v>
      </c>
      <c r="AV47" s="2191"/>
      <c r="AW47" s="2191"/>
      <c r="AX47" s="2191"/>
      <c r="AY47" s="2191"/>
      <c r="AZ47" s="2191"/>
      <c r="BA47" s="2191"/>
      <c r="BB47" s="2185">
        <f>128*9+54+0.114</f>
        <v>1206.114</v>
      </c>
      <c r="BC47" s="2176">
        <f>180000+128*5+38</f>
        <v>180678</v>
      </c>
      <c r="BD47" s="1744"/>
      <c r="BE47" s="1744"/>
      <c r="BF47" s="1744"/>
      <c r="BG47" s="1744"/>
      <c r="BH47" s="2163">
        <f>128*4+34</f>
        <v>546</v>
      </c>
      <c r="BI47" s="2162"/>
      <c r="BJ47" s="1815"/>
      <c r="BK47" s="1166">
        <f>110000+128*11+9</f>
        <v>111417</v>
      </c>
      <c r="BL47" s="1163">
        <v>49</v>
      </c>
    </row>
    <row r="48" spans="1:256" ht="16.5" thickTop="1">
      <c r="A48" s="499">
        <v>24</v>
      </c>
      <c r="B48" s="504"/>
      <c r="C48" s="498">
        <v>43</v>
      </c>
      <c r="D48" s="2007">
        <f>128*9+5</f>
        <v>1157</v>
      </c>
      <c r="E48" s="1115">
        <f>128*10+6</f>
        <v>1286</v>
      </c>
      <c r="F48" s="498">
        <v>43</v>
      </c>
      <c r="G48" s="498">
        <v>43</v>
      </c>
      <c r="H48" s="498">
        <v>43</v>
      </c>
      <c r="I48" s="498">
        <v>43</v>
      </c>
      <c r="J48" s="498">
        <v>43</v>
      </c>
      <c r="K48" s="498">
        <v>43</v>
      </c>
      <c r="L48" s="498">
        <v>43</v>
      </c>
      <c r="M48" s="498">
        <v>43</v>
      </c>
      <c r="N48" s="498">
        <v>43</v>
      </c>
      <c r="O48" s="528">
        <v>19</v>
      </c>
      <c r="P48" s="528">
        <v>19</v>
      </c>
      <c r="Q48" s="528">
        <v>19</v>
      </c>
      <c r="R48" s="528">
        <v>19</v>
      </c>
      <c r="S48" s="528">
        <v>19</v>
      </c>
      <c r="T48" s="503"/>
      <c r="U48" s="503"/>
      <c r="V48" s="503"/>
      <c r="W48" s="707">
        <f>128*4+39+0.384+0.003</f>
        <v>551.38700000000006</v>
      </c>
      <c r="X48" s="532">
        <f>128*4+35</f>
        <v>547</v>
      </c>
      <c r="Y48" s="532">
        <f>128*4+35</f>
        <v>547</v>
      </c>
      <c r="Z48" s="707">
        <f>128*4+39+0.384+0.003</f>
        <v>551.38700000000006</v>
      </c>
      <c r="AA48" s="532">
        <f>128*4+35</f>
        <v>547</v>
      </c>
      <c r="AB48" s="532">
        <f>128*4+35</f>
        <v>547</v>
      </c>
      <c r="AC48" s="707">
        <f>128*4+39+0.384+0.003</f>
        <v>551.38700000000006</v>
      </c>
      <c r="AD48" s="532">
        <f>128*4+35</f>
        <v>547</v>
      </c>
      <c r="AE48" s="532">
        <f>128*4+35</f>
        <v>547</v>
      </c>
      <c r="AF48" s="707">
        <f>128*4+39+0.384+0.003</f>
        <v>551.38700000000006</v>
      </c>
      <c r="AG48" s="503"/>
      <c r="AH48" s="503"/>
      <c r="AI48" s="838">
        <v>42</v>
      </c>
      <c r="AJ48" s="1444">
        <f>128*4+35</f>
        <v>547</v>
      </c>
      <c r="AK48" s="1444">
        <f>128*4+35</f>
        <v>547</v>
      </c>
      <c r="AL48" s="498">
        <v>190019</v>
      </c>
      <c r="AM48" s="707"/>
      <c r="AN48" s="331">
        <f>128*3+32</f>
        <v>416</v>
      </c>
      <c r="AO48" s="498">
        <v>190019</v>
      </c>
      <c r="AP48" s="331">
        <f>128*3+32</f>
        <v>416</v>
      </c>
      <c r="AQ48" s="707"/>
      <c r="AR48" s="498">
        <v>190019</v>
      </c>
      <c r="AS48" s="498">
        <v>20</v>
      </c>
      <c r="AT48" s="2182">
        <f>180000+128*9+69+0.083</f>
        <v>181221.08300000001</v>
      </c>
      <c r="AU48" s="2180">
        <f>20+0.18</f>
        <v>20.18</v>
      </c>
      <c r="AV48" s="2191"/>
      <c r="AW48" s="2191">
        <f>128*9+44</f>
        <v>1196</v>
      </c>
      <c r="AX48" s="2191"/>
      <c r="AY48" s="2191"/>
      <c r="AZ48" s="2191">
        <f>128*9+44</f>
        <v>1196</v>
      </c>
      <c r="BA48" s="2191"/>
      <c r="BB48" s="498">
        <v>20</v>
      </c>
      <c r="BC48" s="498">
        <v>190019</v>
      </c>
      <c r="BD48" s="1744"/>
      <c r="BE48" s="1744"/>
      <c r="BF48" s="1998">
        <f>0.5+0.256+0.035</f>
        <v>0.79100000000000004</v>
      </c>
      <c r="BG48" s="1744"/>
      <c r="BH48" s="498">
        <v>190019</v>
      </c>
      <c r="BI48" s="2162"/>
      <c r="BJ48" s="1815"/>
      <c r="BK48" s="1815"/>
      <c r="BL48" s="1163">
        <v>49</v>
      </c>
    </row>
    <row r="49" spans="1:64" ht="15.75">
      <c r="A49" s="499">
        <v>24</v>
      </c>
      <c r="B49" s="504"/>
      <c r="C49" s="498">
        <v>43</v>
      </c>
      <c r="D49" s="498">
        <v>43</v>
      </c>
      <c r="E49" s="498">
        <v>43</v>
      </c>
      <c r="F49" s="528">
        <v>19</v>
      </c>
      <c r="G49" s="528">
        <v>19</v>
      </c>
      <c r="H49" s="528">
        <v>19</v>
      </c>
      <c r="I49" s="528">
        <v>19</v>
      </c>
      <c r="J49" s="528">
        <v>19</v>
      </c>
      <c r="K49" s="528">
        <v>19</v>
      </c>
      <c r="L49" s="528">
        <v>19</v>
      </c>
      <c r="M49" s="528">
        <v>19</v>
      </c>
      <c r="N49" s="528">
        <v>19</v>
      </c>
      <c r="O49" s="528">
        <v>19</v>
      </c>
      <c r="P49" s="528">
        <v>19</v>
      </c>
      <c r="Q49" s="528">
        <v>19</v>
      </c>
      <c r="R49" s="757">
        <v>53</v>
      </c>
      <c r="S49" s="528">
        <v>19</v>
      </c>
      <c r="T49" s="2205">
        <f>128*17+3</f>
        <v>2179</v>
      </c>
      <c r="U49" s="503"/>
      <c r="V49" s="2205">
        <f>128*17+3</f>
        <v>2179</v>
      </c>
      <c r="W49" s="772"/>
      <c r="X49" s="772"/>
      <c r="Y49" s="772"/>
      <c r="Z49" s="772"/>
      <c r="AA49" s="772"/>
      <c r="AB49" s="772"/>
      <c r="AC49" s="772"/>
      <c r="AD49" s="772"/>
      <c r="AE49" s="772"/>
      <c r="AF49" s="772"/>
      <c r="AG49" s="773"/>
      <c r="AH49" s="773"/>
      <c r="AI49" s="838">
        <f>128*5+37</f>
        <v>677</v>
      </c>
      <c r="AJ49" s="1383"/>
      <c r="AK49" s="1166">
        <f>110000+128*11+10</f>
        <v>111418</v>
      </c>
      <c r="AL49" s="498">
        <v>190019</v>
      </c>
      <c r="AM49" s="1020"/>
      <c r="AN49" s="707"/>
      <c r="AO49" s="331">
        <f>128*3+32</f>
        <v>416</v>
      </c>
      <c r="AP49" s="707"/>
      <c r="AQ49" s="1020"/>
      <c r="AR49" s="498">
        <v>190019</v>
      </c>
      <c r="AS49" s="498">
        <v>20</v>
      </c>
      <c r="AT49" s="2191"/>
      <c r="AU49" s="2191"/>
      <c r="AV49" s="2191"/>
      <c r="AW49" s="2191"/>
      <c r="AX49" s="2191"/>
      <c r="AY49" s="2191"/>
      <c r="AZ49" s="2191"/>
      <c r="BA49" s="2191"/>
      <c r="BB49" s="498">
        <v>20</v>
      </c>
      <c r="BC49" s="498">
        <v>190019</v>
      </c>
      <c r="BD49" s="1744"/>
      <c r="BE49" s="1744"/>
      <c r="BF49" s="1744"/>
      <c r="BG49" s="1744"/>
      <c r="BH49" s="1744">
        <f>128*5+40</f>
        <v>680</v>
      </c>
      <c r="BI49" s="2162"/>
      <c r="BJ49" s="2162"/>
      <c r="BK49" s="2162"/>
      <c r="BL49" s="498">
        <v>19</v>
      </c>
    </row>
    <row r="50" spans="1:64" ht="15.75">
      <c r="A50" s="498">
        <v>19</v>
      </c>
      <c r="B50" s="677">
        <f>24+0.117</f>
        <v>24.117000000000001</v>
      </c>
      <c r="C50" s="677">
        <f>24+0.117</f>
        <v>24.117000000000001</v>
      </c>
      <c r="D50" s="677">
        <f>24+0.117</f>
        <v>24.117000000000001</v>
      </c>
      <c r="E50" s="498">
        <v>19</v>
      </c>
      <c r="F50" s="504">
        <f>128*9+24+0.5+0.256+0.016</f>
        <v>1176.7720000000002</v>
      </c>
      <c r="G50" s="504">
        <f>128*9+24+0.5+0.256+0.015</f>
        <v>1176.7710000000002</v>
      </c>
      <c r="H50" s="504"/>
      <c r="I50" s="504"/>
      <c r="J50" s="504"/>
      <c r="K50" s="504"/>
      <c r="L50" s="504"/>
      <c r="M50" s="504">
        <f>128*9+24+0.5+0.256+0.008</f>
        <v>1176.7640000000001</v>
      </c>
      <c r="N50" s="504">
        <f>128*9+24+0.5+0.256+0.007</f>
        <v>1176.7630000000001</v>
      </c>
      <c r="O50" s="2244">
        <f>19+0.065</f>
        <v>19.065000000000001</v>
      </c>
      <c r="P50" s="757">
        <f>128*14+9</f>
        <v>1801</v>
      </c>
      <c r="Q50" s="757">
        <f>128*14+116</f>
        <v>1908</v>
      </c>
      <c r="R50" s="757">
        <f>128+53</f>
        <v>181</v>
      </c>
      <c r="S50" s="528">
        <v>19</v>
      </c>
      <c r="T50" s="2205">
        <f>128*17+3</f>
        <v>2179</v>
      </c>
      <c r="U50" s="503"/>
      <c r="V50" s="2205">
        <f>128*17+3</f>
        <v>2179</v>
      </c>
      <c r="W50" s="773"/>
      <c r="X50" s="2205">
        <f>128*17+3</f>
        <v>2179</v>
      </c>
      <c r="Y50" s="2205">
        <f>128*17+3</f>
        <v>2179</v>
      </c>
      <c r="Z50" s="503"/>
      <c r="AA50" s="2205"/>
      <c r="AB50" s="503"/>
      <c r="AC50" s="503"/>
      <c r="AD50" s="503"/>
      <c r="AE50" s="503"/>
      <c r="AF50" s="503"/>
      <c r="AG50" s="503"/>
      <c r="AH50" s="503"/>
      <c r="AI50" s="838">
        <v>42</v>
      </c>
      <c r="AJ50" s="1383"/>
      <c r="AK50" s="1383"/>
      <c r="AL50" s="1824">
        <v>190019</v>
      </c>
      <c r="AM50" s="1824">
        <v>190019</v>
      </c>
      <c r="AN50" s="1824">
        <v>190019</v>
      </c>
      <c r="AO50" s="1824">
        <v>190019</v>
      </c>
      <c r="AP50" s="1824">
        <v>190019</v>
      </c>
      <c r="AQ50" s="1824">
        <v>190019</v>
      </c>
      <c r="AR50" s="1824">
        <v>190019</v>
      </c>
      <c r="AS50" s="498">
        <v>20</v>
      </c>
      <c r="AT50" s="2191">
        <v>0.115</v>
      </c>
      <c r="AU50" s="2191"/>
      <c r="AV50" s="2191"/>
      <c r="AW50" s="2191"/>
      <c r="AX50" s="2191"/>
      <c r="AY50" s="2191"/>
      <c r="AZ50" s="2192">
        <f>128*9+83</f>
        <v>1235</v>
      </c>
      <c r="BA50" s="2192">
        <f>128*9+37+0.149</f>
        <v>1189.1489999999999</v>
      </c>
      <c r="BB50" s="498">
        <v>20</v>
      </c>
      <c r="BC50" s="498">
        <v>190019</v>
      </c>
      <c r="BD50" s="1744"/>
      <c r="BE50" s="2165">
        <f>128*9+28+0.148</f>
        <v>1180.1479999999999</v>
      </c>
      <c r="BF50" s="1744"/>
      <c r="BG50" s="1912">
        <f>128*9+49</f>
        <v>1201</v>
      </c>
      <c r="BH50" s="498">
        <v>190019</v>
      </c>
      <c r="BI50" s="2162"/>
      <c r="BJ50" s="2162"/>
      <c r="BK50" s="2163">
        <f>128*9+26+0.173</f>
        <v>1178.173</v>
      </c>
      <c r="BL50" s="498">
        <v>19</v>
      </c>
    </row>
    <row r="51" spans="1:64" ht="15.75">
      <c r="A51" s="498">
        <v>19</v>
      </c>
      <c r="B51" s="510">
        <f>0.256+0.027</f>
        <v>0.28300000000000003</v>
      </c>
      <c r="C51" s="510"/>
      <c r="D51" s="510"/>
      <c r="E51" s="504">
        <v>19</v>
      </c>
      <c r="F51" s="768">
        <f>128*4+34+0.256+0.01</f>
        <v>546.26599999999996</v>
      </c>
      <c r="G51" s="768">
        <f>128*4+34+0.256+0.01</f>
        <v>546.26599999999996</v>
      </c>
      <c r="H51" s="768">
        <f>128*4+34</f>
        <v>546</v>
      </c>
      <c r="I51" s="768">
        <f>19+0.184</f>
        <v>19.184000000000001</v>
      </c>
      <c r="J51" s="2242">
        <f>128*5+38</f>
        <v>678</v>
      </c>
      <c r="K51" s="768">
        <f>19+0.184</f>
        <v>19.184000000000001</v>
      </c>
      <c r="L51" s="768">
        <f>128*4+34</f>
        <v>546</v>
      </c>
      <c r="M51" s="768">
        <f>128*4+34+0.256+0.01</f>
        <v>546.26599999999996</v>
      </c>
      <c r="N51" s="768">
        <f>128*4+34+0.256+0.01</f>
        <v>546.26599999999996</v>
      </c>
      <c r="O51" s="528">
        <v>19</v>
      </c>
      <c r="P51" s="528">
        <v>19</v>
      </c>
      <c r="Q51" s="528">
        <v>19</v>
      </c>
      <c r="R51" s="2243">
        <f>128+53</f>
        <v>181</v>
      </c>
      <c r="S51" s="528">
        <v>19</v>
      </c>
      <c r="T51" s="498">
        <v>190019</v>
      </c>
      <c r="U51" s="498">
        <v>190019</v>
      </c>
      <c r="V51" s="498">
        <v>190019</v>
      </c>
      <c r="W51" s="498">
        <f>10000*19+128*5+37</f>
        <v>190677</v>
      </c>
      <c r="X51" s="498">
        <v>190019</v>
      </c>
      <c r="Y51" s="498">
        <v>190019</v>
      </c>
      <c r="Z51" s="498">
        <v>190019</v>
      </c>
      <c r="AA51" s="498">
        <v>190019</v>
      </c>
      <c r="AB51" s="498">
        <v>190019</v>
      </c>
      <c r="AC51" s="498">
        <v>190019</v>
      </c>
      <c r="AD51" s="498">
        <v>190019</v>
      </c>
      <c r="AE51" s="498">
        <v>190019</v>
      </c>
      <c r="AF51" s="498">
        <v>190019</v>
      </c>
      <c r="AG51" s="498">
        <v>190019</v>
      </c>
      <c r="AH51" s="498">
        <v>190019</v>
      </c>
      <c r="AI51" s="498">
        <v>190019</v>
      </c>
      <c r="AJ51" s="498">
        <v>190019</v>
      </c>
      <c r="AK51" s="1824">
        <v>190019</v>
      </c>
      <c r="AL51" s="1824">
        <v>190019</v>
      </c>
      <c r="AM51" s="503"/>
      <c r="AN51" s="503"/>
      <c r="AO51" s="503">
        <f>128*9+22</f>
        <v>1174</v>
      </c>
      <c r="AP51" s="503"/>
      <c r="AQ51" s="503">
        <f>128*9+19</f>
        <v>1171</v>
      </c>
      <c r="AR51" s="498">
        <v>200020</v>
      </c>
      <c r="AS51" s="498">
        <v>20</v>
      </c>
      <c r="AT51" s="498">
        <v>20</v>
      </c>
      <c r="AU51" s="678">
        <f>20+0.121</f>
        <v>20.120999999999999</v>
      </c>
      <c r="AV51" s="498">
        <v>20</v>
      </c>
      <c r="AW51" s="2183">
        <f>128*9+74</f>
        <v>1226</v>
      </c>
      <c r="AX51" s="2184">
        <f>128*9+74</f>
        <v>1226</v>
      </c>
      <c r="AY51" s="498">
        <v>20</v>
      </c>
      <c r="AZ51" s="498">
        <v>20</v>
      </c>
      <c r="BA51" s="498">
        <v>20</v>
      </c>
      <c r="BB51" s="498">
        <v>20</v>
      </c>
      <c r="BC51" s="505">
        <v>190019</v>
      </c>
      <c r="BD51" s="523">
        <v>190019</v>
      </c>
      <c r="BE51" s="523">
        <v>190019</v>
      </c>
      <c r="BF51" s="523">
        <v>190019</v>
      </c>
      <c r="BG51" s="523">
        <v>190019</v>
      </c>
      <c r="BH51" s="523">
        <v>190019</v>
      </c>
      <c r="BI51" s="523">
        <v>190019</v>
      </c>
      <c r="BJ51" s="523">
        <v>190019</v>
      </c>
      <c r="BK51" s="523">
        <v>190019</v>
      </c>
      <c r="BL51" s="505">
        <v>190019</v>
      </c>
    </row>
    <row r="52" spans="1:64" ht="15.75">
      <c r="A52" s="498">
        <v>19</v>
      </c>
      <c r="B52" s="1744"/>
      <c r="C52" s="1751">
        <f>128*8+4</f>
        <v>1028</v>
      </c>
      <c r="D52" s="1744"/>
      <c r="E52" s="1744">
        <f>128*5+41</f>
        <v>681</v>
      </c>
      <c r="F52" s="504"/>
      <c r="G52" s="504"/>
      <c r="H52" s="504">
        <f>128*8+3</f>
        <v>1027</v>
      </c>
      <c r="I52" s="504"/>
      <c r="J52" s="504">
        <f>128*14+8</f>
        <v>1800</v>
      </c>
      <c r="K52" s="504"/>
      <c r="L52" s="504"/>
      <c r="M52" s="504"/>
      <c r="N52" s="504"/>
      <c r="O52" s="504"/>
      <c r="P52" s="504"/>
      <c r="Q52" s="504"/>
      <c r="R52" s="752"/>
      <c r="S52" s="498">
        <v>190019</v>
      </c>
      <c r="T52" s="698">
        <v>190053</v>
      </c>
      <c r="U52" s="1817">
        <f>10000*46+128*4+47+0.017</f>
        <v>460559.01699999999</v>
      </c>
      <c r="V52" s="503">
        <f>128*4+47+0.384+0.003</f>
        <v>559.38700000000006</v>
      </c>
      <c r="W52" s="773"/>
      <c r="X52" s="503">
        <f>128*4+47+0.384+0.003</f>
        <v>559.38700000000006</v>
      </c>
      <c r="Y52" s="1817">
        <f>10000*46+128*4+47+0.017</f>
        <v>460559.01699999999</v>
      </c>
      <c r="Z52" s="528">
        <v>190053</v>
      </c>
      <c r="AA52" s="498">
        <v>190019</v>
      </c>
      <c r="AB52" s="1922">
        <v>11</v>
      </c>
      <c r="AC52" s="2219">
        <f>11+0.067</f>
        <v>11.067</v>
      </c>
      <c r="AD52" s="2214"/>
      <c r="AE52" s="2216">
        <f>128*9+50</f>
        <v>1202</v>
      </c>
      <c r="AF52" s="498">
        <v>190019</v>
      </c>
      <c r="AG52" s="1751">
        <f>128*9+48+0.122</f>
        <v>1200.1220000000001</v>
      </c>
      <c r="AH52" s="1744"/>
      <c r="AI52" s="1744"/>
      <c r="AJ52" s="1751">
        <f>128*9+4+0.5+0.256+0.001</f>
        <v>1156.7570000000001</v>
      </c>
      <c r="AK52" s="1824">
        <v>190019</v>
      </c>
      <c r="AL52" s="773"/>
      <c r="AM52" s="503"/>
      <c r="AN52" s="503">
        <v>2E-3</v>
      </c>
      <c r="AO52" s="503"/>
      <c r="AP52" s="503"/>
      <c r="AQ52" s="503">
        <f>128*9+23</f>
        <v>1175</v>
      </c>
      <c r="AR52" s="498">
        <v>200020</v>
      </c>
      <c r="AS52" s="2197">
        <f>128*9+42</f>
        <v>1194</v>
      </c>
      <c r="AT52" s="2195">
        <f>0.384+0.002</f>
        <v>0.38600000000000001</v>
      </c>
      <c r="AU52" s="2186">
        <f>128*5+40</f>
        <v>680</v>
      </c>
      <c r="AV52" s="2191"/>
      <c r="AW52" s="2191"/>
      <c r="AX52" s="2191"/>
      <c r="AY52" s="2191"/>
      <c r="AZ52" s="2186">
        <f>128*5+40</f>
        <v>680</v>
      </c>
      <c r="BA52" s="2195">
        <f>0.384+0.002</f>
        <v>0.38600000000000001</v>
      </c>
      <c r="BB52" s="2195"/>
      <c r="BC52" s="505">
        <v>20</v>
      </c>
      <c r="BL52" s="499">
        <v>24</v>
      </c>
    </row>
    <row r="53" spans="1:64" ht="15.75">
      <c r="A53" s="498">
        <v>19</v>
      </c>
      <c r="B53" s="1744"/>
      <c r="C53" s="1744"/>
      <c r="D53" s="1744"/>
      <c r="E53" s="498">
        <v>19</v>
      </c>
      <c r="F53" s="1744">
        <f>128*5+41</f>
        <v>681</v>
      </c>
      <c r="G53" s="498">
        <v>19</v>
      </c>
      <c r="H53" s="498">
        <v>19</v>
      </c>
      <c r="I53" s="504"/>
      <c r="J53" s="504"/>
      <c r="K53" s="504"/>
      <c r="L53" s="498">
        <v>190019</v>
      </c>
      <c r="M53" s="498">
        <v>190019</v>
      </c>
      <c r="N53" s="498">
        <v>190019</v>
      </c>
      <c r="O53" s="3726">
        <f>10000*19+19+0.175</f>
        <v>190019.17499999999</v>
      </c>
      <c r="P53" s="498">
        <v>190019</v>
      </c>
      <c r="Q53" s="504"/>
      <c r="R53" s="752"/>
      <c r="S53" s="498">
        <v>190019</v>
      </c>
      <c r="T53" s="698">
        <v>190053</v>
      </c>
      <c r="U53" s="1817">
        <f>10000*46+128*4+47+0.017</f>
        <v>460559.01699999999</v>
      </c>
      <c r="V53" s="503">
        <f>128*4+47</f>
        <v>559</v>
      </c>
      <c r="W53" s="773"/>
      <c r="X53" s="503">
        <f>128*4+47</f>
        <v>559</v>
      </c>
      <c r="Y53" s="1817">
        <f>10000*46+128*4+47+0.017</f>
        <v>460559.01699999999</v>
      </c>
      <c r="Z53" s="528">
        <v>190053</v>
      </c>
      <c r="AA53" s="498">
        <v>190019</v>
      </c>
      <c r="AB53" s="1922">
        <v>11</v>
      </c>
      <c r="AC53" s="2220">
        <f>128*11+11</f>
        <v>1419</v>
      </c>
      <c r="AD53" s="1922">
        <v>11</v>
      </c>
      <c r="AE53" s="2215">
        <f>128*5+35</f>
        <v>675</v>
      </c>
      <c r="AF53" s="498">
        <v>190019</v>
      </c>
      <c r="AG53" s="1751">
        <f>128*9+49</f>
        <v>1201</v>
      </c>
      <c r="AH53" s="1744"/>
      <c r="AI53" s="1744"/>
      <c r="AJ53" s="1744"/>
      <c r="AK53" s="1751">
        <f>128*4+34</f>
        <v>546</v>
      </c>
      <c r="AL53" s="773"/>
      <c r="AM53" s="503"/>
      <c r="AN53" s="503"/>
      <c r="AO53" s="503"/>
      <c r="AP53" s="503"/>
      <c r="AQ53" s="503">
        <f>128*9+24</f>
        <v>1176</v>
      </c>
      <c r="AR53" s="498">
        <v>200020</v>
      </c>
      <c r="AS53" s="2197">
        <f>128*9+5</f>
        <v>1157</v>
      </c>
      <c r="AT53" s="2195"/>
      <c r="AU53" s="498">
        <v>20</v>
      </c>
      <c r="AV53" s="2191"/>
      <c r="AW53" s="2191"/>
      <c r="AX53" s="2191"/>
      <c r="AY53" s="2191"/>
      <c r="AZ53" s="498">
        <v>20</v>
      </c>
      <c r="BA53" s="2207">
        <f>128*9+5</f>
        <v>1157</v>
      </c>
      <c r="BB53" s="2196">
        <f>128*9+42</f>
        <v>1194</v>
      </c>
      <c r="BC53" s="505">
        <v>20</v>
      </c>
      <c r="BL53" s="499">
        <v>24</v>
      </c>
    </row>
    <row r="54" spans="1:64" ht="15.75">
      <c r="A54" s="498">
        <v>19</v>
      </c>
      <c r="B54" s="1744"/>
      <c r="C54" s="1744"/>
      <c r="D54" s="1744"/>
      <c r="E54" s="498">
        <v>19</v>
      </c>
      <c r="F54" s="1744"/>
      <c r="G54" s="1752">
        <f>128*9+83</f>
        <v>1235</v>
      </c>
      <c r="H54" s="2162">
        <v>0.115</v>
      </c>
      <c r="I54" s="754">
        <f>128*4+34</f>
        <v>546</v>
      </c>
      <c r="J54" s="504">
        <f>128*8+3</f>
        <v>1027</v>
      </c>
      <c r="K54" s="770">
        <f>128*4+34</f>
        <v>546</v>
      </c>
      <c r="L54" s="2162">
        <v>0.115</v>
      </c>
      <c r="M54" s="1752">
        <f>128*9+49+0.5+0.256+0.025</f>
        <v>1201.7810000000002</v>
      </c>
      <c r="N54" s="1752">
        <f>128*9+83</f>
        <v>1235</v>
      </c>
      <c r="O54" s="1752">
        <f>128*9+83</f>
        <v>1235</v>
      </c>
      <c r="P54" s="2162">
        <v>0.115</v>
      </c>
      <c r="Q54" s="754">
        <f>128*4+34</f>
        <v>546</v>
      </c>
      <c r="R54" s="752"/>
      <c r="S54" s="498">
        <v>190019</v>
      </c>
      <c r="T54" s="698">
        <v>190053</v>
      </c>
      <c r="U54" s="1817">
        <f>10000*46+128*4+47+0.017</f>
        <v>460559.01699999999</v>
      </c>
      <c r="V54" s="503">
        <f>128*4+47+0.384+0.003</f>
        <v>559.38700000000006</v>
      </c>
      <c r="W54" s="773"/>
      <c r="X54" s="503">
        <f>128*4+47+0.384+0.003</f>
        <v>559.38700000000006</v>
      </c>
      <c r="Y54" s="1817">
        <f>10000*46+128*4+47+0.017</f>
        <v>460559.01699999999</v>
      </c>
      <c r="Z54" s="528">
        <v>190053</v>
      </c>
      <c r="AA54" s="498">
        <v>190019</v>
      </c>
      <c r="AB54" s="1922">
        <v>11</v>
      </c>
      <c r="AC54" s="1756">
        <f>128*5+30+0.15</f>
        <v>670.15</v>
      </c>
      <c r="AD54" s="1922">
        <v>11</v>
      </c>
      <c r="AE54" s="1752">
        <f>0.384+0.0038</f>
        <v>0.38780000000000003</v>
      </c>
      <c r="AF54" s="498">
        <v>190019</v>
      </c>
      <c r="AG54" s="1744">
        <f>0.256+0.023</f>
        <v>0.27900000000000003</v>
      </c>
      <c r="AH54" s="1744">
        <f>0.5+0.256+0.035</f>
        <v>0.79100000000000004</v>
      </c>
      <c r="AI54" s="1744"/>
      <c r="AJ54" s="2217">
        <v>42</v>
      </c>
      <c r="AK54" s="1824">
        <v>190019</v>
      </c>
      <c r="AL54" s="773"/>
      <c r="AM54" s="503"/>
      <c r="AN54" s="503"/>
      <c r="AO54" s="503"/>
      <c r="AP54" s="503"/>
      <c r="AQ54" s="503"/>
      <c r="AR54" s="498">
        <v>200020</v>
      </c>
      <c r="AS54" s="498">
        <v>20</v>
      </c>
      <c r="AT54" s="498">
        <v>20</v>
      </c>
      <c r="AU54" s="498">
        <v>20</v>
      </c>
      <c r="AV54" s="2191"/>
      <c r="AW54" s="2191">
        <f>0.5+0.256+0.0353</f>
        <v>0.7913</v>
      </c>
      <c r="AX54" s="2191"/>
      <c r="AY54" s="2191"/>
      <c r="AZ54" s="498">
        <v>20</v>
      </c>
      <c r="BA54" s="498">
        <v>20</v>
      </c>
      <c r="BB54" s="498">
        <v>20</v>
      </c>
      <c r="BC54" s="505">
        <v>20</v>
      </c>
      <c r="BL54" s="499">
        <v>24</v>
      </c>
    </row>
    <row r="55" spans="1:64" ht="15.75">
      <c r="A55" s="498">
        <v>19</v>
      </c>
      <c r="B55" s="1444">
        <f>128*9+41+0.5+0.256+0.0241</f>
        <v>1193.7801000000002</v>
      </c>
      <c r="C55" s="1444">
        <f>128*9+41+0.384+0.0035</f>
        <v>1193.3875</v>
      </c>
      <c r="D55" s="1444">
        <f>128*9+41+0.384+0.0035</f>
        <v>1193.3875</v>
      </c>
      <c r="E55" s="498">
        <v>19</v>
      </c>
      <c r="F55" s="1751">
        <f>128*9+48+0.122</f>
        <v>1200.1220000000001</v>
      </c>
      <c r="G55" s="1744"/>
      <c r="H55" s="498">
        <v>19</v>
      </c>
      <c r="I55" s="504"/>
      <c r="J55" s="504"/>
      <c r="K55" s="504"/>
      <c r="L55" s="498">
        <v>190019</v>
      </c>
      <c r="M55" s="1744"/>
      <c r="N55" s="1998">
        <f>0.5+0.256+0.035</f>
        <v>0.79100000000000004</v>
      </c>
      <c r="O55" s="1751">
        <f>128*8+2</f>
        <v>1026</v>
      </c>
      <c r="P55" s="2240">
        <f>128*4+34</f>
        <v>546</v>
      </c>
      <c r="Q55" s="504"/>
      <c r="R55" s="752"/>
      <c r="S55" s="498">
        <v>190019</v>
      </c>
      <c r="T55" s="498">
        <v>190019</v>
      </c>
      <c r="U55" s="498">
        <v>190019</v>
      </c>
      <c r="V55" s="498">
        <v>190019</v>
      </c>
      <c r="W55" s="1026">
        <f>128*9+32</f>
        <v>1184</v>
      </c>
      <c r="X55" s="498">
        <v>190019</v>
      </c>
      <c r="Y55" s="498">
        <v>190019</v>
      </c>
      <c r="Z55" s="498">
        <v>190019</v>
      </c>
      <c r="AA55" s="498">
        <v>190019</v>
      </c>
      <c r="AB55" s="1744"/>
      <c r="AC55" s="1744"/>
      <c r="AD55" s="1744"/>
      <c r="AE55" s="1744"/>
      <c r="AF55" s="498">
        <f>10000*19</f>
        <v>190000</v>
      </c>
      <c r="AG55" s="1744"/>
      <c r="AH55" s="1744"/>
      <c r="AI55" s="1744"/>
      <c r="AJ55" s="1744"/>
      <c r="AK55" s="1751">
        <f>128*4+34</f>
        <v>546</v>
      </c>
      <c r="AL55" s="773"/>
      <c r="AM55" s="503"/>
      <c r="AN55" s="503"/>
      <c r="AO55" s="503"/>
      <c r="AP55" s="503"/>
      <c r="AQ55" s="503">
        <f>128*9+18</f>
        <v>1170</v>
      </c>
      <c r="AR55" s="498">
        <v>200020</v>
      </c>
      <c r="AS55" s="2197">
        <f>128*9+42</f>
        <v>1194</v>
      </c>
      <c r="AT55" s="2195">
        <f>0.384+0.002</f>
        <v>0.38600000000000001</v>
      </c>
      <c r="AU55" s="2186">
        <f>128*5+40</f>
        <v>680</v>
      </c>
      <c r="AV55" s="2191"/>
      <c r="AW55" s="2191"/>
      <c r="AX55" s="2191"/>
      <c r="AY55" s="2191"/>
      <c r="AZ55" s="2186">
        <f>128*5+40</f>
        <v>680</v>
      </c>
      <c r="BA55" s="2195">
        <f>0.384+0.002</f>
        <v>0.38600000000000001</v>
      </c>
      <c r="BB55" s="2195"/>
      <c r="BC55" s="505">
        <v>20</v>
      </c>
      <c r="BL55" s="499">
        <v>24</v>
      </c>
    </row>
    <row r="56" spans="1:64" ht="15.75">
      <c r="A56" s="498">
        <v>19</v>
      </c>
      <c r="B56" s="1377"/>
      <c r="C56" s="1377"/>
      <c r="D56" s="1377"/>
      <c r="E56" s="1744">
        <f>128*5+41</f>
        <v>681</v>
      </c>
      <c r="F56" s="2165">
        <f>128*8+3</f>
        <v>1027</v>
      </c>
      <c r="G56" s="1744"/>
      <c r="H56" s="2240">
        <f>128*4+34+0.004</f>
        <v>546.00400000000002</v>
      </c>
      <c r="I56" s="510"/>
      <c r="J56" s="504"/>
      <c r="K56" s="510"/>
      <c r="L56" s="1744">
        <f>128*5+40</f>
        <v>680</v>
      </c>
      <c r="M56" s="1744">
        <f>128*8+4</f>
        <v>1028</v>
      </c>
      <c r="N56" s="2165">
        <f>128*9+48+0.122</f>
        <v>1200.1220000000001</v>
      </c>
      <c r="O56" s="2165">
        <f>128*9+48+0.122</f>
        <v>1200.1220000000001</v>
      </c>
      <c r="P56" s="2240">
        <f>128*4+34+0.004</f>
        <v>546.00400000000002</v>
      </c>
      <c r="Q56" s="504"/>
      <c r="R56" s="752"/>
      <c r="S56" s="498"/>
      <c r="T56" s="498"/>
      <c r="U56" s="498"/>
      <c r="V56" s="498"/>
      <c r="W56" s="498"/>
      <c r="X56" s="498"/>
      <c r="Y56" s="498"/>
      <c r="Z56" s="498"/>
      <c r="AA56" s="498">
        <f>128*5+30</f>
        <v>670</v>
      </c>
      <c r="AB56" s="1744"/>
      <c r="AC56" s="1744"/>
      <c r="AD56" s="1744">
        <f>128*9+83</f>
        <v>1235</v>
      </c>
      <c r="AE56" s="1744">
        <f>128*9+83</f>
        <v>1235</v>
      </c>
      <c r="AF56" s="498">
        <v>190019</v>
      </c>
      <c r="AG56" s="1751">
        <f>128*9+48+0.122</f>
        <v>1200.1220000000001</v>
      </c>
      <c r="AH56" s="1744"/>
      <c r="AI56" s="1744">
        <f>128*9+83</f>
        <v>1235</v>
      </c>
      <c r="AJ56" s="1744">
        <f>128*9+83</f>
        <v>1235</v>
      </c>
      <c r="AK56" s="1824">
        <v>190019</v>
      </c>
      <c r="AL56" s="773"/>
      <c r="AM56" s="503"/>
      <c r="AN56" s="503">
        <v>2E-3</v>
      </c>
      <c r="AO56" s="503"/>
      <c r="AP56" s="503"/>
      <c r="AQ56" s="503">
        <f>128*9+21</f>
        <v>1173</v>
      </c>
      <c r="AR56" s="498">
        <v>200020</v>
      </c>
      <c r="AS56" s="2197">
        <f>128*9+5</f>
        <v>1157</v>
      </c>
      <c r="AT56" s="2195">
        <f>0.256+0.001</f>
        <v>0.25700000000000001</v>
      </c>
      <c r="AU56" s="498">
        <v>20</v>
      </c>
      <c r="AV56" s="2191"/>
      <c r="AW56" s="2191"/>
      <c r="AX56" s="2191"/>
      <c r="AY56" s="2191"/>
      <c r="AZ56" s="498">
        <v>20</v>
      </c>
      <c r="BA56" s="2207">
        <f>128*9+5</f>
        <v>1157</v>
      </c>
      <c r="BB56" s="2196">
        <f>128*9+42</f>
        <v>1194</v>
      </c>
      <c r="BC56" s="505">
        <v>20</v>
      </c>
      <c r="BL56" s="499">
        <v>24</v>
      </c>
    </row>
    <row r="57" spans="1:64" ht="15.75">
      <c r="A57" s="498">
        <v>19</v>
      </c>
      <c r="B57" s="498">
        <v>19</v>
      </c>
      <c r="C57" s="498">
        <v>19</v>
      </c>
      <c r="D57" s="498">
        <v>19</v>
      </c>
      <c r="E57" s="498">
        <v>19</v>
      </c>
      <c r="F57" s="498">
        <v>19</v>
      </c>
      <c r="G57" s="498">
        <v>19</v>
      </c>
      <c r="H57" s="498">
        <v>19</v>
      </c>
      <c r="I57" s="498">
        <v>19</v>
      </c>
      <c r="J57" s="2241">
        <f>128*9+68+0.215</f>
        <v>1220.2149999999999</v>
      </c>
      <c r="K57" s="498">
        <v>19</v>
      </c>
      <c r="L57" s="498">
        <v>19</v>
      </c>
      <c r="M57" s="2162">
        <v>0.115</v>
      </c>
      <c r="N57" s="498">
        <v>19</v>
      </c>
      <c r="O57" s="498">
        <v>19</v>
      </c>
      <c r="P57" s="498">
        <v>19</v>
      </c>
      <c r="Q57" s="498">
        <v>19</v>
      </c>
      <c r="R57" s="498">
        <v>19</v>
      </c>
      <c r="S57" s="677">
        <f t="shared" ref="S57:Z57" si="8">128*4+47</f>
        <v>559</v>
      </c>
      <c r="T57" s="677">
        <f t="shared" si="8"/>
        <v>559</v>
      </c>
      <c r="U57" s="677">
        <f t="shared" si="8"/>
        <v>559</v>
      </c>
      <c r="V57" s="677">
        <f t="shared" si="8"/>
        <v>559</v>
      </c>
      <c r="W57" s="677">
        <f t="shared" si="8"/>
        <v>559</v>
      </c>
      <c r="X57" s="677">
        <f t="shared" si="8"/>
        <v>559</v>
      </c>
      <c r="Y57" s="677">
        <f t="shared" si="8"/>
        <v>559</v>
      </c>
      <c r="Z57" s="677">
        <f t="shared" si="8"/>
        <v>559</v>
      </c>
      <c r="AA57" s="498">
        <v>19</v>
      </c>
      <c r="AB57" s="498">
        <f t="shared" ref="AB57:AJ57" si="9">10000*50+19</f>
        <v>500019</v>
      </c>
      <c r="AC57" s="498">
        <f t="shared" si="9"/>
        <v>500019</v>
      </c>
      <c r="AD57" s="498">
        <f t="shared" si="9"/>
        <v>500019</v>
      </c>
      <c r="AE57" s="498">
        <f t="shared" si="9"/>
        <v>500019</v>
      </c>
      <c r="AF57" s="498">
        <f t="shared" si="9"/>
        <v>500019</v>
      </c>
      <c r="AG57" s="498">
        <f t="shared" si="9"/>
        <v>500019</v>
      </c>
      <c r="AH57" s="498">
        <f t="shared" si="9"/>
        <v>500019</v>
      </c>
      <c r="AI57" s="498">
        <f t="shared" si="9"/>
        <v>500019</v>
      </c>
      <c r="AJ57" s="498">
        <f t="shared" si="9"/>
        <v>500019</v>
      </c>
      <c r="AK57" s="1824">
        <v>190019</v>
      </c>
      <c r="AL57" s="1824">
        <v>190019</v>
      </c>
      <c r="AM57" s="1824">
        <v>190019</v>
      </c>
      <c r="AN57" s="1824">
        <v>190019</v>
      </c>
      <c r="AO57" s="1824">
        <v>190019</v>
      </c>
      <c r="AP57" s="1824">
        <v>190019</v>
      </c>
      <c r="AQ57" s="1824">
        <v>190019</v>
      </c>
      <c r="AR57" s="498">
        <v>200020</v>
      </c>
      <c r="AS57" s="498">
        <v>20</v>
      </c>
      <c r="AT57" s="498">
        <v>20</v>
      </c>
      <c r="AU57" s="498">
        <v>20</v>
      </c>
      <c r="AV57" s="2191"/>
      <c r="AW57" s="2191">
        <f>0.5+0.256+0.0353</f>
        <v>0.7913</v>
      </c>
      <c r="AX57" s="2191"/>
      <c r="AY57" s="2191"/>
      <c r="AZ57" s="498">
        <v>20</v>
      </c>
      <c r="BA57" s="498">
        <v>20</v>
      </c>
      <c r="BB57" s="498">
        <v>20</v>
      </c>
      <c r="BC57" s="505">
        <v>20</v>
      </c>
      <c r="BL57" s="499">
        <v>24</v>
      </c>
    </row>
    <row r="58" spans="1:64" ht="15">
      <c r="A58" s="498">
        <v>20</v>
      </c>
      <c r="B58" s="535">
        <f>128*8+3</f>
        <v>1027</v>
      </c>
      <c r="C58" s="503">
        <f>128*10+1</f>
        <v>1281</v>
      </c>
      <c r="D58" s="503">
        <f>128*9+20</f>
        <v>1172</v>
      </c>
      <c r="E58" s="503"/>
      <c r="F58" s="3102">
        <f>128*17+8</f>
        <v>2184</v>
      </c>
      <c r="G58" s="503"/>
      <c r="H58" s="503"/>
      <c r="I58" s="503"/>
      <c r="J58" s="503"/>
      <c r="K58" s="503"/>
      <c r="L58" s="503"/>
      <c r="M58" s="532">
        <f>128*4+34</f>
        <v>546</v>
      </c>
      <c r="N58" s="503"/>
      <c r="O58" s="503"/>
      <c r="P58" s="3101">
        <f>128*17+8</f>
        <v>2184</v>
      </c>
      <c r="Q58" s="503"/>
      <c r="R58" s="534">
        <f>128*4+47</f>
        <v>559</v>
      </c>
      <c r="S58" s="503">
        <f>128*10+16</f>
        <v>1296</v>
      </c>
      <c r="T58" s="503"/>
      <c r="U58" s="503"/>
      <c r="V58" s="503"/>
      <c r="W58" s="503"/>
      <c r="X58" s="503"/>
      <c r="Y58" s="503"/>
      <c r="Z58" s="503"/>
      <c r="AA58" s="503"/>
      <c r="AB58" s="503"/>
      <c r="AC58" s="503"/>
      <c r="AD58" s="503"/>
      <c r="AE58" s="503">
        <f>128*9+25</f>
        <v>1177</v>
      </c>
      <c r="AF58" s="503"/>
      <c r="AG58" s="503"/>
      <c r="AH58" s="503"/>
      <c r="AI58" s="533">
        <f>128*9+33+0.114</f>
        <v>1185.114</v>
      </c>
      <c r="AJ58" s="1817">
        <f>460000+128*6+17</f>
        <v>460785</v>
      </c>
      <c r="AK58" s="533">
        <f>128*9+33+0.114</f>
        <v>1185.114</v>
      </c>
      <c r="AL58" s="1817">
        <f>460000+128*6+17</f>
        <v>460785</v>
      </c>
      <c r="AM58" s="533">
        <f>128*9+33+0.114</f>
        <v>1185.114</v>
      </c>
      <c r="AN58" s="2089">
        <f>460000+128*6+17</f>
        <v>460785</v>
      </c>
      <c r="AO58" s="2089">
        <f>460000+128*9+25</f>
        <v>461177</v>
      </c>
      <c r="AP58" s="2089">
        <f>460000+128*6+17</f>
        <v>460785</v>
      </c>
      <c r="AQ58" s="2089">
        <f>128*10+15</f>
        <v>1295</v>
      </c>
      <c r="AR58" s="498">
        <v>200020</v>
      </c>
      <c r="AS58" s="2197">
        <f>128*9+42</f>
        <v>1194</v>
      </c>
      <c r="AT58" s="2195">
        <f>0.384+0.002</f>
        <v>0.38600000000000001</v>
      </c>
      <c r="AU58" s="2186">
        <f>128*5+40</f>
        <v>680</v>
      </c>
      <c r="AV58" s="2191"/>
      <c r="AW58" s="2191"/>
      <c r="AX58" s="2191"/>
      <c r="AY58" s="2191"/>
      <c r="AZ58" s="2186">
        <f>128*5+40</f>
        <v>680</v>
      </c>
      <c r="BA58" s="2195">
        <f>0.384+0.002</f>
        <v>0.38600000000000001</v>
      </c>
      <c r="BB58" s="2195"/>
      <c r="BC58" s="505">
        <v>20</v>
      </c>
      <c r="BL58" s="499">
        <v>24</v>
      </c>
    </row>
    <row r="59" spans="1:64" ht="15">
      <c r="A59" s="498">
        <v>20</v>
      </c>
      <c r="B59" s="535">
        <f>128*8+4</f>
        <v>1028</v>
      </c>
      <c r="C59" s="535">
        <f>128*8+3</f>
        <v>1027</v>
      </c>
      <c r="D59" s="503">
        <f>128*9+21</f>
        <v>1173</v>
      </c>
      <c r="E59" s="503"/>
      <c r="F59" s="503"/>
      <c r="G59" s="503"/>
      <c r="H59" s="503"/>
      <c r="I59" s="503"/>
      <c r="J59" s="503"/>
      <c r="K59" s="503"/>
      <c r="L59" s="503"/>
      <c r="M59" s="503"/>
      <c r="N59" s="503"/>
      <c r="O59" s="503"/>
      <c r="P59" s="503"/>
      <c r="Q59" s="503"/>
      <c r="R59" s="534">
        <f>128*4+47</f>
        <v>559</v>
      </c>
      <c r="S59" s="503">
        <f>128*9+25</f>
        <v>1177</v>
      </c>
      <c r="T59" s="503"/>
      <c r="U59" s="503"/>
      <c r="V59" s="503">
        <f>128*9+25</f>
        <v>1177</v>
      </c>
      <c r="W59" s="503"/>
      <c r="X59" s="503"/>
      <c r="Y59" s="503"/>
      <c r="Z59" s="503">
        <f>128*9+25</f>
        <v>1177</v>
      </c>
      <c r="AA59" s="503"/>
      <c r="AB59" s="503">
        <f>128*9+25</f>
        <v>1177</v>
      </c>
      <c r="AC59" s="503"/>
      <c r="AD59" s="503"/>
      <c r="AE59" s="503"/>
      <c r="AF59" s="503"/>
      <c r="AG59" s="503"/>
      <c r="AH59" s="503">
        <f>128*9+25</f>
        <v>1177</v>
      </c>
      <c r="AI59" s="503"/>
      <c r="AJ59" s="503">
        <f>128*8+3</f>
        <v>1027</v>
      </c>
      <c r="AK59" s="503">
        <f>128*9+25</f>
        <v>1177</v>
      </c>
      <c r="AL59" s="503"/>
      <c r="AM59" s="503"/>
      <c r="AN59" s="503">
        <f>128*9+25</f>
        <v>1177</v>
      </c>
      <c r="AO59" s="533">
        <f>128*9+33</f>
        <v>1185</v>
      </c>
      <c r="AP59" s="533">
        <f>128*9+33+0.114</f>
        <v>1185.114</v>
      </c>
      <c r="AQ59" s="2089">
        <f>460000+128*9+25</f>
        <v>461177</v>
      </c>
      <c r="AR59" s="498">
        <v>200020</v>
      </c>
      <c r="AS59" s="2197">
        <f>128*9+5</f>
        <v>1157</v>
      </c>
      <c r="AT59" s="2195"/>
      <c r="AU59" s="498">
        <v>20</v>
      </c>
      <c r="AV59" s="2191"/>
      <c r="AW59" s="2191"/>
      <c r="AX59" s="2191"/>
      <c r="AY59" s="2191"/>
      <c r="AZ59" s="498">
        <v>20</v>
      </c>
      <c r="BA59" s="2207">
        <f>128*9+5</f>
        <v>1157</v>
      </c>
      <c r="BB59" s="2196">
        <f>128*9+42</f>
        <v>1194</v>
      </c>
      <c r="BC59" s="505">
        <v>20</v>
      </c>
      <c r="BL59" s="499">
        <v>24</v>
      </c>
    </row>
    <row r="60" spans="1:64" ht="15">
      <c r="A60" s="498">
        <v>20</v>
      </c>
      <c r="B60" s="535">
        <f>128*8+4</f>
        <v>1028</v>
      </c>
      <c r="C60" s="535">
        <f>128*8+3</f>
        <v>1027</v>
      </c>
      <c r="D60" s="503">
        <f>128*9+19</f>
        <v>1171</v>
      </c>
      <c r="E60" s="503"/>
      <c r="F60" s="503"/>
      <c r="G60" s="503"/>
      <c r="H60" s="503"/>
      <c r="I60" s="503"/>
      <c r="J60" s="503"/>
      <c r="K60" s="503"/>
      <c r="L60" s="503"/>
      <c r="M60" s="503"/>
      <c r="N60" s="503"/>
      <c r="O60" s="503"/>
      <c r="P60" s="503"/>
      <c r="Q60" s="503"/>
      <c r="R60" s="504">
        <v>21</v>
      </c>
      <c r="S60" s="533">
        <f>128*4+47</f>
        <v>559</v>
      </c>
      <c r="T60" s="504">
        <v>21</v>
      </c>
      <c r="U60" s="504">
        <v>21</v>
      </c>
      <c r="V60" s="533">
        <f>128*4+47</f>
        <v>559</v>
      </c>
      <c r="W60" s="533">
        <f>128*4+47</f>
        <v>559</v>
      </c>
      <c r="X60" s="533">
        <f>128*4+47</f>
        <v>559</v>
      </c>
      <c r="Y60" s="533">
        <f>128*4+47</f>
        <v>559</v>
      </c>
      <c r="Z60" s="504">
        <v>21</v>
      </c>
      <c r="AA60" s="504">
        <v>21</v>
      </c>
      <c r="AB60" s="533">
        <f t="shared" ref="AB60:AQ60" si="10">128*4+47</f>
        <v>559</v>
      </c>
      <c r="AC60" s="533">
        <f t="shared" si="10"/>
        <v>559</v>
      </c>
      <c r="AD60" s="533">
        <f t="shared" si="10"/>
        <v>559</v>
      </c>
      <c r="AE60" s="533">
        <f t="shared" si="10"/>
        <v>559</v>
      </c>
      <c r="AF60" s="504">
        <v>21</v>
      </c>
      <c r="AG60" s="504">
        <v>21</v>
      </c>
      <c r="AH60" s="533">
        <f t="shared" si="10"/>
        <v>559</v>
      </c>
      <c r="AI60" s="533">
        <f t="shared" si="10"/>
        <v>559</v>
      </c>
      <c r="AJ60" s="533">
        <f t="shared" si="10"/>
        <v>559</v>
      </c>
      <c r="AK60" s="533">
        <f t="shared" si="10"/>
        <v>559</v>
      </c>
      <c r="AL60" s="504">
        <v>21</v>
      </c>
      <c r="AM60" s="533">
        <f>128*5+47</f>
        <v>687</v>
      </c>
      <c r="AN60" s="504">
        <v>21</v>
      </c>
      <c r="AO60" s="533">
        <f t="shared" si="10"/>
        <v>559</v>
      </c>
      <c r="AP60" s="533">
        <f t="shared" si="10"/>
        <v>559</v>
      </c>
      <c r="AQ60" s="533">
        <f t="shared" si="10"/>
        <v>559</v>
      </c>
      <c r="AR60" s="498">
        <v>200020</v>
      </c>
      <c r="AS60" s="498">
        <v>20</v>
      </c>
      <c r="AT60" s="498">
        <v>20</v>
      </c>
      <c r="AU60" s="498">
        <v>20</v>
      </c>
      <c r="AV60" s="2191"/>
      <c r="AW60" s="2191">
        <f>0.5+0.256+0.0353</f>
        <v>0.7913</v>
      </c>
      <c r="AX60" s="2191"/>
      <c r="AY60" s="2191"/>
      <c r="AZ60" s="498">
        <v>20</v>
      </c>
      <c r="BA60" s="498">
        <v>20</v>
      </c>
      <c r="BB60" s="498">
        <v>20</v>
      </c>
      <c r="BC60" s="505">
        <v>20</v>
      </c>
      <c r="BL60" s="499">
        <v>24</v>
      </c>
    </row>
    <row r="61" spans="1:64" ht="15">
      <c r="A61" s="499">
        <v>20</v>
      </c>
      <c r="B61" s="503"/>
      <c r="C61" s="503"/>
      <c r="D61" s="503"/>
      <c r="E61" s="503"/>
      <c r="F61" s="503"/>
      <c r="G61" s="498">
        <v>200020</v>
      </c>
      <c r="H61" s="503">
        <f>128*9+34</f>
        <v>1186</v>
      </c>
      <c r="I61" s="503">
        <f>128*9+34</f>
        <v>1186</v>
      </c>
      <c r="J61" s="503">
        <f>128*9+34</f>
        <v>1186</v>
      </c>
      <c r="K61" s="514">
        <f>128*9+32</f>
        <v>1184</v>
      </c>
      <c r="L61" s="503">
        <f>128*9+34</f>
        <v>1186</v>
      </c>
      <c r="M61" s="503">
        <f>128*9+34</f>
        <v>1186</v>
      </c>
      <c r="N61" s="503">
        <f>128*9+34</f>
        <v>1186</v>
      </c>
      <c r="O61" s="498">
        <v>200020</v>
      </c>
      <c r="P61" s="503"/>
      <c r="Q61" s="503"/>
      <c r="R61" s="503"/>
      <c r="S61" s="503"/>
      <c r="T61" s="503"/>
      <c r="U61" s="503"/>
      <c r="V61" s="503"/>
      <c r="W61" s="503"/>
      <c r="X61" s="503"/>
      <c r="Y61" s="503"/>
      <c r="Z61" s="503"/>
      <c r="AA61" s="503"/>
      <c r="AB61" s="503"/>
      <c r="AC61" s="503"/>
      <c r="AD61" s="503"/>
      <c r="AE61" s="503"/>
      <c r="AF61" s="503"/>
      <c r="AG61" s="503"/>
      <c r="AH61" s="503"/>
      <c r="AI61" s="503"/>
      <c r="AJ61" s="503"/>
      <c r="AK61" s="503"/>
      <c r="AL61" s="503"/>
      <c r="AM61" s="503"/>
      <c r="AN61" s="503"/>
      <c r="AO61" s="503"/>
      <c r="AP61" s="503"/>
      <c r="AQ61" s="503"/>
      <c r="AR61" s="498">
        <v>200020</v>
      </c>
      <c r="AS61" s="2197">
        <f>128*9+42</f>
        <v>1194</v>
      </c>
      <c r="AT61" s="2195">
        <f>0.384+0.002</f>
        <v>0.38600000000000001</v>
      </c>
      <c r="AU61" s="2186">
        <f>128*5+40</f>
        <v>680</v>
      </c>
      <c r="AV61" s="2191"/>
      <c r="AW61" s="2191"/>
      <c r="AX61" s="2191"/>
      <c r="AY61" s="2191"/>
      <c r="AZ61" s="2186">
        <f>128*5+40</f>
        <v>680</v>
      </c>
      <c r="BA61" s="2195">
        <f>0.384+0.002</f>
        <v>0.38600000000000001</v>
      </c>
      <c r="BB61" s="2195"/>
      <c r="BC61" s="505">
        <v>20</v>
      </c>
      <c r="BL61" s="499">
        <v>24</v>
      </c>
    </row>
    <row r="62" spans="1:64" ht="15">
      <c r="A62" s="499">
        <v>20</v>
      </c>
      <c r="B62" s="503"/>
      <c r="C62" s="503"/>
      <c r="D62" s="503"/>
      <c r="E62" s="503"/>
      <c r="F62" s="503"/>
      <c r="G62" s="534">
        <f>128*9+34</f>
        <v>1186</v>
      </c>
      <c r="H62" s="503"/>
      <c r="I62" s="503"/>
      <c r="J62" s="503"/>
      <c r="K62" s="514"/>
      <c r="L62" s="503"/>
      <c r="M62" s="503"/>
      <c r="N62" s="503"/>
      <c r="O62" s="535">
        <f>128*9+34</f>
        <v>1186</v>
      </c>
      <c r="P62" s="503"/>
      <c r="Q62" s="503"/>
      <c r="R62" s="503"/>
      <c r="S62" s="503"/>
      <c r="T62" s="503"/>
      <c r="U62" s="503"/>
      <c r="V62" s="503"/>
      <c r="W62" s="503"/>
      <c r="X62" s="503"/>
      <c r="Y62" s="503"/>
      <c r="Z62" s="503"/>
      <c r="AA62" s="503"/>
      <c r="AB62" s="503"/>
      <c r="AC62" s="503"/>
      <c r="AD62" s="503"/>
      <c r="AE62" s="503"/>
      <c r="AF62" s="503"/>
      <c r="AG62" s="503"/>
      <c r="AH62" s="503"/>
      <c r="AI62" s="503"/>
      <c r="AJ62" s="503"/>
      <c r="AK62" s="503"/>
      <c r="AL62" s="503"/>
      <c r="AM62" s="503"/>
      <c r="AN62" s="503"/>
      <c r="AO62" s="503"/>
      <c r="AP62" s="503"/>
      <c r="AQ62" s="503"/>
      <c r="AR62" s="498">
        <v>200020</v>
      </c>
      <c r="AS62" s="2197">
        <f>128*9+5</f>
        <v>1157</v>
      </c>
      <c r="AT62" s="2195"/>
      <c r="AU62" s="498">
        <v>20</v>
      </c>
      <c r="AV62" s="2191"/>
      <c r="AW62" s="2191"/>
      <c r="AX62" s="2191"/>
      <c r="AY62" s="2191"/>
      <c r="AZ62" s="498">
        <v>20</v>
      </c>
      <c r="BA62" s="2207">
        <f>128*9+5</f>
        <v>1157</v>
      </c>
      <c r="BB62" s="2196">
        <f>128*9+42</f>
        <v>1194</v>
      </c>
      <c r="BC62" s="505">
        <v>20</v>
      </c>
      <c r="BL62" s="499">
        <v>24</v>
      </c>
    </row>
    <row r="63" spans="1:64" ht="15">
      <c r="A63" s="499">
        <v>20</v>
      </c>
      <c r="B63" s="498">
        <v>200020</v>
      </c>
      <c r="C63" s="498">
        <v>200020</v>
      </c>
      <c r="D63" s="503">
        <f>128*9+34</f>
        <v>1186</v>
      </c>
      <c r="E63" s="503">
        <f>128*9+34</f>
        <v>1186</v>
      </c>
      <c r="F63" s="503">
        <f>128*9+34</f>
        <v>1186</v>
      </c>
      <c r="G63" s="2208">
        <f>128*9+27</f>
        <v>1179</v>
      </c>
      <c r="H63" s="503"/>
      <c r="I63" s="503"/>
      <c r="J63" s="503"/>
      <c r="K63" s="514"/>
      <c r="L63" s="503"/>
      <c r="M63" s="503"/>
      <c r="N63" s="503"/>
      <c r="O63" s="2206">
        <f>128*9+27</f>
        <v>1179</v>
      </c>
      <c r="P63" s="503">
        <f>128*9+34</f>
        <v>1186</v>
      </c>
      <c r="Q63" s="503">
        <f>128*9+34</f>
        <v>1186</v>
      </c>
      <c r="R63" s="503">
        <f>128*9+34</f>
        <v>1186</v>
      </c>
      <c r="S63" s="503">
        <f>128*9+34</f>
        <v>1186</v>
      </c>
      <c r="T63" s="498">
        <v>200020</v>
      </c>
      <c r="U63" s="498">
        <v>200020</v>
      </c>
      <c r="V63" s="503">
        <f>128*9+34</f>
        <v>1186</v>
      </c>
      <c r="W63" s="503">
        <f>128*9+34</f>
        <v>1186</v>
      </c>
      <c r="X63" s="503">
        <f>128*9+34</f>
        <v>1186</v>
      </c>
      <c r="Y63" s="503">
        <f>128*9+34</f>
        <v>1186</v>
      </c>
      <c r="Z63" s="498">
        <v>200020</v>
      </c>
      <c r="AA63" s="498">
        <v>200020</v>
      </c>
      <c r="AB63" s="503">
        <f>128*9+34</f>
        <v>1186</v>
      </c>
      <c r="AC63" s="503">
        <f>128*9+34</f>
        <v>1186</v>
      </c>
      <c r="AD63" s="503">
        <f>128*9+34</f>
        <v>1186</v>
      </c>
      <c r="AE63" s="503">
        <f>128*9+34</f>
        <v>1186</v>
      </c>
      <c r="AF63" s="498">
        <v>200020</v>
      </c>
      <c r="AG63" s="498">
        <v>200020</v>
      </c>
      <c r="AH63" s="503">
        <f>128*9+34</f>
        <v>1186</v>
      </c>
      <c r="AI63" s="503">
        <f>128*9+34</f>
        <v>1186</v>
      </c>
      <c r="AJ63" s="503">
        <f>128*9+34</f>
        <v>1186</v>
      </c>
      <c r="AK63" s="503">
        <f>128*9+34</f>
        <v>1186</v>
      </c>
      <c r="AL63" s="498">
        <v>200020</v>
      </c>
      <c r="AM63" s="498">
        <v>200020</v>
      </c>
      <c r="AN63" s="503">
        <f>128*9+34</f>
        <v>1186</v>
      </c>
      <c r="AO63" s="503">
        <f>128*9+34</f>
        <v>1186</v>
      </c>
      <c r="AP63" s="503">
        <f>128*9+34</f>
        <v>1186</v>
      </c>
      <c r="AQ63" s="503">
        <f>128*9+34</f>
        <v>1186</v>
      </c>
      <c r="AR63" s="498">
        <v>200020</v>
      </c>
      <c r="AS63" s="498">
        <v>20</v>
      </c>
      <c r="AT63" s="498">
        <v>20</v>
      </c>
      <c r="AU63" s="498">
        <v>20</v>
      </c>
      <c r="AV63" s="498">
        <v>20</v>
      </c>
      <c r="AW63" s="2146">
        <f>180000+128*9+68+0.215</f>
        <v>181220.215</v>
      </c>
      <c r="AX63" s="2146">
        <f>180000+128*9+68+0.215</f>
        <v>181220.215</v>
      </c>
      <c r="AY63" s="498">
        <v>20</v>
      </c>
      <c r="AZ63" s="498">
        <v>20</v>
      </c>
      <c r="BA63" s="677">
        <f>20+0.134</f>
        <v>20.134</v>
      </c>
      <c r="BB63" s="2008">
        <f>20+0.175</f>
        <v>20.175000000000001</v>
      </c>
      <c r="BC63" s="505">
        <v>20</v>
      </c>
      <c r="BL63" s="499">
        <v>24</v>
      </c>
    </row>
    <row r="64" spans="1:64" ht="15">
      <c r="A64" s="499">
        <v>20</v>
      </c>
      <c r="B64" s="503"/>
      <c r="C64" s="503"/>
      <c r="D64" s="503"/>
      <c r="E64" s="503"/>
      <c r="F64" s="503"/>
      <c r="G64" s="503"/>
      <c r="H64" s="503"/>
      <c r="I64" s="514"/>
      <c r="J64" s="514"/>
      <c r="K64" s="514"/>
      <c r="L64" s="514"/>
      <c r="M64" s="514">
        <v>6.0499999999999998E-2</v>
      </c>
      <c r="N64" s="514"/>
      <c r="O64" s="773"/>
      <c r="P64" s="773"/>
      <c r="Q64" s="773"/>
      <c r="R64" s="773"/>
      <c r="S64" s="773"/>
      <c r="T64" s="773"/>
      <c r="U64" s="773"/>
      <c r="V64" s="773"/>
      <c r="W64" s="773"/>
      <c r="X64" s="773"/>
      <c r="Y64" s="503"/>
      <c r="Z64" s="503"/>
      <c r="AA64" s="503"/>
      <c r="AB64" s="503"/>
      <c r="AC64" s="503"/>
      <c r="AD64" s="503"/>
      <c r="AE64" s="503"/>
      <c r="AF64" s="503"/>
      <c r="AG64" s="503"/>
      <c r="AH64" s="503"/>
      <c r="AI64" s="503"/>
      <c r="AJ64" s="503"/>
      <c r="AK64" s="503"/>
      <c r="AL64" s="503"/>
      <c r="AM64" s="503"/>
      <c r="AN64" s="503"/>
      <c r="AO64" s="503"/>
      <c r="AP64" s="503"/>
      <c r="AQ64" s="503"/>
      <c r="AR64" s="498">
        <v>200020</v>
      </c>
      <c r="AS64" s="2194">
        <f>128*9+56</f>
        <v>1208</v>
      </c>
      <c r="AT64" s="2193">
        <f>128*6+120+0.384+0.0042</f>
        <v>888.38819999999998</v>
      </c>
      <c r="AU64" s="498">
        <v>20</v>
      </c>
      <c r="AV64" s="2191"/>
      <c r="AW64" s="2191"/>
      <c r="AX64" s="2191"/>
      <c r="AY64" s="2191"/>
      <c r="AZ64" s="2199">
        <f>128*4+34+0.115</f>
        <v>546.11500000000001</v>
      </c>
      <c r="BA64" s="2200">
        <f>128*9+49+0.5+0.256+0.0216</f>
        <v>1201.7776000000001</v>
      </c>
      <c r="BB64" s="2201">
        <f>128*9+4+0.5+0.256+0.001</f>
        <v>1156.7570000000001</v>
      </c>
      <c r="BC64" s="505">
        <v>20</v>
      </c>
      <c r="BL64" s="499">
        <v>24</v>
      </c>
    </row>
    <row r="65" spans="1:64" ht="15.75">
      <c r="A65" s="499">
        <v>20</v>
      </c>
      <c r="B65" s="503"/>
      <c r="C65" s="503">
        <f>128*9+25</f>
        <v>1177</v>
      </c>
      <c r="D65" s="503"/>
      <c r="E65" s="503"/>
      <c r="F65" s="503"/>
      <c r="G65" s="503"/>
      <c r="H65" s="503"/>
      <c r="I65" s="514"/>
      <c r="J65" s="503"/>
      <c r="K65" s="503"/>
      <c r="L65" s="1904">
        <v>190019</v>
      </c>
      <c r="M65" s="705">
        <f>190000+128*5+41</f>
        <v>190681</v>
      </c>
      <c r="N65" s="1904">
        <v>190019</v>
      </c>
      <c r="O65" s="1904">
        <v>190019</v>
      </c>
      <c r="P65" s="1904">
        <v>190019</v>
      </c>
      <c r="Q65" s="503"/>
      <c r="R65" s="503"/>
      <c r="S65" s="503"/>
      <c r="T65" s="503"/>
      <c r="U65" s="503"/>
      <c r="V65" s="503"/>
      <c r="W65" s="503"/>
      <c r="X65" s="773"/>
      <c r="Y65" s="503"/>
      <c r="Z65" s="503"/>
      <c r="AA65" s="503"/>
      <c r="AB65" s="503"/>
      <c r="AC65" s="503"/>
      <c r="AD65" s="503"/>
      <c r="AE65" s="503"/>
      <c r="AF65" s="503"/>
      <c r="AG65" s="503"/>
      <c r="AH65" s="503"/>
      <c r="AI65" s="503"/>
      <c r="AJ65" s="503"/>
      <c r="AK65" s="503"/>
      <c r="AL65" s="771">
        <v>200020</v>
      </c>
      <c r="AM65" s="771">
        <v>200020</v>
      </c>
      <c r="AN65" s="771">
        <v>200020</v>
      </c>
      <c r="AO65" s="771">
        <v>200020</v>
      </c>
      <c r="AP65" s="771">
        <v>200020</v>
      </c>
      <c r="AQ65" s="503"/>
      <c r="AR65" s="498">
        <v>200020</v>
      </c>
      <c r="AS65" s="2194">
        <f>128*9+56</f>
        <v>1208</v>
      </c>
      <c r="AT65" s="2191"/>
      <c r="AU65" s="2183">
        <f>128*5+41+0.1545</f>
        <v>681.15449999999998</v>
      </c>
      <c r="AV65" s="2191"/>
      <c r="AW65" s="2191">
        <f>0.5+0.256+0.0353</f>
        <v>0.7913</v>
      </c>
      <c r="AX65" s="2191"/>
      <c r="AY65" s="2191"/>
      <c r="AZ65" s="2199">
        <f>128*4+34+0.256+0.017</f>
        <v>546.27300000000002</v>
      </c>
      <c r="BA65" s="2202"/>
      <c r="BB65" s="2199">
        <f>128*9+48+0.122</f>
        <v>1200.1220000000001</v>
      </c>
      <c r="BC65" s="505">
        <v>20</v>
      </c>
      <c r="BL65" s="499">
        <v>24</v>
      </c>
    </row>
    <row r="66" spans="1:64" ht="15.75">
      <c r="A66" s="499">
        <v>20</v>
      </c>
      <c r="B66" s="503"/>
      <c r="C66" s="503"/>
      <c r="D66" s="503"/>
      <c r="E66" s="503"/>
      <c r="F66" s="503">
        <f>128*9+25</f>
        <v>1177</v>
      </c>
      <c r="G66" s="503"/>
      <c r="H66" s="503"/>
      <c r="I66" s="514"/>
      <c r="J66" s="503"/>
      <c r="K66" s="503"/>
      <c r="L66" s="1904">
        <v>190019</v>
      </c>
      <c r="M66" s="1444">
        <f>128*8+3</f>
        <v>1027</v>
      </c>
      <c r="N66" s="705">
        <f>190000+128*5+41</f>
        <v>190681</v>
      </c>
      <c r="O66" s="838"/>
      <c r="P66" s="498">
        <f>190019+0.143</f>
        <v>190019.14300000001</v>
      </c>
      <c r="Q66" s="503"/>
      <c r="R66" s="503"/>
      <c r="S66" s="503"/>
      <c r="T66" s="503"/>
      <c r="U66" s="503">
        <f>128*6+3</f>
        <v>771</v>
      </c>
      <c r="V66" s="503"/>
      <c r="W66" s="503"/>
      <c r="X66" s="773"/>
      <c r="Y66" s="773"/>
      <c r="Z66" s="773"/>
      <c r="AA66" s="773"/>
      <c r="AB66" s="773"/>
      <c r="AC66" s="773"/>
      <c r="AD66" s="773"/>
      <c r="AE66" s="773"/>
      <c r="AF66" s="773"/>
      <c r="AG66" s="773"/>
      <c r="AH66" s="773"/>
      <c r="AI66" s="773"/>
      <c r="AJ66" s="773"/>
      <c r="AK66" s="773"/>
      <c r="AL66" s="705">
        <f>200000+128*5+41+0.021</f>
        <v>200681.02100000001</v>
      </c>
      <c r="AM66" s="1703"/>
      <c r="AN66" s="1703"/>
      <c r="AO66" s="1703">
        <f>128*9+21</f>
        <v>1173</v>
      </c>
      <c r="AP66" s="771">
        <v>200020</v>
      </c>
      <c r="AQ66" s="503"/>
      <c r="AR66" s="498">
        <v>200020</v>
      </c>
      <c r="AS66" s="2194">
        <f>128*9+56</f>
        <v>1208</v>
      </c>
      <c r="AT66" s="2192">
        <f>128*8+3</f>
        <v>1027</v>
      </c>
      <c r="AU66" s="498">
        <v>20</v>
      </c>
      <c r="AV66" s="2191"/>
      <c r="AW66" s="2191"/>
      <c r="AX66" s="2191"/>
      <c r="AY66" s="2191"/>
      <c r="AZ66" s="2198">
        <f>20+0.209</f>
        <v>20.209</v>
      </c>
      <c r="BA66" s="2202">
        <f>0.5+0.256+0.0353</f>
        <v>0.7913</v>
      </c>
      <c r="BB66" s="2199">
        <f>128*9+48+0.122</f>
        <v>1200.1220000000001</v>
      </c>
      <c r="BC66" s="505">
        <v>20</v>
      </c>
      <c r="BL66" s="499">
        <v>24</v>
      </c>
    </row>
    <row r="67" spans="1:64" ht="13.5" customHeight="1">
      <c r="A67" s="499">
        <v>20</v>
      </c>
      <c r="B67" s="503"/>
      <c r="C67" s="503"/>
      <c r="D67" s="503"/>
      <c r="E67" s="503"/>
      <c r="F67" s="503"/>
      <c r="G67" s="503"/>
      <c r="H67" s="503"/>
      <c r="I67" s="514"/>
      <c r="J67" s="503"/>
      <c r="K67" s="503"/>
      <c r="L67" s="1904">
        <v>190019</v>
      </c>
      <c r="M67" s="498">
        <v>190019</v>
      </c>
      <c r="N67" s="498">
        <v>190019</v>
      </c>
      <c r="O67" s="757">
        <f>0.384+0.0037</f>
        <v>0.38769999999999999</v>
      </c>
      <c r="P67" s="498">
        <v>190019</v>
      </c>
      <c r="Q67" s="503"/>
      <c r="R67" s="503"/>
      <c r="S67" s="503">
        <f>128*6+3</f>
        <v>771</v>
      </c>
      <c r="T67" s="503"/>
      <c r="U67" s="503"/>
      <c r="V67" s="503"/>
      <c r="W67" s="503"/>
      <c r="X67" s="503"/>
      <c r="Y67" s="503"/>
      <c r="Z67" s="503"/>
      <c r="AA67" s="503"/>
      <c r="AB67" s="503"/>
      <c r="AC67" s="503"/>
      <c r="AD67" s="503"/>
      <c r="AE67" s="503"/>
      <c r="AF67" s="503"/>
      <c r="AG67" s="503"/>
      <c r="AH67" s="503"/>
      <c r="AI67" s="503"/>
      <c r="AJ67" s="503"/>
      <c r="AK67" s="503"/>
      <c r="AL67" s="771">
        <v>200020</v>
      </c>
      <c r="AM67" s="1704">
        <f>128*8+8</f>
        <v>1032</v>
      </c>
      <c r="AN67" s="1703"/>
      <c r="AO67" s="1709">
        <f>128*9+24+0.5+0.256+0.004</f>
        <v>1176.76</v>
      </c>
      <c r="AP67" s="771">
        <v>200020</v>
      </c>
      <c r="AQ67" s="503"/>
      <c r="AR67" s="498">
        <v>200020</v>
      </c>
      <c r="AS67" s="498">
        <v>20</v>
      </c>
      <c r="AT67" s="2178">
        <f>128*5+41</f>
        <v>681</v>
      </c>
      <c r="AU67" s="498">
        <v>20</v>
      </c>
      <c r="AV67" s="2191"/>
      <c r="AW67" s="2191">
        <f>0.5+0.256+0.0353</f>
        <v>0.7913</v>
      </c>
      <c r="AX67" s="2191"/>
      <c r="AY67" s="2191"/>
      <c r="AZ67" s="1744">
        <f>128*5+30</f>
        <v>670</v>
      </c>
      <c r="BA67" s="2202">
        <f>128*16+11</f>
        <v>2059</v>
      </c>
      <c r="BB67" s="2199">
        <f>128*9+83</f>
        <v>1235</v>
      </c>
      <c r="BC67" s="505">
        <v>20</v>
      </c>
      <c r="BL67" s="499">
        <v>24</v>
      </c>
    </row>
    <row r="68" spans="1:64" ht="15.75">
      <c r="A68" s="499">
        <v>20</v>
      </c>
      <c r="B68" s="503"/>
      <c r="C68" s="503"/>
      <c r="D68" s="503"/>
      <c r="E68" s="503"/>
      <c r="F68" s="503"/>
      <c r="G68" s="503"/>
      <c r="H68" s="503"/>
      <c r="I68" s="514"/>
      <c r="J68" s="503"/>
      <c r="K68" s="503"/>
      <c r="L68" s="1904">
        <v>190019</v>
      </c>
      <c r="M68" s="757">
        <f>128*8+8+0.0095</f>
        <v>1032.0094999999999</v>
      </c>
      <c r="N68" s="705">
        <f>190000+128*5+41</f>
        <v>190681</v>
      </c>
      <c r="O68" s="757">
        <f>128*6+19</f>
        <v>787</v>
      </c>
      <c r="P68" s="498">
        <f>190019+0.143</f>
        <v>190019.14300000001</v>
      </c>
      <c r="Q68" s="503"/>
      <c r="R68" s="503"/>
      <c r="S68" s="503"/>
      <c r="T68" s="503"/>
      <c r="U68" s="503"/>
      <c r="V68" s="510"/>
      <c r="W68" s="510"/>
      <c r="X68" s="510"/>
      <c r="Y68" s="510"/>
      <c r="Z68" s="757"/>
      <c r="AA68" s="757"/>
      <c r="AB68" s="510"/>
      <c r="AC68" s="510"/>
      <c r="AD68" s="510"/>
      <c r="AE68" s="510"/>
      <c r="AF68" s="1893"/>
      <c r="AG68" s="503"/>
      <c r="AH68" s="503"/>
      <c r="AI68" s="503"/>
      <c r="AJ68" s="503"/>
      <c r="AK68" s="503"/>
      <c r="AL68" s="771">
        <v>200020</v>
      </c>
      <c r="AM68" s="771">
        <v>200020</v>
      </c>
      <c r="AN68" s="771">
        <v>200020</v>
      </c>
      <c r="AO68" s="771">
        <v>200020</v>
      </c>
      <c r="AP68" s="771">
        <v>200020</v>
      </c>
      <c r="AQ68" s="503">
        <f>128*6+9</f>
        <v>777</v>
      </c>
      <c r="AR68" s="498">
        <v>200020</v>
      </c>
      <c r="AS68" s="2187">
        <f>128*9+5</f>
        <v>1157</v>
      </c>
      <c r="AT68" s="2178">
        <f>128*6+30</f>
        <v>798</v>
      </c>
      <c r="AU68" s="498">
        <v>20</v>
      </c>
      <c r="AV68" s="2191">
        <v>0.115</v>
      </c>
      <c r="AW68" s="2191"/>
      <c r="AX68" s="2191"/>
      <c r="AY68" s="2191">
        <v>0.115</v>
      </c>
      <c r="AZ68" s="498">
        <v>20</v>
      </c>
      <c r="BA68" s="2202">
        <f>128*10+9</f>
        <v>1289</v>
      </c>
      <c r="BB68" s="2203">
        <f>128*9+26+0.173</f>
        <v>1178.173</v>
      </c>
      <c r="BC68" s="505">
        <v>20</v>
      </c>
      <c r="BL68" s="499">
        <v>24</v>
      </c>
    </row>
    <row r="69" spans="1:64" ht="16.5">
      <c r="A69" s="499">
        <v>20</v>
      </c>
      <c r="B69" s="503"/>
      <c r="C69" s="503">
        <f>128*9+25</f>
        <v>1177</v>
      </c>
      <c r="D69" s="503"/>
      <c r="E69" s="503"/>
      <c r="F69" s="503"/>
      <c r="G69" s="503"/>
      <c r="H69" s="503"/>
      <c r="I69" s="514"/>
      <c r="J69" s="503"/>
      <c r="K69" s="503"/>
      <c r="L69" s="1904">
        <v>190019</v>
      </c>
      <c r="M69" s="1907">
        <f>128*5+41</f>
        <v>681</v>
      </c>
      <c r="N69" s="498">
        <v>190019</v>
      </c>
      <c r="O69" s="498">
        <v>190019</v>
      </c>
      <c r="P69" s="498">
        <v>190019</v>
      </c>
      <c r="Q69" s="503"/>
      <c r="R69" s="503"/>
      <c r="S69" s="503"/>
      <c r="T69" s="503"/>
      <c r="U69" s="503"/>
      <c r="V69" s="510"/>
      <c r="W69" s="504">
        <v>200020</v>
      </c>
      <c r="X69" s="504">
        <v>200020</v>
      </c>
      <c r="Y69" s="1705">
        <f>20+0.213</f>
        <v>20.213000000000001</v>
      </c>
      <c r="Z69" s="504">
        <v>200020</v>
      </c>
      <c r="AA69" s="504">
        <v>200020</v>
      </c>
      <c r="AB69" s="504">
        <v>200020</v>
      </c>
      <c r="AC69" s="1934">
        <f>200020+0.213</f>
        <v>200020.21299999999</v>
      </c>
      <c r="AD69" s="504">
        <v>200020</v>
      </c>
      <c r="AE69" s="510"/>
      <c r="AF69" s="1893"/>
      <c r="AG69" s="503"/>
      <c r="AH69" s="503"/>
      <c r="AI69" s="503"/>
      <c r="AJ69" s="503"/>
      <c r="AK69" s="503"/>
      <c r="AL69" s="503"/>
      <c r="AM69" s="503"/>
      <c r="AN69" s="503"/>
      <c r="AO69" s="503"/>
      <c r="AP69" s="503"/>
      <c r="AQ69" s="503"/>
      <c r="AR69" s="1742">
        <v>200020</v>
      </c>
      <c r="AS69" s="523">
        <v>20</v>
      </c>
      <c r="AT69" s="523">
        <v>20</v>
      </c>
      <c r="AU69" s="523">
        <v>20</v>
      </c>
      <c r="AV69" s="523">
        <v>20</v>
      </c>
      <c r="AW69" s="523">
        <v>20</v>
      </c>
      <c r="AX69" s="523">
        <v>20</v>
      </c>
      <c r="AY69" s="523">
        <v>20</v>
      </c>
      <c r="AZ69" s="523">
        <v>20</v>
      </c>
      <c r="BA69" s="2210">
        <f>20+0.121</f>
        <v>20.120999999999999</v>
      </c>
      <c r="BB69" s="523">
        <v>20</v>
      </c>
      <c r="BC69" s="505">
        <v>20</v>
      </c>
      <c r="BL69" s="499">
        <v>24</v>
      </c>
    </row>
    <row r="70" spans="1:64" ht="15.75">
      <c r="A70" s="499">
        <v>20</v>
      </c>
      <c r="B70" s="503"/>
      <c r="C70" s="503"/>
      <c r="D70" s="503"/>
      <c r="E70" s="503"/>
      <c r="F70" s="503">
        <f>128*9+25</f>
        <v>1177</v>
      </c>
      <c r="G70" s="503"/>
      <c r="H70" s="503"/>
      <c r="I70" s="514"/>
      <c r="J70" s="503"/>
      <c r="K70" s="503"/>
      <c r="L70" s="1904">
        <v>190019</v>
      </c>
      <c r="M70" s="520"/>
      <c r="N70" s="1905">
        <f>190000+128*4+34</f>
        <v>190546</v>
      </c>
      <c r="O70" s="503"/>
      <c r="P70" s="503"/>
      <c r="Q70" s="503"/>
      <c r="R70" s="503">
        <f>128*6+3</f>
        <v>771</v>
      </c>
      <c r="S70" s="503"/>
      <c r="T70" s="503"/>
      <c r="U70" s="503"/>
      <c r="V70" s="510">
        <f>128*6+5</f>
        <v>773</v>
      </c>
      <c r="W70" s="504">
        <v>200020</v>
      </c>
      <c r="X70" s="500"/>
      <c r="Y70" s="500"/>
      <c r="Z70" s="703">
        <f>128*9+81+0.212</f>
        <v>1233.212</v>
      </c>
      <c r="AA70" s="703">
        <f>128*9+82+0.213</f>
        <v>1234.213</v>
      </c>
      <c r="AB70" s="703">
        <f>128*9+81+0.212</f>
        <v>1233.212</v>
      </c>
      <c r="AC70" s="500"/>
      <c r="AD70" s="504">
        <v>200020</v>
      </c>
      <c r="AE70" s="510"/>
      <c r="AF70" s="1893"/>
      <c r="AG70" s="498">
        <v>200020</v>
      </c>
      <c r="AH70" s="771">
        <v>200020</v>
      </c>
      <c r="AI70" s="771">
        <v>200020</v>
      </c>
      <c r="AJ70" s="771">
        <v>200020</v>
      </c>
      <c r="AK70" s="771">
        <v>200020</v>
      </c>
      <c r="AL70" s="771">
        <v>200020</v>
      </c>
      <c r="AM70" s="771">
        <v>200020</v>
      </c>
      <c r="AN70" s="771">
        <v>200020</v>
      </c>
      <c r="AO70" s="771">
        <v>200020</v>
      </c>
      <c r="AP70" s="771">
        <v>200020</v>
      </c>
      <c r="AQ70" s="498">
        <v>200020</v>
      </c>
      <c r="AR70" s="498">
        <v>200020</v>
      </c>
      <c r="AS70" s="505">
        <v>20</v>
      </c>
      <c r="BL70" s="499">
        <v>24</v>
      </c>
    </row>
    <row r="71" spans="1:64" ht="15.75">
      <c r="A71" s="499">
        <v>20</v>
      </c>
      <c r="B71" s="503"/>
      <c r="C71" s="503"/>
      <c r="D71" s="503"/>
      <c r="E71" s="503"/>
      <c r="F71" s="503"/>
      <c r="G71" s="503"/>
      <c r="H71" s="503"/>
      <c r="I71" s="514"/>
      <c r="J71" s="503"/>
      <c r="K71" s="503"/>
      <c r="L71" s="1904">
        <v>190019</v>
      </c>
      <c r="M71" s="1728"/>
      <c r="N71" s="498">
        <v>190019</v>
      </c>
      <c r="O71" s="503"/>
      <c r="P71" s="503"/>
      <c r="Q71" s="503"/>
      <c r="R71" s="503"/>
      <c r="S71" s="503">
        <f>128*6+5</f>
        <v>773</v>
      </c>
      <c r="T71" s="503"/>
      <c r="U71" s="503"/>
      <c r="V71" s="510"/>
      <c r="W71" s="500">
        <v>200000</v>
      </c>
      <c r="X71" s="541">
        <f>128*9+81+0.212</f>
        <v>1233.212</v>
      </c>
      <c r="Y71" s="757">
        <v>20</v>
      </c>
      <c r="Z71" s="784">
        <f>20+0.11</f>
        <v>20.11</v>
      </c>
      <c r="AA71" s="1383">
        <f>20+0.11</f>
        <v>20.11</v>
      </c>
      <c r="AB71" s="1910">
        <v>20</v>
      </c>
      <c r="AC71" s="541">
        <f>128*9+81+0.212</f>
        <v>1233.212</v>
      </c>
      <c r="AD71" s="504">
        <v>200020</v>
      </c>
      <c r="AE71" s="510"/>
      <c r="AF71" s="1893"/>
      <c r="AG71" s="498">
        <v>200020</v>
      </c>
      <c r="AH71" s="1899"/>
      <c r="AI71" s="1896"/>
      <c r="AJ71" s="1896"/>
      <c r="AK71" s="1896"/>
      <c r="AL71" s="1896"/>
      <c r="AM71" s="1896"/>
      <c r="AN71" s="1896"/>
      <c r="AO71" s="1896"/>
      <c r="AP71" s="1896"/>
      <c r="AQ71" s="1897"/>
      <c r="AR71" s="498">
        <v>200020</v>
      </c>
      <c r="AS71" s="505">
        <v>20</v>
      </c>
      <c r="BL71" s="499">
        <v>24</v>
      </c>
    </row>
    <row r="72" spans="1:64" ht="15.75">
      <c r="A72" s="504">
        <v>21</v>
      </c>
      <c r="B72" s="2212">
        <f>128*5+38</f>
        <v>678</v>
      </c>
      <c r="C72" s="504">
        <v>21</v>
      </c>
      <c r="D72" s="503"/>
      <c r="E72" s="503"/>
      <c r="F72" s="503"/>
      <c r="G72" s="503"/>
      <c r="H72" s="503"/>
      <c r="I72" s="1909"/>
      <c r="J72" s="511"/>
      <c r="K72" s="514"/>
      <c r="L72" s="1906">
        <f>128*5+30</f>
        <v>670</v>
      </c>
      <c r="M72" s="1728">
        <f>0.256+0.0175</f>
        <v>0.27350000000000002</v>
      </c>
      <c r="N72" s="1906">
        <f>128*5+34</f>
        <v>674</v>
      </c>
      <c r="O72" s="511"/>
      <c r="P72" s="511"/>
      <c r="Q72" s="511"/>
      <c r="R72" s="511"/>
      <c r="S72" s="511"/>
      <c r="T72" s="511"/>
      <c r="U72" s="514"/>
      <c r="V72" s="510"/>
      <c r="W72" s="500">
        <v>200000</v>
      </c>
      <c r="X72" s="541">
        <f>128*9+82+0.213</f>
        <v>1234.213</v>
      </c>
      <c r="Y72" s="1911">
        <f>20+0.182</f>
        <v>20.181999999999999</v>
      </c>
      <c r="Z72" s="1917">
        <f>128*6+3+0.256+0.0373</f>
        <v>771.29329999999993</v>
      </c>
      <c r="AA72" s="1607">
        <f>200000+128*11+14+0.256+0.038</f>
        <v>201422.29399999999</v>
      </c>
      <c r="AB72" s="1892">
        <v>20</v>
      </c>
      <c r="AC72" s="1912">
        <f>128*9+82+0.213</f>
        <v>1234.213</v>
      </c>
      <c r="AD72" s="835">
        <v>200020</v>
      </c>
      <c r="AE72" s="757">
        <f>0.004</f>
        <v>4.0000000000000001E-3</v>
      </c>
      <c r="AF72" s="1893"/>
      <c r="AG72" s="1919">
        <v>200020</v>
      </c>
      <c r="AH72" s="1899"/>
      <c r="AI72" s="514">
        <f t="shared" ref="AI72:AP72" si="11">10000*21+21</f>
        <v>210021</v>
      </c>
      <c r="AJ72" s="514">
        <f t="shared" si="11"/>
        <v>210021</v>
      </c>
      <c r="AK72" s="1914">
        <f t="shared" si="11"/>
        <v>210021</v>
      </c>
      <c r="AL72" s="514">
        <f t="shared" si="11"/>
        <v>210021</v>
      </c>
      <c r="AM72" s="514">
        <f t="shared" si="11"/>
        <v>210021</v>
      </c>
      <c r="AN72" s="514">
        <f t="shared" si="11"/>
        <v>210021</v>
      </c>
      <c r="AO72" s="514">
        <f t="shared" si="11"/>
        <v>210021</v>
      </c>
      <c r="AP72" s="515">
        <f t="shared" si="11"/>
        <v>210021</v>
      </c>
      <c r="AQ72" s="1897"/>
      <c r="AR72" s="498">
        <v>200020</v>
      </c>
      <c r="AS72" s="505">
        <v>20</v>
      </c>
      <c r="BL72" s="499">
        <v>24</v>
      </c>
    </row>
    <row r="73" spans="1:64" ht="16.5">
      <c r="A73" s="504">
        <v>21</v>
      </c>
      <c r="B73" s="2212">
        <f>128*17+64+2+0.256+0.001</f>
        <v>2242.2570000000001</v>
      </c>
      <c r="C73" s="504">
        <v>21</v>
      </c>
      <c r="D73" s="503"/>
      <c r="E73" s="503"/>
      <c r="F73" s="771">
        <v>500050</v>
      </c>
      <c r="G73" s="771">
        <v>500050</v>
      </c>
      <c r="H73" s="771">
        <f>10000*50+20+0.133</f>
        <v>500020.13299999997</v>
      </c>
      <c r="I73" s="2211">
        <f>500000+128*5+41</f>
        <v>500681</v>
      </c>
      <c r="J73" s="771">
        <v>200020</v>
      </c>
      <c r="K73" s="503"/>
      <c r="L73" s="1904">
        <v>190019</v>
      </c>
      <c r="M73" s="1710">
        <f>190000+128*4+34</f>
        <v>190546</v>
      </c>
      <c r="N73" s="498">
        <v>190019</v>
      </c>
      <c r="O73" s="503"/>
      <c r="P73" s="503">
        <f>128*6+3</f>
        <v>771</v>
      </c>
      <c r="Q73" s="503"/>
      <c r="R73" s="503">
        <f>128*6+3</f>
        <v>771</v>
      </c>
      <c r="S73" s="503"/>
      <c r="T73" s="503"/>
      <c r="U73" s="503"/>
      <c r="V73" s="510"/>
      <c r="W73" s="500">
        <v>200000</v>
      </c>
      <c r="X73" s="541">
        <f>128*9+81+0.212</f>
        <v>1233.212</v>
      </c>
      <c r="Y73" s="757">
        <v>20</v>
      </c>
      <c r="Z73" s="840">
        <f>20+0.11</f>
        <v>20.11</v>
      </c>
      <c r="AA73" s="1444">
        <f>20+0.11</f>
        <v>20.11</v>
      </c>
      <c r="AB73" s="1910">
        <v>20</v>
      </c>
      <c r="AC73" s="541">
        <f>128*9+81+0.212</f>
        <v>1233.212</v>
      </c>
      <c r="AD73" s="504">
        <v>200020</v>
      </c>
      <c r="AE73" s="510"/>
      <c r="AF73" s="1893"/>
      <c r="AG73" s="498">
        <v>200020</v>
      </c>
      <c r="AH73" s="1899"/>
      <c r="AI73" s="1900">
        <f>21+0.065</f>
        <v>21.065000000000001</v>
      </c>
      <c r="AJ73" s="835"/>
      <c r="AK73" s="1903"/>
      <c r="AL73" s="1395"/>
      <c r="AM73" s="1395"/>
      <c r="AN73" s="1395"/>
      <c r="AO73" s="1395"/>
      <c r="AP73" s="515">
        <f t="shared" ref="AP73:AP78" si="12">10000*21+21</f>
        <v>210021</v>
      </c>
      <c r="AQ73" s="1897"/>
      <c r="AR73" s="498">
        <v>200020</v>
      </c>
      <c r="AS73" s="505">
        <v>20</v>
      </c>
      <c r="AZ73" s="523">
        <v>190019</v>
      </c>
      <c r="BA73" s="523">
        <v>190019</v>
      </c>
      <c r="BB73" s="523">
        <v>190019</v>
      </c>
      <c r="BC73" s="523">
        <v>190019</v>
      </c>
      <c r="BD73" s="523">
        <v>190019</v>
      </c>
      <c r="BE73" s="523">
        <v>190019</v>
      </c>
      <c r="BF73" s="523">
        <v>190019</v>
      </c>
      <c r="BG73" s="523">
        <v>190019</v>
      </c>
      <c r="BH73" s="523">
        <v>190019</v>
      </c>
      <c r="BI73" s="505">
        <v>190019</v>
      </c>
      <c r="BJ73" s="505">
        <v>190019</v>
      </c>
      <c r="BL73" s="499">
        <v>24</v>
      </c>
    </row>
    <row r="74" spans="1:64" ht="14.25" customHeight="1" thickBot="1">
      <c r="A74" s="504">
        <v>21</v>
      </c>
      <c r="B74" s="504">
        <v>21</v>
      </c>
      <c r="C74" s="504">
        <v>21</v>
      </c>
      <c r="D74" s="503"/>
      <c r="E74" s="503"/>
      <c r="F74" s="771">
        <v>500020</v>
      </c>
      <c r="G74" s="1383">
        <f>128*9+81+0.212</f>
        <v>1233.212</v>
      </c>
      <c r="H74" s="1383">
        <f>128*9+81+0.212</f>
        <v>1233.212</v>
      </c>
      <c r="I74" s="757"/>
      <c r="J74" s="1908">
        <f>10000*20+20+0.065</f>
        <v>200020.065</v>
      </c>
      <c r="K74" s="503"/>
      <c r="L74" s="503"/>
      <c r="M74" s="503"/>
      <c r="N74" s="503"/>
      <c r="O74" s="503"/>
      <c r="P74" s="503"/>
      <c r="Q74" s="503"/>
      <c r="R74" s="503"/>
      <c r="S74" s="503"/>
      <c r="T74" s="503"/>
      <c r="U74" s="503"/>
      <c r="V74" s="510">
        <f>128*6+5</f>
        <v>773</v>
      </c>
      <c r="W74" s="504">
        <v>200020</v>
      </c>
      <c r="X74" s="802"/>
      <c r="Y74" s="802">
        <f>128*9+82+0.213</f>
        <v>1234.213</v>
      </c>
      <c r="Z74" s="802"/>
      <c r="AA74" s="802">
        <f>128*9+81+0.212</f>
        <v>1233.212</v>
      </c>
      <c r="AB74" s="802">
        <f>128*9+81+0.212</f>
        <v>1233.212</v>
      </c>
      <c r="AC74" s="500"/>
      <c r="AD74" s="504">
        <v>200020</v>
      </c>
      <c r="AE74" s="510"/>
      <c r="AF74" s="1893"/>
      <c r="AG74" s="498">
        <v>200020</v>
      </c>
      <c r="AH74" s="1898">
        <f>10000*21+21</f>
        <v>210021</v>
      </c>
      <c r="AI74" s="511">
        <f>10000*21+21</f>
        <v>210021</v>
      </c>
      <c r="AJ74" s="1894">
        <f>10000*21+128*4+39</f>
        <v>210551</v>
      </c>
      <c r="AK74" s="1894">
        <f>10000*21+21</f>
        <v>210021</v>
      </c>
      <c r="AL74" s="511">
        <f>10000*21+21</f>
        <v>210021</v>
      </c>
      <c r="AM74" s="514">
        <f>10000*21+21</f>
        <v>210021</v>
      </c>
      <c r="AN74" s="514">
        <f>10000*21+21</f>
        <v>210021</v>
      </c>
      <c r="AO74" s="1395"/>
      <c r="AP74" s="515">
        <f t="shared" si="12"/>
        <v>210021</v>
      </c>
      <c r="AQ74" s="1897"/>
      <c r="AR74" s="498">
        <v>200020</v>
      </c>
      <c r="AS74" s="505">
        <v>20</v>
      </c>
      <c r="AZ74" s="505">
        <v>190019</v>
      </c>
      <c r="BA74" s="1922">
        <v>11</v>
      </c>
      <c r="BB74" s="2219">
        <f>11+0.068</f>
        <v>11.068</v>
      </c>
      <c r="BC74" s="2221"/>
      <c r="BD74" s="2224"/>
      <c r="BE74" s="498">
        <v>190019</v>
      </c>
      <c r="BF74" s="1744"/>
      <c r="BG74" s="1744"/>
      <c r="BH74" s="1744"/>
      <c r="BI74" s="1744"/>
      <c r="BJ74" s="505">
        <v>50</v>
      </c>
      <c r="BL74" s="499">
        <v>24</v>
      </c>
    </row>
    <row r="75" spans="1:64" ht="13.5" customHeight="1" thickTop="1">
      <c r="A75" s="1449">
        <v>19</v>
      </c>
      <c r="B75" s="2213"/>
      <c r="C75" s="503"/>
      <c r="D75" s="503"/>
      <c r="E75" s="503"/>
      <c r="F75" s="818">
        <f>500000+128*4+34</f>
        <v>500546</v>
      </c>
      <c r="G75" s="757"/>
      <c r="H75" s="757"/>
      <c r="I75" s="757">
        <f>0.256+0.026</f>
        <v>0.28200000000000003</v>
      </c>
      <c r="J75" s="1905">
        <f>200000+128*4+34</f>
        <v>200546</v>
      </c>
      <c r="K75" s="503"/>
      <c r="L75" s="503"/>
      <c r="M75" s="503">
        <f>128*6+5</f>
        <v>773</v>
      </c>
      <c r="N75" s="503"/>
      <c r="O75" s="503"/>
      <c r="P75" s="503"/>
      <c r="Q75" s="503">
        <f>128*6+3</f>
        <v>771</v>
      </c>
      <c r="R75" s="503"/>
      <c r="S75" s="503">
        <f>128*6+3</f>
        <v>771</v>
      </c>
      <c r="T75" s="503"/>
      <c r="U75" s="503"/>
      <c r="V75" s="510"/>
      <c r="W75" s="504">
        <v>200020</v>
      </c>
      <c r="X75" s="504">
        <v>200020</v>
      </c>
      <c r="Y75" s="504">
        <v>200020</v>
      </c>
      <c r="Z75" s="1704">
        <f>20+0.213</f>
        <v>20.213000000000001</v>
      </c>
      <c r="AA75" s="504">
        <v>200020</v>
      </c>
      <c r="AB75" s="504">
        <v>200020</v>
      </c>
      <c r="AC75" s="1933">
        <f>200020+0.213</f>
        <v>200020.21299999999</v>
      </c>
      <c r="AD75" s="504">
        <v>200020</v>
      </c>
      <c r="AE75" s="510"/>
      <c r="AF75" s="1893"/>
      <c r="AG75" s="498">
        <v>200020</v>
      </c>
      <c r="AH75" s="1898">
        <f>10000*21+21</f>
        <v>210021</v>
      </c>
      <c r="AI75" s="835">
        <f>200000+128*11+14+0.256+0.038</f>
        <v>201422.29399999999</v>
      </c>
      <c r="AJ75" s="835"/>
      <c r="AK75" s="2250"/>
      <c r="AL75" s="2250">
        <f>128*14+10</f>
        <v>1802</v>
      </c>
      <c r="AM75" s="835">
        <f>200000+128*5+36</f>
        <v>200676</v>
      </c>
      <c r="AN75" s="1913"/>
      <c r="AO75" s="1395"/>
      <c r="AP75" s="515">
        <f t="shared" si="12"/>
        <v>210021</v>
      </c>
      <c r="AQ75" s="1897"/>
      <c r="AR75" s="498">
        <v>200020</v>
      </c>
      <c r="AS75" s="505">
        <v>20</v>
      </c>
      <c r="AZ75" s="505">
        <v>190019</v>
      </c>
      <c r="BA75" s="1922">
        <v>11</v>
      </c>
      <c r="BB75" s="2220">
        <f>128*11+11</f>
        <v>1419</v>
      </c>
      <c r="BC75" s="1922">
        <v>11</v>
      </c>
      <c r="BD75" s="2215">
        <f>128*5+35</f>
        <v>675</v>
      </c>
      <c r="BE75" s="498">
        <v>190019</v>
      </c>
      <c r="BF75" s="1744"/>
      <c r="BG75" s="515">
        <v>190019</v>
      </c>
      <c r="BH75" s="2222">
        <f>128*4+34</f>
        <v>546</v>
      </c>
      <c r="BI75" s="2222">
        <f>128*4+34</f>
        <v>546</v>
      </c>
      <c r="BJ75" s="1163">
        <v>49</v>
      </c>
      <c r="BL75" s="499">
        <v>24</v>
      </c>
    </row>
    <row r="76" spans="1:64" ht="15.75">
      <c r="A76" s="1449">
        <v>33</v>
      </c>
      <c r="B76" s="2213">
        <f>128*17+64+5</f>
        <v>2245</v>
      </c>
      <c r="C76" s="503"/>
      <c r="D76" s="503"/>
      <c r="E76" s="503"/>
      <c r="F76" s="818">
        <f>500000+128*4+34</f>
        <v>500546</v>
      </c>
      <c r="G76" s="757"/>
      <c r="H76" s="757"/>
      <c r="I76" s="757"/>
      <c r="J76" s="498">
        <v>200020</v>
      </c>
      <c r="K76" s="503"/>
      <c r="L76" s="503"/>
      <c r="M76" s="503"/>
      <c r="N76" s="503">
        <f>128*6+3</f>
        <v>771</v>
      </c>
      <c r="O76" s="503"/>
      <c r="P76" s="503"/>
      <c r="Q76" s="503"/>
      <c r="R76" s="503"/>
      <c r="S76" s="503"/>
      <c r="T76" s="503"/>
      <c r="U76" s="503"/>
      <c r="V76" s="510"/>
      <c r="W76" s="510"/>
      <c r="X76" s="510"/>
      <c r="Y76" s="510"/>
      <c r="Z76" s="757"/>
      <c r="AA76" s="757"/>
      <c r="AB76" s="510"/>
      <c r="AC76" s="510"/>
      <c r="AD76" s="510"/>
      <c r="AE76" s="510"/>
      <c r="AF76" s="1893"/>
      <c r="AG76" s="498">
        <v>200020</v>
      </c>
      <c r="AH76" s="1898">
        <f>10000*21+21</f>
        <v>210021</v>
      </c>
      <c r="AI76" s="511">
        <f>10000*21+21</f>
        <v>210021</v>
      </c>
      <c r="AJ76" s="1894">
        <f>10000*21+128*4+39</f>
        <v>210551</v>
      </c>
      <c r="AK76" s="511">
        <f>10000*21+21</f>
        <v>210021</v>
      </c>
      <c r="AL76" s="514">
        <f>10000*21+21</f>
        <v>210021</v>
      </c>
      <c r="AM76" s="514">
        <f>10000*21+21</f>
        <v>210021</v>
      </c>
      <c r="AN76" s="514">
        <f>10000*21+21</f>
        <v>210021</v>
      </c>
      <c r="AO76" s="1395"/>
      <c r="AP76" s="515">
        <f t="shared" si="12"/>
        <v>210021</v>
      </c>
      <c r="AQ76" s="1897"/>
      <c r="AR76" s="498">
        <v>200020</v>
      </c>
      <c r="AS76" s="505">
        <v>20</v>
      </c>
      <c r="AZ76" s="505">
        <v>190019</v>
      </c>
      <c r="BA76" s="1922">
        <v>11</v>
      </c>
      <c r="BB76" s="1756">
        <f>128*5+30+0.151</f>
        <v>670.15099999999995</v>
      </c>
      <c r="BC76" s="1922">
        <v>11</v>
      </c>
      <c r="BD76" s="1744"/>
      <c r="BE76" s="498">
        <v>190019</v>
      </c>
      <c r="BF76" s="1744"/>
      <c r="BG76" s="1744">
        <f>128*5+40</f>
        <v>680</v>
      </c>
      <c r="BH76" s="1815"/>
      <c r="BI76" s="1166">
        <f>110000+128*11+12</f>
        <v>111420</v>
      </c>
      <c r="BJ76" s="1163">
        <v>49</v>
      </c>
      <c r="BL76" s="499">
        <v>24</v>
      </c>
    </row>
    <row r="77" spans="1:64" ht="12.75" customHeight="1" thickBot="1">
      <c r="A77" s="504">
        <v>21</v>
      </c>
      <c r="B77" s="504">
        <v>21</v>
      </c>
      <c r="C77" s="504">
        <v>21</v>
      </c>
      <c r="D77" s="503"/>
      <c r="E77" s="503"/>
      <c r="F77" s="771">
        <v>500020</v>
      </c>
      <c r="G77" s="1377">
        <f>128*9+26+0.033</f>
        <v>1178.0329999999999</v>
      </c>
      <c r="H77" s="757"/>
      <c r="I77" s="1444">
        <f>128*9+81+0.212</f>
        <v>1233.212</v>
      </c>
      <c r="J77" s="771">
        <v>200020</v>
      </c>
      <c r="K77" s="503"/>
      <c r="L77" s="503"/>
      <c r="M77" s="503"/>
      <c r="N77" s="503"/>
      <c r="O77" s="503"/>
      <c r="P77" s="503">
        <f>128*3+31+0.11</f>
        <v>415.11</v>
      </c>
      <c r="Q77" s="503"/>
      <c r="R77" s="503"/>
      <c r="S77" s="535">
        <f>128*9+25+0.11</f>
        <v>1177.1099999999999</v>
      </c>
      <c r="T77" s="503"/>
      <c r="U77" s="503"/>
      <c r="V77" s="503"/>
      <c r="W77" s="503"/>
      <c r="X77" s="503"/>
      <c r="Y77" s="503"/>
      <c r="Z77" s="503"/>
      <c r="AA77" s="503"/>
      <c r="AB77" s="503"/>
      <c r="AC77" s="503"/>
      <c r="AD77" s="503"/>
      <c r="AE77" s="503"/>
      <c r="AF77" s="503"/>
      <c r="AG77" s="498">
        <v>200020</v>
      </c>
      <c r="AH77" s="1895"/>
      <c r="AI77" s="1920">
        <f>10000*21+21+0.126</f>
        <v>210021.12599999999</v>
      </c>
      <c r="AJ77" s="1902" t="s">
        <v>666</v>
      </c>
      <c r="AK77" s="1901">
        <f>128*5+52</f>
        <v>692</v>
      </c>
      <c r="AL77" s="1395"/>
      <c r="AM77" s="1395"/>
      <c r="AN77" s="1395"/>
      <c r="AO77" s="1395"/>
      <c r="AP77" s="515">
        <f t="shared" si="12"/>
        <v>210021</v>
      </c>
      <c r="AQ77" s="1897"/>
      <c r="AR77" s="498">
        <v>200020</v>
      </c>
      <c r="AS77" s="505">
        <v>20</v>
      </c>
      <c r="AZ77" s="505">
        <v>190019</v>
      </c>
      <c r="BA77" s="1744"/>
      <c r="BB77" s="1744"/>
      <c r="BC77" s="1744"/>
      <c r="BD77" s="1744"/>
      <c r="BE77" s="2225">
        <f>10000*19+128*5+30</f>
        <v>190670</v>
      </c>
      <c r="BF77" s="1744"/>
      <c r="BG77" s="515">
        <v>190019</v>
      </c>
      <c r="BH77" s="2223">
        <f>128*4+34</f>
        <v>546</v>
      </c>
      <c r="BI77" s="2223">
        <f>128*4+34</f>
        <v>546</v>
      </c>
      <c r="BJ77" s="1163">
        <v>49</v>
      </c>
      <c r="BL77" s="499">
        <v>24</v>
      </c>
    </row>
    <row r="78" spans="1:64" ht="16.5" thickTop="1">
      <c r="A78" s="504">
        <v>21</v>
      </c>
      <c r="B78" s="2212">
        <f>128*17+64+2+0.256+0.034</f>
        <v>2242.29</v>
      </c>
      <c r="C78" s="504">
        <v>21</v>
      </c>
      <c r="D78" s="503"/>
      <c r="E78" s="503"/>
      <c r="F78" s="771">
        <v>500050</v>
      </c>
      <c r="G78" s="771">
        <v>500050</v>
      </c>
      <c r="H78" s="771">
        <v>500050</v>
      </c>
      <c r="I78" s="771">
        <v>500050</v>
      </c>
      <c r="J78" s="771">
        <v>200020</v>
      </c>
      <c r="K78" s="503"/>
      <c r="L78" s="503"/>
      <c r="M78" s="503"/>
      <c r="N78" s="503"/>
      <c r="O78" s="503"/>
      <c r="P78" s="503"/>
      <c r="Q78" s="503">
        <f>128*6+3</f>
        <v>771</v>
      </c>
      <c r="R78" s="503"/>
      <c r="S78" s="503"/>
      <c r="T78" s="503"/>
      <c r="U78" s="503"/>
      <c r="V78" s="503"/>
      <c r="W78" s="503"/>
      <c r="X78" s="503"/>
      <c r="Y78" s="503"/>
      <c r="Z78" s="503"/>
      <c r="AA78" s="503"/>
      <c r="AB78" s="503">
        <f>128*3+31+0.11</f>
        <v>415.11</v>
      </c>
      <c r="AC78" s="503"/>
      <c r="AD78" s="503"/>
      <c r="AE78" s="503"/>
      <c r="AF78" s="503"/>
      <c r="AG78" s="498">
        <v>200020</v>
      </c>
      <c r="AH78" s="1895"/>
      <c r="AI78" s="511">
        <f>10000*21+21</f>
        <v>210021</v>
      </c>
      <c r="AJ78" s="1894">
        <f>10000*21+21+0.1511</f>
        <v>210021.15109999999</v>
      </c>
      <c r="AK78" s="511">
        <f>10000*21+21</f>
        <v>210021</v>
      </c>
      <c r="AL78" s="511">
        <f>10000*21+21</f>
        <v>210021</v>
      </c>
      <c r="AM78" s="511">
        <f>10000*21+21</f>
        <v>210021</v>
      </c>
      <c r="AN78" s="511">
        <f>10000*21+21</f>
        <v>210021</v>
      </c>
      <c r="AO78" s="511">
        <f>10000*21+21</f>
        <v>210021</v>
      </c>
      <c r="AP78" s="515">
        <f t="shared" si="12"/>
        <v>210021</v>
      </c>
      <c r="AQ78" s="1897"/>
      <c r="AR78" s="498">
        <v>200020</v>
      </c>
      <c r="AS78" s="505">
        <v>20</v>
      </c>
      <c r="AZ78" s="505">
        <v>190019</v>
      </c>
      <c r="BA78" s="1744">
        <f>0.115</f>
        <v>0.115</v>
      </c>
      <c r="BB78" s="1744">
        <f>0.5+0.256+0.0351</f>
        <v>0.79110000000000003</v>
      </c>
      <c r="BC78" s="1744"/>
      <c r="BD78" s="1912">
        <f>128*9+28+0.147</f>
        <v>1180.1469999999999</v>
      </c>
      <c r="BE78" s="498">
        <v>190019</v>
      </c>
      <c r="BF78" s="1744"/>
      <c r="BG78" s="1744"/>
      <c r="BH78" s="1744"/>
      <c r="BI78" s="1744"/>
      <c r="BJ78" s="505">
        <v>50</v>
      </c>
      <c r="BL78" s="499">
        <v>24</v>
      </c>
    </row>
    <row r="79" spans="1:64" ht="15.75">
      <c r="A79" s="504">
        <v>21</v>
      </c>
      <c r="B79" s="2212">
        <f>128*5+38</f>
        <v>678</v>
      </c>
      <c r="C79" s="504">
        <v>21</v>
      </c>
      <c r="D79" s="503"/>
      <c r="E79" s="503"/>
      <c r="F79" s="503"/>
      <c r="G79" s="503"/>
      <c r="H79" s="503"/>
      <c r="I79" s="503"/>
      <c r="J79" s="503"/>
      <c r="K79" s="503"/>
      <c r="L79" s="503"/>
      <c r="M79" s="1703">
        <v>21</v>
      </c>
      <c r="N79" s="1703"/>
      <c r="O79" s="1703"/>
      <c r="P79" s="1703">
        <f>128*3+32+0.11</f>
        <v>416.11</v>
      </c>
      <c r="Q79" s="1703"/>
      <c r="R79" s="1703"/>
      <c r="S79" s="1703">
        <v>21</v>
      </c>
      <c r="T79" s="503"/>
      <c r="U79" s="503"/>
      <c r="V79" s="503"/>
      <c r="W79" s="503"/>
      <c r="X79" s="503">
        <f>128*6+3</f>
        <v>771</v>
      </c>
      <c r="Y79" s="503"/>
      <c r="Z79" s="503"/>
      <c r="AA79" s="503"/>
      <c r="AB79" s="503"/>
      <c r="AC79" s="503"/>
      <c r="AD79" s="503"/>
      <c r="AE79" s="503">
        <f>128*3+32+0.11</f>
        <v>416.11</v>
      </c>
      <c r="AF79" s="503"/>
      <c r="AG79" s="498">
        <v>200020</v>
      </c>
      <c r="AH79" s="1896"/>
      <c r="AI79" s="1896"/>
      <c r="AJ79" s="1896"/>
      <c r="AK79" s="1896"/>
      <c r="AL79" s="1896"/>
      <c r="AM79" s="1896"/>
      <c r="AN79" s="1896"/>
      <c r="AO79" s="1896"/>
      <c r="AP79" s="1896"/>
      <c r="AQ79" s="1897"/>
      <c r="AR79" s="498">
        <v>200020</v>
      </c>
      <c r="AS79" s="505">
        <v>20</v>
      </c>
      <c r="AZ79" s="523">
        <v>190019</v>
      </c>
      <c r="BA79" s="523">
        <v>50</v>
      </c>
      <c r="BB79" s="523">
        <v>50</v>
      </c>
      <c r="BC79" s="523">
        <v>50</v>
      </c>
      <c r="BD79" s="523">
        <v>50</v>
      </c>
      <c r="BE79" s="523">
        <v>190019</v>
      </c>
      <c r="BF79" s="523">
        <v>50</v>
      </c>
      <c r="BG79" s="523">
        <v>50</v>
      </c>
      <c r="BH79" s="523">
        <v>50</v>
      </c>
      <c r="BI79" s="505">
        <v>50</v>
      </c>
      <c r="BJ79" s="505">
        <v>190019</v>
      </c>
      <c r="BL79" s="499">
        <v>24</v>
      </c>
    </row>
    <row r="80" spans="1:64" ht="15.75">
      <c r="A80" s="499">
        <v>20</v>
      </c>
      <c r="B80" s="503"/>
      <c r="C80" s="503"/>
      <c r="D80" s="503"/>
      <c r="E80" s="503"/>
      <c r="F80" s="503"/>
      <c r="G80" s="503"/>
      <c r="H80" s="503"/>
      <c r="I80" s="503"/>
      <c r="J80" s="503"/>
      <c r="K80" s="503"/>
      <c r="L80" s="503"/>
      <c r="M80" s="1703">
        <v>21</v>
      </c>
      <c r="N80" s="1703"/>
      <c r="O80" s="1703">
        <f>128*3+32</f>
        <v>416</v>
      </c>
      <c r="P80" s="1703"/>
      <c r="Q80" s="1703"/>
      <c r="R80" s="1703"/>
      <c r="S80" s="1703">
        <v>21</v>
      </c>
      <c r="T80" s="503"/>
      <c r="U80" s="503"/>
      <c r="V80" s="503"/>
      <c r="W80" s="2702">
        <f>128*6+2</f>
        <v>770</v>
      </c>
      <c r="X80" s="503"/>
      <c r="Y80" s="503"/>
      <c r="Z80" s="503"/>
      <c r="AA80" s="503"/>
      <c r="AB80" s="503"/>
      <c r="AC80" s="503"/>
      <c r="AD80" s="2702">
        <f>128*6+2</f>
        <v>770</v>
      </c>
      <c r="AE80" s="503"/>
      <c r="AF80" s="503"/>
      <c r="AG80" s="498">
        <v>200020</v>
      </c>
      <c r="AH80" s="498">
        <v>200020</v>
      </c>
      <c r="AI80" s="498">
        <v>200020</v>
      </c>
      <c r="AJ80" s="498">
        <v>200020</v>
      </c>
      <c r="AK80" s="498">
        <v>200020</v>
      </c>
      <c r="AL80" s="498">
        <v>200020</v>
      </c>
      <c r="AM80" s="498">
        <v>200020</v>
      </c>
      <c r="AN80" s="498">
        <v>200020</v>
      </c>
      <c r="AO80" s="498">
        <v>200020</v>
      </c>
      <c r="AP80" s="498">
        <v>200020</v>
      </c>
      <c r="AQ80" s="498">
        <v>200020</v>
      </c>
      <c r="AR80" s="498">
        <v>200020</v>
      </c>
      <c r="AS80" s="505">
        <v>20</v>
      </c>
      <c r="BL80" s="499">
        <v>24</v>
      </c>
    </row>
    <row r="81" spans="1:64">
      <c r="A81" s="1921">
        <v>200020</v>
      </c>
      <c r="B81" s="1921">
        <v>200020</v>
      </c>
      <c r="C81" s="1921">
        <v>200020</v>
      </c>
      <c r="D81" s="1921">
        <v>200020</v>
      </c>
      <c r="E81" s="1921">
        <v>200020</v>
      </c>
      <c r="F81" s="1921">
        <v>200020</v>
      </c>
      <c r="G81" s="1921">
        <v>200020</v>
      </c>
      <c r="H81" s="1921">
        <v>200020</v>
      </c>
      <c r="I81" s="1921">
        <v>200020</v>
      </c>
      <c r="J81" s="1921">
        <v>200020</v>
      </c>
      <c r="K81" s="1921">
        <v>200020</v>
      </c>
      <c r="L81" s="1921">
        <v>200020</v>
      </c>
      <c r="M81" s="1921">
        <v>200020</v>
      </c>
      <c r="N81" s="1921">
        <v>200020</v>
      </c>
      <c r="O81" s="1921">
        <v>200020</v>
      </c>
      <c r="P81" s="1921">
        <v>200020</v>
      </c>
      <c r="Q81" s="1921">
        <v>200020</v>
      </c>
      <c r="R81" s="1921">
        <v>200020</v>
      </c>
      <c r="S81" s="1921">
        <v>200020</v>
      </c>
      <c r="T81" s="1921">
        <v>200020</v>
      </c>
      <c r="U81" s="1921">
        <v>200020</v>
      </c>
      <c r="V81" s="1921">
        <v>200020</v>
      </c>
      <c r="W81" s="1921">
        <v>200020</v>
      </c>
      <c r="X81" s="3145">
        <f t="shared" ref="X81:AC81" si="13">200000+128*14+11</f>
        <v>201803</v>
      </c>
      <c r="Y81" s="3145">
        <f t="shared" si="13"/>
        <v>201803</v>
      </c>
      <c r="Z81" s="3145">
        <f t="shared" si="13"/>
        <v>201803</v>
      </c>
      <c r="AA81" s="3145">
        <f t="shared" si="13"/>
        <v>201803</v>
      </c>
      <c r="AB81" s="3145">
        <f t="shared" si="13"/>
        <v>201803</v>
      </c>
      <c r="AC81" s="3145">
        <f t="shared" si="13"/>
        <v>201803</v>
      </c>
      <c r="AD81" s="1921">
        <v>200020</v>
      </c>
      <c r="AE81" s="1921">
        <v>200020</v>
      </c>
      <c r="AF81" s="1921">
        <v>200020</v>
      </c>
      <c r="AG81" s="1921">
        <v>200020</v>
      </c>
      <c r="AH81" s="1921">
        <v>200020</v>
      </c>
      <c r="AI81" s="1921">
        <v>200020</v>
      </c>
      <c r="AJ81" s="1921">
        <v>200020</v>
      </c>
      <c r="AK81" s="1921">
        <v>200020</v>
      </c>
      <c r="AL81" s="1921">
        <v>200020</v>
      </c>
      <c r="AM81" s="1921">
        <v>200020</v>
      </c>
      <c r="AN81" s="1921">
        <v>200020</v>
      </c>
      <c r="AO81" s="1921">
        <v>200020</v>
      </c>
      <c r="AP81" s="1921">
        <v>200020</v>
      </c>
      <c r="AQ81" s="1921">
        <v>200020</v>
      </c>
      <c r="AR81" s="1921">
        <v>200020</v>
      </c>
      <c r="AS81" s="1921">
        <v>200020</v>
      </c>
      <c r="AT81" s="1921">
        <v>200020</v>
      </c>
      <c r="AU81" s="1921">
        <v>200020</v>
      </c>
      <c r="AV81" s="1921">
        <v>200020</v>
      </c>
      <c r="AW81" s="1921">
        <v>200020</v>
      </c>
      <c r="AX81" s="1921">
        <v>200020</v>
      </c>
      <c r="AY81" s="1921">
        <v>200020</v>
      </c>
      <c r="AZ81" s="1921">
        <v>200020</v>
      </c>
      <c r="BA81" s="1921">
        <v>200020</v>
      </c>
      <c r="BB81" s="1921">
        <v>200020</v>
      </c>
      <c r="BC81" s="1921">
        <v>200020</v>
      </c>
      <c r="BD81" s="1921">
        <v>200020</v>
      </c>
      <c r="BE81" s="1921">
        <v>200020</v>
      </c>
      <c r="BF81" s="1921">
        <v>200020</v>
      </c>
      <c r="BG81" s="1921">
        <v>200020</v>
      </c>
      <c r="BH81" s="1921">
        <v>200020</v>
      </c>
      <c r="BI81" s="1921">
        <v>200020</v>
      </c>
      <c r="BJ81" s="1921">
        <v>200020</v>
      </c>
      <c r="BK81" s="1921">
        <v>200020</v>
      </c>
      <c r="BL81" s="1921">
        <v>200020</v>
      </c>
    </row>
    <row r="82" spans="1:64">
      <c r="A82" s="499">
        <v>24</v>
      </c>
      <c r="W82" s="1921">
        <v>190019</v>
      </c>
      <c r="X82" s="1824">
        <v>190033</v>
      </c>
      <c r="Y82" s="1824">
        <v>190033</v>
      </c>
      <c r="Z82" s="1921">
        <v>190033</v>
      </c>
      <c r="AA82" s="1921">
        <v>190033</v>
      </c>
      <c r="AB82" s="1824">
        <v>190033</v>
      </c>
      <c r="AC82" s="1824">
        <v>190033</v>
      </c>
      <c r="AD82" s="1921">
        <v>190019</v>
      </c>
      <c r="BL82" s="499">
        <v>24</v>
      </c>
    </row>
    <row r="83" spans="1:64">
      <c r="A83" s="499">
        <v>24</v>
      </c>
      <c r="BL83" s="499">
        <v>24</v>
      </c>
    </row>
    <row r="84" spans="1:64">
      <c r="A84" s="499">
        <v>24</v>
      </c>
      <c r="BL84" s="499">
        <v>24</v>
      </c>
    </row>
    <row r="85" spans="1:64">
      <c r="A85" s="499">
        <v>24</v>
      </c>
      <c r="AB85" s="523">
        <v>51</v>
      </c>
      <c r="AC85" s="523">
        <v>51</v>
      </c>
      <c r="AD85" s="523">
        <v>51</v>
      </c>
      <c r="AE85" s="523">
        <v>51</v>
      </c>
      <c r="AF85" s="505">
        <v>51</v>
      </c>
      <c r="AG85" s="523">
        <v>51</v>
      </c>
      <c r="AH85" s="523">
        <v>51</v>
      </c>
      <c r="AI85" s="523">
        <v>51</v>
      </c>
      <c r="AJ85" s="523">
        <v>51</v>
      </c>
      <c r="AK85" s="523">
        <v>51</v>
      </c>
      <c r="AL85" s="505">
        <v>51</v>
      </c>
      <c r="BL85" s="499">
        <v>24</v>
      </c>
    </row>
    <row r="86" spans="1:64" ht="16.5" thickBot="1">
      <c r="A86" s="499">
        <v>24</v>
      </c>
      <c r="AB86" s="505">
        <v>51</v>
      </c>
      <c r="AC86" s="1922">
        <v>11</v>
      </c>
      <c r="AD86" s="2219">
        <f>11+0.068</f>
        <v>11.068</v>
      </c>
      <c r="AE86" s="2221"/>
      <c r="AF86" s="2245"/>
      <c r="AG86" s="505">
        <v>51</v>
      </c>
      <c r="AH86" s="2226">
        <v>0.19500000000000001</v>
      </c>
      <c r="AI86" s="2226"/>
      <c r="AJ86" s="2226">
        <f>0.189</f>
        <v>0.189</v>
      </c>
      <c r="AK86" s="2226">
        <f>0.019</f>
        <v>1.9E-2</v>
      </c>
      <c r="AL86" s="505">
        <v>51</v>
      </c>
      <c r="AM86" s="505">
        <v>51</v>
      </c>
      <c r="BL86" s="499">
        <v>24</v>
      </c>
    </row>
    <row r="87" spans="1:64" ht="16.5" thickTop="1">
      <c r="A87" s="499">
        <v>24</v>
      </c>
      <c r="AB87" s="505">
        <v>51</v>
      </c>
      <c r="AC87" s="1922">
        <v>11</v>
      </c>
      <c r="AD87" s="2220">
        <f>128*11+13</f>
        <v>1421</v>
      </c>
      <c r="AE87" s="1922">
        <f>11+0.195</f>
        <v>11.195</v>
      </c>
      <c r="AF87" s="2227">
        <v>53</v>
      </c>
      <c r="AG87" s="505">
        <v>51</v>
      </c>
      <c r="AH87" s="2226"/>
      <c r="AI87" s="3218">
        <f>10000*19+19+0.18</f>
        <v>190019.18</v>
      </c>
      <c r="AJ87" s="2222">
        <f>128*4+46</f>
        <v>558</v>
      </c>
      <c r="AK87" s="2222">
        <f>128*4+46</f>
        <v>558</v>
      </c>
      <c r="AL87" s="2170">
        <f>49+0.1961</f>
        <v>49.196100000000001</v>
      </c>
      <c r="AM87" s="505">
        <v>51</v>
      </c>
      <c r="BL87" s="499">
        <v>24</v>
      </c>
    </row>
    <row r="88" spans="1:64" ht="15.75">
      <c r="A88" s="499">
        <v>24</v>
      </c>
      <c r="AB88" s="505">
        <v>51</v>
      </c>
      <c r="AC88" s="1922">
        <f>11+0.195</f>
        <v>11.195</v>
      </c>
      <c r="AD88" s="1756">
        <f>128*5+30+0.151</f>
        <v>670.15099999999995</v>
      </c>
      <c r="AE88" s="1922">
        <f>11+0.195</f>
        <v>11.195</v>
      </c>
      <c r="AF88" s="2226">
        <v>0.19500000000000001</v>
      </c>
      <c r="AG88" s="505">
        <v>51</v>
      </c>
      <c r="AH88" s="2226"/>
      <c r="AI88" s="2228">
        <f>128*5+40+0.195</f>
        <v>680.19500000000005</v>
      </c>
      <c r="AJ88" s="1815"/>
      <c r="AK88" s="1166">
        <f>110000+128*11+12</f>
        <v>111420</v>
      </c>
      <c r="AL88" s="2169">
        <v>49</v>
      </c>
      <c r="AM88" s="505">
        <v>51</v>
      </c>
      <c r="BL88" s="499">
        <v>24</v>
      </c>
    </row>
    <row r="89" spans="1:64" ht="15.75">
      <c r="A89" s="499">
        <v>24</v>
      </c>
      <c r="AB89" s="505">
        <v>51</v>
      </c>
      <c r="AC89" s="2226"/>
      <c r="AD89" s="2226">
        <f>128*8+11</f>
        <v>1035</v>
      </c>
      <c r="AE89" s="2226">
        <v>0.19500000000000001</v>
      </c>
      <c r="AF89" s="2226"/>
      <c r="AG89" s="1919">
        <f>10000*19+128*5+30</f>
        <v>190670</v>
      </c>
      <c r="AH89" s="2226"/>
      <c r="AI89" s="2480">
        <f>10000*19+19+0.181</f>
        <v>190019.18100000001</v>
      </c>
      <c r="AJ89" s="2223">
        <f>128*4+46</f>
        <v>558</v>
      </c>
      <c r="AK89" s="2223">
        <f>128*4+46</f>
        <v>558</v>
      </c>
      <c r="AL89" s="2169">
        <f>49+0.1969</f>
        <v>49.196899999999999</v>
      </c>
      <c r="AM89" s="505">
        <v>51</v>
      </c>
      <c r="BL89" s="499">
        <v>24</v>
      </c>
    </row>
    <row r="90" spans="1:64" ht="15.75">
      <c r="A90" s="499">
        <v>24</v>
      </c>
      <c r="AB90" s="505">
        <v>51</v>
      </c>
      <c r="AC90" s="2226">
        <v>0.19500000000000001</v>
      </c>
      <c r="AD90" s="2226"/>
      <c r="AE90" s="2226"/>
      <c r="AF90" s="2229">
        <f>128*9+28+0.195</f>
        <v>1180.1949999999999</v>
      </c>
      <c r="AG90" s="498">
        <v>51</v>
      </c>
      <c r="AH90" s="2226"/>
      <c r="AI90" s="2226"/>
      <c r="AJ90" s="2226">
        <f>0.019</f>
        <v>1.9E-2</v>
      </c>
      <c r="AK90" s="2226">
        <v>0.19500000000000001</v>
      </c>
      <c r="AL90" s="505">
        <v>51</v>
      </c>
      <c r="AM90" s="505">
        <v>51</v>
      </c>
      <c r="BL90" s="499">
        <v>24</v>
      </c>
    </row>
    <row r="91" spans="1:64">
      <c r="A91" s="499">
        <v>24</v>
      </c>
      <c r="AB91" s="505">
        <v>51</v>
      </c>
      <c r="AC91" s="498">
        <v>51</v>
      </c>
      <c r="AD91" s="678">
        <f>53+0.1969</f>
        <v>53.196899999999999</v>
      </c>
      <c r="AE91" s="1612">
        <f>53+0.1961</f>
        <v>53.196100000000001</v>
      </c>
      <c r="AF91" s="498">
        <v>51</v>
      </c>
      <c r="AG91" s="498">
        <v>190019</v>
      </c>
      <c r="AH91" s="498">
        <v>51</v>
      </c>
      <c r="AI91" s="678">
        <f>50+0.1969</f>
        <v>50.196899999999999</v>
      </c>
      <c r="AJ91" s="1612">
        <f>50+0.1961</f>
        <v>50.196100000000001</v>
      </c>
      <c r="AK91" s="498">
        <v>51</v>
      </c>
      <c r="AL91" s="2230">
        <v>510051</v>
      </c>
      <c r="AM91" s="2230">
        <v>510051</v>
      </c>
      <c r="AN91" s="2230">
        <v>510051</v>
      </c>
      <c r="AO91" s="2230">
        <v>510051</v>
      </c>
      <c r="AP91" s="2230">
        <v>510051</v>
      </c>
      <c r="AQ91" s="2230">
        <v>510051</v>
      </c>
      <c r="AR91" s="2230">
        <v>510051</v>
      </c>
      <c r="AS91" s="2230">
        <v>510051</v>
      </c>
      <c r="BL91" s="499">
        <v>24</v>
      </c>
    </row>
    <row r="92" spans="1:64">
      <c r="A92" s="499">
        <v>24</v>
      </c>
      <c r="AB92" s="505">
        <v>51</v>
      </c>
      <c r="AC92" s="498">
        <v>51</v>
      </c>
      <c r="AD92" s="498">
        <v>51</v>
      </c>
      <c r="AE92" s="498">
        <v>51</v>
      </c>
      <c r="AF92" s="498">
        <v>51</v>
      </c>
      <c r="AG92" s="498">
        <v>51</v>
      </c>
      <c r="AH92" s="1609">
        <f>53+0.1961</f>
        <v>53.196100000000001</v>
      </c>
      <c r="AI92" s="677">
        <v>53</v>
      </c>
      <c r="AJ92" s="677">
        <f>53+0.1969</f>
        <v>53.196899999999999</v>
      </c>
      <c r="AK92" s="498">
        <v>51</v>
      </c>
      <c r="AL92" s="2230">
        <v>510051</v>
      </c>
      <c r="AM92" s="498">
        <v>51</v>
      </c>
      <c r="AN92" s="2232"/>
      <c r="AO92" s="2232"/>
      <c r="AP92" s="2232"/>
      <c r="AQ92" s="2232"/>
      <c r="AR92" s="2238">
        <v>53</v>
      </c>
      <c r="AS92" s="791">
        <v>510051</v>
      </c>
      <c r="BL92" s="499">
        <v>24</v>
      </c>
    </row>
    <row r="93" spans="1:64" ht="15.75">
      <c r="A93" s="499">
        <v>24</v>
      </c>
      <c r="AB93" s="505">
        <v>51</v>
      </c>
      <c r="AC93" s="1922">
        <v>11</v>
      </c>
      <c r="AD93" s="2219">
        <f>11+0.067</f>
        <v>11.067</v>
      </c>
      <c r="AE93" s="2214"/>
      <c r="AF93" s="2216">
        <f>128*9+50</f>
        <v>1202</v>
      </c>
      <c r="AG93" s="498">
        <v>51</v>
      </c>
      <c r="AH93" s="2235">
        <f>128*9+48+0.195</f>
        <v>1200.1949999999999</v>
      </c>
      <c r="AI93" s="2236"/>
      <c r="AJ93" s="2236">
        <f>128*9+62</f>
        <v>1214</v>
      </c>
      <c r="AK93" s="2236"/>
      <c r="AL93" s="2230">
        <v>510051</v>
      </c>
      <c r="AM93" s="773"/>
      <c r="AN93" s="2232">
        <v>0.19700000000000001</v>
      </c>
      <c r="AO93" s="1613">
        <v>51</v>
      </c>
      <c r="AP93" s="1567"/>
      <c r="AQ93" s="3266">
        <v>0.19700000000000001</v>
      </c>
      <c r="AR93" s="2226">
        <f>0.019</f>
        <v>1.9E-2</v>
      </c>
      <c r="AS93" s="791">
        <v>510051</v>
      </c>
      <c r="BL93" s="499">
        <v>24</v>
      </c>
    </row>
    <row r="94" spans="1:64" ht="15.75">
      <c r="A94" s="499">
        <v>24</v>
      </c>
      <c r="AB94" s="505">
        <v>51</v>
      </c>
      <c r="AC94" s="1922">
        <v>11</v>
      </c>
      <c r="AD94" s="2220">
        <f>128*11+13</f>
        <v>1421</v>
      </c>
      <c r="AE94" s="1922">
        <f>11+0.195</f>
        <v>11.195</v>
      </c>
      <c r="AF94" s="2227">
        <v>53</v>
      </c>
      <c r="AG94" s="498">
        <v>51</v>
      </c>
      <c r="AH94" s="2236"/>
      <c r="AI94" s="2236">
        <v>0.19500000000000001</v>
      </c>
      <c r="AJ94" s="2236">
        <f>0.189</f>
        <v>0.189</v>
      </c>
      <c r="AK94" s="2236">
        <v>0.13900000000000001</v>
      </c>
      <c r="AL94" s="2239">
        <v>510000</v>
      </c>
      <c r="AM94" s="773"/>
      <c r="AN94" s="2248"/>
      <c r="AO94" s="2231"/>
      <c r="AP94" s="2232"/>
      <c r="AQ94" s="2232">
        <v>1E-3</v>
      </c>
      <c r="AR94" s="1741"/>
      <c r="AS94" s="791">
        <v>510051</v>
      </c>
      <c r="BL94" s="499">
        <v>24</v>
      </c>
    </row>
    <row r="95" spans="1:64" ht="15.75">
      <c r="A95" s="499">
        <v>24</v>
      </c>
      <c r="AB95" s="505">
        <v>51</v>
      </c>
      <c r="AC95" s="1922">
        <f>11+0.195</f>
        <v>11.195</v>
      </c>
      <c r="AD95" s="1756">
        <f>128*5+30+0.15</f>
        <v>670.15</v>
      </c>
      <c r="AE95" s="1922">
        <f>11+0.195</f>
        <v>11.195</v>
      </c>
      <c r="AF95" s="2226">
        <v>0.19500000000000001</v>
      </c>
      <c r="AG95" s="498">
        <v>51</v>
      </c>
      <c r="AH95" s="2226">
        <v>0.19700000000000001</v>
      </c>
      <c r="AI95" s="2236">
        <f>0.189</f>
        <v>0.189</v>
      </c>
      <c r="AJ95" s="2236"/>
      <c r="AK95" s="2237">
        <f>42+0.195</f>
        <v>42.195</v>
      </c>
      <c r="AL95" s="2230">
        <v>510051</v>
      </c>
      <c r="AM95" s="773">
        <v>0.19700000000000001</v>
      </c>
      <c r="AN95" s="2232"/>
      <c r="AO95" s="3265">
        <v>0.19700000000000001</v>
      </c>
      <c r="AP95" s="2231"/>
      <c r="AQ95" s="1567">
        <f>128*14+6+0.139</f>
        <v>1798.1389999999999</v>
      </c>
      <c r="AR95" s="2233">
        <f>128*14+7+0.256+0.003</f>
        <v>1799.259</v>
      </c>
      <c r="AS95" s="791">
        <v>510051</v>
      </c>
      <c r="BL95" s="499">
        <v>24</v>
      </c>
    </row>
    <row r="96" spans="1:64" ht="15.75">
      <c r="A96" s="499">
        <v>24</v>
      </c>
      <c r="AA96" s="505">
        <v>51</v>
      </c>
      <c r="AB96" s="505">
        <v>51</v>
      </c>
      <c r="AC96" s="2226"/>
      <c r="AD96" s="2226">
        <v>0.13900000000000001</v>
      </c>
      <c r="AE96" s="2226">
        <v>0.19700000000000001</v>
      </c>
      <c r="AF96" s="2226">
        <v>0.188</v>
      </c>
      <c r="AG96" s="1817">
        <f>10000*19</f>
        <v>190000</v>
      </c>
      <c r="AH96" s="2236">
        <v>0.19500000000000001</v>
      </c>
      <c r="AI96" s="2226">
        <v>0.19700000000000001</v>
      </c>
      <c r="AJ96" s="2236">
        <v>0.188</v>
      </c>
      <c r="AK96" s="2236"/>
      <c r="AL96" s="2234">
        <f>510000+128*4+46</f>
        <v>510558</v>
      </c>
      <c r="AM96" s="2231"/>
      <c r="AN96" s="2232"/>
      <c r="AO96" s="2248"/>
      <c r="AP96" s="2249">
        <f>51+0.11</f>
        <v>51.11</v>
      </c>
      <c r="AQ96" s="2232">
        <v>0.19700000000000001</v>
      </c>
      <c r="AR96" s="3118">
        <f>128*17+12</f>
        <v>2188</v>
      </c>
      <c r="AS96" s="791">
        <v>510051</v>
      </c>
      <c r="BL96" s="499">
        <v>24</v>
      </c>
    </row>
    <row r="97" spans="1:64" ht="15.75">
      <c r="A97" s="499">
        <v>24</v>
      </c>
      <c r="AA97" s="505">
        <v>51</v>
      </c>
      <c r="AB97" s="3216">
        <f>128*5+30+0.0597</f>
        <v>670.05970000000002</v>
      </c>
      <c r="AC97" s="2226">
        <f>128*9+62</f>
        <v>1214</v>
      </c>
      <c r="AD97" s="2226">
        <v>0.19500000000000001</v>
      </c>
      <c r="AE97" s="2226">
        <f>128*9+83</f>
        <v>1235</v>
      </c>
      <c r="AF97" s="2226">
        <f>128*9+83</f>
        <v>1235</v>
      </c>
      <c r="AG97" s="498">
        <v>51</v>
      </c>
      <c r="AH97" s="2236">
        <f>128*9+62</f>
        <v>1214</v>
      </c>
      <c r="AI97" s="3217"/>
      <c r="AJ97" s="2236">
        <f>0.256+0.0227</f>
        <v>0.2787</v>
      </c>
      <c r="AK97" s="2236">
        <f>128*9+62</f>
        <v>1214</v>
      </c>
      <c r="AL97" s="2230">
        <v>510051</v>
      </c>
      <c r="AM97" s="773"/>
      <c r="AN97" s="2231"/>
      <c r="AO97" s="2232"/>
      <c r="AP97" s="2231"/>
      <c r="AQ97" s="2248"/>
      <c r="AR97" s="498">
        <v>51</v>
      </c>
      <c r="AS97" s="791">
        <v>510051</v>
      </c>
      <c r="BL97" s="499">
        <v>24</v>
      </c>
    </row>
    <row r="98" spans="1:64">
      <c r="A98" s="499">
        <v>24</v>
      </c>
      <c r="AA98" s="505">
        <v>51</v>
      </c>
      <c r="AB98" s="523">
        <v>51</v>
      </c>
      <c r="AC98" s="2103">
        <f>53+0.1969</f>
        <v>53.196899999999999</v>
      </c>
      <c r="AD98" s="2246">
        <f>53+0.1961</f>
        <v>53.196100000000001</v>
      </c>
      <c r="AE98" s="523">
        <v>51</v>
      </c>
      <c r="AF98" s="523">
        <v>51</v>
      </c>
      <c r="AG98" s="523">
        <v>51</v>
      </c>
      <c r="AH98" s="523">
        <v>51</v>
      </c>
      <c r="AI98" s="2103">
        <f>53+0.1969</f>
        <v>53.196899999999999</v>
      </c>
      <c r="AJ98" s="2246">
        <f>53+0.1961</f>
        <v>53.196100000000001</v>
      </c>
      <c r="AK98" s="523">
        <v>51</v>
      </c>
      <c r="AL98" s="2230">
        <v>510051</v>
      </c>
      <c r="AM98" s="2230">
        <v>510051</v>
      </c>
      <c r="AN98" s="2230">
        <v>510051</v>
      </c>
      <c r="AO98" s="2230">
        <v>510051</v>
      </c>
      <c r="AP98" s="2230">
        <v>510051</v>
      </c>
      <c r="AQ98" s="2230">
        <v>510051</v>
      </c>
      <c r="AR98" s="2230">
        <v>510051</v>
      </c>
      <c r="AS98" s="2230">
        <v>510051</v>
      </c>
      <c r="AX98" s="525">
        <v>190019</v>
      </c>
      <c r="AY98" s="1976">
        <v>53</v>
      </c>
      <c r="AZ98" s="1976">
        <v>53</v>
      </c>
      <c r="BA98" s="1976">
        <v>53</v>
      </c>
      <c r="BB98" s="1976">
        <v>53</v>
      </c>
      <c r="BC98" s="1976">
        <v>53</v>
      </c>
      <c r="BD98" s="1976">
        <v>53</v>
      </c>
      <c r="BE98" s="1976">
        <v>53</v>
      </c>
      <c r="BF98" s="1976">
        <v>53</v>
      </c>
      <c r="BG98" s="1976">
        <v>53</v>
      </c>
      <c r="BH98" s="1976">
        <v>53</v>
      </c>
      <c r="BI98" s="1976">
        <v>53</v>
      </c>
      <c r="BJ98" s="517">
        <v>190019</v>
      </c>
      <c r="BL98" s="499">
        <v>24</v>
      </c>
    </row>
    <row r="99" spans="1:64">
      <c r="A99" s="499">
        <v>24</v>
      </c>
      <c r="AX99" s="1466">
        <v>53</v>
      </c>
      <c r="AY99" s="770">
        <v>53</v>
      </c>
      <c r="AZ99" s="770">
        <v>53</v>
      </c>
      <c r="BA99" s="511"/>
      <c r="BB99" s="511"/>
      <c r="BC99" s="514"/>
      <c r="BD99" s="1027">
        <f>200000+128*4+34</f>
        <v>200546</v>
      </c>
      <c r="BE99" s="1027">
        <f>200000+128*4+34</f>
        <v>200546</v>
      </c>
      <c r="BF99" s="511"/>
      <c r="BG99" s="511"/>
      <c r="BH99" s="514"/>
      <c r="BI99" s="2056">
        <v>53</v>
      </c>
      <c r="BJ99" s="1586">
        <v>53</v>
      </c>
      <c r="BL99" s="499">
        <v>24</v>
      </c>
    </row>
    <row r="100" spans="1:64">
      <c r="A100" s="499">
        <v>24</v>
      </c>
      <c r="AX100" s="1466">
        <v>53</v>
      </c>
      <c r="AY100" s="1377"/>
      <c r="AZ100" s="1377"/>
      <c r="BA100" s="1444">
        <f>128*4+34</f>
        <v>546</v>
      </c>
      <c r="BB100" s="1444">
        <f>128*4+34</f>
        <v>546</v>
      </c>
      <c r="BC100" s="1444">
        <f>128*4+34</f>
        <v>546</v>
      </c>
      <c r="BD100" s="1377">
        <f>128*9+1+0.256+0.04</f>
        <v>1153.296</v>
      </c>
      <c r="BE100" s="1377">
        <f>128*9+1</f>
        <v>1153</v>
      </c>
      <c r="BF100" s="1444">
        <f>128*4+34</f>
        <v>546</v>
      </c>
      <c r="BG100" s="1444">
        <f>128*4+34</f>
        <v>546</v>
      </c>
      <c r="BH100" s="754">
        <v>53</v>
      </c>
      <c r="BI100" s="755">
        <f>128*10+41</f>
        <v>1321</v>
      </c>
      <c r="BJ100" s="1586">
        <v>420042</v>
      </c>
      <c r="BL100" s="499">
        <v>24</v>
      </c>
    </row>
    <row r="101" spans="1:64">
      <c r="A101" s="499">
        <v>24</v>
      </c>
      <c r="AX101" s="1466">
        <v>420042</v>
      </c>
      <c r="AY101" s="838">
        <f>128*10+41</f>
        <v>1321</v>
      </c>
      <c r="AZ101" s="1377"/>
      <c r="BA101" s="511">
        <f>128*12+16</f>
        <v>1552</v>
      </c>
      <c r="BB101" s="511">
        <f>128*12+17</f>
        <v>1553</v>
      </c>
      <c r="BC101" s="514">
        <f>128*12+18</f>
        <v>1554</v>
      </c>
      <c r="BD101" s="1377">
        <f>128*9+1+0.256+0.04</f>
        <v>1153.296</v>
      </c>
      <c r="BE101" s="1377">
        <f>128*9+1</f>
        <v>1153</v>
      </c>
      <c r="BF101" s="511">
        <f>128*12+19</f>
        <v>1555</v>
      </c>
      <c r="BG101" s="514">
        <f>128*12+20</f>
        <v>1556</v>
      </c>
      <c r="BH101" s="754">
        <v>53</v>
      </c>
      <c r="BI101" s="755">
        <f>128*10+41</f>
        <v>1321</v>
      </c>
      <c r="BJ101" s="1586">
        <v>420042</v>
      </c>
      <c r="BL101" s="499">
        <v>24</v>
      </c>
    </row>
    <row r="102" spans="1:64">
      <c r="A102" s="499">
        <v>24</v>
      </c>
      <c r="AX102" s="1466">
        <v>53</v>
      </c>
      <c r="AY102" s="1377"/>
      <c r="AZ102" s="1377"/>
      <c r="BA102" s="1383">
        <f>128*4+34</f>
        <v>546</v>
      </c>
      <c r="BB102" s="1383">
        <f>128*4+34</f>
        <v>546</v>
      </c>
      <c r="BC102" s="1383">
        <f>128*4+34</f>
        <v>546</v>
      </c>
      <c r="BD102" s="1377">
        <f>128*9+1+0.256+0.04</f>
        <v>1153.296</v>
      </c>
      <c r="BE102" s="1377">
        <f>128*9+1</f>
        <v>1153</v>
      </c>
      <c r="BF102" s="1383">
        <f>128*4+34</f>
        <v>546</v>
      </c>
      <c r="BG102" s="1383">
        <f>128*4+34</f>
        <v>546</v>
      </c>
      <c r="BH102" s="754">
        <v>53</v>
      </c>
      <c r="BI102" s="755">
        <f>128*10+41</f>
        <v>1321</v>
      </c>
      <c r="BJ102" s="1586">
        <v>420042</v>
      </c>
      <c r="BL102" s="499">
        <v>24</v>
      </c>
    </row>
    <row r="103" spans="1:64">
      <c r="A103" s="499">
        <v>24</v>
      </c>
      <c r="AX103" s="1466">
        <v>53</v>
      </c>
      <c r="AY103" s="770">
        <v>53</v>
      </c>
      <c r="AZ103" s="770">
        <v>53</v>
      </c>
      <c r="BA103" s="511"/>
      <c r="BB103" s="511"/>
      <c r="BC103" s="514"/>
      <c r="BD103" s="2055">
        <f>200000+128*4+34</f>
        <v>200546</v>
      </c>
      <c r="BE103" s="2055">
        <f>200000+128*4+34</f>
        <v>200546</v>
      </c>
      <c r="BF103" s="511"/>
      <c r="BG103" s="511"/>
      <c r="BH103" s="514"/>
      <c r="BI103" s="2056">
        <v>53</v>
      </c>
      <c r="BJ103" s="1586">
        <v>53</v>
      </c>
      <c r="BL103" s="499">
        <v>24</v>
      </c>
    </row>
    <row r="104" spans="1:64">
      <c r="A104" s="499">
        <v>24</v>
      </c>
      <c r="B104" s="1959">
        <v>19</v>
      </c>
      <c r="C104" s="1959">
        <v>19</v>
      </c>
      <c r="D104" s="1959">
        <v>19</v>
      </c>
      <c r="E104" s="1959">
        <v>19</v>
      </c>
      <c r="F104" s="1959">
        <v>19</v>
      </c>
      <c r="G104" s="1959">
        <v>19</v>
      </c>
      <c r="H104" s="1959">
        <v>19</v>
      </c>
      <c r="I104" s="1959">
        <v>19</v>
      </c>
      <c r="J104" s="1959">
        <v>19</v>
      </c>
      <c r="K104" s="1586">
        <v>19</v>
      </c>
      <c r="AX104" s="525">
        <v>190019</v>
      </c>
      <c r="AY104" s="2053">
        <v>53</v>
      </c>
      <c r="AZ104" s="2053">
        <v>53</v>
      </c>
      <c r="BA104" s="2053">
        <v>53</v>
      </c>
      <c r="BB104" s="2053">
        <v>53</v>
      </c>
      <c r="BC104" s="2053">
        <v>53</v>
      </c>
      <c r="BD104" s="2053">
        <v>53</v>
      </c>
      <c r="BE104" s="2053">
        <v>53</v>
      </c>
      <c r="BF104" s="2053">
        <v>53</v>
      </c>
      <c r="BG104" s="2053">
        <v>53</v>
      </c>
      <c r="BH104" s="2053">
        <v>53</v>
      </c>
      <c r="BI104" s="1977">
        <v>53</v>
      </c>
      <c r="BJ104" s="498">
        <v>190019</v>
      </c>
      <c r="BL104" s="499">
        <v>24</v>
      </c>
    </row>
    <row r="105" spans="1:64">
      <c r="A105" s="499">
        <v>24</v>
      </c>
      <c r="B105" s="1959">
        <v>19</v>
      </c>
      <c r="C105" s="1965">
        <v>190019</v>
      </c>
      <c r="D105" s="1966">
        <v>190053</v>
      </c>
      <c r="E105" s="1966">
        <v>190053</v>
      </c>
      <c r="F105" s="1965">
        <v>190019</v>
      </c>
      <c r="G105" s="1965">
        <f>10000*42</f>
        <v>420000</v>
      </c>
      <c r="H105" s="1965">
        <v>190019</v>
      </c>
      <c r="I105" s="1967">
        <v>190053</v>
      </c>
      <c r="J105" s="1964">
        <v>190019</v>
      </c>
      <c r="K105" s="1586">
        <v>19</v>
      </c>
      <c r="BH105" s="528">
        <v>19</v>
      </c>
      <c r="BL105" s="499">
        <v>24</v>
      </c>
    </row>
    <row r="106" spans="1:64" ht="15.75">
      <c r="A106" s="499">
        <v>24</v>
      </c>
      <c r="B106" s="1959">
        <v>19</v>
      </c>
      <c r="C106" s="1968">
        <v>190053</v>
      </c>
      <c r="D106" s="707">
        <v>26</v>
      </c>
      <c r="E106" s="707">
        <v>26</v>
      </c>
      <c r="F106" s="707">
        <v>26</v>
      </c>
      <c r="G106" s="707">
        <v>26</v>
      </c>
      <c r="H106" s="707">
        <v>26</v>
      </c>
      <c r="I106" s="2342">
        <v>26</v>
      </c>
      <c r="J106" s="1964">
        <v>190053</v>
      </c>
      <c r="K106" s="1586">
        <v>19</v>
      </c>
      <c r="BG106" s="528">
        <v>19</v>
      </c>
      <c r="BH106" s="528">
        <v>19</v>
      </c>
      <c r="BI106" s="499">
        <v>24</v>
      </c>
      <c r="BJ106" s="2167">
        <v>24</v>
      </c>
      <c r="BK106" s="499">
        <v>24</v>
      </c>
      <c r="BL106" s="499">
        <v>24</v>
      </c>
    </row>
    <row r="107" spans="1:64" ht="15.75">
      <c r="A107" s="499">
        <v>24</v>
      </c>
      <c r="B107" s="1959">
        <v>19</v>
      </c>
      <c r="C107" s="1968">
        <v>190053</v>
      </c>
      <c r="D107" s="707">
        <v>26</v>
      </c>
      <c r="E107" s="2343">
        <v>26</v>
      </c>
      <c r="F107" s="1960">
        <f>128*12+2</f>
        <v>1538</v>
      </c>
      <c r="G107" s="1519">
        <f>128*9+67+0.256+0.006</f>
        <v>1219.2620000000002</v>
      </c>
      <c r="H107" s="1960">
        <f>128*12+3</f>
        <v>1539</v>
      </c>
      <c r="I107" s="2342">
        <v>26</v>
      </c>
      <c r="J107" s="1964">
        <v>190053</v>
      </c>
      <c r="K107" s="1586">
        <v>19</v>
      </c>
      <c r="BF107" s="528">
        <v>19</v>
      </c>
      <c r="BG107" s="528">
        <v>19</v>
      </c>
      <c r="BH107" s="772">
        <v>39</v>
      </c>
      <c r="BI107" s="1210"/>
      <c r="BJ107" s="1210"/>
      <c r="BK107" s="1210"/>
      <c r="BL107" s="2168">
        <v>24</v>
      </c>
    </row>
    <row r="108" spans="1:64">
      <c r="A108" s="499">
        <v>24</v>
      </c>
      <c r="B108" s="1959">
        <v>19</v>
      </c>
      <c r="C108" s="1968">
        <v>190053</v>
      </c>
      <c r="D108" s="766">
        <f>350000+26</f>
        <v>350026</v>
      </c>
      <c r="E108" s="2343">
        <v>26</v>
      </c>
      <c r="F108" s="1499">
        <f>128*12+4</f>
        <v>1540</v>
      </c>
      <c r="G108" s="1499">
        <f>128*12+5</f>
        <v>1541</v>
      </c>
      <c r="H108" s="812">
        <f>128*12+6</f>
        <v>1542</v>
      </c>
      <c r="I108" s="2342">
        <v>26</v>
      </c>
      <c r="J108" s="1964">
        <v>190053</v>
      </c>
      <c r="K108" s="1586">
        <v>19</v>
      </c>
      <c r="BF108" s="528">
        <v>19</v>
      </c>
      <c r="BG108" s="1817">
        <v>190019</v>
      </c>
      <c r="BH108" s="1210"/>
      <c r="BI108" s="1210"/>
      <c r="BJ108" s="1210"/>
      <c r="BK108" s="1210"/>
      <c r="BL108" s="499">
        <v>24</v>
      </c>
    </row>
    <row r="109" spans="1:64">
      <c r="A109" s="499">
        <v>24</v>
      </c>
      <c r="B109" s="1959">
        <v>19</v>
      </c>
      <c r="C109" s="1968">
        <v>190053</v>
      </c>
      <c r="D109" s="707">
        <v>26</v>
      </c>
      <c r="E109" s="2343">
        <v>26</v>
      </c>
      <c r="F109" s="1499">
        <f>128*12+7</f>
        <v>1543</v>
      </c>
      <c r="G109" s="1499">
        <f>128*12+8</f>
        <v>1544</v>
      </c>
      <c r="H109" s="812">
        <f>128*12+9</f>
        <v>1545</v>
      </c>
      <c r="I109" s="2342">
        <v>26</v>
      </c>
      <c r="J109" s="1964">
        <v>190053</v>
      </c>
      <c r="K109" s="1586">
        <v>19</v>
      </c>
      <c r="AZ109" s="2150">
        <v>18</v>
      </c>
      <c r="BA109" s="677">
        <v>53</v>
      </c>
      <c r="BB109" s="677">
        <v>53</v>
      </c>
      <c r="BC109" s="498">
        <v>190019</v>
      </c>
      <c r="BD109" s="677">
        <v>53</v>
      </c>
      <c r="BE109" s="677">
        <v>53</v>
      </c>
      <c r="BF109" s="677">
        <v>53</v>
      </c>
      <c r="BG109" s="677">
        <f>53+0.1969</f>
        <v>53.196899999999999</v>
      </c>
      <c r="BH109" s="498">
        <v>190019</v>
      </c>
      <c r="BI109" s="498">
        <v>51</v>
      </c>
      <c r="BJ109" s="2164">
        <f>128*4+46</f>
        <v>558</v>
      </c>
      <c r="BK109" s="498">
        <v>51</v>
      </c>
      <c r="BL109" s="498">
        <v>190019</v>
      </c>
    </row>
    <row r="110" spans="1:64" ht="15.75">
      <c r="A110" s="499">
        <v>24</v>
      </c>
      <c r="B110" s="1959">
        <v>19</v>
      </c>
      <c r="C110" s="1968">
        <v>190053</v>
      </c>
      <c r="D110" s="707">
        <v>26</v>
      </c>
      <c r="E110" s="2343">
        <v>26</v>
      </c>
      <c r="F110" s="1499">
        <f>128*12+10</f>
        <v>1546</v>
      </c>
      <c r="G110" s="1499">
        <f>128*12+11</f>
        <v>1547</v>
      </c>
      <c r="H110" s="812">
        <f>128*12+12</f>
        <v>1548</v>
      </c>
      <c r="I110" s="2342">
        <v>26</v>
      </c>
      <c r="J110" s="1964">
        <v>190053</v>
      </c>
      <c r="K110" s="1586">
        <v>19</v>
      </c>
      <c r="AZ110" s="2150">
        <v>18</v>
      </c>
      <c r="BA110" s="1744"/>
      <c r="BB110" s="1744"/>
      <c r="BC110" s="498">
        <v>190019</v>
      </c>
      <c r="BD110" s="1752">
        <f>128*9+28+0.195</f>
        <v>1180.1949999999999</v>
      </c>
      <c r="BE110" s="1744"/>
      <c r="BF110" s="1744"/>
      <c r="BG110" s="1752">
        <f>128*9+26+0.064</f>
        <v>1178.0640000000001</v>
      </c>
      <c r="BH110" s="498">
        <v>51</v>
      </c>
      <c r="BI110" s="1744"/>
      <c r="BJ110" s="1744">
        <f t="shared" ref="BJ110:BJ115" si="14">128*14+4</f>
        <v>1796</v>
      </c>
      <c r="BK110" s="1744">
        <f>0.019</f>
        <v>1.9E-2</v>
      </c>
      <c r="BL110" s="498">
        <v>51</v>
      </c>
    </row>
    <row r="111" spans="1:64" ht="15.75">
      <c r="A111" s="499">
        <v>24</v>
      </c>
      <c r="B111" s="1959">
        <v>19</v>
      </c>
      <c r="C111" s="1968">
        <v>190053</v>
      </c>
      <c r="D111" s="766">
        <f>350000+26</f>
        <v>350026</v>
      </c>
      <c r="E111" s="2343">
        <v>26</v>
      </c>
      <c r="F111" s="1499">
        <f>128*12+13</f>
        <v>1549</v>
      </c>
      <c r="G111" s="1499">
        <f>128*12+14</f>
        <v>1550</v>
      </c>
      <c r="H111" s="812">
        <f>128*12+15</f>
        <v>1551</v>
      </c>
      <c r="I111" s="2342">
        <v>26</v>
      </c>
      <c r="J111" s="1964">
        <v>190053</v>
      </c>
      <c r="K111" s="1586">
        <v>19</v>
      </c>
      <c r="N111" s="93"/>
      <c r="O111" s="93"/>
      <c r="P111" s="93"/>
      <c r="Q111" s="93"/>
      <c r="R111" s="93"/>
      <c r="S111" s="93"/>
      <c r="T111" s="93"/>
      <c r="U111" s="93"/>
      <c r="V111" s="93"/>
      <c r="W111" s="93"/>
      <c r="X111" s="93"/>
      <c r="Y111" s="93"/>
      <c r="Z111" s="93"/>
      <c r="AA111" s="93"/>
      <c r="AB111" s="93"/>
      <c r="AC111" s="93"/>
      <c r="AD111" s="93"/>
      <c r="AE111" s="93"/>
      <c r="AF111" s="93"/>
      <c r="AG111" s="93"/>
      <c r="AZ111" s="2150">
        <v>18</v>
      </c>
      <c r="BA111" s="1744"/>
      <c r="BB111" s="1744"/>
      <c r="BC111" s="498">
        <f>10000*19+19+0.195</f>
        <v>190019.19500000001</v>
      </c>
      <c r="BD111" s="1744"/>
      <c r="BE111" s="1744"/>
      <c r="BF111" s="1744"/>
      <c r="BG111" s="1744"/>
      <c r="BH111" s="1912">
        <f>128*4+46</f>
        <v>558</v>
      </c>
      <c r="BI111" s="1744"/>
      <c r="BJ111" s="2166">
        <f t="shared" si="14"/>
        <v>1796</v>
      </c>
      <c r="BK111" s="2166"/>
      <c r="BL111" s="2171">
        <f>43+0.1961</f>
        <v>43.196100000000001</v>
      </c>
    </row>
    <row r="112" spans="1:64" ht="15.75">
      <c r="A112" s="499">
        <v>24</v>
      </c>
      <c r="B112" s="1959">
        <v>19</v>
      </c>
      <c r="C112" s="1968">
        <v>190053</v>
      </c>
      <c r="D112" s="707">
        <v>26</v>
      </c>
      <c r="E112" s="707">
        <v>26</v>
      </c>
      <c r="F112" s="707">
        <v>26</v>
      </c>
      <c r="G112" s="1383"/>
      <c r="H112" s="707">
        <v>26</v>
      </c>
      <c r="I112" s="2342">
        <v>26</v>
      </c>
      <c r="J112" s="1964">
        <v>190053</v>
      </c>
      <c r="K112" s="1586">
        <v>19</v>
      </c>
      <c r="N112" s="93"/>
      <c r="O112" s="93"/>
      <c r="P112" s="93"/>
      <c r="Q112" s="93"/>
      <c r="R112" s="93"/>
      <c r="S112" s="93"/>
      <c r="T112" s="93"/>
      <c r="U112" s="93"/>
      <c r="V112" s="93"/>
      <c r="W112" s="93"/>
      <c r="X112" s="93"/>
      <c r="Y112" s="93"/>
      <c r="Z112" s="93"/>
      <c r="AA112" s="93"/>
      <c r="AB112" s="93"/>
      <c r="AC112" s="93"/>
      <c r="AD112" s="93"/>
      <c r="AE112" s="93"/>
      <c r="AF112" s="93"/>
      <c r="AG112" s="93"/>
      <c r="AZ112" s="498">
        <v>19</v>
      </c>
      <c r="BA112" s="1744"/>
      <c r="BB112" s="1744"/>
      <c r="BC112" s="2175">
        <f>10000*19+128*9+68+0.021</f>
        <v>191220.02100000001</v>
      </c>
      <c r="BD112" s="1744">
        <f>128*14+3</f>
        <v>1795</v>
      </c>
      <c r="BE112" s="1744"/>
      <c r="BF112" s="1744"/>
      <c r="BG112" s="1744"/>
      <c r="BH112" s="1912">
        <f>128*4+46</f>
        <v>558</v>
      </c>
      <c r="BI112" s="1744"/>
      <c r="BJ112" s="2166">
        <f t="shared" si="14"/>
        <v>1796</v>
      </c>
      <c r="BK112" s="1166">
        <f>110000+128*11+8</f>
        <v>111416</v>
      </c>
      <c r="BL112" s="1163">
        <f>43+0.195</f>
        <v>43.195</v>
      </c>
    </row>
    <row r="113" spans="1:64" ht="15.75">
      <c r="A113" s="499">
        <v>24</v>
      </c>
      <c r="B113" s="1959">
        <v>19</v>
      </c>
      <c r="C113" s="1968">
        <v>190053</v>
      </c>
      <c r="D113" s="707">
        <v>26</v>
      </c>
      <c r="E113" s="1184"/>
      <c r="F113" s="707">
        <v>26</v>
      </c>
      <c r="G113" s="1383">
        <f>128*10+41</f>
        <v>1321</v>
      </c>
      <c r="H113" s="707">
        <v>26</v>
      </c>
      <c r="I113" s="1969"/>
      <c r="J113" s="1964">
        <v>190053</v>
      </c>
      <c r="K113" s="1586">
        <v>19</v>
      </c>
      <c r="L113" s="93"/>
      <c r="M113" s="93"/>
      <c r="N113" s="754">
        <v>35</v>
      </c>
      <c r="O113" s="754">
        <v>35</v>
      </c>
      <c r="P113" s="754">
        <v>35</v>
      </c>
      <c r="Q113" s="754">
        <v>35</v>
      </c>
      <c r="R113" s="754">
        <v>35</v>
      </c>
      <c r="S113" s="754">
        <v>35</v>
      </c>
      <c r="T113" s="754">
        <v>35</v>
      </c>
      <c r="U113" s="754">
        <v>35</v>
      </c>
      <c r="V113" s="754">
        <v>35</v>
      </c>
      <c r="W113" s="754">
        <v>35</v>
      </c>
      <c r="X113" s="754">
        <v>35</v>
      </c>
      <c r="Y113" s="754">
        <v>35</v>
      </c>
      <c r="Z113" s="754">
        <v>35</v>
      </c>
      <c r="AA113" s="707">
        <v>420042</v>
      </c>
      <c r="AB113" s="707">
        <v>420042</v>
      </c>
      <c r="AC113" s="707">
        <v>420042</v>
      </c>
      <c r="AD113" s="93"/>
      <c r="AZ113" s="498">
        <v>19</v>
      </c>
      <c r="BA113" s="1744"/>
      <c r="BB113" s="1744"/>
      <c r="BC113" s="498">
        <v>51</v>
      </c>
      <c r="BD113" s="1744"/>
      <c r="BE113" s="1744"/>
      <c r="BF113" s="1998">
        <v>0.19500000000000001</v>
      </c>
      <c r="BG113" s="1744"/>
      <c r="BH113" s="498">
        <v>51</v>
      </c>
      <c r="BI113" s="1744"/>
      <c r="BJ113" s="2166">
        <f t="shared" si="14"/>
        <v>1796</v>
      </c>
      <c r="BK113" s="2166"/>
      <c r="BL113" s="1163">
        <f>43+0.1969</f>
        <v>43.196899999999999</v>
      </c>
    </row>
    <row r="114" spans="1:64" ht="16.5" thickBot="1">
      <c r="A114" s="499">
        <v>24</v>
      </c>
      <c r="B114" s="1959">
        <v>19</v>
      </c>
      <c r="C114" s="1982">
        <v>190019</v>
      </c>
      <c r="D114" s="1982">
        <v>190019</v>
      </c>
      <c r="E114" s="1982">
        <v>190019</v>
      </c>
      <c r="F114" s="2344">
        <f>10000*19+26</f>
        <v>190026</v>
      </c>
      <c r="G114" s="1983">
        <f>128*9+68+0.215</f>
        <v>1220.2149999999999</v>
      </c>
      <c r="H114" s="2344">
        <f>10000*19+26</f>
        <v>190026</v>
      </c>
      <c r="I114" s="1984">
        <v>190019</v>
      </c>
      <c r="J114" s="1984">
        <v>190019</v>
      </c>
      <c r="K114" s="1586">
        <v>19</v>
      </c>
      <c r="L114" s="93"/>
      <c r="M114" s="93"/>
      <c r="N114" s="754">
        <v>35</v>
      </c>
      <c r="O114" s="2038"/>
      <c r="P114" s="2038"/>
      <c r="Q114" s="2038"/>
      <c r="R114" s="754">
        <v>35</v>
      </c>
      <c r="S114" s="2038"/>
      <c r="T114" s="2038"/>
      <c r="U114" s="2038"/>
      <c r="V114" s="2038"/>
      <c r="W114" s="2038"/>
      <c r="X114" s="2038"/>
      <c r="Y114" s="2038"/>
      <c r="Z114" s="2041"/>
      <c r="AA114" s="2043">
        <f>128*5+39</f>
        <v>679</v>
      </c>
      <c r="AB114" s="755">
        <f>128*11+3</f>
        <v>1411</v>
      </c>
      <c r="AC114" s="811">
        <f>420042+0.068</f>
        <v>420042.06800000003</v>
      </c>
      <c r="AD114" s="93"/>
      <c r="AZ114" s="2150">
        <v>18</v>
      </c>
      <c r="BA114" s="1744"/>
      <c r="BB114" s="1744"/>
      <c r="BC114" s="498">
        <v>51</v>
      </c>
      <c r="BD114" s="1751">
        <f>128*9+48+0.196</f>
        <v>1200.1959999999999</v>
      </c>
      <c r="BE114" s="1744"/>
      <c r="BF114" s="1744"/>
      <c r="BG114" s="1744"/>
      <c r="BH114" s="1744">
        <f>128*5+40</f>
        <v>680</v>
      </c>
      <c r="BI114" s="1744"/>
      <c r="BJ114" s="1744">
        <f t="shared" si="14"/>
        <v>1796</v>
      </c>
      <c r="BK114" s="1744"/>
      <c r="BL114" s="498">
        <v>51</v>
      </c>
    </row>
    <row r="115" spans="1:64" ht="16.5" thickBot="1">
      <c r="A115" s="499">
        <v>24</v>
      </c>
      <c r="D115" s="1959">
        <v>19</v>
      </c>
      <c r="E115" s="1976">
        <v>53</v>
      </c>
      <c r="F115" s="525">
        <v>26</v>
      </c>
      <c r="G115" s="1963"/>
      <c r="H115" s="525">
        <v>26</v>
      </c>
      <c r="I115" s="1976">
        <v>53</v>
      </c>
      <c r="J115" s="1586">
        <v>19</v>
      </c>
      <c r="K115" s="1620"/>
      <c r="L115" s="93"/>
      <c r="M115" s="93"/>
      <c r="N115" s="754">
        <v>35</v>
      </c>
      <c r="O115" s="2038"/>
      <c r="P115" s="754">
        <v>35</v>
      </c>
      <c r="Q115" s="2038"/>
      <c r="R115" s="2041"/>
      <c r="S115" s="2038"/>
      <c r="T115" s="754">
        <v>35</v>
      </c>
      <c r="U115" s="754">
        <v>35</v>
      </c>
      <c r="V115" s="754">
        <v>35</v>
      </c>
      <c r="W115" s="754">
        <v>35</v>
      </c>
      <c r="X115" s="754">
        <v>35</v>
      </c>
      <c r="Y115" s="754">
        <v>35</v>
      </c>
      <c r="Z115" s="754">
        <v>35</v>
      </c>
      <c r="AA115" s="707">
        <v>420042</v>
      </c>
      <c r="AB115" s="707">
        <v>420042</v>
      </c>
      <c r="AC115" s="707">
        <v>420042</v>
      </c>
      <c r="AD115" s="93"/>
      <c r="AZ115" s="2150">
        <v>18</v>
      </c>
      <c r="BA115" s="1744"/>
      <c r="BB115" s="1744"/>
      <c r="BC115" s="498">
        <v>51</v>
      </c>
      <c r="BD115" s="1751">
        <f>128*9+49</f>
        <v>1201</v>
      </c>
      <c r="BE115" s="1744"/>
      <c r="BF115" s="1744"/>
      <c r="BG115" s="1744"/>
      <c r="BH115" s="498">
        <v>51</v>
      </c>
      <c r="BI115" s="1744"/>
      <c r="BJ115" s="1744">
        <f t="shared" si="14"/>
        <v>1796</v>
      </c>
      <c r="BK115" s="1912">
        <f>128*9+26+0.064</f>
        <v>1178.0640000000001</v>
      </c>
      <c r="BL115" s="498">
        <v>51</v>
      </c>
    </row>
    <row r="116" spans="1:64" ht="15.75">
      <c r="A116" s="499">
        <v>24</v>
      </c>
      <c r="D116" s="1466">
        <v>53</v>
      </c>
      <c r="E116" s="1453"/>
      <c r="F116" s="1963">
        <f>128*9+2</f>
        <v>1154</v>
      </c>
      <c r="G116" s="1963"/>
      <c r="H116" s="1963">
        <f>128*9+2</f>
        <v>1154</v>
      </c>
      <c r="I116" s="1963"/>
      <c r="J116" s="1586">
        <v>53</v>
      </c>
      <c r="K116" s="1620"/>
      <c r="L116" s="707">
        <v>420042</v>
      </c>
      <c r="M116" s="707">
        <v>420042</v>
      </c>
      <c r="N116" s="707">
        <v>420042</v>
      </c>
      <c r="O116" s="2038"/>
      <c r="P116" s="754">
        <v>35</v>
      </c>
      <c r="Q116" s="754">
        <v>35</v>
      </c>
      <c r="R116" s="754">
        <v>35</v>
      </c>
      <c r="S116" s="2038"/>
      <c r="T116" s="754">
        <v>35</v>
      </c>
      <c r="U116" s="93"/>
      <c r="V116" s="93"/>
      <c r="W116" s="93"/>
      <c r="X116" s="93"/>
      <c r="Y116" s="93"/>
      <c r="Z116" s="93"/>
      <c r="AA116" s="93"/>
      <c r="AB116" s="93"/>
      <c r="AC116" s="93"/>
      <c r="AD116" s="93"/>
      <c r="AZ116" s="2150">
        <v>18</v>
      </c>
      <c r="BA116" s="498">
        <v>190019</v>
      </c>
      <c r="BB116" s="498">
        <v>190019</v>
      </c>
      <c r="BC116" s="498">
        <v>190019</v>
      </c>
      <c r="BD116" s="678">
        <f>19+0.1969</f>
        <v>19.196899999999999</v>
      </c>
      <c r="BE116" s="698">
        <f>10000*19+19+0.208</f>
        <v>190019.20800000001</v>
      </c>
      <c r="BF116" s="2146"/>
      <c r="BG116" s="528">
        <f>10000*19+51+0.208</f>
        <v>190051.20800000001</v>
      </c>
      <c r="BH116" s="498">
        <v>190019</v>
      </c>
      <c r="BI116" s="498">
        <v>51</v>
      </c>
      <c r="BJ116" s="3219">
        <f>128*5+46</f>
        <v>686</v>
      </c>
      <c r="BK116" s="498">
        <v>51</v>
      </c>
      <c r="BL116" s="498">
        <v>51</v>
      </c>
    </row>
    <row r="117" spans="1:64" ht="15.75">
      <c r="A117" s="499">
        <v>24</v>
      </c>
      <c r="D117" s="1959">
        <v>19</v>
      </c>
      <c r="E117" s="1975">
        <f>128*9+2</f>
        <v>1154</v>
      </c>
      <c r="F117" s="1959">
        <v>19</v>
      </c>
      <c r="G117" s="2253">
        <f>53+0.195</f>
        <v>53.195</v>
      </c>
      <c r="H117" s="1959">
        <v>19</v>
      </c>
      <c r="I117" s="1975">
        <f>128*9+2</f>
        <v>1154</v>
      </c>
      <c r="J117" s="1586">
        <v>19</v>
      </c>
      <c r="K117" s="1620"/>
      <c r="L117" s="755">
        <f>420042+0.068</f>
        <v>420042.06800000003</v>
      </c>
      <c r="M117" s="811">
        <f>128*11+2</f>
        <v>1410</v>
      </c>
      <c r="N117" s="504">
        <f>128*5+39</f>
        <v>679</v>
      </c>
      <c r="O117" s="2038"/>
      <c r="P117" s="754">
        <v>35</v>
      </c>
      <c r="Q117" s="93"/>
      <c r="R117" s="754">
        <v>35</v>
      </c>
      <c r="S117" s="2038"/>
      <c r="T117" s="754">
        <v>35</v>
      </c>
      <c r="U117" s="93"/>
      <c r="V117" s="93"/>
      <c r="W117" s="93"/>
      <c r="X117" s="93"/>
      <c r="Y117" s="93"/>
      <c r="Z117" s="93"/>
      <c r="AA117" s="93"/>
      <c r="AB117" s="1026">
        <v>19</v>
      </c>
      <c r="AC117" s="1026">
        <v>19</v>
      </c>
      <c r="AD117" s="1026">
        <v>19</v>
      </c>
      <c r="AE117" s="1026">
        <v>19</v>
      </c>
      <c r="AF117" s="1026">
        <v>19</v>
      </c>
      <c r="AG117" s="677">
        <v>19</v>
      </c>
      <c r="AZ117" s="2150">
        <v>18</v>
      </c>
      <c r="BA117" s="2178"/>
      <c r="BB117" s="2178"/>
      <c r="BC117" s="498">
        <v>51</v>
      </c>
      <c r="BD117" s="1751">
        <f>128*9+48+0.021</f>
        <v>1200.021</v>
      </c>
      <c r="BE117" s="1752">
        <f>128*9+48+0.195</f>
        <v>1200.1949999999999</v>
      </c>
      <c r="BF117" s="1744"/>
      <c r="BG117" s="1912">
        <f>128*9+26+0.064</f>
        <v>1178.0640000000001</v>
      </c>
      <c r="BH117" s="498">
        <v>51</v>
      </c>
      <c r="BI117" s="1744"/>
      <c r="BJ117" s="1744"/>
      <c r="BK117" s="1744">
        <f>0.019</f>
        <v>1.9E-2</v>
      </c>
      <c r="BL117" s="498">
        <v>51</v>
      </c>
    </row>
    <row r="118" spans="1:64" ht="15.75">
      <c r="A118" s="499">
        <v>24</v>
      </c>
      <c r="D118" s="1466">
        <v>53</v>
      </c>
      <c r="E118" s="1453"/>
      <c r="F118" s="1963">
        <f>128*9+2</f>
        <v>1154</v>
      </c>
      <c r="G118" s="1453">
        <f>128*6+9</f>
        <v>777</v>
      </c>
      <c r="H118" s="1959">
        <v>19</v>
      </c>
      <c r="I118" s="1975">
        <f>128*9+2</f>
        <v>1154</v>
      </c>
      <c r="J118" s="1586">
        <v>19</v>
      </c>
      <c r="K118" s="1620"/>
      <c r="L118" s="707">
        <v>420042</v>
      </c>
      <c r="M118" s="707">
        <v>420042</v>
      </c>
      <c r="N118" s="707">
        <v>420042</v>
      </c>
      <c r="O118" s="754">
        <v>35</v>
      </c>
      <c r="P118" s="754">
        <v>35</v>
      </c>
      <c r="Q118" s="93"/>
      <c r="R118" s="754">
        <v>35</v>
      </c>
      <c r="S118" s="2038"/>
      <c r="T118" s="754">
        <v>35</v>
      </c>
      <c r="U118" s="754">
        <v>35</v>
      </c>
      <c r="V118" s="93"/>
      <c r="W118" s="93"/>
      <c r="X118" s="93"/>
      <c r="Y118" s="93"/>
      <c r="Z118" s="93"/>
      <c r="AA118" s="93"/>
      <c r="AB118" s="1026">
        <v>19</v>
      </c>
      <c r="AC118" s="2913">
        <v>190053</v>
      </c>
      <c r="AD118" s="2914">
        <v>190053</v>
      </c>
      <c r="AE118" s="2915">
        <v>190053</v>
      </c>
      <c r="AF118" s="2913">
        <v>190053</v>
      </c>
      <c r="AG118" s="677">
        <v>19</v>
      </c>
      <c r="AZ118" s="2150">
        <v>18</v>
      </c>
      <c r="BA118" s="2178"/>
      <c r="BB118" s="498">
        <v>20</v>
      </c>
      <c r="BC118" s="498">
        <v>51</v>
      </c>
      <c r="BD118" s="1744"/>
      <c r="BE118" s="1744"/>
      <c r="BF118" s="1744"/>
      <c r="BG118" s="1744"/>
      <c r="BH118" s="1912">
        <f>128*4+46</f>
        <v>558</v>
      </c>
      <c r="BI118" s="1744"/>
      <c r="BJ118" s="2166"/>
      <c r="BK118" s="2166"/>
      <c r="BL118" s="2170">
        <f>49+0.1961</f>
        <v>49.196100000000001</v>
      </c>
    </row>
    <row r="119" spans="1:64" ht="16.5" thickBot="1">
      <c r="A119" s="499">
        <v>24</v>
      </c>
      <c r="D119" s="1959">
        <v>19</v>
      </c>
      <c r="E119" s="1977">
        <v>53</v>
      </c>
      <c r="F119" s="1959">
        <v>19</v>
      </c>
      <c r="G119" s="2253">
        <f>53+0.195</f>
        <v>53.195</v>
      </c>
      <c r="H119" s="1959">
        <v>19</v>
      </c>
      <c r="I119" s="1975">
        <f>128*9+2</f>
        <v>1154</v>
      </c>
      <c r="J119" s="1586">
        <v>19</v>
      </c>
      <c r="K119" s="1620"/>
      <c r="L119" s="93"/>
      <c r="M119" s="93"/>
      <c r="N119" s="93"/>
      <c r="O119" s="93"/>
      <c r="P119" s="93"/>
      <c r="Q119" s="93"/>
      <c r="R119" s="754">
        <v>35</v>
      </c>
      <c r="S119" s="2038"/>
      <c r="T119" s="3729">
        <f>0.384+0.0043</f>
        <v>0.38830000000000003</v>
      </c>
      <c r="U119" s="754">
        <v>35</v>
      </c>
      <c r="V119" s="93"/>
      <c r="W119" s="93"/>
      <c r="X119" s="93"/>
      <c r="Y119" s="93"/>
      <c r="Z119" s="93"/>
      <c r="AA119" s="93"/>
      <c r="AB119" s="1026">
        <v>19</v>
      </c>
      <c r="AC119" s="2916">
        <v>190053</v>
      </c>
      <c r="AD119" s="1078">
        <v>53</v>
      </c>
      <c r="AE119" s="1078">
        <v>53</v>
      </c>
      <c r="AF119" s="2919">
        <v>200020</v>
      </c>
      <c r="AG119" s="677">
        <v>19</v>
      </c>
      <c r="AZ119" s="2150">
        <v>18</v>
      </c>
      <c r="BA119" s="2178"/>
      <c r="BB119" s="2178"/>
      <c r="BC119" s="2177">
        <f>180000+128*5+38+0.021</f>
        <v>180678.02100000001</v>
      </c>
      <c r="BD119" s="1744"/>
      <c r="BE119" s="1744"/>
      <c r="BF119" s="1744"/>
      <c r="BG119" s="1744"/>
      <c r="BH119" s="1912">
        <f>128*4+46</f>
        <v>558</v>
      </c>
      <c r="BI119" s="1744"/>
      <c r="BJ119" s="2166"/>
      <c r="BK119" s="1166">
        <f>110000+128*11+9</f>
        <v>111417</v>
      </c>
      <c r="BL119" s="2169">
        <v>49</v>
      </c>
    </row>
    <row r="120" spans="1:64" ht="15.75">
      <c r="A120" s="499">
        <v>24</v>
      </c>
      <c r="F120" s="2253">
        <f>53+0.195</f>
        <v>53.195</v>
      </c>
      <c r="G120" s="1963"/>
      <c r="H120" s="1963">
        <f>128*9+2</f>
        <v>1154</v>
      </c>
      <c r="I120" s="1963"/>
      <c r="J120" s="1586">
        <v>53</v>
      </c>
      <c r="K120" s="1620"/>
      <c r="L120" s="93"/>
      <c r="M120" s="93"/>
      <c r="N120" s="93"/>
      <c r="O120" s="93"/>
      <c r="P120" s="93"/>
      <c r="Q120" s="93"/>
      <c r="R120" s="754">
        <v>35</v>
      </c>
      <c r="S120" s="2038"/>
      <c r="T120" s="754">
        <v>35</v>
      </c>
      <c r="U120" s="754">
        <v>35</v>
      </c>
      <c r="V120" s="93"/>
      <c r="W120" s="93"/>
      <c r="X120" s="93"/>
      <c r="Y120" s="93"/>
      <c r="Z120" s="93"/>
      <c r="AA120" s="93"/>
      <c r="AB120" s="1026">
        <v>19</v>
      </c>
      <c r="AC120" s="2916">
        <v>190053</v>
      </c>
      <c r="AD120" s="812">
        <f>128*12+23</f>
        <v>1559</v>
      </c>
      <c r="AE120" s="811">
        <v>53</v>
      </c>
      <c r="AF120" s="2919">
        <f>200020</f>
        <v>200020</v>
      </c>
      <c r="AG120" s="677">
        <v>19</v>
      </c>
      <c r="AH120" s="677">
        <v>19</v>
      </c>
      <c r="AZ120" s="2150">
        <v>18</v>
      </c>
      <c r="BA120" s="2178"/>
      <c r="BB120" s="498">
        <v>20</v>
      </c>
      <c r="BC120" s="498">
        <v>51</v>
      </c>
      <c r="BD120" s="1744"/>
      <c r="BE120" s="1744"/>
      <c r="BF120" s="1998">
        <v>0.19500000000000001</v>
      </c>
      <c r="BG120" s="2165">
        <f>128*8+11</f>
        <v>1035</v>
      </c>
      <c r="BH120" s="498">
        <v>51</v>
      </c>
      <c r="BI120" s="1744"/>
      <c r="BJ120" s="2166"/>
      <c r="BK120" s="2166"/>
      <c r="BL120" s="2169">
        <f>49+0.1969</f>
        <v>49.196899999999999</v>
      </c>
    </row>
    <row r="121" spans="1:64" ht="16.5" thickBot="1">
      <c r="A121" s="499">
        <v>24</v>
      </c>
      <c r="C121" s="528">
        <v>19</v>
      </c>
      <c r="D121" s="1033">
        <v>19</v>
      </c>
      <c r="E121" s="1033">
        <v>19</v>
      </c>
      <c r="F121" s="2253">
        <f>53+0.195</f>
        <v>53.195</v>
      </c>
      <c r="G121" s="1451"/>
      <c r="H121" s="2253">
        <f>53+0.195</f>
        <v>53.195</v>
      </c>
      <c r="I121" s="704">
        <v>53</v>
      </c>
      <c r="J121" s="1033">
        <v>19</v>
      </c>
      <c r="K121" s="1620"/>
      <c r="L121" s="93"/>
      <c r="M121" s="93"/>
      <c r="N121" s="93"/>
      <c r="O121" s="93"/>
      <c r="P121" s="93"/>
      <c r="Q121" s="93"/>
      <c r="R121" s="754">
        <v>35</v>
      </c>
      <c r="S121" s="2041"/>
      <c r="T121" s="754">
        <v>35</v>
      </c>
      <c r="U121" s="93"/>
      <c r="V121" s="93"/>
      <c r="W121" s="93"/>
      <c r="X121" s="93"/>
      <c r="Y121" s="93"/>
      <c r="Z121" s="93"/>
      <c r="AA121" s="93"/>
      <c r="AB121" s="1026">
        <v>19</v>
      </c>
      <c r="AC121" s="2916">
        <v>190053</v>
      </c>
      <c r="AD121" s="1856">
        <f>128*5+35</f>
        <v>675</v>
      </c>
      <c r="AE121" s="811">
        <v>53</v>
      </c>
      <c r="AF121" s="2919">
        <f>200020</f>
        <v>200020</v>
      </c>
      <c r="AG121" s="2919">
        <f>200020</f>
        <v>200020</v>
      </c>
      <c r="AH121" s="677">
        <v>19</v>
      </c>
      <c r="AZ121" s="2150">
        <v>18</v>
      </c>
      <c r="BA121" s="2150">
        <v>18</v>
      </c>
      <c r="BB121" s="2150">
        <v>18</v>
      </c>
      <c r="BC121" s="498">
        <v>51</v>
      </c>
      <c r="BD121" s="1744"/>
      <c r="BE121" s="1744"/>
      <c r="BF121" s="1744"/>
      <c r="BG121" s="1744"/>
      <c r="BH121" s="1744">
        <f>128*5+40+0.195</f>
        <v>680.19500000000005</v>
      </c>
      <c r="BI121" s="1744"/>
      <c r="BJ121" s="1744"/>
      <c r="BK121" s="1744"/>
      <c r="BL121" s="498">
        <v>51</v>
      </c>
    </row>
    <row r="122" spans="1:64" ht="16.5" thickBot="1">
      <c r="A122" s="499">
        <v>24</v>
      </c>
      <c r="C122" s="528">
        <v>19</v>
      </c>
      <c r="D122" s="1987">
        <v>19</v>
      </c>
      <c r="E122" s="1979"/>
      <c r="F122" s="770">
        <v>53</v>
      </c>
      <c r="G122" s="1985">
        <f>128*12+1+0.059</f>
        <v>1537.059</v>
      </c>
      <c r="H122" s="754">
        <v>53</v>
      </c>
      <c r="I122" s="1978"/>
      <c r="J122" s="528">
        <v>19</v>
      </c>
      <c r="L122" s="93"/>
      <c r="M122" s="93"/>
      <c r="N122" s="93"/>
      <c r="O122" s="93"/>
      <c r="P122" s="93"/>
      <c r="Q122" s="93"/>
      <c r="R122" s="754">
        <v>35</v>
      </c>
      <c r="S122" s="2038"/>
      <c r="T122" s="754">
        <v>35</v>
      </c>
      <c r="U122" s="93"/>
      <c r="V122" s="93"/>
      <c r="W122" s="93"/>
      <c r="X122" s="93"/>
      <c r="Y122" s="93"/>
      <c r="Z122" s="93"/>
      <c r="AA122" s="93"/>
      <c r="AB122" s="1026">
        <v>19</v>
      </c>
      <c r="AC122" s="2916">
        <v>190053</v>
      </c>
      <c r="AD122" s="707">
        <f>128*14+116</f>
        <v>1908</v>
      </c>
      <c r="AE122" s="1756">
        <v>53</v>
      </c>
      <c r="AF122" s="811">
        <v>53</v>
      </c>
      <c r="AG122" s="2913">
        <v>190053</v>
      </c>
      <c r="AH122" s="677">
        <v>19</v>
      </c>
      <c r="BC122" s="498">
        <v>51</v>
      </c>
      <c r="BD122" s="1744"/>
      <c r="BE122" s="2165">
        <f>128*9+28+0.195</f>
        <v>1180.1949999999999</v>
      </c>
      <c r="BF122" s="1744"/>
      <c r="BG122" s="1912">
        <f>128*9+49</f>
        <v>1201</v>
      </c>
      <c r="BH122" s="498">
        <v>51</v>
      </c>
      <c r="BI122" s="1744"/>
      <c r="BJ122" s="1744"/>
      <c r="BK122" s="1912">
        <f>128*9+26+0.064</f>
        <v>1178.0640000000001</v>
      </c>
      <c r="BL122" s="498">
        <v>51</v>
      </c>
    </row>
    <row r="123" spans="1:64">
      <c r="A123" s="499">
        <v>24</v>
      </c>
      <c r="C123" s="528">
        <f>340000+19</f>
        <v>340019</v>
      </c>
      <c r="D123" s="1979"/>
      <c r="F123" s="754">
        <v>19</v>
      </c>
      <c r="G123" s="527">
        <v>53</v>
      </c>
      <c r="H123" s="754">
        <v>19</v>
      </c>
      <c r="I123" s="1978"/>
      <c r="J123" s="528">
        <v>19</v>
      </c>
      <c r="L123" s="93"/>
      <c r="M123" s="93"/>
      <c r="N123" s="93"/>
      <c r="O123" s="93"/>
      <c r="P123" s="93"/>
      <c r="Q123" s="93"/>
      <c r="R123" s="754">
        <v>35</v>
      </c>
      <c r="S123" s="2038"/>
      <c r="T123" s="754">
        <v>35</v>
      </c>
      <c r="U123" s="93"/>
      <c r="V123" s="93"/>
      <c r="W123" s="93"/>
      <c r="X123" s="754">
        <v>35</v>
      </c>
      <c r="Y123" s="754">
        <v>35</v>
      </c>
      <c r="Z123" s="754">
        <v>35</v>
      </c>
      <c r="AA123" s="93"/>
      <c r="AB123" s="1026">
        <v>19</v>
      </c>
      <c r="AC123" s="2916">
        <v>190053</v>
      </c>
      <c r="AD123" s="707">
        <f>0.256+0.001</f>
        <v>0.25700000000000001</v>
      </c>
      <c r="AE123" s="707">
        <f>0.256+0.006</f>
        <v>0.26200000000000001</v>
      </c>
      <c r="AF123" s="2918">
        <v>190053</v>
      </c>
      <c r="AG123" s="2918">
        <v>190053</v>
      </c>
      <c r="AH123" s="677">
        <v>19</v>
      </c>
      <c r="BC123" s="498">
        <v>190019</v>
      </c>
      <c r="BD123" s="678">
        <f>53+0.1969</f>
        <v>53.196899999999999</v>
      </c>
      <c r="BE123" s="678">
        <v>53</v>
      </c>
      <c r="BF123" s="678">
        <v>53</v>
      </c>
      <c r="BG123" s="1612">
        <f>53+0.1961</f>
        <v>53.196100000000001</v>
      </c>
      <c r="BH123" s="498">
        <v>190019</v>
      </c>
      <c r="BI123" s="678">
        <f>53+0.1969</f>
        <v>53.196899999999999</v>
      </c>
      <c r="BJ123" s="678">
        <v>53</v>
      </c>
      <c r="BK123" s="1612">
        <f>53+0.1961</f>
        <v>53.196100000000001</v>
      </c>
      <c r="BL123" s="498">
        <v>190019</v>
      </c>
    </row>
    <row r="124" spans="1:64">
      <c r="A124" s="499">
        <v>24</v>
      </c>
      <c r="C124" s="528">
        <f>340000+19</f>
        <v>340019</v>
      </c>
      <c r="D124" s="1979"/>
      <c r="I124" s="1978"/>
      <c r="J124" s="528">
        <v>19</v>
      </c>
      <c r="L124" s="93"/>
      <c r="M124" s="93"/>
      <c r="N124" s="93"/>
      <c r="O124" s="93"/>
      <c r="P124" s="93"/>
      <c r="Q124" s="754">
        <v>35</v>
      </c>
      <c r="R124" s="2038"/>
      <c r="S124" s="2038"/>
      <c r="T124" s="754">
        <v>35</v>
      </c>
      <c r="U124" s="93"/>
      <c r="V124" s="93"/>
      <c r="W124" s="93"/>
      <c r="X124" s="754">
        <v>35</v>
      </c>
      <c r="Y124" s="2044">
        <f>128*10+3</f>
        <v>1283</v>
      </c>
      <c r="Z124" s="754">
        <v>35</v>
      </c>
      <c r="AA124" s="93"/>
      <c r="AB124" s="1026">
        <v>19</v>
      </c>
      <c r="AC124" s="2913">
        <v>190053</v>
      </c>
      <c r="AD124" s="2917">
        <v>190053</v>
      </c>
      <c r="AE124" s="2917">
        <v>190053</v>
      </c>
      <c r="AF124" s="2913">
        <v>190053</v>
      </c>
      <c r="AG124" s="677">
        <v>19</v>
      </c>
      <c r="AH124" s="677">
        <v>19</v>
      </c>
      <c r="BL124" s="499">
        <v>24</v>
      </c>
    </row>
    <row r="125" spans="1:64" ht="13.5" thickBot="1">
      <c r="A125" s="499">
        <v>24</v>
      </c>
      <c r="C125" s="528">
        <v>19</v>
      </c>
      <c r="D125" s="1987">
        <v>19</v>
      </c>
      <c r="E125" s="1980">
        <v>350000</v>
      </c>
      <c r="F125" s="1979"/>
      <c r="G125" s="93"/>
      <c r="H125" s="1979"/>
      <c r="I125" s="1978"/>
      <c r="J125" s="528">
        <v>19</v>
      </c>
      <c r="L125" s="93"/>
      <c r="M125" s="93"/>
      <c r="N125" s="93"/>
      <c r="O125" s="93"/>
      <c r="P125" s="93"/>
      <c r="Q125" s="754">
        <v>35</v>
      </c>
      <c r="R125" s="2041"/>
      <c r="S125" s="754">
        <v>35</v>
      </c>
      <c r="T125" s="754">
        <v>35</v>
      </c>
      <c r="U125" s="93"/>
      <c r="V125" s="93"/>
      <c r="W125" s="93"/>
      <c r="X125" s="754">
        <v>35</v>
      </c>
      <c r="Y125" s="3728">
        <f>128*8+3</f>
        <v>1027</v>
      </c>
      <c r="Z125" s="754">
        <v>35</v>
      </c>
      <c r="AA125" s="93"/>
      <c r="AB125" s="1026">
        <v>19</v>
      </c>
      <c r="AC125" s="1026">
        <v>19</v>
      </c>
      <c r="AD125" s="1026">
        <v>19</v>
      </c>
      <c r="AE125" s="1026">
        <v>19</v>
      </c>
      <c r="AF125" s="1026">
        <v>19</v>
      </c>
      <c r="AG125" s="677">
        <v>19</v>
      </c>
      <c r="BL125" s="499">
        <v>24</v>
      </c>
    </row>
    <row r="126" spans="1:64" ht="13.5" thickBot="1">
      <c r="A126" s="499">
        <v>24</v>
      </c>
      <c r="C126" s="528">
        <v>19</v>
      </c>
      <c r="D126" s="528">
        <v>19</v>
      </c>
      <c r="E126" s="528">
        <v>19</v>
      </c>
      <c r="F126" s="1987">
        <v>19</v>
      </c>
      <c r="G126" s="1981">
        <f>128*10+40</f>
        <v>1320</v>
      </c>
      <c r="H126" s="1986">
        <v>19</v>
      </c>
      <c r="I126" s="528">
        <v>19</v>
      </c>
      <c r="J126" s="528">
        <v>19</v>
      </c>
      <c r="L126" s="93"/>
      <c r="M126" s="93"/>
      <c r="N126" s="93"/>
      <c r="O126" s="93"/>
      <c r="P126" s="93"/>
      <c r="Q126" s="754">
        <v>35</v>
      </c>
      <c r="R126" s="2038"/>
      <c r="S126" s="754">
        <v>35</v>
      </c>
      <c r="T126" s="754">
        <v>35</v>
      </c>
      <c r="U126" s="754">
        <v>35</v>
      </c>
      <c r="V126" s="754">
        <v>35</v>
      </c>
      <c r="W126" s="754">
        <v>35</v>
      </c>
      <c r="X126" s="754">
        <v>35</v>
      </c>
      <c r="Y126" s="2042"/>
      <c r="Z126" s="754">
        <v>35</v>
      </c>
      <c r="AA126" s="754">
        <v>35</v>
      </c>
      <c r="AB126" s="93"/>
      <c r="AC126" s="93"/>
      <c r="AD126" s="93"/>
      <c r="BL126" s="499">
        <v>24</v>
      </c>
    </row>
    <row r="127" spans="1:64">
      <c r="A127" s="499">
        <v>24</v>
      </c>
      <c r="E127" s="528">
        <v>19</v>
      </c>
      <c r="F127" s="528">
        <v>19</v>
      </c>
      <c r="G127" s="528">
        <v>19</v>
      </c>
      <c r="H127" s="528">
        <v>19</v>
      </c>
      <c r="I127" s="528">
        <v>19</v>
      </c>
      <c r="L127" s="93"/>
      <c r="M127" s="93"/>
      <c r="N127" s="93"/>
      <c r="O127" s="93"/>
      <c r="P127" s="93"/>
      <c r="Q127" s="754">
        <v>35</v>
      </c>
      <c r="R127" s="2038"/>
      <c r="S127" s="2038"/>
      <c r="T127" s="2038"/>
      <c r="U127" s="2038"/>
      <c r="V127" s="2038"/>
      <c r="W127" s="2038"/>
      <c r="X127" s="2038"/>
      <c r="Y127" s="2038"/>
      <c r="Z127" s="2038">
        <f>128*10+1</f>
        <v>1281</v>
      </c>
      <c r="AA127" s="754">
        <v>35</v>
      </c>
      <c r="AB127" s="93"/>
      <c r="AC127" s="93"/>
      <c r="AD127" s="93"/>
      <c r="BA127" s="1918">
        <f>19+0.256+0.036</f>
        <v>19.292000000000002</v>
      </c>
      <c r="BL127" s="499">
        <v>24</v>
      </c>
    </row>
    <row r="128" spans="1:64">
      <c r="A128" s="499">
        <v>24</v>
      </c>
      <c r="B128" s="499">
        <v>24</v>
      </c>
      <c r="C128" s="499">
        <v>24</v>
      </c>
      <c r="D128" s="499">
        <v>24</v>
      </c>
      <c r="E128" s="499">
        <v>24</v>
      </c>
      <c r="F128" s="499">
        <v>24</v>
      </c>
      <c r="G128" s="499">
        <v>24</v>
      </c>
      <c r="H128" s="499">
        <v>24</v>
      </c>
      <c r="I128" s="499">
        <v>24</v>
      </c>
      <c r="J128" s="499">
        <v>24</v>
      </c>
      <c r="K128" s="499">
        <v>24</v>
      </c>
      <c r="L128" s="499">
        <v>24</v>
      </c>
      <c r="M128" s="499">
        <v>24</v>
      </c>
      <c r="N128" s="499">
        <v>24</v>
      </c>
      <c r="O128" s="499">
        <v>24</v>
      </c>
      <c r="P128" s="499">
        <v>24</v>
      </c>
      <c r="Q128" s="754">
        <v>35</v>
      </c>
      <c r="R128" s="754">
        <v>35</v>
      </c>
      <c r="S128" s="754">
        <v>35</v>
      </c>
      <c r="T128" s="754">
        <v>35</v>
      </c>
      <c r="U128" s="754">
        <v>35</v>
      </c>
      <c r="V128" s="754">
        <v>35</v>
      </c>
      <c r="W128" s="754">
        <v>35</v>
      </c>
      <c r="X128" s="754">
        <v>35</v>
      </c>
      <c r="Y128" s="754">
        <v>35</v>
      </c>
      <c r="Z128" s="754">
        <v>35</v>
      </c>
      <c r="AA128" s="754">
        <v>35</v>
      </c>
      <c r="AB128" s="499">
        <v>24</v>
      </c>
      <c r="AC128" s="499">
        <v>24</v>
      </c>
      <c r="AD128" s="499">
        <v>24</v>
      </c>
      <c r="AE128" s="499">
        <v>24</v>
      </c>
      <c r="AF128" s="499">
        <v>24</v>
      </c>
      <c r="AG128" s="499">
        <v>24</v>
      </c>
      <c r="AH128" s="499">
        <v>24</v>
      </c>
      <c r="AI128" s="499">
        <v>24</v>
      </c>
      <c r="AJ128" s="499">
        <v>24</v>
      </c>
      <c r="AK128" s="499">
        <v>24</v>
      </c>
      <c r="AL128" s="499">
        <v>24</v>
      </c>
      <c r="AM128" s="499">
        <v>24</v>
      </c>
      <c r="AN128" s="499">
        <v>24</v>
      </c>
      <c r="AO128" s="499">
        <v>24</v>
      </c>
      <c r="AP128" s="499">
        <v>24</v>
      </c>
      <c r="AQ128" s="499">
        <v>24</v>
      </c>
      <c r="AR128" s="499">
        <v>24</v>
      </c>
      <c r="AS128" s="499">
        <v>24</v>
      </c>
      <c r="AT128" s="499">
        <v>24</v>
      </c>
      <c r="AU128" s="499">
        <v>24</v>
      </c>
      <c r="AV128" s="499">
        <v>24</v>
      </c>
      <c r="AW128" s="499">
        <v>24</v>
      </c>
      <c r="AX128" s="499">
        <v>24</v>
      </c>
      <c r="AY128" s="499">
        <v>24</v>
      </c>
      <c r="AZ128" s="499">
        <v>24</v>
      </c>
      <c r="BA128" s="499">
        <v>24</v>
      </c>
      <c r="BB128" s="499">
        <v>24</v>
      </c>
      <c r="BC128" s="499">
        <v>24</v>
      </c>
      <c r="BD128" s="499">
        <v>24</v>
      </c>
      <c r="BE128" s="499">
        <v>24</v>
      </c>
      <c r="BF128" s="499">
        <v>24</v>
      </c>
      <c r="BG128" s="499">
        <v>24</v>
      </c>
      <c r="BH128" s="499">
        <v>24</v>
      </c>
      <c r="BI128" s="499">
        <v>24</v>
      </c>
      <c r="BJ128" s="499">
        <v>24</v>
      </c>
      <c r="BK128" s="499">
        <v>24</v>
      </c>
      <c r="BL128" s="499">
        <v>24</v>
      </c>
    </row>
    <row r="129" spans="1:17">
      <c r="A129" s="994" t="s">
        <v>670</v>
      </c>
      <c r="B129" s="1221" t="s">
        <v>169</v>
      </c>
    </row>
    <row r="130" spans="1:17">
      <c r="A130" s="1222" t="s">
        <v>1057</v>
      </c>
      <c r="B130" s="1">
        <v>1</v>
      </c>
      <c r="C130" s="1"/>
      <c r="D130" s="1">
        <v>5</v>
      </c>
      <c r="E130" s="1" t="s">
        <v>277</v>
      </c>
    </row>
    <row r="131" spans="1:17">
      <c r="A131" s="1222" t="s">
        <v>1058</v>
      </c>
      <c r="B131" s="1">
        <v>1</v>
      </c>
      <c r="C131" s="1"/>
      <c r="D131" s="1">
        <v>2</v>
      </c>
      <c r="E131" s="1" t="s">
        <v>292</v>
      </c>
    </row>
    <row r="132" spans="1:17">
      <c r="A132" s="1222" t="s">
        <v>1060</v>
      </c>
      <c r="B132" s="1">
        <v>1</v>
      </c>
      <c r="C132" s="1"/>
      <c r="D132" s="1">
        <v>2</v>
      </c>
      <c r="E132" s="1" t="s">
        <v>294</v>
      </c>
    </row>
    <row r="133" spans="1:17">
      <c r="A133" s="1222" t="s">
        <v>1061</v>
      </c>
      <c r="B133" s="1">
        <v>1</v>
      </c>
      <c r="D133" s="1">
        <v>2</v>
      </c>
      <c r="E133" s="1" t="s">
        <v>295</v>
      </c>
    </row>
    <row r="134" spans="1:17">
      <c r="A134" s="1222" t="s">
        <v>1063</v>
      </c>
      <c r="B134" s="1">
        <v>1</v>
      </c>
      <c r="D134" s="1">
        <v>5</v>
      </c>
      <c r="E134" s="1" t="s">
        <v>1163</v>
      </c>
    </row>
    <row r="135" spans="1:17">
      <c r="A135" s="1222" t="s">
        <v>1065</v>
      </c>
      <c r="B135" s="1">
        <v>1</v>
      </c>
      <c r="D135" s="1">
        <v>5</v>
      </c>
      <c r="E135" s="1" t="s">
        <v>1169</v>
      </c>
    </row>
    <row r="136" spans="1:17">
      <c r="A136" s="1222" t="s">
        <v>1067</v>
      </c>
      <c r="B136" s="1">
        <v>1</v>
      </c>
      <c r="D136" s="1">
        <v>7</v>
      </c>
      <c r="E136" s="1" t="s">
        <v>1168</v>
      </c>
    </row>
    <row r="137" spans="1:17">
      <c r="A137" s="1222" t="s">
        <v>1068</v>
      </c>
      <c r="B137" s="1">
        <v>1</v>
      </c>
      <c r="D137" s="1">
        <v>5</v>
      </c>
      <c r="E137" s="1" t="s">
        <v>1172</v>
      </c>
    </row>
    <row r="138" spans="1:17">
      <c r="A138" s="1222" t="s">
        <v>1069</v>
      </c>
      <c r="B138" s="1">
        <v>1</v>
      </c>
      <c r="D138" s="1">
        <v>5</v>
      </c>
      <c r="E138" s="1" t="s">
        <v>1171</v>
      </c>
    </row>
    <row r="139" spans="1:17">
      <c r="A139" s="1222" t="s">
        <v>1070</v>
      </c>
      <c r="B139" s="1">
        <v>3</v>
      </c>
      <c r="C139" s="1226">
        <v>51</v>
      </c>
      <c r="D139" s="1">
        <v>2</v>
      </c>
      <c r="E139" s="1">
        <v>2</v>
      </c>
      <c r="F139" s="1">
        <v>5</v>
      </c>
      <c r="G139" s="1">
        <v>1</v>
      </c>
      <c r="H139" s="1">
        <v>58</v>
      </c>
      <c r="I139" s="1">
        <v>1</v>
      </c>
      <c r="J139" s="1">
        <v>110</v>
      </c>
      <c r="K139" s="1">
        <v>5</v>
      </c>
      <c r="L139" s="1">
        <v>9</v>
      </c>
      <c r="M139" s="1" t="s">
        <v>495</v>
      </c>
      <c r="N139">
        <v>6</v>
      </c>
      <c r="P139" s="1"/>
    </row>
    <row r="140" spans="1:17">
      <c r="A140" s="1222" t="s">
        <v>1071</v>
      </c>
      <c r="B140" s="1">
        <v>1</v>
      </c>
      <c r="C140" s="1"/>
      <c r="D140" s="1">
        <v>2</v>
      </c>
      <c r="E140" s="1" t="s">
        <v>888</v>
      </c>
      <c r="Q140" s="1232"/>
    </row>
    <row r="141" spans="1:17">
      <c r="A141" s="1223">
        <v>12</v>
      </c>
    </row>
    <row r="142" spans="1:17">
      <c r="A142" s="1223">
        <v>13</v>
      </c>
    </row>
    <row r="143" spans="1:17">
      <c r="A143" s="1223">
        <v>14</v>
      </c>
    </row>
    <row r="144" spans="1:17">
      <c r="A144" s="1223">
        <v>15</v>
      </c>
    </row>
    <row r="145" spans="1:1">
      <c r="A145" s="1049">
        <v>16</v>
      </c>
    </row>
    <row r="146" spans="1:1">
      <c r="A146" s="1049">
        <v>17</v>
      </c>
    </row>
    <row r="147" spans="1:1">
      <c r="A147" s="1049">
        <v>18</v>
      </c>
    </row>
    <row r="148" spans="1:1">
      <c r="A148" s="1049">
        <v>19</v>
      </c>
    </row>
    <row r="149" spans="1:1">
      <c r="A149" s="1049">
        <v>20</v>
      </c>
    </row>
    <row r="150" spans="1:1">
      <c r="A150" s="1049">
        <v>21</v>
      </c>
    </row>
    <row r="151" spans="1:1">
      <c r="A151" s="1049">
        <v>22</v>
      </c>
    </row>
    <row r="152" spans="1:1">
      <c r="A152" s="1049">
        <v>23</v>
      </c>
    </row>
    <row r="153" spans="1:1">
      <c r="A153" s="1049">
        <v>24</v>
      </c>
    </row>
    <row r="154" spans="1:1">
      <c r="A154" s="1049">
        <v>25</v>
      </c>
    </row>
    <row r="155" spans="1:1">
      <c r="A155" s="1049">
        <v>26</v>
      </c>
    </row>
    <row r="156" spans="1:1">
      <c r="A156" s="1049">
        <v>27</v>
      </c>
    </row>
    <row r="157" spans="1:1">
      <c r="A157" s="1049">
        <v>28</v>
      </c>
    </row>
    <row r="158" spans="1:1">
      <c r="A158" s="1049">
        <v>29</v>
      </c>
    </row>
    <row r="159" spans="1:1">
      <c r="A159" s="1049">
        <v>30</v>
      </c>
    </row>
    <row r="160" spans="1:1">
      <c r="A160" s="1049">
        <v>31</v>
      </c>
    </row>
    <row r="161" spans="1:1">
      <c r="A161" s="1049">
        <v>32</v>
      </c>
    </row>
    <row r="162" spans="1:1">
      <c r="A162" s="1049">
        <v>33</v>
      </c>
    </row>
    <row r="163" spans="1:1">
      <c r="A163" s="1049">
        <v>34</v>
      </c>
    </row>
    <row r="164" spans="1:1">
      <c r="A164" s="1049">
        <v>35</v>
      </c>
    </row>
    <row r="165" spans="1:1">
      <c r="A165" s="1049">
        <v>36</v>
      </c>
    </row>
    <row r="166" spans="1:1">
      <c r="A166" s="1049">
        <v>37</v>
      </c>
    </row>
    <row r="167" spans="1:1">
      <c r="A167" s="1049">
        <v>38</v>
      </c>
    </row>
    <row r="168" spans="1:1">
      <c r="A168" s="1049">
        <v>39</v>
      </c>
    </row>
    <row r="169" spans="1:1">
      <c r="A169" s="1224">
        <v>40</v>
      </c>
    </row>
    <row r="170" spans="1:1">
      <c r="A170" s="1223">
        <v>41</v>
      </c>
    </row>
    <row r="171" spans="1:1">
      <c r="A171" s="1049">
        <v>42</v>
      </c>
    </row>
    <row r="172" spans="1:1">
      <c r="A172" s="1049">
        <v>43</v>
      </c>
    </row>
    <row r="173" spans="1:1">
      <c r="A173" s="1049">
        <v>44</v>
      </c>
    </row>
    <row r="174" spans="1:1">
      <c r="A174" s="1049">
        <v>45</v>
      </c>
    </row>
    <row r="175" spans="1:1">
      <c r="A175" s="1049">
        <v>46</v>
      </c>
    </row>
    <row r="176" spans="1:1">
      <c r="A176" s="1049">
        <v>47</v>
      </c>
    </row>
    <row r="177" spans="1:67">
      <c r="A177" s="1049">
        <v>48</v>
      </c>
    </row>
    <row r="178" spans="1:67">
      <c r="A178" s="1049">
        <v>49</v>
      </c>
      <c r="B178">
        <v>2</v>
      </c>
      <c r="D178" s="1">
        <v>2</v>
      </c>
      <c r="E178" s="1">
        <v>2</v>
      </c>
      <c r="F178">
        <v>4</v>
      </c>
      <c r="G178">
        <v>5</v>
      </c>
      <c r="H178" s="1">
        <v>9</v>
      </c>
      <c r="I178" s="1232" t="s">
        <v>276</v>
      </c>
      <c r="J178">
        <v>9</v>
      </c>
      <c r="K178" s="1226"/>
      <c r="L178" s="1">
        <v>2</v>
      </c>
      <c r="M178" s="1">
        <v>2</v>
      </c>
      <c r="N178">
        <v>4</v>
      </c>
      <c r="O178">
        <v>5</v>
      </c>
      <c r="P178" s="1">
        <v>9</v>
      </c>
      <c r="Q178" s="1232" t="s">
        <v>275</v>
      </c>
      <c r="R178">
        <v>9</v>
      </c>
    </row>
    <row r="179" spans="1:67">
      <c r="A179" s="1225">
        <v>50</v>
      </c>
      <c r="B179" s="1">
        <v>2</v>
      </c>
      <c r="C179" s="1226"/>
      <c r="D179" s="1">
        <v>2</v>
      </c>
      <c r="E179" s="1">
        <v>2</v>
      </c>
      <c r="F179">
        <v>4</v>
      </c>
      <c r="G179">
        <v>5</v>
      </c>
      <c r="H179" s="1">
        <v>9</v>
      </c>
      <c r="I179" s="1232" t="s">
        <v>1150</v>
      </c>
      <c r="J179">
        <v>9</v>
      </c>
      <c r="K179" s="1226"/>
      <c r="L179" s="1">
        <v>2</v>
      </c>
      <c r="M179" s="1">
        <v>2</v>
      </c>
      <c r="N179">
        <v>4</v>
      </c>
      <c r="O179">
        <v>5</v>
      </c>
      <c r="P179" s="1">
        <v>9</v>
      </c>
      <c r="Q179" s="1232" t="s">
        <v>1151</v>
      </c>
      <c r="R179">
        <v>9</v>
      </c>
      <c r="S179" s="1226"/>
      <c r="T179" s="1">
        <v>2</v>
      </c>
      <c r="U179" s="1">
        <v>2</v>
      </c>
      <c r="V179">
        <v>4</v>
      </c>
      <c r="W179">
        <v>5</v>
      </c>
      <c r="X179" s="1">
        <v>9</v>
      </c>
      <c r="Y179" s="1232" t="s">
        <v>1152</v>
      </c>
      <c r="Z179">
        <v>9</v>
      </c>
      <c r="AA179" s="1226"/>
      <c r="AB179" s="1">
        <v>2</v>
      </c>
      <c r="AC179" s="1">
        <v>2</v>
      </c>
      <c r="AD179">
        <v>4</v>
      </c>
      <c r="AE179">
        <v>5</v>
      </c>
      <c r="AF179" s="1">
        <v>9</v>
      </c>
      <c r="AG179" s="1232" t="s">
        <v>1139</v>
      </c>
      <c r="AH179">
        <v>9</v>
      </c>
      <c r="AI179" s="1226"/>
      <c r="AJ179" s="1">
        <v>2</v>
      </c>
      <c r="AK179" s="1">
        <v>2</v>
      </c>
      <c r="AL179">
        <v>4</v>
      </c>
      <c r="AM179">
        <v>5</v>
      </c>
      <c r="AN179" s="1">
        <v>9</v>
      </c>
      <c r="AO179" s="1232" t="s">
        <v>1145</v>
      </c>
      <c r="AP179">
        <v>9</v>
      </c>
      <c r="AQ179" s="1226"/>
      <c r="AR179" s="1">
        <v>2</v>
      </c>
      <c r="AS179" s="1">
        <v>2</v>
      </c>
      <c r="AT179">
        <v>4</v>
      </c>
      <c r="AU179">
        <v>5</v>
      </c>
      <c r="AV179" s="1">
        <v>9</v>
      </c>
      <c r="AW179" s="1232" t="s">
        <v>1141</v>
      </c>
      <c r="AX179">
        <v>9</v>
      </c>
      <c r="AY179" s="1226"/>
      <c r="AZ179" s="1">
        <v>2</v>
      </c>
      <c r="BA179" s="1">
        <v>2</v>
      </c>
      <c r="BB179">
        <v>4</v>
      </c>
      <c r="BC179">
        <v>5</v>
      </c>
      <c r="BD179" s="1">
        <v>9</v>
      </c>
      <c r="BE179" s="1232" t="s">
        <v>1148</v>
      </c>
      <c r="BF179">
        <v>9</v>
      </c>
      <c r="BG179" s="1226"/>
      <c r="BH179" s="1">
        <v>2</v>
      </c>
      <c r="BI179" s="1">
        <v>2</v>
      </c>
      <c r="BJ179">
        <v>4</v>
      </c>
      <c r="BK179">
        <v>5</v>
      </c>
      <c r="BL179" s="1">
        <v>9</v>
      </c>
      <c r="BM179" s="1232" t="s">
        <v>1149</v>
      </c>
      <c r="BN179">
        <v>9</v>
      </c>
    </row>
    <row r="180" spans="1:67">
      <c r="A180" s="1228" t="s">
        <v>69</v>
      </c>
      <c r="B180">
        <v>4</v>
      </c>
      <c r="C180">
        <v>640382</v>
      </c>
      <c r="D180">
        <v>100</v>
      </c>
      <c r="E180">
        <v>589210</v>
      </c>
      <c r="F180">
        <v>120</v>
      </c>
    </row>
    <row r="181" spans="1:67">
      <c r="A181" s="1601" t="s">
        <v>70</v>
      </c>
      <c r="B181" s="1">
        <v>2</v>
      </c>
      <c r="C181" s="1"/>
      <c r="D181" s="1">
        <v>4</v>
      </c>
      <c r="E181" s="1">
        <v>4</v>
      </c>
      <c r="F181">
        <v>4</v>
      </c>
      <c r="G181">
        <v>5</v>
      </c>
      <c r="H181" s="1">
        <v>0</v>
      </c>
      <c r="I181" s="1232" t="s">
        <v>532</v>
      </c>
      <c r="J181">
        <v>7</v>
      </c>
    </row>
    <row r="182" spans="1:67">
      <c r="A182" s="1229">
        <v>53</v>
      </c>
      <c r="B182" s="1">
        <v>2</v>
      </c>
      <c r="C182" s="1"/>
      <c r="D182" s="1">
        <v>4</v>
      </c>
      <c r="E182" s="1">
        <v>4</v>
      </c>
      <c r="F182">
        <v>4</v>
      </c>
      <c r="G182">
        <v>5</v>
      </c>
      <c r="H182" s="1">
        <v>0</v>
      </c>
      <c r="I182" s="1232" t="s">
        <v>532</v>
      </c>
      <c r="J182">
        <v>7</v>
      </c>
    </row>
    <row r="183" spans="1:67">
      <c r="A183" s="1229">
        <v>54</v>
      </c>
      <c r="B183" s="1">
        <v>2</v>
      </c>
      <c r="C183" s="1"/>
      <c r="D183" s="1">
        <v>4</v>
      </c>
      <c r="E183" s="1">
        <v>4</v>
      </c>
      <c r="F183">
        <v>4</v>
      </c>
      <c r="G183">
        <v>5</v>
      </c>
      <c r="H183" s="1">
        <v>0</v>
      </c>
      <c r="I183" s="1232" t="s">
        <v>532</v>
      </c>
      <c r="J183">
        <v>7</v>
      </c>
    </row>
    <row r="184" spans="1:67">
      <c r="A184" s="1229">
        <v>55</v>
      </c>
      <c r="B184" s="1">
        <v>2</v>
      </c>
      <c r="C184" s="1"/>
      <c r="D184" s="1">
        <v>4</v>
      </c>
      <c r="E184" s="1">
        <v>4</v>
      </c>
      <c r="F184">
        <v>4</v>
      </c>
      <c r="G184">
        <v>5</v>
      </c>
      <c r="H184" s="1">
        <v>0</v>
      </c>
      <c r="I184" s="1232" t="s">
        <v>532</v>
      </c>
      <c r="J184">
        <v>7</v>
      </c>
    </row>
    <row r="185" spans="1:67">
      <c r="A185" s="1229">
        <v>56</v>
      </c>
    </row>
    <row r="186" spans="1:67">
      <c r="A186" s="1229">
        <v>57</v>
      </c>
    </row>
    <row r="187" spans="1:67">
      <c r="A187" s="1229">
        <v>58</v>
      </c>
      <c r="B187" s="1">
        <v>2</v>
      </c>
      <c r="C187" s="1226"/>
      <c r="D187" s="1">
        <v>4</v>
      </c>
      <c r="E187" s="1">
        <v>4</v>
      </c>
      <c r="F187">
        <v>4</v>
      </c>
      <c r="G187">
        <v>7</v>
      </c>
      <c r="H187" s="1">
        <v>0</v>
      </c>
      <c r="I187" s="1" t="s">
        <v>282</v>
      </c>
      <c r="J187">
        <v>3</v>
      </c>
      <c r="K187" s="1226"/>
      <c r="L187" s="1">
        <v>4</v>
      </c>
      <c r="M187">
        <v>4</v>
      </c>
      <c r="N187">
        <v>4</v>
      </c>
      <c r="O187">
        <v>7</v>
      </c>
      <c r="P187" s="1">
        <v>0</v>
      </c>
      <c r="Q187" s="1" t="s">
        <v>1154</v>
      </c>
      <c r="R187">
        <v>3</v>
      </c>
      <c r="S187" s="1226"/>
      <c r="T187" s="1">
        <v>4</v>
      </c>
      <c r="U187">
        <v>4</v>
      </c>
      <c r="V187">
        <v>4</v>
      </c>
      <c r="W187">
        <v>7</v>
      </c>
      <c r="X187" s="1">
        <v>0</v>
      </c>
      <c r="Y187" s="1" t="s">
        <v>1155</v>
      </c>
      <c r="Z187">
        <v>3</v>
      </c>
      <c r="AA187" s="1226"/>
      <c r="AB187" s="1">
        <v>4</v>
      </c>
      <c r="AC187">
        <v>4</v>
      </c>
      <c r="AD187">
        <v>4</v>
      </c>
      <c r="AE187">
        <v>7</v>
      </c>
      <c r="AF187" s="1">
        <v>0</v>
      </c>
      <c r="AG187" s="1" t="s">
        <v>284</v>
      </c>
      <c r="AH187">
        <v>3</v>
      </c>
      <c r="AI187" s="1226"/>
      <c r="AJ187" s="1">
        <v>4</v>
      </c>
      <c r="AK187">
        <v>4</v>
      </c>
      <c r="AL187">
        <v>4</v>
      </c>
      <c r="AM187">
        <v>7</v>
      </c>
      <c r="AN187" s="1">
        <v>0</v>
      </c>
      <c r="AO187" s="1" t="s">
        <v>466</v>
      </c>
      <c r="AP187">
        <v>3</v>
      </c>
      <c r="AQ187" s="1226"/>
      <c r="AR187" s="1">
        <v>4</v>
      </c>
      <c r="AS187">
        <v>4</v>
      </c>
      <c r="AT187">
        <v>4</v>
      </c>
      <c r="AU187">
        <v>7</v>
      </c>
      <c r="AV187" s="1">
        <v>0</v>
      </c>
      <c r="AW187" s="1" t="s">
        <v>283</v>
      </c>
      <c r="AX187">
        <v>3</v>
      </c>
      <c r="AY187" s="1226"/>
      <c r="AZ187" s="1">
        <v>4</v>
      </c>
      <c r="BA187">
        <v>4</v>
      </c>
      <c r="BB187">
        <v>4</v>
      </c>
      <c r="BC187">
        <v>7</v>
      </c>
      <c r="BD187" s="1">
        <v>0</v>
      </c>
      <c r="BE187" s="1" t="s">
        <v>286</v>
      </c>
      <c r="BF187">
        <v>3</v>
      </c>
      <c r="BG187" s="1226"/>
      <c r="BH187" s="1">
        <v>4</v>
      </c>
      <c r="BI187">
        <v>4</v>
      </c>
      <c r="BJ187">
        <v>4</v>
      </c>
      <c r="BK187">
        <v>7</v>
      </c>
      <c r="BL187" s="1">
        <v>0</v>
      </c>
      <c r="BM187" s="1232" t="s">
        <v>287</v>
      </c>
      <c r="BN187">
        <v>3</v>
      </c>
      <c r="BO187" t="s">
        <v>1073</v>
      </c>
    </row>
    <row r="188" spans="1:67">
      <c r="A188" s="1229">
        <v>59</v>
      </c>
      <c r="B188" s="1">
        <v>2</v>
      </c>
      <c r="C188" s="1226"/>
      <c r="D188" s="1">
        <v>4</v>
      </c>
      <c r="E188" s="1">
        <v>4</v>
      </c>
      <c r="F188">
        <v>4</v>
      </c>
      <c r="G188">
        <v>7</v>
      </c>
      <c r="H188" s="1">
        <v>0</v>
      </c>
      <c r="I188" s="1" t="s">
        <v>282</v>
      </c>
      <c r="J188">
        <v>3</v>
      </c>
      <c r="K188" s="1226"/>
      <c r="L188" s="1">
        <v>4</v>
      </c>
      <c r="M188">
        <v>4</v>
      </c>
      <c r="N188">
        <v>4</v>
      </c>
      <c r="O188">
        <v>7</v>
      </c>
      <c r="P188" s="1">
        <v>0</v>
      </c>
      <c r="Q188" s="1" t="s">
        <v>1154</v>
      </c>
      <c r="R188">
        <v>3</v>
      </c>
      <c r="S188" s="1226"/>
      <c r="T188" s="1">
        <v>4</v>
      </c>
      <c r="U188">
        <v>4</v>
      </c>
      <c r="V188">
        <v>4</v>
      </c>
      <c r="W188">
        <v>7</v>
      </c>
      <c r="X188" s="1">
        <v>0</v>
      </c>
      <c r="Y188" s="1" t="s">
        <v>1155</v>
      </c>
      <c r="Z188">
        <v>3</v>
      </c>
      <c r="AA188" s="1226"/>
      <c r="AB188" s="1">
        <v>4</v>
      </c>
      <c r="AC188">
        <v>4</v>
      </c>
      <c r="AD188">
        <v>4</v>
      </c>
      <c r="AE188">
        <v>7</v>
      </c>
      <c r="AF188" s="1">
        <v>0</v>
      </c>
      <c r="AG188" s="1" t="s">
        <v>284</v>
      </c>
      <c r="AH188">
        <v>3</v>
      </c>
      <c r="AI188" s="1226"/>
      <c r="AJ188" s="1">
        <v>4</v>
      </c>
      <c r="AK188">
        <v>4</v>
      </c>
      <c r="AL188">
        <v>4</v>
      </c>
      <c r="AM188">
        <v>7</v>
      </c>
      <c r="AN188" s="1">
        <v>0</v>
      </c>
      <c r="AO188" s="1" t="s">
        <v>466</v>
      </c>
      <c r="AP188">
        <v>3</v>
      </c>
      <c r="AQ188" s="1226"/>
      <c r="AR188" s="1">
        <v>4</v>
      </c>
      <c r="AS188">
        <v>4</v>
      </c>
      <c r="AT188">
        <v>4</v>
      </c>
      <c r="AU188">
        <v>7</v>
      </c>
      <c r="AV188" s="1">
        <v>0</v>
      </c>
      <c r="AW188" s="1" t="s">
        <v>283</v>
      </c>
      <c r="AX188">
        <v>3</v>
      </c>
      <c r="AY188" s="1226"/>
      <c r="AZ188" s="1">
        <v>4</v>
      </c>
      <c r="BA188">
        <v>4</v>
      </c>
      <c r="BB188">
        <v>4</v>
      </c>
      <c r="BC188">
        <v>7</v>
      </c>
      <c r="BD188" s="1">
        <v>0</v>
      </c>
      <c r="BE188" s="1" t="s">
        <v>286</v>
      </c>
      <c r="BF188">
        <v>3</v>
      </c>
      <c r="BG188" s="1226"/>
      <c r="BH188" s="1">
        <v>4</v>
      </c>
      <c r="BI188">
        <v>4</v>
      </c>
      <c r="BJ188">
        <v>4</v>
      </c>
      <c r="BK188">
        <v>7</v>
      </c>
      <c r="BL188" s="1">
        <v>0</v>
      </c>
      <c r="BM188" s="1232" t="s">
        <v>287</v>
      </c>
      <c r="BN188">
        <v>3</v>
      </c>
    </row>
    <row r="189" spans="1:67">
      <c r="A189" s="1229">
        <v>60</v>
      </c>
      <c r="B189" s="1">
        <v>2</v>
      </c>
      <c r="C189" s="1226"/>
      <c r="D189" s="1">
        <v>4</v>
      </c>
      <c r="E189" s="1">
        <v>4</v>
      </c>
      <c r="F189">
        <v>4</v>
      </c>
      <c r="G189">
        <v>7</v>
      </c>
      <c r="H189" s="1">
        <v>0</v>
      </c>
      <c r="I189" s="1" t="s">
        <v>282</v>
      </c>
      <c r="J189">
        <v>3</v>
      </c>
      <c r="K189" s="1226"/>
      <c r="L189" s="1">
        <v>4</v>
      </c>
      <c r="M189">
        <v>4</v>
      </c>
      <c r="N189">
        <v>4</v>
      </c>
      <c r="O189">
        <v>7</v>
      </c>
      <c r="P189" s="1">
        <v>0</v>
      </c>
      <c r="Q189" s="1" t="s">
        <v>1154</v>
      </c>
      <c r="R189">
        <v>3</v>
      </c>
      <c r="S189" s="1226"/>
      <c r="T189" s="1">
        <v>4</v>
      </c>
      <c r="U189">
        <v>4</v>
      </c>
      <c r="V189">
        <v>4</v>
      </c>
      <c r="W189">
        <v>7</v>
      </c>
      <c r="X189" s="1">
        <v>0</v>
      </c>
      <c r="Y189" s="1" t="s">
        <v>1155</v>
      </c>
      <c r="Z189">
        <v>3</v>
      </c>
      <c r="AA189" s="1226"/>
      <c r="AB189" s="1">
        <v>4</v>
      </c>
      <c r="AC189">
        <v>4</v>
      </c>
      <c r="AD189">
        <v>4</v>
      </c>
      <c r="AE189">
        <v>7</v>
      </c>
      <c r="AF189" s="1">
        <v>0</v>
      </c>
      <c r="AG189" s="1" t="s">
        <v>284</v>
      </c>
      <c r="AH189">
        <v>3</v>
      </c>
      <c r="AI189" s="1226"/>
      <c r="AJ189" s="1">
        <v>4</v>
      </c>
      <c r="AK189">
        <v>4</v>
      </c>
      <c r="AL189">
        <v>4</v>
      </c>
      <c r="AM189">
        <v>7</v>
      </c>
      <c r="AN189" s="1">
        <v>0</v>
      </c>
      <c r="AO189" s="1" t="s">
        <v>466</v>
      </c>
      <c r="AP189">
        <v>3</v>
      </c>
      <c r="AQ189" s="1226"/>
      <c r="AR189" s="1">
        <v>4</v>
      </c>
      <c r="AS189">
        <v>4</v>
      </c>
      <c r="AT189">
        <v>4</v>
      </c>
      <c r="AU189">
        <v>7</v>
      </c>
      <c r="AV189" s="1">
        <v>0</v>
      </c>
      <c r="AW189" s="1" t="s">
        <v>283</v>
      </c>
      <c r="AX189">
        <v>3</v>
      </c>
      <c r="AY189" s="1226"/>
      <c r="AZ189" s="1">
        <v>4</v>
      </c>
      <c r="BA189">
        <v>4</v>
      </c>
      <c r="BB189">
        <v>4</v>
      </c>
      <c r="BC189">
        <v>7</v>
      </c>
      <c r="BD189" s="1">
        <v>0</v>
      </c>
      <c r="BE189" s="1" t="s">
        <v>286</v>
      </c>
      <c r="BF189">
        <v>3</v>
      </c>
      <c r="BG189" s="1226"/>
      <c r="BH189" s="1">
        <v>4</v>
      </c>
      <c r="BI189">
        <v>4</v>
      </c>
      <c r="BJ189">
        <v>4</v>
      </c>
      <c r="BK189">
        <v>7</v>
      </c>
      <c r="BL189" s="1">
        <v>0</v>
      </c>
      <c r="BM189" s="1232" t="s">
        <v>287</v>
      </c>
      <c r="BN189">
        <v>3</v>
      </c>
    </row>
    <row r="190" spans="1:67">
      <c r="A190" s="1229">
        <v>61</v>
      </c>
      <c r="B190" s="1">
        <v>2</v>
      </c>
      <c r="C190" s="1"/>
      <c r="D190" s="1">
        <v>7</v>
      </c>
      <c r="E190" s="1">
        <v>4</v>
      </c>
      <c r="F190">
        <v>4</v>
      </c>
      <c r="G190">
        <v>5</v>
      </c>
      <c r="H190" s="1">
        <v>0</v>
      </c>
      <c r="I190" s="1232" t="s">
        <v>290</v>
      </c>
      <c r="J190">
        <v>10</v>
      </c>
      <c r="K190" s="1226"/>
      <c r="L190" s="1">
        <v>7</v>
      </c>
      <c r="M190">
        <v>4</v>
      </c>
      <c r="N190">
        <v>4</v>
      </c>
      <c r="O190">
        <v>5</v>
      </c>
      <c r="P190" s="1">
        <v>0</v>
      </c>
      <c r="Q190" s="1" t="s">
        <v>289</v>
      </c>
      <c r="R190">
        <v>10</v>
      </c>
      <c r="S190" s="1226"/>
      <c r="T190" s="1">
        <v>7</v>
      </c>
      <c r="U190">
        <v>4</v>
      </c>
      <c r="V190">
        <v>4</v>
      </c>
      <c r="W190">
        <v>5</v>
      </c>
      <c r="X190" s="1">
        <v>0</v>
      </c>
      <c r="Y190" s="1" t="s">
        <v>291</v>
      </c>
      <c r="Z190">
        <v>10</v>
      </c>
      <c r="AB190" s="1">
        <v>7</v>
      </c>
      <c r="AC190">
        <v>4</v>
      </c>
      <c r="AD190">
        <v>4</v>
      </c>
      <c r="AE190">
        <v>5</v>
      </c>
      <c r="AF190" s="1">
        <v>0</v>
      </c>
      <c r="AG190" s="1" t="s">
        <v>545</v>
      </c>
      <c r="AH190">
        <v>10</v>
      </c>
      <c r="AM190" t="s">
        <v>1079</v>
      </c>
    </row>
    <row r="191" spans="1:67">
      <c r="A191" s="1229">
        <v>62</v>
      </c>
      <c r="B191" s="1">
        <v>2</v>
      </c>
      <c r="C191" s="1"/>
      <c r="D191" s="1">
        <v>7</v>
      </c>
      <c r="E191" s="1">
        <v>4</v>
      </c>
      <c r="F191">
        <v>4</v>
      </c>
      <c r="G191">
        <v>5</v>
      </c>
      <c r="H191" s="1">
        <v>0</v>
      </c>
      <c r="I191" s="1232" t="s">
        <v>290</v>
      </c>
      <c r="J191">
        <v>10</v>
      </c>
      <c r="K191" s="1226"/>
      <c r="L191" s="1">
        <v>7</v>
      </c>
      <c r="M191">
        <v>4</v>
      </c>
      <c r="N191">
        <v>4</v>
      </c>
      <c r="O191">
        <v>5</v>
      </c>
      <c r="P191" s="1">
        <v>0</v>
      </c>
      <c r="Q191" s="1" t="s">
        <v>289</v>
      </c>
      <c r="R191">
        <v>10</v>
      </c>
      <c r="S191" s="1226"/>
      <c r="T191" s="1">
        <v>7</v>
      </c>
      <c r="U191">
        <v>4</v>
      </c>
      <c r="V191">
        <v>4</v>
      </c>
      <c r="W191">
        <v>5</v>
      </c>
      <c r="X191" s="1">
        <v>0</v>
      </c>
      <c r="Y191" s="1" t="s">
        <v>291</v>
      </c>
      <c r="Z191">
        <v>10</v>
      </c>
      <c r="AB191" s="1">
        <v>7</v>
      </c>
      <c r="AC191">
        <v>4</v>
      </c>
      <c r="AD191">
        <v>4</v>
      </c>
      <c r="AE191">
        <v>5</v>
      </c>
      <c r="AF191" s="1">
        <v>0</v>
      </c>
      <c r="AG191" s="1" t="s">
        <v>545</v>
      </c>
      <c r="AH191">
        <v>10</v>
      </c>
      <c r="AM191" t="s">
        <v>1079</v>
      </c>
    </row>
    <row r="192" spans="1:67">
      <c r="A192" s="1229">
        <v>63</v>
      </c>
    </row>
    <row r="193" spans="1:23">
      <c r="A193" s="1229">
        <v>64</v>
      </c>
    </row>
    <row r="194" spans="1:23">
      <c r="A194" s="1229">
        <v>65</v>
      </c>
    </row>
    <row r="195" spans="1:23">
      <c r="A195" s="1229">
        <v>66</v>
      </c>
    </row>
    <row r="196" spans="1:23">
      <c r="A196" s="1229">
        <v>67</v>
      </c>
    </row>
    <row r="197" spans="1:23">
      <c r="A197" s="1229">
        <v>68</v>
      </c>
    </row>
    <row r="198" spans="1:23">
      <c r="A198" s="1229">
        <v>69</v>
      </c>
    </row>
    <row r="199" spans="1:23">
      <c r="A199" s="1231">
        <v>70</v>
      </c>
    </row>
    <row r="200" spans="1:23">
      <c r="A200" s="1601" t="s">
        <v>82</v>
      </c>
      <c r="B200" s="1">
        <v>2</v>
      </c>
      <c r="C200" s="1226"/>
      <c r="D200" s="1">
        <v>1</v>
      </c>
      <c r="E200" s="1">
        <v>10</v>
      </c>
      <c r="F200">
        <v>10</v>
      </c>
      <c r="G200">
        <v>4</v>
      </c>
      <c r="H200" s="1">
        <v>0</v>
      </c>
      <c r="I200" s="1232" t="s">
        <v>531</v>
      </c>
      <c r="J200">
        <v>10</v>
      </c>
      <c r="O200" t="s">
        <v>1081</v>
      </c>
    </row>
    <row r="201" spans="1:23">
      <c r="A201" s="1229">
        <v>72</v>
      </c>
      <c r="B201" s="1">
        <v>2</v>
      </c>
      <c r="C201" s="1226"/>
      <c r="D201" s="1">
        <v>1</v>
      </c>
      <c r="E201" s="1">
        <v>10</v>
      </c>
      <c r="F201">
        <v>10</v>
      </c>
      <c r="G201">
        <v>4</v>
      </c>
      <c r="H201" s="1">
        <v>0</v>
      </c>
      <c r="I201" s="1232" t="s">
        <v>1164</v>
      </c>
      <c r="J201">
        <v>10</v>
      </c>
      <c r="L201" s="1">
        <v>1</v>
      </c>
      <c r="M201" s="1">
        <v>10</v>
      </c>
      <c r="N201">
        <v>10</v>
      </c>
      <c r="O201">
        <v>4</v>
      </c>
      <c r="P201" s="1">
        <v>0</v>
      </c>
      <c r="Q201" s="2218" t="s">
        <v>1167</v>
      </c>
      <c r="R201">
        <v>10</v>
      </c>
      <c r="W201" t="s">
        <v>1083</v>
      </c>
    </row>
    <row r="202" spans="1:23">
      <c r="A202" s="1229">
        <v>73</v>
      </c>
      <c r="B202" s="1">
        <v>2</v>
      </c>
      <c r="C202" s="1226"/>
      <c r="D202" s="1">
        <v>1</v>
      </c>
      <c r="E202" s="1">
        <v>10</v>
      </c>
      <c r="F202">
        <v>10</v>
      </c>
      <c r="G202">
        <v>4</v>
      </c>
      <c r="H202" s="1">
        <v>0</v>
      </c>
      <c r="I202" s="1232" t="s">
        <v>493</v>
      </c>
      <c r="J202">
        <v>10</v>
      </c>
      <c r="L202" s="1"/>
      <c r="M202" s="1"/>
      <c r="O202" t="s">
        <v>1085</v>
      </c>
    </row>
    <row r="203" spans="1:23">
      <c r="A203" s="1229">
        <v>74</v>
      </c>
      <c r="B203" s="1">
        <v>2</v>
      </c>
      <c r="C203" s="1226"/>
      <c r="D203" s="1">
        <v>1</v>
      </c>
      <c r="E203" s="1">
        <v>10</v>
      </c>
      <c r="F203">
        <v>10</v>
      </c>
      <c r="G203">
        <v>4</v>
      </c>
      <c r="H203" s="1">
        <v>0</v>
      </c>
      <c r="I203" s="1232" t="s">
        <v>1166</v>
      </c>
      <c r="J203">
        <v>10</v>
      </c>
      <c r="L203" s="1"/>
      <c r="M203" s="1"/>
      <c r="O203" t="s">
        <v>1086</v>
      </c>
    </row>
    <row r="204" spans="1:23">
      <c r="A204" s="1229">
        <v>75</v>
      </c>
      <c r="B204" s="1">
        <v>2</v>
      </c>
      <c r="C204" s="1226"/>
      <c r="D204" s="1">
        <v>1</v>
      </c>
      <c r="E204" s="1">
        <v>10</v>
      </c>
      <c r="F204">
        <v>10</v>
      </c>
      <c r="G204">
        <v>4</v>
      </c>
      <c r="H204" s="1">
        <v>0</v>
      </c>
      <c r="I204" s="1232" t="s">
        <v>412</v>
      </c>
      <c r="J204">
        <v>10</v>
      </c>
      <c r="L204" s="1"/>
      <c r="M204" s="1"/>
      <c r="O204" t="s">
        <v>1088</v>
      </c>
    </row>
    <row r="205" spans="1:23">
      <c r="A205" s="1229">
        <v>76</v>
      </c>
      <c r="B205" s="1">
        <v>2</v>
      </c>
      <c r="C205" s="1226"/>
      <c r="D205" s="1">
        <v>1</v>
      </c>
      <c r="E205" s="1">
        <v>10</v>
      </c>
      <c r="F205">
        <v>10</v>
      </c>
      <c r="G205">
        <v>10</v>
      </c>
      <c r="H205" s="1">
        <v>0</v>
      </c>
      <c r="I205" s="1232" t="s">
        <v>413</v>
      </c>
      <c r="J205">
        <v>7</v>
      </c>
      <c r="L205" s="1"/>
      <c r="M205" s="1"/>
      <c r="O205" t="s">
        <v>1089</v>
      </c>
    </row>
    <row r="206" spans="1:23">
      <c r="A206" s="1229">
        <v>77</v>
      </c>
      <c r="B206" s="1">
        <v>2</v>
      </c>
      <c r="C206" s="1226"/>
      <c r="D206" s="1">
        <v>1</v>
      </c>
      <c r="E206" s="1">
        <v>10</v>
      </c>
      <c r="F206">
        <v>10</v>
      </c>
      <c r="G206">
        <v>10</v>
      </c>
      <c r="H206" s="1">
        <v>0</v>
      </c>
      <c r="I206" s="1232" t="s">
        <v>494</v>
      </c>
      <c r="J206">
        <v>7</v>
      </c>
      <c r="L206" s="1"/>
      <c r="M206" s="1"/>
      <c r="O206" t="s">
        <v>1121</v>
      </c>
    </row>
    <row r="207" spans="1:23">
      <c r="A207" s="1229">
        <v>78</v>
      </c>
      <c r="B207" s="1">
        <v>2</v>
      </c>
      <c r="C207" s="1226"/>
      <c r="D207" s="1">
        <v>1</v>
      </c>
      <c r="E207" s="1">
        <v>10</v>
      </c>
      <c r="F207">
        <v>10</v>
      </c>
      <c r="G207">
        <v>9</v>
      </c>
      <c r="H207" s="1">
        <v>0</v>
      </c>
      <c r="I207" s="1230" t="s">
        <v>1153</v>
      </c>
      <c r="J207">
        <v>10</v>
      </c>
      <c r="O207" t="s">
        <v>250</v>
      </c>
    </row>
    <row r="208" spans="1:23">
      <c r="A208" s="1229">
        <v>79</v>
      </c>
    </row>
    <row r="209" spans="1:1">
      <c r="A209" s="1229">
        <v>80</v>
      </c>
    </row>
  </sheetData>
  <sheetProtection password="DF7C" sheet="1"/>
  <phoneticPr fontId="2" type="noConversion"/>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V191"/>
  <sheetViews>
    <sheetView zoomScale="82" zoomScaleNormal="82" workbookViewId="0">
      <selection activeCell="H65" sqref="H65"/>
    </sheetView>
  </sheetViews>
  <sheetFormatPr defaultColWidth="18.85546875" defaultRowHeight="12.75"/>
  <cols>
    <col min="1" max="90" width="3" customWidth="1"/>
    <col min="91" max="103" width="3.140625" customWidth="1"/>
    <col min="104" max="104" width="10.140625" customWidth="1"/>
    <col min="105" max="105" width="29.42578125" customWidth="1"/>
    <col min="255" max="255" width="31.85546875" customWidth="1"/>
  </cols>
  <sheetData>
    <row r="1" spans="1:256" ht="15.75">
      <c r="A1" s="1893">
        <v>51</v>
      </c>
      <c r="B1" s="1893">
        <v>51</v>
      </c>
      <c r="C1" s="1893">
        <v>51</v>
      </c>
      <c r="D1" s="1893">
        <v>51</v>
      </c>
      <c r="E1" s="1893">
        <v>51</v>
      </c>
      <c r="F1" s="1893">
        <v>51</v>
      </c>
      <c r="G1" s="1893">
        <v>51</v>
      </c>
      <c r="H1" s="1893">
        <v>51</v>
      </c>
      <c r="I1" s="1893">
        <v>51</v>
      </c>
      <c r="J1" s="1893">
        <v>51</v>
      </c>
      <c r="K1" s="1893">
        <v>51</v>
      </c>
      <c r="L1" s="1893">
        <v>51</v>
      </c>
      <c r="M1" s="499">
        <v>26</v>
      </c>
      <c r="N1" s="3716">
        <v>9</v>
      </c>
      <c r="O1" s="3716">
        <v>9</v>
      </c>
      <c r="P1" s="3712">
        <v>23</v>
      </c>
      <c r="Q1" s="3711">
        <v>9</v>
      </c>
      <c r="R1" s="3711">
        <v>9</v>
      </c>
      <c r="S1" s="3711">
        <v>9</v>
      </c>
      <c r="T1" s="3711">
        <v>9</v>
      </c>
      <c r="U1" s="3711">
        <v>9</v>
      </c>
      <c r="V1" s="3711">
        <v>9</v>
      </c>
      <c r="W1" s="3711">
        <v>9</v>
      </c>
      <c r="X1" s="3711">
        <v>9</v>
      </c>
      <c r="Y1" s="3711">
        <v>9</v>
      </c>
      <c r="Z1" s="3711">
        <v>9</v>
      </c>
      <c r="AA1" s="3711">
        <v>9</v>
      </c>
      <c r="AB1" s="3711">
        <v>9</v>
      </c>
      <c r="AC1" s="3711">
        <v>9</v>
      </c>
      <c r="AD1" s="3711">
        <v>9</v>
      </c>
      <c r="AE1" s="3711">
        <v>9</v>
      </c>
      <c r="AF1" s="3711">
        <v>9</v>
      </c>
      <c r="AG1" s="3711">
        <v>9</v>
      </c>
      <c r="AH1" s="3711">
        <v>9</v>
      </c>
      <c r="AI1" s="3711">
        <v>9</v>
      </c>
      <c r="AJ1" s="3711">
        <v>9</v>
      </c>
      <c r="AK1" s="3711">
        <v>9</v>
      </c>
      <c r="AL1" s="3711">
        <v>9</v>
      </c>
      <c r="AM1" s="3711">
        <v>9</v>
      </c>
      <c r="AN1" s="3711">
        <v>9</v>
      </c>
      <c r="AO1" s="3711">
        <v>9</v>
      </c>
      <c r="AP1" s="3711">
        <v>9</v>
      </c>
      <c r="AQ1" s="3711">
        <v>9</v>
      </c>
      <c r="AR1" s="3711">
        <v>9</v>
      </c>
      <c r="AS1" s="3711">
        <v>9</v>
      </c>
      <c r="AT1" s="3711">
        <v>9</v>
      </c>
      <c r="AU1" s="3711">
        <v>9</v>
      </c>
      <c r="AV1" s="3711">
        <v>9</v>
      </c>
      <c r="AW1" s="3711">
        <v>9</v>
      </c>
      <c r="AX1" s="3711">
        <v>9</v>
      </c>
      <c r="AY1" s="3711">
        <v>9</v>
      </c>
      <c r="AZ1" s="3711">
        <v>9</v>
      </c>
      <c r="BA1" s="3711">
        <v>9</v>
      </c>
      <c r="BB1" s="3711">
        <v>9</v>
      </c>
      <c r="BC1" s="3711">
        <v>9</v>
      </c>
      <c r="BD1" s="3711">
        <v>9</v>
      </c>
      <c r="BE1" s="3711">
        <v>9</v>
      </c>
      <c r="BF1" s="3711">
        <v>9</v>
      </c>
      <c r="BG1" s="3711">
        <v>9</v>
      </c>
      <c r="BH1" s="3711">
        <v>9</v>
      </c>
      <c r="BI1" s="3711">
        <v>9</v>
      </c>
      <c r="BJ1" s="3711">
        <v>9</v>
      </c>
      <c r="BK1" s="3711">
        <v>9</v>
      </c>
      <c r="BL1" s="3711">
        <v>9</v>
      </c>
      <c r="BM1" s="3711">
        <v>9</v>
      </c>
      <c r="BN1" s="499">
        <v>24</v>
      </c>
      <c r="BO1" s="499">
        <v>24</v>
      </c>
      <c r="BP1" s="499">
        <v>24</v>
      </c>
      <c r="BQ1" s="499">
        <v>24</v>
      </c>
      <c r="BR1" s="499">
        <v>24</v>
      </c>
      <c r="BS1" s="499">
        <v>24</v>
      </c>
      <c r="BT1" s="499">
        <v>24</v>
      </c>
      <c r="BU1" s="499">
        <v>24</v>
      </c>
      <c r="BV1" s="499">
        <v>24</v>
      </c>
      <c r="BW1" s="499">
        <v>24</v>
      </c>
      <c r="BX1" s="499">
        <v>24</v>
      </c>
      <c r="BY1" s="499">
        <v>24</v>
      </c>
      <c r="BZ1" s="2729">
        <v>23</v>
      </c>
      <c r="CA1" s="2729">
        <v>23</v>
      </c>
      <c r="CB1" s="2729">
        <v>23</v>
      </c>
      <c r="CC1" s="2779">
        <v>23</v>
      </c>
      <c r="CD1" s="2779">
        <v>23</v>
      </c>
      <c r="CE1" s="2779">
        <v>23</v>
      </c>
      <c r="CF1" s="2779">
        <v>23</v>
      </c>
      <c r="CG1" s="2779">
        <v>23</v>
      </c>
      <c r="CH1" s="2729">
        <v>23</v>
      </c>
      <c r="CI1" s="2729">
        <v>23</v>
      </c>
      <c r="CJ1" s="2729">
        <v>23</v>
      </c>
      <c r="CK1" s="2729">
        <v>23</v>
      </c>
      <c r="CL1" s="2779">
        <v>23</v>
      </c>
      <c r="CM1" s="93"/>
      <c r="CN1" s="93"/>
      <c r="CO1" s="93"/>
      <c r="CP1" s="93"/>
      <c r="CQ1" s="800" t="s">
        <v>977</v>
      </c>
      <c r="CR1" s="499"/>
      <c r="CS1" s="800">
        <v>1</v>
      </c>
      <c r="CT1" s="1887">
        <v>1</v>
      </c>
      <c r="CU1" s="1" t="s">
        <v>503</v>
      </c>
      <c r="IU1" s="499" t="s">
        <v>628</v>
      </c>
      <c r="IV1" s="499">
        <v>90</v>
      </c>
    </row>
    <row r="2" spans="1:256" ht="15">
      <c r="A2" s="1893">
        <v>51</v>
      </c>
      <c r="B2" s="1893">
        <v>9</v>
      </c>
      <c r="C2" s="773"/>
      <c r="D2" s="773"/>
      <c r="E2" s="1893">
        <v>51</v>
      </c>
      <c r="F2" s="773"/>
      <c r="G2" s="1568"/>
      <c r="H2" s="1893">
        <v>51</v>
      </c>
      <c r="I2" s="773"/>
      <c r="J2" s="3714">
        <v>9</v>
      </c>
      <c r="K2" s="773"/>
      <c r="L2" s="773"/>
      <c r="M2" s="2346">
        <v>260026</v>
      </c>
      <c r="N2" s="773">
        <f>0.256+0.01</f>
        <v>0.26600000000000001</v>
      </c>
      <c r="O2" s="773"/>
      <c r="P2" s="2347"/>
      <c r="Q2" s="773"/>
      <c r="R2" s="773"/>
      <c r="S2" s="773"/>
      <c r="T2" s="773"/>
      <c r="U2" s="773"/>
      <c r="V2" s="773"/>
      <c r="W2" s="773"/>
      <c r="X2" s="773"/>
      <c r="Y2" s="773"/>
      <c r="Z2" s="773"/>
      <c r="AA2" s="773"/>
      <c r="AB2" s="773"/>
      <c r="AC2" s="773"/>
      <c r="AD2" s="773"/>
      <c r="AE2" s="773"/>
      <c r="AF2" s="773"/>
      <c r="AG2" s="773"/>
      <c r="AH2" s="773"/>
      <c r="AI2" s="773"/>
      <c r="AJ2" s="773"/>
      <c r="AK2" s="773"/>
      <c r="AL2" s="773"/>
      <c r="AM2" s="773"/>
      <c r="AN2" s="773"/>
      <c r="AO2" s="773"/>
      <c r="AP2" s="773"/>
      <c r="AQ2" s="773"/>
      <c r="AR2" s="773"/>
      <c r="AS2" s="3038">
        <f>128*17+12</f>
        <v>2188</v>
      </c>
      <c r="AT2" s="773"/>
      <c r="AU2" s="773"/>
      <c r="AV2" s="773"/>
      <c r="AW2" s="773"/>
      <c r="AX2" s="773"/>
      <c r="AY2" s="773"/>
      <c r="AZ2" s="773"/>
      <c r="BA2" s="773"/>
      <c r="BB2" s="773"/>
      <c r="BC2" s="773"/>
      <c r="BD2" s="773"/>
      <c r="BE2" s="773"/>
      <c r="BF2" s="773"/>
      <c r="BG2" s="773"/>
      <c r="BH2" s="773"/>
      <c r="BI2" s="773"/>
      <c r="BJ2" s="3253">
        <f>128*17+3</f>
        <v>2179</v>
      </c>
      <c r="BK2" s="773"/>
      <c r="BL2" s="773"/>
      <c r="BM2" s="773"/>
      <c r="BN2" s="498">
        <v>220022</v>
      </c>
      <c r="BO2" s="498">
        <v>220022</v>
      </c>
      <c r="BP2" s="498">
        <v>220022</v>
      </c>
      <c r="BQ2" s="498">
        <v>220022</v>
      </c>
      <c r="BR2" s="498">
        <v>220022</v>
      </c>
      <c r="BS2" s="498">
        <v>220022</v>
      </c>
      <c r="BT2" s="498">
        <v>220022</v>
      </c>
      <c r="BU2" s="498">
        <v>220022</v>
      </c>
      <c r="BV2" s="498">
        <v>220022</v>
      </c>
      <c r="BW2" s="705">
        <f>220000+128*14+116</f>
        <v>221908</v>
      </c>
      <c r="BX2" s="705">
        <f>220000+0.256+0.007</f>
        <v>220000.26300000001</v>
      </c>
      <c r="BY2" s="498">
        <v>220022</v>
      </c>
      <c r="BZ2" s="2729">
        <v>23</v>
      </c>
      <c r="CA2" s="2375">
        <f>0.256+0.015</f>
        <v>0.27100000000000002</v>
      </c>
      <c r="CB2" s="2793"/>
      <c r="CC2" s="2431">
        <v>0.193</v>
      </c>
      <c r="CD2" s="2793"/>
      <c r="CE2" s="2431"/>
      <c r="CF2" s="2431">
        <v>0.192</v>
      </c>
      <c r="CG2" s="2431"/>
      <c r="CH2" s="2793"/>
      <c r="CI2" s="2431">
        <v>0.193</v>
      </c>
      <c r="CJ2" s="2725"/>
      <c r="CK2" s="2563">
        <f>0.256+0.0065</f>
        <v>0.26250000000000001</v>
      </c>
      <c r="CL2" s="2779">
        <v>23</v>
      </c>
      <c r="CM2" s="93"/>
      <c r="CN2" s="93"/>
      <c r="CO2" s="93"/>
      <c r="CP2" s="93"/>
      <c r="CQ2" s="800"/>
      <c r="CS2" s="1888">
        <v>2</v>
      </c>
      <c r="CT2" s="1889">
        <v>2</v>
      </c>
      <c r="CU2" s="1" t="s">
        <v>506</v>
      </c>
      <c r="IU2" s="499" t="s">
        <v>629</v>
      </c>
      <c r="IV2" s="499">
        <v>110</v>
      </c>
    </row>
    <row r="3" spans="1:256" ht="15.75">
      <c r="A3" s="1893">
        <v>51</v>
      </c>
      <c r="B3" s="773"/>
      <c r="C3" s="1568">
        <v>1.9E-3</v>
      </c>
      <c r="D3" s="773"/>
      <c r="E3" s="773"/>
      <c r="F3" s="773"/>
      <c r="G3" s="773"/>
      <c r="H3" s="773"/>
      <c r="I3" s="773"/>
      <c r="J3" s="773"/>
      <c r="K3" s="773"/>
      <c r="L3" s="773"/>
      <c r="M3" s="2350">
        <v>260000</v>
      </c>
      <c r="N3" s="773"/>
      <c r="O3" s="773"/>
      <c r="P3" s="2347"/>
      <c r="Q3" s="773"/>
      <c r="R3" s="773"/>
      <c r="S3" s="773"/>
      <c r="T3" s="773"/>
      <c r="U3" s="773"/>
      <c r="V3" s="773"/>
      <c r="W3" s="773"/>
      <c r="X3" s="773"/>
      <c r="Y3" s="773"/>
      <c r="Z3" s="773"/>
      <c r="AA3" s="773"/>
      <c r="AB3" s="773"/>
      <c r="AC3" s="773"/>
      <c r="AD3" s="773"/>
      <c r="AE3" s="3242">
        <f>150000</f>
        <v>150000</v>
      </c>
      <c r="AF3" s="773"/>
      <c r="AG3" s="773"/>
      <c r="AH3" s="773"/>
      <c r="AI3" s="773"/>
      <c r="AJ3" s="773"/>
      <c r="AK3" s="1567"/>
      <c r="AL3" s="773"/>
      <c r="AM3" s="773"/>
      <c r="AN3" s="773"/>
      <c r="AO3" s="773"/>
      <c r="AP3" s="773"/>
      <c r="AQ3" s="773"/>
      <c r="AR3" s="504">
        <v>28</v>
      </c>
      <c r="AS3" s="3040">
        <f>128*5+39</f>
        <v>679</v>
      </c>
      <c r="AT3" s="504">
        <v>28</v>
      </c>
      <c r="AU3" s="773"/>
      <c r="AV3" s="773"/>
      <c r="AW3" s="773"/>
      <c r="AX3" s="773"/>
      <c r="AY3" s="773"/>
      <c r="AZ3" s="773"/>
      <c r="BA3" s="1567"/>
      <c r="BB3" s="773"/>
      <c r="BC3" s="773"/>
      <c r="BD3" s="773"/>
      <c r="BE3" s="773"/>
      <c r="BF3" s="773"/>
      <c r="BG3" s="773"/>
      <c r="BH3" s="773"/>
      <c r="BI3" s="773"/>
      <c r="BJ3" s="773"/>
      <c r="BK3" s="773"/>
      <c r="BL3" s="2700">
        <f>128*6+5</f>
        <v>773</v>
      </c>
      <c r="BM3" s="2293">
        <f>128*9+32</f>
        <v>1184</v>
      </c>
      <c r="BN3" s="2958">
        <f>220000+128+22</f>
        <v>220150</v>
      </c>
      <c r="BO3" s="2311">
        <f>220000+128+22</f>
        <v>220150</v>
      </c>
      <c r="BP3" s="498">
        <v>220022</v>
      </c>
      <c r="BQ3" s="498">
        <v>220022</v>
      </c>
      <c r="BR3" s="498">
        <v>220022</v>
      </c>
      <c r="BS3" s="2311">
        <v>220000</v>
      </c>
      <c r="BT3" s="2955">
        <v>220000</v>
      </c>
      <c r="BU3" s="2311">
        <v>220000</v>
      </c>
      <c r="BV3" s="2954">
        <f>220000+128+22</f>
        <v>220150</v>
      </c>
      <c r="BW3" s="705">
        <f>220000+128+22</f>
        <v>220150</v>
      </c>
      <c r="BX3" s="498">
        <v>220022</v>
      </c>
      <c r="BY3" s="498">
        <v>220022</v>
      </c>
      <c r="BZ3" s="2729">
        <v>23</v>
      </c>
      <c r="CA3" s="2793"/>
      <c r="CB3" s="504">
        <v>29</v>
      </c>
      <c r="CC3" s="2793"/>
      <c r="CD3" s="3049"/>
      <c r="CE3" s="2431"/>
      <c r="CF3" s="2431">
        <f>128*9+63</f>
        <v>1215</v>
      </c>
      <c r="CG3" s="2431"/>
      <c r="CH3" s="3049"/>
      <c r="CI3" s="2793"/>
      <c r="CJ3" s="504">
        <v>29</v>
      </c>
      <c r="CK3" s="2725"/>
      <c r="CL3" s="2779">
        <v>23</v>
      </c>
      <c r="CM3" s="93"/>
      <c r="CN3" s="93"/>
      <c r="CO3" s="93"/>
      <c r="CP3" s="93"/>
      <c r="CQ3" s="800"/>
      <c r="CS3" s="1888">
        <v>3</v>
      </c>
      <c r="CT3" s="1889">
        <v>3</v>
      </c>
      <c r="CU3" s="1" t="s">
        <v>517</v>
      </c>
      <c r="IU3" s="499" t="s">
        <v>738</v>
      </c>
      <c r="IV3" s="499">
        <v>32</v>
      </c>
    </row>
    <row r="4" spans="1:256" ht="15.75">
      <c r="A4" s="1893">
        <v>51</v>
      </c>
      <c r="B4" s="773"/>
      <c r="C4" s="773"/>
      <c r="D4" s="2295">
        <v>150000</v>
      </c>
      <c r="E4" s="2295">
        <v>150000</v>
      </c>
      <c r="F4" s="2296">
        <v>150000</v>
      </c>
      <c r="G4" s="1568"/>
      <c r="H4" s="773"/>
      <c r="I4" s="2365">
        <v>51</v>
      </c>
      <c r="J4" s="773"/>
      <c r="K4" s="2346">
        <v>260026</v>
      </c>
      <c r="L4" s="2351">
        <v>260000</v>
      </c>
      <c r="M4" s="2349">
        <v>260023</v>
      </c>
      <c r="N4" s="2352">
        <v>260000</v>
      </c>
      <c r="O4" s="2346">
        <v>260026</v>
      </c>
      <c r="P4" s="2347"/>
      <c r="Q4" s="773"/>
      <c r="R4" s="2347"/>
      <c r="S4" s="2347"/>
      <c r="T4" s="2347"/>
      <c r="U4" s="2347"/>
      <c r="V4" s="2347"/>
      <c r="W4" s="2347"/>
      <c r="X4" s="2347"/>
      <c r="Y4" s="2347"/>
      <c r="Z4" s="2347"/>
      <c r="AA4" s="2347"/>
      <c r="AB4" s="773"/>
      <c r="AC4" s="773"/>
      <c r="AD4" s="1568"/>
      <c r="AE4" s="3241">
        <v>150015</v>
      </c>
      <c r="AF4" s="773"/>
      <c r="AG4" s="773"/>
      <c r="AH4" s="773"/>
      <c r="AI4" s="773"/>
      <c r="AJ4" s="773"/>
      <c r="AK4" s="773"/>
      <c r="AL4" s="773"/>
      <c r="AM4" s="3251">
        <f>128*17+8</f>
        <v>2184</v>
      </c>
      <c r="AN4" s="773"/>
      <c r="AO4" s="773"/>
      <c r="AP4" s="773"/>
      <c r="AQ4" s="3038">
        <f>128*17+10</f>
        <v>2186</v>
      </c>
      <c r="AR4" s="3040">
        <f>128*5+39</f>
        <v>679</v>
      </c>
      <c r="AS4" s="757">
        <f>128*14+116+0.256+0.049</f>
        <v>1908.3050000000001</v>
      </c>
      <c r="AT4" s="3040">
        <f>128*5+39</f>
        <v>679</v>
      </c>
      <c r="AU4" s="3039">
        <f>128*17+6</f>
        <v>2182</v>
      </c>
      <c r="AV4" s="773"/>
      <c r="AW4" s="773"/>
      <c r="AX4" s="773"/>
      <c r="AY4" s="773"/>
      <c r="AZ4" s="773"/>
      <c r="BA4" s="773"/>
      <c r="BB4" s="773"/>
      <c r="BC4" s="773"/>
      <c r="BD4" s="773"/>
      <c r="BE4" s="773"/>
      <c r="BF4" s="773"/>
      <c r="BG4" s="773"/>
      <c r="BH4" s="773"/>
      <c r="BI4" s="773"/>
      <c r="BJ4" s="773"/>
      <c r="BK4" s="773"/>
      <c r="BL4" s="773"/>
      <c r="BM4" s="773"/>
      <c r="BN4" s="1824">
        <v>220022</v>
      </c>
      <c r="BO4" s="2311">
        <v>220000</v>
      </c>
      <c r="BP4" s="2311">
        <f>220000+0.188</f>
        <v>220000.18799999999</v>
      </c>
      <c r="BQ4" s="2311">
        <v>220000</v>
      </c>
      <c r="BR4" s="2954">
        <f>220000+128+22</f>
        <v>220150</v>
      </c>
      <c r="BS4" s="2311">
        <f>220000+128+22</f>
        <v>220150</v>
      </c>
      <c r="BT4" s="498">
        <v>220022</v>
      </c>
      <c r="BU4" s="498">
        <v>220022</v>
      </c>
      <c r="BV4" s="498">
        <v>220022</v>
      </c>
      <c r="BW4" s="705">
        <f>220000+128*14+116</f>
        <v>221908</v>
      </c>
      <c r="BX4" s="705">
        <f>220000+0.256+0.018</f>
        <v>220000.274</v>
      </c>
      <c r="BY4" s="498">
        <v>220022</v>
      </c>
      <c r="BZ4" s="2729">
        <v>23</v>
      </c>
      <c r="CA4" s="2793"/>
      <c r="CB4" s="2793"/>
      <c r="CC4" s="2807">
        <v>220000</v>
      </c>
      <c r="CD4" s="2805">
        <v>220000</v>
      </c>
      <c r="CE4" s="2805">
        <v>220000</v>
      </c>
      <c r="CF4" s="2805">
        <v>220000</v>
      </c>
      <c r="CG4" s="2805">
        <v>220000</v>
      </c>
      <c r="CH4" s="2931">
        <v>220000</v>
      </c>
      <c r="CI4" s="2806">
        <v>220000</v>
      </c>
      <c r="CJ4" s="2725"/>
      <c r="CK4" s="2431">
        <v>0.19400000000000001</v>
      </c>
      <c r="CL4" s="2779">
        <v>23</v>
      </c>
      <c r="CM4" s="93"/>
      <c r="CN4" s="93"/>
      <c r="CO4" s="93"/>
      <c r="CP4" s="93"/>
      <c r="CQ4" s="800"/>
      <c r="CS4" s="1888">
        <v>4</v>
      </c>
      <c r="CT4" s="1889">
        <v>4</v>
      </c>
      <c r="CU4" s="1" t="s">
        <v>511</v>
      </c>
      <c r="IU4" s="499" t="s">
        <v>630</v>
      </c>
      <c r="IV4" s="499">
        <v>32</v>
      </c>
    </row>
    <row r="5" spans="1:256" ht="15.75">
      <c r="A5" s="1893">
        <v>51</v>
      </c>
      <c r="B5" s="773"/>
      <c r="C5" s="773"/>
      <c r="D5" s="2295">
        <v>150000</v>
      </c>
      <c r="E5" s="2297" t="s">
        <v>633</v>
      </c>
      <c r="F5" s="2296">
        <v>150000</v>
      </c>
      <c r="G5" s="773"/>
      <c r="H5" s="1568"/>
      <c r="I5" s="773"/>
      <c r="J5" s="2365">
        <v>51</v>
      </c>
      <c r="K5" s="773"/>
      <c r="L5" s="2348"/>
      <c r="M5" s="2347"/>
      <c r="N5" s="2348"/>
      <c r="O5" s="2347"/>
      <c r="P5" s="2347"/>
      <c r="Q5" s="2347"/>
      <c r="R5" s="2347"/>
      <c r="S5" s="3718">
        <f>220000+128*6+5+0.256+0.05</f>
        <v>220773.30599999998</v>
      </c>
      <c r="T5" s="2298">
        <v>220022</v>
      </c>
      <c r="U5" s="517">
        <v>220022</v>
      </c>
      <c r="V5" s="2298">
        <v>220022</v>
      </c>
      <c r="W5" s="517">
        <v>220022</v>
      </c>
      <c r="X5" s="2298">
        <v>220022</v>
      </c>
      <c r="Y5" s="2289">
        <v>220022</v>
      </c>
      <c r="Z5" s="2289">
        <v>220022</v>
      </c>
      <c r="AA5" s="2347"/>
      <c r="AB5" s="773"/>
      <c r="AC5" s="773"/>
      <c r="AD5" s="773"/>
      <c r="AE5" s="773"/>
      <c r="AF5" s="773"/>
      <c r="AG5" s="2347"/>
      <c r="AH5" s="2347"/>
      <c r="AI5" s="2347"/>
      <c r="AJ5" s="2347"/>
      <c r="AK5" s="2347"/>
      <c r="AL5" s="2347"/>
      <c r="AM5" s="2347"/>
      <c r="AN5" s="2347"/>
      <c r="AO5" s="2347"/>
      <c r="AP5" s="2347"/>
      <c r="AQ5" s="773"/>
      <c r="AR5" s="504">
        <v>28</v>
      </c>
      <c r="AS5" s="3040">
        <f>128*5+39</f>
        <v>679</v>
      </c>
      <c r="AT5" s="504">
        <v>28</v>
      </c>
      <c r="AU5" s="773"/>
      <c r="AV5" s="2347"/>
      <c r="AW5" s="2347"/>
      <c r="AX5" s="2347"/>
      <c r="AY5" s="2347"/>
      <c r="AZ5" s="2347"/>
      <c r="BA5" s="2347"/>
      <c r="BB5" s="2347"/>
      <c r="BC5" s="2347"/>
      <c r="BD5" s="2347"/>
      <c r="BE5" s="2347"/>
      <c r="BF5" s="2347"/>
      <c r="BG5" s="2347"/>
      <c r="BH5" s="773"/>
      <c r="BI5" s="773"/>
      <c r="BJ5" s="773"/>
      <c r="BK5" s="773"/>
      <c r="BL5" s="773"/>
      <c r="BM5" s="2293">
        <f>128*9+32</f>
        <v>1184</v>
      </c>
      <c r="BN5" s="2956">
        <v>220022</v>
      </c>
      <c r="BO5" s="498">
        <v>220022</v>
      </c>
      <c r="BP5" s="498">
        <v>220022</v>
      </c>
      <c r="BQ5" s="498">
        <v>220022</v>
      </c>
      <c r="BR5" s="498">
        <v>220022</v>
      </c>
      <c r="BS5" s="498">
        <v>220022</v>
      </c>
      <c r="BT5" s="498">
        <v>220022</v>
      </c>
      <c r="BU5" s="498">
        <v>220022</v>
      </c>
      <c r="BV5" s="498">
        <v>220022</v>
      </c>
      <c r="BW5" s="498">
        <v>220022</v>
      </c>
      <c r="BX5" s="498">
        <v>220022</v>
      </c>
      <c r="BY5" s="498">
        <v>220022</v>
      </c>
      <c r="BZ5" s="3050">
        <v>14</v>
      </c>
      <c r="CA5" s="2725"/>
      <c r="CB5" s="2431">
        <f>128*9+63</f>
        <v>1215</v>
      </c>
      <c r="CC5" s="2807">
        <v>220000</v>
      </c>
      <c r="CD5" s="3719">
        <f>128*6+5</f>
        <v>773</v>
      </c>
      <c r="CE5" s="2932"/>
      <c r="CF5" s="2932"/>
      <c r="CG5" s="2932"/>
      <c r="CH5" s="3720">
        <f>128*6+5</f>
        <v>773</v>
      </c>
      <c r="CI5" s="2806">
        <v>220000</v>
      </c>
      <c r="CJ5" s="2431">
        <f>128*9+63</f>
        <v>1215</v>
      </c>
      <c r="CK5" s="2725"/>
      <c r="CL5" s="2779">
        <v>23</v>
      </c>
      <c r="CM5" s="93"/>
      <c r="CN5" s="93"/>
      <c r="CO5" s="93"/>
      <c r="CP5" s="93"/>
      <c r="CQ5" s="800" t="s">
        <v>979</v>
      </c>
      <c r="CS5" s="800">
        <v>1</v>
      </c>
      <c r="CT5" s="1889">
        <v>5</v>
      </c>
      <c r="CU5" s="1" t="s">
        <v>518</v>
      </c>
      <c r="IU5" s="499" t="s">
        <v>631</v>
      </c>
      <c r="IV5" s="499">
        <v>32</v>
      </c>
    </row>
    <row r="6" spans="1:256" ht="15.75">
      <c r="A6" s="1893">
        <v>51</v>
      </c>
      <c r="B6" s="1568"/>
      <c r="C6" s="773"/>
      <c r="D6" s="2294">
        <v>150000</v>
      </c>
      <c r="E6" s="2294">
        <v>150000</v>
      </c>
      <c r="F6" s="2296">
        <v>150000</v>
      </c>
      <c r="G6" s="773"/>
      <c r="H6" s="773"/>
      <c r="I6" s="2251">
        <v>9</v>
      </c>
      <c r="J6" s="773"/>
      <c r="K6" s="773"/>
      <c r="L6" s="773"/>
      <c r="M6" s="2348"/>
      <c r="N6" s="773"/>
      <c r="O6" s="773"/>
      <c r="P6" s="773"/>
      <c r="Q6" s="2290"/>
      <c r="R6" s="2291"/>
      <c r="S6" s="517">
        <v>220022</v>
      </c>
      <c r="T6" s="498">
        <v>220022</v>
      </c>
      <c r="U6" s="498">
        <v>220022</v>
      </c>
      <c r="V6" s="498">
        <v>220022</v>
      </c>
      <c r="W6" s="498">
        <v>220022</v>
      </c>
      <c r="X6" s="498">
        <v>220022</v>
      </c>
      <c r="Y6" s="498">
        <v>220022</v>
      </c>
      <c r="Z6" s="2289">
        <v>220022</v>
      </c>
      <c r="AA6" s="2347"/>
      <c r="AB6" s="773"/>
      <c r="AC6" s="773"/>
      <c r="AD6" s="773"/>
      <c r="AE6" s="773"/>
      <c r="AF6" s="773"/>
      <c r="AG6" s="2347"/>
      <c r="AH6" s="517">
        <v>220022</v>
      </c>
      <c r="AI6" s="2298">
        <v>220022</v>
      </c>
      <c r="AJ6" s="517">
        <v>220022</v>
      </c>
      <c r="AK6" s="2298">
        <v>220022</v>
      </c>
      <c r="AL6" s="517">
        <v>220022</v>
      </c>
      <c r="AM6" s="2298">
        <v>220022</v>
      </c>
      <c r="AN6" s="517">
        <v>220022</v>
      </c>
      <c r="AO6" s="791">
        <v>220022</v>
      </c>
      <c r="AP6" s="2347"/>
      <c r="AQ6" s="773">
        <f>0.256+0.0017</f>
        <v>0.25769999999999998</v>
      </c>
      <c r="AR6" s="773"/>
      <c r="AS6" s="3038">
        <f>128*17+8</f>
        <v>2184</v>
      </c>
      <c r="AT6" s="773"/>
      <c r="AU6" s="773"/>
      <c r="AV6" s="2347"/>
      <c r="AW6" s="517">
        <v>220022</v>
      </c>
      <c r="AX6" s="2298">
        <v>220022</v>
      </c>
      <c r="AY6" s="2298">
        <v>220022</v>
      </c>
      <c r="AZ6" s="517">
        <v>220022</v>
      </c>
      <c r="BA6" s="2298">
        <v>220022</v>
      </c>
      <c r="BB6" s="517">
        <v>220022</v>
      </c>
      <c r="BC6" s="2298">
        <v>220022</v>
      </c>
      <c r="BD6" s="517">
        <v>220022</v>
      </c>
      <c r="BE6" s="2298">
        <v>220022</v>
      </c>
      <c r="BF6" s="2289">
        <v>220022</v>
      </c>
      <c r="BG6" s="2347"/>
      <c r="BH6" s="773"/>
      <c r="BI6" s="773"/>
      <c r="BJ6" s="1567"/>
      <c r="BK6" s="773"/>
      <c r="BL6" s="773"/>
      <c r="BM6" s="773"/>
      <c r="BN6" s="1824">
        <v>220022</v>
      </c>
      <c r="BO6" s="2726">
        <v>23</v>
      </c>
      <c r="BP6" s="2726">
        <v>23</v>
      </c>
      <c r="BQ6" s="2726">
        <v>23</v>
      </c>
      <c r="BR6" s="2726">
        <v>23</v>
      </c>
      <c r="BS6" s="2726">
        <v>23</v>
      </c>
      <c r="BT6" s="2726">
        <v>23</v>
      </c>
      <c r="BU6" s="2726">
        <v>23</v>
      </c>
      <c r="BV6" s="2726">
        <v>23</v>
      </c>
      <c r="BW6" s="2726">
        <v>23</v>
      </c>
      <c r="BX6" s="2726">
        <v>23</v>
      </c>
      <c r="BY6" s="2726">
        <v>23</v>
      </c>
      <c r="BZ6" s="2726">
        <v>23</v>
      </c>
      <c r="CA6" s="2725"/>
      <c r="CB6" s="2793"/>
      <c r="CC6" s="2807">
        <v>220000</v>
      </c>
      <c r="CD6" s="2932"/>
      <c r="CE6" s="2808">
        <v>0.30599999999999999</v>
      </c>
      <c r="CF6" s="2808"/>
      <c r="CG6" s="2943">
        <f>128*17+64+5</f>
        <v>2245</v>
      </c>
      <c r="CH6" s="2933"/>
      <c r="CI6" s="2806">
        <v>220000</v>
      </c>
      <c r="CJ6" s="2725"/>
      <c r="CK6" s="2725"/>
      <c r="CL6" s="2779">
        <v>23</v>
      </c>
      <c r="CM6" s="93"/>
      <c r="CN6" s="93"/>
      <c r="CO6" s="93"/>
      <c r="CP6" s="93"/>
      <c r="CQ6" s="800"/>
      <c r="CS6" s="1888">
        <v>2</v>
      </c>
      <c r="CT6" s="1889">
        <v>6</v>
      </c>
      <c r="CU6" s="1" t="s">
        <v>519</v>
      </c>
      <c r="IU6" s="499" t="s">
        <v>669</v>
      </c>
      <c r="IV6" s="499">
        <v>2</v>
      </c>
    </row>
    <row r="7" spans="1:256" ht="15.75">
      <c r="A7" s="1893">
        <v>51</v>
      </c>
      <c r="B7" s="773"/>
      <c r="C7" s="773"/>
      <c r="D7" s="773"/>
      <c r="E7" s="773"/>
      <c r="F7" s="773"/>
      <c r="G7" s="1568"/>
      <c r="H7" s="773"/>
      <c r="I7" s="773"/>
      <c r="J7" s="1568"/>
      <c r="K7" s="773"/>
      <c r="L7" s="1568"/>
      <c r="M7" s="2347"/>
      <c r="N7" s="2347"/>
      <c r="O7" s="1567"/>
      <c r="P7" s="773"/>
      <c r="Q7" s="2291"/>
      <c r="R7" s="2291"/>
      <c r="S7" s="517">
        <v>220022</v>
      </c>
      <c r="T7" s="498">
        <v>220022</v>
      </c>
      <c r="U7" s="2301"/>
      <c r="V7" s="2301"/>
      <c r="W7" s="2301"/>
      <c r="X7" s="2302"/>
      <c r="Y7" s="951">
        <v>220022</v>
      </c>
      <c r="Z7" s="791">
        <v>220022</v>
      </c>
      <c r="AA7" s="2347"/>
      <c r="AB7" s="2347"/>
      <c r="AC7" s="2347"/>
      <c r="AD7" s="2347"/>
      <c r="AE7" s="2347"/>
      <c r="AF7" s="2347"/>
      <c r="AG7" s="2347"/>
      <c r="AH7" s="517">
        <v>220022</v>
      </c>
      <c r="AI7" s="1738"/>
      <c r="AJ7" s="1738">
        <f>0.256+0.0016</f>
        <v>0.2576</v>
      </c>
      <c r="AK7" s="1738"/>
      <c r="AL7" s="1738"/>
      <c r="AM7" s="1738">
        <f>128*10+6</f>
        <v>1286</v>
      </c>
      <c r="AN7" s="1738"/>
      <c r="AO7" s="2289">
        <v>220022</v>
      </c>
      <c r="AP7" s="2347"/>
      <c r="AQ7" s="2347"/>
      <c r="AR7" s="2347"/>
      <c r="AS7" s="2347"/>
      <c r="AT7" s="2347"/>
      <c r="AU7" s="2347"/>
      <c r="AV7" s="2290"/>
      <c r="AW7" s="498">
        <v>220022</v>
      </c>
      <c r="AX7" s="3048">
        <f>128*17+5</f>
        <v>2181</v>
      </c>
      <c r="AY7" s="1738"/>
      <c r="AZ7" s="1738"/>
      <c r="BA7" s="1738"/>
      <c r="BB7" s="1738"/>
      <c r="BC7" s="1738"/>
      <c r="BD7" s="1738"/>
      <c r="BE7" s="1738">
        <v>0.217</v>
      </c>
      <c r="BF7" s="791">
        <v>220022</v>
      </c>
      <c r="BG7" s="2347"/>
      <c r="BH7" s="773"/>
      <c r="BI7" s="773"/>
      <c r="BJ7" s="773"/>
      <c r="BK7" s="773"/>
      <c r="BL7" s="773"/>
      <c r="BM7" s="2293">
        <f>128*9+32</f>
        <v>1184</v>
      </c>
      <c r="BN7" s="2957">
        <v>220022</v>
      </c>
      <c r="BO7" s="2726">
        <v>23</v>
      </c>
      <c r="BP7" s="2725"/>
      <c r="BQ7" s="2725"/>
      <c r="BR7" s="2725"/>
      <c r="BS7" s="2725"/>
      <c r="BT7" s="2725"/>
      <c r="BU7" s="2725"/>
      <c r="BV7" s="2725"/>
      <c r="BW7" s="2431">
        <f>128*10+10</f>
        <v>1290</v>
      </c>
      <c r="BX7" s="2928">
        <f>128*4+36</f>
        <v>548</v>
      </c>
      <c r="BY7" s="2725"/>
      <c r="BZ7" s="2930">
        <f>128*5+37</f>
        <v>677</v>
      </c>
      <c r="CA7" s="2431">
        <f>128*16+8</f>
        <v>2056</v>
      </c>
      <c r="CB7" s="2793"/>
      <c r="CC7" s="2807">
        <v>220000</v>
      </c>
      <c r="CD7" s="2932"/>
      <c r="CE7" s="2808"/>
      <c r="CF7" s="2808">
        <f>128*10+49+0.256+0.014</f>
        <v>1329.27</v>
      </c>
      <c r="CG7" s="2942">
        <f>128*8+6</f>
        <v>1030</v>
      </c>
      <c r="CH7" s="2933"/>
      <c r="CI7" s="2806">
        <v>220000</v>
      </c>
      <c r="CJ7" s="3260">
        <f>128*6+192</f>
        <v>960</v>
      </c>
      <c r="CK7" s="2725"/>
      <c r="CL7" s="2779">
        <v>23</v>
      </c>
      <c r="CM7" s="93"/>
      <c r="CN7" s="93"/>
      <c r="CO7" s="93"/>
      <c r="CP7" s="93"/>
      <c r="CQ7" s="800"/>
      <c r="CS7" s="1888">
        <v>3</v>
      </c>
      <c r="CT7" s="1889">
        <v>7</v>
      </c>
      <c r="CU7" s="1" t="s">
        <v>547</v>
      </c>
      <c r="IU7" s="499" t="s">
        <v>866</v>
      </c>
      <c r="IV7" s="499">
        <v>2</v>
      </c>
    </row>
    <row r="8" spans="1:256" ht="15.75">
      <c r="A8" s="1893">
        <v>51</v>
      </c>
      <c r="B8" s="3715">
        <v>9</v>
      </c>
      <c r="C8" s="773"/>
      <c r="D8" s="773"/>
      <c r="E8" s="1568"/>
      <c r="F8" s="1568"/>
      <c r="G8" s="773"/>
      <c r="H8" s="773"/>
      <c r="I8" s="2366">
        <v>51</v>
      </c>
      <c r="J8" s="1568"/>
      <c r="K8" s="2365">
        <v>51</v>
      </c>
      <c r="L8" s="773"/>
      <c r="M8" s="773"/>
      <c r="N8" s="2347"/>
      <c r="O8" s="773"/>
      <c r="P8" s="773"/>
      <c r="Q8" s="2291"/>
      <c r="R8" s="2291"/>
      <c r="S8" s="498">
        <v>220022</v>
      </c>
      <c r="T8" s="1739">
        <f>220000+128*9+15</f>
        <v>221167</v>
      </c>
      <c r="U8" s="2307"/>
      <c r="V8" s="1756">
        <v>9</v>
      </c>
      <c r="W8" s="1756">
        <v>9</v>
      </c>
      <c r="X8" s="2332"/>
      <c r="Y8" s="2361">
        <v>220022</v>
      </c>
      <c r="Z8" s="2298">
        <f>220000+128*14+116+0.256+0.0017</f>
        <v>221908.25769999999</v>
      </c>
      <c r="AA8" s="3243">
        <f>220000+128+22</f>
        <v>220150</v>
      </c>
      <c r="AB8" s="2298">
        <v>220022</v>
      </c>
      <c r="AC8" s="517">
        <v>220022</v>
      </c>
      <c r="AD8" s="2298">
        <v>220022</v>
      </c>
      <c r="AE8" s="517">
        <v>220022</v>
      </c>
      <c r="AF8" s="2298">
        <v>220022</v>
      </c>
      <c r="AG8" s="517">
        <v>220022</v>
      </c>
      <c r="AH8" s="771">
        <v>220022</v>
      </c>
      <c r="AI8" s="2832">
        <f t="shared" ref="AI8:AN8" si="0">220000+128*9+15</f>
        <v>221167</v>
      </c>
      <c r="AJ8" s="2832">
        <f t="shared" si="0"/>
        <v>221167</v>
      </c>
      <c r="AK8" s="2832">
        <f t="shared" si="0"/>
        <v>221167</v>
      </c>
      <c r="AL8" s="2832">
        <f t="shared" si="0"/>
        <v>221167</v>
      </c>
      <c r="AM8" s="2832">
        <f t="shared" si="0"/>
        <v>221167</v>
      </c>
      <c r="AN8" s="2833">
        <f t="shared" si="0"/>
        <v>221167</v>
      </c>
      <c r="AO8" s="498">
        <v>220022</v>
      </c>
      <c r="AP8" s="2298">
        <v>220022</v>
      </c>
      <c r="AQ8" s="517">
        <v>220022</v>
      </c>
      <c r="AR8" s="2298">
        <v>220022</v>
      </c>
      <c r="AS8" s="517">
        <v>220022</v>
      </c>
      <c r="AT8" s="2298">
        <v>220022</v>
      </c>
      <c r="AU8" s="517">
        <v>220022</v>
      </c>
      <c r="AV8" s="2298">
        <v>220022</v>
      </c>
      <c r="AW8" s="517">
        <v>220022</v>
      </c>
      <c r="AX8" s="3022">
        <v>220022</v>
      </c>
      <c r="AY8" s="3022">
        <v>220022</v>
      </c>
      <c r="AZ8" s="1738"/>
      <c r="BA8" s="3022">
        <v>220022</v>
      </c>
      <c r="BB8" s="1738"/>
      <c r="BC8" s="3022">
        <v>220022</v>
      </c>
      <c r="BD8" s="1738"/>
      <c r="BE8" s="2289">
        <v>220022</v>
      </c>
      <c r="BF8" s="2289">
        <v>220022</v>
      </c>
      <c r="BG8" s="2347"/>
      <c r="BH8" s="773"/>
      <c r="BI8" s="773"/>
      <c r="BJ8" s="773"/>
      <c r="BK8" s="773"/>
      <c r="BL8" s="773"/>
      <c r="BM8" s="773"/>
      <c r="BN8" s="498">
        <v>220022</v>
      </c>
      <c r="BO8" s="2726">
        <v>23</v>
      </c>
      <c r="BP8" s="2728"/>
      <c r="BQ8" s="3244">
        <v>9</v>
      </c>
      <c r="BR8" s="3244">
        <v>9</v>
      </c>
      <c r="BS8" s="2729">
        <v>23</v>
      </c>
      <c r="BT8" s="2730">
        <v>23</v>
      </c>
      <c r="BU8" s="2727"/>
      <c r="BV8" s="2726">
        <v>23</v>
      </c>
      <c r="BW8" s="2727"/>
      <c r="BX8" s="2726">
        <v>23</v>
      </c>
      <c r="BY8" s="2725"/>
      <c r="BZ8" s="2726">
        <v>23</v>
      </c>
      <c r="CA8" s="2725"/>
      <c r="CB8" s="2793"/>
      <c r="CC8" s="2807">
        <v>220000</v>
      </c>
      <c r="CD8" s="2932"/>
      <c r="CE8" s="2808">
        <v>0.30599999999999999</v>
      </c>
      <c r="CF8" s="2808"/>
      <c r="CG8" s="2943">
        <f>128*17+64+5</f>
        <v>2245</v>
      </c>
      <c r="CH8" s="2933"/>
      <c r="CI8" s="2806">
        <v>220000</v>
      </c>
      <c r="CJ8" s="2725"/>
      <c r="CK8" s="2725"/>
      <c r="CL8" s="2779">
        <v>23</v>
      </c>
      <c r="CM8" s="93"/>
      <c r="CN8" s="93"/>
      <c r="CO8" s="93"/>
      <c r="CP8" s="93"/>
      <c r="CQ8" s="499"/>
      <c r="CS8" s="1888">
        <v>4</v>
      </c>
      <c r="CT8" s="1889">
        <v>8</v>
      </c>
      <c r="CU8" s="1" t="s">
        <v>547</v>
      </c>
      <c r="IU8" s="499" t="s">
        <v>867</v>
      </c>
      <c r="IV8" s="499">
        <v>162</v>
      </c>
    </row>
    <row r="9" spans="1:256" ht="16.5" thickBot="1">
      <c r="A9" s="1610">
        <v>53</v>
      </c>
      <c r="B9" s="1861"/>
      <c r="C9" s="1861"/>
      <c r="D9" s="1858"/>
      <c r="E9" s="1858"/>
      <c r="F9" s="1568"/>
      <c r="G9" s="1567"/>
      <c r="H9" s="2366">
        <v>51</v>
      </c>
      <c r="I9" s="1568"/>
      <c r="J9" s="1568"/>
      <c r="K9" s="773"/>
      <c r="L9" s="773"/>
      <c r="M9" s="773"/>
      <c r="N9" s="2347"/>
      <c r="O9" s="773"/>
      <c r="P9" s="1567"/>
      <c r="Q9" s="2291"/>
      <c r="R9" s="2291"/>
      <c r="S9" s="517">
        <v>220022</v>
      </c>
      <c r="T9" s="498">
        <v>220022</v>
      </c>
      <c r="U9" s="2307"/>
      <c r="V9" s="2308">
        <f>260000+128*11+1+0.256+0.038</f>
        <v>261409.29399999999</v>
      </c>
      <c r="W9" s="2360">
        <v>9</v>
      </c>
      <c r="X9" s="2313">
        <f>128*9+15</f>
        <v>1167</v>
      </c>
      <c r="Y9" s="2329">
        <v>220022</v>
      </c>
      <c r="Z9" s="2312">
        <v>220022</v>
      </c>
      <c r="AA9" s="2312">
        <v>220022</v>
      </c>
      <c r="AB9" s="2312">
        <v>220022</v>
      </c>
      <c r="AC9" s="498">
        <v>220022</v>
      </c>
      <c r="AD9" s="1775"/>
      <c r="AE9" s="1775"/>
      <c r="AF9" s="2773"/>
      <c r="AG9" s="2774">
        <f>128*4+35</f>
        <v>547</v>
      </c>
      <c r="AH9" s="498">
        <v>220022</v>
      </c>
      <c r="AI9" s="2831"/>
      <c r="AJ9" s="2299"/>
      <c r="AK9" s="2299"/>
      <c r="AL9" s="2300"/>
      <c r="AM9" s="2299"/>
      <c r="AN9" s="2831"/>
      <c r="AO9" s="498">
        <v>220022</v>
      </c>
      <c r="AP9" s="1738"/>
      <c r="AQ9" s="1738"/>
      <c r="AR9" s="1738"/>
      <c r="AS9" s="1738"/>
      <c r="AT9" s="1738"/>
      <c r="AU9" s="1738"/>
      <c r="AV9" s="1738"/>
      <c r="AW9" s="1738"/>
      <c r="AX9" s="1738"/>
      <c r="AY9" s="1738"/>
      <c r="AZ9" s="1738"/>
      <c r="BA9" s="3022">
        <v>220022</v>
      </c>
      <c r="BB9" s="3046">
        <f>128*5+41</f>
        <v>681</v>
      </c>
      <c r="BC9" s="3022">
        <v>220022</v>
      </c>
      <c r="BD9" s="1738"/>
      <c r="BE9" s="1948">
        <f>128*11+30</f>
        <v>1438</v>
      </c>
      <c r="BF9" s="2473">
        <f>220022+0.126</f>
        <v>220022.12599999999</v>
      </c>
      <c r="BG9" s="2347"/>
      <c r="BH9" s="773"/>
      <c r="BI9" s="773"/>
      <c r="BJ9" s="773"/>
      <c r="BK9" s="773"/>
      <c r="BL9" s="773"/>
      <c r="BM9" s="773"/>
      <c r="BN9" s="498">
        <v>220022</v>
      </c>
      <c r="BO9" s="2838">
        <v>23</v>
      </c>
      <c r="BP9" s="1738"/>
      <c r="BQ9" s="2837">
        <v>9</v>
      </c>
      <c r="BR9" s="2308">
        <f>260000+128*11+1+0.256+0.038</f>
        <v>261409.29399999999</v>
      </c>
      <c r="BS9" s="2359"/>
      <c r="BT9" s="2303"/>
      <c r="BU9" s="2312">
        <f>128*8+10</f>
        <v>1034</v>
      </c>
      <c r="BV9" s="2312"/>
      <c r="BW9" s="2727"/>
      <c r="BX9" s="2928">
        <f>128*4+36</f>
        <v>548</v>
      </c>
      <c r="BY9" s="2727"/>
      <c r="BZ9" s="3050">
        <v>14</v>
      </c>
      <c r="CA9" s="2725"/>
      <c r="CB9" s="2431">
        <f>128*9+63</f>
        <v>1215</v>
      </c>
      <c r="CC9" s="2807">
        <v>220000</v>
      </c>
      <c r="CD9" s="3719">
        <f>128*6+5</f>
        <v>773</v>
      </c>
      <c r="CE9" s="2932"/>
      <c r="CF9" s="2932"/>
      <c r="CG9" s="2932"/>
      <c r="CH9" s="3720">
        <f>128*6+5</f>
        <v>773</v>
      </c>
      <c r="CI9" s="2806">
        <v>220000</v>
      </c>
      <c r="CJ9" s="2431">
        <f>128*9+63</f>
        <v>1215</v>
      </c>
      <c r="CK9" s="2725"/>
      <c r="CL9" s="2779">
        <v>23</v>
      </c>
      <c r="CM9" s="93"/>
      <c r="CN9" s="93"/>
      <c r="CO9" s="93"/>
      <c r="CP9" s="93"/>
      <c r="CQ9" s="800" t="s">
        <v>978</v>
      </c>
      <c r="CS9" s="800">
        <v>1</v>
      </c>
      <c r="CT9" s="1889">
        <v>9</v>
      </c>
      <c r="CU9" s="1" t="s">
        <v>551</v>
      </c>
      <c r="IU9" s="499" t="s">
        <v>869</v>
      </c>
      <c r="IV9" s="499">
        <v>0</v>
      </c>
    </row>
    <row r="10" spans="1:256" ht="17.25" thickTop="1" thickBot="1">
      <c r="A10" s="1610">
        <v>53</v>
      </c>
      <c r="B10" s="1863"/>
      <c r="C10" s="1568"/>
      <c r="D10" s="773"/>
      <c r="E10" s="1568"/>
      <c r="F10" s="773"/>
      <c r="G10" s="1567"/>
      <c r="H10" s="773"/>
      <c r="I10" s="1568"/>
      <c r="J10" s="1568"/>
      <c r="K10" s="2366">
        <v>51</v>
      </c>
      <c r="L10" s="773"/>
      <c r="M10" s="2347"/>
      <c r="N10" s="2347"/>
      <c r="O10" s="1567"/>
      <c r="P10" s="773"/>
      <c r="Q10" s="2291"/>
      <c r="R10" s="2291"/>
      <c r="S10" s="498">
        <v>220022</v>
      </c>
      <c r="T10" s="1739">
        <f>220000+128*9+15</f>
        <v>221167</v>
      </c>
      <c r="U10" s="2307"/>
      <c r="V10" s="1756">
        <v>9</v>
      </c>
      <c r="W10" s="1756">
        <v>9</v>
      </c>
      <c r="X10" s="2300"/>
      <c r="Y10" s="2307"/>
      <c r="Z10" s="2303">
        <f>220000+128*9+15</f>
        <v>221167</v>
      </c>
      <c r="AA10" s="2303">
        <v>220000</v>
      </c>
      <c r="AB10" s="2303">
        <f>220000+0.2173</f>
        <v>220000.21729999999</v>
      </c>
      <c r="AC10" s="1606">
        <f>220022+0.137</f>
        <v>220022.13699999999</v>
      </c>
      <c r="AD10" s="1787"/>
      <c r="AE10" s="2778">
        <f>128*10+19</f>
        <v>1299</v>
      </c>
      <c r="AF10" s="1787"/>
      <c r="AG10" s="2774">
        <f>128*4+35</f>
        <v>547</v>
      </c>
      <c r="AH10" s="2305">
        <f>220000+128*9+15</f>
        <v>221167</v>
      </c>
      <c r="AI10" s="2831"/>
      <c r="AJ10" s="3010">
        <f>128*9+65</f>
        <v>1217</v>
      </c>
      <c r="AK10" s="3011">
        <f>128*6+5</f>
        <v>773</v>
      </c>
      <c r="AL10" s="3011">
        <f>128*6+5</f>
        <v>773</v>
      </c>
      <c r="AM10" s="3007">
        <f>128*9+65</f>
        <v>1217</v>
      </c>
      <c r="AN10" s="2831"/>
      <c r="AO10" s="698">
        <v>220022</v>
      </c>
      <c r="AP10" s="1738"/>
      <c r="AQ10" s="3022">
        <v>220022</v>
      </c>
      <c r="AR10" s="2776">
        <f>128*4+39</f>
        <v>551</v>
      </c>
      <c r="AS10" s="2776">
        <f>128*4+39</f>
        <v>551</v>
      </c>
      <c r="AT10" s="3022">
        <v>220022</v>
      </c>
      <c r="AU10" s="1760">
        <f>128*4+39</f>
        <v>551</v>
      </c>
      <c r="AV10" s="3029">
        <f>220000+128*4+39</f>
        <v>220551</v>
      </c>
      <c r="AW10" s="3022">
        <v>220022</v>
      </c>
      <c r="AX10" s="3027">
        <f>220000+128*4+39</f>
        <v>220551</v>
      </c>
      <c r="AY10" s="3027">
        <f>220000+128*4+39</f>
        <v>220551</v>
      </c>
      <c r="AZ10" s="3026">
        <v>220022</v>
      </c>
      <c r="BA10" s="3022">
        <v>220022</v>
      </c>
      <c r="BB10" s="1744"/>
      <c r="BC10" s="3022">
        <v>220022</v>
      </c>
      <c r="BD10" s="3035">
        <f>128*17+4</f>
        <v>2180</v>
      </c>
      <c r="BE10" s="2289">
        <v>220022</v>
      </c>
      <c r="BF10" s="2289">
        <v>220022</v>
      </c>
      <c r="BG10" s="2347"/>
      <c r="BH10" s="773"/>
      <c r="BI10" s="773"/>
      <c r="BJ10" s="773"/>
      <c r="BK10" s="773"/>
      <c r="BL10" s="498">
        <v>220022</v>
      </c>
      <c r="BM10" s="498">
        <v>220022</v>
      </c>
      <c r="BN10" s="498">
        <v>220022</v>
      </c>
      <c r="BO10" s="2330">
        <v>23</v>
      </c>
      <c r="BP10" s="2728"/>
      <c r="BQ10" s="3244">
        <v>9</v>
      </c>
      <c r="BR10" s="3244">
        <v>9</v>
      </c>
      <c r="BS10" s="2729">
        <v>23</v>
      </c>
      <c r="BT10" s="2730">
        <v>23</v>
      </c>
      <c r="BU10" s="2726">
        <v>23</v>
      </c>
      <c r="BV10" s="2929">
        <f>128*4+36</f>
        <v>548</v>
      </c>
      <c r="BW10" s="2929">
        <f>128*4+36</f>
        <v>548</v>
      </c>
      <c r="BX10" s="2726">
        <v>23</v>
      </c>
      <c r="BY10" s="2725"/>
      <c r="BZ10" s="2726">
        <v>23</v>
      </c>
      <c r="CA10" s="2725"/>
      <c r="CB10" s="2793"/>
      <c r="CC10" s="2805">
        <v>220000</v>
      </c>
      <c r="CD10" s="2805">
        <v>220000</v>
      </c>
      <c r="CE10" s="2805">
        <v>220000</v>
      </c>
      <c r="CF10" s="2805">
        <v>220000</v>
      </c>
      <c r="CG10" s="2805">
        <v>220000</v>
      </c>
      <c r="CH10" s="2805">
        <v>220000</v>
      </c>
      <c r="CI10" s="2806">
        <v>220000</v>
      </c>
      <c r="CJ10" s="2725"/>
      <c r="CK10" s="2431">
        <v>0.193</v>
      </c>
      <c r="CL10" s="2779">
        <v>23</v>
      </c>
      <c r="CM10" s="93"/>
      <c r="CN10" s="93"/>
      <c r="CO10" s="93"/>
      <c r="CP10" s="93"/>
      <c r="CQ10" s="800"/>
      <c r="CS10" s="1888">
        <v>2</v>
      </c>
      <c r="CT10" s="1890">
        <v>10</v>
      </c>
      <c r="CU10" s="1" t="s">
        <v>554</v>
      </c>
      <c r="IU10" s="499" t="s">
        <v>868</v>
      </c>
      <c r="IV10" s="499">
        <v>193</v>
      </c>
    </row>
    <row r="11" spans="1:256" ht="17.25" thickTop="1" thickBot="1">
      <c r="A11" s="1893">
        <v>51</v>
      </c>
      <c r="B11" s="2251">
        <v>9</v>
      </c>
      <c r="C11" s="773"/>
      <c r="D11" s="773"/>
      <c r="E11" s="1568"/>
      <c r="F11" s="1568"/>
      <c r="G11" s="1567"/>
      <c r="H11" s="1568"/>
      <c r="I11" s="3714">
        <v>9</v>
      </c>
      <c r="J11" s="773"/>
      <c r="K11" s="773"/>
      <c r="L11" s="1568"/>
      <c r="M11" s="2347"/>
      <c r="N11" s="773"/>
      <c r="O11" s="773"/>
      <c r="P11" s="773"/>
      <c r="Q11" s="2291"/>
      <c r="R11" s="2291"/>
      <c r="S11" s="517">
        <v>220022</v>
      </c>
      <c r="T11" s="498">
        <v>220022</v>
      </c>
      <c r="U11" s="2302"/>
      <c r="V11" s="2302"/>
      <c r="W11" s="2302"/>
      <c r="X11" s="2300"/>
      <c r="Y11" s="2307"/>
      <c r="Z11" s="2300"/>
      <c r="AA11" s="2300"/>
      <c r="AB11" s="2302"/>
      <c r="AC11" s="498">
        <v>220022</v>
      </c>
      <c r="AD11" s="1787"/>
      <c r="AE11" s="1775"/>
      <c r="AF11" s="1787"/>
      <c r="AG11" s="2775"/>
      <c r="AH11" s="2305">
        <f>220000+128*9+15</f>
        <v>221167</v>
      </c>
      <c r="AI11" s="2831"/>
      <c r="AJ11" s="3008">
        <f>128*9+65</f>
        <v>1217</v>
      </c>
      <c r="AK11" s="3013">
        <f>128*6+5+0.5+0.256+0.0072</f>
        <v>773.76319999999998</v>
      </c>
      <c r="AL11" s="3012">
        <f>128*6+5</f>
        <v>773</v>
      </c>
      <c r="AM11" s="3009">
        <f>128*9+65</f>
        <v>1217</v>
      </c>
      <c r="AN11" s="2831"/>
      <c r="AO11" s="498">
        <v>220022</v>
      </c>
      <c r="AP11" s="1738"/>
      <c r="AQ11" s="1738"/>
      <c r="AR11" s="1738"/>
      <c r="AS11" s="1738"/>
      <c r="AT11" s="1738"/>
      <c r="AU11" s="1738"/>
      <c r="AV11" s="2306">
        <v>220000</v>
      </c>
      <c r="AW11" s="2459"/>
      <c r="AX11" s="2459">
        <f>128*10+6</f>
        <v>1286</v>
      </c>
      <c r="AY11" s="2251"/>
      <c r="AZ11" s="3022">
        <v>220022</v>
      </c>
      <c r="BA11" s="3047">
        <f>128*9+26+0.152</f>
        <v>1178.152</v>
      </c>
      <c r="BB11" s="1744">
        <f>128*10+1</f>
        <v>1281</v>
      </c>
      <c r="BC11" s="3149">
        <f>220022+0.123</f>
        <v>220022.12299999999</v>
      </c>
      <c r="BD11" s="3022">
        <v>220022</v>
      </c>
      <c r="BE11" s="3033">
        <f>128*17+6+0.256+0.017</f>
        <v>2182.2729999999997</v>
      </c>
      <c r="BF11" s="791">
        <v>220022</v>
      </c>
      <c r="BG11" s="2347"/>
      <c r="BH11" s="773"/>
      <c r="BI11" s="773"/>
      <c r="BJ11" s="498">
        <v>220022</v>
      </c>
      <c r="BK11" s="498">
        <v>220022</v>
      </c>
      <c r="BL11" s="1567"/>
      <c r="BM11" s="3117">
        <f>128*8+11</f>
        <v>1035</v>
      </c>
      <c r="BN11" s="498">
        <v>220022</v>
      </c>
      <c r="BO11" s="3245">
        <v>23</v>
      </c>
      <c r="BP11" s="2725"/>
      <c r="BQ11" s="2725"/>
      <c r="BR11" s="2725"/>
      <c r="BS11" s="2725"/>
      <c r="BT11" s="2793"/>
      <c r="BU11" s="2725"/>
      <c r="BV11" s="2793"/>
      <c r="BW11" s="1901"/>
      <c r="BX11" s="1901"/>
      <c r="BY11" s="1901"/>
      <c r="BZ11" s="2729">
        <v>23</v>
      </c>
      <c r="CA11" s="2725"/>
      <c r="CB11" s="504">
        <v>29</v>
      </c>
      <c r="CC11" s="2725"/>
      <c r="CD11" s="3261">
        <f>128*6+190</f>
        <v>958</v>
      </c>
      <c r="CE11" s="2725"/>
      <c r="CF11" s="2431">
        <f>128*9+63</f>
        <v>1215</v>
      </c>
      <c r="CG11" s="2725"/>
      <c r="CH11" s="3264">
        <f>128*6+191</f>
        <v>959</v>
      </c>
      <c r="CI11" s="2725"/>
      <c r="CJ11" s="504">
        <v>29</v>
      </c>
      <c r="CK11" s="2725"/>
      <c r="CL11" s="2779">
        <v>23</v>
      </c>
      <c r="CM11" s="93"/>
      <c r="CN11" s="93"/>
      <c r="CO11" s="93"/>
      <c r="CP11" s="93"/>
      <c r="CQ11" s="499"/>
      <c r="CS11" s="1888">
        <v>3</v>
      </c>
      <c r="CT11" s="1890">
        <v>11</v>
      </c>
      <c r="CU11" s="1" t="s">
        <v>158</v>
      </c>
      <c r="IU11" s="499" t="s">
        <v>870</v>
      </c>
      <c r="IV11" s="499">
        <v>160</v>
      </c>
    </row>
    <row r="12" spans="1:256" ht="16.5" thickTop="1">
      <c r="A12" s="1893">
        <v>51</v>
      </c>
      <c r="B12" s="2251">
        <v>9</v>
      </c>
      <c r="C12" s="1568"/>
      <c r="D12" s="772"/>
      <c r="E12" s="1858"/>
      <c r="F12" s="1858"/>
      <c r="G12" s="1610">
        <v>53</v>
      </c>
      <c r="H12" s="1568"/>
      <c r="I12" s="773"/>
      <c r="J12" s="773"/>
      <c r="K12" s="1568"/>
      <c r="L12" s="2347"/>
      <c r="M12" s="2347"/>
      <c r="N12" s="773"/>
      <c r="O12" s="773"/>
      <c r="P12" s="1567"/>
      <c r="Q12" s="2291"/>
      <c r="R12" s="2291"/>
      <c r="S12" s="498">
        <v>220022</v>
      </c>
      <c r="T12" s="498">
        <v>220022</v>
      </c>
      <c r="U12" s="498">
        <v>220022</v>
      </c>
      <c r="V12" s="498">
        <v>220022</v>
      </c>
      <c r="W12" s="498">
        <v>220022</v>
      </c>
      <c r="X12" s="2302"/>
      <c r="Y12" s="2300"/>
      <c r="Z12" s="2300"/>
      <c r="AA12" s="2300"/>
      <c r="AB12" s="2302"/>
      <c r="AC12" s="498">
        <v>220022</v>
      </c>
      <c r="AD12" s="1760">
        <f>128*4+35</f>
        <v>547</v>
      </c>
      <c r="AE12" s="1760">
        <f>128*4+35</f>
        <v>547</v>
      </c>
      <c r="AF12" s="1738"/>
      <c r="AG12" s="1738">
        <v>0.21759999999999999</v>
      </c>
      <c r="AH12" s="498">
        <v>220022</v>
      </c>
      <c r="AI12" s="2831"/>
      <c r="AJ12" s="2831"/>
      <c r="AK12" s="2831"/>
      <c r="AL12" s="2831"/>
      <c r="AM12" s="2831"/>
      <c r="AN12" s="2831"/>
      <c r="AO12" s="498">
        <v>220022</v>
      </c>
      <c r="AP12" s="498">
        <v>220022</v>
      </c>
      <c r="AQ12" s="498">
        <v>220022</v>
      </c>
      <c r="AR12" s="498">
        <v>220022</v>
      </c>
      <c r="AS12" s="498">
        <v>220022</v>
      </c>
      <c r="AT12" s="3022">
        <v>220022</v>
      </c>
      <c r="AU12" s="3022">
        <v>220022</v>
      </c>
      <c r="AV12" s="3022">
        <v>220022</v>
      </c>
      <c r="AW12" s="2459">
        <f>128*10+15</f>
        <v>1295</v>
      </c>
      <c r="AX12" s="3030">
        <f>128*11+29+0.5</f>
        <v>1437.5</v>
      </c>
      <c r="AY12" s="2251">
        <f>128*10+15</f>
        <v>1295</v>
      </c>
      <c r="AZ12" s="3022">
        <v>220022</v>
      </c>
      <c r="BA12" s="3022">
        <v>220022</v>
      </c>
      <c r="BB12" s="3022">
        <v>220022</v>
      </c>
      <c r="BC12" s="3022">
        <v>220022</v>
      </c>
      <c r="BD12" s="3022">
        <v>220022</v>
      </c>
      <c r="BE12" s="1738"/>
      <c r="BF12" s="2289">
        <v>220022</v>
      </c>
      <c r="BG12" s="2347"/>
      <c r="BH12" s="773"/>
      <c r="BI12" s="773"/>
      <c r="BJ12" s="498">
        <v>220022</v>
      </c>
      <c r="BK12" s="773"/>
      <c r="BL12" s="1567"/>
      <c r="BM12" s="773">
        <f>128*10+6</f>
        <v>1286</v>
      </c>
      <c r="BN12" s="504">
        <v>220022</v>
      </c>
      <c r="BO12" s="504">
        <v>29</v>
      </c>
      <c r="BP12" s="504">
        <v>29</v>
      </c>
      <c r="BQ12" s="504">
        <v>29</v>
      </c>
      <c r="BR12" s="2659">
        <v>14</v>
      </c>
      <c r="BS12" s="2794">
        <f>128*9+68</f>
        <v>1220</v>
      </c>
      <c r="BT12" s="2659">
        <v>14</v>
      </c>
      <c r="BU12" s="504">
        <v>29</v>
      </c>
      <c r="BV12" s="504">
        <v>29</v>
      </c>
      <c r="BW12" s="2995">
        <f>220028+0.182</f>
        <v>220028.182</v>
      </c>
      <c r="BX12" s="2779">
        <v>23</v>
      </c>
      <c r="BY12" s="2779">
        <v>23</v>
      </c>
      <c r="BZ12" s="2729">
        <v>23</v>
      </c>
      <c r="CA12" s="2563">
        <f>0.256+0.008</f>
        <v>0.26400000000000001</v>
      </c>
      <c r="CB12" s="2725"/>
      <c r="CC12" s="2725"/>
      <c r="CD12" s="2725"/>
      <c r="CE12" s="2431">
        <v>0.193</v>
      </c>
      <c r="CF12" s="2725"/>
      <c r="CG12" s="2431">
        <f>128*16+64+9</f>
        <v>2121</v>
      </c>
      <c r="CH12" s="2725"/>
      <c r="CI12" s="2431">
        <v>0.19400000000000001</v>
      </c>
      <c r="CJ12" s="2725"/>
      <c r="CK12" s="2686">
        <f>0.256+0.0171</f>
        <v>0.27310000000000001</v>
      </c>
      <c r="CL12" s="2779">
        <v>23</v>
      </c>
      <c r="CM12" s="93"/>
      <c r="CN12" s="93"/>
      <c r="CO12" s="93"/>
      <c r="CP12" s="93"/>
      <c r="CQ12" s="499"/>
      <c r="CS12" s="1888">
        <v>4</v>
      </c>
      <c r="CT12" s="1890">
        <v>12</v>
      </c>
      <c r="CU12" s="1" t="s">
        <v>178</v>
      </c>
      <c r="IU12" s="499" t="s">
        <v>671</v>
      </c>
      <c r="IV12" s="499">
        <v>300</v>
      </c>
    </row>
    <row r="13" spans="1:256" ht="16.5" thickBot="1">
      <c r="A13" s="1893">
        <v>51</v>
      </c>
      <c r="B13" s="773"/>
      <c r="C13" s="772"/>
      <c r="D13" s="1858"/>
      <c r="E13" s="1858"/>
      <c r="F13" s="773"/>
      <c r="G13" s="1893">
        <v>51</v>
      </c>
      <c r="H13" s="1568"/>
      <c r="I13" s="2341">
        <v>9</v>
      </c>
      <c r="J13" s="773"/>
      <c r="K13" s="773"/>
      <c r="L13" s="2347"/>
      <c r="M13" s="773"/>
      <c r="N13" s="773"/>
      <c r="O13" s="773"/>
      <c r="P13" s="773"/>
      <c r="Q13" s="2291"/>
      <c r="R13" s="3717">
        <f>128*4+36</f>
        <v>548</v>
      </c>
      <c r="S13" s="3718">
        <f>220000+128*6+5+0.256+0.05</f>
        <v>220773.30599999998</v>
      </c>
      <c r="T13" s="498">
        <v>220022</v>
      </c>
      <c r="U13" s="517">
        <v>220022</v>
      </c>
      <c r="V13" s="771">
        <v>220022</v>
      </c>
      <c r="W13" s="771">
        <v>220022</v>
      </c>
      <c r="X13" s="2303">
        <f>220000+128*9+15</f>
        <v>221167</v>
      </c>
      <c r="Y13" s="2303">
        <f>220000+128*9+15</f>
        <v>221167</v>
      </c>
      <c r="Z13" s="2303">
        <f>220000+128*9+15</f>
        <v>221167</v>
      </c>
      <c r="AA13" s="2303">
        <f>220000+128*9+15</f>
        <v>221167</v>
      </c>
      <c r="AB13" s="2303">
        <f>220000+128*9+15</f>
        <v>221167</v>
      </c>
      <c r="AC13" s="771">
        <v>220022</v>
      </c>
      <c r="AD13" s="771">
        <v>220022</v>
      </c>
      <c r="AE13" s="2305">
        <f>220000+128*9+15</f>
        <v>221167</v>
      </c>
      <c r="AF13" s="2305">
        <f>220000+128*9+15</f>
        <v>221167</v>
      </c>
      <c r="AG13" s="771">
        <v>220022</v>
      </c>
      <c r="AH13" s="771">
        <v>220022</v>
      </c>
      <c r="AI13" s="771">
        <v>220022</v>
      </c>
      <c r="AJ13" s="771">
        <v>220022</v>
      </c>
      <c r="AK13" s="2305">
        <f>220000+128*9+15</f>
        <v>221167</v>
      </c>
      <c r="AL13" s="2305">
        <f>220000+128*9+15</f>
        <v>221167</v>
      </c>
      <c r="AM13" s="771">
        <v>220022</v>
      </c>
      <c r="AN13" s="771">
        <v>220022</v>
      </c>
      <c r="AO13" s="498">
        <v>220022</v>
      </c>
      <c r="AP13" s="3018">
        <v>0.217</v>
      </c>
      <c r="AQ13" s="3021">
        <f>128*8+2</f>
        <v>1026</v>
      </c>
      <c r="AR13" s="3018"/>
      <c r="AS13" s="3018"/>
      <c r="AT13" s="3018"/>
      <c r="AU13" s="3019">
        <v>0.217</v>
      </c>
      <c r="AV13" s="3022">
        <v>220022</v>
      </c>
      <c r="AW13" s="2459"/>
      <c r="AX13" s="2459">
        <f>128*10+6</f>
        <v>1286</v>
      </c>
      <c r="AY13" s="2251"/>
      <c r="AZ13" s="1739">
        <v>220000</v>
      </c>
      <c r="BA13" s="2776">
        <f>128*4+39</f>
        <v>551</v>
      </c>
      <c r="BB13" s="2776">
        <f>128*4+39</f>
        <v>551</v>
      </c>
      <c r="BC13" s="2776">
        <f>128*4+39</f>
        <v>551</v>
      </c>
      <c r="BD13" s="1738"/>
      <c r="BE13" s="1738"/>
      <c r="BF13" s="791">
        <v>220022</v>
      </c>
      <c r="BG13" s="2347"/>
      <c r="BH13" s="773"/>
      <c r="BI13" s="773"/>
      <c r="BJ13" s="498">
        <v>220022</v>
      </c>
      <c r="BK13" s="1567"/>
      <c r="BL13" s="2701">
        <f>128*6+1</f>
        <v>769</v>
      </c>
      <c r="BM13" s="1567"/>
      <c r="BN13" s="504">
        <v>220022</v>
      </c>
      <c r="BO13" s="504">
        <v>29</v>
      </c>
      <c r="BP13" s="2407">
        <v>0.21779999999999999</v>
      </c>
      <c r="BQ13" s="2407"/>
      <c r="BR13" s="2407"/>
      <c r="BS13" s="2407"/>
      <c r="BT13" s="2407"/>
      <c r="BU13" s="2407"/>
      <c r="BV13" s="2407"/>
      <c r="BW13" s="2963"/>
      <c r="BX13" s="2963"/>
      <c r="BY13" s="2996">
        <f>128*9+64+0.182</f>
        <v>1216.182</v>
      </c>
      <c r="BZ13" s="2994">
        <f>128*10+16</f>
        <v>1296</v>
      </c>
      <c r="CA13" s="2726">
        <v>23</v>
      </c>
      <c r="CB13" s="2729">
        <v>23</v>
      </c>
      <c r="CC13" s="2729">
        <v>23</v>
      </c>
      <c r="CD13" s="2729">
        <v>23</v>
      </c>
      <c r="CE13" s="2729">
        <v>23</v>
      </c>
      <c r="CF13" s="2729">
        <v>23</v>
      </c>
      <c r="CG13" s="2944">
        <f>128*5+52</f>
        <v>692</v>
      </c>
      <c r="CH13" s="2729">
        <v>23</v>
      </c>
      <c r="CI13" s="2729">
        <v>23</v>
      </c>
      <c r="CJ13" s="2729">
        <v>23</v>
      </c>
      <c r="CK13" s="2729">
        <v>23</v>
      </c>
      <c r="CL13" s="2779">
        <v>23</v>
      </c>
      <c r="CM13" s="93"/>
      <c r="CN13" s="93"/>
      <c r="CO13" s="93"/>
      <c r="CP13" s="93"/>
      <c r="CQ13" s="800" t="s">
        <v>980</v>
      </c>
      <c r="CS13" s="800">
        <v>1</v>
      </c>
      <c r="CT13" s="1890">
        <v>13</v>
      </c>
      <c r="CU13" s="1" t="s">
        <v>889</v>
      </c>
      <c r="IU13" s="499" t="s">
        <v>672</v>
      </c>
      <c r="IV13" s="499">
        <v>16</v>
      </c>
    </row>
    <row r="14" spans="1:256" ht="17.25" thickTop="1" thickBot="1">
      <c r="A14" s="499">
        <v>51</v>
      </c>
      <c r="B14" s="1858"/>
      <c r="C14" s="1858"/>
      <c r="D14" s="1858"/>
      <c r="E14" s="773"/>
      <c r="F14" s="773"/>
      <c r="G14" s="773"/>
      <c r="H14" s="1568"/>
      <c r="I14" s="773"/>
      <c r="J14" s="1568"/>
      <c r="K14" s="2347"/>
      <c r="L14" s="2347"/>
      <c r="M14" s="773"/>
      <c r="N14" s="773"/>
      <c r="O14" s="1567"/>
      <c r="P14" s="773"/>
      <c r="Q14" s="2291"/>
      <c r="R14" s="2291"/>
      <c r="S14" s="773"/>
      <c r="T14" s="773"/>
      <c r="U14" s="498">
        <v>220022</v>
      </c>
      <c r="V14" s="498">
        <v>220022</v>
      </c>
      <c r="W14" s="2302"/>
      <c r="X14" s="2300"/>
      <c r="Y14" s="2300"/>
      <c r="Z14" s="2300"/>
      <c r="AA14" s="2300"/>
      <c r="AB14" s="2302"/>
      <c r="AC14" s="498">
        <v>220022</v>
      </c>
      <c r="AD14" s="2302"/>
      <c r="AE14" s="2302"/>
      <c r="AF14" s="2302"/>
      <c r="AG14" s="2302"/>
      <c r="AH14" s="2302"/>
      <c r="AI14" s="2302"/>
      <c r="AJ14" s="2302"/>
      <c r="AK14" s="2302"/>
      <c r="AL14" s="2302"/>
      <c r="AM14" s="2302"/>
      <c r="AN14" s="2302"/>
      <c r="AO14" s="498">
        <v>220022</v>
      </c>
      <c r="AP14" s="1738"/>
      <c r="AQ14" s="1738"/>
      <c r="AR14" s="1738"/>
      <c r="AS14" s="1738"/>
      <c r="AT14" s="1738"/>
      <c r="AU14" s="3019"/>
      <c r="AV14" s="3026">
        <v>220022</v>
      </c>
      <c r="AW14" s="3028">
        <f>220000+128*4+35</f>
        <v>220547</v>
      </c>
      <c r="AX14" s="3028">
        <f>220000+128*4+35</f>
        <v>220547</v>
      </c>
      <c r="AY14" s="3028">
        <f>220000+128*4+35</f>
        <v>220547</v>
      </c>
      <c r="AZ14" s="498">
        <v>220022</v>
      </c>
      <c r="BA14" s="2383">
        <f>128*10+6</f>
        <v>1286</v>
      </c>
      <c r="BB14" s="2383">
        <f>128*10+8</f>
        <v>1288</v>
      </c>
      <c r="BC14" s="2383">
        <f>128*10+15</f>
        <v>1295</v>
      </c>
      <c r="BD14" s="517">
        <v>220022</v>
      </c>
      <c r="BE14" s="2298">
        <v>220022</v>
      </c>
      <c r="BF14" s="2289">
        <v>220022</v>
      </c>
      <c r="BG14" s="2347"/>
      <c r="BH14" s="773"/>
      <c r="BI14" s="773"/>
      <c r="BJ14" s="498">
        <v>220022</v>
      </c>
      <c r="BK14" s="2701">
        <f>128*6+1</f>
        <v>769</v>
      </c>
      <c r="BL14" s="1567"/>
      <c r="BM14" s="773"/>
      <c r="BN14" s="504">
        <v>220022</v>
      </c>
      <c r="BO14" s="504">
        <v>29</v>
      </c>
      <c r="BP14" s="2407"/>
      <c r="BQ14" s="2786">
        <v>280000</v>
      </c>
      <c r="BR14" s="2786">
        <v>280000</v>
      </c>
      <c r="BS14" s="2788">
        <v>280000</v>
      </c>
      <c r="BT14" s="2786">
        <v>280000</v>
      </c>
      <c r="BU14" s="2786">
        <v>280000</v>
      </c>
      <c r="BV14" s="2407">
        <f>128*16+10</f>
        <v>2058</v>
      </c>
      <c r="BW14" s="2963"/>
      <c r="BX14" s="2962"/>
      <c r="BY14" s="2962"/>
      <c r="BZ14" s="2963"/>
      <c r="CA14" s="2986">
        <f>128*9+65</f>
        <v>1217</v>
      </c>
      <c r="CB14" s="2964"/>
      <c r="CC14" s="1901"/>
      <c r="CD14" s="2967">
        <f>128*4+36+0.384+0.002</f>
        <v>548.38599999999997</v>
      </c>
      <c r="CE14" s="2968"/>
      <c r="CF14" s="2968"/>
      <c r="CG14" s="2969">
        <f>128*16+9+0.256+0.001</f>
        <v>2057.2570000000001</v>
      </c>
      <c r="CH14" s="2969"/>
      <c r="CI14" s="2969">
        <v>0.193</v>
      </c>
      <c r="CJ14" s="2969"/>
      <c r="CK14" s="2970"/>
      <c r="CL14" s="2779">
        <v>23</v>
      </c>
      <c r="CM14" s="93"/>
      <c r="CN14" s="93"/>
      <c r="CO14" s="93"/>
      <c r="CP14" s="93"/>
      <c r="CQ14" s="499"/>
      <c r="CS14" s="1888">
        <v>2</v>
      </c>
      <c r="CT14" s="1890">
        <v>14</v>
      </c>
      <c r="CU14" s="1" t="s">
        <v>890</v>
      </c>
      <c r="IU14" s="499" t="s">
        <v>673</v>
      </c>
      <c r="IV14" s="499">
        <v>32</v>
      </c>
    </row>
    <row r="15" spans="1:256" ht="18" thickTop="1" thickBot="1">
      <c r="A15" s="1893">
        <v>51</v>
      </c>
      <c r="B15" s="773"/>
      <c r="C15" s="773"/>
      <c r="D15" s="773"/>
      <c r="E15" s="3714">
        <v>9</v>
      </c>
      <c r="F15" s="773"/>
      <c r="G15" s="2366">
        <v>51</v>
      </c>
      <c r="H15" s="1568"/>
      <c r="I15" s="773"/>
      <c r="J15" s="773"/>
      <c r="K15" s="2347"/>
      <c r="L15" s="773"/>
      <c r="M15" s="773"/>
      <c r="N15" s="1567"/>
      <c r="O15" s="2700">
        <f>128*6+5</f>
        <v>773</v>
      </c>
      <c r="P15" s="773"/>
      <c r="Q15" s="2291"/>
      <c r="R15" s="2291"/>
      <c r="S15" s="773"/>
      <c r="T15" s="773"/>
      <c r="U15" s="2526">
        <f>220000+128*9+84+0.021</f>
        <v>221236.02100000001</v>
      </c>
      <c r="V15" s="2306">
        <f>128*14+12</f>
        <v>1804</v>
      </c>
      <c r="W15" s="2302">
        <v>0.21709999999999999</v>
      </c>
      <c r="X15" s="2300"/>
      <c r="Y15" s="2300"/>
      <c r="Z15" s="2300"/>
      <c r="AA15" s="2300"/>
      <c r="AB15" s="2302">
        <v>0.21709999999999999</v>
      </c>
      <c r="AC15" s="2370">
        <f>220000+128*9+74</f>
        <v>221226</v>
      </c>
      <c r="AD15" s="2302">
        <v>0.21709999999999999</v>
      </c>
      <c r="AE15" s="2300">
        <f>128*9+61</f>
        <v>1213</v>
      </c>
      <c r="AF15" s="2300"/>
      <c r="AG15" s="2300">
        <f>128*9+61</f>
        <v>1213</v>
      </c>
      <c r="AH15" s="2300"/>
      <c r="AI15" s="2300">
        <f>128*9+61</f>
        <v>1213</v>
      </c>
      <c r="AJ15" s="2300"/>
      <c r="AK15" s="2300">
        <f>128*9+61</f>
        <v>1213</v>
      </c>
      <c r="AL15" s="2300"/>
      <c r="AM15" s="2300">
        <f>128*9+61</f>
        <v>1213</v>
      </c>
      <c r="AN15" s="2302">
        <v>0.2175</v>
      </c>
      <c r="AO15" s="498">
        <v>220022</v>
      </c>
      <c r="AP15" s="1738"/>
      <c r="AQ15" s="3014">
        <f>128*9+73+0.5+0.126</f>
        <v>1225.626</v>
      </c>
      <c r="AR15" s="3014">
        <f>128*9+73</f>
        <v>1225</v>
      </c>
      <c r="AS15" s="3015">
        <f>128*9+73+0.5+0.126</f>
        <v>1225.626</v>
      </c>
      <c r="AT15" s="1738"/>
      <c r="AU15" s="3019"/>
      <c r="AV15" s="3022">
        <v>220022</v>
      </c>
      <c r="AW15" s="1738"/>
      <c r="AX15" s="1738"/>
      <c r="AY15" s="1738">
        <v>0.217</v>
      </c>
      <c r="AZ15" s="504">
        <v>220022</v>
      </c>
      <c r="BA15" s="2383">
        <f>128*10+10</f>
        <v>1290</v>
      </c>
      <c r="BB15" s="2491">
        <f>128*9+54+0.214</f>
        <v>1206.2139999999999</v>
      </c>
      <c r="BC15" s="2383">
        <f>128*10+10</f>
        <v>1290</v>
      </c>
      <c r="BD15" s="791">
        <v>220022</v>
      </c>
      <c r="BE15" s="773">
        <f>128*10+15</f>
        <v>1295</v>
      </c>
      <c r="BF15" s="773"/>
      <c r="BG15" s="2347"/>
      <c r="BH15" s="773"/>
      <c r="BI15" s="773"/>
      <c r="BJ15" s="498">
        <v>220022</v>
      </c>
      <c r="BK15" s="773"/>
      <c r="BL15" s="773"/>
      <c r="BM15" s="773"/>
      <c r="BN15" s="504">
        <v>220022</v>
      </c>
      <c r="BO15" s="504">
        <v>29</v>
      </c>
      <c r="BP15" s="2407"/>
      <c r="BQ15" s="2787">
        <v>280000</v>
      </c>
      <c r="BR15" s="2792">
        <f>128*6+5</f>
        <v>773</v>
      </c>
      <c r="BS15" s="2783">
        <v>6.0100000000000001E-2</v>
      </c>
      <c r="BT15" s="2791">
        <f>128*6+5</f>
        <v>773</v>
      </c>
      <c r="BU15" s="2787">
        <v>280000</v>
      </c>
      <c r="BV15" s="2407">
        <f>128*16+10</f>
        <v>2058</v>
      </c>
      <c r="BW15" s="2959"/>
      <c r="BX15" s="2962"/>
      <c r="BY15" s="2962"/>
      <c r="BZ15" s="2988">
        <f>128*9+65+0.5+0.256+0.015</f>
        <v>1217.7710000000002</v>
      </c>
      <c r="CA15" s="2962"/>
      <c r="CB15" s="2987">
        <f>128*9+65+0.5+0.256+0.006</f>
        <v>1217.7620000000002</v>
      </c>
      <c r="CC15" s="1901"/>
      <c r="CD15" s="2968"/>
      <c r="CE15" s="2971"/>
      <c r="CF15" s="2972"/>
      <c r="CG15" s="2972"/>
      <c r="CH15" s="2972"/>
      <c r="CI15" s="2972"/>
      <c r="CJ15" s="2973"/>
      <c r="CK15" s="2974"/>
      <c r="CL15" s="2779">
        <v>23</v>
      </c>
      <c r="CM15" s="93"/>
      <c r="CN15" s="93"/>
      <c r="CO15" s="93"/>
      <c r="CP15" s="93"/>
      <c r="CS15" s="1888">
        <v>3</v>
      </c>
      <c r="CT15" s="1890">
        <v>15</v>
      </c>
      <c r="CU15" s="1" t="s">
        <v>445</v>
      </c>
      <c r="IU15" s="499" t="s">
        <v>710</v>
      </c>
      <c r="IV15" s="499">
        <v>20</v>
      </c>
    </row>
    <row r="16" spans="1:256" ht="17.25" thickTop="1" thickBot="1">
      <c r="A16" s="1893">
        <v>51</v>
      </c>
      <c r="B16" s="773"/>
      <c r="C16" s="773">
        <v>1.9E-3</v>
      </c>
      <c r="D16" s="773"/>
      <c r="E16" s="773"/>
      <c r="F16" s="773"/>
      <c r="G16" s="773"/>
      <c r="H16" s="773"/>
      <c r="I16" s="773"/>
      <c r="J16" s="2347"/>
      <c r="K16" s="2347"/>
      <c r="L16" s="773"/>
      <c r="M16" s="773"/>
      <c r="N16" s="773"/>
      <c r="O16" s="773"/>
      <c r="P16" s="2293">
        <f>128*9+50</f>
        <v>1202</v>
      </c>
      <c r="Q16" s="2291">
        <f>128*9+8</f>
        <v>1160</v>
      </c>
      <c r="R16" s="2291">
        <f>128*9+8</f>
        <v>1160</v>
      </c>
      <c r="S16" s="2292">
        <f>128*9+50</f>
        <v>1202</v>
      </c>
      <c r="T16" s="3254">
        <f>128*17+8</f>
        <v>2184</v>
      </c>
      <c r="U16" s="2527">
        <f>220000+128*9+84+0.021</f>
        <v>221236.02100000001</v>
      </c>
      <c r="V16" s="2306">
        <f>128*14+12</f>
        <v>1804</v>
      </c>
      <c r="W16" s="2307"/>
      <c r="X16" s="2304">
        <f>128*10+39</f>
        <v>1319</v>
      </c>
      <c r="Y16" s="2300"/>
      <c r="Z16" s="2299"/>
      <c r="AA16" s="2304">
        <f>128*10+39</f>
        <v>1319</v>
      </c>
      <c r="AB16" s="2302"/>
      <c r="AC16" s="2369"/>
      <c r="AD16" s="2302"/>
      <c r="AE16" s="2299"/>
      <c r="AF16" s="2299"/>
      <c r="AG16" s="2299"/>
      <c r="AH16" s="2304">
        <f>128*10+39</f>
        <v>1319</v>
      </c>
      <c r="AI16" s="2300"/>
      <c r="AJ16" s="2300"/>
      <c r="AK16" s="2299"/>
      <c r="AL16" s="2304">
        <f>128*10+39</f>
        <v>1319</v>
      </c>
      <c r="AM16" s="2300"/>
      <c r="AN16" s="2302"/>
      <c r="AO16" s="2796">
        <f>220000+128*5+52</f>
        <v>220692</v>
      </c>
      <c r="AP16" s="1738">
        <f>128*16+11</f>
        <v>2059</v>
      </c>
      <c r="AQ16" s="3016">
        <f>128*9+73</f>
        <v>1225</v>
      </c>
      <c r="AR16" s="3721">
        <f>128*9+6+0.5+0.256+0.016</f>
        <v>1158.7720000000002</v>
      </c>
      <c r="AS16" s="3017">
        <f>128*9+73</f>
        <v>1225</v>
      </c>
      <c r="AT16" s="1738"/>
      <c r="AU16" s="3031">
        <f>128*17+64+10</f>
        <v>2250</v>
      </c>
      <c r="AV16" s="3020">
        <f>128*5+52</f>
        <v>692</v>
      </c>
      <c r="AW16" s="2454">
        <f>128*11+28</f>
        <v>1436</v>
      </c>
      <c r="AX16" s="2774">
        <f>128*9+54+0.214</f>
        <v>1206.2139999999999</v>
      </c>
      <c r="AY16" s="3025">
        <f>128*11+30+0.5</f>
        <v>1438.5</v>
      </c>
      <c r="AZ16" s="3023">
        <f>128*5+36</f>
        <v>676</v>
      </c>
      <c r="BA16" s="2573">
        <f>128*9+54+0.214</f>
        <v>1206.2139999999999</v>
      </c>
      <c r="BB16" s="1607">
        <f>128*11+23+0.256+0.038</f>
        <v>1431.2940000000001</v>
      </c>
      <c r="BC16" s="3024">
        <f>128*9+54+0.214</f>
        <v>1206.2139999999999</v>
      </c>
      <c r="BD16" s="3036">
        <f>220000+128*5+52</f>
        <v>220692</v>
      </c>
      <c r="BE16" s="773"/>
      <c r="BF16" s="2700">
        <f>128*6+5</f>
        <v>773</v>
      </c>
      <c r="BG16" s="773"/>
      <c r="BH16" s="773"/>
      <c r="BI16" s="773"/>
      <c r="BJ16" s="498">
        <v>220022</v>
      </c>
      <c r="BK16" s="773">
        <f>128*10+17</f>
        <v>1297</v>
      </c>
      <c r="BL16" s="504">
        <v>14</v>
      </c>
      <c r="BM16" s="757">
        <f>128+14</f>
        <v>142</v>
      </c>
      <c r="BN16" s="1377">
        <f>220000+128+14+0.137</f>
        <v>220142.13699999999</v>
      </c>
      <c r="BO16" s="2999">
        <f>128*17+10</f>
        <v>2186</v>
      </c>
      <c r="BP16" s="2407"/>
      <c r="BQ16" s="2789">
        <v>280000</v>
      </c>
      <c r="BR16" s="2784">
        <v>6.0699999999999997E-2</v>
      </c>
      <c r="BS16" s="2790">
        <f>128*9+64+0.5+0.256+0.0333</f>
        <v>1216.7893000000001</v>
      </c>
      <c r="BT16" s="2782">
        <v>6.0299999999999999E-2</v>
      </c>
      <c r="BU16" s="2789">
        <v>280000</v>
      </c>
      <c r="BV16" s="2407">
        <f>128*16+10</f>
        <v>2058</v>
      </c>
      <c r="BW16" s="2959"/>
      <c r="BX16" s="2962"/>
      <c r="BY16" s="2991">
        <f>128*9+65</f>
        <v>1217</v>
      </c>
      <c r="BZ16" s="2962"/>
      <c r="CA16" s="2989">
        <f>128*9+65+0.5+0.384+0.002</f>
        <v>1217.886</v>
      </c>
      <c r="CB16" s="2965"/>
      <c r="CC16" s="2966"/>
      <c r="CD16" s="2975"/>
      <c r="CE16" s="2976"/>
      <c r="CF16" s="2977"/>
      <c r="CG16" s="2977"/>
      <c r="CH16" s="2978">
        <f>128*10+5+0.1393</f>
        <v>1285.1393</v>
      </c>
      <c r="CI16" s="2978"/>
      <c r="CJ16" s="2979"/>
      <c r="CK16" s="2974">
        <f>128*6+194</f>
        <v>962</v>
      </c>
      <c r="CL16" s="2779">
        <v>23</v>
      </c>
      <c r="CM16" s="93"/>
      <c r="CN16" s="93"/>
      <c r="CO16" s="93"/>
      <c r="CP16" s="93"/>
      <c r="CS16" s="1888">
        <v>4</v>
      </c>
      <c r="CT16" s="1890">
        <v>16</v>
      </c>
      <c r="CU16" t="s">
        <v>504</v>
      </c>
      <c r="IU16" s="499" t="s">
        <v>711</v>
      </c>
      <c r="IV16" s="499">
        <v>32</v>
      </c>
    </row>
    <row r="17" spans="1:256" ht="17.25" thickTop="1" thickBot="1">
      <c r="A17" s="1893">
        <v>51</v>
      </c>
      <c r="B17" s="773"/>
      <c r="C17" s="773"/>
      <c r="D17" s="773"/>
      <c r="E17" s="773"/>
      <c r="F17" s="2251">
        <v>9</v>
      </c>
      <c r="G17" s="773"/>
      <c r="H17" s="1568"/>
      <c r="I17" s="2347"/>
      <c r="J17" s="2347"/>
      <c r="K17" s="773"/>
      <c r="L17" s="773"/>
      <c r="M17" s="1567"/>
      <c r="N17" s="773"/>
      <c r="O17" s="2700">
        <f>128*6+5</f>
        <v>773</v>
      </c>
      <c r="P17" s="773"/>
      <c r="Q17" s="2291"/>
      <c r="R17" s="2291"/>
      <c r="S17" s="773"/>
      <c r="T17" s="773"/>
      <c r="U17" s="2526">
        <f>220000+128*9+84+0.021</f>
        <v>221236.02100000001</v>
      </c>
      <c r="V17" s="2306">
        <f>128*14+12</f>
        <v>1804</v>
      </c>
      <c r="W17" s="2302">
        <f>0.2175</f>
        <v>0.2175</v>
      </c>
      <c r="X17" s="2300"/>
      <c r="Y17" s="2300"/>
      <c r="Z17" s="2300"/>
      <c r="AA17" s="2300"/>
      <c r="AB17" s="2302">
        <v>0.2175</v>
      </c>
      <c r="AC17" s="2723">
        <f>220000+128*9+74</f>
        <v>221226</v>
      </c>
      <c r="AD17" s="2302">
        <v>0.2175</v>
      </c>
      <c r="AE17" s="2300">
        <f>128*9+61</f>
        <v>1213</v>
      </c>
      <c r="AF17" s="2300"/>
      <c r="AG17" s="2300">
        <f>128*9+61</f>
        <v>1213</v>
      </c>
      <c r="AH17" s="2300"/>
      <c r="AI17" s="2300">
        <f>128*9+61</f>
        <v>1213</v>
      </c>
      <c r="AJ17" s="2300"/>
      <c r="AK17" s="2300">
        <f>128*9+61</f>
        <v>1213</v>
      </c>
      <c r="AL17" s="2300"/>
      <c r="AM17" s="2300">
        <f>128*9+61</f>
        <v>1213</v>
      </c>
      <c r="AN17" s="2302">
        <v>0.21709999999999999</v>
      </c>
      <c r="AO17" s="498">
        <v>220022</v>
      </c>
      <c r="AP17" s="1738"/>
      <c r="AQ17" s="3016">
        <f>128*9+73+0.5+0.126</f>
        <v>1225.626</v>
      </c>
      <c r="AR17" s="3016">
        <f>128*9+73</f>
        <v>1225</v>
      </c>
      <c r="AS17" s="3017">
        <f>128*9+73+0.5+0.126</f>
        <v>1225.626</v>
      </c>
      <c r="AT17" s="1738"/>
      <c r="AU17" s="3019"/>
      <c r="AV17" s="3022">
        <v>220022</v>
      </c>
      <c r="AW17" s="1738"/>
      <c r="AX17" s="1738"/>
      <c r="AY17" s="1738">
        <v>0.217</v>
      </c>
      <c r="AZ17" s="504">
        <v>220022</v>
      </c>
      <c r="BA17" s="2383">
        <f>128*10+10</f>
        <v>1290</v>
      </c>
      <c r="BB17" s="2510">
        <f>128*9+54+0.214</f>
        <v>1206.2139999999999</v>
      </c>
      <c r="BC17" s="2383">
        <f>128*10+10</f>
        <v>1290</v>
      </c>
      <c r="BD17" s="791">
        <v>220022</v>
      </c>
      <c r="BE17" s="773">
        <f>128*10+15</f>
        <v>1295</v>
      </c>
      <c r="BF17" s="773"/>
      <c r="BG17" s="2347"/>
      <c r="BH17" s="773"/>
      <c r="BI17" s="773"/>
      <c r="BJ17" s="498">
        <v>220022</v>
      </c>
      <c r="BK17" s="1567"/>
      <c r="BL17" s="773"/>
      <c r="BM17" s="1567"/>
      <c r="BN17" s="504">
        <v>220022</v>
      </c>
      <c r="BO17" s="504">
        <v>29</v>
      </c>
      <c r="BP17" s="2407"/>
      <c r="BQ17" s="2787">
        <v>280000</v>
      </c>
      <c r="BR17" s="2700">
        <f>128*6+5</f>
        <v>773</v>
      </c>
      <c r="BS17" s="2785">
        <v>6.0499999999999998E-2</v>
      </c>
      <c r="BT17" s="2791">
        <f>128*6+5</f>
        <v>773</v>
      </c>
      <c r="BU17" s="2787">
        <v>280000</v>
      </c>
      <c r="BV17" s="2407">
        <f>128*16+10</f>
        <v>2058</v>
      </c>
      <c r="BW17" s="2959"/>
      <c r="BX17" s="2962"/>
      <c r="BY17" s="2962"/>
      <c r="BZ17" s="2962"/>
      <c r="CA17" s="2990">
        <f>128*9+65</f>
        <v>1217</v>
      </c>
      <c r="CB17" s="2965"/>
      <c r="CC17" s="1901"/>
      <c r="CD17" s="2968"/>
      <c r="CE17" s="2980"/>
      <c r="CF17" s="3263">
        <f>128*6+190</f>
        <v>958</v>
      </c>
      <c r="CG17" s="2977"/>
      <c r="CH17" s="2981"/>
      <c r="CI17" s="2981"/>
      <c r="CJ17" s="3256">
        <v>0.19120000000000001</v>
      </c>
      <c r="CK17" s="2974"/>
      <c r="CL17" s="2779">
        <v>23</v>
      </c>
      <c r="CM17" s="93"/>
      <c r="CN17" s="93"/>
      <c r="CO17" s="93"/>
      <c r="CP17" s="93"/>
      <c r="CQ17" s="1" t="s">
        <v>1049</v>
      </c>
      <c r="CS17" s="1891"/>
      <c r="CT17" s="1890">
        <v>1</v>
      </c>
      <c r="IU17" s="499" t="s">
        <v>632</v>
      </c>
      <c r="IV17" s="499" t="s">
        <v>88</v>
      </c>
    </row>
    <row r="18" spans="1:256" ht="17.25" thickTop="1" thickBot="1">
      <c r="A18" s="1893">
        <v>51</v>
      </c>
      <c r="B18" s="773"/>
      <c r="C18" s="773"/>
      <c r="D18" s="773"/>
      <c r="E18" s="773">
        <v>1.9E-3</v>
      </c>
      <c r="F18" s="773"/>
      <c r="G18" s="773"/>
      <c r="H18" s="2347"/>
      <c r="I18" s="2347"/>
      <c r="J18" s="773"/>
      <c r="K18" s="773"/>
      <c r="L18" s="773"/>
      <c r="M18" s="773"/>
      <c r="N18" s="773"/>
      <c r="O18" s="1567"/>
      <c r="P18" s="773"/>
      <c r="Q18" s="2362"/>
      <c r="R18" s="2362"/>
      <c r="S18" s="773"/>
      <c r="T18" s="773"/>
      <c r="U18" s="498">
        <v>220022</v>
      </c>
      <c r="V18" s="498">
        <v>220022</v>
      </c>
      <c r="W18" s="2302"/>
      <c r="X18" s="2300"/>
      <c r="Y18" s="2300"/>
      <c r="Z18" s="2300"/>
      <c r="AA18" s="2300"/>
      <c r="AB18" s="2302"/>
      <c r="AC18" s="498">
        <v>220022</v>
      </c>
      <c r="AD18" s="2302"/>
      <c r="AE18" s="2302"/>
      <c r="AF18" s="2302"/>
      <c r="AG18" s="2302"/>
      <c r="AH18" s="2302"/>
      <c r="AI18" s="2302"/>
      <c r="AJ18" s="2302"/>
      <c r="AK18" s="2302"/>
      <c r="AL18" s="2302"/>
      <c r="AM18" s="2302"/>
      <c r="AN18" s="2302"/>
      <c r="AO18" s="498">
        <v>220022</v>
      </c>
      <c r="AP18" s="1738"/>
      <c r="AQ18" s="1738"/>
      <c r="AR18" s="1738"/>
      <c r="AS18" s="1738"/>
      <c r="AT18" s="1738"/>
      <c r="AU18" s="3019"/>
      <c r="AV18" s="3022">
        <v>220022</v>
      </c>
      <c r="AW18" s="1760">
        <f>128*4+35</f>
        <v>547</v>
      </c>
      <c r="AX18" s="1760">
        <f>128*4+35</f>
        <v>547</v>
      </c>
      <c r="AY18" s="1760">
        <f>128*4+35</f>
        <v>547</v>
      </c>
      <c r="AZ18" s="504">
        <v>220022</v>
      </c>
      <c r="BA18" s="2383">
        <f>128*10+6</f>
        <v>1286</v>
      </c>
      <c r="BB18" s="2383">
        <f>128*10+8</f>
        <v>1288</v>
      </c>
      <c r="BC18" s="2383">
        <f>128*10+15</f>
        <v>1295</v>
      </c>
      <c r="BD18" s="517">
        <v>220022</v>
      </c>
      <c r="BE18" s="2298">
        <v>220022</v>
      </c>
      <c r="BF18" s="2289">
        <v>220022</v>
      </c>
      <c r="BG18" s="2347"/>
      <c r="BH18" s="773"/>
      <c r="BI18" s="773"/>
      <c r="BJ18" s="498">
        <v>220022</v>
      </c>
      <c r="BK18" s="1567"/>
      <c r="BL18" s="773">
        <f>128*6+1</f>
        <v>769</v>
      </c>
      <c r="BM18" s="773"/>
      <c r="BN18" s="504">
        <v>220022</v>
      </c>
      <c r="BO18" s="504">
        <v>29</v>
      </c>
      <c r="BP18" s="2407"/>
      <c r="BQ18" s="2787">
        <v>280000</v>
      </c>
      <c r="BR18" s="2786">
        <v>280000</v>
      </c>
      <c r="BS18" s="2788">
        <v>280000</v>
      </c>
      <c r="BT18" s="2786">
        <v>280000</v>
      </c>
      <c r="BU18" s="2787">
        <v>280000</v>
      </c>
      <c r="BV18" s="2407">
        <f>128*16+10</f>
        <v>2058</v>
      </c>
      <c r="BW18" s="2963"/>
      <c r="BX18" s="2962"/>
      <c r="BY18" s="2962"/>
      <c r="BZ18" s="2992">
        <f>128*9+65+0.5+0.384+0.002</f>
        <v>1217.886</v>
      </c>
      <c r="CA18" s="2962"/>
      <c r="CB18" s="2988">
        <f>128*9+65</f>
        <v>1217</v>
      </c>
      <c r="CC18" s="1901"/>
      <c r="CD18" s="2982"/>
      <c r="CE18" s="2983"/>
      <c r="CF18" s="2983">
        <v>0.193</v>
      </c>
      <c r="CG18" s="2984"/>
      <c r="CH18" s="2984"/>
      <c r="CI18" s="2984"/>
      <c r="CJ18" s="2979"/>
      <c r="CK18" s="2974"/>
      <c r="CL18" s="2779">
        <v>23</v>
      </c>
      <c r="CM18" s="93"/>
      <c r="CN18" s="93"/>
      <c r="CO18" s="93"/>
      <c r="CP18" s="93"/>
      <c r="CQ18" s="1" t="s">
        <v>1051</v>
      </c>
      <c r="CS18" s="1888">
        <v>1</v>
      </c>
      <c r="CT18" s="1891">
        <v>261409.29399999999</v>
      </c>
      <c r="IU18" s="499" t="s">
        <v>855</v>
      </c>
      <c r="IV18" s="499" t="s">
        <v>854</v>
      </c>
    </row>
    <row r="19" spans="1:256" ht="17.25" thickTop="1" thickBot="1">
      <c r="A19" s="1893">
        <v>51</v>
      </c>
      <c r="B19" s="773"/>
      <c r="C19" s="773"/>
      <c r="D19" s="773"/>
      <c r="E19" s="773"/>
      <c r="F19" s="1568"/>
      <c r="G19" s="2347"/>
      <c r="H19" s="2347"/>
      <c r="I19" s="773"/>
      <c r="J19" s="773"/>
      <c r="K19" s="773"/>
      <c r="L19" s="773"/>
      <c r="M19" s="1567"/>
      <c r="N19" s="773"/>
      <c r="O19" s="773"/>
      <c r="P19" s="3252">
        <f>128*17+4</f>
        <v>2180</v>
      </c>
      <c r="Q19" s="2291"/>
      <c r="R19" s="3717">
        <f>128*4+36</f>
        <v>548</v>
      </c>
      <c r="S19" s="3718">
        <f>220000+128*6+5+0.256+0.05</f>
        <v>220773.30599999998</v>
      </c>
      <c r="T19" s="498">
        <v>220022</v>
      </c>
      <c r="U19" s="517">
        <v>220022</v>
      </c>
      <c r="V19" s="771">
        <v>220022</v>
      </c>
      <c r="W19" s="771">
        <v>220022</v>
      </c>
      <c r="X19" s="2303">
        <f>220000+128*9+15</f>
        <v>221167</v>
      </c>
      <c r="Y19" s="2303">
        <f>220000+128*9+15</f>
        <v>221167</v>
      </c>
      <c r="Z19" s="2303">
        <f>220000+128*9+15</f>
        <v>221167</v>
      </c>
      <c r="AA19" s="2303">
        <f>220000+128*9+15</f>
        <v>221167</v>
      </c>
      <c r="AB19" s="2303">
        <f>220000+128*9+15</f>
        <v>221167</v>
      </c>
      <c r="AC19" s="771">
        <v>220022</v>
      </c>
      <c r="AD19" s="771">
        <v>220022</v>
      </c>
      <c r="AE19" s="2305">
        <f>220000+128*9+15</f>
        <v>221167</v>
      </c>
      <c r="AF19" s="2305">
        <f>220000+128*9+15</f>
        <v>221167</v>
      </c>
      <c r="AG19" s="771">
        <v>220022</v>
      </c>
      <c r="AH19" s="771">
        <v>220022</v>
      </c>
      <c r="AI19" s="771">
        <v>220022</v>
      </c>
      <c r="AJ19" s="771">
        <v>220022</v>
      </c>
      <c r="AK19" s="2305">
        <f>220000+128*9+15</f>
        <v>221167</v>
      </c>
      <c r="AL19" s="2305">
        <f>220000+128*9+15</f>
        <v>221167</v>
      </c>
      <c r="AM19" s="771">
        <v>220022</v>
      </c>
      <c r="AN19" s="771">
        <v>220022</v>
      </c>
      <c r="AO19" s="498">
        <v>220022</v>
      </c>
      <c r="AP19" s="3018">
        <v>0.217</v>
      </c>
      <c r="AQ19" s="3018"/>
      <c r="AR19" s="3032">
        <f>128*17+64+11</f>
        <v>2251</v>
      </c>
      <c r="AS19" s="3018"/>
      <c r="AT19" s="3018"/>
      <c r="AU19" s="3019">
        <v>0.217</v>
      </c>
      <c r="AV19" s="3022">
        <v>220022</v>
      </c>
      <c r="AW19" s="1738">
        <v>0.217</v>
      </c>
      <c r="AX19" s="1738"/>
      <c r="AY19" s="1738">
        <v>0.217</v>
      </c>
      <c r="AZ19" s="3148">
        <f>220022+0.175</f>
        <v>220022.17499999999</v>
      </c>
      <c r="BA19" s="1760">
        <f>128*4+39</f>
        <v>551</v>
      </c>
      <c r="BB19" s="1760">
        <f>128*4+39</f>
        <v>551</v>
      </c>
      <c r="BC19" s="1760">
        <f>128*4+39</f>
        <v>551</v>
      </c>
      <c r="BD19" s="1738"/>
      <c r="BE19" s="1738"/>
      <c r="BF19" s="791">
        <v>220022</v>
      </c>
      <c r="BG19" s="2347"/>
      <c r="BH19" s="773"/>
      <c r="BI19" s="773"/>
      <c r="BJ19" s="498">
        <v>220022</v>
      </c>
      <c r="BK19" s="773"/>
      <c r="BL19" s="1567"/>
      <c r="BM19" s="773"/>
      <c r="BN19" s="504">
        <v>220022</v>
      </c>
      <c r="BO19" s="504">
        <v>29</v>
      </c>
      <c r="BP19" s="2407">
        <v>0.21759999999999999</v>
      </c>
      <c r="BQ19" s="2407"/>
      <c r="BR19" s="2407"/>
      <c r="BS19" s="2407"/>
      <c r="BT19" s="2780"/>
      <c r="BU19" s="2780"/>
      <c r="BV19" s="2407"/>
      <c r="BW19" s="2962"/>
      <c r="BX19" s="2997">
        <f>128*9+64+0.182</f>
        <v>1216.182</v>
      </c>
      <c r="BY19" s="2962"/>
      <c r="BZ19" s="2962"/>
      <c r="CA19" s="2987">
        <f>128*9+65+0.5+0.256+0.006</f>
        <v>1217.7620000000002</v>
      </c>
      <c r="CB19" s="2965"/>
      <c r="CC19" s="1901"/>
      <c r="CD19" s="2982"/>
      <c r="CE19" s="2968"/>
      <c r="CF19" s="2968"/>
      <c r="CG19" s="2968"/>
      <c r="CH19" s="2968">
        <v>0.19209999999999999</v>
      </c>
      <c r="CI19" s="2968"/>
      <c r="CJ19" s="2968"/>
      <c r="CK19" s="2985"/>
      <c r="CL19" s="2779">
        <v>23</v>
      </c>
      <c r="CM19" s="93"/>
      <c r="CN19" s="93"/>
      <c r="CO19" s="93"/>
      <c r="CP19" s="93"/>
      <c r="CS19" s="1888">
        <v>2</v>
      </c>
      <c r="CT19" s="1891">
        <v>261410.29399999999</v>
      </c>
      <c r="IU19" s="499" t="s">
        <v>857</v>
      </c>
      <c r="IV19" s="499" t="s">
        <v>856</v>
      </c>
    </row>
    <row r="20" spans="1:256" ht="16.5" thickTop="1">
      <c r="A20" s="1893">
        <v>51</v>
      </c>
      <c r="B20" s="773"/>
      <c r="C20" s="773"/>
      <c r="D20" s="773"/>
      <c r="E20" s="773"/>
      <c r="F20" s="2347"/>
      <c r="G20" s="2347"/>
      <c r="H20" s="773"/>
      <c r="I20" s="773"/>
      <c r="J20" s="773"/>
      <c r="K20" s="1567"/>
      <c r="L20" s="773"/>
      <c r="M20" s="773"/>
      <c r="N20" s="773"/>
      <c r="O20" s="773"/>
      <c r="P20" s="3253">
        <f>128*17+4</f>
        <v>2180</v>
      </c>
      <c r="Q20" s="2291"/>
      <c r="R20" s="2291"/>
      <c r="S20" s="498">
        <v>220022</v>
      </c>
      <c r="T20" s="498">
        <v>220022</v>
      </c>
      <c r="U20" s="498">
        <v>220022</v>
      </c>
      <c r="V20" s="498">
        <v>220022</v>
      </c>
      <c r="W20" s="498">
        <v>220022</v>
      </c>
      <c r="X20" s="2302"/>
      <c r="Y20" s="2300"/>
      <c r="Z20" s="2300"/>
      <c r="AA20" s="2300"/>
      <c r="AB20" s="2302"/>
      <c r="AC20" s="498">
        <v>220022</v>
      </c>
      <c r="AD20" s="1738"/>
      <c r="AE20" s="1738"/>
      <c r="AF20" s="1738"/>
      <c r="AG20" s="1738">
        <v>0.2172</v>
      </c>
      <c r="AH20" s="498">
        <v>220022</v>
      </c>
      <c r="AI20" s="2831">
        <f>128*9+14</f>
        <v>1166</v>
      </c>
      <c r="AJ20" s="2831"/>
      <c r="AK20" s="2831"/>
      <c r="AL20" s="2831"/>
      <c r="AM20" s="2831"/>
      <c r="AN20" s="2835">
        <f>128*9+14</f>
        <v>1166</v>
      </c>
      <c r="AO20" s="498">
        <v>220022</v>
      </c>
      <c r="AP20" s="498">
        <v>220022</v>
      </c>
      <c r="AQ20" s="498">
        <v>220022</v>
      </c>
      <c r="AR20" s="498">
        <v>220022</v>
      </c>
      <c r="AS20" s="498">
        <v>220022</v>
      </c>
      <c r="AT20" s="3022">
        <v>220022</v>
      </c>
      <c r="AU20" s="3022">
        <v>220022</v>
      </c>
      <c r="AV20" s="3022">
        <v>220022</v>
      </c>
      <c r="AW20" s="1738"/>
      <c r="AX20" s="1760">
        <f>128*11+28+0.5</f>
        <v>1436.5</v>
      </c>
      <c r="AY20" s="1738"/>
      <c r="AZ20" s="3022">
        <v>220022</v>
      </c>
      <c r="BA20" s="3022">
        <v>220022</v>
      </c>
      <c r="BB20" s="3022">
        <v>220022</v>
      </c>
      <c r="BC20" s="3022">
        <v>220022</v>
      </c>
      <c r="BD20" s="3022">
        <v>220022</v>
      </c>
      <c r="BE20" s="1738"/>
      <c r="BF20" s="2289">
        <v>220022</v>
      </c>
      <c r="BG20" s="2347"/>
      <c r="BH20" s="773"/>
      <c r="BI20" s="773"/>
      <c r="BJ20" s="498">
        <v>220022</v>
      </c>
      <c r="BK20" s="1567"/>
      <c r="BL20" s="1567"/>
      <c r="BM20" s="773">
        <f>128*10+15</f>
        <v>1295</v>
      </c>
      <c r="BN20" s="504">
        <v>220022</v>
      </c>
      <c r="BO20" s="504">
        <v>29</v>
      </c>
      <c r="BP20" s="2781">
        <f>128*4+36</f>
        <v>548</v>
      </c>
      <c r="BQ20" s="2781">
        <f>128*4+36</f>
        <v>548</v>
      </c>
      <c r="BR20" s="2454">
        <v>29</v>
      </c>
      <c r="BS20" s="2781">
        <f>128*4+36</f>
        <v>548</v>
      </c>
      <c r="BT20" s="2454">
        <v>29</v>
      </c>
      <c r="BU20" s="2781">
        <f>128*4+36</f>
        <v>548</v>
      </c>
      <c r="BV20" s="2781">
        <f>128*4+36</f>
        <v>548</v>
      </c>
      <c r="BW20" s="2454">
        <v>29</v>
      </c>
      <c r="BX20" s="2779">
        <v>220022</v>
      </c>
      <c r="BY20" s="2779">
        <v>220022</v>
      </c>
      <c r="BZ20" s="2779">
        <v>220022</v>
      </c>
      <c r="CA20" s="2993">
        <v>220022</v>
      </c>
      <c r="CB20" s="2993">
        <v>220022</v>
      </c>
      <c r="CC20" s="498">
        <v>220022</v>
      </c>
      <c r="CD20" s="498">
        <v>220022</v>
      </c>
      <c r="CE20" s="498">
        <v>220022</v>
      </c>
      <c r="CF20" s="498">
        <v>220022</v>
      </c>
      <c r="CG20" s="498">
        <v>220022</v>
      </c>
      <c r="CH20" s="498">
        <v>220022</v>
      </c>
      <c r="CI20" s="498">
        <v>220022</v>
      </c>
      <c r="CJ20" s="498">
        <v>220022</v>
      </c>
      <c r="CK20" s="498">
        <v>220022</v>
      </c>
      <c r="CL20" s="498">
        <v>220022</v>
      </c>
      <c r="CS20" s="1888">
        <v>3</v>
      </c>
      <c r="CT20" t="s">
        <v>505</v>
      </c>
      <c r="IU20" s="499" t="s">
        <v>859</v>
      </c>
      <c r="IV20" s="499" t="s">
        <v>858</v>
      </c>
    </row>
    <row r="21" spans="1:256" ht="17.25" thickBot="1">
      <c r="A21" s="1893">
        <v>51</v>
      </c>
      <c r="B21" s="773"/>
      <c r="C21" s="773">
        <v>1.9E-3</v>
      </c>
      <c r="D21" s="773"/>
      <c r="E21" s="773"/>
      <c r="F21" s="2347"/>
      <c r="G21" s="2347"/>
      <c r="H21" s="773"/>
      <c r="I21" s="773"/>
      <c r="J21" s="773"/>
      <c r="K21" s="773"/>
      <c r="L21" s="773"/>
      <c r="M21" s="773"/>
      <c r="N21" s="773"/>
      <c r="O21" s="773"/>
      <c r="P21" s="773"/>
      <c r="Q21" s="2291"/>
      <c r="R21" s="2291"/>
      <c r="S21" s="517">
        <v>220022</v>
      </c>
      <c r="T21" s="791">
        <v>220022</v>
      </c>
      <c r="U21" s="2302"/>
      <c r="V21" s="2302"/>
      <c r="W21" s="2302"/>
      <c r="X21" s="2300"/>
      <c r="Y21" s="2300"/>
      <c r="Z21" s="2300"/>
      <c r="AA21" s="2300"/>
      <c r="AB21" s="2302"/>
      <c r="AC21" s="498">
        <v>220022</v>
      </c>
      <c r="AD21" s="1776">
        <f>128*9+50</f>
        <v>1202</v>
      </c>
      <c r="AE21" s="2724">
        <f>0.5+0.256+0.0314</f>
        <v>0.78739999999999999</v>
      </c>
      <c r="AF21" s="1775"/>
      <c r="AG21" s="1738"/>
      <c r="AH21" s="2305">
        <f>220000+128*9+15</f>
        <v>221167</v>
      </c>
      <c r="AI21" s="2831"/>
      <c r="AJ21" s="2299"/>
      <c r="AK21" s="2299"/>
      <c r="AL21" s="3006">
        <f>128*9+50</f>
        <v>1202</v>
      </c>
      <c r="AM21" s="3005">
        <f>128*9+51</f>
        <v>1203</v>
      </c>
      <c r="AN21" s="2831">
        <f>128*9+8+0.5+0.256+0.009</f>
        <v>1160.7650000000001</v>
      </c>
      <c r="AO21" s="498">
        <v>220022</v>
      </c>
      <c r="AP21" s="498">
        <v>220022</v>
      </c>
      <c r="AQ21" s="3033">
        <f>128*17+10</f>
        <v>2186</v>
      </c>
      <c r="AR21" s="3022">
        <v>220022</v>
      </c>
      <c r="AS21" s="1738"/>
      <c r="AT21" s="1738"/>
      <c r="AU21" s="1738">
        <v>0.2172</v>
      </c>
      <c r="AV21" s="3022">
        <v>220022</v>
      </c>
      <c r="AW21" s="1738">
        <f>128*10+6</f>
        <v>1286</v>
      </c>
      <c r="AX21" s="1738"/>
      <c r="AY21" s="1738"/>
      <c r="AZ21" s="1738"/>
      <c r="BA21" s="1738"/>
      <c r="BB21" s="1738"/>
      <c r="BC21" s="1738"/>
      <c r="BD21" s="3025">
        <f>128*4+39</f>
        <v>551</v>
      </c>
      <c r="BE21" s="1738"/>
      <c r="BF21" s="791">
        <v>220022</v>
      </c>
      <c r="BG21" s="2347"/>
      <c r="BH21" s="773"/>
      <c r="BI21" s="773"/>
      <c r="BJ21" s="498">
        <v>220022</v>
      </c>
      <c r="BK21" s="498">
        <v>220022</v>
      </c>
      <c r="BL21" s="2354">
        <f>128*6+1</f>
        <v>769</v>
      </c>
      <c r="BM21" s="1052">
        <f>128*8+2</f>
        <v>1026</v>
      </c>
      <c r="BN21" s="504">
        <v>220022</v>
      </c>
      <c r="BO21" s="1901"/>
      <c r="BP21" s="1901"/>
      <c r="BQ21" s="1901"/>
      <c r="BR21" s="1901"/>
      <c r="BS21" s="1901"/>
      <c r="BT21" s="1901"/>
      <c r="BU21" s="1901"/>
      <c r="BV21" s="1901"/>
      <c r="BW21" s="1901"/>
      <c r="BX21" s="1901"/>
      <c r="BY21" s="2454">
        <v>15</v>
      </c>
      <c r="BZ21" s="504">
        <v>220022</v>
      </c>
      <c r="CA21" s="2738">
        <v>1.4E-3</v>
      </c>
      <c r="CB21" s="2465"/>
      <c r="CC21" s="2431">
        <f>128*9+25</f>
        <v>1177</v>
      </c>
      <c r="CD21" s="2760">
        <f>128*6+1</f>
        <v>769</v>
      </c>
      <c r="CE21" s="2739">
        <f>128*6+1</f>
        <v>769</v>
      </c>
      <c r="CF21" s="2465"/>
      <c r="CG21" s="2465"/>
      <c r="CH21" s="2464">
        <f>128*6+17</f>
        <v>785</v>
      </c>
      <c r="CI21" s="498">
        <v>220024</v>
      </c>
      <c r="CJ21" s="2464">
        <v>1.7000000000000001E-2</v>
      </c>
      <c r="CK21" s="2464">
        <v>1.7000000000000001E-2</v>
      </c>
      <c r="CL21" s="498">
        <v>220022</v>
      </c>
      <c r="CS21" s="1888">
        <v>4</v>
      </c>
      <c r="CT21" t="s">
        <v>508</v>
      </c>
      <c r="IU21" s="499" t="s">
        <v>861</v>
      </c>
      <c r="IV21" s="499" t="s">
        <v>860</v>
      </c>
    </row>
    <row r="22" spans="1:256" ht="17.25" thickTop="1" thickBot="1">
      <c r="A22" s="1893">
        <v>51</v>
      </c>
      <c r="B22" s="773"/>
      <c r="C22" s="773"/>
      <c r="D22" s="773"/>
      <c r="E22" s="1568"/>
      <c r="F22" s="2347"/>
      <c r="G22" s="2347"/>
      <c r="H22" s="773"/>
      <c r="I22" s="1567"/>
      <c r="J22" s="773"/>
      <c r="K22" s="773"/>
      <c r="L22" s="773"/>
      <c r="M22" s="773"/>
      <c r="N22" s="1567"/>
      <c r="O22" s="773"/>
      <c r="P22" s="1567"/>
      <c r="Q22" s="2291"/>
      <c r="R22" s="2291"/>
      <c r="S22" s="498">
        <v>220022</v>
      </c>
      <c r="T22" s="791">
        <v>220022</v>
      </c>
      <c r="U22" s="2307"/>
      <c r="V22" s="1538">
        <v>26</v>
      </c>
      <c r="W22" s="2345">
        <v>26</v>
      </c>
      <c r="X22" s="2300"/>
      <c r="Y22" s="2302"/>
      <c r="Z22" s="2302"/>
      <c r="AA22" s="2302"/>
      <c r="AB22" s="2302">
        <v>0.21740000000000001</v>
      </c>
      <c r="AC22" s="2640">
        <v>220022</v>
      </c>
      <c r="AD22" s="1738">
        <f>128*9+8</f>
        <v>1160</v>
      </c>
      <c r="AE22" s="1787"/>
      <c r="AF22" s="1787"/>
      <c r="AG22" s="1738"/>
      <c r="AH22" s="2305">
        <f>220000+128*9+15</f>
        <v>221167</v>
      </c>
      <c r="AI22" s="2831"/>
      <c r="AJ22" s="2299"/>
      <c r="AK22" s="3005">
        <f>128*9+50</f>
        <v>1202</v>
      </c>
      <c r="AL22" s="3005">
        <f>128*9+8+0.256+0.02</f>
        <v>1160.2760000000001</v>
      </c>
      <c r="AM22" s="3004"/>
      <c r="AN22" s="2831">
        <f>128*9+8</f>
        <v>1160</v>
      </c>
      <c r="AO22" s="698">
        <f>220022+0.126</f>
        <v>220022.12599999999</v>
      </c>
      <c r="AP22" s="1948">
        <f>128*11+29</f>
        <v>1437</v>
      </c>
      <c r="AQ22" s="1738"/>
      <c r="AR22" s="3022">
        <v>220022</v>
      </c>
      <c r="AS22" s="1738"/>
      <c r="AT22" s="3022">
        <v>220022</v>
      </c>
      <c r="AU22" s="1738"/>
      <c r="AV22" s="3022">
        <v>220022</v>
      </c>
      <c r="AW22" s="3022">
        <v>220022</v>
      </c>
      <c r="AX22" s="3022">
        <v>220022</v>
      </c>
      <c r="AY22" s="3022">
        <v>220022</v>
      </c>
      <c r="AZ22" s="3022">
        <v>220022</v>
      </c>
      <c r="BA22" s="1738"/>
      <c r="BB22" s="3022">
        <v>220022</v>
      </c>
      <c r="BC22" s="3022">
        <v>220022</v>
      </c>
      <c r="BD22" s="3022">
        <v>220022</v>
      </c>
      <c r="BE22" s="1738"/>
      <c r="BF22" s="2289">
        <v>220022</v>
      </c>
      <c r="BG22" s="2347"/>
      <c r="BH22" s="1567"/>
      <c r="BI22" s="773"/>
      <c r="BJ22" s="773"/>
      <c r="BK22" s="773"/>
      <c r="BL22" s="498">
        <v>220022</v>
      </c>
      <c r="BM22" s="498">
        <v>220022</v>
      </c>
      <c r="BN22" s="498">
        <v>220022</v>
      </c>
      <c r="BO22" s="2725"/>
      <c r="BP22" s="2731">
        <v>26</v>
      </c>
      <c r="BQ22" s="2726">
        <v>26</v>
      </c>
      <c r="BR22" s="2736">
        <v>15</v>
      </c>
      <c r="BS22" s="2736">
        <v>15</v>
      </c>
      <c r="BT22" s="2736">
        <v>15</v>
      </c>
      <c r="BU22" s="2736">
        <v>15</v>
      </c>
      <c r="BV22" s="2736">
        <v>15</v>
      </c>
      <c r="BW22" s="2736">
        <v>15</v>
      </c>
      <c r="BX22" s="2734">
        <v>0.21729999999999999</v>
      </c>
      <c r="BY22" s="2734">
        <v>15</v>
      </c>
      <c r="BZ22" s="498">
        <v>220022</v>
      </c>
      <c r="CA22" s="2751">
        <f>128*6+5</f>
        <v>773</v>
      </c>
      <c r="CB22" s="2741">
        <f>128*6+17</f>
        <v>785</v>
      </c>
      <c r="CC22" s="2743"/>
      <c r="CD22" s="2743"/>
      <c r="CE22" s="2742"/>
      <c r="CF22" s="2741">
        <f>128*6+17</f>
        <v>785</v>
      </c>
      <c r="CG22" s="2751">
        <f>128*6+5</f>
        <v>773</v>
      </c>
      <c r="CH22" s="2464">
        <v>1.7000000000000001E-2</v>
      </c>
      <c r="CI22" s="2465"/>
      <c r="CJ22" s="2756">
        <v>1E-3</v>
      </c>
      <c r="CK22" s="2464">
        <v>1.7000000000000001E-2</v>
      </c>
      <c r="CL22" s="498">
        <v>220022</v>
      </c>
      <c r="CS22" s="1888">
        <v>5</v>
      </c>
      <c r="CT22" t="s">
        <v>510</v>
      </c>
      <c r="IU22" s="499" t="s">
        <v>863</v>
      </c>
      <c r="IV22" s="499" t="s">
        <v>862</v>
      </c>
    </row>
    <row r="23" spans="1:256" ht="17.25" thickTop="1">
      <c r="A23" s="1893">
        <v>51</v>
      </c>
      <c r="B23" s="773"/>
      <c r="C23" s="773"/>
      <c r="D23" s="1568"/>
      <c r="E23" s="773"/>
      <c r="F23" s="2347"/>
      <c r="G23" s="2347"/>
      <c r="H23" s="773"/>
      <c r="I23" s="773"/>
      <c r="J23" s="773"/>
      <c r="K23" s="773"/>
      <c r="L23" s="1567"/>
      <c r="M23" s="773"/>
      <c r="N23" s="773"/>
      <c r="O23" s="773"/>
      <c r="P23" s="773"/>
      <c r="Q23" s="2291"/>
      <c r="R23" s="2291"/>
      <c r="S23" s="517">
        <v>220022</v>
      </c>
      <c r="T23" s="791">
        <v>220022</v>
      </c>
      <c r="U23" s="2307"/>
      <c r="V23" s="2308">
        <f>260000+128*11+2+0.256+0.038</f>
        <v>261410.29399999999</v>
      </c>
      <c r="W23" s="2357">
        <v>26</v>
      </c>
      <c r="X23" s="2313"/>
      <c r="Y23" s="2310">
        <v>220022</v>
      </c>
      <c r="Z23" s="2311">
        <v>220022</v>
      </c>
      <c r="AA23" s="2311">
        <v>220022</v>
      </c>
      <c r="AB23" s="2311">
        <v>220022</v>
      </c>
      <c r="AC23" s="2640">
        <v>220022</v>
      </c>
      <c r="AD23" s="1738">
        <f>128*9+8+0.5+0.256+0.015</f>
        <v>1160.7710000000002</v>
      </c>
      <c r="AE23" s="1738">
        <f>128*9+8</f>
        <v>1160</v>
      </c>
      <c r="AF23" s="1784">
        <f>128*9+50</f>
        <v>1202</v>
      </c>
      <c r="AG23" s="1738"/>
      <c r="AH23" s="498">
        <v>220022</v>
      </c>
      <c r="AI23" s="2834">
        <f>128*9+14</f>
        <v>1166</v>
      </c>
      <c r="AJ23" s="2299"/>
      <c r="AK23" s="2299"/>
      <c r="AL23" s="2299"/>
      <c r="AM23" s="2299"/>
      <c r="AN23" s="2836">
        <f>128*9+14</f>
        <v>1166</v>
      </c>
      <c r="AO23" s="498">
        <v>220022</v>
      </c>
      <c r="AP23" s="2298">
        <v>220022</v>
      </c>
      <c r="AQ23" s="1738"/>
      <c r="AR23" s="1738"/>
      <c r="AS23" s="1738"/>
      <c r="AT23" s="3022">
        <v>220022</v>
      </c>
      <c r="AU23" s="1738"/>
      <c r="AV23" s="1738"/>
      <c r="AW23" s="1738"/>
      <c r="AX23" s="1738"/>
      <c r="AY23" s="3022">
        <v>220022</v>
      </c>
      <c r="AZ23" s="1738"/>
      <c r="BA23" s="1738"/>
      <c r="BB23" s="1738"/>
      <c r="BC23" s="3022">
        <v>220022</v>
      </c>
      <c r="BD23" s="3034">
        <f>128*17+11</f>
        <v>2187</v>
      </c>
      <c r="BE23" s="1738"/>
      <c r="BF23" s="791">
        <v>220022</v>
      </c>
      <c r="BG23" s="2347"/>
      <c r="BH23" s="773"/>
      <c r="BI23" s="773"/>
      <c r="BJ23" s="773"/>
      <c r="BK23" s="773"/>
      <c r="BL23" s="773"/>
      <c r="BM23" s="773"/>
      <c r="BN23" s="498">
        <v>220022</v>
      </c>
      <c r="BO23" s="2725"/>
      <c r="BP23" s="2358">
        <v>26</v>
      </c>
      <c r="BQ23" s="2308">
        <f>260000+128*11+2+0.256+0.038</f>
        <v>261410.29399999999</v>
      </c>
      <c r="BR23" s="1738"/>
      <c r="BS23" s="2359">
        <f>128*14+10</f>
        <v>1802</v>
      </c>
      <c r="BT23" s="2312"/>
      <c r="BU23" s="2312"/>
      <c r="BV23" s="2312"/>
      <c r="BW23" s="2312"/>
      <c r="BX23" s="2309"/>
      <c r="BY23" s="2734">
        <v>15</v>
      </c>
      <c r="BZ23" s="498">
        <v>220022</v>
      </c>
      <c r="CA23" s="2464"/>
      <c r="CB23" s="2760">
        <f>128*6+1</f>
        <v>769</v>
      </c>
      <c r="CC23" s="2743"/>
      <c r="CD23" s="2464">
        <f>128*6+17</f>
        <v>785</v>
      </c>
      <c r="CE23" s="2743"/>
      <c r="CF23" s="2743"/>
      <c r="CG23" s="2927">
        <f>128*17+64+10</f>
        <v>2250</v>
      </c>
      <c r="CH23" s="2464">
        <v>1.6999999999999999E-3</v>
      </c>
      <c r="CI23" s="2752">
        <f>128*12+5</f>
        <v>1541</v>
      </c>
      <c r="CJ23" s="2740">
        <f>128*14+9</f>
        <v>1801</v>
      </c>
      <c r="CK23" s="2765">
        <f>128*9+33+0.114</f>
        <v>1185.114</v>
      </c>
      <c r="CL23" s="498">
        <v>220022</v>
      </c>
      <c r="CS23" s="1888">
        <v>6</v>
      </c>
      <c r="CT23" t="s">
        <v>512</v>
      </c>
      <c r="IU23" s="499" t="s">
        <v>864</v>
      </c>
      <c r="IV23" s="499" t="s">
        <v>1052</v>
      </c>
    </row>
    <row r="24" spans="1:256" ht="15.75">
      <c r="A24" s="1893">
        <v>51</v>
      </c>
      <c r="B24" s="773"/>
      <c r="C24" s="773"/>
      <c r="D24" s="1568"/>
      <c r="E24" s="773"/>
      <c r="F24" s="2347"/>
      <c r="G24" s="2347"/>
      <c r="H24" s="773"/>
      <c r="I24" s="773"/>
      <c r="J24" s="773"/>
      <c r="K24" s="773"/>
      <c r="L24" s="773"/>
      <c r="M24" s="773"/>
      <c r="N24" s="773"/>
      <c r="O24" s="773"/>
      <c r="P24" s="1567"/>
      <c r="Q24" s="2291"/>
      <c r="R24" s="2291"/>
      <c r="S24" s="498">
        <v>220022</v>
      </c>
      <c r="T24" s="791">
        <v>220022</v>
      </c>
      <c r="U24" s="2307"/>
      <c r="V24" s="1788">
        <v>26</v>
      </c>
      <c r="W24" s="2345">
        <v>26</v>
      </c>
      <c r="X24" s="2299"/>
      <c r="Y24" s="2310">
        <v>220022</v>
      </c>
      <c r="Z24" s="2690">
        <v>220022</v>
      </c>
      <c r="AA24" s="545">
        <v>220022</v>
      </c>
      <c r="AB24" s="2298">
        <v>220022</v>
      </c>
      <c r="AC24" s="517">
        <v>220022</v>
      </c>
      <c r="AD24" s="2298">
        <v>220022</v>
      </c>
      <c r="AE24" s="517">
        <v>220022</v>
      </c>
      <c r="AF24" s="2298">
        <v>220022</v>
      </c>
      <c r="AG24" s="517">
        <v>220022</v>
      </c>
      <c r="AH24" s="771">
        <v>220022</v>
      </c>
      <c r="AI24" s="2832">
        <f t="shared" ref="AI24:AN24" si="1">220000+128*9+15</f>
        <v>221167</v>
      </c>
      <c r="AJ24" s="2832">
        <f t="shared" si="1"/>
        <v>221167</v>
      </c>
      <c r="AK24" s="2832">
        <f t="shared" si="1"/>
        <v>221167</v>
      </c>
      <c r="AL24" s="2832">
        <f t="shared" si="1"/>
        <v>221167</v>
      </c>
      <c r="AM24" s="2832">
        <f t="shared" si="1"/>
        <v>221167</v>
      </c>
      <c r="AN24" s="2833">
        <f t="shared" si="1"/>
        <v>221167</v>
      </c>
      <c r="AO24" s="498">
        <v>220022</v>
      </c>
      <c r="AP24" s="2298">
        <v>220022</v>
      </c>
      <c r="AQ24" s="517">
        <v>220022</v>
      </c>
      <c r="AR24" s="2298">
        <v>220022</v>
      </c>
      <c r="AS24" s="517">
        <v>220022</v>
      </c>
      <c r="AT24" s="2298">
        <v>220022</v>
      </c>
      <c r="AU24" s="517">
        <v>220022</v>
      </c>
      <c r="AV24" s="2298">
        <v>220022</v>
      </c>
      <c r="AW24" s="517">
        <v>220022</v>
      </c>
      <c r="AX24" s="1738"/>
      <c r="AY24" s="3022">
        <v>220022</v>
      </c>
      <c r="AZ24" s="1738"/>
      <c r="BA24" s="3022">
        <v>220022</v>
      </c>
      <c r="BB24" s="1738"/>
      <c r="BC24" s="3022">
        <v>220022</v>
      </c>
      <c r="BD24" s="1738"/>
      <c r="BE24" s="1738"/>
      <c r="BF24" s="2289">
        <v>220022</v>
      </c>
      <c r="BG24" s="2347"/>
      <c r="BH24" s="773"/>
      <c r="BI24" s="773"/>
      <c r="BJ24" s="773"/>
      <c r="BK24" s="773"/>
      <c r="BL24" s="773"/>
      <c r="BM24" s="773"/>
      <c r="BN24" s="498">
        <v>220022</v>
      </c>
      <c r="BO24" s="2431"/>
      <c r="BP24" s="2732">
        <v>26</v>
      </c>
      <c r="BQ24" s="2733">
        <v>26</v>
      </c>
      <c r="BR24" s="2734">
        <v>15</v>
      </c>
      <c r="BS24" s="2734">
        <v>15</v>
      </c>
      <c r="BT24" s="2735">
        <f>128*4+36</f>
        <v>548</v>
      </c>
      <c r="BU24" s="2735">
        <f>128*4+36</f>
        <v>548</v>
      </c>
      <c r="BV24" s="2734">
        <v>15</v>
      </c>
      <c r="BW24" s="2734">
        <v>15</v>
      </c>
      <c r="BX24" s="2737">
        <f>128*4+36+0.2173</f>
        <v>548.21730000000002</v>
      </c>
      <c r="BY24" s="2734">
        <v>15</v>
      </c>
      <c r="BZ24" s="498">
        <v>220022</v>
      </c>
      <c r="CA24" s="2464"/>
      <c r="CB24" s="2464">
        <f>128*6+17</f>
        <v>785</v>
      </c>
      <c r="CC24" s="2742"/>
      <c r="CD24" s="2431">
        <f>128*9+25</f>
        <v>1177</v>
      </c>
      <c r="CE24" s="2739">
        <f>128*6+1</f>
        <v>769</v>
      </c>
      <c r="CF24" s="2741"/>
      <c r="CG24" s="2742"/>
      <c r="CH24" s="2464">
        <v>1.77E-2</v>
      </c>
      <c r="CI24" s="2744">
        <f>128*12+6</f>
        <v>1542</v>
      </c>
      <c r="CJ24" s="2464"/>
      <c r="CK24" s="2740">
        <f>128*6+1</f>
        <v>769</v>
      </c>
      <c r="CL24" s="498">
        <v>220022</v>
      </c>
      <c r="CS24" s="1888">
        <v>7</v>
      </c>
      <c r="CT24" t="s">
        <v>513</v>
      </c>
      <c r="IU24" s="499" t="s">
        <v>865</v>
      </c>
      <c r="IV24" s="499" t="s">
        <v>1053</v>
      </c>
    </row>
    <row r="25" spans="1:256" ht="15.75">
      <c r="A25" s="1893">
        <v>51</v>
      </c>
      <c r="B25" s="773"/>
      <c r="C25" s="3198">
        <v>150015</v>
      </c>
      <c r="D25" s="2296">
        <v>150000</v>
      </c>
      <c r="E25" s="773"/>
      <c r="F25" s="2347"/>
      <c r="G25" s="773"/>
      <c r="H25" s="2295">
        <v>150000</v>
      </c>
      <c r="I25" s="3196">
        <v>150015</v>
      </c>
      <c r="J25" s="773"/>
      <c r="K25" s="773"/>
      <c r="L25" s="773">
        <f>128*6+139+0.256+0.0271</f>
        <v>907.28309999999999</v>
      </c>
      <c r="M25" s="773">
        <f>0.256+0.0017</f>
        <v>0.25769999999999998</v>
      </c>
      <c r="N25" s="1567"/>
      <c r="O25" s="773"/>
      <c r="P25" s="773"/>
      <c r="Q25" s="2291"/>
      <c r="R25" s="2291"/>
      <c r="S25" s="517">
        <v>220022</v>
      </c>
      <c r="T25" s="791">
        <v>220022</v>
      </c>
      <c r="U25" s="2302"/>
      <c r="V25" s="2302"/>
      <c r="W25" s="2302"/>
      <c r="X25" s="2302"/>
      <c r="Y25" s="951">
        <v>220022</v>
      </c>
      <c r="Z25" s="791">
        <v>220022</v>
      </c>
      <c r="AA25" s="2347"/>
      <c r="AB25" s="2347"/>
      <c r="AC25" s="2347"/>
      <c r="AD25" s="2347"/>
      <c r="AE25" s="2347"/>
      <c r="AF25" s="2347"/>
      <c r="AG25" s="2347"/>
      <c r="AH25" s="517">
        <v>220022</v>
      </c>
      <c r="AI25" s="1738"/>
      <c r="AJ25" s="1738">
        <f>0.0097</f>
        <v>9.7000000000000003E-3</v>
      </c>
      <c r="AK25" s="1738"/>
      <c r="AL25" s="1738"/>
      <c r="AM25" s="1738">
        <f>128*10+15</f>
        <v>1295</v>
      </c>
      <c r="AN25" s="1738"/>
      <c r="AO25" s="2289">
        <v>220022</v>
      </c>
      <c r="AP25" s="2347"/>
      <c r="AQ25" s="2347"/>
      <c r="AR25" s="2347"/>
      <c r="AS25" s="2347"/>
      <c r="AT25" s="2347"/>
      <c r="AU25" s="2347"/>
      <c r="AV25" s="2290"/>
      <c r="AW25" s="498">
        <v>220022</v>
      </c>
      <c r="AX25" s="1738"/>
      <c r="AY25" s="1738"/>
      <c r="AZ25" s="1738"/>
      <c r="BA25" s="3022">
        <v>220022</v>
      </c>
      <c r="BB25" s="1738"/>
      <c r="BC25" s="1738"/>
      <c r="BD25" s="1738"/>
      <c r="BE25" s="1738">
        <v>0.21740000000000001</v>
      </c>
      <c r="BF25" s="791">
        <v>220022</v>
      </c>
      <c r="BG25" s="2347"/>
      <c r="BH25" s="773"/>
      <c r="BI25" s="773"/>
      <c r="BJ25" s="1567"/>
      <c r="BK25" s="773"/>
      <c r="BL25" s="773"/>
      <c r="BM25" s="773"/>
      <c r="BN25" s="498">
        <v>220022</v>
      </c>
      <c r="BO25" s="2431"/>
      <c r="BP25" s="2431"/>
      <c r="BQ25" s="2431"/>
      <c r="BR25" s="2431"/>
      <c r="BS25" s="2431"/>
      <c r="BT25" s="2431"/>
      <c r="BU25" s="2431"/>
      <c r="BV25" s="2431"/>
      <c r="BW25" s="2431"/>
      <c r="BX25" s="2431">
        <f>128*6+139+0.256+0.0267</f>
        <v>907.28269999999998</v>
      </c>
      <c r="BY25" s="2431"/>
      <c r="BZ25" s="2801">
        <f>128*5+47</f>
        <v>687</v>
      </c>
      <c r="CA25" s="2926">
        <f>128*17+12</f>
        <v>2188</v>
      </c>
      <c r="CB25" s="2742"/>
      <c r="CC25" s="2743"/>
      <c r="CD25" s="2755">
        <f>128*6+17</f>
        <v>785</v>
      </c>
      <c r="CE25" s="2439"/>
      <c r="CF25" s="2741">
        <v>1.7500000000000002E-2</v>
      </c>
      <c r="CG25" s="2743"/>
      <c r="CH25" s="2464">
        <v>1E-3</v>
      </c>
      <c r="CI25" s="2464"/>
      <c r="CJ25" s="2464">
        <v>1.7000000000000001E-2</v>
      </c>
      <c r="CK25" s="2464"/>
      <c r="CL25" s="498">
        <v>220022</v>
      </c>
      <c r="CS25" s="1888">
        <v>8</v>
      </c>
      <c r="CT25" t="s">
        <v>514</v>
      </c>
      <c r="IU25" s="499" t="s">
        <v>1003</v>
      </c>
      <c r="IV25" s="499" t="s">
        <v>1002</v>
      </c>
    </row>
    <row r="26" spans="1:256">
      <c r="A26" s="1893">
        <v>51</v>
      </c>
      <c r="B26" s="773"/>
      <c r="C26" s="773"/>
      <c r="D26" s="773"/>
      <c r="E26" s="2347"/>
      <c r="F26" s="2347"/>
      <c r="G26" s="773"/>
      <c r="H26" s="773"/>
      <c r="I26" s="1567"/>
      <c r="J26" s="773"/>
      <c r="K26" s="773"/>
      <c r="L26" s="773"/>
      <c r="M26" s="773"/>
      <c r="N26" s="773"/>
      <c r="O26" s="773"/>
      <c r="P26" s="773"/>
      <c r="Q26" s="2291"/>
      <c r="R26" s="2291"/>
      <c r="S26" s="498">
        <v>220022</v>
      </c>
      <c r="T26" s="498">
        <v>220022</v>
      </c>
      <c r="U26" s="498">
        <v>220022</v>
      </c>
      <c r="V26" s="498">
        <v>220022</v>
      </c>
      <c r="W26" s="498">
        <v>220022</v>
      </c>
      <c r="X26" s="498">
        <v>220022</v>
      </c>
      <c r="Y26" s="498">
        <v>220022</v>
      </c>
      <c r="Z26" s="2289">
        <v>220022</v>
      </c>
      <c r="AA26" s="2347"/>
      <c r="AB26" s="773"/>
      <c r="AC26" s="773"/>
      <c r="AD26" s="773"/>
      <c r="AE26" s="773"/>
      <c r="AF26" s="773"/>
      <c r="AG26" s="2347"/>
      <c r="AH26" s="517">
        <v>220022</v>
      </c>
      <c r="AI26" s="2298">
        <v>220022</v>
      </c>
      <c r="AJ26" s="517">
        <v>220022</v>
      </c>
      <c r="AK26" s="2298">
        <v>220022</v>
      </c>
      <c r="AL26" s="517">
        <v>220022</v>
      </c>
      <c r="AM26" s="2298">
        <v>220022</v>
      </c>
      <c r="AN26" s="517">
        <v>220022</v>
      </c>
      <c r="AO26" s="791">
        <v>220022</v>
      </c>
      <c r="AP26" s="2347"/>
      <c r="AQ26" s="773"/>
      <c r="AR26" s="773"/>
      <c r="AS26" s="773"/>
      <c r="AT26" s="773"/>
      <c r="AU26" s="773"/>
      <c r="AV26" s="2347"/>
      <c r="AW26" s="517">
        <v>220022</v>
      </c>
      <c r="AX26" s="2298">
        <v>220022</v>
      </c>
      <c r="AY26" s="2298">
        <v>220022</v>
      </c>
      <c r="AZ26" s="517">
        <v>220022</v>
      </c>
      <c r="BA26" s="2298">
        <v>220022</v>
      </c>
      <c r="BB26" s="517">
        <v>220022</v>
      </c>
      <c r="BC26" s="2298">
        <v>220022</v>
      </c>
      <c r="BD26" s="517">
        <v>220022</v>
      </c>
      <c r="BE26" s="2298">
        <v>220022</v>
      </c>
      <c r="BF26" s="2289">
        <v>220022</v>
      </c>
      <c r="BG26" s="2347"/>
      <c r="BH26" s="773"/>
      <c r="BI26" s="773"/>
      <c r="BJ26" s="773"/>
      <c r="BK26" s="773"/>
      <c r="BL26" s="773"/>
      <c r="BM26" s="773"/>
      <c r="BN26" s="498">
        <v>220022</v>
      </c>
      <c r="BO26" s="2431"/>
      <c r="BP26" s="2431"/>
      <c r="BQ26" s="2431"/>
      <c r="BR26" s="2431"/>
      <c r="BS26" s="2431"/>
      <c r="BT26" s="2431"/>
      <c r="BU26" s="2431"/>
      <c r="BV26" s="2431"/>
      <c r="BW26" s="2431"/>
      <c r="BX26" s="2431"/>
      <c r="BY26" s="2734">
        <v>0.21740000000000001</v>
      </c>
      <c r="BZ26" s="498">
        <v>220022</v>
      </c>
      <c r="CA26" s="2756">
        <v>1.1999999999999999E-3</v>
      </c>
      <c r="CB26" s="2464">
        <f>128*6+17</f>
        <v>785</v>
      </c>
      <c r="CC26" s="2761">
        <f>128*6+1</f>
        <v>769</v>
      </c>
      <c r="CD26" s="2439"/>
      <c r="CE26" s="2439"/>
      <c r="CF26" s="2739">
        <f>128*9+63</f>
        <v>1215</v>
      </c>
      <c r="CG26" s="2743"/>
      <c r="CH26" s="2741">
        <f>128*6+17</f>
        <v>785</v>
      </c>
      <c r="CI26" s="2749"/>
      <c r="CJ26" s="2753">
        <f>128*6+5</f>
        <v>773</v>
      </c>
      <c r="CK26" s="2739">
        <f>128*6+1</f>
        <v>769</v>
      </c>
      <c r="CL26" s="498">
        <v>220022</v>
      </c>
      <c r="CS26" s="1888">
        <v>9</v>
      </c>
      <c r="CT26" t="s">
        <v>520</v>
      </c>
      <c r="IU26" s="499" t="s">
        <v>954</v>
      </c>
      <c r="IV26" s="499">
        <v>1</v>
      </c>
    </row>
    <row r="27" spans="1:256" ht="15.75">
      <c r="A27" s="2353">
        <v>24</v>
      </c>
      <c r="B27" s="2347"/>
      <c r="C27" s="2347"/>
      <c r="D27" s="2347"/>
      <c r="E27" s="2347"/>
      <c r="F27" s="773"/>
      <c r="G27" s="1567"/>
      <c r="H27" s="773"/>
      <c r="I27" s="1568"/>
      <c r="J27" s="773"/>
      <c r="K27" s="773"/>
      <c r="L27" s="773"/>
      <c r="M27" s="773"/>
      <c r="N27" s="773"/>
      <c r="O27" s="773"/>
      <c r="P27" s="773"/>
      <c r="Q27" s="2291"/>
      <c r="R27" s="2291"/>
      <c r="S27" s="3718">
        <f>220000+128*6+5+0.256+0.05</f>
        <v>220773.30599999998</v>
      </c>
      <c r="T27" s="2298">
        <v>220022</v>
      </c>
      <c r="U27" s="517">
        <v>220022</v>
      </c>
      <c r="V27" s="2298">
        <v>220022</v>
      </c>
      <c r="W27" s="517">
        <v>220022</v>
      </c>
      <c r="X27" s="2298">
        <v>220022</v>
      </c>
      <c r="Y27" s="2289">
        <v>220022</v>
      </c>
      <c r="Z27" s="2289">
        <v>220022</v>
      </c>
      <c r="AA27" s="2347"/>
      <c r="AB27" s="773"/>
      <c r="AC27" s="773"/>
      <c r="AD27" s="773"/>
      <c r="AE27" s="1567"/>
      <c r="AF27" s="773"/>
      <c r="AG27" s="2347"/>
      <c r="AH27" s="2347"/>
      <c r="AI27" s="2347"/>
      <c r="AJ27" s="2347"/>
      <c r="AK27" s="2347"/>
      <c r="AL27" s="2347"/>
      <c r="AM27" s="2347"/>
      <c r="AN27" s="2347"/>
      <c r="AO27" s="2347"/>
      <c r="AP27" s="2347"/>
      <c r="AQ27" s="773"/>
      <c r="AR27" s="773"/>
      <c r="AS27" s="1567"/>
      <c r="AT27" s="773"/>
      <c r="AU27" s="773"/>
      <c r="AV27" s="2347"/>
      <c r="AW27" s="2347"/>
      <c r="AX27" s="2347"/>
      <c r="AY27" s="2347"/>
      <c r="AZ27" s="2347"/>
      <c r="BA27" s="2347"/>
      <c r="BB27" s="2347"/>
      <c r="BC27" s="2347"/>
      <c r="BD27" s="2347"/>
      <c r="BE27" s="2347"/>
      <c r="BF27" s="2347"/>
      <c r="BG27" s="2347"/>
      <c r="BH27" s="773"/>
      <c r="BI27" s="773"/>
      <c r="BJ27" s="773"/>
      <c r="BK27" s="773"/>
      <c r="BL27" s="773"/>
      <c r="BM27" s="773"/>
      <c r="BN27" s="498">
        <v>220022</v>
      </c>
      <c r="BO27" s="498">
        <v>220022</v>
      </c>
      <c r="BP27" s="498">
        <v>220022</v>
      </c>
      <c r="BQ27" s="498">
        <v>220022</v>
      </c>
      <c r="BR27" s="498">
        <v>220022</v>
      </c>
      <c r="BS27" s="498">
        <v>220022</v>
      </c>
      <c r="BT27" s="498">
        <v>220022</v>
      </c>
      <c r="BU27" s="498">
        <v>220022</v>
      </c>
      <c r="BV27" s="498">
        <v>220022</v>
      </c>
      <c r="BW27" s="498">
        <v>220022</v>
      </c>
      <c r="BX27" s="498">
        <v>220022</v>
      </c>
      <c r="BY27" s="498">
        <v>220022</v>
      </c>
      <c r="BZ27" s="498">
        <v>220022</v>
      </c>
      <c r="CA27" s="498">
        <v>220022</v>
      </c>
      <c r="CB27" s="2759">
        <f>128*6+1</f>
        <v>769</v>
      </c>
      <c r="CC27" s="2740">
        <f>128*6+17</f>
        <v>785</v>
      </c>
      <c r="CD27" s="2739">
        <f>128*6+1</f>
        <v>769</v>
      </c>
      <c r="CE27" s="2745"/>
      <c r="CF27" s="2742"/>
      <c r="CG27" s="2743"/>
      <c r="CH27" s="498">
        <v>220022</v>
      </c>
      <c r="CI27" s="498">
        <v>220022</v>
      </c>
      <c r="CJ27" s="498">
        <v>220022</v>
      </c>
      <c r="CK27" s="2750"/>
      <c r="CL27" s="498">
        <v>220022</v>
      </c>
      <c r="CS27" s="1888">
        <v>10</v>
      </c>
      <c r="CT27" t="s">
        <v>521</v>
      </c>
      <c r="IU27" s="499" t="s">
        <v>953</v>
      </c>
      <c r="IV27" s="499">
        <v>50</v>
      </c>
    </row>
    <row r="28" spans="1:256">
      <c r="A28" s="2353">
        <v>24</v>
      </c>
      <c r="B28" s="2347"/>
      <c r="C28" s="2347"/>
      <c r="D28" s="2347"/>
      <c r="E28" s="2347"/>
      <c r="F28" s="773"/>
      <c r="G28" s="773"/>
      <c r="H28" s="773"/>
      <c r="I28" s="773"/>
      <c r="J28" s="773"/>
      <c r="K28" s="773"/>
      <c r="L28" s="1567"/>
      <c r="M28" s="773"/>
      <c r="N28" s="773"/>
      <c r="O28" s="1567"/>
      <c r="P28" s="773"/>
      <c r="Q28" s="773"/>
      <c r="R28" s="2290"/>
      <c r="S28" s="2290"/>
      <c r="T28" s="2290"/>
      <c r="U28" s="2290"/>
      <c r="V28" s="2290"/>
      <c r="W28" s="2290"/>
      <c r="X28" s="2290"/>
      <c r="Y28" s="2290"/>
      <c r="Z28" s="2347"/>
      <c r="AA28" s="2347"/>
      <c r="AB28" s="773"/>
      <c r="AC28" s="1567"/>
      <c r="AD28" s="773"/>
      <c r="AE28" s="773"/>
      <c r="AF28" s="773"/>
      <c r="AG28" s="773"/>
      <c r="AH28" s="773"/>
      <c r="AI28" s="1567"/>
      <c r="AJ28" s="773"/>
      <c r="AK28" s="773"/>
      <c r="AL28" s="773"/>
      <c r="AM28" s="773"/>
      <c r="AN28" s="773"/>
      <c r="AO28" s="773"/>
      <c r="AP28" s="773"/>
      <c r="AQ28" s="773"/>
      <c r="AR28" s="773"/>
      <c r="AS28" s="773"/>
      <c r="AT28" s="773"/>
      <c r="AU28" s="773"/>
      <c r="AV28" s="773"/>
      <c r="AW28" s="773"/>
      <c r="AX28" s="773"/>
      <c r="AY28" s="773"/>
      <c r="AZ28" s="773"/>
      <c r="BA28" s="773"/>
      <c r="BB28" s="773"/>
      <c r="BC28" s="773"/>
      <c r="BD28" s="773"/>
      <c r="BE28" s="773"/>
      <c r="BF28" s="773"/>
      <c r="BG28" s="773"/>
      <c r="BH28" s="773"/>
      <c r="BI28" s="773"/>
      <c r="BJ28" s="773"/>
      <c r="BK28" s="773"/>
      <c r="BL28" s="773"/>
      <c r="BM28" s="773"/>
      <c r="BN28" s="773"/>
      <c r="BO28" s="773"/>
      <c r="BP28" s="773"/>
      <c r="BQ28" s="773"/>
      <c r="BR28" s="773"/>
      <c r="BS28" s="773"/>
      <c r="BT28" s="773"/>
      <c r="BU28" s="773"/>
      <c r="BV28" s="773"/>
      <c r="BW28" s="773"/>
      <c r="BX28" s="773"/>
      <c r="BY28" s="773"/>
      <c r="BZ28" s="773"/>
      <c r="CA28" s="498">
        <v>220022</v>
      </c>
      <c r="CB28" s="2760">
        <f>128*6+1</f>
        <v>769</v>
      </c>
      <c r="CC28" s="2431">
        <f>128*9+25</f>
        <v>1177</v>
      </c>
      <c r="CD28" s="2760">
        <f>128*6+1</f>
        <v>769</v>
      </c>
      <c r="CE28" s="2739">
        <f>128*9+63</f>
        <v>1215</v>
      </c>
      <c r="CF28" s="2743"/>
      <c r="CG28" s="2431">
        <f>128*9+25</f>
        <v>1177</v>
      </c>
      <c r="CH28" s="2464">
        <f>128*6+17+0.0015</f>
        <v>785.00149999999996</v>
      </c>
      <c r="CI28" s="2431">
        <f>128*9+25</f>
        <v>1177</v>
      </c>
      <c r="CJ28" s="2464"/>
      <c r="CK28" s="2739">
        <f>128*6+1</f>
        <v>769</v>
      </c>
      <c r="CL28" s="498">
        <v>220022</v>
      </c>
      <c r="CS28" s="1888">
        <v>11</v>
      </c>
      <c r="CT28" t="s">
        <v>522</v>
      </c>
      <c r="IU28" s="499" t="s">
        <v>963</v>
      </c>
      <c r="IV28" t="s">
        <v>333</v>
      </c>
    </row>
    <row r="29" spans="1:256" ht="15">
      <c r="A29" s="499">
        <v>24</v>
      </c>
      <c r="B29" s="773"/>
      <c r="C29" s="1567"/>
      <c r="D29" s="2347"/>
      <c r="E29" s="2347"/>
      <c r="F29" s="2347"/>
      <c r="G29" s="773"/>
      <c r="H29" s="1567"/>
      <c r="I29" s="773"/>
      <c r="J29" s="773"/>
      <c r="K29" s="773"/>
      <c r="L29" s="773"/>
      <c r="M29" s="773"/>
      <c r="N29" s="773"/>
      <c r="O29" s="773"/>
      <c r="P29" s="773"/>
      <c r="Q29" s="773"/>
      <c r="R29" s="773"/>
      <c r="S29" s="773"/>
      <c r="T29" s="773"/>
      <c r="U29" s="773"/>
      <c r="V29" s="773"/>
      <c r="W29" s="773"/>
      <c r="X29" s="773"/>
      <c r="Y29" s="1567"/>
      <c r="Z29" s="773"/>
      <c r="AA29" s="773"/>
      <c r="AB29" s="3251">
        <f>128*17+4</f>
        <v>2180</v>
      </c>
      <c r="AC29" s="773"/>
      <c r="AD29" s="773"/>
      <c r="AE29" s="773"/>
      <c r="AF29" s="773"/>
      <c r="AG29" s="1567"/>
      <c r="AH29" s="773"/>
      <c r="AI29" s="773"/>
      <c r="AJ29" s="773"/>
      <c r="AK29" s="1567"/>
      <c r="AL29" s="773"/>
      <c r="AM29" s="773"/>
      <c r="AN29" s="773"/>
      <c r="AO29" s="1567"/>
      <c r="AP29" s="773"/>
      <c r="AQ29" s="773"/>
      <c r="AR29" s="773"/>
      <c r="AS29" s="773"/>
      <c r="AT29" s="1567"/>
      <c r="AU29" s="773"/>
      <c r="AV29" s="773"/>
      <c r="AW29" s="773"/>
      <c r="AX29" s="773"/>
      <c r="AY29" s="773"/>
      <c r="AZ29" s="773"/>
      <c r="BA29" s="773"/>
      <c r="BB29" s="773"/>
      <c r="BC29" s="773"/>
      <c r="BD29" s="773"/>
      <c r="BE29" s="773"/>
      <c r="BF29" s="773"/>
      <c r="BG29" s="773"/>
      <c r="BH29" s="514">
        <v>29</v>
      </c>
      <c r="BI29" s="791">
        <v>290029</v>
      </c>
      <c r="BJ29" s="511">
        <v>29</v>
      </c>
      <c r="BK29" s="773"/>
      <c r="BL29" s="773"/>
      <c r="BM29" s="773"/>
      <c r="BN29" s="773"/>
      <c r="BO29" s="773"/>
      <c r="BP29" s="773"/>
      <c r="BQ29" s="773"/>
      <c r="BR29" s="773"/>
      <c r="BS29" s="773"/>
      <c r="BT29" s="773"/>
      <c r="BU29" s="773"/>
      <c r="BV29" s="773"/>
      <c r="BW29" s="773"/>
      <c r="BX29" s="773"/>
      <c r="BY29" s="773"/>
      <c r="BZ29" s="773"/>
      <c r="CA29" s="498">
        <v>220022</v>
      </c>
      <c r="CB29" s="2431">
        <f>128*9+25</f>
        <v>1177</v>
      </c>
      <c r="CC29" s="2761">
        <f>128*6+1</f>
        <v>769</v>
      </c>
      <c r="CD29" s="2739">
        <f>128*6+17+0.0013</f>
        <v>785.00130000000001</v>
      </c>
      <c r="CE29" s="2464"/>
      <c r="CF29" s="2743"/>
      <c r="CG29" s="2742"/>
      <c r="CH29" s="2739">
        <f>128*6+17</f>
        <v>785</v>
      </c>
      <c r="CI29" s="2751">
        <f>128*6+5</f>
        <v>773</v>
      </c>
      <c r="CJ29" s="2734">
        <v>15</v>
      </c>
      <c r="CK29" s="2763"/>
      <c r="CL29" s="498">
        <v>220022</v>
      </c>
      <c r="CS29" s="1888">
        <v>12</v>
      </c>
      <c r="IU29" s="499" t="s">
        <v>983</v>
      </c>
      <c r="IV29" t="s">
        <v>326</v>
      </c>
    </row>
    <row r="30" spans="1:256" ht="15">
      <c r="A30" s="499">
        <v>24</v>
      </c>
      <c r="B30" s="773"/>
      <c r="C30" s="773"/>
      <c r="D30" s="1567"/>
      <c r="E30" s="2347"/>
      <c r="F30" s="2347"/>
      <c r="G30" s="2347"/>
      <c r="H30" s="773"/>
      <c r="I30" s="773"/>
      <c r="J30" s="773"/>
      <c r="K30" s="773"/>
      <c r="L30" s="773"/>
      <c r="M30" s="773"/>
      <c r="N30" s="773"/>
      <c r="O30" s="773"/>
      <c r="P30" s="773"/>
      <c r="Q30" s="773"/>
      <c r="R30" s="773"/>
      <c r="S30" s="773"/>
      <c r="T30" s="1567"/>
      <c r="U30" s="773"/>
      <c r="V30" s="773"/>
      <c r="W30" s="773"/>
      <c r="X30" s="773"/>
      <c r="Y30" s="773"/>
      <c r="Z30" s="773"/>
      <c r="AA30" s="773"/>
      <c r="AB30" s="773"/>
      <c r="AC30" s="1567"/>
      <c r="AD30" s="773"/>
      <c r="AE30" s="1567"/>
      <c r="AF30" s="773"/>
      <c r="AG30" s="1567"/>
      <c r="AH30" s="773"/>
      <c r="AI30" s="773"/>
      <c r="AJ30" s="773"/>
      <c r="AK30" s="1567"/>
      <c r="AL30" s="773"/>
      <c r="AM30" s="773"/>
      <c r="AN30" s="773"/>
      <c r="AO30" s="773"/>
      <c r="AP30" s="773"/>
      <c r="AQ30" s="773"/>
      <c r="AR30" s="773"/>
      <c r="AS30" s="1567"/>
      <c r="AT30" s="773"/>
      <c r="AU30" s="773"/>
      <c r="AV30" s="773"/>
      <c r="AW30" s="773"/>
      <c r="AX30" s="773"/>
      <c r="AY30" s="773"/>
      <c r="AZ30" s="773"/>
      <c r="BA30" s="773"/>
      <c r="BB30" s="773"/>
      <c r="BC30" s="773"/>
      <c r="BD30" s="773"/>
      <c r="BE30" s="773"/>
      <c r="BF30" s="773"/>
      <c r="BG30" s="3252">
        <f>128*17+10</f>
        <v>2186</v>
      </c>
      <c r="BH30" s="514">
        <v>29</v>
      </c>
      <c r="BI30" s="2470">
        <f>220000+128*11+27+0.256+0.038</f>
        <v>221435.29399999999</v>
      </c>
      <c r="BJ30" s="511">
        <v>29</v>
      </c>
      <c r="BK30" s="773"/>
      <c r="BL30" s="1567"/>
      <c r="BM30" s="773"/>
      <c r="BN30" s="773"/>
      <c r="BO30" s="3251">
        <f>128*17+10</f>
        <v>2186</v>
      </c>
      <c r="BP30" s="773"/>
      <c r="BQ30" s="773"/>
      <c r="BR30" s="1567"/>
      <c r="BS30" s="773"/>
      <c r="BT30" s="773"/>
      <c r="BU30" s="773"/>
      <c r="BV30" s="773"/>
      <c r="BW30" s="1567"/>
      <c r="BX30" s="773"/>
      <c r="BY30" s="773"/>
      <c r="BZ30" s="773"/>
      <c r="CA30" s="498">
        <v>220022</v>
      </c>
      <c r="CB30" s="498">
        <v>220022</v>
      </c>
      <c r="CC30" s="498">
        <v>220022</v>
      </c>
      <c r="CD30" s="2464"/>
      <c r="CE30" s="2431">
        <f>128*9+25</f>
        <v>1177</v>
      </c>
      <c r="CF30" s="2464">
        <f>128*6+17</f>
        <v>785</v>
      </c>
      <c r="CG30" s="2743">
        <f>0.256+0.028</f>
        <v>0.28400000000000003</v>
      </c>
      <c r="CH30" s="2748">
        <f>128*9+32</f>
        <v>1184</v>
      </c>
      <c r="CI30" s="2925">
        <f>128*16+7</f>
        <v>2055</v>
      </c>
      <c r="CJ30" s="2777">
        <f>128*4+47+0.256+0.032</f>
        <v>559.28800000000001</v>
      </c>
      <c r="CK30" s="2754"/>
      <c r="CL30" s="498">
        <v>220022</v>
      </c>
      <c r="CS30" s="1888">
        <v>13</v>
      </c>
      <c r="IU30" s="499" t="s">
        <v>524</v>
      </c>
      <c r="IV30" s="1608">
        <v>31</v>
      </c>
    </row>
    <row r="31" spans="1:256" ht="15">
      <c r="A31" s="499">
        <v>24</v>
      </c>
      <c r="B31" s="1567"/>
      <c r="C31" s="773"/>
      <c r="D31" s="773"/>
      <c r="E31" s="773"/>
      <c r="F31" s="2347"/>
      <c r="G31" s="2347"/>
      <c r="H31" s="2347"/>
      <c r="I31" s="773"/>
      <c r="J31" s="773"/>
      <c r="K31" s="1567"/>
      <c r="L31" s="773"/>
      <c r="M31" s="773"/>
      <c r="N31" s="1567"/>
      <c r="O31" s="773"/>
      <c r="P31" s="773"/>
      <c r="Q31" s="1567"/>
      <c r="R31" s="773"/>
      <c r="S31" s="773"/>
      <c r="T31" s="773"/>
      <c r="U31" s="3251">
        <f>128*17+8</f>
        <v>2184</v>
      </c>
      <c r="V31" s="773"/>
      <c r="W31" s="773"/>
      <c r="X31" s="773"/>
      <c r="Y31" s="773"/>
      <c r="Z31" s="1567"/>
      <c r="AA31" s="773"/>
      <c r="AB31" s="773"/>
      <c r="AC31" s="773"/>
      <c r="AD31" s="773"/>
      <c r="AE31" s="773"/>
      <c r="AF31" s="773"/>
      <c r="AG31" s="773"/>
      <c r="AH31" s="773"/>
      <c r="AI31" s="773"/>
      <c r="AJ31" s="773"/>
      <c r="AK31" s="773"/>
      <c r="AL31" s="773"/>
      <c r="AM31" s="773"/>
      <c r="AN31" s="773"/>
      <c r="AO31" s="1567"/>
      <c r="AP31" s="773"/>
      <c r="AQ31" s="773"/>
      <c r="AR31" s="773"/>
      <c r="AS31" s="2691">
        <v>26</v>
      </c>
      <c r="AT31" s="773"/>
      <c r="AU31" s="773"/>
      <c r="AV31" s="773"/>
      <c r="AW31" s="773"/>
      <c r="AX31" s="773"/>
      <c r="AY31" s="773"/>
      <c r="AZ31" s="773"/>
      <c r="BA31" s="773"/>
      <c r="BB31" s="2700">
        <f>128*6+5</f>
        <v>773</v>
      </c>
      <c r="BC31" s="773"/>
      <c r="BD31" s="773"/>
      <c r="BE31" s="773"/>
      <c r="BF31" s="773"/>
      <c r="BG31" s="773"/>
      <c r="BH31" s="514">
        <v>29</v>
      </c>
      <c r="BI31" s="2470"/>
      <c r="BJ31" s="511">
        <v>29</v>
      </c>
      <c r="BK31" s="773"/>
      <c r="BL31" s="773"/>
      <c r="BM31" s="773"/>
      <c r="BN31" s="773"/>
      <c r="BO31" s="773"/>
      <c r="BP31" s="773"/>
      <c r="BQ31" s="773"/>
      <c r="BR31" s="773"/>
      <c r="BS31" s="773"/>
      <c r="BT31" s="773"/>
      <c r="BU31" s="773"/>
      <c r="BV31" s="773"/>
      <c r="BW31" s="773"/>
      <c r="BX31" s="773"/>
      <c r="BY31" s="773"/>
      <c r="BZ31" s="773"/>
      <c r="CA31" s="773"/>
      <c r="CB31" s="773"/>
      <c r="CC31" s="498">
        <v>220022</v>
      </c>
      <c r="CD31" s="2762">
        <f>128*6+17</f>
        <v>785</v>
      </c>
      <c r="CE31" s="2751">
        <f>128*6+5</f>
        <v>773</v>
      </c>
      <c r="CF31" s="2746"/>
      <c r="CG31" s="2760">
        <f>128*6+1</f>
        <v>769</v>
      </c>
      <c r="CH31" s="2739">
        <f>128*6+1</f>
        <v>769</v>
      </c>
      <c r="CI31" s="2751">
        <f>128*6+5</f>
        <v>773</v>
      </c>
      <c r="CJ31" s="2734">
        <v>15</v>
      </c>
      <c r="CK31" s="2764"/>
      <c r="CL31" s="498">
        <v>220022</v>
      </c>
      <c r="CS31" s="1888">
        <v>14</v>
      </c>
      <c r="IU31" s="499" t="s">
        <v>523</v>
      </c>
      <c r="IV31" s="499">
        <v>32</v>
      </c>
    </row>
    <row r="32" spans="1:256" ht="15">
      <c r="A32" s="499">
        <v>24</v>
      </c>
      <c r="B32" s="773"/>
      <c r="C32" s="1567"/>
      <c r="D32" s="773"/>
      <c r="E32" s="773"/>
      <c r="F32" s="773"/>
      <c r="G32" s="2347"/>
      <c r="H32" s="2347"/>
      <c r="I32" s="773"/>
      <c r="J32" s="773"/>
      <c r="K32" s="773"/>
      <c r="L32" s="772"/>
      <c r="M32" s="2559">
        <f>128*9+32</f>
        <v>1184</v>
      </c>
      <c r="N32" s="773"/>
      <c r="O32" s="772"/>
      <c r="P32" s="773"/>
      <c r="Q32" s="773"/>
      <c r="R32" s="773"/>
      <c r="S32" s="773"/>
      <c r="T32" s="773"/>
      <c r="U32" s="773"/>
      <c r="V32" s="1567"/>
      <c r="W32" s="773"/>
      <c r="X32" s="1567"/>
      <c r="Y32" s="773"/>
      <c r="Z32" s="773"/>
      <c r="AA32" s="2337">
        <v>210021</v>
      </c>
      <c r="AB32" s="505">
        <v>210021</v>
      </c>
      <c r="AC32" s="505">
        <v>210021</v>
      </c>
      <c r="AD32" s="505">
        <v>210021</v>
      </c>
      <c r="AE32" s="505">
        <v>210021</v>
      </c>
      <c r="AF32" s="505">
        <v>210021</v>
      </c>
      <c r="AG32" s="505">
        <v>210021</v>
      </c>
      <c r="AH32" s="505">
        <v>210021</v>
      </c>
      <c r="AI32" s="505">
        <v>210021</v>
      </c>
      <c r="AJ32" s="505">
        <v>210021</v>
      </c>
      <c r="AK32" s="2289">
        <v>210021</v>
      </c>
      <c r="AL32" s="773"/>
      <c r="AM32" s="773"/>
      <c r="AN32" s="773"/>
      <c r="AO32" s="773"/>
      <c r="AP32" s="773"/>
      <c r="AQ32" s="773"/>
      <c r="AR32" s="773"/>
      <c r="AS32" s="2696"/>
      <c r="AT32" s="773"/>
      <c r="AU32" s="773"/>
      <c r="AV32" s="773"/>
      <c r="AW32" s="773"/>
      <c r="AX32" s="773"/>
      <c r="AY32" s="1567"/>
      <c r="AZ32" s="773"/>
      <c r="BA32" s="773"/>
      <c r="BB32" s="773"/>
      <c r="BC32" s="773"/>
      <c r="BD32" s="773"/>
      <c r="BE32" s="773"/>
      <c r="BF32" s="773"/>
      <c r="BG32" s="773"/>
      <c r="BH32" s="514">
        <v>29</v>
      </c>
      <c r="BI32" s="2685">
        <f>220000+128*10+31</f>
        <v>221311</v>
      </c>
      <c r="BJ32" s="511">
        <v>29</v>
      </c>
      <c r="BK32" s="773"/>
      <c r="BL32" s="773"/>
      <c r="BM32" s="773"/>
      <c r="BN32" s="773"/>
      <c r="BO32" s="773"/>
      <c r="BP32" s="773"/>
      <c r="BQ32" s="773"/>
      <c r="BR32" s="3251">
        <f>128*17+12</f>
        <v>2188</v>
      </c>
      <c r="BS32" s="773"/>
      <c r="BT32" s="773"/>
      <c r="BU32" s="773"/>
      <c r="BV32" s="773"/>
      <c r="BW32" s="773"/>
      <c r="BX32" s="773"/>
      <c r="BY32" s="773"/>
      <c r="BZ32" s="773"/>
      <c r="CA32" s="773"/>
      <c r="CB32" s="773"/>
      <c r="CC32" s="498">
        <v>220022</v>
      </c>
      <c r="CD32" s="2926">
        <f>128*17+64+11</f>
        <v>2251</v>
      </c>
      <c r="CE32" s="2739">
        <f>128*6+17</f>
        <v>785</v>
      </c>
      <c r="CF32" s="2747">
        <v>0.1951</v>
      </c>
      <c r="CG32" s="2464">
        <f>128*9+62</f>
        <v>1214</v>
      </c>
      <c r="CH32" s="2431"/>
      <c r="CI32" s="2741">
        <f>128*6+17</f>
        <v>785</v>
      </c>
      <c r="CJ32" s="2464"/>
      <c r="CK32" s="2739">
        <f>128*6+1</f>
        <v>769</v>
      </c>
      <c r="CL32" s="528">
        <f>220022+0.1969</f>
        <v>220022.19690000001</v>
      </c>
      <c r="CS32" s="1888">
        <v>15</v>
      </c>
      <c r="CT32" t="s">
        <v>311</v>
      </c>
      <c r="IU32" s="499" t="s">
        <v>525</v>
      </c>
      <c r="IV32" s="499">
        <v>33</v>
      </c>
    </row>
    <row r="33" spans="1:256">
      <c r="A33" s="499">
        <v>24</v>
      </c>
      <c r="B33" s="773"/>
      <c r="C33" s="773"/>
      <c r="D33" s="773"/>
      <c r="E33" s="773"/>
      <c r="F33" s="1567"/>
      <c r="G33" s="2347"/>
      <c r="H33" s="2347"/>
      <c r="I33" s="1567"/>
      <c r="J33" s="773"/>
      <c r="K33" s="2347"/>
      <c r="L33" s="2347"/>
      <c r="M33" s="1011"/>
      <c r="N33" s="2347"/>
      <c r="O33" s="2347"/>
      <c r="P33" s="773"/>
      <c r="Q33" s="773"/>
      <c r="R33" s="1567"/>
      <c r="S33" s="773"/>
      <c r="T33" s="1567"/>
      <c r="U33" s="773"/>
      <c r="V33" s="773"/>
      <c r="W33" s="773"/>
      <c r="X33" s="773"/>
      <c r="Y33" s="773"/>
      <c r="Z33" s="773"/>
      <c r="AA33" s="505">
        <v>210021</v>
      </c>
      <c r="AB33" s="2922">
        <f>0.384+0.003</f>
        <v>0.38700000000000001</v>
      </c>
      <c r="AC33" s="2921"/>
      <c r="AD33" s="2921"/>
      <c r="AE33" s="2921"/>
      <c r="AF33" s="2921"/>
      <c r="AG33" s="2921"/>
      <c r="AH33" s="2921"/>
      <c r="AI33" s="2921"/>
      <c r="AJ33" s="2921"/>
      <c r="AK33" s="505">
        <v>210021</v>
      </c>
      <c r="AL33" s="773"/>
      <c r="AM33" s="773"/>
      <c r="AN33" s="1567"/>
      <c r="AO33" s="773"/>
      <c r="AP33" s="773"/>
      <c r="AQ33" s="1607">
        <v>26</v>
      </c>
      <c r="AR33" s="2697"/>
      <c r="AS33" s="2699">
        <f>290000+128*6+5+0.256+0.006</f>
        <v>290773.26199999999</v>
      </c>
      <c r="AT33" s="2698"/>
      <c r="AU33" s="2691">
        <v>26</v>
      </c>
      <c r="AV33" s="773"/>
      <c r="AW33" s="773"/>
      <c r="AX33" s="773"/>
      <c r="AY33" s="773"/>
      <c r="AZ33" s="773"/>
      <c r="BA33" s="1567"/>
      <c r="BB33" s="773"/>
      <c r="BC33" s="773"/>
      <c r="BD33" s="773"/>
      <c r="BE33" s="773"/>
      <c r="BF33" s="773"/>
      <c r="BG33" s="504">
        <v>29</v>
      </c>
      <c r="BH33" s="514">
        <v>29</v>
      </c>
      <c r="BI33" s="2470">
        <f>220000+128*5+35</f>
        <v>220675</v>
      </c>
      <c r="BJ33" s="514">
        <v>29</v>
      </c>
      <c r="BK33" s="504">
        <v>29</v>
      </c>
      <c r="BL33" s="1022">
        <v>29</v>
      </c>
      <c r="BM33" s="504">
        <v>29</v>
      </c>
      <c r="BN33" s="514">
        <v>29</v>
      </c>
      <c r="BO33" s="504">
        <v>29</v>
      </c>
      <c r="BP33" s="504">
        <v>29</v>
      </c>
      <c r="BQ33" s="504">
        <v>29</v>
      </c>
      <c r="BR33" s="511">
        <v>29</v>
      </c>
      <c r="BS33" s="511">
        <v>29</v>
      </c>
      <c r="BT33" s="511">
        <v>29</v>
      </c>
      <c r="BU33" s="511">
        <v>29</v>
      </c>
      <c r="BV33" s="773"/>
      <c r="BW33" s="773"/>
      <c r="BX33" s="773"/>
      <c r="BY33" s="773"/>
      <c r="BZ33" s="773"/>
      <c r="CA33" s="773"/>
      <c r="CB33" s="773"/>
      <c r="CC33" s="2757">
        <f>220022+0.1961</f>
        <v>220022.1961</v>
      </c>
      <c r="CD33" s="2739">
        <f>128*6+1</f>
        <v>769</v>
      </c>
      <c r="CE33" s="2464">
        <v>0.19520000000000001</v>
      </c>
      <c r="CF33" s="2740">
        <f>128*6+17</f>
        <v>785</v>
      </c>
      <c r="CG33" s="2464"/>
      <c r="CH33" s="2758">
        <f>128*9+62</f>
        <v>1214</v>
      </c>
      <c r="CI33" s="2464"/>
      <c r="CJ33" s="2431">
        <f>128*9+25</f>
        <v>1177</v>
      </c>
      <c r="CK33" s="2464"/>
      <c r="CL33" s="771">
        <v>220051</v>
      </c>
      <c r="CS33" s="1888">
        <v>16</v>
      </c>
      <c r="CT33" t="s">
        <v>312</v>
      </c>
      <c r="IU33" t="s">
        <v>550</v>
      </c>
      <c r="IV33" s="499">
        <v>15</v>
      </c>
    </row>
    <row r="34" spans="1:256" ht="13.5" thickBot="1">
      <c r="A34" s="499">
        <v>24</v>
      </c>
      <c r="B34" s="773"/>
      <c r="C34" s="773"/>
      <c r="D34" s="1567"/>
      <c r="E34" s="773"/>
      <c r="F34" s="773"/>
      <c r="G34" s="773"/>
      <c r="H34" s="2347"/>
      <c r="I34" s="2347"/>
      <c r="J34" s="2290"/>
      <c r="K34" s="2290"/>
      <c r="L34" s="2347"/>
      <c r="M34" s="1013"/>
      <c r="N34" s="2290"/>
      <c r="O34" s="2290"/>
      <c r="P34" s="2347"/>
      <c r="Q34" s="773"/>
      <c r="R34" s="773"/>
      <c r="S34" s="773"/>
      <c r="T34" s="773"/>
      <c r="U34" s="773"/>
      <c r="V34" s="773"/>
      <c r="W34" s="773"/>
      <c r="X34" s="773"/>
      <c r="Y34" s="773"/>
      <c r="Z34" s="773">
        <f>128*6+5</f>
        <v>773</v>
      </c>
      <c r="AA34" s="505">
        <v>210021</v>
      </c>
      <c r="AB34" s="2921"/>
      <c r="AC34" s="2920"/>
      <c r="AD34" s="1124"/>
      <c r="AE34" s="2920"/>
      <c r="AF34" s="1124"/>
      <c r="AG34" s="2920"/>
      <c r="AH34" s="1124"/>
      <c r="AI34" s="2920"/>
      <c r="AJ34" s="2921">
        <f>0.0301</f>
        <v>3.0099999999999998E-2</v>
      </c>
      <c r="AK34" s="505">
        <v>210021</v>
      </c>
      <c r="AL34" s="773"/>
      <c r="AM34" s="773"/>
      <c r="AN34" s="773"/>
      <c r="AO34" s="773"/>
      <c r="AP34" s="773"/>
      <c r="AQ34" s="773"/>
      <c r="AR34" s="773"/>
      <c r="AS34" s="2695"/>
      <c r="AT34" s="773"/>
      <c r="AU34" s="773"/>
      <c r="AV34" s="773"/>
      <c r="AW34" s="773"/>
      <c r="AX34" s="773"/>
      <c r="AY34" s="773"/>
      <c r="AZ34" s="773"/>
      <c r="BA34" s="773"/>
      <c r="BB34" s="773"/>
      <c r="BC34" s="773"/>
      <c r="BD34" s="773"/>
      <c r="BE34" s="773"/>
      <c r="BF34" s="773"/>
      <c r="BG34" s="498">
        <v>290029</v>
      </c>
      <c r="BH34" s="757">
        <v>0.217</v>
      </c>
      <c r="BI34" s="757"/>
      <c r="BJ34" s="757"/>
      <c r="BK34" s="757"/>
      <c r="BL34" s="519"/>
      <c r="BM34" s="519"/>
      <c r="BN34" s="757"/>
      <c r="BO34" s="757"/>
      <c r="BP34" s="1395">
        <v>6.0600000000000001E-2</v>
      </c>
      <c r="BQ34" s="504">
        <v>29</v>
      </c>
      <c r="BR34" s="2686">
        <f>220000+128+29</f>
        <v>220157</v>
      </c>
      <c r="BS34" s="2176">
        <f>220000+128*4+39+0.256+0.034</f>
        <v>220551.29</v>
      </c>
      <c r="BT34" s="2686">
        <v>220000</v>
      </c>
      <c r="BU34" s="791">
        <v>290029</v>
      </c>
      <c r="BV34" s="773"/>
      <c r="BW34" s="773"/>
      <c r="BX34" s="773"/>
      <c r="BY34" s="773"/>
      <c r="BZ34" s="1567"/>
      <c r="CA34" s="773"/>
      <c r="CB34" s="773"/>
      <c r="CC34" s="498">
        <v>220022</v>
      </c>
      <c r="CD34" s="678">
        <f>220022+0.1969</f>
        <v>220022.19690000001</v>
      </c>
      <c r="CE34" s="498">
        <v>220022</v>
      </c>
      <c r="CF34" s="1612">
        <f>220022+0.1961</f>
        <v>220022.1961</v>
      </c>
      <c r="CG34" s="771">
        <v>220051</v>
      </c>
      <c r="CH34" s="771">
        <v>220051</v>
      </c>
      <c r="CI34" s="678">
        <f>220022+0.1969</f>
        <v>220022.19690000001</v>
      </c>
      <c r="CJ34" s="1612">
        <f>220022+0.1961</f>
        <v>220022.1961</v>
      </c>
      <c r="CK34" s="771">
        <v>220051</v>
      </c>
      <c r="CL34" s="498">
        <v>220022</v>
      </c>
      <c r="CS34" s="1888">
        <v>17</v>
      </c>
      <c r="CT34" t="s">
        <v>308</v>
      </c>
      <c r="IU34" s="499" t="s">
        <v>899</v>
      </c>
    </row>
    <row r="35" spans="1:256" ht="17.25" thickTop="1" thickBot="1">
      <c r="A35" s="499">
        <v>24</v>
      </c>
      <c r="B35" s="773"/>
      <c r="C35" s="773"/>
      <c r="D35" s="773"/>
      <c r="E35" s="773"/>
      <c r="F35" s="1567"/>
      <c r="G35" s="773"/>
      <c r="H35" s="2347"/>
      <c r="I35" s="2347"/>
      <c r="J35" s="2524"/>
      <c r="K35" s="1093">
        <v>90009</v>
      </c>
      <c r="L35" s="1093">
        <v>90009</v>
      </c>
      <c r="M35" s="2797">
        <f>90000+128*5+13</f>
        <v>90653</v>
      </c>
      <c r="N35" s="1093">
        <v>90009</v>
      </c>
      <c r="O35" s="2377">
        <v>90009</v>
      </c>
      <c r="P35" s="2290"/>
      <c r="Q35" s="2347"/>
      <c r="R35" s="773"/>
      <c r="S35" s="773"/>
      <c r="T35" s="773"/>
      <c r="U35" s="773"/>
      <c r="V35" s="773"/>
      <c r="W35" s="773"/>
      <c r="X35" s="773"/>
      <c r="Y35" s="1567"/>
      <c r="Z35" s="773"/>
      <c r="AA35" s="505">
        <f>210000+128*5+39</f>
        <v>210679</v>
      </c>
      <c r="AB35" s="2923"/>
      <c r="AC35" s="2924"/>
      <c r="AD35" s="1121">
        <f t="shared" ref="AD35:AI35" si="2">128*9+6</f>
        <v>1158</v>
      </c>
      <c r="AE35" s="1120">
        <f t="shared" si="2"/>
        <v>1158</v>
      </c>
      <c r="AF35" s="1121">
        <f t="shared" si="2"/>
        <v>1158</v>
      </c>
      <c r="AG35" s="1120">
        <f t="shared" si="2"/>
        <v>1158</v>
      </c>
      <c r="AH35" s="1121">
        <f t="shared" si="2"/>
        <v>1158</v>
      </c>
      <c r="AI35" s="1121">
        <f t="shared" si="2"/>
        <v>1158</v>
      </c>
      <c r="AJ35" s="2921">
        <f>128*10+5</f>
        <v>1285</v>
      </c>
      <c r="AK35" s="505">
        <v>210021</v>
      </c>
      <c r="AL35" s="773"/>
      <c r="AM35" s="1567"/>
      <c r="AN35" s="773"/>
      <c r="AO35" s="773"/>
      <c r="AP35" s="773"/>
      <c r="AQ35" s="773"/>
      <c r="AR35" s="773"/>
      <c r="AS35" s="2691">
        <v>26</v>
      </c>
      <c r="AT35" s="773"/>
      <c r="AU35" s="773"/>
      <c r="AV35" s="773"/>
      <c r="AW35" s="773"/>
      <c r="AX35" s="773"/>
      <c r="AY35" s="773"/>
      <c r="AZ35" s="773"/>
      <c r="BA35" s="773"/>
      <c r="BB35" s="773"/>
      <c r="BC35" s="773"/>
      <c r="BD35" s="773"/>
      <c r="BE35" s="773"/>
      <c r="BF35" s="773"/>
      <c r="BG35" s="517">
        <v>220029</v>
      </c>
      <c r="BH35" s="757"/>
      <c r="BI35" s="757"/>
      <c r="BJ35" s="757"/>
      <c r="BK35" s="757">
        <f>0.0604</f>
        <v>6.0400000000000002E-2</v>
      </c>
      <c r="BL35" s="519"/>
      <c r="BM35" s="516"/>
      <c r="BN35" s="514"/>
      <c r="BO35" s="757"/>
      <c r="BP35" s="757"/>
      <c r="BQ35" s="504">
        <v>29</v>
      </c>
      <c r="BR35" s="1383">
        <f>128+29</f>
        <v>157</v>
      </c>
      <c r="BS35" s="504">
        <v>29</v>
      </c>
      <c r="BT35" s="757"/>
      <c r="BU35" s="2684">
        <v>220023</v>
      </c>
      <c r="BV35" s="773"/>
      <c r="BW35" s="773"/>
      <c r="BX35" s="773"/>
      <c r="BY35" s="773"/>
      <c r="BZ35" s="773"/>
      <c r="CA35" s="773"/>
      <c r="CB35" s="773"/>
      <c r="CC35" s="773"/>
      <c r="CD35" s="773"/>
      <c r="CE35" s="773"/>
      <c r="CF35" s="498">
        <v>220022</v>
      </c>
      <c r="CG35" s="2846"/>
      <c r="CH35" s="2847">
        <f>128*6+17</f>
        <v>785</v>
      </c>
      <c r="CI35" s="2848">
        <v>240022</v>
      </c>
      <c r="CJ35" s="2847">
        <f>128*6+17</f>
        <v>785</v>
      </c>
      <c r="CK35" s="2849">
        <f>128*6+17</f>
        <v>785</v>
      </c>
      <c r="CL35" s="498">
        <v>220022</v>
      </c>
      <c r="CS35" s="1888">
        <v>18</v>
      </c>
      <c r="CT35" t="s">
        <v>309</v>
      </c>
      <c r="CY35" s="499"/>
      <c r="IU35" s="499" t="s">
        <v>901</v>
      </c>
    </row>
    <row r="36" spans="1:256" ht="16.5" thickTop="1" thickBot="1">
      <c r="A36" s="499">
        <v>24</v>
      </c>
      <c r="B36" s="773"/>
      <c r="C36" s="1567"/>
      <c r="D36" s="773"/>
      <c r="E36" s="773"/>
      <c r="F36" s="773"/>
      <c r="G36" s="773"/>
      <c r="H36" s="2290"/>
      <c r="I36" s="2525"/>
      <c r="J36" s="2381">
        <v>90009</v>
      </c>
      <c r="K36" s="2371">
        <v>90000</v>
      </c>
      <c r="L36" s="829">
        <f>90000+0.2175</f>
        <v>90000.217499999999</v>
      </c>
      <c r="M36" s="2371">
        <f>90000+128*14+13+0.0591</f>
        <v>91805.059099999999</v>
      </c>
      <c r="N36" s="829">
        <f>90000+0.2175</f>
        <v>90000.217499999999</v>
      </c>
      <c r="O36" s="2372">
        <v>90000</v>
      </c>
      <c r="P36" s="2379">
        <v>90009</v>
      </c>
      <c r="Q36" s="2290"/>
      <c r="R36" s="2347"/>
      <c r="S36" s="773"/>
      <c r="T36" s="1567"/>
      <c r="U36" s="773"/>
      <c r="V36" s="773"/>
      <c r="W36" s="773"/>
      <c r="X36" s="773"/>
      <c r="Y36" s="773"/>
      <c r="Z36" s="773">
        <f>128*6+5</f>
        <v>773</v>
      </c>
      <c r="AA36" s="505">
        <v>210021</v>
      </c>
      <c r="AB36" s="2921"/>
      <c r="AC36" s="2920"/>
      <c r="AD36" s="1124"/>
      <c r="AE36" s="2920"/>
      <c r="AF36" s="1124"/>
      <c r="AG36" s="2920"/>
      <c r="AH36" s="1124"/>
      <c r="AI36" s="2920"/>
      <c r="AJ36" s="2921">
        <f>0.0305</f>
        <v>3.0499999999999999E-2</v>
      </c>
      <c r="AK36" s="505">
        <v>210021</v>
      </c>
      <c r="AL36" s="773"/>
      <c r="AM36" s="3251">
        <f>128*17+3</f>
        <v>2179</v>
      </c>
      <c r="AN36" s="773"/>
      <c r="AO36" s="1567"/>
      <c r="AP36" s="1567"/>
      <c r="AQ36" s="773"/>
      <c r="AR36" s="773"/>
      <c r="AS36" s="773"/>
      <c r="AT36" s="773"/>
      <c r="AU36" s="773"/>
      <c r="AV36" s="773"/>
      <c r="AW36" s="773"/>
      <c r="AX36" s="773"/>
      <c r="AY36" s="773"/>
      <c r="AZ36" s="773"/>
      <c r="BA36" s="773"/>
      <c r="BB36" s="773"/>
      <c r="BC36" s="773"/>
      <c r="BD36" s="1567"/>
      <c r="BE36" s="773"/>
      <c r="BF36" s="773"/>
      <c r="BG36" s="498">
        <v>220029</v>
      </c>
      <c r="BH36" s="757"/>
      <c r="BI36" s="757">
        <f>128*10+5+0.256+0.014</f>
        <v>1285.27</v>
      </c>
      <c r="BJ36" s="757"/>
      <c r="BK36" s="757"/>
      <c r="BL36" s="822"/>
      <c r="BM36" s="822"/>
      <c r="BN36" s="514"/>
      <c r="BO36" s="514">
        <f>128*10+6</f>
        <v>1286</v>
      </c>
      <c r="BP36" s="2511">
        <f>0.384+0.005</f>
        <v>0.38900000000000001</v>
      </c>
      <c r="BQ36" s="757">
        <f>128*5+35</f>
        <v>675</v>
      </c>
      <c r="BR36" s="757"/>
      <c r="BS36" s="504">
        <v>29</v>
      </c>
      <c r="BT36" s="757">
        <f>128*16+15</f>
        <v>2063</v>
      </c>
      <c r="BU36" s="3707">
        <f>140000+128*5+36+0.256+0.048</f>
        <v>140676.304</v>
      </c>
      <c r="BV36" s="2368"/>
      <c r="BW36" s="2368"/>
      <c r="BX36" s="773"/>
      <c r="BY36" s="773"/>
      <c r="BZ36" s="773"/>
      <c r="CA36" s="773"/>
      <c r="CB36" s="773"/>
      <c r="CC36" s="773"/>
      <c r="CD36" s="773"/>
      <c r="CE36" s="773"/>
      <c r="CF36" s="498">
        <v>220022</v>
      </c>
      <c r="CG36" s="2847">
        <f>128*6+17</f>
        <v>785</v>
      </c>
      <c r="CH36" s="2850">
        <f>128*6+17</f>
        <v>785</v>
      </c>
      <c r="CI36" s="835">
        <v>2</v>
      </c>
      <c r="CJ36" s="2851">
        <f>128*6+1</f>
        <v>769</v>
      </c>
      <c r="CK36" s="2849">
        <f>128*6+17</f>
        <v>785</v>
      </c>
      <c r="CL36" s="498">
        <v>220022</v>
      </c>
      <c r="CS36" s="1888">
        <v>19</v>
      </c>
      <c r="CT36" t="s">
        <v>310</v>
      </c>
      <c r="CY36" s="499"/>
      <c r="IU36" s="499" t="s">
        <v>902</v>
      </c>
    </row>
    <row r="37" spans="1:256" ht="16.5" thickTop="1">
      <c r="A37" s="499">
        <v>24</v>
      </c>
      <c r="B37" s="773"/>
      <c r="C37" s="773"/>
      <c r="D37" s="773"/>
      <c r="E37" s="773"/>
      <c r="F37" s="773"/>
      <c r="G37" s="2290"/>
      <c r="H37" s="2525"/>
      <c r="I37" s="2382">
        <v>90009</v>
      </c>
      <c r="J37" s="2375">
        <v>90000</v>
      </c>
      <c r="K37" s="2383"/>
      <c r="L37" s="2356">
        <v>210009</v>
      </c>
      <c r="M37" s="2407">
        <f>128*5+36</f>
        <v>676</v>
      </c>
      <c r="N37" s="2356">
        <v>210009</v>
      </c>
      <c r="O37" s="2383"/>
      <c r="P37" s="2387">
        <v>90000</v>
      </c>
      <c r="Q37" s="2379">
        <v>90009</v>
      </c>
      <c r="R37" s="2290"/>
      <c r="S37" s="2347"/>
      <c r="T37" s="773"/>
      <c r="U37" s="773"/>
      <c r="V37" s="773"/>
      <c r="W37" s="773"/>
      <c r="X37" s="773"/>
      <c r="Y37" s="773"/>
      <c r="Z37" s="773"/>
      <c r="AA37" s="505">
        <v>210021</v>
      </c>
      <c r="AB37" s="2922">
        <f>0.384+0.003</f>
        <v>0.38700000000000001</v>
      </c>
      <c r="AC37" s="2921"/>
      <c r="AD37" s="2921"/>
      <c r="AE37" s="2921"/>
      <c r="AF37" s="2921"/>
      <c r="AG37" s="2921"/>
      <c r="AH37" s="2921"/>
      <c r="AI37" s="2921"/>
      <c r="AJ37" s="2921"/>
      <c r="AK37" s="505">
        <v>210021</v>
      </c>
      <c r="AL37" s="773"/>
      <c r="AM37" s="773"/>
      <c r="AN37" s="773"/>
      <c r="AO37" s="773"/>
      <c r="AP37" s="773"/>
      <c r="AQ37" s="773"/>
      <c r="AR37" s="773"/>
      <c r="AS37" s="773"/>
      <c r="AT37" s="773"/>
      <c r="AU37" s="773"/>
      <c r="AV37" s="1567"/>
      <c r="AW37" s="773"/>
      <c r="AX37" s="773"/>
      <c r="AY37" s="773"/>
      <c r="AZ37" s="773"/>
      <c r="BA37" s="773"/>
      <c r="BB37" s="773"/>
      <c r="BC37" s="773"/>
      <c r="BD37" s="773"/>
      <c r="BE37" s="773"/>
      <c r="BF37" s="773"/>
      <c r="BG37" s="517">
        <v>220029</v>
      </c>
      <c r="BH37" s="757"/>
      <c r="BI37" s="757"/>
      <c r="BJ37" s="757"/>
      <c r="BK37" s="757">
        <f>0.0602</f>
        <v>6.0199999999999997E-2</v>
      </c>
      <c r="BL37" s="519"/>
      <c r="BM37" s="516"/>
      <c r="BN37" s="514"/>
      <c r="BO37" s="757"/>
      <c r="BP37" s="757"/>
      <c r="BQ37" s="504">
        <v>29</v>
      </c>
      <c r="BR37" s="757"/>
      <c r="BS37" s="757">
        <f>128*9+15</f>
        <v>1167</v>
      </c>
      <c r="BT37" s="757"/>
      <c r="BU37" s="2684">
        <v>220023</v>
      </c>
      <c r="BV37" s="773"/>
      <c r="BW37" s="773"/>
      <c r="BX37" s="773"/>
      <c r="BY37" s="773"/>
      <c r="BZ37" s="773"/>
      <c r="CA37" s="773"/>
      <c r="CB37" s="773"/>
      <c r="CC37" s="773"/>
      <c r="CD37" s="773"/>
      <c r="CE37" s="773"/>
      <c r="CF37" s="498">
        <v>220022</v>
      </c>
      <c r="CG37" s="2847">
        <f>128*6+1</f>
        <v>769</v>
      </c>
      <c r="CH37" s="2852">
        <v>2</v>
      </c>
      <c r="CI37" s="2853">
        <f>128*12+5+0.256+0.017</f>
        <v>1541.2730000000001</v>
      </c>
      <c r="CJ37" s="2852">
        <v>2</v>
      </c>
      <c r="CK37" s="2854"/>
      <c r="CL37" s="498">
        <v>220022</v>
      </c>
      <c r="CS37" s="1888">
        <v>20</v>
      </c>
      <c r="CT37" t="s">
        <v>307</v>
      </c>
      <c r="CY37" s="499"/>
      <c r="IU37" t="s">
        <v>1091</v>
      </c>
      <c r="IV37" s="499">
        <v>168</v>
      </c>
    </row>
    <row r="38" spans="1:256" ht="15.75">
      <c r="A38" s="499">
        <v>24</v>
      </c>
      <c r="B38" s="773"/>
      <c r="C38" s="773"/>
      <c r="D38" s="773"/>
      <c r="E38" s="1567"/>
      <c r="F38" s="773"/>
      <c r="G38" s="2290"/>
      <c r="H38" s="3836">
        <v>90009</v>
      </c>
      <c r="I38" s="2372">
        <v>90000</v>
      </c>
      <c r="J38" s="2383"/>
      <c r="K38" s="2388">
        <v>0.03</v>
      </c>
      <c r="L38" s="2308">
        <v>90009</v>
      </c>
      <c r="M38" s="2383"/>
      <c r="N38" s="2308">
        <v>90009</v>
      </c>
      <c r="O38" s="2388">
        <v>0.03</v>
      </c>
      <c r="P38" s="2384"/>
      <c r="Q38" s="2374">
        <v>90000</v>
      </c>
      <c r="R38" s="2377">
        <v>90009</v>
      </c>
      <c r="S38" s="2348"/>
      <c r="T38" s="773"/>
      <c r="U38" s="773"/>
      <c r="V38" s="1567"/>
      <c r="W38" s="773"/>
      <c r="X38" s="1567"/>
      <c r="Y38" s="773"/>
      <c r="Z38" s="773"/>
      <c r="AA38" s="2337">
        <v>210021</v>
      </c>
      <c r="AB38" s="505">
        <v>210021</v>
      </c>
      <c r="AC38" s="505">
        <v>210021</v>
      </c>
      <c r="AD38" s="505">
        <v>210021</v>
      </c>
      <c r="AE38" s="505">
        <v>210021</v>
      </c>
      <c r="AF38" s="505">
        <v>210021</v>
      </c>
      <c r="AG38" s="505">
        <v>210021</v>
      </c>
      <c r="AH38" s="505">
        <v>210021</v>
      </c>
      <c r="AI38" s="505">
        <v>210021</v>
      </c>
      <c r="AJ38" s="505">
        <v>210021</v>
      </c>
      <c r="AK38" s="2289">
        <v>210021</v>
      </c>
      <c r="AL38" s="773"/>
      <c r="AM38" s="773"/>
      <c r="AN38" s="1567"/>
      <c r="AO38" s="1567"/>
      <c r="AP38" s="773"/>
      <c r="AQ38" s="773"/>
      <c r="AR38" s="773"/>
      <c r="AS38" s="773"/>
      <c r="AT38" s="773"/>
      <c r="AU38" s="773"/>
      <c r="AV38" s="773"/>
      <c r="AW38" s="1567"/>
      <c r="AX38" s="773"/>
      <c r="AY38" s="773"/>
      <c r="AZ38" s="773"/>
      <c r="BA38" s="773"/>
      <c r="BB38" s="773"/>
      <c r="BC38" s="773"/>
      <c r="BD38" s="773"/>
      <c r="BE38" s="773"/>
      <c r="BF38" s="773"/>
      <c r="BG38" s="498">
        <v>290029</v>
      </c>
      <c r="BH38" s="705">
        <f>220000+0.217</f>
        <v>220000.217</v>
      </c>
      <c r="BI38" s="757"/>
      <c r="BJ38" s="757"/>
      <c r="BK38" s="757"/>
      <c r="BL38" s="519"/>
      <c r="BM38" s="519"/>
      <c r="BN38" s="757"/>
      <c r="BO38" s="757"/>
      <c r="BP38" s="1395">
        <v>6.08E-2</v>
      </c>
      <c r="BQ38" s="504">
        <v>29</v>
      </c>
      <c r="BR38" s="2687">
        <v>220000</v>
      </c>
      <c r="BS38" s="2688"/>
      <c r="BT38" s="2686">
        <v>220000</v>
      </c>
      <c r="BU38" s="791">
        <v>290029</v>
      </c>
      <c r="BV38" s="773"/>
      <c r="BW38" s="773"/>
      <c r="BX38" s="773"/>
      <c r="BY38" s="773"/>
      <c r="BZ38" s="773"/>
      <c r="CA38" s="773"/>
      <c r="CB38" s="773"/>
      <c r="CC38" s="773"/>
      <c r="CD38" s="773"/>
      <c r="CE38" s="773"/>
      <c r="CF38" s="498">
        <v>220022</v>
      </c>
      <c r="CG38" s="2847">
        <f>128*6+17</f>
        <v>785</v>
      </c>
      <c r="CH38" s="2852">
        <v>2</v>
      </c>
      <c r="CI38" s="2853">
        <f>128*12+6+0.256+0.015</f>
        <v>1542.2710000000002</v>
      </c>
      <c r="CJ38" s="2852">
        <v>2</v>
      </c>
      <c r="CK38" s="2849">
        <f>128*6+1</f>
        <v>769</v>
      </c>
      <c r="CL38" s="498">
        <v>220022</v>
      </c>
      <c r="CS38" s="1888">
        <v>21</v>
      </c>
      <c r="CT38" t="s">
        <v>306</v>
      </c>
      <c r="CY38" s="499"/>
      <c r="IU38" t="s">
        <v>1092</v>
      </c>
      <c r="IV38" s="499">
        <v>178</v>
      </c>
    </row>
    <row r="39" spans="1:256" ht="15.75">
      <c r="A39" s="499">
        <v>24</v>
      </c>
      <c r="B39" s="773"/>
      <c r="C39" s="773"/>
      <c r="D39" s="773"/>
      <c r="E39" s="773"/>
      <c r="F39" s="773"/>
      <c r="G39" s="2290"/>
      <c r="H39" s="1093">
        <v>90009</v>
      </c>
      <c r="I39" s="2380">
        <f>90000+0.2173</f>
        <v>90000.217300000004</v>
      </c>
      <c r="J39" s="2308">
        <v>90009</v>
      </c>
      <c r="K39" s="2308">
        <v>90009</v>
      </c>
      <c r="L39" s="2388"/>
      <c r="M39" s="2394">
        <f>128*11+3+0.5</f>
        <v>1411.5</v>
      </c>
      <c r="N39" s="2388"/>
      <c r="O39" s="2308">
        <v>90009</v>
      </c>
      <c r="P39" s="2308">
        <v>90009</v>
      </c>
      <c r="Q39" s="2373">
        <f>90000+0.2177</f>
        <v>90000.217699999994</v>
      </c>
      <c r="R39" s="3723">
        <f>90000+128*6+5</f>
        <v>90773</v>
      </c>
      <c r="S39" s="3722">
        <f>128*4+9</f>
        <v>521</v>
      </c>
      <c r="T39" s="773"/>
      <c r="U39" s="3251">
        <f>128*17+8</f>
        <v>2184</v>
      </c>
      <c r="V39" s="773"/>
      <c r="W39" s="773"/>
      <c r="X39" s="773"/>
      <c r="Y39" s="773"/>
      <c r="Z39" s="773"/>
      <c r="AA39" s="773"/>
      <c r="AB39" s="773"/>
      <c r="AC39" s="1567"/>
      <c r="AD39" s="773"/>
      <c r="AE39" s="773"/>
      <c r="AF39" s="773"/>
      <c r="AG39" s="773"/>
      <c r="AH39" s="773"/>
      <c r="AI39" s="773"/>
      <c r="AJ39" s="773"/>
      <c r="AK39" s="773"/>
      <c r="AL39" s="773"/>
      <c r="AM39" s="773"/>
      <c r="AN39" s="773"/>
      <c r="AO39" s="773"/>
      <c r="AP39" s="773"/>
      <c r="AQ39" s="1567"/>
      <c r="AR39" s="773"/>
      <c r="AS39" s="773"/>
      <c r="AT39" s="773"/>
      <c r="AU39" s="773"/>
      <c r="AV39" s="773"/>
      <c r="AW39" s="773"/>
      <c r="AX39" s="773"/>
      <c r="AY39" s="773"/>
      <c r="AZ39" s="773"/>
      <c r="BA39" s="773"/>
      <c r="BB39" s="773"/>
      <c r="BC39" s="1567"/>
      <c r="BD39" s="773"/>
      <c r="BE39" s="773"/>
      <c r="BF39" s="773"/>
      <c r="BG39" s="504">
        <v>29</v>
      </c>
      <c r="BH39" s="514">
        <v>29</v>
      </c>
      <c r="BI39" s="504">
        <v>29</v>
      </c>
      <c r="BJ39" s="504">
        <v>29</v>
      </c>
      <c r="BK39" s="504">
        <v>29</v>
      </c>
      <c r="BL39" s="2689">
        <v>29</v>
      </c>
      <c r="BM39" s="504">
        <v>29</v>
      </c>
      <c r="BN39" s="504">
        <v>29</v>
      </c>
      <c r="BO39" s="514">
        <v>29</v>
      </c>
      <c r="BP39" s="504">
        <v>29</v>
      </c>
      <c r="BQ39" s="504">
        <v>29</v>
      </c>
      <c r="BR39" s="514">
        <v>29</v>
      </c>
      <c r="BS39" s="515">
        <v>29</v>
      </c>
      <c r="BT39" s="511">
        <v>29</v>
      </c>
      <c r="BU39" s="511">
        <v>29</v>
      </c>
      <c r="BV39" s="773"/>
      <c r="BW39" s="773"/>
      <c r="BX39" s="773"/>
      <c r="BY39" s="773"/>
      <c r="BZ39" s="773"/>
      <c r="CA39" s="1567"/>
      <c r="CB39" s="773"/>
      <c r="CC39" s="773"/>
      <c r="CD39" s="773"/>
      <c r="CE39" s="773"/>
      <c r="CF39" s="498">
        <v>220022</v>
      </c>
      <c r="CG39" s="2847">
        <f>128*6+17</f>
        <v>785</v>
      </c>
      <c r="CH39" s="2850">
        <f>128*6+1</f>
        <v>769</v>
      </c>
      <c r="CI39" s="835">
        <v>2</v>
      </c>
      <c r="CJ39" s="2855">
        <f>128*6+17</f>
        <v>785</v>
      </c>
      <c r="CK39" s="2854"/>
      <c r="CL39" s="498">
        <v>220022</v>
      </c>
      <c r="CS39" s="1888">
        <v>22</v>
      </c>
      <c r="CT39" t="s">
        <v>18</v>
      </c>
      <c r="IU39" t="s">
        <v>567</v>
      </c>
      <c r="IV39" s="499">
        <v>4</v>
      </c>
    </row>
    <row r="40" spans="1:256" ht="15.75">
      <c r="A40" s="499">
        <v>24</v>
      </c>
      <c r="B40" s="773"/>
      <c r="C40" s="1567"/>
      <c r="D40" s="773"/>
      <c r="E40" s="773"/>
      <c r="F40" s="773"/>
      <c r="G40" s="2291"/>
      <c r="H40" s="1093">
        <v>90009</v>
      </c>
      <c r="I40" s="2372">
        <v>90000</v>
      </c>
      <c r="J40" s="2800">
        <f>128*5+52</f>
        <v>692</v>
      </c>
      <c r="K40" s="2383">
        <f>128*11+11+0.256+0.038</f>
        <v>1419.2940000000001</v>
      </c>
      <c r="L40" s="2562">
        <v>90009</v>
      </c>
      <c r="M40" s="2385">
        <f>90009+0.22</f>
        <v>90009.22</v>
      </c>
      <c r="N40" s="2561">
        <v>90009</v>
      </c>
      <c r="O40" s="2383">
        <f>128*11+9+0.256+0.038</f>
        <v>1417.2940000000001</v>
      </c>
      <c r="P40" s="2798">
        <f>128*5+52</f>
        <v>692</v>
      </c>
      <c r="Q40" s="2374">
        <v>90000</v>
      </c>
      <c r="R40" s="2377">
        <v>90009</v>
      </c>
      <c r="S40" s="2348"/>
      <c r="T40" s="773"/>
      <c r="U40" s="773"/>
      <c r="V40" s="773"/>
      <c r="W40" s="773"/>
      <c r="X40" s="773"/>
      <c r="Y40" s="1567"/>
      <c r="Z40" s="773"/>
      <c r="AA40" s="773"/>
      <c r="AB40" s="773"/>
      <c r="AC40" s="773"/>
      <c r="AD40" s="773"/>
      <c r="AE40" s="773"/>
      <c r="AF40" s="3251">
        <f>128*17+3</f>
        <v>2179</v>
      </c>
      <c r="AG40" s="773"/>
      <c r="AH40" s="1567"/>
      <c r="AI40" s="773"/>
      <c r="AJ40" s="773"/>
      <c r="AK40" s="773"/>
      <c r="AL40" s="773"/>
      <c r="AM40" s="773"/>
      <c r="AN40" s="773"/>
      <c r="AO40" s="773"/>
      <c r="AP40" s="773"/>
      <c r="AQ40" s="773"/>
      <c r="AR40" s="773"/>
      <c r="AS40" s="773"/>
      <c r="AT40" s="1567"/>
      <c r="AU40" s="773"/>
      <c r="AV40" s="773"/>
      <c r="AW40" s="773"/>
      <c r="AX40" s="773"/>
      <c r="AY40" s="773"/>
      <c r="AZ40" s="773"/>
      <c r="BA40" s="773"/>
      <c r="BB40" s="773"/>
      <c r="BC40" s="773"/>
      <c r="BD40" s="773"/>
      <c r="BE40" s="773"/>
      <c r="BF40" s="773"/>
      <c r="BG40" s="773"/>
      <c r="BH40" s="773"/>
      <c r="BI40" s="773"/>
      <c r="BJ40" s="773"/>
      <c r="BK40" s="773"/>
      <c r="BL40" s="773"/>
      <c r="BM40" s="773"/>
      <c r="BN40" s="773"/>
      <c r="BO40" s="773"/>
      <c r="BP40" s="773"/>
      <c r="BQ40" s="773"/>
      <c r="BR40" s="773"/>
      <c r="BS40" s="3251">
        <f>128*17+11</f>
        <v>2187</v>
      </c>
      <c r="BT40" s="773"/>
      <c r="BU40" s="773"/>
      <c r="BV40" s="773"/>
      <c r="BW40" s="773"/>
      <c r="BX40" s="773"/>
      <c r="BY40" s="773"/>
      <c r="BZ40" s="773"/>
      <c r="CA40" s="773"/>
      <c r="CB40" s="773"/>
      <c r="CC40" s="773"/>
      <c r="CD40" s="773"/>
      <c r="CE40" s="773"/>
      <c r="CF40" s="498">
        <v>220022</v>
      </c>
      <c r="CG40" s="2846"/>
      <c r="CH40" s="2847">
        <f>128*6+17</f>
        <v>785</v>
      </c>
      <c r="CI40" s="2846"/>
      <c r="CJ40" s="2846"/>
      <c r="CK40" s="2854"/>
      <c r="CL40" s="498">
        <v>220022</v>
      </c>
      <c r="CS40" s="1888">
        <v>23</v>
      </c>
      <c r="CT40" t="s">
        <v>20</v>
      </c>
      <c r="IU40" t="s">
        <v>886</v>
      </c>
      <c r="IV40" s="499">
        <v>98</v>
      </c>
    </row>
    <row r="41" spans="1:256" ht="16.5" thickBot="1">
      <c r="A41" s="499">
        <v>24</v>
      </c>
      <c r="B41" s="773"/>
      <c r="C41" s="773"/>
      <c r="D41" s="773"/>
      <c r="E41" s="773"/>
      <c r="F41" s="773"/>
      <c r="G41" s="2291"/>
      <c r="H41" s="1093">
        <v>90009</v>
      </c>
      <c r="I41" s="2380">
        <f>90000+0.2173</f>
        <v>90000.217300000004</v>
      </c>
      <c r="J41" s="2308">
        <v>90009</v>
      </c>
      <c r="K41" s="2308">
        <v>90009</v>
      </c>
      <c r="L41" s="2383">
        <v>90009</v>
      </c>
      <c r="M41" s="2578">
        <v>90009</v>
      </c>
      <c r="N41" s="2383">
        <v>90009</v>
      </c>
      <c r="O41" s="2308">
        <v>90009</v>
      </c>
      <c r="P41" s="2386">
        <v>90009</v>
      </c>
      <c r="Q41" s="2373">
        <f>90000+0.2177</f>
        <v>90000.217699999994</v>
      </c>
      <c r="R41" s="3723">
        <f>90000+128*6+5</f>
        <v>90773</v>
      </c>
      <c r="S41" s="3722">
        <f>128*4+9</f>
        <v>521</v>
      </c>
      <c r="T41" s="773"/>
      <c r="U41" s="773"/>
      <c r="V41" s="773"/>
      <c r="W41" s="773"/>
      <c r="X41" s="773"/>
      <c r="Y41" s="773"/>
      <c r="Z41" s="773"/>
      <c r="AA41" s="773"/>
      <c r="AB41" s="1567"/>
      <c r="AC41" s="773"/>
      <c r="AD41" s="1567"/>
      <c r="AE41" s="773"/>
      <c r="AF41" s="1567"/>
      <c r="AG41" s="773"/>
      <c r="AH41" s="773"/>
      <c r="AI41" s="773"/>
      <c r="AJ41" s="773"/>
      <c r="AK41" s="1567"/>
      <c r="AL41" s="773"/>
      <c r="AM41" s="773"/>
      <c r="AN41" s="1567"/>
      <c r="AO41" s="773"/>
      <c r="AP41" s="773"/>
      <c r="AQ41" s="773"/>
      <c r="AR41" s="773"/>
      <c r="AS41" s="773"/>
      <c r="AT41" s="773"/>
      <c r="AU41" s="773"/>
      <c r="AV41" s="773"/>
      <c r="AW41" s="1567"/>
      <c r="AX41" s="3202">
        <f>150000</f>
        <v>150000</v>
      </c>
      <c r="AY41" s="773"/>
      <c r="AZ41" s="773"/>
      <c r="BA41" s="773"/>
      <c r="BB41" s="773"/>
      <c r="BC41" s="773"/>
      <c r="BD41" s="773"/>
      <c r="BE41" s="773"/>
      <c r="BF41" s="1567"/>
      <c r="BG41" s="773"/>
      <c r="BH41" s="773"/>
      <c r="BI41" s="3251">
        <f>128*17+10</f>
        <v>2186</v>
      </c>
      <c r="BJ41" s="773"/>
      <c r="BK41" s="773"/>
      <c r="BL41" s="773"/>
      <c r="BM41" s="773"/>
      <c r="BN41" s="773"/>
      <c r="BO41" s="773"/>
      <c r="BP41" s="773"/>
      <c r="BQ41" s="773"/>
      <c r="BR41" s="773"/>
      <c r="BS41" s="773"/>
      <c r="BT41" s="773"/>
      <c r="BU41" s="773"/>
      <c r="BV41" s="773"/>
      <c r="BW41" s="1567"/>
      <c r="BX41" s="773"/>
      <c r="BY41" s="773"/>
      <c r="BZ41" s="773"/>
      <c r="CA41" s="773"/>
      <c r="CB41" s="773"/>
      <c r="CC41" s="773"/>
      <c r="CD41" s="773"/>
      <c r="CE41" s="773"/>
      <c r="CF41" s="771">
        <v>220022</v>
      </c>
      <c r="CG41" s="771">
        <v>220022</v>
      </c>
      <c r="CH41" s="771">
        <v>220022</v>
      </c>
      <c r="CI41" s="771">
        <v>220022</v>
      </c>
      <c r="CJ41" s="771">
        <v>220022</v>
      </c>
      <c r="CK41" s="771">
        <v>220022</v>
      </c>
      <c r="CL41" s="498">
        <v>220022</v>
      </c>
      <c r="CS41" s="1888">
        <v>24</v>
      </c>
      <c r="CT41" t="s">
        <v>19</v>
      </c>
      <c r="IU41" t="s">
        <v>887</v>
      </c>
      <c r="IV41" s="499">
        <v>104</v>
      </c>
    </row>
    <row r="42" spans="1:256" ht="16.5" thickTop="1">
      <c r="A42" s="499">
        <v>24</v>
      </c>
      <c r="B42" s="773"/>
      <c r="C42" s="773"/>
      <c r="D42" s="1567"/>
      <c r="E42" s="773"/>
      <c r="F42" s="773"/>
      <c r="G42" s="2290"/>
      <c r="H42" s="1093">
        <v>90009</v>
      </c>
      <c r="I42" s="2372">
        <v>90000</v>
      </c>
      <c r="J42" s="2383"/>
      <c r="K42" s="2388">
        <v>0.03</v>
      </c>
      <c r="L42" s="2308">
        <v>90009</v>
      </c>
      <c r="M42" s="2383">
        <f>128*11+10+0.256+0.038</f>
        <v>1418.2940000000001</v>
      </c>
      <c r="N42" s="2308">
        <v>90009</v>
      </c>
      <c r="O42" s="2388">
        <v>0.03</v>
      </c>
      <c r="P42" s="2384"/>
      <c r="Q42" s="2374">
        <v>90000</v>
      </c>
      <c r="R42" s="2377">
        <v>90009</v>
      </c>
      <c r="S42" s="2348"/>
      <c r="T42" s="773"/>
      <c r="U42" s="773"/>
      <c r="V42" s="773"/>
      <c r="W42" s="773"/>
      <c r="X42" s="1567"/>
      <c r="Y42" s="773"/>
      <c r="Z42" s="773"/>
      <c r="AA42" s="773"/>
      <c r="AB42" s="773"/>
      <c r="AC42" s="773"/>
      <c r="AD42" s="773"/>
      <c r="AE42" s="773"/>
      <c r="AF42" s="773"/>
      <c r="AG42" s="1567"/>
      <c r="AH42" s="773"/>
      <c r="AI42" s="773"/>
      <c r="AJ42" s="773"/>
      <c r="AK42" s="773"/>
      <c r="AL42" s="773"/>
      <c r="AM42" s="773"/>
      <c r="AN42" s="773"/>
      <c r="AO42" s="773"/>
      <c r="AP42" s="773"/>
      <c r="AQ42" s="773"/>
      <c r="AR42" s="773"/>
      <c r="AS42" s="773"/>
      <c r="AT42" s="773"/>
      <c r="AU42" s="773"/>
      <c r="AV42" s="773"/>
      <c r="AW42" s="773"/>
      <c r="AX42" s="2355">
        <v>150015</v>
      </c>
      <c r="AY42" s="773"/>
      <c r="AZ42" s="773"/>
      <c r="BA42" s="773"/>
      <c r="BB42" s="773"/>
      <c r="BC42" s="773"/>
      <c r="BD42" s="773"/>
      <c r="BE42" s="773"/>
      <c r="BF42" s="773"/>
      <c r="BG42" s="773"/>
      <c r="BH42" s="773"/>
      <c r="BI42" s="773"/>
      <c r="BJ42" s="773"/>
      <c r="BK42" s="773"/>
      <c r="BL42" s="773"/>
      <c r="BM42" s="1567"/>
      <c r="BN42" s="773"/>
      <c r="BO42" s="3251">
        <f>128*17+6</f>
        <v>2182</v>
      </c>
      <c r="BP42" s="773"/>
      <c r="BQ42" s="773"/>
      <c r="BR42" s="773"/>
      <c r="BS42" s="773"/>
      <c r="BT42" s="773"/>
      <c r="BU42" s="773"/>
      <c r="BV42" s="773"/>
      <c r="BW42" s="773"/>
      <c r="BX42" s="773"/>
      <c r="BY42" s="773"/>
      <c r="BZ42" s="773"/>
      <c r="CA42" s="773"/>
      <c r="CB42" s="773"/>
      <c r="CC42" s="773"/>
      <c r="CD42" s="773"/>
      <c r="CE42" s="773"/>
      <c r="CF42" s="773"/>
      <c r="CG42" s="773"/>
      <c r="CH42" s="773"/>
      <c r="CI42" s="773"/>
      <c r="CJ42" s="773"/>
      <c r="CK42" s="773"/>
      <c r="CL42" s="499">
        <v>24</v>
      </c>
      <c r="CS42" s="1888">
        <v>25</v>
      </c>
      <c r="CT42" t="s">
        <v>21</v>
      </c>
    </row>
    <row r="43" spans="1:256" ht="16.5" thickBot="1">
      <c r="A43" s="499">
        <v>24</v>
      </c>
      <c r="B43" s="773"/>
      <c r="C43" s="773"/>
      <c r="D43" s="773"/>
      <c r="E43" s="773"/>
      <c r="F43" s="773"/>
      <c r="G43" s="2290"/>
      <c r="H43" s="2525"/>
      <c r="I43" s="2382">
        <v>90009</v>
      </c>
      <c r="J43" s="2375">
        <v>90000</v>
      </c>
      <c r="K43" s="2383"/>
      <c r="L43" s="2308">
        <v>90009</v>
      </c>
      <c r="M43" s="2799">
        <f>128*5+52</f>
        <v>692</v>
      </c>
      <c r="N43" s="2308">
        <v>90009</v>
      </c>
      <c r="O43" s="2383"/>
      <c r="P43" s="2387">
        <v>90000</v>
      </c>
      <c r="Q43" s="2379">
        <v>90009</v>
      </c>
      <c r="R43" s="2347"/>
      <c r="S43" s="2348"/>
      <c r="T43" s="773"/>
      <c r="U43" s="773"/>
      <c r="V43" s="1567"/>
      <c r="W43" s="773"/>
      <c r="X43" s="773"/>
      <c r="Y43" s="773"/>
      <c r="Z43" s="773"/>
      <c r="AA43" s="773"/>
      <c r="AB43" s="1567"/>
      <c r="AC43" s="773"/>
      <c r="AD43" s="1567"/>
      <c r="AE43" s="773"/>
      <c r="AF43" s="1567"/>
      <c r="AG43" s="773"/>
      <c r="AH43" s="773"/>
      <c r="AI43" s="1567"/>
      <c r="AJ43" s="2642"/>
      <c r="AK43" s="2642"/>
      <c r="AL43" s="2642"/>
      <c r="AM43" s="2642"/>
      <c r="AN43" s="2642"/>
      <c r="AO43" s="2642"/>
      <c r="AP43" s="2642"/>
      <c r="AQ43" s="2642"/>
      <c r="AR43" s="2642"/>
      <c r="AS43" s="2642"/>
      <c r="AT43" s="2642"/>
      <c r="AU43" s="2642"/>
      <c r="AV43" s="2643"/>
      <c r="AW43" s="2643"/>
      <c r="AX43" s="2643"/>
      <c r="AY43" s="2643"/>
      <c r="AZ43" s="2643"/>
      <c r="BA43" s="2643"/>
      <c r="BB43" s="2643"/>
      <c r="BC43" s="2643"/>
      <c r="BD43" s="2643"/>
      <c r="BE43" s="2643"/>
      <c r="BF43" s="2643"/>
      <c r="BG43" s="773"/>
      <c r="BH43" s="773"/>
      <c r="BI43" s="1567"/>
      <c r="BJ43" s="773"/>
      <c r="BK43" s="773"/>
      <c r="BL43" s="773"/>
      <c r="BM43" s="773"/>
      <c r="BN43" s="773"/>
      <c r="BO43" s="773"/>
      <c r="BP43" s="773"/>
      <c r="BQ43" s="773"/>
      <c r="BR43" s="773"/>
      <c r="BS43" s="1567"/>
      <c r="BT43" s="773"/>
      <c r="BU43" s="773"/>
      <c r="BV43" s="773"/>
      <c r="BW43" s="773"/>
      <c r="BX43" s="773"/>
      <c r="BY43" s="2556">
        <v>90009</v>
      </c>
      <c r="BZ43" s="2556">
        <v>90009</v>
      </c>
      <c r="CA43" s="2556">
        <v>90009</v>
      </c>
      <c r="CB43" s="2556">
        <v>90009</v>
      </c>
      <c r="CC43" s="2556">
        <v>90009</v>
      </c>
      <c r="CD43" s="2556">
        <v>90009</v>
      </c>
      <c r="CE43" s="2556">
        <v>90009</v>
      </c>
      <c r="CF43" s="2556">
        <v>90009</v>
      </c>
      <c r="CG43" s="2556">
        <v>90009</v>
      </c>
      <c r="CH43" s="2556">
        <v>90009</v>
      </c>
      <c r="CI43" s="2557">
        <v>90009</v>
      </c>
      <c r="CJ43" s="772"/>
      <c r="CK43" s="773"/>
      <c r="CL43" s="499">
        <v>24</v>
      </c>
      <c r="CS43" s="1888">
        <v>26</v>
      </c>
      <c r="CT43" t="s">
        <v>22</v>
      </c>
    </row>
    <row r="44" spans="1:256" ht="14.25" thickTop="1" thickBot="1">
      <c r="A44" s="499">
        <v>24</v>
      </c>
      <c r="B44" s="1567"/>
      <c r="C44" s="773"/>
      <c r="D44" s="773"/>
      <c r="E44" s="773"/>
      <c r="F44" s="773"/>
      <c r="G44" s="773"/>
      <c r="H44" s="2290"/>
      <c r="I44" s="2525"/>
      <c r="J44" s="2381">
        <v>90009</v>
      </c>
      <c r="K44" s="2374">
        <v>90000</v>
      </c>
      <c r="L44" s="2692">
        <f>90000+128*6+5+0.2171</f>
        <v>90773.217099999994</v>
      </c>
      <c r="M44" s="2374">
        <v>90000</v>
      </c>
      <c r="N44" s="2692">
        <f>90000+128*6+5+0.2171</f>
        <v>90773.217099999994</v>
      </c>
      <c r="O44" s="2372">
        <v>90000</v>
      </c>
      <c r="P44" s="2379">
        <v>90009</v>
      </c>
      <c r="Q44" s="2290"/>
      <c r="R44" s="2347"/>
      <c r="S44" s="773"/>
      <c r="T44" s="773"/>
      <c r="U44" s="773"/>
      <c r="V44" s="773"/>
      <c r="W44" s="1567"/>
      <c r="X44" s="773"/>
      <c r="Y44" s="773"/>
      <c r="Z44" s="1567"/>
      <c r="AA44" s="773"/>
      <c r="AB44" s="773"/>
      <c r="AC44" s="773"/>
      <c r="AD44" s="773"/>
      <c r="AE44" s="1567"/>
      <c r="AF44" s="773"/>
      <c r="AG44" s="773"/>
      <c r="AH44" s="1567"/>
      <c r="AI44" s="2642"/>
      <c r="AJ44" s="2642"/>
      <c r="AK44" s="2642"/>
      <c r="AL44" s="2642"/>
      <c r="AM44" s="2642"/>
      <c r="AN44" s="2642"/>
      <c r="AO44" s="2642"/>
      <c r="AP44" s="2642"/>
      <c r="AQ44" s="2642"/>
      <c r="AR44" s="2642"/>
      <c r="AS44" s="2642"/>
      <c r="AT44" s="2642"/>
      <c r="AU44" s="2642"/>
      <c r="AV44" s="2643"/>
      <c r="AW44" s="2643"/>
      <c r="AX44" s="2643"/>
      <c r="AY44" s="2643"/>
      <c r="AZ44" s="2643"/>
      <c r="BA44" s="2643"/>
      <c r="BB44" s="2643"/>
      <c r="BC44" s="2643"/>
      <c r="BD44" s="2643"/>
      <c r="BE44" s="2643"/>
      <c r="BF44" s="2643"/>
      <c r="BG44" s="773"/>
      <c r="BH44" s="773"/>
      <c r="BI44" s="773"/>
      <c r="BJ44" s="773"/>
      <c r="BK44" s="773"/>
      <c r="BL44" s="773"/>
      <c r="BM44" s="773"/>
      <c r="BN44" s="773"/>
      <c r="BO44" s="773"/>
      <c r="BP44" s="2700">
        <f>128*6+5</f>
        <v>773</v>
      </c>
      <c r="BQ44" s="773"/>
      <c r="BR44" s="773"/>
      <c r="BS44" s="773"/>
      <c r="BT44" s="773"/>
      <c r="BU44" s="773"/>
      <c r="BV44" s="773"/>
      <c r="BW44" s="773"/>
      <c r="BX44" s="2557">
        <v>90009</v>
      </c>
      <c r="BY44" s="504">
        <v>51</v>
      </c>
      <c r="BZ44" s="498">
        <v>51</v>
      </c>
      <c r="CA44" s="498">
        <v>51</v>
      </c>
      <c r="CB44" s="498">
        <v>51</v>
      </c>
      <c r="CC44" s="498">
        <v>51</v>
      </c>
      <c r="CD44" s="498">
        <v>51</v>
      </c>
      <c r="CE44" s="498">
        <v>51</v>
      </c>
      <c r="CF44" s="498">
        <v>51</v>
      </c>
      <c r="CG44" s="498">
        <v>51</v>
      </c>
      <c r="CH44" s="498">
        <v>51</v>
      </c>
      <c r="CI44" s="498">
        <v>51</v>
      </c>
      <c r="CJ44" s="2556">
        <v>90009</v>
      </c>
      <c r="CK44" s="2556">
        <v>90009</v>
      </c>
      <c r="CL44" s="2557">
        <v>90009</v>
      </c>
      <c r="CS44" s="1888">
        <v>27</v>
      </c>
      <c r="CT44" t="s">
        <v>154</v>
      </c>
    </row>
    <row r="45" spans="1:256" ht="14.25" thickTop="1" thickBot="1">
      <c r="A45" s="499">
        <v>24</v>
      </c>
      <c r="B45" s="773"/>
      <c r="C45" s="773"/>
      <c r="D45" s="773"/>
      <c r="E45" s="2691">
        <v>26</v>
      </c>
      <c r="F45" s="773"/>
      <c r="G45" s="773"/>
      <c r="H45" s="773"/>
      <c r="I45" s="2290"/>
      <c r="J45" s="2524"/>
      <c r="K45" s="1093">
        <v>90009</v>
      </c>
      <c r="L45" s="1093">
        <v>90009</v>
      </c>
      <c r="M45" s="1093">
        <v>90009</v>
      </c>
      <c r="N45" s="1093">
        <v>90009</v>
      </c>
      <c r="O45" s="2377">
        <v>90009</v>
      </c>
      <c r="P45" s="2290"/>
      <c r="Q45" s="2347"/>
      <c r="R45" s="773"/>
      <c r="S45" s="773"/>
      <c r="T45" s="1567"/>
      <c r="U45" s="773"/>
      <c r="V45" s="1567"/>
      <c r="W45" s="2643"/>
      <c r="X45" s="2643"/>
      <c r="Y45" s="2643"/>
      <c r="Z45" s="2643"/>
      <c r="AA45" s="2643"/>
      <c r="AB45" s="2643"/>
      <c r="AC45" s="2643"/>
      <c r="AD45" s="2643"/>
      <c r="AE45" s="2642"/>
      <c r="AF45" s="2642"/>
      <c r="AG45" s="2642"/>
      <c r="AH45" s="2642"/>
      <c r="AI45" s="2642"/>
      <c r="AJ45" s="2642"/>
      <c r="AK45" s="2642"/>
      <c r="AL45" s="773"/>
      <c r="AM45" s="773"/>
      <c r="AN45" s="773"/>
      <c r="AO45" s="773"/>
      <c r="AP45" s="773"/>
      <c r="AQ45" s="773"/>
      <c r="AR45" s="773"/>
      <c r="AS45" s="773"/>
      <c r="AT45" s="773"/>
      <c r="AU45" s="773"/>
      <c r="AV45" s="773"/>
      <c r="AW45" s="773"/>
      <c r="AX45" s="773"/>
      <c r="AY45" s="773"/>
      <c r="AZ45" s="773"/>
      <c r="BA45" s="773"/>
      <c r="BB45" s="773"/>
      <c r="BC45" s="773"/>
      <c r="BD45" s="773"/>
      <c r="BE45" s="2643"/>
      <c r="BF45" s="2643"/>
      <c r="BG45" s="773"/>
      <c r="BH45" s="773"/>
      <c r="BI45" s="773"/>
      <c r="BJ45" s="773"/>
      <c r="BK45" s="773"/>
      <c r="BL45" s="773"/>
      <c r="BM45" s="773"/>
      <c r="BN45" s="773"/>
      <c r="BO45" s="773"/>
      <c r="BP45" s="773"/>
      <c r="BQ45" s="773"/>
      <c r="BR45" s="773"/>
      <c r="BS45" s="773"/>
      <c r="BT45" s="773"/>
      <c r="BU45" s="773"/>
      <c r="BV45" s="2556">
        <v>90009</v>
      </c>
      <c r="BW45" s="2556">
        <v>90009</v>
      </c>
      <c r="BX45" s="2557">
        <v>90009</v>
      </c>
      <c r="BY45" s="504">
        <v>51</v>
      </c>
      <c r="BZ45" s="1207"/>
      <c r="CA45" s="1207">
        <v>0.19700000000000001</v>
      </c>
      <c r="CB45" s="2543"/>
      <c r="CC45" s="2543"/>
      <c r="CD45" s="2543"/>
      <c r="CE45" s="1207"/>
      <c r="CF45" s="1574">
        <f>128*14+3</f>
        <v>1795</v>
      </c>
      <c r="CG45" s="1574"/>
      <c r="CH45" s="1574">
        <v>0.19570000000000001</v>
      </c>
      <c r="CI45" s="498">
        <v>51</v>
      </c>
      <c r="CJ45" s="773"/>
      <c r="CK45" s="773"/>
      <c r="CL45" s="499">
        <v>24</v>
      </c>
      <c r="CS45" s="1888">
        <v>28</v>
      </c>
      <c r="CT45" t="s">
        <v>155</v>
      </c>
    </row>
    <row r="46" spans="1:256" ht="17.25" thickTop="1" thickBot="1">
      <c r="A46" s="499">
        <v>24</v>
      </c>
      <c r="B46" s="773"/>
      <c r="C46" s="773"/>
      <c r="D46" s="773"/>
      <c r="E46" s="2696"/>
      <c r="F46" s="773"/>
      <c r="G46" s="773"/>
      <c r="H46" s="773"/>
      <c r="I46" s="773"/>
      <c r="J46" s="2290"/>
      <c r="K46" s="2290"/>
      <c r="L46" s="2290"/>
      <c r="M46" s="2290"/>
      <c r="N46" s="2290"/>
      <c r="O46" s="2290"/>
      <c r="P46" s="2347"/>
      <c r="Q46" s="773"/>
      <c r="R46" s="773"/>
      <c r="S46" s="1567"/>
      <c r="T46" s="773"/>
      <c r="U46" s="773"/>
      <c r="V46" s="2643"/>
      <c r="W46" s="2643"/>
      <c r="X46" s="2643"/>
      <c r="Y46" s="2643"/>
      <c r="Z46" s="2643"/>
      <c r="AA46" s="2643"/>
      <c r="AB46" s="2643"/>
      <c r="AC46" s="2643"/>
      <c r="AD46" s="2643"/>
      <c r="AE46" s="2642"/>
      <c r="AF46" s="2642"/>
      <c r="AG46" s="2642"/>
      <c r="AH46" s="2642"/>
      <c r="AI46" s="2642"/>
      <c r="AJ46" s="2648">
        <f>128*4+36+0.384+0.002</f>
        <v>548.38599999999997</v>
      </c>
      <c r="AK46" s="2642"/>
      <c r="AL46" s="773"/>
      <c r="AM46" s="2642"/>
      <c r="AN46" s="2642"/>
      <c r="AO46" s="2642"/>
      <c r="AP46" s="2642"/>
      <c r="AQ46" s="2642"/>
      <c r="AR46" s="2642"/>
      <c r="AS46" s="2642"/>
      <c r="AT46" s="2642"/>
      <c r="AU46" s="2642"/>
      <c r="AV46" s="2643"/>
      <c r="AW46" s="2643"/>
      <c r="AX46" s="2643"/>
      <c r="AY46" s="2643"/>
      <c r="AZ46" s="2643"/>
      <c r="BA46" s="2643"/>
      <c r="BB46" s="2643"/>
      <c r="BC46" s="2643"/>
      <c r="BD46" s="2643"/>
      <c r="BE46" s="2643"/>
      <c r="BF46" s="2643"/>
      <c r="BG46" s="773"/>
      <c r="BH46" s="773"/>
      <c r="BI46" s="773"/>
      <c r="BJ46" s="773"/>
      <c r="BK46" s="773"/>
      <c r="BL46" s="3037">
        <f>128*17+12</f>
        <v>2188</v>
      </c>
      <c r="BM46" s="773"/>
      <c r="BN46" s="773"/>
      <c r="BO46" s="773"/>
      <c r="BP46" s="773"/>
      <c r="BQ46" s="773"/>
      <c r="BR46" s="773"/>
      <c r="BS46" s="773"/>
      <c r="BT46" s="773"/>
      <c r="BU46" s="2557">
        <v>90009</v>
      </c>
      <c r="BV46" s="504">
        <v>51</v>
      </c>
      <c r="BW46" s="771">
        <v>51</v>
      </c>
      <c r="BX46" s="771">
        <v>51</v>
      </c>
      <c r="BY46" s="498">
        <v>51</v>
      </c>
      <c r="BZ46" s="1207"/>
      <c r="CA46" s="1207"/>
      <c r="CB46" s="2543"/>
      <c r="CC46" s="1616">
        <v>51</v>
      </c>
      <c r="CD46" s="2544"/>
      <c r="CE46" s="1207"/>
      <c r="CF46" s="1574">
        <f>128*14+3</f>
        <v>1795</v>
      </c>
      <c r="CG46" s="2552">
        <f>128*9+62</f>
        <v>1214</v>
      </c>
      <c r="CH46" s="2545"/>
      <c r="CI46" s="2550">
        <f>14+0.1961</f>
        <v>14.196099999999999</v>
      </c>
      <c r="CJ46" s="773"/>
      <c r="CK46" s="773"/>
      <c r="CL46" s="2261">
        <v>24</v>
      </c>
      <c r="CS46" s="1888">
        <v>29</v>
      </c>
      <c r="CT46" t="s">
        <v>156</v>
      </c>
    </row>
    <row r="47" spans="1:256" ht="16.5" thickTop="1" thickBot="1">
      <c r="A47" s="499">
        <v>24</v>
      </c>
      <c r="B47" s="773"/>
      <c r="C47" s="1607">
        <v>26</v>
      </c>
      <c r="D47" s="2697"/>
      <c r="E47" s="2699">
        <f>290000+128*6+5+0.256+0.015</f>
        <v>290773.27100000001</v>
      </c>
      <c r="F47" s="2698"/>
      <c r="G47" s="2691">
        <v>26</v>
      </c>
      <c r="H47" s="773"/>
      <c r="I47" s="773"/>
      <c r="J47" s="773"/>
      <c r="K47" s="773"/>
      <c r="L47" s="773"/>
      <c r="M47" s="773"/>
      <c r="N47" s="773"/>
      <c r="O47" s="773"/>
      <c r="P47" s="773"/>
      <c r="Q47" s="773"/>
      <c r="R47" s="773"/>
      <c r="S47" s="773"/>
      <c r="T47" s="773"/>
      <c r="U47" s="773"/>
      <c r="V47" s="2643"/>
      <c r="W47" s="2643"/>
      <c r="X47" s="2643"/>
      <c r="Y47" s="2643"/>
      <c r="Z47" s="2643"/>
      <c r="AA47" s="2643"/>
      <c r="AB47" s="2643"/>
      <c r="AC47" s="2643"/>
      <c r="AD47" s="2643"/>
      <c r="AE47" s="2642"/>
      <c r="AF47" s="2642"/>
      <c r="AG47" s="2642"/>
      <c r="AH47" s="2642"/>
      <c r="AI47" s="2642"/>
      <c r="AJ47" s="2642"/>
      <c r="AK47" s="2642"/>
      <c r="AL47" s="773"/>
      <c r="AM47" s="2642"/>
      <c r="AN47" s="2642"/>
      <c r="AO47" s="2642"/>
      <c r="AP47" s="2642"/>
      <c r="AQ47" s="2642"/>
      <c r="AR47" s="2642"/>
      <c r="AS47" s="2642"/>
      <c r="AT47" s="2642"/>
      <c r="AU47" s="2642"/>
      <c r="AV47" s="2643"/>
      <c r="AW47" s="2643"/>
      <c r="AX47" s="2643"/>
      <c r="AY47" s="2643"/>
      <c r="AZ47" s="2643"/>
      <c r="BA47" s="2643"/>
      <c r="BB47" s="2643"/>
      <c r="BC47" s="2643"/>
      <c r="BD47" s="2643"/>
      <c r="BE47" s="2643"/>
      <c r="BF47" s="2643"/>
      <c r="BG47" s="773"/>
      <c r="BH47" s="773"/>
      <c r="BI47" s="773"/>
      <c r="BJ47" s="773"/>
      <c r="BK47" s="504">
        <v>29</v>
      </c>
      <c r="BL47" s="3040">
        <f>128*5+39</f>
        <v>679</v>
      </c>
      <c r="BM47" s="504">
        <v>29</v>
      </c>
      <c r="BN47" s="773"/>
      <c r="BO47" s="773"/>
      <c r="BP47" s="773"/>
      <c r="BQ47" s="773"/>
      <c r="BR47" s="773"/>
      <c r="BS47" s="773"/>
      <c r="BT47" s="2556">
        <v>90009</v>
      </c>
      <c r="BU47" s="2557">
        <v>90009</v>
      </c>
      <c r="BV47" s="504">
        <v>51</v>
      </c>
      <c r="BW47" s="2549">
        <v>0.19500000000000001</v>
      </c>
      <c r="BX47" s="1207"/>
      <c r="BY47" s="2546">
        <v>0.188</v>
      </c>
      <c r="BZ47" s="1207"/>
      <c r="CA47" s="2538">
        <v>51</v>
      </c>
      <c r="CB47" s="2546">
        <v>0.19700000000000001</v>
      </c>
      <c r="CC47" s="2551"/>
      <c r="CD47" s="1207"/>
      <c r="CE47" s="2540">
        <v>51</v>
      </c>
      <c r="CF47" s="1574">
        <f>128*14+3+0.195</f>
        <v>1795.1949999999999</v>
      </c>
      <c r="CG47" s="3120">
        <f>128*17+12</f>
        <v>2188</v>
      </c>
      <c r="CH47" s="2545"/>
      <c r="CI47" s="2377">
        <f>14+0.221</f>
        <v>14.221</v>
      </c>
      <c r="CJ47" s="2377">
        <v>14</v>
      </c>
      <c r="CK47" s="2377">
        <v>14</v>
      </c>
      <c r="CL47" s="499">
        <v>24</v>
      </c>
      <c r="CS47" s="1888">
        <v>30</v>
      </c>
      <c r="CT47" t="s">
        <v>157</v>
      </c>
    </row>
    <row r="48" spans="1:256" ht="17.25" thickTop="1" thickBot="1">
      <c r="A48" s="499">
        <v>24</v>
      </c>
      <c r="B48" s="773"/>
      <c r="C48" s="773"/>
      <c r="D48" s="773"/>
      <c r="E48" s="2695"/>
      <c r="F48" s="773"/>
      <c r="G48" s="773"/>
      <c r="H48" s="773"/>
      <c r="I48" s="773"/>
      <c r="J48" s="1567"/>
      <c r="K48" s="773"/>
      <c r="L48" s="773"/>
      <c r="M48" s="1567"/>
      <c r="N48" s="773"/>
      <c r="O48" s="773"/>
      <c r="P48" s="773"/>
      <c r="Q48" s="1567"/>
      <c r="R48" s="773"/>
      <c r="S48" s="773"/>
      <c r="T48" s="773"/>
      <c r="U48" s="773"/>
      <c r="V48" s="2643"/>
      <c r="W48" s="2643"/>
      <c r="X48" s="2643"/>
      <c r="Y48" s="773"/>
      <c r="Z48" s="773"/>
      <c r="AA48" s="773"/>
      <c r="AB48" s="773"/>
      <c r="AC48" s="773"/>
      <c r="AD48" s="773"/>
      <c r="AE48" s="773"/>
      <c r="AF48" s="773"/>
      <c r="AG48" s="773"/>
      <c r="AH48" s="773"/>
      <c r="AI48" s="773"/>
      <c r="AJ48" s="773"/>
      <c r="AK48" s="773"/>
      <c r="AL48" s="773"/>
      <c r="AM48" s="773"/>
      <c r="AN48" s="773"/>
      <c r="AO48" s="773"/>
      <c r="AP48" s="773"/>
      <c r="AQ48" s="773"/>
      <c r="AR48" s="773"/>
      <c r="AS48" s="773"/>
      <c r="AT48" s="773"/>
      <c r="AU48" s="773"/>
      <c r="AV48" s="773"/>
      <c r="AW48" s="773"/>
      <c r="AX48" s="773"/>
      <c r="AY48" s="773"/>
      <c r="AZ48" s="773"/>
      <c r="BA48" s="773"/>
      <c r="BB48" s="773"/>
      <c r="BC48" s="773"/>
      <c r="BD48" s="773"/>
      <c r="BE48" s="2643"/>
      <c r="BF48" s="2643"/>
      <c r="BG48" s="773"/>
      <c r="BH48" s="773"/>
      <c r="BI48" s="773"/>
      <c r="BJ48" s="3038">
        <f>128*17+10</f>
        <v>2186</v>
      </c>
      <c r="BK48" s="3040">
        <f>128*5+39</f>
        <v>679</v>
      </c>
      <c r="BL48" s="757">
        <f>128*14+116+0.256+0.019</f>
        <v>1908.2750000000001</v>
      </c>
      <c r="BM48" s="3040">
        <f>128*5+39</f>
        <v>679</v>
      </c>
      <c r="BN48" s="3039">
        <f>128*17+6</f>
        <v>2182</v>
      </c>
      <c r="BO48" s="773"/>
      <c r="BP48" s="773"/>
      <c r="BQ48" s="773"/>
      <c r="BR48" s="773"/>
      <c r="BS48" s="2556">
        <v>90009</v>
      </c>
      <c r="BT48" s="2554">
        <v>51</v>
      </c>
      <c r="BU48" s="2259">
        <v>14</v>
      </c>
      <c r="BV48" s="498">
        <v>51</v>
      </c>
      <c r="BW48" s="1207"/>
      <c r="BX48" s="504">
        <v>51</v>
      </c>
      <c r="BY48" s="1207"/>
      <c r="BZ48" s="1207">
        <v>0.19500000000000001</v>
      </c>
      <c r="CA48" s="1207"/>
      <c r="CB48" s="1207"/>
      <c r="CC48" s="2551">
        <v>0.19500000000000001</v>
      </c>
      <c r="CD48" s="1574"/>
      <c r="CE48" s="3258">
        <v>0.19</v>
      </c>
      <c r="CF48" s="1574">
        <f>128*14+3</f>
        <v>1795</v>
      </c>
      <c r="CG48" s="3041"/>
      <c r="CH48" s="2542">
        <v>0.222</v>
      </c>
      <c r="CI48" s="2226">
        <v>0.193</v>
      </c>
      <c r="CJ48" s="2542">
        <v>0.222</v>
      </c>
      <c r="CK48" s="2377">
        <v>14</v>
      </c>
      <c r="CL48" s="499">
        <v>24</v>
      </c>
      <c r="CS48" s="1888">
        <v>31</v>
      </c>
      <c r="CT48" t="s">
        <v>448</v>
      </c>
    </row>
    <row r="49" spans="1:90" ht="17.25" thickTop="1" thickBot="1">
      <c r="A49" s="499">
        <v>24</v>
      </c>
      <c r="B49" s="773"/>
      <c r="C49" s="773"/>
      <c r="D49" s="773"/>
      <c r="E49" s="2691">
        <v>26</v>
      </c>
      <c r="F49" s="773"/>
      <c r="G49" s="773"/>
      <c r="H49" s="773"/>
      <c r="I49" s="773"/>
      <c r="J49" s="773"/>
      <c r="K49" s="1567"/>
      <c r="L49" s="773"/>
      <c r="M49" s="773"/>
      <c r="N49" s="773"/>
      <c r="O49" s="1567"/>
      <c r="P49" s="773"/>
      <c r="Q49" s="773"/>
      <c r="R49" s="3037">
        <f>128*17+6</f>
        <v>2182</v>
      </c>
      <c r="S49" s="773"/>
      <c r="T49" s="773"/>
      <c r="U49" s="773"/>
      <c r="V49" s="2643"/>
      <c r="W49" s="2643"/>
      <c r="X49" s="2643"/>
      <c r="Y49" s="773"/>
      <c r="Z49" s="2643"/>
      <c r="AA49" s="2643"/>
      <c r="AB49" s="2643"/>
      <c r="AC49" s="2643"/>
      <c r="AD49" s="2643"/>
      <c r="AE49" s="2642"/>
      <c r="AF49" s="2642"/>
      <c r="AG49" s="2642"/>
      <c r="AH49" s="2642"/>
      <c r="AI49" s="2642"/>
      <c r="AJ49" s="2642"/>
      <c r="AK49" s="2642"/>
      <c r="AL49" s="2642"/>
      <c r="AM49" s="2642"/>
      <c r="AN49" s="2642"/>
      <c r="AO49" s="2642"/>
      <c r="AP49" s="2642"/>
      <c r="AQ49" s="2642"/>
      <c r="AR49" s="2642"/>
      <c r="AS49" s="2642"/>
      <c r="AT49" s="2642"/>
      <c r="AU49" s="2642"/>
      <c r="AV49" s="2643"/>
      <c r="AW49" s="2643"/>
      <c r="AX49" s="2643"/>
      <c r="AY49" s="2643"/>
      <c r="AZ49" s="2643"/>
      <c r="BA49" s="2643"/>
      <c r="BB49" s="2643"/>
      <c r="BC49" s="2643"/>
      <c r="BD49" s="773"/>
      <c r="BE49" s="2643"/>
      <c r="BF49" s="2643"/>
      <c r="BG49" s="773"/>
      <c r="BH49" s="773"/>
      <c r="BI49" s="773"/>
      <c r="BJ49" s="773"/>
      <c r="BK49" s="504">
        <v>29</v>
      </c>
      <c r="BL49" s="3040">
        <f>128*5+39</f>
        <v>679</v>
      </c>
      <c r="BM49" s="504">
        <v>29</v>
      </c>
      <c r="BN49" s="773"/>
      <c r="BO49" s="773"/>
      <c r="BP49" s="773"/>
      <c r="BQ49" s="773"/>
      <c r="BR49" s="773"/>
      <c r="BS49" s="2556">
        <v>90009</v>
      </c>
      <c r="BT49" s="2555">
        <v>51</v>
      </c>
      <c r="BU49" s="2535">
        <f>128*11+5+0.256+0.038</f>
        <v>1413.2940000000001</v>
      </c>
      <c r="BV49" s="2453">
        <f>128*16+12</f>
        <v>2060</v>
      </c>
      <c r="BW49" s="2454"/>
      <c r="BX49" s="504">
        <v>51</v>
      </c>
      <c r="BY49" s="1207"/>
      <c r="BZ49" s="2538">
        <v>51</v>
      </c>
      <c r="CA49" s="2547"/>
      <c r="CB49" s="2547"/>
      <c r="CC49" s="2539">
        <f>51+0.137</f>
        <v>51.137</v>
      </c>
      <c r="CD49" s="1574"/>
      <c r="CE49" s="1574"/>
      <c r="CF49" s="1574">
        <f>128*14+3</f>
        <v>1795</v>
      </c>
      <c r="CG49" s="3041">
        <f>128*17+6</f>
        <v>2182</v>
      </c>
      <c r="CH49" s="2553" t="s">
        <v>944</v>
      </c>
      <c r="CI49" s="2548">
        <v>51</v>
      </c>
      <c r="CJ49" s="2226">
        <f>128*10+14</f>
        <v>1294</v>
      </c>
      <c r="CK49" s="2377">
        <f>14+0.221</f>
        <v>14.221</v>
      </c>
      <c r="CL49" s="499">
        <v>24</v>
      </c>
    </row>
    <row r="50" spans="1:90" ht="17.25" thickTop="1" thickBot="1">
      <c r="A50" s="499">
        <v>24</v>
      </c>
      <c r="B50" s="773"/>
      <c r="C50" s="773"/>
      <c r="D50" s="773"/>
      <c r="E50" s="773"/>
      <c r="F50" s="773"/>
      <c r="G50" s="773"/>
      <c r="H50" s="773"/>
      <c r="I50" s="1567"/>
      <c r="J50" s="773"/>
      <c r="K50" s="773"/>
      <c r="L50" s="773"/>
      <c r="M50" s="1567"/>
      <c r="N50" s="773"/>
      <c r="O50" s="773"/>
      <c r="P50" s="773"/>
      <c r="Q50" s="504">
        <v>29</v>
      </c>
      <c r="R50" s="3040">
        <f>128*5+39</f>
        <v>679</v>
      </c>
      <c r="S50" s="504">
        <v>29</v>
      </c>
      <c r="T50" s="773"/>
      <c r="U50" s="773"/>
      <c r="V50" s="2643"/>
      <c r="W50" s="2643"/>
      <c r="X50" s="2643"/>
      <c r="Y50" s="773"/>
      <c r="Z50" s="2643"/>
      <c r="AA50" s="2643"/>
      <c r="AB50" s="2643"/>
      <c r="AC50" s="2643"/>
      <c r="AD50" s="2643"/>
      <c r="AE50" s="2642"/>
      <c r="AF50" s="2642"/>
      <c r="AG50" s="2642"/>
      <c r="AH50" s="2642"/>
      <c r="AI50" s="2642"/>
      <c r="AJ50" s="2642"/>
      <c r="AK50" s="2642"/>
      <c r="AL50" s="2642"/>
      <c r="AM50" s="2642"/>
      <c r="AN50" s="2642"/>
      <c r="AO50" s="2642"/>
      <c r="AP50" s="2642"/>
      <c r="AQ50" s="2642"/>
      <c r="AR50" s="2642"/>
      <c r="AS50" s="2642"/>
      <c r="AT50" s="2642"/>
      <c r="AU50" s="2642"/>
      <c r="AV50" s="2643"/>
      <c r="AW50" s="2643"/>
      <c r="AX50" s="2643"/>
      <c r="AY50" s="2643"/>
      <c r="AZ50" s="2643"/>
      <c r="BA50" s="2643"/>
      <c r="BB50" s="2643"/>
      <c r="BC50" s="2643"/>
      <c r="BD50" s="773"/>
      <c r="BE50" s="2643"/>
      <c r="BF50" s="2643"/>
      <c r="BG50" s="773"/>
      <c r="BH50" s="773"/>
      <c r="BI50" s="773"/>
      <c r="BJ50" s="773"/>
      <c r="BK50" s="773"/>
      <c r="BL50" s="773"/>
      <c r="BM50" s="773"/>
      <c r="BN50" s="773"/>
      <c r="BO50" s="773"/>
      <c r="BP50" s="773"/>
      <c r="BQ50" s="773"/>
      <c r="BR50" s="773"/>
      <c r="BS50" s="2556">
        <v>90009</v>
      </c>
      <c r="BT50" s="2554">
        <v>51</v>
      </c>
      <c r="BU50" s="2259">
        <v>14</v>
      </c>
      <c r="BV50" s="498">
        <v>51</v>
      </c>
      <c r="BW50" s="1207"/>
      <c r="BX50" s="504">
        <v>51</v>
      </c>
      <c r="BY50" s="1207"/>
      <c r="BZ50" s="2538">
        <v>51</v>
      </c>
      <c r="CA50" s="1207"/>
      <c r="CB50" s="1207"/>
      <c r="CC50" s="1207"/>
      <c r="CD50" s="1574"/>
      <c r="CE50" s="3257">
        <v>0.191</v>
      </c>
      <c r="CF50" s="1574">
        <f>128*14+3</f>
        <v>1795</v>
      </c>
      <c r="CG50" s="3041"/>
      <c r="CH50" s="2226">
        <v>0.222</v>
      </c>
      <c r="CI50" s="2226">
        <v>0.193</v>
      </c>
      <c r="CJ50" s="2226">
        <v>0.222</v>
      </c>
      <c r="CK50" s="2377">
        <v>14</v>
      </c>
      <c r="CL50" s="499">
        <v>24</v>
      </c>
    </row>
    <row r="51" spans="1:90" ht="15" thickTop="1" thickBot="1">
      <c r="A51" s="499">
        <v>24</v>
      </c>
      <c r="B51" s="1093">
        <v>90009</v>
      </c>
      <c r="C51" s="1093">
        <v>90009</v>
      </c>
      <c r="D51" s="1093">
        <v>90009</v>
      </c>
      <c r="E51" s="1093">
        <v>90009</v>
      </c>
      <c r="F51" s="1093">
        <v>90009</v>
      </c>
      <c r="G51" s="1093">
        <v>90009</v>
      </c>
      <c r="H51" s="773"/>
      <c r="I51" s="773"/>
      <c r="J51" s="773"/>
      <c r="K51" s="773"/>
      <c r="L51" s="773"/>
      <c r="M51" s="773"/>
      <c r="N51" s="773"/>
      <c r="O51" s="773"/>
      <c r="P51" s="773"/>
      <c r="Q51" s="3040">
        <f>128*5+39</f>
        <v>679</v>
      </c>
      <c r="R51" s="757">
        <f>128*10+7+0.256+0.0084</f>
        <v>1287.2644</v>
      </c>
      <c r="S51" s="3040">
        <f>128*5+39</f>
        <v>679</v>
      </c>
      <c r="T51" s="773"/>
      <c r="U51" s="773"/>
      <c r="V51" s="2643"/>
      <c r="W51" s="2643"/>
      <c r="X51" s="2643"/>
      <c r="Y51" s="773"/>
      <c r="Z51" s="2643"/>
      <c r="AA51" s="2643"/>
      <c r="AB51" s="773"/>
      <c r="AC51" s="773"/>
      <c r="AD51" s="773"/>
      <c r="AE51" s="773"/>
      <c r="AF51" s="773"/>
      <c r="AG51" s="773"/>
      <c r="AH51" s="773"/>
      <c r="AI51" s="773"/>
      <c r="AJ51" s="773"/>
      <c r="AK51" s="773"/>
      <c r="AL51" s="773"/>
      <c r="AM51" s="773"/>
      <c r="AN51" s="773"/>
      <c r="AO51" s="773"/>
      <c r="AP51" s="773"/>
      <c r="AQ51" s="773"/>
      <c r="AR51" s="773"/>
      <c r="AS51" s="773"/>
      <c r="AT51" s="773"/>
      <c r="AU51" s="773"/>
      <c r="AV51" s="773"/>
      <c r="AW51" s="773"/>
      <c r="AX51" s="773"/>
      <c r="AY51" s="773"/>
      <c r="AZ51" s="773"/>
      <c r="BA51" s="773"/>
      <c r="BB51" s="2643"/>
      <c r="BC51" s="2643"/>
      <c r="BD51" s="773"/>
      <c r="BE51" s="2643"/>
      <c r="BF51" s="2643"/>
      <c r="BG51" s="2643"/>
      <c r="BH51" s="773"/>
      <c r="BI51" s="773"/>
      <c r="BJ51" s="773"/>
      <c r="BK51" s="773"/>
      <c r="BL51" s="773"/>
      <c r="BM51" s="773"/>
      <c r="BN51" s="773"/>
      <c r="BO51" s="773"/>
      <c r="BP51" s="1567"/>
      <c r="BQ51" s="773"/>
      <c r="BR51" s="773"/>
      <c r="BS51" s="773"/>
      <c r="BT51" s="2557">
        <v>90009</v>
      </c>
      <c r="BU51" s="2557">
        <v>90009</v>
      </c>
      <c r="BV51" s="504">
        <v>51</v>
      </c>
      <c r="BW51" s="1207">
        <v>0.1951</v>
      </c>
      <c r="BX51" s="1207">
        <v>0.188</v>
      </c>
      <c r="BY51" s="1207"/>
      <c r="BZ51" s="2545">
        <v>0.19500000000000001</v>
      </c>
      <c r="CA51" s="1207">
        <v>0.1885</v>
      </c>
      <c r="CB51" s="504">
        <v>51</v>
      </c>
      <c r="CC51" s="2537"/>
      <c r="CD51" s="2537"/>
      <c r="CE51" s="2537"/>
      <c r="CF51" s="1574">
        <f>128*14+3+0.195</f>
        <v>1795.1949999999999</v>
      </c>
      <c r="CG51" s="3121">
        <f>128*17+12</f>
        <v>2188</v>
      </c>
      <c r="CH51" s="2545">
        <f>0.256+0.0221</f>
        <v>0.27810000000000001</v>
      </c>
      <c r="CI51" s="2377">
        <f>14+0.221</f>
        <v>14.221</v>
      </c>
      <c r="CJ51" s="2377">
        <v>14</v>
      </c>
      <c r="CK51" s="2377">
        <v>14</v>
      </c>
      <c r="CL51" s="499">
        <v>24</v>
      </c>
    </row>
    <row r="52" spans="1:90" ht="17.25" thickTop="1" thickBot="1">
      <c r="A52" s="499">
        <v>24</v>
      </c>
      <c r="B52" s="1068">
        <f>128*4+36+0.384+0.002</f>
        <v>548.38599999999997</v>
      </c>
      <c r="C52" s="1700"/>
      <c r="D52" s="1700"/>
      <c r="E52" s="1700"/>
      <c r="F52" s="1753"/>
      <c r="G52" s="2676">
        <f>128*2+29</f>
        <v>285</v>
      </c>
      <c r="H52" s="1093">
        <v>90009</v>
      </c>
      <c r="I52" s="1093">
        <v>90009</v>
      </c>
      <c r="J52" s="1093">
        <v>90009</v>
      </c>
      <c r="K52" s="773"/>
      <c r="L52" s="773"/>
      <c r="M52" s="773"/>
      <c r="N52" s="773"/>
      <c r="O52" s="1567"/>
      <c r="P52" s="773"/>
      <c r="Q52" s="504">
        <v>29</v>
      </c>
      <c r="R52" s="3040">
        <f>128*5+39</f>
        <v>679</v>
      </c>
      <c r="S52" s="504">
        <v>29</v>
      </c>
      <c r="T52" s="773"/>
      <c r="U52" s="773"/>
      <c r="V52" s="2643"/>
      <c r="W52" s="2643"/>
      <c r="X52" s="2643"/>
      <c r="Y52" s="773"/>
      <c r="Z52" s="2643"/>
      <c r="AA52" s="2643"/>
      <c r="AB52" s="773"/>
      <c r="AC52" s="2643"/>
      <c r="AD52" s="2643"/>
      <c r="AE52" s="2642"/>
      <c r="AF52" s="2642"/>
      <c r="AG52" s="2642"/>
      <c r="AH52" s="2642"/>
      <c r="AI52" s="2642"/>
      <c r="AJ52" s="2642"/>
      <c r="AK52" s="2642"/>
      <c r="AL52" s="2642"/>
      <c r="AM52" s="2642"/>
      <c r="AN52" s="2642"/>
      <c r="AO52" s="2642"/>
      <c r="AP52" s="2642"/>
      <c r="AQ52" s="2642"/>
      <c r="AR52" s="2642"/>
      <c r="AS52" s="2642"/>
      <c r="AT52" s="2642"/>
      <c r="AU52" s="2642"/>
      <c r="AV52" s="2643"/>
      <c r="AW52" s="2643"/>
      <c r="AX52" s="2643"/>
      <c r="AY52" s="2643"/>
      <c r="AZ52" s="2643"/>
      <c r="BA52" s="773"/>
      <c r="BB52" s="2643"/>
      <c r="BC52" s="2643"/>
      <c r="BD52" s="773"/>
      <c r="BE52" s="2643"/>
      <c r="BF52" s="2643"/>
      <c r="BG52" s="2643"/>
      <c r="BH52" s="773"/>
      <c r="BI52" s="773"/>
      <c r="BJ52" s="773"/>
      <c r="BK52" s="773"/>
      <c r="BL52" s="773"/>
      <c r="BM52" s="773"/>
      <c r="BN52" s="773"/>
      <c r="BO52" s="773"/>
      <c r="BP52" s="773"/>
      <c r="BQ52" s="773"/>
      <c r="BR52" s="773"/>
      <c r="BS52" s="773"/>
      <c r="BT52" s="773"/>
      <c r="BU52" s="2557">
        <v>90009</v>
      </c>
      <c r="BV52" s="504">
        <v>51</v>
      </c>
      <c r="BW52" s="498">
        <v>51</v>
      </c>
      <c r="BX52" s="498">
        <v>51</v>
      </c>
      <c r="BY52" s="498">
        <v>51</v>
      </c>
      <c r="BZ52" s="1207"/>
      <c r="CA52" s="1207"/>
      <c r="CB52" s="1207">
        <v>0.19500000000000001</v>
      </c>
      <c r="CC52" s="2537"/>
      <c r="CD52" s="2536">
        <v>23</v>
      </c>
      <c r="CE52" s="2537"/>
      <c r="CF52" s="1574">
        <f>128*14+3</f>
        <v>1795</v>
      </c>
      <c r="CG52" s="2545">
        <f>128*9+62</f>
        <v>1214</v>
      </c>
      <c r="CH52" s="2545"/>
      <c r="CI52" s="2377">
        <f>14+0.1969</f>
        <v>14.196899999999999</v>
      </c>
      <c r="CJ52" s="773"/>
      <c r="CK52" s="773"/>
      <c r="CL52" s="499">
        <v>24</v>
      </c>
    </row>
    <row r="53" spans="1:90" ht="14.25" thickTop="1" thickBot="1">
      <c r="A53" s="499">
        <v>24</v>
      </c>
      <c r="B53" s="1700"/>
      <c r="C53" s="2675"/>
      <c r="D53" s="2677"/>
      <c r="E53" s="2675"/>
      <c r="F53" s="2677"/>
      <c r="G53" s="1753"/>
      <c r="H53" s="1753"/>
      <c r="I53" s="1395">
        <f>128*14+7</f>
        <v>1799</v>
      </c>
      <c r="J53" s="757">
        <v>22</v>
      </c>
      <c r="K53" s="1093">
        <v>90009</v>
      </c>
      <c r="L53" s="1093">
        <v>90009</v>
      </c>
      <c r="M53" s="1093">
        <v>90009</v>
      </c>
      <c r="N53" s="773"/>
      <c r="O53" s="773"/>
      <c r="P53" s="773"/>
      <c r="Q53" s="773"/>
      <c r="R53" s="1567"/>
      <c r="S53" s="773"/>
      <c r="T53" s="773"/>
      <c r="U53" s="773"/>
      <c r="V53" s="2643"/>
      <c r="W53" s="2643"/>
      <c r="X53" s="2643"/>
      <c r="Y53" s="773"/>
      <c r="Z53" s="2643"/>
      <c r="AA53" s="2643"/>
      <c r="AB53" s="773"/>
      <c r="AC53" s="2643"/>
      <c r="AD53" s="2643"/>
      <c r="AE53" s="2642"/>
      <c r="AF53" s="2642"/>
      <c r="AG53" s="2642"/>
      <c r="AH53" s="2642"/>
      <c r="AI53" s="2642"/>
      <c r="AJ53" s="2642"/>
      <c r="AK53" s="2642"/>
      <c r="AL53" s="2642"/>
      <c r="AM53" s="2642"/>
      <c r="AN53" s="2642"/>
      <c r="AO53" s="2642"/>
      <c r="AP53" s="2642"/>
      <c r="AQ53" s="2642"/>
      <c r="AR53" s="2642"/>
      <c r="AS53" s="2642"/>
      <c r="AT53" s="2642"/>
      <c r="AU53" s="2642"/>
      <c r="AV53" s="2643"/>
      <c r="AW53" s="2643"/>
      <c r="AX53" s="2643"/>
      <c r="AY53" s="2643"/>
      <c r="AZ53" s="2643"/>
      <c r="BA53" s="773"/>
      <c r="BB53" s="2643"/>
      <c r="BC53" s="2643"/>
      <c r="BD53" s="773"/>
      <c r="BE53" s="2643"/>
      <c r="BF53" s="2643"/>
      <c r="BG53" s="2643"/>
      <c r="BH53" s="773"/>
      <c r="BI53" s="773"/>
      <c r="BJ53" s="773"/>
      <c r="BK53" s="1567"/>
      <c r="BL53" s="773"/>
      <c r="BM53" s="773"/>
      <c r="BN53" s="773"/>
      <c r="BO53" s="773"/>
      <c r="BP53" s="773"/>
      <c r="BQ53" s="773"/>
      <c r="BR53" s="773"/>
      <c r="BS53" s="773"/>
      <c r="BT53" s="773"/>
      <c r="BU53" s="773"/>
      <c r="BV53" s="2556">
        <v>90009</v>
      </c>
      <c r="BW53" s="2558">
        <v>90009</v>
      </c>
      <c r="BX53" s="773"/>
      <c r="BY53" s="498">
        <v>51</v>
      </c>
      <c r="BZ53" s="1207"/>
      <c r="CA53" s="2541">
        <v>51</v>
      </c>
      <c r="CB53" s="1207"/>
      <c r="CC53" s="2537"/>
      <c r="CD53" s="2537"/>
      <c r="CE53" s="2537"/>
      <c r="CF53" s="1574">
        <f>128*14+3+0.19</f>
        <v>1795.19</v>
      </c>
      <c r="CG53" s="1574"/>
      <c r="CH53" s="1574">
        <v>0.19570000000000001</v>
      </c>
      <c r="CI53" s="498">
        <v>51</v>
      </c>
      <c r="CJ53" s="773"/>
      <c r="CK53" s="773"/>
      <c r="CL53" s="499">
        <v>24</v>
      </c>
    </row>
    <row r="54" spans="1:90" ht="17.25" thickTop="1" thickBot="1">
      <c r="A54" s="499">
        <v>24</v>
      </c>
      <c r="B54" s="1700"/>
      <c r="C54" s="2676">
        <f>128*2+29</f>
        <v>285</v>
      </c>
      <c r="D54" s="1700"/>
      <c r="E54" s="2675"/>
      <c r="F54" s="1753"/>
      <c r="G54" s="1753"/>
      <c r="H54" s="1753"/>
      <c r="I54" s="1395">
        <f>128*14+7</f>
        <v>1799</v>
      </c>
      <c r="J54" s="757"/>
      <c r="K54" s="757">
        <v>22</v>
      </c>
      <c r="L54" s="757">
        <v>22</v>
      </c>
      <c r="M54" s="757">
        <v>22</v>
      </c>
      <c r="N54" s="1093">
        <v>90009</v>
      </c>
      <c r="O54" s="773"/>
      <c r="P54" s="773"/>
      <c r="Q54" s="773"/>
      <c r="R54" s="773"/>
      <c r="S54" s="773"/>
      <c r="T54" s="1567"/>
      <c r="U54" s="773"/>
      <c r="V54" s="2644"/>
      <c r="W54" s="2644"/>
      <c r="X54" s="2644"/>
      <c r="Y54" s="773"/>
      <c r="Z54" s="2644"/>
      <c r="AA54" s="2644"/>
      <c r="AB54" s="773"/>
      <c r="AC54" s="2644"/>
      <c r="AD54" s="2644"/>
      <c r="AE54" s="773"/>
      <c r="AF54" s="773"/>
      <c r="AG54" s="773"/>
      <c r="AH54" s="773"/>
      <c r="AI54" s="773"/>
      <c r="AJ54" s="773"/>
      <c r="AK54" s="773"/>
      <c r="AL54" s="773"/>
      <c r="AM54" s="773"/>
      <c r="AN54" s="773"/>
      <c r="AO54" s="773"/>
      <c r="AP54" s="773"/>
      <c r="AQ54" s="773"/>
      <c r="AR54" s="773"/>
      <c r="AS54" s="773"/>
      <c r="AT54" s="773"/>
      <c r="AU54" s="773"/>
      <c r="AV54" s="2644"/>
      <c r="AW54" s="2644"/>
      <c r="AX54" s="2648">
        <f>128*4+36+0.384+0.002</f>
        <v>548.38599999999997</v>
      </c>
      <c r="AY54" s="2644"/>
      <c r="AZ54" s="2644"/>
      <c r="BA54" s="773"/>
      <c r="BB54" s="2644"/>
      <c r="BC54" s="2644"/>
      <c r="BD54" s="773"/>
      <c r="BE54" s="2644"/>
      <c r="BF54" s="2644"/>
      <c r="BG54" s="2643"/>
      <c r="BH54" s="773"/>
      <c r="BI54" s="773"/>
      <c r="BJ54" s="773"/>
      <c r="BK54" s="773"/>
      <c r="BL54" s="773"/>
      <c r="BM54" s="773"/>
      <c r="BN54" s="2691">
        <v>26</v>
      </c>
      <c r="BO54" s="773"/>
      <c r="BP54" s="773"/>
      <c r="BQ54" s="773"/>
      <c r="BR54" s="773"/>
      <c r="BS54" s="773"/>
      <c r="BT54" s="773"/>
      <c r="BU54" s="773"/>
      <c r="BV54" s="773"/>
      <c r="BW54" s="773"/>
      <c r="BX54" s="2557">
        <v>90009</v>
      </c>
      <c r="BY54" s="504">
        <v>51</v>
      </c>
      <c r="BZ54" s="1207"/>
      <c r="CA54" s="1207"/>
      <c r="CB54" s="1207"/>
      <c r="CC54" s="498">
        <v>51</v>
      </c>
      <c r="CD54" s="498">
        <v>51</v>
      </c>
      <c r="CE54" s="498">
        <v>51</v>
      </c>
      <c r="CF54" s="498">
        <v>51</v>
      </c>
      <c r="CG54" s="498">
        <v>51</v>
      </c>
      <c r="CH54" s="498">
        <v>51</v>
      </c>
      <c r="CI54" s="498">
        <v>51</v>
      </c>
      <c r="CJ54" s="773"/>
      <c r="CK54" s="773"/>
      <c r="CL54" s="2261">
        <v>24</v>
      </c>
    </row>
    <row r="55" spans="1:90" ht="17.25" thickTop="1" thickBot="1">
      <c r="A55" s="499">
        <v>24</v>
      </c>
      <c r="B55" s="1700"/>
      <c r="C55" s="2677"/>
      <c r="D55" s="2675"/>
      <c r="E55" s="1700"/>
      <c r="F55" s="1701"/>
      <c r="G55" s="2677"/>
      <c r="H55" s="1753"/>
      <c r="I55" s="1395">
        <f>128*14+7</f>
        <v>1799</v>
      </c>
      <c r="J55" s="757"/>
      <c r="K55" s="757"/>
      <c r="L55" s="1383">
        <f>128*9+67</f>
        <v>1219</v>
      </c>
      <c r="M55" s="757">
        <v>0.217</v>
      </c>
      <c r="N55" s="757">
        <v>22</v>
      </c>
      <c r="O55" s="1093">
        <v>90009</v>
      </c>
      <c r="P55" s="773"/>
      <c r="Q55" s="773"/>
      <c r="R55" s="773"/>
      <c r="S55" s="773"/>
      <c r="T55" s="773"/>
      <c r="U55" s="773"/>
      <c r="V55" s="2644"/>
      <c r="W55" s="2644"/>
      <c r="X55" s="2644"/>
      <c r="Y55" s="773"/>
      <c r="Z55" s="2644"/>
      <c r="AA55" s="2644"/>
      <c r="AB55" s="2559">
        <f>128*9+64</f>
        <v>1216</v>
      </c>
      <c r="AC55" s="2644"/>
      <c r="AD55" s="2644"/>
      <c r="AE55" s="773"/>
      <c r="AF55" s="2420">
        <v>53</v>
      </c>
      <c r="AG55" s="2420">
        <v>53</v>
      </c>
      <c r="AH55" s="2420">
        <v>53</v>
      </c>
      <c r="AI55" s="2420">
        <v>53</v>
      </c>
      <c r="AJ55" s="2420">
        <v>53</v>
      </c>
      <c r="AK55" s="2420">
        <v>53</v>
      </c>
      <c r="AL55" s="2420">
        <v>53</v>
      </c>
      <c r="AM55" s="2420">
        <v>53</v>
      </c>
      <c r="AN55" s="2420">
        <v>53</v>
      </c>
      <c r="AO55" s="2420">
        <v>53</v>
      </c>
      <c r="AP55" s="2420">
        <v>53</v>
      </c>
      <c r="AQ55" s="2420">
        <v>53</v>
      </c>
      <c r="AR55" s="2420">
        <v>53</v>
      </c>
      <c r="AS55" s="2420">
        <v>53</v>
      </c>
      <c r="AT55" s="2420">
        <v>53</v>
      </c>
      <c r="AU55" s="773"/>
      <c r="AV55" s="2644"/>
      <c r="AW55" s="2644"/>
      <c r="AX55" s="773"/>
      <c r="AY55" s="2644"/>
      <c r="AZ55" s="2644"/>
      <c r="BA55" s="773"/>
      <c r="BB55" s="2644"/>
      <c r="BC55" s="2644"/>
      <c r="BD55" s="773"/>
      <c r="BE55" s="2644"/>
      <c r="BF55" s="2644"/>
      <c r="BG55" s="2643"/>
      <c r="BH55" s="2643"/>
      <c r="BI55" s="773"/>
      <c r="BJ55" s="773"/>
      <c r="BK55" s="773"/>
      <c r="BL55" s="773"/>
      <c r="BM55" s="773"/>
      <c r="BN55" s="2696"/>
      <c r="BO55" s="773"/>
      <c r="BP55" s="773"/>
      <c r="BQ55" s="773"/>
      <c r="BR55" s="773"/>
      <c r="BS55" s="773"/>
      <c r="BT55" s="1567"/>
      <c r="BU55" s="773"/>
      <c r="BV55" s="773"/>
      <c r="BW55" s="773"/>
      <c r="BX55" s="2557">
        <v>90009</v>
      </c>
      <c r="BY55" s="504">
        <v>51</v>
      </c>
      <c r="BZ55" s="498">
        <v>51</v>
      </c>
      <c r="CA55" s="498">
        <v>51</v>
      </c>
      <c r="CB55" s="498">
        <v>51</v>
      </c>
      <c r="CC55" s="498">
        <v>51</v>
      </c>
      <c r="CD55" s="2556">
        <v>90009</v>
      </c>
      <c r="CE55" s="2556">
        <v>90009</v>
      </c>
      <c r="CF55" s="2556">
        <v>90009</v>
      </c>
      <c r="CG55" s="2556">
        <v>90009</v>
      </c>
      <c r="CH55" s="2556">
        <v>90009</v>
      </c>
      <c r="CI55" s="2556">
        <v>90009</v>
      </c>
      <c r="CJ55" s="2556">
        <v>90009</v>
      </c>
      <c r="CK55" s="2556">
        <v>90009</v>
      </c>
      <c r="CL55" s="2557">
        <v>90009</v>
      </c>
    </row>
    <row r="56" spans="1:90" ht="17.25" thickTop="1" thickBot="1">
      <c r="A56" s="499">
        <v>24</v>
      </c>
      <c r="B56" s="1700"/>
      <c r="C56" s="1700"/>
      <c r="D56" s="2675"/>
      <c r="E56" s="2675"/>
      <c r="F56" s="1701"/>
      <c r="G56" s="1753"/>
      <c r="H56" s="1753"/>
      <c r="I56" s="1395">
        <f>128*14+7</f>
        <v>1799</v>
      </c>
      <c r="J56" s="757"/>
      <c r="K56" s="757"/>
      <c r="L56" s="757">
        <f>128*9+67</f>
        <v>1219</v>
      </c>
      <c r="M56" s="757"/>
      <c r="N56" s="757"/>
      <c r="O56" s="757">
        <v>22</v>
      </c>
      <c r="P56" s="1093">
        <v>90009</v>
      </c>
      <c r="Q56" s="773"/>
      <c r="R56" s="773"/>
      <c r="S56" s="1567"/>
      <c r="T56" s="773"/>
      <c r="U56" s="773"/>
      <c r="V56" s="2644"/>
      <c r="W56" s="2644"/>
      <c r="X56" s="2644"/>
      <c r="Y56" s="773"/>
      <c r="Z56" s="2644"/>
      <c r="AA56" s="2646">
        <f>128*9+65</f>
        <v>1217</v>
      </c>
      <c r="AB56" s="2643"/>
      <c r="AC56" s="2644"/>
      <c r="AD56" s="2644"/>
      <c r="AE56" s="773"/>
      <c r="AF56" s="2340">
        <v>53</v>
      </c>
      <c r="AG56" s="2432"/>
      <c r="AH56" s="2431"/>
      <c r="AI56" s="2439"/>
      <c r="AJ56" s="2431"/>
      <c r="AK56" s="2431"/>
      <c r="AL56" s="2431"/>
      <c r="AM56" s="2431"/>
      <c r="AN56" s="2430">
        <v>14</v>
      </c>
      <c r="AO56" s="2435">
        <v>14</v>
      </c>
      <c r="AP56" s="2430">
        <v>14</v>
      </c>
      <c r="AQ56" s="2431"/>
      <c r="AR56" s="2431"/>
      <c r="AS56" s="2431"/>
      <c r="AT56" s="2420">
        <v>53</v>
      </c>
      <c r="AU56" s="773"/>
      <c r="AV56" s="2644"/>
      <c r="AW56" s="2644"/>
      <c r="AX56" s="773"/>
      <c r="AY56" s="2644"/>
      <c r="AZ56" s="2644"/>
      <c r="BA56" s="773"/>
      <c r="BB56" s="2644"/>
      <c r="BC56" s="2644"/>
      <c r="BD56" s="773"/>
      <c r="BE56" s="2644"/>
      <c r="BF56" s="2644"/>
      <c r="BG56" s="2643"/>
      <c r="BH56" s="2643"/>
      <c r="BI56" s="773"/>
      <c r="BJ56" s="773"/>
      <c r="BK56" s="773"/>
      <c r="BL56" s="1607">
        <v>26</v>
      </c>
      <c r="BM56" s="2697"/>
      <c r="BN56" s="2699">
        <f>290000+128*6+5+0.256+0.008</f>
        <v>290773.26399999997</v>
      </c>
      <c r="BO56" s="2698"/>
      <c r="BP56" s="2691">
        <v>26</v>
      </c>
      <c r="BQ56" s="773"/>
      <c r="BR56" s="773"/>
      <c r="BS56" s="773"/>
      <c r="BT56" s="773"/>
      <c r="BU56" s="773"/>
      <c r="BV56" s="773"/>
      <c r="BW56" s="773"/>
      <c r="BX56" s="773"/>
      <c r="BY56" s="2556">
        <v>90009</v>
      </c>
      <c r="BZ56" s="2556">
        <v>90009</v>
      </c>
      <c r="CA56" s="2556">
        <v>90009</v>
      </c>
      <c r="CB56" s="2556">
        <v>90009</v>
      </c>
      <c r="CC56" s="2558">
        <v>90009</v>
      </c>
      <c r="CD56" s="773"/>
      <c r="CE56" s="773"/>
      <c r="CF56" s="773"/>
      <c r="CG56" s="773"/>
      <c r="CH56" s="773"/>
      <c r="CI56" s="773"/>
      <c r="CJ56" s="773"/>
      <c r="CK56" s="773"/>
      <c r="CL56" s="499">
        <v>24</v>
      </c>
    </row>
    <row r="57" spans="1:90" ht="17.25" thickTop="1" thickBot="1">
      <c r="A57" s="499">
        <v>24</v>
      </c>
      <c r="B57" s="2657"/>
      <c r="C57" s="2675"/>
      <c r="D57" s="2675"/>
      <c r="E57" s="1701"/>
      <c r="F57" s="1701"/>
      <c r="G57" s="1753"/>
      <c r="H57" s="1753"/>
      <c r="I57" s="757">
        <v>22</v>
      </c>
      <c r="J57" s="757">
        <v>22</v>
      </c>
      <c r="K57" s="757">
        <v>22</v>
      </c>
      <c r="L57" s="757">
        <v>22</v>
      </c>
      <c r="M57" s="757"/>
      <c r="N57" s="757"/>
      <c r="O57" s="757">
        <v>22</v>
      </c>
      <c r="P57" s="1093">
        <v>90009</v>
      </c>
      <c r="Q57" s="1567"/>
      <c r="R57" s="773"/>
      <c r="S57" s="773"/>
      <c r="T57" s="773"/>
      <c r="U57" s="773"/>
      <c r="V57" s="2644"/>
      <c r="W57" s="2644"/>
      <c r="X57" s="2644"/>
      <c r="Y57" s="773"/>
      <c r="Z57" s="2644"/>
      <c r="AA57" s="2644"/>
      <c r="AB57" s="2645">
        <f>128*9+65</f>
        <v>1217</v>
      </c>
      <c r="AC57" s="2644"/>
      <c r="AD57" s="2644"/>
      <c r="AE57" s="773"/>
      <c r="AF57" s="2340">
        <v>53</v>
      </c>
      <c r="AG57" s="2433"/>
      <c r="AH57" s="2421">
        <v>26</v>
      </c>
      <c r="AI57" s="2421">
        <v>26</v>
      </c>
      <c r="AJ57" s="2421">
        <v>26</v>
      </c>
      <c r="AK57" s="2421">
        <v>26</v>
      </c>
      <c r="AL57" s="2421">
        <v>26</v>
      </c>
      <c r="AM57" s="3119">
        <f>128*17+11</f>
        <v>2187</v>
      </c>
      <c r="AN57" s="2424"/>
      <c r="AO57" s="2427"/>
      <c r="AP57" s="2424"/>
      <c r="AQ57" s="2462">
        <f>128*9+57</f>
        <v>1209</v>
      </c>
      <c r="AR57" s="2421">
        <v>26</v>
      </c>
      <c r="AS57" s="2431"/>
      <c r="AT57" s="2420">
        <v>53</v>
      </c>
      <c r="AU57" s="773"/>
      <c r="AV57" s="2644"/>
      <c r="AW57" s="2644"/>
      <c r="AX57" s="773"/>
      <c r="AY57" s="2644"/>
      <c r="AZ57" s="2644"/>
      <c r="BA57" s="773"/>
      <c r="BB57" s="2644"/>
      <c r="BC57" s="2644"/>
      <c r="BD57" s="773"/>
      <c r="BE57" s="2644"/>
      <c r="BF57" s="2644"/>
      <c r="BG57" s="2643"/>
      <c r="BH57" s="2643"/>
      <c r="BI57" s="2643"/>
      <c r="BJ57" s="773"/>
      <c r="BK57" s="773"/>
      <c r="BL57" s="773"/>
      <c r="BM57" s="773"/>
      <c r="BN57" s="2695"/>
      <c r="BO57" s="773"/>
      <c r="BP57" s="773"/>
      <c r="BQ57" s="773"/>
      <c r="BR57" s="773"/>
      <c r="BS57" s="773"/>
      <c r="BT57" s="773"/>
      <c r="BU57" s="773"/>
      <c r="BV57" s="773"/>
      <c r="BW57" s="773"/>
      <c r="BX57" s="773"/>
      <c r="BY57" s="773"/>
      <c r="BZ57" s="773"/>
      <c r="CA57" s="773"/>
      <c r="CB57" s="773"/>
      <c r="CC57" s="773"/>
      <c r="CD57" s="773"/>
      <c r="CE57" s="773"/>
      <c r="CF57" s="773"/>
      <c r="CG57" s="773"/>
      <c r="CH57" s="773"/>
      <c r="CI57" s="773"/>
      <c r="CJ57" s="2528"/>
      <c r="CK57" s="2530">
        <v>90009</v>
      </c>
      <c r="CL57" s="499">
        <v>24</v>
      </c>
    </row>
    <row r="58" spans="1:90" ht="17.25" thickTop="1" thickBot="1">
      <c r="A58" s="499">
        <v>24</v>
      </c>
      <c r="B58" s="772">
        <f>128*10+16</f>
        <v>1296</v>
      </c>
      <c r="C58" s="2677"/>
      <c r="D58" s="2675"/>
      <c r="E58" s="2678">
        <f>128*14+116+0.256+0.019</f>
        <v>1908.2750000000001</v>
      </c>
      <c r="F58" s="2679">
        <v>14</v>
      </c>
      <c r="G58" s="1753"/>
      <c r="H58" s="1753"/>
      <c r="I58" s="757">
        <v>22</v>
      </c>
      <c r="J58" s="787">
        <f>128*14+8</f>
        <v>1800</v>
      </c>
      <c r="K58" s="757"/>
      <c r="L58" s="757"/>
      <c r="M58" s="757">
        <v>22</v>
      </c>
      <c r="N58" s="757"/>
      <c r="O58" s="757"/>
      <c r="P58" s="757">
        <v>22</v>
      </c>
      <c r="Q58" s="1093">
        <v>90009</v>
      </c>
      <c r="R58" s="773"/>
      <c r="S58" s="773"/>
      <c r="T58" s="773"/>
      <c r="U58" s="1567"/>
      <c r="V58" s="2644"/>
      <c r="W58" s="2644"/>
      <c r="X58" s="2644"/>
      <c r="Y58" s="773"/>
      <c r="Z58" s="2644"/>
      <c r="AA58" s="2644"/>
      <c r="AB58" s="2647">
        <f>128*9+65</f>
        <v>1217</v>
      </c>
      <c r="AC58" s="2644"/>
      <c r="AD58" s="2644"/>
      <c r="AE58" s="773"/>
      <c r="AF58" s="2340">
        <v>53</v>
      </c>
      <c r="AG58" s="2432"/>
      <c r="AH58" s="2421">
        <v>26</v>
      </c>
      <c r="AI58" s="2422">
        <v>14</v>
      </c>
      <c r="AJ58" s="2422">
        <v>14</v>
      </c>
      <c r="AK58" s="2422">
        <v>14</v>
      </c>
      <c r="AL58" s="2422">
        <v>14</v>
      </c>
      <c r="AM58" s="2422">
        <v>14</v>
      </c>
      <c r="AN58" s="2422">
        <v>14</v>
      </c>
      <c r="AO58" s="2437">
        <v>14</v>
      </c>
      <c r="AP58" s="2422">
        <v>14</v>
      </c>
      <c r="AQ58" s="2295">
        <v>0.21759999999999999</v>
      </c>
      <c r="AR58" s="2424"/>
      <c r="AS58" s="2431"/>
      <c r="AT58" s="2420">
        <v>53</v>
      </c>
      <c r="AU58" s="773"/>
      <c r="AV58" s="2644"/>
      <c r="AW58" s="2644"/>
      <c r="AX58" s="773"/>
      <c r="AY58" s="2644"/>
      <c r="AZ58" s="2644"/>
      <c r="BA58" s="773"/>
      <c r="BB58" s="2644"/>
      <c r="BC58" s="2644"/>
      <c r="BD58" s="773"/>
      <c r="BE58" s="2644"/>
      <c r="BF58" s="2644"/>
      <c r="BG58" s="2643"/>
      <c r="BH58" s="2643"/>
      <c r="BI58" s="2643"/>
      <c r="BJ58" s="773"/>
      <c r="BK58" s="773"/>
      <c r="BL58" s="773"/>
      <c r="BM58" s="773"/>
      <c r="BN58" s="2691">
        <v>26</v>
      </c>
      <c r="BO58" s="773"/>
      <c r="BP58" s="773"/>
      <c r="BQ58" s="773"/>
      <c r="BR58" s="773"/>
      <c r="BS58" s="773"/>
      <c r="BT58" s="773"/>
      <c r="BU58" s="1567"/>
      <c r="BV58" s="773"/>
      <c r="BW58" s="773"/>
      <c r="BX58" s="773"/>
      <c r="BY58" s="773"/>
      <c r="BZ58" s="773"/>
      <c r="CA58" s="773"/>
      <c r="CB58" s="1567"/>
      <c r="CC58" s="773"/>
      <c r="CD58" s="773"/>
      <c r="CE58" s="773"/>
      <c r="CF58" s="2700">
        <f>128*6+5</f>
        <v>773</v>
      </c>
      <c r="CG58" s="773"/>
      <c r="CH58" s="773"/>
      <c r="CI58" s="773"/>
      <c r="CJ58" s="2391">
        <v>90009</v>
      </c>
      <c r="CK58" s="1093">
        <v>90009</v>
      </c>
      <c r="CL58" s="499">
        <v>24</v>
      </c>
    </row>
    <row r="59" spans="1:90" ht="17.25" thickTop="1" thickBot="1">
      <c r="A59" s="499">
        <v>24</v>
      </c>
      <c r="B59" s="772"/>
      <c r="C59" s="1700"/>
      <c r="D59" s="2675"/>
      <c r="E59" s="1700"/>
      <c r="F59" s="1753"/>
      <c r="G59" s="1753"/>
      <c r="H59" s="1753"/>
      <c r="I59" s="757">
        <v>22</v>
      </c>
      <c r="J59" s="2673">
        <f>128*11+26+0.256+0.038</f>
        <v>1434.2940000000001</v>
      </c>
      <c r="K59" s="757">
        <v>22</v>
      </c>
      <c r="L59" s="757"/>
      <c r="M59" s="757"/>
      <c r="N59" s="757">
        <v>22</v>
      </c>
      <c r="O59" s="757"/>
      <c r="P59" s="506"/>
      <c r="Q59" s="757">
        <v>22</v>
      </c>
      <c r="R59" s="1093">
        <v>90009</v>
      </c>
      <c r="S59" s="773"/>
      <c r="T59" s="773"/>
      <c r="U59" s="773"/>
      <c r="V59" s="2644"/>
      <c r="W59" s="2644"/>
      <c r="X59" s="2644"/>
      <c r="Y59" s="773"/>
      <c r="Z59" s="2644"/>
      <c r="AA59" s="2644"/>
      <c r="AB59" s="2644"/>
      <c r="AC59" s="2646">
        <f>128*9+65</f>
        <v>1217</v>
      </c>
      <c r="AD59" s="2644"/>
      <c r="AE59" s="773"/>
      <c r="AF59" s="2340">
        <v>53</v>
      </c>
      <c r="AG59" s="2432"/>
      <c r="AH59" s="2421">
        <v>26</v>
      </c>
      <c r="AI59" s="2422">
        <v>14</v>
      </c>
      <c r="AJ59" s="2428">
        <v>260000</v>
      </c>
      <c r="AK59" s="2428">
        <v>290000</v>
      </c>
      <c r="AL59" s="2428">
        <v>240000</v>
      </c>
      <c r="AM59" s="2428">
        <v>240000</v>
      </c>
      <c r="AN59" s="2428">
        <v>240000</v>
      </c>
      <c r="AO59" s="2428">
        <v>290000</v>
      </c>
      <c r="AP59" s="2428">
        <f>260000</f>
        <v>260000</v>
      </c>
      <c r="AQ59" s="2422">
        <v>14</v>
      </c>
      <c r="AR59" s="2436">
        <v>14</v>
      </c>
      <c r="AS59" s="2431"/>
      <c r="AT59" s="2420">
        <v>53</v>
      </c>
      <c r="AU59" s="773"/>
      <c r="AV59" s="2644"/>
      <c r="AW59" s="2644"/>
      <c r="AX59" s="773"/>
      <c r="AY59" s="2644"/>
      <c r="AZ59" s="2644"/>
      <c r="BA59" s="773"/>
      <c r="BB59" s="2644"/>
      <c r="BC59" s="2644"/>
      <c r="BD59" s="2559">
        <f>128*9+64</f>
        <v>1216</v>
      </c>
      <c r="BE59" s="2644"/>
      <c r="BF59" s="2644"/>
      <c r="BG59" s="2643"/>
      <c r="BH59" s="2643"/>
      <c r="BI59" s="2643"/>
      <c r="BJ59" s="773"/>
      <c r="BK59" s="773"/>
      <c r="BL59" s="773"/>
      <c r="BM59" s="773"/>
      <c r="BN59" s="773"/>
      <c r="BO59" s="773"/>
      <c r="BP59" s="1567"/>
      <c r="BQ59" s="773"/>
      <c r="BR59" s="773"/>
      <c r="BS59" s="773"/>
      <c r="BT59" s="773"/>
      <c r="BU59" s="773"/>
      <c r="BV59" s="773"/>
      <c r="BW59" s="773"/>
      <c r="BX59" s="773"/>
      <c r="BY59" s="773"/>
      <c r="BZ59" s="773"/>
      <c r="CA59" s="773"/>
      <c r="CB59" s="773"/>
      <c r="CC59" s="773"/>
      <c r="CD59" s="773"/>
      <c r="CE59" s="773"/>
      <c r="CF59" s="773"/>
      <c r="CG59" s="773"/>
      <c r="CH59" s="773"/>
      <c r="CI59" s="773"/>
      <c r="CJ59" s="2533">
        <f>90000+128+23+0.113</f>
        <v>90151.112999999998</v>
      </c>
      <c r="CK59" s="2534">
        <f>90000+128+23</f>
        <v>90151</v>
      </c>
      <c r="CL59" s="499">
        <v>23</v>
      </c>
    </row>
    <row r="60" spans="1:90" ht="17.25" thickTop="1" thickBot="1">
      <c r="A60" s="499">
        <v>24</v>
      </c>
      <c r="B60" s="1700"/>
      <c r="C60" s="2675"/>
      <c r="D60" s="2676">
        <f>128*2+29</f>
        <v>285</v>
      </c>
      <c r="E60" s="1701"/>
      <c r="F60" s="2680"/>
      <c r="G60" s="757">
        <v>22</v>
      </c>
      <c r="H60" s="757">
        <v>22</v>
      </c>
      <c r="I60" s="757">
        <v>22</v>
      </c>
      <c r="J60" s="2671">
        <v>22</v>
      </c>
      <c r="K60" s="757">
        <v>22</v>
      </c>
      <c r="L60" s="757">
        <v>22</v>
      </c>
      <c r="M60" s="757"/>
      <c r="N60" s="757"/>
      <c r="O60" s="757">
        <v>22</v>
      </c>
      <c r="P60" s="2682"/>
      <c r="Q60" s="757">
        <v>22</v>
      </c>
      <c r="R60" s="1093">
        <v>90009</v>
      </c>
      <c r="S60" s="1567"/>
      <c r="T60" s="773"/>
      <c r="U60" s="773"/>
      <c r="V60" s="2644"/>
      <c r="W60" s="2644"/>
      <c r="X60" s="2644"/>
      <c r="Y60" s="773"/>
      <c r="Z60" s="2644"/>
      <c r="AA60" s="2644"/>
      <c r="AB60" s="2645">
        <f>128*9+65</f>
        <v>1217</v>
      </c>
      <c r="AC60" s="2644"/>
      <c r="AD60" s="2644"/>
      <c r="AE60" s="773"/>
      <c r="AF60" s="2340">
        <v>53</v>
      </c>
      <c r="AG60" s="2432"/>
      <c r="AH60" s="2421">
        <v>26</v>
      </c>
      <c r="AI60" s="2422">
        <v>14</v>
      </c>
      <c r="AJ60" s="2428">
        <v>220000</v>
      </c>
      <c r="AK60" s="2425"/>
      <c r="AL60" s="2426"/>
      <c r="AM60" s="2426"/>
      <c r="AN60" s="2426"/>
      <c r="AO60" s="2443">
        <v>0.21729999999999999</v>
      </c>
      <c r="AP60" s="2445">
        <v>220014</v>
      </c>
      <c r="AQ60" s="2422">
        <v>14</v>
      </c>
      <c r="AR60" s="2438">
        <v>14</v>
      </c>
      <c r="AS60" s="2467"/>
      <c r="AT60" s="2420">
        <v>53</v>
      </c>
      <c r="AU60" s="773"/>
      <c r="AV60" s="2644"/>
      <c r="AW60" s="2644"/>
      <c r="AX60" s="773"/>
      <c r="AY60" s="2644"/>
      <c r="AZ60" s="2644"/>
      <c r="BA60" s="773"/>
      <c r="BB60" s="2644"/>
      <c r="BC60" s="2644"/>
      <c r="BD60" s="2643"/>
      <c r="BE60" s="2644"/>
      <c r="BF60" s="2644"/>
      <c r="BG60" s="2643"/>
      <c r="BH60" s="2643"/>
      <c r="BI60" s="773"/>
      <c r="BJ60" s="773"/>
      <c r="BK60" s="773"/>
      <c r="BL60" s="773"/>
      <c r="BM60" s="773"/>
      <c r="BN60" s="773"/>
      <c r="BO60" s="773"/>
      <c r="BP60" s="773"/>
      <c r="BQ60" s="773"/>
      <c r="BR60" s="3713"/>
      <c r="BS60" s="2700">
        <f>128*6+5</f>
        <v>773</v>
      </c>
      <c r="BT60" s="3713"/>
      <c r="BU60" s="2528"/>
      <c r="BV60" s="2528"/>
      <c r="BW60" s="2528"/>
      <c r="BX60" s="2530">
        <v>90009</v>
      </c>
      <c r="BY60" s="1093">
        <v>90009</v>
      </c>
      <c r="BZ60" s="1093">
        <v>90009</v>
      </c>
      <c r="CA60" s="1093">
        <v>90009</v>
      </c>
      <c r="CB60" s="1093">
        <v>90009</v>
      </c>
      <c r="CC60" s="1093">
        <v>90009</v>
      </c>
      <c r="CD60" s="1093">
        <v>90009</v>
      </c>
      <c r="CE60" s="2530">
        <v>90009</v>
      </c>
      <c r="CF60" s="2528"/>
      <c r="CG60" s="2528"/>
      <c r="CH60" s="2391">
        <v>90009</v>
      </c>
      <c r="CI60" s="1093">
        <v>90009</v>
      </c>
      <c r="CJ60" s="2392">
        <v>90009</v>
      </c>
      <c r="CK60" s="2531">
        <f>128*14+116</f>
        <v>1908</v>
      </c>
      <c r="CL60" s="499">
        <v>9</v>
      </c>
    </row>
    <row r="61" spans="1:90" ht="17.25" thickTop="1" thickBot="1">
      <c r="A61" s="499">
        <v>24</v>
      </c>
      <c r="B61" s="1700"/>
      <c r="C61" s="2677"/>
      <c r="D61" s="2675"/>
      <c r="E61" s="1701"/>
      <c r="F61" s="2681"/>
      <c r="G61" s="1377">
        <f>128*9+68</f>
        <v>1220</v>
      </c>
      <c r="H61" s="757"/>
      <c r="I61" s="757"/>
      <c r="J61" s="757"/>
      <c r="K61" s="757"/>
      <c r="L61" s="757"/>
      <c r="M61" s="757">
        <v>22</v>
      </c>
      <c r="N61" s="2672"/>
      <c r="O61" s="757">
        <v>22</v>
      </c>
      <c r="P61" s="2682"/>
      <c r="Q61" s="757">
        <v>22</v>
      </c>
      <c r="R61" s="1093">
        <v>90009</v>
      </c>
      <c r="S61" s="773"/>
      <c r="T61" s="773"/>
      <c r="U61" s="773"/>
      <c r="V61" s="2644"/>
      <c r="W61" s="2644"/>
      <c r="X61" s="2644"/>
      <c r="Y61" s="773"/>
      <c r="Z61" s="2644"/>
      <c r="AA61" s="2644"/>
      <c r="AB61" s="1052">
        <f>128*9+64</f>
        <v>1216</v>
      </c>
      <c r="AC61" s="2644"/>
      <c r="AD61" s="2644"/>
      <c r="AE61" s="773"/>
      <c r="AF61" s="2340">
        <v>53</v>
      </c>
      <c r="AG61" s="2432"/>
      <c r="AH61" s="2423">
        <f>26+0.1267</f>
        <v>26.1267</v>
      </c>
      <c r="AI61" s="2422">
        <v>14</v>
      </c>
      <c r="AJ61" s="2429">
        <f>220000+0.2177</f>
        <v>220000.21770000001</v>
      </c>
      <c r="AK61" s="2425"/>
      <c r="AL61" s="2440">
        <v>14</v>
      </c>
      <c r="AM61" s="2447"/>
      <c r="AN61" s="2447"/>
      <c r="AO61" s="2443"/>
      <c r="AP61" s="2444">
        <f>220024+0.137</f>
        <v>220024.13699999999</v>
      </c>
      <c r="AQ61" s="2422">
        <v>14</v>
      </c>
      <c r="AR61" s="2438">
        <v>14</v>
      </c>
      <c r="AS61" s="2431"/>
      <c r="AT61" s="2451">
        <v>53</v>
      </c>
      <c r="AU61" s="773">
        <f>128*14+116+0.256+0.015</f>
        <v>1908.2710000000002</v>
      </c>
      <c r="AV61" s="2644"/>
      <c r="AW61" s="2644"/>
      <c r="AX61" s="773"/>
      <c r="AY61" s="2644"/>
      <c r="AZ61" s="2644"/>
      <c r="BA61" s="773"/>
      <c r="BB61" s="2644"/>
      <c r="BC61" s="2644"/>
      <c r="BD61" s="2649">
        <f>128*9+65</f>
        <v>1217</v>
      </c>
      <c r="BE61" s="2644"/>
      <c r="BF61" s="2644"/>
      <c r="BG61" s="2643"/>
      <c r="BH61" s="2643"/>
      <c r="BI61" s="773"/>
      <c r="BJ61" s="773"/>
      <c r="BK61" s="773"/>
      <c r="BL61" s="773"/>
      <c r="BM61" s="773"/>
      <c r="BN61" s="773"/>
      <c r="BO61" s="773"/>
      <c r="BP61" s="773"/>
      <c r="BQ61" s="773"/>
      <c r="BR61" s="2528"/>
      <c r="BS61" s="2528"/>
      <c r="BT61" s="2528"/>
      <c r="BU61" s="1093">
        <v>90009</v>
      </c>
      <c r="BV61" s="1093">
        <v>90009</v>
      </c>
      <c r="BW61" s="1093">
        <v>90009</v>
      </c>
      <c r="BX61" s="2529">
        <v>90021</v>
      </c>
      <c r="BY61" s="2392">
        <v>90021</v>
      </c>
      <c r="BZ61" s="2392">
        <v>90021</v>
      </c>
      <c r="CA61" s="2392">
        <v>90021</v>
      </c>
      <c r="CB61" s="2392">
        <v>90021</v>
      </c>
      <c r="CC61" s="2392">
        <v>90021</v>
      </c>
      <c r="CD61" s="2392">
        <v>90021</v>
      </c>
      <c r="CE61" s="1093">
        <v>90021</v>
      </c>
      <c r="CF61" s="1093">
        <v>90009</v>
      </c>
      <c r="CG61" s="1093">
        <v>90009</v>
      </c>
      <c r="CH61" s="1093">
        <v>90021</v>
      </c>
      <c r="CI61" s="2392">
        <v>90021</v>
      </c>
      <c r="CJ61" s="2392">
        <v>90009</v>
      </c>
      <c r="CK61" s="2531"/>
      <c r="CL61" s="499">
        <v>9</v>
      </c>
    </row>
    <row r="62" spans="1:90" ht="17.25" thickTop="1" thickBot="1">
      <c r="A62" s="499">
        <v>24</v>
      </c>
      <c r="B62" s="1068">
        <f>128*4+36+0.384+0.002</f>
        <v>548.38599999999997</v>
      </c>
      <c r="C62" s="1700"/>
      <c r="D62" s="2675"/>
      <c r="E62" s="1701"/>
      <c r="F62" s="2681"/>
      <c r="G62" s="757">
        <v>22</v>
      </c>
      <c r="H62" s="757"/>
      <c r="I62" s="757">
        <v>22</v>
      </c>
      <c r="J62" s="757">
        <v>22</v>
      </c>
      <c r="K62" s="757">
        <v>22</v>
      </c>
      <c r="L62" s="757"/>
      <c r="M62" s="757">
        <v>22</v>
      </c>
      <c r="N62" s="2672"/>
      <c r="O62" s="757">
        <v>22</v>
      </c>
      <c r="P62" s="2682"/>
      <c r="Q62" s="1879">
        <f>128*17+11</f>
        <v>2187</v>
      </c>
      <c r="R62" s="757">
        <v>22</v>
      </c>
      <c r="S62" s="1093">
        <v>90009</v>
      </c>
      <c r="T62" s="1567"/>
      <c r="U62" s="773"/>
      <c r="V62" s="2644"/>
      <c r="W62" s="2644"/>
      <c r="X62" s="2644"/>
      <c r="Y62" s="773"/>
      <c r="Z62" s="2644"/>
      <c r="AA62" s="2644"/>
      <c r="AB62" s="773"/>
      <c r="AC62" s="773"/>
      <c r="AD62" s="773">
        <f>128*14+14</f>
        <v>1806</v>
      </c>
      <c r="AE62" s="773"/>
      <c r="AF62" s="2384"/>
      <c r="AG62" s="2434"/>
      <c r="AH62" s="2519">
        <f>128*5+52</f>
        <v>692</v>
      </c>
      <c r="AI62" s="2422"/>
      <c r="AJ62" s="2428">
        <v>220000</v>
      </c>
      <c r="AK62" s="2425">
        <f>128*10+5+0.256+0.014</f>
        <v>1285.27</v>
      </c>
      <c r="AL62" s="3045">
        <f>0.256+0.03</f>
        <v>0.28600000000000003</v>
      </c>
      <c r="AM62" s="2448">
        <f>0.256+0.047</f>
        <v>0.30299999999999999</v>
      </c>
      <c r="AN62" s="2442">
        <v>9.1999999999999998E-2</v>
      </c>
      <c r="AO62" s="2804"/>
      <c r="AP62" s="2446">
        <f>240000+128*5+36</f>
        <v>240676</v>
      </c>
      <c r="AQ62" s="2450">
        <f>128*11+5+0.256+0.038</f>
        <v>1413.2940000000001</v>
      </c>
      <c r="AR62" s="2452">
        <v>14</v>
      </c>
      <c r="AS62" s="2431"/>
      <c r="AT62" s="2451">
        <v>53</v>
      </c>
      <c r="AU62" s="773">
        <f>128*14+116+0.256+0.016</f>
        <v>1908.2720000000002</v>
      </c>
      <c r="AV62" s="2644"/>
      <c r="AW62" s="2644"/>
      <c r="AX62" s="773"/>
      <c r="AY62" s="2644"/>
      <c r="AZ62" s="2644"/>
      <c r="BA62" s="773"/>
      <c r="BB62" s="2644"/>
      <c r="BC62" s="2644"/>
      <c r="BD62" s="2644"/>
      <c r="BE62" s="2644"/>
      <c r="BF62" s="2644"/>
      <c r="BG62" s="2643"/>
      <c r="BH62" s="773"/>
      <c r="BI62" s="773"/>
      <c r="BJ62" s="773"/>
      <c r="BK62" s="1567"/>
      <c r="BL62" s="773"/>
      <c r="BM62" s="773"/>
      <c r="BN62" s="773"/>
      <c r="BO62" s="773"/>
      <c r="BP62" s="773"/>
      <c r="BQ62" s="773"/>
      <c r="BR62" s="2528"/>
      <c r="BS62" s="1093">
        <v>90009</v>
      </c>
      <c r="BT62" s="2392">
        <v>90009</v>
      </c>
      <c r="BU62" s="2392">
        <v>90021</v>
      </c>
      <c r="BV62" s="2392">
        <v>90021</v>
      </c>
      <c r="BW62" s="2392">
        <v>90021</v>
      </c>
      <c r="BX62" s="2392">
        <v>90021</v>
      </c>
      <c r="BY62" s="2392">
        <v>90021</v>
      </c>
      <c r="BZ62" s="2392">
        <v>90021</v>
      </c>
      <c r="CA62" s="2392">
        <v>90021</v>
      </c>
      <c r="CB62" s="2392">
        <v>90021</v>
      </c>
      <c r="CC62" s="2392">
        <v>90021</v>
      </c>
      <c r="CD62" s="2392">
        <v>90021</v>
      </c>
      <c r="CE62" s="2392">
        <v>90021</v>
      </c>
      <c r="CF62" s="2392">
        <v>90021</v>
      </c>
      <c r="CG62" s="2392">
        <v>90021</v>
      </c>
      <c r="CH62" s="2392">
        <v>90021</v>
      </c>
      <c r="CI62" s="2382">
        <v>90009</v>
      </c>
      <c r="CJ62" s="2532">
        <f>0.384+0.0031</f>
        <v>0.3871</v>
      </c>
      <c r="CK62" s="2531">
        <f>128*10+34</f>
        <v>1314</v>
      </c>
      <c r="CL62" s="499">
        <v>9</v>
      </c>
    </row>
    <row r="63" spans="1:90" ht="17.25" thickTop="1" thickBot="1">
      <c r="A63" s="499">
        <v>24</v>
      </c>
      <c r="B63" s="1700"/>
      <c r="C63" s="2675"/>
      <c r="D63" s="2677"/>
      <c r="E63" s="1753"/>
      <c r="F63" s="2681"/>
      <c r="G63" s="757">
        <v>22</v>
      </c>
      <c r="H63" s="757"/>
      <c r="I63" s="757"/>
      <c r="J63" s="2398"/>
      <c r="K63" s="1383">
        <f>128*9+67</f>
        <v>1219</v>
      </c>
      <c r="L63" s="757"/>
      <c r="M63" s="757">
        <v>22</v>
      </c>
      <c r="N63" s="757"/>
      <c r="O63" s="757">
        <v>22</v>
      </c>
      <c r="P63" s="757">
        <v>22</v>
      </c>
      <c r="Q63" s="757"/>
      <c r="R63" s="757">
        <v>22</v>
      </c>
      <c r="S63" s="1093">
        <v>90009</v>
      </c>
      <c r="T63" s="773"/>
      <c r="U63" s="773"/>
      <c r="V63" s="2643"/>
      <c r="W63" s="2643"/>
      <c r="X63" s="2643"/>
      <c r="Y63" s="773"/>
      <c r="Z63" s="2643"/>
      <c r="AA63" s="2643"/>
      <c r="AB63" s="2643"/>
      <c r="AC63" s="2643"/>
      <c r="AD63" s="2643"/>
      <c r="AE63" s="773"/>
      <c r="AF63" s="2340">
        <v>53</v>
      </c>
      <c r="AG63" s="2330"/>
      <c r="AH63" s="2423">
        <f>26+0.1263</f>
        <v>26.126300000000001</v>
      </c>
      <c r="AI63" s="2422">
        <v>14</v>
      </c>
      <c r="AJ63" s="2429">
        <f>220000+0.2177</f>
        <v>220000.21770000001</v>
      </c>
      <c r="AK63" s="2425"/>
      <c r="AL63" s="2441">
        <v>14</v>
      </c>
      <c r="AM63" s="2449"/>
      <c r="AN63" s="2447"/>
      <c r="AO63" s="2443"/>
      <c r="AP63" s="2444">
        <f>220024+0.137</f>
        <v>220024.13699999999</v>
      </c>
      <c r="AQ63" s="2422">
        <v>14</v>
      </c>
      <c r="AR63" s="2438">
        <v>14</v>
      </c>
      <c r="AS63" s="2431"/>
      <c r="AT63" s="2451">
        <v>53</v>
      </c>
      <c r="AU63" s="773">
        <f>128*14+116+0.256+0.015</f>
        <v>1908.2710000000002</v>
      </c>
      <c r="AV63" s="2643"/>
      <c r="AW63" s="2643"/>
      <c r="AX63" s="773"/>
      <c r="AY63" s="2643"/>
      <c r="AZ63" s="2643"/>
      <c r="BA63" s="773"/>
      <c r="BB63" s="2643"/>
      <c r="BC63" s="2643"/>
      <c r="BD63" s="2644"/>
      <c r="BE63" s="2643"/>
      <c r="BF63" s="2643"/>
      <c r="BG63" s="2643"/>
      <c r="BH63" s="773"/>
      <c r="BI63" s="773"/>
      <c r="BJ63" s="773"/>
      <c r="BK63" s="773"/>
      <c r="BL63" s="773"/>
      <c r="BM63" s="773"/>
      <c r="BN63" s="773"/>
      <c r="BO63" s="2700">
        <f>128*6+5</f>
        <v>773</v>
      </c>
      <c r="BP63" s="773"/>
      <c r="BQ63" s="773"/>
      <c r="BR63" s="2392">
        <v>90009</v>
      </c>
      <c r="BS63" s="2392">
        <v>90021</v>
      </c>
      <c r="BT63" s="2392">
        <v>90021</v>
      </c>
      <c r="BU63" s="2392">
        <v>90021</v>
      </c>
      <c r="BV63" s="2392">
        <v>90021</v>
      </c>
      <c r="BW63" s="2392">
        <v>90021</v>
      </c>
      <c r="BX63" s="2392">
        <v>90021</v>
      </c>
      <c r="BY63" s="2377">
        <v>9</v>
      </c>
      <c r="BZ63" s="2377">
        <v>9</v>
      </c>
      <c r="CA63" s="2377">
        <v>9</v>
      </c>
      <c r="CB63" s="2377">
        <v>9</v>
      </c>
      <c r="CC63" s="773"/>
      <c r="CD63" s="773"/>
      <c r="CE63" s="773"/>
      <c r="CF63" s="773"/>
      <c r="CG63" s="773"/>
      <c r="CH63" s="2373">
        <v>90021</v>
      </c>
      <c r="CI63" s="2377">
        <v>9</v>
      </c>
      <c r="CJ63" s="2377">
        <v>9</v>
      </c>
      <c r="CK63" s="2377">
        <v>9</v>
      </c>
      <c r="CL63" s="499">
        <v>24</v>
      </c>
    </row>
    <row r="64" spans="1:90" ht="17.25" thickTop="1" thickBot="1">
      <c r="A64" s="499">
        <v>24</v>
      </c>
      <c r="B64" s="2803">
        <f>128*9+65</f>
        <v>1217</v>
      </c>
      <c r="C64" s="2677"/>
      <c r="D64" s="1700"/>
      <c r="E64" s="2675"/>
      <c r="F64" s="757">
        <v>22</v>
      </c>
      <c r="G64" s="757"/>
      <c r="H64" s="757"/>
      <c r="I64" s="757">
        <v>22</v>
      </c>
      <c r="J64" s="2398"/>
      <c r="K64" s="757">
        <f>128*9+67</f>
        <v>1219</v>
      </c>
      <c r="L64" s="757"/>
      <c r="M64" s="757"/>
      <c r="N64" s="757"/>
      <c r="O64" s="757"/>
      <c r="P64" s="757"/>
      <c r="Q64" s="757"/>
      <c r="R64" s="757">
        <v>22</v>
      </c>
      <c r="S64" s="1093">
        <v>90009</v>
      </c>
      <c r="T64" s="773"/>
      <c r="U64" s="1567"/>
      <c r="V64" s="2644"/>
      <c r="W64" s="2644"/>
      <c r="X64" s="2644"/>
      <c r="Y64" s="773"/>
      <c r="Z64" s="2644"/>
      <c r="AA64" s="2644"/>
      <c r="AB64" s="2644"/>
      <c r="AC64" s="2644"/>
      <c r="AD64" s="2644"/>
      <c r="AE64" s="773"/>
      <c r="AF64" s="2340">
        <v>53</v>
      </c>
      <c r="AG64" s="2330">
        <f>0.256+0.023</f>
        <v>0.27900000000000003</v>
      </c>
      <c r="AH64" s="2421">
        <v>26</v>
      </c>
      <c r="AI64" s="2422">
        <v>14</v>
      </c>
      <c r="AJ64" s="2428">
        <v>220000</v>
      </c>
      <c r="AK64" s="2425"/>
      <c r="AL64" s="2426"/>
      <c r="AM64" s="2426"/>
      <c r="AN64" s="2426"/>
      <c r="AO64" s="2443">
        <v>0.21729999999999999</v>
      </c>
      <c r="AP64" s="2445">
        <v>220014</v>
      </c>
      <c r="AQ64" s="2461">
        <v>14</v>
      </c>
      <c r="AR64" s="3119">
        <f>128*17+11</f>
        <v>2187</v>
      </c>
      <c r="AS64" s="2431"/>
      <c r="AT64" s="2420">
        <v>53</v>
      </c>
      <c r="AU64" s="773"/>
      <c r="AV64" s="2644"/>
      <c r="AW64" s="2644"/>
      <c r="AX64" s="773"/>
      <c r="AY64" s="2644"/>
      <c r="AZ64" s="2644"/>
      <c r="BA64" s="773"/>
      <c r="BB64" s="2644"/>
      <c r="BC64" s="2644"/>
      <c r="BD64" s="2644"/>
      <c r="BE64" s="2644"/>
      <c r="BF64" s="2644"/>
      <c r="BG64" s="2643"/>
      <c r="BH64" s="773"/>
      <c r="BI64" s="773"/>
      <c r="BJ64" s="773"/>
      <c r="BK64" s="773"/>
      <c r="BL64" s="773"/>
      <c r="BM64" s="773"/>
      <c r="BN64" s="773"/>
      <c r="BO64" s="773"/>
      <c r="BP64" s="2528"/>
      <c r="BQ64" s="2392">
        <v>90009</v>
      </c>
      <c r="BR64" s="2063">
        <v>90000</v>
      </c>
      <c r="BS64" s="2063">
        <v>90026</v>
      </c>
      <c r="BT64" s="2063">
        <v>90026</v>
      </c>
      <c r="BU64" s="2063">
        <v>240026</v>
      </c>
      <c r="BV64" s="2063">
        <v>240026</v>
      </c>
      <c r="BW64" s="2063">
        <v>290026</v>
      </c>
      <c r="BX64" s="2481">
        <v>26</v>
      </c>
      <c r="BY64" s="2377">
        <v>9</v>
      </c>
      <c r="BZ64" s="2815">
        <f>128*9+63</f>
        <v>1215</v>
      </c>
      <c r="CA64" s="2815">
        <f>0.256+0.0095</f>
        <v>0.26550000000000001</v>
      </c>
      <c r="CB64" s="2817">
        <v>9</v>
      </c>
      <c r="CC64" s="2817">
        <v>9</v>
      </c>
      <c r="CD64" s="2817">
        <v>9</v>
      </c>
      <c r="CE64" s="2817">
        <v>9</v>
      </c>
      <c r="CF64" s="2817">
        <v>9</v>
      </c>
      <c r="CG64" s="2817">
        <v>9</v>
      </c>
      <c r="CH64" s="2817">
        <v>9</v>
      </c>
      <c r="CI64" s="2815">
        <f>0.256+0.0155</f>
        <v>0.27150000000000002</v>
      </c>
      <c r="CJ64" s="2818">
        <f>128*9+63</f>
        <v>1215</v>
      </c>
      <c r="CK64" s="2377">
        <v>9</v>
      </c>
      <c r="CL64" s="499">
        <v>24</v>
      </c>
    </row>
    <row r="65" spans="1:90" ht="17.25" thickTop="1" thickBot="1">
      <c r="A65" s="499">
        <v>24</v>
      </c>
      <c r="B65" s="1700">
        <f>128*9+65</f>
        <v>1217</v>
      </c>
      <c r="C65" s="1700"/>
      <c r="D65" s="2675"/>
      <c r="E65" s="757">
        <v>22</v>
      </c>
      <c r="F65" s="757"/>
      <c r="G65" s="757"/>
      <c r="H65" s="757">
        <v>22</v>
      </c>
      <c r="I65" s="757">
        <v>22</v>
      </c>
      <c r="J65" s="757">
        <v>22</v>
      </c>
      <c r="K65" s="757">
        <v>22</v>
      </c>
      <c r="L65" s="757">
        <v>22</v>
      </c>
      <c r="M65" s="757">
        <v>22</v>
      </c>
      <c r="N65" s="757">
        <v>22</v>
      </c>
      <c r="O65" s="757">
        <v>22</v>
      </c>
      <c r="P65" s="1377">
        <f>128*9+67</f>
        <v>1219</v>
      </c>
      <c r="Q65" s="838">
        <f>128*9+67</f>
        <v>1219</v>
      </c>
      <c r="R65" s="1093">
        <v>90009</v>
      </c>
      <c r="S65" s="773"/>
      <c r="T65" s="773"/>
      <c r="U65" s="773"/>
      <c r="V65" s="2644"/>
      <c r="W65" s="2644"/>
      <c r="X65" s="2644"/>
      <c r="Y65" s="773"/>
      <c r="Z65" s="2644"/>
      <c r="AA65" s="2644"/>
      <c r="AB65" s="2644"/>
      <c r="AC65" s="2644"/>
      <c r="AD65" s="2644"/>
      <c r="AE65" s="773"/>
      <c r="AF65" s="2340">
        <v>53</v>
      </c>
      <c r="AG65" s="2330"/>
      <c r="AH65" s="2421">
        <v>26</v>
      </c>
      <c r="AI65" s="2422">
        <v>14</v>
      </c>
      <c r="AJ65" s="2428">
        <v>290000</v>
      </c>
      <c r="AK65" s="2474">
        <v>290000</v>
      </c>
      <c r="AL65" s="2474">
        <v>240000</v>
      </c>
      <c r="AM65" s="2474">
        <v>240000</v>
      </c>
      <c r="AN65" s="2478">
        <v>240000</v>
      </c>
      <c r="AO65" s="2474">
        <v>290000</v>
      </c>
      <c r="AP65" s="2428">
        <f>260000</f>
        <v>260000</v>
      </c>
      <c r="AQ65" s="2422">
        <v>14</v>
      </c>
      <c r="AR65" s="2438">
        <v>14</v>
      </c>
      <c r="AS65" s="2467"/>
      <c r="AT65" s="2420">
        <v>53</v>
      </c>
      <c r="AU65" s="773"/>
      <c r="AV65" s="2644"/>
      <c r="AW65" s="2644"/>
      <c r="AX65" s="773"/>
      <c r="AY65" s="2644"/>
      <c r="AZ65" s="2644"/>
      <c r="BA65" s="2248"/>
      <c r="BB65" s="2644"/>
      <c r="BC65" s="2644"/>
      <c r="BD65" s="1052">
        <f>128*9+64</f>
        <v>1216</v>
      </c>
      <c r="BE65" s="2644"/>
      <c r="BF65" s="2644"/>
      <c r="BG65" s="2643"/>
      <c r="BH65" s="773"/>
      <c r="BI65" s="773"/>
      <c r="BJ65" s="773"/>
      <c r="BK65" s="773"/>
      <c r="BL65" s="773"/>
      <c r="BM65" s="773"/>
      <c r="BN65" s="773"/>
      <c r="BO65" s="773"/>
      <c r="BP65" s="2529">
        <v>90009</v>
      </c>
      <c r="BQ65" s="2392">
        <v>90021</v>
      </c>
      <c r="BR65" s="1084">
        <v>90026</v>
      </c>
      <c r="BS65" s="757"/>
      <c r="BT65" s="757">
        <v>0.19700000000000001</v>
      </c>
      <c r="BU65" s="757"/>
      <c r="BV65" s="757"/>
      <c r="BW65" s="1377">
        <f>0.256+0.041</f>
        <v>0.29699999999999999</v>
      </c>
      <c r="BX65" s="2481">
        <v>220026</v>
      </c>
      <c r="BY65" s="2377">
        <v>9</v>
      </c>
      <c r="BZ65" s="2815">
        <f>0.256+0.017</f>
        <v>0.27300000000000002</v>
      </c>
      <c r="CA65" s="2488">
        <v>260000</v>
      </c>
      <c r="CB65" s="2488">
        <v>260000</v>
      </c>
      <c r="CC65" s="2522">
        <v>260000</v>
      </c>
      <c r="CD65" s="2488">
        <f>260000+128*8+6</f>
        <v>261030</v>
      </c>
      <c r="CE65" s="2488">
        <f>260000+0.194</f>
        <v>260000.19399999999</v>
      </c>
      <c r="CF65" s="2488">
        <v>260000</v>
      </c>
      <c r="CG65" s="2488">
        <f>260000+0.1911</f>
        <v>260000.1911</v>
      </c>
      <c r="CH65" s="2488">
        <v>260000</v>
      </c>
      <c r="CI65" s="2310">
        <v>260000</v>
      </c>
      <c r="CJ65" s="2815">
        <f>0.256+0.0065</f>
        <v>0.26250000000000001</v>
      </c>
      <c r="CK65" s="2377">
        <v>9</v>
      </c>
      <c r="CL65" s="499">
        <v>24</v>
      </c>
    </row>
    <row r="66" spans="1:90" ht="17.25" thickTop="1" thickBot="1">
      <c r="A66" s="499">
        <v>24</v>
      </c>
      <c r="B66" s="1700"/>
      <c r="C66" s="1700"/>
      <c r="D66" s="757">
        <v>22</v>
      </c>
      <c r="E66" s="757"/>
      <c r="F66" s="757"/>
      <c r="G66" s="757">
        <v>22</v>
      </c>
      <c r="H66" s="757"/>
      <c r="I66" s="1383">
        <f>128*9+67</f>
        <v>1219</v>
      </c>
      <c r="J66" s="757">
        <v>0.21709999999999999</v>
      </c>
      <c r="K66" s="1383">
        <f>128*9+67</f>
        <v>1219</v>
      </c>
      <c r="L66" s="757">
        <v>0.2172</v>
      </c>
      <c r="M66" s="1383">
        <f>128+22+0.195</f>
        <v>150.19499999999999</v>
      </c>
      <c r="N66" s="1377">
        <f>128*11+31+0.256+0.015</f>
        <v>1439.2710000000002</v>
      </c>
      <c r="O66" s="838">
        <f>22+0.214</f>
        <v>22.213999999999999</v>
      </c>
      <c r="P66" s="2672"/>
      <c r="Q66" s="2672"/>
      <c r="R66" s="1093">
        <v>90009</v>
      </c>
      <c r="S66" s="773"/>
      <c r="T66" s="773"/>
      <c r="U66" s="773"/>
      <c r="V66" s="2644"/>
      <c r="W66" s="2644"/>
      <c r="X66" s="2644"/>
      <c r="Y66" s="773"/>
      <c r="Z66" s="773"/>
      <c r="AA66" s="773"/>
      <c r="AB66" s="773"/>
      <c r="AC66" s="2644"/>
      <c r="AD66" s="2644"/>
      <c r="AE66" s="773"/>
      <c r="AF66" s="2340">
        <v>53</v>
      </c>
      <c r="AG66" s="2456">
        <f>0.139</f>
        <v>0.13900000000000001</v>
      </c>
      <c r="AH66" s="2421">
        <v>26</v>
      </c>
      <c r="AI66" s="2422">
        <v>14</v>
      </c>
      <c r="AJ66" s="2422">
        <v>14</v>
      </c>
      <c r="AK66" s="2475">
        <v>14</v>
      </c>
      <c r="AL66" s="2479">
        <v>14</v>
      </c>
      <c r="AM66" s="2469">
        <v>14</v>
      </c>
      <c r="AN66" s="2479">
        <v>14</v>
      </c>
      <c r="AO66" s="2475">
        <v>14</v>
      </c>
      <c r="AP66" s="2422">
        <v>14</v>
      </c>
      <c r="AQ66" s="2422">
        <v>14</v>
      </c>
      <c r="AR66" s="2438">
        <v>14</v>
      </c>
      <c r="AS66" s="2431"/>
      <c r="AT66" s="2420">
        <v>53</v>
      </c>
      <c r="AU66" s="773"/>
      <c r="AV66" s="2644"/>
      <c r="AW66" s="2644"/>
      <c r="AX66" s="773"/>
      <c r="AY66" s="2644"/>
      <c r="AZ66" s="2644"/>
      <c r="BA66" s="773"/>
      <c r="BB66" s="2644"/>
      <c r="BC66" s="2644"/>
      <c r="BD66" s="773"/>
      <c r="BE66" s="2644"/>
      <c r="BF66" s="2644"/>
      <c r="BG66" s="2643"/>
      <c r="BH66" s="773"/>
      <c r="BI66" s="773"/>
      <c r="BJ66" s="773"/>
      <c r="BK66" s="773"/>
      <c r="BL66" s="1567"/>
      <c r="BM66" s="773"/>
      <c r="BN66" s="2528"/>
      <c r="BO66" s="2530">
        <v>90009</v>
      </c>
      <c r="BP66" s="2392">
        <v>90021</v>
      </c>
      <c r="BQ66" s="2392">
        <v>90021</v>
      </c>
      <c r="BR66" s="1084">
        <v>90026</v>
      </c>
      <c r="BS66" s="757"/>
      <c r="BT66" s="2470">
        <v>20000</v>
      </c>
      <c r="BU66" s="2811">
        <f>128*4+23</f>
        <v>535</v>
      </c>
      <c r="BV66" s="2812">
        <f>128*4+23+0.19</f>
        <v>535.19000000000005</v>
      </c>
      <c r="BW66" s="1377">
        <f>0.256+0.041</f>
        <v>0.29699999999999999</v>
      </c>
      <c r="BX66" s="2481">
        <v>220026</v>
      </c>
      <c r="BY66" s="2377">
        <v>9</v>
      </c>
      <c r="BZ66" s="2816">
        <v>9</v>
      </c>
      <c r="CA66" s="2489">
        <v>260000</v>
      </c>
      <c r="CB66" s="2383">
        <v>9</v>
      </c>
      <c r="CC66" s="2383">
        <v>9</v>
      </c>
      <c r="CD66" s="2383">
        <v>9</v>
      </c>
      <c r="CE66" s="2383">
        <v>9</v>
      </c>
      <c r="CF66" s="2383">
        <v>9</v>
      </c>
      <c r="CG66" s="2383">
        <v>9</v>
      </c>
      <c r="CH66" s="2383">
        <v>9</v>
      </c>
      <c r="CI66" s="2521">
        <f>260000+128*8+10</f>
        <v>261034</v>
      </c>
      <c r="CJ66" s="2819">
        <v>9</v>
      </c>
      <c r="CK66" s="2377">
        <v>9</v>
      </c>
      <c r="CL66" s="499">
        <v>24</v>
      </c>
    </row>
    <row r="67" spans="1:90" ht="17.25" thickTop="1" thickBot="1">
      <c r="A67" s="499">
        <v>24</v>
      </c>
      <c r="B67" s="835">
        <f>128*11+27+0.256+0.038</f>
        <v>1435.2940000000001</v>
      </c>
      <c r="C67" s="757">
        <v>22</v>
      </c>
      <c r="D67" s="757"/>
      <c r="E67" s="757"/>
      <c r="F67" s="757">
        <v>22</v>
      </c>
      <c r="G67" s="757"/>
      <c r="H67" s="757"/>
      <c r="I67" s="757">
        <f>128*9+67</f>
        <v>1219</v>
      </c>
      <c r="J67" s="757">
        <v>0.2175</v>
      </c>
      <c r="K67" s="757">
        <f>128*9+67</f>
        <v>1219</v>
      </c>
      <c r="L67" s="757"/>
      <c r="M67" s="757"/>
      <c r="N67" s="757">
        <v>22</v>
      </c>
      <c r="O67" s="757">
        <v>22</v>
      </c>
      <c r="P67" s="1377">
        <f>128*9+67</f>
        <v>1219</v>
      </c>
      <c r="Q67" s="838">
        <f>128*9+67</f>
        <v>1219</v>
      </c>
      <c r="R67" s="1093">
        <v>90009</v>
      </c>
      <c r="S67" s="773"/>
      <c r="T67" s="1567"/>
      <c r="U67" s="773"/>
      <c r="V67" s="2644"/>
      <c r="W67" s="2644"/>
      <c r="X67" s="2644"/>
      <c r="Y67" s="773"/>
      <c r="Z67" s="2643"/>
      <c r="AA67" s="2643"/>
      <c r="AB67" s="773"/>
      <c r="AC67" s="2644"/>
      <c r="AD67" s="2644"/>
      <c r="AE67" s="773"/>
      <c r="AF67" s="2340">
        <v>53</v>
      </c>
      <c r="AG67" s="2330"/>
      <c r="AH67" s="2458">
        <v>26</v>
      </c>
      <c r="AI67" s="2421">
        <v>26</v>
      </c>
      <c r="AJ67" s="2421">
        <v>26</v>
      </c>
      <c r="AK67" s="2476">
        <v>26</v>
      </c>
      <c r="AL67" s="2471">
        <f>26+0.221</f>
        <v>26.221</v>
      </c>
      <c r="AM67" s="2427">
        <f>128*11+6</f>
        <v>1414</v>
      </c>
      <c r="AN67" s="2471">
        <f>26+0.221</f>
        <v>26.221</v>
      </c>
      <c r="AO67" s="2477">
        <f>53+0.221</f>
        <v>53.220999999999997</v>
      </c>
      <c r="AP67" s="2460">
        <v>53</v>
      </c>
      <c r="AQ67" s="2460">
        <v>53</v>
      </c>
      <c r="AR67" s="2460">
        <f>53+0.221</f>
        <v>53.220999999999997</v>
      </c>
      <c r="AS67" s="2431"/>
      <c r="AT67" s="2420">
        <v>53</v>
      </c>
      <c r="AU67" s="773"/>
      <c r="AV67" s="2644"/>
      <c r="AW67" s="2644"/>
      <c r="AX67" s="773"/>
      <c r="AY67" s="2644"/>
      <c r="AZ67" s="2644"/>
      <c r="BA67" s="773"/>
      <c r="BB67" s="2644"/>
      <c r="BC67" s="2644"/>
      <c r="BD67" s="773"/>
      <c r="BE67" s="2644"/>
      <c r="BF67" s="2644"/>
      <c r="BG67" s="773"/>
      <c r="BH67" s="773"/>
      <c r="BI67" s="773"/>
      <c r="BJ67" s="773"/>
      <c r="BK67" s="773"/>
      <c r="BL67" s="773"/>
      <c r="BM67" s="773"/>
      <c r="BN67" s="2528"/>
      <c r="BO67" s="2529">
        <v>90009</v>
      </c>
      <c r="BP67" s="2392">
        <v>90021</v>
      </c>
      <c r="BQ67" s="2528"/>
      <c r="BR67" s="1084">
        <f>90026+0.221</f>
        <v>90026.221000000005</v>
      </c>
      <c r="BS67" s="757"/>
      <c r="BT67" s="1068">
        <v>0.188</v>
      </c>
      <c r="BU67" s="2812">
        <f>128*4+23+0.191</f>
        <v>535.19100000000003</v>
      </c>
      <c r="BV67" s="757">
        <f>128*10+34</f>
        <v>1314</v>
      </c>
      <c r="BW67" s="1377">
        <f>0.256+0.041</f>
        <v>0.29699999999999999</v>
      </c>
      <c r="BX67" s="2481">
        <f>240026+0.221</f>
        <v>240026.22099999999</v>
      </c>
      <c r="BY67" s="773"/>
      <c r="BZ67" s="2816">
        <v>9</v>
      </c>
      <c r="CA67" s="2520">
        <f>260000+128*8+10</f>
        <v>261034</v>
      </c>
      <c r="CB67" s="2383">
        <v>9</v>
      </c>
      <c r="CC67" s="757">
        <v>0.188</v>
      </c>
      <c r="CD67" s="1383">
        <f>128*8+6</f>
        <v>1030</v>
      </c>
      <c r="CE67" s="757">
        <v>0.188</v>
      </c>
      <c r="CF67" s="757"/>
      <c r="CG67" s="757"/>
      <c r="CH67" s="2383">
        <v>9</v>
      </c>
      <c r="CI67" s="2488">
        <v>260000</v>
      </c>
      <c r="CJ67" s="2819">
        <v>9</v>
      </c>
      <c r="CK67" s="773"/>
      <c r="CL67" s="499">
        <v>24</v>
      </c>
    </row>
    <row r="68" spans="1:90" ht="17.25" thickTop="1" thickBot="1">
      <c r="A68" s="499">
        <v>24</v>
      </c>
      <c r="B68" s="757">
        <v>22</v>
      </c>
      <c r="C68" s="757"/>
      <c r="D68" s="757"/>
      <c r="E68" s="757">
        <v>22</v>
      </c>
      <c r="F68" s="757"/>
      <c r="G68" s="757"/>
      <c r="H68" s="757">
        <v>22</v>
      </c>
      <c r="I68" s="757">
        <v>22</v>
      </c>
      <c r="J68" s="757">
        <v>22</v>
      </c>
      <c r="K68" s="757">
        <v>22</v>
      </c>
      <c r="L68" s="757">
        <v>22</v>
      </c>
      <c r="M68" s="2383">
        <f>128*11+24+0.256+0.038</f>
        <v>1432.2940000000001</v>
      </c>
      <c r="N68" s="757">
        <v>22</v>
      </c>
      <c r="O68" s="757">
        <v>0.217</v>
      </c>
      <c r="P68" s="757"/>
      <c r="Q68" s="757"/>
      <c r="R68" s="1093">
        <v>90009</v>
      </c>
      <c r="S68" s="773"/>
      <c r="T68" s="773"/>
      <c r="U68" s="773"/>
      <c r="V68" s="2644"/>
      <c r="W68" s="2644"/>
      <c r="X68" s="2644"/>
      <c r="Y68" s="773"/>
      <c r="Z68" s="2643"/>
      <c r="AA68" s="2643"/>
      <c r="AB68" s="773"/>
      <c r="AC68" s="2644"/>
      <c r="AD68" s="2644"/>
      <c r="AE68" s="773"/>
      <c r="AF68" s="2340">
        <v>53</v>
      </c>
      <c r="AG68" s="2432"/>
      <c r="AH68" s="2457"/>
      <c r="AI68" s="2431">
        <f>128*14+2</f>
        <v>1794</v>
      </c>
      <c r="AJ68" s="2455">
        <v>14</v>
      </c>
      <c r="AK68" s="2466">
        <f>26+0.182</f>
        <v>26.181999999999999</v>
      </c>
      <c r="AL68" s="2464"/>
      <c r="AM68" s="2468">
        <f>0.256+0.046</f>
        <v>0.30199999999999999</v>
      </c>
      <c r="AN68" s="2464"/>
      <c r="AO68" s="2464"/>
      <c r="AP68" s="2465">
        <f>128*16+4</f>
        <v>2052</v>
      </c>
      <c r="AQ68" s="2463">
        <f>128*9+57</f>
        <v>1209</v>
      </c>
      <c r="AR68" s="2431"/>
      <c r="AS68" s="2431"/>
      <c r="AT68" s="2420">
        <v>53</v>
      </c>
      <c r="AU68" s="773"/>
      <c r="AV68" s="2644"/>
      <c r="AW68" s="2644"/>
      <c r="AX68" s="773"/>
      <c r="AY68" s="2644"/>
      <c r="AZ68" s="2644"/>
      <c r="BA68" s="773"/>
      <c r="BB68" s="2644"/>
      <c r="BC68" s="2644"/>
      <c r="BD68" s="773"/>
      <c r="BE68" s="2644"/>
      <c r="BF68" s="2644"/>
      <c r="BG68" s="773"/>
      <c r="BH68" s="773"/>
      <c r="BI68" s="773"/>
      <c r="BJ68" s="773"/>
      <c r="BK68" s="773"/>
      <c r="BL68" s="773"/>
      <c r="BM68" s="773"/>
      <c r="BN68" s="2530">
        <v>90009</v>
      </c>
      <c r="BO68" s="2529">
        <v>90021</v>
      </c>
      <c r="BP68" s="2392">
        <v>90021</v>
      </c>
      <c r="BQ68" s="2528"/>
      <c r="BR68" s="1084">
        <v>90026</v>
      </c>
      <c r="BS68" s="757"/>
      <c r="BT68" s="2470">
        <f>20000+0.195</f>
        <v>20000.195</v>
      </c>
      <c r="BU68" s="2812">
        <f>128*4+23</f>
        <v>535</v>
      </c>
      <c r="BV68" s="2812">
        <f>128*4+23+0.192</f>
        <v>535.19200000000001</v>
      </c>
      <c r="BW68" s="1377">
        <f>0.256+0.041</f>
        <v>0.29699999999999999</v>
      </c>
      <c r="BX68" s="2481">
        <v>220026</v>
      </c>
      <c r="BY68" s="773"/>
      <c r="BZ68" s="2816">
        <v>9</v>
      </c>
      <c r="CA68" s="2489">
        <f>260000+0.193</f>
        <v>260000.193</v>
      </c>
      <c r="CB68" s="2383">
        <v>9</v>
      </c>
      <c r="CC68" s="757"/>
      <c r="CD68" s="757"/>
      <c r="CE68" s="757">
        <v>230000</v>
      </c>
      <c r="CF68" s="2497">
        <f>128*12+1</f>
        <v>1537</v>
      </c>
      <c r="CG68" s="757"/>
      <c r="CH68" s="2383">
        <v>9</v>
      </c>
      <c r="CI68" s="2488">
        <f>260000+0.1912</f>
        <v>260000.1912</v>
      </c>
      <c r="CJ68" s="2819">
        <v>9</v>
      </c>
      <c r="CK68" s="773"/>
      <c r="CL68" s="499">
        <v>24</v>
      </c>
    </row>
    <row r="69" spans="1:90" ht="17.25" thickTop="1" thickBot="1">
      <c r="A69" s="499">
        <v>24</v>
      </c>
      <c r="B69" s="2383">
        <f>128*11+25+0.256+0.038</f>
        <v>1433.2940000000001</v>
      </c>
      <c r="C69" s="757"/>
      <c r="D69" s="757">
        <v>22</v>
      </c>
      <c r="E69" s="757"/>
      <c r="F69" s="757"/>
      <c r="G69" s="757">
        <v>22</v>
      </c>
      <c r="H69" s="2669"/>
      <c r="I69" s="2669">
        <f>128*10+18</f>
        <v>1298</v>
      </c>
      <c r="J69" s="2669"/>
      <c r="K69" s="2669"/>
      <c r="L69" s="2662">
        <v>22</v>
      </c>
      <c r="M69" s="3710">
        <v>23</v>
      </c>
      <c r="N69" s="3247">
        <v>22</v>
      </c>
      <c r="O69" s="757"/>
      <c r="P69" s="757">
        <f>128*9+15</f>
        <v>1167</v>
      </c>
      <c r="Q69" s="1093">
        <v>90009</v>
      </c>
      <c r="R69" s="1567"/>
      <c r="S69" s="773"/>
      <c r="T69" s="773"/>
      <c r="U69" s="773"/>
      <c r="V69" s="2644"/>
      <c r="W69" s="2644"/>
      <c r="X69" s="2644"/>
      <c r="Y69" s="773"/>
      <c r="Z69" s="2644"/>
      <c r="AA69" s="2644"/>
      <c r="AB69" s="773"/>
      <c r="AC69" s="2644"/>
      <c r="AD69" s="2644"/>
      <c r="AE69" s="773"/>
      <c r="AF69" s="2420">
        <v>53</v>
      </c>
      <c r="AG69" s="2420">
        <v>53</v>
      </c>
      <c r="AH69" s="2459">
        <v>53</v>
      </c>
      <c r="AI69" s="2420">
        <v>53</v>
      </c>
      <c r="AJ69" s="2420">
        <v>53</v>
      </c>
      <c r="AK69" s="2420">
        <v>53</v>
      </c>
      <c r="AL69" s="2420">
        <v>53</v>
      </c>
      <c r="AM69" s="2420">
        <v>53</v>
      </c>
      <c r="AN69" s="2420">
        <v>53</v>
      </c>
      <c r="AO69" s="2420">
        <v>53</v>
      </c>
      <c r="AP69" s="2420">
        <v>53</v>
      </c>
      <c r="AQ69" s="2420">
        <v>53</v>
      </c>
      <c r="AR69" s="2420">
        <v>53</v>
      </c>
      <c r="AS69" s="2420">
        <v>53</v>
      </c>
      <c r="AT69" s="2420">
        <v>53</v>
      </c>
      <c r="AU69" s="773"/>
      <c r="AV69" s="2644"/>
      <c r="AW69" s="2644"/>
      <c r="AX69" s="773"/>
      <c r="AY69" s="2644"/>
      <c r="AZ69" s="2644"/>
      <c r="BA69" s="2248"/>
      <c r="BB69" s="2644"/>
      <c r="BC69" s="2644"/>
      <c r="BD69" s="773"/>
      <c r="BE69" s="2644"/>
      <c r="BF69" s="2644"/>
      <c r="BG69" s="773"/>
      <c r="BH69" s="773"/>
      <c r="BI69" s="773"/>
      <c r="BJ69" s="773"/>
      <c r="BK69" s="2700">
        <f>128*6+5</f>
        <v>773</v>
      </c>
      <c r="BL69" s="773"/>
      <c r="BM69" s="773"/>
      <c r="BN69" s="2529">
        <v>90009</v>
      </c>
      <c r="BO69" s="2392">
        <v>90021</v>
      </c>
      <c r="BP69" s="773"/>
      <c r="BQ69" s="773"/>
      <c r="BR69" s="1084">
        <v>90026</v>
      </c>
      <c r="BS69" s="757"/>
      <c r="BT69" s="757">
        <v>0.19400000000000001</v>
      </c>
      <c r="BU69" s="2483"/>
      <c r="BV69" s="757"/>
      <c r="BW69" s="2486">
        <f>128*6+197+0.256+0.041</f>
        <v>965.29700000000003</v>
      </c>
      <c r="BX69" s="2481">
        <v>220026</v>
      </c>
      <c r="BY69" s="773"/>
      <c r="BZ69" s="2816">
        <v>9</v>
      </c>
      <c r="CA69" s="2489">
        <v>260000</v>
      </c>
      <c r="CB69" s="2383">
        <v>9</v>
      </c>
      <c r="CC69" s="757">
        <v>0.188</v>
      </c>
      <c r="CD69" s="757"/>
      <c r="CE69" s="2510">
        <f>230022+0.221</f>
        <v>230022.22099999999</v>
      </c>
      <c r="CF69" s="757">
        <v>230000</v>
      </c>
      <c r="CG69" s="757"/>
      <c r="CH69" s="2383">
        <v>9</v>
      </c>
      <c r="CI69" s="2488">
        <v>260000</v>
      </c>
      <c r="CJ69" s="2819">
        <v>9</v>
      </c>
      <c r="CK69" s="773"/>
      <c r="CL69" s="499">
        <v>24</v>
      </c>
    </row>
    <row r="70" spans="1:90" ht="17.25" thickTop="1" thickBot="1">
      <c r="A70" s="3835">
        <v>24</v>
      </c>
      <c r="B70" s="504">
        <v>22</v>
      </c>
      <c r="C70" s="757">
        <v>22</v>
      </c>
      <c r="D70" s="757">
        <v>22</v>
      </c>
      <c r="E70" s="787"/>
      <c r="F70" s="757">
        <v>22</v>
      </c>
      <c r="G70" s="3249">
        <f>128*8+11</f>
        <v>1035</v>
      </c>
      <c r="H70" s="2662"/>
      <c r="I70" s="2666"/>
      <c r="J70" s="2663"/>
      <c r="K70" s="3248">
        <f>128*8+11</f>
        <v>1035</v>
      </c>
      <c r="L70" s="3708">
        <v>22</v>
      </c>
      <c r="M70" s="3709">
        <v>22</v>
      </c>
      <c r="N70" s="757">
        <v>22</v>
      </c>
      <c r="O70" s="757"/>
      <c r="P70" s="757">
        <v>22</v>
      </c>
      <c r="Q70" s="1093">
        <v>90009</v>
      </c>
      <c r="R70" s="773"/>
      <c r="S70" s="773"/>
      <c r="T70" s="773"/>
      <c r="U70" s="1567"/>
      <c r="V70" s="2644"/>
      <c r="W70" s="2644"/>
      <c r="X70" s="2644"/>
      <c r="Y70" s="773"/>
      <c r="Z70" s="2644"/>
      <c r="AA70" s="2644"/>
      <c r="AB70" s="773"/>
      <c r="AC70" s="2644"/>
      <c r="AD70" s="2644"/>
      <c r="AE70" s="773"/>
      <c r="AF70" s="773"/>
      <c r="AG70" s="773"/>
      <c r="AH70" s="773"/>
      <c r="AI70" s="773"/>
      <c r="AJ70" s="773"/>
      <c r="AK70" s="773"/>
      <c r="AL70" s="773"/>
      <c r="AM70" s="773"/>
      <c r="AN70" s="773"/>
      <c r="AO70" s="773"/>
      <c r="AP70" s="773"/>
      <c r="AQ70" s="773"/>
      <c r="AR70" s="773"/>
      <c r="AS70" s="773"/>
      <c r="AT70" s="773"/>
      <c r="AU70" s="773"/>
      <c r="AV70" s="2644"/>
      <c r="AW70" s="2644"/>
      <c r="AX70" s="773"/>
      <c r="AY70" s="2644"/>
      <c r="AZ70" s="2644"/>
      <c r="BA70" s="773"/>
      <c r="BB70" s="2644"/>
      <c r="BC70" s="2644"/>
      <c r="BD70" s="773"/>
      <c r="BE70" s="2644"/>
      <c r="BF70" s="2644"/>
      <c r="BG70" s="773"/>
      <c r="BH70" s="773"/>
      <c r="BI70" s="773"/>
      <c r="BJ70" s="773"/>
      <c r="BK70" s="773"/>
      <c r="BL70" s="773"/>
      <c r="BM70" s="773"/>
      <c r="BN70" s="2529">
        <v>90009</v>
      </c>
      <c r="BO70" s="2392">
        <v>90021</v>
      </c>
      <c r="BP70" s="773"/>
      <c r="BQ70" s="773"/>
      <c r="BR70" s="2482">
        <v>26</v>
      </c>
      <c r="BS70" s="2070">
        <v>290000</v>
      </c>
      <c r="BT70" s="2485">
        <v>240000</v>
      </c>
      <c r="BU70" s="2484">
        <f>240000+128*11+7</f>
        <v>241415</v>
      </c>
      <c r="BV70" s="2485">
        <f>240000+0.195</f>
        <v>240000.19500000001</v>
      </c>
      <c r="BW70" s="2070">
        <v>290000</v>
      </c>
      <c r="BX70" s="2481">
        <v>26</v>
      </c>
      <c r="BY70" s="773"/>
      <c r="BZ70" s="2816">
        <v>9</v>
      </c>
      <c r="CA70" s="2489">
        <f>260000+0.1913</f>
        <v>260000.19130000001</v>
      </c>
      <c r="CB70" s="2383">
        <v>9</v>
      </c>
      <c r="CC70" s="757"/>
      <c r="CD70" s="757"/>
      <c r="CE70" s="757"/>
      <c r="CF70" s="757"/>
      <c r="CG70" s="757">
        <v>0.189</v>
      </c>
      <c r="CH70" s="2383">
        <v>9</v>
      </c>
      <c r="CI70" s="2488">
        <f>260000+0.1932</f>
        <v>260000.19320000001</v>
      </c>
      <c r="CJ70" s="2819">
        <v>9</v>
      </c>
      <c r="CK70" s="773"/>
      <c r="CL70" s="499">
        <v>24</v>
      </c>
    </row>
    <row r="71" spans="1:90" ht="17.25" thickTop="1" thickBot="1">
      <c r="A71" s="3835">
        <v>24</v>
      </c>
      <c r="B71" s="829">
        <v>90000</v>
      </c>
      <c r="C71" s="2661">
        <v>22</v>
      </c>
      <c r="D71" s="2383">
        <f>128*11+11+0.256+0.038</f>
        <v>1419.2940000000001</v>
      </c>
      <c r="E71" s="757"/>
      <c r="F71" s="757">
        <v>22</v>
      </c>
      <c r="G71" s="2670"/>
      <c r="H71" s="2664"/>
      <c r="I71" s="2586">
        <f>128*11+24+0.256+0.038</f>
        <v>1432.2940000000001</v>
      </c>
      <c r="J71" s="2663"/>
      <c r="K71" s="2667"/>
      <c r="L71" s="757">
        <v>22</v>
      </c>
      <c r="M71" s="2674">
        <f>128*11+26+0.256+0.038</f>
        <v>1434.2940000000001</v>
      </c>
      <c r="N71" s="757">
        <v>22</v>
      </c>
      <c r="O71" s="757"/>
      <c r="P71" s="757">
        <v>22</v>
      </c>
      <c r="Q71" s="1093">
        <v>90009</v>
      </c>
      <c r="R71" s="773"/>
      <c r="S71" s="773"/>
      <c r="T71" s="773"/>
      <c r="U71" s="773"/>
      <c r="V71" s="2643"/>
      <c r="W71" s="2643"/>
      <c r="X71" s="2643"/>
      <c r="Y71" s="773"/>
      <c r="Z71" s="2643"/>
      <c r="AA71" s="2643"/>
      <c r="AB71" s="773"/>
      <c r="AC71" s="2643"/>
      <c r="AD71" s="2643"/>
      <c r="AE71" s="2642"/>
      <c r="AF71" s="2642"/>
      <c r="AG71" s="2642"/>
      <c r="AH71" s="2642"/>
      <c r="AI71" s="2642"/>
      <c r="AJ71" s="2642"/>
      <c r="AK71" s="2642"/>
      <c r="AL71" s="2642"/>
      <c r="AM71" s="2642"/>
      <c r="AN71" s="2642"/>
      <c r="AO71" s="2642"/>
      <c r="AP71" s="2642"/>
      <c r="AQ71" s="2642"/>
      <c r="AR71" s="2642"/>
      <c r="AS71" s="2642"/>
      <c r="AT71" s="2642"/>
      <c r="AU71" s="2642"/>
      <c r="AV71" s="2643"/>
      <c r="AW71" s="2643"/>
      <c r="AX71" s="773"/>
      <c r="AY71" s="2643"/>
      <c r="AZ71" s="2643"/>
      <c r="BA71" s="773"/>
      <c r="BB71" s="2643"/>
      <c r="BC71" s="2643"/>
      <c r="BD71" s="773"/>
      <c r="BE71" s="2643"/>
      <c r="BF71" s="2643"/>
      <c r="BG71" s="773"/>
      <c r="BH71" s="773"/>
      <c r="BI71" s="773"/>
      <c r="BJ71" s="773"/>
      <c r="BK71" s="773"/>
      <c r="BL71" s="2528"/>
      <c r="BM71" s="2530">
        <v>90009</v>
      </c>
      <c r="BN71" s="2392">
        <v>90021</v>
      </c>
      <c r="BO71" s="2392">
        <v>90021</v>
      </c>
      <c r="BP71" s="773"/>
      <c r="BQ71" s="773"/>
      <c r="BR71" s="770">
        <v>26</v>
      </c>
      <c r="BS71" s="757"/>
      <c r="BT71" s="778">
        <v>260000</v>
      </c>
      <c r="BU71" s="2487">
        <f>140000+0.256+0.046</f>
        <v>140000.302</v>
      </c>
      <c r="BV71" s="705">
        <v>260000</v>
      </c>
      <c r="BW71" s="757"/>
      <c r="BX71" s="2480">
        <v>26</v>
      </c>
      <c r="BY71" s="773"/>
      <c r="BZ71" s="2816">
        <v>9</v>
      </c>
      <c r="CA71" s="2489">
        <v>260000</v>
      </c>
      <c r="CB71" s="2383">
        <v>9</v>
      </c>
      <c r="CC71" s="757"/>
      <c r="CD71" s="757">
        <v>0.188</v>
      </c>
      <c r="CE71" s="2067">
        <f>240000+128*11+7+0.5</f>
        <v>241415.5</v>
      </c>
      <c r="CF71" s="757"/>
      <c r="CG71" s="757"/>
      <c r="CH71" s="2383">
        <v>9</v>
      </c>
      <c r="CI71" s="2488">
        <v>260000</v>
      </c>
      <c r="CJ71" s="2819">
        <v>9</v>
      </c>
      <c r="CK71" s="773"/>
      <c r="CL71" s="499">
        <v>24</v>
      </c>
    </row>
    <row r="72" spans="1:90" ht="17.25" thickTop="1" thickBot="1">
      <c r="A72" s="3835">
        <v>24</v>
      </c>
      <c r="B72" s="504">
        <v>22</v>
      </c>
      <c r="C72" s="757">
        <v>22</v>
      </c>
      <c r="D72" s="757">
        <v>22</v>
      </c>
      <c r="E72" s="757"/>
      <c r="F72" s="757">
        <v>22</v>
      </c>
      <c r="G72" s="2669"/>
      <c r="H72" s="2664"/>
      <c r="I72" s="1011"/>
      <c r="J72" s="2665"/>
      <c r="K72" s="2669"/>
      <c r="L72" s="757">
        <v>22</v>
      </c>
      <c r="M72" s="757"/>
      <c r="N72" s="757"/>
      <c r="O72" s="757"/>
      <c r="P72" s="757">
        <v>22</v>
      </c>
      <c r="Q72" s="1093">
        <v>90009</v>
      </c>
      <c r="R72" s="773"/>
      <c r="S72" s="1567"/>
      <c r="T72" s="773"/>
      <c r="U72" s="773"/>
      <c r="V72" s="2643"/>
      <c r="W72" s="2643"/>
      <c r="X72" s="2643"/>
      <c r="Y72" s="773"/>
      <c r="Z72" s="2643"/>
      <c r="AA72" s="2643"/>
      <c r="AB72" s="773"/>
      <c r="AC72" s="2643"/>
      <c r="AD72" s="2643"/>
      <c r="AE72" s="2642"/>
      <c r="AF72" s="2642"/>
      <c r="AG72" s="2642"/>
      <c r="AH72" s="2642"/>
      <c r="AI72" s="2642"/>
      <c r="AJ72" s="2642"/>
      <c r="AK72" s="2642"/>
      <c r="AL72" s="2642"/>
      <c r="AM72" s="2642"/>
      <c r="AN72" s="2642"/>
      <c r="AO72" s="2642"/>
      <c r="AP72" s="2642"/>
      <c r="AQ72" s="2642"/>
      <c r="AR72" s="2642"/>
      <c r="AS72" s="2642"/>
      <c r="AT72" s="2642"/>
      <c r="AU72" s="2642"/>
      <c r="AV72" s="2643"/>
      <c r="AW72" s="2643"/>
      <c r="AX72" s="773"/>
      <c r="AY72" s="2643"/>
      <c r="AZ72" s="2643"/>
      <c r="BA72" s="773"/>
      <c r="BB72" s="2643"/>
      <c r="BC72" s="2643"/>
      <c r="BD72" s="773"/>
      <c r="BE72" s="2643"/>
      <c r="BF72" s="2643"/>
      <c r="BG72" s="773"/>
      <c r="BH72" s="773"/>
      <c r="BI72" s="1567"/>
      <c r="BJ72" s="773"/>
      <c r="BK72" s="773"/>
      <c r="BL72" s="2528"/>
      <c r="BM72" s="2529">
        <v>90009</v>
      </c>
      <c r="BN72" s="2392">
        <v>90021</v>
      </c>
      <c r="BO72" s="2528"/>
      <c r="BP72" s="773"/>
      <c r="BQ72" s="773"/>
      <c r="BR72" s="698">
        <v>26</v>
      </c>
      <c r="BS72" s="778">
        <v>260000</v>
      </c>
      <c r="BT72" s="2470">
        <v>260000</v>
      </c>
      <c r="BU72" s="2494">
        <f>128*11+6+0.5+0.06</f>
        <v>1414.56</v>
      </c>
      <c r="BV72" s="778">
        <v>260000</v>
      </c>
      <c r="BW72" s="778">
        <v>260000</v>
      </c>
      <c r="BX72" s="2473">
        <v>26</v>
      </c>
      <c r="BY72" s="773"/>
      <c r="BZ72" s="2816">
        <v>9</v>
      </c>
      <c r="CA72" s="2523">
        <v>260000</v>
      </c>
      <c r="CB72" s="2383">
        <v>9</v>
      </c>
      <c r="CC72" s="757"/>
      <c r="CD72" s="757"/>
      <c r="CE72" s="1760">
        <f>9+0.22</f>
        <v>9.2200000000000006</v>
      </c>
      <c r="CF72" s="757"/>
      <c r="CG72" s="757">
        <v>0.188</v>
      </c>
      <c r="CH72" s="2383">
        <v>9</v>
      </c>
      <c r="CI72" s="2488">
        <f>260000+0.1926</f>
        <v>260000.19260000001</v>
      </c>
      <c r="CJ72" s="2819">
        <v>9</v>
      </c>
      <c r="CK72" s="773"/>
      <c r="CL72" s="499">
        <v>24</v>
      </c>
    </row>
    <row r="73" spans="1:90" ht="17.25" thickTop="1" thickBot="1">
      <c r="A73" s="499">
        <v>24</v>
      </c>
      <c r="B73" s="757"/>
      <c r="C73" s="2383">
        <f>128*11+25+0.256+0.038</f>
        <v>1433.2940000000001</v>
      </c>
      <c r="D73" s="757">
        <v>22</v>
      </c>
      <c r="E73" s="757"/>
      <c r="F73" s="1383">
        <f>128*9+67</f>
        <v>1219</v>
      </c>
      <c r="G73" s="757">
        <v>22</v>
      </c>
      <c r="H73" s="2669"/>
      <c r="I73" s="787"/>
      <c r="J73" s="2669"/>
      <c r="K73" s="757">
        <v>22</v>
      </c>
      <c r="L73" s="757">
        <v>22</v>
      </c>
      <c r="M73" s="3275">
        <f>128*6+195</f>
        <v>963</v>
      </c>
      <c r="N73" s="757">
        <v>22</v>
      </c>
      <c r="O73" s="757">
        <v>22</v>
      </c>
      <c r="P73" s="1093">
        <v>90009</v>
      </c>
      <c r="Q73" s="773"/>
      <c r="R73" s="773"/>
      <c r="S73" s="773"/>
      <c r="T73" s="773"/>
      <c r="U73" s="773"/>
      <c r="V73" s="2643"/>
      <c r="W73" s="2643"/>
      <c r="X73" s="2643"/>
      <c r="Y73" s="2643"/>
      <c r="Z73" s="2643"/>
      <c r="AA73" s="2643"/>
      <c r="AB73" s="773"/>
      <c r="AC73" s="2643"/>
      <c r="AD73" s="2643"/>
      <c r="AE73" s="2642"/>
      <c r="AF73" s="2642"/>
      <c r="AG73" s="2642"/>
      <c r="AH73" s="2642"/>
      <c r="AI73" s="2642"/>
      <c r="AJ73" s="2642"/>
      <c r="AK73" s="2642"/>
      <c r="AL73" s="2642"/>
      <c r="AM73" s="2642"/>
      <c r="AN73" s="2642"/>
      <c r="AO73" s="2642"/>
      <c r="AP73" s="2642"/>
      <c r="AQ73" s="2642"/>
      <c r="AR73" s="2642"/>
      <c r="AS73" s="2642"/>
      <c r="AT73" s="2642"/>
      <c r="AU73" s="2642"/>
      <c r="AV73" s="2643"/>
      <c r="AW73" s="2643"/>
      <c r="AX73" s="773"/>
      <c r="AY73" s="2643"/>
      <c r="AZ73" s="2643"/>
      <c r="BA73" s="773"/>
      <c r="BB73" s="2643"/>
      <c r="BC73" s="2643"/>
      <c r="BD73" s="773"/>
      <c r="BE73" s="2643"/>
      <c r="BF73" s="2643"/>
      <c r="BG73" s="773"/>
      <c r="BH73" s="773"/>
      <c r="BI73" s="773"/>
      <c r="BJ73" s="773"/>
      <c r="BK73" s="773"/>
      <c r="BL73" s="2529">
        <v>90009</v>
      </c>
      <c r="BM73" s="2392">
        <v>90021</v>
      </c>
      <c r="BN73" s="2392">
        <v>90021</v>
      </c>
      <c r="BO73" s="2528"/>
      <c r="BP73" s="773"/>
      <c r="BQ73" s="2373">
        <v>90021</v>
      </c>
      <c r="BR73" s="952">
        <v>26</v>
      </c>
      <c r="BS73" s="2821">
        <v>21</v>
      </c>
      <c r="BT73" s="2821">
        <v>21</v>
      </c>
      <c r="BU73" s="2821">
        <f>21+0.22</f>
        <v>21.22</v>
      </c>
      <c r="BV73" s="2822">
        <v>21</v>
      </c>
      <c r="BW73" s="2822">
        <v>21</v>
      </c>
      <c r="BX73" s="2473">
        <v>26</v>
      </c>
      <c r="BY73" s="773"/>
      <c r="BZ73" s="2816">
        <v>9</v>
      </c>
      <c r="CA73" s="2489">
        <v>260000</v>
      </c>
      <c r="CB73" s="2383">
        <v>9</v>
      </c>
      <c r="CC73" s="2383">
        <v>9</v>
      </c>
      <c r="CD73" s="2492">
        <f>128*9+84+0.021</f>
        <v>1236.021</v>
      </c>
      <c r="CE73" s="2830">
        <v>9</v>
      </c>
      <c r="CF73" s="2492">
        <f>128*9+84+0.021</f>
        <v>1236.021</v>
      </c>
      <c r="CG73" s="2383">
        <v>9</v>
      </c>
      <c r="CH73" s="2383">
        <v>9</v>
      </c>
      <c r="CI73" s="2488">
        <v>260000</v>
      </c>
      <c r="CJ73" s="2819">
        <v>9</v>
      </c>
      <c r="CK73" s="773"/>
      <c r="CL73" s="499">
        <v>24</v>
      </c>
    </row>
    <row r="74" spans="1:90" ht="17.25" thickTop="1" thickBot="1">
      <c r="A74" s="499">
        <f>24+0.137</f>
        <v>24.137</v>
      </c>
      <c r="B74" s="757"/>
      <c r="C74" s="757">
        <v>22</v>
      </c>
      <c r="D74" s="757">
        <v>22</v>
      </c>
      <c r="E74" s="757"/>
      <c r="F74" s="757">
        <f>128*9+67</f>
        <v>1219</v>
      </c>
      <c r="G74" s="757">
        <v>0.217</v>
      </c>
      <c r="H74" s="2668">
        <v>9</v>
      </c>
      <c r="I74" s="3250">
        <f>128*8+10</f>
        <v>1034</v>
      </c>
      <c r="J74" s="2573">
        <v>9</v>
      </c>
      <c r="K74" s="757">
        <v>22</v>
      </c>
      <c r="L74" s="757">
        <v>22</v>
      </c>
      <c r="M74" s="757">
        <v>22</v>
      </c>
      <c r="N74" s="1093">
        <v>90009</v>
      </c>
      <c r="O74" s="1093">
        <v>90009</v>
      </c>
      <c r="P74" s="773"/>
      <c r="Q74" s="773"/>
      <c r="R74" s="773"/>
      <c r="S74" s="1567"/>
      <c r="T74" s="773"/>
      <c r="U74" s="773"/>
      <c r="V74" s="2643"/>
      <c r="W74" s="2643"/>
      <c r="X74" s="2643"/>
      <c r="Y74" s="2643"/>
      <c r="Z74" s="2643"/>
      <c r="AA74" s="2643"/>
      <c r="AB74" s="773"/>
      <c r="AC74" s="773"/>
      <c r="AD74" s="773"/>
      <c r="AE74" s="773"/>
      <c r="AF74" s="2642"/>
      <c r="AG74" s="773"/>
      <c r="AH74" s="2642"/>
      <c r="AI74" s="773"/>
      <c r="AJ74" s="2642"/>
      <c r="AK74" s="773"/>
      <c r="AL74" s="773"/>
      <c r="AM74" s="773"/>
      <c r="AN74" s="773"/>
      <c r="AO74" s="773"/>
      <c r="AP74" s="773"/>
      <c r="AQ74" s="773"/>
      <c r="AR74" s="773"/>
      <c r="AS74" s="773"/>
      <c r="AT74" s="773"/>
      <c r="AU74" s="773"/>
      <c r="AV74" s="773"/>
      <c r="AW74" s="773"/>
      <c r="AX74" s="773"/>
      <c r="AY74" s="2643"/>
      <c r="AZ74" s="2643"/>
      <c r="BA74" s="773"/>
      <c r="BB74" s="2643"/>
      <c r="BC74" s="2643"/>
      <c r="BD74" s="773"/>
      <c r="BE74" s="2643"/>
      <c r="BF74" s="2643"/>
      <c r="BG74" s="773"/>
      <c r="BH74" s="773"/>
      <c r="BI74" s="773"/>
      <c r="BJ74" s="773"/>
      <c r="BK74" s="2530">
        <v>90009</v>
      </c>
      <c r="BL74" s="2529">
        <v>90021</v>
      </c>
      <c r="BM74" s="2392">
        <v>90021</v>
      </c>
      <c r="BN74" s="2392">
        <v>90021</v>
      </c>
      <c r="BO74" s="2528"/>
      <c r="BP74" s="773"/>
      <c r="BQ74" s="2373">
        <v>90021</v>
      </c>
      <c r="BR74" s="2312"/>
      <c r="BS74" s="2312"/>
      <c r="BT74" s="2312"/>
      <c r="BU74" s="2312"/>
      <c r="BV74" s="2312"/>
      <c r="BW74" s="2312"/>
      <c r="BX74" s="2472"/>
      <c r="BY74" s="773"/>
      <c r="BZ74" s="2816">
        <v>9</v>
      </c>
      <c r="CA74" s="2488">
        <f>260000+0.194</f>
        <v>260000.19399999999</v>
      </c>
      <c r="CB74" s="2495">
        <v>260000</v>
      </c>
      <c r="CC74" s="2488">
        <v>210000</v>
      </c>
      <c r="CD74" s="2496">
        <v>210000</v>
      </c>
      <c r="CE74" s="2490">
        <v>210000</v>
      </c>
      <c r="CF74" s="2488">
        <v>210000</v>
      </c>
      <c r="CG74" s="2495">
        <v>210000</v>
      </c>
      <c r="CH74" s="2495">
        <v>260000</v>
      </c>
      <c r="CI74" s="2488">
        <f>260000+0.193</f>
        <v>260000.193</v>
      </c>
      <c r="CJ74" s="2819">
        <v>9</v>
      </c>
      <c r="CK74" s="773"/>
      <c r="CL74" s="499">
        <v>24</v>
      </c>
    </row>
    <row r="75" spans="1:90" ht="17.25" thickTop="1" thickBot="1">
      <c r="A75" s="499">
        <v>24</v>
      </c>
      <c r="B75" s="757"/>
      <c r="C75" s="757"/>
      <c r="D75" s="757"/>
      <c r="E75" s="757"/>
      <c r="F75" s="757">
        <v>22</v>
      </c>
      <c r="G75" s="757">
        <v>22</v>
      </c>
      <c r="H75" s="757">
        <v>22</v>
      </c>
      <c r="I75" s="2491">
        <f>9+0.126</f>
        <v>9.1259999999999994</v>
      </c>
      <c r="J75" s="1093">
        <v>90009</v>
      </c>
      <c r="K75" s="1093">
        <v>90009</v>
      </c>
      <c r="L75" s="1093">
        <v>90009</v>
      </c>
      <c r="M75" s="1093">
        <v>90009</v>
      </c>
      <c r="N75" s="773"/>
      <c r="O75" s="773"/>
      <c r="P75" s="773"/>
      <c r="Q75" s="773"/>
      <c r="R75" s="773"/>
      <c r="S75" s="773"/>
      <c r="T75" s="773"/>
      <c r="U75" s="1567"/>
      <c r="V75" s="2643"/>
      <c r="W75" s="2643"/>
      <c r="X75" s="2643"/>
      <c r="Y75" s="2643"/>
      <c r="Z75" s="2643"/>
      <c r="AA75" s="2643"/>
      <c r="AB75" s="2643"/>
      <c r="AC75" s="2643"/>
      <c r="AD75" s="2643"/>
      <c r="AE75" s="2642"/>
      <c r="AF75" s="2642"/>
      <c r="AG75" s="2642"/>
      <c r="AH75" s="2642"/>
      <c r="AI75" s="2642"/>
      <c r="AJ75" s="2642"/>
      <c r="AK75" s="2642"/>
      <c r="AL75" s="2642"/>
      <c r="AM75" s="2642"/>
      <c r="AN75" s="773"/>
      <c r="AO75" s="2642"/>
      <c r="AP75" s="2642"/>
      <c r="AQ75" s="2642"/>
      <c r="AR75" s="2642"/>
      <c r="AS75" s="2642"/>
      <c r="AT75" s="2642"/>
      <c r="AU75" s="2642"/>
      <c r="AV75" s="2643"/>
      <c r="AW75" s="2643"/>
      <c r="AX75" s="2643"/>
      <c r="AY75" s="2643"/>
      <c r="AZ75" s="2643"/>
      <c r="BA75" s="773"/>
      <c r="BB75" s="2643"/>
      <c r="BC75" s="2643"/>
      <c r="BD75" s="773"/>
      <c r="BE75" s="2643"/>
      <c r="BF75" s="2643"/>
      <c r="BG75" s="773"/>
      <c r="BH75" s="773"/>
      <c r="BI75" s="773"/>
      <c r="BJ75" s="773"/>
      <c r="BK75" s="2529">
        <v>90009</v>
      </c>
      <c r="BL75" s="2392">
        <v>90021</v>
      </c>
      <c r="BM75" s="2392">
        <v>90021</v>
      </c>
      <c r="BN75" s="2373">
        <v>90021</v>
      </c>
      <c r="BO75" s="2503">
        <v>260026</v>
      </c>
      <c r="BP75" s="2503">
        <v>260026</v>
      </c>
      <c r="BQ75" s="2243">
        <v>260026</v>
      </c>
      <c r="BR75" s="2503">
        <v>260026</v>
      </c>
      <c r="BS75" s="2504">
        <v>260026</v>
      </c>
      <c r="BT75" s="2504">
        <v>260026</v>
      </c>
      <c r="BU75" s="2504">
        <v>260026</v>
      </c>
      <c r="BV75" s="2504">
        <v>260026</v>
      </c>
      <c r="BW75" s="2504">
        <v>260026</v>
      </c>
      <c r="BX75" s="2504">
        <v>260026</v>
      </c>
      <c r="BY75" s="2506">
        <v>260026</v>
      </c>
      <c r="BZ75" s="2814">
        <v>9</v>
      </c>
      <c r="CA75" s="2813">
        <v>9</v>
      </c>
      <c r="CB75" s="2813">
        <v>9</v>
      </c>
      <c r="CC75" s="2813">
        <v>9</v>
      </c>
      <c r="CD75" s="2488">
        <f>210000+128*9+63</f>
        <v>211215</v>
      </c>
      <c r="CE75" s="2495">
        <f>210000+0.1911</f>
        <v>210000.1911</v>
      </c>
      <c r="CF75" s="2488">
        <f>210000+128*9+63</f>
        <v>211215</v>
      </c>
      <c r="CG75" s="2813">
        <v>9</v>
      </c>
      <c r="CH75" s="2820">
        <v>9</v>
      </c>
      <c r="CI75" s="2820">
        <v>9</v>
      </c>
      <c r="CJ75" s="2814">
        <v>9</v>
      </c>
      <c r="CK75" s="773"/>
      <c r="CL75" s="499">
        <v>24</v>
      </c>
    </row>
    <row r="76" spans="1:90" ht="17.25" thickTop="1" thickBot="1">
      <c r="A76" s="499">
        <v>24</v>
      </c>
      <c r="B76" s="2659">
        <v>90009</v>
      </c>
      <c r="C76" s="2659">
        <v>90009</v>
      </c>
      <c r="D76" s="2659">
        <v>90009</v>
      </c>
      <c r="E76" s="2659">
        <v>90009</v>
      </c>
      <c r="F76" s="2659">
        <v>90009</v>
      </c>
      <c r="G76" s="2659">
        <v>90009</v>
      </c>
      <c r="H76" s="2660">
        <v>90009</v>
      </c>
      <c r="I76" s="2378">
        <v>90009</v>
      </c>
      <c r="J76" s="773"/>
      <c r="K76" s="773"/>
      <c r="L76" s="773"/>
      <c r="M76" s="773"/>
      <c r="N76" s="773"/>
      <c r="O76" s="1567"/>
      <c r="P76" s="773"/>
      <c r="Q76" s="1567"/>
      <c r="R76" s="773"/>
      <c r="S76" s="773"/>
      <c r="T76" s="1567"/>
      <c r="U76" s="773"/>
      <c r="V76" s="2643"/>
      <c r="W76" s="2643"/>
      <c r="X76" s="2643"/>
      <c r="Y76" s="2643"/>
      <c r="Z76" s="2643"/>
      <c r="AA76" s="2643"/>
      <c r="AB76" s="2643"/>
      <c r="AC76" s="2643"/>
      <c r="AD76" s="2643"/>
      <c r="AE76" s="2642"/>
      <c r="AF76" s="2642"/>
      <c r="AG76" s="2642"/>
      <c r="AH76" s="2642"/>
      <c r="AI76" s="2642"/>
      <c r="AJ76" s="2642"/>
      <c r="AK76" s="2642"/>
      <c r="AL76" s="2642"/>
      <c r="AM76" s="2642"/>
      <c r="AN76" s="773"/>
      <c r="AO76" s="2642"/>
      <c r="AP76" s="2642"/>
      <c r="AQ76" s="2642"/>
      <c r="AR76" s="2642"/>
      <c r="AS76" s="2642"/>
      <c r="AT76" s="2642"/>
      <c r="AU76" s="2642"/>
      <c r="AV76" s="2643"/>
      <c r="AW76" s="2643"/>
      <c r="AX76" s="2643"/>
      <c r="AY76" s="2643"/>
      <c r="AZ76" s="2648">
        <f>128*4+36+0.384+0.01</f>
        <v>548.39400000000001</v>
      </c>
      <c r="BA76" s="773"/>
      <c r="BB76" s="2643"/>
      <c r="BC76" s="2643"/>
      <c r="BD76" s="773"/>
      <c r="BE76" s="2643"/>
      <c r="BF76" s="2643"/>
      <c r="BG76" s="773"/>
      <c r="BH76" s="773"/>
      <c r="BI76" s="773"/>
      <c r="BJ76" s="773"/>
      <c r="BK76" s="2529">
        <v>90009</v>
      </c>
      <c r="BL76" s="2392">
        <v>90021</v>
      </c>
      <c r="BM76" s="2392">
        <v>90021</v>
      </c>
      <c r="BN76" s="2373">
        <v>90021</v>
      </c>
      <c r="BO76" s="2493">
        <v>9</v>
      </c>
      <c r="BP76" s="93"/>
      <c r="BQ76" s="93"/>
      <c r="BR76" s="2515"/>
      <c r="BS76" s="2823">
        <v>260000</v>
      </c>
      <c r="BT76" s="2824"/>
      <c r="BU76" s="2824"/>
      <c r="BV76" s="2824"/>
      <c r="BW76" s="2824"/>
      <c r="BX76" s="2825"/>
      <c r="BY76" s="2506">
        <v>260026</v>
      </c>
      <c r="BZ76" s="773"/>
      <c r="CA76" s="773"/>
      <c r="CB76" s="773"/>
      <c r="CC76" s="2820">
        <v>9</v>
      </c>
      <c r="CD76" s="2820">
        <v>9</v>
      </c>
      <c r="CE76" s="2820">
        <v>9</v>
      </c>
      <c r="CF76" s="2820">
        <v>9</v>
      </c>
      <c r="CG76" s="2820">
        <v>9</v>
      </c>
      <c r="CH76" s="773"/>
      <c r="CI76" s="773"/>
      <c r="CJ76" s="773"/>
      <c r="CK76" s="773"/>
      <c r="CL76" s="499">
        <v>24</v>
      </c>
    </row>
    <row r="77" spans="1:90" ht="17.25" thickTop="1" thickBot="1">
      <c r="A77" s="499">
        <v>24</v>
      </c>
      <c r="B77" s="773"/>
      <c r="C77" s="773"/>
      <c r="D77" s="773"/>
      <c r="E77" s="1207"/>
      <c r="F77" s="1207"/>
      <c r="G77" s="1862">
        <f>0.195</f>
        <v>0.19500000000000001</v>
      </c>
      <c r="H77" s="772"/>
      <c r="I77" s="2390">
        <v>90009</v>
      </c>
      <c r="J77" s="773"/>
      <c r="K77" s="1567"/>
      <c r="L77" s="773"/>
      <c r="M77" s="773"/>
      <c r="N77" s="773"/>
      <c r="O77" s="773"/>
      <c r="P77" s="773"/>
      <c r="Q77" s="773"/>
      <c r="R77" s="773"/>
      <c r="S77" s="773"/>
      <c r="T77" s="773"/>
      <c r="U77" s="773"/>
      <c r="V77" s="2643"/>
      <c r="W77" s="2643"/>
      <c r="X77" s="773"/>
      <c r="Y77" s="773"/>
      <c r="Z77" s="773"/>
      <c r="AA77" s="2656"/>
      <c r="AB77" s="2656"/>
      <c r="AC77" s="2656"/>
      <c r="AD77" s="2657"/>
      <c r="AE77" s="2642"/>
      <c r="AF77" s="2642"/>
      <c r="AG77" s="2642"/>
      <c r="AH77" s="2642"/>
      <c r="AI77" s="2642"/>
      <c r="AJ77" s="2642"/>
      <c r="AK77" s="2642"/>
      <c r="AL77" s="2642"/>
      <c r="AM77" s="2642"/>
      <c r="AN77" s="773"/>
      <c r="AO77" s="773"/>
      <c r="AP77" s="773"/>
      <c r="AQ77" s="773"/>
      <c r="AR77" s="773"/>
      <c r="AS77" s="773"/>
      <c r="AT77" s="773"/>
      <c r="AU77" s="773"/>
      <c r="AV77" s="773"/>
      <c r="AW77" s="773"/>
      <c r="AX77" s="773"/>
      <c r="AY77" s="773"/>
      <c r="AZ77" s="773"/>
      <c r="BA77" s="773"/>
      <c r="BB77" s="2643"/>
      <c r="BC77" s="2643"/>
      <c r="BD77" s="773"/>
      <c r="BE77" s="2643"/>
      <c r="BF77" s="2643"/>
      <c r="BG77" s="773"/>
      <c r="BH77" s="773"/>
      <c r="BI77" s="773"/>
      <c r="BJ77" s="773"/>
      <c r="BK77" s="2529">
        <v>90009</v>
      </c>
      <c r="BL77" s="2392">
        <v>90021</v>
      </c>
      <c r="BM77" s="2392">
        <v>90021</v>
      </c>
      <c r="BN77" s="2028">
        <v>9</v>
      </c>
      <c r="BO77" s="2367">
        <v>220009</v>
      </c>
      <c r="BP77" s="2367">
        <v>220009</v>
      </c>
      <c r="BQ77" s="2367">
        <v>220009</v>
      </c>
      <c r="BR77" s="2367">
        <v>9</v>
      </c>
      <c r="BS77" s="2827">
        <v>260009</v>
      </c>
      <c r="BT77" s="2255">
        <v>9</v>
      </c>
      <c r="BU77" s="2255">
        <v>9</v>
      </c>
      <c r="BV77" s="2255">
        <v>9</v>
      </c>
      <c r="BW77" s="2255">
        <v>9</v>
      </c>
      <c r="BX77" s="2825"/>
      <c r="BY77" s="2506">
        <v>260026</v>
      </c>
      <c r="BZ77" s="2255">
        <v>9</v>
      </c>
      <c r="CA77" s="2255">
        <v>9</v>
      </c>
      <c r="CB77" s="2255">
        <v>9</v>
      </c>
      <c r="CC77" s="2255">
        <v>9</v>
      </c>
      <c r="CD77" s="2255">
        <v>9</v>
      </c>
      <c r="CE77" s="2255">
        <v>9</v>
      </c>
      <c r="CF77" s="2255">
        <v>9</v>
      </c>
      <c r="CG77" s="2255">
        <v>9</v>
      </c>
      <c r="CH77" s="2255">
        <v>9</v>
      </c>
      <c r="CI77" s="2255">
        <v>9</v>
      </c>
      <c r="CJ77" s="2255">
        <v>9</v>
      </c>
      <c r="CK77" s="773"/>
      <c r="CL77" s="499">
        <v>24</v>
      </c>
    </row>
    <row r="78" spans="1:90" ht="17.25" thickTop="1" thickBot="1">
      <c r="A78" s="499">
        <v>24</v>
      </c>
      <c r="B78" s="773"/>
      <c r="C78" s="773"/>
      <c r="D78" s="773"/>
      <c r="E78" s="1207">
        <f>128*9+62</f>
        <v>1214</v>
      </c>
      <c r="F78" s="1207">
        <v>15</v>
      </c>
      <c r="G78" s="2651">
        <v>15</v>
      </c>
      <c r="H78" s="772"/>
      <c r="I78" s="2390">
        <v>90009</v>
      </c>
      <c r="J78" s="773"/>
      <c r="K78" s="773"/>
      <c r="L78" s="773"/>
      <c r="M78" s="1567"/>
      <c r="N78" s="773"/>
      <c r="O78" s="2691">
        <v>26</v>
      </c>
      <c r="P78" s="773"/>
      <c r="Q78" s="773"/>
      <c r="R78" s="773"/>
      <c r="S78" s="1567"/>
      <c r="T78" s="773"/>
      <c r="U78" s="773"/>
      <c r="V78" s="2643"/>
      <c r="W78" s="2643"/>
      <c r="X78" s="773"/>
      <c r="Y78" s="773"/>
      <c r="Z78" s="773"/>
      <c r="AA78" s="2654">
        <v>150015</v>
      </c>
      <c r="AB78" s="2355">
        <v>150015</v>
      </c>
      <c r="AC78" s="1817"/>
      <c r="AD78" s="2355">
        <v>220022</v>
      </c>
      <c r="AE78" s="2642"/>
      <c r="AF78" s="2642"/>
      <c r="AG78" s="2642"/>
      <c r="AH78" s="2642"/>
      <c r="AI78" s="2642"/>
      <c r="AJ78" s="2642"/>
      <c r="AK78" s="2642"/>
      <c r="AL78" s="2642"/>
      <c r="AM78" s="2642"/>
      <c r="AN78" s="2642"/>
      <c r="AO78" s="2642"/>
      <c r="AP78" s="2642"/>
      <c r="AQ78" s="2642"/>
      <c r="AR78" s="2642"/>
      <c r="AS78" s="2642"/>
      <c r="AT78" s="2642"/>
      <c r="AU78" s="2642"/>
      <c r="AV78" s="2643"/>
      <c r="AW78" s="2643"/>
      <c r="AX78" s="2643"/>
      <c r="AY78" s="2643"/>
      <c r="AZ78" s="2643"/>
      <c r="BA78" s="2643"/>
      <c r="BB78" s="2643"/>
      <c r="BC78" s="2643"/>
      <c r="BD78" s="773"/>
      <c r="BE78" s="2643"/>
      <c r="BF78" s="2643"/>
      <c r="BG78" s="773"/>
      <c r="BH78" s="1567"/>
      <c r="BI78" s="773"/>
      <c r="BJ78" s="773"/>
      <c r="BK78" s="773"/>
      <c r="BL78" s="2529">
        <v>90009</v>
      </c>
      <c r="BM78" s="2392">
        <v>90021</v>
      </c>
      <c r="BN78" s="2356">
        <v>9</v>
      </c>
      <c r="BO78" s="2356">
        <f>220000+128*9+62</f>
        <v>221214</v>
      </c>
      <c r="BP78" s="2683">
        <f>128*12+4</f>
        <v>1540</v>
      </c>
      <c r="BQ78" s="2509">
        <f>220000+0.197</f>
        <v>220000.19699999999</v>
      </c>
      <c r="BR78" s="2509"/>
      <c r="BS78" s="2828">
        <v>260000</v>
      </c>
      <c r="BT78" s="2308">
        <v>0.19</v>
      </c>
      <c r="BU78" s="2308">
        <f>0.5+0.169</f>
        <v>0.66900000000000004</v>
      </c>
      <c r="BV78" s="2308">
        <v>0.19700000000000001</v>
      </c>
      <c r="BW78" s="2255">
        <v>9</v>
      </c>
      <c r="BX78" s="2825"/>
      <c r="BY78" s="2506">
        <v>260026</v>
      </c>
      <c r="BZ78" s="2255">
        <v>9</v>
      </c>
      <c r="CA78" s="2308"/>
      <c r="CB78" s="2308"/>
      <c r="CC78" s="2308"/>
      <c r="CD78" s="2308">
        <f>0.5+0.169</f>
        <v>0.66900000000000004</v>
      </c>
      <c r="CE78" s="2308"/>
      <c r="CF78" s="2255">
        <v>9</v>
      </c>
      <c r="CG78" s="2308">
        <f>0.5+0.169</f>
        <v>0.66900000000000004</v>
      </c>
      <c r="CH78" s="2308"/>
      <c r="CI78" s="2308">
        <v>0.19</v>
      </c>
      <c r="CJ78" s="2255">
        <v>9</v>
      </c>
      <c r="CK78" s="773"/>
      <c r="CL78" s="499">
        <v>24</v>
      </c>
    </row>
    <row r="79" spans="1:90" ht="17.25" thickTop="1" thickBot="1">
      <c r="A79" s="499">
        <v>24</v>
      </c>
      <c r="B79" s="773"/>
      <c r="C79" s="773"/>
      <c r="D79" s="773"/>
      <c r="E79" s="1207"/>
      <c r="F79" s="835">
        <f>128*11+22+0.256+0.038</f>
        <v>1430.2940000000001</v>
      </c>
      <c r="G79" s="2652">
        <v>15</v>
      </c>
      <c r="H79" s="772"/>
      <c r="I79" s="2390">
        <v>90009</v>
      </c>
      <c r="J79" s="1567"/>
      <c r="K79" s="773"/>
      <c r="L79" s="773"/>
      <c r="M79" s="773"/>
      <c r="N79" s="773"/>
      <c r="O79" s="2696"/>
      <c r="P79" s="773"/>
      <c r="Q79" s="773"/>
      <c r="R79" s="773"/>
      <c r="S79" s="773"/>
      <c r="T79" s="773"/>
      <c r="U79" s="773"/>
      <c r="V79" s="2643"/>
      <c r="W79" s="2643"/>
      <c r="X79" s="773"/>
      <c r="Y79" s="773"/>
      <c r="Z79" s="773"/>
      <c r="AA79" s="2653">
        <v>150015</v>
      </c>
      <c r="AB79" s="2650">
        <f>150000+128*11+22+0.256+0.038</f>
        <v>151430.29399999999</v>
      </c>
      <c r="AC79" s="773"/>
      <c r="AD79" s="1054">
        <f>128*9+32</f>
        <v>1184</v>
      </c>
      <c r="AE79" s="773"/>
      <c r="AF79" s="773"/>
      <c r="AG79" s="773"/>
      <c r="AH79" s="773"/>
      <c r="AI79" s="773"/>
      <c r="AJ79" s="773"/>
      <c r="AK79" s="773"/>
      <c r="AL79" s="2642"/>
      <c r="AM79" s="2642"/>
      <c r="AN79" s="2642"/>
      <c r="AO79" s="2642"/>
      <c r="AP79" s="2642"/>
      <c r="AQ79" s="2642"/>
      <c r="AR79" s="2642"/>
      <c r="AS79" s="2642"/>
      <c r="AT79" s="2642"/>
      <c r="AU79" s="2642"/>
      <c r="AV79" s="2643"/>
      <c r="AW79" s="2643"/>
      <c r="AX79" s="2643"/>
      <c r="AY79" s="2643"/>
      <c r="AZ79" s="2643"/>
      <c r="BA79" s="2643"/>
      <c r="BB79" s="2643"/>
      <c r="BC79" s="2643"/>
      <c r="BD79" s="773"/>
      <c r="BE79" s="2643"/>
      <c r="BF79" s="2643"/>
      <c r="BG79" s="773"/>
      <c r="BH79" s="773"/>
      <c r="BI79" s="773"/>
      <c r="BJ79" s="773"/>
      <c r="BK79" s="773"/>
      <c r="BL79" s="2530">
        <v>90009</v>
      </c>
      <c r="BM79" s="2392">
        <v>90021</v>
      </c>
      <c r="BN79" s="2356">
        <v>9</v>
      </c>
      <c r="BO79" s="2509">
        <f>220000+0.195</f>
        <v>220000.19500000001</v>
      </c>
      <c r="BP79" s="2509">
        <v>220000</v>
      </c>
      <c r="BQ79" s="2516">
        <v>220015</v>
      </c>
      <c r="BR79" s="2516">
        <v>15</v>
      </c>
      <c r="BS79" s="2828">
        <v>260000</v>
      </c>
      <c r="BT79" s="2308"/>
      <c r="BU79" s="2255">
        <v>9</v>
      </c>
      <c r="BV79" s="2308"/>
      <c r="BW79" s="2255">
        <v>9</v>
      </c>
      <c r="BX79" s="2825"/>
      <c r="BY79" s="2506">
        <v>260026</v>
      </c>
      <c r="BZ79" s="2255">
        <v>9</v>
      </c>
      <c r="CA79" s="2308"/>
      <c r="CB79" s="2501">
        <v>15</v>
      </c>
      <c r="CC79" s="2501">
        <v>15</v>
      </c>
      <c r="CD79" s="2501">
        <v>15</v>
      </c>
      <c r="CE79" s="2308"/>
      <c r="CF79" s="2255">
        <v>9</v>
      </c>
      <c r="CG79" s="2308"/>
      <c r="CH79" s="2255">
        <v>9</v>
      </c>
      <c r="CI79" s="2308">
        <f>0.5+0.169</f>
        <v>0.66900000000000004</v>
      </c>
      <c r="CJ79" s="2255">
        <v>9</v>
      </c>
      <c r="CK79" s="773"/>
      <c r="CL79" s="499">
        <v>24</v>
      </c>
    </row>
    <row r="80" spans="1:90" ht="17.25" thickTop="1" thickBot="1">
      <c r="A80" s="499">
        <v>24</v>
      </c>
      <c r="B80" s="773"/>
      <c r="C80" s="773"/>
      <c r="D80" s="773"/>
      <c r="E80" s="2655">
        <f>128*9+62</f>
        <v>1214</v>
      </c>
      <c r="F80" s="1207">
        <v>15</v>
      </c>
      <c r="G80" s="2651">
        <v>15</v>
      </c>
      <c r="H80" s="772"/>
      <c r="I80" s="2390">
        <v>90009</v>
      </c>
      <c r="J80" s="773"/>
      <c r="K80" s="773"/>
      <c r="L80" s="773"/>
      <c r="M80" s="1607">
        <v>26</v>
      </c>
      <c r="N80" s="2697"/>
      <c r="O80" s="2699">
        <f>290000+128*6+5+0.256+0.015</f>
        <v>290773.27100000001</v>
      </c>
      <c r="P80" s="2698"/>
      <c r="Q80" s="2691">
        <v>26</v>
      </c>
      <c r="R80" s="773"/>
      <c r="S80" s="773"/>
      <c r="T80" s="773"/>
      <c r="U80" s="1567"/>
      <c r="V80" s="2643"/>
      <c r="W80" s="2643"/>
      <c r="X80" s="773"/>
      <c r="Y80" s="773"/>
      <c r="Z80" s="773"/>
      <c r="AA80" s="2654">
        <v>150015</v>
      </c>
      <c r="AB80" s="2355">
        <v>150015</v>
      </c>
      <c r="AC80" s="773"/>
      <c r="AD80" s="2355">
        <v>220022</v>
      </c>
      <c r="AE80" s="2642"/>
      <c r="AF80" s="2642"/>
      <c r="AG80" s="2642"/>
      <c r="AH80" s="2642"/>
      <c r="AI80" s="2642"/>
      <c r="AJ80" s="2642"/>
      <c r="AK80" s="773"/>
      <c r="AL80" s="773"/>
      <c r="AM80" s="773"/>
      <c r="AN80" s="773"/>
      <c r="AO80" s="773"/>
      <c r="AP80" s="773"/>
      <c r="AQ80" s="773"/>
      <c r="AR80" s="773"/>
      <c r="AS80" s="773"/>
      <c r="AT80" s="773"/>
      <c r="AU80" s="773"/>
      <c r="AV80" s="773"/>
      <c r="AW80" s="773"/>
      <c r="AX80" s="773"/>
      <c r="AY80" s="773"/>
      <c r="AZ80" s="773"/>
      <c r="BA80" s="773"/>
      <c r="BB80" s="773"/>
      <c r="BC80" s="773"/>
      <c r="BD80" s="773"/>
      <c r="BE80" s="2643"/>
      <c r="BF80" s="2643"/>
      <c r="BG80" s="773"/>
      <c r="BH80" s="773"/>
      <c r="BI80" s="773"/>
      <c r="BJ80" s="773"/>
      <c r="BK80" s="773"/>
      <c r="BL80" s="2529">
        <v>90009</v>
      </c>
      <c r="BM80" s="2392">
        <v>90021</v>
      </c>
      <c r="BN80" s="2356">
        <v>9</v>
      </c>
      <c r="BO80" s="2308">
        <f>128*9+62</f>
        <v>1214</v>
      </c>
      <c r="BP80" s="2308">
        <v>0.19700000000000001</v>
      </c>
      <c r="BQ80" s="2308">
        <f>128*11+8+0.256+0.038</f>
        <v>1416.2940000000001</v>
      </c>
      <c r="BR80" s="2517">
        <v>15</v>
      </c>
      <c r="BS80" s="2829">
        <v>260000</v>
      </c>
      <c r="BT80" s="2308">
        <v>0.19700000000000001</v>
      </c>
      <c r="BU80" s="2499">
        <f>128*9+84</f>
        <v>1236</v>
      </c>
      <c r="BV80" s="2498"/>
      <c r="BW80" s="2255">
        <v>9</v>
      </c>
      <c r="BX80" s="2825"/>
      <c r="BY80" s="2506">
        <v>260026</v>
      </c>
      <c r="BZ80" s="2255">
        <v>9</v>
      </c>
      <c r="CA80" s="2308">
        <f>128*10+15</f>
        <v>1295</v>
      </c>
      <c r="CB80" s="2507">
        <v>15</v>
      </c>
      <c r="CC80" s="2501">
        <f>128*11+8+0.256+0.038</f>
        <v>1416.2940000000001</v>
      </c>
      <c r="CD80" s="2308"/>
      <c r="CE80" s="2308"/>
      <c r="CF80" s="2499">
        <f>128*9+84</f>
        <v>1236</v>
      </c>
      <c r="CG80" s="2308"/>
      <c r="CH80" s="2499">
        <f>128*9+84</f>
        <v>1236</v>
      </c>
      <c r="CI80" s="2308">
        <v>0.19700000000000001</v>
      </c>
      <c r="CJ80" s="2255">
        <v>9</v>
      </c>
      <c r="CK80" s="773"/>
      <c r="CL80" s="499">
        <v>24</v>
      </c>
    </row>
    <row r="81" spans="1:90" ht="17.25" thickTop="1" thickBot="1">
      <c r="A81" s="499">
        <v>24</v>
      </c>
      <c r="B81" s="773"/>
      <c r="C81" s="773"/>
      <c r="D81" s="773"/>
      <c r="E81" s="1207"/>
      <c r="F81" s="1207"/>
      <c r="G81" s="1862">
        <f>0.1953</f>
        <v>0.1953</v>
      </c>
      <c r="H81" s="772"/>
      <c r="I81" s="2390">
        <v>90009</v>
      </c>
      <c r="J81" s="773"/>
      <c r="K81" s="773"/>
      <c r="L81" s="773"/>
      <c r="M81" s="773"/>
      <c r="N81" s="773"/>
      <c r="O81" s="2695"/>
      <c r="P81" s="773"/>
      <c r="Q81" s="773"/>
      <c r="R81" s="773"/>
      <c r="S81" s="1567"/>
      <c r="T81" s="773"/>
      <c r="U81" s="773"/>
      <c r="V81" s="2643"/>
      <c r="W81" s="2643"/>
      <c r="X81" s="773"/>
      <c r="Y81" s="773"/>
      <c r="Z81" s="773"/>
      <c r="AA81" s="773"/>
      <c r="AB81" s="773"/>
      <c r="AC81" s="773"/>
      <c r="AD81" s="772"/>
      <c r="AE81" s="2642"/>
      <c r="AF81" s="2642"/>
      <c r="AG81" s="2642"/>
      <c r="AH81" s="2642"/>
      <c r="AI81" s="2642"/>
      <c r="AJ81" s="2642"/>
      <c r="AK81" s="2642"/>
      <c r="AL81" s="2642"/>
      <c r="AM81" s="2642"/>
      <c r="AN81" s="2642"/>
      <c r="AO81" s="2642"/>
      <c r="AP81" s="2642"/>
      <c r="AQ81" s="2642"/>
      <c r="AR81" s="2642"/>
      <c r="AS81" s="2642"/>
      <c r="AT81" s="2642"/>
      <c r="AU81" s="2642"/>
      <c r="AV81" s="2643"/>
      <c r="AW81" s="2643"/>
      <c r="AX81" s="2643"/>
      <c r="AY81" s="2643"/>
      <c r="AZ81" s="2643"/>
      <c r="BA81" s="2643"/>
      <c r="BB81" s="2643"/>
      <c r="BC81" s="2643"/>
      <c r="BD81" s="2643"/>
      <c r="BE81" s="2643"/>
      <c r="BF81" s="2643"/>
      <c r="BG81" s="773"/>
      <c r="BH81" s="773"/>
      <c r="BI81" s="773"/>
      <c r="BJ81" s="2700">
        <f>128*6+5</f>
        <v>773</v>
      </c>
      <c r="BK81" s="773"/>
      <c r="BL81" s="2529">
        <v>90009</v>
      </c>
      <c r="BM81" s="2392">
        <v>90021</v>
      </c>
      <c r="BN81" s="2356">
        <v>9</v>
      </c>
      <c r="BO81" s="2308"/>
      <c r="BP81" s="2308">
        <v>0.19500000000000001</v>
      </c>
      <c r="BQ81" s="2501">
        <v>15</v>
      </c>
      <c r="BR81" s="2516">
        <v>15</v>
      </c>
      <c r="BS81" s="2829">
        <v>260000</v>
      </c>
      <c r="BT81" s="2498">
        <f>0.5+0.169</f>
        <v>0.66900000000000004</v>
      </c>
      <c r="BU81" s="2255">
        <v>9</v>
      </c>
      <c r="BV81" s="2500">
        <f>128*12+1</f>
        <v>1537</v>
      </c>
      <c r="BW81" s="2255">
        <v>9</v>
      </c>
      <c r="BX81" s="2825"/>
      <c r="BY81" s="2506">
        <v>260026</v>
      </c>
      <c r="BZ81" s="2255">
        <v>9</v>
      </c>
      <c r="CA81" s="2308"/>
      <c r="CB81" s="2501">
        <v>15</v>
      </c>
      <c r="CC81" s="2501">
        <v>15</v>
      </c>
      <c r="CD81" s="2501">
        <v>15</v>
      </c>
      <c r="CE81" s="2308">
        <v>0.19</v>
      </c>
      <c r="CF81" s="2509">
        <v>220009</v>
      </c>
      <c r="CG81" s="2509">
        <v>220000</v>
      </c>
      <c r="CH81" s="2508">
        <f>220000+128*9+84</f>
        <v>221236</v>
      </c>
      <c r="CI81" s="2356">
        <v>220000</v>
      </c>
      <c r="CJ81" s="2513">
        <v>220009</v>
      </c>
      <c r="CK81" s="773"/>
      <c r="CL81" s="499">
        <v>24</v>
      </c>
    </row>
    <row r="82" spans="1:90" ht="17.25" thickTop="1" thickBot="1">
      <c r="A82" s="499">
        <v>24</v>
      </c>
      <c r="B82" s="2658">
        <v>90000</v>
      </c>
      <c r="C82" s="2659">
        <v>90009</v>
      </c>
      <c r="D82" s="2659">
        <v>90009</v>
      </c>
      <c r="E82" s="2658">
        <f>90000+128*9+68</f>
        <v>91220</v>
      </c>
      <c r="F82" s="2658">
        <f>90000+128*9+68</f>
        <v>91220</v>
      </c>
      <c r="G82" s="2658">
        <f>90000+128*9+68</f>
        <v>91220</v>
      </c>
      <c r="H82" s="2660">
        <v>90009</v>
      </c>
      <c r="I82" s="772"/>
      <c r="J82" s="773"/>
      <c r="K82" s="1567"/>
      <c r="L82" s="773"/>
      <c r="M82" s="1567"/>
      <c r="N82" s="773"/>
      <c r="O82" s="2691">
        <v>26</v>
      </c>
      <c r="P82" s="773"/>
      <c r="Q82" s="773"/>
      <c r="R82" s="773"/>
      <c r="S82" s="773"/>
      <c r="T82" s="773"/>
      <c r="U82" s="773"/>
      <c r="V82" s="2643"/>
      <c r="W82" s="2643"/>
      <c r="X82" s="2643"/>
      <c r="Y82" s="2643"/>
      <c r="Z82" s="2643"/>
      <c r="AA82" s="2642"/>
      <c r="AB82" s="2642"/>
      <c r="AC82" s="2642"/>
      <c r="AD82" s="2642"/>
      <c r="AE82" s="2642"/>
      <c r="AF82" s="2642"/>
      <c r="AG82" s="2642"/>
      <c r="AH82" s="2642"/>
      <c r="AI82" s="2642"/>
      <c r="AJ82" s="2642"/>
      <c r="AK82" s="2642"/>
      <c r="AL82" s="2642"/>
      <c r="AM82" s="2642"/>
      <c r="AN82" s="2642"/>
      <c r="AO82" s="2642"/>
      <c r="AP82" s="2642"/>
      <c r="AQ82" s="2642"/>
      <c r="AR82" s="2642"/>
      <c r="AS82" s="2642"/>
      <c r="AT82" s="2642"/>
      <c r="AU82" s="2642"/>
      <c r="AV82" s="2643"/>
      <c r="AW82" s="2643"/>
      <c r="AX82" s="2643"/>
      <c r="AY82" s="2643"/>
      <c r="AZ82" s="2643"/>
      <c r="BA82" s="2643"/>
      <c r="BB82" s="2643"/>
      <c r="BC82" s="2643"/>
      <c r="BD82" s="2643"/>
      <c r="BE82" s="2643"/>
      <c r="BF82" s="2643"/>
      <c r="BG82" s="773"/>
      <c r="BH82" s="773"/>
      <c r="BI82" s="773"/>
      <c r="BJ82" s="773"/>
      <c r="BK82" s="773"/>
      <c r="BL82" s="2529">
        <v>90009</v>
      </c>
      <c r="BM82" s="2392">
        <v>90021</v>
      </c>
      <c r="BN82" s="2356">
        <v>9</v>
      </c>
      <c r="BO82" s="2308">
        <f>128*9+62</f>
        <v>1214</v>
      </c>
      <c r="BP82" s="2308"/>
      <c r="BQ82" s="2308">
        <f>0.5+0.169</f>
        <v>0.66900000000000004</v>
      </c>
      <c r="BR82" s="2518"/>
      <c r="BS82" s="2829">
        <f>260000+0.191</f>
        <v>260000.19099999999</v>
      </c>
      <c r="BT82" s="2498"/>
      <c r="BU82" s="2502">
        <v>220009</v>
      </c>
      <c r="BV82" s="2255">
        <v>9</v>
      </c>
      <c r="BW82" s="2255">
        <v>9</v>
      </c>
      <c r="BX82" s="2825"/>
      <c r="BY82" s="2506">
        <v>260026</v>
      </c>
      <c r="BZ82" s="2255">
        <v>9</v>
      </c>
      <c r="CA82" s="2308">
        <v>0.191</v>
      </c>
      <c r="CB82" s="2308"/>
      <c r="CC82" s="2308"/>
      <c r="CD82" s="2308"/>
      <c r="CE82" s="2308">
        <f>0.5+0.169</f>
        <v>0.66900000000000004</v>
      </c>
      <c r="CF82" s="2356">
        <f>220000+0.195</f>
        <v>220000.19500000001</v>
      </c>
      <c r="CG82" s="2512">
        <f>128*12+2</f>
        <v>1538</v>
      </c>
      <c r="CH82" s="2356">
        <v>220009</v>
      </c>
      <c r="CI82" s="2512">
        <f>128*12+3</f>
        <v>1539</v>
      </c>
      <c r="CJ82" s="2513">
        <v>220009</v>
      </c>
      <c r="CK82" s="773"/>
      <c r="CL82" s="499">
        <v>24</v>
      </c>
    </row>
    <row r="83" spans="1:90" ht="17.25" thickTop="1" thickBot="1">
      <c r="A83" s="499">
        <v>24</v>
      </c>
      <c r="B83" s="757"/>
      <c r="C83" s="757"/>
      <c r="D83" s="757"/>
      <c r="E83" s="757"/>
      <c r="F83" s="1607">
        <f>128*11+23+0.256+0.038</f>
        <v>1431.2940000000001</v>
      </c>
      <c r="G83" s="757"/>
      <c r="H83" s="2660">
        <v>90009</v>
      </c>
      <c r="I83" s="772"/>
      <c r="J83" s="773"/>
      <c r="K83" s="773"/>
      <c r="L83" s="773"/>
      <c r="M83" s="773"/>
      <c r="N83" s="773"/>
      <c r="O83" s="773"/>
      <c r="P83" s="773"/>
      <c r="Q83" s="773"/>
      <c r="R83" s="773"/>
      <c r="S83" s="773"/>
      <c r="T83" s="773"/>
      <c r="U83" s="773"/>
      <c r="V83" s="2643"/>
      <c r="W83" s="2643"/>
      <c r="X83" s="2643"/>
      <c r="Y83" s="2643"/>
      <c r="Z83" s="2643"/>
      <c r="AA83" s="2642"/>
      <c r="AB83" s="2642"/>
      <c r="AC83" s="2642"/>
      <c r="AD83" s="2642"/>
      <c r="AE83" s="2642"/>
      <c r="AF83" s="2642"/>
      <c r="AG83" s="2642"/>
      <c r="AH83" s="2642"/>
      <c r="AI83" s="773"/>
      <c r="AJ83" s="773"/>
      <c r="AK83" s="773"/>
      <c r="AL83" s="773"/>
      <c r="AM83" s="773"/>
      <c r="AN83" s="773"/>
      <c r="AO83" s="773"/>
      <c r="AP83" s="773"/>
      <c r="AQ83" s="773"/>
      <c r="AR83" s="773"/>
      <c r="AS83" s="773"/>
      <c r="AT83" s="773"/>
      <c r="AU83" s="2643"/>
      <c r="AV83" s="2643"/>
      <c r="AW83" s="2643"/>
      <c r="AX83" s="2643"/>
      <c r="AY83" s="2643"/>
      <c r="AZ83" s="2643"/>
      <c r="BA83" s="2643"/>
      <c r="BB83" s="2643"/>
      <c r="BC83" s="2643"/>
      <c r="BD83" s="2643"/>
      <c r="BE83" s="2643"/>
      <c r="BF83" s="773"/>
      <c r="BG83" s="773"/>
      <c r="BH83" s="773"/>
      <c r="BI83" s="773"/>
      <c r="BJ83" s="773"/>
      <c r="BK83" s="773"/>
      <c r="BL83" s="2529">
        <v>90009</v>
      </c>
      <c r="BM83" s="2392">
        <v>90021</v>
      </c>
      <c r="BN83" s="2028">
        <v>9</v>
      </c>
      <c r="BO83" s="2028">
        <v>9</v>
      </c>
      <c r="BP83" s="2255">
        <v>9</v>
      </c>
      <c r="BQ83" s="2255">
        <v>9</v>
      </c>
      <c r="BR83" s="2367">
        <v>9</v>
      </c>
      <c r="BS83" s="2827">
        <v>260009</v>
      </c>
      <c r="BT83" s="2255">
        <v>9</v>
      </c>
      <c r="BU83" s="2255">
        <v>9</v>
      </c>
      <c r="BV83" s="2826"/>
      <c r="BW83" s="2826"/>
      <c r="BX83" s="2825"/>
      <c r="BY83" s="2505">
        <v>260026</v>
      </c>
      <c r="BZ83" s="2367">
        <v>90009</v>
      </c>
      <c r="CA83" s="2367">
        <v>90009</v>
      </c>
      <c r="CB83" s="2367">
        <v>90009</v>
      </c>
      <c r="CC83" s="2367">
        <v>90009</v>
      </c>
      <c r="CD83" s="2367">
        <v>90009</v>
      </c>
      <c r="CE83" s="2367">
        <v>90009</v>
      </c>
      <c r="CF83" s="2509">
        <v>220009</v>
      </c>
      <c r="CG83" s="2509">
        <v>220009</v>
      </c>
      <c r="CH83" s="2356">
        <v>220009</v>
      </c>
      <c r="CI83" s="2514">
        <f>9+0.5+0.256+0.032</f>
        <v>9.7880000000000003</v>
      </c>
      <c r="CJ83" s="2513">
        <v>220009</v>
      </c>
      <c r="CK83" s="773"/>
      <c r="CL83" s="499">
        <v>24</v>
      </c>
    </row>
    <row r="84" spans="1:90" ht="17.25" thickTop="1" thickBot="1">
      <c r="A84" s="499">
        <v>24</v>
      </c>
      <c r="B84" s="2659">
        <v>90009</v>
      </c>
      <c r="C84" s="2659">
        <v>90009</v>
      </c>
      <c r="D84" s="2659">
        <v>90009</v>
      </c>
      <c r="E84" s="757"/>
      <c r="F84" s="757"/>
      <c r="G84" s="757"/>
      <c r="H84" s="2660">
        <v>90009</v>
      </c>
      <c r="I84" s="1567"/>
      <c r="J84" s="773"/>
      <c r="K84" s="773"/>
      <c r="L84" s="773"/>
      <c r="M84" s="773"/>
      <c r="N84" s="773"/>
      <c r="O84" s="773"/>
      <c r="P84" s="773"/>
      <c r="Q84" s="1567"/>
      <c r="R84" s="773"/>
      <c r="S84" s="773"/>
      <c r="T84" s="773"/>
      <c r="U84" s="773"/>
      <c r="V84" s="773"/>
      <c r="W84" s="773"/>
      <c r="X84" s="773"/>
      <c r="Y84" s="773"/>
      <c r="Z84" s="773"/>
      <c r="AA84" s="773"/>
      <c r="AB84" s="773"/>
      <c r="AC84" s="773"/>
      <c r="AD84" s="773"/>
      <c r="AE84" s="773"/>
      <c r="AF84" s="773"/>
      <c r="AG84" s="773"/>
      <c r="AH84" s="773"/>
      <c r="AI84" s="773"/>
      <c r="AJ84" s="773"/>
      <c r="AK84" s="2415">
        <v>90009</v>
      </c>
      <c r="AL84" s="2415">
        <v>90009</v>
      </c>
      <c r="AM84" s="2415">
        <v>90009</v>
      </c>
      <c r="AN84" s="2415">
        <v>90009</v>
      </c>
      <c r="AO84" s="2415">
        <v>90009</v>
      </c>
      <c r="AP84" s="773"/>
      <c r="AQ84" s="773"/>
      <c r="AR84" s="773"/>
      <c r="AS84" s="773"/>
      <c r="AT84" s="773"/>
      <c r="AU84" s="773"/>
      <c r="AV84" s="773"/>
      <c r="AW84" s="773"/>
      <c r="AX84" s="773"/>
      <c r="AY84" s="2643"/>
      <c r="AZ84" s="2643"/>
      <c r="BA84" s="2643"/>
      <c r="BB84" s="2643"/>
      <c r="BC84" s="773"/>
      <c r="BD84" s="773"/>
      <c r="BE84" s="773"/>
      <c r="BF84" s="773"/>
      <c r="BG84" s="773"/>
      <c r="BH84" s="3201">
        <v>150000</v>
      </c>
      <c r="BI84" s="3200">
        <v>150015</v>
      </c>
      <c r="BJ84" s="773"/>
      <c r="BK84" s="773"/>
      <c r="BL84" s="2530">
        <v>90009</v>
      </c>
      <c r="BM84" s="2392">
        <v>90021</v>
      </c>
      <c r="BN84" s="2373">
        <v>90021</v>
      </c>
      <c r="BO84" s="2493">
        <v>9</v>
      </c>
      <c r="BP84" s="93"/>
      <c r="BQ84" s="93"/>
      <c r="BR84" s="2515"/>
      <c r="BS84" s="2823">
        <v>260000</v>
      </c>
      <c r="BT84" s="2826"/>
      <c r="BU84" s="2826"/>
      <c r="BV84" s="2826"/>
      <c r="BW84" s="2504">
        <v>260022</v>
      </c>
      <c r="BX84" s="2504">
        <v>260022</v>
      </c>
      <c r="BY84" s="2506">
        <v>220022</v>
      </c>
      <c r="BZ84" s="3270">
        <f>128*6+1</f>
        <v>769</v>
      </c>
      <c r="CA84" s="3269">
        <v>2.35E-2</v>
      </c>
      <c r="CB84" s="3270">
        <f>128*6+1</f>
        <v>769</v>
      </c>
      <c r="CC84" s="3269"/>
      <c r="CD84" s="3269">
        <v>2.3E-2</v>
      </c>
      <c r="CE84" s="3269">
        <f>128*14+11</f>
        <v>1803</v>
      </c>
      <c r="CF84" s="3269">
        <f>128*10+7</f>
        <v>1287</v>
      </c>
      <c r="CG84" s="3274">
        <f>220022+0.175</f>
        <v>220022.17499999999</v>
      </c>
      <c r="CH84" s="2356">
        <v>220022</v>
      </c>
      <c r="CI84" s="2356">
        <v>220009</v>
      </c>
      <c r="CJ84" s="2356">
        <v>220009</v>
      </c>
      <c r="CK84" s="773"/>
      <c r="CL84" s="499">
        <v>24</v>
      </c>
    </row>
    <row r="85" spans="1:90" ht="16.5" thickTop="1">
      <c r="A85" s="499">
        <v>24</v>
      </c>
      <c r="B85" s="773"/>
      <c r="C85" s="2363">
        <f>0.384+0.0112</f>
        <v>0.3952</v>
      </c>
      <c r="D85" s="2659">
        <v>90009</v>
      </c>
      <c r="E85" s="2659">
        <v>90009</v>
      </c>
      <c r="F85" s="2659">
        <v>90009</v>
      </c>
      <c r="G85" s="2659">
        <v>90009</v>
      </c>
      <c r="H85" s="2660">
        <v>90009</v>
      </c>
      <c r="I85" s="2660">
        <v>90009</v>
      </c>
      <c r="J85" s="2660">
        <v>90009</v>
      </c>
      <c r="K85" s="773"/>
      <c r="L85" s="1567"/>
      <c r="M85" s="773"/>
      <c r="N85" s="773"/>
      <c r="O85" s="773"/>
      <c r="P85" s="773"/>
      <c r="Q85" s="773"/>
      <c r="R85" s="773"/>
      <c r="S85" s="1567"/>
      <c r="T85" s="773"/>
      <c r="U85" s="773"/>
      <c r="V85" s="773"/>
      <c r="W85" s="773"/>
      <c r="X85" s="773"/>
      <c r="Y85" s="1567"/>
      <c r="Z85" s="773"/>
      <c r="AA85" s="773"/>
      <c r="AB85" s="773"/>
      <c r="AC85" s="773"/>
      <c r="AD85" s="773"/>
      <c r="AE85" s="773"/>
      <c r="AF85" s="773"/>
      <c r="AG85" s="773"/>
      <c r="AH85" s="773"/>
      <c r="AI85" s="773"/>
      <c r="AJ85" s="2415">
        <v>90009</v>
      </c>
      <c r="AK85" s="2372">
        <v>90021</v>
      </c>
      <c r="AL85" s="2372">
        <v>90021</v>
      </c>
      <c r="AM85" s="2372">
        <v>90021</v>
      </c>
      <c r="AN85" s="2372">
        <v>90021</v>
      </c>
      <c r="AO85" s="2372">
        <v>90021</v>
      </c>
      <c r="AP85" s="2415">
        <v>90009</v>
      </c>
      <c r="AQ85" s="773"/>
      <c r="AR85" s="773"/>
      <c r="AS85" s="773"/>
      <c r="AT85" s="773"/>
      <c r="AU85" s="773"/>
      <c r="AV85" s="773"/>
      <c r="AW85" s="773"/>
      <c r="AX85" s="773"/>
      <c r="AY85" s="773"/>
      <c r="AZ85" s="773"/>
      <c r="BA85" s="773"/>
      <c r="BB85" s="773"/>
      <c r="BC85" s="773"/>
      <c r="BD85" s="773"/>
      <c r="BE85" s="773"/>
      <c r="BF85" s="773"/>
      <c r="BG85" s="773"/>
      <c r="BH85" s="773"/>
      <c r="BI85" s="773"/>
      <c r="BJ85" s="773"/>
      <c r="BK85" s="773"/>
      <c r="BL85" s="2528"/>
      <c r="BM85" s="2530">
        <v>90009</v>
      </c>
      <c r="BN85" s="2373">
        <v>90021</v>
      </c>
      <c r="BO85" s="2503">
        <v>260026</v>
      </c>
      <c r="BP85" s="2503">
        <v>260026</v>
      </c>
      <c r="BQ85" s="2243">
        <v>260026</v>
      </c>
      <c r="BR85" s="2503">
        <v>260026</v>
      </c>
      <c r="BS85" s="2504">
        <v>260026</v>
      </c>
      <c r="BT85" s="2504">
        <v>260026</v>
      </c>
      <c r="BU85" s="2504">
        <v>260026</v>
      </c>
      <c r="BV85" s="2504">
        <v>260026</v>
      </c>
      <c r="BW85" s="3272">
        <f>220022+0.214</f>
        <v>220022.21400000001</v>
      </c>
      <c r="BX85" s="3273">
        <f>128*11+31</f>
        <v>1439</v>
      </c>
      <c r="BY85" s="3269">
        <f>128*14+116</f>
        <v>1908</v>
      </c>
      <c r="BZ85" s="3269"/>
      <c r="CA85" s="3269"/>
      <c r="CB85" s="3269"/>
      <c r="CC85" s="3269">
        <v>2.3699999999999999E-2</v>
      </c>
      <c r="CD85" s="1058">
        <v>22</v>
      </c>
      <c r="CE85" s="1058">
        <v>22</v>
      </c>
      <c r="CF85" s="1058">
        <v>22</v>
      </c>
      <c r="CG85" s="2510">
        <f>22+0.221</f>
        <v>22.221</v>
      </c>
      <c r="CH85" s="2383">
        <v>22</v>
      </c>
      <c r="CI85" s="2383">
        <v>22</v>
      </c>
      <c r="CJ85" s="2383">
        <v>22</v>
      </c>
      <c r="CK85" s="773"/>
      <c r="CL85" s="499">
        <v>24</v>
      </c>
    </row>
    <row r="86" spans="1:90" ht="15.75">
      <c r="A86" s="499">
        <v>24</v>
      </c>
      <c r="B86" s="773"/>
      <c r="C86" s="773"/>
      <c r="D86" s="773"/>
      <c r="E86" s="773"/>
      <c r="F86" s="773"/>
      <c r="G86" s="773"/>
      <c r="H86" s="773">
        <f>128*14+116</f>
        <v>1908</v>
      </c>
      <c r="I86" s="773"/>
      <c r="J86" s="773"/>
      <c r="K86" s="773"/>
      <c r="L86" s="773"/>
      <c r="M86" s="1567"/>
      <c r="N86" s="773"/>
      <c r="O86" s="773"/>
      <c r="P86" s="773"/>
      <c r="Q86" s="773"/>
      <c r="R86" s="773"/>
      <c r="S86" s="773"/>
      <c r="T86" s="773"/>
      <c r="U86" s="1567"/>
      <c r="V86" s="773"/>
      <c r="W86" s="773"/>
      <c r="X86" s="773"/>
      <c r="Y86" s="773"/>
      <c r="Z86" s="1568"/>
      <c r="AA86" s="3197">
        <v>150015</v>
      </c>
      <c r="AB86" s="2296">
        <v>150000</v>
      </c>
      <c r="AC86" s="773"/>
      <c r="AD86" s="773"/>
      <c r="AE86" s="773"/>
      <c r="AF86" s="1567"/>
      <c r="AG86" s="773"/>
      <c r="AH86" s="773"/>
      <c r="AI86" s="773"/>
      <c r="AJ86" s="2415">
        <v>90009</v>
      </c>
      <c r="AK86" s="2372">
        <v>90021</v>
      </c>
      <c r="AL86" s="1738"/>
      <c r="AM86" s="1738"/>
      <c r="AN86" s="1784">
        <f>128*8+4</f>
        <v>1028</v>
      </c>
      <c r="AO86" s="2372">
        <v>90021</v>
      </c>
      <c r="AP86" s="2372">
        <v>90021</v>
      </c>
      <c r="AQ86" s="2415">
        <v>90009</v>
      </c>
      <c r="AR86" s="773"/>
      <c r="AS86" s="773"/>
      <c r="AT86" s="1567"/>
      <c r="AU86" s="773"/>
      <c r="AV86" s="773"/>
      <c r="AW86" s="1567"/>
      <c r="AX86" s="773"/>
      <c r="AY86" s="773"/>
      <c r="AZ86" s="773"/>
      <c r="BA86" s="2691">
        <v>26</v>
      </c>
      <c r="BB86" s="773"/>
      <c r="BC86" s="773"/>
      <c r="BD86" s="773"/>
      <c r="BE86" s="773"/>
      <c r="BF86" s="773"/>
      <c r="BG86" s="773"/>
      <c r="BH86" s="1567"/>
      <c r="BI86" s="773"/>
      <c r="BJ86" s="773"/>
      <c r="BK86" s="773"/>
      <c r="BL86" s="773"/>
      <c r="BM86" s="773"/>
      <c r="BN86" s="2529">
        <v>90009</v>
      </c>
      <c r="BO86" s="2392">
        <v>90021</v>
      </c>
      <c r="BP86" s="2392">
        <v>90021</v>
      </c>
      <c r="BQ86" s="2392">
        <v>90021</v>
      </c>
      <c r="BR86" s="2392">
        <v>90021</v>
      </c>
      <c r="BS86" s="2392">
        <v>90021</v>
      </c>
      <c r="BT86" s="2392">
        <v>90021</v>
      </c>
      <c r="BU86" s="2392">
        <v>90021</v>
      </c>
      <c r="BV86" s="2392">
        <v>90021</v>
      </c>
      <c r="BW86" s="2392">
        <v>90021</v>
      </c>
      <c r="BX86" s="3267">
        <v>220022</v>
      </c>
      <c r="BY86" s="3267">
        <v>220022</v>
      </c>
      <c r="BZ86" s="3268">
        <f>128*6+1</f>
        <v>769</v>
      </c>
      <c r="CA86" s="3269"/>
      <c r="CB86" s="3269">
        <v>2.3699999999999999E-2</v>
      </c>
      <c r="CC86" s="3271">
        <f>128*6+1</f>
        <v>769</v>
      </c>
      <c r="CD86" s="1058">
        <v>22</v>
      </c>
      <c r="CE86" s="3246">
        <f>128*12+4</f>
        <v>1540</v>
      </c>
      <c r="CF86" s="1058">
        <v>22</v>
      </c>
      <c r="CG86" s="2497">
        <f>128*12+2</f>
        <v>1538</v>
      </c>
      <c r="CH86" s="2383">
        <v>22</v>
      </c>
      <c r="CI86" s="2497">
        <f>128*12+3</f>
        <v>1539</v>
      </c>
      <c r="CJ86" s="2383">
        <v>22</v>
      </c>
      <c r="CK86" s="773"/>
      <c r="CL86" s="499">
        <v>24</v>
      </c>
    </row>
    <row r="87" spans="1:90" ht="16.5" thickBot="1">
      <c r="A87" s="499">
        <v>24</v>
      </c>
      <c r="B87" s="773"/>
      <c r="C87" s="773"/>
      <c r="D87" s="2691">
        <v>26</v>
      </c>
      <c r="E87" s="773"/>
      <c r="F87" s="773"/>
      <c r="G87" s="773"/>
      <c r="H87" s="773">
        <f>128*14+116</f>
        <v>1908</v>
      </c>
      <c r="I87" s="1093">
        <v>90009</v>
      </c>
      <c r="J87" s="1093">
        <v>90009</v>
      </c>
      <c r="K87" s="1093">
        <v>90009</v>
      </c>
      <c r="L87" s="1093">
        <v>90009</v>
      </c>
      <c r="M87" s="1093">
        <v>90009</v>
      </c>
      <c r="N87" s="1093">
        <v>90009</v>
      </c>
      <c r="O87" s="1093">
        <v>90009</v>
      </c>
      <c r="P87" s="773"/>
      <c r="Q87" s="773"/>
      <c r="R87" s="1567"/>
      <c r="S87" s="773"/>
      <c r="T87" s="773"/>
      <c r="U87" s="773"/>
      <c r="V87" s="773"/>
      <c r="W87" s="2642"/>
      <c r="X87" s="773"/>
      <c r="Y87" s="773"/>
      <c r="Z87" s="773"/>
      <c r="AA87" s="773"/>
      <c r="AB87" s="773"/>
      <c r="AC87" s="773"/>
      <c r="AD87" s="773"/>
      <c r="AE87" s="3255">
        <f>128*6+190</f>
        <v>958</v>
      </c>
      <c r="AF87" s="773"/>
      <c r="AG87" s="773"/>
      <c r="AH87" s="773"/>
      <c r="AI87" s="2415">
        <v>90009</v>
      </c>
      <c r="AJ87" s="2372">
        <v>90021</v>
      </c>
      <c r="AK87" s="2372">
        <v>90021</v>
      </c>
      <c r="AL87" s="1738"/>
      <c r="AM87" s="829">
        <v>21</v>
      </c>
      <c r="AN87" s="1738"/>
      <c r="AO87" s="1738">
        <f>0.256+0.006</f>
        <v>0.26200000000000001</v>
      </c>
      <c r="AP87" s="2372">
        <v>90021</v>
      </c>
      <c r="AQ87" s="2415">
        <v>90009</v>
      </c>
      <c r="AR87" s="773"/>
      <c r="AS87" s="773"/>
      <c r="AT87" s="773"/>
      <c r="AU87" s="773"/>
      <c r="AV87" s="773"/>
      <c r="AW87" s="773"/>
      <c r="AX87" s="773"/>
      <c r="AY87" s="773"/>
      <c r="AZ87" s="773"/>
      <c r="BA87" s="2696"/>
      <c r="BB87" s="773"/>
      <c r="BC87" s="773"/>
      <c r="BD87" s="773"/>
      <c r="BE87" s="773"/>
      <c r="BF87" s="773"/>
      <c r="BG87" s="773"/>
      <c r="BH87" s="773"/>
      <c r="BI87" s="773"/>
      <c r="BJ87" s="773"/>
      <c r="BK87" s="1567"/>
      <c r="BL87" s="773"/>
      <c r="BM87" s="773"/>
      <c r="BN87" s="2528"/>
      <c r="BO87" s="2529">
        <v>90009</v>
      </c>
      <c r="BP87" s="2392">
        <v>90009</v>
      </c>
      <c r="BQ87" s="2392">
        <v>90021</v>
      </c>
      <c r="BR87" s="2392">
        <v>90021</v>
      </c>
      <c r="BS87" s="2392">
        <v>90021</v>
      </c>
      <c r="BT87" s="2392">
        <v>90021</v>
      </c>
      <c r="BU87" s="2392">
        <v>90021</v>
      </c>
      <c r="BV87" s="2392">
        <v>90009</v>
      </c>
      <c r="BW87" s="2392">
        <v>90021</v>
      </c>
      <c r="BX87" s="2392">
        <v>90021</v>
      </c>
      <c r="BY87" s="2392">
        <v>90021</v>
      </c>
      <c r="BZ87" s="2392">
        <v>220022</v>
      </c>
      <c r="CA87" s="3267">
        <v>220022</v>
      </c>
      <c r="CB87" s="3271">
        <f>128*6+1</f>
        <v>769</v>
      </c>
      <c r="CC87" s="3269"/>
      <c r="CD87" s="3059">
        <v>22</v>
      </c>
      <c r="CE87" s="1058">
        <v>22</v>
      </c>
      <c r="CF87" s="1058">
        <v>22</v>
      </c>
      <c r="CG87" s="2383">
        <v>22</v>
      </c>
      <c r="CH87" s="2383">
        <v>22</v>
      </c>
      <c r="CI87" s="2511">
        <f>128*16+13+0.256+0.032</f>
        <v>2061.288</v>
      </c>
      <c r="CJ87" s="2383">
        <v>22</v>
      </c>
      <c r="CK87" s="773"/>
      <c r="CL87" s="499">
        <v>24</v>
      </c>
    </row>
    <row r="88" spans="1:90" ht="16.5" thickTop="1">
      <c r="A88" s="499">
        <v>24</v>
      </c>
      <c r="B88" s="773"/>
      <c r="C88" s="773"/>
      <c r="D88" s="2696"/>
      <c r="E88" s="773"/>
      <c r="F88" s="773"/>
      <c r="G88" s="773"/>
      <c r="H88" s="1093">
        <v>90009</v>
      </c>
      <c r="I88" s="773"/>
      <c r="J88" s="773"/>
      <c r="K88" s="773"/>
      <c r="L88" s="773"/>
      <c r="M88" s="773"/>
      <c r="N88" s="773"/>
      <c r="O88" s="773"/>
      <c r="P88" s="1093">
        <v>90009</v>
      </c>
      <c r="Q88" s="773"/>
      <c r="R88" s="773"/>
      <c r="S88" s="773"/>
      <c r="T88" s="773"/>
      <c r="U88" s="773"/>
      <c r="V88" s="773"/>
      <c r="W88" s="773"/>
      <c r="X88" s="773"/>
      <c r="Y88" s="773"/>
      <c r="Z88" s="773"/>
      <c r="AA88" s="773"/>
      <c r="AB88" s="773"/>
      <c r="AC88" s="773"/>
      <c r="AD88" s="773"/>
      <c r="AE88" s="773"/>
      <c r="AF88" s="773"/>
      <c r="AG88" s="773"/>
      <c r="AH88" s="773"/>
      <c r="AI88" s="2415">
        <v>90009</v>
      </c>
      <c r="AJ88" s="2372">
        <v>90021</v>
      </c>
      <c r="AK88" s="1738"/>
      <c r="AL88" s="1738"/>
      <c r="AM88" s="829">
        <v>21</v>
      </c>
      <c r="AN88" s="829">
        <v>21</v>
      </c>
      <c r="AO88" s="1738">
        <f>128*14+4</f>
        <v>1796</v>
      </c>
      <c r="AP88" s="829">
        <v>21</v>
      </c>
      <c r="AQ88" s="2372">
        <v>90021</v>
      </c>
      <c r="AR88" s="2415">
        <v>90009</v>
      </c>
      <c r="AS88" s="773"/>
      <c r="AT88" s="773"/>
      <c r="AU88" s="773"/>
      <c r="AV88" s="1567"/>
      <c r="AW88" s="773"/>
      <c r="AX88" s="773"/>
      <c r="AY88" s="1607">
        <v>26</v>
      </c>
      <c r="AZ88" s="2697"/>
      <c r="BA88" s="2699">
        <f>290000+128*6+5+0.256+0.006</f>
        <v>290773.26199999999</v>
      </c>
      <c r="BB88" s="2698"/>
      <c r="BC88" s="2691">
        <v>26</v>
      </c>
      <c r="BD88" s="773"/>
      <c r="BE88" s="773"/>
      <c r="BF88" s="773"/>
      <c r="BG88" s="773"/>
      <c r="BH88" s="773"/>
      <c r="BI88" s="773"/>
      <c r="BJ88" s="773"/>
      <c r="BK88" s="773"/>
      <c r="BL88" s="773"/>
      <c r="BM88" s="773"/>
      <c r="BN88" s="3713"/>
      <c r="BO88" s="2528"/>
      <c r="BP88" s="2528"/>
      <c r="BQ88" s="2530">
        <v>90009</v>
      </c>
      <c r="BR88" s="2529">
        <v>90009</v>
      </c>
      <c r="BS88" s="2529">
        <v>90009</v>
      </c>
      <c r="BT88" s="2377">
        <v>90009</v>
      </c>
      <c r="BU88" s="2377">
        <v>90009</v>
      </c>
      <c r="BV88" s="2716">
        <f>128*8+10</f>
        <v>1034</v>
      </c>
      <c r="BW88" s="2530">
        <v>90009</v>
      </c>
      <c r="BX88" s="2529">
        <v>90009</v>
      </c>
      <c r="BY88" s="2529">
        <v>90009</v>
      </c>
      <c r="BZ88" s="2392">
        <v>90021</v>
      </c>
      <c r="CA88" s="2392">
        <v>90021</v>
      </c>
      <c r="CB88" s="2392">
        <v>90009</v>
      </c>
      <c r="CC88" s="2392">
        <v>90009</v>
      </c>
      <c r="CD88" s="2392">
        <v>90021</v>
      </c>
      <c r="CE88" s="2392">
        <v>90021</v>
      </c>
      <c r="CF88" s="2392">
        <v>90021</v>
      </c>
      <c r="CG88" s="2392">
        <v>90021</v>
      </c>
      <c r="CH88" s="2383">
        <v>22</v>
      </c>
      <c r="CI88" s="2383">
        <v>22</v>
      </c>
      <c r="CJ88" s="2383">
        <v>22</v>
      </c>
      <c r="CK88" s="773"/>
      <c r="CL88" s="499">
        <v>24</v>
      </c>
    </row>
    <row r="89" spans="1:90" ht="15.75">
      <c r="A89" s="499">
        <v>24</v>
      </c>
      <c r="B89" s="1607">
        <v>26</v>
      </c>
      <c r="C89" s="2697"/>
      <c r="D89" s="2699">
        <f>290000+128*6+5+0.256+0.016</f>
        <v>290773.272</v>
      </c>
      <c r="E89" s="2698"/>
      <c r="F89" s="2691">
        <v>26</v>
      </c>
      <c r="G89" s="773"/>
      <c r="H89" s="1093">
        <v>90009</v>
      </c>
      <c r="I89" s="773"/>
      <c r="J89" s="773"/>
      <c r="K89" s="773"/>
      <c r="L89" s="773"/>
      <c r="M89" s="773"/>
      <c r="N89" s="773"/>
      <c r="O89" s="773"/>
      <c r="P89" s="1093">
        <v>90009</v>
      </c>
      <c r="Q89" s="773"/>
      <c r="R89" s="773"/>
      <c r="S89" s="773"/>
      <c r="T89" s="1567"/>
      <c r="U89" s="773"/>
      <c r="V89" s="773"/>
      <c r="W89" s="773"/>
      <c r="X89" s="773"/>
      <c r="Y89" s="773"/>
      <c r="Z89" s="2700">
        <f>128*6+5</f>
        <v>773</v>
      </c>
      <c r="AA89" s="773"/>
      <c r="AB89" s="773"/>
      <c r="AC89" s="773"/>
      <c r="AD89" s="773"/>
      <c r="AE89" s="773"/>
      <c r="AF89" s="773"/>
      <c r="AG89" s="773"/>
      <c r="AH89" s="773"/>
      <c r="AI89" s="2416">
        <v>90009</v>
      </c>
      <c r="AJ89" s="2372">
        <v>90021</v>
      </c>
      <c r="AK89" s="1738"/>
      <c r="AL89" s="829">
        <v>21</v>
      </c>
      <c r="AM89" s="1738">
        <f>128*10+18</f>
        <v>1298</v>
      </c>
      <c r="AN89" s="829">
        <v>21</v>
      </c>
      <c r="AO89" s="779">
        <f>21+0.065</f>
        <v>21.065000000000001</v>
      </c>
      <c r="AP89" s="829">
        <v>21</v>
      </c>
      <c r="AQ89" s="829">
        <v>21</v>
      </c>
      <c r="AR89" s="2372">
        <v>90021</v>
      </c>
      <c r="AS89" s="2415">
        <v>90009</v>
      </c>
      <c r="AT89" s="773"/>
      <c r="AU89" s="773"/>
      <c r="AV89" s="773"/>
      <c r="AW89" s="773"/>
      <c r="AX89" s="773"/>
      <c r="AY89" s="773"/>
      <c r="AZ89" s="773"/>
      <c r="BA89" s="2695"/>
      <c r="BB89" s="773"/>
      <c r="BC89" s="773"/>
      <c r="BD89" s="773"/>
      <c r="BE89" s="773"/>
      <c r="BF89" s="773"/>
      <c r="BG89" s="773"/>
      <c r="BH89" s="2290"/>
      <c r="BI89" s="773"/>
      <c r="BJ89" s="773"/>
      <c r="BK89" s="773"/>
      <c r="BL89" s="773"/>
      <c r="BM89" s="2700">
        <f>128*6+5</f>
        <v>773</v>
      </c>
      <c r="BN89" s="773"/>
      <c r="BO89" s="773"/>
      <c r="BP89" s="773"/>
      <c r="BQ89" s="773"/>
      <c r="BR89" s="773"/>
      <c r="BS89" s="773"/>
      <c r="BT89" s="773"/>
      <c r="BU89" s="773"/>
      <c r="BV89" s="773"/>
      <c r="BW89" s="773"/>
      <c r="BX89" s="773"/>
      <c r="BY89" s="773"/>
      <c r="BZ89" s="2530">
        <v>90009</v>
      </c>
      <c r="CA89" s="2529">
        <v>90009</v>
      </c>
      <c r="CB89" s="2529">
        <v>90009</v>
      </c>
      <c r="CC89" s="2392">
        <v>90009</v>
      </c>
      <c r="CD89" s="2392">
        <v>90009</v>
      </c>
      <c r="CE89" s="2392">
        <v>90021</v>
      </c>
      <c r="CF89" s="2392">
        <v>90021</v>
      </c>
      <c r="CG89" s="2392">
        <v>90021</v>
      </c>
      <c r="CH89" s="2392">
        <v>90021</v>
      </c>
      <c r="CI89" s="2392">
        <v>90021</v>
      </c>
      <c r="CJ89" s="2392">
        <v>90021</v>
      </c>
      <c r="CK89" s="2392">
        <v>90009</v>
      </c>
      <c r="CL89" s="499">
        <v>24</v>
      </c>
    </row>
    <row r="90" spans="1:90" ht="15.75">
      <c r="A90" s="499">
        <v>24</v>
      </c>
      <c r="B90" s="773"/>
      <c r="C90" s="773"/>
      <c r="D90" s="2695"/>
      <c r="E90" s="773"/>
      <c r="F90" s="773"/>
      <c r="G90" s="773"/>
      <c r="H90" s="1093">
        <v>90009</v>
      </c>
      <c r="I90" s="2602">
        <v>9</v>
      </c>
      <c r="J90" s="2602">
        <f>9+0.22</f>
        <v>9.2200000000000006</v>
      </c>
      <c r="K90" s="2602">
        <v>9</v>
      </c>
      <c r="L90" s="2602">
        <f>9+0.22</f>
        <v>9.2200000000000006</v>
      </c>
      <c r="M90" s="2602">
        <v>9</v>
      </c>
      <c r="N90" s="2602">
        <f>9+0.22</f>
        <v>9.2200000000000006</v>
      </c>
      <c r="O90" s="2602">
        <v>9</v>
      </c>
      <c r="P90" s="1093">
        <v>90009</v>
      </c>
      <c r="Q90" s="773"/>
      <c r="R90" s="1567"/>
      <c r="S90" s="773"/>
      <c r="T90" s="773"/>
      <c r="U90" s="773"/>
      <c r="V90" s="773"/>
      <c r="W90" s="1567"/>
      <c r="X90" s="773"/>
      <c r="Y90" s="773"/>
      <c r="Z90" s="773"/>
      <c r="AA90" s="773"/>
      <c r="AB90" s="773"/>
      <c r="AC90" s="773"/>
      <c r="AD90" s="773"/>
      <c r="AE90" s="773"/>
      <c r="AF90" s="773"/>
      <c r="AG90" s="773"/>
      <c r="AH90" s="773"/>
      <c r="AI90" s="2416">
        <v>90009</v>
      </c>
      <c r="AJ90" s="2372">
        <v>90021</v>
      </c>
      <c r="AK90" s="1738"/>
      <c r="AL90" s="1784">
        <f>128+21+0.195</f>
        <v>149.19499999999999</v>
      </c>
      <c r="AM90" s="1738">
        <f>128+21</f>
        <v>149</v>
      </c>
      <c r="AN90" s="829">
        <v>21</v>
      </c>
      <c r="AO90" s="1738"/>
      <c r="AP90" s="1738">
        <v>0.161</v>
      </c>
      <c r="AQ90" s="1738">
        <f>128*6+139+0.256+0.0258</f>
        <v>907.28179999999998</v>
      </c>
      <c r="AR90" s="2372">
        <v>90021</v>
      </c>
      <c r="AS90" s="2415">
        <v>90009</v>
      </c>
      <c r="AT90" s="773"/>
      <c r="AU90" s="773"/>
      <c r="AV90" s="773"/>
      <c r="AW90" s="773"/>
      <c r="AX90" s="773"/>
      <c r="AY90" s="773"/>
      <c r="AZ90" s="773"/>
      <c r="BA90" s="2691">
        <v>26</v>
      </c>
      <c r="BB90" s="773"/>
      <c r="BC90" s="773"/>
      <c r="BD90" s="773"/>
      <c r="BE90" s="773"/>
      <c r="BF90" s="773"/>
      <c r="BG90" s="2290"/>
      <c r="BH90" s="2290"/>
      <c r="BI90" s="773"/>
      <c r="BJ90" s="773"/>
      <c r="BK90" s="773"/>
      <c r="BL90" s="773"/>
      <c r="BM90" s="773"/>
      <c r="BN90" s="773"/>
      <c r="BO90" s="773"/>
      <c r="BP90" s="773"/>
      <c r="BQ90" s="773"/>
      <c r="BR90" s="773"/>
      <c r="BS90" s="773"/>
      <c r="BT90" s="773"/>
      <c r="BU90" s="773"/>
      <c r="BV90" s="773"/>
      <c r="BW90" s="773"/>
      <c r="BX90" s="773"/>
      <c r="BY90" s="773"/>
      <c r="BZ90" s="773"/>
      <c r="CA90" s="773"/>
      <c r="CB90" s="2528"/>
      <c r="CC90" s="2528"/>
      <c r="CD90" s="2528"/>
      <c r="CE90" s="2530">
        <v>90009</v>
      </c>
      <c r="CF90" s="2529">
        <v>90009</v>
      </c>
      <c r="CG90" s="2529">
        <v>90009</v>
      </c>
      <c r="CH90" s="2529">
        <v>90009</v>
      </c>
      <c r="CI90" s="2377">
        <v>90009</v>
      </c>
      <c r="CJ90" s="2378">
        <v>90009</v>
      </c>
      <c r="CK90" s="2528">
        <f>0.256+0.0158</f>
        <v>0.27179999999999999</v>
      </c>
      <c r="CL90" s="499">
        <v>24</v>
      </c>
    </row>
    <row r="91" spans="1:90" ht="16.5" thickBot="1">
      <c r="A91" s="499">
        <v>24</v>
      </c>
      <c r="B91" s="773"/>
      <c r="C91" s="773"/>
      <c r="D91" s="2691">
        <v>26</v>
      </c>
      <c r="E91" s="773"/>
      <c r="F91" s="773"/>
      <c r="G91" s="773"/>
      <c r="H91" s="2292">
        <f>128*10+1+0.384+0.0043</f>
        <v>1281.3883000000001</v>
      </c>
      <c r="I91" s="2377">
        <v>90009</v>
      </c>
      <c r="J91" s="2618">
        <f>90000+128*11+17+0.5</f>
        <v>91425.5</v>
      </c>
      <c r="K91" s="2377">
        <v>90009</v>
      </c>
      <c r="L91" s="2618">
        <f>90000+128*11+18+0.5</f>
        <v>91426.5</v>
      </c>
      <c r="M91" s="2377">
        <v>90009</v>
      </c>
      <c r="N91" s="2618">
        <f>90000+128*11+19+0.5</f>
        <v>91427.5</v>
      </c>
      <c r="O91" s="1093">
        <v>90009</v>
      </c>
      <c r="P91" s="2293">
        <f>128*8+10</f>
        <v>1034</v>
      </c>
      <c r="Q91" s="773"/>
      <c r="R91" s="773"/>
      <c r="S91" s="773"/>
      <c r="T91" s="773"/>
      <c r="U91" s="773"/>
      <c r="V91" s="773"/>
      <c r="W91" s="773"/>
      <c r="X91" s="773"/>
      <c r="Y91" s="773"/>
      <c r="Z91" s="773"/>
      <c r="AA91" s="773"/>
      <c r="AB91" s="773"/>
      <c r="AC91" s="2642"/>
      <c r="AD91" s="773"/>
      <c r="AE91" s="1567"/>
      <c r="AF91" s="773"/>
      <c r="AG91" s="773"/>
      <c r="AH91" s="773"/>
      <c r="AI91" s="2415">
        <v>90009</v>
      </c>
      <c r="AJ91" s="2372">
        <v>90021</v>
      </c>
      <c r="AK91" s="1738"/>
      <c r="AL91" s="829">
        <v>21</v>
      </c>
      <c r="AM91" s="829">
        <v>21</v>
      </c>
      <c r="AN91" s="1738"/>
      <c r="AO91" s="1738"/>
      <c r="AP91" s="829">
        <v>21</v>
      </c>
      <c r="AQ91" s="829">
        <v>21</v>
      </c>
      <c r="AR91" s="2372">
        <v>90021</v>
      </c>
      <c r="AS91" s="2372">
        <v>90021</v>
      </c>
      <c r="AT91" s="2415">
        <v>90009</v>
      </c>
      <c r="AU91" s="2415">
        <v>90009</v>
      </c>
      <c r="AV91" s="2415">
        <v>90009</v>
      </c>
      <c r="AW91" s="773"/>
      <c r="AX91" s="773"/>
      <c r="AY91" s="773"/>
      <c r="AZ91" s="773"/>
      <c r="BA91" s="773"/>
      <c r="BB91" s="773"/>
      <c r="BC91" s="773"/>
      <c r="BD91" s="773"/>
      <c r="BE91" s="773"/>
      <c r="BF91" s="773"/>
      <c r="BG91" s="773"/>
      <c r="BH91" s="773"/>
      <c r="BI91" s="2290"/>
      <c r="BJ91" s="773"/>
      <c r="BK91" s="773"/>
      <c r="BL91" s="773"/>
      <c r="BM91" s="773"/>
      <c r="BN91" s="773"/>
      <c r="BO91" s="773"/>
      <c r="BP91" s="773"/>
      <c r="BQ91" s="773"/>
      <c r="BR91" s="773"/>
      <c r="BS91" s="773"/>
      <c r="BT91" s="773"/>
      <c r="BU91" s="773"/>
      <c r="BV91" s="773"/>
      <c r="BW91" s="773"/>
      <c r="BX91" s="773"/>
      <c r="BY91" s="773"/>
      <c r="BZ91" s="773"/>
      <c r="CA91" s="773"/>
      <c r="CB91" s="773"/>
      <c r="CC91" s="773"/>
      <c r="CD91" s="773"/>
      <c r="CE91" s="773"/>
      <c r="CF91" s="773"/>
      <c r="CG91" s="773"/>
      <c r="CH91" s="773"/>
      <c r="CI91" s="773"/>
      <c r="CJ91" s="773"/>
      <c r="CK91" s="773"/>
      <c r="CL91" s="499">
        <v>24</v>
      </c>
    </row>
    <row r="92" spans="1:90" ht="16.5" thickTop="1">
      <c r="A92" s="499">
        <v>24</v>
      </c>
      <c r="B92" s="773"/>
      <c r="C92" s="773"/>
      <c r="D92" s="773"/>
      <c r="E92" s="773"/>
      <c r="F92" s="1093">
        <v>90009</v>
      </c>
      <c r="G92" s="1093">
        <v>90009</v>
      </c>
      <c r="H92" s="1093">
        <v>90009</v>
      </c>
      <c r="I92" s="1093">
        <v>90009</v>
      </c>
      <c r="J92" s="2576">
        <v>90000</v>
      </c>
      <c r="K92" s="1093">
        <v>90009</v>
      </c>
      <c r="L92" s="2576">
        <v>90000</v>
      </c>
      <c r="M92" s="1093">
        <v>90009</v>
      </c>
      <c r="N92" s="2576">
        <v>90000</v>
      </c>
      <c r="O92" s="1093">
        <v>90009</v>
      </c>
      <c r="P92" s="2415">
        <v>90009</v>
      </c>
      <c r="Q92" s="2415">
        <v>90009</v>
      </c>
      <c r="R92" s="2415">
        <v>90009</v>
      </c>
      <c r="S92" s="2415">
        <v>90009</v>
      </c>
      <c r="T92" s="2415">
        <v>90009</v>
      </c>
      <c r="U92" s="2415">
        <v>90009</v>
      </c>
      <c r="V92" s="2415">
        <v>90009</v>
      </c>
      <c r="W92" s="773"/>
      <c r="X92" s="773"/>
      <c r="Y92" s="773"/>
      <c r="Z92" s="773"/>
      <c r="AA92" s="773"/>
      <c r="AB92" s="1567"/>
      <c r="AC92" s="773"/>
      <c r="AD92" s="773"/>
      <c r="AE92" s="773"/>
      <c r="AF92" s="773"/>
      <c r="AG92" s="773"/>
      <c r="AH92" s="773"/>
      <c r="AI92" s="2415">
        <v>90009</v>
      </c>
      <c r="AJ92" s="2372">
        <v>90021</v>
      </c>
      <c r="AK92" s="1738"/>
      <c r="AL92" s="1738"/>
      <c r="AM92" s="1738"/>
      <c r="AN92" s="1738"/>
      <c r="AO92" s="829">
        <v>21</v>
      </c>
      <c r="AP92" s="829">
        <v>21</v>
      </c>
      <c r="AQ92" s="773"/>
      <c r="AR92" s="773"/>
      <c r="AS92" s="773"/>
      <c r="AT92" s="2372">
        <v>90021</v>
      </c>
      <c r="AU92" s="2372">
        <v>90021</v>
      </c>
      <c r="AV92" s="2372">
        <v>90021</v>
      </c>
      <c r="AW92" s="2415">
        <v>90009</v>
      </c>
      <c r="AX92" s="2415">
        <v>90009</v>
      </c>
      <c r="AY92" s="2415">
        <v>90009</v>
      </c>
      <c r="AZ92" s="2415">
        <v>90009</v>
      </c>
      <c r="BA92" s="773"/>
      <c r="BB92" s="773"/>
      <c r="BC92" s="773"/>
      <c r="BD92" s="773"/>
      <c r="BE92" s="773"/>
      <c r="BF92" s="773"/>
      <c r="BG92" s="773"/>
      <c r="BH92" s="773"/>
      <c r="BI92" s="773"/>
      <c r="BJ92" s="2290"/>
      <c r="BK92" s="773"/>
      <c r="BL92" s="2290"/>
      <c r="BM92" s="773"/>
      <c r="BN92" s="773"/>
      <c r="BO92" s="773"/>
      <c r="BP92" s="1567"/>
      <c r="BQ92" s="773"/>
      <c r="BR92" s="773"/>
      <c r="BS92" s="773"/>
      <c r="BT92" s="773"/>
      <c r="BU92" s="773"/>
      <c r="BV92" s="773"/>
      <c r="BW92" s="773"/>
      <c r="BX92" s="773"/>
      <c r="BY92" s="773"/>
      <c r="BZ92" s="773"/>
      <c r="CA92" s="2700">
        <f>128*6+5</f>
        <v>773</v>
      </c>
      <c r="CB92" s="773"/>
      <c r="CC92" s="773"/>
      <c r="CD92" s="773"/>
      <c r="CE92" s="773"/>
      <c r="CF92" s="773"/>
      <c r="CG92" s="773"/>
      <c r="CH92" s="773"/>
      <c r="CI92" s="773"/>
      <c r="CJ92" s="773"/>
      <c r="CK92" s="773"/>
      <c r="CL92" s="499">
        <v>24</v>
      </c>
    </row>
    <row r="93" spans="1:90" ht="16.5" thickBot="1">
      <c r="A93" s="499">
        <v>24</v>
      </c>
      <c r="B93" s="773"/>
      <c r="C93" s="773"/>
      <c r="D93" s="773"/>
      <c r="E93" s="2415">
        <v>90009</v>
      </c>
      <c r="F93" s="2620">
        <v>90009</v>
      </c>
      <c r="G93" s="2305">
        <v>90009</v>
      </c>
      <c r="H93" s="2305">
        <v>90009</v>
      </c>
      <c r="I93" s="1093">
        <v>90009</v>
      </c>
      <c r="J93" s="2576"/>
      <c r="K93" s="1093">
        <v>90009</v>
      </c>
      <c r="L93" s="2576"/>
      <c r="M93" s="1093">
        <v>90009</v>
      </c>
      <c r="N93" s="2576"/>
      <c r="O93" s="1093">
        <v>90009</v>
      </c>
      <c r="P93" s="2367">
        <v>90009</v>
      </c>
      <c r="Q93" s="2367">
        <v>90009</v>
      </c>
      <c r="R93" s="2367">
        <v>90009</v>
      </c>
      <c r="S93" s="2367">
        <v>90009</v>
      </c>
      <c r="T93" s="2367">
        <v>90009</v>
      </c>
      <c r="U93" s="2028">
        <v>90009</v>
      </c>
      <c r="V93" s="2028">
        <v>90009</v>
      </c>
      <c r="W93" s="2415">
        <v>90009</v>
      </c>
      <c r="X93" s="773"/>
      <c r="Y93" s="773"/>
      <c r="Z93" s="2642"/>
      <c r="AA93" s="773"/>
      <c r="AB93" s="773"/>
      <c r="AC93" s="773"/>
      <c r="AD93" s="773"/>
      <c r="AE93" s="773"/>
      <c r="AF93" s="773"/>
      <c r="AG93" s="773"/>
      <c r="AH93" s="773"/>
      <c r="AI93" s="2711">
        <v>90009</v>
      </c>
      <c r="AJ93" s="2419">
        <v>90021</v>
      </c>
      <c r="AK93" s="2372">
        <v>90021</v>
      </c>
      <c r="AL93" s="2372">
        <v>90021</v>
      </c>
      <c r="AM93" s="1738"/>
      <c r="AN93" s="829">
        <v>21</v>
      </c>
      <c r="AO93" s="829">
        <v>21</v>
      </c>
      <c r="AP93" s="829">
        <v>21</v>
      </c>
      <c r="AQ93" s="829">
        <v>21</v>
      </c>
      <c r="AR93" s="829">
        <v>21</v>
      </c>
      <c r="AS93" s="773"/>
      <c r="AT93" s="773"/>
      <c r="AU93" s="773"/>
      <c r="AV93" s="773"/>
      <c r="AW93" s="2372">
        <v>90021</v>
      </c>
      <c r="AX93" s="2372">
        <v>90021</v>
      </c>
      <c r="AY93" s="2372">
        <v>90021</v>
      </c>
      <c r="AZ93" s="2372">
        <v>90021</v>
      </c>
      <c r="BA93" s="2415">
        <v>90009</v>
      </c>
      <c r="BB93" s="773"/>
      <c r="BC93" s="773"/>
      <c r="BD93" s="773"/>
      <c r="BE93" s="773"/>
      <c r="BF93" s="773"/>
      <c r="BG93" s="773"/>
      <c r="BH93" s="773"/>
      <c r="BI93" s="773"/>
      <c r="BJ93" s="773"/>
      <c r="BK93" s="2290"/>
      <c r="BL93" s="2290"/>
      <c r="BM93" s="773"/>
      <c r="BN93" s="773"/>
      <c r="BO93" s="773"/>
      <c r="BP93" s="773"/>
      <c r="BQ93" s="773"/>
      <c r="BR93" s="773"/>
      <c r="BS93" s="773"/>
      <c r="BT93" s="773"/>
      <c r="BU93" s="773"/>
      <c r="BV93" s="773"/>
      <c r="BW93" s="773"/>
      <c r="BX93" s="773"/>
      <c r="BY93" s="773"/>
      <c r="BZ93" s="773"/>
      <c r="CA93" s="773"/>
      <c r="CB93" s="773"/>
      <c r="CC93" s="773"/>
      <c r="CD93" s="1567"/>
      <c r="CE93" s="773"/>
      <c r="CF93" s="773"/>
      <c r="CG93" s="773"/>
      <c r="CH93" s="773"/>
      <c r="CI93" s="773"/>
      <c r="CJ93" s="773"/>
      <c r="CK93" s="773"/>
      <c r="CL93" s="499">
        <v>24</v>
      </c>
    </row>
    <row r="94" spans="1:90" ht="16.5" thickBot="1">
      <c r="A94" s="499">
        <v>24</v>
      </c>
      <c r="B94" s="773"/>
      <c r="C94" s="773"/>
      <c r="D94" s="773"/>
      <c r="E94" s="2415">
        <v>90009</v>
      </c>
      <c r="F94" s="2621">
        <v>90009</v>
      </c>
      <c r="G94" s="2619">
        <v>90009</v>
      </c>
      <c r="H94" s="2584">
        <f>90000+128*11+20</f>
        <v>91428</v>
      </c>
      <c r="I94" s="2623">
        <f>90000+0.256+0.046</f>
        <v>90000.301999999996</v>
      </c>
      <c r="J94" s="2576"/>
      <c r="K94" s="2576"/>
      <c r="L94" s="2576"/>
      <c r="M94" s="2576"/>
      <c r="N94" s="2576"/>
      <c r="O94" s="2576"/>
      <c r="P94" s="2576">
        <f>0.256+0.006</f>
        <v>0.26200000000000001</v>
      </c>
      <c r="Q94" s="2615">
        <f>0.384+0.0042</f>
        <v>0.38819999999999999</v>
      </c>
      <c r="R94" s="2367">
        <v>90009</v>
      </c>
      <c r="S94" s="2576"/>
      <c r="T94" s="2802">
        <f>128*5+36</f>
        <v>676</v>
      </c>
      <c r="U94" s="2566"/>
      <c r="V94" s="2028">
        <v>90009</v>
      </c>
      <c r="W94" s="2415">
        <v>90009</v>
      </c>
      <c r="X94" s="773"/>
      <c r="Y94" s="773"/>
      <c r="Z94" s="2642"/>
      <c r="AA94" s="773"/>
      <c r="AB94" s="773"/>
      <c r="AC94" s="773"/>
      <c r="AD94" s="773"/>
      <c r="AE94" s="773"/>
      <c r="AF94" s="773"/>
      <c r="AG94" s="773"/>
      <c r="AH94" s="773"/>
      <c r="AI94" s="773"/>
      <c r="AJ94" s="2415">
        <v>90009</v>
      </c>
      <c r="AK94" s="2415">
        <v>90009</v>
      </c>
      <c r="AL94" s="2372">
        <v>90021</v>
      </c>
      <c r="AM94" s="1738"/>
      <c r="AN94" s="829">
        <v>21</v>
      </c>
      <c r="AO94" s="1738">
        <v>0.217</v>
      </c>
      <c r="AP94" s="1738">
        <f>0.384+0.003</f>
        <v>0.38700000000000001</v>
      </c>
      <c r="AQ94" s="1738"/>
      <c r="AR94" s="829">
        <v>21</v>
      </c>
      <c r="AS94" s="773"/>
      <c r="AT94" s="829">
        <v>21</v>
      </c>
      <c r="AU94" s="829">
        <v>21</v>
      </c>
      <c r="AV94" s="829">
        <v>21</v>
      </c>
      <c r="AW94" s="829">
        <v>21</v>
      </c>
      <c r="AX94" s="1738"/>
      <c r="AY94" s="1738">
        <f>0.256+0.006</f>
        <v>0.26200000000000001</v>
      </c>
      <c r="AZ94" s="829">
        <v>21</v>
      </c>
      <c r="BA94" s="2372">
        <v>90021</v>
      </c>
      <c r="BB94" s="2415">
        <v>90009</v>
      </c>
      <c r="BC94" s="773"/>
      <c r="BD94" s="773"/>
      <c r="BE94" s="773"/>
      <c r="BF94" s="1567"/>
      <c r="BG94" s="773"/>
      <c r="BH94" s="773"/>
      <c r="BI94" s="773"/>
      <c r="BJ94" s="2290"/>
      <c r="BK94" s="2290"/>
      <c r="BL94" s="2290"/>
      <c r="BM94" s="773"/>
      <c r="BN94" s="773"/>
      <c r="BO94" s="773"/>
      <c r="BP94" s="773"/>
      <c r="BQ94" s="773"/>
      <c r="BR94" s="773"/>
      <c r="BS94" s="773"/>
      <c r="BT94" s="773"/>
      <c r="BU94" s="2367">
        <v>90009</v>
      </c>
      <c r="BV94" s="2717">
        <f>90000+128*17+64+4</f>
        <v>92244</v>
      </c>
      <c r="BW94" s="2367">
        <v>90009</v>
      </c>
      <c r="BX94" s="773"/>
      <c r="BY94" s="773"/>
      <c r="BZ94" s="773"/>
      <c r="CA94" s="773"/>
      <c r="CB94" s="773"/>
      <c r="CC94" s="773"/>
      <c r="CD94" s="773"/>
      <c r="CE94" s="773"/>
      <c r="CF94" s="773"/>
      <c r="CG94" s="773"/>
      <c r="CH94" s="773"/>
      <c r="CI94" s="773"/>
      <c r="CJ94" s="3203">
        <f>150000+128*6+5</f>
        <v>150773</v>
      </c>
      <c r="CK94" s="773"/>
      <c r="CL94" s="499">
        <v>24</v>
      </c>
    </row>
    <row r="95" spans="1:90" ht="16.5" thickBot="1">
      <c r="A95" s="499">
        <v>24</v>
      </c>
      <c r="B95" s="773"/>
      <c r="C95" s="773"/>
      <c r="D95" s="773"/>
      <c r="E95" s="2415">
        <v>90009</v>
      </c>
      <c r="F95" s="2621">
        <v>90009</v>
      </c>
      <c r="G95" s="1739">
        <v>90009</v>
      </c>
      <c r="H95" s="1739">
        <v>90009</v>
      </c>
      <c r="I95" s="1093">
        <v>90009</v>
      </c>
      <c r="J95" s="1093">
        <v>90009</v>
      </c>
      <c r="K95" s="1093">
        <v>90009</v>
      </c>
      <c r="L95" s="2583">
        <v>90009</v>
      </c>
      <c r="M95" s="2583">
        <v>90009</v>
      </c>
      <c r="N95" s="2583">
        <v>90009</v>
      </c>
      <c r="O95" s="2583">
        <v>90009</v>
      </c>
      <c r="P95" s="2576">
        <v>0.21759999999999999</v>
      </c>
      <c r="Q95" s="2576"/>
      <c r="R95" s="2576"/>
      <c r="S95" s="2576"/>
      <c r="T95" s="2614">
        <v>90009</v>
      </c>
      <c r="U95" s="2862">
        <f>0.256+0.046</f>
        <v>0.30199999999999999</v>
      </c>
      <c r="V95" s="2028">
        <v>90009</v>
      </c>
      <c r="W95" s="2415">
        <v>90009</v>
      </c>
      <c r="X95" s="773"/>
      <c r="Y95" s="773"/>
      <c r="Z95" s="1567"/>
      <c r="AA95" s="773"/>
      <c r="AB95" s="773"/>
      <c r="AC95" s="773"/>
      <c r="AD95" s="2691">
        <v>26</v>
      </c>
      <c r="AE95" s="773"/>
      <c r="AF95" s="773"/>
      <c r="AG95" s="773"/>
      <c r="AH95" s="773"/>
      <c r="AI95" s="773"/>
      <c r="AJ95" s="773"/>
      <c r="AK95" s="2415">
        <v>90009</v>
      </c>
      <c r="AL95" s="2372">
        <v>90021</v>
      </c>
      <c r="AM95" s="1738"/>
      <c r="AN95" s="829">
        <v>21</v>
      </c>
      <c r="AO95" s="2405">
        <f>0.384+0.0045</f>
        <v>0.38850000000000001</v>
      </c>
      <c r="AP95" s="1738"/>
      <c r="AQ95" s="1776">
        <f>0.384+0.0033</f>
        <v>0.38730000000000003</v>
      </c>
      <c r="AR95" s="829">
        <v>21</v>
      </c>
      <c r="AS95" s="829">
        <v>21</v>
      </c>
      <c r="AT95" s="829">
        <v>21</v>
      </c>
      <c r="AU95" s="1738">
        <f>0.256+0.006</f>
        <v>0.26200000000000001</v>
      </c>
      <c r="AV95" s="2405">
        <f>0.384+0.0115</f>
        <v>0.39550000000000002</v>
      </c>
      <c r="AW95" s="1771"/>
      <c r="AX95" s="1738"/>
      <c r="AY95" s="829">
        <v>21</v>
      </c>
      <c r="AZ95" s="829">
        <v>21</v>
      </c>
      <c r="BA95" s="2627">
        <f>90009+0.065</f>
        <v>90009.065000000002</v>
      </c>
      <c r="BB95" s="2373">
        <v>90021</v>
      </c>
      <c r="BC95" s="2415">
        <v>90009</v>
      </c>
      <c r="BD95" s="773"/>
      <c r="BE95" s="773"/>
      <c r="BF95" s="773"/>
      <c r="BG95" s="773"/>
      <c r="BH95" s="773"/>
      <c r="BI95" s="773"/>
      <c r="BJ95" s="773"/>
      <c r="BK95" s="773"/>
      <c r="BL95" s="773"/>
      <c r="BM95" s="773"/>
      <c r="BN95" s="773">
        <f>128*6+139+0.256+0.0248</f>
        <v>907.2808</v>
      </c>
      <c r="BO95" s="773"/>
      <c r="BP95" s="773"/>
      <c r="BQ95" s="773"/>
      <c r="BR95" s="2363">
        <f>128*9+14</f>
        <v>1166</v>
      </c>
      <c r="BS95" s="2367">
        <v>430009</v>
      </c>
      <c r="BT95" s="773"/>
      <c r="BU95" s="773"/>
      <c r="BV95" s="773"/>
      <c r="BW95" s="773"/>
      <c r="BX95" s="773"/>
      <c r="BY95" s="2367">
        <v>430009</v>
      </c>
      <c r="BZ95" s="2292">
        <f>128*9+14</f>
        <v>1166</v>
      </c>
      <c r="CA95" s="773"/>
      <c r="CB95" s="773"/>
      <c r="CC95" s="773"/>
      <c r="CD95" s="773"/>
      <c r="CE95" s="773"/>
      <c r="CF95" s="2700">
        <f>128*6+5</f>
        <v>773</v>
      </c>
      <c r="CG95" s="773"/>
      <c r="CH95" s="773"/>
      <c r="CI95" s="773"/>
      <c r="CJ95" s="3199">
        <v>150015</v>
      </c>
      <c r="CK95" s="773"/>
      <c r="CL95" s="499">
        <v>24</v>
      </c>
    </row>
    <row r="96" spans="1:90" ht="16.5" thickBot="1">
      <c r="A96" s="499">
        <v>24</v>
      </c>
      <c r="B96" s="773">
        <f>0.256+0.0154</f>
        <v>0.27140000000000003</v>
      </c>
      <c r="C96" s="2415">
        <v>90009</v>
      </c>
      <c r="D96" s="2415">
        <v>90009</v>
      </c>
      <c r="E96" s="2415">
        <v>90009</v>
      </c>
      <c r="F96" s="2391">
        <v>9</v>
      </c>
      <c r="G96" s="1093">
        <v>90009</v>
      </c>
      <c r="H96" s="1093">
        <v>90009</v>
      </c>
      <c r="I96" s="2857"/>
      <c r="J96" s="2857"/>
      <c r="K96" s="2857"/>
      <c r="L96" s="2583">
        <v>90009</v>
      </c>
      <c r="M96" s="2583">
        <v>90009</v>
      </c>
      <c r="N96" s="2588">
        <f>0.256+0.0101</f>
        <v>0.2661</v>
      </c>
      <c r="O96" s="2583">
        <v>90009</v>
      </c>
      <c r="P96" s="2583">
        <v>90009</v>
      </c>
      <c r="Q96" s="2607">
        <f>90000+128+22</f>
        <v>90150</v>
      </c>
      <c r="R96" s="2367">
        <v>90009</v>
      </c>
      <c r="S96" s="2590">
        <v>90009</v>
      </c>
      <c r="T96" s="2608">
        <v>90009</v>
      </c>
      <c r="U96" s="2610">
        <f>90000+128*11+15</f>
        <v>91423</v>
      </c>
      <c r="V96" s="1739">
        <v>90009</v>
      </c>
      <c r="W96" s="2415">
        <v>90009</v>
      </c>
      <c r="X96" s="773"/>
      <c r="Y96" s="773"/>
      <c r="Z96" s="773"/>
      <c r="AA96" s="773"/>
      <c r="AB96" s="773"/>
      <c r="AC96" s="773"/>
      <c r="AD96" s="2696"/>
      <c r="AE96" s="773">
        <f>128*6+139+0.256+0.0293</f>
        <v>907.28530000000001</v>
      </c>
      <c r="AF96" s="773"/>
      <c r="AG96" s="773"/>
      <c r="AH96" s="773"/>
      <c r="AI96" s="1567"/>
      <c r="AJ96" s="773"/>
      <c r="AK96" s="2415">
        <v>90009</v>
      </c>
      <c r="AL96" s="2372">
        <v>90021</v>
      </c>
      <c r="AM96" s="1738">
        <v>0.21759999999999999</v>
      </c>
      <c r="AN96" s="1738"/>
      <c r="AO96" s="1738"/>
      <c r="AP96" s="1771">
        <f>128*10+6</f>
        <v>1286</v>
      </c>
      <c r="AQ96" s="1738"/>
      <c r="AR96" s="1738"/>
      <c r="AS96" s="1738"/>
      <c r="AT96" s="1738"/>
      <c r="AU96" s="829">
        <v>21</v>
      </c>
      <c r="AV96" s="829">
        <v>21</v>
      </c>
      <c r="AW96" s="1738"/>
      <c r="AX96" s="829">
        <v>21</v>
      </c>
      <c r="AY96" s="829">
        <v>21</v>
      </c>
      <c r="AZ96" s="1093">
        <v>90009</v>
      </c>
      <c r="BA96" s="2628">
        <f>128*14+6</f>
        <v>1798</v>
      </c>
      <c r="BB96" s="2624">
        <v>90009</v>
      </c>
      <c r="BC96" s="2373">
        <v>90021</v>
      </c>
      <c r="BD96" s="2415">
        <v>90009</v>
      </c>
      <c r="BE96" s="773"/>
      <c r="BF96" s="773"/>
      <c r="BG96" s="773"/>
      <c r="BH96" s="773"/>
      <c r="BI96" s="773"/>
      <c r="BJ96" s="773"/>
      <c r="BK96" s="773"/>
      <c r="BL96" s="773"/>
      <c r="BM96" s="773"/>
      <c r="BN96" s="773"/>
      <c r="BO96" s="773"/>
      <c r="BP96" s="773"/>
      <c r="BQ96" s="2363">
        <f>128*9+14</f>
        <v>1166</v>
      </c>
      <c r="BR96" s="2717">
        <f>90000+128*17+3</f>
        <v>92179</v>
      </c>
      <c r="BS96" s="773">
        <f>128*9+14</f>
        <v>1166</v>
      </c>
      <c r="BT96" s="773"/>
      <c r="BU96" s="773"/>
      <c r="BV96" s="773"/>
      <c r="BW96" s="773"/>
      <c r="BX96" s="773"/>
      <c r="BY96" s="2293">
        <f>128*9+14</f>
        <v>1166</v>
      </c>
      <c r="BZ96" s="2717">
        <f>90000+128*17+3</f>
        <v>92179</v>
      </c>
      <c r="CA96" s="2292">
        <f>128*9+14</f>
        <v>1166</v>
      </c>
      <c r="CB96" s="773"/>
      <c r="CC96" s="773"/>
      <c r="CD96" s="773"/>
      <c r="CE96" s="773"/>
      <c r="CF96" s="773"/>
      <c r="CG96" s="773"/>
      <c r="CH96" s="773"/>
      <c r="CI96" s="2347"/>
      <c r="CJ96" s="773"/>
      <c r="CK96" s="773"/>
      <c r="CL96" s="499">
        <v>24</v>
      </c>
    </row>
    <row r="97" spans="1:90" ht="17.25" thickTop="1" thickBot="1">
      <c r="A97" s="499">
        <v>24</v>
      </c>
      <c r="B97" s="2415">
        <v>90009</v>
      </c>
      <c r="C97" s="2415">
        <v>90009</v>
      </c>
      <c r="D97" s="2367">
        <v>90009</v>
      </c>
      <c r="E97" s="2367">
        <v>90009</v>
      </c>
      <c r="F97" s="2367">
        <v>90009</v>
      </c>
      <c r="G97" s="2367">
        <v>90009</v>
      </c>
      <c r="H97" s="1904">
        <f>90000+0.2177</f>
        <v>90000.217699999994</v>
      </c>
      <c r="I97" s="2582">
        <v>90009</v>
      </c>
      <c r="J97" s="2857">
        <f>9+0.22</f>
        <v>9.2200000000000006</v>
      </c>
      <c r="K97" s="1093">
        <v>90009</v>
      </c>
      <c r="L97" s="2582">
        <v>90009</v>
      </c>
      <c r="M97" s="2483">
        <f>128*9+15</f>
        <v>1167</v>
      </c>
      <c r="N97" s="2585">
        <f>128*11+14</f>
        <v>1422</v>
      </c>
      <c r="O97" s="2587">
        <f>128*9+15</f>
        <v>1167</v>
      </c>
      <c r="P97" s="2583">
        <v>90009</v>
      </c>
      <c r="Q97" s="2576">
        <f>90000+128+22</f>
        <v>90150</v>
      </c>
      <c r="R97" s="2576">
        <f>128*14+116</f>
        <v>1908</v>
      </c>
      <c r="S97" s="2609">
        <v>90009</v>
      </c>
      <c r="T97" s="2610">
        <v>90009</v>
      </c>
      <c r="U97" s="2611">
        <v>90009</v>
      </c>
      <c r="V97" s="1739">
        <v>90009</v>
      </c>
      <c r="W97" s="2415">
        <v>90009</v>
      </c>
      <c r="X97" s="773"/>
      <c r="Y97" s="773"/>
      <c r="Z97" s="773"/>
      <c r="AA97" s="773"/>
      <c r="AB97" s="1607">
        <v>26</v>
      </c>
      <c r="AC97" s="2697"/>
      <c r="AD97" s="2699">
        <f>290000+128*6+5+0.256+0.008</f>
        <v>290773.26399999997</v>
      </c>
      <c r="AE97" s="2698"/>
      <c r="AF97" s="2691">
        <v>26</v>
      </c>
      <c r="AG97" s="773"/>
      <c r="AH97" s="773"/>
      <c r="AI97" s="773"/>
      <c r="AJ97" s="773"/>
      <c r="AK97" s="2712">
        <v>90009</v>
      </c>
      <c r="AL97" s="2372">
        <v>90021</v>
      </c>
      <c r="AM97" s="2417">
        <v>90021</v>
      </c>
      <c r="AN97" s="2380">
        <v>90021</v>
      </c>
      <c r="AO97" s="2405">
        <f>0.384+0.0041</f>
        <v>0.3881</v>
      </c>
      <c r="AP97" s="1738"/>
      <c r="AQ97" s="2406">
        <f>0.384+0.0033</f>
        <v>0.38730000000000003</v>
      </c>
      <c r="AR97" s="829">
        <v>21</v>
      </c>
      <c r="AS97" s="1738"/>
      <c r="AT97" s="1738"/>
      <c r="AU97" s="1738"/>
      <c r="AV97" s="1738"/>
      <c r="AW97" s="1738"/>
      <c r="AX97" s="829">
        <v>21</v>
      </c>
      <c r="AY97" s="2377">
        <v>90009</v>
      </c>
      <c r="AZ97" s="2631">
        <v>0.19</v>
      </c>
      <c r="BA97" s="2631"/>
      <c r="BB97" s="2633">
        <v>90009</v>
      </c>
      <c r="BC97" s="2373">
        <v>90021</v>
      </c>
      <c r="BD97" s="2415">
        <v>90009</v>
      </c>
      <c r="BE97" s="773"/>
      <c r="BF97" s="773"/>
      <c r="BG97" s="773"/>
      <c r="BH97" s="773"/>
      <c r="BI97" s="773"/>
      <c r="BJ97" s="773"/>
      <c r="BK97" s="773"/>
      <c r="BL97" s="773"/>
      <c r="BM97" s="773"/>
      <c r="BN97" s="773"/>
      <c r="BO97" s="773"/>
      <c r="BP97" s="773"/>
      <c r="BQ97" s="2367">
        <v>430009</v>
      </c>
      <c r="BR97" s="773">
        <f>128*9+14</f>
        <v>1166</v>
      </c>
      <c r="BS97" s="773"/>
      <c r="BT97" s="773"/>
      <c r="BU97" s="773"/>
      <c r="BV97" s="773"/>
      <c r="BW97" s="773"/>
      <c r="BX97" s="773"/>
      <c r="BY97" s="773"/>
      <c r="BZ97" s="2293">
        <f>128*9+14</f>
        <v>1166</v>
      </c>
      <c r="CA97" s="2367">
        <v>430009</v>
      </c>
      <c r="CB97" s="773"/>
      <c r="CC97" s="773"/>
      <c r="CD97" s="773"/>
      <c r="CE97" s="773"/>
      <c r="CF97" s="773"/>
      <c r="CG97" s="773"/>
      <c r="CH97" s="773"/>
      <c r="CI97" s="773"/>
      <c r="CJ97" s="773"/>
      <c r="CK97" s="773"/>
      <c r="CL97" s="499">
        <v>24</v>
      </c>
    </row>
    <row r="98" spans="1:90" ht="16.5" thickBot="1">
      <c r="A98" s="499">
        <v>24</v>
      </c>
      <c r="B98" s="2415">
        <v>90009</v>
      </c>
      <c r="C98" s="2415">
        <v>90009</v>
      </c>
      <c r="D98" s="2367">
        <v>90009</v>
      </c>
      <c r="E98" s="2563">
        <v>90000</v>
      </c>
      <c r="F98" s="2576">
        <f>90000+128*11+9+0.256+0.038</f>
        <v>91417.293999999994</v>
      </c>
      <c r="G98" s="2577">
        <v>90009</v>
      </c>
      <c r="H98" s="1904">
        <v>90000</v>
      </c>
      <c r="I98" s="2582">
        <v>90009</v>
      </c>
      <c r="J98" s="2857">
        <f>128*11+13+0.5</f>
        <v>1421.5</v>
      </c>
      <c r="K98" s="2582">
        <v>90009</v>
      </c>
      <c r="L98" s="2582">
        <v>90009</v>
      </c>
      <c r="M98" s="1413">
        <f>128*17+3</f>
        <v>2179</v>
      </c>
      <c r="N98" s="1383">
        <f>0.256+0.046</f>
        <v>0.30199999999999999</v>
      </c>
      <c r="O98" s="3054">
        <f>128*17+3</f>
        <v>2179</v>
      </c>
      <c r="P98" s="2583">
        <v>90009</v>
      </c>
      <c r="Q98" s="2576">
        <v>900022</v>
      </c>
      <c r="R98" s="2576">
        <f>128*10+8</f>
        <v>1288</v>
      </c>
      <c r="S98" s="2590">
        <v>90009</v>
      </c>
      <c r="T98" s="2590">
        <v>90009</v>
      </c>
      <c r="U98" s="2612">
        <v>90009</v>
      </c>
      <c r="V98" s="1739">
        <v>90009</v>
      </c>
      <c r="W98" s="2415">
        <v>90009</v>
      </c>
      <c r="X98" s="773"/>
      <c r="Y98" s="773"/>
      <c r="Z98" s="773"/>
      <c r="AA98" s="773"/>
      <c r="AB98" s="773"/>
      <c r="AC98" s="773"/>
      <c r="AD98" s="2695"/>
      <c r="AE98" s="773"/>
      <c r="AF98" s="773"/>
      <c r="AG98" s="773"/>
      <c r="AH98" s="773"/>
      <c r="AI98" s="773"/>
      <c r="AJ98" s="773"/>
      <c r="AK98" s="773"/>
      <c r="AL98" s="2415">
        <v>90009</v>
      </c>
      <c r="AM98" s="2415">
        <v>90009</v>
      </c>
      <c r="AN98" s="2380">
        <v>90021</v>
      </c>
      <c r="AO98" s="1738">
        <v>0.217</v>
      </c>
      <c r="AP98" s="1738">
        <f>0.384+0.003</f>
        <v>0.38700000000000001</v>
      </c>
      <c r="AQ98" s="1738"/>
      <c r="AR98" s="829">
        <v>21</v>
      </c>
      <c r="AS98" s="1738"/>
      <c r="AT98" s="1738">
        <v>21</v>
      </c>
      <c r="AU98" s="1738">
        <v>21</v>
      </c>
      <c r="AV98" s="1738">
        <v>21</v>
      </c>
      <c r="AW98" s="1738">
        <v>21</v>
      </c>
      <c r="AX98" s="829">
        <v>21</v>
      </c>
      <c r="AY98" s="2377">
        <v>90009</v>
      </c>
      <c r="AZ98" s="2308">
        <f>128*6+139+0.256+0.021</f>
        <v>907.27699999999993</v>
      </c>
      <c r="BA98" s="2632">
        <f>128*9+64</f>
        <v>1216</v>
      </c>
      <c r="BB98" s="2636"/>
      <c r="BC98" s="2633">
        <v>90009</v>
      </c>
      <c r="BD98" s="2373">
        <v>90021</v>
      </c>
      <c r="BE98" s="2415">
        <v>90009</v>
      </c>
      <c r="BF98" s="773"/>
      <c r="BG98" s="773"/>
      <c r="BH98" s="773"/>
      <c r="BI98" s="773"/>
      <c r="BJ98" s="773"/>
      <c r="BK98" s="1567"/>
      <c r="BL98" s="773"/>
      <c r="BM98" s="773"/>
      <c r="BN98" s="773"/>
      <c r="BO98" s="773"/>
      <c r="BP98" s="773"/>
      <c r="BQ98" s="773"/>
      <c r="BR98" s="773"/>
      <c r="BS98" s="773"/>
      <c r="BT98" s="773"/>
      <c r="BU98" s="2367">
        <v>90009</v>
      </c>
      <c r="BV98" s="2720">
        <f>90000+128*17+64+3</f>
        <v>92243</v>
      </c>
      <c r="BW98" s="2367">
        <v>90009</v>
      </c>
      <c r="BX98" s="773"/>
      <c r="BY98" s="773"/>
      <c r="BZ98" s="773"/>
      <c r="CA98" s="773"/>
      <c r="CB98" s="773"/>
      <c r="CC98" s="773"/>
      <c r="CD98" s="773"/>
      <c r="CE98" s="773"/>
      <c r="CF98" s="773"/>
      <c r="CG98" s="773"/>
      <c r="CH98" s="2424">
        <v>150000</v>
      </c>
      <c r="CI98" s="2296">
        <v>150015</v>
      </c>
      <c r="CJ98" s="773"/>
      <c r="CK98" s="773"/>
      <c r="CL98" s="499">
        <v>24</v>
      </c>
    </row>
    <row r="99" spans="1:90" ht="16.5" thickBot="1">
      <c r="A99" s="2255">
        <v>90009</v>
      </c>
      <c r="B99" s="2367">
        <v>90009</v>
      </c>
      <c r="C99" s="2367">
        <v>90009</v>
      </c>
      <c r="D99" s="2509">
        <v>90009</v>
      </c>
      <c r="E99" s="2563">
        <v>90000</v>
      </c>
      <c r="F99" s="2509">
        <v>90009</v>
      </c>
      <c r="G99" s="2598">
        <v>90009</v>
      </c>
      <c r="H99" s="2589">
        <f>90000+0.2177</f>
        <v>90000.217699999994</v>
      </c>
      <c r="I99" s="2595">
        <v>90009</v>
      </c>
      <c r="J99" s="2576">
        <v>90000</v>
      </c>
      <c r="K99" s="2639">
        <f>90000+128+22</f>
        <v>90150</v>
      </c>
      <c r="L99" s="2638">
        <f>90000+128+22</f>
        <v>90150</v>
      </c>
      <c r="M99" s="2583">
        <v>90009</v>
      </c>
      <c r="N99" s="1444">
        <f>0.256+0.046</f>
        <v>0.30199999999999999</v>
      </c>
      <c r="O99" s="2582">
        <v>90009</v>
      </c>
      <c r="P99" s="2583">
        <v>90009</v>
      </c>
      <c r="Q99" s="2590">
        <v>90009</v>
      </c>
      <c r="R99" s="2590">
        <v>90009</v>
      </c>
      <c r="S99" s="2590">
        <v>90009</v>
      </c>
      <c r="T99" s="2367">
        <v>90009</v>
      </c>
      <c r="U99" s="2613">
        <v>90009</v>
      </c>
      <c r="V99" s="2028">
        <v>90009</v>
      </c>
      <c r="W99" s="2415">
        <v>90009</v>
      </c>
      <c r="X99" s="773"/>
      <c r="Y99" s="773"/>
      <c r="Z99" s="773"/>
      <c r="AA99" s="1567"/>
      <c r="AB99" s="773"/>
      <c r="AC99" s="773"/>
      <c r="AD99" s="2691">
        <v>26</v>
      </c>
      <c r="AE99" s="773"/>
      <c r="AF99" s="773"/>
      <c r="AG99" s="773"/>
      <c r="AH99" s="1567"/>
      <c r="AI99" s="773"/>
      <c r="AJ99" s="773"/>
      <c r="AK99" s="773"/>
      <c r="AL99" s="773"/>
      <c r="AM99" s="2415">
        <v>90009</v>
      </c>
      <c r="AN99" s="2380">
        <v>90021</v>
      </c>
      <c r="AO99" s="829">
        <v>21</v>
      </c>
      <c r="AP99" s="829">
        <v>21</v>
      </c>
      <c r="AQ99" s="829">
        <v>21</v>
      </c>
      <c r="AR99" s="829">
        <v>21</v>
      </c>
      <c r="AS99" s="829"/>
      <c r="AT99" s="2414">
        <f>128*11+4+0.256+0.038</f>
        <v>1412.2940000000001</v>
      </c>
      <c r="AU99" s="2411">
        <v>21</v>
      </c>
      <c r="AV99" s="1738"/>
      <c r="AW99" s="1738">
        <v>21</v>
      </c>
      <c r="AX99" s="829">
        <v>21</v>
      </c>
      <c r="AY99" s="2633">
        <v>90009</v>
      </c>
      <c r="AZ99" s="2636"/>
      <c r="BA99" s="2636"/>
      <c r="BB99" s="2636"/>
      <c r="BC99" s="2636"/>
      <c r="BD99" s="2633">
        <v>90009</v>
      </c>
      <c r="BE99" s="2373">
        <v>90021</v>
      </c>
      <c r="BF99" s="2415">
        <v>90009</v>
      </c>
      <c r="BG99" s="773"/>
      <c r="BH99" s="773"/>
      <c r="BI99" s="773"/>
      <c r="BJ99" s="773"/>
      <c r="BK99" s="773"/>
      <c r="BL99" s="773"/>
      <c r="BM99" s="773"/>
      <c r="BN99" s="773"/>
      <c r="BO99" s="773"/>
      <c r="BP99" s="2367">
        <v>90009</v>
      </c>
      <c r="BQ99" s="773"/>
      <c r="BR99" s="773"/>
      <c r="BS99" s="773"/>
      <c r="BT99" s="773"/>
      <c r="BU99" s="773"/>
      <c r="BV99" s="773"/>
      <c r="BW99" s="773"/>
      <c r="BX99" s="773"/>
      <c r="BY99" s="773"/>
      <c r="BZ99" s="773"/>
      <c r="CA99" s="773"/>
      <c r="CB99" s="2367">
        <v>90009</v>
      </c>
      <c r="CC99" s="773"/>
      <c r="CD99" s="773"/>
      <c r="CE99" s="773"/>
      <c r="CF99" s="773"/>
      <c r="CG99" s="773"/>
      <c r="CH99" s="773"/>
      <c r="CI99" s="773"/>
      <c r="CJ99" s="773"/>
      <c r="CK99" s="773"/>
      <c r="CL99" s="499">
        <v>24</v>
      </c>
    </row>
    <row r="100" spans="1:90" ht="17.25" thickTop="1" thickBot="1">
      <c r="A100" s="2308">
        <v>90009</v>
      </c>
      <c r="B100" s="2570">
        <f>128*10+15</f>
        <v>1295</v>
      </c>
      <c r="C100" s="2356">
        <v>90009</v>
      </c>
      <c r="D100" s="2863"/>
      <c r="E100" s="2863"/>
      <c r="F100" s="2864"/>
      <c r="G100" s="2597">
        <v>90009</v>
      </c>
      <c r="H100" s="2579">
        <f>90009+0.151</f>
        <v>90009.150999999998</v>
      </c>
      <c r="I100" s="2593">
        <v>90009</v>
      </c>
      <c r="J100" s="2869">
        <f>128*11+12+0.5</f>
        <v>1420.5</v>
      </c>
      <c r="K100" s="2582">
        <v>90009</v>
      </c>
      <c r="L100" s="2640">
        <f>90000+128*11+21+0.256+0.038</f>
        <v>91429.293999999994</v>
      </c>
      <c r="M100" s="2592">
        <v>90009</v>
      </c>
      <c r="N100" s="2584">
        <f>128*11+13</f>
        <v>1421</v>
      </c>
      <c r="O100" s="2600">
        <v>90009</v>
      </c>
      <c r="P100" s="2583">
        <v>90009</v>
      </c>
      <c r="Q100" s="2605">
        <v>90009</v>
      </c>
      <c r="R100" s="2603">
        <v>90009</v>
      </c>
      <c r="S100" s="2856">
        <v>90000</v>
      </c>
      <c r="T100" s="2857">
        <v>90000</v>
      </c>
      <c r="U100" s="2858">
        <v>90009</v>
      </c>
      <c r="V100" s="2028">
        <v>90009</v>
      </c>
      <c r="W100" s="2415">
        <v>90009</v>
      </c>
      <c r="X100" s="2418">
        <v>90009</v>
      </c>
      <c r="Y100" s="2700">
        <f>128*6+5</f>
        <v>773</v>
      </c>
      <c r="Z100" s="773"/>
      <c r="AA100" s="773"/>
      <c r="AB100" s="773"/>
      <c r="AC100" s="773"/>
      <c r="AD100" s="773"/>
      <c r="AE100" s="773"/>
      <c r="AF100" s="773"/>
      <c r="AG100" s="773"/>
      <c r="AH100" s="773"/>
      <c r="AI100" s="773"/>
      <c r="AJ100" s="773"/>
      <c r="AK100" s="773"/>
      <c r="AL100" s="2415">
        <v>90009</v>
      </c>
      <c r="AM100" s="2380">
        <v>90021</v>
      </c>
      <c r="AN100" s="1739">
        <v>90009</v>
      </c>
      <c r="AO100" s="1739">
        <v>90009</v>
      </c>
      <c r="AP100" s="2028">
        <v>90009</v>
      </c>
      <c r="AQ100" s="2028">
        <v>90009</v>
      </c>
      <c r="AR100" s="829">
        <v>21</v>
      </c>
      <c r="AS100" s="1738">
        <v>21</v>
      </c>
      <c r="AT100" s="1738">
        <v>21</v>
      </c>
      <c r="AU100" s="1738">
        <v>21</v>
      </c>
      <c r="AV100" s="1738">
        <v>21</v>
      </c>
      <c r="AW100" s="1738">
        <v>21</v>
      </c>
      <c r="AX100" s="829">
        <v>21</v>
      </c>
      <c r="AY100" s="2633">
        <v>90009</v>
      </c>
      <c r="AZ100" s="2637"/>
      <c r="BA100" s="2629">
        <f>128*9+64</f>
        <v>1216</v>
      </c>
      <c r="BB100" s="2631"/>
      <c r="BC100" s="2631"/>
      <c r="BD100" s="2633">
        <v>90009</v>
      </c>
      <c r="BE100" s="1093">
        <v>90009</v>
      </c>
      <c r="BF100" s="2380">
        <v>90021</v>
      </c>
      <c r="BG100" s="2415">
        <v>90009</v>
      </c>
      <c r="BH100" s="773"/>
      <c r="BI100" s="773"/>
      <c r="BJ100" s="773"/>
      <c r="BK100" s="773"/>
      <c r="BL100" s="773"/>
      <c r="BM100" s="773"/>
      <c r="BN100" s="773"/>
      <c r="BO100" s="773"/>
      <c r="BP100" s="2719">
        <f>90000+128*17+64+4</f>
        <v>92244</v>
      </c>
      <c r="BQ100" s="773"/>
      <c r="BR100" s="773"/>
      <c r="BS100" s="773"/>
      <c r="BT100" s="773"/>
      <c r="BU100" s="2368">
        <f>128*16+1+0.03</f>
        <v>2049.0300000000002</v>
      </c>
      <c r="BV100" s="2560">
        <f>128*9+64+0.5+0.256+0.0331</f>
        <v>1216.7891000000002</v>
      </c>
      <c r="BW100" s="2368">
        <f>128*16+1+0.03</f>
        <v>2049.0300000000002</v>
      </c>
      <c r="BX100" s="773"/>
      <c r="BY100" s="773"/>
      <c r="BZ100" s="773"/>
      <c r="CA100" s="773"/>
      <c r="CB100" s="2718">
        <f>90000+128*17+64+4</f>
        <v>92244</v>
      </c>
      <c r="CC100" s="773"/>
      <c r="CD100" s="773"/>
      <c r="CE100" s="773"/>
      <c r="CF100" s="773"/>
      <c r="CG100" s="773"/>
      <c r="CH100" s="773"/>
      <c r="CI100" s="773"/>
      <c r="CJ100" s="773"/>
      <c r="CK100" s="773"/>
      <c r="CL100" s="499">
        <v>24</v>
      </c>
    </row>
    <row r="101" spans="1:90" ht="17.25" thickTop="1" thickBot="1">
      <c r="A101" s="2308">
        <v>90009</v>
      </c>
      <c r="B101" s="2571">
        <f>128*8+4</f>
        <v>1028</v>
      </c>
      <c r="C101" s="2356">
        <v>90009</v>
      </c>
      <c r="D101" s="2863"/>
      <c r="E101" s="2564">
        <f>128*3+52</f>
        <v>436</v>
      </c>
      <c r="F101" s="2864"/>
      <c r="G101" s="1739">
        <v>90009</v>
      </c>
      <c r="H101" s="2580">
        <f>128*11+12</f>
        <v>1420</v>
      </c>
      <c r="I101" s="1739">
        <v>90009</v>
      </c>
      <c r="J101" s="2857">
        <f>9+0.22</f>
        <v>9.2200000000000006</v>
      </c>
      <c r="K101" s="2582">
        <v>90009</v>
      </c>
      <c r="L101" s="2595">
        <v>90009</v>
      </c>
      <c r="M101" s="2594">
        <v>90009</v>
      </c>
      <c r="N101" s="2594">
        <v>90009</v>
      </c>
      <c r="O101" s="2601">
        <v>90009</v>
      </c>
      <c r="P101" s="2591">
        <v>90009</v>
      </c>
      <c r="Q101" s="1739">
        <v>90009</v>
      </c>
      <c r="R101" s="2604">
        <f>90000+128*11+16</f>
        <v>91424</v>
      </c>
      <c r="S101" s="2859">
        <v>90009</v>
      </c>
      <c r="T101" s="2581">
        <f>9+0.22</f>
        <v>9.2200000000000006</v>
      </c>
      <c r="U101" s="2858">
        <v>90009</v>
      </c>
      <c r="V101" s="2028">
        <v>90009</v>
      </c>
      <c r="W101" s="2415">
        <v>90009</v>
      </c>
      <c r="X101" s="2418">
        <v>90009</v>
      </c>
      <c r="Y101" s="2708">
        <v>90009</v>
      </c>
      <c r="Z101" s="773"/>
      <c r="AA101" s="773"/>
      <c r="AB101" s="773"/>
      <c r="AC101" s="773"/>
      <c r="AD101" s="773"/>
      <c r="AE101" s="773"/>
      <c r="AF101" s="773"/>
      <c r="AG101" s="773"/>
      <c r="AH101" s="773"/>
      <c r="AI101" s="773"/>
      <c r="AJ101" s="773"/>
      <c r="AK101" s="2415">
        <v>90009</v>
      </c>
      <c r="AL101" s="2380">
        <v>90021</v>
      </c>
      <c r="AM101" s="2306">
        <v>90009</v>
      </c>
      <c r="AN101" s="2879"/>
      <c r="AO101" s="2961">
        <f>128*9+65</f>
        <v>1217</v>
      </c>
      <c r="AP101" s="2882"/>
      <c r="AQ101" s="2028">
        <v>90009</v>
      </c>
      <c r="AR101" s="829">
        <v>21</v>
      </c>
      <c r="AS101" s="2377">
        <v>90009</v>
      </c>
      <c r="AT101" s="2412">
        <v>90009</v>
      </c>
      <c r="AU101" s="2413">
        <f>90000+128*11+4+0.256+0.038</f>
        <v>91412.293999999994</v>
      </c>
      <c r="AV101" s="2410">
        <v>90000</v>
      </c>
      <c r="AW101" s="2408">
        <v>90021</v>
      </c>
      <c r="AX101" s="2392">
        <v>90009</v>
      </c>
      <c r="AY101" s="2377">
        <v>90009</v>
      </c>
      <c r="AZ101" s="2633">
        <v>90009</v>
      </c>
      <c r="BA101" s="2631"/>
      <c r="BB101" s="2635"/>
      <c r="BC101" s="2635"/>
      <c r="BD101" s="2631"/>
      <c r="BE101" s="2624">
        <v>90009</v>
      </c>
      <c r="BF101" s="2380">
        <v>90021</v>
      </c>
      <c r="BG101" s="2415">
        <v>90009</v>
      </c>
      <c r="BH101" s="773"/>
      <c r="BI101" s="773"/>
      <c r="BJ101" s="773"/>
      <c r="BK101" s="773"/>
      <c r="BL101" s="773"/>
      <c r="BM101" s="773"/>
      <c r="BN101" s="773"/>
      <c r="BO101" s="773"/>
      <c r="BP101" s="2367">
        <v>90009</v>
      </c>
      <c r="BQ101" s="773"/>
      <c r="BR101" s="773"/>
      <c r="BS101" s="773"/>
      <c r="BT101" s="773"/>
      <c r="BU101" s="773"/>
      <c r="BV101" s="2368">
        <f>128*16+1+0.256+0.005</f>
        <v>2049.261</v>
      </c>
      <c r="BW101" s="773"/>
      <c r="BX101" s="773"/>
      <c r="BY101" s="773"/>
      <c r="BZ101" s="773"/>
      <c r="CA101" s="773"/>
      <c r="CB101" s="2367">
        <v>90009</v>
      </c>
      <c r="CC101" s="773"/>
      <c r="CD101" s="773"/>
      <c r="CE101" s="773"/>
      <c r="CF101" s="773"/>
      <c r="CG101" s="2700">
        <f>128*6+5</f>
        <v>773</v>
      </c>
      <c r="CH101" s="773"/>
      <c r="CI101" s="773"/>
      <c r="CJ101" s="773"/>
      <c r="CK101" s="773"/>
      <c r="CL101" s="499">
        <v>24</v>
      </c>
    </row>
    <row r="102" spans="1:90" ht="17.25" thickTop="1" thickBot="1">
      <c r="A102" s="2308">
        <v>90009</v>
      </c>
      <c r="B102" s="2571">
        <f>128*8+3</f>
        <v>1027</v>
      </c>
      <c r="C102" s="2356">
        <v>90009</v>
      </c>
      <c r="D102" s="2863"/>
      <c r="E102" s="2564"/>
      <c r="F102" s="2864"/>
      <c r="G102" s="2356">
        <v>90009</v>
      </c>
      <c r="H102" s="2383">
        <f>128*11+10+0.256+0.038</f>
        <v>1418.2940000000001</v>
      </c>
      <c r="I102" s="2028">
        <v>90009</v>
      </c>
      <c r="J102" s="2857"/>
      <c r="K102" s="2582">
        <v>90009</v>
      </c>
      <c r="L102" s="2596">
        <v>90009</v>
      </c>
      <c r="M102" s="2595">
        <v>90009</v>
      </c>
      <c r="N102" s="2595">
        <v>90009</v>
      </c>
      <c r="O102" s="2595">
        <v>90009</v>
      </c>
      <c r="P102" s="2595">
        <v>90009</v>
      </c>
      <c r="Q102" s="2367">
        <v>90009</v>
      </c>
      <c r="R102" s="2615">
        <f>90000+0.256+0.046</f>
        <v>90000.301999999996</v>
      </c>
      <c r="S102" s="2860">
        <f>90000+0.2171</f>
        <v>90000.217099999994</v>
      </c>
      <c r="T102" s="2602">
        <f>90000+128*11+15+0.5</f>
        <v>91423.5</v>
      </c>
      <c r="U102" s="2858">
        <v>90009</v>
      </c>
      <c r="V102" s="2028">
        <v>90009</v>
      </c>
      <c r="W102" s="2709">
        <v>90009</v>
      </c>
      <c r="X102" s="2709">
        <v>90009</v>
      </c>
      <c r="Y102" s="2709">
        <v>90009</v>
      </c>
      <c r="Z102" s="2709">
        <v>90009</v>
      </c>
      <c r="AA102" s="2709">
        <v>90009</v>
      </c>
      <c r="AB102" s="2709">
        <v>90009</v>
      </c>
      <c r="AC102" s="2710">
        <v>90009</v>
      </c>
      <c r="AD102" s="773"/>
      <c r="AE102" s="773"/>
      <c r="AF102" s="773"/>
      <c r="AG102" s="773"/>
      <c r="AH102" s="773"/>
      <c r="AI102" s="773"/>
      <c r="AJ102" s="2415">
        <v>90009</v>
      </c>
      <c r="AK102" s="2380">
        <v>90021</v>
      </c>
      <c r="AL102" s="2306">
        <v>90009</v>
      </c>
      <c r="AM102" s="2879"/>
      <c r="AN102" s="2874">
        <f>128*9+65</f>
        <v>1217</v>
      </c>
      <c r="AO102" s="2875"/>
      <c r="AP102" s="2882"/>
      <c r="AQ102" s="2028">
        <v>90009</v>
      </c>
      <c r="AR102" s="2377">
        <v>90009</v>
      </c>
      <c r="AS102" s="2390">
        <v>90009</v>
      </c>
      <c r="AT102" s="2376">
        <v>0.217</v>
      </c>
      <c r="AU102" s="2376">
        <v>21</v>
      </c>
      <c r="AV102" s="2409"/>
      <c r="AW102" s="2399">
        <v>21</v>
      </c>
      <c r="AX102" s="2399">
        <v>0.217</v>
      </c>
      <c r="AY102" s="2391">
        <v>90009</v>
      </c>
      <c r="AZ102" s="2377">
        <v>90022</v>
      </c>
      <c r="BA102" s="2641">
        <f>90000+128+22+0.221</f>
        <v>90150.221000000005</v>
      </c>
      <c r="BB102" s="2631"/>
      <c r="BC102" s="2631">
        <v>0.19</v>
      </c>
      <c r="BD102" s="2631"/>
      <c r="BE102" s="2631"/>
      <c r="BF102" s="2624">
        <v>90009</v>
      </c>
      <c r="BG102" s="2372">
        <v>90021</v>
      </c>
      <c r="BH102" s="2415">
        <v>90009</v>
      </c>
      <c r="BI102" s="773"/>
      <c r="BJ102" s="773"/>
      <c r="BK102" s="773"/>
      <c r="BL102" s="773"/>
      <c r="BM102" s="773"/>
      <c r="BN102" s="773"/>
      <c r="BO102" s="773"/>
      <c r="BP102" s="773"/>
      <c r="BQ102" s="773"/>
      <c r="BR102" s="773"/>
      <c r="BS102" s="773"/>
      <c r="BT102" s="773"/>
      <c r="BU102" s="773"/>
      <c r="BV102" s="773"/>
      <c r="BW102" s="773"/>
      <c r="BX102" s="773"/>
      <c r="BY102" s="773"/>
      <c r="BZ102" s="773"/>
      <c r="CA102" s="773"/>
      <c r="CB102" s="773"/>
      <c r="CC102" s="773"/>
      <c r="CD102" s="773"/>
      <c r="CE102" s="1567"/>
      <c r="CF102" s="1567"/>
      <c r="CG102" s="773"/>
      <c r="CH102" s="773"/>
      <c r="CI102" s="773"/>
      <c r="CJ102" s="499">
        <v>24</v>
      </c>
      <c r="CK102" s="499">
        <v>24</v>
      </c>
      <c r="CL102" s="499">
        <v>24</v>
      </c>
    </row>
    <row r="103" spans="1:90" ht="18" thickTop="1" thickBot="1">
      <c r="A103" s="2308">
        <v>90009</v>
      </c>
      <c r="B103" s="2571">
        <f>128*8+2</f>
        <v>1026</v>
      </c>
      <c r="C103" s="2356">
        <v>90009</v>
      </c>
      <c r="D103" s="2863"/>
      <c r="E103" s="2564"/>
      <c r="F103" s="2864"/>
      <c r="G103" s="2356">
        <v>90009</v>
      </c>
      <c r="H103" s="2575">
        <v>90009</v>
      </c>
      <c r="I103" s="2356">
        <v>90009</v>
      </c>
      <c r="J103" s="1093">
        <v>90009</v>
      </c>
      <c r="K103" s="1093">
        <v>90009</v>
      </c>
      <c r="L103" s="1093">
        <v>90009</v>
      </c>
      <c r="M103" s="1093">
        <v>90009</v>
      </c>
      <c r="N103" s="1093">
        <v>90009</v>
      </c>
      <c r="O103" s="2377">
        <v>90009</v>
      </c>
      <c r="P103" s="2576">
        <f>90000+128+9</f>
        <v>90137</v>
      </c>
      <c r="Q103" s="2606">
        <f>90000+128+9</f>
        <v>90137</v>
      </c>
      <c r="R103" s="2576">
        <v>90000</v>
      </c>
      <c r="S103" s="2861">
        <v>90000</v>
      </c>
      <c r="T103" s="2861">
        <v>90000</v>
      </c>
      <c r="U103" s="2858">
        <v>90009</v>
      </c>
      <c r="V103" s="2028">
        <v>90009</v>
      </c>
      <c r="W103" s="2617">
        <v>90009</v>
      </c>
      <c r="X103" s="2617">
        <v>90009</v>
      </c>
      <c r="Y103" s="2617">
        <v>90009</v>
      </c>
      <c r="Z103" s="2617">
        <v>90009</v>
      </c>
      <c r="AA103" s="2617">
        <v>90009</v>
      </c>
      <c r="AB103" s="2617">
        <v>90009</v>
      </c>
      <c r="AC103" s="2617">
        <v>90009</v>
      </c>
      <c r="AD103" s="2710">
        <v>90009</v>
      </c>
      <c r="AE103" s="773"/>
      <c r="AF103" s="773"/>
      <c r="AG103" s="773"/>
      <c r="AH103" s="773"/>
      <c r="AI103" s="2711">
        <v>90009</v>
      </c>
      <c r="AJ103" s="2380">
        <v>90021</v>
      </c>
      <c r="AK103" s="2306">
        <v>90009</v>
      </c>
      <c r="AL103" s="2879"/>
      <c r="AM103" s="2878">
        <f>128*9+65</f>
        <v>1217</v>
      </c>
      <c r="AN103" s="2876"/>
      <c r="AO103" s="2877"/>
      <c r="AP103" s="2882"/>
      <c r="AQ103" s="2028">
        <v>90009</v>
      </c>
      <c r="AR103" s="2382">
        <v>90009</v>
      </c>
      <c r="AS103" s="2398"/>
      <c r="AT103" s="2396"/>
      <c r="AU103" s="2395"/>
      <c r="AV103" s="2300"/>
      <c r="AW103" s="2395"/>
      <c r="AX103" s="2400"/>
      <c r="AY103" s="2404"/>
      <c r="AZ103" s="2382">
        <v>90009</v>
      </c>
      <c r="BA103" s="2640">
        <f>90000+128*11+21+0.256+0.038</f>
        <v>91429.293999999994</v>
      </c>
      <c r="BB103" s="1093">
        <v>90009</v>
      </c>
      <c r="BC103" s="2377">
        <v>90009</v>
      </c>
      <c r="BD103" s="2634"/>
      <c r="BE103" s="2634"/>
      <c r="BF103" s="2624">
        <v>90009</v>
      </c>
      <c r="BG103" s="2372">
        <v>90021</v>
      </c>
      <c r="BH103" s="2415">
        <v>90009</v>
      </c>
      <c r="BI103" s="773"/>
      <c r="BJ103" s="773"/>
      <c r="BK103" s="773"/>
      <c r="BL103" s="773"/>
      <c r="BM103" s="773"/>
      <c r="BN103" s="773"/>
      <c r="BO103" s="773"/>
      <c r="BP103" s="773"/>
      <c r="BQ103" s="2367">
        <v>430009</v>
      </c>
      <c r="BR103" s="2292">
        <f>128*9+14</f>
        <v>1166</v>
      </c>
      <c r="BS103" s="773"/>
      <c r="BT103" s="773"/>
      <c r="BU103" s="2364">
        <v>150009</v>
      </c>
      <c r="BV103" s="2721">
        <f>150000+128*17+64+3</f>
        <v>152243</v>
      </c>
      <c r="BW103" s="2364">
        <v>150009</v>
      </c>
      <c r="BX103" s="773"/>
      <c r="BY103" s="773"/>
      <c r="BZ103" s="2363">
        <f>128*9+14</f>
        <v>1166</v>
      </c>
      <c r="CA103" s="2367">
        <v>430009</v>
      </c>
      <c r="CB103" s="773"/>
      <c r="CC103" s="773"/>
      <c r="CD103" s="773"/>
      <c r="CE103" s="773"/>
      <c r="CF103" s="773"/>
      <c r="CG103" s="773"/>
      <c r="CH103" s="773"/>
      <c r="CI103" s="773"/>
      <c r="CJ103" s="499">
        <v>24</v>
      </c>
      <c r="CK103" s="499">
        <v>24</v>
      </c>
      <c r="CL103" s="499">
        <v>24</v>
      </c>
    </row>
    <row r="104" spans="1:90" ht="17.25" thickTop="1" thickBot="1">
      <c r="A104" s="2308">
        <v>90009</v>
      </c>
      <c r="B104" s="2572">
        <f>90000+128+9</f>
        <v>90137</v>
      </c>
      <c r="C104" s="2356">
        <v>90009</v>
      </c>
      <c r="D104" s="2863"/>
      <c r="E104" s="2564"/>
      <c r="F104" s="2865"/>
      <c r="G104" s="2509">
        <v>90009</v>
      </c>
      <c r="H104" s="1093">
        <v>90009</v>
      </c>
      <c r="I104" s="2509">
        <v>90009</v>
      </c>
      <c r="J104" s="2356">
        <v>90009</v>
      </c>
      <c r="K104" s="2356">
        <v>90009</v>
      </c>
      <c r="L104" s="2356">
        <v>90009</v>
      </c>
      <c r="M104" s="2356">
        <v>90009</v>
      </c>
      <c r="N104" s="2356">
        <v>90009</v>
      </c>
      <c r="O104" s="2356">
        <v>90009</v>
      </c>
      <c r="P104" s="2576">
        <f>128*14+116</f>
        <v>1908</v>
      </c>
      <c r="Q104" s="2367">
        <v>90009</v>
      </c>
      <c r="R104" s="2576">
        <v>90000</v>
      </c>
      <c r="S104" s="2576"/>
      <c r="T104" s="2576">
        <v>90000</v>
      </c>
      <c r="U104" s="2028">
        <v>90009</v>
      </c>
      <c r="V104" s="2617">
        <v>90009</v>
      </c>
      <c r="W104" s="2300"/>
      <c r="X104" s="2300">
        <f>0.256+0.006</f>
        <v>0.26200000000000001</v>
      </c>
      <c r="Y104" s="2300"/>
      <c r="Z104" s="2300">
        <f>0.256+0.015</f>
        <v>0.27100000000000002</v>
      </c>
      <c r="AA104" s="2300"/>
      <c r="AB104" s="2300">
        <f>0.256+0.009</f>
        <v>0.26500000000000001</v>
      </c>
      <c r="AC104" s="2332"/>
      <c r="AD104" s="2617">
        <v>90009</v>
      </c>
      <c r="AE104" s="2710">
        <v>90009</v>
      </c>
      <c r="AF104" s="773"/>
      <c r="AG104" s="1567"/>
      <c r="AH104" s="773"/>
      <c r="AI104" s="2415">
        <v>90009</v>
      </c>
      <c r="AJ104" s="2380">
        <v>90021</v>
      </c>
      <c r="AK104" s="2306">
        <v>90015</v>
      </c>
      <c r="AL104" s="2880">
        <f>128*6+60+0.256+0.033</f>
        <v>828.28899999999999</v>
      </c>
      <c r="AM104" s="2881"/>
      <c r="AN104" s="2881"/>
      <c r="AO104" s="2960">
        <f>128*9+65</f>
        <v>1217</v>
      </c>
      <c r="AP104" s="2882"/>
      <c r="AQ104" s="2028">
        <v>90009</v>
      </c>
      <c r="AR104" s="2377">
        <v>90009</v>
      </c>
      <c r="AS104" s="2399"/>
      <c r="AT104" s="2300"/>
      <c r="AU104" s="2397"/>
      <c r="AV104" s="2393">
        <f>128*11+3</f>
        <v>1411</v>
      </c>
      <c r="AW104" s="2397"/>
      <c r="AX104" s="2300"/>
      <c r="AY104" s="2376"/>
      <c r="AZ104" s="2377">
        <v>90009</v>
      </c>
      <c r="BA104" s="2377">
        <v>90009</v>
      </c>
      <c r="BB104" s="2383"/>
      <c r="BC104" s="2625">
        <v>0.06</v>
      </c>
      <c r="BD104" s="2630"/>
      <c r="BE104" s="2630">
        <v>0.193</v>
      </c>
      <c r="BF104" s="2624">
        <v>90009</v>
      </c>
      <c r="BG104" s="2372">
        <v>90021</v>
      </c>
      <c r="BH104" s="2415">
        <v>90009</v>
      </c>
      <c r="BI104" s="773"/>
      <c r="BJ104" s="773"/>
      <c r="BK104" s="773"/>
      <c r="BL104" s="1567"/>
      <c r="BM104" s="773"/>
      <c r="BN104" s="773"/>
      <c r="BO104" s="773"/>
      <c r="BP104" s="773"/>
      <c r="BQ104" s="2293">
        <f>128*9+14</f>
        <v>1166</v>
      </c>
      <c r="BR104" s="2720">
        <f>90000+128*17+3</f>
        <v>92179</v>
      </c>
      <c r="BS104" s="2292">
        <f>128*9+14</f>
        <v>1166</v>
      </c>
      <c r="BT104" s="773"/>
      <c r="BU104" s="773"/>
      <c r="BV104" s="773"/>
      <c r="BW104" s="773"/>
      <c r="BX104" s="773"/>
      <c r="BY104" s="2363">
        <f>128*9+14</f>
        <v>1166</v>
      </c>
      <c r="BZ104" s="2720">
        <f>90000+128*17+3</f>
        <v>92179</v>
      </c>
      <c r="CA104" s="773">
        <f>128*9+14</f>
        <v>1166</v>
      </c>
      <c r="CB104" s="773"/>
      <c r="CC104" s="773"/>
      <c r="CD104" s="773"/>
      <c r="CE104" s="773"/>
      <c r="CF104" s="2347"/>
      <c r="CG104" s="2290"/>
      <c r="CH104" s="2347"/>
      <c r="CI104" s="773"/>
      <c r="CJ104" s="499">
        <v>24</v>
      </c>
      <c r="CK104" s="499">
        <v>24</v>
      </c>
      <c r="CL104" s="499">
        <v>24</v>
      </c>
    </row>
    <row r="105" spans="1:90" ht="16.5" thickTop="1">
      <c r="A105" s="2308">
        <v>90009</v>
      </c>
      <c r="B105" s="2383"/>
      <c r="C105" s="2567">
        <v>90000</v>
      </c>
      <c r="D105" s="2863"/>
      <c r="E105" s="2564"/>
      <c r="F105" s="2865"/>
      <c r="G105" s="2566">
        <v>90000</v>
      </c>
      <c r="H105" s="2383"/>
      <c r="I105" s="2383"/>
      <c r="J105" s="2308">
        <v>90009</v>
      </c>
      <c r="K105" s="2308">
        <v>90009</v>
      </c>
      <c r="L105" s="2383"/>
      <c r="M105" s="2573">
        <f>0.384+0.0035</f>
        <v>0.38750000000000001</v>
      </c>
      <c r="N105" s="2384">
        <v>0.21709999999999999</v>
      </c>
      <c r="O105" s="2356">
        <v>90009</v>
      </c>
      <c r="P105" s="2576">
        <f>0.256+0.0071</f>
        <v>0.2631</v>
      </c>
      <c r="Q105" s="2367">
        <v>90009</v>
      </c>
      <c r="R105" s="2583">
        <v>90009</v>
      </c>
      <c r="S105" s="2576"/>
      <c r="T105" s="2583">
        <v>90009</v>
      </c>
      <c r="U105" s="2028">
        <v>90009</v>
      </c>
      <c r="V105" s="2617">
        <v>90009</v>
      </c>
      <c r="W105" s="2300"/>
      <c r="X105" s="2395">
        <f>0.384+0.003</f>
        <v>0.38700000000000001</v>
      </c>
      <c r="Y105" s="773">
        <v>1.9E-3</v>
      </c>
      <c r="Z105" s="2300"/>
      <c r="AA105" s="773">
        <v>1.9E-3</v>
      </c>
      <c r="AB105" s="2395">
        <f>0.384+0.002</f>
        <v>0.38600000000000001</v>
      </c>
      <c r="AC105" s="2332"/>
      <c r="AD105" s="2617">
        <v>90009</v>
      </c>
      <c r="AE105" s="2710">
        <v>90009</v>
      </c>
      <c r="AF105" s="773"/>
      <c r="AG105" s="773"/>
      <c r="AH105" s="773"/>
      <c r="AI105" s="2415">
        <v>90009</v>
      </c>
      <c r="AJ105" s="2372">
        <v>90021</v>
      </c>
      <c r="AK105" s="2028">
        <v>90009</v>
      </c>
      <c r="AL105" s="1739">
        <v>90009</v>
      </c>
      <c r="AM105" s="1739">
        <v>90009</v>
      </c>
      <c r="AN105" s="1739">
        <v>90009</v>
      </c>
      <c r="AO105" s="1739">
        <v>90009</v>
      </c>
      <c r="AP105" s="2576">
        <v>90000</v>
      </c>
      <c r="AQ105" s="2028">
        <v>90009</v>
      </c>
      <c r="AR105" s="2379">
        <v>90009</v>
      </c>
      <c r="AS105" s="2399"/>
      <c r="AT105" s="2300"/>
      <c r="AU105" s="2300"/>
      <c r="AV105" s="2395">
        <f>128*16+2+0.256+0.046</f>
        <v>2050.3019999999997</v>
      </c>
      <c r="AW105" s="2300"/>
      <c r="AX105" s="2300"/>
      <c r="AY105" s="2399"/>
      <c r="AZ105" s="2382">
        <v>90009</v>
      </c>
      <c r="BA105" s="2377">
        <v>90009</v>
      </c>
      <c r="BB105" s="2383"/>
      <c r="BC105" s="2626">
        <v>0.06</v>
      </c>
      <c r="BD105" s="2635"/>
      <c r="BE105" s="2630"/>
      <c r="BF105" s="2624">
        <v>90009</v>
      </c>
      <c r="BG105" s="2372">
        <v>90021</v>
      </c>
      <c r="BH105" s="2415">
        <v>90009</v>
      </c>
      <c r="BI105" s="2415">
        <v>90009</v>
      </c>
      <c r="BJ105" s="773"/>
      <c r="BK105" s="773"/>
      <c r="BL105" s="773"/>
      <c r="BM105" s="773"/>
      <c r="BN105" s="773"/>
      <c r="BO105" s="773"/>
      <c r="BP105" s="773"/>
      <c r="BQ105" s="773"/>
      <c r="BR105" s="2293">
        <f>128*9+14</f>
        <v>1166</v>
      </c>
      <c r="BS105" s="2367">
        <v>430009</v>
      </c>
      <c r="BT105" s="773"/>
      <c r="BU105" s="773"/>
      <c r="BV105" s="773"/>
      <c r="BW105" s="773"/>
      <c r="BX105" s="773"/>
      <c r="BY105" s="2367">
        <v>430009</v>
      </c>
      <c r="BZ105" s="773">
        <f>128*9+14</f>
        <v>1166</v>
      </c>
      <c r="CA105" s="773"/>
      <c r="CB105" s="773"/>
      <c r="CC105" s="773"/>
      <c r="CD105" s="2290"/>
      <c r="CE105" s="2347"/>
      <c r="CF105" s="3259">
        <f>128*6+190</f>
        <v>958</v>
      </c>
      <c r="CG105" s="773"/>
      <c r="CH105" s="773"/>
      <c r="CI105" s="773"/>
      <c r="CJ105" s="499">
        <v>24</v>
      </c>
      <c r="CK105" s="499">
        <v>24</v>
      </c>
      <c r="CL105" s="499">
        <v>24</v>
      </c>
    </row>
    <row r="106" spans="1:90" ht="15.75">
      <c r="A106" s="2308">
        <v>90009</v>
      </c>
      <c r="B106" s="2383"/>
      <c r="C106" s="2356">
        <v>90009</v>
      </c>
      <c r="D106" s="2863"/>
      <c r="E106" s="2863"/>
      <c r="F106" s="2865"/>
      <c r="G106" s="2356">
        <v>90009</v>
      </c>
      <c r="H106" s="2308">
        <v>90009</v>
      </c>
      <c r="I106" s="2383"/>
      <c r="J106" s="2383"/>
      <c r="K106" s="2308">
        <v>90009</v>
      </c>
      <c r="L106" s="2383"/>
      <c r="M106" s="2568">
        <v>24</v>
      </c>
      <c r="N106" s="2491">
        <f>0.384+0.004</f>
        <v>0.38800000000000001</v>
      </c>
      <c r="O106" s="2356">
        <v>90009</v>
      </c>
      <c r="P106" s="2576"/>
      <c r="Q106" s="2028">
        <v>90009</v>
      </c>
      <c r="R106" s="2866">
        <v>90009</v>
      </c>
      <c r="S106" s="2861">
        <f>90000+128*5+13</f>
        <v>90653</v>
      </c>
      <c r="T106" s="2867">
        <v>90009</v>
      </c>
      <c r="U106" s="2028">
        <v>90009</v>
      </c>
      <c r="V106" s="2617">
        <v>90009</v>
      </c>
      <c r="W106" s="2300"/>
      <c r="X106" s="2300"/>
      <c r="Y106" s="2300"/>
      <c r="Z106" s="2395">
        <f>0.384+0.004</f>
        <v>0.38800000000000001</v>
      </c>
      <c r="AA106" s="2300"/>
      <c r="AB106" s="2300"/>
      <c r="AC106" s="2332"/>
      <c r="AD106" s="2617">
        <v>90009</v>
      </c>
      <c r="AE106" s="2710">
        <v>90009</v>
      </c>
      <c r="AF106" s="773"/>
      <c r="AG106" s="773"/>
      <c r="AH106" s="773"/>
      <c r="AI106" s="2713">
        <v>90009</v>
      </c>
      <c r="AJ106" s="2372">
        <v>90021</v>
      </c>
      <c r="AK106" s="2028">
        <v>90009</v>
      </c>
      <c r="AL106" s="2576">
        <v>90000</v>
      </c>
      <c r="AM106" s="2576"/>
      <c r="AN106" s="2576"/>
      <c r="AO106" s="2576"/>
      <c r="AP106" s="2576"/>
      <c r="AQ106" s="2576"/>
      <c r="AR106" s="2377">
        <v>90009</v>
      </c>
      <c r="AS106" s="2399"/>
      <c r="AT106" s="2300"/>
      <c r="AU106" s="2300"/>
      <c r="AV106" s="2300">
        <f>128*10+5+0.256+0.014</f>
        <v>1285.27</v>
      </c>
      <c r="AW106" s="2300"/>
      <c r="AX106" s="2300"/>
      <c r="AY106" s="2376"/>
      <c r="AZ106" s="2377">
        <v>90009</v>
      </c>
      <c r="BA106" s="2377">
        <v>90009</v>
      </c>
      <c r="BB106" s="2383">
        <f>128*9+7</f>
        <v>1159</v>
      </c>
      <c r="BC106" s="2624">
        <v>90009</v>
      </c>
      <c r="BD106" s="1093">
        <v>90009</v>
      </c>
      <c r="BE106" s="1093">
        <v>90009</v>
      </c>
      <c r="BF106" s="1093">
        <v>90009</v>
      </c>
      <c r="BG106" s="1093">
        <v>90009</v>
      </c>
      <c r="BH106" s="2372">
        <v>90021</v>
      </c>
      <c r="BI106" s="2415">
        <v>90009</v>
      </c>
      <c r="BJ106" s="773"/>
      <c r="BK106" s="773"/>
      <c r="BL106" s="3203">
        <f>150000+128*6+5</f>
        <v>150773</v>
      </c>
      <c r="BM106" s="773"/>
      <c r="BN106" s="773"/>
      <c r="BO106" s="773"/>
      <c r="BP106" s="773"/>
      <c r="BQ106" s="773"/>
      <c r="BR106" s="773"/>
      <c r="BS106" s="773"/>
      <c r="BT106" s="773"/>
      <c r="BU106" s="2367">
        <v>90009</v>
      </c>
      <c r="BV106" s="2720">
        <f>90000+128*17+64+4</f>
        <v>92244</v>
      </c>
      <c r="BW106" s="2367">
        <v>90009</v>
      </c>
      <c r="BX106" s="773"/>
      <c r="BY106" s="773"/>
      <c r="BZ106" s="773"/>
      <c r="CA106" s="773"/>
      <c r="CB106" s="773"/>
      <c r="CC106" s="1567"/>
      <c r="CD106" s="773"/>
      <c r="CE106" s="773"/>
      <c r="CF106" s="773"/>
      <c r="CG106" s="773"/>
      <c r="CH106" s="773"/>
      <c r="CI106" s="499">
        <v>24</v>
      </c>
      <c r="CJ106" s="499">
        <v>24</v>
      </c>
      <c r="CK106" s="499">
        <v>24</v>
      </c>
      <c r="CL106" s="499">
        <v>24</v>
      </c>
    </row>
    <row r="107" spans="1:90" ht="16.5" thickBot="1">
      <c r="A107" s="2308">
        <v>90009</v>
      </c>
      <c r="B107" s="2383"/>
      <c r="C107" s="2509">
        <v>90009</v>
      </c>
      <c r="D107" s="2565">
        <f>90009+0.183</f>
        <v>90009.183000000005</v>
      </c>
      <c r="E107" s="2565">
        <f>90009+0.183</f>
        <v>90009.183000000005</v>
      </c>
      <c r="F107" s="2565">
        <f>90009+0.183</f>
        <v>90009.183000000005</v>
      </c>
      <c r="G107" s="2509">
        <v>90009</v>
      </c>
      <c r="H107" s="2509">
        <v>90009</v>
      </c>
      <c r="I107" s="2356">
        <v>90009</v>
      </c>
      <c r="J107" s="2383"/>
      <c r="K107" s="2383"/>
      <c r="L107" s="2383"/>
      <c r="M107" s="2569">
        <f>24+0.065</f>
        <v>24.065000000000001</v>
      </c>
      <c r="N107" s="2384">
        <f>128*14+5</f>
        <v>1797</v>
      </c>
      <c r="O107" s="2356">
        <v>90009</v>
      </c>
      <c r="P107" s="2576"/>
      <c r="Q107" s="2028">
        <v>90009</v>
      </c>
      <c r="R107" s="2858">
        <v>90009</v>
      </c>
      <c r="S107" s="2384"/>
      <c r="T107" s="2867">
        <v>90009</v>
      </c>
      <c r="U107" s="2028">
        <v>90009</v>
      </c>
      <c r="V107" s="2617">
        <v>90009</v>
      </c>
      <c r="W107" s="2300"/>
      <c r="X107" s="2622">
        <f>0.256+0.046</f>
        <v>0.30199999999999999</v>
      </c>
      <c r="Y107" s="2300"/>
      <c r="Z107" s="2622">
        <f>0.256+0.046</f>
        <v>0.30199999999999999</v>
      </c>
      <c r="AA107" s="2300"/>
      <c r="AB107" s="2622">
        <f>0.256+0.046</f>
        <v>0.30199999999999999</v>
      </c>
      <c r="AC107" s="2332"/>
      <c r="AD107" s="2617">
        <v>90009</v>
      </c>
      <c r="AE107" s="2710">
        <v>90009</v>
      </c>
      <c r="AF107" s="773"/>
      <c r="AG107" s="773"/>
      <c r="AH107" s="773"/>
      <c r="AI107" s="2415">
        <v>90009</v>
      </c>
      <c r="AJ107" s="2372">
        <v>90021</v>
      </c>
      <c r="AK107" s="2028">
        <v>90009</v>
      </c>
      <c r="AL107" s="2869">
        <f>90000+128*11+16+0.5</f>
        <v>91424.5</v>
      </c>
      <c r="AM107" s="2028">
        <v>90009</v>
      </c>
      <c r="AN107" s="2028">
        <v>90009</v>
      </c>
      <c r="AO107" s="2028">
        <v>90009</v>
      </c>
      <c r="AP107" s="2028">
        <v>90009</v>
      </c>
      <c r="AQ107" s="2576"/>
      <c r="AR107" s="2382">
        <v>90009</v>
      </c>
      <c r="AS107" s="2403">
        <f>128*17+64+3</f>
        <v>2243</v>
      </c>
      <c r="AT107" s="2397"/>
      <c r="AU107" s="2300"/>
      <c r="AV107" s="2300"/>
      <c r="AW107" s="2300"/>
      <c r="AX107" s="2401"/>
      <c r="AY107" s="2402">
        <f>128*17+64+3</f>
        <v>2243</v>
      </c>
      <c r="AZ107" s="2382">
        <v>90009</v>
      </c>
      <c r="BA107" s="2377">
        <v>90009</v>
      </c>
      <c r="BB107" s="2383"/>
      <c r="BC107" s="2567">
        <v>90000</v>
      </c>
      <c r="BD107" s="2870">
        <f>128*11+20+0.5</f>
        <v>1428.5</v>
      </c>
      <c r="BE107" s="2871">
        <f>9+0.22</f>
        <v>9.2200000000000006</v>
      </c>
      <c r="BF107" s="2872">
        <v>90009</v>
      </c>
      <c r="BG107" s="1093">
        <v>90009</v>
      </c>
      <c r="BH107" s="2372">
        <v>90021</v>
      </c>
      <c r="BI107" s="2415">
        <v>90009</v>
      </c>
      <c r="BJ107" s="773"/>
      <c r="BK107" s="773"/>
      <c r="BL107" s="3199">
        <v>150015</v>
      </c>
      <c r="BM107" s="773"/>
      <c r="BN107" s="773"/>
      <c r="BO107" s="1567"/>
      <c r="BP107" s="773"/>
      <c r="BQ107" s="773"/>
      <c r="BR107" s="773"/>
      <c r="BS107" s="773"/>
      <c r="BT107" s="773"/>
      <c r="BU107" s="773"/>
      <c r="BV107" s="773"/>
      <c r="BW107" s="773"/>
      <c r="BX107" s="773"/>
      <c r="BY107" s="773"/>
      <c r="BZ107" s="773"/>
      <c r="CA107" s="773"/>
      <c r="CB107" s="3262">
        <f>128*6+192</f>
        <v>960</v>
      </c>
      <c r="CC107" s="2347"/>
      <c r="CD107" s="773"/>
      <c r="CE107" s="1567"/>
      <c r="CF107" s="773"/>
      <c r="CG107" s="773"/>
      <c r="CH107" s="773"/>
      <c r="CI107" s="2714">
        <f>128+24+0.106</f>
        <v>152.10599999999999</v>
      </c>
      <c r="CJ107" s="499">
        <v>24</v>
      </c>
      <c r="CK107" s="499">
        <v>24</v>
      </c>
      <c r="CL107" s="499">
        <v>24</v>
      </c>
    </row>
    <row r="108" spans="1:90" ht="16.5" thickBot="1">
      <c r="A108" s="2308">
        <v>90009</v>
      </c>
      <c r="B108" s="2383"/>
      <c r="C108" s="2383"/>
      <c r="D108" s="2383"/>
      <c r="E108" s="2509">
        <v>90009</v>
      </c>
      <c r="F108" s="2383"/>
      <c r="G108" s="2383"/>
      <c r="H108" s="2383"/>
      <c r="I108" s="2356">
        <v>90009</v>
      </c>
      <c r="J108" s="2356">
        <v>90009</v>
      </c>
      <c r="K108" s="2356">
        <v>90009</v>
      </c>
      <c r="L108" s="2383"/>
      <c r="M108" s="2568">
        <v>24</v>
      </c>
      <c r="N108" s="2574">
        <f>0.384+0.004</f>
        <v>0.38800000000000001</v>
      </c>
      <c r="O108" s="2356">
        <v>90009</v>
      </c>
      <c r="P108" s="2607">
        <f>128*8+2</f>
        <v>1026</v>
      </c>
      <c r="Q108" s="2028">
        <v>90009</v>
      </c>
      <c r="R108" s="2868">
        <v>9</v>
      </c>
      <c r="S108" s="2586">
        <f>128*11+14+0.5</f>
        <v>1422.5</v>
      </c>
      <c r="T108" s="2857">
        <v>9</v>
      </c>
      <c r="U108" s="2028">
        <v>90009</v>
      </c>
      <c r="V108" s="2617">
        <v>90009</v>
      </c>
      <c r="W108" s="2617">
        <v>90009</v>
      </c>
      <c r="X108" s="2608">
        <f>90000+128*11+17</f>
        <v>91425</v>
      </c>
      <c r="Y108" s="2617">
        <v>90009</v>
      </c>
      <c r="Z108" s="2608">
        <f>90000+128*11+18</f>
        <v>91426</v>
      </c>
      <c r="AA108" s="2617">
        <v>90009</v>
      </c>
      <c r="AB108" s="2608">
        <f>90000+128*11+19</f>
        <v>91427</v>
      </c>
      <c r="AC108" s="2617">
        <v>90009</v>
      </c>
      <c r="AD108" s="2617">
        <v>90009</v>
      </c>
      <c r="AE108" s="2710">
        <v>90009</v>
      </c>
      <c r="AF108" s="773"/>
      <c r="AG108" s="773"/>
      <c r="AH108" s="773"/>
      <c r="AI108" s="2711">
        <v>90009</v>
      </c>
      <c r="AJ108" s="2380">
        <v>90021</v>
      </c>
      <c r="AK108" s="2599">
        <v>90009</v>
      </c>
      <c r="AL108" s="2873">
        <f>90009+0.22</f>
        <v>90009.22</v>
      </c>
      <c r="AM108" s="2873">
        <v>90009</v>
      </c>
      <c r="AN108" s="2857"/>
      <c r="AO108" s="2028">
        <v>90009</v>
      </c>
      <c r="AP108" s="2606">
        <f>0.384+0.0101</f>
        <v>0.39410000000000001</v>
      </c>
      <c r="AQ108" s="2576"/>
      <c r="AR108" s="2377">
        <v>90009</v>
      </c>
      <c r="AS108" s="2389">
        <v>90009</v>
      </c>
      <c r="AT108" s="2399"/>
      <c r="AU108" s="2399"/>
      <c r="AV108" s="2399"/>
      <c r="AW108" s="2399"/>
      <c r="AX108" s="2399"/>
      <c r="AY108" s="2391">
        <v>90009</v>
      </c>
      <c r="AZ108" s="2377">
        <v>90009</v>
      </c>
      <c r="BA108" s="1093">
        <v>90009</v>
      </c>
      <c r="BB108" s="1093">
        <v>90009</v>
      </c>
      <c r="BC108" s="1093">
        <v>90009</v>
      </c>
      <c r="BD108" s="1093">
        <v>90009</v>
      </c>
      <c r="BE108" s="1093">
        <v>90009</v>
      </c>
      <c r="BF108" s="1093">
        <v>90009</v>
      </c>
      <c r="BG108" s="1093">
        <v>90009</v>
      </c>
      <c r="BH108" s="2372">
        <v>90021</v>
      </c>
      <c r="BI108" s="2415">
        <v>90009</v>
      </c>
      <c r="BJ108" s="773"/>
      <c r="BK108" s="773"/>
      <c r="BL108" s="773"/>
      <c r="BM108" s="773"/>
      <c r="BN108" s="773"/>
      <c r="BO108" s="773"/>
      <c r="BP108" s="773"/>
      <c r="BQ108" s="773"/>
      <c r="BR108" s="773"/>
      <c r="BS108" s="773"/>
      <c r="BT108" s="773"/>
      <c r="BU108" s="773"/>
      <c r="BV108" s="773"/>
      <c r="BW108" s="773"/>
      <c r="BX108" s="773"/>
      <c r="BY108" s="773"/>
      <c r="BZ108" s="773"/>
      <c r="CA108" s="773"/>
      <c r="CB108" s="2290"/>
      <c r="CC108" s="2347"/>
      <c r="CD108" s="773"/>
      <c r="CE108" s="773"/>
      <c r="CF108" s="773"/>
      <c r="CG108" s="499">
        <v>24</v>
      </c>
      <c r="CH108" s="499">
        <v>24</v>
      </c>
      <c r="CI108" s="772">
        <f>128*14+116</f>
        <v>1908</v>
      </c>
      <c r="CJ108" s="2715">
        <f>128*10+19</f>
        <v>1299</v>
      </c>
      <c r="CK108" s="499">
        <v>24</v>
      </c>
      <c r="CL108" s="499">
        <v>24</v>
      </c>
    </row>
    <row r="109" spans="1:90" ht="17.25" thickTop="1" thickBot="1">
      <c r="A109" s="2308">
        <v>90009</v>
      </c>
      <c r="B109" s="2383"/>
      <c r="C109" s="2509">
        <v>90009</v>
      </c>
      <c r="D109" s="2491">
        <f>0.384+0.0036</f>
        <v>0.3876</v>
      </c>
      <c r="E109" s="2383"/>
      <c r="F109" s="2383"/>
      <c r="G109" s="2509">
        <v>90009</v>
      </c>
      <c r="H109" s="2491">
        <f>0.384+0.0036</f>
        <v>0.3876</v>
      </c>
      <c r="I109" s="2383"/>
      <c r="J109" s="2383">
        <f>128*10+16+0.256+0.014</f>
        <v>1296.27</v>
      </c>
      <c r="K109" s="2356">
        <v>90009</v>
      </c>
      <c r="L109" s="2383"/>
      <c r="M109" s="2573">
        <f>0.384+0.0031</f>
        <v>0.3871</v>
      </c>
      <c r="N109" s="2384">
        <v>0.2175</v>
      </c>
      <c r="O109" s="2356">
        <v>90009</v>
      </c>
      <c r="P109" s="2576">
        <f>128*10+8</f>
        <v>1288</v>
      </c>
      <c r="Q109" s="2028">
        <v>90009</v>
      </c>
      <c r="R109" s="2857">
        <v>9</v>
      </c>
      <c r="S109" s="2857">
        <f>9+0.22</f>
        <v>9.2200000000000006</v>
      </c>
      <c r="T109" s="2857">
        <v>9</v>
      </c>
      <c r="U109" s="2028">
        <v>90009</v>
      </c>
      <c r="V109" s="2377">
        <v>90009</v>
      </c>
      <c r="W109" s="2617">
        <v>90009</v>
      </c>
      <c r="X109" s="2617">
        <v>90009</v>
      </c>
      <c r="Y109" s="2617">
        <v>90009</v>
      </c>
      <c r="Z109" s="2617">
        <v>90009</v>
      </c>
      <c r="AA109" s="2617">
        <v>90009</v>
      </c>
      <c r="AB109" s="2617">
        <v>90009</v>
      </c>
      <c r="AC109" s="2617">
        <v>90009</v>
      </c>
      <c r="AD109" s="2722">
        <f>90000+128*14+116+0.256+0.007</f>
        <v>91908.262999999992</v>
      </c>
      <c r="AE109" s="2363">
        <f>128*9+67</f>
        <v>1219</v>
      </c>
      <c r="AF109" s="1052">
        <f>128+22</f>
        <v>150</v>
      </c>
      <c r="AG109" s="773"/>
      <c r="AH109" s="773"/>
      <c r="AI109" s="2415">
        <v>90009</v>
      </c>
      <c r="AJ109" s="2380">
        <v>90021</v>
      </c>
      <c r="AK109" s="2599">
        <v>90009</v>
      </c>
      <c r="AL109" s="2873"/>
      <c r="AM109" s="2873"/>
      <c r="AN109" s="2857"/>
      <c r="AO109" s="2028">
        <v>90009</v>
      </c>
      <c r="AP109" s="2576">
        <v>0.217</v>
      </c>
      <c r="AQ109" s="2576"/>
      <c r="AR109" s="2576">
        <f>0.256+0.008</f>
        <v>0.26400000000000001</v>
      </c>
      <c r="AS109" s="2377">
        <v>90009</v>
      </c>
      <c r="AT109" s="2392">
        <v>90009</v>
      </c>
      <c r="AU109" s="2694">
        <f>90000+128*6+5+0.03</f>
        <v>90773.03</v>
      </c>
      <c r="AV109" s="2392">
        <v>90009</v>
      </c>
      <c r="AW109" s="2694">
        <f>90000+128*6+5+0.161</f>
        <v>90773.160999999993</v>
      </c>
      <c r="AX109" s="2392">
        <v>90009</v>
      </c>
      <c r="AY109" s="2377">
        <v>90009</v>
      </c>
      <c r="AZ109" s="773"/>
      <c r="BA109" s="773"/>
      <c r="BB109" s="773"/>
      <c r="BC109" s="773"/>
      <c r="BD109" s="773"/>
      <c r="BE109" s="773"/>
      <c r="BF109" s="773"/>
      <c r="BG109" s="773"/>
      <c r="BH109" s="2372">
        <v>90021</v>
      </c>
      <c r="BI109" s="2415">
        <v>90009</v>
      </c>
      <c r="BJ109" s="773"/>
      <c r="BK109" s="773"/>
      <c r="BL109" s="773"/>
      <c r="BM109" s="773"/>
      <c r="BN109" s="773"/>
      <c r="BO109" s="773"/>
      <c r="BP109" s="773"/>
      <c r="BQ109" s="773"/>
      <c r="BR109" s="773"/>
      <c r="BS109" s="773"/>
      <c r="BT109" s="773"/>
      <c r="BU109" s="773"/>
      <c r="BV109" s="773"/>
      <c r="BW109" s="773"/>
      <c r="BX109" s="773"/>
      <c r="BY109" s="773"/>
      <c r="BZ109" s="773"/>
      <c r="CA109" s="773"/>
      <c r="CB109" s="773"/>
      <c r="CC109" s="773"/>
      <c r="CD109" s="773"/>
      <c r="CE109" s="773"/>
      <c r="CF109" s="773"/>
      <c r="CG109" s="499">
        <v>24</v>
      </c>
      <c r="CH109" s="499">
        <v>24</v>
      </c>
      <c r="CI109" s="499">
        <v>24</v>
      </c>
      <c r="CJ109" s="499">
        <v>24</v>
      </c>
      <c r="CK109" s="499">
        <v>24</v>
      </c>
      <c r="CL109" s="499">
        <v>24</v>
      </c>
    </row>
    <row r="110" spans="1:90" ht="17.25" thickTop="1" thickBot="1">
      <c r="A110" s="2308">
        <v>90009</v>
      </c>
      <c r="B110" s="2356">
        <v>90009</v>
      </c>
      <c r="C110" s="2356">
        <v>90009</v>
      </c>
      <c r="D110" s="2356">
        <v>90009</v>
      </c>
      <c r="E110" s="2356">
        <v>90009</v>
      </c>
      <c r="F110" s="2356">
        <v>90009</v>
      </c>
      <c r="G110" s="2356">
        <v>90009</v>
      </c>
      <c r="H110" s="2308">
        <v>90009</v>
      </c>
      <c r="I110" s="2308">
        <v>90009</v>
      </c>
      <c r="J110" s="2308">
        <v>90009</v>
      </c>
      <c r="K110" s="2308">
        <v>90009</v>
      </c>
      <c r="L110" s="2308">
        <v>90009</v>
      </c>
      <c r="M110" s="2308">
        <v>90009</v>
      </c>
      <c r="N110" s="2308">
        <v>90009</v>
      </c>
      <c r="O110" s="2308">
        <v>90009</v>
      </c>
      <c r="P110" s="2028">
        <v>90009</v>
      </c>
      <c r="Q110" s="2028">
        <v>90009</v>
      </c>
      <c r="R110" s="2028">
        <v>90009</v>
      </c>
      <c r="S110" s="2028">
        <v>90009</v>
      </c>
      <c r="T110" s="2028">
        <v>90009</v>
      </c>
      <c r="U110" s="2028">
        <v>90009</v>
      </c>
      <c r="V110" s="2367">
        <v>90009</v>
      </c>
      <c r="W110" s="2305">
        <v>90009</v>
      </c>
      <c r="X110" s="2616">
        <v>90009</v>
      </c>
      <c r="Y110" s="2305">
        <v>90009</v>
      </c>
      <c r="Z110" s="2616">
        <v>90009</v>
      </c>
      <c r="AA110" s="2305">
        <v>90009</v>
      </c>
      <c r="AB110" s="2616">
        <v>90009</v>
      </c>
      <c r="AC110" s="2305">
        <v>90009</v>
      </c>
      <c r="AD110" s="499">
        <f>24+0.137</f>
        <v>24.137</v>
      </c>
      <c r="AE110" s="499">
        <v>24</v>
      </c>
      <c r="AF110" s="773">
        <v>22</v>
      </c>
      <c r="AG110" s="499">
        <v>22</v>
      </c>
      <c r="AH110" s="499">
        <v>22</v>
      </c>
      <c r="AI110" s="499">
        <v>22</v>
      </c>
      <c r="AJ110" s="499">
        <v>24</v>
      </c>
      <c r="AK110" s="2028">
        <v>90009</v>
      </c>
      <c r="AL110" s="2028">
        <v>90009</v>
      </c>
      <c r="AM110" s="2028">
        <v>90009</v>
      </c>
      <c r="AN110" s="2028">
        <v>90009</v>
      </c>
      <c r="AO110" s="2028">
        <v>90009</v>
      </c>
      <c r="AP110" s="499">
        <v>24</v>
      </c>
      <c r="AQ110" s="499">
        <v>24</v>
      </c>
      <c r="AR110" s="499">
        <v>24</v>
      </c>
      <c r="AS110" s="499">
        <v>24</v>
      </c>
      <c r="AT110" s="499">
        <v>24</v>
      </c>
      <c r="AU110" s="2693">
        <v>9</v>
      </c>
      <c r="AV110" s="499">
        <v>24</v>
      </c>
      <c r="AW110" s="2693">
        <v>9</v>
      </c>
      <c r="AX110" s="499">
        <v>24</v>
      </c>
      <c r="AY110" s="499">
        <v>24</v>
      </c>
      <c r="AZ110" s="499">
        <v>24</v>
      </c>
      <c r="BA110" s="499">
        <v>24</v>
      </c>
      <c r="BB110" s="499">
        <v>24</v>
      </c>
      <c r="BC110" s="499">
        <v>24</v>
      </c>
      <c r="BD110" s="499">
        <v>24</v>
      </c>
      <c r="BE110" s="499">
        <v>24</v>
      </c>
      <c r="BF110" s="499">
        <v>24</v>
      </c>
      <c r="BG110" s="499">
        <v>24</v>
      </c>
      <c r="BH110" s="499">
        <v>24</v>
      </c>
      <c r="BI110" s="499">
        <v>24</v>
      </c>
      <c r="BJ110" s="499">
        <v>24</v>
      </c>
      <c r="BK110" s="499">
        <v>24</v>
      </c>
      <c r="BL110" s="499">
        <v>24</v>
      </c>
      <c r="BM110" s="499">
        <v>24</v>
      </c>
      <c r="BN110" s="499">
        <v>24</v>
      </c>
      <c r="BO110" s="499">
        <v>24</v>
      </c>
      <c r="BP110" s="499">
        <v>24</v>
      </c>
      <c r="BQ110" s="499">
        <v>24</v>
      </c>
      <c r="BR110" s="499">
        <v>24</v>
      </c>
      <c r="BS110" s="499">
        <v>24</v>
      </c>
      <c r="BT110" s="499">
        <v>24</v>
      </c>
      <c r="BU110" s="499">
        <v>24</v>
      </c>
      <c r="BV110" s="499">
        <v>24</v>
      </c>
      <c r="BW110" s="499">
        <v>24</v>
      </c>
      <c r="BX110" s="499">
        <v>24</v>
      </c>
      <c r="BY110" s="499">
        <v>24</v>
      </c>
      <c r="BZ110" s="499">
        <v>24</v>
      </c>
      <c r="CA110" s="499">
        <v>24</v>
      </c>
      <c r="CB110" s="499">
        <v>24</v>
      </c>
      <c r="CC110" s="499">
        <v>24</v>
      </c>
      <c r="CD110" s="499">
        <v>24</v>
      </c>
      <c r="CE110" s="499">
        <v>24</v>
      </c>
      <c r="CF110" s="499">
        <v>24</v>
      </c>
      <c r="CG110" s="499">
        <v>24</v>
      </c>
      <c r="CH110" s="499">
        <v>24</v>
      </c>
      <c r="CI110" s="499">
        <v>24</v>
      </c>
      <c r="CJ110" s="499">
        <v>24</v>
      </c>
      <c r="CK110" s="499">
        <v>24</v>
      </c>
      <c r="CL110" s="499">
        <v>24</v>
      </c>
    </row>
    <row r="111" spans="1:90">
      <c r="A111" s="994" t="s">
        <v>670</v>
      </c>
      <c r="B111" s="1221" t="s">
        <v>169</v>
      </c>
    </row>
    <row r="112" spans="1:90">
      <c r="A112" s="1222" t="s">
        <v>1057</v>
      </c>
      <c r="B112" s="1">
        <v>3</v>
      </c>
      <c r="C112" s="1226"/>
      <c r="D112" s="1">
        <v>2</v>
      </c>
      <c r="E112" s="1">
        <v>1</v>
      </c>
      <c r="F112" s="1">
        <v>4</v>
      </c>
      <c r="G112" s="1">
        <v>6</v>
      </c>
      <c r="H112" s="1">
        <v>58</v>
      </c>
      <c r="I112" s="1">
        <v>3</v>
      </c>
      <c r="J112" s="1">
        <v>107</v>
      </c>
      <c r="K112" s="1">
        <v>5</v>
      </c>
      <c r="L112" s="1">
        <v>9</v>
      </c>
      <c r="M112" t="s">
        <v>414</v>
      </c>
      <c r="N112">
        <v>2</v>
      </c>
    </row>
    <row r="113" spans="1:5">
      <c r="A113" s="1222" t="s">
        <v>1058</v>
      </c>
      <c r="B113" s="1">
        <v>1</v>
      </c>
      <c r="C113" s="1"/>
      <c r="D113" s="1">
        <v>2</v>
      </c>
      <c r="E113" s="1" t="s">
        <v>415</v>
      </c>
    </row>
    <row r="114" spans="1:5">
      <c r="A114" s="1222" t="s">
        <v>1060</v>
      </c>
      <c r="B114">
        <v>1</v>
      </c>
      <c r="D114">
        <v>2</v>
      </c>
      <c r="E114" s="1" t="s">
        <v>416</v>
      </c>
    </row>
    <row r="115" spans="1:5">
      <c r="A115" s="1222" t="s">
        <v>1061</v>
      </c>
      <c r="B115" s="1">
        <v>1</v>
      </c>
      <c r="C115" s="1"/>
      <c r="D115" s="1">
        <v>5</v>
      </c>
      <c r="E115" s="1" t="s">
        <v>417</v>
      </c>
    </row>
    <row r="116" spans="1:5">
      <c r="A116" s="1222" t="s">
        <v>1063</v>
      </c>
      <c r="B116" s="1">
        <v>1</v>
      </c>
      <c r="C116" s="1"/>
      <c r="D116" s="1">
        <v>5</v>
      </c>
      <c r="E116" s="1" t="s">
        <v>418</v>
      </c>
    </row>
    <row r="117" spans="1:5">
      <c r="A117" s="1222" t="s">
        <v>1065</v>
      </c>
      <c r="B117" s="1">
        <v>1</v>
      </c>
      <c r="C117" s="1"/>
      <c r="D117" s="1">
        <v>5</v>
      </c>
      <c r="E117" s="1" t="s">
        <v>419</v>
      </c>
    </row>
    <row r="118" spans="1:5">
      <c r="A118" s="1222" t="s">
        <v>1067</v>
      </c>
      <c r="B118" s="1">
        <v>1</v>
      </c>
      <c r="C118" s="1"/>
      <c r="D118" s="1">
        <v>5</v>
      </c>
      <c r="E118" s="1" t="s">
        <v>420</v>
      </c>
    </row>
    <row r="119" spans="1:5">
      <c r="A119" s="1222" t="s">
        <v>1068</v>
      </c>
      <c r="B119" s="1">
        <v>1</v>
      </c>
      <c r="C119" s="1"/>
      <c r="D119" s="1">
        <v>2</v>
      </c>
      <c r="E119" s="1" t="s">
        <v>421</v>
      </c>
    </row>
    <row r="120" spans="1:5">
      <c r="A120" s="1222" t="s">
        <v>1069</v>
      </c>
      <c r="B120" s="1">
        <v>1</v>
      </c>
      <c r="D120" s="1">
        <v>2</v>
      </c>
      <c r="E120" s="1" t="s">
        <v>422</v>
      </c>
    </row>
    <row r="121" spans="1:5">
      <c r="A121" s="1222" t="s">
        <v>1070</v>
      </c>
      <c r="B121" s="1">
        <v>1</v>
      </c>
      <c r="D121" s="1">
        <v>2</v>
      </c>
      <c r="E121" s="1" t="s">
        <v>423</v>
      </c>
    </row>
    <row r="122" spans="1:5">
      <c r="A122" s="1222" t="s">
        <v>1071</v>
      </c>
      <c r="B122" s="1">
        <v>1</v>
      </c>
      <c r="D122" s="1">
        <v>5</v>
      </c>
      <c r="E122" s="1" t="s">
        <v>447</v>
      </c>
    </row>
    <row r="123" spans="1:5">
      <c r="A123" s="1223">
        <v>12</v>
      </c>
      <c r="B123" s="1">
        <v>1</v>
      </c>
      <c r="D123" s="1">
        <v>2</v>
      </c>
      <c r="E123" s="1" t="s">
        <v>460</v>
      </c>
    </row>
    <row r="124" spans="1:5">
      <c r="A124" s="1223">
        <v>13</v>
      </c>
      <c r="B124" s="1">
        <v>1</v>
      </c>
      <c r="D124" s="1">
        <v>2</v>
      </c>
      <c r="E124" s="1" t="s">
        <v>461</v>
      </c>
    </row>
    <row r="125" spans="1:5">
      <c r="A125" s="1223">
        <v>14</v>
      </c>
      <c r="B125" s="1">
        <v>1</v>
      </c>
      <c r="D125" s="1">
        <v>2</v>
      </c>
      <c r="E125" s="1" t="s">
        <v>462</v>
      </c>
    </row>
    <row r="126" spans="1:5">
      <c r="A126" s="1223">
        <v>15</v>
      </c>
    </row>
    <row r="127" spans="1:5">
      <c r="A127" s="1049">
        <v>16</v>
      </c>
    </row>
    <row r="128" spans="1:5">
      <c r="A128" s="1049">
        <v>17</v>
      </c>
    </row>
    <row r="129" spans="1:1">
      <c r="A129" s="1049">
        <v>18</v>
      </c>
    </row>
    <row r="130" spans="1:1">
      <c r="A130" s="1049">
        <v>19</v>
      </c>
    </row>
    <row r="131" spans="1:1">
      <c r="A131" s="1049">
        <v>20</v>
      </c>
    </row>
    <row r="132" spans="1:1">
      <c r="A132" s="1049">
        <v>21</v>
      </c>
    </row>
    <row r="133" spans="1:1">
      <c r="A133" s="1049">
        <v>22</v>
      </c>
    </row>
    <row r="134" spans="1:1">
      <c r="A134" s="1049">
        <v>23</v>
      </c>
    </row>
    <row r="135" spans="1:1">
      <c r="A135" s="1049">
        <v>24</v>
      </c>
    </row>
    <row r="136" spans="1:1">
      <c r="A136" s="1049">
        <v>25</v>
      </c>
    </row>
    <row r="137" spans="1:1">
      <c r="A137" s="1049">
        <v>26</v>
      </c>
    </row>
    <row r="138" spans="1:1">
      <c r="A138" s="1049">
        <v>27</v>
      </c>
    </row>
    <row r="139" spans="1:1">
      <c r="A139" s="1049">
        <v>28</v>
      </c>
    </row>
    <row r="140" spans="1:1">
      <c r="A140" s="1049">
        <v>29</v>
      </c>
    </row>
    <row r="141" spans="1:1">
      <c r="A141" s="1049">
        <v>30</v>
      </c>
    </row>
    <row r="142" spans="1:1">
      <c r="A142" s="1049">
        <v>31</v>
      </c>
    </row>
    <row r="143" spans="1:1">
      <c r="A143" s="1049">
        <v>32</v>
      </c>
    </row>
    <row r="144" spans="1:1">
      <c r="A144" s="1049">
        <v>33</v>
      </c>
    </row>
    <row r="145" spans="1:1">
      <c r="A145" s="1049">
        <v>34</v>
      </c>
    </row>
    <row r="146" spans="1:1">
      <c r="A146" s="1049">
        <v>35</v>
      </c>
    </row>
    <row r="147" spans="1:1">
      <c r="A147" s="1049">
        <v>36</v>
      </c>
    </row>
    <row r="148" spans="1:1">
      <c r="A148" s="1049">
        <v>37</v>
      </c>
    </row>
    <row r="149" spans="1:1">
      <c r="A149" s="1049">
        <v>38</v>
      </c>
    </row>
    <row r="150" spans="1:1">
      <c r="A150" s="1049">
        <v>39</v>
      </c>
    </row>
    <row r="151" spans="1:1">
      <c r="A151" s="1224">
        <v>40</v>
      </c>
    </row>
    <row r="152" spans="1:1">
      <c r="A152" s="1223">
        <v>41</v>
      </c>
    </row>
    <row r="153" spans="1:1">
      <c r="A153" s="1049">
        <v>42</v>
      </c>
    </row>
    <row r="154" spans="1:1">
      <c r="A154" s="1049">
        <v>43</v>
      </c>
    </row>
    <row r="155" spans="1:1">
      <c r="A155" s="1049">
        <v>44</v>
      </c>
    </row>
    <row r="156" spans="1:1">
      <c r="A156" s="1049">
        <v>45</v>
      </c>
    </row>
    <row r="157" spans="1:1">
      <c r="A157" s="1049">
        <v>46</v>
      </c>
    </row>
    <row r="158" spans="1:1">
      <c r="A158" s="1049">
        <v>47</v>
      </c>
    </row>
    <row r="159" spans="1:1">
      <c r="A159" s="1049">
        <v>48</v>
      </c>
    </row>
    <row r="160" spans="1:1">
      <c r="A160" s="1049">
        <v>49</v>
      </c>
    </row>
    <row r="161" spans="1:26">
      <c r="A161" s="1225">
        <v>50</v>
      </c>
      <c r="B161" s="1">
        <v>2</v>
      </c>
      <c r="C161" s="1226"/>
      <c r="D161" s="1">
        <v>2</v>
      </c>
      <c r="E161" s="1">
        <v>2</v>
      </c>
      <c r="F161">
        <v>4</v>
      </c>
      <c r="G161">
        <v>5</v>
      </c>
      <c r="H161" s="1">
        <v>9</v>
      </c>
      <c r="I161" s="1232" t="s">
        <v>424</v>
      </c>
      <c r="J161">
        <v>9</v>
      </c>
      <c r="K161" s="1226"/>
      <c r="L161" s="1">
        <v>2</v>
      </c>
      <c r="M161" s="1">
        <v>2</v>
      </c>
      <c r="N161">
        <v>4</v>
      </c>
      <c r="O161">
        <v>5</v>
      </c>
      <c r="P161" s="1">
        <v>9</v>
      </c>
      <c r="Q161" t="s">
        <v>425</v>
      </c>
      <c r="R161">
        <v>9</v>
      </c>
      <c r="S161" s="1226"/>
      <c r="T161" s="1">
        <v>2</v>
      </c>
      <c r="U161" s="1">
        <v>2</v>
      </c>
      <c r="V161">
        <v>4</v>
      </c>
      <c r="W161">
        <v>5</v>
      </c>
      <c r="X161" s="1">
        <v>9</v>
      </c>
      <c r="Y161" t="s">
        <v>426</v>
      </c>
      <c r="Z161">
        <v>9</v>
      </c>
    </row>
    <row r="162" spans="1:26">
      <c r="A162" s="1228" t="s">
        <v>69</v>
      </c>
    </row>
    <row r="163" spans="1:26">
      <c r="A163" s="1601" t="s">
        <v>70</v>
      </c>
    </row>
    <row r="164" spans="1:26">
      <c r="A164" s="1229">
        <v>53</v>
      </c>
    </row>
    <row r="165" spans="1:26">
      <c r="A165" s="1229">
        <v>54</v>
      </c>
    </row>
    <row r="166" spans="1:26">
      <c r="A166" s="1229">
        <v>55</v>
      </c>
    </row>
    <row r="167" spans="1:26">
      <c r="A167" s="1229">
        <v>56</v>
      </c>
    </row>
    <row r="168" spans="1:26">
      <c r="A168" s="1229">
        <v>57</v>
      </c>
    </row>
    <row r="169" spans="1:26">
      <c r="A169" s="1229">
        <v>58</v>
      </c>
    </row>
    <row r="170" spans="1:26">
      <c r="A170" s="1229">
        <v>59</v>
      </c>
    </row>
    <row r="171" spans="1:26">
      <c r="A171" s="1229">
        <v>60</v>
      </c>
    </row>
    <row r="172" spans="1:26">
      <c r="A172" s="1229">
        <v>61</v>
      </c>
    </row>
    <row r="173" spans="1:26">
      <c r="A173" s="1229">
        <v>62</v>
      </c>
    </row>
    <row r="174" spans="1:26">
      <c r="A174" s="1229">
        <v>63</v>
      </c>
    </row>
    <row r="175" spans="1:26">
      <c r="A175" s="1229">
        <v>64</v>
      </c>
    </row>
    <row r="176" spans="1:26">
      <c r="A176" s="1229">
        <v>65</v>
      </c>
    </row>
    <row r="177" spans="1:23">
      <c r="A177" s="1229">
        <v>66</v>
      </c>
    </row>
    <row r="178" spans="1:23">
      <c r="A178" s="1229">
        <v>67</v>
      </c>
    </row>
    <row r="179" spans="1:23">
      <c r="A179" s="1229">
        <v>68</v>
      </c>
    </row>
    <row r="180" spans="1:23">
      <c r="A180" s="1229">
        <v>69</v>
      </c>
    </row>
    <row r="181" spans="1:23">
      <c r="A181" s="1231">
        <v>70</v>
      </c>
    </row>
    <row r="182" spans="1:23">
      <c r="A182" s="1601" t="s">
        <v>82</v>
      </c>
      <c r="B182" s="1">
        <v>2</v>
      </c>
      <c r="C182" s="1226"/>
      <c r="D182" s="1">
        <v>1</v>
      </c>
      <c r="E182" s="1">
        <v>10</v>
      </c>
      <c r="F182">
        <v>10</v>
      </c>
      <c r="G182">
        <v>4</v>
      </c>
      <c r="H182" s="1">
        <v>0</v>
      </c>
      <c r="I182" s="1232" t="s">
        <v>427</v>
      </c>
      <c r="J182">
        <v>10</v>
      </c>
      <c r="N182" t="s">
        <v>1081</v>
      </c>
    </row>
    <row r="183" spans="1:23">
      <c r="A183" s="1229">
        <v>72</v>
      </c>
      <c r="B183" s="1">
        <v>2</v>
      </c>
      <c r="C183" s="1226"/>
      <c r="D183" s="1">
        <v>1</v>
      </c>
      <c r="E183" s="1">
        <v>10</v>
      </c>
      <c r="F183">
        <v>10</v>
      </c>
      <c r="G183">
        <v>4</v>
      </c>
      <c r="H183" s="1">
        <v>0</v>
      </c>
      <c r="I183" s="1232" t="s">
        <v>428</v>
      </c>
      <c r="J183">
        <v>10</v>
      </c>
      <c r="L183" s="1">
        <v>1</v>
      </c>
      <c r="M183" s="1">
        <v>10</v>
      </c>
      <c r="N183">
        <v>10</v>
      </c>
      <c r="O183">
        <v>4</v>
      </c>
      <c r="P183" s="1">
        <v>0</v>
      </c>
      <c r="Q183" s="1232" t="s">
        <v>438</v>
      </c>
      <c r="R183">
        <v>10</v>
      </c>
      <c r="W183" t="s">
        <v>1083</v>
      </c>
    </row>
    <row r="184" spans="1:23">
      <c r="A184" s="1229">
        <v>73</v>
      </c>
      <c r="B184" s="1">
        <v>2</v>
      </c>
      <c r="C184" s="1226"/>
      <c r="D184" s="1">
        <v>1</v>
      </c>
      <c r="E184" s="1">
        <v>10</v>
      </c>
      <c r="F184">
        <v>10</v>
      </c>
      <c r="G184">
        <v>4</v>
      </c>
      <c r="H184" s="1">
        <v>0</v>
      </c>
      <c r="I184" s="1232" t="s">
        <v>439</v>
      </c>
      <c r="J184">
        <v>10</v>
      </c>
      <c r="N184" t="s">
        <v>1085</v>
      </c>
    </row>
    <row r="185" spans="1:23">
      <c r="A185" s="1229">
        <v>74</v>
      </c>
      <c r="B185" s="1">
        <v>2</v>
      </c>
      <c r="C185" s="1226"/>
      <c r="D185" s="1">
        <v>1</v>
      </c>
      <c r="E185" s="1">
        <v>10</v>
      </c>
      <c r="F185">
        <v>10</v>
      </c>
      <c r="G185">
        <v>4</v>
      </c>
      <c r="H185" s="1">
        <v>0</v>
      </c>
      <c r="I185" s="1232" t="s">
        <v>440</v>
      </c>
      <c r="J185">
        <v>10</v>
      </c>
      <c r="N185" t="s">
        <v>1086</v>
      </c>
    </row>
    <row r="186" spans="1:23">
      <c r="A186" s="1229">
        <v>75</v>
      </c>
      <c r="B186" s="1">
        <v>2</v>
      </c>
      <c r="C186" s="1226"/>
      <c r="D186" s="1">
        <v>1</v>
      </c>
      <c r="E186" s="1">
        <v>10</v>
      </c>
      <c r="F186">
        <v>10</v>
      </c>
      <c r="G186">
        <v>4</v>
      </c>
      <c r="H186" s="1">
        <v>0</v>
      </c>
      <c r="I186" s="1232" t="s">
        <v>459</v>
      </c>
      <c r="J186">
        <v>10</v>
      </c>
      <c r="N186" t="s">
        <v>1088</v>
      </c>
    </row>
    <row r="187" spans="1:23">
      <c r="A187" s="1229">
        <v>76</v>
      </c>
      <c r="B187" s="1">
        <v>2</v>
      </c>
      <c r="C187" s="1226"/>
      <c r="D187" s="1">
        <v>1</v>
      </c>
      <c r="E187" s="1">
        <v>10</v>
      </c>
      <c r="F187">
        <v>10</v>
      </c>
      <c r="G187">
        <v>10</v>
      </c>
      <c r="H187" s="1">
        <v>0</v>
      </c>
      <c r="I187" s="1232" t="s">
        <v>441</v>
      </c>
      <c r="J187">
        <v>7</v>
      </c>
      <c r="L187" s="1"/>
      <c r="M187" s="1"/>
      <c r="N187" t="s">
        <v>1089</v>
      </c>
    </row>
    <row r="188" spans="1:23">
      <c r="A188" s="1229">
        <v>77</v>
      </c>
      <c r="B188" s="1">
        <v>2</v>
      </c>
      <c r="C188" s="1226"/>
      <c r="D188" s="1">
        <v>1</v>
      </c>
      <c r="E188" s="1">
        <v>10</v>
      </c>
      <c r="F188">
        <v>10</v>
      </c>
      <c r="G188">
        <v>10</v>
      </c>
      <c r="H188" s="1">
        <v>0</v>
      </c>
      <c r="I188" t="s">
        <v>442</v>
      </c>
      <c r="J188">
        <v>7</v>
      </c>
      <c r="N188" t="s">
        <v>1121</v>
      </c>
    </row>
    <row r="189" spans="1:23">
      <c r="A189" s="1229">
        <v>78</v>
      </c>
      <c r="B189" s="1">
        <v>2</v>
      </c>
      <c r="D189" s="1">
        <v>1</v>
      </c>
      <c r="E189" s="1">
        <v>10</v>
      </c>
      <c r="F189">
        <v>10</v>
      </c>
      <c r="G189">
        <v>10</v>
      </c>
      <c r="H189" s="1">
        <v>0</v>
      </c>
      <c r="I189" t="s">
        <v>458</v>
      </c>
      <c r="J189">
        <v>7</v>
      </c>
      <c r="N189" t="s">
        <v>250</v>
      </c>
    </row>
    <row r="190" spans="1:23">
      <c r="A190" s="1229">
        <v>79</v>
      </c>
      <c r="B190" s="1">
        <v>2</v>
      </c>
      <c r="D190" s="1">
        <v>1</v>
      </c>
      <c r="E190" s="1">
        <v>10</v>
      </c>
      <c r="F190">
        <v>10</v>
      </c>
      <c r="G190">
        <v>10</v>
      </c>
      <c r="H190" s="1">
        <v>0</v>
      </c>
      <c r="I190" t="s">
        <v>463</v>
      </c>
      <c r="J190">
        <v>7</v>
      </c>
      <c r="N190" t="s">
        <v>263</v>
      </c>
    </row>
    <row r="191" spans="1:23">
      <c r="A191" s="1229">
        <v>80</v>
      </c>
      <c r="B191" s="1">
        <v>2</v>
      </c>
      <c r="C191" s="1226">
        <v>51</v>
      </c>
      <c r="D191" s="1">
        <v>1</v>
      </c>
      <c r="E191" s="1">
        <v>1</v>
      </c>
      <c r="F191">
        <v>1</v>
      </c>
      <c r="G191">
        <v>2</v>
      </c>
      <c r="H191" s="1">
        <v>0</v>
      </c>
      <c r="I191" s="1232" t="s">
        <v>443</v>
      </c>
      <c r="J191">
        <v>10</v>
      </c>
      <c r="L191" s="1"/>
      <c r="M191" s="1"/>
      <c r="P191" s="1"/>
      <c r="Q191" s="1232"/>
      <c r="W191" t="s">
        <v>444</v>
      </c>
    </row>
  </sheetData>
  <sheetProtection password="DF7C" sheet="1"/>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
  <dimension ref="A1:IV161"/>
  <sheetViews>
    <sheetView zoomScale="180" zoomScaleNormal="180" workbookViewId="0">
      <selection activeCell="M21" sqref="M21"/>
    </sheetView>
  </sheetViews>
  <sheetFormatPr defaultColWidth="14" defaultRowHeight="9" customHeight="1"/>
  <cols>
    <col min="1" max="9" width="1.7109375" customWidth="1"/>
    <col min="10" max="11" width="1.85546875" customWidth="1"/>
    <col min="12" max="13" width="1.7109375" customWidth="1"/>
    <col min="14" max="14" width="2" customWidth="1"/>
    <col min="15" max="17" width="1.85546875" customWidth="1"/>
    <col min="18" max="18" width="1.7109375" customWidth="1"/>
    <col min="19" max="19" width="1.85546875" customWidth="1"/>
    <col min="20" max="21" width="1.7109375" customWidth="1"/>
    <col min="22" max="22" width="1.85546875" customWidth="1"/>
    <col min="23" max="24" width="1.7109375" customWidth="1"/>
    <col min="25" max="25" width="1.85546875" customWidth="1"/>
    <col min="26" max="26" width="1.7109375" customWidth="1"/>
    <col min="27" max="27" width="2" customWidth="1"/>
    <col min="28" max="29" width="1.7109375" customWidth="1"/>
    <col min="30" max="30" width="1.85546875" customWidth="1"/>
    <col min="31" max="36" width="1.7109375" customWidth="1"/>
    <col min="37" max="37" width="1.85546875" customWidth="1"/>
    <col min="38" max="39" width="1.7109375" customWidth="1"/>
    <col min="40" max="41" width="2" customWidth="1"/>
    <col min="42" max="45" width="1.85546875" customWidth="1"/>
    <col min="46" max="103" width="1.7109375" customWidth="1"/>
    <col min="104" max="104" width="2.42578125" customWidth="1"/>
    <col min="105" max="105" width="2.28515625" customWidth="1"/>
    <col min="107" max="107" width="2.85546875" customWidth="1"/>
    <col min="108" max="108" width="3.28515625" customWidth="1"/>
    <col min="255" max="255" width="28" customWidth="1"/>
  </cols>
  <sheetData>
    <row r="1" spans="1:256" ht="9" customHeight="1">
      <c r="A1" s="523">
        <v>220022</v>
      </c>
      <c r="B1" s="523">
        <v>220022</v>
      </c>
      <c r="C1" s="523">
        <v>220022</v>
      </c>
      <c r="D1" s="523">
        <v>220022</v>
      </c>
      <c r="E1" s="523">
        <v>220022</v>
      </c>
      <c r="F1" s="523">
        <v>220022</v>
      </c>
      <c r="G1" s="523">
        <v>220022</v>
      </c>
      <c r="H1" s="523">
        <v>220022</v>
      </c>
      <c r="I1" s="523">
        <v>220022</v>
      </c>
      <c r="J1" s="523">
        <v>220022</v>
      </c>
      <c r="K1" s="523">
        <v>220022</v>
      </c>
      <c r="L1" s="523">
        <v>220022</v>
      </c>
      <c r="M1" s="523">
        <v>220022</v>
      </c>
      <c r="N1" s="523">
        <v>220022</v>
      </c>
      <c r="O1" s="523">
        <v>220022</v>
      </c>
      <c r="P1" s="523">
        <v>220022</v>
      </c>
      <c r="Q1" s="523">
        <v>220022</v>
      </c>
      <c r="R1" s="523">
        <v>220022</v>
      </c>
      <c r="S1" s="523">
        <v>220022</v>
      </c>
      <c r="T1" s="523">
        <v>220022</v>
      </c>
      <c r="U1" s="523">
        <v>220022</v>
      </c>
      <c r="V1" s="523">
        <v>220022</v>
      </c>
      <c r="W1" s="523">
        <v>220022</v>
      </c>
      <c r="X1" s="523">
        <v>220022</v>
      </c>
      <c r="Y1" s="523">
        <v>220022</v>
      </c>
      <c r="Z1" s="523">
        <v>220022</v>
      </c>
      <c r="AA1" s="523">
        <v>220022</v>
      </c>
      <c r="AB1" s="523">
        <v>200021</v>
      </c>
      <c r="AC1" s="523">
        <v>200021</v>
      </c>
      <c r="AD1" s="523">
        <v>200021</v>
      </c>
      <c r="AE1" s="523">
        <v>200021</v>
      </c>
      <c r="AF1" s="523">
        <v>200021</v>
      </c>
      <c r="AG1" s="523">
        <v>200020</v>
      </c>
      <c r="AH1" s="523">
        <v>200020</v>
      </c>
      <c r="AI1" s="523">
        <v>200020</v>
      </c>
      <c r="AJ1" s="523">
        <v>200020</v>
      </c>
      <c r="AK1" s="523">
        <v>200020</v>
      </c>
      <c r="AL1" s="523">
        <v>200020</v>
      </c>
      <c r="AM1" s="523">
        <v>200020</v>
      </c>
      <c r="AN1" s="523">
        <v>200020</v>
      </c>
      <c r="AO1" s="523">
        <v>200020</v>
      </c>
      <c r="AP1" s="523">
        <v>200020</v>
      </c>
      <c r="AQ1" s="523">
        <v>200020</v>
      </c>
      <c r="AR1" s="523">
        <v>200020</v>
      </c>
      <c r="AS1" s="523">
        <v>200020</v>
      </c>
      <c r="AT1" s="523">
        <v>200020</v>
      </c>
      <c r="AU1" s="523">
        <v>200020</v>
      </c>
      <c r="AV1" s="523">
        <v>200020</v>
      </c>
      <c r="AW1" s="523">
        <v>200020</v>
      </c>
      <c r="AX1" s="523">
        <v>200020</v>
      </c>
      <c r="AY1" s="523">
        <v>200020</v>
      </c>
      <c r="AZ1" s="523">
        <v>200020</v>
      </c>
      <c r="BA1" s="523">
        <v>200020</v>
      </c>
      <c r="BB1" s="523">
        <v>200020</v>
      </c>
      <c r="BC1" s="523">
        <v>200020</v>
      </c>
      <c r="BD1" s="523">
        <v>200020</v>
      </c>
      <c r="BE1" s="523">
        <v>200020</v>
      </c>
      <c r="BF1" s="523">
        <v>200020</v>
      </c>
      <c r="BG1" s="523">
        <v>200020</v>
      </c>
      <c r="BH1" s="523">
        <v>200020</v>
      </c>
      <c r="BI1" s="523">
        <v>200020</v>
      </c>
      <c r="BJ1" s="1824">
        <v>190033</v>
      </c>
      <c r="BK1" s="1824">
        <v>190033</v>
      </c>
      <c r="BL1" s="3279">
        <v>190033</v>
      </c>
      <c r="BM1" s="3279">
        <v>190033</v>
      </c>
      <c r="BN1" s="1824">
        <v>190033</v>
      </c>
      <c r="BO1" s="1824">
        <v>190033</v>
      </c>
      <c r="BP1" s="523">
        <v>200020</v>
      </c>
      <c r="BQ1" s="523">
        <v>200020</v>
      </c>
      <c r="BR1" s="523">
        <v>200020</v>
      </c>
      <c r="BS1" s="523">
        <v>200020</v>
      </c>
      <c r="BT1" s="523">
        <v>200020</v>
      </c>
      <c r="BU1" s="523">
        <v>200020</v>
      </c>
      <c r="BV1" s="523">
        <v>200020</v>
      </c>
      <c r="BW1" s="523">
        <v>200020</v>
      </c>
      <c r="BX1" s="523">
        <v>200020</v>
      </c>
      <c r="BY1" s="523">
        <v>200020</v>
      </c>
      <c r="BZ1" s="523">
        <v>200020</v>
      </c>
      <c r="CA1" s="523">
        <v>200020</v>
      </c>
      <c r="CB1" s="523">
        <v>200020</v>
      </c>
      <c r="CC1" s="505">
        <v>420042</v>
      </c>
      <c r="CD1" s="523">
        <v>200020</v>
      </c>
      <c r="CE1" s="523">
        <v>200020</v>
      </c>
      <c r="CF1" s="523">
        <v>200020</v>
      </c>
      <c r="CG1" s="523">
        <v>200020</v>
      </c>
      <c r="CH1" s="523">
        <v>200020</v>
      </c>
      <c r="CI1" s="523">
        <v>200020</v>
      </c>
      <c r="CJ1" s="523">
        <v>200020</v>
      </c>
      <c r="CK1" s="523">
        <v>200042</v>
      </c>
      <c r="CL1" s="523">
        <v>200020</v>
      </c>
      <c r="CM1" s="523">
        <v>200020</v>
      </c>
      <c r="CN1" s="523">
        <v>200020</v>
      </c>
      <c r="CO1" s="523">
        <v>200020</v>
      </c>
      <c r="CP1" s="523">
        <v>200020</v>
      </c>
      <c r="CQ1" s="523">
        <v>200020</v>
      </c>
      <c r="CR1" s="505">
        <v>200020</v>
      </c>
      <c r="DB1" t="s">
        <v>977</v>
      </c>
      <c r="DD1">
        <v>1</v>
      </c>
      <c r="DE1">
        <v>1</v>
      </c>
      <c r="IU1" s="499" t="s">
        <v>628</v>
      </c>
      <c r="IV1" s="499">
        <v>96</v>
      </c>
    </row>
    <row r="2" spans="1:256" ht="9" customHeight="1" thickBot="1">
      <c r="A2" s="505">
        <v>220022</v>
      </c>
      <c r="B2" s="1840"/>
      <c r="C2" s="1407"/>
      <c r="D2" s="1407"/>
      <c r="E2" s="1407"/>
      <c r="F2" s="1407"/>
      <c r="G2" s="3123">
        <f>128*6+1</f>
        <v>769</v>
      </c>
      <c r="H2" s="1407"/>
      <c r="I2" s="1407"/>
      <c r="J2" s="1407"/>
      <c r="K2" s="1407"/>
      <c r="L2" s="1605"/>
      <c r="M2" s="1605"/>
      <c r="N2" s="1605"/>
      <c r="O2" s="1605"/>
      <c r="P2" s="1605"/>
      <c r="Q2" s="1605"/>
      <c r="R2" s="1605"/>
      <c r="S2" s="1605"/>
      <c r="T2" s="1605"/>
      <c r="U2" s="1605"/>
      <c r="V2" s="1605"/>
      <c r="W2" s="1605"/>
      <c r="X2" s="1605"/>
      <c r="Y2" s="1605"/>
      <c r="Z2" s="1407">
        <v>0.03</v>
      </c>
      <c r="AA2" s="771">
        <v>220022</v>
      </c>
      <c r="AB2" s="498">
        <v>210021</v>
      </c>
      <c r="AC2" s="757">
        <f>128*9+21+0.5+0.256+0.0206</f>
        <v>1173.7766000000001</v>
      </c>
      <c r="AD2" s="757"/>
      <c r="AE2" s="757">
        <v>6.0299999999999999E-2</v>
      </c>
      <c r="AF2" s="770">
        <f>190019+0.143</f>
        <v>190019.14300000001</v>
      </c>
      <c r="AG2" s="503"/>
      <c r="AH2" s="2705">
        <f>128*6+1</f>
        <v>769</v>
      </c>
      <c r="AI2" s="503"/>
      <c r="AJ2" s="518"/>
      <c r="AK2" s="503"/>
      <c r="AL2" s="503"/>
      <c r="AM2" s="518"/>
      <c r="AN2" s="503"/>
      <c r="AO2" s="503"/>
      <c r="AP2" s="503"/>
      <c r="AQ2" s="3286"/>
      <c r="AR2" s="518"/>
      <c r="AS2" s="503"/>
      <c r="AT2" s="503"/>
      <c r="AU2" s="503"/>
      <c r="AV2" s="2703">
        <f>128*6+1</f>
        <v>769</v>
      </c>
      <c r="AW2" s="503"/>
      <c r="AX2" s="503"/>
      <c r="AY2" s="503">
        <f>128*9+25</f>
        <v>1177</v>
      </c>
      <c r="AZ2" s="518"/>
      <c r="BA2" s="503"/>
      <c r="BB2" s="2703">
        <f>128*6+1</f>
        <v>769</v>
      </c>
      <c r="BC2" s="513"/>
      <c r="BD2" s="513"/>
      <c r="BE2" s="513"/>
      <c r="BF2" s="513"/>
      <c r="BG2" s="503"/>
      <c r="BH2" s="523">
        <v>200020</v>
      </c>
      <c r="BI2" s="523">
        <v>200020</v>
      </c>
      <c r="BJ2" s="3280">
        <f t="shared" ref="BJ2:BO2" si="0">200000+128*14+5</f>
        <v>201797</v>
      </c>
      <c r="BK2" s="3280">
        <f t="shared" si="0"/>
        <v>201797</v>
      </c>
      <c r="BL2" s="3280">
        <f t="shared" si="0"/>
        <v>201797</v>
      </c>
      <c r="BM2" s="3280">
        <f t="shared" si="0"/>
        <v>201797</v>
      </c>
      <c r="BN2" s="3280">
        <f t="shared" si="0"/>
        <v>201797</v>
      </c>
      <c r="BO2" s="3280">
        <f t="shared" si="0"/>
        <v>201797</v>
      </c>
      <c r="BP2" s="523">
        <v>200020</v>
      </c>
      <c r="BQ2" s="505">
        <v>200020</v>
      </c>
      <c r="BR2" s="503"/>
      <c r="BS2" s="503"/>
      <c r="BT2" s="505">
        <v>200020</v>
      </c>
      <c r="BU2" s="2897"/>
      <c r="BV2" s="2897"/>
      <c r="BW2" s="2897"/>
      <c r="BX2" s="2897"/>
      <c r="BY2" s="2897"/>
      <c r="BZ2" s="2897"/>
      <c r="CA2" s="2897"/>
      <c r="CB2" s="2897"/>
      <c r="CC2" s="2897"/>
      <c r="CD2" s="2897"/>
      <c r="CE2" s="3293"/>
      <c r="CF2" s="505">
        <v>200020</v>
      </c>
      <c r="CG2" s="504">
        <v>20</v>
      </c>
      <c r="CH2" s="504">
        <v>42</v>
      </c>
      <c r="CI2" s="1854"/>
      <c r="CJ2" s="1854">
        <f t="shared" ref="CJ2:CJ10" si="1">128*14+2</f>
        <v>1794</v>
      </c>
      <c r="CK2" s="1854"/>
      <c r="CL2" s="1854"/>
      <c r="CM2" s="3180"/>
      <c r="CN2" s="1854"/>
      <c r="CO2" s="1854"/>
      <c r="CP2" s="504">
        <v>42</v>
      </c>
      <c r="CQ2" s="504">
        <v>20</v>
      </c>
      <c r="CR2" s="499">
        <v>24</v>
      </c>
      <c r="DD2">
        <v>2</v>
      </c>
      <c r="DE2">
        <v>2</v>
      </c>
      <c r="DF2" t="s">
        <v>453</v>
      </c>
      <c r="IU2" s="499" t="s">
        <v>629</v>
      </c>
      <c r="IV2" s="499">
        <v>80</v>
      </c>
    </row>
    <row r="3" spans="1:256" ht="9" customHeight="1" thickTop="1" thickBot="1">
      <c r="A3" s="505">
        <v>220022</v>
      </c>
      <c r="B3" s="1840"/>
      <c r="C3" s="3069">
        <f>128*6+1</f>
        <v>769</v>
      </c>
      <c r="D3" s="1407"/>
      <c r="E3" s="1407"/>
      <c r="F3" s="1407"/>
      <c r="G3" s="1407"/>
      <c r="H3" s="1407"/>
      <c r="I3" s="1407"/>
      <c r="J3" s="1407"/>
      <c r="K3" s="1407"/>
      <c r="L3" s="1605"/>
      <c r="M3" s="1605"/>
      <c r="N3" s="1605"/>
      <c r="O3" s="1605"/>
      <c r="P3" s="1605"/>
      <c r="Q3" s="1407"/>
      <c r="R3" s="1407"/>
      <c r="S3" s="1407"/>
      <c r="T3" s="1407"/>
      <c r="U3" s="1407"/>
      <c r="V3" s="1407"/>
      <c r="W3" s="1407"/>
      <c r="X3" s="1605"/>
      <c r="Y3" s="1605"/>
      <c r="Z3" s="1407"/>
      <c r="AA3" s="771">
        <v>220022</v>
      </c>
      <c r="AB3" s="498">
        <v>210021</v>
      </c>
      <c r="AC3" s="757">
        <v>3.0499999999999999E-2</v>
      </c>
      <c r="AD3" s="757"/>
      <c r="AE3" s="757"/>
      <c r="AF3" s="504">
        <v>19</v>
      </c>
      <c r="AG3" s="533">
        <f>0.384+0.004</f>
        <v>0.38800000000000001</v>
      </c>
      <c r="AH3" s="518"/>
      <c r="AI3" s="503"/>
      <c r="AJ3" s="503"/>
      <c r="AK3" s="518"/>
      <c r="AL3" s="503"/>
      <c r="AM3" s="2703">
        <f>128*9+25</f>
        <v>1177</v>
      </c>
      <c r="AN3" s="518"/>
      <c r="AO3" s="503"/>
      <c r="AP3" s="503"/>
      <c r="AQ3" s="2705">
        <f>128*6+1</f>
        <v>769</v>
      </c>
      <c r="AR3" s="503"/>
      <c r="AS3" s="503"/>
      <c r="AT3" s="518"/>
      <c r="AU3" s="503"/>
      <c r="AV3" s="503"/>
      <c r="AW3" s="503"/>
      <c r="AX3" s="518"/>
      <c r="AY3" s="503"/>
      <c r="AZ3" s="503"/>
      <c r="BA3" s="2705">
        <f>128*9+25</f>
        <v>1177</v>
      </c>
      <c r="BB3" s="518"/>
      <c r="BC3" s="513"/>
      <c r="BD3" s="513"/>
      <c r="BE3" s="513"/>
      <c r="BF3" s="513"/>
      <c r="BG3" s="3283">
        <f>128*6+1</f>
        <v>769</v>
      </c>
      <c r="BH3" s="503"/>
      <c r="BI3" s="503"/>
      <c r="BJ3" s="511"/>
      <c r="BK3" s="511"/>
      <c r="BL3" s="511"/>
      <c r="BM3" s="511"/>
      <c r="BN3" s="511"/>
      <c r="BO3" s="514"/>
      <c r="BP3" s="514"/>
      <c r="BQ3" s="514"/>
      <c r="BR3" s="514"/>
      <c r="BS3" s="514">
        <f>128*16+64+1+0.384+0.003</f>
        <v>2113.3870000000002</v>
      </c>
      <c r="BT3" s="3555">
        <f>200000+128*9+72+0.207</f>
        <v>201224.20699999999</v>
      </c>
      <c r="BU3" s="2897">
        <f>128*14+17</f>
        <v>1809</v>
      </c>
      <c r="BV3" s="1499"/>
      <c r="BW3" s="1562">
        <f>128*9+75+0.208</f>
        <v>1227.2080000000001</v>
      </c>
      <c r="BX3" s="1499"/>
      <c r="BY3" s="1499"/>
      <c r="BZ3" s="3634"/>
      <c r="CA3" s="3289"/>
      <c r="CB3" s="3307">
        <v>420000</v>
      </c>
      <c r="CC3" s="3296">
        <v>420000</v>
      </c>
      <c r="CD3" s="3295">
        <v>420000</v>
      </c>
      <c r="CE3" s="3293"/>
      <c r="CF3" s="505">
        <v>200020</v>
      </c>
      <c r="CG3" s="504">
        <v>20</v>
      </c>
      <c r="CH3" s="1854"/>
      <c r="CI3" s="1854"/>
      <c r="CJ3" s="1854">
        <f t="shared" si="1"/>
        <v>1794</v>
      </c>
      <c r="CK3" s="3182">
        <f>128*17+64+8</f>
        <v>2248</v>
      </c>
      <c r="CL3" s="2157"/>
      <c r="CM3" s="504">
        <v>42</v>
      </c>
      <c r="CN3" s="2159"/>
      <c r="CO3" s="1854"/>
      <c r="CP3" s="1854"/>
      <c r="CQ3" s="504">
        <v>20</v>
      </c>
      <c r="CR3" s="499">
        <v>24</v>
      </c>
      <c r="DD3">
        <v>3</v>
      </c>
      <c r="DE3">
        <v>3</v>
      </c>
      <c r="DF3" t="s">
        <v>454</v>
      </c>
      <c r="IU3" s="499" t="s">
        <v>738</v>
      </c>
      <c r="IV3" s="499">
        <v>32</v>
      </c>
    </row>
    <row r="4" spans="1:256" ht="9" customHeight="1" thickTop="1" thickBot="1">
      <c r="A4" s="505">
        <v>220022</v>
      </c>
      <c r="B4" s="1840"/>
      <c r="C4" s="1407"/>
      <c r="D4" s="1407"/>
      <c r="E4" s="3122">
        <f>128*6+1</f>
        <v>769</v>
      </c>
      <c r="F4" s="1407"/>
      <c r="G4" s="1407"/>
      <c r="H4" s="1407"/>
      <c r="I4" s="1407"/>
      <c r="J4" s="1407"/>
      <c r="K4" s="1407"/>
      <c r="L4" s="1605"/>
      <c r="M4" s="1605"/>
      <c r="N4" s="1605"/>
      <c r="O4" s="1605"/>
      <c r="P4" s="1605"/>
      <c r="Q4" s="1407"/>
      <c r="R4" s="1605"/>
      <c r="S4" s="1605"/>
      <c r="T4" s="1605"/>
      <c r="U4" s="1605"/>
      <c r="V4" s="1605"/>
      <c r="W4" s="1407"/>
      <c r="X4" s="1605"/>
      <c r="Y4" s="1605"/>
      <c r="Z4" s="1407"/>
      <c r="AA4" s="771">
        <v>220022</v>
      </c>
      <c r="AB4" s="498">
        <v>210021</v>
      </c>
      <c r="AC4" s="1063">
        <f>128*9+4</f>
        <v>1156</v>
      </c>
      <c r="AD4" s="1444">
        <f>128*9+49+0.5+0.256+0.0217</f>
        <v>1201.7777000000001</v>
      </c>
      <c r="AE4" s="757"/>
      <c r="AF4" s="3284">
        <f>190000+128*5+41</f>
        <v>190681</v>
      </c>
      <c r="AG4" s="503">
        <v>6.0699999999999997E-2</v>
      </c>
      <c r="AH4" s="503"/>
      <c r="AI4" s="503"/>
      <c r="AJ4" s="518"/>
      <c r="AK4" s="503">
        <f>128*9+25</f>
        <v>1177</v>
      </c>
      <c r="AL4" s="534">
        <f>0.384+0.004</f>
        <v>0.38800000000000001</v>
      </c>
      <c r="AM4" s="503"/>
      <c r="AN4" s="503"/>
      <c r="AO4" s="518"/>
      <c r="AP4" s="503"/>
      <c r="AQ4" s="503"/>
      <c r="AR4" s="503"/>
      <c r="AS4" s="518"/>
      <c r="AT4" s="503"/>
      <c r="AU4" s="503"/>
      <c r="AV4" s="503"/>
      <c r="AW4" s="518"/>
      <c r="AX4" s="503"/>
      <c r="AY4" s="3283">
        <f>128*6+1</f>
        <v>769</v>
      </c>
      <c r="AZ4" s="503"/>
      <c r="BA4" s="503"/>
      <c r="BB4" s="503"/>
      <c r="BC4" s="513"/>
      <c r="BD4" s="513"/>
      <c r="BE4" s="513"/>
      <c r="BF4" s="513"/>
      <c r="BG4" s="503"/>
      <c r="BH4" s="503">
        <f>128*9+25</f>
        <v>1177</v>
      </c>
      <c r="BI4" s="503"/>
      <c r="BJ4" s="511"/>
      <c r="BK4" s="511"/>
      <c r="BL4" s="511"/>
      <c r="BM4" s="511"/>
      <c r="BN4" s="511"/>
      <c r="BO4" s="514"/>
      <c r="BP4" s="514"/>
      <c r="BQ4" s="514"/>
      <c r="BR4" s="514"/>
      <c r="BS4" s="514">
        <f>128*16+64+1+0.384+0.003</f>
        <v>2113.3870000000002</v>
      </c>
      <c r="BT4" s="3555">
        <f>200000+128*9+72+0.207</f>
        <v>201224.20699999999</v>
      </c>
      <c r="BU4" s="2897">
        <f>128*14+17</f>
        <v>1809</v>
      </c>
      <c r="BV4" s="1499"/>
      <c r="BW4" s="1017">
        <f>128*9+57+0.184</f>
        <v>1209.184</v>
      </c>
      <c r="BX4" s="1499"/>
      <c r="BY4" s="1499"/>
      <c r="BZ4" s="1019"/>
      <c r="CA4" s="3289"/>
      <c r="CB4" s="3307">
        <v>420000</v>
      </c>
      <c r="CC4" s="3291">
        <f>128*9+57+0.184</f>
        <v>1209.184</v>
      </c>
      <c r="CD4" s="3295">
        <v>420000</v>
      </c>
      <c r="CE4" s="3293"/>
      <c r="CF4" s="505">
        <v>200020</v>
      </c>
      <c r="CG4" s="504">
        <v>20</v>
      </c>
      <c r="CH4" s="3184">
        <f>128*8+5</f>
        <v>1029</v>
      </c>
      <c r="CI4" s="1854"/>
      <c r="CJ4" s="1854">
        <f t="shared" si="1"/>
        <v>1794</v>
      </c>
      <c r="CK4" s="1854"/>
      <c r="CL4" s="1854"/>
      <c r="CM4" s="3181"/>
      <c r="CN4" s="1854"/>
      <c r="CO4" s="1854"/>
      <c r="CP4" s="1854">
        <f>128*16+12</f>
        <v>2060</v>
      </c>
      <c r="CQ4" s="504">
        <v>20</v>
      </c>
      <c r="CR4" s="499">
        <v>24</v>
      </c>
      <c r="DD4">
        <v>4</v>
      </c>
      <c r="DE4">
        <v>4</v>
      </c>
      <c r="DF4" t="s">
        <v>455</v>
      </c>
      <c r="IU4" s="499" t="s">
        <v>630</v>
      </c>
      <c r="IV4" s="499">
        <v>32</v>
      </c>
    </row>
    <row r="5" spans="1:256" ht="9" customHeight="1" thickTop="1" thickBot="1">
      <c r="A5" s="505">
        <v>220022</v>
      </c>
      <c r="B5" s="1840"/>
      <c r="C5" s="3055">
        <v>19</v>
      </c>
      <c r="D5" s="3055">
        <v>19</v>
      </c>
      <c r="E5" s="3055">
        <v>19</v>
      </c>
      <c r="F5" s="3055">
        <v>19</v>
      </c>
      <c r="G5" s="3055">
        <v>19</v>
      </c>
      <c r="H5" s="3055">
        <v>19</v>
      </c>
      <c r="I5" s="3055">
        <v>19</v>
      </c>
      <c r="J5" s="3055">
        <v>19</v>
      </c>
      <c r="K5" s="1407"/>
      <c r="L5" s="1605"/>
      <c r="M5" s="1605"/>
      <c r="N5" s="1605"/>
      <c r="O5" s="1605"/>
      <c r="P5" s="1605"/>
      <c r="Q5" s="1407"/>
      <c r="R5" s="1605"/>
      <c r="S5" s="1605"/>
      <c r="T5" s="1605"/>
      <c r="U5" s="1605"/>
      <c r="V5" s="1605"/>
      <c r="W5" s="1407"/>
      <c r="X5" s="1605"/>
      <c r="Y5" s="1605"/>
      <c r="Z5" s="1407"/>
      <c r="AA5" s="771">
        <v>220022</v>
      </c>
      <c r="AB5" s="498">
        <v>210021</v>
      </c>
      <c r="AC5" s="498">
        <v>210021</v>
      </c>
      <c r="AD5" s="504">
        <v>210021</v>
      </c>
      <c r="AE5" s="504">
        <v>210021</v>
      </c>
      <c r="AF5" s="504">
        <v>19</v>
      </c>
      <c r="AG5" s="503"/>
      <c r="AH5" s="503"/>
      <c r="AI5" s="518"/>
      <c r="AJ5" s="771">
        <v>220022</v>
      </c>
      <c r="AK5" s="771">
        <v>220022</v>
      </c>
      <c r="AL5" s="771">
        <v>220022</v>
      </c>
      <c r="AM5" s="771">
        <v>220022</v>
      </c>
      <c r="AN5" s="771">
        <v>220022</v>
      </c>
      <c r="AO5" s="771">
        <v>220022</v>
      </c>
      <c r="AP5" s="771">
        <v>220022</v>
      </c>
      <c r="AQ5" s="771">
        <v>220022</v>
      </c>
      <c r="AR5" s="771">
        <v>220022</v>
      </c>
      <c r="AS5" s="771">
        <v>220022</v>
      </c>
      <c r="AT5" s="771">
        <v>220022</v>
      </c>
      <c r="AU5" s="498">
        <v>220022</v>
      </c>
      <c r="AV5" s="503"/>
      <c r="AW5" s="518"/>
      <c r="AX5" s="503"/>
      <c r="AY5" s="503"/>
      <c r="AZ5" s="503"/>
      <c r="BA5" s="518"/>
      <c r="BB5" s="503"/>
      <c r="BC5" s="513"/>
      <c r="BD5" s="513"/>
      <c r="BE5" s="513"/>
      <c r="BF5" s="513"/>
      <c r="BG5" s="503"/>
      <c r="BH5" s="503"/>
      <c r="BI5" s="503"/>
      <c r="BJ5" s="511"/>
      <c r="BK5" s="511"/>
      <c r="BL5" s="511"/>
      <c r="BM5" s="511"/>
      <c r="BN5" s="511"/>
      <c r="BO5" s="514"/>
      <c r="BP5" s="503"/>
      <c r="BQ5" s="503"/>
      <c r="BR5" s="2706">
        <v>2E-3</v>
      </c>
      <c r="BS5" s="503"/>
      <c r="BT5" s="505">
        <v>200020</v>
      </c>
      <c r="BU5" s="2897"/>
      <c r="BV5" s="1499"/>
      <c r="BW5" s="3292">
        <f>128*9+75+0.208</f>
        <v>1227.2080000000001</v>
      </c>
      <c r="BX5" s="1499"/>
      <c r="BY5" s="1056"/>
      <c r="BZ5" s="1562">
        <f>128*9+6+0.5+0.384+0.003</f>
        <v>1158.8869999999999</v>
      </c>
      <c r="CA5" s="3615"/>
      <c r="CB5" s="3307">
        <v>420000</v>
      </c>
      <c r="CC5" s="3308">
        <v>420000</v>
      </c>
      <c r="CD5" s="3309">
        <v>420000</v>
      </c>
      <c r="CE5" s="3294">
        <f>128*9+71</f>
        <v>1223</v>
      </c>
      <c r="CF5" s="505">
        <v>200020</v>
      </c>
      <c r="CG5" s="504">
        <v>42</v>
      </c>
      <c r="CH5" s="3182">
        <f>128*17+64+11</f>
        <v>2251</v>
      </c>
      <c r="CI5" s="1854"/>
      <c r="CJ5" s="1854">
        <f t="shared" si="1"/>
        <v>1794</v>
      </c>
      <c r="CK5" s="811">
        <f>49+0.022</f>
        <v>49.021999999999998</v>
      </c>
      <c r="CL5" s="707">
        <v>49</v>
      </c>
      <c r="CM5" s="707">
        <v>49</v>
      </c>
      <c r="CN5" s="707">
        <v>49</v>
      </c>
      <c r="CO5" s="755">
        <f>49+0.184</f>
        <v>49.183999999999997</v>
      </c>
      <c r="CP5" s="3178"/>
      <c r="CQ5" s="504">
        <v>50</v>
      </c>
      <c r="CR5" s="499">
        <v>24</v>
      </c>
      <c r="DB5" t="s">
        <v>979</v>
      </c>
      <c r="DD5">
        <v>1</v>
      </c>
      <c r="DE5">
        <v>5</v>
      </c>
      <c r="DF5" t="s">
        <v>456</v>
      </c>
      <c r="IU5" s="499" t="s">
        <v>631</v>
      </c>
      <c r="IV5" s="499">
        <v>32</v>
      </c>
    </row>
    <row r="6" spans="1:256" ht="9" customHeight="1" thickTop="1" thickBot="1">
      <c r="A6" s="505">
        <v>220022</v>
      </c>
      <c r="B6" s="1840"/>
      <c r="C6" s="2214">
        <v>19</v>
      </c>
      <c r="D6" s="3065">
        <v>21</v>
      </c>
      <c r="E6" s="3065">
        <v>21</v>
      </c>
      <c r="F6" s="3065">
        <v>21</v>
      </c>
      <c r="G6" s="3065">
        <v>21</v>
      </c>
      <c r="H6" s="3065">
        <v>21</v>
      </c>
      <c r="I6" s="3066">
        <v>21</v>
      </c>
      <c r="J6" s="3056">
        <v>19</v>
      </c>
      <c r="K6" s="1407"/>
      <c r="L6" s="1605"/>
      <c r="M6" s="1605"/>
      <c r="N6" s="1605"/>
      <c r="O6" s="1605"/>
      <c r="P6" s="1605"/>
      <c r="Q6" s="1407"/>
      <c r="R6" s="1605"/>
      <c r="S6" s="1605"/>
      <c r="T6" s="1407">
        <v>0.03</v>
      </c>
      <c r="U6" s="1407"/>
      <c r="V6" s="1407"/>
      <c r="W6" s="1407"/>
      <c r="X6" s="1605"/>
      <c r="Y6" s="1605"/>
      <c r="Z6" s="1407"/>
      <c r="AA6" s="1407"/>
      <c r="AB6" s="2705">
        <f>128*6+1</f>
        <v>769</v>
      </c>
      <c r="AC6" s="503"/>
      <c r="AD6" s="504">
        <v>210021</v>
      </c>
      <c r="AE6" s="787">
        <f>128*10+1</f>
        <v>1281</v>
      </c>
      <c r="AF6" s="504">
        <v>210021</v>
      </c>
      <c r="AG6" s="503"/>
      <c r="AH6" s="518"/>
      <c r="AI6" s="503"/>
      <c r="AJ6" s="525">
        <v>220022</v>
      </c>
      <c r="AK6" s="1975">
        <f t="shared" ref="AK6:AS6" si="2">128*9+74</f>
        <v>1226</v>
      </c>
      <c r="AL6" s="1975">
        <f t="shared" si="2"/>
        <v>1226</v>
      </c>
      <c r="AM6" s="1975">
        <f t="shared" si="2"/>
        <v>1226</v>
      </c>
      <c r="AN6" s="1975">
        <f t="shared" si="2"/>
        <v>1226</v>
      </c>
      <c r="AO6" s="1975">
        <f>128*9+74+0.256+0.0163</f>
        <v>1226.2723000000001</v>
      </c>
      <c r="AP6" s="1975">
        <f t="shared" si="2"/>
        <v>1226</v>
      </c>
      <c r="AQ6" s="1975">
        <f t="shared" si="2"/>
        <v>1226</v>
      </c>
      <c r="AR6" s="1975">
        <f t="shared" si="2"/>
        <v>1226</v>
      </c>
      <c r="AS6" s="1975">
        <f t="shared" si="2"/>
        <v>1226</v>
      </c>
      <c r="AT6" s="1975">
        <f>128*9+74+0.384+0.006</f>
        <v>1226.3900000000001</v>
      </c>
      <c r="AU6" s="517">
        <v>220022</v>
      </c>
      <c r="AV6" s="503"/>
      <c r="AW6" s="503"/>
      <c r="AX6" s="503"/>
      <c r="AY6" s="503">
        <f>128*9+25</f>
        <v>1177</v>
      </c>
      <c r="AZ6" s="518"/>
      <c r="BA6" s="503"/>
      <c r="BB6" s="503"/>
      <c r="BC6" s="513"/>
      <c r="BD6" s="513"/>
      <c r="BE6" s="513"/>
      <c r="BF6" s="513"/>
      <c r="BG6" s="503"/>
      <c r="BH6" s="503"/>
      <c r="BI6" s="503">
        <f>128*9+25</f>
        <v>1177</v>
      </c>
      <c r="BJ6" s="511"/>
      <c r="BK6" s="511"/>
      <c r="BL6" s="511"/>
      <c r="BM6" s="511"/>
      <c r="BN6" s="511"/>
      <c r="BO6" s="514"/>
      <c r="BP6" s="503"/>
      <c r="BQ6" s="503"/>
      <c r="BR6" s="503"/>
      <c r="BS6" s="503"/>
      <c r="BT6" s="996">
        <v>200020</v>
      </c>
      <c r="BU6" s="3297"/>
      <c r="BV6" s="3298"/>
      <c r="BW6" s="3298"/>
      <c r="BX6" s="3298"/>
      <c r="BY6" s="3298"/>
      <c r="BZ6" s="3298"/>
      <c r="CA6" s="3310"/>
      <c r="CB6" s="3310"/>
      <c r="CC6" s="3310"/>
      <c r="CD6" s="3310"/>
      <c r="CE6" s="3299">
        <f>128*9+70+0.5+0.384+0.004</f>
        <v>1222.8879999999999</v>
      </c>
      <c r="CF6" s="3288">
        <f>200020+0.182</f>
        <v>200020.182</v>
      </c>
      <c r="CG6" s="829">
        <v>15</v>
      </c>
      <c r="CH6" s="3290">
        <f>128*18+16</f>
        <v>2320</v>
      </c>
      <c r="CI6" s="707"/>
      <c r="CJ6" s="3176">
        <f t="shared" si="1"/>
        <v>1794</v>
      </c>
      <c r="CK6" s="3183">
        <f>128*5+30+0.15</f>
        <v>670.15</v>
      </c>
      <c r="CL6" s="999" t="s">
        <v>944</v>
      </c>
      <c r="CM6" s="707">
        <f>49+0.069</f>
        <v>49.069000000000003</v>
      </c>
      <c r="CN6" s="1215">
        <f>128*11+2</f>
        <v>1410</v>
      </c>
      <c r="CO6" s="3144">
        <f>128*5+30+0.151</f>
        <v>670.15099999999995</v>
      </c>
      <c r="CP6" s="1854">
        <f>128*14+3</f>
        <v>1795</v>
      </c>
      <c r="CQ6" s="3177">
        <f>128*3+18</f>
        <v>402</v>
      </c>
      <c r="CR6" s="499">
        <v>24</v>
      </c>
      <c r="DD6">
        <v>2</v>
      </c>
      <c r="DE6">
        <v>6</v>
      </c>
      <c r="DF6" t="s">
        <v>457</v>
      </c>
      <c r="IU6" s="499" t="s">
        <v>669</v>
      </c>
      <c r="IV6" s="499">
        <v>4</v>
      </c>
    </row>
    <row r="7" spans="1:256" ht="9" customHeight="1" thickTop="1" thickBot="1">
      <c r="A7" s="505">
        <v>220022</v>
      </c>
      <c r="B7" s="1840"/>
      <c r="C7" s="3057">
        <v>19</v>
      </c>
      <c r="D7" s="3066">
        <v>21</v>
      </c>
      <c r="E7" s="3044"/>
      <c r="F7" s="3061"/>
      <c r="G7" s="3061">
        <f>128*6+30</f>
        <v>798</v>
      </c>
      <c r="H7" s="3062"/>
      <c r="I7" s="3066">
        <v>21</v>
      </c>
      <c r="J7" s="3056">
        <v>19</v>
      </c>
      <c r="K7" s="1407">
        <f>128*6+5</f>
        <v>773</v>
      </c>
      <c r="L7" s="1605"/>
      <c r="M7" s="1605"/>
      <c r="N7" s="1605"/>
      <c r="O7" s="1605"/>
      <c r="P7" s="1605"/>
      <c r="Q7" s="1407"/>
      <c r="R7" s="1605"/>
      <c r="S7" s="1605"/>
      <c r="T7" s="1407"/>
      <c r="U7" s="1605"/>
      <c r="V7" s="1605"/>
      <c r="W7" s="1605"/>
      <c r="X7" s="1605"/>
      <c r="Y7" s="1605"/>
      <c r="Z7" s="1407"/>
      <c r="AA7" s="1407"/>
      <c r="AB7" s="503"/>
      <c r="AC7" s="2703">
        <f>128*6+1</f>
        <v>769</v>
      </c>
      <c r="AD7" s="504">
        <v>210021</v>
      </c>
      <c r="AE7" s="1881">
        <f>128*8+3</f>
        <v>1027</v>
      </c>
      <c r="AF7" s="504">
        <v>210021</v>
      </c>
      <c r="AG7" s="503"/>
      <c r="AH7" s="503"/>
      <c r="AI7" s="503"/>
      <c r="AJ7" s="523">
        <v>220022</v>
      </c>
      <c r="AK7" s="2070">
        <f t="shared" ref="AK7:AQ7" si="3">220000+128*9+15</f>
        <v>221167</v>
      </c>
      <c r="AL7" s="2070">
        <f t="shared" si="3"/>
        <v>221167</v>
      </c>
      <c r="AM7" s="2070">
        <f t="shared" si="3"/>
        <v>221167</v>
      </c>
      <c r="AN7" s="2070">
        <f t="shared" si="3"/>
        <v>221167</v>
      </c>
      <c r="AO7" s="2070">
        <f t="shared" si="3"/>
        <v>221167</v>
      </c>
      <c r="AP7" s="2070">
        <f t="shared" si="3"/>
        <v>221167</v>
      </c>
      <c r="AQ7" s="2070">
        <f t="shared" si="3"/>
        <v>221167</v>
      </c>
      <c r="AR7" s="2252">
        <f>290000+128*9+15</f>
        <v>291167</v>
      </c>
      <c r="AS7" s="2070">
        <f>220000+128*9+15</f>
        <v>221167</v>
      </c>
      <c r="AT7" s="2070">
        <f>220000+128*9+15</f>
        <v>221167</v>
      </c>
      <c r="AU7" s="505">
        <v>220022</v>
      </c>
      <c r="AV7" s="771">
        <v>220022</v>
      </c>
      <c r="AW7" s="498">
        <v>220022</v>
      </c>
      <c r="AX7" s="503"/>
      <c r="AY7" s="503"/>
      <c r="AZ7" s="503"/>
      <c r="BA7" s="503"/>
      <c r="BB7" s="503"/>
      <c r="BC7" s="513"/>
      <c r="BD7" s="513"/>
      <c r="BE7" s="513"/>
      <c r="BF7" s="513"/>
      <c r="BG7" s="503"/>
      <c r="BH7" s="503"/>
      <c r="BI7" s="503"/>
      <c r="BJ7" s="2706">
        <v>2E-3</v>
      </c>
      <c r="BK7" s="511"/>
      <c r="BL7" s="511"/>
      <c r="BM7" s="511"/>
      <c r="BN7" s="511"/>
      <c r="BO7" s="2706">
        <v>2E-3</v>
      </c>
      <c r="BP7" s="503"/>
      <c r="BQ7" s="503"/>
      <c r="BR7" s="503"/>
      <c r="BS7" s="503"/>
      <c r="BT7" s="996">
        <v>200020</v>
      </c>
      <c r="BU7" s="3297"/>
      <c r="BV7" s="3300">
        <f>128*2+38</f>
        <v>294</v>
      </c>
      <c r="BW7" s="3298"/>
      <c r="BX7" s="3298"/>
      <c r="BY7" s="3298"/>
      <c r="BZ7" s="2677"/>
      <c r="CA7" s="3298"/>
      <c r="CB7" s="3298"/>
      <c r="CC7" s="3298"/>
      <c r="CD7" s="3298"/>
      <c r="CE7" s="3299">
        <f>128*9+70+0.5+0.256+0.006</f>
        <v>1222.7620000000002</v>
      </c>
      <c r="CF7" s="996">
        <v>200020</v>
      </c>
      <c r="CG7" s="504">
        <v>42</v>
      </c>
      <c r="CH7" s="3182">
        <f>128*17+5</f>
        <v>2181</v>
      </c>
      <c r="CI7" s="1854"/>
      <c r="CJ7" s="1854">
        <f t="shared" si="1"/>
        <v>1794</v>
      </c>
      <c r="CK7" s="811">
        <f>49+0.022</f>
        <v>49.021999999999998</v>
      </c>
      <c r="CL7" s="707">
        <v>49</v>
      </c>
      <c r="CM7" s="707">
        <v>49</v>
      </c>
      <c r="CN7" s="707">
        <v>49</v>
      </c>
      <c r="CO7" s="755">
        <f>49+0.184</f>
        <v>49.183999999999997</v>
      </c>
      <c r="CP7" s="3179"/>
      <c r="CQ7" s="504">
        <v>50</v>
      </c>
      <c r="CR7" s="499">
        <v>24</v>
      </c>
      <c r="DD7">
        <v>3</v>
      </c>
      <c r="DE7">
        <v>7</v>
      </c>
      <c r="DF7" t="s">
        <v>471</v>
      </c>
      <c r="IU7" s="499" t="s">
        <v>866</v>
      </c>
      <c r="IV7" s="499">
        <v>7</v>
      </c>
    </row>
    <row r="8" spans="1:256" ht="9" customHeight="1" thickTop="1" thickBot="1">
      <c r="A8" s="505">
        <v>220022</v>
      </c>
      <c r="B8" s="1840"/>
      <c r="C8" s="3057">
        <v>19</v>
      </c>
      <c r="D8" s="3067">
        <f>8+0.137</f>
        <v>8.1370000000000005</v>
      </c>
      <c r="E8" s="3061"/>
      <c r="F8" s="3063"/>
      <c r="G8" s="3042">
        <v>14</v>
      </c>
      <c r="H8" s="3062"/>
      <c r="I8" s="3066">
        <v>21</v>
      </c>
      <c r="J8" s="3056">
        <v>19</v>
      </c>
      <c r="K8" s="1407"/>
      <c r="L8" s="1605"/>
      <c r="M8" s="1605"/>
      <c r="N8" s="1605"/>
      <c r="O8" s="1605"/>
      <c r="P8" s="1605"/>
      <c r="Q8" s="1407"/>
      <c r="R8" s="1605"/>
      <c r="S8" s="1605"/>
      <c r="T8" s="1407"/>
      <c r="U8" s="1605"/>
      <c r="V8" s="1605"/>
      <c r="W8" s="1605"/>
      <c r="X8" s="1605"/>
      <c r="Y8" s="1605"/>
      <c r="Z8" s="1407"/>
      <c r="AA8" s="1407"/>
      <c r="AB8" s="503"/>
      <c r="AC8" s="503"/>
      <c r="AD8" s="504">
        <v>210021</v>
      </c>
      <c r="AE8" s="787"/>
      <c r="AF8" s="504">
        <v>210021</v>
      </c>
      <c r="AG8" s="503"/>
      <c r="AH8" s="518"/>
      <c r="AI8" s="503"/>
      <c r="AJ8" s="2481">
        <f>220022+0.126</f>
        <v>220022.12599999999</v>
      </c>
      <c r="AK8" s="3138">
        <v>0.2177</v>
      </c>
      <c r="AL8" s="3141">
        <f>128*9+46</f>
        <v>1198</v>
      </c>
      <c r="AM8" s="3141">
        <f>128*9+46</f>
        <v>1198</v>
      </c>
      <c r="AN8" s="3141">
        <f>128*9+46</f>
        <v>1198</v>
      </c>
      <c r="AO8" s="3134"/>
      <c r="AP8" s="3134"/>
      <c r="AQ8" s="3134"/>
      <c r="AR8" s="3140"/>
      <c r="AS8" s="3134"/>
      <c r="AT8" s="3138">
        <v>0.21729999999999999</v>
      </c>
      <c r="AU8" s="505">
        <v>220022</v>
      </c>
      <c r="AV8" s="2309">
        <f>220000+128*14+116</f>
        <v>221908</v>
      </c>
      <c r="AW8" s="3204">
        <f>220000+128*11+3</f>
        <v>221411</v>
      </c>
      <c r="AX8" s="514">
        <v>220022</v>
      </c>
      <c r="AY8" s="3598">
        <f>128*17+3</f>
        <v>2179</v>
      </c>
      <c r="AZ8" s="503"/>
      <c r="BA8" s="773"/>
      <c r="BB8" s="535">
        <f>128*9+27</f>
        <v>1179</v>
      </c>
      <c r="BC8" s="781">
        <f>128*9+51</f>
        <v>1203</v>
      </c>
      <c r="BD8" s="781">
        <f>128*9+51</f>
        <v>1203</v>
      </c>
      <c r="BE8" s="781">
        <f>128*9+51</f>
        <v>1203</v>
      </c>
      <c r="BF8" s="3285">
        <f>128*9+51</f>
        <v>1203</v>
      </c>
      <c r="BG8" s="533">
        <f>128*9+27</f>
        <v>1179</v>
      </c>
      <c r="BH8" s="503"/>
      <c r="BI8" s="503"/>
      <c r="BJ8" s="511"/>
      <c r="BK8" s="511"/>
      <c r="BL8" s="511"/>
      <c r="BM8" s="511"/>
      <c r="BN8" s="511"/>
      <c r="BO8" s="514"/>
      <c r="BP8" s="503"/>
      <c r="BQ8" s="503"/>
      <c r="BR8" s="503"/>
      <c r="BS8" s="503"/>
      <c r="BT8" s="3287">
        <f>200020+0.182</f>
        <v>200020.182</v>
      </c>
      <c r="BU8" s="3301"/>
      <c r="BV8" s="3302"/>
      <c r="BW8" s="3302"/>
      <c r="BX8" s="3302"/>
      <c r="BY8" s="3302"/>
      <c r="BZ8" s="3298"/>
      <c r="CA8" s="3302"/>
      <c r="CB8" s="3302"/>
      <c r="CC8" s="3302"/>
      <c r="CD8" s="3302"/>
      <c r="CE8" s="3299"/>
      <c r="CF8" s="996">
        <v>200020</v>
      </c>
      <c r="CG8" s="504">
        <v>20</v>
      </c>
      <c r="CH8" s="3182">
        <f>128*17+64+11</f>
        <v>2251</v>
      </c>
      <c r="CI8" s="1854"/>
      <c r="CJ8" s="1854">
        <f t="shared" si="1"/>
        <v>1794</v>
      </c>
      <c r="CK8" s="1854"/>
      <c r="CL8" s="1854"/>
      <c r="CM8" s="3180"/>
      <c r="CN8" s="1854"/>
      <c r="CO8" s="1854"/>
      <c r="CP8" s="1854">
        <f>128*16+12</f>
        <v>2060</v>
      </c>
      <c r="CQ8" s="504">
        <v>20</v>
      </c>
      <c r="CR8" s="499">
        <v>24</v>
      </c>
      <c r="DD8">
        <v>4</v>
      </c>
      <c r="DE8">
        <v>8</v>
      </c>
      <c r="DF8" t="s">
        <v>492</v>
      </c>
      <c r="IU8" s="499" t="s">
        <v>867</v>
      </c>
      <c r="IV8" s="499">
        <v>79</v>
      </c>
    </row>
    <row r="9" spans="1:256" ht="9" customHeight="1" thickTop="1" thickBot="1">
      <c r="A9" s="505">
        <v>220022</v>
      </c>
      <c r="B9" s="1840">
        <f>128*14+116+0.256+0.05</f>
        <v>1908.306</v>
      </c>
      <c r="C9" s="3058">
        <f>19+0.126</f>
        <v>19.126000000000001</v>
      </c>
      <c r="D9" s="3067" t="s">
        <v>648</v>
      </c>
      <c r="E9" s="3061"/>
      <c r="F9" s="3185">
        <f>128*18+5</f>
        <v>2309</v>
      </c>
      <c r="G9" s="3064"/>
      <c r="H9" s="3062"/>
      <c r="I9" s="3066">
        <f>128*16+64+1</f>
        <v>2113</v>
      </c>
      <c r="J9" s="3059">
        <f>128*5+36</f>
        <v>676</v>
      </c>
      <c r="K9" s="828">
        <f>128*16+1</f>
        <v>2049</v>
      </c>
      <c r="L9" s="1407"/>
      <c r="M9" s="1407"/>
      <c r="N9" s="3068">
        <f>128*17+2</f>
        <v>2178</v>
      </c>
      <c r="O9" s="1605"/>
      <c r="P9" s="1605"/>
      <c r="Q9" s="1407"/>
      <c r="R9" s="1605"/>
      <c r="S9" s="1605"/>
      <c r="T9" s="1407"/>
      <c r="U9" s="1605"/>
      <c r="V9" s="1605"/>
      <c r="W9" s="1407"/>
      <c r="X9" s="1407"/>
      <c r="Y9" s="1840"/>
      <c r="Z9" s="1840"/>
      <c r="AA9" s="1840"/>
      <c r="AB9" s="3068">
        <f>128*17+2</f>
        <v>2178</v>
      </c>
      <c r="AC9" s="503"/>
      <c r="AD9" s="3277">
        <f>210000+128*5+19</f>
        <v>210659</v>
      </c>
      <c r="AE9" s="787"/>
      <c r="AF9" s="3276">
        <f>210000+128*9+84+0.215</f>
        <v>211236.215</v>
      </c>
      <c r="AG9" s="503"/>
      <c r="AH9" s="518"/>
      <c r="AI9" s="2293">
        <f>128*9+32</f>
        <v>1184</v>
      </c>
      <c r="AJ9" s="3137">
        <f>220000+0.256+0.048</f>
        <v>220000.304</v>
      </c>
      <c r="AK9" s="3138">
        <f>128*14+18+0.256+0.006</f>
        <v>1810.2620000000002</v>
      </c>
      <c r="AL9" s="3136"/>
      <c r="AM9" s="3136"/>
      <c r="AN9" s="3136"/>
      <c r="AO9" s="3136"/>
      <c r="AP9" s="3139"/>
      <c r="AQ9" s="3139"/>
      <c r="AR9" s="3139">
        <f>128*10+10</f>
        <v>1290</v>
      </c>
      <c r="AS9" s="3139"/>
      <c r="AT9" s="3556">
        <f>0.256+0.032</f>
        <v>0.28800000000000003</v>
      </c>
      <c r="AU9" s="3142">
        <f>220000+128+14+0.256+0.048</f>
        <v>220142.304</v>
      </c>
      <c r="AV9" s="2736">
        <f>220000+128+14</f>
        <v>220142</v>
      </c>
      <c r="AW9" s="528">
        <v>220014</v>
      </c>
      <c r="AX9" s="2599">
        <v>220009</v>
      </c>
      <c r="AY9" s="2292">
        <f>128*9+32</f>
        <v>1184</v>
      </c>
      <c r="AZ9" s="503"/>
      <c r="BA9" s="773"/>
      <c r="BB9" s="3282">
        <f>128*9+50</f>
        <v>1202</v>
      </c>
      <c r="BC9" s="3281">
        <f>80000+128*9+8</f>
        <v>81160</v>
      </c>
      <c r="BD9" s="3281">
        <f>80000+128*9+8</f>
        <v>81160</v>
      </c>
      <c r="BE9" s="3281">
        <f>80000+128*9+8</f>
        <v>81160</v>
      </c>
      <c r="BF9" s="520">
        <f>80000+128*9+8+0.256+0.0063</f>
        <v>81160.262299999988</v>
      </c>
      <c r="BG9" s="2292">
        <f>128*9+50</f>
        <v>1202</v>
      </c>
      <c r="BH9" s="511"/>
      <c r="BI9" s="511"/>
      <c r="BJ9" s="511"/>
      <c r="BK9" s="511"/>
      <c r="BL9" s="511"/>
      <c r="BM9" s="511"/>
      <c r="BN9" s="511"/>
      <c r="BO9" s="514"/>
      <c r="BP9" s="503"/>
      <c r="BQ9" s="503"/>
      <c r="BR9" s="3283">
        <f>128*6+1</f>
        <v>769</v>
      </c>
      <c r="BS9" s="503"/>
      <c r="BT9" s="996">
        <v>200020</v>
      </c>
      <c r="BU9" s="3301"/>
      <c r="BV9" s="3302"/>
      <c r="BW9" s="3302"/>
      <c r="BX9" s="3302"/>
      <c r="BY9" s="3302"/>
      <c r="BZ9" s="2677"/>
      <c r="CA9" s="3302"/>
      <c r="CB9" s="3302"/>
      <c r="CC9" s="3303">
        <f>128*2+38</f>
        <v>294</v>
      </c>
      <c r="CD9" s="3302"/>
      <c r="CE9" s="3299"/>
      <c r="CF9" s="996">
        <v>200020</v>
      </c>
      <c r="CG9" s="504">
        <v>20</v>
      </c>
      <c r="CH9" s="1854"/>
      <c r="CI9" s="1854"/>
      <c r="CJ9" s="1854">
        <f t="shared" si="1"/>
        <v>1794</v>
      </c>
      <c r="CK9" s="3182">
        <f>128*17+64+10</f>
        <v>2250</v>
      </c>
      <c r="CL9" s="2157"/>
      <c r="CM9" s="504">
        <v>42</v>
      </c>
      <c r="CN9" s="2159"/>
      <c r="CO9" s="1854"/>
      <c r="CP9" s="707"/>
      <c r="CQ9" s="504">
        <v>20</v>
      </c>
      <c r="CR9" s="499">
        <v>24</v>
      </c>
      <c r="DB9" t="s">
        <v>978</v>
      </c>
      <c r="DD9">
        <v>1</v>
      </c>
      <c r="DE9">
        <v>9</v>
      </c>
      <c r="DF9" t="s">
        <v>489</v>
      </c>
      <c r="IU9" s="499" t="s">
        <v>869</v>
      </c>
      <c r="IV9" s="499">
        <v>0</v>
      </c>
    </row>
    <row r="10" spans="1:256" ht="9" customHeight="1" thickTop="1" thickBot="1">
      <c r="A10" s="505">
        <v>220022</v>
      </c>
      <c r="B10" s="1840"/>
      <c r="C10" s="3057">
        <v>19</v>
      </c>
      <c r="D10" s="3067">
        <f>8+0.137</f>
        <v>8.1370000000000005</v>
      </c>
      <c r="E10" s="3061"/>
      <c r="F10" s="3063"/>
      <c r="G10" s="3043">
        <v>14</v>
      </c>
      <c r="H10" s="3062"/>
      <c r="I10" s="3066">
        <v>21</v>
      </c>
      <c r="J10" s="3056">
        <v>19</v>
      </c>
      <c r="K10" s="1407"/>
      <c r="L10" s="1605"/>
      <c r="M10" s="1605"/>
      <c r="N10" s="1407"/>
      <c r="O10" s="1605"/>
      <c r="P10" s="1605"/>
      <c r="Q10" s="1407"/>
      <c r="R10" s="1605"/>
      <c r="S10" s="1605"/>
      <c r="T10" s="1407"/>
      <c r="U10" s="1605"/>
      <c r="V10" s="1605"/>
      <c r="W10" s="1407"/>
      <c r="X10" s="1605"/>
      <c r="Y10" s="1605"/>
      <c r="Z10" s="1407"/>
      <c r="AA10" s="1407"/>
      <c r="AB10" s="503">
        <f>128*6+1</f>
        <v>769</v>
      </c>
      <c r="AC10" s="503"/>
      <c r="AD10" s="504">
        <v>210021</v>
      </c>
      <c r="AE10" s="787"/>
      <c r="AF10" s="504">
        <v>210021</v>
      </c>
      <c r="AG10" s="503"/>
      <c r="AH10" s="518"/>
      <c r="AI10" s="503"/>
      <c r="AJ10" s="2481">
        <f>220022+0.126</f>
        <v>220022.12599999999</v>
      </c>
      <c r="AK10" s="3138">
        <v>0.2177</v>
      </c>
      <c r="AL10" s="3141">
        <f>128*9+46</f>
        <v>1198</v>
      </c>
      <c r="AM10" s="3141">
        <f>128*9+46</f>
        <v>1198</v>
      </c>
      <c r="AN10" s="3141">
        <f>128*9+46</f>
        <v>1198</v>
      </c>
      <c r="AO10" s="3134"/>
      <c r="AP10" s="3134"/>
      <c r="AQ10" s="3134"/>
      <c r="AR10" s="3140"/>
      <c r="AS10" s="3134"/>
      <c r="AT10" s="3138">
        <v>0.21729999999999999</v>
      </c>
      <c r="AU10" s="505">
        <v>220022</v>
      </c>
      <c r="AV10" s="2309">
        <f>220000+128*14+116</f>
        <v>221908</v>
      </c>
      <c r="AW10" s="705">
        <f>220000+0.256+0.016</f>
        <v>220000.272</v>
      </c>
      <c r="AX10" s="514">
        <v>220022</v>
      </c>
      <c r="AY10" s="3597">
        <f>128*17+3</f>
        <v>2179</v>
      </c>
      <c r="AZ10" s="503"/>
      <c r="BA10" s="773"/>
      <c r="BB10" s="503">
        <f>128*9+27</f>
        <v>1179</v>
      </c>
      <c r="BC10" s="529">
        <f>128*9+51</f>
        <v>1203</v>
      </c>
      <c r="BD10" s="529">
        <f>128*9+51</f>
        <v>1203</v>
      </c>
      <c r="BE10" s="529">
        <f>128*9+51</f>
        <v>1203</v>
      </c>
      <c r="BF10" s="1052">
        <f>128*9+51</f>
        <v>1203</v>
      </c>
      <c r="BG10" s="534">
        <f>128*9+27</f>
        <v>1179</v>
      </c>
      <c r="BH10" s="503"/>
      <c r="BI10" s="503"/>
      <c r="BJ10" s="511"/>
      <c r="BK10" s="511"/>
      <c r="BL10" s="511"/>
      <c r="BM10" s="511"/>
      <c r="BN10" s="511"/>
      <c r="BO10" s="514"/>
      <c r="BP10" s="503"/>
      <c r="BQ10" s="503"/>
      <c r="BR10" s="503"/>
      <c r="BS10" s="503"/>
      <c r="BT10" s="996">
        <v>200020</v>
      </c>
      <c r="BU10" s="3301"/>
      <c r="BV10" s="3302"/>
      <c r="BW10" s="3302"/>
      <c r="BX10" s="3302"/>
      <c r="BY10" s="3302"/>
      <c r="BZ10" s="3298"/>
      <c r="CA10" s="3302"/>
      <c r="CB10" s="3302"/>
      <c r="CC10" s="3302"/>
      <c r="CD10" s="3302"/>
      <c r="CE10" s="3299"/>
      <c r="CF10" s="3288">
        <f>200020+0.182</f>
        <v>200020.182</v>
      </c>
      <c r="CG10" s="504">
        <v>20</v>
      </c>
      <c r="CH10" s="504">
        <v>42</v>
      </c>
      <c r="CI10" s="1854"/>
      <c r="CJ10" s="1854">
        <f t="shared" si="1"/>
        <v>1794</v>
      </c>
      <c r="CK10" s="1854"/>
      <c r="CL10" s="1854"/>
      <c r="CM10" s="3181"/>
      <c r="CN10" s="1854"/>
      <c r="CO10" s="1854"/>
      <c r="CP10" s="504">
        <v>42</v>
      </c>
      <c r="CQ10" s="504">
        <v>20</v>
      </c>
      <c r="CR10" s="499">
        <v>24</v>
      </c>
      <c r="DD10">
        <v>2</v>
      </c>
      <c r="DE10">
        <v>10</v>
      </c>
      <c r="DF10" t="s">
        <v>483</v>
      </c>
      <c r="IU10" s="499" t="s">
        <v>868</v>
      </c>
      <c r="IV10" s="499"/>
    </row>
    <row r="11" spans="1:256" ht="9" customHeight="1" thickTop="1" thickBot="1">
      <c r="A11" s="505">
        <v>220022</v>
      </c>
      <c r="B11" s="1840"/>
      <c r="C11" s="3057">
        <v>19</v>
      </c>
      <c r="D11" s="3066">
        <v>21</v>
      </c>
      <c r="E11" s="3060"/>
      <c r="F11" s="3061"/>
      <c r="G11" s="3061">
        <f>128*6+31</f>
        <v>799</v>
      </c>
      <c r="H11" s="3062"/>
      <c r="I11" s="3066">
        <v>21</v>
      </c>
      <c r="J11" s="3056">
        <v>19</v>
      </c>
      <c r="K11" s="1407">
        <f>128*6+5</f>
        <v>773</v>
      </c>
      <c r="L11" s="1605"/>
      <c r="M11" s="1605"/>
      <c r="N11" s="1407"/>
      <c r="O11" s="1605"/>
      <c r="P11" s="1605"/>
      <c r="Q11" s="1407"/>
      <c r="R11" s="1605"/>
      <c r="S11" s="1605"/>
      <c r="T11" s="1407"/>
      <c r="U11" s="1605"/>
      <c r="V11" s="1605"/>
      <c r="W11" s="1407"/>
      <c r="X11" s="1605"/>
      <c r="Y11" s="1605"/>
      <c r="Z11" s="1407"/>
      <c r="AA11" s="1407"/>
      <c r="AB11" s="503"/>
      <c r="AC11" s="503"/>
      <c r="AD11" s="504">
        <v>210021</v>
      </c>
      <c r="AE11" s="787"/>
      <c r="AF11" s="504">
        <v>210021</v>
      </c>
      <c r="AG11" s="503"/>
      <c r="AH11" s="503"/>
      <c r="AI11" s="503"/>
      <c r="AJ11" s="523">
        <v>220022</v>
      </c>
      <c r="AK11" s="2070">
        <f t="shared" ref="AK11:AQ11" si="4">220000+128*9+15</f>
        <v>221167</v>
      </c>
      <c r="AL11" s="2070">
        <f t="shared" si="4"/>
        <v>221167</v>
      </c>
      <c r="AM11" s="2070">
        <f t="shared" si="4"/>
        <v>221167</v>
      </c>
      <c r="AN11" s="2070">
        <f t="shared" si="4"/>
        <v>221167</v>
      </c>
      <c r="AO11" s="2070">
        <f t="shared" si="4"/>
        <v>221167</v>
      </c>
      <c r="AP11" s="2070">
        <f t="shared" si="4"/>
        <v>221167</v>
      </c>
      <c r="AQ11" s="2070">
        <f t="shared" si="4"/>
        <v>221167</v>
      </c>
      <c r="AR11" s="2252">
        <f>290000+128*9+15</f>
        <v>291167</v>
      </c>
      <c r="AS11" s="2070">
        <f>220000+128*9+15</f>
        <v>221167</v>
      </c>
      <c r="AT11" s="2070">
        <f>220000+128*9+15</f>
        <v>221167</v>
      </c>
      <c r="AU11" s="505">
        <v>220022</v>
      </c>
      <c r="AV11" s="771">
        <v>220022</v>
      </c>
      <c r="AW11" s="498">
        <v>220022</v>
      </c>
      <c r="AX11" s="503"/>
      <c r="AY11" s="503"/>
      <c r="AZ11" s="518"/>
      <c r="BA11" s="503"/>
      <c r="BB11" s="518"/>
      <c r="BC11" s="513"/>
      <c r="BD11" s="513"/>
      <c r="BE11" s="513"/>
      <c r="BF11" s="513"/>
      <c r="BG11" s="503"/>
      <c r="BH11" s="503"/>
      <c r="BI11" s="503"/>
      <c r="BJ11" s="511"/>
      <c r="BK11" s="511"/>
      <c r="BL11" s="511"/>
      <c r="BM11" s="511"/>
      <c r="BN11" s="511"/>
      <c r="BO11" s="514"/>
      <c r="BP11" s="503"/>
      <c r="BQ11" s="503"/>
      <c r="BR11" s="503"/>
      <c r="BS11" s="503"/>
      <c r="BT11" s="505">
        <v>200020</v>
      </c>
      <c r="BU11" s="2897"/>
      <c r="BV11" s="1499"/>
      <c r="BW11" s="1499"/>
      <c r="BX11" s="1499"/>
      <c r="BY11" s="3613">
        <f>128*16+1</f>
        <v>2049</v>
      </c>
      <c r="BZ11" s="3633">
        <f>128*9+6</f>
        <v>1158</v>
      </c>
      <c r="CA11" s="3614">
        <f>128*16+1</f>
        <v>2049</v>
      </c>
      <c r="CB11" s="1499"/>
      <c r="CC11" s="1499"/>
      <c r="CD11" s="1499"/>
      <c r="CE11" s="3293"/>
      <c r="CF11" s="505">
        <v>200020</v>
      </c>
      <c r="CG11" s="499"/>
      <c r="CH11" s="504">
        <v>20</v>
      </c>
      <c r="CI11" s="504">
        <v>20</v>
      </c>
      <c r="CJ11" s="504">
        <v>20</v>
      </c>
      <c r="CK11" s="504">
        <v>42</v>
      </c>
      <c r="CL11" s="504">
        <v>20</v>
      </c>
      <c r="CM11" s="504">
        <v>20</v>
      </c>
      <c r="CN11" s="504">
        <v>20</v>
      </c>
      <c r="CO11" s="504">
        <v>20</v>
      </c>
      <c r="CP11" s="504">
        <v>20</v>
      </c>
      <c r="CQ11" s="499">
        <v>24</v>
      </c>
      <c r="CR11" s="499">
        <v>24</v>
      </c>
      <c r="DD11">
        <v>3</v>
      </c>
      <c r="DE11">
        <v>11</v>
      </c>
      <c r="DF11" t="s">
        <v>484</v>
      </c>
      <c r="IU11" s="499" t="s">
        <v>870</v>
      </c>
      <c r="IV11" s="499"/>
    </row>
    <row r="12" spans="1:256" ht="9" customHeight="1" thickTop="1" thickBot="1">
      <c r="A12" s="505">
        <v>220022</v>
      </c>
      <c r="B12" s="1840"/>
      <c r="C12" s="3057">
        <v>19</v>
      </c>
      <c r="D12" s="3065">
        <v>21</v>
      </c>
      <c r="E12" s="2734">
        <v>21</v>
      </c>
      <c r="F12" s="3065">
        <v>21</v>
      </c>
      <c r="G12" s="3065">
        <v>21</v>
      </c>
      <c r="H12" s="3065">
        <v>21</v>
      </c>
      <c r="I12" s="3066">
        <v>21</v>
      </c>
      <c r="J12" s="3056">
        <v>19</v>
      </c>
      <c r="K12" s="1407"/>
      <c r="L12" s="1605"/>
      <c r="M12" s="1605"/>
      <c r="N12" s="1407"/>
      <c r="O12" s="1605"/>
      <c r="P12" s="1605"/>
      <c r="Q12" s="1407"/>
      <c r="R12" s="1605"/>
      <c r="S12" s="1605"/>
      <c r="T12" s="1407"/>
      <c r="U12" s="1605"/>
      <c r="V12" s="1605"/>
      <c r="W12" s="1407"/>
      <c r="X12" s="1605"/>
      <c r="Y12" s="1605"/>
      <c r="Z12" s="1407"/>
      <c r="AA12" s="1407"/>
      <c r="AB12" s="503">
        <f>128*6+5</f>
        <v>773</v>
      </c>
      <c r="AC12" s="503"/>
      <c r="AD12" s="504">
        <v>210021</v>
      </c>
      <c r="AE12" s="787"/>
      <c r="AF12" s="504">
        <v>210021</v>
      </c>
      <c r="AG12" s="503"/>
      <c r="AH12" s="503"/>
      <c r="AI12" s="518"/>
      <c r="AJ12" s="525">
        <v>220022</v>
      </c>
      <c r="AK12" s="1453">
        <f>128*9+74+0.0093</f>
        <v>1226.0092999999999</v>
      </c>
      <c r="AL12" s="1453">
        <f t="shared" ref="AL12:AS12" si="5">128*9+74</f>
        <v>1226</v>
      </c>
      <c r="AM12" s="1453">
        <f>128*9+74</f>
        <v>1226</v>
      </c>
      <c r="AN12" s="1453">
        <f t="shared" si="5"/>
        <v>1226</v>
      </c>
      <c r="AO12" s="1453">
        <f>128*9+74+0.256+0.0093</f>
        <v>1226.2653</v>
      </c>
      <c r="AP12" s="1453">
        <f t="shared" si="5"/>
        <v>1226</v>
      </c>
      <c r="AQ12" s="1453">
        <f t="shared" si="5"/>
        <v>1226</v>
      </c>
      <c r="AR12" s="1453">
        <f t="shared" si="5"/>
        <v>1226</v>
      </c>
      <c r="AS12" s="1453">
        <f t="shared" si="5"/>
        <v>1226</v>
      </c>
      <c r="AT12" s="3557">
        <f>128*9+74+0.384+0.006</f>
        <v>1226.3900000000001</v>
      </c>
      <c r="AU12" s="517">
        <v>220022</v>
      </c>
      <c r="AV12" s="503"/>
      <c r="AW12" s="503"/>
      <c r="AX12" s="503"/>
      <c r="AY12" s="503"/>
      <c r="AZ12" s="503"/>
      <c r="BA12" s="503"/>
      <c r="BB12" s="503"/>
      <c r="BC12" s="513"/>
      <c r="BD12" s="513"/>
      <c r="BE12" s="513"/>
      <c r="BF12" s="513"/>
      <c r="BG12" s="503"/>
      <c r="BH12" s="503"/>
      <c r="BI12" s="503"/>
      <c r="BJ12" s="511"/>
      <c r="BK12" s="511"/>
      <c r="BL12" s="511"/>
      <c r="BM12" s="511"/>
      <c r="BN12" s="511"/>
      <c r="BO12" s="514"/>
      <c r="BP12" s="503"/>
      <c r="BQ12" s="503">
        <f>128*9+25</f>
        <v>1177</v>
      </c>
      <c r="BR12" s="503"/>
      <c r="BS12" s="503">
        <f>128*9+19</f>
        <v>1171</v>
      </c>
      <c r="BT12" s="505">
        <v>200020</v>
      </c>
      <c r="BU12" s="2897"/>
      <c r="BV12" s="1499"/>
      <c r="BW12" s="1499"/>
      <c r="BX12" s="1499"/>
      <c r="BY12" s="1499"/>
      <c r="BZ12" s="3632">
        <f>128*16+1</f>
        <v>2049</v>
      </c>
      <c r="CA12" s="1499"/>
      <c r="CB12" s="1499"/>
      <c r="CC12" s="1499"/>
      <c r="CD12" s="1499"/>
      <c r="CE12" s="3293"/>
      <c r="CF12" s="505">
        <v>200020</v>
      </c>
      <c r="CG12" s="504">
        <v>20</v>
      </c>
      <c r="CH12" s="768">
        <f>43+0.038</f>
        <v>43.037999999999997</v>
      </c>
      <c r="CI12" s="3163">
        <f>128*9+81+0.212</f>
        <v>1233.212</v>
      </c>
      <c r="CJ12" s="3165">
        <f>128*9+82+0.213</f>
        <v>1234.213</v>
      </c>
      <c r="CK12" s="504">
        <v>43</v>
      </c>
      <c r="CL12" s="3163">
        <f>128*9+81+0.212</f>
        <v>1233.212</v>
      </c>
      <c r="CM12" s="3163">
        <f>128*9+81+0.212</f>
        <v>1233.212</v>
      </c>
      <c r="CN12" s="3165">
        <f>128*9+82+0.213</f>
        <v>1234.213</v>
      </c>
      <c r="CO12" s="3163">
        <f>128*9+81+0.212</f>
        <v>1233.212</v>
      </c>
      <c r="CP12" s="504">
        <v>20</v>
      </c>
      <c r="CQ12" s="504">
        <v>20</v>
      </c>
      <c r="CR12" s="499">
        <v>24</v>
      </c>
      <c r="DD12">
        <v>4</v>
      </c>
      <c r="DE12">
        <v>12</v>
      </c>
      <c r="DF12" t="s">
        <v>896</v>
      </c>
      <c r="IU12" s="499" t="s">
        <v>671</v>
      </c>
      <c r="IV12" s="499">
        <v>340</v>
      </c>
    </row>
    <row r="13" spans="1:256" ht="9" customHeight="1" thickTop="1" thickBot="1">
      <c r="A13" s="505">
        <v>220022</v>
      </c>
      <c r="B13" s="1840"/>
      <c r="C13" s="3056">
        <v>19</v>
      </c>
      <c r="D13" s="3056">
        <v>19</v>
      </c>
      <c r="E13" s="3056">
        <v>19</v>
      </c>
      <c r="F13" s="3056">
        <v>19</v>
      </c>
      <c r="G13" s="3056">
        <v>19</v>
      </c>
      <c r="H13" s="3056">
        <v>19</v>
      </c>
      <c r="I13" s="3056">
        <v>19</v>
      </c>
      <c r="J13" s="3056">
        <v>19</v>
      </c>
      <c r="K13" s="1407"/>
      <c r="L13" s="1605"/>
      <c r="M13" s="1605"/>
      <c r="N13" s="1407"/>
      <c r="O13" s="1605"/>
      <c r="P13" s="1605"/>
      <c r="Q13" s="1407"/>
      <c r="R13" s="1605"/>
      <c r="S13" s="1605"/>
      <c r="T13" s="1407"/>
      <c r="U13" s="1605"/>
      <c r="V13" s="1605"/>
      <c r="W13" s="1407"/>
      <c r="X13" s="1605"/>
      <c r="Y13" s="1605"/>
      <c r="Z13" s="1407"/>
      <c r="AA13" s="498">
        <v>220022</v>
      </c>
      <c r="AB13" s="504">
        <v>210021</v>
      </c>
      <c r="AC13" s="787">
        <f>128*16+1</f>
        <v>2049</v>
      </c>
      <c r="AD13" s="504">
        <v>210021</v>
      </c>
      <c r="AE13" s="787"/>
      <c r="AF13" s="504">
        <v>210021</v>
      </c>
      <c r="AG13" s="503"/>
      <c r="AH13" s="503"/>
      <c r="AI13" s="503"/>
      <c r="AJ13" s="771">
        <v>220022</v>
      </c>
      <c r="AK13" s="771">
        <v>220022</v>
      </c>
      <c r="AL13" s="771">
        <v>220022</v>
      </c>
      <c r="AM13" s="771">
        <v>220022</v>
      </c>
      <c r="AN13" s="771">
        <v>220022</v>
      </c>
      <c r="AO13" s="771">
        <v>220022</v>
      </c>
      <c r="AP13" s="771">
        <v>220022</v>
      </c>
      <c r="AQ13" s="771">
        <v>220022</v>
      </c>
      <c r="AR13" s="771">
        <v>220022</v>
      </c>
      <c r="AS13" s="771">
        <v>220022</v>
      </c>
      <c r="AT13" s="771">
        <v>220022</v>
      </c>
      <c r="AU13" s="498">
        <v>220022</v>
      </c>
      <c r="AV13" s="503"/>
      <c r="AW13" s="3599">
        <f>128*9+25</f>
        <v>1177</v>
      </c>
      <c r="AX13" s="503"/>
      <c r="AY13" s="2703">
        <f>128*6+1</f>
        <v>769</v>
      </c>
      <c r="AZ13" s="503"/>
      <c r="BA13" s="518"/>
      <c r="BB13" s="513"/>
      <c r="BC13" s="513"/>
      <c r="BD13" s="513"/>
      <c r="BE13" s="513"/>
      <c r="BF13" s="503"/>
      <c r="BG13" s="503"/>
      <c r="BH13" s="503"/>
      <c r="BI13" s="503"/>
      <c r="BJ13" s="511"/>
      <c r="BK13" s="511"/>
      <c r="BL13" s="511"/>
      <c r="BM13" s="511"/>
      <c r="BN13" s="511"/>
      <c r="BO13" s="514"/>
      <c r="BP13" s="503"/>
      <c r="BQ13" s="503"/>
      <c r="BR13" s="503"/>
      <c r="BS13" s="503"/>
      <c r="BT13" s="505">
        <v>200020</v>
      </c>
      <c r="BU13" s="2897"/>
      <c r="BV13" s="1020"/>
      <c r="BW13" s="1499"/>
      <c r="BX13" s="1499"/>
      <c r="BY13" s="1499"/>
      <c r="BZ13" s="1499"/>
      <c r="CA13" s="1499"/>
      <c r="CB13" s="1499"/>
      <c r="CC13" s="1499">
        <f>128*3+32</f>
        <v>416</v>
      </c>
      <c r="CD13" s="1499"/>
      <c r="CE13" s="3293"/>
      <c r="CF13" s="505">
        <v>200020</v>
      </c>
      <c r="CG13" s="504">
        <v>50</v>
      </c>
      <c r="CH13" s="3168">
        <f>128*9+83</f>
        <v>1235</v>
      </c>
      <c r="CI13" s="3162"/>
      <c r="CJ13" s="3162"/>
      <c r="CK13" s="3162"/>
      <c r="CL13" s="3162"/>
      <c r="CM13" s="3162"/>
      <c r="CN13" s="3162"/>
      <c r="CO13" s="3162"/>
      <c r="CP13" s="3166">
        <f>128*9+81+0.212</f>
        <v>1233.212</v>
      </c>
      <c r="CQ13" s="504">
        <v>50</v>
      </c>
      <c r="CR13" s="499">
        <v>24</v>
      </c>
      <c r="DB13" t="s">
        <v>980</v>
      </c>
      <c r="DD13">
        <v>1</v>
      </c>
      <c r="DE13">
        <v>13</v>
      </c>
      <c r="DF13" t="s">
        <v>892</v>
      </c>
      <c r="IU13" s="499" t="s">
        <v>672</v>
      </c>
      <c r="IV13" s="499">
        <v>16</v>
      </c>
    </row>
    <row r="14" spans="1:256" ht="9" customHeight="1" thickTop="1" thickBot="1">
      <c r="A14" s="505">
        <v>220022</v>
      </c>
      <c r="B14" s="1840"/>
      <c r="C14" s="1407"/>
      <c r="D14" s="1407"/>
      <c r="E14" s="1407"/>
      <c r="F14" s="1407"/>
      <c r="G14" s="1407"/>
      <c r="H14" s="1407"/>
      <c r="I14" s="1407"/>
      <c r="J14" s="1407"/>
      <c r="K14" s="1407"/>
      <c r="L14" s="1605"/>
      <c r="M14" s="1605"/>
      <c r="N14" s="1407"/>
      <c r="O14" s="1407"/>
      <c r="P14" s="1407"/>
      <c r="Q14" s="1407">
        <v>0.03</v>
      </c>
      <c r="R14" s="1605"/>
      <c r="S14" s="1605"/>
      <c r="T14" s="1407"/>
      <c r="U14" s="1407"/>
      <c r="V14" s="1407"/>
      <c r="W14" s="1407">
        <v>0.03</v>
      </c>
      <c r="X14" s="1605"/>
      <c r="Y14" s="1605"/>
      <c r="Z14" s="1407"/>
      <c r="AA14" s="498">
        <v>220022</v>
      </c>
      <c r="AB14" s="504">
        <v>210021</v>
      </c>
      <c r="AC14" s="787">
        <f>128*16+64+1</f>
        <v>2113</v>
      </c>
      <c r="AD14" s="504">
        <v>210021</v>
      </c>
      <c r="AE14" s="787"/>
      <c r="AF14" s="504">
        <v>210021</v>
      </c>
      <c r="AG14" s="503"/>
      <c r="AH14" s="518"/>
      <c r="AI14" s="503"/>
      <c r="AJ14" s="503"/>
      <c r="AK14" s="518"/>
      <c r="AL14" s="503">
        <f>128*9+25</f>
        <v>1177</v>
      </c>
      <c r="AM14" s="503"/>
      <c r="AN14" s="534">
        <f>0.384+0.004</f>
        <v>0.38800000000000001</v>
      </c>
      <c r="AO14" s="518"/>
      <c r="AP14" s="503"/>
      <c r="AQ14" s="503">
        <f>128*9+25</f>
        <v>1177</v>
      </c>
      <c r="AR14" s="503"/>
      <c r="AS14" s="518"/>
      <c r="AT14" s="503"/>
      <c r="AU14" s="503"/>
      <c r="AV14" s="503"/>
      <c r="AW14" s="3283">
        <f>128*6+1</f>
        <v>769</v>
      </c>
      <c r="AX14" s="503"/>
      <c r="AY14" s="518"/>
      <c r="AZ14" s="503"/>
      <c r="BA14" s="513"/>
      <c r="BB14" s="513"/>
      <c r="BC14" s="513"/>
      <c r="BD14" s="513"/>
      <c r="BE14" s="513"/>
      <c r="BF14" s="503"/>
      <c r="BG14" s="503"/>
      <c r="BH14" s="503"/>
      <c r="BI14" s="503"/>
      <c r="BJ14" s="2706">
        <v>2E-3</v>
      </c>
      <c r="BK14" s="511"/>
      <c r="BL14" s="511"/>
      <c r="BM14" s="511"/>
      <c r="BN14" s="511"/>
      <c r="BO14" s="2706">
        <v>2E-3</v>
      </c>
      <c r="BP14" s="503"/>
      <c r="BQ14" s="503"/>
      <c r="BR14" s="503"/>
      <c r="BS14" s="503">
        <f>128*9+25</f>
        <v>1177</v>
      </c>
      <c r="BT14" s="505">
        <v>200020</v>
      </c>
      <c r="BU14" s="2897"/>
      <c r="BV14" s="2897"/>
      <c r="BW14" s="1499"/>
      <c r="BX14" s="1010">
        <f>128*9+11+0.5+0.384+0.011</f>
        <v>1163.895</v>
      </c>
      <c r="BY14" s="1208">
        <f>128*9+10</f>
        <v>1162</v>
      </c>
      <c r="BZ14" s="1208">
        <f>128*9+10</f>
        <v>1162</v>
      </c>
      <c r="CA14" s="1208">
        <f>128*9+11+0.256+0.0086</f>
        <v>1163.2646</v>
      </c>
      <c r="CB14" s="1499"/>
      <c r="CC14" s="1499"/>
      <c r="CD14" s="1499">
        <v>35</v>
      </c>
      <c r="CE14" s="3293"/>
      <c r="CF14" s="505">
        <v>200020</v>
      </c>
      <c r="CG14" s="504">
        <v>20</v>
      </c>
      <c r="CH14" s="504">
        <v>43</v>
      </c>
      <c r="CI14" s="3174">
        <f>128*5+41+0.021</f>
        <v>681.02099999999996</v>
      </c>
      <c r="CJ14" s="504">
        <v>43</v>
      </c>
      <c r="CK14" s="504">
        <v>43</v>
      </c>
      <c r="CL14" s="3167">
        <f>128*9+83</f>
        <v>1235</v>
      </c>
      <c r="CM14" s="3167">
        <v>0.11550000000000001</v>
      </c>
      <c r="CN14" s="3167">
        <f>128*9+83</f>
        <v>1235</v>
      </c>
      <c r="CO14" s="3162"/>
      <c r="CP14" s="3162"/>
      <c r="CQ14" s="504">
        <v>20</v>
      </c>
      <c r="CR14" s="499">
        <v>24</v>
      </c>
      <c r="DD14">
        <v>2</v>
      </c>
      <c r="DE14">
        <v>14</v>
      </c>
      <c r="DF14" t="s">
        <v>893</v>
      </c>
      <c r="IU14" s="499" t="s">
        <v>673</v>
      </c>
      <c r="IV14" s="499">
        <v>32</v>
      </c>
    </row>
    <row r="15" spans="1:256" ht="9" customHeight="1" thickTop="1" thickBot="1">
      <c r="A15" s="505">
        <v>220022</v>
      </c>
      <c r="B15" s="1840"/>
      <c r="C15" s="1407"/>
      <c r="D15" s="1407"/>
      <c r="E15" s="1407"/>
      <c r="F15" s="3123">
        <f>128*6+1</f>
        <v>769</v>
      </c>
      <c r="G15" s="1407"/>
      <c r="H15" s="1407"/>
      <c r="I15" s="1407"/>
      <c r="J15" s="1407"/>
      <c r="K15" s="1407"/>
      <c r="L15" s="1605"/>
      <c r="M15" s="1605"/>
      <c r="N15" s="1605"/>
      <c r="O15" s="1605"/>
      <c r="P15" s="1605"/>
      <c r="Q15" s="1605"/>
      <c r="R15" s="1605"/>
      <c r="S15" s="1605"/>
      <c r="T15" s="1605"/>
      <c r="U15" s="1605"/>
      <c r="V15" s="1605"/>
      <c r="W15" s="1605"/>
      <c r="X15" s="1605"/>
      <c r="Y15" s="1605"/>
      <c r="Z15" s="1407">
        <v>0.03</v>
      </c>
      <c r="AA15" s="498">
        <v>220022</v>
      </c>
      <c r="AB15" s="504">
        <v>210021</v>
      </c>
      <c r="AC15" s="787"/>
      <c r="AD15" s="787"/>
      <c r="AE15" s="787"/>
      <c r="AF15" s="504">
        <v>210021</v>
      </c>
      <c r="AG15" s="503"/>
      <c r="AH15" s="503">
        <f>128*9+25</f>
        <v>1177</v>
      </c>
      <c r="AI15" s="503"/>
      <c r="AJ15" s="503"/>
      <c r="AK15" s="503"/>
      <c r="AL15" s="503"/>
      <c r="AM15" s="2703">
        <f>128*6+1</f>
        <v>769</v>
      </c>
      <c r="AN15" s="503"/>
      <c r="AO15" s="503"/>
      <c r="AP15" s="503"/>
      <c r="AQ15" s="518"/>
      <c r="AR15" s="503"/>
      <c r="AS15" s="2703">
        <f>128*6+1</f>
        <v>769</v>
      </c>
      <c r="AT15" s="503"/>
      <c r="AU15" s="518"/>
      <c r="AV15" s="503"/>
      <c r="AW15" s="503"/>
      <c r="AX15" s="503"/>
      <c r="AY15" s="503"/>
      <c r="AZ15" s="513"/>
      <c r="BA15" s="513"/>
      <c r="BB15" s="513"/>
      <c r="BC15" s="513"/>
      <c r="BD15" s="513"/>
      <c r="BE15" s="503"/>
      <c r="BF15" s="503"/>
      <c r="BG15" s="503"/>
      <c r="BH15" s="503"/>
      <c r="BI15" s="503"/>
      <c r="BJ15" s="514"/>
      <c r="BK15" s="514">
        <f>128*14+6</f>
        <v>1798</v>
      </c>
      <c r="BL15" s="514"/>
      <c r="BM15" s="514"/>
      <c r="BN15" s="514"/>
      <c r="BO15" s="514"/>
      <c r="BP15" s="503"/>
      <c r="BQ15" s="503"/>
      <c r="BR15" s="503"/>
      <c r="BS15" s="503"/>
      <c r="BT15" s="505">
        <v>200020</v>
      </c>
      <c r="BU15" s="3410">
        <f>200000+0.1391</f>
        <v>200000.1391</v>
      </c>
      <c r="BV15" s="3412">
        <f>128*9+13</f>
        <v>1165</v>
      </c>
      <c r="BW15" s="1499"/>
      <c r="BX15" s="1010">
        <f>128*9+10</f>
        <v>1162</v>
      </c>
      <c r="BY15" s="3326">
        <f>128*9+12+0.256+0.0021</f>
        <v>1164.2581</v>
      </c>
      <c r="BZ15" s="1208">
        <f>128*9+12+0.384+0.0055</f>
        <v>1164.3895</v>
      </c>
      <c r="CA15" s="1012">
        <f>128*9+10</f>
        <v>1162</v>
      </c>
      <c r="CB15" s="1499"/>
      <c r="CC15" s="1499"/>
      <c r="CD15" s="1499">
        <v>35</v>
      </c>
      <c r="CE15" s="3293"/>
      <c r="CF15" s="505">
        <v>200020</v>
      </c>
      <c r="CG15" s="504">
        <v>50</v>
      </c>
      <c r="CH15" s="3162"/>
      <c r="CI15" s="3162"/>
      <c r="CJ15" s="3163">
        <f>128*9+81+0.212</f>
        <v>1233.212</v>
      </c>
      <c r="CK15" s="707">
        <v>49</v>
      </c>
      <c r="CL15" s="707">
        <v>49</v>
      </c>
      <c r="CM15" s="707">
        <v>49</v>
      </c>
      <c r="CN15" s="707">
        <v>49</v>
      </c>
      <c r="CO15" s="755">
        <f>49+0.184</f>
        <v>49.183999999999997</v>
      </c>
      <c r="CP15" s="3167">
        <f>128*14+4</f>
        <v>1796</v>
      </c>
      <c r="CQ15" s="504">
        <v>50</v>
      </c>
      <c r="CR15" s="499">
        <v>24</v>
      </c>
      <c r="DD15">
        <v>3</v>
      </c>
      <c r="DE15">
        <v>15</v>
      </c>
      <c r="DF15" t="s">
        <v>891</v>
      </c>
      <c r="IU15" s="499" t="s">
        <v>710</v>
      </c>
      <c r="IV15" s="499">
        <v>20</v>
      </c>
    </row>
    <row r="16" spans="1:256" ht="9" customHeight="1" thickTop="1" thickBot="1">
      <c r="A16" s="523">
        <v>220022</v>
      </c>
      <c r="B16" s="523">
        <v>220022</v>
      </c>
      <c r="C16" s="523">
        <v>220022</v>
      </c>
      <c r="D16" s="523">
        <v>220022</v>
      </c>
      <c r="E16" s="523">
        <v>220022</v>
      </c>
      <c r="F16" s="523">
        <v>220022</v>
      </c>
      <c r="G16" s="523">
        <v>220022</v>
      </c>
      <c r="H16" s="523">
        <v>220022</v>
      </c>
      <c r="I16" s="523">
        <v>220022</v>
      </c>
      <c r="J16" s="523">
        <v>220022</v>
      </c>
      <c r="K16" s="523">
        <v>220022</v>
      </c>
      <c r="L16" s="523">
        <v>220022</v>
      </c>
      <c r="M16" s="523">
        <v>220022</v>
      </c>
      <c r="N16" s="523">
        <v>220022</v>
      </c>
      <c r="O16" s="523">
        <v>220022</v>
      </c>
      <c r="P16" s="523">
        <v>220022</v>
      </c>
      <c r="Q16" s="523">
        <v>220022</v>
      </c>
      <c r="R16" s="523">
        <v>220022</v>
      </c>
      <c r="S16" s="523">
        <v>220022</v>
      </c>
      <c r="T16" s="523">
        <v>220022</v>
      </c>
      <c r="U16" s="523">
        <v>220022</v>
      </c>
      <c r="V16" s="523">
        <v>220022</v>
      </c>
      <c r="W16" s="523">
        <v>220022</v>
      </c>
      <c r="X16" s="523">
        <v>220022</v>
      </c>
      <c r="Y16" s="523">
        <v>220022</v>
      </c>
      <c r="Z16" s="523">
        <v>220022</v>
      </c>
      <c r="AA16" s="498">
        <v>220022</v>
      </c>
      <c r="AB16" s="504">
        <v>210021</v>
      </c>
      <c r="AC16" s="504">
        <v>210021</v>
      </c>
      <c r="AD16" s="504">
        <v>210021</v>
      </c>
      <c r="AE16" s="504">
        <v>210021</v>
      </c>
      <c r="AF16" s="504">
        <v>210021</v>
      </c>
      <c r="AG16" s="503"/>
      <c r="AH16" s="503"/>
      <c r="AI16" s="3283">
        <f>128*6+1</f>
        <v>769</v>
      </c>
      <c r="AJ16" s="503"/>
      <c r="AK16" s="518"/>
      <c r="AL16" s="518"/>
      <c r="AM16" s="503"/>
      <c r="AN16" s="518"/>
      <c r="AO16" s="503"/>
      <c r="AP16" s="2705">
        <f>128*6+1</f>
        <v>769</v>
      </c>
      <c r="AQ16" s="503"/>
      <c r="AR16" s="503"/>
      <c r="AS16" s="518"/>
      <c r="AT16" s="503"/>
      <c r="AU16" s="503"/>
      <c r="AV16" s="2705">
        <f>128*6+1</f>
        <v>769</v>
      </c>
      <c r="AW16" s="503"/>
      <c r="AX16" s="503"/>
      <c r="AY16" s="513"/>
      <c r="AZ16" s="513"/>
      <c r="BA16" s="513"/>
      <c r="BB16" s="513"/>
      <c r="BC16" s="513"/>
      <c r="BD16" s="513"/>
      <c r="BE16" s="503"/>
      <c r="BF16" s="503"/>
      <c r="BG16" s="503"/>
      <c r="BH16" s="503"/>
      <c r="BI16" s="503"/>
      <c r="BJ16" s="771">
        <v>210021</v>
      </c>
      <c r="BK16" s="704">
        <f>210021+0.131</f>
        <v>210021.13099999999</v>
      </c>
      <c r="BL16" s="3328">
        <f>210000+128*9+72+0.207</f>
        <v>211224.20699999999</v>
      </c>
      <c r="BM16" s="3328">
        <f>210000+128*9+72+0.207</f>
        <v>211224.20699999999</v>
      </c>
      <c r="BN16" s="771">
        <v>210021</v>
      </c>
      <c r="BO16" s="498">
        <v>210021</v>
      </c>
      <c r="BP16" s="533">
        <f>128*4+47</f>
        <v>559</v>
      </c>
      <c r="BQ16" s="533">
        <f>128*4+47</f>
        <v>559</v>
      </c>
      <c r="BR16" s="533">
        <f>128*4+47</f>
        <v>559</v>
      </c>
      <c r="BS16" s="535">
        <f>128*9+20</f>
        <v>1172</v>
      </c>
      <c r="BT16" s="505">
        <v>200020</v>
      </c>
      <c r="BU16" s="3411">
        <f>200000+128*9+26+0.061</f>
        <v>201178.06099999999</v>
      </c>
      <c r="BV16" s="3412">
        <f>128*9+88</f>
        <v>1240</v>
      </c>
      <c r="BW16" s="1499"/>
      <c r="BX16" s="1010">
        <f>128*9+10</f>
        <v>1162</v>
      </c>
      <c r="BY16" s="3311">
        <f>128*9+12+0.038</f>
        <v>1164.038</v>
      </c>
      <c r="BZ16" s="831">
        <f>128*9+9</f>
        <v>1161</v>
      </c>
      <c r="CA16" s="1012">
        <f>128*9+10</f>
        <v>1162</v>
      </c>
      <c r="CB16" s="1499"/>
      <c r="CC16" s="1499"/>
      <c r="CD16" s="1562">
        <f>35+0.207</f>
        <v>35.207000000000001</v>
      </c>
      <c r="CE16" s="3293"/>
      <c r="CF16" s="505">
        <v>200020</v>
      </c>
      <c r="CG16" s="3173">
        <f>20+0.175</f>
        <v>20.175000000000001</v>
      </c>
      <c r="CH16" s="3167">
        <v>0.1158</v>
      </c>
      <c r="CI16" s="3162"/>
      <c r="CJ16" s="3162"/>
      <c r="CK16" s="3144">
        <f>128*5+30+0.151</f>
        <v>670.15099999999995</v>
      </c>
      <c r="CL16" s="999">
        <f>128*11+1</f>
        <v>1409</v>
      </c>
      <c r="CM16" s="707">
        <f>49+0.068</f>
        <v>49.067999999999998</v>
      </c>
      <c r="CN16" s="1215">
        <f>128*11+2</f>
        <v>1410</v>
      </c>
      <c r="CO16" s="3144">
        <f>128*5+30+0.15</f>
        <v>670.15</v>
      </c>
      <c r="CP16" s="3167">
        <f>128*14+4</f>
        <v>1796</v>
      </c>
      <c r="CQ16" s="504">
        <v>20</v>
      </c>
      <c r="CR16" s="499">
        <v>24</v>
      </c>
      <c r="DD16">
        <v>4</v>
      </c>
      <c r="DE16">
        <v>16</v>
      </c>
      <c r="DF16" t="s">
        <v>894</v>
      </c>
      <c r="IU16" s="499" t="s">
        <v>711</v>
      </c>
      <c r="IV16" s="499">
        <v>32</v>
      </c>
    </row>
    <row r="17" spans="1:256" ht="9" customHeight="1" thickTop="1" thickBot="1">
      <c r="A17" s="514">
        <v>24</v>
      </c>
      <c r="B17" s="513"/>
      <c r="C17" s="513"/>
      <c r="D17" s="513"/>
      <c r="E17" s="513"/>
      <c r="F17" s="513"/>
      <c r="G17" s="513"/>
      <c r="H17" s="513"/>
      <c r="I17" s="513"/>
      <c r="J17" s="513"/>
      <c r="K17" s="513"/>
      <c r="L17" s="513"/>
      <c r="M17" s="513"/>
      <c r="N17" s="513"/>
      <c r="O17" s="513"/>
      <c r="P17" s="513"/>
      <c r="Q17" s="513"/>
      <c r="R17" s="513"/>
      <c r="S17" s="513"/>
      <c r="T17" s="513"/>
      <c r="U17" s="513"/>
      <c r="V17" s="513"/>
      <c r="W17" s="513"/>
      <c r="X17" s="513"/>
      <c r="Y17" s="513"/>
      <c r="Z17" s="513"/>
      <c r="AA17" s="513"/>
      <c r="AB17" s="513"/>
      <c r="AC17" s="513"/>
      <c r="AD17" s="513"/>
      <c r="AE17" s="513"/>
      <c r="AF17" s="513"/>
      <c r="AG17" s="513"/>
      <c r="AH17" s="513"/>
      <c r="AI17" s="513"/>
      <c r="AJ17" s="513"/>
      <c r="AK17" s="513"/>
      <c r="AL17" s="513"/>
      <c r="AM17" s="513"/>
      <c r="AN17" s="513"/>
      <c r="AO17" s="513"/>
      <c r="AP17" s="513"/>
      <c r="AQ17" s="513"/>
      <c r="AR17" s="513"/>
      <c r="AS17" s="513"/>
      <c r="AT17" s="513"/>
      <c r="AU17" s="513"/>
      <c r="AV17" s="513"/>
      <c r="AW17" s="513"/>
      <c r="AX17" s="513"/>
      <c r="AY17" s="513"/>
      <c r="AZ17" s="513"/>
      <c r="BA17" s="513"/>
      <c r="BB17" s="513"/>
      <c r="BC17" s="513"/>
      <c r="BD17" s="513"/>
      <c r="BE17" s="513"/>
      <c r="BF17" s="513"/>
      <c r="BG17" s="513"/>
      <c r="BH17" s="513"/>
      <c r="BI17" s="513"/>
      <c r="BJ17" s="513"/>
      <c r="BK17" s="513"/>
      <c r="BL17" s="3329">
        <v>200000</v>
      </c>
      <c r="BM17" s="3330">
        <v>200000</v>
      </c>
      <c r="BN17" s="513"/>
      <c r="BO17" s="513"/>
      <c r="BP17" s="513"/>
      <c r="BQ17" s="513"/>
      <c r="BR17" s="513"/>
      <c r="BS17" s="3333">
        <f>128*4+47</f>
        <v>559</v>
      </c>
      <c r="BT17" s="505">
        <v>200020</v>
      </c>
      <c r="BU17" s="3408">
        <f>128*9+13</f>
        <v>1165</v>
      </c>
      <c r="BV17" s="2897"/>
      <c r="BW17" s="1499"/>
      <c r="BX17" s="831">
        <f>128*9+11</f>
        <v>1163</v>
      </c>
      <c r="BY17" s="1213">
        <f>128*9+10</f>
        <v>1162</v>
      </c>
      <c r="BZ17" s="1213">
        <f>128*9+10+0.256+0.0011</f>
        <v>1162.2571</v>
      </c>
      <c r="CA17" s="1012">
        <f>128*9+11</f>
        <v>1163</v>
      </c>
      <c r="CB17" s="1499"/>
      <c r="CC17" s="1499"/>
      <c r="CD17" s="3292">
        <f>128*11+8</f>
        <v>1416</v>
      </c>
      <c r="CE17" s="3293"/>
      <c r="CF17" s="505">
        <v>200020</v>
      </c>
      <c r="CG17" s="504">
        <v>50</v>
      </c>
      <c r="CH17" s="3162"/>
      <c r="CI17" s="3162"/>
      <c r="CJ17" s="3162"/>
      <c r="CK17" s="707">
        <v>49</v>
      </c>
      <c r="CL17" s="707">
        <v>49</v>
      </c>
      <c r="CM17" s="707">
        <v>49</v>
      </c>
      <c r="CN17" s="707">
        <v>49</v>
      </c>
      <c r="CO17" s="755">
        <f>49+0.184</f>
        <v>49.183999999999997</v>
      </c>
      <c r="CP17" s="3167">
        <f>128*14+4</f>
        <v>1796</v>
      </c>
      <c r="CQ17" s="504">
        <v>50</v>
      </c>
      <c r="CR17" s="499">
        <v>24</v>
      </c>
      <c r="DB17" t="s">
        <v>1049</v>
      </c>
      <c r="DE17">
        <v>2</v>
      </c>
      <c r="IU17" s="499" t="s">
        <v>632</v>
      </c>
      <c r="IV17" s="499" t="s">
        <v>89</v>
      </c>
    </row>
    <row r="18" spans="1:256" ht="9" customHeight="1" thickTop="1" thickBot="1">
      <c r="A18" s="514">
        <v>24</v>
      </c>
      <c r="B18" s="3278"/>
      <c r="C18" s="3278"/>
      <c r="D18" s="3278"/>
      <c r="E18" s="3278"/>
      <c r="F18" s="3278"/>
      <c r="G18" s="3278"/>
      <c r="H18" s="3278"/>
      <c r="I18" s="3278"/>
      <c r="J18" s="3278"/>
      <c r="K18" s="3278"/>
      <c r="L18" s="3278"/>
      <c r="M18" s="3278"/>
      <c r="N18" s="3278"/>
      <c r="O18" s="3278"/>
      <c r="P18" s="3278"/>
      <c r="Q18" s="3278"/>
      <c r="R18" s="3278"/>
      <c r="S18" s="3278"/>
      <c r="T18" s="3278"/>
      <c r="U18" s="3278"/>
      <c r="V18" s="3278"/>
      <c r="W18" s="3278"/>
      <c r="X18" s="3278"/>
      <c r="Y18" s="3278"/>
      <c r="Z18" s="3278"/>
      <c r="AA18" s="3278"/>
      <c r="AB18" s="3278"/>
      <c r="AC18" s="3278"/>
      <c r="AD18" s="3278"/>
      <c r="AE18" s="3278"/>
      <c r="AF18" s="3278"/>
      <c r="AG18" s="3278"/>
      <c r="AH18" s="3278"/>
      <c r="AI18" s="3278"/>
      <c r="AJ18" s="3278"/>
      <c r="AK18" s="3278"/>
      <c r="AL18" s="3278"/>
      <c r="AM18" s="3278"/>
      <c r="AN18" s="3278"/>
      <c r="AO18" s="3278"/>
      <c r="AP18" s="3278"/>
      <c r="AQ18" s="3278"/>
      <c r="AR18" s="3278"/>
      <c r="AS18" s="3278"/>
      <c r="AT18" s="3278"/>
      <c r="AU18" s="3278"/>
      <c r="AV18" s="3278"/>
      <c r="AW18" s="3278"/>
      <c r="AX18" s="513"/>
      <c r="AY18" s="513"/>
      <c r="AZ18" s="513"/>
      <c r="BA18" s="513"/>
      <c r="BB18" s="513"/>
      <c r="BC18" s="513"/>
      <c r="BD18" s="513"/>
      <c r="BE18" s="513"/>
      <c r="BF18" s="513"/>
      <c r="BG18" s="513"/>
      <c r="BH18" s="513"/>
      <c r="BI18" s="513"/>
      <c r="BJ18" s="513"/>
      <c r="BK18" s="513"/>
      <c r="BL18" s="513"/>
      <c r="BM18" s="513"/>
      <c r="BN18" s="1428">
        <f>128*9+6</f>
        <v>1158</v>
      </c>
      <c r="BO18" s="513">
        <f>128*9+6</f>
        <v>1158</v>
      </c>
      <c r="BP18" s="513">
        <f>128*9+6</f>
        <v>1158</v>
      </c>
      <c r="BQ18" s="1428">
        <f>128*9+6+0.5+0.256+0.008</f>
        <v>1158.7640000000001</v>
      </c>
      <c r="BR18" s="513"/>
      <c r="BS18" s="513"/>
      <c r="BT18" s="505">
        <v>200020</v>
      </c>
      <c r="BU18" s="2897"/>
      <c r="BV18" s="1499"/>
      <c r="BW18" s="1499"/>
      <c r="BX18" s="1499"/>
      <c r="BY18" s="1499"/>
      <c r="BZ18" s="1499"/>
      <c r="CA18" s="1499"/>
      <c r="CB18" s="1499"/>
      <c r="CC18" s="1499"/>
      <c r="CD18" s="1499"/>
      <c r="CE18" s="3293"/>
      <c r="CF18" s="505">
        <v>200020</v>
      </c>
      <c r="CG18" s="770">
        <f>20+0.134</f>
        <v>20.134</v>
      </c>
      <c r="CH18" s="3170">
        <f>128*9+83</f>
        <v>1235</v>
      </c>
      <c r="CI18" s="3162"/>
      <c r="CJ18" s="3162"/>
      <c r="CK18" s="504">
        <v>43</v>
      </c>
      <c r="CL18" s="3163">
        <f>128*9+81+0.212</f>
        <v>1233.212</v>
      </c>
      <c r="CM18" s="3162"/>
      <c r="CN18" s="3162"/>
      <c r="CO18" s="3162"/>
      <c r="CP18" s="3162"/>
      <c r="CQ18" s="504">
        <v>20</v>
      </c>
      <c r="CR18" s="499">
        <v>24</v>
      </c>
      <c r="DB18" t="s">
        <v>1051</v>
      </c>
      <c r="DD18">
        <v>1</v>
      </c>
      <c r="DE18">
        <f>CA65</f>
        <v>0</v>
      </c>
      <c r="IU18" s="499" t="s">
        <v>855</v>
      </c>
      <c r="IV18" s="499" t="s">
        <v>854</v>
      </c>
    </row>
    <row r="19" spans="1:256" ht="9" customHeight="1" thickTop="1" thickBot="1">
      <c r="A19" s="514">
        <v>24</v>
      </c>
      <c r="B19" s="513"/>
      <c r="C19" s="513"/>
      <c r="D19" s="513"/>
      <c r="E19" s="513"/>
      <c r="F19" s="513"/>
      <c r="G19" s="513"/>
      <c r="H19" s="812"/>
      <c r="I19" s="773"/>
      <c r="J19" s="773"/>
      <c r="K19" s="773"/>
      <c r="L19" s="773"/>
      <c r="M19" s="773"/>
      <c r="N19" s="773"/>
      <c r="O19" s="773"/>
      <c r="P19" s="773"/>
      <c r="Q19" s="513"/>
      <c r="R19" s="513"/>
      <c r="S19" s="513"/>
      <c r="T19" s="513"/>
      <c r="U19" s="513"/>
      <c r="V19" s="513"/>
      <c r="W19" s="513"/>
      <c r="X19" s="513"/>
      <c r="Y19" s="513"/>
      <c r="Z19" s="513"/>
      <c r="AA19" s="513"/>
      <c r="AB19" s="513"/>
      <c r="AC19" s="513"/>
      <c r="AD19" s="513"/>
      <c r="AE19" s="513"/>
      <c r="AF19" s="513"/>
      <c r="AG19" s="513"/>
      <c r="AH19" s="513"/>
      <c r="AI19" s="513"/>
      <c r="AJ19" s="513"/>
      <c r="AK19" s="513"/>
      <c r="AL19" s="513"/>
      <c r="AM19" s="513"/>
      <c r="AN19" s="513"/>
      <c r="AO19" s="513"/>
      <c r="AP19" s="513"/>
      <c r="AQ19" s="513"/>
      <c r="AR19" s="513"/>
      <c r="AS19" s="513"/>
      <c r="AT19" s="513"/>
      <c r="AU19" s="513"/>
      <c r="AV19" s="513"/>
      <c r="AW19" s="513"/>
      <c r="AX19" s="513"/>
      <c r="AY19" s="513"/>
      <c r="AZ19" s="513"/>
      <c r="BA19" s="513"/>
      <c r="BB19" s="513"/>
      <c r="BC19" s="513"/>
      <c r="BD19" s="513"/>
      <c r="BE19" s="513"/>
      <c r="BF19" s="513"/>
      <c r="BG19" s="513"/>
      <c r="BH19" s="513"/>
      <c r="BI19" s="513"/>
      <c r="BJ19" s="513"/>
      <c r="BK19" s="513"/>
      <c r="BL19" s="513"/>
      <c r="BM19" s="513"/>
      <c r="BN19" s="513"/>
      <c r="BO19" s="513"/>
      <c r="BP19" s="513"/>
      <c r="BQ19" s="513"/>
      <c r="BR19" s="513"/>
      <c r="BS19" s="513"/>
      <c r="BT19" s="505">
        <v>200020</v>
      </c>
      <c r="BU19" s="3325">
        <f>128*9+22+0.5+0.256+0.0056</f>
        <v>1174.7616</v>
      </c>
      <c r="BV19" s="2897">
        <f>128*9+20</f>
        <v>1172</v>
      </c>
      <c r="BW19" s="2897"/>
      <c r="BX19" s="2897"/>
      <c r="BY19" s="2897"/>
      <c r="BZ19" s="2897"/>
      <c r="CA19" s="2897"/>
      <c r="CB19" s="2897"/>
      <c r="CC19" s="2897"/>
      <c r="CD19" s="2897"/>
      <c r="CE19" s="3293">
        <f>128*9+21+0.5+0.256+0.0204</f>
        <v>1173.7764000000002</v>
      </c>
      <c r="CF19" s="505">
        <v>200020</v>
      </c>
      <c r="CG19" s="504">
        <v>50</v>
      </c>
      <c r="CH19" s="3167">
        <v>4.5999999999999999E-3</v>
      </c>
      <c r="CI19" s="3162"/>
      <c r="CJ19" s="3162"/>
      <c r="CK19" s="3174">
        <f>128*5+41+0.215</f>
        <v>681.21500000000003</v>
      </c>
      <c r="CL19" s="3164"/>
      <c r="CM19" s="3164"/>
      <c r="CN19" s="504">
        <v>43</v>
      </c>
      <c r="CO19" s="3161">
        <f>128*5+41+0.1545</f>
        <v>681.15449999999998</v>
      </c>
      <c r="CP19" s="504">
        <v>43</v>
      </c>
      <c r="CQ19" s="504">
        <v>20</v>
      </c>
      <c r="CR19" s="499">
        <v>24</v>
      </c>
      <c r="DD19">
        <v>2</v>
      </c>
      <c r="DE19">
        <f>CN16</f>
        <v>1410</v>
      </c>
      <c r="IU19" s="499" t="s">
        <v>857</v>
      </c>
      <c r="IV19" s="499" t="s">
        <v>856</v>
      </c>
    </row>
    <row r="20" spans="1:256" ht="9" customHeight="1" thickTop="1" thickBot="1">
      <c r="A20" s="514">
        <v>24</v>
      </c>
      <c r="B20" s="513"/>
      <c r="C20" s="513"/>
      <c r="D20" s="513"/>
      <c r="E20" s="513"/>
      <c r="F20" s="513"/>
      <c r="G20" s="503"/>
      <c r="H20" s="812"/>
      <c r="I20" s="498">
        <v>200000</v>
      </c>
      <c r="J20" s="498">
        <v>200000</v>
      </c>
      <c r="K20" s="498">
        <v>200000</v>
      </c>
      <c r="L20" s="498">
        <v>200000</v>
      </c>
      <c r="M20" s="498">
        <v>200000</v>
      </c>
      <c r="N20" s="498">
        <v>200000</v>
      </c>
      <c r="O20" s="498">
        <v>200000</v>
      </c>
      <c r="P20" s="773"/>
      <c r="Q20" s="503"/>
      <c r="R20" s="513"/>
      <c r="S20" s="513"/>
      <c r="T20" s="513"/>
      <c r="U20" s="3366">
        <v>42</v>
      </c>
      <c r="V20" s="3403">
        <f>128*9+52</f>
        <v>1204</v>
      </c>
      <c r="W20" s="3403">
        <f>128*9+52</f>
        <v>1204</v>
      </c>
      <c r="X20" s="3403">
        <f>128*9+52</f>
        <v>1204</v>
      </c>
      <c r="Y20" s="513"/>
      <c r="Z20" s="513"/>
      <c r="AA20" s="513"/>
      <c r="AB20" s="3366">
        <v>42</v>
      </c>
      <c r="AC20" s="513"/>
      <c r="AD20" s="513"/>
      <c r="AE20" s="513"/>
      <c r="AF20" s="513"/>
      <c r="AG20" s="513"/>
      <c r="AH20" s="513"/>
      <c r="AI20" s="3457">
        <v>42</v>
      </c>
      <c r="AJ20" s="781">
        <f t="shared" ref="AJ20:AP20" si="6">128*4+36</f>
        <v>548</v>
      </c>
      <c r="AK20" s="781">
        <f t="shared" si="6"/>
        <v>548</v>
      </c>
      <c r="AL20" s="781">
        <f t="shared" si="6"/>
        <v>548</v>
      </c>
      <c r="AM20" s="781">
        <f t="shared" si="6"/>
        <v>548</v>
      </c>
      <c r="AN20" s="781">
        <f t="shared" si="6"/>
        <v>548</v>
      </c>
      <c r="AO20" s="781">
        <f t="shared" si="6"/>
        <v>548</v>
      </c>
      <c r="AP20" s="781">
        <f t="shared" si="6"/>
        <v>548</v>
      </c>
      <c r="AQ20" s="3457">
        <v>42</v>
      </c>
      <c r="AR20" s="513"/>
      <c r="AS20" s="513"/>
      <c r="AT20" s="513"/>
      <c r="AU20" s="513"/>
      <c r="AV20" s="513"/>
      <c r="AW20" s="513"/>
      <c r="AX20" s="513"/>
      <c r="AY20" s="3457">
        <v>42</v>
      </c>
      <c r="AZ20" s="513"/>
      <c r="BA20" s="513"/>
      <c r="BB20" s="513"/>
      <c r="BC20" s="513"/>
      <c r="BD20" s="513"/>
      <c r="BE20" s="513"/>
      <c r="BF20" s="513"/>
      <c r="BG20" s="3366">
        <v>42</v>
      </c>
      <c r="BH20" s="513"/>
      <c r="BI20" s="513"/>
      <c r="BJ20" s="513"/>
      <c r="BK20" s="513"/>
      <c r="BL20" s="513"/>
      <c r="BM20" s="513"/>
      <c r="BN20" s="513"/>
      <c r="BO20" s="513"/>
      <c r="BP20" s="513"/>
      <c r="BQ20" s="513"/>
      <c r="BR20" s="513"/>
      <c r="BS20" s="513"/>
      <c r="BT20" s="523">
        <v>200020</v>
      </c>
      <c r="BU20" s="523">
        <v>200020</v>
      </c>
      <c r="BV20" s="523">
        <v>200020</v>
      </c>
      <c r="BW20" s="523">
        <v>200020</v>
      </c>
      <c r="BX20" s="523">
        <v>200020</v>
      </c>
      <c r="BY20" s="523">
        <v>200020</v>
      </c>
      <c r="BZ20" s="523">
        <v>200020</v>
      </c>
      <c r="CA20" s="523">
        <v>200020</v>
      </c>
      <c r="CB20" s="523">
        <v>200020</v>
      </c>
      <c r="CC20" s="523">
        <v>200020</v>
      </c>
      <c r="CD20" s="523">
        <v>200020</v>
      </c>
      <c r="CE20" s="523">
        <v>200020</v>
      </c>
      <c r="CF20" s="505">
        <v>200020</v>
      </c>
      <c r="CG20" s="504">
        <v>20</v>
      </c>
      <c r="CH20" s="504">
        <v>20</v>
      </c>
      <c r="CI20" s="1167">
        <f>128*9+82+0.213</f>
        <v>1234.213</v>
      </c>
      <c r="CJ20" s="3168">
        <f>128*9+81+0.212</f>
        <v>1233.212</v>
      </c>
      <c r="CK20" s="504">
        <v>43</v>
      </c>
      <c r="CL20" s="3167">
        <v>0.11550000000000001</v>
      </c>
      <c r="CM20" s="3169">
        <f>128*9+28+0.148</f>
        <v>1180.1479999999999</v>
      </c>
      <c r="CN20" s="504">
        <v>43</v>
      </c>
      <c r="CO20" s="758">
        <f>128*9+5+0.256+0.0011</f>
        <v>1157.2571</v>
      </c>
      <c r="CP20" s="2659">
        <f>43+0.2093</f>
        <v>43.209299999999999</v>
      </c>
      <c r="CQ20" s="504">
        <v>20</v>
      </c>
      <c r="CR20" s="499">
        <v>24</v>
      </c>
      <c r="DD20">
        <v>3</v>
      </c>
      <c r="DE20">
        <f>CM24</f>
        <v>1411</v>
      </c>
      <c r="IU20" s="499" t="s">
        <v>859</v>
      </c>
      <c r="IV20" s="499" t="s">
        <v>858</v>
      </c>
    </row>
    <row r="21" spans="1:256" ht="9" customHeight="1" thickTop="1" thickBot="1">
      <c r="A21" s="514">
        <v>24</v>
      </c>
      <c r="B21" s="513"/>
      <c r="C21" s="513"/>
      <c r="D21" s="513"/>
      <c r="E21" s="812"/>
      <c r="F21" s="812"/>
      <c r="G21" s="812"/>
      <c r="H21" s="812"/>
      <c r="I21" s="498">
        <f>200000+0.003</f>
        <v>200000.003</v>
      </c>
      <c r="J21" s="504"/>
      <c r="K21" s="504"/>
      <c r="L21" s="504"/>
      <c r="M21" s="504"/>
      <c r="N21" s="504"/>
      <c r="O21" s="498">
        <v>200000</v>
      </c>
      <c r="P21" s="773"/>
      <c r="Q21" s="773"/>
      <c r="R21" s="773">
        <f>128*14+16</f>
        <v>1808</v>
      </c>
      <c r="S21" s="3368">
        <f>128*16+64+6</f>
        <v>2118</v>
      </c>
      <c r="T21" s="3369"/>
      <c r="U21" s="1757"/>
      <c r="V21" s="1757"/>
      <c r="W21" s="1757"/>
      <c r="X21" s="3367"/>
      <c r="Y21" s="1757"/>
      <c r="Z21" s="1757"/>
      <c r="AA21" s="1757"/>
      <c r="AB21" s="1757"/>
      <c r="AC21" s="1757"/>
      <c r="AD21" s="1757"/>
      <c r="AE21" s="1757"/>
      <c r="AF21" s="1757"/>
      <c r="AG21" s="1757"/>
      <c r="AH21" s="1757"/>
      <c r="AI21" s="1757"/>
      <c r="AJ21" s="1757"/>
      <c r="AK21" s="1757"/>
      <c r="AL21" s="1757"/>
      <c r="AM21" s="1757"/>
      <c r="AN21" s="1757"/>
      <c r="AO21" s="1757"/>
      <c r="AP21" s="1757"/>
      <c r="AQ21" s="1757"/>
      <c r="AR21" s="1757"/>
      <c r="AS21" s="1757"/>
      <c r="AT21" s="1757"/>
      <c r="AU21" s="1757"/>
      <c r="AV21" s="1757"/>
      <c r="AW21" s="1757"/>
      <c r="AX21" s="1757"/>
      <c r="AY21" s="1757"/>
      <c r="AZ21" s="1757"/>
      <c r="BA21" s="1757"/>
      <c r="BB21" s="1757"/>
      <c r="BC21" s="1757"/>
      <c r="BD21" s="1757"/>
      <c r="BE21" s="3365">
        <f>128*9+16+0.5+0.256+0.0017</f>
        <v>1168.7577000000001</v>
      </c>
      <c r="BF21" s="1757"/>
      <c r="BG21" s="1757"/>
      <c r="BH21" s="1757"/>
      <c r="BI21" s="513">
        <f>128*9+6</f>
        <v>1158</v>
      </c>
      <c r="BJ21" s="539">
        <f>128*9+29</f>
        <v>1181</v>
      </c>
      <c r="BK21" s="3278"/>
      <c r="BL21" s="3327">
        <f>260000+128*9+30</f>
        <v>261182</v>
      </c>
      <c r="BM21" s="3327">
        <f>260000+128*9+30</f>
        <v>261182</v>
      </c>
      <c r="BN21" s="513"/>
      <c r="BO21" s="513"/>
      <c r="BP21" s="513"/>
      <c r="BQ21" s="513"/>
      <c r="BR21" s="513"/>
      <c r="BS21" s="513"/>
      <c r="BT21" s="538">
        <f>128*4+39</f>
        <v>551</v>
      </c>
      <c r="BU21" s="498">
        <v>200000</v>
      </c>
      <c r="BV21" s="503"/>
      <c r="BW21" s="503"/>
      <c r="BX21" s="1215">
        <f>128*4+39</f>
        <v>551</v>
      </c>
      <c r="BY21" s="757">
        <f>128*9+67+0.256+0.0203</f>
        <v>1219.2763</v>
      </c>
      <c r="BZ21" s="757"/>
      <c r="CA21" s="757">
        <f>128*9+67</f>
        <v>1219</v>
      </c>
      <c r="CB21" s="510"/>
      <c r="CC21" s="757">
        <f>128*9+67</f>
        <v>1219</v>
      </c>
      <c r="CD21" s="838">
        <f>0.384+0.0031</f>
        <v>0.3871</v>
      </c>
      <c r="CE21" s="757">
        <f>128*9+67</f>
        <v>1219</v>
      </c>
      <c r="CF21" s="510"/>
      <c r="CG21" s="505">
        <v>200020</v>
      </c>
      <c r="CH21" s="504">
        <v>20</v>
      </c>
      <c r="CI21" s="504">
        <v>20</v>
      </c>
      <c r="CJ21" s="504">
        <v>20</v>
      </c>
      <c r="CK21" s="504">
        <v>50</v>
      </c>
      <c r="CL21" s="504">
        <v>20</v>
      </c>
      <c r="CM21" s="504">
        <v>50</v>
      </c>
      <c r="CN21" s="504">
        <v>20</v>
      </c>
      <c r="CO21" s="504">
        <f>43+0.1599</f>
        <v>43.1599</v>
      </c>
      <c r="CP21" s="504">
        <v>20</v>
      </c>
      <c r="CQ21" s="499">
        <v>24</v>
      </c>
      <c r="CR21" s="499">
        <v>24</v>
      </c>
      <c r="DD21">
        <v>4</v>
      </c>
      <c r="DE21">
        <f>AR69</f>
        <v>490000</v>
      </c>
      <c r="IU21" s="499" t="s">
        <v>861</v>
      </c>
      <c r="IV21" s="499" t="s">
        <v>860</v>
      </c>
    </row>
    <row r="22" spans="1:256" ht="9" customHeight="1" thickTop="1" thickBot="1">
      <c r="A22" s="514">
        <v>24</v>
      </c>
      <c r="B22" s="513"/>
      <c r="C22" s="513"/>
      <c r="D22" s="513"/>
      <c r="E22" s="812"/>
      <c r="F22" s="498">
        <v>200000</v>
      </c>
      <c r="G22" s="498">
        <v>200000</v>
      </c>
      <c r="H22" s="498">
        <v>200000</v>
      </c>
      <c r="I22" s="498">
        <v>200042</v>
      </c>
      <c r="J22" s="504"/>
      <c r="K22" s="3132"/>
      <c r="L22" s="3359">
        <f>128*4+36</f>
        <v>548</v>
      </c>
      <c r="M22" s="3132"/>
      <c r="N22" s="504"/>
      <c r="O22" s="498">
        <v>200042</v>
      </c>
      <c r="P22" s="498">
        <v>200000</v>
      </c>
      <c r="Q22" s="498">
        <v>200000</v>
      </c>
      <c r="R22" s="498">
        <v>200000</v>
      </c>
      <c r="S22" s="707">
        <f>128*4+36+0.384+0.003</f>
        <v>548.38700000000006</v>
      </c>
      <c r="T22" s="513"/>
      <c r="U22" s="3366">
        <v>42</v>
      </c>
      <c r="V22" s="513"/>
      <c r="W22" s="513"/>
      <c r="X22" s="3403">
        <f>128*9+52</f>
        <v>1204</v>
      </c>
      <c r="Y22" s="513"/>
      <c r="Z22" s="513"/>
      <c r="AA22" s="513"/>
      <c r="AB22" s="3403">
        <f>128*9+52</f>
        <v>1204</v>
      </c>
      <c r="AC22" s="3403">
        <f>128*9+52</f>
        <v>1204</v>
      </c>
      <c r="AD22" s="3403">
        <f>128*9+52</f>
        <v>1204</v>
      </c>
      <c r="AE22" s="3403">
        <f>128*9+52+0.5+0.256+0.016</f>
        <v>1204.7720000000002</v>
      </c>
      <c r="AF22" s="3403">
        <f>128*9+52</f>
        <v>1204</v>
      </c>
      <c r="AG22" s="3403">
        <f>128*9+52</f>
        <v>1204</v>
      </c>
      <c r="AH22" s="3403">
        <f>128*9+52</f>
        <v>1204</v>
      </c>
      <c r="AI22" s="3457">
        <v>42</v>
      </c>
      <c r="AJ22" s="529">
        <f t="shared" ref="AJ22:AP22" si="7">128*4+36</f>
        <v>548</v>
      </c>
      <c r="AK22" s="529">
        <f t="shared" si="7"/>
        <v>548</v>
      </c>
      <c r="AL22" s="529">
        <f t="shared" si="7"/>
        <v>548</v>
      </c>
      <c r="AM22" s="529">
        <f t="shared" si="7"/>
        <v>548</v>
      </c>
      <c r="AN22" s="529">
        <f t="shared" si="7"/>
        <v>548</v>
      </c>
      <c r="AO22" s="529">
        <f t="shared" si="7"/>
        <v>548</v>
      </c>
      <c r="AP22" s="529">
        <f t="shared" si="7"/>
        <v>548</v>
      </c>
      <c r="AQ22" s="3458">
        <v>200042</v>
      </c>
      <c r="AR22" s="513"/>
      <c r="AS22" s="513"/>
      <c r="AT22" s="513"/>
      <c r="AU22" s="513"/>
      <c r="AV22" s="513"/>
      <c r="AW22" s="513"/>
      <c r="AX22" s="513"/>
      <c r="AY22" s="3457">
        <v>42</v>
      </c>
      <c r="AZ22" s="513"/>
      <c r="BA22" s="513"/>
      <c r="BB22" s="513"/>
      <c r="BC22" s="513"/>
      <c r="BD22" s="513"/>
      <c r="BE22" s="513"/>
      <c r="BF22" s="513"/>
      <c r="BG22" s="3366">
        <v>42</v>
      </c>
      <c r="BH22" s="513"/>
      <c r="BI22" s="513">
        <f>128*9+6</f>
        <v>1158</v>
      </c>
      <c r="BJ22" s="3364">
        <f>42+0.065</f>
        <v>42.064999999999998</v>
      </c>
      <c r="BK22" s="3635">
        <f>42+0.065</f>
        <v>42.064999999999998</v>
      </c>
      <c r="BL22" s="3331">
        <f>128*9+31</f>
        <v>1183</v>
      </c>
      <c r="BM22" s="3331">
        <f>128*9+31</f>
        <v>1183</v>
      </c>
      <c r="BN22" s="1757"/>
      <c r="BO22" s="1757"/>
      <c r="BP22" s="1757"/>
      <c r="BQ22" s="1757"/>
      <c r="BR22" s="1757"/>
      <c r="BS22" s="1757"/>
      <c r="BT22" s="3332">
        <f>128*9+16</f>
        <v>1168</v>
      </c>
      <c r="BU22" s="498">
        <f>200000+128*9+6</f>
        <v>201158</v>
      </c>
      <c r="BV22" s="836"/>
      <c r="BW22" s="503"/>
      <c r="BX22" s="503"/>
      <c r="BY22" s="503"/>
      <c r="BZ22" s="503"/>
      <c r="CA22" s="503"/>
      <c r="CB22" s="503"/>
      <c r="CC22" s="3565">
        <f>128*17+3</f>
        <v>2179</v>
      </c>
      <c r="CD22" s="503"/>
      <c r="CE22" s="503"/>
      <c r="CF22" s="1377">
        <f>128*9+67</f>
        <v>1219</v>
      </c>
      <c r="CG22" s="505">
        <v>200020</v>
      </c>
      <c r="CH22" s="505">
        <v>200020</v>
      </c>
      <c r="CI22" s="505">
        <v>35</v>
      </c>
      <c r="CJ22" s="505">
        <v>200020</v>
      </c>
      <c r="CK22" s="771">
        <v>200020</v>
      </c>
      <c r="CL22" s="771">
        <v>200020</v>
      </c>
      <c r="CM22" s="771">
        <v>200020</v>
      </c>
      <c r="CN22" s="771">
        <v>200020</v>
      </c>
      <c r="CO22" s="771">
        <v>200020</v>
      </c>
      <c r="CP22" s="771">
        <v>200020</v>
      </c>
      <c r="CQ22" s="771">
        <v>200020</v>
      </c>
      <c r="CR22" s="771">
        <v>200020</v>
      </c>
      <c r="DD22">
        <v>5</v>
      </c>
      <c r="DE22">
        <f>K65</f>
        <v>1413</v>
      </c>
      <c r="IU22" s="499" t="s">
        <v>863</v>
      </c>
      <c r="IV22" s="499" t="s">
        <v>862</v>
      </c>
    </row>
    <row r="23" spans="1:256" ht="9" customHeight="1" thickTop="1" thickBot="1">
      <c r="A23" s="514">
        <v>24</v>
      </c>
      <c r="B23" s="513"/>
      <c r="C23" s="513"/>
      <c r="D23" s="503"/>
      <c r="E23" s="812"/>
      <c r="F23" s="498">
        <v>200000</v>
      </c>
      <c r="G23" s="504"/>
      <c r="H23" s="504"/>
      <c r="I23" s="504">
        <v>3.0999999999999999E-3</v>
      </c>
      <c r="J23" s="504"/>
      <c r="K23" s="3132"/>
      <c r="L23" s="3334"/>
      <c r="M23" s="3132"/>
      <c r="N23" s="504"/>
      <c r="O23" s="504"/>
      <c r="P23" s="504"/>
      <c r="Q23" s="504"/>
      <c r="R23" s="498">
        <v>200000</v>
      </c>
      <c r="S23" s="773"/>
      <c r="T23" s="513"/>
      <c r="U23" s="513"/>
      <c r="V23" s="513"/>
      <c r="W23" s="513"/>
      <c r="X23" s="3403">
        <f>128*9+52</f>
        <v>1204</v>
      </c>
      <c r="Y23" s="3403">
        <f>128*9+52</f>
        <v>1204</v>
      </c>
      <c r="Z23" s="3403">
        <f>128*9+52</f>
        <v>1204</v>
      </c>
      <c r="AA23" s="513"/>
      <c r="AB23" s="3403">
        <f>128*9+52</f>
        <v>1204</v>
      </c>
      <c r="AC23" s="513"/>
      <c r="AD23" s="513"/>
      <c r="AE23" s="513"/>
      <c r="AF23" s="513"/>
      <c r="AG23" s="513"/>
      <c r="AH23" s="513"/>
      <c r="AI23" s="3403">
        <f>128*9+52</f>
        <v>1204</v>
      </c>
      <c r="AJ23" s="513"/>
      <c r="AK23" s="513"/>
      <c r="AL23" s="513"/>
      <c r="AM23" s="513"/>
      <c r="AN23" s="513"/>
      <c r="AO23" s="513"/>
      <c r="AP23" s="513"/>
      <c r="AQ23" s="3330">
        <v>350000</v>
      </c>
      <c r="AR23" s="513"/>
      <c r="AS23" s="513"/>
      <c r="AT23" s="513"/>
      <c r="AU23" s="513"/>
      <c r="AV23" s="513"/>
      <c r="AW23" s="513"/>
      <c r="AX23" s="513"/>
      <c r="AY23" s="513"/>
      <c r="AZ23" s="513"/>
      <c r="BA23" s="513"/>
      <c r="BB23" s="513"/>
      <c r="BC23" s="513"/>
      <c r="BD23" s="513"/>
      <c r="BE23" s="513"/>
      <c r="BF23" s="513"/>
      <c r="BG23" s="513"/>
      <c r="BH23" s="513"/>
      <c r="BI23" s="538">
        <f>128*9+29</f>
        <v>1181</v>
      </c>
      <c r="BJ23" s="513">
        <f>128*9+6</f>
        <v>1158</v>
      </c>
      <c r="BK23" s="513">
        <f>128*9+6</f>
        <v>1158</v>
      </c>
      <c r="BL23" s="513">
        <f>128*9+6</f>
        <v>1158</v>
      </c>
      <c r="BM23" s="513">
        <f>128*9+29</f>
        <v>1181</v>
      </c>
      <c r="BN23" s="513"/>
      <c r="BO23" s="513"/>
      <c r="BP23" s="513"/>
      <c r="BQ23" s="513"/>
      <c r="BR23" s="513"/>
      <c r="BS23" s="513"/>
      <c r="BT23" s="538">
        <f>128*4+39</f>
        <v>551</v>
      </c>
      <c r="BU23" s="498">
        <v>200000</v>
      </c>
      <c r="BV23" s="503"/>
      <c r="BW23" s="503"/>
      <c r="BX23" s="503"/>
      <c r="BY23" s="503"/>
      <c r="BZ23" s="503"/>
      <c r="CA23" s="503"/>
      <c r="CB23" s="503"/>
      <c r="CC23" s="503"/>
      <c r="CD23" s="503"/>
      <c r="CE23" s="503"/>
      <c r="CF23" s="3565">
        <f>128*17+3</f>
        <v>2179</v>
      </c>
      <c r="CG23" s="505">
        <v>200020</v>
      </c>
      <c r="CH23" s="505">
        <v>35</v>
      </c>
      <c r="CI23" s="3305">
        <f>128*10+16</f>
        <v>1296</v>
      </c>
      <c r="CJ23" s="505">
        <v>35</v>
      </c>
      <c r="CK23" s="498">
        <v>200020</v>
      </c>
      <c r="CL23" s="3192"/>
      <c r="CM23" s="3192"/>
      <c r="CN23" s="3192"/>
      <c r="CO23" s="3192"/>
      <c r="CP23" s="3194">
        <f>128*9+13</f>
        <v>1165</v>
      </c>
      <c r="CQ23" s="3192"/>
      <c r="CR23" s="771">
        <v>200020</v>
      </c>
      <c r="DD23">
        <v>6</v>
      </c>
      <c r="DE23">
        <f>AD60</f>
        <v>0</v>
      </c>
      <c r="IU23" s="499" t="s">
        <v>864</v>
      </c>
      <c r="IV23" s="499" t="s">
        <v>1052</v>
      </c>
    </row>
    <row r="24" spans="1:256" ht="9" customHeight="1" thickTop="1" thickBot="1">
      <c r="A24" s="514">
        <v>24</v>
      </c>
      <c r="B24" s="513"/>
      <c r="C24" s="812"/>
      <c r="D24" s="812"/>
      <c r="E24" s="812"/>
      <c r="F24" s="498">
        <v>200000</v>
      </c>
      <c r="G24" s="504"/>
      <c r="H24" s="3132"/>
      <c r="I24" s="3132"/>
      <c r="J24" s="3132"/>
      <c r="K24" s="3132"/>
      <c r="L24" s="3323"/>
      <c r="M24" s="3132"/>
      <c r="N24" s="3132"/>
      <c r="O24" s="3132"/>
      <c r="P24" s="3132"/>
      <c r="Q24" s="504"/>
      <c r="R24" s="498">
        <f>200000+0.003</f>
        <v>200000.003</v>
      </c>
      <c r="S24" s="773"/>
      <c r="T24" s="773"/>
      <c r="U24" s="773"/>
      <c r="V24" s="513"/>
      <c r="W24" s="513"/>
      <c r="X24" s="513"/>
      <c r="Y24" s="513"/>
      <c r="Z24" s="3403">
        <f>128*9+52</f>
        <v>1204</v>
      </c>
      <c r="AA24" s="513"/>
      <c r="AB24" s="3456">
        <v>43</v>
      </c>
      <c r="AC24" s="3403">
        <f>128*9+52</f>
        <v>1204</v>
      </c>
      <c r="AD24" s="3403">
        <f>128*9+52</f>
        <v>1204</v>
      </c>
      <c r="AE24" s="3403">
        <f>128*9+52</f>
        <v>1204</v>
      </c>
      <c r="AF24" s="3403">
        <f>128*9+52</f>
        <v>1204</v>
      </c>
      <c r="AG24" s="513"/>
      <c r="AH24" s="513"/>
      <c r="AI24" s="3403">
        <f>128*9+52</f>
        <v>1204</v>
      </c>
      <c r="AJ24" s="513"/>
      <c r="AK24" s="513"/>
      <c r="AL24" s="513"/>
      <c r="AM24" s="513"/>
      <c r="AN24" s="513"/>
      <c r="AO24" s="513"/>
      <c r="AP24" s="513"/>
      <c r="AQ24" s="3330">
        <v>350000</v>
      </c>
      <c r="AR24" s="513"/>
      <c r="AS24" s="513"/>
      <c r="AT24" s="513"/>
      <c r="AU24" s="513"/>
      <c r="AV24" s="513"/>
      <c r="AW24" s="513"/>
      <c r="AX24" s="513"/>
      <c r="AY24" s="513"/>
      <c r="AZ24" s="513"/>
      <c r="BA24" s="513"/>
      <c r="BB24" s="538">
        <f>128*4+12</f>
        <v>524</v>
      </c>
      <c r="BC24" s="3653">
        <f>0.256+0.001</f>
        <v>0.25700000000000001</v>
      </c>
      <c r="BD24" s="539">
        <f>128*4+12</f>
        <v>524</v>
      </c>
      <c r="BE24" s="513"/>
      <c r="BF24" s="513"/>
      <c r="BG24" s="513"/>
      <c r="BH24" s="513"/>
      <c r="BI24" s="513"/>
      <c r="BJ24" s="513"/>
      <c r="BK24" s="513"/>
      <c r="BL24" s="513"/>
      <c r="BM24" s="513"/>
      <c r="BN24" s="513"/>
      <c r="BO24" s="513"/>
      <c r="BP24" s="513"/>
      <c r="BQ24" s="513"/>
      <c r="BR24" s="513"/>
      <c r="BS24" s="513"/>
      <c r="BT24" s="538">
        <f>128*4+39</f>
        <v>551</v>
      </c>
      <c r="BU24" s="498">
        <v>200000</v>
      </c>
      <c r="BV24" s="503"/>
      <c r="BW24" s="503"/>
      <c r="BX24" s="503"/>
      <c r="BY24" s="503"/>
      <c r="BZ24" s="503">
        <f>128*14+7</f>
        <v>1799</v>
      </c>
      <c r="CA24" s="503">
        <f>128*14+7</f>
        <v>1799</v>
      </c>
      <c r="CB24" s="503">
        <f>128*14+7</f>
        <v>1799</v>
      </c>
      <c r="CC24" s="503"/>
      <c r="CD24" s="3565">
        <f>128*17+4</f>
        <v>2180</v>
      </c>
      <c r="CE24" s="503"/>
      <c r="CF24" s="503">
        <f>128*9+20+0.5+0.1614</f>
        <v>1172.6614</v>
      </c>
      <c r="CG24" s="505">
        <v>200020</v>
      </c>
      <c r="CH24" s="505">
        <v>35</v>
      </c>
      <c r="CI24" s="3305">
        <f>128*14+116</f>
        <v>1908</v>
      </c>
      <c r="CJ24" s="505">
        <v>35</v>
      </c>
      <c r="CK24" s="498">
        <v>200020</v>
      </c>
      <c r="CL24" s="3192"/>
      <c r="CM24" s="3189">
        <f>128*11+3</f>
        <v>1411</v>
      </c>
      <c r="CN24" s="3192"/>
      <c r="CO24" s="3192"/>
      <c r="CP24" s="3195">
        <f>128*9+88+0.256+0.0173</f>
        <v>1240.2733000000001</v>
      </c>
      <c r="CQ24" s="3192"/>
      <c r="CR24" s="771">
        <v>200020</v>
      </c>
      <c r="DD24">
        <v>7</v>
      </c>
      <c r="DE24">
        <f>S63</f>
        <v>1415.5592999999999</v>
      </c>
      <c r="IU24" s="499" t="s">
        <v>865</v>
      </c>
      <c r="IV24" s="499" t="s">
        <v>1053</v>
      </c>
    </row>
    <row r="25" spans="1:256" ht="9" customHeight="1" thickTop="1" thickBot="1">
      <c r="A25" s="514">
        <v>24</v>
      </c>
      <c r="B25" s="513"/>
      <c r="C25" s="812"/>
      <c r="D25" s="498">
        <v>200000</v>
      </c>
      <c r="E25" s="498">
        <v>200000</v>
      </c>
      <c r="F25" s="498">
        <v>200042</v>
      </c>
      <c r="G25" s="504"/>
      <c r="H25" s="3132"/>
      <c r="I25" s="3320"/>
      <c r="J25" s="3320"/>
      <c r="K25" s="3320"/>
      <c r="L25" s="3320"/>
      <c r="M25" s="3320"/>
      <c r="N25" s="3320"/>
      <c r="O25" s="3322"/>
      <c r="P25" s="3132"/>
      <c r="Q25" s="504"/>
      <c r="R25" s="498">
        <v>200042</v>
      </c>
      <c r="S25" s="498">
        <v>200000</v>
      </c>
      <c r="T25" s="498">
        <v>200000</v>
      </c>
      <c r="U25" s="773"/>
      <c r="V25" s="513"/>
      <c r="W25" s="513"/>
      <c r="X25" s="513"/>
      <c r="Y25" s="513"/>
      <c r="Z25" s="3403">
        <f>128*9+52</f>
        <v>1204</v>
      </c>
      <c r="AA25" s="513"/>
      <c r="AB25" s="513"/>
      <c r="AC25" s="513"/>
      <c r="AD25" s="513"/>
      <c r="AE25" s="513"/>
      <c r="AF25" s="3403">
        <f>128*9+52+0.5+0.256+0.015</f>
        <v>1204.7710000000002</v>
      </c>
      <c r="AG25" s="513"/>
      <c r="AH25" s="513"/>
      <c r="AI25" s="3403">
        <f>128*9+52</f>
        <v>1204</v>
      </c>
      <c r="AJ25" s="513"/>
      <c r="AK25" s="513"/>
      <c r="AL25" s="513"/>
      <c r="AM25" s="513"/>
      <c r="AN25" s="513"/>
      <c r="AO25" s="513"/>
      <c r="AP25" s="513"/>
      <c r="AQ25" s="3380">
        <f>350000+0.256+0.042</f>
        <v>350000.29800000001</v>
      </c>
      <c r="AR25" s="513"/>
      <c r="AS25" s="513"/>
      <c r="AT25" s="513"/>
      <c r="AU25" s="513"/>
      <c r="AV25" s="513"/>
      <c r="AW25" s="513"/>
      <c r="AX25" s="513"/>
      <c r="AY25" s="513"/>
      <c r="AZ25" s="513"/>
      <c r="BA25" s="513"/>
      <c r="BB25" s="538">
        <f>128*4+5</f>
        <v>517</v>
      </c>
      <c r="BC25" s="3404">
        <f>128*9+6</f>
        <v>1158</v>
      </c>
      <c r="BD25" s="539">
        <f>128*4+5</f>
        <v>517</v>
      </c>
      <c r="BE25" s="513"/>
      <c r="BF25" s="513"/>
      <c r="BG25" s="513"/>
      <c r="BH25" s="513"/>
      <c r="BI25" s="513"/>
      <c r="BJ25" s="3377">
        <f>128*9+30</f>
        <v>1182</v>
      </c>
      <c r="BK25" s="513"/>
      <c r="BL25" s="513"/>
      <c r="BM25" s="513"/>
      <c r="BN25" s="513"/>
      <c r="BO25" s="513"/>
      <c r="BP25" s="513"/>
      <c r="BQ25" s="513"/>
      <c r="BR25" s="513"/>
      <c r="BS25" s="513"/>
      <c r="BT25" s="517">
        <v>200020</v>
      </c>
      <c r="BU25" s="517">
        <v>200020</v>
      </c>
      <c r="BV25" s="525">
        <v>200020</v>
      </c>
      <c r="BW25" s="525">
        <v>200020</v>
      </c>
      <c r="BX25" s="525">
        <v>200020</v>
      </c>
      <c r="BY25" s="2053">
        <f>200020+0.184</f>
        <v>200020.18400000001</v>
      </c>
      <c r="BZ25" s="3371">
        <f>200000+128*9+72+0.207</f>
        <v>201224.20699999999</v>
      </c>
      <c r="CA25" s="3371">
        <f>200000+128*9+72+0.207</f>
        <v>201224.20699999999</v>
      </c>
      <c r="CB25" s="3371">
        <f>200000+128*9+72+0.207</f>
        <v>201224.20699999999</v>
      </c>
      <c r="CC25" s="2053">
        <f>200020+0.184</f>
        <v>200020.18400000001</v>
      </c>
      <c r="CD25" s="525">
        <v>200020</v>
      </c>
      <c r="CE25" s="525">
        <v>200020</v>
      </c>
      <c r="CF25" s="525">
        <v>200020</v>
      </c>
      <c r="CG25" s="2337">
        <v>200020</v>
      </c>
      <c r="CH25" s="505">
        <v>200035</v>
      </c>
      <c r="CI25" s="3306">
        <f>128*11+8</f>
        <v>1416</v>
      </c>
      <c r="CJ25" s="505">
        <v>35</v>
      </c>
      <c r="CK25" s="498">
        <v>200020</v>
      </c>
      <c r="CL25" s="3192"/>
      <c r="CM25" s="3192"/>
      <c r="CN25" s="3192"/>
      <c r="CO25" s="3192"/>
      <c r="CP25" s="752">
        <v>200020</v>
      </c>
      <c r="CQ25" s="3205">
        <f>128*8+9</f>
        <v>1033</v>
      </c>
      <c r="CR25" s="771">
        <v>200020</v>
      </c>
      <c r="DD25">
        <v>8</v>
      </c>
      <c r="DE25">
        <f>CD17</f>
        <v>1416</v>
      </c>
      <c r="IU25" s="499" t="s">
        <v>1003</v>
      </c>
      <c r="IV25" s="499" t="s">
        <v>1002</v>
      </c>
    </row>
    <row r="26" spans="1:256" ht="9" customHeight="1" thickTop="1" thickBot="1">
      <c r="A26" s="514">
        <v>24</v>
      </c>
      <c r="B26" s="513"/>
      <c r="C26" s="812"/>
      <c r="D26" s="498">
        <v>200000</v>
      </c>
      <c r="E26" s="3558">
        <f>128*17+4</f>
        <v>2180</v>
      </c>
      <c r="F26" s="504"/>
      <c r="G26" s="504"/>
      <c r="H26" s="3132"/>
      <c r="I26" s="3321"/>
      <c r="J26" s="3319">
        <f>260000+128*9+6</f>
        <v>261158</v>
      </c>
      <c r="K26" s="3304">
        <v>260000</v>
      </c>
      <c r="L26" s="3316">
        <f>260000+128*9+30+0.5+0.256+0.001</f>
        <v>261182.75699999998</v>
      </c>
      <c r="M26" s="3304">
        <v>260000</v>
      </c>
      <c r="N26" s="3317">
        <f>260000+128*9+6</f>
        <v>261158</v>
      </c>
      <c r="O26" s="3321"/>
      <c r="P26" s="3132"/>
      <c r="Q26" s="504"/>
      <c r="R26" s="504"/>
      <c r="S26" s="3558">
        <f>128*17+4</f>
        <v>2180</v>
      </c>
      <c r="T26" s="498">
        <v>200000</v>
      </c>
      <c r="U26" s="773"/>
      <c r="V26" s="773">
        <v>3.7000000000000002E-3</v>
      </c>
      <c r="W26" s="773"/>
      <c r="X26" s="773"/>
      <c r="Y26" s="812"/>
      <c r="Z26" s="812"/>
      <c r="AA26" s="812">
        <v>0.2112</v>
      </c>
      <c r="AB26" s="513"/>
      <c r="AC26" s="513"/>
      <c r="AD26" s="513"/>
      <c r="AE26" s="513"/>
      <c r="AF26" s="3403">
        <f>128*9+52</f>
        <v>1204</v>
      </c>
      <c r="AG26" s="513"/>
      <c r="AH26" s="513"/>
      <c r="AI26" s="3403">
        <f>128*9+52+0.5+0.256+0.007</f>
        <v>1204.7630000000001</v>
      </c>
      <c r="AJ26" s="513"/>
      <c r="AK26" s="513"/>
      <c r="AL26" s="513"/>
      <c r="AM26" s="513"/>
      <c r="AN26" s="513"/>
      <c r="AO26" s="513"/>
      <c r="AP26" s="513"/>
      <c r="AQ26" s="3330">
        <v>350000</v>
      </c>
      <c r="AR26" s="513"/>
      <c r="AS26" s="513"/>
      <c r="AT26" s="513"/>
      <c r="AU26" s="513"/>
      <c r="AV26" s="513"/>
      <c r="AW26" s="513"/>
      <c r="AX26" s="513"/>
      <c r="AY26" s="513"/>
      <c r="AZ26" s="513"/>
      <c r="BA26" s="513"/>
      <c r="BB26" s="538">
        <f>128*4+12</f>
        <v>524</v>
      </c>
      <c r="BC26" s="3404">
        <f>128*9+6+0.5+0.384+0.003</f>
        <v>1158.8869999999999</v>
      </c>
      <c r="BD26" s="539">
        <f>128*4+12</f>
        <v>524</v>
      </c>
      <c r="BE26" s="513"/>
      <c r="BF26" s="513"/>
      <c r="BG26" s="513"/>
      <c r="BH26" s="513"/>
      <c r="BI26" s="513"/>
      <c r="BJ26" s="529">
        <f>128*9+71</f>
        <v>1223</v>
      </c>
      <c r="BK26" s="513"/>
      <c r="BL26" s="513"/>
      <c r="BM26" s="513"/>
      <c r="BN26" s="513"/>
      <c r="BO26" s="513"/>
      <c r="BP26" s="513"/>
      <c r="BQ26" s="513"/>
      <c r="BR26" s="532">
        <f>128*9+25+0.11</f>
        <v>1177.1099999999999</v>
      </c>
      <c r="BS26" s="518"/>
      <c r="BT26" s="517">
        <v>200020</v>
      </c>
      <c r="BU26" s="3338">
        <f>128*10+15</f>
        <v>1295</v>
      </c>
      <c r="BV26" s="3348">
        <f>128*9+66+0.185</f>
        <v>1218.1849999999999</v>
      </c>
      <c r="BW26" s="3345">
        <f>200020+0.18</f>
        <v>200020.18</v>
      </c>
      <c r="BX26" s="3134"/>
      <c r="BY26" s="3134"/>
      <c r="BZ26" s="3134">
        <f>128*14+8</f>
        <v>1800</v>
      </c>
      <c r="CA26" s="3134">
        <f>128*14+8</f>
        <v>1800</v>
      </c>
      <c r="CB26" s="3134">
        <f>128*14+8</f>
        <v>1800</v>
      </c>
      <c r="CC26" s="3134"/>
      <c r="CD26" s="525">
        <v>200020</v>
      </c>
      <c r="CE26" s="3339">
        <f>128*9+81+0.212</f>
        <v>1233.212</v>
      </c>
      <c r="CF26" s="3339">
        <f>128*9+82+0.213</f>
        <v>1234.213</v>
      </c>
      <c r="CG26" s="517">
        <v>200020</v>
      </c>
      <c r="CH26" s="505">
        <v>200020</v>
      </c>
      <c r="CI26" s="505">
        <f>35+0.207</f>
        <v>35.207000000000001</v>
      </c>
      <c r="CJ26" s="505">
        <v>200020</v>
      </c>
      <c r="CK26" s="771">
        <v>200020</v>
      </c>
      <c r="CL26" s="771">
        <v>200020</v>
      </c>
      <c r="CM26" s="498">
        <v>200020</v>
      </c>
      <c r="CN26" s="3206">
        <f>200000+128*9+72+0.207</f>
        <v>201224.20699999999</v>
      </c>
      <c r="CO26" s="3206">
        <f>200000+128*9+72+0.207</f>
        <v>201224.20699999999</v>
      </c>
      <c r="CP26" s="771">
        <v>200020</v>
      </c>
      <c r="CQ26" s="771">
        <v>200020</v>
      </c>
      <c r="CR26" s="771">
        <v>200020</v>
      </c>
      <c r="DD26" s="3654">
        <v>0.3888888888888889</v>
      </c>
      <c r="DE26">
        <f>BX41</f>
        <v>1417</v>
      </c>
      <c r="IU26" s="499" t="s">
        <v>954</v>
      </c>
      <c r="IV26" s="499">
        <v>1</v>
      </c>
    </row>
    <row r="27" spans="1:256" ht="9" customHeight="1" thickTop="1" thickBot="1">
      <c r="A27" s="514">
        <v>24</v>
      </c>
      <c r="B27" s="513"/>
      <c r="C27" s="812"/>
      <c r="D27" s="498">
        <v>200000</v>
      </c>
      <c r="E27" s="504"/>
      <c r="F27" s="3132"/>
      <c r="G27" s="3132"/>
      <c r="H27" s="3132"/>
      <c r="I27" s="3321"/>
      <c r="J27" s="3315">
        <f>260000+128*9+30</f>
        <v>261182</v>
      </c>
      <c r="K27" s="3318">
        <f>260000+128*9+29</f>
        <v>261181</v>
      </c>
      <c r="L27" s="1120"/>
      <c r="M27" s="1120"/>
      <c r="N27" s="3304">
        <v>260000</v>
      </c>
      <c r="O27" s="3321"/>
      <c r="P27" s="3132"/>
      <c r="Q27" s="3132"/>
      <c r="R27" s="3132"/>
      <c r="S27" s="504"/>
      <c r="T27" s="498">
        <v>200000</v>
      </c>
      <c r="U27" s="773"/>
      <c r="V27" s="812"/>
      <c r="W27" s="3389"/>
      <c r="X27" s="3389"/>
      <c r="Y27" s="1603"/>
      <c r="Z27" s="1603"/>
      <c r="AA27" s="812"/>
      <c r="AB27" s="513"/>
      <c r="AC27" s="513"/>
      <c r="AD27" s="3403">
        <f>128*9+52</f>
        <v>1204</v>
      </c>
      <c r="AE27" s="3403">
        <f>128*9+52</f>
        <v>1204</v>
      </c>
      <c r="AF27" s="3456">
        <v>43</v>
      </c>
      <c r="AG27" s="513"/>
      <c r="AH27" s="513"/>
      <c r="AI27" s="3403">
        <f>128*9+52</f>
        <v>1204</v>
      </c>
      <c r="AJ27" s="513"/>
      <c r="AK27" s="513"/>
      <c r="AL27" s="513"/>
      <c r="AM27" s="513"/>
      <c r="AN27" s="781">
        <f>128*9+29</f>
        <v>1181</v>
      </c>
      <c r="AO27" s="513">
        <f>128*9+6</f>
        <v>1158</v>
      </c>
      <c r="AP27" s="513">
        <f>128*9+6</f>
        <v>1158</v>
      </c>
      <c r="AQ27" s="3304">
        <f>350000+128*9+6</f>
        <v>351158</v>
      </c>
      <c r="AR27" s="538">
        <f>128*9+71</f>
        <v>1223</v>
      </c>
      <c r="AS27" s="513">
        <f>128*9+70+0.5+0.2112</f>
        <v>1222.7112</v>
      </c>
      <c r="AT27" s="513"/>
      <c r="AU27" s="513"/>
      <c r="AV27" s="513"/>
      <c r="AW27" s="513"/>
      <c r="AX27" s="513"/>
      <c r="AY27" s="513"/>
      <c r="AZ27" s="513"/>
      <c r="BA27" s="513"/>
      <c r="BB27" s="538">
        <f>128*4+5</f>
        <v>517</v>
      </c>
      <c r="BC27" s="3404">
        <f>128*9+6</f>
        <v>1158</v>
      </c>
      <c r="BD27" s="539">
        <f>128*4+5</f>
        <v>517</v>
      </c>
      <c r="BE27" s="513"/>
      <c r="BF27" s="513"/>
      <c r="BG27" s="513"/>
      <c r="BH27" s="513"/>
      <c r="BI27" s="3414">
        <f>128*9+29</f>
        <v>1181</v>
      </c>
      <c r="BJ27" s="3416">
        <f>128*16+6</f>
        <v>2054</v>
      </c>
      <c r="BK27" s="513"/>
      <c r="BL27" s="513"/>
      <c r="BM27" s="513"/>
      <c r="BN27" s="513"/>
      <c r="BO27" s="518"/>
      <c r="BP27" s="518"/>
      <c r="BQ27" s="503"/>
      <c r="BR27" s="518"/>
      <c r="BS27" s="503">
        <f>128*9+20+0.5+0.256+0.0154</f>
        <v>1172.7714000000001</v>
      </c>
      <c r="BT27" s="1466">
        <f>200020+0.184</f>
        <v>200020.18400000001</v>
      </c>
      <c r="BU27" s="3338"/>
      <c r="BV27" s="3338"/>
      <c r="BW27" s="3346">
        <f>200000+128*5+38</f>
        <v>200678</v>
      </c>
      <c r="BX27" s="3134"/>
      <c r="BY27" s="3337"/>
      <c r="BZ27" s="3337"/>
      <c r="CA27" s="3337"/>
      <c r="CB27" s="3337"/>
      <c r="CC27" s="3134"/>
      <c r="CD27" s="3338">
        <f>200000+128*5+38</f>
        <v>200678</v>
      </c>
      <c r="CE27" s="3338"/>
      <c r="CF27" s="3340">
        <f>128*9+83+0.5+0.256+0.022</f>
        <v>1235.778</v>
      </c>
      <c r="CG27" s="517">
        <v>200020</v>
      </c>
      <c r="CH27" s="505">
        <v>200020</v>
      </c>
      <c r="CI27" s="505">
        <v>200020</v>
      </c>
      <c r="CJ27" s="505">
        <v>200020</v>
      </c>
      <c r="CK27" s="771">
        <v>200020</v>
      </c>
      <c r="CL27" s="3134"/>
      <c r="CM27" s="3134"/>
      <c r="CN27" s="3134"/>
      <c r="CO27" s="3134"/>
      <c r="CP27" s="3134"/>
      <c r="CQ27" s="3135"/>
      <c r="CR27" s="771">
        <v>200020</v>
      </c>
      <c r="DD27" s="2218">
        <v>21</v>
      </c>
      <c r="DE27">
        <f>BN44</f>
        <v>1429</v>
      </c>
      <c r="IU27" s="499" t="s">
        <v>953</v>
      </c>
      <c r="IV27" s="499">
        <v>50</v>
      </c>
    </row>
    <row r="28" spans="1:256" ht="9" customHeight="1" thickTop="1" thickBot="1">
      <c r="A28" s="514">
        <v>24</v>
      </c>
      <c r="B28" s="513"/>
      <c r="C28" s="812"/>
      <c r="D28" s="498">
        <v>200000</v>
      </c>
      <c r="E28" s="504">
        <f>0.256+0.001</f>
        <v>0.25700000000000001</v>
      </c>
      <c r="F28" s="3132"/>
      <c r="G28" s="504"/>
      <c r="H28" s="504"/>
      <c r="I28" s="3321"/>
      <c r="J28" s="3304">
        <v>260000</v>
      </c>
      <c r="K28" s="1120"/>
      <c r="L28" s="3370">
        <f>128*9+31+0.256+0.003</f>
        <v>1183.259</v>
      </c>
      <c r="M28" s="1120"/>
      <c r="N28" s="3304">
        <v>260000</v>
      </c>
      <c r="O28" s="3321"/>
      <c r="P28" s="504"/>
      <c r="Q28" s="515"/>
      <c r="R28" s="3132"/>
      <c r="S28" s="504"/>
      <c r="T28" s="498">
        <v>200000</v>
      </c>
      <c r="U28" s="777"/>
      <c r="V28" s="3389"/>
      <c r="W28" s="3360">
        <f>128*11+22</f>
        <v>1430</v>
      </c>
      <c r="X28" s="3389"/>
      <c r="Y28" s="1604"/>
      <c r="Z28" s="1604"/>
      <c r="AA28" s="3563">
        <f>128*17+8</f>
        <v>2184</v>
      </c>
      <c r="AB28" s="513"/>
      <c r="AC28" s="513"/>
      <c r="AD28" s="3403">
        <f>128*9+52</f>
        <v>1204</v>
      </c>
      <c r="AE28" s="513"/>
      <c r="AF28" s="513"/>
      <c r="AG28" s="513"/>
      <c r="AH28" s="513"/>
      <c r="AI28" s="3403">
        <f>128*9+52</f>
        <v>1204</v>
      </c>
      <c r="AJ28" s="513"/>
      <c r="AK28" s="513"/>
      <c r="AL28" s="513"/>
      <c r="AM28" s="513"/>
      <c r="AN28" s="3373">
        <v>0.21179999999999999</v>
      </c>
      <c r="AO28" s="3372">
        <v>200020</v>
      </c>
      <c r="AP28" s="3372">
        <v>200020</v>
      </c>
      <c r="AQ28" s="3385">
        <f>200000+128*11+24</f>
        <v>201432</v>
      </c>
      <c r="AR28" s="3375">
        <v>200020</v>
      </c>
      <c r="AS28" s="529">
        <f>128*9+71</f>
        <v>1223</v>
      </c>
      <c r="AT28" s="513"/>
      <c r="AU28" s="513"/>
      <c r="AV28" s="781">
        <f>128*9+51</f>
        <v>1203</v>
      </c>
      <c r="AW28" s="513"/>
      <c r="AX28" s="3405">
        <f>350000+128*4+5</f>
        <v>350517</v>
      </c>
      <c r="AY28" s="3330">
        <v>40004</v>
      </c>
      <c r="AZ28" s="781">
        <f>128*4+12</f>
        <v>524</v>
      </c>
      <c r="BA28" s="781">
        <f>128*4+13</f>
        <v>525</v>
      </c>
      <c r="BB28" s="781">
        <v>12</v>
      </c>
      <c r="BC28" s="3404">
        <f>128*9+6</f>
        <v>1158</v>
      </c>
      <c r="BD28" s="781">
        <v>12</v>
      </c>
      <c r="BE28" s="781">
        <f>128*4+13</f>
        <v>525</v>
      </c>
      <c r="BF28" s="781">
        <f>128*4+12</f>
        <v>524</v>
      </c>
      <c r="BG28" s="513"/>
      <c r="BH28" s="3414">
        <f>128*9+29</f>
        <v>1181</v>
      </c>
      <c r="BI28" s="3415">
        <f>128*9+6</f>
        <v>1158</v>
      </c>
      <c r="BJ28" s="3415">
        <f>128*9+29</f>
        <v>1181</v>
      </c>
      <c r="BK28" s="513"/>
      <c r="BL28" s="513"/>
      <c r="BM28" s="513"/>
      <c r="BN28" s="503"/>
      <c r="BO28" s="503"/>
      <c r="BP28" s="518"/>
      <c r="BQ28" s="503"/>
      <c r="BR28" s="517">
        <v>430043</v>
      </c>
      <c r="BS28" s="517">
        <v>430043</v>
      </c>
      <c r="BT28" s="517">
        <v>200020</v>
      </c>
      <c r="BU28" s="3349">
        <f>200020+0.065</f>
        <v>200020.065</v>
      </c>
      <c r="BV28" s="3338"/>
      <c r="BW28" s="517">
        <v>200020</v>
      </c>
      <c r="BX28" s="3134"/>
      <c r="BY28" s="3337"/>
      <c r="BZ28" s="3337"/>
      <c r="CA28" s="3337">
        <f t="shared" ref="BY28:CB30" si="8">0.005+0.5</f>
        <v>0.505</v>
      </c>
      <c r="CB28" s="3337"/>
      <c r="CC28" s="3134">
        <f t="shared" ref="CC28:CC35" si="9">0.005+0.5</f>
        <v>0.505</v>
      </c>
      <c r="CD28" s="525">
        <v>200020</v>
      </c>
      <c r="CE28" s="3338">
        <v>0.115</v>
      </c>
      <c r="CF28" s="3338"/>
      <c r="CG28" s="517">
        <v>200020</v>
      </c>
      <c r="CH28" s="503"/>
      <c r="CI28" s="503"/>
      <c r="CJ28" s="505">
        <v>200020</v>
      </c>
      <c r="CK28" s="771">
        <v>200020</v>
      </c>
      <c r="CL28" s="3135"/>
      <c r="CM28" s="3143">
        <f>490000+128*4+34+0.384+0.003</f>
        <v>490546.38700000005</v>
      </c>
      <c r="CN28" s="2959"/>
      <c r="CO28" s="2394"/>
      <c r="CP28" s="3143">
        <f>490000+128*4+34+0.384+0.004</f>
        <v>490546.38800000004</v>
      </c>
      <c r="CQ28" s="3135"/>
      <c r="CR28" s="771">
        <v>200020</v>
      </c>
      <c r="DD28" s="2218">
        <v>22</v>
      </c>
      <c r="DE28">
        <f>W28</f>
        <v>1430</v>
      </c>
      <c r="IU28" s="499" t="s">
        <v>963</v>
      </c>
      <c r="IV28" t="s">
        <v>324</v>
      </c>
    </row>
    <row r="29" spans="1:256" ht="9" customHeight="1" thickTop="1" thickBot="1">
      <c r="A29" s="514">
        <v>24</v>
      </c>
      <c r="B29" s="513"/>
      <c r="C29" s="812"/>
      <c r="D29" s="498">
        <v>200000</v>
      </c>
      <c r="E29" s="504"/>
      <c r="F29" s="3132"/>
      <c r="G29" s="3132"/>
      <c r="H29" s="3132"/>
      <c r="I29" s="3321"/>
      <c r="J29" s="3304">
        <v>260000</v>
      </c>
      <c r="K29" s="1120"/>
      <c r="L29" s="1120"/>
      <c r="M29" s="1120"/>
      <c r="N29" s="3312">
        <f>260000+128*9+30</f>
        <v>261182</v>
      </c>
      <c r="O29" s="3321"/>
      <c r="P29" s="3132"/>
      <c r="Q29" s="3132"/>
      <c r="R29" s="3132"/>
      <c r="S29" s="504"/>
      <c r="T29" s="498">
        <v>200000</v>
      </c>
      <c r="U29" s="773"/>
      <c r="V29" s="812"/>
      <c r="W29" s="3389"/>
      <c r="X29" s="3389"/>
      <c r="Y29" s="1604"/>
      <c r="Z29" s="1604"/>
      <c r="AA29" s="812"/>
      <c r="AB29" s="513"/>
      <c r="AC29" s="513"/>
      <c r="AD29" s="3403">
        <f>128*9+52</f>
        <v>1204</v>
      </c>
      <c r="AE29" s="513"/>
      <c r="AF29" s="513"/>
      <c r="AG29" s="3361">
        <f>0.256+0.05</f>
        <v>0.30599999999999999</v>
      </c>
      <c r="AH29" s="513"/>
      <c r="AI29" s="3456">
        <v>43</v>
      </c>
      <c r="AJ29" s="3403">
        <f>128*9+52</f>
        <v>1204</v>
      </c>
      <c r="AK29" s="3403">
        <f>128*9+52</f>
        <v>1204</v>
      </c>
      <c r="AL29" s="3403">
        <f>128*9+52</f>
        <v>1204</v>
      </c>
      <c r="AM29" s="3403">
        <f>128*9+52</f>
        <v>1204</v>
      </c>
      <c r="AN29" s="514"/>
      <c r="AO29" s="996">
        <f>200000+128*5+35</f>
        <v>200675</v>
      </c>
      <c r="AP29" s="3376">
        <f>128*11+23</f>
        <v>1431</v>
      </c>
      <c r="AQ29" s="505">
        <f>200049+0.067</f>
        <v>200049.06700000001</v>
      </c>
      <c r="AR29" s="3386">
        <f>200000+128*11+25</f>
        <v>201433</v>
      </c>
      <c r="AS29" s="3304">
        <f>350000+128*9+6</f>
        <v>351158</v>
      </c>
      <c r="AT29" s="3330">
        <v>350000</v>
      </c>
      <c r="AU29" s="3330">
        <v>350000</v>
      </c>
      <c r="AV29" s="3330">
        <f>350000+128*9+70+0.5+0.256+0.049</f>
        <v>351222.80499999999</v>
      </c>
      <c r="AW29" s="3330">
        <v>350000</v>
      </c>
      <c r="AX29" s="3409">
        <f>128*4+5</f>
        <v>517</v>
      </c>
      <c r="AY29" s="3407">
        <f>200000+128*11+28+0.5</f>
        <v>201436.5</v>
      </c>
      <c r="AZ29" s="3406">
        <f>40000+128*9+6</f>
        <v>41158</v>
      </c>
      <c r="BA29" s="3404">
        <f>128*9+6</f>
        <v>1158</v>
      </c>
      <c r="BB29" s="3404">
        <f>128*9+6</f>
        <v>1158</v>
      </c>
      <c r="BC29" s="3404">
        <f>128*9+6</f>
        <v>1158</v>
      </c>
      <c r="BD29" s="3404">
        <f>128*9+6</f>
        <v>1158</v>
      </c>
      <c r="BE29" s="3404">
        <f>128*9+6+0.5+0.384+0.003</f>
        <v>1158.8869999999999</v>
      </c>
      <c r="BF29" s="3404">
        <f>128*9+6</f>
        <v>1158</v>
      </c>
      <c r="BG29" s="3415">
        <f>128*9+6</f>
        <v>1158</v>
      </c>
      <c r="BH29" s="3415">
        <f>128*9+6</f>
        <v>1158</v>
      </c>
      <c r="BI29" s="3415">
        <f>128*9+29</f>
        <v>1181</v>
      </c>
      <c r="BJ29" s="513"/>
      <c r="BK29" s="513"/>
      <c r="BL29" s="513"/>
      <c r="BM29" s="513"/>
      <c r="BN29" s="518"/>
      <c r="BO29" s="532">
        <f>128*9+25+0.11</f>
        <v>1177.1099999999999</v>
      </c>
      <c r="BP29" s="503"/>
      <c r="BQ29" s="518"/>
      <c r="BR29" s="517">
        <v>430043</v>
      </c>
      <c r="BS29" s="1465">
        <f>128*9+67+0.384+0.0035</f>
        <v>1219.3875</v>
      </c>
      <c r="BT29" s="517">
        <v>430043</v>
      </c>
      <c r="BU29" s="517">
        <v>200020</v>
      </c>
      <c r="BV29" s="3338"/>
      <c r="BW29" s="1470">
        <f t="shared" ref="BW29:BW35" si="10">200000+128*4+34</f>
        <v>200546</v>
      </c>
      <c r="BX29" s="3134"/>
      <c r="BY29" s="3337">
        <f t="shared" si="8"/>
        <v>0.505</v>
      </c>
      <c r="BZ29" s="3337">
        <f t="shared" si="8"/>
        <v>0.505</v>
      </c>
      <c r="CA29" s="3337">
        <f t="shared" si="8"/>
        <v>0.505</v>
      </c>
      <c r="CB29" s="3337">
        <f t="shared" si="8"/>
        <v>0.505</v>
      </c>
      <c r="CC29" s="3134">
        <f t="shared" si="9"/>
        <v>0.505</v>
      </c>
      <c r="CD29" s="525">
        <v>200020</v>
      </c>
      <c r="CE29" s="525">
        <v>200020</v>
      </c>
      <c r="CF29" s="3338">
        <f>128*5+40</f>
        <v>680</v>
      </c>
      <c r="CG29" s="517">
        <v>200020</v>
      </c>
      <c r="CH29" s="503"/>
      <c r="CI29" s="503"/>
      <c r="CJ29" s="505">
        <v>200020</v>
      </c>
      <c r="CK29" s="771">
        <v>200020</v>
      </c>
      <c r="CL29" s="3134"/>
      <c r="CM29" s="2959"/>
      <c r="CN29" s="2959"/>
      <c r="CO29" s="2959"/>
      <c r="CP29" s="2959"/>
      <c r="CQ29" s="3135"/>
      <c r="CR29" s="771">
        <v>200020</v>
      </c>
      <c r="DD29" s="2218">
        <v>23</v>
      </c>
      <c r="DE29">
        <f>AP29</f>
        <v>1431</v>
      </c>
      <c r="IU29" s="499" t="s">
        <v>983</v>
      </c>
      <c r="IV29" t="s">
        <v>322</v>
      </c>
    </row>
    <row r="30" spans="1:256" ht="9" customHeight="1" thickTop="1" thickBot="1">
      <c r="A30" s="514">
        <v>24</v>
      </c>
      <c r="B30" s="513"/>
      <c r="C30" s="812"/>
      <c r="D30" s="498">
        <v>200000</v>
      </c>
      <c r="E30" s="3558">
        <f>128*17+4</f>
        <v>2180</v>
      </c>
      <c r="F30" s="504"/>
      <c r="G30" s="504"/>
      <c r="H30" s="3132"/>
      <c r="I30" s="3321"/>
      <c r="J30" s="3313">
        <f>260000+128*9+29</f>
        <v>261181</v>
      </c>
      <c r="K30" s="3304">
        <v>260000</v>
      </c>
      <c r="L30" s="3314">
        <f>260000+128*9+30+0.5+0.384+0.004</f>
        <v>261182.88799999998</v>
      </c>
      <c r="M30" s="3304">
        <v>260000</v>
      </c>
      <c r="N30" s="3318">
        <f>260000+128*9+29</f>
        <v>261181</v>
      </c>
      <c r="O30" s="3321"/>
      <c r="P30" s="3132"/>
      <c r="Q30" s="504"/>
      <c r="R30" s="504"/>
      <c r="S30" s="3558">
        <f>128*17+3</f>
        <v>2179</v>
      </c>
      <c r="T30" s="498">
        <v>200000</v>
      </c>
      <c r="U30" s="773"/>
      <c r="V30" s="773"/>
      <c r="W30" s="773"/>
      <c r="X30" s="773"/>
      <c r="Y30" s="812"/>
      <c r="Z30" s="812"/>
      <c r="AA30" s="812">
        <v>0.2114</v>
      </c>
      <c r="AB30" s="513"/>
      <c r="AC30" s="513"/>
      <c r="AD30" s="3403">
        <f>128*9+52</f>
        <v>1204</v>
      </c>
      <c r="AE30" s="513"/>
      <c r="AF30" s="513"/>
      <c r="AG30" s="3403">
        <f>128*9+52</f>
        <v>1204</v>
      </c>
      <c r="AH30" s="513"/>
      <c r="AI30" s="513"/>
      <c r="AJ30" s="513"/>
      <c r="AK30" s="513"/>
      <c r="AL30" s="513"/>
      <c r="AM30" s="513"/>
      <c r="AN30" s="3374">
        <v>0.21160000000000001</v>
      </c>
      <c r="AO30" s="523">
        <v>200020</v>
      </c>
      <c r="AP30" s="523">
        <v>200020</v>
      </c>
      <c r="AQ30" s="3387">
        <f>200000+128*11+26</f>
        <v>201434</v>
      </c>
      <c r="AR30" s="505">
        <v>200020</v>
      </c>
      <c r="AS30" s="781">
        <f>128*9+71</f>
        <v>1223</v>
      </c>
      <c r="AT30" s="513"/>
      <c r="AU30" s="513"/>
      <c r="AV30" s="513">
        <f>128*9+70</f>
        <v>1222</v>
      </c>
      <c r="AW30" s="513"/>
      <c r="AX30" s="3405">
        <f>350000+128*4+5</f>
        <v>350517</v>
      </c>
      <c r="AY30" s="3330">
        <v>40004</v>
      </c>
      <c r="AZ30" s="529">
        <f>128*4+12</f>
        <v>524</v>
      </c>
      <c r="BA30" s="529">
        <f>128*4+13</f>
        <v>525</v>
      </c>
      <c r="BB30" s="529">
        <f>128*4+12</f>
        <v>524</v>
      </c>
      <c r="BC30" s="529">
        <f>128*4+13</f>
        <v>525</v>
      </c>
      <c r="BD30" s="529">
        <f>128*4+12</f>
        <v>524</v>
      </c>
      <c r="BE30" s="529">
        <f>128*4+13</f>
        <v>525</v>
      </c>
      <c r="BF30" s="529">
        <f>128*4+12</f>
        <v>524</v>
      </c>
      <c r="BG30" s="513"/>
      <c r="BH30" s="513"/>
      <c r="BI30" s="513"/>
      <c r="BJ30" s="513"/>
      <c r="BK30" s="513"/>
      <c r="BL30" s="513"/>
      <c r="BM30" s="518"/>
      <c r="BN30" s="518"/>
      <c r="BO30" s="503"/>
      <c r="BP30" s="503"/>
      <c r="BQ30" s="503">
        <v>6.0299999999999999E-2</v>
      </c>
      <c r="BR30" s="1388">
        <f>430000+128*5+38</f>
        <v>430678</v>
      </c>
      <c r="BS30" s="1453"/>
      <c r="BT30" s="517">
        <v>430043</v>
      </c>
      <c r="BU30" s="517">
        <v>200020</v>
      </c>
      <c r="BV30" s="3338"/>
      <c r="BW30" s="3347">
        <f t="shared" si="10"/>
        <v>200546</v>
      </c>
      <c r="BX30" s="3134">
        <f>0.005+0.5</f>
        <v>0.505</v>
      </c>
      <c r="BY30" s="3337">
        <f t="shared" si="8"/>
        <v>0.505</v>
      </c>
      <c r="BZ30" s="3337">
        <f t="shared" si="8"/>
        <v>0.505</v>
      </c>
      <c r="CA30" s="511">
        <f t="shared" si="8"/>
        <v>0.505</v>
      </c>
      <c r="CB30" s="3337">
        <f t="shared" si="8"/>
        <v>0.505</v>
      </c>
      <c r="CC30" s="3337">
        <f t="shared" si="9"/>
        <v>0.505</v>
      </c>
      <c r="CD30" s="3134">
        <f>0.005+0.5</f>
        <v>0.505</v>
      </c>
      <c r="CE30" s="3340">
        <f t="shared" ref="CE30:CE35" si="11">200000+128*4+34</f>
        <v>200546</v>
      </c>
      <c r="CF30" s="3645">
        <f>128*14+19</f>
        <v>1811</v>
      </c>
      <c r="CG30" s="517">
        <v>200020</v>
      </c>
      <c r="CH30" s="503"/>
      <c r="CI30" s="503"/>
      <c r="CJ30" s="505">
        <v>200020</v>
      </c>
      <c r="CK30" s="771">
        <v>200020</v>
      </c>
      <c r="CL30" s="3135"/>
      <c r="CM30" s="3143">
        <f>490000+128*4+34+0.384+0.008</f>
        <v>490546.39199999999</v>
      </c>
      <c r="CN30" s="2959"/>
      <c r="CO30" s="2394"/>
      <c r="CP30" s="3143">
        <f>490000+128*4+34+0.384+0.009</f>
        <v>490546.39300000004</v>
      </c>
      <c r="CQ30" s="3135"/>
      <c r="CR30" s="771">
        <v>200020</v>
      </c>
      <c r="DD30" s="2218">
        <v>24</v>
      </c>
      <c r="DE30">
        <f>AQ28</f>
        <v>201432</v>
      </c>
      <c r="IU30" s="499" t="s">
        <v>524</v>
      </c>
      <c r="IV30" s="1608">
        <v>2</v>
      </c>
    </row>
    <row r="31" spans="1:256" ht="9" customHeight="1" thickTop="1" thickBot="1">
      <c r="A31" s="514">
        <v>24</v>
      </c>
      <c r="B31" s="513"/>
      <c r="C31" s="812"/>
      <c r="D31" s="498">
        <v>200000</v>
      </c>
      <c r="E31" s="498">
        <v>200000</v>
      </c>
      <c r="F31" s="498">
        <v>200042</v>
      </c>
      <c r="G31" s="504"/>
      <c r="H31" s="3132"/>
      <c r="I31" s="3321"/>
      <c r="J31" s="3321"/>
      <c r="K31" s="3321"/>
      <c r="L31" s="3321"/>
      <c r="M31" s="3321"/>
      <c r="N31" s="3321"/>
      <c r="O31" s="3321"/>
      <c r="P31" s="3132"/>
      <c r="Q31" s="504">
        <v>3.0000000000000001E-3</v>
      </c>
      <c r="R31" s="498">
        <v>200042</v>
      </c>
      <c r="S31" s="498">
        <v>200000</v>
      </c>
      <c r="T31" s="498">
        <v>200000</v>
      </c>
      <c r="U31" s="773"/>
      <c r="V31" s="513"/>
      <c r="W31" s="513"/>
      <c r="X31" s="513"/>
      <c r="Y31" s="513"/>
      <c r="Z31" s="3403">
        <f>128*9+52</f>
        <v>1204</v>
      </c>
      <c r="AA31" s="513"/>
      <c r="AB31" s="513"/>
      <c r="AC31" s="513"/>
      <c r="AD31" s="3403">
        <f>128*9+52</f>
        <v>1204</v>
      </c>
      <c r="AE31" s="513"/>
      <c r="AF31" s="513"/>
      <c r="AG31" s="3403">
        <f>128*9+52</f>
        <v>1204</v>
      </c>
      <c r="AH31" s="513"/>
      <c r="AI31" s="513"/>
      <c r="AJ31" s="513"/>
      <c r="AK31" s="513"/>
      <c r="AL31" s="513"/>
      <c r="AM31" s="513"/>
      <c r="AN31" s="538">
        <f>128*9+29</f>
        <v>1181</v>
      </c>
      <c r="AO31" s="513">
        <f>128*9+6</f>
        <v>1158</v>
      </c>
      <c r="AP31" s="513">
        <f>128*9+6</f>
        <v>1158</v>
      </c>
      <c r="AQ31" s="3330">
        <f>350000+128*9+6</f>
        <v>351158</v>
      </c>
      <c r="AR31" s="538">
        <f>128*9+71</f>
        <v>1223</v>
      </c>
      <c r="AS31" s="3377">
        <f>128*9+29</f>
        <v>1181</v>
      </c>
      <c r="AT31" s="513"/>
      <c r="AU31" s="513"/>
      <c r="AV31" s="513">
        <f>128*9+70</f>
        <v>1222</v>
      </c>
      <c r="AW31" s="513"/>
      <c r="AX31" s="513"/>
      <c r="AY31" s="513"/>
      <c r="AZ31" s="513"/>
      <c r="BA31" s="513"/>
      <c r="BB31" s="513"/>
      <c r="BC31" s="513"/>
      <c r="BD31" s="513"/>
      <c r="BE31" s="513"/>
      <c r="BF31" s="513"/>
      <c r="BG31" s="513"/>
      <c r="BH31" s="513"/>
      <c r="BI31" s="513"/>
      <c r="BJ31" s="513"/>
      <c r="BK31" s="513"/>
      <c r="BL31" s="513"/>
      <c r="BM31" s="518"/>
      <c r="BN31" s="518"/>
      <c r="BO31" s="2703">
        <f>128*6+1</f>
        <v>769</v>
      </c>
      <c r="BP31" s="503"/>
      <c r="BQ31" s="518"/>
      <c r="BR31" s="517">
        <v>430043</v>
      </c>
      <c r="BS31" s="1453"/>
      <c r="BT31" s="517">
        <v>430043</v>
      </c>
      <c r="BU31" s="517">
        <v>200020</v>
      </c>
      <c r="BV31" s="3338"/>
      <c r="BW31" s="1470">
        <f t="shared" si="10"/>
        <v>200546</v>
      </c>
      <c r="BX31" s="3134">
        <f>0.005+0.5</f>
        <v>0.505</v>
      </c>
      <c r="BY31" s="3337">
        <f>0.005+0.5</f>
        <v>0.505</v>
      </c>
      <c r="BZ31" s="1043">
        <f>128*9+14</f>
        <v>1166</v>
      </c>
      <c r="CA31" s="3336">
        <f>200000+128*9+88</f>
        <v>201240</v>
      </c>
      <c r="CB31" s="843">
        <f>128*9+14</f>
        <v>1166</v>
      </c>
      <c r="CC31" s="3337">
        <f t="shared" si="9"/>
        <v>0.505</v>
      </c>
      <c r="CD31" s="3134">
        <f>0.005+0.5</f>
        <v>0.505</v>
      </c>
      <c r="CE31" s="3340">
        <f t="shared" si="11"/>
        <v>200546</v>
      </c>
      <c r="CF31" s="3340">
        <f>128*9+83</f>
        <v>1235</v>
      </c>
      <c r="CG31" s="517">
        <v>200020</v>
      </c>
      <c r="CH31" s="503"/>
      <c r="CI31" s="503"/>
      <c r="CJ31" s="505">
        <v>200020</v>
      </c>
      <c r="CK31" s="771">
        <v>200020</v>
      </c>
      <c r="CL31" s="3134"/>
      <c r="CM31" s="2959"/>
      <c r="CN31" s="2959"/>
      <c r="CO31" s="2959"/>
      <c r="CP31" s="2959"/>
      <c r="CQ31" s="3135"/>
      <c r="CR31" s="771">
        <v>200020</v>
      </c>
      <c r="DD31" s="2218">
        <v>25</v>
      </c>
      <c r="DE31">
        <f>AR29</f>
        <v>201433</v>
      </c>
      <c r="IU31" s="499" t="s">
        <v>523</v>
      </c>
      <c r="IV31" s="499">
        <v>3</v>
      </c>
    </row>
    <row r="32" spans="1:256" ht="9" customHeight="1" thickTop="1" thickBot="1">
      <c r="A32" s="514">
        <v>24</v>
      </c>
      <c r="B32" s="513"/>
      <c r="C32" s="812"/>
      <c r="D32" s="812"/>
      <c r="E32" s="812"/>
      <c r="F32" s="498">
        <v>200000</v>
      </c>
      <c r="G32" s="504"/>
      <c r="H32" s="3132"/>
      <c r="I32" s="3132"/>
      <c r="J32" s="3132"/>
      <c r="K32" s="3132"/>
      <c r="L32" s="3324"/>
      <c r="M32" s="3132"/>
      <c r="N32" s="3132"/>
      <c r="O32" s="3132"/>
      <c r="P32" s="3132"/>
      <c r="Q32" s="504"/>
      <c r="R32" s="498">
        <v>200000</v>
      </c>
      <c r="S32" s="773"/>
      <c r="T32" s="773"/>
      <c r="U32" s="773"/>
      <c r="V32" s="513"/>
      <c r="W32" s="513"/>
      <c r="X32" s="513"/>
      <c r="Y32" s="513"/>
      <c r="Z32" s="3403">
        <f>128*9+52</f>
        <v>1204</v>
      </c>
      <c r="AA32" s="513"/>
      <c r="AB32" s="513"/>
      <c r="AC32" s="513"/>
      <c r="AD32" s="3403">
        <f>128*9+52+0.5+0.256+0.006</f>
        <v>1204.7620000000002</v>
      </c>
      <c r="AE32" s="3403">
        <f>128*9+52</f>
        <v>1204</v>
      </c>
      <c r="AF32" s="3403">
        <f>128*9+52</f>
        <v>1204</v>
      </c>
      <c r="AG32" s="3403">
        <f>128*9+52</f>
        <v>1204</v>
      </c>
      <c r="AH32" s="513"/>
      <c r="AI32" s="513"/>
      <c r="AJ32" s="513"/>
      <c r="AK32" s="513"/>
      <c r="AL32" s="513"/>
      <c r="AM32" s="513"/>
      <c r="AN32" s="513"/>
      <c r="AO32" s="513"/>
      <c r="AP32" s="513"/>
      <c r="AQ32" s="3330">
        <v>350000</v>
      </c>
      <c r="AR32" s="513"/>
      <c r="AS32" s="513"/>
      <c r="AT32" s="513"/>
      <c r="AU32" s="513"/>
      <c r="AV32" s="529">
        <f>128*9+71</f>
        <v>1223</v>
      </c>
      <c r="AW32" s="513"/>
      <c r="AX32" s="513"/>
      <c r="AY32" s="513"/>
      <c r="AZ32" s="513"/>
      <c r="BA32" s="513"/>
      <c r="BB32" s="513"/>
      <c r="BC32" s="513"/>
      <c r="BD32" s="513"/>
      <c r="BE32" s="513"/>
      <c r="BF32" s="513"/>
      <c r="BG32" s="513"/>
      <c r="BH32" s="513"/>
      <c r="BI32" s="513"/>
      <c r="BJ32" s="513"/>
      <c r="BK32" s="513"/>
      <c r="BL32" s="503"/>
      <c r="BM32" s="503"/>
      <c r="BN32" s="503"/>
      <c r="BO32" s="518"/>
      <c r="BP32" s="518"/>
      <c r="BQ32" s="503"/>
      <c r="BR32" s="3116">
        <f>430000+128*5+5</f>
        <v>430645</v>
      </c>
      <c r="BS32" s="1453"/>
      <c r="BT32" s="517">
        <v>430043</v>
      </c>
      <c r="BU32" s="517">
        <v>200020</v>
      </c>
      <c r="BV32" s="3338"/>
      <c r="BW32" s="3347">
        <f t="shared" si="10"/>
        <v>200546</v>
      </c>
      <c r="BX32" s="3134">
        <f>0.005+0.5</f>
        <v>0.505</v>
      </c>
      <c r="BY32" s="514">
        <f>0.005+0.5</f>
        <v>0.505</v>
      </c>
      <c r="BZ32" s="1148">
        <f>200000+128*9+13+0.11</f>
        <v>201165.11</v>
      </c>
      <c r="CA32" s="3341">
        <f>128*6+3+0.256+0.004</f>
        <v>771.26</v>
      </c>
      <c r="CB32" s="839">
        <f>200000+128*9+88</f>
        <v>201240</v>
      </c>
      <c r="CC32" s="511">
        <f t="shared" si="9"/>
        <v>0.505</v>
      </c>
      <c r="CD32" s="3134">
        <f>0.005+0.5</f>
        <v>0.505</v>
      </c>
      <c r="CE32" s="3340">
        <f t="shared" si="11"/>
        <v>200546</v>
      </c>
      <c r="CF32" s="3338"/>
      <c r="CG32" s="517">
        <v>200020</v>
      </c>
      <c r="CH32" s="503"/>
      <c r="CI32" s="503"/>
      <c r="CJ32" s="505">
        <v>200020</v>
      </c>
      <c r="CK32" s="771">
        <v>200020</v>
      </c>
      <c r="CL32" s="3135"/>
      <c r="CM32" s="3143">
        <f>490000+128*4+34+0.384+0.002</f>
        <v>490546.386</v>
      </c>
      <c r="CN32" s="2959"/>
      <c r="CO32" s="2394"/>
      <c r="CP32" s="3143">
        <f>490000+128*4+34+0.384+0.011</f>
        <v>490546.39500000002</v>
      </c>
      <c r="CQ32" s="3135"/>
      <c r="CR32" s="771">
        <v>200020</v>
      </c>
      <c r="DD32" s="2218">
        <v>26</v>
      </c>
      <c r="DE32">
        <f>AQ30</f>
        <v>201434</v>
      </c>
      <c r="IU32" s="499" t="s">
        <v>525</v>
      </c>
      <c r="IV32" s="499">
        <v>4</v>
      </c>
    </row>
    <row r="33" spans="1:256" ht="9" customHeight="1" thickTop="1" thickBot="1">
      <c r="A33" s="514">
        <v>24</v>
      </c>
      <c r="B33" s="513"/>
      <c r="C33" s="513"/>
      <c r="D33" s="503"/>
      <c r="E33" s="812"/>
      <c r="F33" s="498">
        <v>200000</v>
      </c>
      <c r="G33" s="3558">
        <f>128*17+3</f>
        <v>2179</v>
      </c>
      <c r="H33" s="504">
        <v>3.0000000000000001E-3</v>
      </c>
      <c r="I33" s="504"/>
      <c r="J33" s="504"/>
      <c r="K33" s="3132"/>
      <c r="L33" s="3335">
        <v>23</v>
      </c>
      <c r="M33" s="3132"/>
      <c r="N33" s="504"/>
      <c r="O33" s="504"/>
      <c r="P33" s="504"/>
      <c r="Q33" s="3558">
        <f>128*17+3</f>
        <v>2179</v>
      </c>
      <c r="R33" s="498">
        <v>200000</v>
      </c>
      <c r="S33" s="773"/>
      <c r="T33" s="503"/>
      <c r="U33" s="513"/>
      <c r="V33" s="513"/>
      <c r="W33" s="513"/>
      <c r="X33" s="513"/>
      <c r="Y33" s="513"/>
      <c r="Z33" s="3403">
        <f>128*9+52</f>
        <v>1204</v>
      </c>
      <c r="AA33" s="513"/>
      <c r="AB33" s="513"/>
      <c r="AC33" s="513"/>
      <c r="AD33" s="3403">
        <f>128*9+52</f>
        <v>1204</v>
      </c>
      <c r="AE33" s="513"/>
      <c r="AF33" s="513"/>
      <c r="AG33" s="3403">
        <f>128*9+52</f>
        <v>1204</v>
      </c>
      <c r="AH33" s="513"/>
      <c r="AI33" s="513"/>
      <c r="AJ33" s="3379">
        <f>420000+0.256+0.042</f>
        <v>420000.29800000001</v>
      </c>
      <c r="AK33" s="3378">
        <v>420000</v>
      </c>
      <c r="AL33" s="3379">
        <f>420000+0.256+0.042</f>
        <v>420000.29800000001</v>
      </c>
      <c r="AM33" s="513"/>
      <c r="AN33" s="513"/>
      <c r="AO33" s="513"/>
      <c r="AP33" s="513"/>
      <c r="AQ33" s="3330">
        <v>350000</v>
      </c>
      <c r="AR33" s="513"/>
      <c r="AS33" s="513"/>
      <c r="AT33" s="513"/>
      <c r="AU33" s="513"/>
      <c r="AV33" s="1428">
        <f>128*9+6</f>
        <v>1158</v>
      </c>
      <c r="AW33" s="513"/>
      <c r="AX33" s="513"/>
      <c r="AY33" s="513"/>
      <c r="AZ33" s="513"/>
      <c r="BA33" s="513"/>
      <c r="BB33" s="513"/>
      <c r="BC33" s="513"/>
      <c r="BD33" s="513"/>
      <c r="BE33" s="513"/>
      <c r="BF33" s="503"/>
      <c r="BG33" s="503"/>
      <c r="BH33" s="503"/>
      <c r="BI33" s="503"/>
      <c r="BJ33" s="513"/>
      <c r="BK33" s="503"/>
      <c r="BL33" s="503"/>
      <c r="BM33" s="533">
        <f>128*9+25+0.11</f>
        <v>1177.1099999999999</v>
      </c>
      <c r="BN33" s="518"/>
      <c r="BO33" s="3286"/>
      <c r="BP33" s="518"/>
      <c r="BQ33" s="518"/>
      <c r="BR33" s="517">
        <v>430043</v>
      </c>
      <c r="BS33" s="1453"/>
      <c r="BT33" s="517">
        <v>430043</v>
      </c>
      <c r="BU33" s="517">
        <v>200020</v>
      </c>
      <c r="BV33" s="3338"/>
      <c r="BW33" s="1470">
        <f t="shared" si="10"/>
        <v>200546</v>
      </c>
      <c r="BX33" s="3134">
        <f>0.005+0.5</f>
        <v>0.505</v>
      </c>
      <c r="BY33" s="3134">
        <f>0.003+0.5</f>
        <v>0.503</v>
      </c>
      <c r="BZ33" s="792">
        <f>128*9+14</f>
        <v>1166</v>
      </c>
      <c r="CA33" s="817">
        <f>200000+128*9+88</f>
        <v>201240</v>
      </c>
      <c r="CB33" s="511">
        <f>128*9+14</f>
        <v>1166</v>
      </c>
      <c r="CC33" s="3337">
        <f t="shared" si="9"/>
        <v>0.505</v>
      </c>
      <c r="CD33" s="3134">
        <f>0.005+0.5</f>
        <v>0.505</v>
      </c>
      <c r="CE33" s="3340">
        <f t="shared" si="11"/>
        <v>200546</v>
      </c>
      <c r="CF33" s="3340">
        <f>128*9+83</f>
        <v>1235</v>
      </c>
      <c r="CG33" s="517">
        <v>200020</v>
      </c>
      <c r="CH33" s="503"/>
      <c r="CI33" s="503"/>
      <c r="CJ33" s="505">
        <v>200020</v>
      </c>
      <c r="CK33" s="771">
        <v>200020</v>
      </c>
      <c r="CL33" s="3134"/>
      <c r="CM33" s="2959"/>
      <c r="CN33" s="2959"/>
      <c r="CO33" s="2959"/>
      <c r="CP33" s="2959"/>
      <c r="CQ33" s="3135"/>
      <c r="CR33" s="771">
        <v>200020</v>
      </c>
      <c r="DD33" s="2218">
        <v>27</v>
      </c>
      <c r="DE33">
        <f>AK34</f>
        <v>1435.5</v>
      </c>
      <c r="IU33" t="s">
        <v>550</v>
      </c>
      <c r="IV33" s="499">
        <v>10</v>
      </c>
    </row>
    <row r="34" spans="1:256" ht="9" customHeight="1" thickTop="1" thickBot="1">
      <c r="A34" s="514">
        <v>24</v>
      </c>
      <c r="B34" s="513"/>
      <c r="C34" s="513"/>
      <c r="D34" s="513"/>
      <c r="E34" s="812"/>
      <c r="F34" s="498">
        <v>200000</v>
      </c>
      <c r="G34" s="498">
        <v>200000</v>
      </c>
      <c r="H34" s="498">
        <v>200000</v>
      </c>
      <c r="I34" s="498">
        <v>200042</v>
      </c>
      <c r="J34" s="504"/>
      <c r="K34" s="3132"/>
      <c r="L34" s="3132"/>
      <c r="M34" s="3132"/>
      <c r="N34" s="504"/>
      <c r="O34" s="498">
        <v>200042</v>
      </c>
      <c r="P34" s="498">
        <v>200000</v>
      </c>
      <c r="Q34" s="498">
        <v>200000</v>
      </c>
      <c r="R34" s="498">
        <v>200000</v>
      </c>
      <c r="S34" s="773"/>
      <c r="T34" s="513"/>
      <c r="U34" s="513"/>
      <c r="V34" s="513"/>
      <c r="W34" s="513"/>
      <c r="X34" s="513"/>
      <c r="Y34" s="513"/>
      <c r="Z34" s="3403">
        <f>128*9+52</f>
        <v>1204</v>
      </c>
      <c r="AA34" s="3403">
        <f>128*9+52+0.5+0.03</f>
        <v>1204.53</v>
      </c>
      <c r="AB34" s="3403">
        <f>128*9+52</f>
        <v>1204</v>
      </c>
      <c r="AC34" s="3403">
        <f>128*9+52</f>
        <v>1204</v>
      </c>
      <c r="AD34" s="3456">
        <v>43</v>
      </c>
      <c r="AE34" s="513"/>
      <c r="AF34" s="513"/>
      <c r="AG34" s="3403">
        <f>128*9+52</f>
        <v>1204</v>
      </c>
      <c r="AH34" s="3383"/>
      <c r="AI34" s="538">
        <f>128*9+71</f>
        <v>1223</v>
      </c>
      <c r="AJ34" s="1702">
        <f>420000+128*9+70</f>
        <v>421222</v>
      </c>
      <c r="AK34" s="3398">
        <f>128*11+27+0.5</f>
        <v>1435.5</v>
      </c>
      <c r="AL34" s="3399">
        <f>420000+128*9+6</f>
        <v>421158</v>
      </c>
      <c r="AM34" s="3397">
        <f>350000+128*9+6</f>
        <v>351158</v>
      </c>
      <c r="AN34" s="3330">
        <v>350000</v>
      </c>
      <c r="AO34" s="3330">
        <v>350000</v>
      </c>
      <c r="AP34" s="3330">
        <v>350000</v>
      </c>
      <c r="AQ34" s="3380">
        <f>350000+0.256+0.042</f>
        <v>350000.29800000001</v>
      </c>
      <c r="AR34" s="513"/>
      <c r="AS34" s="513"/>
      <c r="AT34" s="513"/>
      <c r="AU34" s="513"/>
      <c r="AV34" s="781">
        <f>128*9+71</f>
        <v>1223</v>
      </c>
      <c r="AW34" s="513"/>
      <c r="AX34" s="513"/>
      <c r="AY34" s="513"/>
      <c r="AZ34" s="513"/>
      <c r="BA34" s="513"/>
      <c r="BB34" s="513"/>
      <c r="BC34" s="513"/>
      <c r="BD34" s="513"/>
      <c r="BE34" s="503"/>
      <c r="BF34" s="503"/>
      <c r="BG34" s="503"/>
      <c r="BH34" s="503"/>
      <c r="BI34" s="503"/>
      <c r="BJ34" s="503"/>
      <c r="BK34" s="518"/>
      <c r="BL34" s="518"/>
      <c r="BM34" s="503"/>
      <c r="BN34" s="503"/>
      <c r="BO34" s="503"/>
      <c r="BP34" s="518"/>
      <c r="BQ34" s="503"/>
      <c r="BR34" s="3116">
        <f>430000+128*5+5</f>
        <v>430645</v>
      </c>
      <c r="BS34" s="1453"/>
      <c r="BT34" s="1465">
        <f>430000+128*9+67+0.384+0.0036</f>
        <v>431219.38760000002</v>
      </c>
      <c r="BU34" s="517">
        <v>200020</v>
      </c>
      <c r="BV34" s="3338"/>
      <c r="BW34" s="3347">
        <f t="shared" si="10"/>
        <v>200546</v>
      </c>
      <c r="BX34" s="3134">
        <f>0.005+0.5</f>
        <v>0.505</v>
      </c>
      <c r="BY34" s="3337">
        <f>0.005+0.5</f>
        <v>0.505</v>
      </c>
      <c r="BZ34" s="3337">
        <f>0.005+0.5</f>
        <v>0.505</v>
      </c>
      <c r="CA34" s="511"/>
      <c r="CB34" s="3337">
        <f>0.005+0.5</f>
        <v>0.505</v>
      </c>
      <c r="CC34" s="3337">
        <f t="shared" si="9"/>
        <v>0.505</v>
      </c>
      <c r="CD34" s="3134">
        <f>0.005+0.5</f>
        <v>0.505</v>
      </c>
      <c r="CE34" s="3340">
        <f t="shared" si="11"/>
        <v>200546</v>
      </c>
      <c r="CF34" s="3338"/>
      <c r="CG34" s="517">
        <v>200020</v>
      </c>
      <c r="CH34" s="503"/>
      <c r="CI34" s="503"/>
      <c r="CJ34" s="505">
        <v>200020</v>
      </c>
      <c r="CK34" s="771">
        <v>200020</v>
      </c>
      <c r="CL34" s="3135"/>
      <c r="CM34" s="3143">
        <f>490000+128*4+34+0.384+0.005</f>
        <v>490546.38900000002</v>
      </c>
      <c r="CN34" s="2959"/>
      <c r="CO34" s="2394"/>
      <c r="CP34" s="3143">
        <f>490000+128*4+34+0.384+0.01</f>
        <v>490546.39400000003</v>
      </c>
      <c r="CQ34" s="3135"/>
      <c r="CR34" s="771">
        <v>200020</v>
      </c>
      <c r="DD34" s="2218">
        <v>28</v>
      </c>
      <c r="DE34">
        <f>BA29</f>
        <v>1158</v>
      </c>
      <c r="IU34" s="499" t="s">
        <v>899</v>
      </c>
    </row>
    <row r="35" spans="1:256" ht="9" customHeight="1" thickTop="1" thickBot="1">
      <c r="A35" s="514">
        <v>24</v>
      </c>
      <c r="B35" s="513"/>
      <c r="C35" s="513"/>
      <c r="D35" s="513"/>
      <c r="E35" s="812"/>
      <c r="F35" s="812"/>
      <c r="G35" s="812"/>
      <c r="H35" s="812"/>
      <c r="I35" s="498">
        <v>200000</v>
      </c>
      <c r="J35" s="3558">
        <f>128*17+3</f>
        <v>2179</v>
      </c>
      <c r="K35" s="504"/>
      <c r="L35" s="504"/>
      <c r="M35" s="504"/>
      <c r="N35" s="3558">
        <f>128*17+3</f>
        <v>2179</v>
      </c>
      <c r="O35" s="498">
        <v>200000</v>
      </c>
      <c r="P35" s="773"/>
      <c r="Q35" s="773"/>
      <c r="R35" s="773"/>
      <c r="S35" s="773"/>
      <c r="T35" s="513"/>
      <c r="U35" s="513"/>
      <c r="V35" s="513"/>
      <c r="W35" s="513"/>
      <c r="X35" s="513"/>
      <c r="Y35" s="513"/>
      <c r="Z35" s="513"/>
      <c r="AA35" s="513"/>
      <c r="AB35" s="513"/>
      <c r="AC35" s="513"/>
      <c r="AD35" s="513"/>
      <c r="AE35" s="513"/>
      <c r="AF35" s="513"/>
      <c r="AG35" s="513"/>
      <c r="AH35" s="513"/>
      <c r="AI35" s="513"/>
      <c r="AJ35" s="3379">
        <f>420000+0.256+0.042</f>
        <v>420000.29800000001</v>
      </c>
      <c r="AK35" s="1702">
        <v>420000</v>
      </c>
      <c r="AL35" s="3379">
        <f>420000+0.256+0.042</f>
        <v>420000.29800000001</v>
      </c>
      <c r="AM35" s="513">
        <f>128*9+6</f>
        <v>1158</v>
      </c>
      <c r="AN35" s="539">
        <f>128*9+29</f>
        <v>1181</v>
      </c>
      <c r="AO35" s="513"/>
      <c r="AP35" s="513"/>
      <c r="AQ35" s="513"/>
      <c r="AR35" s="513"/>
      <c r="AS35" s="513"/>
      <c r="AT35" s="513"/>
      <c r="AU35" s="513"/>
      <c r="AV35" s="513">
        <f>128*9+70</f>
        <v>1222</v>
      </c>
      <c r="AW35" s="513"/>
      <c r="AX35" s="513"/>
      <c r="AY35" s="513"/>
      <c r="AZ35" s="513"/>
      <c r="BA35" s="513"/>
      <c r="BB35" s="513"/>
      <c r="BC35" s="513"/>
      <c r="BD35" s="503"/>
      <c r="BE35" s="503"/>
      <c r="BF35" s="503"/>
      <c r="BG35" s="504">
        <v>21</v>
      </c>
      <c r="BH35" s="504">
        <v>21</v>
      </c>
      <c r="BI35" s="504">
        <v>21</v>
      </c>
      <c r="BJ35" s="504">
        <v>21</v>
      </c>
      <c r="BK35" s="504">
        <v>21</v>
      </c>
      <c r="BL35" s="504">
        <v>21</v>
      </c>
      <c r="BM35" s="518"/>
      <c r="BN35" s="518"/>
      <c r="BO35" s="503"/>
      <c r="BP35" s="2703">
        <f>128*6+1</f>
        <v>769</v>
      </c>
      <c r="BQ35" s="518"/>
      <c r="BR35" s="517">
        <v>430043</v>
      </c>
      <c r="BS35" s="1453"/>
      <c r="BT35" s="517">
        <v>430043</v>
      </c>
      <c r="BU35" s="517">
        <v>200020</v>
      </c>
      <c r="BV35" s="3338"/>
      <c r="BW35" s="1470">
        <f t="shared" si="10"/>
        <v>200546</v>
      </c>
      <c r="BX35" s="3134"/>
      <c r="BY35" s="3337">
        <f>0.005+0.5</f>
        <v>0.505</v>
      </c>
      <c r="BZ35" s="3337">
        <f>0.005+0.5</f>
        <v>0.505</v>
      </c>
      <c r="CA35" s="3337">
        <f>0.005+0.5</f>
        <v>0.505</v>
      </c>
      <c r="CB35" s="3337">
        <f>0.005+0.5</f>
        <v>0.505</v>
      </c>
      <c r="CC35" s="3337">
        <f t="shared" si="9"/>
        <v>0.505</v>
      </c>
      <c r="CD35" s="3134"/>
      <c r="CE35" s="3340">
        <f t="shared" si="11"/>
        <v>200546</v>
      </c>
      <c r="CF35" s="3338"/>
      <c r="CG35" s="517">
        <v>200020</v>
      </c>
      <c r="CH35" s="503"/>
      <c r="CI35" s="503"/>
      <c r="CJ35" s="505">
        <v>200020</v>
      </c>
      <c r="CK35" s="771">
        <v>200020</v>
      </c>
      <c r="CL35" s="3134"/>
      <c r="CM35" s="2959"/>
      <c r="CN35" s="2959"/>
      <c r="CO35" s="2959"/>
      <c r="CP35" s="2959"/>
      <c r="CQ35" s="3135"/>
      <c r="CR35" s="771">
        <v>200020</v>
      </c>
      <c r="DD35" s="2218">
        <v>29</v>
      </c>
      <c r="DE35">
        <f>CJ41</f>
        <v>1437</v>
      </c>
      <c r="IU35" s="499" t="s">
        <v>901</v>
      </c>
    </row>
    <row r="36" spans="1:256" ht="9" customHeight="1" thickTop="1" thickBot="1">
      <c r="A36" s="514">
        <v>24</v>
      </c>
      <c r="B36" s="513"/>
      <c r="C36" s="513"/>
      <c r="D36" s="513"/>
      <c r="E36" s="513"/>
      <c r="F36" s="513"/>
      <c r="G36" s="513"/>
      <c r="H36" s="812"/>
      <c r="I36" s="498">
        <v>200000</v>
      </c>
      <c r="J36" s="498">
        <v>200000</v>
      </c>
      <c r="K36" s="498">
        <v>200000</v>
      </c>
      <c r="L36" s="498">
        <v>200000</v>
      </c>
      <c r="M36" s="498">
        <v>200000</v>
      </c>
      <c r="N36" s="498">
        <v>200000</v>
      </c>
      <c r="O36" s="498">
        <v>200000</v>
      </c>
      <c r="P36" s="773"/>
      <c r="Q36" s="513"/>
      <c r="R36" s="513"/>
      <c r="S36" s="513"/>
      <c r="T36" s="513"/>
      <c r="U36" s="513"/>
      <c r="V36" s="513"/>
      <c r="W36" s="513"/>
      <c r="X36" s="513"/>
      <c r="Y36" s="513"/>
      <c r="Z36" s="513"/>
      <c r="AA36" s="513"/>
      <c r="AB36" s="513"/>
      <c r="AC36" s="513"/>
      <c r="AD36" s="513"/>
      <c r="AE36" s="513"/>
      <c r="AF36" s="513"/>
      <c r="AG36" s="513"/>
      <c r="AH36" s="513"/>
      <c r="AI36" s="513"/>
      <c r="AJ36" s="513"/>
      <c r="AK36" s="513"/>
      <c r="AL36" s="513"/>
      <c r="AM36" s="538">
        <f>128*9+29</f>
        <v>1181</v>
      </c>
      <c r="AN36" s="1428">
        <f>128*9+6+0.5+0.384+0.004</f>
        <v>1158.8879999999999</v>
      </c>
      <c r="AO36" s="513">
        <f>128*9+6</f>
        <v>1158</v>
      </c>
      <c r="AP36" s="513">
        <f>128*9+6</f>
        <v>1158</v>
      </c>
      <c r="AQ36" s="513">
        <f>128*9+6</f>
        <v>1158</v>
      </c>
      <c r="AR36" s="513">
        <f>128*9+6</f>
        <v>1158</v>
      </c>
      <c r="AS36" s="1428">
        <f>128*9+6</f>
        <v>1158</v>
      </c>
      <c r="AT36" s="538">
        <f>128*9+71</f>
        <v>1223</v>
      </c>
      <c r="AU36" s="513">
        <f>128*9+70</f>
        <v>1222</v>
      </c>
      <c r="AV36" s="3377">
        <f>128*9+29</f>
        <v>1181</v>
      </c>
      <c r="AW36" s="513"/>
      <c r="AX36" s="513"/>
      <c r="AY36" s="513"/>
      <c r="AZ36" s="513"/>
      <c r="BA36" s="513"/>
      <c r="BB36" s="513"/>
      <c r="BC36" s="513"/>
      <c r="BD36" s="513"/>
      <c r="BE36" s="503">
        <f>128*9+25</f>
        <v>1177</v>
      </c>
      <c r="BF36" s="503">
        <f>128*10+9</f>
        <v>1289</v>
      </c>
      <c r="BG36" s="504">
        <v>21</v>
      </c>
      <c r="BH36" s="757"/>
      <c r="BI36" s="3424">
        <f>128*8+5</f>
        <v>1029</v>
      </c>
      <c r="BJ36" s="504">
        <v>48</v>
      </c>
      <c r="BK36" s="518">
        <f t="shared" ref="BK36:BQ36" si="12">128*16+7</f>
        <v>2055</v>
      </c>
      <c r="BL36" s="518">
        <f t="shared" si="12"/>
        <v>2055</v>
      </c>
      <c r="BM36" s="518">
        <f t="shared" si="12"/>
        <v>2055</v>
      </c>
      <c r="BN36" s="518">
        <f t="shared" si="12"/>
        <v>2055</v>
      </c>
      <c r="BO36" s="518">
        <f t="shared" si="12"/>
        <v>2055</v>
      </c>
      <c r="BP36" s="503">
        <f t="shared" si="12"/>
        <v>2055</v>
      </c>
      <c r="BQ36" s="503">
        <f t="shared" si="12"/>
        <v>2055</v>
      </c>
      <c r="BR36" s="3116">
        <f>430000+128*5+5</f>
        <v>430645</v>
      </c>
      <c r="BS36" s="1453"/>
      <c r="BT36" s="517">
        <v>430043</v>
      </c>
      <c r="BU36" s="517">
        <v>200020</v>
      </c>
      <c r="BV36" s="3351">
        <f>128*17+7</f>
        <v>2183</v>
      </c>
      <c r="BW36" s="517">
        <v>200020</v>
      </c>
      <c r="BX36" s="3134"/>
      <c r="BY36" s="3337"/>
      <c r="BZ36" s="3358">
        <f>128*6+3</f>
        <v>771</v>
      </c>
      <c r="CA36" s="3337"/>
      <c r="CB36" s="3337">
        <f>0.003+0.5</f>
        <v>0.503</v>
      </c>
      <c r="CC36" s="3337"/>
      <c r="CD36" s="3134"/>
      <c r="CE36" s="3342">
        <f>200020+0.065</f>
        <v>200020.065</v>
      </c>
      <c r="CF36" s="3339">
        <f>200000+128*4+34</f>
        <v>200546</v>
      </c>
      <c r="CG36" s="517">
        <v>200020</v>
      </c>
      <c r="CH36" s="503"/>
      <c r="CI36" s="503"/>
      <c r="CJ36" s="505">
        <v>200020</v>
      </c>
      <c r="CK36" s="771">
        <v>200020</v>
      </c>
      <c r="CL36" s="3135"/>
      <c r="CM36" s="3143">
        <f>490000+128*4+34+0.384+0.006</f>
        <v>490546.39</v>
      </c>
      <c r="CN36" s="2959"/>
      <c r="CO36" s="2394"/>
      <c r="CP36" s="3143">
        <f>490000+128*4+34+0.384+0.012</f>
        <v>490546.39600000001</v>
      </c>
      <c r="CQ36" s="3135"/>
      <c r="CR36" s="771">
        <v>200020</v>
      </c>
      <c r="DD36" s="2218">
        <v>30</v>
      </c>
      <c r="DE36">
        <f>AI43</f>
        <v>1438</v>
      </c>
      <c r="IU36" s="499" t="s">
        <v>902</v>
      </c>
    </row>
    <row r="37" spans="1:256" ht="9" customHeight="1" thickTop="1" thickBot="1">
      <c r="A37" s="514">
        <v>24</v>
      </c>
      <c r="B37" s="1023">
        <v>200011</v>
      </c>
      <c r="C37" s="1023">
        <v>200011</v>
      </c>
      <c r="D37" s="1023">
        <v>200011</v>
      </c>
      <c r="E37" s="1023">
        <v>200011</v>
      </c>
      <c r="F37" s="513"/>
      <c r="G37" s="513"/>
      <c r="H37" s="812"/>
      <c r="I37" s="773"/>
      <c r="J37" s="773"/>
      <c r="K37" s="773"/>
      <c r="L37" s="773"/>
      <c r="M37" s="773"/>
      <c r="N37" s="773"/>
      <c r="O37" s="773"/>
      <c r="P37" s="773"/>
      <c r="Q37" s="513"/>
      <c r="R37" s="513"/>
      <c r="S37" s="513"/>
      <c r="T37" s="513"/>
      <c r="U37" s="513"/>
      <c r="V37" s="513"/>
      <c r="W37" s="513"/>
      <c r="X37" s="513"/>
      <c r="Y37" s="513"/>
      <c r="Z37" s="513"/>
      <c r="AA37" s="513"/>
      <c r="AB37" s="513"/>
      <c r="AC37" s="513"/>
      <c r="AD37" s="513"/>
      <c r="AE37" s="513"/>
      <c r="AF37" s="513"/>
      <c r="AG37" s="513"/>
      <c r="AH37" s="513"/>
      <c r="AI37" s="513"/>
      <c r="AJ37" s="513"/>
      <c r="AK37" s="513"/>
      <c r="AL37" s="513"/>
      <c r="AM37" s="513"/>
      <c r="AN37" s="513"/>
      <c r="AO37" s="513"/>
      <c r="AP37" s="513"/>
      <c r="AQ37" s="513"/>
      <c r="AR37" s="513"/>
      <c r="AS37" s="513"/>
      <c r="AT37" s="513"/>
      <c r="AU37" s="513"/>
      <c r="AV37" s="513"/>
      <c r="AW37" s="513"/>
      <c r="AX37" s="513"/>
      <c r="AY37" s="513"/>
      <c r="AZ37" s="513"/>
      <c r="BA37" s="513"/>
      <c r="BB37" s="513"/>
      <c r="BC37" s="513"/>
      <c r="BD37" s="513"/>
      <c r="BE37" s="513"/>
      <c r="BF37" s="513"/>
      <c r="BG37" s="1415">
        <v>21</v>
      </c>
      <c r="BH37" s="757"/>
      <c r="BI37" s="3422">
        <f>128*17+7</f>
        <v>2183</v>
      </c>
      <c r="BJ37" s="3423">
        <f>128*5+38</f>
        <v>678</v>
      </c>
      <c r="BK37" s="503"/>
      <c r="BL37" s="503"/>
      <c r="BM37" s="518"/>
      <c r="BN37" s="503"/>
      <c r="BO37" s="503"/>
      <c r="BP37" s="518"/>
      <c r="BQ37" s="503"/>
      <c r="BR37" s="517">
        <v>430043</v>
      </c>
      <c r="BS37" s="1453"/>
      <c r="BT37" s="517">
        <v>430043</v>
      </c>
      <c r="BU37" s="517">
        <v>200020</v>
      </c>
      <c r="BV37" s="3351">
        <f>128*17+8</f>
        <v>2184</v>
      </c>
      <c r="BW37" s="517">
        <v>200020</v>
      </c>
      <c r="BX37" s="3134"/>
      <c r="BY37" s="3337"/>
      <c r="BZ37" s="3337"/>
      <c r="CA37" s="3337"/>
      <c r="CB37" s="3337"/>
      <c r="CC37" s="3337"/>
      <c r="CD37" s="3134"/>
      <c r="CE37" s="3134"/>
      <c r="CF37" s="3134">
        <f>128*10+15</f>
        <v>1295</v>
      </c>
      <c r="CG37" s="517">
        <v>200020</v>
      </c>
      <c r="CH37" s="503"/>
      <c r="CI37" s="503"/>
      <c r="CJ37" s="505">
        <v>200020</v>
      </c>
      <c r="CK37" s="771">
        <v>200020</v>
      </c>
      <c r="CL37" s="3134"/>
      <c r="CM37" s="2959"/>
      <c r="CN37" s="2959"/>
      <c r="CO37" s="2959"/>
      <c r="CP37" s="2959"/>
      <c r="CQ37" s="3135"/>
      <c r="CR37" s="771">
        <v>200020</v>
      </c>
      <c r="DD37" s="2218">
        <v>31</v>
      </c>
      <c r="DE37">
        <f>BM42</f>
        <v>1439</v>
      </c>
      <c r="IU37" t="s">
        <v>1091</v>
      </c>
      <c r="IV37" s="499">
        <v>168</v>
      </c>
    </row>
    <row r="38" spans="1:256" ht="9" customHeight="1" thickTop="1" thickBot="1">
      <c r="A38" s="3388">
        <f>9+0.059</f>
        <v>9.0589999999999993</v>
      </c>
      <c r="B38" s="1377">
        <f>128*9+2+0.256+0.016</f>
        <v>1154.2720000000002</v>
      </c>
      <c r="C38" s="1377">
        <f>128*9+2+0.384+0.012</f>
        <v>1154.396</v>
      </c>
      <c r="D38" s="1377">
        <f>128*9+2</f>
        <v>1154</v>
      </c>
      <c r="E38" s="3363"/>
      <c r="F38" s="1023">
        <v>200011</v>
      </c>
      <c r="G38" s="513"/>
      <c r="H38" s="513"/>
      <c r="I38" s="513"/>
      <c r="J38" s="513"/>
      <c r="K38" s="513"/>
      <c r="L38" s="513"/>
      <c r="M38" s="513"/>
      <c r="N38" s="513"/>
      <c r="O38" s="513"/>
      <c r="P38" s="513"/>
      <c r="Q38" s="513"/>
      <c r="R38" s="513"/>
      <c r="S38" s="513"/>
      <c r="T38" s="513"/>
      <c r="U38" s="513"/>
      <c r="V38" s="513"/>
      <c r="W38" s="513"/>
      <c r="X38" s="513"/>
      <c r="Y38" s="2061">
        <f>128*4+39+0.384+0.002</f>
        <v>551.38599999999997</v>
      </c>
      <c r="Z38" s="513"/>
      <c r="AA38" s="513"/>
      <c r="AB38" s="513"/>
      <c r="AC38" s="513"/>
      <c r="AD38" s="513"/>
      <c r="AE38" s="513"/>
      <c r="AF38" s="513"/>
      <c r="AG38" s="513"/>
      <c r="AH38" s="513"/>
      <c r="AI38" s="513"/>
      <c r="AJ38" s="513"/>
      <c r="AK38" s="513"/>
      <c r="AL38" s="513"/>
      <c r="AM38" s="513"/>
      <c r="AN38" s="513"/>
      <c r="AO38" s="513"/>
      <c r="AP38" s="513"/>
      <c r="AQ38" s="513"/>
      <c r="AR38" s="513"/>
      <c r="AS38" s="513"/>
      <c r="AT38" s="513"/>
      <c r="AU38" s="513"/>
      <c r="AV38" s="513"/>
      <c r="AW38" s="513"/>
      <c r="AX38" s="513"/>
      <c r="AY38" s="513"/>
      <c r="AZ38" s="513"/>
      <c r="BA38" s="513"/>
      <c r="BB38" s="513"/>
      <c r="BC38" s="513"/>
      <c r="BD38" s="513"/>
      <c r="BE38" s="513"/>
      <c r="BF38" s="513"/>
      <c r="BG38" s="504">
        <v>21</v>
      </c>
      <c r="BH38" s="3425">
        <f>128*5+37</f>
        <v>677</v>
      </c>
      <c r="BI38" s="504">
        <v>21</v>
      </c>
      <c r="BJ38" s="504">
        <v>21</v>
      </c>
      <c r="BK38" s="504">
        <v>21</v>
      </c>
      <c r="BL38" s="504">
        <v>21</v>
      </c>
      <c r="BM38" s="533">
        <f>128*4+47</f>
        <v>559</v>
      </c>
      <c r="BN38" s="533">
        <f>128*4+47</f>
        <v>559</v>
      </c>
      <c r="BO38" s="533">
        <f>128*4+47</f>
        <v>559</v>
      </c>
      <c r="BP38" s="533">
        <f>128*4+47</f>
        <v>559</v>
      </c>
      <c r="BQ38" s="533">
        <f>128*4+47</f>
        <v>559</v>
      </c>
      <c r="BR38" s="3116">
        <f>430000+128*5+5</f>
        <v>430645</v>
      </c>
      <c r="BS38" s="1453"/>
      <c r="BT38" s="517">
        <v>430043</v>
      </c>
      <c r="BU38" s="517">
        <v>200020</v>
      </c>
      <c r="BV38" s="3351">
        <f>128*17+2+0.384+0.0044</f>
        <v>2178.3883999999998</v>
      </c>
      <c r="BW38" s="517">
        <v>200020</v>
      </c>
      <c r="BX38" s="3134"/>
      <c r="BY38" s="3343">
        <f>128*17+2</f>
        <v>2178</v>
      </c>
      <c r="BZ38" s="3343">
        <f>128*17+4</f>
        <v>2180</v>
      </c>
      <c r="CA38" s="3134"/>
      <c r="CB38" s="3343">
        <f>128*17+2</f>
        <v>2178</v>
      </c>
      <c r="CC38" s="3343">
        <f>128*17+4</f>
        <v>2180</v>
      </c>
      <c r="CD38" s="3134"/>
      <c r="CE38" s="3134"/>
      <c r="CF38" s="3134"/>
      <c r="CG38" s="517">
        <v>200020</v>
      </c>
      <c r="CH38" s="503"/>
      <c r="CI38" s="503"/>
      <c r="CJ38" s="505">
        <v>200020</v>
      </c>
      <c r="CK38" s="771">
        <v>200020</v>
      </c>
      <c r="CL38" s="3135"/>
      <c r="CM38" s="3143">
        <f>490000+128*4+34+0.384+0.001</f>
        <v>490546.38500000001</v>
      </c>
      <c r="CN38" s="2959"/>
      <c r="CO38" s="2394"/>
      <c r="CP38" s="3143">
        <f>490000+128*4+34+0.384+0.007</f>
        <v>490546.391</v>
      </c>
      <c r="CQ38" s="3135"/>
      <c r="CR38" s="771">
        <v>200020</v>
      </c>
      <c r="DD38" s="2218">
        <v>32</v>
      </c>
      <c r="DE38">
        <f>K63</f>
        <v>1440.5</v>
      </c>
      <c r="IU38" t="s">
        <v>1092</v>
      </c>
      <c r="IV38" s="499">
        <v>178</v>
      </c>
    </row>
    <row r="39" spans="1:256" ht="9" customHeight="1" thickTop="1" thickBot="1">
      <c r="A39" s="514">
        <v>24</v>
      </c>
      <c r="B39" s="504">
        <v>35</v>
      </c>
      <c r="C39" s="504">
        <v>200020</v>
      </c>
      <c r="D39" s="504">
        <v>200020</v>
      </c>
      <c r="E39" s="1078">
        <f>128*9+2+0.384+0.011</f>
        <v>1154.395</v>
      </c>
      <c r="F39" s="504">
        <v>200020</v>
      </c>
      <c r="G39" s="1023">
        <v>200011</v>
      </c>
      <c r="H39" s="1023">
        <v>200011</v>
      </c>
      <c r="I39" s="1023">
        <v>200011</v>
      </c>
      <c r="J39" s="1023">
        <v>200020</v>
      </c>
      <c r="K39" s="1023">
        <v>200020</v>
      </c>
      <c r="L39" s="1023">
        <v>200020</v>
      </c>
      <c r="M39" s="1023">
        <v>200020</v>
      </c>
      <c r="N39" s="1023">
        <v>200020</v>
      </c>
      <c r="O39" s="1023">
        <v>200020</v>
      </c>
      <c r="P39" s="1023">
        <v>200011</v>
      </c>
      <c r="Q39" s="1023">
        <v>200011</v>
      </c>
      <c r="R39" s="513"/>
      <c r="S39" s="513"/>
      <c r="T39" s="513"/>
      <c r="U39" s="513"/>
      <c r="V39" s="513"/>
      <c r="W39" s="513"/>
      <c r="X39" s="513"/>
      <c r="Y39" s="513"/>
      <c r="Z39" s="513"/>
      <c r="AA39" s="513"/>
      <c r="AB39" s="513"/>
      <c r="AC39" s="513"/>
      <c r="AD39" s="513"/>
      <c r="AE39" s="513"/>
      <c r="AF39" s="513"/>
      <c r="AG39" s="513"/>
      <c r="AH39" s="513"/>
      <c r="AI39" s="513"/>
      <c r="AJ39" s="513"/>
      <c r="AK39" s="513"/>
      <c r="AL39" s="513"/>
      <c r="AM39" s="513"/>
      <c r="AN39" s="513"/>
      <c r="AO39" s="513"/>
      <c r="AP39" s="513"/>
      <c r="AQ39" s="513"/>
      <c r="AR39" s="513"/>
      <c r="AS39" s="513"/>
      <c r="AT39" s="513"/>
      <c r="AU39" s="513"/>
      <c r="AV39" s="513"/>
      <c r="AW39" s="513"/>
      <c r="AX39" s="513"/>
      <c r="AY39" s="513"/>
      <c r="AZ39" s="513"/>
      <c r="BA39" s="513"/>
      <c r="BB39" s="781">
        <f>128*9+51</f>
        <v>1203</v>
      </c>
      <c r="BC39" s="513"/>
      <c r="BD39" s="503"/>
      <c r="BE39" s="518"/>
      <c r="BF39" s="503"/>
      <c r="BG39" s="518"/>
      <c r="BH39" s="772">
        <v>6.0100000000000001E-2</v>
      </c>
      <c r="BI39" s="1567"/>
      <c r="BJ39" s="772"/>
      <c r="BK39" s="1567"/>
      <c r="BL39" s="772"/>
      <c r="BM39" s="1567"/>
      <c r="BN39" s="772"/>
      <c r="BO39" s="773"/>
      <c r="BP39" s="503"/>
      <c r="BQ39" s="503">
        <f>128*9+25</f>
        <v>1177</v>
      </c>
      <c r="BR39" s="517">
        <v>430043</v>
      </c>
      <c r="BS39" s="1453"/>
      <c r="BT39" s="517">
        <v>430043</v>
      </c>
      <c r="BU39" s="517">
        <v>200020</v>
      </c>
      <c r="BV39" s="3351">
        <f>128*17+5+0.384+0.0044</f>
        <v>2181.3883999999998</v>
      </c>
      <c r="BW39" s="525">
        <v>200020</v>
      </c>
      <c r="BX39" s="525">
        <v>200020</v>
      </c>
      <c r="BY39" s="525">
        <v>200020</v>
      </c>
      <c r="BZ39" s="525">
        <v>200020</v>
      </c>
      <c r="CA39" s="3342">
        <f>200020+0.182</f>
        <v>200020.182</v>
      </c>
      <c r="CB39" s="525">
        <v>200020</v>
      </c>
      <c r="CC39" s="525">
        <v>200020</v>
      </c>
      <c r="CD39" s="525">
        <v>200020</v>
      </c>
      <c r="CE39" s="525">
        <v>200020</v>
      </c>
      <c r="CF39" s="525">
        <v>200020</v>
      </c>
      <c r="CG39" s="525">
        <v>200020</v>
      </c>
      <c r="CH39" s="517">
        <v>200020</v>
      </c>
      <c r="CI39" s="517">
        <v>200020</v>
      </c>
      <c r="CJ39" s="505">
        <v>200020</v>
      </c>
      <c r="CK39" s="771">
        <v>200020</v>
      </c>
      <c r="CL39" s="3134"/>
      <c r="CM39" s="3134"/>
      <c r="CN39" s="3134"/>
      <c r="CO39" s="3134"/>
      <c r="CP39" s="3134"/>
      <c r="CQ39" s="3135"/>
      <c r="CR39" s="771">
        <v>200020</v>
      </c>
      <c r="IU39" t="s">
        <v>567</v>
      </c>
      <c r="IV39" s="499">
        <v>4</v>
      </c>
    </row>
    <row r="40" spans="1:256" ht="9" customHeight="1" thickTop="1" thickBot="1">
      <c r="A40" s="504">
        <v>35</v>
      </c>
      <c r="D40" s="504">
        <v>200020</v>
      </c>
      <c r="E40" s="707">
        <f>128*9+2</f>
        <v>1154</v>
      </c>
      <c r="F40" s="504">
        <v>200020</v>
      </c>
      <c r="G40" s="504">
        <v>200011</v>
      </c>
      <c r="H40" s="504">
        <v>200011</v>
      </c>
      <c r="I40" s="3561">
        <f>0.384+0.0033</f>
        <v>0.38730000000000003</v>
      </c>
      <c r="J40" s="838">
        <f>128*9+2</f>
        <v>1154</v>
      </c>
      <c r="K40" s="838">
        <f>128*9+2</f>
        <v>1154</v>
      </c>
      <c r="L40" s="838">
        <f>128*9+2</f>
        <v>1154</v>
      </c>
      <c r="M40" s="838">
        <f>128*9+2</f>
        <v>1154</v>
      </c>
      <c r="N40" s="838">
        <f>128*9+2+0.384+0.01</f>
        <v>1154.394</v>
      </c>
      <c r="O40" s="838">
        <f>128*9+2</f>
        <v>1154</v>
      </c>
      <c r="P40" s="3363">
        <f>128*10+1</f>
        <v>1281</v>
      </c>
      <c r="Q40" s="504">
        <v>200011</v>
      </c>
      <c r="R40" s="513"/>
      <c r="S40" s="513"/>
      <c r="T40" s="513"/>
      <c r="U40" s="513"/>
      <c r="V40" s="513"/>
      <c r="W40" s="513"/>
      <c r="X40" s="513"/>
      <c r="Y40" s="513"/>
      <c r="Z40" s="781">
        <f>128*4+35</f>
        <v>547</v>
      </c>
      <c r="AA40" s="513"/>
      <c r="AB40" s="513"/>
      <c r="AC40" s="513"/>
      <c r="AD40" s="842">
        <f>128*4+47</f>
        <v>559</v>
      </c>
      <c r="AE40" s="513"/>
      <c r="AF40" s="513"/>
      <c r="AG40" s="513"/>
      <c r="AH40" s="513"/>
      <c r="AI40" s="513"/>
      <c r="AJ40" s="513"/>
      <c r="AK40" s="513"/>
      <c r="AL40" s="513"/>
      <c r="AM40" s="513"/>
      <c r="AN40" s="513"/>
      <c r="AO40" s="513"/>
      <c r="AP40" s="513"/>
      <c r="AQ40" s="513"/>
      <c r="AR40" s="513"/>
      <c r="AS40" s="513"/>
      <c r="AT40" s="513"/>
      <c r="AU40" s="513"/>
      <c r="AV40" s="513"/>
      <c r="AW40" s="842">
        <f>128*4+47</f>
        <v>559</v>
      </c>
      <c r="AX40" s="513"/>
      <c r="AY40" s="513"/>
      <c r="AZ40" s="513"/>
      <c r="BA40" s="538">
        <f>128*9+51</f>
        <v>1203</v>
      </c>
      <c r="BB40" s="3446">
        <f>8+0.22</f>
        <v>8.2200000000000006</v>
      </c>
      <c r="BC40" s="533">
        <f>128*4+47+0.1397</f>
        <v>559.13969999999995</v>
      </c>
      <c r="BD40" s="533">
        <f>128*4+47+0.1395</f>
        <v>559.1395</v>
      </c>
      <c r="BE40" s="533">
        <f>128*4+47+0.256+0.0277</f>
        <v>559.28369999999995</v>
      </c>
      <c r="BF40" s="533">
        <f t="shared" ref="BF40:BN40" si="13">128*4+47</f>
        <v>559</v>
      </c>
      <c r="BG40" s="533">
        <f t="shared" si="13"/>
        <v>559</v>
      </c>
      <c r="BH40" s="533">
        <f t="shared" si="13"/>
        <v>559</v>
      </c>
      <c r="BI40" s="533">
        <f t="shared" si="13"/>
        <v>559</v>
      </c>
      <c r="BJ40" s="533">
        <f t="shared" si="13"/>
        <v>559</v>
      </c>
      <c r="BK40" s="533">
        <f t="shared" si="13"/>
        <v>559</v>
      </c>
      <c r="BL40" s="533">
        <f t="shared" si="13"/>
        <v>559</v>
      </c>
      <c r="BM40" s="533">
        <f t="shared" si="13"/>
        <v>559</v>
      </c>
      <c r="BN40" s="533">
        <f t="shared" si="13"/>
        <v>559</v>
      </c>
      <c r="BO40" s="2363">
        <f>128*9+32</f>
        <v>1184</v>
      </c>
      <c r="BP40" s="533">
        <f>128*4+47</f>
        <v>559</v>
      </c>
      <c r="BQ40" s="533">
        <f>128*4+47</f>
        <v>559</v>
      </c>
      <c r="BR40" s="3116">
        <f>430000+128*5+5</f>
        <v>430645</v>
      </c>
      <c r="BS40" s="1388"/>
      <c r="BT40" s="517">
        <v>430043</v>
      </c>
      <c r="BU40" s="517">
        <v>430043</v>
      </c>
      <c r="BV40" s="3352">
        <f>200000+128*9+69+0.083</f>
        <v>201221.08300000001</v>
      </c>
      <c r="BW40" s="3074">
        <f>430043+0.038</f>
        <v>430043.038</v>
      </c>
      <c r="BX40" s="517">
        <v>430043</v>
      </c>
      <c r="BY40" s="517">
        <v>430043</v>
      </c>
      <c r="BZ40" s="3074">
        <f>430043+0.038</f>
        <v>430043.038</v>
      </c>
      <c r="CA40" s="517">
        <v>430043</v>
      </c>
      <c r="CB40" s="517">
        <v>430043</v>
      </c>
      <c r="CC40" s="517">
        <v>430043</v>
      </c>
      <c r="CD40" s="517">
        <v>430043</v>
      </c>
      <c r="CE40" s="3074">
        <f>430043+0.038</f>
        <v>430043.038</v>
      </c>
      <c r="CF40" s="517">
        <v>430043</v>
      </c>
      <c r="CG40" s="517">
        <v>430043</v>
      </c>
      <c r="CH40" s="517">
        <v>430043</v>
      </c>
      <c r="CI40" s="517">
        <v>430043</v>
      </c>
      <c r="CJ40" s="505">
        <v>200020</v>
      </c>
      <c r="CK40" s="771">
        <v>200020</v>
      </c>
      <c r="CL40" s="771">
        <v>200020</v>
      </c>
      <c r="CM40" s="771">
        <v>200020</v>
      </c>
      <c r="CN40" s="3207">
        <f>200000+0.256+0.049</f>
        <v>200000.30499999999</v>
      </c>
      <c r="CO40" s="3207">
        <f>200000+0.256+0.05</f>
        <v>200000.30599999998</v>
      </c>
      <c r="CP40" s="771">
        <v>200020</v>
      </c>
      <c r="CQ40" s="771">
        <v>200020</v>
      </c>
      <c r="CR40" s="771">
        <v>200020</v>
      </c>
      <c r="IU40" t="s">
        <v>886</v>
      </c>
      <c r="IV40" s="499">
        <v>98</v>
      </c>
    </row>
    <row r="41" spans="1:256" ht="9" customHeight="1" thickTop="1">
      <c r="A41" s="504">
        <v>35</v>
      </c>
      <c r="D41" s="504">
        <v>200011</v>
      </c>
      <c r="E41" s="3363"/>
      <c r="F41" s="3362">
        <f>128*9+2</f>
        <v>1154</v>
      </c>
      <c r="G41" s="3363">
        <v>200000</v>
      </c>
      <c r="H41" s="504">
        <v>200011</v>
      </c>
      <c r="I41" s="1607">
        <f>128*9+2</f>
        <v>1154</v>
      </c>
      <c r="J41" s="504">
        <v>200020</v>
      </c>
      <c r="K41" s="504">
        <v>200020</v>
      </c>
      <c r="L41" s="504">
        <v>200020</v>
      </c>
      <c r="M41" s="504">
        <v>200020</v>
      </c>
      <c r="N41" s="504">
        <v>200020</v>
      </c>
      <c r="O41" s="504">
        <v>200020</v>
      </c>
      <c r="P41" s="3113">
        <f t="shared" ref="P41:P46" si="14">128*9+2</f>
        <v>1154</v>
      </c>
      <c r="Q41" s="771">
        <v>200020</v>
      </c>
      <c r="R41" s="771">
        <v>200020</v>
      </c>
      <c r="S41" s="771">
        <v>200020</v>
      </c>
      <c r="T41" s="771">
        <v>200020</v>
      </c>
      <c r="U41" s="771">
        <v>200020</v>
      </c>
      <c r="V41" s="771">
        <v>200020</v>
      </c>
      <c r="W41" s="771">
        <v>200020</v>
      </c>
      <c r="X41" s="771">
        <v>200020</v>
      </c>
      <c r="Y41" s="498">
        <v>200020</v>
      </c>
      <c r="Z41" s="503">
        <f>128*9+88</f>
        <v>1240</v>
      </c>
      <c r="AA41" s="503">
        <f>128*9+34</f>
        <v>1186</v>
      </c>
      <c r="AB41" s="503">
        <f>128*9+34</f>
        <v>1186</v>
      </c>
      <c r="AC41" s="503">
        <f>128*9+34</f>
        <v>1186</v>
      </c>
      <c r="AD41" s="534">
        <f>128*9+27</f>
        <v>1179</v>
      </c>
      <c r="AE41" s="532">
        <f>128*4+47</f>
        <v>559</v>
      </c>
      <c r="AF41" s="532">
        <f>128*4+47</f>
        <v>559</v>
      </c>
      <c r="AG41" s="532">
        <f>128*4+47</f>
        <v>559</v>
      </c>
      <c r="AH41" s="534">
        <f>128*9+27</f>
        <v>1179</v>
      </c>
      <c r="AI41" s="503"/>
      <c r="AJ41" s="503"/>
      <c r="AK41" s="503"/>
      <c r="AL41" s="503"/>
      <c r="AM41" s="503"/>
      <c r="AN41" s="503"/>
      <c r="AO41" s="782">
        <v>5</v>
      </c>
      <c r="AP41" s="782">
        <v>5</v>
      </c>
      <c r="AQ41" s="782">
        <v>5</v>
      </c>
      <c r="AR41" s="782">
        <v>5</v>
      </c>
      <c r="AS41" s="782">
        <f>128*9+27</f>
        <v>1179</v>
      </c>
      <c r="AT41" s="532">
        <f>128*4+47</f>
        <v>559</v>
      </c>
      <c r="AU41" s="532">
        <f>128*4+47</f>
        <v>559</v>
      </c>
      <c r="AV41" s="532">
        <f>128*4+47</f>
        <v>559</v>
      </c>
      <c r="AW41" s="503">
        <f>128*9+27</f>
        <v>1179</v>
      </c>
      <c r="AX41" s="503">
        <f>128*9+34</f>
        <v>1186</v>
      </c>
      <c r="AY41" s="503">
        <f>128*9+34</f>
        <v>1186</v>
      </c>
      <c r="AZ41" s="503">
        <f>128*9+34</f>
        <v>1186</v>
      </c>
      <c r="BA41" s="503">
        <f>128*9+34</f>
        <v>1186</v>
      </c>
      <c r="BB41" s="3420">
        <f>128*9+51</f>
        <v>1203</v>
      </c>
      <c r="BC41" s="3567"/>
      <c r="BD41" s="3567"/>
      <c r="BE41" s="3567"/>
      <c r="BF41" s="3567"/>
      <c r="BG41" s="3567"/>
      <c r="BH41" s="3567"/>
      <c r="BI41" s="3567"/>
      <c r="BJ41" s="772"/>
      <c r="BK41" s="772"/>
      <c r="BL41" s="772"/>
      <c r="BM41" s="772"/>
      <c r="BN41" s="3447"/>
      <c r="BO41" s="3434"/>
      <c r="BP41" s="3434"/>
      <c r="BQ41" s="3435"/>
      <c r="BR41" s="517">
        <v>430043</v>
      </c>
      <c r="BS41" s="1505">
        <f>128*9+67</f>
        <v>1219</v>
      </c>
      <c r="BT41" s="517">
        <v>430043</v>
      </c>
      <c r="BU41" s="801">
        <f>128*9+48+0.122</f>
        <v>1200.1220000000001</v>
      </c>
      <c r="BV41" s="500"/>
      <c r="BW41" s="500"/>
      <c r="BX41" s="500">
        <f>128*11+9</f>
        <v>1417</v>
      </c>
      <c r="BY41" s="500"/>
      <c r="BZ41" s="500"/>
      <c r="CA41" s="500">
        <f>128*11+12+0.5</f>
        <v>1420.5</v>
      </c>
      <c r="CB41" s="703">
        <f>128*9+81+0.212</f>
        <v>1233.212</v>
      </c>
      <c r="CC41" s="500"/>
      <c r="CD41" s="500">
        <f>128*11+15</f>
        <v>1423</v>
      </c>
      <c r="CE41" s="500"/>
      <c r="CF41" s="703">
        <f>128*9+48+0.122</f>
        <v>1200.1220000000001</v>
      </c>
      <c r="CG41" s="801">
        <f>128*11+18+0.5</f>
        <v>1426.5</v>
      </c>
      <c r="CH41" s="500"/>
      <c r="CI41" s="517">
        <v>430043</v>
      </c>
      <c r="CJ41" s="757">
        <f>128*11+29</f>
        <v>1437</v>
      </c>
      <c r="CK41" s="505">
        <v>200020</v>
      </c>
      <c r="CL41" s="1209">
        <f>200000+128*14+116</f>
        <v>201908</v>
      </c>
      <c r="CM41" s="1209">
        <f>128*10+18</f>
        <v>1298</v>
      </c>
      <c r="CN41" s="1086">
        <f>200020+0.113</f>
        <v>200020.11300000001</v>
      </c>
      <c r="CO41" s="505">
        <v>200020</v>
      </c>
      <c r="CP41" s="505">
        <v>200020</v>
      </c>
      <c r="CQ41" s="505">
        <v>200020</v>
      </c>
      <c r="CR41" s="505">
        <v>200020</v>
      </c>
      <c r="IU41" t="s">
        <v>887</v>
      </c>
      <c r="IV41" s="499">
        <v>104</v>
      </c>
    </row>
    <row r="42" spans="1:256" ht="9" customHeight="1" thickBot="1">
      <c r="A42" s="504">
        <v>35</v>
      </c>
      <c r="D42" s="504">
        <v>200011</v>
      </c>
      <c r="E42" s="504">
        <v>200011</v>
      </c>
      <c r="F42" s="504">
        <v>200020</v>
      </c>
      <c r="G42" s="3559">
        <f>128*9+2+0.384+0.003</f>
        <v>1154.3869999999999</v>
      </c>
      <c r="H42" s="504">
        <v>200011</v>
      </c>
      <c r="I42" s="3363">
        <f>128*10+6</f>
        <v>1286</v>
      </c>
      <c r="J42" s="1377">
        <f>128*9+2</f>
        <v>1154</v>
      </c>
      <c r="K42" s="1377">
        <f>128*9+2+0.384+0.0113</f>
        <v>1154.3952999999999</v>
      </c>
      <c r="L42" s="1377">
        <f>128*9+2</f>
        <v>1154</v>
      </c>
      <c r="M42" s="3561">
        <f>0.384+0.004</f>
        <v>0.38800000000000001</v>
      </c>
      <c r="N42" s="504">
        <v>200011</v>
      </c>
      <c r="O42" s="504">
        <v>200020</v>
      </c>
      <c r="P42" s="1444">
        <f>128*9+2+0.384+0.004</f>
        <v>1154.3879999999999</v>
      </c>
      <c r="Q42" s="498">
        <v>200020</v>
      </c>
      <c r="R42" s="3730">
        <v>44</v>
      </c>
      <c r="S42" s="3731"/>
      <c r="T42" s="3731"/>
      <c r="U42" s="3731">
        <f>128*2+44</f>
        <v>300</v>
      </c>
      <c r="V42" s="3731">
        <f>128*2+44</f>
        <v>300</v>
      </c>
      <c r="W42" s="3731">
        <f>128*2+44</f>
        <v>300</v>
      </c>
      <c r="X42" s="3732">
        <f>128*2+44</f>
        <v>300</v>
      </c>
      <c r="Y42" s="3437" t="s">
        <v>739</v>
      </c>
      <c r="Z42" s="3438"/>
      <c r="AA42" s="3438"/>
      <c r="AB42" s="3438"/>
      <c r="AC42" s="3438"/>
      <c r="AD42" s="3438"/>
      <c r="AE42" s="3438"/>
      <c r="AF42" s="3438"/>
      <c r="AG42" s="3438"/>
      <c r="AH42" s="3438"/>
      <c r="AI42" s="3438"/>
      <c r="AJ42" s="3438"/>
      <c r="AK42" s="3438"/>
      <c r="AL42" s="3438"/>
      <c r="AM42" s="3438"/>
      <c r="AN42" s="3438"/>
      <c r="AO42" s="3438"/>
      <c r="AP42" s="3438"/>
      <c r="AQ42" s="3438"/>
      <c r="AR42" s="3438"/>
      <c r="AS42" s="3438"/>
      <c r="AT42" s="3438"/>
      <c r="AU42" s="3438"/>
      <c r="AV42" s="3438"/>
      <c r="AW42" s="3438"/>
      <c r="AX42" s="3438"/>
      <c r="AY42" s="3438"/>
      <c r="AZ42" s="3438"/>
      <c r="BA42" s="3438"/>
      <c r="BB42" s="3438"/>
      <c r="BC42" s="3438"/>
      <c r="BD42" s="3438"/>
      <c r="BE42" s="3438" t="s">
        <v>739</v>
      </c>
      <c r="BF42" s="3438"/>
      <c r="BG42" s="3438"/>
      <c r="BH42" s="3438"/>
      <c r="BI42" s="3439"/>
      <c r="BJ42" s="2399">
        <v>35</v>
      </c>
      <c r="BK42" s="2399">
        <v>35</v>
      </c>
      <c r="BL42" s="2399">
        <v>35</v>
      </c>
      <c r="BM42" s="3438">
        <f>128*11+31</f>
        <v>1439</v>
      </c>
      <c r="BN42" s="3440">
        <f>39+0.207</f>
        <v>39.207000000000001</v>
      </c>
      <c r="BO42" s="2399">
        <v>39</v>
      </c>
      <c r="BP42" s="2399">
        <v>39</v>
      </c>
      <c r="BQ42" s="3441">
        <v>39</v>
      </c>
      <c r="BR42" s="517">
        <f>430043+0.033</f>
        <v>430043.033</v>
      </c>
      <c r="BS42" s="1505"/>
      <c r="BT42" s="1466">
        <f>430043+0.038</f>
        <v>430043.038</v>
      </c>
      <c r="BU42" s="500"/>
      <c r="BV42" s="510">
        <f>128*10+16</f>
        <v>1296</v>
      </c>
      <c r="BW42" s="500">
        <f>0.5+0.256+0.035</f>
        <v>0.79100000000000004</v>
      </c>
      <c r="BX42" s="500">
        <f>128*11+10</f>
        <v>1418</v>
      </c>
      <c r="BY42" s="510"/>
      <c r="BZ42" s="500">
        <f>0.5+0.256+0.035</f>
        <v>0.79100000000000004</v>
      </c>
      <c r="CA42" s="500">
        <f>128*11+13+0.5</f>
        <v>1421.5</v>
      </c>
      <c r="CB42" s="510"/>
      <c r="CC42" s="500">
        <f>0.5+0.256+0.035</f>
        <v>0.79100000000000004</v>
      </c>
      <c r="CD42" s="500">
        <f>128*11+16</f>
        <v>1424</v>
      </c>
      <c r="CE42" s="510"/>
      <c r="CF42" s="500">
        <f>0.5+0.256+0.035</f>
        <v>0.79100000000000004</v>
      </c>
      <c r="CG42" s="801">
        <f>128*11+19+0.5</f>
        <v>1427.5</v>
      </c>
      <c r="CH42" s="510"/>
      <c r="CI42" s="3426">
        <f>128*5+38</f>
        <v>678</v>
      </c>
      <c r="CJ42" s="757"/>
      <c r="CK42" s="1390"/>
      <c r="CL42" s="757">
        <f>128*3+31</f>
        <v>415</v>
      </c>
      <c r="CM42" s="505">
        <v>200000</v>
      </c>
      <c r="CN42" s="505">
        <v>200043</v>
      </c>
      <c r="CO42" s="505">
        <v>200043</v>
      </c>
      <c r="CP42" s="505">
        <v>200043</v>
      </c>
      <c r="CQ42" s="505">
        <v>200043</v>
      </c>
      <c r="CR42" s="505">
        <v>200043</v>
      </c>
    </row>
    <row r="43" spans="1:256" ht="9" customHeight="1">
      <c r="A43" s="517">
        <v>200020</v>
      </c>
      <c r="F43" s="504">
        <v>200020</v>
      </c>
      <c r="G43" s="3559">
        <f>128*9+2+0.384+0.003</f>
        <v>1154.3869999999999</v>
      </c>
      <c r="H43" s="504">
        <v>200020</v>
      </c>
      <c r="I43" s="504">
        <v>200011</v>
      </c>
      <c r="J43" s="504">
        <v>200020</v>
      </c>
      <c r="K43" s="504">
        <v>200020</v>
      </c>
      <c r="L43" s="504">
        <v>200020</v>
      </c>
      <c r="M43" s="1607">
        <f>128*9+2</f>
        <v>1154</v>
      </c>
      <c r="N43" s="504">
        <v>200020</v>
      </c>
      <c r="O43" s="504">
        <v>200020</v>
      </c>
      <c r="P43" s="757">
        <f t="shared" si="14"/>
        <v>1154</v>
      </c>
      <c r="Q43" s="698">
        <f>200035+0.113</f>
        <v>200035.11300000001</v>
      </c>
      <c r="R43" s="3731">
        <f>128*10+17</f>
        <v>1297</v>
      </c>
      <c r="S43" s="3731">
        <f>128*14+116</f>
        <v>1908</v>
      </c>
      <c r="T43" s="3733">
        <v>44</v>
      </c>
      <c r="U43" s="3730">
        <v>44</v>
      </c>
      <c r="V43" s="3730">
        <v>44</v>
      </c>
      <c r="W43" s="3730">
        <v>44</v>
      </c>
      <c r="X43" s="3732"/>
      <c r="Y43" s="3436"/>
      <c r="Z43" s="3438"/>
      <c r="AA43" s="3438"/>
      <c r="AB43" s="3438"/>
      <c r="AC43" s="3438"/>
      <c r="AD43" s="3438"/>
      <c r="AE43" s="3438"/>
      <c r="AF43" s="3438"/>
      <c r="AG43" s="3438"/>
      <c r="AH43" s="3438"/>
      <c r="AI43" s="3453">
        <f>128*11+30</f>
        <v>1438</v>
      </c>
      <c r="AJ43" s="3438"/>
      <c r="AK43" s="3438"/>
      <c r="AL43" s="3438"/>
      <c r="AM43" s="3438"/>
      <c r="AN43" s="3438"/>
      <c r="AO43" s="3438"/>
      <c r="AP43" s="3438"/>
      <c r="AQ43" s="3438"/>
      <c r="AR43" s="3438"/>
      <c r="AS43" s="3438"/>
      <c r="AT43" s="3438"/>
      <c r="AU43" s="3438"/>
      <c r="AV43" s="3438"/>
      <c r="AW43" s="3438"/>
      <c r="AX43" s="3438"/>
      <c r="AY43" s="3438"/>
      <c r="AZ43" s="3438"/>
      <c r="BA43" s="3438"/>
      <c r="BB43" s="3438"/>
      <c r="BC43" s="3438"/>
      <c r="BD43" s="3438"/>
      <c r="BE43" s="3438"/>
      <c r="BF43" s="3438"/>
      <c r="BG43" s="3438" t="s">
        <v>739</v>
      </c>
      <c r="BH43" s="3442">
        <f>128*2+44</f>
        <v>300</v>
      </c>
      <c r="BI43" s="3442">
        <f>128*2+44</f>
        <v>300</v>
      </c>
      <c r="BJ43" s="3442">
        <f>128*2+44</f>
        <v>300</v>
      </c>
      <c r="BK43" s="3443">
        <v>44</v>
      </c>
      <c r="BL43" s="3450">
        <v>44</v>
      </c>
      <c r="BM43" s="3450">
        <v>44</v>
      </c>
      <c r="BN43" s="3450">
        <f>44+0.132</f>
        <v>44.131999999999998</v>
      </c>
      <c r="BO43" s="3450">
        <v>44</v>
      </c>
      <c r="BP43" s="3475">
        <f>128*17+4</f>
        <v>2180</v>
      </c>
      <c r="BQ43" s="3475">
        <f>128*17+4</f>
        <v>2180</v>
      </c>
      <c r="BR43" s="517">
        <v>430043</v>
      </c>
      <c r="BS43" s="1388"/>
      <c r="BT43" s="517">
        <v>430043</v>
      </c>
      <c r="BU43" s="802">
        <f>128*9+48+0.122</f>
        <v>1200.1220000000001</v>
      </c>
      <c r="BV43" s="500">
        <v>0.11550000000000001</v>
      </c>
      <c r="BW43" s="802">
        <f>128*9+48+0.122</f>
        <v>1200.1220000000001</v>
      </c>
      <c r="BX43" s="500">
        <f>128*11+11</f>
        <v>1419</v>
      </c>
      <c r="BY43" s="500"/>
      <c r="BZ43" s="500"/>
      <c r="CA43" s="500">
        <f>128*11+14+0.5</f>
        <v>1422.5</v>
      </c>
      <c r="CB43" s="500"/>
      <c r="CC43" s="802">
        <f>128*9+81+0.212</f>
        <v>1233.212</v>
      </c>
      <c r="CD43" s="500">
        <f>128*11+17</f>
        <v>1425</v>
      </c>
      <c r="CE43" s="500"/>
      <c r="CF43" s="500"/>
      <c r="CG43" s="801">
        <f>128*11+20+0.5</f>
        <v>1428.5</v>
      </c>
      <c r="CH43" s="500"/>
      <c r="CI43" s="517">
        <v>430043</v>
      </c>
      <c r="CJ43" s="757"/>
      <c r="CK43" s="757">
        <v>6.0499999999999998E-2</v>
      </c>
      <c r="CL43" s="757"/>
      <c r="CM43" s="517">
        <v>430043</v>
      </c>
      <c r="CN43" s="1744"/>
      <c r="CO43" s="1751">
        <f>128*9+88</f>
        <v>1240</v>
      </c>
      <c r="CP43" s="1746">
        <f>128*4+35</f>
        <v>547</v>
      </c>
      <c r="CQ43" s="500">
        <f>128*6+19+0.0201</f>
        <v>787.02009999999996</v>
      </c>
      <c r="CR43" s="517">
        <v>430043</v>
      </c>
    </row>
    <row r="44" spans="1:256" ht="9" customHeight="1">
      <c r="A44" s="517">
        <v>200020</v>
      </c>
      <c r="B44" s="504">
        <f>200049+0.067</f>
        <v>200049.06700000001</v>
      </c>
      <c r="C44" s="504">
        <v>200020</v>
      </c>
      <c r="D44" s="504">
        <v>200020</v>
      </c>
      <c r="E44" s="504">
        <v>200020</v>
      </c>
      <c r="F44" s="504">
        <v>200020</v>
      </c>
      <c r="G44" s="1607">
        <f>128*9+2</f>
        <v>1154</v>
      </c>
      <c r="H44" s="504">
        <v>200020</v>
      </c>
      <c r="I44" s="504">
        <v>200020</v>
      </c>
      <c r="J44" s="504">
        <v>200020</v>
      </c>
      <c r="K44" s="504">
        <v>200011</v>
      </c>
      <c r="L44" s="504">
        <v>200020</v>
      </c>
      <c r="M44" s="757">
        <f>128*9+2</f>
        <v>1154</v>
      </c>
      <c r="N44" s="504">
        <v>200020</v>
      </c>
      <c r="O44" s="504">
        <v>200020</v>
      </c>
      <c r="P44" s="1444">
        <f>128*9+2+0.384+0.004</f>
        <v>1154.3879999999999</v>
      </c>
      <c r="Q44" s="498">
        <v>200020</v>
      </c>
      <c r="R44" s="3734">
        <v>44</v>
      </c>
      <c r="S44" s="3734">
        <v>44</v>
      </c>
      <c r="T44" s="3731"/>
      <c r="U44" s="3731"/>
      <c r="V44" s="3731"/>
      <c r="W44" s="3731"/>
      <c r="X44" s="3732"/>
      <c r="Y44" s="3436"/>
      <c r="Z44" s="3438"/>
      <c r="AA44" s="3438"/>
      <c r="AB44" s="3438"/>
      <c r="AC44" s="3438"/>
      <c r="AD44" s="3438"/>
      <c r="AE44" s="3438"/>
      <c r="AF44" s="3438"/>
      <c r="AG44" s="3445">
        <f>128*9+17+0.5+0.384+0.004</f>
        <v>1169.8879999999999</v>
      </c>
      <c r="AH44" s="3438">
        <f>128*9+17+0.5+0.256+0.015</f>
        <v>1169.7710000000002</v>
      </c>
      <c r="AI44" s="3444">
        <f>44+0.132</f>
        <v>44.131999999999998</v>
      </c>
      <c r="AJ44" s="3444">
        <v>44</v>
      </c>
      <c r="AK44" s="3444">
        <v>44</v>
      </c>
      <c r="AL44" s="3444">
        <v>44</v>
      </c>
      <c r="AM44" s="3444">
        <v>44</v>
      </c>
      <c r="AN44" s="3428">
        <v>44</v>
      </c>
      <c r="AO44" s="3438">
        <f>128*2+44</f>
        <v>300</v>
      </c>
      <c r="AP44" s="3438">
        <f>128*2+44</f>
        <v>300</v>
      </c>
      <c r="AQ44" s="3438" t="s">
        <v>739</v>
      </c>
      <c r="AR44" s="3438"/>
      <c r="AS44" s="3438"/>
      <c r="AT44" s="3438"/>
      <c r="AU44" s="3438"/>
      <c r="AV44" s="3438"/>
      <c r="AW44" s="3438"/>
      <c r="AX44" s="3438"/>
      <c r="AY44" s="3438"/>
      <c r="AZ44" s="3438"/>
      <c r="BA44" s="3438"/>
      <c r="BB44" s="3438"/>
      <c r="BC44" s="3438"/>
      <c r="BD44" s="3438"/>
      <c r="BE44" s="3438"/>
      <c r="BF44" s="3438"/>
      <c r="BG44" s="3438"/>
      <c r="BH44" s="3438"/>
      <c r="BI44" s="3438"/>
      <c r="BJ44" s="3438"/>
      <c r="BK44" s="3438"/>
      <c r="BL44" s="3438"/>
      <c r="BM44" s="3438"/>
      <c r="BN44" s="3452">
        <f>128*11+21</f>
        <v>1429</v>
      </c>
      <c r="BO44" s="3474">
        <f>128*17+64+4</f>
        <v>2244</v>
      </c>
      <c r="BP44" s="3438">
        <f>128*9+50</f>
        <v>1202</v>
      </c>
      <c r="BQ44" s="3438">
        <f>128*9+8+0.256+0.015</f>
        <v>1160.2710000000002</v>
      </c>
      <c r="BR44" s="517">
        <v>430043</v>
      </c>
      <c r="BS44" s="1505">
        <f>128*9+67</f>
        <v>1219</v>
      </c>
      <c r="BT44" s="517">
        <v>430043</v>
      </c>
      <c r="BU44" s="517">
        <v>430043</v>
      </c>
      <c r="BV44" s="517">
        <v>430043</v>
      </c>
      <c r="BW44" s="1977">
        <f>430043+0.038</f>
        <v>430043.038</v>
      </c>
      <c r="BX44" s="517">
        <v>430043</v>
      </c>
      <c r="BY44" s="517">
        <v>430043</v>
      </c>
      <c r="BZ44" s="1977">
        <f>430043+0.038</f>
        <v>430043.038</v>
      </c>
      <c r="CA44" s="517">
        <v>430043</v>
      </c>
      <c r="CB44" s="517">
        <v>430043</v>
      </c>
      <c r="CC44" s="517">
        <v>430043</v>
      </c>
      <c r="CD44" s="517">
        <v>430043</v>
      </c>
      <c r="CE44" s="1977">
        <f>430043+0.038</f>
        <v>430043.038</v>
      </c>
      <c r="CF44" s="517">
        <v>430043</v>
      </c>
      <c r="CG44" s="517">
        <v>430043</v>
      </c>
      <c r="CH44" s="517">
        <v>430043</v>
      </c>
      <c r="CI44" s="517">
        <v>430043</v>
      </c>
      <c r="CJ44" s="517">
        <v>430043</v>
      </c>
      <c r="CK44" s="1388">
        <f>430000+128*5+38</f>
        <v>430678</v>
      </c>
      <c r="CL44" s="517">
        <v>430043</v>
      </c>
      <c r="CM44" s="517">
        <v>430043</v>
      </c>
      <c r="CN44" s="1751">
        <f>128*9+49</f>
        <v>1201</v>
      </c>
      <c r="CO44" s="1744"/>
      <c r="CP44" s="517">
        <v>430043</v>
      </c>
      <c r="CQ44" s="500">
        <f>128*14+116+0.0201</f>
        <v>1908.0201</v>
      </c>
      <c r="CR44" s="517">
        <v>430043</v>
      </c>
    </row>
    <row r="45" spans="1:256" ht="9" customHeight="1" thickBot="1">
      <c r="A45" s="517">
        <v>200020</v>
      </c>
      <c r="B45" s="504">
        <v>200020</v>
      </c>
      <c r="C45" s="757">
        <v>200000</v>
      </c>
      <c r="D45" s="757">
        <v>200000</v>
      </c>
      <c r="E45" s="757">
        <v>200000</v>
      </c>
      <c r="F45" s="787"/>
      <c r="G45" s="787"/>
      <c r="H45" s="504">
        <v>200020</v>
      </c>
      <c r="J45" s="504">
        <v>200011</v>
      </c>
      <c r="K45" s="1039">
        <f>128*10+1</f>
        <v>1281</v>
      </c>
      <c r="L45" s="3362">
        <f>128*9+2</f>
        <v>1154</v>
      </c>
      <c r="M45" s="3363">
        <f>128*10+15</f>
        <v>1295</v>
      </c>
      <c r="N45" s="504">
        <v>200011</v>
      </c>
      <c r="O45" s="504">
        <v>200020</v>
      </c>
      <c r="P45" s="1444">
        <f>128*9+2+0.384+0.003</f>
        <v>1154.3869999999999</v>
      </c>
      <c r="Q45" s="498">
        <v>200020</v>
      </c>
      <c r="R45" s="3730">
        <v>44</v>
      </c>
      <c r="S45" s="3730">
        <v>44</v>
      </c>
      <c r="T45" s="3730">
        <v>44</v>
      </c>
      <c r="U45" s="3731">
        <f>128*14+116+0.256+0.016</f>
        <v>1908.2720000000002</v>
      </c>
      <c r="V45" s="3730">
        <v>44</v>
      </c>
      <c r="W45" s="3730">
        <v>44</v>
      </c>
      <c r="X45" s="3735">
        <v>44</v>
      </c>
      <c r="Y45" s="3436">
        <f>128*2+44</f>
        <v>300</v>
      </c>
      <c r="Z45" s="3438">
        <f>128*2+44</f>
        <v>300</v>
      </c>
      <c r="AA45" s="3438" t="s">
        <v>739</v>
      </c>
      <c r="AB45" s="3438"/>
      <c r="AC45" s="3438"/>
      <c r="AD45" s="3438"/>
      <c r="AE45" s="3438"/>
      <c r="AF45" s="3439"/>
      <c r="AG45" s="3465">
        <v>44</v>
      </c>
      <c r="AH45" s="3465">
        <v>44</v>
      </c>
      <c r="AI45" s="3466">
        <v>44</v>
      </c>
      <c r="AJ45" s="3438"/>
      <c r="AK45" s="3438"/>
      <c r="AL45" s="3438"/>
      <c r="AM45" s="3438"/>
      <c r="AN45" s="3438"/>
      <c r="AO45" s="3438"/>
      <c r="AP45" s="3438"/>
      <c r="AQ45" s="3438"/>
      <c r="AR45" s="3438"/>
      <c r="AS45" s="3438"/>
      <c r="AT45" s="3438"/>
      <c r="AU45" s="3438"/>
      <c r="AV45" s="3438"/>
      <c r="AW45" s="3438"/>
      <c r="AX45" s="3438"/>
      <c r="AY45" s="3438"/>
      <c r="AZ45" s="3438"/>
      <c r="BA45" s="3438"/>
      <c r="BB45" s="3438"/>
      <c r="BC45" s="3438"/>
      <c r="BD45" s="3438"/>
      <c r="BE45" s="3438"/>
      <c r="BF45" s="3438"/>
      <c r="BG45" s="3438"/>
      <c r="BH45" s="3438"/>
      <c r="BI45" s="3438"/>
      <c r="BJ45" s="3438"/>
      <c r="BK45" s="3438" t="s">
        <v>739</v>
      </c>
      <c r="BL45" s="3442">
        <f>128*2+44</f>
        <v>300</v>
      </c>
      <c r="BM45" s="3442">
        <f>128*2+44</f>
        <v>300</v>
      </c>
      <c r="BN45" s="3442">
        <f>128*2+44</f>
        <v>300</v>
      </c>
      <c r="BO45" s="3442">
        <f>128*2+44</f>
        <v>300</v>
      </c>
      <c r="BP45" s="3438">
        <f>128*9+50</f>
        <v>1202</v>
      </c>
      <c r="BQ45" s="3438">
        <f>128*9+8+0.5+0.256+0.005</f>
        <v>1160.7610000000002</v>
      </c>
      <c r="BR45" s="517">
        <v>430043</v>
      </c>
      <c r="BS45" s="1388"/>
      <c r="BT45" s="1388"/>
      <c r="BU45" s="1388"/>
      <c r="BV45" s="1388"/>
      <c r="BW45" s="1388">
        <f>128*4+35+0.384+0.0047</f>
        <v>547.38869999999997</v>
      </c>
      <c r="BX45" s="517">
        <v>430043</v>
      </c>
      <c r="BY45" s="1388"/>
      <c r="BZ45" s="1388"/>
      <c r="CA45" s="1388"/>
      <c r="CB45" s="1388"/>
      <c r="CC45" s="1388"/>
      <c r="CD45" s="1388"/>
      <c r="CE45" s="1388"/>
      <c r="CF45" s="1388"/>
      <c r="CG45" s="517">
        <v>430043</v>
      </c>
      <c r="CH45" s="1505">
        <f>128*8+3</f>
        <v>1027</v>
      </c>
      <c r="CI45" s="1388"/>
      <c r="CJ45" s="1388"/>
      <c r="CK45" s="1388"/>
      <c r="CL45" s="1388">
        <f>128*4+35+0.384+0.0047</f>
        <v>547.38869999999997</v>
      </c>
      <c r="CM45" s="517">
        <v>430043</v>
      </c>
      <c r="CN45" s="1751">
        <f>128*9+21</f>
        <v>1173</v>
      </c>
      <c r="CO45" s="1744"/>
      <c r="CP45" s="3485">
        <f>128*5+37+0.109</f>
        <v>677.10900000000004</v>
      </c>
      <c r="CQ45" s="500">
        <f>128*14+13+0.0202</f>
        <v>1805.0201999999999</v>
      </c>
      <c r="CR45" s="517">
        <v>430043</v>
      </c>
    </row>
    <row r="46" spans="1:256" ht="9" customHeight="1">
      <c r="A46" s="517">
        <v>200020</v>
      </c>
      <c r="B46" s="504">
        <v>200020</v>
      </c>
      <c r="C46" s="757">
        <f>200000+0.256+0.001</f>
        <v>200000.25699999998</v>
      </c>
      <c r="D46" s="2067">
        <f>128*11+22+0.5</f>
        <v>1430.5</v>
      </c>
      <c r="E46" s="757">
        <v>200000</v>
      </c>
      <c r="F46" s="787"/>
      <c r="G46" s="787">
        <f>128*10+16</f>
        <v>1296</v>
      </c>
      <c r="H46" s="504">
        <v>200020</v>
      </c>
      <c r="J46" s="504">
        <v>200020</v>
      </c>
      <c r="K46" s="757">
        <f>128*9+2</f>
        <v>1154</v>
      </c>
      <c r="L46" s="504">
        <v>200020</v>
      </c>
      <c r="M46" s="504">
        <v>200011</v>
      </c>
      <c r="N46" s="504">
        <v>200011</v>
      </c>
      <c r="O46" s="504">
        <v>200011</v>
      </c>
      <c r="P46" s="757">
        <f t="shared" si="14"/>
        <v>1154</v>
      </c>
      <c r="Q46" s="771">
        <v>200020</v>
      </c>
      <c r="R46" s="771">
        <v>200020</v>
      </c>
      <c r="S46" s="771">
        <v>200020</v>
      </c>
      <c r="T46" s="771">
        <v>200020</v>
      </c>
      <c r="U46" s="771">
        <v>200020</v>
      </c>
      <c r="V46" s="771">
        <v>200020</v>
      </c>
      <c r="W46" s="771">
        <v>200020</v>
      </c>
      <c r="X46" s="771">
        <v>200020</v>
      </c>
      <c r="Y46" s="498">
        <v>200020</v>
      </c>
      <c r="Z46" s="503"/>
      <c r="AA46" s="503"/>
      <c r="AB46" s="535">
        <f>128*9+27</f>
        <v>1179</v>
      </c>
      <c r="AC46" s="3427">
        <f>490000+128*9+61</f>
        <v>491213</v>
      </c>
      <c r="AD46" s="533">
        <f>128*9+27</f>
        <v>1179</v>
      </c>
      <c r="AE46" s="503"/>
      <c r="AF46" s="503"/>
      <c r="AG46" s="503"/>
      <c r="AH46" s="503"/>
      <c r="AI46" s="503"/>
      <c r="AJ46" s="503"/>
      <c r="AK46" s="503"/>
      <c r="AL46" s="503"/>
      <c r="AM46" s="503"/>
      <c r="AN46" s="503"/>
      <c r="AO46" s="503"/>
      <c r="AP46" s="503">
        <f>0.256+0.016</f>
        <v>0.27200000000000002</v>
      </c>
      <c r="AQ46" s="503"/>
      <c r="AR46" s="3569">
        <f>128*17+64+8</f>
        <v>2248</v>
      </c>
      <c r="AS46" s="3569">
        <f>128*17+64+8</f>
        <v>2248</v>
      </c>
      <c r="AT46" s="3569">
        <f>128*17+64+8</f>
        <v>2248</v>
      </c>
      <c r="AU46" s="3569">
        <f>128*17+64+4</f>
        <v>2244</v>
      </c>
      <c r="AV46" s="3569">
        <f>128*17+64+4</f>
        <v>2244</v>
      </c>
      <c r="AW46" s="3569">
        <f>128*17+64+4</f>
        <v>2244</v>
      </c>
      <c r="AX46" s="3569">
        <f>128*17+64+8</f>
        <v>2248</v>
      </c>
      <c r="AY46" s="535">
        <f>128*9+50</f>
        <v>1202</v>
      </c>
      <c r="AZ46" s="503">
        <f>128*9+8+0.5+0.004</f>
        <v>1160.5039999999999</v>
      </c>
      <c r="BA46" s="503">
        <f>128*9+8+0.5+0.004</f>
        <v>1160.5039999999999</v>
      </c>
      <c r="BB46" s="534">
        <f>128*9+50</f>
        <v>1202</v>
      </c>
      <c r="BC46" s="3568">
        <f t="shared" ref="BC46:BK46" si="15">128*17+4</f>
        <v>2180</v>
      </c>
      <c r="BD46" s="3473">
        <f t="shared" si="15"/>
        <v>2180</v>
      </c>
      <c r="BE46" s="3473">
        <f t="shared" si="15"/>
        <v>2180</v>
      </c>
      <c r="BF46" s="3473">
        <f t="shared" si="15"/>
        <v>2180</v>
      </c>
      <c r="BG46" s="3569">
        <f t="shared" si="15"/>
        <v>2180</v>
      </c>
      <c r="BH46" s="3473">
        <f t="shared" si="15"/>
        <v>2180</v>
      </c>
      <c r="BI46" s="3473">
        <f t="shared" si="15"/>
        <v>2180</v>
      </c>
      <c r="BJ46" s="3473">
        <f t="shared" si="15"/>
        <v>2180</v>
      </c>
      <c r="BK46" s="3473">
        <f t="shared" si="15"/>
        <v>2180</v>
      </c>
      <c r="BL46" s="3473">
        <f>128*17+3</f>
        <v>2179</v>
      </c>
      <c r="BM46" s="3473">
        <f>128*17+4</f>
        <v>2180</v>
      </c>
      <c r="BN46" s="3473">
        <f>128*17+3</f>
        <v>2179</v>
      </c>
      <c r="BO46" s="3473">
        <f>128*17+4</f>
        <v>2180</v>
      </c>
      <c r="BP46" s="535">
        <f>128*9+27+0.11</f>
        <v>1179.1099999999999</v>
      </c>
      <c r="BQ46" s="535">
        <f>128*9+8+0.11</f>
        <v>1160.1099999999999</v>
      </c>
      <c r="BR46" s="517">
        <v>430043</v>
      </c>
      <c r="BS46" s="517">
        <v>430043</v>
      </c>
      <c r="BT46" s="517">
        <v>430043</v>
      </c>
      <c r="BU46" s="517">
        <v>430043</v>
      </c>
      <c r="BV46" s="3513">
        <f>430000+128*5+40</f>
        <v>430680</v>
      </c>
      <c r="BW46" s="517">
        <v>430043</v>
      </c>
      <c r="BX46" s="517">
        <v>430043</v>
      </c>
      <c r="BY46" s="517">
        <v>430043</v>
      </c>
      <c r="BZ46" s="517">
        <v>430043</v>
      </c>
      <c r="CA46" s="517">
        <v>430043</v>
      </c>
      <c r="CB46" s="517">
        <v>430043</v>
      </c>
      <c r="CC46" s="2421">
        <v>430018</v>
      </c>
      <c r="CD46" s="2421">
        <v>430018</v>
      </c>
      <c r="CE46" s="2421">
        <v>430018</v>
      </c>
      <c r="CF46" s="2421">
        <v>430018</v>
      </c>
      <c r="CG46" s="517">
        <v>430043</v>
      </c>
      <c r="CH46" s="517">
        <v>430043</v>
      </c>
      <c r="CI46" s="1388"/>
      <c r="CJ46" s="517">
        <v>430043</v>
      </c>
      <c r="CK46" s="517">
        <v>430043</v>
      </c>
      <c r="CL46" s="517">
        <v>430043</v>
      </c>
      <c r="CM46" s="517">
        <v>430043</v>
      </c>
      <c r="CN46" s="517">
        <v>430043</v>
      </c>
      <c r="CO46" s="500">
        <f>128*5+37</f>
        <v>677</v>
      </c>
      <c r="CP46" s="517">
        <v>430043</v>
      </c>
      <c r="CQ46" s="3484">
        <f>430043+0.1097</f>
        <v>430043.10969999997</v>
      </c>
      <c r="CR46" s="517">
        <v>430043</v>
      </c>
    </row>
    <row r="47" spans="1:256" ht="9" customHeight="1">
      <c r="A47" s="517">
        <v>200020</v>
      </c>
      <c r="B47" s="504">
        <v>200020</v>
      </c>
      <c r="C47" s="757">
        <v>200000</v>
      </c>
      <c r="D47" s="757">
        <v>200000</v>
      </c>
      <c r="E47" s="757">
        <v>200000</v>
      </c>
      <c r="F47" s="787"/>
      <c r="G47" s="787"/>
      <c r="H47" s="504">
        <v>200020</v>
      </c>
      <c r="J47" s="504">
        <v>200020</v>
      </c>
      <c r="K47" s="1383">
        <f>128*9+2+0.384+0.004</f>
        <v>1154.3879999999999</v>
      </c>
      <c r="L47" s="504">
        <v>200020</v>
      </c>
      <c r="M47" s="504">
        <v>200011</v>
      </c>
      <c r="N47" s="707">
        <f>0.256+0.001</f>
        <v>0.25700000000000001</v>
      </c>
      <c r="O47" s="504">
        <v>200011</v>
      </c>
      <c r="P47" s="3363"/>
      <c r="Q47" s="1377">
        <f>128*9+2+0.384+0.003</f>
        <v>1154.3869999999999</v>
      </c>
      <c r="R47" s="1377">
        <f>128*9+2+0.384+0.0027</f>
        <v>1154.3867</v>
      </c>
      <c r="S47" s="1377">
        <f>128*9+2</f>
        <v>1154</v>
      </c>
      <c r="T47" s="1377">
        <f>128*9+2</f>
        <v>1154</v>
      </c>
      <c r="U47" s="1377">
        <f>128*9+2</f>
        <v>1154</v>
      </c>
      <c r="V47" s="3562">
        <f>128*9+2+0.384+0.008</f>
        <v>1154.3920000000001</v>
      </c>
      <c r="W47" s="755">
        <f>128*11+23</f>
        <v>1431</v>
      </c>
      <c r="X47" s="1033">
        <f>200049+0.07</f>
        <v>200049.07</v>
      </c>
      <c r="Y47" s="498">
        <v>200020</v>
      </c>
      <c r="Z47" s="503"/>
      <c r="AA47" s="503"/>
      <c r="AB47" s="503"/>
      <c r="AC47" s="532">
        <f>128*9+71</f>
        <v>1223</v>
      </c>
      <c r="AD47" s="503"/>
      <c r="AE47" s="503"/>
      <c r="AF47" s="503"/>
      <c r="AG47" s="503"/>
      <c r="AH47" s="503"/>
      <c r="AI47" s="503"/>
      <c r="AJ47" s="3459">
        <f>128*9+25+0.11</f>
        <v>1177.1099999999999</v>
      </c>
      <c r="AK47" s="3459">
        <f>128*9+34+0.11</f>
        <v>1186.1099999999999</v>
      </c>
      <c r="AL47" s="3463">
        <f>128*9+88</f>
        <v>1240</v>
      </c>
      <c r="AM47" s="3464">
        <f>128*9+34+0.11</f>
        <v>1186.1099999999999</v>
      </c>
      <c r="AN47" s="3463">
        <f>128*9+88</f>
        <v>1240</v>
      </c>
      <c r="AO47" s="1567">
        <f>128*9+20+0.5+0.0098</f>
        <v>1172.5098</v>
      </c>
      <c r="AP47" s="3460">
        <f>128*9+21+0.5+0.256+0.0018</f>
        <v>1173.7578000000001</v>
      </c>
      <c r="AQ47" s="3461">
        <f>128*9+22+0.11</f>
        <v>1174.1099999999999</v>
      </c>
      <c r="AR47" s="3462">
        <f>26+0.11</f>
        <v>26.11</v>
      </c>
      <c r="AS47" s="3461">
        <f>128*9+23+0.11</f>
        <v>1175.1099999999999</v>
      </c>
      <c r="AT47" s="3462">
        <f>31+0.11</f>
        <v>31.11</v>
      </c>
      <c r="AU47" s="503"/>
      <c r="AV47" s="503"/>
      <c r="AW47" s="503"/>
      <c r="AX47" s="503"/>
      <c r="AY47" s="503"/>
      <c r="AZ47" s="503"/>
      <c r="BA47" s="503"/>
      <c r="BB47" s="503"/>
      <c r="BC47" s="503"/>
      <c r="BD47" s="503"/>
      <c r="BE47" s="503"/>
      <c r="BF47" s="503"/>
      <c r="BG47" s="503"/>
      <c r="BH47" s="503"/>
      <c r="BI47" s="503"/>
      <c r="BJ47" s="503"/>
      <c r="BK47" s="3473">
        <f>128*17+3</f>
        <v>2179</v>
      </c>
      <c r="BL47" s="3473">
        <f>128*17+4</f>
        <v>2180</v>
      </c>
      <c r="BM47" s="3473">
        <f>128*17+3+0.0031</f>
        <v>2179.0030999999999</v>
      </c>
      <c r="BN47" s="3473">
        <f>128*17+4+0.0031</f>
        <v>2180.0030999999999</v>
      </c>
      <c r="BO47" s="3473">
        <f>128*17+3+0.0031</f>
        <v>2179.0030999999999</v>
      </c>
      <c r="BP47" s="3473">
        <f>128*17+4+0.0031</f>
        <v>2180.0030999999999</v>
      </c>
      <c r="BQ47" s="503">
        <f>128*6+3+0.0038</f>
        <v>771.00379999999996</v>
      </c>
      <c r="BR47" s="517">
        <v>430043</v>
      </c>
      <c r="BS47" s="3517">
        <f>128*9+29+0.5+0.256+0.0498</f>
        <v>1181.8058000000001</v>
      </c>
      <c r="BT47" s="3493"/>
      <c r="BU47" s="3493"/>
      <c r="BV47" s="3493">
        <v>6.0100000000000001E-2</v>
      </c>
      <c r="BW47" s="3493"/>
      <c r="BX47" s="3493"/>
      <c r="BY47" s="3493"/>
      <c r="BZ47" s="3493"/>
      <c r="CA47" s="3493"/>
      <c r="CB47" s="3506">
        <f>128*9+75+0.208</f>
        <v>1227.2080000000001</v>
      </c>
      <c r="CC47" s="3515">
        <f>128*9+70+0.5+0.256+0.017</f>
        <v>1222.7730000000001</v>
      </c>
      <c r="CD47" s="3493"/>
      <c r="CE47" s="3493"/>
      <c r="CF47" s="3493"/>
      <c r="CG47" s="3505">
        <f>128*9+70+0.5+0.256+0.052</f>
        <v>1222.808</v>
      </c>
      <c r="CH47" s="517">
        <v>430043</v>
      </c>
      <c r="CI47" s="1744"/>
      <c r="CJ47" s="541">
        <f>128*4+34</f>
        <v>546</v>
      </c>
      <c r="CK47" s="500"/>
      <c r="CL47" s="541">
        <f>128*9+37+0.149</f>
        <v>1189.1489999999999</v>
      </c>
      <c r="CM47" s="517">
        <v>430043</v>
      </c>
      <c r="CN47" s="500"/>
      <c r="CO47" s="500"/>
      <c r="CP47" s="500"/>
      <c r="CQ47" s="500">
        <v>0.115</v>
      </c>
      <c r="CR47" s="517">
        <v>430043</v>
      </c>
    </row>
    <row r="48" spans="1:256" ht="9" customHeight="1">
      <c r="A48" s="517">
        <v>200020</v>
      </c>
      <c r="B48" s="707">
        <f>128*10+15</f>
        <v>1295</v>
      </c>
      <c r="C48" s="504">
        <v>200020</v>
      </c>
      <c r="D48" s="504">
        <v>200020</v>
      </c>
      <c r="E48" s="504">
        <v>200020</v>
      </c>
      <c r="F48" s="504">
        <v>200020</v>
      </c>
      <c r="G48" s="1607">
        <f>128*9+2</f>
        <v>1154</v>
      </c>
      <c r="H48" s="504">
        <v>200020</v>
      </c>
      <c r="J48" s="504">
        <v>200020</v>
      </c>
      <c r="K48" s="757">
        <f>128*9+2</f>
        <v>1154</v>
      </c>
      <c r="L48" s="504">
        <v>200020</v>
      </c>
      <c r="M48" s="504">
        <v>200020</v>
      </c>
      <c r="N48" s="1383">
        <f>128*9+2+0.384+0.003</f>
        <v>1154.3869999999999</v>
      </c>
      <c r="O48" s="504">
        <v>200020</v>
      </c>
      <c r="P48" s="504">
        <v>200011</v>
      </c>
      <c r="Q48" s="504">
        <v>200020</v>
      </c>
      <c r="R48" s="504">
        <v>200020</v>
      </c>
      <c r="S48" s="504">
        <v>200020</v>
      </c>
      <c r="T48" s="504">
        <v>200020</v>
      </c>
      <c r="U48" s="504">
        <v>200020</v>
      </c>
      <c r="V48" s="504">
        <v>200020</v>
      </c>
      <c r="W48" s="504">
        <v>200020</v>
      </c>
      <c r="X48" s="1026">
        <f>200049+0.068</f>
        <v>200049.068</v>
      </c>
      <c r="Y48" s="498">
        <v>200020</v>
      </c>
      <c r="Z48" s="503"/>
      <c r="AA48" s="503"/>
      <c r="AB48" s="503"/>
      <c r="AC48" s="503"/>
      <c r="AD48" s="503"/>
      <c r="AE48" s="503"/>
      <c r="AF48" s="503"/>
      <c r="AG48" s="503"/>
      <c r="AH48" s="503"/>
      <c r="AI48" s="503"/>
      <c r="AJ48" s="2703">
        <v>1.1999999999999999E-3</v>
      </c>
      <c r="AK48" s="518">
        <v>3.0999999999999999E-3</v>
      </c>
      <c r="AL48" s="518"/>
      <c r="AM48" s="518"/>
      <c r="AN48" s="518"/>
      <c r="AO48" s="518"/>
      <c r="AP48" s="503"/>
      <c r="AQ48" s="503"/>
      <c r="AR48" s="518">
        <v>3.8E-3</v>
      </c>
      <c r="AS48" s="503"/>
      <c r="AT48" s="503"/>
      <c r="AU48" s="503"/>
      <c r="AV48" s="503"/>
      <c r="AW48" s="503"/>
      <c r="AX48" s="503"/>
      <c r="AY48" s="503"/>
      <c r="AZ48" s="503"/>
      <c r="BA48" s="503"/>
      <c r="BB48" s="503"/>
      <c r="BC48" s="503"/>
      <c r="BD48" s="503"/>
      <c r="BE48" s="503"/>
      <c r="BF48" s="503"/>
      <c r="BG48" s="503"/>
      <c r="BH48" s="503"/>
      <c r="BI48" s="503"/>
      <c r="BJ48" s="503"/>
      <c r="BK48" s="503"/>
      <c r="BL48" s="503"/>
      <c r="BM48" s="503"/>
      <c r="BN48" s="503"/>
      <c r="BO48" s="503"/>
      <c r="BP48" s="3473">
        <f>128*17+3</f>
        <v>2179</v>
      </c>
      <c r="BQ48" s="503">
        <f>128*6+3+0.0031</f>
        <v>771.00310000000002</v>
      </c>
      <c r="BR48" s="517">
        <v>430043</v>
      </c>
      <c r="BS48" s="3493">
        <v>5</v>
      </c>
      <c r="BT48" s="3507">
        <f>128*9+70+0.5+0.2083</f>
        <v>1222.7083</v>
      </c>
      <c r="BU48" s="3566">
        <f>0.5+0.256+0.039</f>
        <v>0.79500000000000004</v>
      </c>
      <c r="BV48" s="3508"/>
      <c r="BW48" s="3508"/>
      <c r="BX48" s="3508"/>
      <c r="BY48" s="3495">
        <v>49</v>
      </c>
      <c r="BZ48" s="3495">
        <v>49</v>
      </c>
      <c r="CA48" s="3500">
        <f>128*9+17</f>
        <v>1169</v>
      </c>
      <c r="CB48" s="3495"/>
      <c r="CC48" s="3495"/>
      <c r="CD48" s="3495"/>
      <c r="CE48" s="3495"/>
      <c r="CF48" s="3501">
        <v>35</v>
      </c>
      <c r="CG48" s="3494">
        <v>35</v>
      </c>
      <c r="CH48" s="517">
        <v>430043</v>
      </c>
      <c r="CI48" s="1744"/>
      <c r="CJ48" s="517">
        <v>430043</v>
      </c>
      <c r="CK48" s="500"/>
      <c r="CL48" s="500"/>
      <c r="CM48" s="500">
        <f>128*5+41</f>
        <v>681</v>
      </c>
      <c r="CN48" s="500"/>
      <c r="CO48" s="500">
        <f>0.5+0.256+0.035</f>
        <v>0.79100000000000004</v>
      </c>
      <c r="CP48" s="500"/>
      <c r="CQ48" s="541">
        <f>128*9+83</f>
        <v>1235</v>
      </c>
      <c r="CR48" s="517">
        <v>430043</v>
      </c>
    </row>
    <row r="49" spans="1:96" ht="9" customHeight="1">
      <c r="A49" s="517">
        <v>200035</v>
      </c>
      <c r="B49" s="1078">
        <f>128*8+3</f>
        <v>1027</v>
      </c>
      <c r="C49" s="504">
        <v>35</v>
      </c>
      <c r="F49" s="504">
        <v>200020</v>
      </c>
      <c r="G49" s="3560">
        <f>128*9+2+0.384+0.003</f>
        <v>1154.3869999999999</v>
      </c>
      <c r="H49" s="504">
        <v>200020</v>
      </c>
      <c r="J49" s="504">
        <v>200020</v>
      </c>
      <c r="K49" s="757">
        <f>128*9+2</f>
        <v>1154</v>
      </c>
      <c r="L49" s="504">
        <v>200020</v>
      </c>
      <c r="M49" s="504">
        <v>200020</v>
      </c>
      <c r="N49" s="757">
        <f>128*9+2</f>
        <v>1154</v>
      </c>
      <c r="O49" s="504">
        <v>200020</v>
      </c>
      <c r="S49" s="504">
        <v>39</v>
      </c>
      <c r="T49" s="504">
        <v>39</v>
      </c>
      <c r="U49" s="504">
        <v>39</v>
      </c>
      <c r="V49" s="504">
        <v>39</v>
      </c>
      <c r="W49" s="504">
        <v>20</v>
      </c>
      <c r="X49" s="3419">
        <f>128*11+26</f>
        <v>1434</v>
      </c>
      <c r="Y49" s="498">
        <v>200020</v>
      </c>
      <c r="Z49" s="503"/>
      <c r="AA49" s="503"/>
      <c r="AB49" s="503"/>
      <c r="AC49" s="503"/>
      <c r="AD49" s="503"/>
      <c r="AE49" s="503"/>
      <c r="AF49" s="503"/>
      <c r="AG49" s="503"/>
      <c r="AH49" s="503"/>
      <c r="AI49" s="518"/>
      <c r="AJ49" s="518"/>
      <c r="AK49" s="518"/>
      <c r="AL49" s="518"/>
      <c r="AM49" s="518"/>
      <c r="AN49" s="518"/>
      <c r="AO49" s="518"/>
      <c r="AP49" s="503"/>
      <c r="AQ49" s="503"/>
      <c r="AR49" s="503"/>
      <c r="AS49" s="503"/>
      <c r="AT49" s="503"/>
      <c r="AU49" s="503"/>
      <c r="AV49" s="503"/>
      <c r="AW49" s="503"/>
      <c r="AX49" s="503"/>
      <c r="AY49" s="503"/>
      <c r="AZ49" s="503"/>
      <c r="BA49" s="503"/>
      <c r="BB49" s="503"/>
      <c r="BC49" s="503"/>
      <c r="BD49" s="503"/>
      <c r="BE49" s="503"/>
      <c r="BF49" s="503"/>
      <c r="BG49" s="503"/>
      <c r="BH49" s="503"/>
      <c r="BI49" s="503"/>
      <c r="BJ49" s="503"/>
      <c r="BK49" s="503"/>
      <c r="BL49" s="503"/>
      <c r="BM49" s="503"/>
      <c r="BN49" s="503"/>
      <c r="BO49" s="503"/>
      <c r="BP49" s="503"/>
      <c r="BQ49" s="503">
        <f>128*6+3+0.0031</f>
        <v>771.00310000000002</v>
      </c>
      <c r="BR49" s="517">
        <v>430043</v>
      </c>
      <c r="BS49" s="3493"/>
      <c r="BT49" s="511"/>
      <c r="BU49" s="3504">
        <f>128*9+19+0.5+0.384+0.008</f>
        <v>1171.8920000000001</v>
      </c>
      <c r="BV49" s="1499"/>
      <c r="BW49" s="1499"/>
      <c r="BX49" s="3502">
        <f>128*9+16+0.5+0.256+0.039</f>
        <v>1168.7950000000001</v>
      </c>
      <c r="BY49" s="1499"/>
      <c r="BZ49" s="3512">
        <f>128*9+19+0.5+0.256+0.004</f>
        <v>1171.76</v>
      </c>
      <c r="CA49" s="1499"/>
      <c r="CB49" s="1499"/>
      <c r="CC49" s="1499"/>
      <c r="CD49" s="1499"/>
      <c r="CE49" s="3504">
        <f>128*9+19+0.5+0.256+0.007</f>
        <v>1171.7630000000001</v>
      </c>
      <c r="CF49" s="511">
        <f>128*9+21+0.5+0.256+0.0207</f>
        <v>1173.7767000000001</v>
      </c>
      <c r="CG49" s="3494"/>
      <c r="CH49" s="517">
        <v>430018</v>
      </c>
      <c r="CI49" s="1744"/>
      <c r="CJ49" s="500">
        <f>128*5+41</f>
        <v>681</v>
      </c>
      <c r="CK49" s="500"/>
      <c r="CL49" s="541">
        <f>128*9+28+0.147</f>
        <v>1180.1469999999999</v>
      </c>
      <c r="CM49" s="517">
        <v>430043</v>
      </c>
      <c r="CN49" s="500"/>
      <c r="CO49" s="500"/>
      <c r="CP49" s="500"/>
      <c r="CQ49" s="541">
        <f>128*9+48+0.122</f>
        <v>1200.1220000000001</v>
      </c>
      <c r="CR49" s="517">
        <v>430043</v>
      </c>
    </row>
    <row r="50" spans="1:96" ht="9" customHeight="1">
      <c r="A50" s="504">
        <v>35</v>
      </c>
      <c r="B50" s="707"/>
      <c r="C50" s="504">
        <v>35</v>
      </c>
      <c r="F50" s="504">
        <v>200020</v>
      </c>
      <c r="G50" s="1607">
        <f>128*9+2</f>
        <v>1154</v>
      </c>
      <c r="H50" s="504">
        <v>200020</v>
      </c>
      <c r="J50" s="504">
        <v>200011</v>
      </c>
      <c r="K50" s="3363"/>
      <c r="L50" s="1377">
        <f>128*9+2</f>
        <v>1154</v>
      </c>
      <c r="M50" s="1377">
        <f>128*9+2</f>
        <v>1154</v>
      </c>
      <c r="N50" s="3363"/>
      <c r="O50" s="504">
        <v>200011</v>
      </c>
      <c r="R50" s="504">
        <f>39+0.207</f>
        <v>39.207000000000001</v>
      </c>
      <c r="S50" s="3430">
        <f>128*11+31</f>
        <v>1439</v>
      </c>
      <c r="T50" s="3431">
        <f>128*14+116+0.256+0.0202</f>
        <v>1908.2762</v>
      </c>
      <c r="U50" s="3432">
        <f>128*9+18+0.5+0.256+0.0062</f>
        <v>1170.7622000000001</v>
      </c>
      <c r="V50" s="3433">
        <f>128*9+23+0.5+0.256+0.0494</f>
        <v>1175.8054000000002</v>
      </c>
      <c r="W50" s="504">
        <v>35</v>
      </c>
      <c r="X50" s="3736"/>
      <c r="Y50" s="771">
        <v>200035</v>
      </c>
      <c r="Z50" s="771">
        <v>200020</v>
      </c>
      <c r="AA50" s="503">
        <f>128*9+34</f>
        <v>1186</v>
      </c>
      <c r="AB50" s="503">
        <f>128*9+34</f>
        <v>1186</v>
      </c>
      <c r="AC50" s="503">
        <f>128*9+34</f>
        <v>1186</v>
      </c>
      <c r="AD50" s="498">
        <v>430043</v>
      </c>
      <c r="AE50" s="503">
        <f>128*9+34</f>
        <v>1186</v>
      </c>
      <c r="AF50" s="503">
        <f>128*9+34</f>
        <v>1186</v>
      </c>
      <c r="AG50" s="503">
        <f>128*9+34</f>
        <v>1186</v>
      </c>
      <c r="AH50" s="503">
        <f>128*9+34</f>
        <v>1186</v>
      </c>
      <c r="AI50" s="498">
        <f>430000+128*4+35+0.384+0.008</f>
        <v>430547.39199999999</v>
      </c>
      <c r="AJ50" s="503">
        <f>128*9+34</f>
        <v>1186</v>
      </c>
      <c r="AK50" s="503">
        <f>128*9+34</f>
        <v>1186</v>
      </c>
      <c r="AL50" s="498">
        <f>430000+128*4+35+0.384+0.004</f>
        <v>430547.38800000004</v>
      </c>
      <c r="AM50" s="503">
        <f>128*9+34</f>
        <v>1186</v>
      </c>
      <c r="AN50" s="503">
        <f>128*9+34</f>
        <v>1186</v>
      </c>
      <c r="AO50" s="498">
        <f>430000+128*4+35+0.384+0.01</f>
        <v>430547.39400000003</v>
      </c>
      <c r="AP50" s="503">
        <f>128*9+34</f>
        <v>1186</v>
      </c>
      <c r="AQ50" s="503">
        <f>128*9+34</f>
        <v>1186</v>
      </c>
      <c r="AR50" s="498">
        <f>430000+128*4+35+0.384+0.008</f>
        <v>430547.39199999999</v>
      </c>
      <c r="AS50" s="503">
        <f>128*9+34</f>
        <v>1186</v>
      </c>
      <c r="AT50" s="503">
        <f>128*9+34</f>
        <v>1186</v>
      </c>
      <c r="AU50" s="503">
        <f>128*9+34</f>
        <v>1186</v>
      </c>
      <c r="AV50" s="503">
        <f>128*9+34</f>
        <v>1186</v>
      </c>
      <c r="AW50" s="498">
        <v>430043</v>
      </c>
      <c r="AX50" s="503">
        <f>128*9+34</f>
        <v>1186</v>
      </c>
      <c r="AY50" s="503">
        <f>128*9+34</f>
        <v>1186</v>
      </c>
      <c r="AZ50" s="503">
        <f>128*9+34</f>
        <v>1186</v>
      </c>
      <c r="BA50" s="498">
        <v>430043</v>
      </c>
      <c r="BB50" s="503">
        <f>128*9+34</f>
        <v>1186</v>
      </c>
      <c r="BC50" s="503">
        <f>128*9+34</f>
        <v>1186</v>
      </c>
      <c r="BD50" s="503">
        <f>128*9+34</f>
        <v>1186</v>
      </c>
      <c r="BE50" s="498">
        <v>430043</v>
      </c>
      <c r="BF50" s="503"/>
      <c r="BG50" s="527">
        <v>19</v>
      </c>
      <c r="BH50" s="3471">
        <f>128*5+35</f>
        <v>675</v>
      </c>
      <c r="BI50" s="527">
        <v>19</v>
      </c>
      <c r="BJ50" s="503"/>
      <c r="BK50" s="503"/>
      <c r="BL50" s="533">
        <f>128*9+88</f>
        <v>1240</v>
      </c>
      <c r="BM50" s="533">
        <f>128*9+88</f>
        <v>1240</v>
      </c>
      <c r="BN50" s="533">
        <f>128*9+88</f>
        <v>1240</v>
      </c>
      <c r="BO50" s="503"/>
      <c r="BP50" s="503"/>
      <c r="BQ50" s="503"/>
      <c r="BR50" s="517">
        <v>430043</v>
      </c>
      <c r="BS50" s="3493"/>
      <c r="BT50" s="511"/>
      <c r="BU50" s="1499"/>
      <c r="BV50" s="1499"/>
      <c r="BW50" s="1499"/>
      <c r="BX50" s="1499">
        <v>6.0600000000000001E-2</v>
      </c>
      <c r="BY50" s="1499"/>
      <c r="BZ50" s="1028">
        <f>128*9+75+0.208</f>
        <v>1227.2080000000001</v>
      </c>
      <c r="CA50" s="3511">
        <f>128*9+70+0.205</f>
        <v>1222.2049999999999</v>
      </c>
      <c r="CB50" s="3523">
        <f>128*17+3</f>
        <v>2179</v>
      </c>
      <c r="CC50" s="1499"/>
      <c r="CD50" s="1499"/>
      <c r="CE50" s="1499"/>
      <c r="CF50" s="511"/>
      <c r="CG50" s="3494">
        <f>128*14+14</f>
        <v>1806</v>
      </c>
      <c r="CH50" s="3499">
        <f>430000+128*5+37</f>
        <v>430677</v>
      </c>
      <c r="CI50" s="1744"/>
      <c r="CJ50" s="517">
        <v>430043</v>
      </c>
      <c r="CK50" s="517">
        <v>430043</v>
      </c>
      <c r="CL50" s="517">
        <v>430043</v>
      </c>
      <c r="CM50" s="517">
        <v>430043</v>
      </c>
      <c r="CN50" s="517">
        <v>430043</v>
      </c>
      <c r="CO50" s="1977">
        <f>430043+0.058</f>
        <v>430043.05800000002</v>
      </c>
      <c r="CP50" s="3483">
        <f>128*5+41+0.11</f>
        <v>681.11</v>
      </c>
      <c r="CQ50" s="517">
        <v>430043</v>
      </c>
      <c r="CR50" s="517">
        <v>430043</v>
      </c>
    </row>
    <row r="51" spans="1:96" ht="9" customHeight="1" thickBot="1">
      <c r="A51" s="504">
        <v>35</v>
      </c>
      <c r="B51" s="707"/>
      <c r="C51" s="504">
        <v>35</v>
      </c>
      <c r="F51" s="504">
        <v>200020</v>
      </c>
      <c r="G51" s="1607">
        <f>128*9+2</f>
        <v>1154</v>
      </c>
      <c r="H51" s="504">
        <v>200020</v>
      </c>
      <c r="I51" s="504">
        <v>200020</v>
      </c>
      <c r="J51" s="504">
        <v>200020</v>
      </c>
      <c r="K51" s="757">
        <f>128*9+2+0.384+0.002</f>
        <v>1154.386</v>
      </c>
      <c r="L51" s="504">
        <v>200020</v>
      </c>
      <c r="M51" s="504">
        <v>200020</v>
      </c>
      <c r="N51" s="757">
        <f>128*9+2</f>
        <v>1154</v>
      </c>
      <c r="O51" s="504">
        <v>200011</v>
      </c>
      <c r="P51" s="1416">
        <v>200011</v>
      </c>
      <c r="Q51" s="1416">
        <v>200011</v>
      </c>
      <c r="R51" s="1416">
        <v>200011</v>
      </c>
      <c r="S51" s="504">
        <v>39</v>
      </c>
      <c r="T51" s="504">
        <v>39</v>
      </c>
      <c r="U51" s="504">
        <v>39</v>
      </c>
      <c r="V51" s="504">
        <v>39</v>
      </c>
      <c r="W51" s="504">
        <v>35</v>
      </c>
      <c r="X51" s="1177">
        <f>128*10+1</f>
        <v>1281</v>
      </c>
      <c r="Y51" s="771">
        <v>200035</v>
      </c>
      <c r="Z51" s="771">
        <v>200020</v>
      </c>
      <c r="AA51" s="503"/>
      <c r="AB51" s="3569">
        <f>128*17+3</f>
        <v>2179</v>
      </c>
      <c r="AC51" s="503"/>
      <c r="AD51" s="503"/>
      <c r="AE51" s="503"/>
      <c r="AF51" s="503"/>
      <c r="AG51" s="503"/>
      <c r="AH51" s="503"/>
      <c r="AI51" s="503"/>
      <c r="AJ51" s="503"/>
      <c r="AK51" s="503"/>
      <c r="AL51" s="503"/>
      <c r="AM51" s="503"/>
      <c r="AN51" s="503"/>
      <c r="AO51" s="503"/>
      <c r="AP51" s="503"/>
      <c r="AQ51" s="503"/>
      <c r="AR51" s="503"/>
      <c r="AS51" s="503"/>
      <c r="AT51" s="503"/>
      <c r="AU51" s="503"/>
      <c r="AV51" s="503"/>
      <c r="AW51" s="503"/>
      <c r="AX51" s="503"/>
      <c r="AY51" s="503"/>
      <c r="AZ51" s="503"/>
      <c r="BA51" s="503"/>
      <c r="BB51" s="503"/>
      <c r="BC51" s="503"/>
      <c r="BD51" s="503"/>
      <c r="BE51" s="503"/>
      <c r="BF51" s="532">
        <f>128*4+47</f>
        <v>559</v>
      </c>
      <c r="BG51" s="527">
        <v>19</v>
      </c>
      <c r="BH51" s="3472">
        <f>128*14+12+0.256+0.0141</f>
        <v>1804.2701000000002</v>
      </c>
      <c r="BI51" s="527">
        <v>19</v>
      </c>
      <c r="BJ51" s="532">
        <f>128*4+47</f>
        <v>559</v>
      </c>
      <c r="BK51" s="498">
        <f>430043</f>
        <v>430043</v>
      </c>
      <c r="BL51" s="3468">
        <f>430000+128*9+66+0.185</f>
        <v>431218.185</v>
      </c>
      <c r="BM51" s="3476">
        <f>430000+128*9+76+0.256+0.016</f>
        <v>431228.272</v>
      </c>
      <c r="BN51" s="3468">
        <f>430000+128*9+66+0.185</f>
        <v>431218.185</v>
      </c>
      <c r="BO51" s="498">
        <f>430043+0.184</f>
        <v>430043.18400000001</v>
      </c>
      <c r="BP51" s="503">
        <f>128*9+34</f>
        <v>1186</v>
      </c>
      <c r="BQ51" s="498">
        <f>430043</f>
        <v>430043</v>
      </c>
      <c r="BR51" s="517">
        <v>430043</v>
      </c>
      <c r="BS51" s="3493"/>
      <c r="BT51" s="511"/>
      <c r="BU51" s="3510">
        <f>128*9+16+0.5+0.256+0.039</f>
        <v>1168.7950000000001</v>
      </c>
      <c r="BV51" s="1499"/>
      <c r="BW51" s="1028">
        <f>128*9+75+0.208</f>
        <v>1227.2080000000001</v>
      </c>
      <c r="BX51" s="3509">
        <f>128*9+70+0.205</f>
        <v>1222.2049999999999</v>
      </c>
      <c r="BY51" s="1499"/>
      <c r="BZ51" s="1499"/>
      <c r="CA51" s="3516">
        <v>6.0100000000000001E-2</v>
      </c>
      <c r="CB51" s="1499"/>
      <c r="CC51" s="1499">
        <f>0.5+0.256+0.0104</f>
        <v>0.76639999999999997</v>
      </c>
      <c r="CD51" s="1499">
        <f>0.5+0.256+0.0105</f>
        <v>0.76649999999999996</v>
      </c>
      <c r="CE51" s="3523">
        <f>128*17+4</f>
        <v>2180</v>
      </c>
      <c r="CF51" s="511"/>
      <c r="CG51" s="3494"/>
      <c r="CH51" s="3492">
        <f>430018+0.18</f>
        <v>430018.18</v>
      </c>
      <c r="CI51" s="1744"/>
      <c r="CJ51" s="1746">
        <f>128*4+34+0.115</f>
        <v>546.11500000000001</v>
      </c>
      <c r="CK51" s="500">
        <f>0.5+0.256+0.035</f>
        <v>0.79100000000000004</v>
      </c>
      <c r="CL51" s="1746">
        <f>128*5+41+0.154</f>
        <v>681.154</v>
      </c>
      <c r="CM51" s="3491">
        <f>128*9+5+0.256+0.0037</f>
        <v>1157.2597000000001</v>
      </c>
      <c r="CN51" s="517">
        <f>430043+0.018</f>
        <v>430043.01799999998</v>
      </c>
      <c r="CO51" s="1744"/>
      <c r="CP51" s="1744"/>
      <c r="CQ51" s="2165">
        <f>128*9+4</f>
        <v>1156</v>
      </c>
      <c r="CR51" s="517">
        <v>430043</v>
      </c>
    </row>
    <row r="52" spans="1:96" ht="9" customHeight="1" thickBot="1">
      <c r="A52" s="504">
        <v>35</v>
      </c>
      <c r="B52" s="3402"/>
      <c r="C52" s="504">
        <v>35</v>
      </c>
      <c r="F52" s="504">
        <v>200011</v>
      </c>
      <c r="G52" s="1039"/>
      <c r="H52" s="3362">
        <f>128*9+2</f>
        <v>1154</v>
      </c>
      <c r="I52" s="838">
        <f>128*9+2</f>
        <v>1154</v>
      </c>
      <c r="J52" s="838">
        <f>128*9+2+0.384+0.011</f>
        <v>1154.395</v>
      </c>
      <c r="K52" s="707"/>
      <c r="L52" s="504">
        <v>200011</v>
      </c>
      <c r="M52" s="504">
        <v>200011</v>
      </c>
      <c r="N52" s="3384">
        <f>0.256+0.015</f>
        <v>0.27100000000000002</v>
      </c>
      <c r="O52" s="707">
        <f>0.384+0.0032</f>
        <v>0.38719999999999999</v>
      </c>
      <c r="P52" s="1416">
        <v>200011</v>
      </c>
      <c r="Q52" s="1415">
        <v>42</v>
      </c>
      <c r="R52" s="1415">
        <v>42</v>
      </c>
      <c r="S52" s="3381">
        <f>42+0.184</f>
        <v>42.183999999999997</v>
      </c>
      <c r="T52" s="504">
        <v>35</v>
      </c>
      <c r="U52" s="504">
        <v>35</v>
      </c>
      <c r="V52" s="504">
        <v>35</v>
      </c>
      <c r="W52" s="504">
        <v>35</v>
      </c>
      <c r="X52" s="1177"/>
      <c r="Y52" s="771">
        <v>200035</v>
      </c>
      <c r="Z52" s="771">
        <v>200020</v>
      </c>
      <c r="AA52" s="503"/>
      <c r="AB52" s="503"/>
      <c r="AC52" s="503"/>
      <c r="AD52" s="503"/>
      <c r="AE52" s="503"/>
      <c r="AF52" s="503"/>
      <c r="AG52" s="503"/>
      <c r="AH52" s="503"/>
      <c r="AI52" s="503"/>
      <c r="AJ52" s="503"/>
      <c r="AK52" s="503"/>
      <c r="AL52" s="503"/>
      <c r="AM52" s="503"/>
      <c r="AN52" s="503"/>
      <c r="AO52" s="503"/>
      <c r="AP52" s="503"/>
      <c r="AQ52" s="503"/>
      <c r="AR52" s="503"/>
      <c r="AS52" s="503"/>
      <c r="AT52" s="503"/>
      <c r="AU52" s="503"/>
      <c r="AV52" s="503"/>
      <c r="AW52" s="503"/>
      <c r="AX52" s="503"/>
      <c r="AY52" s="503"/>
      <c r="AZ52" s="503"/>
      <c r="BA52" s="503"/>
      <c r="BB52" s="503"/>
      <c r="BC52" s="503"/>
      <c r="BD52" s="503"/>
      <c r="BE52" s="503"/>
      <c r="BF52" s="503"/>
      <c r="BG52" s="511"/>
      <c r="BH52" s="511">
        <f>128*16+10</f>
        <v>2058</v>
      </c>
      <c r="BI52" s="511"/>
      <c r="BJ52" s="511"/>
      <c r="BK52" s="3469"/>
      <c r="BL52" s="2399">
        <f>0.256+0.0151</f>
        <v>0.27110000000000001</v>
      </c>
      <c r="BM52" s="3470">
        <f>128*8+4+0.256+0.0011</f>
        <v>1028.2571</v>
      </c>
      <c r="BN52" s="2399">
        <f>0.256+0.0151</f>
        <v>0.27110000000000001</v>
      </c>
      <c r="BO52" s="3467">
        <f>430042+0.065</f>
        <v>430042.065</v>
      </c>
      <c r="BP52" s="503">
        <f>128*10+15+0.256+0.0011</f>
        <v>1295.2571</v>
      </c>
      <c r="BQ52" s="503"/>
      <c r="BR52" s="517">
        <v>430043</v>
      </c>
      <c r="BS52" s="3524">
        <f>128*9+70+0.5+0.256+0.005</f>
        <v>1222.7610000000002</v>
      </c>
      <c r="BT52" s="511"/>
      <c r="BU52" s="3504">
        <f>128*9+19+0.5+0.384+0.004</f>
        <v>1171.8879999999999</v>
      </c>
      <c r="BV52" s="1499"/>
      <c r="BW52" s="3523">
        <f>128*17+4</f>
        <v>2180</v>
      </c>
      <c r="BX52" s="1499"/>
      <c r="BY52" s="1499"/>
      <c r="BZ52" s="3504">
        <f>128*9+19+0.5+0.384+0.002</f>
        <v>1171.886</v>
      </c>
      <c r="CA52" s="1499"/>
      <c r="CB52" s="1499"/>
      <c r="CC52" s="1499"/>
      <c r="CD52" s="1499"/>
      <c r="CE52" s="3518">
        <f>128*9+31+0.214</f>
        <v>1183.2139999999999</v>
      </c>
      <c r="CF52" s="511"/>
      <c r="CG52" s="3494"/>
      <c r="CH52" s="517">
        <v>430043</v>
      </c>
      <c r="CI52" s="1744"/>
      <c r="CJ52" s="517">
        <v>430043</v>
      </c>
      <c r="CK52" s="1744"/>
      <c r="CL52" s="3074">
        <f>430043+0.058</f>
        <v>430043.05800000002</v>
      </c>
      <c r="CM52" s="517">
        <v>430043</v>
      </c>
      <c r="CN52" s="517">
        <v>430043</v>
      </c>
      <c r="CO52" s="3488">
        <f>128*9+26+0.145</f>
        <v>1178.145</v>
      </c>
      <c r="CP52" s="1744"/>
      <c r="CQ52" s="1746">
        <f>128*9+26+0.173</f>
        <v>1178.173</v>
      </c>
      <c r="CR52" s="517">
        <v>430043</v>
      </c>
    </row>
    <row r="53" spans="1:96" ht="9" customHeight="1" thickTop="1" thickBot="1">
      <c r="A53" s="504">
        <v>20</v>
      </c>
      <c r="B53" s="3401">
        <f>200000+128*11+24</f>
        <v>201432</v>
      </c>
      <c r="C53" s="504">
        <v>20</v>
      </c>
      <c r="F53" s="504">
        <v>200020</v>
      </c>
      <c r="G53" s="504">
        <v>200011</v>
      </c>
      <c r="H53" s="504">
        <v>200020</v>
      </c>
      <c r="I53" s="504">
        <v>200020</v>
      </c>
      <c r="J53" s="504">
        <v>200020</v>
      </c>
      <c r="K53" s="504">
        <v>200011</v>
      </c>
      <c r="L53" s="504">
        <v>200020</v>
      </c>
      <c r="M53" s="504">
        <v>200011</v>
      </c>
      <c r="N53" s="504">
        <v>200011</v>
      </c>
      <c r="O53" s="504">
        <v>200011</v>
      </c>
      <c r="P53" s="3395">
        <v>200011</v>
      </c>
      <c r="Q53" s="3390">
        <v>42</v>
      </c>
      <c r="R53" s="1456">
        <f>128*11+27</f>
        <v>1435</v>
      </c>
      <c r="S53" s="3400"/>
      <c r="T53" s="707">
        <f>0.256+0.026</f>
        <v>0.28200000000000003</v>
      </c>
      <c r="U53" s="707"/>
      <c r="V53" s="3564">
        <f>128*17+3</f>
        <v>2179</v>
      </c>
      <c r="W53" s="707"/>
      <c r="X53" s="1177"/>
      <c r="Y53" s="771">
        <v>200035</v>
      </c>
      <c r="Z53" s="771">
        <v>200020</v>
      </c>
      <c r="AA53" s="3569">
        <f>128*17+4</f>
        <v>2180</v>
      </c>
      <c r="AB53" s="503"/>
      <c r="AC53" s="3569">
        <f>128*17+3</f>
        <v>2179</v>
      </c>
      <c r="AD53" s="503"/>
      <c r="AE53" s="503"/>
      <c r="AF53" s="503"/>
      <c r="AG53" s="535">
        <f>128*9+27</f>
        <v>1179</v>
      </c>
      <c r="AH53" s="503"/>
      <c r="AI53" s="533">
        <f>128*9+27</f>
        <v>1179</v>
      </c>
      <c r="AJ53" s="503"/>
      <c r="AK53" s="514"/>
      <c r="AL53" s="514"/>
      <c r="AM53" s="514"/>
      <c r="AN53" s="514"/>
      <c r="AO53" s="514"/>
      <c r="AP53" s="514"/>
      <c r="AQ53" s="514"/>
      <c r="AR53" s="514"/>
      <c r="AS53" s="514"/>
      <c r="AT53" s="514"/>
      <c r="AU53" s="514"/>
      <c r="AV53" s="514"/>
      <c r="AW53" s="514"/>
      <c r="AX53" s="514"/>
      <c r="AY53" s="514"/>
      <c r="AZ53" s="514"/>
      <c r="BA53" s="514"/>
      <c r="BB53" s="514"/>
      <c r="BC53" s="514"/>
      <c r="BD53" s="514"/>
      <c r="BE53" s="514"/>
      <c r="BF53" s="503"/>
      <c r="BG53" s="503"/>
      <c r="BH53" s="514"/>
      <c r="BI53" s="2706">
        <v>2E-3</v>
      </c>
      <c r="BJ53" s="503"/>
      <c r="BK53" s="503"/>
      <c r="BL53" s="503"/>
      <c r="BM53" s="532"/>
      <c r="BN53" s="503"/>
      <c r="BO53" s="503"/>
      <c r="BP53" s="503"/>
      <c r="BQ53" s="503"/>
      <c r="BR53" s="517">
        <v>430043</v>
      </c>
      <c r="BS53" s="3493">
        <f>128*9+70</f>
        <v>1222</v>
      </c>
      <c r="BT53" s="511"/>
      <c r="BU53" s="511"/>
      <c r="BV53" s="511"/>
      <c r="BW53" s="511"/>
      <c r="BX53" s="511"/>
      <c r="BY53" s="511"/>
      <c r="BZ53" s="511"/>
      <c r="CA53" s="511"/>
      <c r="CB53" s="511"/>
      <c r="CC53" s="511"/>
      <c r="CD53" s="511"/>
      <c r="CE53" s="511"/>
      <c r="CF53" s="511"/>
      <c r="CG53" s="3498">
        <f>128*9+71</f>
        <v>1223</v>
      </c>
      <c r="CH53" s="517">
        <v>430043</v>
      </c>
      <c r="CI53" s="1744">
        <f>0.256+0.0096</f>
        <v>0.2656</v>
      </c>
      <c r="CJ53" s="1746">
        <f>128*4+34</f>
        <v>546</v>
      </c>
      <c r="CK53" s="1744"/>
      <c r="CL53" s="1744"/>
      <c r="CM53" s="1744"/>
      <c r="CN53" s="1744">
        <f>128*5+41</f>
        <v>681</v>
      </c>
      <c r="CO53" s="1744"/>
      <c r="CP53" s="1744"/>
      <c r="CQ53" s="1744"/>
      <c r="CR53" s="3487">
        <f>430043+0.175</f>
        <v>430043.17499999999</v>
      </c>
    </row>
    <row r="54" spans="1:96" ht="9" customHeight="1" thickTop="1" thickBot="1">
      <c r="A54" s="523">
        <v>200035</v>
      </c>
      <c r="B54" s="504">
        <f>200049+0.068</f>
        <v>200049.068</v>
      </c>
      <c r="C54" s="523">
        <v>200035</v>
      </c>
      <c r="D54" s="523">
        <v>200020</v>
      </c>
      <c r="E54" s="523">
        <v>200020</v>
      </c>
      <c r="F54" s="523">
        <v>200020</v>
      </c>
      <c r="G54" s="523">
        <v>200020</v>
      </c>
      <c r="H54" s="523">
        <v>200020</v>
      </c>
      <c r="I54" s="523">
        <v>200020</v>
      </c>
      <c r="J54" s="523">
        <v>200020</v>
      </c>
      <c r="K54" s="523">
        <v>200020</v>
      </c>
      <c r="L54" s="523">
        <v>200020</v>
      </c>
      <c r="M54" s="523">
        <v>200020</v>
      </c>
      <c r="N54" s="523">
        <v>200020</v>
      </c>
      <c r="O54" s="523">
        <v>200020</v>
      </c>
      <c r="P54" s="3396">
        <v>200020</v>
      </c>
      <c r="Q54" s="1415">
        <v>42</v>
      </c>
      <c r="R54" s="3391">
        <v>42</v>
      </c>
      <c r="S54" s="3382">
        <f>42+0.184</f>
        <v>42.183999999999997</v>
      </c>
      <c r="T54" s="504">
        <v>35</v>
      </c>
      <c r="U54" s="504">
        <v>35</v>
      </c>
      <c r="V54" s="504">
        <v>35</v>
      </c>
      <c r="W54" s="504">
        <v>35</v>
      </c>
      <c r="X54" s="771">
        <v>35</v>
      </c>
      <c r="Y54" s="771">
        <v>200020</v>
      </c>
      <c r="Z54" s="3569">
        <f>128*17+4</f>
        <v>2180</v>
      </c>
      <c r="AA54" s="503"/>
      <c r="AB54" s="503"/>
      <c r="AC54" s="503"/>
      <c r="AD54" s="503"/>
      <c r="AE54" s="514">
        <v>20</v>
      </c>
      <c r="AF54" s="1002">
        <f>128*4+47</f>
        <v>559</v>
      </c>
      <c r="AG54" s="514">
        <v>20</v>
      </c>
      <c r="AH54" s="3421">
        <f>128*5+39</f>
        <v>679</v>
      </c>
      <c r="AI54" s="514">
        <v>20</v>
      </c>
      <c r="AJ54" s="1002">
        <f>128*4+47</f>
        <v>559</v>
      </c>
      <c r="AK54" s="514">
        <v>20</v>
      </c>
      <c r="AL54" s="1002">
        <f t="shared" ref="AL54:BD54" si="16">128*4+47</f>
        <v>559</v>
      </c>
      <c r="AM54" s="1002">
        <f t="shared" si="16"/>
        <v>559</v>
      </c>
      <c r="AN54" s="1002">
        <f t="shared" si="16"/>
        <v>559</v>
      </c>
      <c r="AO54" s="1002">
        <f t="shared" si="16"/>
        <v>559</v>
      </c>
      <c r="AP54" s="1002">
        <f t="shared" si="16"/>
        <v>559</v>
      </c>
      <c r="AQ54" s="1002">
        <f t="shared" si="16"/>
        <v>559</v>
      </c>
      <c r="AR54" s="1002">
        <f t="shared" si="16"/>
        <v>559</v>
      </c>
      <c r="AS54" s="1002">
        <f t="shared" si="16"/>
        <v>559</v>
      </c>
      <c r="AT54" s="1002">
        <f t="shared" si="16"/>
        <v>559</v>
      </c>
      <c r="AU54" s="1002">
        <f t="shared" si="16"/>
        <v>559</v>
      </c>
      <c r="AV54" s="1002">
        <f t="shared" si="16"/>
        <v>559</v>
      </c>
      <c r="AW54" s="1002">
        <f t="shared" si="16"/>
        <v>559</v>
      </c>
      <c r="AX54" s="1002">
        <f t="shared" si="16"/>
        <v>559</v>
      </c>
      <c r="AY54" s="1002">
        <f t="shared" si="16"/>
        <v>559</v>
      </c>
      <c r="AZ54" s="1002">
        <f t="shared" si="16"/>
        <v>559</v>
      </c>
      <c r="BA54" s="1002">
        <f t="shared" si="16"/>
        <v>559</v>
      </c>
      <c r="BB54" s="1002">
        <f t="shared" si="16"/>
        <v>559</v>
      </c>
      <c r="BC54" s="1002">
        <f t="shared" si="16"/>
        <v>559</v>
      </c>
      <c r="BD54" s="1002">
        <f t="shared" si="16"/>
        <v>559</v>
      </c>
      <c r="BE54" s="514">
        <v>20</v>
      </c>
      <c r="BF54" s="514"/>
      <c r="BG54" s="503"/>
      <c r="BH54" s="514"/>
      <c r="BI54" s="503"/>
      <c r="BJ54" s="503"/>
      <c r="BK54" s="503"/>
      <c r="BL54" s="503"/>
      <c r="BM54" s="503"/>
      <c r="BN54" s="503"/>
      <c r="BO54" s="503"/>
      <c r="BP54" s="503"/>
      <c r="BQ54" s="503"/>
      <c r="BR54" s="517">
        <v>430043</v>
      </c>
      <c r="BS54" s="3493">
        <f>128*9+70+0.5+0.256+0.001</f>
        <v>1222.7570000000001</v>
      </c>
      <c r="BT54" s="3493">
        <f>128*9+70</f>
        <v>1222</v>
      </c>
      <c r="BU54" s="3506">
        <f>128*9+70+0.205</f>
        <v>1222.2049999999999</v>
      </c>
      <c r="BV54" s="3493">
        <f>128*3+32</f>
        <v>416</v>
      </c>
      <c r="BW54" s="3505">
        <f>128*9+70+0.205</f>
        <v>1222.2049999999999</v>
      </c>
      <c r="BX54" s="3496">
        <f>430000+128*9+78</f>
        <v>431230</v>
      </c>
      <c r="BY54" s="3496">
        <f>430000+128*9+78</f>
        <v>431230</v>
      </c>
      <c r="BZ54" s="3497">
        <f>430000+128*9+78</f>
        <v>431230</v>
      </c>
      <c r="CA54" s="3514">
        <f>430000+128*9+78+0.205</f>
        <v>431230.20500000002</v>
      </c>
      <c r="CB54" s="3493">
        <f>128*3+32</f>
        <v>416</v>
      </c>
      <c r="CC54" s="3506">
        <f>128*9+70+0.205</f>
        <v>1222.2049999999999</v>
      </c>
      <c r="CD54" s="3493"/>
      <c r="CE54" s="3493"/>
      <c r="CF54" s="3503">
        <f>128*9+70+0.5+0.384+0.003</f>
        <v>1222.8869999999999</v>
      </c>
      <c r="CG54" s="3505">
        <f>128*9+70+0.205</f>
        <v>1222.2049999999999</v>
      </c>
      <c r="CH54" s="517">
        <v>430043</v>
      </c>
      <c r="CI54" s="1744">
        <f>128*6+139+0.256+0.0232</f>
        <v>907.27919999999995</v>
      </c>
      <c r="CJ54" s="517">
        <v>430043</v>
      </c>
      <c r="CK54" s="1750">
        <f>128*9+26+0.145</f>
        <v>1178.145</v>
      </c>
      <c r="CL54" s="1750">
        <f>128*9+83</f>
        <v>1235</v>
      </c>
      <c r="CM54" s="1750">
        <f>128*9+26+0.152</f>
        <v>1178.152</v>
      </c>
      <c r="CN54" s="517">
        <v>430043</v>
      </c>
      <c r="CO54" s="1750">
        <f>128*9+48+0.122</f>
        <v>1200.1220000000001</v>
      </c>
      <c r="CP54" s="1162">
        <f>128*9+83</f>
        <v>1235</v>
      </c>
      <c r="CQ54" s="1157">
        <f>128*9+36+0.256+0.0154</f>
        <v>1188.2714000000001</v>
      </c>
      <c r="CR54" s="517">
        <v>430043</v>
      </c>
    </row>
    <row r="55" spans="1:96" ht="9" customHeight="1" thickBot="1">
      <c r="A55" s="517">
        <v>430043</v>
      </c>
      <c r="B55" s="517">
        <v>430043</v>
      </c>
      <c r="C55" s="3355">
        <f>200000+128*9+69+0.083</f>
        <v>201221.08300000001</v>
      </c>
      <c r="D55" s="3074">
        <v>430043</v>
      </c>
      <c r="E55" s="517">
        <v>430043</v>
      </c>
      <c r="F55" s="517">
        <v>430043</v>
      </c>
      <c r="G55" s="3074">
        <v>430043</v>
      </c>
      <c r="H55" s="517">
        <v>430043</v>
      </c>
      <c r="I55" s="517">
        <v>430043</v>
      </c>
      <c r="J55" s="517">
        <v>430043</v>
      </c>
      <c r="K55" s="517">
        <v>430043</v>
      </c>
      <c r="L55" s="3074">
        <v>430043</v>
      </c>
      <c r="M55" s="517">
        <v>430043</v>
      </c>
      <c r="N55" s="517">
        <v>430043</v>
      </c>
      <c r="O55" s="517">
        <v>430043</v>
      </c>
      <c r="P55" s="3392">
        <v>430043</v>
      </c>
      <c r="Q55" s="3393">
        <v>200020</v>
      </c>
      <c r="R55" s="3394">
        <v>200020</v>
      </c>
      <c r="S55" s="771">
        <v>44</v>
      </c>
      <c r="T55" s="771">
        <v>44</v>
      </c>
      <c r="U55" s="771">
        <v>44</v>
      </c>
      <c r="V55" s="771">
        <v>44</v>
      </c>
      <c r="W55" s="771">
        <v>44</v>
      </c>
      <c r="X55" s="771">
        <v>44</v>
      </c>
      <c r="Y55" s="771">
        <v>200020</v>
      </c>
      <c r="Z55" s="503">
        <f>128*10+1</f>
        <v>1281</v>
      </c>
      <c r="AA55" s="503"/>
      <c r="AB55" s="533">
        <f>128*9+25+0.11</f>
        <v>1177.1099999999999</v>
      </c>
      <c r="AC55" s="503"/>
      <c r="AD55" s="503"/>
      <c r="AE55" s="1015">
        <f>128*4+47+0.059</f>
        <v>559.05899999999997</v>
      </c>
      <c r="AF55" s="514"/>
      <c r="AG55" s="514">
        <v>5.8999999999999997E-2</v>
      </c>
      <c r="AH55" s="514"/>
      <c r="AI55" s="514">
        <v>5.8999999999999997E-2</v>
      </c>
      <c r="AJ55" s="514"/>
      <c r="AK55" s="1015">
        <f>128*4+47+0.059</f>
        <v>559.05899999999997</v>
      </c>
      <c r="AL55" s="831"/>
      <c r="AM55" s="831"/>
      <c r="AN55" s="831"/>
      <c r="AO55" s="831"/>
      <c r="AP55" s="831"/>
      <c r="AQ55" s="831"/>
      <c r="AR55" s="831"/>
      <c r="AS55" s="831"/>
      <c r="AT55" s="831"/>
      <c r="AU55" s="831"/>
      <c r="AV55" s="831"/>
      <c r="AW55" s="831"/>
      <c r="AX55" s="831"/>
      <c r="AY55" s="831"/>
      <c r="AZ55" s="831"/>
      <c r="BA55" s="831"/>
      <c r="BB55" s="831"/>
      <c r="BC55" s="831"/>
      <c r="BD55" s="831"/>
      <c r="BE55" s="792">
        <f t="shared" ref="BE55:BE62" si="17">128*4+47</f>
        <v>559</v>
      </c>
      <c r="BF55" s="514"/>
      <c r="BG55" s="503"/>
      <c r="BH55" s="514"/>
      <c r="BI55" s="503"/>
      <c r="BJ55" s="503"/>
      <c r="BK55" s="503"/>
      <c r="BL55" s="503"/>
      <c r="BM55" s="503"/>
      <c r="BN55" s="503"/>
      <c r="BO55" s="503"/>
      <c r="BP55" s="503"/>
      <c r="BQ55" s="503"/>
      <c r="BR55" s="517">
        <v>430043</v>
      </c>
      <c r="BS55" s="517">
        <v>430043</v>
      </c>
      <c r="BT55" s="517">
        <v>430043</v>
      </c>
      <c r="BU55" s="517">
        <v>430043</v>
      </c>
      <c r="BV55" s="1439">
        <v>430000</v>
      </c>
      <c r="BW55" s="517">
        <v>430043</v>
      </c>
      <c r="BX55" s="517">
        <v>430043</v>
      </c>
      <c r="BY55" s="517">
        <v>430043</v>
      </c>
      <c r="BZ55" s="517">
        <v>430043</v>
      </c>
      <c r="CA55" s="517">
        <v>430043</v>
      </c>
      <c r="CB55" s="1439">
        <v>430000</v>
      </c>
      <c r="CC55" s="517">
        <v>430043</v>
      </c>
      <c r="CD55" s="2421">
        <v>430018</v>
      </c>
      <c r="CE55" s="2421">
        <v>430018</v>
      </c>
      <c r="CF55" s="2421">
        <v>430018</v>
      </c>
      <c r="CG55" s="517">
        <v>430043</v>
      </c>
      <c r="CH55" s="517">
        <v>430043</v>
      </c>
      <c r="CI55" s="3490">
        <f>430000+128*5+30</f>
        <v>430670</v>
      </c>
      <c r="CJ55" s="517">
        <v>430043</v>
      </c>
      <c r="CK55" s="517">
        <v>430043</v>
      </c>
      <c r="CL55" s="517">
        <v>430043</v>
      </c>
      <c r="CM55" s="517">
        <v>430043</v>
      </c>
      <c r="CN55" s="517">
        <v>430043</v>
      </c>
      <c r="CO55" s="517">
        <v>430043</v>
      </c>
      <c r="CP55" s="517">
        <f>430043</f>
        <v>430043</v>
      </c>
      <c r="CQ55" s="517">
        <v>430043</v>
      </c>
      <c r="CR55" s="517">
        <v>430043</v>
      </c>
    </row>
    <row r="56" spans="1:96" ht="9" customHeight="1">
      <c r="A56" s="517">
        <v>430043</v>
      </c>
      <c r="B56" s="1751">
        <f>128*9+48+0.137</f>
        <v>1200.1369999999999</v>
      </c>
      <c r="C56" s="1744"/>
      <c r="D56" s="1744"/>
      <c r="E56" s="1751">
        <f>128*11+9+0.5</f>
        <v>1417.5</v>
      </c>
      <c r="F56" s="1744">
        <f>128*16+5</f>
        <v>2053</v>
      </c>
      <c r="G56" s="1744"/>
      <c r="H56" s="1744">
        <f>128*11+12</f>
        <v>1420</v>
      </c>
      <c r="I56" s="3354">
        <f>128*9+81+0.137</f>
        <v>1233.1369999999999</v>
      </c>
      <c r="J56" s="1744">
        <f>0.256+0.0158</f>
        <v>0.27179999999999999</v>
      </c>
      <c r="K56" s="1751">
        <f>128*11+15+0.5</f>
        <v>1423.5</v>
      </c>
      <c r="L56" s="1744"/>
      <c r="M56" s="3354">
        <f>128*9+48+0.137</f>
        <v>1200.1369999999999</v>
      </c>
      <c r="N56" s="1744">
        <f>128*11+18</f>
        <v>1426</v>
      </c>
      <c r="O56" s="1744"/>
      <c r="P56" s="517">
        <v>430043</v>
      </c>
      <c r="Q56" s="757">
        <f>128*11+29</f>
        <v>1437</v>
      </c>
      <c r="R56" s="505">
        <v>200020</v>
      </c>
      <c r="S56" s="1824">
        <f>430011+0.1328</f>
        <v>430011.13280000002</v>
      </c>
      <c r="T56" s="3417">
        <f>128*9+83+0.5+0.256+0.0151</f>
        <v>1235.7711000000002</v>
      </c>
      <c r="U56" s="3418">
        <f>128*9+83+0.5+0.384+0.003</f>
        <v>1235.8869999999999</v>
      </c>
      <c r="V56" s="3455">
        <f>128*11+21+0.384+0.003</f>
        <v>1429.3869999999999</v>
      </c>
      <c r="W56" s="3417">
        <f>128*9+83+0.256+0.028</f>
        <v>1235.2840000000001</v>
      </c>
      <c r="X56" s="771">
        <v>44</v>
      </c>
      <c r="Y56" s="771">
        <v>200020</v>
      </c>
      <c r="Z56" s="771">
        <v>200020</v>
      </c>
      <c r="AA56" s="503"/>
      <c r="AB56" s="503"/>
      <c r="AC56" s="503"/>
      <c r="AD56" s="503"/>
      <c r="AE56" s="1015">
        <f>128*4+47</f>
        <v>559</v>
      </c>
      <c r="AF56" s="514"/>
      <c r="AG56" s="514"/>
      <c r="AH56" s="514"/>
      <c r="AI56" s="514"/>
      <c r="AJ56" s="514"/>
      <c r="AK56" s="1015">
        <f t="shared" ref="AK56:AK62" si="18">128*4+47</f>
        <v>559</v>
      </c>
      <c r="AL56" s="831"/>
      <c r="AM56" s="831"/>
      <c r="AN56" s="831">
        <v>0.21099999999999999</v>
      </c>
      <c r="AO56" s="831"/>
      <c r="AP56" s="812"/>
      <c r="AQ56" s="812"/>
      <c r="AR56" s="831"/>
      <c r="AS56" s="831">
        <v>0.21099999999999999</v>
      </c>
      <c r="AT56" s="3208">
        <f>128*9+14</f>
        <v>1166</v>
      </c>
      <c r="AU56" s="2284">
        <f>490000+128*10+43</f>
        <v>491323</v>
      </c>
      <c r="AV56" s="1012">
        <f>128*9+14</f>
        <v>1166</v>
      </c>
      <c r="AW56" s="831">
        <v>0.21099999999999999</v>
      </c>
      <c r="AX56" s="831"/>
      <c r="AY56" s="812"/>
      <c r="AZ56" s="812"/>
      <c r="BA56" s="831"/>
      <c r="BB56" s="831">
        <v>0.21099999999999999</v>
      </c>
      <c r="BC56" s="831"/>
      <c r="BD56" s="831"/>
      <c r="BE56" s="792">
        <f t="shared" si="17"/>
        <v>559</v>
      </c>
      <c r="BF56" s="514"/>
      <c r="BG56" s="503"/>
      <c r="BH56" s="514"/>
      <c r="BI56" s="503"/>
      <c r="BJ56" s="503"/>
      <c r="BK56" s="503"/>
      <c r="BL56" s="503"/>
      <c r="BM56" s="503"/>
      <c r="BN56" s="503"/>
      <c r="BO56" s="503"/>
      <c r="BP56" s="503"/>
      <c r="BQ56" s="503"/>
      <c r="BR56" s="503"/>
      <c r="BS56" s="503"/>
      <c r="BT56" s="503"/>
      <c r="BU56" s="517">
        <v>430043</v>
      </c>
      <c r="BV56" s="1977">
        <v>430043</v>
      </c>
      <c r="BW56" s="517">
        <v>430043</v>
      </c>
      <c r="BX56" s="3473">
        <f>128*17+4+0.256+0.0013</f>
        <v>2180.2572999999998</v>
      </c>
      <c r="BY56" s="3569">
        <f>128*17+3+0.256+0.006</f>
        <v>2179.2619999999997</v>
      </c>
      <c r="BZ56" s="3473">
        <f>128*17+4</f>
        <v>2180</v>
      </c>
      <c r="CA56" s="517">
        <v>430043</v>
      </c>
      <c r="CB56" s="1977">
        <v>430043</v>
      </c>
      <c r="CC56" s="517">
        <v>430043</v>
      </c>
      <c r="CD56" s="517">
        <v>430043</v>
      </c>
      <c r="CE56" s="517">
        <v>430043</v>
      </c>
      <c r="CF56" s="517">
        <v>430043</v>
      </c>
      <c r="CG56" s="517">
        <v>430043</v>
      </c>
      <c r="CH56" s="517">
        <v>430043</v>
      </c>
      <c r="CI56" s="2934">
        <f>128*14+15</f>
        <v>1807</v>
      </c>
      <c r="CJ56" s="2934"/>
      <c r="CK56" s="2934"/>
      <c r="CL56" s="3486"/>
      <c r="CM56" s="3520">
        <f>128*9+26+0.145</f>
        <v>1178.145</v>
      </c>
      <c r="CN56" s="3486"/>
      <c r="CO56" s="2934"/>
      <c r="CP56" s="2934"/>
      <c r="CQ56" s="3521">
        <f>128*9+49</f>
        <v>1201</v>
      </c>
      <c r="CR56" s="517">
        <v>430043</v>
      </c>
    </row>
    <row r="57" spans="1:96" ht="9" customHeight="1">
      <c r="A57" s="1466">
        <v>430043</v>
      </c>
      <c r="B57" s="1744"/>
      <c r="C57" s="3344"/>
      <c r="D57" s="1744">
        <v>0.222</v>
      </c>
      <c r="E57" s="1751">
        <f>128*11+10+0.5</f>
        <v>1418.5</v>
      </c>
      <c r="F57" s="3344">
        <f>128*16+5</f>
        <v>2053</v>
      </c>
      <c r="G57" s="1744">
        <v>0.188</v>
      </c>
      <c r="H57" s="1744">
        <f>128*11+13</f>
        <v>1421</v>
      </c>
      <c r="I57" s="3353">
        <f>128*17+11</f>
        <v>2187</v>
      </c>
      <c r="J57" s="1744">
        <v>0.188</v>
      </c>
      <c r="K57" s="1751">
        <f>128*11+16+0.5</f>
        <v>1424.5</v>
      </c>
      <c r="L57" s="3344">
        <f>128*16+5</f>
        <v>2053</v>
      </c>
      <c r="M57" s="1744">
        <v>0.188</v>
      </c>
      <c r="N57" s="1744">
        <f>128*11+19</f>
        <v>1427</v>
      </c>
      <c r="O57" s="3344"/>
      <c r="P57" s="757"/>
      <c r="Q57" s="3357">
        <f>128*8+6</f>
        <v>1030</v>
      </c>
      <c r="R57" s="3344"/>
      <c r="S57" s="1824">
        <v>31</v>
      </c>
      <c r="T57" s="952">
        <v>44</v>
      </c>
      <c r="U57" s="771">
        <v>44</v>
      </c>
      <c r="V57" s="771">
        <f>44+0.1325</f>
        <v>44.1325</v>
      </c>
      <c r="W57" s="771">
        <v>44</v>
      </c>
      <c r="X57" s="771">
        <v>44</v>
      </c>
      <c r="Y57" s="771">
        <v>44</v>
      </c>
      <c r="Z57" s="771">
        <v>44</v>
      </c>
      <c r="AA57" s="771">
        <v>200020</v>
      </c>
      <c r="AB57" s="503"/>
      <c r="AC57" s="503"/>
      <c r="AD57" s="503"/>
      <c r="AE57" s="1015">
        <f>128*4+47</f>
        <v>559</v>
      </c>
      <c r="AF57" s="514"/>
      <c r="AG57" s="514"/>
      <c r="AH57" s="514"/>
      <c r="AI57" s="514"/>
      <c r="AJ57" s="514"/>
      <c r="AK57" s="1015">
        <f t="shared" si="18"/>
        <v>559</v>
      </c>
      <c r="AL57" s="831"/>
      <c r="AM57" s="831"/>
      <c r="AN57" s="812"/>
      <c r="AO57" s="831"/>
      <c r="AP57" s="1649">
        <f>128*9+75+0.208</f>
        <v>1227.2080000000001</v>
      </c>
      <c r="AQ57" s="831"/>
      <c r="AR57" s="831"/>
      <c r="AS57" s="3208">
        <f>128*9+14</f>
        <v>1166</v>
      </c>
      <c r="AT57" s="2284">
        <f>490000+128*10+43</f>
        <v>491323</v>
      </c>
      <c r="AU57" s="2278">
        <v>340000</v>
      </c>
      <c r="AV57" s="2284">
        <f>490000+128*10+43</f>
        <v>491323</v>
      </c>
      <c r="AW57" s="1012">
        <f>128*9+14</f>
        <v>1166</v>
      </c>
      <c r="AX57" s="831"/>
      <c r="AY57" s="831"/>
      <c r="AZ57" s="1649">
        <f>128*9+75+0.208</f>
        <v>1227.2080000000001</v>
      </c>
      <c r="BA57" s="831"/>
      <c r="BB57" s="812"/>
      <c r="BC57" s="831"/>
      <c r="BD57" s="831"/>
      <c r="BE57" s="792">
        <f t="shared" si="17"/>
        <v>559</v>
      </c>
      <c r="BF57" s="514"/>
      <c r="BG57" s="503"/>
      <c r="BH57" s="514"/>
      <c r="BI57" s="2706">
        <v>2E-3</v>
      </c>
      <c r="BJ57" s="503"/>
      <c r="BK57" s="503"/>
      <c r="BL57" s="503"/>
      <c r="BM57" s="503"/>
      <c r="BN57" s="503"/>
      <c r="BO57" s="503"/>
      <c r="BP57" s="503"/>
      <c r="BQ57" s="503"/>
      <c r="BR57" s="503"/>
      <c r="BS57" s="2705">
        <f>128*9+25</f>
        <v>1177</v>
      </c>
      <c r="BT57" s="503"/>
      <c r="BU57" s="503"/>
      <c r="BV57" s="503"/>
      <c r="BW57" s="503"/>
      <c r="BX57" s="503"/>
      <c r="BY57" s="503">
        <f>128*9+25</f>
        <v>1177</v>
      </c>
      <c r="BZ57" s="503"/>
      <c r="CA57" s="503"/>
      <c r="CB57" s="503"/>
      <c r="CC57" s="503"/>
      <c r="CD57" s="503"/>
      <c r="CE57" s="503"/>
      <c r="CF57" s="503"/>
      <c r="CG57" s="503">
        <f>128*9+25</f>
        <v>1177</v>
      </c>
      <c r="CH57" s="517">
        <v>430043</v>
      </c>
      <c r="CI57" s="2934"/>
      <c r="CJ57" s="3477"/>
      <c r="CK57" s="3478">
        <f>128*9+82+0.213</f>
        <v>1234.213</v>
      </c>
      <c r="CL57" s="3477"/>
      <c r="CM57" s="3477"/>
      <c r="CN57" s="3477"/>
      <c r="CO57" s="3478">
        <f>128*9+82+0.213</f>
        <v>1234.213</v>
      </c>
      <c r="CP57" s="3477"/>
      <c r="CQ57" s="3479"/>
      <c r="CR57" s="517">
        <v>430043</v>
      </c>
    </row>
    <row r="58" spans="1:96" ht="9" customHeight="1">
      <c r="A58" s="517">
        <v>430043</v>
      </c>
      <c r="B58" s="1750">
        <f>128*9+48+0.137</f>
        <v>1200.1369999999999</v>
      </c>
      <c r="C58" s="1744">
        <v>0.13950000000000001</v>
      </c>
      <c r="D58" s="1750">
        <f>128*9+48+0.137</f>
        <v>1200.1369999999999</v>
      </c>
      <c r="E58" s="1751">
        <f>128*11+11+0.5</f>
        <v>1419.5</v>
      </c>
      <c r="F58" s="1744">
        <f>128*16+5</f>
        <v>2053</v>
      </c>
      <c r="G58" s="1744"/>
      <c r="H58" s="1744">
        <f>128*11+14</f>
        <v>1422</v>
      </c>
      <c r="I58" s="1744"/>
      <c r="J58" s="1750">
        <f>128*9+81+0.137</f>
        <v>1233.1369999999999</v>
      </c>
      <c r="K58" s="1751">
        <f>128*11+17+0.5</f>
        <v>1425.5</v>
      </c>
      <c r="L58" s="1744"/>
      <c r="M58" s="1744"/>
      <c r="N58" s="1744">
        <f>128*11+20</f>
        <v>1428</v>
      </c>
      <c r="O58" s="1744"/>
      <c r="P58" s="517">
        <v>430043</v>
      </c>
      <c r="Q58" s="757"/>
      <c r="R58" s="757"/>
      <c r="S58" s="757"/>
      <c r="T58" s="505">
        <v>200020</v>
      </c>
      <c r="U58" s="771">
        <f>44+0.132</f>
        <v>44.131999999999998</v>
      </c>
      <c r="V58" s="3454">
        <f>128*11+30+0.0025</f>
        <v>1438.0025000000001</v>
      </c>
      <c r="W58" s="3429">
        <f>128*9+83+0.0028</f>
        <v>1235.0028</v>
      </c>
      <c r="X58" s="3429">
        <f>128*14+11+0.0025</f>
        <v>1803.0025000000001</v>
      </c>
      <c r="Y58" s="3429">
        <f>128*9+83+0.5+0.0205</f>
        <v>1235.5205000000001</v>
      </c>
      <c r="Z58" s="3451">
        <f>128*9+83+0.384+0.004</f>
        <v>1235.3879999999999</v>
      </c>
      <c r="AA58" s="1033">
        <f>110011+0.1322</f>
        <v>110011.13219999999</v>
      </c>
      <c r="AB58" s="503"/>
      <c r="AC58" s="503"/>
      <c r="AD58" s="503"/>
      <c r="AE58" s="514">
        <v>20</v>
      </c>
      <c r="AF58" s="1002">
        <f>128*4+47+0.256+0.008</f>
        <v>559.26400000000001</v>
      </c>
      <c r="AG58" s="3235">
        <f>128*4+47+0.003</f>
        <v>559.00300000000004</v>
      </c>
      <c r="AH58" s="3232">
        <f>128*11+6</f>
        <v>1414</v>
      </c>
      <c r="AI58" s="3235">
        <f>128*4+47+0.003</f>
        <v>559.00300000000004</v>
      </c>
      <c r="AJ58" s="514"/>
      <c r="AK58" s="1015">
        <f t="shared" si="18"/>
        <v>559</v>
      </c>
      <c r="AL58" s="831"/>
      <c r="AM58" s="831"/>
      <c r="AN58" s="812"/>
      <c r="AO58" s="831"/>
      <c r="AP58" s="3239">
        <f>128*9+57+0.143</f>
        <v>1209.143</v>
      </c>
      <c r="AQ58" s="831"/>
      <c r="AR58" s="831"/>
      <c r="AS58" s="2277">
        <v>490000</v>
      </c>
      <c r="AT58" s="2278">
        <v>340000</v>
      </c>
      <c r="AU58" s="2278">
        <f>490000+128*9+61</f>
        <v>491213</v>
      </c>
      <c r="AV58" s="2278">
        <v>340000</v>
      </c>
      <c r="AW58" s="2277">
        <v>490000</v>
      </c>
      <c r="AX58" s="831"/>
      <c r="AY58" s="831"/>
      <c r="AZ58" s="3237">
        <f>128*9+57+0.213</f>
        <v>1209.213</v>
      </c>
      <c r="BA58" s="831"/>
      <c r="BB58" s="812"/>
      <c r="BC58" s="831"/>
      <c r="BD58" s="831"/>
      <c r="BE58" s="792">
        <f t="shared" si="17"/>
        <v>559</v>
      </c>
      <c r="BF58" s="514"/>
      <c r="BG58" s="503"/>
      <c r="BH58" s="514"/>
      <c r="BI58" s="503"/>
      <c r="BJ58" s="503"/>
      <c r="BK58" s="503"/>
      <c r="BL58" s="503"/>
      <c r="BM58" s="503"/>
      <c r="BN58" s="503"/>
      <c r="BO58" s="503"/>
      <c r="BP58" s="511"/>
      <c r="BQ58" s="511"/>
      <c r="BR58" s="511"/>
      <c r="BS58" s="511"/>
      <c r="BT58" s="511"/>
      <c r="BU58" s="511"/>
      <c r="BV58" s="511"/>
      <c r="BW58" s="511"/>
      <c r="BX58" s="511"/>
      <c r="BY58" s="511"/>
      <c r="BZ58" s="511"/>
      <c r="CA58" s="511"/>
      <c r="CB58" s="511"/>
      <c r="CC58" s="511"/>
      <c r="CD58" s="511"/>
      <c r="CE58" s="511"/>
      <c r="CF58" s="514"/>
      <c r="CG58" s="503"/>
      <c r="CH58" s="517">
        <v>430043</v>
      </c>
      <c r="CI58" s="2934"/>
      <c r="CJ58" s="3481">
        <f>128*9+81+0.212</f>
        <v>1233.212</v>
      </c>
      <c r="CK58" s="3480">
        <v>430043</v>
      </c>
      <c r="CL58" s="3477"/>
      <c r="CM58" s="3480">
        <v>430042</v>
      </c>
      <c r="CN58" s="3477"/>
      <c r="CO58" s="3480">
        <v>430043</v>
      </c>
      <c r="CP58" s="3482">
        <f>128*9+81+0.212</f>
        <v>1233.212</v>
      </c>
      <c r="CQ58" s="3519">
        <f>128*9+83</f>
        <v>1235</v>
      </c>
      <c r="CR58" s="517">
        <v>430043</v>
      </c>
    </row>
    <row r="59" spans="1:96" ht="9" customHeight="1">
      <c r="A59" s="517">
        <v>430043</v>
      </c>
      <c r="B59" s="517">
        <v>430043</v>
      </c>
      <c r="C59" s="517">
        <v>430043</v>
      </c>
      <c r="D59" s="1977">
        <v>430043</v>
      </c>
      <c r="E59" s="517">
        <v>430043</v>
      </c>
      <c r="F59" s="517">
        <v>430043</v>
      </c>
      <c r="G59" s="1977">
        <v>430043</v>
      </c>
      <c r="H59" s="517">
        <v>430043</v>
      </c>
      <c r="I59" s="517">
        <v>430043</v>
      </c>
      <c r="J59" s="517">
        <v>430043</v>
      </c>
      <c r="K59" s="517">
        <v>430043</v>
      </c>
      <c r="L59" s="1977">
        <v>430043</v>
      </c>
      <c r="M59" s="517">
        <v>430043</v>
      </c>
      <c r="N59" s="517">
        <v>430043</v>
      </c>
      <c r="O59" s="517">
        <v>430043</v>
      </c>
      <c r="P59" s="517">
        <v>430043</v>
      </c>
      <c r="Q59" s="757"/>
      <c r="R59" s="757"/>
      <c r="S59" s="757"/>
      <c r="T59" s="505">
        <v>200020</v>
      </c>
      <c r="U59" s="771">
        <v>31</v>
      </c>
      <c r="V59" s="952">
        <v>44</v>
      </c>
      <c r="W59" s="771">
        <v>44</v>
      </c>
      <c r="X59" s="771">
        <v>44</v>
      </c>
      <c r="Y59" s="771">
        <v>44</v>
      </c>
      <c r="Z59" s="771">
        <v>44</v>
      </c>
      <c r="AA59" s="771">
        <v>200020</v>
      </c>
      <c r="AB59" s="503"/>
      <c r="AC59" s="503"/>
      <c r="AD59" s="503"/>
      <c r="AE59" s="1015">
        <f>128*4+47+0.059</f>
        <v>559.05899999999997</v>
      </c>
      <c r="AF59" s="514"/>
      <c r="AG59" s="1008">
        <f>128*9+75+0.256+0.053</f>
        <v>1227.3090000000002</v>
      </c>
      <c r="AH59" s="1024">
        <f>128*9+87+0.219</f>
        <v>1239.2190000000001</v>
      </c>
      <c r="AI59" s="1008">
        <f>128*9+87</f>
        <v>1239</v>
      </c>
      <c r="AJ59" s="514"/>
      <c r="AK59" s="1015">
        <f t="shared" si="18"/>
        <v>559</v>
      </c>
      <c r="AL59" s="1649">
        <f>128*9+75+0.208</f>
        <v>1227.2080000000001</v>
      </c>
      <c r="AM59" s="831"/>
      <c r="AN59" s="831"/>
      <c r="AO59" s="831"/>
      <c r="AP59" s="831"/>
      <c r="AQ59" s="831"/>
      <c r="AR59" s="831"/>
      <c r="AS59" s="2277">
        <v>490000</v>
      </c>
      <c r="AT59" s="2280">
        <v>490000</v>
      </c>
      <c r="AU59" s="3209">
        <f>490000+128*11+5+0.5</f>
        <v>491413.5</v>
      </c>
      <c r="AV59" s="2278">
        <v>490000</v>
      </c>
      <c r="AW59" s="2277">
        <v>490000</v>
      </c>
      <c r="AX59" s="831"/>
      <c r="AY59" s="831"/>
      <c r="AZ59" s="831"/>
      <c r="BA59" s="831"/>
      <c r="BB59" s="831"/>
      <c r="BC59" s="831">
        <v>4.0000000000000001E-3</v>
      </c>
      <c r="BD59" s="831"/>
      <c r="BE59" s="792">
        <f t="shared" si="17"/>
        <v>559</v>
      </c>
      <c r="BF59" s="514"/>
      <c r="BG59" s="503"/>
      <c r="BH59" s="514"/>
      <c r="BI59" s="503"/>
      <c r="BJ59" s="503"/>
      <c r="BK59" s="503"/>
      <c r="BL59" s="503"/>
      <c r="BM59" s="503"/>
      <c r="BN59" s="503"/>
      <c r="BO59" s="503"/>
      <c r="BP59" s="514"/>
      <c r="BQ59" s="503"/>
      <c r="BR59" s="503"/>
      <c r="BS59" s="503">
        <f>128*9+25</f>
        <v>1177</v>
      </c>
      <c r="BT59" s="503"/>
      <c r="BU59" s="503"/>
      <c r="BV59" s="503"/>
      <c r="BW59" s="503"/>
      <c r="BX59" s="503"/>
      <c r="BY59" s="3599">
        <f>128*9+25</f>
        <v>1177</v>
      </c>
      <c r="BZ59" s="503"/>
      <c r="CA59" s="503"/>
      <c r="CB59" s="503"/>
      <c r="CC59" s="503"/>
      <c r="CD59" s="503"/>
      <c r="CE59" s="503"/>
      <c r="CF59" s="514"/>
      <c r="CG59" s="3526"/>
      <c r="CH59" s="517">
        <v>430043</v>
      </c>
      <c r="CI59" s="2934"/>
      <c r="CJ59" s="3477"/>
      <c r="CK59" s="3489">
        <f>128*9+81+0.212</f>
        <v>1233.212</v>
      </c>
      <c r="CL59" s="3477"/>
      <c r="CM59" s="3489">
        <f>128*9+82+0.213</f>
        <v>1234.213</v>
      </c>
      <c r="CN59" s="3477"/>
      <c r="CO59" s="3489">
        <f>128*9+81+0.212</f>
        <v>1233.212</v>
      </c>
      <c r="CP59" s="3477"/>
      <c r="CQ59" s="3479"/>
      <c r="CR59" s="517">
        <v>430043</v>
      </c>
    </row>
    <row r="60" spans="1:96" ht="9" customHeight="1">
      <c r="A60" s="505">
        <v>200020</v>
      </c>
      <c r="B60" s="505">
        <v>200020</v>
      </c>
      <c r="C60" s="505">
        <v>200020</v>
      </c>
      <c r="D60" s="505">
        <v>200020</v>
      </c>
      <c r="E60" s="505">
        <v>200020</v>
      </c>
      <c r="F60" s="505">
        <v>200020</v>
      </c>
      <c r="G60" s="505">
        <v>200020</v>
      </c>
      <c r="H60" s="505">
        <v>200020</v>
      </c>
      <c r="I60" s="505">
        <v>200020</v>
      </c>
      <c r="J60" s="505">
        <v>200020</v>
      </c>
      <c r="K60" s="505">
        <v>200020</v>
      </c>
      <c r="L60" s="505">
        <v>200020</v>
      </c>
      <c r="M60" s="505">
        <v>200020</v>
      </c>
      <c r="N60" s="505">
        <v>200020</v>
      </c>
      <c r="O60" s="505">
        <v>200020</v>
      </c>
      <c r="P60" s="505">
        <v>200020</v>
      </c>
      <c r="Q60" s="505">
        <v>200020</v>
      </c>
      <c r="R60" s="505">
        <v>200020</v>
      </c>
      <c r="S60" s="3356">
        <f>200000+128*5+38</f>
        <v>200678</v>
      </c>
      <c r="T60" s="505">
        <v>200020</v>
      </c>
      <c r="U60" s="505">
        <v>200020</v>
      </c>
      <c r="V60" s="505">
        <v>200020</v>
      </c>
      <c r="W60" s="771">
        <v>200020</v>
      </c>
      <c r="X60" s="771">
        <v>200020</v>
      </c>
      <c r="Y60" s="771">
        <v>200020</v>
      </c>
      <c r="Z60" s="771">
        <v>200020</v>
      </c>
      <c r="AA60" s="503"/>
      <c r="AB60" s="503"/>
      <c r="AC60" s="503"/>
      <c r="AD60" s="503"/>
      <c r="AE60" s="1015">
        <f>128*4+47</f>
        <v>559</v>
      </c>
      <c r="AF60" s="514"/>
      <c r="AG60" s="511"/>
      <c r="AH60" s="843">
        <f>128*9+87</f>
        <v>1239</v>
      </c>
      <c r="AI60" s="1007">
        <f>128*9+87</f>
        <v>1239</v>
      </c>
      <c r="AJ60" s="514"/>
      <c r="AK60" s="1015">
        <f t="shared" si="18"/>
        <v>559</v>
      </c>
      <c r="AL60" s="3237">
        <f>128*9+57+0.156</f>
        <v>1209.1559999999999</v>
      </c>
      <c r="AM60" s="831"/>
      <c r="AN60" s="812"/>
      <c r="AO60" s="831">
        <v>4.0000000000000001E-3</v>
      </c>
      <c r="AP60" s="831"/>
      <c r="AQ60" s="831"/>
      <c r="AR60" s="3208">
        <f>128*9+14</f>
        <v>1166</v>
      </c>
      <c r="AS60" s="2277">
        <v>490000</v>
      </c>
      <c r="AT60" s="2278">
        <v>340000</v>
      </c>
      <c r="AU60" s="2278">
        <v>490000</v>
      </c>
      <c r="AV60" s="2278">
        <v>340000</v>
      </c>
      <c r="AW60" s="2277">
        <v>490000</v>
      </c>
      <c r="AX60" s="1012">
        <f>128*9+14</f>
        <v>1166</v>
      </c>
      <c r="AY60" s="831"/>
      <c r="AZ60" s="831"/>
      <c r="BA60" s="831"/>
      <c r="BB60" s="812"/>
      <c r="BC60" s="831"/>
      <c r="BD60" s="831"/>
      <c r="BE60" s="792">
        <f t="shared" si="17"/>
        <v>559</v>
      </c>
      <c r="BF60" s="514"/>
      <c r="BG60" s="503"/>
      <c r="BH60" s="514"/>
      <c r="BI60" s="503"/>
      <c r="BJ60" s="503"/>
      <c r="BK60" s="503"/>
      <c r="BL60" s="503"/>
      <c r="BM60" s="503"/>
      <c r="BN60" s="503"/>
      <c r="BO60" s="503"/>
      <c r="BP60" s="514"/>
      <c r="BQ60" s="503"/>
      <c r="BR60" s="503"/>
      <c r="BS60" s="503"/>
      <c r="BT60" s="503"/>
      <c r="BU60" s="503"/>
      <c r="BV60" s="503"/>
      <c r="BW60" s="503"/>
      <c r="BX60" s="503"/>
      <c r="BY60" s="503"/>
      <c r="BZ60" s="503"/>
      <c r="CA60" s="503"/>
      <c r="CB60" s="503"/>
      <c r="CC60" s="503"/>
      <c r="CD60" s="518">
        <f>128*9+25</f>
        <v>1177</v>
      </c>
      <c r="CE60" s="503"/>
      <c r="CF60" s="514"/>
      <c r="CG60" s="3526"/>
      <c r="CH60" s="517">
        <v>430043</v>
      </c>
      <c r="CI60" s="2934"/>
      <c r="CJ60" s="3478">
        <f>128*9+81+0.212</f>
        <v>1233.212</v>
      </c>
      <c r="CK60" s="3478">
        <f>128*9+82+0.213</f>
        <v>1234.213</v>
      </c>
      <c r="CL60" s="3477"/>
      <c r="CM60" s="3477">
        <f>128*10+8</f>
        <v>1288</v>
      </c>
      <c r="CN60" s="3477"/>
      <c r="CO60" s="3478">
        <f>128*9+82+0.213</f>
        <v>1234.213</v>
      </c>
      <c r="CP60" s="3478">
        <f>128*9+81+0.212</f>
        <v>1233.212</v>
      </c>
      <c r="CQ60" s="3479"/>
      <c r="CR60" s="517">
        <v>430043</v>
      </c>
    </row>
    <row r="61" spans="1:96" ht="9" customHeight="1">
      <c r="A61" s="525">
        <v>200020</v>
      </c>
      <c r="B61" s="831"/>
      <c r="C61" s="523">
        <v>34</v>
      </c>
      <c r="D61" s="523">
        <v>34</v>
      </c>
      <c r="E61" s="2230">
        <v>34</v>
      </c>
      <c r="F61" s="831"/>
      <c r="G61" s="831"/>
      <c r="H61" s="951">
        <v>25</v>
      </c>
      <c r="I61" s="950">
        <v>340025</v>
      </c>
      <c r="J61" s="950">
        <v>340025</v>
      </c>
      <c r="K61" s="950">
        <v>340025</v>
      </c>
      <c r="L61" s="950">
        <v>340025</v>
      </c>
      <c r="M61" s="950">
        <v>340025</v>
      </c>
      <c r="N61" s="951">
        <v>25</v>
      </c>
      <c r="O61" s="831"/>
      <c r="P61" s="831"/>
      <c r="Q61" s="831"/>
      <c r="R61" s="831"/>
      <c r="S61" s="2230">
        <f>250000+43+0.2196</f>
        <v>250043.21960000001</v>
      </c>
      <c r="T61" s="831"/>
      <c r="U61" s="3223"/>
      <c r="V61" s="505">
        <v>200020</v>
      </c>
      <c r="W61" s="3569">
        <f>128*17+4</f>
        <v>2180</v>
      </c>
      <c r="X61" s="503"/>
      <c r="Y61" s="503"/>
      <c r="Z61" s="503"/>
      <c r="AA61" s="533">
        <f>128*9+25+0.11</f>
        <v>1177.1099999999999</v>
      </c>
      <c r="AB61" s="503"/>
      <c r="AC61" s="503"/>
      <c r="AD61" s="503"/>
      <c r="AE61" s="1015">
        <f>128*4+47</f>
        <v>559</v>
      </c>
      <c r="AF61" s="514"/>
      <c r="AG61" s="511"/>
      <c r="AH61" s="511"/>
      <c r="AI61" s="511"/>
      <c r="AJ61" s="514"/>
      <c r="AK61" s="1015">
        <f t="shared" si="18"/>
        <v>559</v>
      </c>
      <c r="AL61" s="831"/>
      <c r="AM61" s="831"/>
      <c r="AN61" s="812"/>
      <c r="AO61" s="831"/>
      <c r="AP61" s="831"/>
      <c r="AQ61" s="831"/>
      <c r="AR61" s="2277">
        <v>490000</v>
      </c>
      <c r="AS61" s="2288">
        <f>490000+128*10+45</f>
        <v>491325</v>
      </c>
      <c r="AT61" s="2278">
        <v>490000</v>
      </c>
      <c r="AU61" s="2278">
        <v>490000</v>
      </c>
      <c r="AV61" s="2280">
        <v>490000</v>
      </c>
      <c r="AW61" s="2287">
        <f>490000+128*10+45</f>
        <v>491325</v>
      </c>
      <c r="AX61" s="2277">
        <v>490000</v>
      </c>
      <c r="AY61" s="831"/>
      <c r="AZ61" s="831"/>
      <c r="BA61" s="831"/>
      <c r="BB61" s="812"/>
      <c r="BC61" s="831"/>
      <c r="BD61" s="831"/>
      <c r="BE61" s="792">
        <f t="shared" si="17"/>
        <v>559</v>
      </c>
      <c r="BF61" s="514"/>
      <c r="BG61" s="503"/>
      <c r="BH61" s="514"/>
      <c r="BI61" s="503"/>
      <c r="BJ61" s="503"/>
      <c r="BK61" s="503"/>
      <c r="BL61" s="503"/>
      <c r="BM61" s="503"/>
      <c r="BN61" s="503"/>
      <c r="BO61" s="3601">
        <f>128*9+25</f>
        <v>1177</v>
      </c>
      <c r="BP61" s="514"/>
      <c r="BQ61" s="503"/>
      <c r="BR61" s="503"/>
      <c r="BS61" s="503"/>
      <c r="BT61" s="510"/>
      <c r="BU61" s="510"/>
      <c r="BV61" s="510"/>
      <c r="BW61" s="510"/>
      <c r="BX61" s="510"/>
      <c r="BY61" s="510"/>
      <c r="BZ61" s="510"/>
      <c r="CA61" s="510"/>
      <c r="CB61" s="510"/>
      <c r="CC61" s="503"/>
      <c r="CD61" s="503"/>
      <c r="CE61" s="503"/>
      <c r="CF61" s="514"/>
      <c r="CG61" s="3526"/>
      <c r="CH61" s="517">
        <v>430043</v>
      </c>
      <c r="CI61" s="2934"/>
      <c r="CJ61" s="3477"/>
      <c r="CK61" s="3478">
        <f>128*9+81+0.212</f>
        <v>1233.212</v>
      </c>
      <c r="CL61" s="3477"/>
      <c r="CM61" s="3478">
        <f>128*9+82+0.213</f>
        <v>1234.213</v>
      </c>
      <c r="CN61" s="3477"/>
      <c r="CO61" s="3478">
        <f>128*9+81+0.212</f>
        <v>1233.212</v>
      </c>
      <c r="CP61" s="3477"/>
      <c r="CQ61" s="3479"/>
      <c r="CR61" s="517">
        <v>430043</v>
      </c>
    </row>
    <row r="62" spans="1:96" ht="9" customHeight="1">
      <c r="A62" s="525">
        <v>200020</v>
      </c>
      <c r="B62" s="498">
        <v>34</v>
      </c>
      <c r="C62" s="1078">
        <f>128*9+74+0.216</f>
        <v>1226.2159999999999</v>
      </c>
      <c r="D62" s="1184">
        <f>0.256+0.046</f>
        <v>0.30199999999999999</v>
      </c>
      <c r="E62" s="1078">
        <f>128*9+74+0.216</f>
        <v>1226.2159999999999</v>
      </c>
      <c r="F62" s="2230">
        <v>34</v>
      </c>
      <c r="G62" s="831"/>
      <c r="H62" s="951">
        <v>270025</v>
      </c>
      <c r="I62" s="504">
        <v>25</v>
      </c>
      <c r="J62" s="1752">
        <f>128*9+82+0.213</f>
        <v>1234.213</v>
      </c>
      <c r="K62" s="2219">
        <f>490049+0.22</f>
        <v>490049.22</v>
      </c>
      <c r="L62" s="1752">
        <f>128*9+82+0.213</f>
        <v>1234.213</v>
      </c>
      <c r="M62" s="752">
        <v>25</v>
      </c>
      <c r="N62" s="951">
        <v>270025</v>
      </c>
      <c r="O62" s="831"/>
      <c r="P62" s="831"/>
      <c r="Q62" s="831"/>
      <c r="R62" s="3214">
        <f>128*9+87+0.256+0.001</f>
        <v>1239.2570000000001</v>
      </c>
      <c r="S62" s="3214">
        <f>128*11+6</f>
        <v>1414</v>
      </c>
      <c r="T62" s="3212">
        <f>128*9+87</f>
        <v>1239</v>
      </c>
      <c r="U62" s="3223"/>
      <c r="V62" s="505">
        <v>200020</v>
      </c>
      <c r="W62" s="3473">
        <f>128*17+8</f>
        <v>2184</v>
      </c>
      <c r="X62" s="503"/>
      <c r="Y62" s="503"/>
      <c r="Z62" s="503"/>
      <c r="AA62" s="503"/>
      <c r="AB62" s="503"/>
      <c r="AC62" s="503"/>
      <c r="AD62" s="503"/>
      <c r="AE62" s="1015">
        <f>128*4+47</f>
        <v>559</v>
      </c>
      <c r="AF62" s="514"/>
      <c r="AG62" s="514"/>
      <c r="AH62" s="514"/>
      <c r="AI62" s="514"/>
      <c r="AJ62" s="514"/>
      <c r="AK62" s="1015">
        <f t="shared" si="18"/>
        <v>559</v>
      </c>
      <c r="AL62" s="831"/>
      <c r="AM62" s="831"/>
      <c r="AN62" s="831"/>
      <c r="AO62" s="831"/>
      <c r="AP62" s="831"/>
      <c r="AQ62" s="831"/>
      <c r="AR62" s="2277">
        <v>490000</v>
      </c>
      <c r="AS62" s="2279">
        <v>490000</v>
      </c>
      <c r="AT62" s="2278">
        <v>490000</v>
      </c>
      <c r="AU62" s="2278">
        <v>490000</v>
      </c>
      <c r="AV62" s="2278">
        <v>490000</v>
      </c>
      <c r="AW62" s="2278">
        <v>490000</v>
      </c>
      <c r="AX62" s="2277">
        <v>490000</v>
      </c>
      <c r="AY62" s="831"/>
      <c r="AZ62" s="3238">
        <f>128*9+57+0.184</f>
        <v>1209.184</v>
      </c>
      <c r="BA62" s="1651">
        <f>128*9+75+0.208</f>
        <v>1227.2080000000001</v>
      </c>
      <c r="BB62" s="831"/>
      <c r="BC62" s="831"/>
      <c r="BD62" s="831"/>
      <c r="BE62" s="792">
        <f t="shared" si="17"/>
        <v>559</v>
      </c>
      <c r="BF62" s="514"/>
      <c r="BG62" s="503"/>
      <c r="BH62" s="514"/>
      <c r="BI62" s="2706">
        <v>2E-3</v>
      </c>
      <c r="BJ62" s="503"/>
      <c r="BK62" s="503"/>
      <c r="BL62" s="503"/>
      <c r="BM62" s="503"/>
      <c r="BN62" s="503"/>
      <c r="BO62" s="503"/>
      <c r="BP62" s="514"/>
      <c r="BQ62" s="503"/>
      <c r="BR62" s="503"/>
      <c r="BS62" s="1614"/>
      <c r="BT62" s="505">
        <v>200020</v>
      </c>
      <c r="BU62" s="505">
        <v>500020</v>
      </c>
      <c r="BV62" s="505">
        <v>200020</v>
      </c>
      <c r="BW62" s="505">
        <v>500020</v>
      </c>
      <c r="BX62" s="505">
        <v>200020</v>
      </c>
      <c r="BY62" s="505">
        <v>500020</v>
      </c>
      <c r="BZ62" s="505">
        <v>200020</v>
      </c>
      <c r="CA62" s="505">
        <v>500020</v>
      </c>
      <c r="CB62" s="505">
        <v>200020</v>
      </c>
      <c r="CC62" s="812"/>
      <c r="CD62" s="503"/>
      <c r="CE62" s="503"/>
      <c r="CF62" s="514"/>
      <c r="CG62" s="3526"/>
      <c r="CH62" s="517">
        <v>430043</v>
      </c>
      <c r="CI62" s="2934"/>
      <c r="CJ62" s="3478">
        <f>128*9+81+0.212</f>
        <v>1233.212</v>
      </c>
      <c r="CK62" s="3480">
        <v>430043</v>
      </c>
      <c r="CL62" s="3482">
        <f>128*9+81+0.212</f>
        <v>1233.212</v>
      </c>
      <c r="CM62" s="3478">
        <f>128*9+81+0.212</f>
        <v>1233.212</v>
      </c>
      <c r="CN62" s="3481">
        <f>128*9+81+0.212</f>
        <v>1233.212</v>
      </c>
      <c r="CO62" s="3480">
        <v>430043</v>
      </c>
      <c r="CP62" s="3482">
        <f>128*9+49</f>
        <v>1201</v>
      </c>
      <c r="CQ62" s="3519">
        <f>128*9+83</f>
        <v>1235</v>
      </c>
      <c r="CR62" s="517">
        <v>430043</v>
      </c>
    </row>
    <row r="63" spans="1:96" ht="9" customHeight="1" thickBot="1">
      <c r="A63" s="498">
        <v>27</v>
      </c>
      <c r="B63" s="1078">
        <f>128*9+74+0.216</f>
        <v>1226.2159999999999</v>
      </c>
      <c r="C63" s="3533">
        <f>128*9+76</f>
        <v>1228</v>
      </c>
      <c r="D63" s="3530">
        <f>128*11+32</f>
        <v>1440</v>
      </c>
      <c r="E63" s="3533">
        <f>128*9+76</f>
        <v>1228</v>
      </c>
      <c r="F63" s="3551">
        <f>128*9+74+0.216</f>
        <v>1226.2159999999999</v>
      </c>
      <c r="G63" s="498">
        <v>27</v>
      </c>
      <c r="H63" s="951">
        <v>270025</v>
      </c>
      <c r="I63" s="504">
        <v>25</v>
      </c>
      <c r="J63" s="1744"/>
      <c r="K63" s="3534">
        <f>128*11+32+0.5</f>
        <v>1440.5</v>
      </c>
      <c r="L63" s="1744"/>
      <c r="M63" s="752">
        <v>25</v>
      </c>
      <c r="N63" s="951">
        <v>270025</v>
      </c>
      <c r="O63" s="831"/>
      <c r="P63" s="831"/>
      <c r="Q63" s="505">
        <v>250043</v>
      </c>
      <c r="R63" s="3212">
        <f>11+0.22</f>
        <v>11.22</v>
      </c>
      <c r="S63" s="831">
        <f>128*11+7+0.5+0.0593</f>
        <v>1415.5592999999999</v>
      </c>
      <c r="T63" s="524"/>
      <c r="U63" s="2063">
        <f>250000+43+0.038</f>
        <v>250043.038</v>
      </c>
      <c r="V63" s="505">
        <v>200020</v>
      </c>
      <c r="W63" s="503"/>
      <c r="X63" s="503"/>
      <c r="Y63" s="503"/>
      <c r="Z63" s="503"/>
      <c r="AA63" s="503"/>
      <c r="AB63" s="503"/>
      <c r="AC63" s="503"/>
      <c r="AD63" s="503"/>
      <c r="AE63" s="514">
        <v>20</v>
      </c>
      <c r="AF63" s="1043">
        <f>128*4+47</f>
        <v>559</v>
      </c>
      <c r="AG63" s="1043">
        <f>128*4+47</f>
        <v>559</v>
      </c>
      <c r="AH63" s="1043">
        <f>128*4+47</f>
        <v>559</v>
      </c>
      <c r="AI63" s="1043">
        <f>128*4+47</f>
        <v>559</v>
      </c>
      <c r="AJ63" s="514">
        <v>20</v>
      </c>
      <c r="AK63" s="514"/>
      <c r="AL63" s="831"/>
      <c r="AM63" s="831"/>
      <c r="AN63" s="812"/>
      <c r="AO63" s="831"/>
      <c r="AP63" s="831"/>
      <c r="AQ63" s="831"/>
      <c r="AR63" s="2277">
        <v>490000</v>
      </c>
      <c r="AS63" s="2279">
        <v>490000</v>
      </c>
      <c r="AT63" s="2278">
        <v>490000</v>
      </c>
      <c r="AU63" s="2278">
        <v>490000</v>
      </c>
      <c r="AV63" s="2278">
        <v>490000</v>
      </c>
      <c r="AW63" s="2278">
        <v>490000</v>
      </c>
      <c r="AX63" s="2277">
        <v>490000</v>
      </c>
      <c r="AY63" s="831"/>
      <c r="AZ63" s="831"/>
      <c r="BA63" s="831"/>
      <c r="BB63" s="812"/>
      <c r="BC63" s="831"/>
      <c r="BD63" s="831"/>
      <c r="BE63" s="1027">
        <f>200020+0.208</f>
        <v>200020.20800000001</v>
      </c>
      <c r="BF63" s="514">
        <v>0.2117</v>
      </c>
      <c r="BG63" s="503"/>
      <c r="BH63" s="514"/>
      <c r="BI63" s="503"/>
      <c r="BJ63" s="503"/>
      <c r="BK63" s="503"/>
      <c r="BL63" s="503"/>
      <c r="BM63" s="503"/>
      <c r="BN63" s="503"/>
      <c r="BO63" s="503"/>
      <c r="BP63" s="514"/>
      <c r="BQ63" s="503"/>
      <c r="BR63" s="510"/>
      <c r="BS63" s="505">
        <v>200020</v>
      </c>
      <c r="BT63" s="505">
        <v>200020</v>
      </c>
      <c r="BU63" s="500">
        <v>3.0499999999999999E-2</v>
      </c>
      <c r="BV63" s="500"/>
      <c r="BW63" s="541">
        <f>128*9+37+0.149</f>
        <v>1189.1489999999999</v>
      </c>
      <c r="BX63" s="504">
        <v>200020</v>
      </c>
      <c r="BY63" s="3150">
        <f>128*9+48+0.122</f>
        <v>1200.1220000000001</v>
      </c>
      <c r="BZ63" s="3150">
        <f>128*9+26+0.173</f>
        <v>1178.173</v>
      </c>
      <c r="CA63" s="3151">
        <f>128*9+4</f>
        <v>1156</v>
      </c>
      <c r="CB63" s="505">
        <v>200020</v>
      </c>
      <c r="CC63" s="505">
        <v>200020</v>
      </c>
      <c r="CD63" s="510"/>
      <c r="CE63" s="503">
        <f>128*9+25</f>
        <v>1177</v>
      </c>
      <c r="CF63" s="514"/>
      <c r="CG63" s="3600">
        <f>128*9+25</f>
        <v>1177</v>
      </c>
      <c r="CH63" s="517">
        <v>430043</v>
      </c>
      <c r="CI63" s="2934"/>
      <c r="CJ63" s="3478">
        <f>128*9+81+0.212</f>
        <v>1233.212</v>
      </c>
      <c r="CK63" s="3478">
        <f>128*9+82+0.213</f>
        <v>1234.213</v>
      </c>
      <c r="CL63" s="3478">
        <f>128*9+81+0.212</f>
        <v>1233.212</v>
      </c>
      <c r="CM63" s="3477"/>
      <c r="CN63" s="3478">
        <f>128*9+81+0.212</f>
        <v>1233.212</v>
      </c>
      <c r="CO63" s="3478">
        <f>128*9+82+0.213</f>
        <v>1234.213</v>
      </c>
      <c r="CP63" s="3478">
        <f>128*9+81+0.212</f>
        <v>1233.212</v>
      </c>
      <c r="CQ63" s="3479"/>
      <c r="CR63" s="517">
        <v>430043</v>
      </c>
    </row>
    <row r="64" spans="1:96" ht="9" customHeight="1" thickTop="1" thickBot="1">
      <c r="A64" s="498">
        <v>27</v>
      </c>
      <c r="B64" s="707"/>
      <c r="C64" s="3531">
        <f>128*9+88</f>
        <v>1240</v>
      </c>
      <c r="D64" s="3532"/>
      <c r="E64" s="3531">
        <f>128*9+88</f>
        <v>1240</v>
      </c>
      <c r="F64" s="996"/>
      <c r="G64" s="498">
        <v>27</v>
      </c>
      <c r="H64" s="951">
        <v>270025</v>
      </c>
      <c r="I64" s="3174">
        <f>128*9+87</f>
        <v>1239</v>
      </c>
      <c r="J64" s="1744"/>
      <c r="K64" s="1744">
        <v>490000</v>
      </c>
      <c r="L64" s="1744"/>
      <c r="M64" s="3193">
        <f>128*9+87</f>
        <v>1239</v>
      </c>
      <c r="N64" s="951">
        <v>270025</v>
      </c>
      <c r="O64" s="831"/>
      <c r="P64" s="831"/>
      <c r="Q64" s="831"/>
      <c r="R64" s="3211">
        <f>128*9+87+0.384+0.0093</f>
        <v>1239.3933</v>
      </c>
      <c r="S64" s="3214">
        <f>0.384+0.0097</f>
        <v>0.39369999999999999</v>
      </c>
      <c r="T64" s="3222">
        <f>128*9+87+0.256+0.0088</f>
        <v>1239.2648000000002</v>
      </c>
      <c r="U64" s="3223"/>
      <c r="V64" s="505">
        <v>200020</v>
      </c>
      <c r="W64" s="503"/>
      <c r="X64" s="503"/>
      <c r="Y64" s="503"/>
      <c r="Z64" s="503"/>
      <c r="AA64" s="503"/>
      <c r="AB64" s="503"/>
      <c r="AC64" s="503"/>
      <c r="AD64" s="503"/>
      <c r="AE64" s="503"/>
      <c r="AF64" s="503"/>
      <c r="AG64" s="503"/>
      <c r="AH64" s="503"/>
      <c r="AI64" s="503"/>
      <c r="AJ64" s="514"/>
      <c r="AK64" s="1015">
        <f t="shared" ref="AK64:AK76" si="19">128*4+47</f>
        <v>559</v>
      </c>
      <c r="AL64" s="831"/>
      <c r="AM64" s="831"/>
      <c r="AN64" s="812"/>
      <c r="AO64" s="1648">
        <f>128*9+75+0.208</f>
        <v>1227.2080000000001</v>
      </c>
      <c r="AP64" s="3238">
        <f>128*9+57+0.11</f>
        <v>1209.1099999999999</v>
      </c>
      <c r="AQ64" s="831"/>
      <c r="AR64" s="2277">
        <v>490000</v>
      </c>
      <c r="AS64" s="2279">
        <v>490000</v>
      </c>
      <c r="AT64" s="2278">
        <v>490000</v>
      </c>
      <c r="AU64" s="2278">
        <v>490000</v>
      </c>
      <c r="AV64" s="2278">
        <v>490000</v>
      </c>
      <c r="AW64" s="2278">
        <v>490000</v>
      </c>
      <c r="AX64" s="2277">
        <v>490000</v>
      </c>
      <c r="AY64" s="831"/>
      <c r="AZ64" s="831"/>
      <c r="BA64" s="831"/>
      <c r="BB64" s="812"/>
      <c r="BC64" s="3574">
        <f>128*17+8</f>
        <v>2184</v>
      </c>
      <c r="BD64" s="831">
        <f>128*14+9</f>
        <v>1801</v>
      </c>
      <c r="BE64" s="3236">
        <f>200000+128*9+72+0.207</f>
        <v>201224.20699999999</v>
      </c>
      <c r="BF64" s="514"/>
      <c r="BG64" s="3575">
        <f>128*17+4</f>
        <v>2180</v>
      </c>
      <c r="BH64" s="514"/>
      <c r="BI64" s="503"/>
      <c r="BJ64" s="503"/>
      <c r="BK64" s="503"/>
      <c r="BL64" s="503"/>
      <c r="BM64" s="503"/>
      <c r="BN64" s="503"/>
      <c r="BO64" s="503"/>
      <c r="BP64" s="514"/>
      <c r="BQ64" s="503"/>
      <c r="BR64" s="510"/>
      <c r="BS64" s="505">
        <v>500020</v>
      </c>
      <c r="BT64" s="703">
        <f>128*9+83</f>
        <v>1235</v>
      </c>
      <c r="BU64" s="500">
        <v>0.11509999999999999</v>
      </c>
      <c r="BV64" s="2935"/>
      <c r="BW64" s="500"/>
      <c r="BX64" s="1744">
        <f>128*5+41</f>
        <v>681</v>
      </c>
      <c r="BY64" s="3152"/>
      <c r="BZ64" s="3152">
        <f>0.5+0.256+0.035</f>
        <v>0.79100000000000004</v>
      </c>
      <c r="CA64" s="3152"/>
      <c r="CB64" s="3152">
        <v>4.0000000000000001E-3</v>
      </c>
      <c r="CC64" s="505">
        <v>500050</v>
      </c>
      <c r="CD64" s="510"/>
      <c r="CE64" s="503"/>
      <c r="CF64" s="514"/>
      <c r="CG64" s="3526"/>
      <c r="CH64" s="517">
        <v>430043</v>
      </c>
      <c r="CI64" s="2934"/>
      <c r="CJ64" s="3477"/>
      <c r="CK64" s="3478">
        <f>128*9+81+0.212</f>
        <v>1233.212</v>
      </c>
      <c r="CL64" s="3477"/>
      <c r="CM64" s="3480">
        <v>430043</v>
      </c>
      <c r="CN64" s="3477"/>
      <c r="CO64" s="3478">
        <f>128*9+81+0.212</f>
        <v>1233.212</v>
      </c>
      <c r="CP64" s="3477"/>
      <c r="CQ64" s="3479"/>
      <c r="CR64" s="517">
        <v>430043</v>
      </c>
    </row>
    <row r="65" spans="1:96" ht="9" customHeight="1" thickBot="1">
      <c r="A65" s="525">
        <v>200020</v>
      </c>
      <c r="B65" s="498">
        <v>27</v>
      </c>
      <c r="C65" s="755">
        <f>128*9+88+0.384+0.008</f>
        <v>1240.3920000000001</v>
      </c>
      <c r="D65" s="707"/>
      <c r="E65" s="811">
        <f>128*9+88+0.384+0.008</f>
        <v>1240.3920000000001</v>
      </c>
      <c r="F65" s="505">
        <v>27</v>
      </c>
      <c r="G65" s="498">
        <v>27</v>
      </c>
      <c r="H65" s="951">
        <v>270025</v>
      </c>
      <c r="I65" s="1744"/>
      <c r="J65" s="1744"/>
      <c r="K65" s="3536">
        <f>128*11+5</f>
        <v>1413</v>
      </c>
      <c r="L65" s="1744"/>
      <c r="M65" s="3535"/>
      <c r="N65" s="951">
        <v>270025</v>
      </c>
      <c r="O65" s="831"/>
      <c r="P65" s="831"/>
      <c r="Q65" s="831"/>
      <c r="R65" s="2230">
        <v>250043</v>
      </c>
      <c r="S65" s="2230">
        <f>250043+0.216</f>
        <v>250043.21599999999</v>
      </c>
      <c r="T65" s="2230">
        <v>250043</v>
      </c>
      <c r="U65" s="3223"/>
      <c r="V65" s="505">
        <v>200020</v>
      </c>
      <c r="W65" s="503"/>
      <c r="X65" s="766">
        <v>200020</v>
      </c>
      <c r="Y65" s="521">
        <v>420000</v>
      </c>
      <c r="Z65" s="705">
        <v>420000</v>
      </c>
      <c r="AA65" s="521">
        <v>420000</v>
      </c>
      <c r="AB65" s="705">
        <v>420000</v>
      </c>
      <c r="AC65" s="521">
        <v>420000</v>
      </c>
      <c r="AD65" s="705">
        <v>420000</v>
      </c>
      <c r="AE65" s="521">
        <v>420000</v>
      </c>
      <c r="AF65" s="705">
        <v>420000</v>
      </c>
      <c r="AG65" s="3626">
        <v>420000</v>
      </c>
      <c r="AH65" s="766">
        <v>200020</v>
      </c>
      <c r="AI65" s="503"/>
      <c r="AJ65" s="514"/>
      <c r="AK65" s="1015">
        <f t="shared" si="19"/>
        <v>559</v>
      </c>
      <c r="AL65" s="831"/>
      <c r="AM65" s="831"/>
      <c r="AN65" s="831"/>
      <c r="AO65" s="831"/>
      <c r="AP65" s="831"/>
      <c r="AQ65" s="831"/>
      <c r="AR65" s="2277">
        <v>490000</v>
      </c>
      <c r="AS65" s="2279">
        <v>490000</v>
      </c>
      <c r="AT65" s="2278">
        <v>490000</v>
      </c>
      <c r="AU65" s="2278">
        <v>490000</v>
      </c>
      <c r="AV65" s="2278">
        <v>490000</v>
      </c>
      <c r="AW65" s="2278">
        <v>490000</v>
      </c>
      <c r="AX65" s="2277">
        <v>490000</v>
      </c>
      <c r="AY65" s="831"/>
      <c r="AZ65" s="831"/>
      <c r="BA65" s="831"/>
      <c r="BB65" s="831"/>
      <c r="BC65" s="3574">
        <f>128*17+3</f>
        <v>2179</v>
      </c>
      <c r="BD65" s="831">
        <f>128*14+9</f>
        <v>1801</v>
      </c>
      <c r="BE65" s="3236">
        <f>200000+128*9+72+0.207</f>
        <v>201224.20699999999</v>
      </c>
      <c r="BF65" s="514"/>
      <c r="BG65" s="511"/>
      <c r="BH65" s="514"/>
      <c r="BI65" s="503"/>
      <c r="BJ65" s="503"/>
      <c r="BK65" s="503"/>
      <c r="BL65" s="503"/>
      <c r="BM65" s="503"/>
      <c r="BN65" s="503"/>
      <c r="BO65" s="503"/>
      <c r="BP65" s="514"/>
      <c r="BQ65" s="503"/>
      <c r="BR65" s="510">
        <f>128*6+5</f>
        <v>773</v>
      </c>
      <c r="BS65" s="3146">
        <f>200000+128*5+34</f>
        <v>200674</v>
      </c>
      <c r="BT65" s="500"/>
      <c r="BU65" s="500"/>
      <c r="BV65" s="500"/>
      <c r="BW65" s="500"/>
      <c r="BX65" s="3153">
        <f>200020+0.209</f>
        <v>200020.209</v>
      </c>
      <c r="BY65" s="3152"/>
      <c r="BZ65" s="3152"/>
      <c r="CA65" s="3152"/>
      <c r="CB65" s="3154">
        <f>128*9+48+0.122</f>
        <v>1200.1220000000001</v>
      </c>
      <c r="CC65" s="505">
        <v>200020</v>
      </c>
      <c r="CD65" s="510"/>
      <c r="CE65" s="503"/>
      <c r="CF65" s="514"/>
      <c r="CG65" s="3526"/>
      <c r="CH65" s="517">
        <v>430043</v>
      </c>
      <c r="CI65" s="2934"/>
      <c r="CJ65" s="3478">
        <f>128*9+81+0.212</f>
        <v>1233.212</v>
      </c>
      <c r="CK65" s="3478">
        <f>128*9+82+0.213</f>
        <v>1234.213</v>
      </c>
      <c r="CL65" s="3477"/>
      <c r="CM65" s="3477"/>
      <c r="CN65" s="3477"/>
      <c r="CO65" s="3478">
        <f>128*9+82+0.213</f>
        <v>1234.213</v>
      </c>
      <c r="CP65" s="3477"/>
      <c r="CQ65" s="3479"/>
      <c r="CR65" s="517">
        <v>430043</v>
      </c>
    </row>
    <row r="66" spans="1:96" ht="9" customHeight="1" thickTop="1">
      <c r="A66" s="525">
        <v>200020</v>
      </c>
      <c r="B66" s="498">
        <v>27</v>
      </c>
      <c r="C66" s="755">
        <f>128*9+13</f>
        <v>1165</v>
      </c>
      <c r="D66" s="707"/>
      <c r="E66" s="811">
        <f>128*9+13</f>
        <v>1165</v>
      </c>
      <c r="F66" s="505">
        <v>27</v>
      </c>
      <c r="G66" s="498">
        <v>25</v>
      </c>
      <c r="H66" s="951">
        <v>270025</v>
      </c>
      <c r="I66" s="3539">
        <f>128*5+40</f>
        <v>680</v>
      </c>
      <c r="J66" s="951">
        <v>25</v>
      </c>
      <c r="K66" s="3578">
        <f>25+0.1512</f>
        <v>25.151199999999999</v>
      </c>
      <c r="L66" s="951">
        <v>25</v>
      </c>
      <c r="M66" s="3539">
        <f>128*5+40</f>
        <v>680</v>
      </c>
      <c r="N66" s="951">
        <v>270025</v>
      </c>
      <c r="O66" s="498">
        <v>25</v>
      </c>
      <c r="P66" s="831"/>
      <c r="Q66" s="831"/>
      <c r="R66" s="831"/>
      <c r="S66" s="2230">
        <f>25+0.06</f>
        <v>25.06</v>
      </c>
      <c r="T66" s="831"/>
      <c r="U66" s="3223"/>
      <c r="V66" s="505">
        <v>200020</v>
      </c>
      <c r="W66" s="503"/>
      <c r="X66" s="521">
        <v>420000</v>
      </c>
      <c r="Y66" s="3623"/>
      <c r="Z66" s="3623"/>
      <c r="AA66" s="3623"/>
      <c r="AB66" s="3623"/>
      <c r="AC66" s="3623"/>
      <c r="AD66" s="3623"/>
      <c r="AE66" s="3623"/>
      <c r="AF66" s="3623"/>
      <c r="AG66" s="3624"/>
      <c r="AH66" s="521">
        <v>420000</v>
      </c>
      <c r="AI66" s="503"/>
      <c r="AJ66" s="514"/>
      <c r="AK66" s="1015">
        <f t="shared" si="19"/>
        <v>559</v>
      </c>
      <c r="AL66" s="831"/>
      <c r="AM66" s="831"/>
      <c r="AN66" s="812"/>
      <c r="AO66" s="831"/>
      <c r="AP66" s="831"/>
      <c r="AQ66" s="3208">
        <f>128*9+14</f>
        <v>1166</v>
      </c>
      <c r="AR66" s="2277">
        <v>490000</v>
      </c>
      <c r="AS66" s="2279">
        <v>490000</v>
      </c>
      <c r="AT66" s="2278">
        <f>490000+0.211</f>
        <v>490000.21100000001</v>
      </c>
      <c r="AU66" s="2278">
        <f>490000+0.0605</f>
        <v>490000.06050000002</v>
      </c>
      <c r="AV66" s="2278">
        <f>490000+0.211</f>
        <v>490000.21100000001</v>
      </c>
      <c r="AW66" s="2278">
        <v>490000</v>
      </c>
      <c r="AX66" s="2277">
        <v>490000</v>
      </c>
      <c r="AY66" s="1012">
        <f>128*9+14</f>
        <v>1166</v>
      </c>
      <c r="AZ66" s="831"/>
      <c r="BA66" s="831"/>
      <c r="BB66" s="812"/>
      <c r="BC66" s="3574">
        <f>128*17+5</f>
        <v>2181</v>
      </c>
      <c r="BD66" s="831">
        <f>128*14+9</f>
        <v>1801</v>
      </c>
      <c r="BE66" s="3236">
        <f>200000+128*9+72+0.207</f>
        <v>201224.20699999999</v>
      </c>
      <c r="BF66" s="514"/>
      <c r="BG66" s="511"/>
      <c r="BH66" s="514"/>
      <c r="BI66" s="2706">
        <v>2E-3</v>
      </c>
      <c r="BJ66" s="503"/>
      <c r="BK66" s="503"/>
      <c r="BL66" s="503"/>
      <c r="BM66" s="503"/>
      <c r="BN66" s="503"/>
      <c r="BO66" s="503"/>
      <c r="BP66" s="514"/>
      <c r="BQ66" s="3575">
        <f>128*17+4</f>
        <v>2180</v>
      </c>
      <c r="BR66" s="510"/>
      <c r="BS66" s="505">
        <v>500033</v>
      </c>
      <c r="BT66" s="500"/>
      <c r="BU66" s="2935"/>
      <c r="BV66" s="2935">
        <v>0.1153</v>
      </c>
      <c r="BW66" s="707">
        <v>49</v>
      </c>
      <c r="BX66" s="707">
        <v>49</v>
      </c>
      <c r="BY66" s="3172">
        <f>20+0.018</f>
        <v>20.018000000000001</v>
      </c>
      <c r="BZ66" s="3152">
        <v>0.115</v>
      </c>
      <c r="CA66" s="3152"/>
      <c r="CB66" s="3155">
        <f>128*9+83</f>
        <v>1235</v>
      </c>
      <c r="CC66" s="505">
        <v>500050</v>
      </c>
      <c r="CD66" s="510"/>
      <c r="CE66" s="503"/>
      <c r="CF66" s="514"/>
      <c r="CG66" s="3526"/>
      <c r="CH66" s="517">
        <v>430043</v>
      </c>
      <c r="CI66" s="2934"/>
      <c r="CJ66" s="3481">
        <f>128*9+81+0.212</f>
        <v>1233.212</v>
      </c>
      <c r="CK66" s="3480">
        <v>430043</v>
      </c>
      <c r="CL66" s="3482">
        <f t="shared" ref="CK66:CP69" si="20">128*9+81+0.212</f>
        <v>1233.212</v>
      </c>
      <c r="CM66" s="3478">
        <f>128*8+10</f>
        <v>1034</v>
      </c>
      <c r="CN66" s="3481">
        <f>128*9+81+0.212</f>
        <v>1233.212</v>
      </c>
      <c r="CO66" s="3480">
        <v>430043</v>
      </c>
      <c r="CP66" s="3482">
        <f t="shared" si="20"/>
        <v>1233.212</v>
      </c>
      <c r="CQ66" s="3479"/>
      <c r="CR66" s="517">
        <v>430043</v>
      </c>
    </row>
    <row r="67" spans="1:96" ht="9" customHeight="1" thickBot="1">
      <c r="A67" s="525">
        <v>200020</v>
      </c>
      <c r="B67" s="498">
        <v>27</v>
      </c>
      <c r="C67" s="707"/>
      <c r="D67" s="707"/>
      <c r="E67" s="707"/>
      <c r="F67" s="505">
        <v>27</v>
      </c>
      <c r="G67" s="1613">
        <v>14</v>
      </c>
      <c r="H67" s="1201">
        <f>128*9+87</f>
        <v>1239</v>
      </c>
      <c r="I67" s="3210"/>
      <c r="J67" s="3210"/>
      <c r="K67" s="3210"/>
      <c r="L67" s="3210"/>
      <c r="M67" s="3210"/>
      <c r="N67" s="3538">
        <f>128*9+87</f>
        <v>1239</v>
      </c>
      <c r="O67" s="2249">
        <v>15</v>
      </c>
      <c r="P67" s="831"/>
      <c r="Q67" s="831"/>
      <c r="R67" s="3225">
        <f>110000+128*9+87</f>
        <v>111239</v>
      </c>
      <c r="S67" s="3234">
        <f>110000+0.384+0.0091</f>
        <v>110000.3931</v>
      </c>
      <c r="T67" s="3226">
        <f>110000+128*9+87+0.256+0.0155</f>
        <v>111239.27149999999</v>
      </c>
      <c r="U67" s="3224"/>
      <c r="V67" s="505">
        <v>200020</v>
      </c>
      <c r="W67" s="503"/>
      <c r="X67" s="705">
        <v>420000</v>
      </c>
      <c r="Y67" s="3625"/>
      <c r="Z67" s="3622">
        <v>200020</v>
      </c>
      <c r="AA67" s="510">
        <v>200000</v>
      </c>
      <c r="AB67" s="757">
        <v>200000</v>
      </c>
      <c r="AC67" s="510">
        <v>200000</v>
      </c>
      <c r="AD67" s="757">
        <v>200000</v>
      </c>
      <c r="AE67" s="510">
        <v>200000</v>
      </c>
      <c r="AF67" s="3622">
        <v>200020</v>
      </c>
      <c r="AG67" s="3624"/>
      <c r="AH67" s="705">
        <v>420000</v>
      </c>
      <c r="AI67" s="503"/>
      <c r="AJ67" s="514"/>
      <c r="AK67" s="1015">
        <f t="shared" si="19"/>
        <v>559</v>
      </c>
      <c r="AL67" s="831"/>
      <c r="AM67" s="831"/>
      <c r="AN67" s="812"/>
      <c r="AO67" s="831"/>
      <c r="AP67" s="3208">
        <f>128*9+14</f>
        <v>1166</v>
      </c>
      <c r="AQ67" s="2277">
        <v>490000</v>
      </c>
      <c r="AR67" s="2277">
        <v>490000</v>
      </c>
      <c r="AS67" s="2280">
        <v>490000</v>
      </c>
      <c r="AT67" s="3212">
        <f>490000+128*9+13</f>
        <v>491165</v>
      </c>
      <c r="AU67" s="3550">
        <f>490000+128*9+69+0.083</f>
        <v>491221.08299999998</v>
      </c>
      <c r="AV67" s="3211">
        <f>490000+128*9+13</f>
        <v>491165</v>
      </c>
      <c r="AW67" s="2278">
        <v>490000</v>
      </c>
      <c r="AX67" s="2277">
        <v>490000</v>
      </c>
      <c r="AY67" s="2277">
        <v>490000</v>
      </c>
      <c r="AZ67" s="1012">
        <f>128*9+14</f>
        <v>1166</v>
      </c>
      <c r="BA67" s="831"/>
      <c r="BB67" s="812"/>
      <c r="BC67" s="3574">
        <f>128*17+7</f>
        <v>2183</v>
      </c>
      <c r="BD67" s="831">
        <f>128*14+9</f>
        <v>1801</v>
      </c>
      <c r="BE67" s="3236">
        <f>200000+128*9+72+0.207</f>
        <v>201224.20699999999</v>
      </c>
      <c r="BF67" s="514"/>
      <c r="BG67" s="3575">
        <f>128*17+4</f>
        <v>2180</v>
      </c>
      <c r="BH67" s="511"/>
      <c r="BI67" s="511"/>
      <c r="BJ67" s="511"/>
      <c r="BK67" s="511"/>
      <c r="BL67" s="511"/>
      <c r="BM67" s="511"/>
      <c r="BN67" s="511"/>
      <c r="BO67" s="511"/>
      <c r="BP67" s="511"/>
      <c r="BQ67" s="514"/>
      <c r="BR67" s="1215">
        <f>128*9+54+0.214</f>
        <v>1206.2139999999999</v>
      </c>
      <c r="BS67" s="3191">
        <f>200000+128*5+40</f>
        <v>200680</v>
      </c>
      <c r="BT67" s="500">
        <f>128*14+10</f>
        <v>1802</v>
      </c>
      <c r="BU67" s="500">
        <f>0.5+0.256+0.035</f>
        <v>0.79100000000000004</v>
      </c>
      <c r="BV67" s="2935"/>
      <c r="BW67" s="3144">
        <f>128*5+30+0.15</f>
        <v>670.15</v>
      </c>
      <c r="BX67" s="999">
        <f>128*11+1+0.256+0.036</f>
        <v>1409.2920000000001</v>
      </c>
      <c r="BY67" s="811">
        <f>49+0.067</f>
        <v>49.067</v>
      </c>
      <c r="BZ67" s="504">
        <v>200020</v>
      </c>
      <c r="CA67" s="3156">
        <f>128*5+30</f>
        <v>670</v>
      </c>
      <c r="CB67" s="504">
        <v>200020</v>
      </c>
      <c r="CC67" s="505">
        <v>200020</v>
      </c>
      <c r="CD67" s="510"/>
      <c r="CE67" s="503"/>
      <c r="CF67" s="514"/>
      <c r="CG67" s="3526"/>
      <c r="CH67" s="517">
        <v>430043</v>
      </c>
      <c r="CI67" s="2934"/>
      <c r="CJ67" s="3477"/>
      <c r="CK67" s="3481">
        <f t="shared" si="20"/>
        <v>1233.212</v>
      </c>
      <c r="CL67" s="3482">
        <f>128*9+82+0.213</f>
        <v>1234.213</v>
      </c>
      <c r="CM67" s="3477">
        <f>128*10+8</f>
        <v>1288</v>
      </c>
      <c r="CN67" s="3481">
        <f>128*9+82+0.213</f>
        <v>1234.213</v>
      </c>
      <c r="CO67" s="3482">
        <f t="shared" si="20"/>
        <v>1233.212</v>
      </c>
      <c r="CP67" s="3477"/>
      <c r="CQ67" s="3479"/>
      <c r="CR67" s="517">
        <v>430043</v>
      </c>
    </row>
    <row r="68" spans="1:96" ht="9" customHeight="1" thickBot="1">
      <c r="A68" s="525">
        <v>200020</v>
      </c>
      <c r="B68" s="498">
        <v>27</v>
      </c>
      <c r="C68" s="755">
        <f>128*9+13+0.384+0.004</f>
        <v>1165.3879999999999</v>
      </c>
      <c r="D68" s="707"/>
      <c r="E68" s="811">
        <f>128*9+13+0.384+0.004</f>
        <v>1165.3879999999999</v>
      </c>
      <c r="F68" s="505">
        <v>27</v>
      </c>
      <c r="G68" s="1613">
        <v>14</v>
      </c>
      <c r="H68" s="541">
        <f>128*9+88</f>
        <v>1240</v>
      </c>
      <c r="I68" s="3210"/>
      <c r="J68" s="3549">
        <f>128*9+57+0.011</f>
        <v>1209.011</v>
      </c>
      <c r="K68" s="522"/>
      <c r="L68" s="3548">
        <f>128*9+57+0.011</f>
        <v>1209.011</v>
      </c>
      <c r="M68" s="3210"/>
      <c r="N68" s="801">
        <f>128*9+88</f>
        <v>1240</v>
      </c>
      <c r="O68" s="2249">
        <v>15</v>
      </c>
      <c r="P68" s="831"/>
      <c r="Q68" s="505">
        <v>25</v>
      </c>
      <c r="R68" s="3230">
        <f>110000+0.256+0.046</f>
        <v>110000.302</v>
      </c>
      <c r="S68" s="3229">
        <f>128*11+7</f>
        <v>1415</v>
      </c>
      <c r="T68" s="3231">
        <f>110000+128*9+82+0.213</f>
        <v>111234.213</v>
      </c>
      <c r="U68" s="1742">
        <v>25</v>
      </c>
      <c r="V68" s="505">
        <v>200020</v>
      </c>
      <c r="W68" s="503"/>
      <c r="X68" s="521">
        <v>420000</v>
      </c>
      <c r="Y68" s="3625"/>
      <c r="Z68" s="510">
        <v>200000</v>
      </c>
      <c r="AA68" s="2898"/>
      <c r="AB68" s="2897"/>
      <c r="AC68" s="2897"/>
      <c r="AD68" s="2897"/>
      <c r="AE68" s="2898"/>
      <c r="AF68" s="510">
        <v>200000</v>
      </c>
      <c r="AG68" s="3624"/>
      <c r="AH68" s="521">
        <v>420000</v>
      </c>
      <c r="AI68" s="503"/>
      <c r="AJ68" s="514"/>
      <c r="AK68" s="1015">
        <f t="shared" si="19"/>
        <v>559</v>
      </c>
      <c r="AL68" s="831"/>
      <c r="AM68" s="831"/>
      <c r="AN68" s="831"/>
      <c r="AO68" s="3208">
        <f>128*9+14</f>
        <v>1166</v>
      </c>
      <c r="AP68" s="2277">
        <v>490000</v>
      </c>
      <c r="AQ68" s="2277">
        <v>490000</v>
      </c>
      <c r="AR68" s="2277">
        <v>490000</v>
      </c>
      <c r="AS68" s="2280">
        <v>490000</v>
      </c>
      <c r="AT68" s="3212">
        <f>490000+128*9+13</f>
        <v>491165</v>
      </c>
      <c r="AU68" s="3215">
        <f>128*11+4</f>
        <v>1412</v>
      </c>
      <c r="AV68" s="3211">
        <f>490000+128*9+13</f>
        <v>491165</v>
      </c>
      <c r="AW68" s="2278">
        <v>490000</v>
      </c>
      <c r="AX68" s="2282">
        <v>490000</v>
      </c>
      <c r="AY68" s="2277">
        <v>490000</v>
      </c>
      <c r="AZ68" s="2277">
        <v>490000</v>
      </c>
      <c r="BA68" s="1012">
        <f>128*9+14</f>
        <v>1166</v>
      </c>
      <c r="BB68" s="831"/>
      <c r="BC68" s="831"/>
      <c r="BD68" s="831"/>
      <c r="BE68" s="2055">
        <f>200020+0.208</f>
        <v>200020.20800000001</v>
      </c>
      <c r="BF68" s="514">
        <v>0.2117</v>
      </c>
      <c r="BG68" s="503"/>
      <c r="BH68" s="503"/>
      <c r="BI68" s="503"/>
      <c r="BJ68" s="503"/>
      <c r="BK68" s="503"/>
      <c r="BL68" s="503"/>
      <c r="BM68" s="503"/>
      <c r="BN68" s="503"/>
      <c r="BO68" s="2706">
        <v>2E-3</v>
      </c>
      <c r="BP68" s="514"/>
      <c r="BQ68" s="3575">
        <f>128*17+4</f>
        <v>2180</v>
      </c>
      <c r="BR68" s="510"/>
      <c r="BS68" s="505">
        <v>500033</v>
      </c>
      <c r="BT68" s="500"/>
      <c r="BU68" s="2935"/>
      <c r="BV68" s="2935">
        <v>0.1153</v>
      </c>
      <c r="BW68" s="707">
        <v>49</v>
      </c>
      <c r="BX68" s="707">
        <v>49</v>
      </c>
      <c r="BY68" s="1078">
        <f>20+0.134</f>
        <v>20.134</v>
      </c>
      <c r="BZ68" s="3157">
        <v>0.1208</v>
      </c>
      <c r="CA68" s="3157"/>
      <c r="CB68" s="3157">
        <v>0.115</v>
      </c>
      <c r="CC68" s="505">
        <v>500050</v>
      </c>
      <c r="CD68" s="510"/>
      <c r="CE68" s="3601">
        <f>128*9+25</f>
        <v>1177</v>
      </c>
      <c r="CF68" s="514"/>
      <c r="CG68" s="3526">
        <f>128*9+25</f>
        <v>1177</v>
      </c>
      <c r="CH68" s="517">
        <v>430043</v>
      </c>
      <c r="CI68" s="2934"/>
      <c r="CJ68" s="3481">
        <f>128*9+82+0.213</f>
        <v>1234.213</v>
      </c>
      <c r="CK68" s="3481">
        <f t="shared" si="20"/>
        <v>1233.212</v>
      </c>
      <c r="CL68" s="3481">
        <f t="shared" si="20"/>
        <v>1233.212</v>
      </c>
      <c r="CM68" s="3478">
        <f>128*9+82+0.213</f>
        <v>1234.213</v>
      </c>
      <c r="CN68" s="3482">
        <f t="shared" si="20"/>
        <v>1233.212</v>
      </c>
      <c r="CO68" s="3482">
        <f t="shared" si="20"/>
        <v>1233.212</v>
      </c>
      <c r="CP68" s="3482">
        <f>128*9+82+0.213</f>
        <v>1234.213</v>
      </c>
      <c r="CQ68" s="3479"/>
      <c r="CR68" s="517">
        <v>430043</v>
      </c>
    </row>
    <row r="69" spans="1:96" ht="9" customHeight="1" thickTop="1" thickBot="1">
      <c r="A69" s="525">
        <v>200020</v>
      </c>
      <c r="B69" s="498">
        <v>27</v>
      </c>
      <c r="C69" s="755">
        <f>128*9+88+0.256+0.016</f>
        <v>1240.2720000000002</v>
      </c>
      <c r="D69" s="1184">
        <f>128*8+2</f>
        <v>1026</v>
      </c>
      <c r="E69" s="811">
        <f>128*9+88+0.256+0.0017</f>
        <v>1240.2577000000001</v>
      </c>
      <c r="F69" s="505">
        <v>27</v>
      </c>
      <c r="G69" s="1613">
        <v>14</v>
      </c>
      <c r="H69" s="541">
        <f>128*9+88</f>
        <v>1240</v>
      </c>
      <c r="I69" s="3210"/>
      <c r="J69" s="3210"/>
      <c r="K69" s="3210"/>
      <c r="L69" s="3210"/>
      <c r="M69" s="3210"/>
      <c r="N69" s="801">
        <f>128*9+88</f>
        <v>1240</v>
      </c>
      <c r="O69" s="2249">
        <v>15</v>
      </c>
      <c r="P69" s="831"/>
      <c r="Q69" s="831"/>
      <c r="R69" s="3227">
        <f>110000+128*9+87</f>
        <v>111239</v>
      </c>
      <c r="S69" s="3233">
        <f>110000+0.256+0.0025</f>
        <v>110000.2585</v>
      </c>
      <c r="T69" s="3228">
        <f>110000+128*9+87</f>
        <v>111239</v>
      </c>
      <c r="U69" s="3224"/>
      <c r="V69" s="505">
        <v>200020</v>
      </c>
      <c r="W69" s="503"/>
      <c r="X69" s="705">
        <v>420000</v>
      </c>
      <c r="Y69" s="3625"/>
      <c r="Z69" s="757">
        <v>200000</v>
      </c>
      <c r="AA69" s="2898"/>
      <c r="AB69" s="1607">
        <v>21</v>
      </c>
      <c r="AC69" s="1607">
        <v>21</v>
      </c>
      <c r="AD69" s="1607">
        <v>21</v>
      </c>
      <c r="AE69" s="2898"/>
      <c r="AF69" s="757">
        <v>200000</v>
      </c>
      <c r="AG69" s="3624"/>
      <c r="AH69" s="705">
        <v>420000</v>
      </c>
      <c r="AI69" s="503"/>
      <c r="AJ69" s="514"/>
      <c r="AK69" s="1015">
        <f t="shared" si="19"/>
        <v>559</v>
      </c>
      <c r="AL69" s="831"/>
      <c r="AM69" s="831"/>
      <c r="AN69" s="3208">
        <f>128*9+14</f>
        <v>1166</v>
      </c>
      <c r="AO69" s="2277">
        <v>490000</v>
      </c>
      <c r="AP69" s="2277">
        <v>490000</v>
      </c>
      <c r="AQ69" s="2277">
        <v>490000</v>
      </c>
      <c r="AR69" s="2277">
        <v>490000</v>
      </c>
      <c r="AS69" s="2280">
        <v>490000</v>
      </c>
      <c r="AT69" s="3212">
        <f>490000+128*9+13</f>
        <v>491165</v>
      </c>
      <c r="AU69" s="3214">
        <f>490000+11+0.067</f>
        <v>490011.06699999998</v>
      </c>
      <c r="AV69" s="3211">
        <f>490000+128*9+13</f>
        <v>491165</v>
      </c>
      <c r="AW69" s="2278">
        <v>490000</v>
      </c>
      <c r="AX69" s="2282">
        <v>490000</v>
      </c>
      <c r="AY69" s="2277">
        <v>490000</v>
      </c>
      <c r="AZ69" s="2277">
        <v>490000</v>
      </c>
      <c r="BA69" s="2277">
        <v>490000</v>
      </c>
      <c r="BB69" s="1012">
        <f>128*9+14</f>
        <v>1166</v>
      </c>
      <c r="BC69" s="831">
        <v>4.0000000000000001E-3</v>
      </c>
      <c r="BD69" s="831"/>
      <c r="BE69" s="792">
        <f t="shared" ref="BE69:BE76" si="21">128*4+47</f>
        <v>559</v>
      </c>
      <c r="BF69" s="514"/>
      <c r="BG69" s="503"/>
      <c r="BH69" s="503"/>
      <c r="BI69" s="503"/>
      <c r="BJ69" s="503"/>
      <c r="BK69" s="503"/>
      <c r="BL69" s="503"/>
      <c r="BM69" s="503"/>
      <c r="BN69" s="503"/>
      <c r="BO69" s="503"/>
      <c r="BP69" s="514"/>
      <c r="BQ69" s="503"/>
      <c r="BR69" s="510">
        <f>128*6+5</f>
        <v>773</v>
      </c>
      <c r="BS69" s="3146">
        <f>200000+128*5+34</f>
        <v>200674</v>
      </c>
      <c r="BT69" s="500"/>
      <c r="BU69" s="500"/>
      <c r="BV69" s="500"/>
      <c r="BW69" s="500"/>
      <c r="BX69" s="3160">
        <f>200020+0.209</f>
        <v>200020.209</v>
      </c>
      <c r="BY69" s="3157"/>
      <c r="BZ69" s="3157"/>
      <c r="CA69" s="3157"/>
      <c r="CB69" s="3158">
        <f>128*9+83</f>
        <v>1235</v>
      </c>
      <c r="CC69" s="505">
        <v>200020</v>
      </c>
      <c r="CD69" s="510"/>
      <c r="CE69" s="503"/>
      <c r="CF69" s="514"/>
      <c r="CG69" s="3526"/>
      <c r="CH69" s="517">
        <v>430043</v>
      </c>
      <c r="CI69" s="2934"/>
      <c r="CJ69" s="3477"/>
      <c r="CK69" s="3481">
        <f t="shared" si="20"/>
        <v>1233.212</v>
      </c>
      <c r="CL69" s="3481">
        <f t="shared" si="20"/>
        <v>1233.212</v>
      </c>
      <c r="CM69" s="3478">
        <f>128*9+81+0.212</f>
        <v>1233.212</v>
      </c>
      <c r="CN69" s="3482">
        <f t="shared" si="20"/>
        <v>1233.212</v>
      </c>
      <c r="CO69" s="3482">
        <f t="shared" si="20"/>
        <v>1233.212</v>
      </c>
      <c r="CP69" s="3477"/>
      <c r="CQ69" s="3479"/>
      <c r="CR69" s="517">
        <v>430043</v>
      </c>
    </row>
    <row r="70" spans="1:96" ht="9" customHeight="1">
      <c r="A70" s="525">
        <v>200020</v>
      </c>
      <c r="B70" s="498">
        <v>27</v>
      </c>
      <c r="C70" s="498">
        <v>27</v>
      </c>
      <c r="D70" s="3183">
        <f>128*5+40</f>
        <v>680</v>
      </c>
      <c r="E70" s="498">
        <v>27</v>
      </c>
      <c r="F70" s="505">
        <v>27</v>
      </c>
      <c r="G70" s="1613">
        <v>14</v>
      </c>
      <c r="H70" s="541">
        <f>128*9+88</f>
        <v>1240</v>
      </c>
      <c r="I70" s="498">
        <v>27</v>
      </c>
      <c r="J70" s="498">
        <v>27</v>
      </c>
      <c r="K70" s="498">
        <f>27+0.163</f>
        <v>27.163</v>
      </c>
      <c r="L70" s="498">
        <v>27</v>
      </c>
      <c r="M70" s="498">
        <v>27</v>
      </c>
      <c r="N70" s="801">
        <f>128*9+88</f>
        <v>1240</v>
      </c>
      <c r="O70" s="2249">
        <v>15</v>
      </c>
      <c r="P70" s="831"/>
      <c r="Q70" s="831"/>
      <c r="R70" s="831"/>
      <c r="S70" s="2230">
        <f>25+0.06</f>
        <v>25.06</v>
      </c>
      <c r="T70" s="831"/>
      <c r="U70" s="3223"/>
      <c r="V70" s="505">
        <v>200020</v>
      </c>
      <c r="W70" s="503"/>
      <c r="X70" s="521">
        <v>420000</v>
      </c>
      <c r="Y70" s="3625"/>
      <c r="Z70" s="510">
        <v>200000</v>
      </c>
      <c r="AA70" s="3629">
        <f>0.384+0.0073</f>
        <v>0.39129999999999998</v>
      </c>
      <c r="AB70" s="1607">
        <f>128*5+39+0.256+0.0504</f>
        <v>679.30639999999994</v>
      </c>
      <c r="AC70" s="769">
        <f>128*10+49+0.256+0.0508</f>
        <v>1329.3068000000001</v>
      </c>
      <c r="AD70" s="1607">
        <v>21</v>
      </c>
      <c r="AE70" s="2898"/>
      <c r="AF70" s="510">
        <v>200000</v>
      </c>
      <c r="AG70" s="3624"/>
      <c r="AH70" s="521">
        <v>420000</v>
      </c>
      <c r="AI70" s="503"/>
      <c r="AJ70" s="514"/>
      <c r="AK70" s="1015">
        <f t="shared" si="19"/>
        <v>559</v>
      </c>
      <c r="AL70" s="831"/>
      <c r="AM70" s="3208">
        <f>128*9+14</f>
        <v>1166</v>
      </c>
      <c r="AN70" s="2277">
        <v>490000</v>
      </c>
      <c r="AO70" s="2277">
        <v>490000</v>
      </c>
      <c r="AP70" s="2277">
        <v>490000</v>
      </c>
      <c r="AQ70" s="2277">
        <v>490000</v>
      </c>
      <c r="AR70" s="2282">
        <f>490000+128*9+61</f>
        <v>491213</v>
      </c>
      <c r="AS70" s="2281">
        <v>490000</v>
      </c>
      <c r="AT70" s="2280">
        <v>490000</v>
      </c>
      <c r="AU70" s="2279">
        <v>490000</v>
      </c>
      <c r="AV70" s="2280">
        <v>490000</v>
      </c>
      <c r="AW70" s="2277">
        <v>490000</v>
      </c>
      <c r="AX70" s="2282">
        <f>490000+128*9+61</f>
        <v>491213</v>
      </c>
      <c r="AY70" s="2277">
        <v>490000</v>
      </c>
      <c r="AZ70" s="2277">
        <v>490000</v>
      </c>
      <c r="BA70" s="2277">
        <v>490000</v>
      </c>
      <c r="BB70" s="2277">
        <v>490000</v>
      </c>
      <c r="BC70" s="1012">
        <f>128*9+14</f>
        <v>1166</v>
      </c>
      <c r="BD70" s="831"/>
      <c r="BE70" s="792">
        <f t="shared" si="21"/>
        <v>559</v>
      </c>
      <c r="BF70" s="514"/>
      <c r="BG70" s="503"/>
      <c r="BH70" s="503"/>
      <c r="BI70" s="503"/>
      <c r="BJ70" s="503"/>
      <c r="BK70" s="503"/>
      <c r="BL70" s="503"/>
      <c r="BM70" s="503"/>
      <c r="BN70" s="503"/>
      <c r="BO70" s="503">
        <f>128*9+25</f>
        <v>1177</v>
      </c>
      <c r="BP70" s="514"/>
      <c r="BQ70" s="503"/>
      <c r="BR70" s="510"/>
      <c r="BS70" s="505">
        <v>500020</v>
      </c>
      <c r="BT70" s="500">
        <f>128*9+83</f>
        <v>1235</v>
      </c>
      <c r="BU70" s="500">
        <v>0.11550000000000001</v>
      </c>
      <c r="BV70" s="2935"/>
      <c r="BW70" s="500"/>
      <c r="BX70" s="1744">
        <f>128*5+41</f>
        <v>681</v>
      </c>
      <c r="BY70" s="3157"/>
      <c r="BZ70" s="3157">
        <f>0.5+0.256+0.035</f>
        <v>0.79100000000000004</v>
      </c>
      <c r="CA70" s="3157"/>
      <c r="CB70" s="3159">
        <f>128*9+49</f>
        <v>1201</v>
      </c>
      <c r="CC70" s="505">
        <v>500050</v>
      </c>
      <c r="CD70" s="510"/>
      <c r="CE70" s="3570">
        <f>128*17+4</f>
        <v>2180</v>
      </c>
      <c r="CF70" s="514"/>
      <c r="CG70" s="3526"/>
      <c r="CH70" s="517">
        <v>430043</v>
      </c>
      <c r="CI70" s="2934"/>
      <c r="CJ70" s="3478">
        <f>128*9+81+0.212</f>
        <v>1233.212</v>
      </c>
      <c r="CK70" s="3480">
        <v>430043</v>
      </c>
      <c r="CL70" s="3482">
        <f>128*9+49</f>
        <v>1201</v>
      </c>
      <c r="CM70" s="3477"/>
      <c r="CN70" s="3481">
        <f>128*9+49</f>
        <v>1201</v>
      </c>
      <c r="CO70" s="3480">
        <v>430043</v>
      </c>
      <c r="CP70" s="3482">
        <f>128*9+81+0.212</f>
        <v>1233.212</v>
      </c>
      <c r="CQ70" s="3519">
        <f>128*9+83</f>
        <v>1235</v>
      </c>
      <c r="CR70" s="517">
        <v>430043</v>
      </c>
    </row>
    <row r="71" spans="1:96" ht="9" customHeight="1">
      <c r="A71" s="525">
        <v>200020</v>
      </c>
      <c r="B71" s="498">
        <v>25</v>
      </c>
      <c r="C71" s="3553">
        <f>128*17+9</f>
        <v>2185</v>
      </c>
      <c r="D71" s="708"/>
      <c r="E71" s="3554">
        <f>128*17+9</f>
        <v>2185</v>
      </c>
      <c r="F71" s="505">
        <v>25</v>
      </c>
      <c r="G71" s="802">
        <f>128*9+88</f>
        <v>1240</v>
      </c>
      <c r="H71" s="3210"/>
      <c r="I71" s="498">
        <v>27</v>
      </c>
      <c r="J71" s="3571">
        <f>128*9+37+0.149</f>
        <v>1189.1489999999999</v>
      </c>
      <c r="K71" s="3210"/>
      <c r="L71" s="3210"/>
      <c r="M71" s="801">
        <f>128*9+13</f>
        <v>1165</v>
      </c>
      <c r="N71" s="3546">
        <f>128*8+9+0.384+0.0091</f>
        <v>1033.3931</v>
      </c>
      <c r="O71" s="802">
        <f>128*9+88</f>
        <v>1240</v>
      </c>
      <c r="P71" s="498">
        <v>43</v>
      </c>
      <c r="Q71" s="831"/>
      <c r="R71" s="831"/>
      <c r="S71" s="831"/>
      <c r="T71" s="831"/>
      <c r="U71" s="831"/>
      <c r="V71" s="505">
        <v>200020</v>
      </c>
      <c r="W71" s="503"/>
      <c r="X71" s="705">
        <v>420000</v>
      </c>
      <c r="Y71" s="3625"/>
      <c r="Z71" s="757">
        <v>200000</v>
      </c>
      <c r="AA71" s="2898"/>
      <c r="AB71" s="1607">
        <v>21</v>
      </c>
      <c r="AC71" s="1607">
        <v>21</v>
      </c>
      <c r="AD71" s="1607">
        <v>21</v>
      </c>
      <c r="AE71" s="2898"/>
      <c r="AF71" s="757">
        <v>200000</v>
      </c>
      <c r="AG71" s="3624"/>
      <c r="AH71" s="705">
        <v>420000</v>
      </c>
      <c r="AI71" s="503"/>
      <c r="AJ71" s="514"/>
      <c r="AK71" s="1015">
        <f t="shared" si="19"/>
        <v>559</v>
      </c>
      <c r="AL71" s="3208">
        <f>128*9+14</f>
        <v>1166</v>
      </c>
      <c r="AM71" s="2277">
        <v>490000</v>
      </c>
      <c r="AN71" s="2277">
        <v>490000</v>
      </c>
      <c r="AO71" s="2277">
        <v>490000</v>
      </c>
      <c r="AP71" s="2277">
        <v>490000</v>
      </c>
      <c r="AQ71" s="2277">
        <v>490000</v>
      </c>
      <c r="AR71" s="2282">
        <v>490000</v>
      </c>
      <c r="AS71" s="2281">
        <v>490000</v>
      </c>
      <c r="AT71" s="2280">
        <v>490000</v>
      </c>
      <c r="AU71" s="2279">
        <v>490000</v>
      </c>
      <c r="AV71" s="2280">
        <v>490000</v>
      </c>
      <c r="AW71" s="2277">
        <v>490000</v>
      </c>
      <c r="AX71" s="2282">
        <v>490000</v>
      </c>
      <c r="AY71" s="2277">
        <v>490000</v>
      </c>
      <c r="AZ71" s="2277">
        <v>490000</v>
      </c>
      <c r="BA71" s="2277">
        <f>490000+0.004</f>
        <v>490000.00400000002</v>
      </c>
      <c r="BB71" s="2277">
        <v>490000</v>
      </c>
      <c r="BC71" s="2277">
        <v>490000</v>
      </c>
      <c r="BD71" s="1012">
        <f>128*9+14</f>
        <v>1166</v>
      </c>
      <c r="BE71" s="792">
        <f t="shared" si="21"/>
        <v>559</v>
      </c>
      <c r="BF71" s="514"/>
      <c r="BG71" s="503"/>
      <c r="BH71" s="503"/>
      <c r="BI71" s="503"/>
      <c r="BJ71" s="503"/>
      <c r="BK71" s="503"/>
      <c r="BL71" s="503"/>
      <c r="BM71" s="503"/>
      <c r="BN71" s="503"/>
      <c r="BO71" s="503"/>
      <c r="BP71" s="514"/>
      <c r="BQ71" s="503"/>
      <c r="BR71" s="510"/>
      <c r="BS71" s="505">
        <v>200020</v>
      </c>
      <c r="BT71" s="505">
        <v>200020</v>
      </c>
      <c r="BU71" s="500">
        <v>9.1000000000000004E-3</v>
      </c>
      <c r="BV71" s="500"/>
      <c r="BW71" s="541">
        <f>128*9+28+0.147</f>
        <v>1180.1469999999999</v>
      </c>
      <c r="BX71" s="504">
        <v>200020</v>
      </c>
      <c r="BY71" s="3158">
        <f>128*9+4</f>
        <v>1156</v>
      </c>
      <c r="BZ71" s="3159">
        <f>128*9+48+0.122</f>
        <v>1200.1220000000001</v>
      </c>
      <c r="CA71" s="3159">
        <f>128*9+26+0.152</f>
        <v>1178.152</v>
      </c>
      <c r="CB71" s="505">
        <v>200020</v>
      </c>
      <c r="CC71" s="505">
        <v>200020</v>
      </c>
      <c r="CD71" s="510"/>
      <c r="CE71" s="503"/>
      <c r="CF71" s="514"/>
      <c r="CG71" s="3526"/>
      <c r="CH71" s="517">
        <v>430043</v>
      </c>
      <c r="CI71" s="2934"/>
      <c r="CJ71" s="3477"/>
      <c r="CK71" s="3478">
        <f>128*9+81+0.212</f>
        <v>1233.212</v>
      </c>
      <c r="CL71" s="3477"/>
      <c r="CM71" s="3478">
        <f>128*9+82+0.213</f>
        <v>1234.213</v>
      </c>
      <c r="CN71" s="3477"/>
      <c r="CO71" s="3478">
        <f>128*9+81+0.212</f>
        <v>1233.212</v>
      </c>
      <c r="CP71" s="3477"/>
      <c r="CQ71" s="3479"/>
      <c r="CR71" s="517">
        <v>430043</v>
      </c>
    </row>
    <row r="72" spans="1:96" ht="9" customHeight="1">
      <c r="A72" s="525">
        <v>200020</v>
      </c>
      <c r="B72" s="498">
        <v>25</v>
      </c>
      <c r="C72" s="3553">
        <f>128*17+9</f>
        <v>2185</v>
      </c>
      <c r="D72" s="3402"/>
      <c r="E72" s="3554">
        <f>128*17+9</f>
        <v>2185</v>
      </c>
      <c r="F72" s="505">
        <v>25</v>
      </c>
      <c r="G72" s="3529"/>
      <c r="H72" s="3210"/>
      <c r="I72" s="3528">
        <f>128*9+69+0.083</f>
        <v>1221.0830000000001</v>
      </c>
      <c r="J72" s="3210"/>
      <c r="K72" s="3210"/>
      <c r="L72" s="3210"/>
      <c r="M72" s="801">
        <f>128*9+13</f>
        <v>1165</v>
      </c>
      <c r="N72" s="3546"/>
      <c r="O72" s="3546">
        <f>128*8+9+0.384+0.0097</f>
        <v>1033.3937000000001</v>
      </c>
      <c r="P72" s="498">
        <v>43</v>
      </c>
      <c r="Q72" s="831"/>
      <c r="R72" s="831"/>
      <c r="S72" s="831"/>
      <c r="T72" s="831"/>
      <c r="U72" s="831"/>
      <c r="V72" s="505">
        <v>200020</v>
      </c>
      <c r="W72" s="503"/>
      <c r="X72" s="521">
        <v>420000</v>
      </c>
      <c r="Y72" s="3625"/>
      <c r="Z72" s="510">
        <v>200000</v>
      </c>
      <c r="AA72" s="2898"/>
      <c r="AB72" s="2897"/>
      <c r="AC72" s="2897"/>
      <c r="AD72" s="2897"/>
      <c r="AE72" s="2898"/>
      <c r="AF72" s="3627">
        <v>200000</v>
      </c>
      <c r="AG72" s="3624"/>
      <c r="AH72" s="3626">
        <v>420000</v>
      </c>
      <c r="AI72" s="503"/>
      <c r="AJ72" s="514"/>
      <c r="AK72" s="1015">
        <f t="shared" si="19"/>
        <v>559</v>
      </c>
      <c r="AL72" s="2277">
        <v>490000</v>
      </c>
      <c r="AM72" s="2277">
        <v>490000</v>
      </c>
      <c r="AN72" s="2277">
        <v>490000</v>
      </c>
      <c r="AO72" s="2277">
        <v>490000</v>
      </c>
      <c r="AP72" s="2277">
        <v>490000</v>
      </c>
      <c r="AQ72" s="2277">
        <v>490000</v>
      </c>
      <c r="AR72" s="2282">
        <v>490000</v>
      </c>
      <c r="AS72" s="2281">
        <v>490000</v>
      </c>
      <c r="AT72" s="2280">
        <v>490000</v>
      </c>
      <c r="AU72" s="2285">
        <v>490000</v>
      </c>
      <c r="AV72" s="2280">
        <v>490000</v>
      </c>
      <c r="AW72" s="2277">
        <v>490000</v>
      </c>
      <c r="AX72" s="2282">
        <v>490000</v>
      </c>
      <c r="AY72" s="2277">
        <v>490000</v>
      </c>
      <c r="AZ72" s="2277">
        <v>490000</v>
      </c>
      <c r="BA72" s="2277">
        <v>490000</v>
      </c>
      <c r="BB72" s="2277">
        <v>490000</v>
      </c>
      <c r="BC72" s="2277">
        <v>490000</v>
      </c>
      <c r="BD72" s="2277">
        <v>490000</v>
      </c>
      <c r="BE72" s="792">
        <f t="shared" si="21"/>
        <v>559</v>
      </c>
      <c r="BF72" s="514"/>
      <c r="BG72" s="503"/>
      <c r="BH72" s="503"/>
      <c r="BI72" s="503"/>
      <c r="BJ72" s="3570">
        <f>128*17+4</f>
        <v>2180</v>
      </c>
      <c r="BK72" s="503"/>
      <c r="BL72" s="503"/>
      <c r="BM72" s="503"/>
      <c r="BN72" s="503"/>
      <c r="BO72" s="503"/>
      <c r="BP72" s="514"/>
      <c r="BQ72" s="503"/>
      <c r="BR72" s="503"/>
      <c r="BS72" s="1614"/>
      <c r="BT72" s="505">
        <v>200020</v>
      </c>
      <c r="BU72" s="505">
        <v>500020</v>
      </c>
      <c r="BV72" s="505">
        <v>200020</v>
      </c>
      <c r="BW72" s="505">
        <v>500020</v>
      </c>
      <c r="BX72" s="505">
        <v>200020</v>
      </c>
      <c r="BY72" s="1045">
        <f>500020+0.123</f>
        <v>500020.12300000002</v>
      </c>
      <c r="BZ72" s="1045">
        <f>200020+0.018</f>
        <v>200020.01800000001</v>
      </c>
      <c r="CA72" s="505">
        <v>500020</v>
      </c>
      <c r="CB72" s="505">
        <v>200020</v>
      </c>
      <c r="CC72" s="812"/>
      <c r="CD72" s="503"/>
      <c r="CE72" s="503"/>
      <c r="CF72" s="514"/>
      <c r="CG72" s="3526"/>
      <c r="CH72" s="517">
        <v>430043</v>
      </c>
      <c r="CI72" s="2934"/>
      <c r="CJ72" s="3478">
        <f>128*9+81+0.212</f>
        <v>1233.212</v>
      </c>
      <c r="CK72" s="3480">
        <v>430043</v>
      </c>
      <c r="CL72" s="3478">
        <f>128*9+81+0.212</f>
        <v>1233.212</v>
      </c>
      <c r="CM72" s="3477">
        <f>128*10+7</f>
        <v>1287</v>
      </c>
      <c r="CN72" s="3478">
        <f>128*9+81+0.212</f>
        <v>1233.212</v>
      </c>
      <c r="CO72" s="3480">
        <v>430043</v>
      </c>
      <c r="CP72" s="3478">
        <f>128*9+81+0.212</f>
        <v>1233.212</v>
      </c>
      <c r="CQ72" s="3479"/>
      <c r="CR72" s="517">
        <v>430043</v>
      </c>
    </row>
    <row r="73" spans="1:96" ht="9" customHeight="1">
      <c r="A73" s="525">
        <v>200020</v>
      </c>
      <c r="B73" s="831"/>
      <c r="C73" s="505">
        <v>25</v>
      </c>
      <c r="D73" s="3552">
        <f>0.256+0.0035</f>
        <v>0.25950000000000001</v>
      </c>
      <c r="E73" s="1824">
        <v>25</v>
      </c>
      <c r="F73" s="3636">
        <f>128*9+14</f>
        <v>1166</v>
      </c>
      <c r="G73" s="3210"/>
      <c r="H73" s="3210"/>
      <c r="I73" s="498">
        <v>27</v>
      </c>
      <c r="J73" s="801">
        <f>128*9+13</f>
        <v>1165</v>
      </c>
      <c r="K73" s="3213">
        <f>128*9+69+0.083</f>
        <v>1221.0830000000001</v>
      </c>
      <c r="L73" s="541">
        <f>128*9+13</f>
        <v>1165</v>
      </c>
      <c r="M73" s="801">
        <f>128*9+13</f>
        <v>1165</v>
      </c>
      <c r="N73" s="703">
        <f>128*9+88</f>
        <v>1240</v>
      </c>
      <c r="O73" s="703">
        <f>490000+128*9+13</f>
        <v>491165</v>
      </c>
      <c r="P73" s="801">
        <f>128*9+87</f>
        <v>1239</v>
      </c>
      <c r="Q73" s="498">
        <v>43</v>
      </c>
      <c r="R73" s="831"/>
      <c r="S73" s="831"/>
      <c r="T73" s="831"/>
      <c r="U73" s="831"/>
      <c r="V73" s="505">
        <v>200020</v>
      </c>
      <c r="W73" s="503"/>
      <c r="X73" s="705">
        <v>420000</v>
      </c>
      <c r="Y73" s="3625"/>
      <c r="Z73" s="3622">
        <v>200020</v>
      </c>
      <c r="AA73" s="510">
        <v>200000</v>
      </c>
      <c r="AB73" s="757">
        <v>200000</v>
      </c>
      <c r="AC73" s="510">
        <v>200000</v>
      </c>
      <c r="AD73" s="757">
        <v>200000</v>
      </c>
      <c r="AE73" s="510">
        <v>200000</v>
      </c>
      <c r="AF73" s="3622">
        <v>200020</v>
      </c>
      <c r="AG73" s="3624"/>
      <c r="AH73" s="705">
        <v>420000</v>
      </c>
      <c r="AI73" s="503"/>
      <c r="AJ73" s="514"/>
      <c r="AK73" s="1015">
        <f t="shared" si="19"/>
        <v>559</v>
      </c>
      <c r="AL73" s="831"/>
      <c r="AM73" s="831"/>
      <c r="AN73" s="831"/>
      <c r="AO73" s="831"/>
      <c r="AP73" s="831"/>
      <c r="AQ73" s="2277">
        <v>490000</v>
      </c>
      <c r="AR73" s="1842">
        <v>150000</v>
      </c>
      <c r="AS73" s="2281">
        <v>490000</v>
      </c>
      <c r="AT73" s="2280">
        <v>490000</v>
      </c>
      <c r="AU73" s="2285">
        <f>490000+128*10+44</f>
        <v>491324</v>
      </c>
      <c r="AV73" s="2280">
        <v>490000</v>
      </c>
      <c r="AW73" s="2277">
        <v>490000</v>
      </c>
      <c r="AX73" s="1842">
        <v>150000</v>
      </c>
      <c r="AY73" s="2277">
        <v>490000</v>
      </c>
      <c r="AZ73" s="831"/>
      <c r="BA73" s="831"/>
      <c r="BB73" s="831"/>
      <c r="BC73" s="831"/>
      <c r="BD73" s="831"/>
      <c r="BE73" s="792">
        <f t="shared" si="21"/>
        <v>559</v>
      </c>
      <c r="BF73" s="514"/>
      <c r="BG73" s="503"/>
      <c r="BH73" s="3631">
        <v>2E-3</v>
      </c>
      <c r="BI73" s="514">
        <f>128*9+20+0.0595</f>
        <v>1172.0595000000001</v>
      </c>
      <c r="BJ73" s="514">
        <v>5.96E-2</v>
      </c>
      <c r="BK73" s="514">
        <v>6.0600000000000001E-2</v>
      </c>
      <c r="BL73" s="503"/>
      <c r="BM73" s="503"/>
      <c r="BN73" s="503"/>
      <c r="BO73" s="503"/>
      <c r="BP73" s="514"/>
      <c r="BQ73" s="503"/>
      <c r="BR73" s="503"/>
      <c r="BS73" s="503"/>
      <c r="BT73" s="510"/>
      <c r="BU73" s="510"/>
      <c r="BV73" s="510"/>
      <c r="BW73" s="510"/>
      <c r="BX73" s="510"/>
      <c r="BY73" s="510"/>
      <c r="BZ73" s="510"/>
      <c r="CA73" s="510"/>
      <c r="CB73" s="510"/>
      <c r="CC73" s="503"/>
      <c r="CD73" s="503"/>
      <c r="CE73" s="503">
        <f>128*9+25</f>
        <v>1177</v>
      </c>
      <c r="CF73" s="514"/>
      <c r="CG73" s="3526">
        <f>128*9+25</f>
        <v>1177</v>
      </c>
      <c r="CH73" s="517">
        <v>430043</v>
      </c>
      <c r="CI73" s="2934"/>
      <c r="CJ73" s="3477"/>
      <c r="CK73" s="3477"/>
      <c r="CL73" s="3478">
        <f>128*9+81+0.212</f>
        <v>1233.212</v>
      </c>
      <c r="CM73" s="3478">
        <f>128*9+82+0.213</f>
        <v>1234.213</v>
      </c>
      <c r="CN73" s="3478">
        <f>128*9+81+0.212</f>
        <v>1233.212</v>
      </c>
      <c r="CO73" s="3477"/>
      <c r="CP73" s="3478">
        <f>128*8+10</f>
        <v>1034</v>
      </c>
      <c r="CQ73" s="3479"/>
      <c r="CR73" s="517">
        <v>430043</v>
      </c>
    </row>
    <row r="74" spans="1:96" ht="9" customHeight="1">
      <c r="A74" s="525">
        <v>200020</v>
      </c>
      <c r="B74" s="831"/>
      <c r="C74" s="831"/>
      <c r="D74" s="1921">
        <v>25</v>
      </c>
      <c r="E74" s="3529"/>
      <c r="F74" s="3210"/>
      <c r="G74" s="3576">
        <f>128*17+4</f>
        <v>2180</v>
      </c>
      <c r="H74" s="498">
        <v>27</v>
      </c>
      <c r="I74" s="498">
        <v>27</v>
      </c>
      <c r="J74" s="801">
        <f>128*9+13</f>
        <v>1165</v>
      </c>
      <c r="K74" s="3215">
        <f>128*11+4</f>
        <v>1412</v>
      </c>
      <c r="L74" s="541">
        <f>128*9+13</f>
        <v>1165</v>
      </c>
      <c r="M74" s="3210"/>
      <c r="N74" s="3210"/>
      <c r="O74" s="801">
        <f>128*9+87</f>
        <v>1239</v>
      </c>
      <c r="P74" s="541">
        <f>128*9+87</f>
        <v>1239</v>
      </c>
      <c r="Q74" s="801">
        <f>128*9+87</f>
        <v>1239</v>
      </c>
      <c r="R74" s="498">
        <v>43</v>
      </c>
      <c r="S74" s="831"/>
      <c r="T74" s="831"/>
      <c r="U74" s="831"/>
      <c r="V74" s="505">
        <v>200020</v>
      </c>
      <c r="W74" s="503"/>
      <c r="X74" s="521">
        <v>420000</v>
      </c>
      <c r="Y74" s="3623"/>
      <c r="Z74" s="3623"/>
      <c r="AA74" s="3623"/>
      <c r="AB74" s="3623"/>
      <c r="AC74" s="3623"/>
      <c r="AD74" s="3623"/>
      <c r="AE74" s="3623"/>
      <c r="AF74" s="3623"/>
      <c r="AG74" s="3624"/>
      <c r="AH74" s="521">
        <v>420000</v>
      </c>
      <c r="AI74" s="503"/>
      <c r="AJ74" s="514"/>
      <c r="AK74" s="1015">
        <f t="shared" si="19"/>
        <v>559</v>
      </c>
      <c r="AL74" s="831"/>
      <c r="AM74" s="831"/>
      <c r="AN74" s="812"/>
      <c r="AO74" s="3537">
        <f>128*9+57+0.256+0.002</f>
        <v>1209.258</v>
      </c>
      <c r="AP74" s="1651">
        <f>128*9+75+0.208</f>
        <v>1227.2080000000001</v>
      </c>
      <c r="AQ74" s="831"/>
      <c r="AR74" s="831"/>
      <c r="AS74" s="2281">
        <v>490000</v>
      </c>
      <c r="AT74" s="2283">
        <v>150000</v>
      </c>
      <c r="AU74" s="2285">
        <f>490000+128*10+44</f>
        <v>491324</v>
      </c>
      <c r="AV74" s="2283">
        <v>150000</v>
      </c>
      <c r="AW74" s="2277">
        <v>490000</v>
      </c>
      <c r="AX74" s="831"/>
      <c r="AY74" s="831"/>
      <c r="AZ74" s="831"/>
      <c r="BA74" s="831"/>
      <c r="BB74" s="812"/>
      <c r="BC74" s="831"/>
      <c r="BD74" s="831"/>
      <c r="BE74" s="792">
        <f t="shared" si="21"/>
        <v>559</v>
      </c>
      <c r="BF74" s="514"/>
      <c r="BG74" s="503"/>
      <c r="BH74" s="504">
        <v>20</v>
      </c>
      <c r="BI74" s="504">
        <v>20</v>
      </c>
      <c r="BJ74" s="504">
        <v>20</v>
      </c>
      <c r="BK74" s="3286">
        <f>128*12+1</f>
        <v>1537</v>
      </c>
      <c r="BL74" s="514"/>
      <c r="BM74" s="503"/>
      <c r="BN74" s="503"/>
      <c r="BO74" s="503"/>
      <c r="BP74" s="514"/>
      <c r="BQ74" s="503"/>
      <c r="BR74" s="503"/>
      <c r="BS74" s="503"/>
      <c r="BT74" s="503"/>
      <c r="BU74" s="503"/>
      <c r="BV74" s="503"/>
      <c r="BW74" s="503"/>
      <c r="BX74" s="503"/>
      <c r="BY74" s="503"/>
      <c r="BZ74" s="503"/>
      <c r="CA74" s="503"/>
      <c r="CB74" s="503"/>
      <c r="CC74" s="503"/>
      <c r="CD74" s="503"/>
      <c r="CE74" s="503"/>
      <c r="CF74" s="514"/>
      <c r="CG74" s="3570">
        <f>128*17+4</f>
        <v>2180</v>
      </c>
      <c r="CH74" s="517">
        <v>430043</v>
      </c>
      <c r="CI74" s="2934"/>
      <c r="CJ74" s="3478">
        <f>128*9+81+0.212</f>
        <v>1233.212</v>
      </c>
      <c r="CK74" s="3478">
        <f>128*9+81+0.212</f>
        <v>1233.212</v>
      </c>
      <c r="CL74" s="3478">
        <f>128*9+81+0.212</f>
        <v>1233.212</v>
      </c>
      <c r="CM74" s="3477"/>
      <c r="CN74" s="3478">
        <f>128*9+82+0.213</f>
        <v>1234.213</v>
      </c>
      <c r="CO74" s="3478">
        <f>128*9+81+0.212</f>
        <v>1233.212</v>
      </c>
      <c r="CP74" s="3478">
        <f>128*9+81+0.212</f>
        <v>1233.212</v>
      </c>
      <c r="CQ74" s="3479"/>
      <c r="CR74" s="517">
        <v>430043</v>
      </c>
    </row>
    <row r="75" spans="1:96" ht="9" customHeight="1">
      <c r="A75" s="525">
        <v>200020</v>
      </c>
      <c r="B75" s="831"/>
      <c r="C75" s="498">
        <v>25</v>
      </c>
      <c r="D75" s="3636">
        <f>128*9+14</f>
        <v>1166</v>
      </c>
      <c r="E75" s="3210"/>
      <c r="F75" s="498">
        <v>27</v>
      </c>
      <c r="G75" s="498">
        <v>27</v>
      </c>
      <c r="H75" s="3636">
        <f>128*9+14</f>
        <v>1166</v>
      </c>
      <c r="I75" s="522"/>
      <c r="J75" s="801">
        <f>128*9+13</f>
        <v>1165</v>
      </c>
      <c r="K75" s="3214">
        <f>11+0.068</f>
        <v>11.068</v>
      </c>
      <c r="L75" s="541">
        <f>128*9+13</f>
        <v>1165</v>
      </c>
      <c r="M75" s="3210"/>
      <c r="N75" s="3210"/>
      <c r="O75" s="3210"/>
      <c r="P75" s="3541">
        <f>43+0.058</f>
        <v>43.058</v>
      </c>
      <c r="Q75" s="3546">
        <f>128*8+9+0.384+0.0091</f>
        <v>1033.3931</v>
      </c>
      <c r="R75" s="801">
        <f>128*9+87</f>
        <v>1239</v>
      </c>
      <c r="S75" s="498">
        <v>25</v>
      </c>
      <c r="T75" s="831"/>
      <c r="U75" s="831"/>
      <c r="V75" s="505">
        <v>200020</v>
      </c>
      <c r="W75" s="503"/>
      <c r="X75" s="766">
        <v>200020</v>
      </c>
      <c r="Y75" s="3628">
        <v>420000</v>
      </c>
      <c r="Z75" s="705">
        <v>420000</v>
      </c>
      <c r="AA75" s="521">
        <v>420000</v>
      </c>
      <c r="AB75" s="705">
        <v>420000</v>
      </c>
      <c r="AC75" s="3626">
        <v>420000</v>
      </c>
      <c r="AD75" s="705">
        <v>420000</v>
      </c>
      <c r="AE75" s="521">
        <v>420000</v>
      </c>
      <c r="AF75" s="705">
        <v>420000</v>
      </c>
      <c r="AG75" s="521">
        <v>420000</v>
      </c>
      <c r="AH75" s="766">
        <v>200020</v>
      </c>
      <c r="AI75" s="503"/>
      <c r="AJ75" s="514"/>
      <c r="AK75" s="1015">
        <f t="shared" si="19"/>
        <v>559</v>
      </c>
      <c r="AL75" s="831"/>
      <c r="AM75" s="831"/>
      <c r="AN75" s="812"/>
      <c r="AO75" s="831"/>
      <c r="AP75" s="812"/>
      <c r="AQ75" s="812"/>
      <c r="AR75" s="831"/>
      <c r="AS75" s="831"/>
      <c r="AT75" s="831"/>
      <c r="AU75" s="831"/>
      <c r="AV75" s="831"/>
      <c r="AW75" s="831"/>
      <c r="AX75" s="831"/>
      <c r="AY75" s="812"/>
      <c r="AZ75" s="812"/>
      <c r="BA75" s="831"/>
      <c r="BB75" s="812"/>
      <c r="BC75" s="831"/>
      <c r="BD75" s="831"/>
      <c r="BE75" s="792">
        <f t="shared" si="21"/>
        <v>559</v>
      </c>
      <c r="BF75" s="514"/>
      <c r="BG75" s="503"/>
      <c r="BH75" s="504">
        <v>20</v>
      </c>
      <c r="BI75" s="707">
        <f>128*10+8</f>
        <v>1288</v>
      </c>
      <c r="BJ75" s="504">
        <v>20</v>
      </c>
      <c r="BK75" s="3286">
        <f>128*12+2</f>
        <v>1538</v>
      </c>
      <c r="BL75" s="514"/>
      <c r="BM75" s="503"/>
      <c r="BN75" s="503"/>
      <c r="BO75" s="503"/>
      <c r="BP75" s="514"/>
      <c r="BQ75" s="503"/>
      <c r="BR75" s="503"/>
      <c r="BS75" s="503"/>
      <c r="BT75" s="503">
        <f>128*9+25</f>
        <v>1177</v>
      </c>
      <c r="BU75" s="503"/>
      <c r="BV75" s="503"/>
      <c r="BW75" s="503"/>
      <c r="BX75" s="503">
        <f>128*9+25</f>
        <v>1177</v>
      </c>
      <c r="BY75" s="503"/>
      <c r="BZ75" s="3568">
        <f>128*17+4</f>
        <v>2180</v>
      </c>
      <c r="CA75" s="503"/>
      <c r="CB75" s="2705">
        <f>128*9+25</f>
        <v>1177</v>
      </c>
      <c r="CC75" s="503"/>
      <c r="CD75" s="503"/>
      <c r="CE75" s="503"/>
      <c r="CF75" s="514"/>
      <c r="CG75" s="3526"/>
      <c r="CH75" s="517">
        <v>430043</v>
      </c>
      <c r="CI75" s="2934"/>
      <c r="CJ75" s="3477"/>
      <c r="CK75" s="3477"/>
      <c r="CL75" s="3477"/>
      <c r="CM75" s="3478">
        <f>128*9+81+0.212</f>
        <v>1233.212</v>
      </c>
      <c r="CN75" s="3477"/>
      <c r="CO75" s="3477"/>
      <c r="CP75" s="3477"/>
      <c r="CQ75" s="3479"/>
      <c r="CR75" s="517">
        <v>430043</v>
      </c>
    </row>
    <row r="76" spans="1:96" ht="9" customHeight="1">
      <c r="A76" s="525">
        <v>200020</v>
      </c>
      <c r="B76" s="498">
        <v>25</v>
      </c>
      <c r="C76" s="3529"/>
      <c r="D76" s="3210"/>
      <c r="E76" s="3573">
        <f>128*17+3</f>
        <v>2179</v>
      </c>
      <c r="F76" s="3240">
        <f>128*9+69+0.083</f>
        <v>1221.0830000000001</v>
      </c>
      <c r="G76" s="3210"/>
      <c r="H76" s="3210"/>
      <c r="I76" s="3210"/>
      <c r="J76" s="3210"/>
      <c r="K76" s="3210"/>
      <c r="L76" s="3210"/>
      <c r="M76" s="3210"/>
      <c r="N76" s="3210"/>
      <c r="O76" s="3210"/>
      <c r="P76" s="3240">
        <f>128*9+69+0.083</f>
        <v>1221.0830000000001</v>
      </c>
      <c r="Q76" s="3546">
        <f>128*9+51</f>
        <v>1203</v>
      </c>
      <c r="R76" s="3544">
        <f>128*9+71</f>
        <v>1223</v>
      </c>
      <c r="S76" s="3529">
        <f>128*9+70</f>
        <v>1222</v>
      </c>
      <c r="T76" s="498">
        <v>25</v>
      </c>
      <c r="U76" s="831"/>
      <c r="V76" s="505">
        <v>200020</v>
      </c>
      <c r="W76" s="3569">
        <f>128*17+8</f>
        <v>2184</v>
      </c>
      <c r="X76" s="503"/>
      <c r="Y76" s="503"/>
      <c r="Z76" s="503"/>
      <c r="AA76" s="503"/>
      <c r="AB76" s="503"/>
      <c r="AC76" s="503"/>
      <c r="AD76" s="503"/>
      <c r="AE76" s="503"/>
      <c r="AF76" s="503"/>
      <c r="AG76" s="503"/>
      <c r="AH76" s="503"/>
      <c r="AI76" s="503"/>
      <c r="AJ76" s="514"/>
      <c r="AK76" s="1015">
        <f t="shared" si="19"/>
        <v>559</v>
      </c>
      <c r="AL76" s="831"/>
      <c r="AM76" s="831"/>
      <c r="AN76" s="831"/>
      <c r="AO76" s="831"/>
      <c r="AP76" s="831"/>
      <c r="AQ76" s="831"/>
      <c r="AR76" s="831"/>
      <c r="AS76" s="831"/>
      <c r="AT76" s="831"/>
      <c r="AU76" s="831"/>
      <c r="AV76" s="831"/>
      <c r="AW76" s="831"/>
      <c r="AX76" s="831"/>
      <c r="AY76" s="831"/>
      <c r="AZ76" s="831"/>
      <c r="BA76" s="831"/>
      <c r="BB76" s="831"/>
      <c r="BC76" s="831"/>
      <c r="BD76" s="831"/>
      <c r="BE76" s="792">
        <f t="shared" si="21"/>
        <v>559</v>
      </c>
      <c r="BF76" s="514"/>
      <c r="BG76" s="2703">
        <f>128*9+25</f>
        <v>1177</v>
      </c>
      <c r="BH76" s="498">
        <v>200020</v>
      </c>
      <c r="BI76" s="1568">
        <f>128*12+1</f>
        <v>1537</v>
      </c>
      <c r="BJ76" s="504">
        <v>20</v>
      </c>
      <c r="BK76" s="3527">
        <f>128*12+3</f>
        <v>1539</v>
      </c>
      <c r="BL76" s="514"/>
      <c r="BM76" s="514"/>
      <c r="BN76" s="514"/>
      <c r="BO76" s="511"/>
      <c r="BP76" s="511"/>
      <c r="BQ76" s="511"/>
      <c r="BR76" s="511"/>
      <c r="BS76" s="511"/>
      <c r="BT76" s="511"/>
      <c r="BU76" s="511"/>
      <c r="BV76" s="511"/>
      <c r="BW76" s="511"/>
      <c r="BX76" s="511"/>
      <c r="BY76" s="511"/>
      <c r="BZ76" s="511"/>
      <c r="CA76" s="511"/>
      <c r="CB76" s="511"/>
      <c r="CC76" s="511"/>
      <c r="CD76" s="511"/>
      <c r="CE76" s="511"/>
      <c r="CF76" s="514"/>
      <c r="CG76" s="3526">
        <f>128*9+25</f>
        <v>1177</v>
      </c>
      <c r="CH76" s="517">
        <v>430043</v>
      </c>
      <c r="CI76" s="2934"/>
      <c r="CJ76" s="3481">
        <f>128*9+81+0.212</f>
        <v>1233.212</v>
      </c>
      <c r="CK76" s="3480">
        <v>430043</v>
      </c>
      <c r="CL76" s="3482">
        <f t="shared" ref="CL76:CN77" si="22">128*9+81+0.212</f>
        <v>1233.212</v>
      </c>
      <c r="CM76" s="3480">
        <v>430043</v>
      </c>
      <c r="CN76" s="3481">
        <f t="shared" si="22"/>
        <v>1233.212</v>
      </c>
      <c r="CO76" s="3480">
        <v>430043</v>
      </c>
      <c r="CP76" s="3482">
        <f>128*9+81+0.212</f>
        <v>1233.212</v>
      </c>
      <c r="CQ76" s="3519">
        <f>128*9+83</f>
        <v>1235</v>
      </c>
      <c r="CR76" s="517">
        <v>430043</v>
      </c>
    </row>
    <row r="77" spans="1:96" ht="9" customHeight="1">
      <c r="A77" s="498">
        <v>25</v>
      </c>
      <c r="B77" s="3636">
        <f>128*9+14</f>
        <v>1166</v>
      </c>
      <c r="C77" s="3210"/>
      <c r="D77" s="3210"/>
      <c r="E77" s="3210"/>
      <c r="F77" s="498">
        <v>27</v>
      </c>
      <c r="G77" s="3210"/>
      <c r="H77" s="3210"/>
      <c r="I77" s="3210"/>
      <c r="J77" s="3210"/>
      <c r="K77" s="3210"/>
      <c r="L77" s="3210"/>
      <c r="M77" s="3210"/>
      <c r="N77" s="3210"/>
      <c r="O77" s="3210"/>
      <c r="P77" s="3541">
        <f>43+0.058</f>
        <v>43.058</v>
      </c>
      <c r="Q77" s="3529">
        <f>128*9+70</f>
        <v>1222</v>
      </c>
      <c r="R77" s="3529">
        <f>128*9+70</f>
        <v>1222</v>
      </c>
      <c r="S77" s="3529">
        <f>128*9+70</f>
        <v>1222</v>
      </c>
      <c r="T77" s="3529">
        <f>128*9+70+0.5+0.256+0.015</f>
        <v>1222.7710000000002</v>
      </c>
      <c r="U77" s="498">
        <v>49</v>
      </c>
      <c r="V77" s="505">
        <v>200020</v>
      </c>
      <c r="W77" s="3569">
        <f>128*17+4</f>
        <v>2180</v>
      </c>
      <c r="X77" s="503"/>
      <c r="Y77" s="503"/>
      <c r="Z77" s="503"/>
      <c r="AA77" s="503"/>
      <c r="AB77" s="503"/>
      <c r="AC77" s="503"/>
      <c r="AD77" s="503"/>
      <c r="AE77" s="503"/>
      <c r="AF77" s="503"/>
      <c r="AG77" s="503"/>
      <c r="AH77" s="503"/>
      <c r="AI77" s="532">
        <f>128*9+25+0.11</f>
        <v>1177.1099999999999</v>
      </c>
      <c r="AJ77" s="514"/>
      <c r="AK77" s="514">
        <v>20</v>
      </c>
      <c r="AL77" s="1043">
        <f t="shared" ref="AL77:BD77" si="23">128*4+47</f>
        <v>559</v>
      </c>
      <c r="AM77" s="1043">
        <f t="shared" si="23"/>
        <v>559</v>
      </c>
      <c r="AN77" s="1043">
        <f t="shared" si="23"/>
        <v>559</v>
      </c>
      <c r="AO77" s="1043">
        <f t="shared" si="23"/>
        <v>559</v>
      </c>
      <c r="AP77" s="1043">
        <f t="shared" si="23"/>
        <v>559</v>
      </c>
      <c r="AQ77" s="1043">
        <f t="shared" si="23"/>
        <v>559</v>
      </c>
      <c r="AR77" s="1043">
        <f t="shared" si="23"/>
        <v>559</v>
      </c>
      <c r="AS77" s="1043">
        <f t="shared" si="23"/>
        <v>559</v>
      </c>
      <c r="AT77" s="1043">
        <f t="shared" si="23"/>
        <v>559</v>
      </c>
      <c r="AU77" s="1043">
        <f t="shared" si="23"/>
        <v>559</v>
      </c>
      <c r="AV77" s="1043">
        <f t="shared" si="23"/>
        <v>559</v>
      </c>
      <c r="AW77" s="1043">
        <f t="shared" si="23"/>
        <v>559</v>
      </c>
      <c r="AX77" s="1043">
        <f t="shared" si="23"/>
        <v>559</v>
      </c>
      <c r="AY77" s="1043">
        <f t="shared" si="23"/>
        <v>559</v>
      </c>
      <c r="AZ77" s="1043">
        <f t="shared" si="23"/>
        <v>559</v>
      </c>
      <c r="BA77" s="1043">
        <f t="shared" si="23"/>
        <v>559</v>
      </c>
      <c r="BB77" s="1043">
        <f t="shared" si="23"/>
        <v>559</v>
      </c>
      <c r="BC77" s="1043">
        <f t="shared" si="23"/>
        <v>559</v>
      </c>
      <c r="BD77" s="1043">
        <f t="shared" si="23"/>
        <v>559</v>
      </c>
      <c r="BE77" s="514">
        <v>20</v>
      </c>
      <c r="BF77" s="514"/>
      <c r="BG77" s="503"/>
      <c r="BH77" s="498">
        <v>200020</v>
      </c>
      <c r="BI77" s="3572">
        <f>128*12+2+0.197</f>
        <v>1538.1969999999999</v>
      </c>
      <c r="BJ77" s="504">
        <v>20</v>
      </c>
      <c r="BK77" s="3527">
        <f>128*12+4</f>
        <v>1540</v>
      </c>
      <c r="BL77" s="3286">
        <f>128*12+5</f>
        <v>1541</v>
      </c>
      <c r="BM77" s="3286">
        <f>128*12+6</f>
        <v>1542</v>
      </c>
      <c r="BN77" s="3286">
        <f>128*12+7</f>
        <v>1543</v>
      </c>
      <c r="BO77" s="514"/>
      <c r="BP77" s="503"/>
      <c r="BQ77" s="503"/>
      <c r="BR77" s="503"/>
      <c r="BS77" s="503"/>
      <c r="BT77" s="2703">
        <f>128*9+25</f>
        <v>1177</v>
      </c>
      <c r="BU77" s="503"/>
      <c r="BV77" s="503"/>
      <c r="BW77" s="3569">
        <f>128*17+4</f>
        <v>2180</v>
      </c>
      <c r="BX77" s="503">
        <f>128*9+25</f>
        <v>1177</v>
      </c>
      <c r="BY77" s="503"/>
      <c r="BZ77" s="503"/>
      <c r="CA77" s="503"/>
      <c r="CB77" s="503">
        <f>128*9+25</f>
        <v>1177</v>
      </c>
      <c r="CC77" s="503"/>
      <c r="CD77" s="503"/>
      <c r="CE77" s="2704">
        <f>128*6+1</f>
        <v>769</v>
      </c>
      <c r="CF77" s="2704">
        <f>128*6+1</f>
        <v>769</v>
      </c>
      <c r="CG77" s="760">
        <f>460000+128*9+25</f>
        <v>461177</v>
      </c>
      <c r="CH77" s="517">
        <v>430043</v>
      </c>
      <c r="CI77" s="2934"/>
      <c r="CJ77" s="3481">
        <f>128*9+82+0.213</f>
        <v>1234.213</v>
      </c>
      <c r="CK77" s="3477"/>
      <c r="CL77" s="3477"/>
      <c r="CM77" s="3478">
        <f t="shared" si="22"/>
        <v>1233.212</v>
      </c>
      <c r="CN77" s="3477"/>
      <c r="CO77" s="3477">
        <f>0.256+0.029</f>
        <v>0.28500000000000003</v>
      </c>
      <c r="CP77" s="3482">
        <f>128*9+81+0.212</f>
        <v>1233.212</v>
      </c>
      <c r="CQ77" s="3479"/>
      <c r="CR77" s="517">
        <v>430043</v>
      </c>
    </row>
    <row r="78" spans="1:96" ht="9" customHeight="1">
      <c r="A78" s="498">
        <v>25</v>
      </c>
      <c r="B78" s="3546">
        <f>128*9+75</f>
        <v>1227</v>
      </c>
      <c r="C78" s="3210">
        <v>2.01E-2</v>
      </c>
      <c r="D78" s="3577">
        <f>128*8+9+0.384+0.0091</f>
        <v>1033.3931</v>
      </c>
      <c r="E78" s="3546">
        <f>128*9+75</f>
        <v>1227</v>
      </c>
      <c r="F78" s="498">
        <v>25</v>
      </c>
      <c r="G78" s="1750">
        <f>128*9+88+0.384+0.0025</f>
        <v>1240.3865000000001</v>
      </c>
      <c r="H78" s="1483">
        <f>43+0.058</f>
        <v>43.058</v>
      </c>
      <c r="I78" s="3210"/>
      <c r="J78" s="3210"/>
      <c r="K78" s="3210"/>
      <c r="L78" s="3210"/>
      <c r="M78" s="3210"/>
      <c r="N78" s="3541">
        <f>43+0.058</f>
        <v>43.058</v>
      </c>
      <c r="O78" s="1750">
        <f>128*9+88+0.384+0.0025</f>
        <v>1240.3865000000001</v>
      </c>
      <c r="P78" s="498">
        <v>25</v>
      </c>
      <c r="Q78" s="3529">
        <f>128*9+70+0.5+0.256+0.008</f>
        <v>1222.7640000000001</v>
      </c>
      <c r="R78" s="3529">
        <f>128*9+70+0.256+0.05</f>
        <v>1222.306</v>
      </c>
      <c r="S78" s="3529">
        <f>128*9+70+0.256+0.001</f>
        <v>1222.2570000000001</v>
      </c>
      <c r="T78" s="3529">
        <f>128*9+70+0.256+0.05</f>
        <v>1222.306</v>
      </c>
      <c r="U78" s="498">
        <v>49</v>
      </c>
      <c r="V78" s="505">
        <v>200020</v>
      </c>
      <c r="W78" s="511">
        <v>35</v>
      </c>
      <c r="X78" s="511">
        <v>35</v>
      </c>
      <c r="Y78" s="511">
        <v>35</v>
      </c>
      <c r="Z78" s="511">
        <v>35</v>
      </c>
      <c r="AA78" s="511">
        <v>35</v>
      </c>
      <c r="AB78" s="511">
        <v>35</v>
      </c>
      <c r="AC78" s="511">
        <v>35</v>
      </c>
      <c r="AD78" s="514">
        <v>35</v>
      </c>
      <c r="AE78" s="511">
        <v>35</v>
      </c>
      <c r="AF78" s="3630">
        <f>128*17+8</f>
        <v>2184</v>
      </c>
      <c r="AG78" s="514"/>
      <c r="AH78" s="514"/>
      <c r="AI78" s="514"/>
      <c r="AJ78" s="514"/>
      <c r="AK78" s="514"/>
      <c r="AL78" s="514"/>
      <c r="AM78" s="514"/>
      <c r="AN78" s="514"/>
      <c r="AO78" s="514"/>
      <c r="AP78" s="514">
        <f>128*10+1</f>
        <v>1281</v>
      </c>
      <c r="AQ78" s="514"/>
      <c r="AR78" s="514"/>
      <c r="AS78" s="514"/>
      <c r="AT78" s="514"/>
      <c r="AU78" s="514"/>
      <c r="AV78" s="514"/>
      <c r="AW78" s="514"/>
      <c r="AX78" s="514"/>
      <c r="AY78" s="514"/>
      <c r="AZ78" s="514"/>
      <c r="BA78" s="514"/>
      <c r="BB78" s="514"/>
      <c r="BC78" s="514"/>
      <c r="BD78" s="514"/>
      <c r="BE78" s="514"/>
      <c r="BF78" s="514"/>
      <c r="BG78" s="503"/>
      <c r="BH78" s="498">
        <v>200020</v>
      </c>
      <c r="BI78" s="1568">
        <f>128*12+3</f>
        <v>1539</v>
      </c>
      <c r="BJ78" s="504">
        <v>20</v>
      </c>
      <c r="BK78" s="504">
        <v>20</v>
      </c>
      <c r="BL78" s="504">
        <v>20</v>
      </c>
      <c r="BM78" s="504">
        <v>20</v>
      </c>
      <c r="BN78" s="504">
        <v>20</v>
      </c>
      <c r="BO78" s="514"/>
      <c r="BP78" s="503"/>
      <c r="BQ78" s="503"/>
      <c r="BR78" s="503"/>
      <c r="BS78" s="503"/>
      <c r="BT78" s="503"/>
      <c r="BU78" s="503"/>
      <c r="BV78" s="503"/>
      <c r="BW78" s="503"/>
      <c r="BX78" s="503"/>
      <c r="BY78" s="503"/>
      <c r="BZ78" s="503"/>
      <c r="CA78" s="503"/>
      <c r="CB78" s="503"/>
      <c r="CC78" s="503"/>
      <c r="CD78" s="3283">
        <f>128*9+25</f>
        <v>1177</v>
      </c>
      <c r="CE78" s="2705">
        <f>128*6+1</f>
        <v>769</v>
      </c>
      <c r="CF78" s="760">
        <f>460000+128*9+25</f>
        <v>461177</v>
      </c>
      <c r="CG78" s="759">
        <f>460000+128*6+17</f>
        <v>460785</v>
      </c>
      <c r="CH78" s="517">
        <v>430043</v>
      </c>
      <c r="CI78" s="2934"/>
      <c r="CJ78" s="3481">
        <f>128*9+81+0.212</f>
        <v>1233.212</v>
      </c>
      <c r="CK78" s="3480">
        <v>430043</v>
      </c>
      <c r="CL78" s="3477"/>
      <c r="CM78" s="3480">
        <v>430043</v>
      </c>
      <c r="CN78" s="3477"/>
      <c r="CO78" s="3480">
        <v>430043</v>
      </c>
      <c r="CP78" s="3482">
        <f>128*9+81+0.212</f>
        <v>1233.212</v>
      </c>
      <c r="CQ78" s="3479"/>
      <c r="CR78" s="517">
        <v>430043</v>
      </c>
    </row>
    <row r="79" spans="1:96" ht="9" customHeight="1" thickBot="1">
      <c r="A79" s="498">
        <v>25</v>
      </c>
      <c r="B79" s="3547">
        <v>15</v>
      </c>
      <c r="C79" s="498">
        <f>49+0.011</f>
        <v>49.011000000000003</v>
      </c>
      <c r="D79" s="498">
        <f>49+0.011</f>
        <v>49.011000000000003</v>
      </c>
      <c r="E79" s="3547">
        <v>15</v>
      </c>
      <c r="F79" s="498">
        <v>25</v>
      </c>
      <c r="G79" s="3543">
        <f>128*10+4+0.0201</f>
        <v>1284.0201</v>
      </c>
      <c r="H79" s="3545">
        <f>128*9+69+0.083</f>
        <v>1221.0830000000001</v>
      </c>
      <c r="I79" s="3210"/>
      <c r="J79" s="3210"/>
      <c r="K79" s="3210"/>
      <c r="L79" s="3210"/>
      <c r="M79" s="3210"/>
      <c r="N79" s="3545">
        <f>128*9+69+0.083</f>
        <v>1221.0830000000001</v>
      </c>
      <c r="O79" s="3542">
        <f>128*10+2+0.0191</f>
        <v>1282.0191</v>
      </c>
      <c r="P79" s="498">
        <v>25</v>
      </c>
      <c r="Q79" s="498">
        <f>49+0.205</f>
        <v>49.204999999999998</v>
      </c>
      <c r="R79" s="498">
        <f>49+0.205</f>
        <v>49.204999999999998</v>
      </c>
      <c r="S79" s="498">
        <f>49+0.205</f>
        <v>49.204999999999998</v>
      </c>
      <c r="T79" s="498">
        <f>49+0.205</f>
        <v>49.204999999999998</v>
      </c>
      <c r="U79" s="698">
        <f>49+0.068</f>
        <v>49.067999999999998</v>
      </c>
      <c r="V79" s="3230">
        <f>200000+128*11+25</f>
        <v>201433</v>
      </c>
      <c r="W79" s="707"/>
      <c r="X79" s="707"/>
      <c r="Y79" s="707"/>
      <c r="Z79" s="707"/>
      <c r="AA79" s="707"/>
      <c r="AB79" s="707"/>
      <c r="AC79" s="1456">
        <f>200000+128*11+28</f>
        <v>201436</v>
      </c>
      <c r="AD79" s="3413">
        <v>4</v>
      </c>
      <c r="AE79" s="511">
        <v>35</v>
      </c>
      <c r="AF79" s="1783">
        <f>128*17+4</f>
        <v>2180</v>
      </c>
      <c r="AG79" s="514"/>
      <c r="AH79" s="514"/>
      <c r="AI79" s="514"/>
      <c r="AJ79" s="514"/>
      <c r="AK79" s="514"/>
      <c r="AL79" s="514"/>
      <c r="AM79" s="514"/>
      <c r="AN79" s="514"/>
      <c r="AO79" s="514"/>
      <c r="AP79" s="514"/>
      <c r="AQ79" s="514"/>
      <c r="AR79" s="514"/>
      <c r="AS79" s="514"/>
      <c r="AT79" s="514"/>
      <c r="AU79" s="514">
        <f>128*10+15</f>
        <v>1295</v>
      </c>
      <c r="AV79" s="514"/>
      <c r="AW79" s="514"/>
      <c r="AX79" s="514"/>
      <c r="AY79" s="514"/>
      <c r="AZ79" s="514"/>
      <c r="BA79" s="514"/>
      <c r="BB79" s="514"/>
      <c r="BC79" s="514"/>
      <c r="BD79" s="3630">
        <f>128*17+4</f>
        <v>2180</v>
      </c>
      <c r="BE79" s="514"/>
      <c r="BF79" s="503"/>
      <c r="BG79" s="503"/>
      <c r="BH79" s="498">
        <v>200020</v>
      </c>
      <c r="BI79" s="1568">
        <f>128*12+4</f>
        <v>1540</v>
      </c>
      <c r="BJ79" s="1567">
        <f>128*12+5</f>
        <v>1541</v>
      </c>
      <c r="BK79" s="1567">
        <f>128*12+6+0.5+0.169</f>
        <v>1542.6690000000001</v>
      </c>
      <c r="BL79" s="1568">
        <f>128*12+7</f>
        <v>1543</v>
      </c>
      <c r="BM79" s="757">
        <f>128*10+1</f>
        <v>1281</v>
      </c>
      <c r="BN79" s="504">
        <v>20</v>
      </c>
      <c r="BO79" s="503"/>
      <c r="BP79" s="503"/>
      <c r="BQ79" s="503"/>
      <c r="BR79" s="503"/>
      <c r="BS79" s="503"/>
      <c r="BT79" s="503"/>
      <c r="BU79" s="503"/>
      <c r="BV79" s="503"/>
      <c r="BW79" s="503"/>
      <c r="BX79" s="503">
        <f>128*9+25</f>
        <v>1177</v>
      </c>
      <c r="BY79" s="503"/>
      <c r="BZ79" s="503"/>
      <c r="CA79" s="503"/>
      <c r="CB79" s="503"/>
      <c r="CC79" s="503">
        <f>128*9+25</f>
        <v>1177</v>
      </c>
      <c r="CD79" s="759">
        <f>460000+128*6+17</f>
        <v>460785</v>
      </c>
      <c r="CE79" s="759">
        <f>460000+128*6+17+0.256+0.0014</f>
        <v>460785.2574</v>
      </c>
      <c r="CF79" s="759">
        <f>460000+128*6+17</f>
        <v>460785</v>
      </c>
      <c r="CG79" s="3525">
        <f>460000+128*10+4</f>
        <v>461284</v>
      </c>
      <c r="CH79" s="517">
        <v>430043</v>
      </c>
      <c r="CI79" s="2934"/>
      <c r="CJ79" s="2934"/>
      <c r="CK79" s="2934"/>
      <c r="CL79" s="3522">
        <f>128*9+82+0.213</f>
        <v>1234.213</v>
      </c>
      <c r="CM79" s="2934"/>
      <c r="CN79" s="3522">
        <f>128*9+82+0.213</f>
        <v>1234.213</v>
      </c>
      <c r="CO79" s="2934"/>
      <c r="CP79" s="2934"/>
      <c r="CQ79" s="3479"/>
      <c r="CR79" s="517">
        <v>430043</v>
      </c>
    </row>
    <row r="80" spans="1:96" ht="9" customHeight="1" thickTop="1">
      <c r="A80" s="525">
        <v>200020</v>
      </c>
      <c r="B80" s="525">
        <v>200020</v>
      </c>
      <c r="C80" s="525">
        <v>200020</v>
      </c>
      <c r="D80" s="525">
        <v>200020</v>
      </c>
      <c r="E80" s="525">
        <v>200020</v>
      </c>
      <c r="F80" s="498">
        <v>25</v>
      </c>
      <c r="G80" s="498">
        <v>25</v>
      </c>
      <c r="H80" s="498">
        <v>25</v>
      </c>
      <c r="I80" s="498">
        <v>25</v>
      </c>
      <c r="J80" s="678">
        <v>25</v>
      </c>
      <c r="K80" s="3540">
        <f>25+0.065</f>
        <v>25.065000000000001</v>
      </c>
      <c r="L80" s="678">
        <v>25</v>
      </c>
      <c r="M80" s="498">
        <v>25</v>
      </c>
      <c r="N80" s="498">
        <v>25</v>
      </c>
      <c r="O80" s="498">
        <v>25</v>
      </c>
      <c r="P80" s="498">
        <v>25</v>
      </c>
      <c r="Q80" s="525">
        <v>200020</v>
      </c>
      <c r="R80" s="525">
        <v>200020</v>
      </c>
      <c r="S80" s="525">
        <v>200020</v>
      </c>
      <c r="T80" s="525">
        <v>200020</v>
      </c>
      <c r="U80" s="517">
        <v>200049</v>
      </c>
      <c r="V80" s="1824">
        <v>200020</v>
      </c>
      <c r="W80" s="771">
        <v>200035</v>
      </c>
      <c r="X80" s="771">
        <v>200035</v>
      </c>
      <c r="Y80" s="771">
        <v>200035</v>
      </c>
      <c r="Z80" s="771">
        <v>200035</v>
      </c>
      <c r="AA80" s="771">
        <v>200035</v>
      </c>
      <c r="AB80" s="771">
        <v>200035</v>
      </c>
      <c r="AC80" s="771">
        <v>200035</v>
      </c>
      <c r="AD80" s="771">
        <v>200035</v>
      </c>
      <c r="AE80" s="771">
        <v>200035</v>
      </c>
      <c r="AF80" s="771">
        <v>200020</v>
      </c>
      <c r="AG80" s="771">
        <v>200020</v>
      </c>
      <c r="AH80" s="771">
        <v>200020</v>
      </c>
      <c r="AI80" s="771">
        <v>200020</v>
      </c>
      <c r="AJ80" s="771">
        <v>200020</v>
      </c>
      <c r="AK80" s="771">
        <v>200020</v>
      </c>
      <c r="AL80" s="771">
        <v>200020</v>
      </c>
      <c r="AM80" s="771">
        <v>200020</v>
      </c>
      <c r="AN80" s="771">
        <v>200020</v>
      </c>
      <c r="AO80" s="771">
        <v>200020</v>
      </c>
      <c r="AP80" s="771">
        <v>200020</v>
      </c>
      <c r="AQ80" s="771">
        <v>200020</v>
      </c>
      <c r="AR80" s="771">
        <v>200020</v>
      </c>
      <c r="AS80" s="771">
        <v>200020</v>
      </c>
      <c r="AT80" s="771">
        <v>200020</v>
      </c>
      <c r="AU80" s="771">
        <v>200020</v>
      </c>
      <c r="AV80" s="771">
        <v>200020</v>
      </c>
      <c r="AW80" s="771">
        <v>200020</v>
      </c>
      <c r="AX80" s="771">
        <v>200020</v>
      </c>
      <c r="AY80" s="771">
        <v>200020</v>
      </c>
      <c r="AZ80" s="771">
        <v>200020</v>
      </c>
      <c r="BA80" s="771">
        <v>200020</v>
      </c>
      <c r="BB80" s="771">
        <v>200020</v>
      </c>
      <c r="BC80" s="771">
        <v>200020</v>
      </c>
      <c r="BD80" s="771">
        <v>200020</v>
      </c>
      <c r="BE80" s="771">
        <v>200020</v>
      </c>
      <c r="BF80" s="771">
        <v>200020</v>
      </c>
      <c r="BG80" s="771">
        <v>200020</v>
      </c>
      <c r="BH80" s="771">
        <v>200020</v>
      </c>
      <c r="BI80" s="771">
        <v>200020</v>
      </c>
      <c r="BJ80" s="771">
        <v>200020</v>
      </c>
      <c r="BK80" s="771">
        <v>200020</v>
      </c>
      <c r="BL80" s="498">
        <v>200020</v>
      </c>
      <c r="BM80" s="498">
        <v>200020</v>
      </c>
      <c r="BN80" s="498">
        <v>200020</v>
      </c>
      <c r="BO80" s="498">
        <v>200020</v>
      </c>
      <c r="BP80" s="498">
        <v>200020</v>
      </c>
      <c r="BQ80" s="498">
        <v>200020</v>
      </c>
      <c r="BR80" s="498">
        <v>200020</v>
      </c>
      <c r="BS80" s="498">
        <v>200020</v>
      </c>
      <c r="BT80" s="498">
        <v>200020</v>
      </c>
      <c r="BU80" s="771">
        <v>200020</v>
      </c>
      <c r="BV80" s="771">
        <v>200020</v>
      </c>
      <c r="BW80" s="771">
        <v>200020</v>
      </c>
      <c r="BX80" s="771">
        <v>200020</v>
      </c>
      <c r="BY80" s="771">
        <v>200020</v>
      </c>
      <c r="BZ80" s="771">
        <v>200020</v>
      </c>
      <c r="CA80" s="771">
        <v>200020</v>
      </c>
      <c r="CB80" s="771">
        <v>200020</v>
      </c>
      <c r="CC80" s="771">
        <v>200020</v>
      </c>
      <c r="CD80" s="771">
        <v>200020</v>
      </c>
      <c r="CE80" s="771">
        <v>200020</v>
      </c>
      <c r="CF80" s="771">
        <v>200020</v>
      </c>
      <c r="CG80" s="2298">
        <v>200020</v>
      </c>
      <c r="CH80" s="517">
        <v>430043</v>
      </c>
      <c r="CI80" s="517">
        <v>430043</v>
      </c>
      <c r="CJ80" s="517">
        <v>430043</v>
      </c>
      <c r="CK80" s="517">
        <v>430043</v>
      </c>
      <c r="CL80" s="517">
        <v>430043</v>
      </c>
      <c r="CM80" s="517">
        <v>430043</v>
      </c>
      <c r="CN80" s="517">
        <v>430043</v>
      </c>
      <c r="CO80" s="517">
        <v>430043</v>
      </c>
      <c r="CP80" s="517">
        <v>430043</v>
      </c>
      <c r="CQ80" s="517">
        <v>430043</v>
      </c>
      <c r="CR80" s="517">
        <v>430043</v>
      </c>
    </row>
    <row r="81" spans="1:14" ht="9" customHeight="1">
      <c r="A81" s="994" t="s">
        <v>670</v>
      </c>
      <c r="B81" s="1221" t="s">
        <v>169</v>
      </c>
    </row>
    <row r="82" spans="1:14" ht="9" customHeight="1">
      <c r="A82" s="1222" t="s">
        <v>1057</v>
      </c>
      <c r="B82" s="1">
        <v>3</v>
      </c>
      <c r="C82" s="1226"/>
      <c r="D82" s="1">
        <v>2</v>
      </c>
      <c r="E82" s="1">
        <v>1</v>
      </c>
      <c r="F82" s="1">
        <v>4</v>
      </c>
      <c r="G82" s="1">
        <v>1</v>
      </c>
      <c r="H82" s="1">
        <v>60</v>
      </c>
      <c r="I82" s="1">
        <v>1</v>
      </c>
      <c r="J82" s="1">
        <v>110</v>
      </c>
      <c r="K82" s="1">
        <v>5</v>
      </c>
      <c r="L82" s="1">
        <v>9</v>
      </c>
      <c r="M82" t="s">
        <v>1102</v>
      </c>
      <c r="N82">
        <v>2</v>
      </c>
    </row>
    <row r="83" spans="1:14" ht="9" customHeight="1">
      <c r="A83" s="1222" t="s">
        <v>1058</v>
      </c>
      <c r="B83">
        <v>1</v>
      </c>
      <c r="D83">
        <v>5</v>
      </c>
      <c r="E83" s="1" t="s">
        <v>28</v>
      </c>
    </row>
    <row r="84" spans="1:14" ht="9" customHeight="1">
      <c r="A84" s="1222" t="s">
        <v>1060</v>
      </c>
      <c r="B84">
        <v>1</v>
      </c>
      <c r="D84">
        <v>2</v>
      </c>
      <c r="E84" s="1" t="s">
        <v>895</v>
      </c>
    </row>
    <row r="85" spans="1:14" ht="9" customHeight="1">
      <c r="A85" s="1222" t="s">
        <v>1061</v>
      </c>
      <c r="B85">
        <v>1</v>
      </c>
      <c r="D85">
        <v>2</v>
      </c>
      <c r="E85" s="1" t="s">
        <v>897</v>
      </c>
    </row>
    <row r="86" spans="1:14" ht="9" customHeight="1">
      <c r="A86" s="1222" t="s">
        <v>1063</v>
      </c>
      <c r="B86">
        <v>1</v>
      </c>
      <c r="D86">
        <v>5</v>
      </c>
      <c r="E86" s="1" t="s">
        <v>449</v>
      </c>
    </row>
    <row r="87" spans="1:14" ht="9" customHeight="1">
      <c r="A87" s="1222" t="s">
        <v>1065</v>
      </c>
      <c r="B87" s="1">
        <v>2</v>
      </c>
      <c r="C87" s="1226"/>
      <c r="D87" s="1">
        <v>1</v>
      </c>
      <c r="E87" s="1">
        <v>10</v>
      </c>
      <c r="F87">
        <v>10</v>
      </c>
      <c r="G87">
        <v>10</v>
      </c>
      <c r="H87" s="1">
        <v>0</v>
      </c>
      <c r="I87" s="1232" t="s">
        <v>450</v>
      </c>
      <c r="J87">
        <v>7</v>
      </c>
    </row>
    <row r="88" spans="1:14" ht="9" customHeight="1">
      <c r="A88" s="1222" t="s">
        <v>1067</v>
      </c>
      <c r="B88">
        <v>1</v>
      </c>
      <c r="D88">
        <v>2</v>
      </c>
      <c r="E88" s="3350" t="s">
        <v>451</v>
      </c>
    </row>
    <row r="89" spans="1:14" ht="9" customHeight="1">
      <c r="A89" s="1222" t="s">
        <v>1068</v>
      </c>
      <c r="B89" s="1">
        <v>3</v>
      </c>
      <c r="C89" s="1226">
        <v>51</v>
      </c>
      <c r="D89" s="1">
        <v>6</v>
      </c>
      <c r="E89" s="1">
        <v>2</v>
      </c>
      <c r="F89" s="1">
        <v>4</v>
      </c>
      <c r="G89" s="1">
        <v>1</v>
      </c>
      <c r="H89" s="1">
        <v>60</v>
      </c>
      <c r="I89" s="1">
        <v>1</v>
      </c>
      <c r="J89" s="1">
        <v>110</v>
      </c>
      <c r="K89" s="1">
        <v>5</v>
      </c>
      <c r="L89" s="1">
        <v>9</v>
      </c>
      <c r="M89" s="1" t="s">
        <v>452</v>
      </c>
      <c r="N89">
        <v>1</v>
      </c>
    </row>
    <row r="90" spans="1:14" ht="9" customHeight="1">
      <c r="A90" s="1222" t="s">
        <v>1069</v>
      </c>
      <c r="B90">
        <v>1</v>
      </c>
      <c r="D90">
        <v>2</v>
      </c>
      <c r="E90" s="3350" t="s">
        <v>473</v>
      </c>
    </row>
    <row r="91" spans="1:14" ht="9" customHeight="1">
      <c r="A91" s="1222" t="s">
        <v>1070</v>
      </c>
      <c r="B91">
        <v>1</v>
      </c>
      <c r="D91">
        <v>2</v>
      </c>
      <c r="E91" t="s">
        <v>474</v>
      </c>
    </row>
    <row r="92" spans="1:14" ht="9" customHeight="1">
      <c r="A92" s="1222" t="s">
        <v>1071</v>
      </c>
      <c r="B92">
        <v>1</v>
      </c>
      <c r="D92">
        <v>5</v>
      </c>
      <c r="E92" t="s">
        <v>476</v>
      </c>
    </row>
    <row r="93" spans="1:14" ht="9" customHeight="1">
      <c r="A93" s="1223">
        <v>12</v>
      </c>
      <c r="B93" s="1">
        <v>3</v>
      </c>
      <c r="C93" s="1226">
        <v>51</v>
      </c>
      <c r="D93" s="1">
        <v>2</v>
      </c>
      <c r="E93" s="1">
        <v>2</v>
      </c>
      <c r="F93" s="1">
        <v>4</v>
      </c>
      <c r="G93" s="1">
        <v>1</v>
      </c>
      <c r="H93" s="1">
        <v>78</v>
      </c>
      <c r="I93" s="1">
        <v>1</v>
      </c>
      <c r="J93" s="1">
        <v>110</v>
      </c>
      <c r="K93" s="1">
        <v>2</v>
      </c>
      <c r="L93" s="1">
        <v>9</v>
      </c>
      <c r="M93" s="1" t="s">
        <v>485</v>
      </c>
      <c r="N93">
        <v>1</v>
      </c>
    </row>
    <row r="94" spans="1:14" ht="9" customHeight="1">
      <c r="A94" s="1223">
        <v>13</v>
      </c>
      <c r="B94">
        <v>1</v>
      </c>
      <c r="D94">
        <v>5</v>
      </c>
      <c r="E94" t="s">
        <v>486</v>
      </c>
    </row>
    <row r="95" spans="1:14" ht="9" customHeight="1">
      <c r="A95" s="1223">
        <v>14</v>
      </c>
      <c r="B95">
        <v>1</v>
      </c>
      <c r="D95">
        <v>5</v>
      </c>
      <c r="E95" t="s">
        <v>490</v>
      </c>
    </row>
    <row r="96" spans="1:14" ht="9" customHeight="1">
      <c r="A96" s="1223">
        <v>15</v>
      </c>
      <c r="B96">
        <v>1</v>
      </c>
      <c r="D96">
        <v>5</v>
      </c>
      <c r="E96" t="s">
        <v>491</v>
      </c>
    </row>
    <row r="97" spans="1:14" ht="9" customHeight="1">
      <c r="A97" s="1049">
        <v>16</v>
      </c>
      <c r="B97">
        <v>1</v>
      </c>
      <c r="D97">
        <v>2</v>
      </c>
      <c r="E97" t="s">
        <v>318</v>
      </c>
    </row>
    <row r="98" spans="1:14" ht="9" customHeight="1">
      <c r="A98" s="1049">
        <v>17</v>
      </c>
      <c r="B98">
        <v>1</v>
      </c>
      <c r="D98">
        <v>5</v>
      </c>
      <c r="E98" t="s">
        <v>320</v>
      </c>
    </row>
    <row r="99" spans="1:14" ht="9" customHeight="1">
      <c r="A99" s="1049">
        <v>18</v>
      </c>
      <c r="B99">
        <v>1</v>
      </c>
      <c r="D99">
        <v>2</v>
      </c>
      <c r="E99" t="s">
        <v>319</v>
      </c>
    </row>
    <row r="100" spans="1:14" ht="9" customHeight="1">
      <c r="A100" s="1049">
        <v>19</v>
      </c>
      <c r="B100" s="1">
        <v>3</v>
      </c>
      <c r="C100" s="1226"/>
      <c r="D100" s="1">
        <v>2</v>
      </c>
      <c r="E100" s="1">
        <v>1</v>
      </c>
      <c r="F100" s="1">
        <v>4</v>
      </c>
      <c r="G100" s="1">
        <v>10</v>
      </c>
      <c r="H100" s="1">
        <v>68</v>
      </c>
      <c r="I100" s="1">
        <v>10</v>
      </c>
      <c r="J100" s="1">
        <v>100</v>
      </c>
      <c r="K100" s="1">
        <v>5</v>
      </c>
      <c r="L100" s="1">
        <v>9</v>
      </c>
      <c r="M100" t="s">
        <v>1094</v>
      </c>
      <c r="N100">
        <v>2</v>
      </c>
    </row>
    <row r="101" spans="1:14" ht="9" customHeight="1">
      <c r="A101" s="1049">
        <v>20</v>
      </c>
    </row>
    <row r="102" spans="1:14" ht="9" customHeight="1">
      <c r="A102" s="1049">
        <v>21</v>
      </c>
    </row>
    <row r="103" spans="1:14" ht="9" customHeight="1">
      <c r="A103" s="1049">
        <v>22</v>
      </c>
    </row>
    <row r="104" spans="1:14" ht="9" customHeight="1">
      <c r="A104" s="1049">
        <v>23</v>
      </c>
    </row>
    <row r="105" spans="1:14" ht="9" customHeight="1">
      <c r="A105" s="1049">
        <v>24</v>
      </c>
    </row>
    <row r="106" spans="1:14" ht="9" customHeight="1">
      <c r="A106" s="1049">
        <v>25</v>
      </c>
    </row>
    <row r="107" spans="1:14" ht="9" customHeight="1">
      <c r="A107" s="1049">
        <v>26</v>
      </c>
    </row>
    <row r="108" spans="1:14" ht="9" customHeight="1">
      <c r="A108" s="1049">
        <v>27</v>
      </c>
    </row>
    <row r="109" spans="1:14" ht="9" customHeight="1">
      <c r="A109" s="1049">
        <v>28</v>
      </c>
    </row>
    <row r="110" spans="1:14" ht="9" customHeight="1">
      <c r="A110" s="1049">
        <v>29</v>
      </c>
    </row>
    <row r="111" spans="1:14" ht="9" customHeight="1">
      <c r="A111" s="1049">
        <v>30</v>
      </c>
    </row>
    <row r="112" spans="1:14" ht="9" customHeight="1">
      <c r="A112" s="1049">
        <v>31</v>
      </c>
    </row>
    <row r="113" spans="1:1" ht="9" customHeight="1">
      <c r="A113" s="1049">
        <v>32</v>
      </c>
    </row>
    <row r="114" spans="1:1" ht="9" customHeight="1">
      <c r="A114" s="1049">
        <v>33</v>
      </c>
    </row>
    <row r="115" spans="1:1" ht="9" customHeight="1">
      <c r="A115" s="1049">
        <v>34</v>
      </c>
    </row>
    <row r="116" spans="1:1" ht="9" customHeight="1">
      <c r="A116" s="1049">
        <v>35</v>
      </c>
    </row>
    <row r="117" spans="1:1" ht="9" customHeight="1">
      <c r="A117" s="1049">
        <v>36</v>
      </c>
    </row>
    <row r="118" spans="1:1" ht="9" customHeight="1">
      <c r="A118" s="1049">
        <v>37</v>
      </c>
    </row>
    <row r="119" spans="1:1" ht="9" customHeight="1">
      <c r="A119" s="1049">
        <v>38</v>
      </c>
    </row>
    <row r="120" spans="1:1" ht="9" customHeight="1">
      <c r="A120" s="1049">
        <v>39</v>
      </c>
    </row>
    <row r="121" spans="1:1" ht="9" customHeight="1">
      <c r="A121" s="1224">
        <v>40</v>
      </c>
    </row>
    <row r="122" spans="1:1" ht="9" customHeight="1">
      <c r="A122" s="1223">
        <v>41</v>
      </c>
    </row>
    <row r="123" spans="1:1" ht="9" customHeight="1">
      <c r="A123" s="1049">
        <v>42</v>
      </c>
    </row>
    <row r="124" spans="1:1" ht="9" customHeight="1">
      <c r="A124" s="1049">
        <v>43</v>
      </c>
    </row>
    <row r="125" spans="1:1" ht="9" customHeight="1">
      <c r="A125" s="1049">
        <v>44</v>
      </c>
    </row>
    <row r="126" spans="1:1" ht="9" customHeight="1">
      <c r="A126" s="1049">
        <v>45</v>
      </c>
    </row>
    <row r="127" spans="1:1" ht="9" customHeight="1">
      <c r="A127" s="1049">
        <v>46</v>
      </c>
    </row>
    <row r="128" spans="1:1" ht="9" customHeight="1">
      <c r="A128" s="1049">
        <v>47</v>
      </c>
    </row>
    <row r="129" spans="1:47" ht="9" customHeight="1">
      <c r="A129" s="1049">
        <v>48</v>
      </c>
    </row>
    <row r="130" spans="1:47" ht="9" customHeight="1">
      <c r="A130" s="1049">
        <v>49</v>
      </c>
    </row>
    <row r="131" spans="1:47" ht="9" customHeight="1">
      <c r="A131" s="1225">
        <v>50</v>
      </c>
      <c r="B131" s="1">
        <v>2</v>
      </c>
      <c r="C131" s="1226"/>
      <c r="D131" s="1">
        <v>2</v>
      </c>
      <c r="E131" s="1">
        <v>2</v>
      </c>
      <c r="F131">
        <v>4</v>
      </c>
      <c r="G131">
        <v>5</v>
      </c>
      <c r="H131" s="1">
        <v>9</v>
      </c>
      <c r="I131" s="1232" t="s">
        <v>1101</v>
      </c>
      <c r="J131">
        <v>9</v>
      </c>
      <c r="K131" s="1226"/>
      <c r="L131" s="1">
        <v>2</v>
      </c>
      <c r="M131" s="1">
        <v>2</v>
      </c>
      <c r="N131">
        <v>4</v>
      </c>
      <c r="O131">
        <v>5</v>
      </c>
      <c r="P131" s="1">
        <v>9</v>
      </c>
      <c r="Q131" t="s">
        <v>315</v>
      </c>
      <c r="R131">
        <v>9</v>
      </c>
      <c r="S131" s="1226"/>
      <c r="T131" s="1">
        <v>2</v>
      </c>
      <c r="U131" s="1">
        <v>2</v>
      </c>
      <c r="V131">
        <v>4</v>
      </c>
      <c r="W131">
        <v>5</v>
      </c>
      <c r="X131" s="1">
        <v>9</v>
      </c>
      <c r="Y131" t="s">
        <v>316</v>
      </c>
      <c r="Z131">
        <v>9</v>
      </c>
    </row>
    <row r="132" spans="1:47" ht="9" customHeight="1">
      <c r="A132" s="1228" t="s">
        <v>69</v>
      </c>
      <c r="B132">
        <v>4</v>
      </c>
      <c r="C132">
        <v>18900920</v>
      </c>
      <c r="D132">
        <v>60</v>
      </c>
      <c r="E132">
        <v>100101001</v>
      </c>
      <c r="F132">
        <v>80</v>
      </c>
      <c r="G132">
        <v>19420618</v>
      </c>
      <c r="H132">
        <v>77</v>
      </c>
      <c r="I132">
        <v>19670220</v>
      </c>
      <c r="J132">
        <v>27</v>
      </c>
      <c r="K132">
        <v>19421127</v>
      </c>
      <c r="L132">
        <v>270</v>
      </c>
      <c r="M132">
        <v>3210</v>
      </c>
      <c r="N132">
        <v>999</v>
      </c>
    </row>
    <row r="133" spans="1:47" ht="9" customHeight="1">
      <c r="A133" s="1601" t="s">
        <v>70</v>
      </c>
    </row>
    <row r="134" spans="1:47" ht="9" customHeight="1">
      <c r="A134" s="1229">
        <v>53</v>
      </c>
    </row>
    <row r="135" spans="1:47" ht="9" customHeight="1">
      <c r="A135" s="1229">
        <v>54</v>
      </c>
    </row>
    <row r="136" spans="1:47" ht="9" customHeight="1">
      <c r="A136" s="1229">
        <v>55</v>
      </c>
    </row>
    <row r="137" spans="1:47" ht="9" customHeight="1">
      <c r="A137" s="1229">
        <v>56</v>
      </c>
    </row>
    <row r="138" spans="1:47" ht="9" customHeight="1">
      <c r="A138" s="1229">
        <v>57</v>
      </c>
    </row>
    <row r="139" spans="1:47" ht="9" customHeight="1">
      <c r="A139" s="1229">
        <v>58</v>
      </c>
      <c r="B139" s="1">
        <v>2</v>
      </c>
      <c r="C139" s="1226"/>
      <c r="D139" s="1">
        <v>4</v>
      </c>
      <c r="E139" s="1">
        <v>4</v>
      </c>
      <c r="F139">
        <v>4</v>
      </c>
      <c r="G139">
        <v>7</v>
      </c>
      <c r="H139" s="1">
        <v>0</v>
      </c>
      <c r="I139" s="1" t="s">
        <v>465</v>
      </c>
      <c r="J139">
        <v>3</v>
      </c>
      <c r="K139" s="1226"/>
      <c r="L139" s="1">
        <v>4</v>
      </c>
      <c r="M139">
        <v>4</v>
      </c>
      <c r="N139">
        <v>4</v>
      </c>
      <c r="O139">
        <v>7</v>
      </c>
      <c r="P139" s="1">
        <v>0</v>
      </c>
      <c r="Q139" s="1" t="s">
        <v>468</v>
      </c>
      <c r="R139">
        <v>3</v>
      </c>
      <c r="S139" s="1226"/>
      <c r="T139" s="1">
        <v>4</v>
      </c>
      <c r="U139">
        <v>4</v>
      </c>
      <c r="V139">
        <v>4</v>
      </c>
      <c r="W139">
        <v>7</v>
      </c>
      <c r="X139" s="1">
        <v>0</v>
      </c>
      <c r="Y139" s="1" t="s">
        <v>467</v>
      </c>
      <c r="Z139">
        <v>3</v>
      </c>
      <c r="AA139" s="1226"/>
      <c r="AB139" s="1">
        <v>4</v>
      </c>
      <c r="AC139">
        <v>4</v>
      </c>
      <c r="AD139">
        <v>4</v>
      </c>
      <c r="AE139">
        <v>7</v>
      </c>
      <c r="AF139" s="1">
        <v>0</v>
      </c>
      <c r="AG139" s="1" t="s">
        <v>469</v>
      </c>
      <c r="AH139">
        <v>3</v>
      </c>
      <c r="AI139" s="1226"/>
      <c r="AJ139" s="1">
        <v>4</v>
      </c>
      <c r="AK139">
        <v>4</v>
      </c>
      <c r="AL139">
        <v>4</v>
      </c>
      <c r="AM139">
        <v>7</v>
      </c>
      <c r="AN139" s="1">
        <v>0</v>
      </c>
      <c r="AO139" s="1" t="s">
        <v>472</v>
      </c>
      <c r="AP139">
        <v>3</v>
      </c>
      <c r="AU139" t="s">
        <v>1073</v>
      </c>
    </row>
    <row r="140" spans="1:47" ht="9" customHeight="1">
      <c r="A140" s="1229">
        <v>59</v>
      </c>
      <c r="B140" s="1">
        <v>2</v>
      </c>
      <c r="C140" s="1226"/>
      <c r="D140" s="1">
        <v>4</v>
      </c>
      <c r="E140" s="1">
        <v>4</v>
      </c>
      <c r="F140">
        <v>4</v>
      </c>
      <c r="G140">
        <v>7</v>
      </c>
      <c r="H140" s="1">
        <v>0</v>
      </c>
      <c r="I140" s="1" t="s">
        <v>465</v>
      </c>
      <c r="J140">
        <v>3</v>
      </c>
      <c r="K140" s="1226"/>
      <c r="L140" s="1">
        <v>4</v>
      </c>
      <c r="M140">
        <v>4</v>
      </c>
      <c r="N140">
        <v>4</v>
      </c>
      <c r="O140">
        <v>7</v>
      </c>
      <c r="P140" s="1">
        <v>0</v>
      </c>
      <c r="Q140" s="1" t="s">
        <v>468</v>
      </c>
      <c r="R140">
        <v>3</v>
      </c>
      <c r="S140" s="1226"/>
      <c r="T140" s="1">
        <v>4</v>
      </c>
      <c r="U140">
        <v>4</v>
      </c>
      <c r="V140">
        <v>4</v>
      </c>
      <c r="W140">
        <v>7</v>
      </c>
      <c r="X140" s="1">
        <v>0</v>
      </c>
      <c r="Y140" s="1" t="s">
        <v>467</v>
      </c>
      <c r="Z140">
        <v>3</v>
      </c>
      <c r="AA140" s="1226"/>
      <c r="AB140" s="1">
        <v>4</v>
      </c>
      <c r="AC140">
        <v>4</v>
      </c>
      <c r="AD140">
        <v>4</v>
      </c>
      <c r="AE140">
        <v>7</v>
      </c>
      <c r="AF140" s="1">
        <v>0</v>
      </c>
      <c r="AG140" s="1" t="s">
        <v>469</v>
      </c>
      <c r="AH140">
        <v>3</v>
      </c>
      <c r="AI140" s="1226"/>
      <c r="AJ140" s="1">
        <v>4</v>
      </c>
      <c r="AK140">
        <v>4</v>
      </c>
      <c r="AL140">
        <v>4</v>
      </c>
      <c r="AM140">
        <v>7</v>
      </c>
      <c r="AN140" s="1">
        <v>0</v>
      </c>
      <c r="AO140" s="1" t="s">
        <v>472</v>
      </c>
      <c r="AP140">
        <v>3</v>
      </c>
      <c r="AU140" t="s">
        <v>1073</v>
      </c>
    </row>
    <row r="141" spans="1:47" ht="9" customHeight="1">
      <c r="A141" s="1229">
        <v>60</v>
      </c>
      <c r="B141" s="1">
        <v>2</v>
      </c>
      <c r="C141" s="1226"/>
      <c r="D141" s="1">
        <v>4</v>
      </c>
      <c r="E141" s="1">
        <v>4</v>
      </c>
      <c r="F141">
        <v>4</v>
      </c>
      <c r="G141">
        <v>7</v>
      </c>
      <c r="H141" s="1">
        <v>0</v>
      </c>
      <c r="I141" s="1" t="s">
        <v>465</v>
      </c>
      <c r="J141">
        <v>3</v>
      </c>
      <c r="K141" s="1226"/>
      <c r="L141" s="1">
        <v>4</v>
      </c>
      <c r="M141">
        <v>4</v>
      </c>
      <c r="N141">
        <v>4</v>
      </c>
      <c r="O141">
        <v>7</v>
      </c>
      <c r="P141" s="1">
        <v>0</v>
      </c>
      <c r="Q141" s="1" t="s">
        <v>468</v>
      </c>
      <c r="R141">
        <v>3</v>
      </c>
      <c r="S141" s="1226"/>
      <c r="T141" s="1">
        <v>4</v>
      </c>
      <c r="U141">
        <v>4</v>
      </c>
      <c r="V141">
        <v>4</v>
      </c>
      <c r="W141">
        <v>7</v>
      </c>
      <c r="X141" s="1">
        <v>0</v>
      </c>
      <c r="Y141" s="1" t="s">
        <v>467</v>
      </c>
      <c r="Z141">
        <v>3</v>
      </c>
      <c r="AA141" s="1226"/>
      <c r="AB141" s="1">
        <v>4</v>
      </c>
      <c r="AC141">
        <v>4</v>
      </c>
      <c r="AD141">
        <v>4</v>
      </c>
      <c r="AE141">
        <v>7</v>
      </c>
      <c r="AF141" s="1">
        <v>0</v>
      </c>
      <c r="AG141" s="1" t="s">
        <v>469</v>
      </c>
      <c r="AH141">
        <v>3</v>
      </c>
      <c r="AI141" s="1226"/>
      <c r="AJ141" s="1">
        <v>4</v>
      </c>
      <c r="AK141">
        <v>4</v>
      </c>
      <c r="AL141">
        <v>4</v>
      </c>
      <c r="AM141">
        <v>7</v>
      </c>
      <c r="AN141" s="1">
        <v>0</v>
      </c>
      <c r="AO141" s="1" t="s">
        <v>472</v>
      </c>
      <c r="AP141">
        <v>3</v>
      </c>
      <c r="AU141" t="s">
        <v>1073</v>
      </c>
    </row>
    <row r="142" spans="1:47" ht="9" customHeight="1">
      <c r="A142" s="1229">
        <v>61</v>
      </c>
      <c r="B142" s="1">
        <v>2</v>
      </c>
      <c r="C142" s="1"/>
      <c r="D142" s="1">
        <v>7</v>
      </c>
      <c r="E142" s="1">
        <v>4</v>
      </c>
      <c r="F142">
        <v>4</v>
      </c>
      <c r="G142">
        <v>5</v>
      </c>
      <c r="H142" s="1">
        <v>0</v>
      </c>
      <c r="I142" t="s">
        <v>488</v>
      </c>
      <c r="J142">
        <v>10</v>
      </c>
      <c r="O142" t="s">
        <v>1079</v>
      </c>
    </row>
    <row r="143" spans="1:47" ht="9" customHeight="1">
      <c r="A143" s="1229">
        <v>62</v>
      </c>
      <c r="B143" s="1">
        <v>2</v>
      </c>
      <c r="C143" s="1"/>
      <c r="D143" s="1">
        <v>7</v>
      </c>
      <c r="E143" s="1">
        <v>4</v>
      </c>
      <c r="F143">
        <v>4</v>
      </c>
      <c r="G143">
        <v>5</v>
      </c>
      <c r="H143" s="1">
        <v>0</v>
      </c>
      <c r="I143" t="s">
        <v>488</v>
      </c>
      <c r="J143">
        <v>10</v>
      </c>
      <c r="O143" t="s">
        <v>1079</v>
      </c>
    </row>
    <row r="144" spans="1:47" ht="9" customHeight="1">
      <c r="A144" s="1229">
        <v>63</v>
      </c>
    </row>
    <row r="145" spans="1:14" ht="9" customHeight="1">
      <c r="A145" s="1229">
        <v>64</v>
      </c>
    </row>
    <row r="146" spans="1:14" ht="9" customHeight="1">
      <c r="A146" s="1229">
        <v>65</v>
      </c>
    </row>
    <row r="147" spans="1:14" ht="9" customHeight="1">
      <c r="A147" s="1229">
        <v>66</v>
      </c>
    </row>
    <row r="148" spans="1:14" ht="9" customHeight="1">
      <c r="A148" s="1229">
        <v>67</v>
      </c>
    </row>
    <row r="149" spans="1:14" ht="9" customHeight="1">
      <c r="A149" s="1229">
        <v>68</v>
      </c>
    </row>
    <row r="150" spans="1:14" ht="9" customHeight="1">
      <c r="A150" s="1229">
        <v>69</v>
      </c>
    </row>
    <row r="151" spans="1:14" ht="9" customHeight="1">
      <c r="A151" s="1231">
        <v>70</v>
      </c>
      <c r="B151">
        <v>1</v>
      </c>
      <c r="D151">
        <v>6</v>
      </c>
      <c r="E151" s="1" t="s">
        <v>568</v>
      </c>
      <c r="F151" s="1"/>
      <c r="G151" s="1"/>
      <c r="H151" s="1"/>
      <c r="I151" s="1"/>
      <c r="J151" s="1"/>
      <c r="K151" s="1"/>
      <c r="L151" s="1"/>
    </row>
    <row r="152" spans="1:14" ht="9" customHeight="1">
      <c r="A152" s="1601" t="s">
        <v>82</v>
      </c>
      <c r="B152" s="1">
        <v>2</v>
      </c>
      <c r="C152" s="1226"/>
      <c r="D152" s="1">
        <v>1</v>
      </c>
      <c r="E152" s="1">
        <v>10</v>
      </c>
      <c r="F152">
        <v>10</v>
      </c>
      <c r="G152">
        <v>4</v>
      </c>
      <c r="H152" s="1">
        <v>0</v>
      </c>
      <c r="I152" s="1232" t="s">
        <v>1103</v>
      </c>
      <c r="J152">
        <v>10</v>
      </c>
      <c r="N152" t="s">
        <v>1081</v>
      </c>
    </row>
    <row r="153" spans="1:14" ht="9" customHeight="1">
      <c r="A153" s="1229">
        <v>72</v>
      </c>
      <c r="B153" s="1">
        <v>2</v>
      </c>
      <c r="C153" s="1226"/>
      <c r="D153" s="1">
        <v>1</v>
      </c>
      <c r="E153" s="1">
        <v>10</v>
      </c>
      <c r="F153">
        <v>10</v>
      </c>
      <c r="G153">
        <v>4</v>
      </c>
      <c r="H153" s="1">
        <v>0</v>
      </c>
      <c r="I153" s="1232" t="s">
        <v>1104</v>
      </c>
      <c r="J153">
        <v>10</v>
      </c>
      <c r="N153" t="s">
        <v>1083</v>
      </c>
    </row>
    <row r="154" spans="1:14" ht="9" customHeight="1">
      <c r="A154" s="1229">
        <v>73</v>
      </c>
      <c r="B154" s="1">
        <v>2</v>
      </c>
      <c r="C154" s="1226"/>
      <c r="D154" s="1">
        <v>1</v>
      </c>
      <c r="E154" s="1">
        <v>10</v>
      </c>
      <c r="F154">
        <v>10</v>
      </c>
      <c r="G154">
        <v>4</v>
      </c>
      <c r="H154" s="1">
        <v>0</v>
      </c>
      <c r="I154" t="s">
        <v>27</v>
      </c>
      <c r="J154">
        <v>10</v>
      </c>
      <c r="N154" t="s">
        <v>1085</v>
      </c>
    </row>
    <row r="155" spans="1:14" ht="9" customHeight="1">
      <c r="A155" s="1229">
        <v>74</v>
      </c>
    </row>
    <row r="156" spans="1:14" ht="9" customHeight="1">
      <c r="A156" s="1229">
        <v>75</v>
      </c>
    </row>
    <row r="157" spans="1:14" ht="9" customHeight="1">
      <c r="A157" s="1229">
        <v>76</v>
      </c>
      <c r="B157" s="1">
        <v>2</v>
      </c>
      <c r="C157" s="1226"/>
      <c r="D157" s="1">
        <v>1</v>
      </c>
      <c r="E157" s="1">
        <v>10</v>
      </c>
      <c r="F157">
        <v>10</v>
      </c>
      <c r="G157">
        <v>10</v>
      </c>
      <c r="H157" s="1">
        <v>0</v>
      </c>
      <c r="I157" s="1232" t="s">
        <v>464</v>
      </c>
      <c r="J157">
        <v>7</v>
      </c>
      <c r="L157" s="1"/>
      <c r="M157" s="1"/>
      <c r="N157" t="s">
        <v>1089</v>
      </c>
    </row>
    <row r="158" spans="1:14" ht="9" customHeight="1">
      <c r="A158" s="1229">
        <v>77</v>
      </c>
      <c r="B158" s="1">
        <v>2</v>
      </c>
      <c r="C158" s="1226"/>
      <c r="D158" s="1">
        <v>1</v>
      </c>
      <c r="E158" s="1">
        <v>10</v>
      </c>
      <c r="F158">
        <v>10</v>
      </c>
      <c r="G158">
        <v>10</v>
      </c>
      <c r="H158" s="1">
        <v>0</v>
      </c>
      <c r="I158" s="1232" t="s">
        <v>470</v>
      </c>
      <c r="J158">
        <v>7</v>
      </c>
      <c r="L158" s="1"/>
      <c r="M158" s="1"/>
      <c r="N158" t="s">
        <v>1121</v>
      </c>
    </row>
    <row r="159" spans="1:14" ht="9" customHeight="1">
      <c r="A159" s="1229">
        <v>78</v>
      </c>
      <c r="B159" s="1">
        <v>2</v>
      </c>
      <c r="C159" s="1226"/>
      <c r="D159" s="1">
        <v>1</v>
      </c>
      <c r="E159" s="1">
        <v>10</v>
      </c>
      <c r="F159">
        <v>10</v>
      </c>
      <c r="G159">
        <v>10</v>
      </c>
      <c r="H159" s="1">
        <v>0</v>
      </c>
      <c r="I159" s="1230" t="s">
        <v>475</v>
      </c>
      <c r="J159">
        <v>7</v>
      </c>
      <c r="N159" t="s">
        <v>250</v>
      </c>
    </row>
    <row r="160" spans="1:14" ht="9" customHeight="1">
      <c r="A160" s="1229">
        <v>79</v>
      </c>
      <c r="B160" s="1">
        <v>2</v>
      </c>
      <c r="C160" s="1226"/>
      <c r="D160" s="1">
        <v>1</v>
      </c>
      <c r="E160" s="1">
        <v>10</v>
      </c>
      <c r="F160">
        <v>10</v>
      </c>
      <c r="G160">
        <v>10</v>
      </c>
      <c r="H160" s="1">
        <v>0</v>
      </c>
      <c r="I160" s="1230" t="s">
        <v>487</v>
      </c>
      <c r="J160">
        <v>7</v>
      </c>
      <c r="N160" t="s">
        <v>263</v>
      </c>
    </row>
    <row r="161" spans="1:1" ht="9" customHeight="1">
      <c r="A161" s="1229">
        <v>80</v>
      </c>
    </row>
  </sheetData>
  <sheetProtection password="DF7C" sheet="1"/>
  <dataConsolidate/>
  <phoneticPr fontId="2" type="noConversion"/>
  <pageMargins left="0.75" right="0.75" top="1" bottom="1" header="0.5" footer="0.5"/>
  <pageSetup paperSize="9"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dimension ref="A1:IV133"/>
  <sheetViews>
    <sheetView topLeftCell="A28" zoomScale="200" zoomScaleNormal="236" workbookViewId="0">
      <selection activeCell="D49" sqref="D49"/>
    </sheetView>
  </sheetViews>
  <sheetFormatPr defaultColWidth="14" defaultRowHeight="9" customHeight="1"/>
  <cols>
    <col min="1" max="9" width="1.7109375" customWidth="1"/>
    <col min="10" max="11" width="1.85546875" customWidth="1"/>
    <col min="12" max="13" width="1.7109375" customWidth="1"/>
    <col min="14" max="14" width="2" customWidth="1"/>
    <col min="15" max="17" width="1.85546875" customWidth="1"/>
    <col min="18" max="18" width="1.7109375" customWidth="1"/>
    <col min="19" max="19" width="1.85546875" customWidth="1"/>
    <col min="20" max="21" width="1.7109375" customWidth="1"/>
    <col min="22" max="22" width="1.85546875" customWidth="1"/>
    <col min="23" max="24" width="1.7109375" customWidth="1"/>
    <col min="25" max="25" width="1.85546875" customWidth="1"/>
    <col min="26" max="26" width="1.7109375" customWidth="1"/>
    <col min="27" max="27" width="2" customWidth="1"/>
    <col min="28" max="29" width="1.7109375" customWidth="1"/>
    <col min="30" max="30" width="1.85546875" customWidth="1"/>
    <col min="31" max="36" width="1.7109375" customWidth="1"/>
    <col min="37" max="37" width="1.85546875" customWidth="1"/>
    <col min="38" max="39" width="1.7109375" customWidth="1"/>
    <col min="40" max="41" width="2" customWidth="1"/>
    <col min="42" max="45" width="1.85546875" customWidth="1"/>
    <col min="46" max="62" width="1.7109375" customWidth="1"/>
    <col min="63" max="63" width="14.28515625" customWidth="1"/>
    <col min="255" max="255" width="27.28515625" customWidth="1"/>
  </cols>
  <sheetData>
    <row r="1" spans="1:256" ht="9" customHeight="1">
      <c r="A1" s="498">
        <v>420043</v>
      </c>
      <c r="B1" s="498">
        <v>420043</v>
      </c>
      <c r="C1" s="498">
        <v>420043</v>
      </c>
      <c r="D1" s="498">
        <v>420043</v>
      </c>
      <c r="E1" s="498">
        <v>420043</v>
      </c>
      <c r="F1" s="498">
        <v>420043</v>
      </c>
      <c r="G1" s="498">
        <v>420043</v>
      </c>
      <c r="H1" s="498">
        <v>420042</v>
      </c>
      <c r="I1" s="498">
        <v>420042</v>
      </c>
      <c r="J1" s="498">
        <v>420042</v>
      </c>
      <c r="K1" s="498">
        <v>420042</v>
      </c>
      <c r="L1" s="498">
        <v>420042</v>
      </c>
      <c r="M1" s="498">
        <v>420042</v>
      </c>
      <c r="N1" s="498">
        <v>420042</v>
      </c>
      <c r="O1" s="498">
        <v>420042</v>
      </c>
      <c r="P1" s="498">
        <v>420042</v>
      </c>
      <c r="Q1" s="498">
        <v>420042</v>
      </c>
      <c r="R1" s="498">
        <v>420042</v>
      </c>
      <c r="S1" s="498">
        <v>420042</v>
      </c>
      <c r="T1" s="498">
        <v>420042</v>
      </c>
      <c r="U1" s="498">
        <v>420042</v>
      </c>
      <c r="V1" s="498">
        <v>420042</v>
      </c>
      <c r="W1" s="498">
        <v>420042</v>
      </c>
      <c r="X1" s="498">
        <v>420042</v>
      </c>
      <c r="Y1" s="498">
        <v>420042</v>
      </c>
      <c r="Z1" s="498">
        <v>420042</v>
      </c>
      <c r="AA1" s="498">
        <v>420042</v>
      </c>
      <c r="AB1" s="498">
        <v>420042</v>
      </c>
      <c r="AC1" s="498">
        <v>420042</v>
      </c>
      <c r="AD1" s="498">
        <v>420042</v>
      </c>
      <c r="AE1" s="498">
        <v>420042</v>
      </c>
      <c r="AF1" s="498">
        <v>420042</v>
      </c>
      <c r="AG1" s="498">
        <v>420042</v>
      </c>
      <c r="AH1" s="3147">
        <f>43+0.058</f>
        <v>43.058</v>
      </c>
      <c r="AI1" s="498">
        <v>420043</v>
      </c>
      <c r="AJ1" s="3147">
        <f>43+0.058</f>
        <v>43.058</v>
      </c>
      <c r="AK1" s="498">
        <v>420043</v>
      </c>
      <c r="AL1" s="498">
        <v>420042</v>
      </c>
      <c r="AM1" s="498">
        <v>420042</v>
      </c>
      <c r="AN1" s="498">
        <v>420042</v>
      </c>
      <c r="AQ1" t="s">
        <v>977</v>
      </c>
      <c r="AS1">
        <v>1</v>
      </c>
      <c r="AT1">
        <v>1</v>
      </c>
      <c r="AU1">
        <f>AJ3</f>
        <v>2049.2617</v>
      </c>
      <c r="IU1" t="s">
        <v>628</v>
      </c>
      <c r="IV1">
        <v>40</v>
      </c>
    </row>
    <row r="2" spans="1:256" ht="9" customHeight="1">
      <c r="A2" s="498">
        <v>420043</v>
      </c>
      <c r="H2" s="498">
        <v>420042</v>
      </c>
      <c r="I2" s="498">
        <v>420042</v>
      </c>
      <c r="J2" s="498">
        <v>420042</v>
      </c>
      <c r="K2" s="498">
        <v>420042</v>
      </c>
      <c r="L2" s="498">
        <v>420042</v>
      </c>
      <c r="M2" s="698">
        <f>420042+0.221</f>
        <v>420042.22100000002</v>
      </c>
      <c r="N2" s="537">
        <f>0.256+0.0203</f>
        <v>0.27629999999999999</v>
      </c>
      <c r="O2" s="1484">
        <f>128*9+15+0.109</f>
        <v>1167.1089999999999</v>
      </c>
      <c r="P2" s="1484">
        <f>128*9+15+0.109</f>
        <v>1167.1089999999999</v>
      </c>
      <c r="Q2" s="3112"/>
      <c r="R2" s="3657">
        <f>420000+128*18+50</f>
        <v>422354</v>
      </c>
      <c r="S2" s="537"/>
      <c r="T2" s="1484">
        <f>128*9+15+0.109</f>
        <v>1167.1089999999999</v>
      </c>
      <c r="U2" s="537">
        <v>2.07E-2</v>
      </c>
      <c r="V2" s="3656">
        <f>128*9+37+0.149</f>
        <v>1189.1489999999999</v>
      </c>
      <c r="W2" s="498">
        <v>420042</v>
      </c>
      <c r="X2" s="498">
        <v>420042</v>
      </c>
      <c r="Y2" s="498">
        <v>420042</v>
      </c>
      <c r="Z2" s="498">
        <v>420042</v>
      </c>
      <c r="AA2" s="498">
        <v>420042</v>
      </c>
      <c r="AB2" s="498">
        <v>420042</v>
      </c>
      <c r="AC2" s="498">
        <v>430043</v>
      </c>
      <c r="AD2" s="498">
        <v>430043</v>
      </c>
      <c r="AE2" s="498">
        <v>420043</v>
      </c>
      <c r="AF2" s="3147">
        <f>43+0.058</f>
        <v>43.058</v>
      </c>
      <c r="AG2" s="3637">
        <f>43+0.058</f>
        <v>43.058</v>
      </c>
      <c r="AH2" s="3431"/>
      <c r="AI2" s="3431"/>
      <c r="AJ2" s="3431">
        <f>128*16+1</f>
        <v>2049</v>
      </c>
      <c r="AK2" s="3431">
        <v>0.21099999999999999</v>
      </c>
      <c r="AL2" s="811">
        <f>49+0.163</f>
        <v>49.162999999999997</v>
      </c>
      <c r="AM2" s="707">
        <v>49</v>
      </c>
      <c r="AN2" s="707">
        <v>49</v>
      </c>
      <c r="AS2">
        <v>2</v>
      </c>
      <c r="AT2">
        <v>2</v>
      </c>
      <c r="AU2">
        <f>B5</f>
        <v>2050</v>
      </c>
      <c r="IU2" t="s">
        <v>629</v>
      </c>
      <c r="IV2">
        <v>52</v>
      </c>
    </row>
    <row r="3" spans="1:256" ht="9" customHeight="1">
      <c r="A3" s="498">
        <v>420043</v>
      </c>
      <c r="B3" s="498">
        <v>420043</v>
      </c>
      <c r="C3" s="498">
        <v>420043</v>
      </c>
      <c r="D3" s="498">
        <v>420043</v>
      </c>
      <c r="E3" s="498">
        <v>420043</v>
      </c>
      <c r="F3" s="498">
        <v>420043</v>
      </c>
      <c r="H3" s="498">
        <v>420042</v>
      </c>
      <c r="I3" s="3680">
        <f>128*18+15</f>
        <v>2319</v>
      </c>
      <c r="J3" s="1099"/>
      <c r="K3" s="1099"/>
      <c r="L3" s="1099"/>
      <c r="M3" s="1099"/>
      <c r="N3" s="1099"/>
      <c r="O3" s="1099"/>
      <c r="P3" s="1099"/>
      <c r="Q3" s="1099"/>
      <c r="R3" s="1099"/>
      <c r="S3" s="1099"/>
      <c r="T3" s="1099"/>
      <c r="U3" s="1099"/>
      <c r="V3" s="1099"/>
      <c r="W3" s="1099"/>
      <c r="X3" s="1099"/>
      <c r="Y3" s="1099"/>
      <c r="Z3" s="1099"/>
      <c r="AA3" s="3681">
        <f>128*18+8</f>
        <v>2312</v>
      </c>
      <c r="AB3" s="498">
        <v>420042</v>
      </c>
      <c r="AC3" s="3642">
        <f>43+0.22</f>
        <v>43.22</v>
      </c>
      <c r="AD3" s="3641">
        <f>128*11+1+0.5</f>
        <v>1409.5</v>
      </c>
      <c r="AE3" s="3640">
        <v>430000</v>
      </c>
      <c r="AF3" s="3431"/>
      <c r="AG3" s="3638">
        <f>128*9+68+0.215</f>
        <v>1220.2149999999999</v>
      </c>
      <c r="AH3" s="3431"/>
      <c r="AI3" s="3431"/>
      <c r="AJ3" s="3678">
        <f>128*16+1+0.256+0.0057</f>
        <v>2049.2617</v>
      </c>
      <c r="AK3" s="3677" t="s">
        <v>665</v>
      </c>
      <c r="AL3" s="3607">
        <f>128*5+30+0.151</f>
        <v>670.15099999999995</v>
      </c>
      <c r="AM3" s="3606">
        <v>5.9299999999999999E-2</v>
      </c>
      <c r="AN3" s="707">
        <f>11+0.069</f>
        <v>11.069000000000001</v>
      </c>
      <c r="AS3">
        <v>3</v>
      </c>
      <c r="AT3">
        <v>3</v>
      </c>
      <c r="AU3">
        <f>B8</f>
        <v>2051</v>
      </c>
      <c r="IU3" t="s">
        <v>738</v>
      </c>
      <c r="IV3">
        <v>32</v>
      </c>
    </row>
    <row r="4" spans="1:256" ht="9" customHeight="1" thickBot="1">
      <c r="A4" s="498">
        <v>420042</v>
      </c>
      <c r="B4" s="811">
        <f>128*6+60+0.256+0.046</f>
        <v>828.30200000000002</v>
      </c>
      <c r="C4" s="3639">
        <f>128*11+1</f>
        <v>1409</v>
      </c>
      <c r="D4" s="3330">
        <v>420043</v>
      </c>
      <c r="E4" s="3330">
        <v>420043</v>
      </c>
      <c r="F4" s="498">
        <v>420043</v>
      </c>
      <c r="H4" s="498">
        <v>420042</v>
      </c>
      <c r="I4" s="1099"/>
      <c r="J4" s="1099">
        <f>128*10+6+0.0594</f>
        <v>1286.0594000000001</v>
      </c>
      <c r="K4" s="3583">
        <f>22+0.109</f>
        <v>22.109000000000002</v>
      </c>
      <c r="L4" s="1099"/>
      <c r="M4" s="1099"/>
      <c r="N4" s="1099"/>
      <c r="O4" s="3683"/>
      <c r="P4" s="1099"/>
      <c r="Q4" s="1099"/>
      <c r="R4" s="1099"/>
      <c r="S4" s="1099"/>
      <c r="T4" s="3661">
        <f>128*3+31+0.11</f>
        <v>415.11</v>
      </c>
      <c r="U4" s="1099"/>
      <c r="V4" s="1099"/>
      <c r="W4" s="1099"/>
      <c r="X4" s="1099"/>
      <c r="Y4" s="2459">
        <f>25+0.109</f>
        <v>25.109000000000002</v>
      </c>
      <c r="Z4" s="1099">
        <f>128*10+6+0.0596</f>
        <v>1286.0596</v>
      </c>
      <c r="AA4" s="3579"/>
      <c r="AB4" s="498">
        <v>420042</v>
      </c>
      <c r="AC4" s="815"/>
      <c r="AD4" s="498">
        <v>430043</v>
      </c>
      <c r="AE4" s="498">
        <v>420043</v>
      </c>
      <c r="AF4" s="3610">
        <f>43+0.058</f>
        <v>43.058</v>
      </c>
      <c r="AG4" s="3637">
        <f>43+0.058</f>
        <v>43.058</v>
      </c>
      <c r="AH4" s="3431"/>
      <c r="AI4" s="3431"/>
      <c r="AJ4" s="3431">
        <f>128*16+1</f>
        <v>2049</v>
      </c>
      <c r="AK4" s="3431">
        <v>0.21099999999999999</v>
      </c>
      <c r="AL4" s="811">
        <f>49+0.163</f>
        <v>49.162999999999997</v>
      </c>
      <c r="AM4" s="707">
        <v>49</v>
      </c>
      <c r="AN4" s="707">
        <v>49</v>
      </c>
      <c r="AS4">
        <v>4</v>
      </c>
      <c r="AT4">
        <v>4</v>
      </c>
      <c r="AU4">
        <f>H12</f>
        <v>2052</v>
      </c>
      <c r="IU4" t="s">
        <v>630</v>
      </c>
      <c r="IV4">
        <v>32</v>
      </c>
    </row>
    <row r="5" spans="1:256" ht="9" customHeight="1" thickTop="1">
      <c r="A5" s="498">
        <v>420042</v>
      </c>
      <c r="B5" s="3620">
        <f>128*16+2</f>
        <v>2050</v>
      </c>
      <c r="C5" s="498">
        <v>420043</v>
      </c>
      <c r="D5" s="498">
        <v>420043</v>
      </c>
      <c r="E5" s="498">
        <v>420043</v>
      </c>
      <c r="F5" s="498">
        <v>420043</v>
      </c>
      <c r="H5" s="498">
        <v>420042</v>
      </c>
      <c r="I5" s="1099"/>
      <c r="J5" s="3583">
        <f>22+0.109</f>
        <v>22.109000000000002</v>
      </c>
      <c r="K5" s="3583">
        <f>22+0.109</f>
        <v>22.109000000000002</v>
      </c>
      <c r="L5" s="1099"/>
      <c r="M5" s="1099"/>
      <c r="N5" s="1099"/>
      <c r="O5" s="1099"/>
      <c r="P5" s="1099"/>
      <c r="Q5" s="1099"/>
      <c r="R5" s="1099"/>
      <c r="S5" s="1099"/>
      <c r="T5" s="1099"/>
      <c r="U5" s="1099"/>
      <c r="V5" s="1099"/>
      <c r="W5" s="1099"/>
      <c r="X5" s="1099"/>
      <c r="Y5" s="2459">
        <f>25+0.109</f>
        <v>25.109000000000002</v>
      </c>
      <c r="Z5" s="2459">
        <f>25+0.109</f>
        <v>25.109000000000002</v>
      </c>
      <c r="AA5" s="3579"/>
      <c r="AB5" s="498">
        <v>420042</v>
      </c>
      <c r="AC5" s="498">
        <v>430043</v>
      </c>
      <c r="AD5" s="498">
        <v>420043</v>
      </c>
      <c r="AF5" s="498">
        <v>420043</v>
      </c>
      <c r="AG5" s="498">
        <v>420043</v>
      </c>
      <c r="AH5" s="3609">
        <f>43+0.058</f>
        <v>43.058</v>
      </c>
      <c r="AI5" s="498">
        <v>420043</v>
      </c>
      <c r="AJ5" s="3685">
        <f>128+43+0.058</f>
        <v>171.05799999999999</v>
      </c>
      <c r="AK5" s="498">
        <v>420043</v>
      </c>
      <c r="AL5" s="498">
        <v>420043</v>
      </c>
      <c r="AM5" s="498">
        <v>420042</v>
      </c>
      <c r="AN5" s="498">
        <v>420042</v>
      </c>
      <c r="AQ5" t="s">
        <v>979</v>
      </c>
      <c r="AS5">
        <v>1</v>
      </c>
      <c r="AT5">
        <v>5</v>
      </c>
      <c r="IU5" t="s">
        <v>631</v>
      </c>
      <c r="IV5">
        <v>32</v>
      </c>
    </row>
    <row r="6" spans="1:256" ht="9" customHeight="1">
      <c r="A6" s="3618">
        <f>43+0.058</f>
        <v>43.058</v>
      </c>
      <c r="B6" s="3431"/>
      <c r="C6" s="3619">
        <f>43+0.058</f>
        <v>43.058</v>
      </c>
      <c r="H6" s="498">
        <v>420042</v>
      </c>
      <c r="I6" s="1099"/>
      <c r="J6" s="1099"/>
      <c r="K6" s="1099"/>
      <c r="L6" s="825">
        <f>128*17+8</f>
        <v>2184</v>
      </c>
      <c r="M6" s="1099"/>
      <c r="N6" s="1099"/>
      <c r="O6" s="3587">
        <f>128*18+9</f>
        <v>2313</v>
      </c>
      <c r="P6" s="1099"/>
      <c r="Q6" s="1099"/>
      <c r="R6" s="825">
        <f>128*17+4</f>
        <v>2180</v>
      </c>
      <c r="S6" s="1099"/>
      <c r="T6" s="1099"/>
      <c r="U6" s="825">
        <f>128*17+12</f>
        <v>2188</v>
      </c>
      <c r="V6" s="1099"/>
      <c r="W6" s="1099"/>
      <c r="X6" s="825">
        <f>128*17+6</f>
        <v>2182</v>
      </c>
      <c r="Y6" s="1099"/>
      <c r="Z6" s="3579"/>
      <c r="AA6" s="3579"/>
      <c r="AB6" s="498">
        <v>420042</v>
      </c>
      <c r="AF6" s="698">
        <v>1</v>
      </c>
      <c r="AG6" s="3688">
        <f>128*11+4</f>
        <v>1412</v>
      </c>
      <c r="AH6" s="3687">
        <f>128*14+4</f>
        <v>1796</v>
      </c>
      <c r="AI6" s="3687">
        <f>128*14+116</f>
        <v>1908</v>
      </c>
      <c r="AJ6" s="3685">
        <f>128+43</f>
        <v>171</v>
      </c>
      <c r="AK6" s="498">
        <v>420043</v>
      </c>
      <c r="AN6" s="498">
        <v>260026</v>
      </c>
      <c r="AS6">
        <v>2</v>
      </c>
      <c r="AT6">
        <v>6</v>
      </c>
      <c r="IU6" t="s">
        <v>669</v>
      </c>
      <c r="IV6">
        <v>4</v>
      </c>
    </row>
    <row r="7" spans="1:256" ht="9" customHeight="1">
      <c r="A7" s="498">
        <v>420043</v>
      </c>
      <c r="B7" s="3611">
        <f>180000+128*9+69+0.083</f>
        <v>181221.08300000001</v>
      </c>
      <c r="C7" s="498">
        <v>420043</v>
      </c>
      <c r="G7" s="1177">
        <v>420042</v>
      </c>
      <c r="H7" s="1177">
        <v>420042</v>
      </c>
      <c r="I7" s="1177">
        <f>420000+128*6+3+0.0031</f>
        <v>420771.00309999997</v>
      </c>
      <c r="J7" s="817">
        <v>420000</v>
      </c>
      <c r="K7" s="1099"/>
      <c r="L7" s="1099"/>
      <c r="M7" s="1099"/>
      <c r="N7" s="1099"/>
      <c r="O7" s="1099"/>
      <c r="P7" s="1099"/>
      <c r="Q7" s="3589"/>
      <c r="R7" s="1099"/>
      <c r="S7" s="1099"/>
      <c r="T7" s="1099"/>
      <c r="U7" s="3589"/>
      <c r="V7" s="3589"/>
      <c r="W7" s="1099"/>
      <c r="X7" s="1099"/>
      <c r="Y7" s="3589"/>
      <c r="Z7" s="3579"/>
      <c r="AA7" s="3579"/>
      <c r="AB7" s="498">
        <v>420042</v>
      </c>
      <c r="AC7" s="498">
        <v>420042</v>
      </c>
      <c r="AF7" s="498">
        <v>420043</v>
      </c>
      <c r="AG7" s="498">
        <v>420043</v>
      </c>
      <c r="AH7" s="498">
        <v>420043</v>
      </c>
      <c r="AI7" s="498">
        <v>420043</v>
      </c>
      <c r="AJ7" s="678">
        <v>420043</v>
      </c>
      <c r="AK7" s="498">
        <v>420043</v>
      </c>
      <c r="AN7" s="498">
        <v>420042</v>
      </c>
      <c r="AS7">
        <v>3</v>
      </c>
      <c r="AT7">
        <v>7</v>
      </c>
      <c r="IU7" t="s">
        <v>866</v>
      </c>
      <c r="IV7">
        <v>7</v>
      </c>
    </row>
    <row r="8" spans="1:256" ht="9" customHeight="1">
      <c r="A8" s="498">
        <v>420043</v>
      </c>
      <c r="B8" s="3620">
        <f>128*16+3</f>
        <v>2051</v>
      </c>
      <c r="C8" s="498">
        <v>420043</v>
      </c>
      <c r="D8" s="766">
        <v>420042</v>
      </c>
      <c r="E8" s="766">
        <v>420042</v>
      </c>
      <c r="F8" s="766">
        <v>420042</v>
      </c>
      <c r="G8" s="766">
        <v>420042</v>
      </c>
      <c r="H8" s="3594">
        <v>4.0000000000000001E-3</v>
      </c>
      <c r="I8" s="3595"/>
      <c r="J8" s="817">
        <v>420000</v>
      </c>
      <c r="K8" s="1099"/>
      <c r="L8" s="1099"/>
      <c r="M8" s="1099"/>
      <c r="N8" s="1099"/>
      <c r="O8" s="1099"/>
      <c r="P8" s="1099"/>
      <c r="Q8" s="1099"/>
      <c r="R8" s="1099"/>
      <c r="S8" s="1099"/>
      <c r="T8" s="3589"/>
      <c r="U8" s="3589"/>
      <c r="V8" s="3660">
        <f>42+0.137</f>
        <v>42.137</v>
      </c>
      <c r="W8" s="3589"/>
      <c r="X8" s="1099"/>
      <c r="Y8" s="3589"/>
      <c r="Z8" s="3579"/>
      <c r="AA8" s="3589"/>
      <c r="AB8" s="3664">
        <f>280000+128*11+2+0.06</f>
        <v>281410.06</v>
      </c>
      <c r="AC8" s="498">
        <v>420042</v>
      </c>
      <c r="AD8" s="498">
        <v>260026</v>
      </c>
      <c r="AE8" s="498">
        <v>260026</v>
      </c>
      <c r="AF8" s="498">
        <v>260026</v>
      </c>
      <c r="AG8" s="498">
        <v>260026</v>
      </c>
      <c r="AH8" s="498">
        <v>260026</v>
      </c>
      <c r="AI8" s="498">
        <v>260026</v>
      </c>
      <c r="AJ8" s="498">
        <v>260026</v>
      </c>
      <c r="AK8" s="498">
        <v>260026</v>
      </c>
      <c r="AL8" s="498">
        <v>260026</v>
      </c>
      <c r="AM8" s="498">
        <v>260026</v>
      </c>
      <c r="AN8" s="498">
        <v>260026</v>
      </c>
      <c r="AS8">
        <v>4</v>
      </c>
      <c r="AT8">
        <v>8</v>
      </c>
      <c r="IU8" t="s">
        <v>867</v>
      </c>
      <c r="IV8">
        <v>162</v>
      </c>
    </row>
    <row r="9" spans="1:256" ht="9" customHeight="1">
      <c r="A9" s="3617">
        <f>43+0.058</f>
        <v>43.058</v>
      </c>
      <c r="B9" s="3431"/>
      <c r="C9" s="3616">
        <f>43+0.058</f>
        <v>43.058</v>
      </c>
      <c r="D9" s="766">
        <v>420042</v>
      </c>
      <c r="E9" s="3670">
        <f>128*9+52+0.5+0.256+0.0343</f>
        <v>1204.7903000000001</v>
      </c>
      <c r="F9" s="837">
        <f>128*14+116</f>
        <v>1908</v>
      </c>
      <c r="G9" s="705">
        <f>420042+0.109</f>
        <v>420042.109</v>
      </c>
      <c r="H9" s="3594">
        <f>128*6+3+0.0031</f>
        <v>771.00310000000002</v>
      </c>
      <c r="I9" s="3595">
        <f>128*3+32+0.11</f>
        <v>416.11</v>
      </c>
      <c r="J9" s="817">
        <v>420000</v>
      </c>
      <c r="K9" s="1099"/>
      <c r="L9" s="825">
        <f>128*17+11</f>
        <v>2187</v>
      </c>
      <c r="M9" s="1099"/>
      <c r="N9" s="1099"/>
      <c r="O9" s="3586">
        <f>128*18+18</f>
        <v>2322</v>
      </c>
      <c r="P9" s="1099"/>
      <c r="Q9" s="1099"/>
      <c r="R9" s="3596">
        <f>128*17+2</f>
        <v>2178</v>
      </c>
      <c r="S9" s="1099"/>
      <c r="T9" s="1099"/>
      <c r="U9" s="3665">
        <f>128*18+1</f>
        <v>2305</v>
      </c>
      <c r="V9" s="3589"/>
      <c r="W9" s="1099"/>
      <c r="X9" s="3644">
        <f>128*18+16</f>
        <v>2320</v>
      </c>
      <c r="Y9" s="3589"/>
      <c r="Z9" s="3579"/>
      <c r="AA9" s="3589"/>
      <c r="AB9" s="3593">
        <v>280000</v>
      </c>
      <c r="AC9" s="498">
        <v>420042</v>
      </c>
      <c r="AD9" s="498">
        <v>260026</v>
      </c>
      <c r="AE9" s="1840"/>
      <c r="AF9" s="3683"/>
      <c r="AG9" s="3683"/>
      <c r="AH9" s="3683"/>
      <c r="AI9" s="1840"/>
      <c r="AJ9" s="1840"/>
      <c r="AK9" s="1840"/>
      <c r="AL9" s="3683"/>
      <c r="AM9" s="3683"/>
      <c r="AN9" s="514">
        <v>260026</v>
      </c>
      <c r="AQ9" t="s">
        <v>978</v>
      </c>
      <c r="AS9">
        <v>1</v>
      </c>
      <c r="AT9">
        <v>9</v>
      </c>
      <c r="IU9" t="s">
        <v>869</v>
      </c>
      <c r="IV9">
        <v>200</v>
      </c>
    </row>
    <row r="10" spans="1:256" ht="9" customHeight="1">
      <c r="A10" s="498">
        <v>420043</v>
      </c>
      <c r="B10" s="3612">
        <f>128*5+37</f>
        <v>677</v>
      </c>
      <c r="C10" s="498">
        <v>420043</v>
      </c>
      <c r="D10" s="498">
        <v>420043</v>
      </c>
      <c r="E10" s="766">
        <v>420042</v>
      </c>
      <c r="F10" s="766">
        <v>420042</v>
      </c>
      <c r="G10" s="766">
        <v>420042</v>
      </c>
      <c r="H10" s="3594"/>
      <c r="I10" s="3595"/>
      <c r="J10" s="817">
        <v>420000</v>
      </c>
      <c r="K10" s="1099"/>
      <c r="L10" s="1099"/>
      <c r="M10" s="1099"/>
      <c r="N10" s="1099"/>
      <c r="O10" s="1099"/>
      <c r="P10" s="1099">
        <v>7.4000000000000003E-3</v>
      </c>
      <c r="Q10" s="1099"/>
      <c r="R10" s="1099">
        <v>6.0499999999999998E-2</v>
      </c>
      <c r="S10" s="1099"/>
      <c r="T10" s="1099">
        <v>8.6E-3</v>
      </c>
      <c r="U10" s="1099"/>
      <c r="V10" s="1099"/>
      <c r="W10" s="1099"/>
      <c r="X10" s="1099"/>
      <c r="Y10" s="3589"/>
      <c r="Z10" s="1099">
        <f>128*3+32+0.11</f>
        <v>416.11</v>
      </c>
      <c r="AA10" s="3589"/>
      <c r="AB10" s="3593">
        <v>280000</v>
      </c>
      <c r="AC10" s="498">
        <v>420042</v>
      </c>
      <c r="AD10" s="498">
        <v>260026</v>
      </c>
      <c r="AE10" s="3683"/>
      <c r="AF10" s="3683"/>
      <c r="AG10" s="2700">
        <f>128*6+5</f>
        <v>773</v>
      </c>
      <c r="AH10" s="1407"/>
      <c r="AI10" s="3697">
        <f>128*11+4+0.5</f>
        <v>1412.5</v>
      </c>
      <c r="AJ10" s="1840"/>
      <c r="AK10" s="3667">
        <f>128*9+67+0.222</f>
        <v>1219.222</v>
      </c>
      <c r="AL10" s="2700">
        <f>128*6+5</f>
        <v>773</v>
      </c>
      <c r="AM10" s="3694"/>
      <c r="AN10" s="514">
        <v>260026</v>
      </c>
      <c r="AS10">
        <v>2</v>
      </c>
      <c r="AT10">
        <v>10</v>
      </c>
      <c r="IU10" t="s">
        <v>868</v>
      </c>
      <c r="IV10">
        <v>191</v>
      </c>
    </row>
    <row r="11" spans="1:256" ht="9" customHeight="1">
      <c r="A11" s="498">
        <v>420043</v>
      </c>
      <c r="B11" s="3431"/>
      <c r="C11" s="3431"/>
      <c r="D11" s="3431"/>
      <c r="E11" s="839">
        <f>420042+0.126</f>
        <v>420042.12599999999</v>
      </c>
      <c r="F11" s="821">
        <v>420052</v>
      </c>
      <c r="G11" s="766">
        <v>420042</v>
      </c>
      <c r="H11" s="3594">
        <v>0.2117</v>
      </c>
      <c r="I11" s="3595"/>
      <c r="J11" s="817">
        <v>420000</v>
      </c>
      <c r="K11" s="1099"/>
      <c r="L11" s="1099"/>
      <c r="M11" s="1099"/>
      <c r="N11" s="1099"/>
      <c r="O11" s="1099"/>
      <c r="P11" s="3589"/>
      <c r="Q11" s="537">
        <v>29</v>
      </c>
      <c r="R11" s="3604">
        <f>128*5+52</f>
        <v>692</v>
      </c>
      <c r="S11" s="537">
        <v>29</v>
      </c>
      <c r="T11" s="1099"/>
      <c r="U11" s="1099"/>
      <c r="V11" s="1099"/>
      <c r="W11" s="1099"/>
      <c r="X11" s="1099"/>
      <c r="Y11" s="3589"/>
      <c r="Z11" s="3579"/>
      <c r="AA11" s="3589"/>
      <c r="AB11" s="3671">
        <f>280000+128*6+5+0.222</f>
        <v>280773.22200000001</v>
      </c>
      <c r="AC11" s="498">
        <v>420042</v>
      </c>
      <c r="AD11" s="498">
        <v>260026</v>
      </c>
      <c r="AE11" s="1840"/>
      <c r="AF11" s="3695">
        <f>128*6+1</f>
        <v>769</v>
      </c>
      <c r="AG11" s="1840"/>
      <c r="AH11" s="1840"/>
      <c r="AI11" s="1840"/>
      <c r="AJ11" s="3693">
        <f>128*6+1</f>
        <v>769</v>
      </c>
      <c r="AK11" s="1840"/>
      <c r="AL11" s="3683"/>
      <c r="AM11" s="3696">
        <f>128*6+1</f>
        <v>769</v>
      </c>
      <c r="AN11" s="514">
        <v>260026</v>
      </c>
      <c r="AS11">
        <v>3</v>
      </c>
      <c r="AT11">
        <v>11</v>
      </c>
      <c r="IU11" t="s">
        <v>870</v>
      </c>
      <c r="IV11">
        <v>0</v>
      </c>
    </row>
    <row r="12" spans="1:256" ht="9" customHeight="1">
      <c r="A12" s="498">
        <v>420043</v>
      </c>
      <c r="B12" s="3431"/>
      <c r="C12" s="3621">
        <v>0.06</v>
      </c>
      <c r="D12" s="3431">
        <f>0.256+0.006</f>
        <v>0.26200000000000001</v>
      </c>
      <c r="E12" s="3643">
        <f>420000+128*5+38</f>
        <v>420678</v>
      </c>
      <c r="F12" s="766">
        <f>128*14+2</f>
        <v>1794</v>
      </c>
      <c r="G12" s="766">
        <f>420000+128*14+3</f>
        <v>421795</v>
      </c>
      <c r="H12" s="3594">
        <f>128*16+4</f>
        <v>2052</v>
      </c>
      <c r="I12" s="3595"/>
      <c r="J12" s="817">
        <v>420000</v>
      </c>
      <c r="K12" s="1099"/>
      <c r="L12" s="825">
        <f>128*17+4</f>
        <v>2180</v>
      </c>
      <c r="M12" s="1099"/>
      <c r="N12" s="1099"/>
      <c r="O12" s="3596">
        <f>128*17+3</f>
        <v>2179</v>
      </c>
      <c r="P12" s="3589">
        <v>6.0299999999999999E-2</v>
      </c>
      <c r="Q12" s="3603">
        <f>128*5+52</f>
        <v>692</v>
      </c>
      <c r="R12" s="3655">
        <f>280000+128*8+1+0.256+0.014</f>
        <v>281025.27</v>
      </c>
      <c r="S12" s="3602">
        <f>128*5+52</f>
        <v>692</v>
      </c>
      <c r="T12" s="1099">
        <v>6.0699999999999997E-2</v>
      </c>
      <c r="U12" s="3596">
        <f>128*17+3</f>
        <v>2179</v>
      </c>
      <c r="V12" s="1099"/>
      <c r="W12" s="1099"/>
      <c r="X12" s="825">
        <f>128*17+4</f>
        <v>2180</v>
      </c>
      <c r="Y12" s="3589"/>
      <c r="Z12" s="3589"/>
      <c r="AA12" s="3589"/>
      <c r="AB12" s="3668">
        <f>520000+128*18+49</f>
        <v>522353</v>
      </c>
      <c r="AC12" s="498">
        <v>420042</v>
      </c>
      <c r="AD12" s="498">
        <v>260026</v>
      </c>
      <c r="AE12" s="832"/>
      <c r="AF12" s="832"/>
      <c r="AG12" s="834"/>
      <c r="AH12" s="832"/>
      <c r="AI12" s="832"/>
      <c r="AJ12" s="832"/>
      <c r="AK12" s="832"/>
      <c r="AL12" s="832"/>
      <c r="AM12" s="832"/>
      <c r="AN12" s="514">
        <v>260026</v>
      </c>
      <c r="AS12">
        <v>4</v>
      </c>
      <c r="AT12">
        <v>12</v>
      </c>
      <c r="IU12" t="s">
        <v>671</v>
      </c>
      <c r="IV12">
        <v>300</v>
      </c>
    </row>
    <row r="13" spans="1:256" ht="9" customHeight="1">
      <c r="A13" s="498">
        <v>420043</v>
      </c>
      <c r="B13" s="3431"/>
      <c r="C13" s="3431"/>
      <c r="D13" s="3431"/>
      <c r="E13" s="839">
        <f>420042+0.126</f>
        <v>420042.12599999999</v>
      </c>
      <c r="F13" s="3608">
        <f>128*3+52</f>
        <v>436</v>
      </c>
      <c r="G13" s="766">
        <v>420042</v>
      </c>
      <c r="H13" s="3594">
        <v>0.2117</v>
      </c>
      <c r="I13" s="3595"/>
      <c r="J13" s="817">
        <v>420000</v>
      </c>
      <c r="K13" s="1099"/>
      <c r="L13" s="1099"/>
      <c r="M13" s="1099"/>
      <c r="N13" s="1099"/>
      <c r="O13" s="1099"/>
      <c r="P13" s="3589"/>
      <c r="Q13" s="537">
        <v>29</v>
      </c>
      <c r="R13" s="3605">
        <f>128*5+52</f>
        <v>692</v>
      </c>
      <c r="S13" s="537">
        <v>29</v>
      </c>
      <c r="T13" s="1099"/>
      <c r="U13" s="1099"/>
      <c r="V13" s="1099"/>
      <c r="W13" s="1099"/>
      <c r="X13" s="1099"/>
      <c r="Y13" s="3589"/>
      <c r="Z13" s="3579"/>
      <c r="AA13" s="3589"/>
      <c r="AB13" s="3672">
        <f>280000+128*6+5+0.222</f>
        <v>280773.22200000001</v>
      </c>
      <c r="AC13" s="498">
        <v>420042</v>
      </c>
      <c r="AD13" s="498">
        <v>260026</v>
      </c>
      <c r="AE13" s="832"/>
      <c r="AF13" s="833"/>
      <c r="AG13" s="834"/>
      <c r="AH13" s="833"/>
      <c r="AI13" s="832"/>
      <c r="AJ13" s="832"/>
      <c r="AK13" s="835">
        <f>260000+26</f>
        <v>260026</v>
      </c>
      <c r="AL13" s="832"/>
      <c r="AM13" s="832"/>
      <c r="AN13" s="514">
        <v>260026</v>
      </c>
      <c r="AQ13" t="s">
        <v>980</v>
      </c>
      <c r="AS13">
        <v>1</v>
      </c>
      <c r="AT13">
        <v>13</v>
      </c>
      <c r="IU13" t="s">
        <v>672</v>
      </c>
      <c r="IV13">
        <v>16</v>
      </c>
    </row>
    <row r="14" spans="1:256" ht="9" customHeight="1">
      <c r="A14" s="498">
        <v>420043</v>
      </c>
      <c r="B14" s="498">
        <v>420043</v>
      </c>
      <c r="C14" s="498">
        <v>420043</v>
      </c>
      <c r="D14" s="498">
        <v>420043</v>
      </c>
      <c r="E14" s="766">
        <v>420042</v>
      </c>
      <c r="F14" s="766">
        <v>420042</v>
      </c>
      <c r="G14" s="766">
        <v>420042</v>
      </c>
      <c r="H14" s="3594"/>
      <c r="I14" s="3595"/>
      <c r="J14" s="817">
        <v>420000</v>
      </c>
      <c r="K14" s="1099"/>
      <c r="L14" s="1099"/>
      <c r="M14" s="1099"/>
      <c r="N14" s="1099"/>
      <c r="O14" s="1099"/>
      <c r="P14" s="1099">
        <v>5.1999999999999998E-3</v>
      </c>
      <c r="Q14" s="1099"/>
      <c r="R14" s="1099">
        <v>6.0100000000000001E-2</v>
      </c>
      <c r="S14" s="1099"/>
      <c r="T14" s="1099">
        <v>6.7999999999999996E-3</v>
      </c>
      <c r="U14" s="1099"/>
      <c r="V14" s="1099"/>
      <c r="W14" s="1099"/>
      <c r="X14" s="1099"/>
      <c r="Y14" s="3589"/>
      <c r="Z14" s="3579"/>
      <c r="AA14" s="3589"/>
      <c r="AB14" s="3593">
        <v>280000</v>
      </c>
      <c r="AC14" s="498">
        <v>420042</v>
      </c>
      <c r="AD14" s="498">
        <v>260026</v>
      </c>
      <c r="AE14" s="832"/>
      <c r="AF14" s="832"/>
      <c r="AG14" s="834"/>
      <c r="AH14" s="832"/>
      <c r="AI14" s="832"/>
      <c r="AJ14" s="832"/>
      <c r="AK14" s="832"/>
      <c r="AL14" s="833"/>
      <c r="AM14" s="832"/>
      <c r="AN14" s="514">
        <v>260026</v>
      </c>
      <c r="AS14">
        <v>2</v>
      </c>
      <c r="AT14">
        <v>14</v>
      </c>
      <c r="IU14" t="s">
        <v>673</v>
      </c>
      <c r="IV14">
        <v>32</v>
      </c>
    </row>
    <row r="15" spans="1:256" ht="9" customHeight="1">
      <c r="A15" s="498">
        <v>420042</v>
      </c>
      <c r="B15" s="752">
        <v>19</v>
      </c>
      <c r="C15" s="752">
        <v>19</v>
      </c>
      <c r="D15" s="752">
        <v>19</v>
      </c>
      <c r="E15" s="752">
        <v>19</v>
      </c>
      <c r="F15" s="752">
        <v>19</v>
      </c>
      <c r="G15" s="766">
        <v>420042</v>
      </c>
      <c r="H15" s="3594">
        <f>128*6+3+0.0035</f>
        <v>771.00350000000003</v>
      </c>
      <c r="I15" s="3595">
        <f>128*3+31+0.11</f>
        <v>415.11</v>
      </c>
      <c r="J15" s="817">
        <v>420000</v>
      </c>
      <c r="K15" s="1099"/>
      <c r="L15" s="3669">
        <f>128*18+5</f>
        <v>2309</v>
      </c>
      <c r="M15" s="1099"/>
      <c r="N15" s="1099"/>
      <c r="O15" s="3584">
        <f>128*18+1</f>
        <v>2305</v>
      </c>
      <c r="P15" s="1099"/>
      <c r="Q15" s="1099"/>
      <c r="R15" s="3596">
        <f>128*17+2</f>
        <v>2178</v>
      </c>
      <c r="S15" s="1099"/>
      <c r="T15" s="1099"/>
      <c r="U15" s="3585">
        <f>128*18+17</f>
        <v>2321</v>
      </c>
      <c r="V15" s="1099"/>
      <c r="W15" s="1099"/>
      <c r="X15" s="825">
        <f>128*17+9</f>
        <v>2185</v>
      </c>
      <c r="Y15" s="3589"/>
      <c r="Z15" s="3579"/>
      <c r="AA15" s="3589"/>
      <c r="AB15" s="3593">
        <v>280000</v>
      </c>
      <c r="AC15" s="498">
        <v>420042</v>
      </c>
      <c r="AD15" s="498">
        <v>260026</v>
      </c>
      <c r="AE15" s="832"/>
      <c r="AF15" s="834"/>
      <c r="AG15" s="834"/>
      <c r="AH15" s="834"/>
      <c r="AI15" s="834"/>
      <c r="AJ15" s="834"/>
      <c r="AK15" s="832"/>
      <c r="AL15" s="832"/>
      <c r="AM15" s="832"/>
      <c r="AN15" s="514">
        <v>260026</v>
      </c>
      <c r="AS15">
        <v>3</v>
      </c>
      <c r="AT15">
        <v>15</v>
      </c>
      <c r="AU15" t="s">
        <v>167</v>
      </c>
      <c r="IU15" t="s">
        <v>710</v>
      </c>
      <c r="IV15">
        <v>20</v>
      </c>
    </row>
    <row r="16" spans="1:256" ht="9" customHeight="1">
      <c r="A16" s="498">
        <v>420042</v>
      </c>
      <c r="B16" s="752">
        <v>19</v>
      </c>
      <c r="C16" s="1752">
        <f>128+19</f>
        <v>147</v>
      </c>
      <c r="D16" s="1949">
        <f>128*14+116</f>
        <v>1908</v>
      </c>
      <c r="E16" s="3354">
        <f>128*9+26+0.152</f>
        <v>1178.152</v>
      </c>
      <c r="F16" s="752">
        <v>19</v>
      </c>
      <c r="G16" s="766">
        <v>420042</v>
      </c>
      <c r="H16" s="3594">
        <v>4.0000000000000001E-3</v>
      </c>
      <c r="I16" s="3595"/>
      <c r="J16" s="817">
        <v>420000</v>
      </c>
      <c r="K16" s="1099"/>
      <c r="L16" s="1099"/>
      <c r="M16" s="1099"/>
      <c r="N16" s="1099"/>
      <c r="O16" s="1099"/>
      <c r="P16" s="1099"/>
      <c r="Q16" s="1099"/>
      <c r="R16" s="1099"/>
      <c r="S16" s="1099"/>
      <c r="T16" s="1099"/>
      <c r="U16" s="1099"/>
      <c r="V16" s="3658">
        <v>51</v>
      </c>
      <c r="W16" s="1099"/>
      <c r="X16" s="1099"/>
      <c r="Y16" s="3589"/>
      <c r="Z16" s="3579"/>
      <c r="AA16" s="3589"/>
      <c r="AB16" s="3664">
        <f>280000+128*11+2+0.06</f>
        <v>281410.06</v>
      </c>
      <c r="AC16" s="498">
        <v>420042</v>
      </c>
      <c r="AD16" s="498">
        <v>260026</v>
      </c>
      <c r="AE16" s="832"/>
      <c r="AF16" s="832"/>
      <c r="AG16" s="832"/>
      <c r="AH16" s="832"/>
      <c r="AI16" s="832"/>
      <c r="AJ16" s="834"/>
      <c r="AK16" s="832"/>
      <c r="AL16" s="832"/>
      <c r="AM16" s="832"/>
      <c r="AN16" s="514">
        <v>260026</v>
      </c>
      <c r="AS16">
        <v>4</v>
      </c>
      <c r="AT16">
        <v>16</v>
      </c>
      <c r="AU16" t="s">
        <v>504</v>
      </c>
      <c r="IU16" t="s">
        <v>711</v>
      </c>
      <c r="IV16">
        <v>32</v>
      </c>
    </row>
    <row r="17" spans="1:256" ht="9" customHeight="1">
      <c r="A17" s="504">
        <v>19</v>
      </c>
      <c r="B17" s="504">
        <v>19</v>
      </c>
      <c r="C17" s="1752">
        <f>128+19</f>
        <v>147</v>
      </c>
      <c r="D17" s="504">
        <v>19</v>
      </c>
      <c r="E17" s="504">
        <v>19</v>
      </c>
      <c r="F17" s="752">
        <v>19</v>
      </c>
      <c r="G17" s="1177">
        <v>420042</v>
      </c>
      <c r="H17" s="1177">
        <v>420042</v>
      </c>
      <c r="I17" s="1177">
        <f>420000+128*6+3+0.0035</f>
        <v>420771.00349999999</v>
      </c>
      <c r="J17" s="817">
        <v>420000</v>
      </c>
      <c r="K17" s="1099"/>
      <c r="L17" s="1099"/>
      <c r="M17" s="1099"/>
      <c r="N17" s="1099"/>
      <c r="O17" s="1099"/>
      <c r="P17" s="1099"/>
      <c r="Q17" s="1099"/>
      <c r="R17" s="1099"/>
      <c r="S17" s="1099"/>
      <c r="T17" s="1099"/>
      <c r="U17" s="1099"/>
      <c r="V17" s="1099"/>
      <c r="W17" s="1099"/>
      <c r="X17" s="1099"/>
      <c r="Y17" s="3589"/>
      <c r="Z17" s="3589">
        <v>0.13900000000000001</v>
      </c>
      <c r="AA17" s="3589"/>
      <c r="AB17" s="771">
        <v>420042</v>
      </c>
      <c r="AC17" s="498">
        <v>420042</v>
      </c>
      <c r="AD17" s="498">
        <v>260026</v>
      </c>
      <c r="AE17" s="832"/>
      <c r="AF17" s="833"/>
      <c r="AG17" s="832"/>
      <c r="AH17" s="833"/>
      <c r="AI17" s="832"/>
      <c r="AJ17" s="834"/>
      <c r="AK17" s="832"/>
      <c r="AL17" s="832"/>
      <c r="AM17" s="832"/>
      <c r="AN17" s="514">
        <v>260026</v>
      </c>
      <c r="AQ17" t="s">
        <v>166</v>
      </c>
      <c r="AS17">
        <v>1</v>
      </c>
      <c r="AT17">
        <f>AD3</f>
        <v>1409.5</v>
      </c>
      <c r="IU17" t="s">
        <v>632</v>
      </c>
    </row>
    <row r="18" spans="1:256" ht="9" customHeight="1">
      <c r="A18" s="504">
        <v>19</v>
      </c>
      <c r="B18" s="504">
        <v>19</v>
      </c>
      <c r="C18" s="1949">
        <v>1.9E-2</v>
      </c>
      <c r="D18" s="1949">
        <v>1.9E-2</v>
      </c>
      <c r="E18" s="1949">
        <v>1.9E-2</v>
      </c>
      <c r="F18" s="1949">
        <v>1.9E-2</v>
      </c>
      <c r="G18" s="504">
        <v>19</v>
      </c>
      <c r="H18" s="498">
        <v>420042</v>
      </c>
      <c r="I18" s="1099"/>
      <c r="J18" s="1099"/>
      <c r="K18" s="1099"/>
      <c r="L18" s="825">
        <f>128*17+5</f>
        <v>2181</v>
      </c>
      <c r="M18" s="1099"/>
      <c r="N18" s="1099"/>
      <c r="O18" s="825">
        <f>128*17+10</f>
        <v>2186</v>
      </c>
      <c r="P18" s="1099"/>
      <c r="Q18" s="1099"/>
      <c r="R18" s="825">
        <f>128*17+4</f>
        <v>2180</v>
      </c>
      <c r="S18" s="1099"/>
      <c r="T18" s="1099"/>
      <c r="U18" s="3588">
        <f>128*18+7</f>
        <v>2311</v>
      </c>
      <c r="V18" s="1099"/>
      <c r="W18" s="1099"/>
      <c r="X18" s="825">
        <f>128*17+7</f>
        <v>2183</v>
      </c>
      <c r="Y18" s="1099"/>
      <c r="Z18" s="1099"/>
      <c r="AA18" s="3579"/>
      <c r="AB18" s="498">
        <v>420042</v>
      </c>
      <c r="AC18" s="498">
        <v>260026</v>
      </c>
      <c r="AD18" s="1407"/>
      <c r="AE18" s="3690"/>
      <c r="AF18" s="832"/>
      <c r="AG18" s="835">
        <f>260000+26</f>
        <v>260026</v>
      </c>
      <c r="AH18" s="832"/>
      <c r="AI18" s="832"/>
      <c r="AJ18" s="834"/>
      <c r="AK18" s="834"/>
      <c r="AL18" s="834"/>
      <c r="AM18" s="832"/>
      <c r="AN18" s="514">
        <v>260026</v>
      </c>
      <c r="AS18">
        <v>2</v>
      </c>
      <c r="AT18">
        <f>AB8</f>
        <v>281410.06</v>
      </c>
      <c r="IU18" t="s">
        <v>855</v>
      </c>
      <c r="IV18" t="s">
        <v>854</v>
      </c>
    </row>
    <row r="19" spans="1:256" ht="9" customHeight="1">
      <c r="A19" s="504">
        <v>19</v>
      </c>
      <c r="B19" s="504">
        <v>19</v>
      </c>
      <c r="C19" s="1949">
        <v>1.9E-2</v>
      </c>
      <c r="D19" s="3675">
        <f>0.384+0.009</f>
        <v>0.39300000000000002</v>
      </c>
      <c r="E19" s="1949">
        <v>0.21759999999999999</v>
      </c>
      <c r="F19" s="3673">
        <f>128*9+61+0.109</f>
        <v>1213.1089999999999</v>
      </c>
      <c r="G19" s="504">
        <v>19</v>
      </c>
      <c r="H19" s="498">
        <v>420042</v>
      </c>
      <c r="I19" s="1099"/>
      <c r="J19" s="3583">
        <f>21+0.109</f>
        <v>21.109000000000002</v>
      </c>
      <c r="K19" s="3583">
        <f>21+0.109</f>
        <v>21.109000000000002</v>
      </c>
      <c r="L19" s="1099"/>
      <c r="M19" s="3667">
        <f>128*9+67+0.222</f>
        <v>1219.222</v>
      </c>
      <c r="N19" s="1099"/>
      <c r="O19" s="1099"/>
      <c r="P19" s="1099"/>
      <c r="Q19" s="1099"/>
      <c r="R19" s="1099"/>
      <c r="S19" s="1099"/>
      <c r="T19" s="1099"/>
      <c r="U19" s="1099"/>
      <c r="V19" s="1099"/>
      <c r="W19" s="1099"/>
      <c r="X19" s="3684"/>
      <c r="Y19" s="2459">
        <f>23+0.109</f>
        <v>23.109000000000002</v>
      </c>
      <c r="Z19" s="2459">
        <f>23+0.109</f>
        <v>23.109000000000002</v>
      </c>
      <c r="AA19" s="3592"/>
      <c r="AB19" s="498">
        <v>420042</v>
      </c>
      <c r="AC19" s="498">
        <v>260026</v>
      </c>
      <c r="AD19" s="1407"/>
      <c r="AE19" s="832"/>
      <c r="AF19" s="833"/>
      <c r="AG19" s="832"/>
      <c r="AH19" s="833"/>
      <c r="AI19" s="832"/>
      <c r="AJ19" s="832"/>
      <c r="AK19" s="832"/>
      <c r="AL19" s="834"/>
      <c r="AM19" s="832"/>
      <c r="AN19" s="514">
        <v>260026</v>
      </c>
      <c r="AS19">
        <v>3</v>
      </c>
      <c r="AT19">
        <f>AJ42</f>
        <v>111411.26699999999</v>
      </c>
      <c r="IU19" t="s">
        <v>857</v>
      </c>
      <c r="IV19" t="s">
        <v>856</v>
      </c>
    </row>
    <row r="20" spans="1:256" ht="9" customHeight="1" thickBot="1">
      <c r="A20" s="504">
        <v>19</v>
      </c>
      <c r="B20" s="504">
        <v>19</v>
      </c>
      <c r="C20" s="504">
        <v>42</v>
      </c>
      <c r="D20" s="504">
        <v>42</v>
      </c>
      <c r="E20" s="1751">
        <f>128+42</f>
        <v>170</v>
      </c>
      <c r="F20" s="1751">
        <f>128+42</f>
        <v>170</v>
      </c>
      <c r="G20" s="1751">
        <f>128+42</f>
        <v>170</v>
      </c>
      <c r="H20" s="3676">
        <f>420000+128+42</f>
        <v>420170</v>
      </c>
      <c r="I20" s="1099"/>
      <c r="J20" s="1099">
        <f>128*10+6+0.0592</f>
        <v>1286.0591999999999</v>
      </c>
      <c r="K20" s="3583">
        <f>21+0.109</f>
        <v>21.109000000000002</v>
      </c>
      <c r="L20" s="1099"/>
      <c r="M20" s="1099"/>
      <c r="N20" s="1099"/>
      <c r="O20" s="1099"/>
      <c r="P20" s="1099"/>
      <c r="Q20" s="1099"/>
      <c r="R20" s="1099"/>
      <c r="S20" s="1099"/>
      <c r="T20" s="1099"/>
      <c r="U20" s="1099">
        <f>128*3+31+0.11</f>
        <v>415.11</v>
      </c>
      <c r="V20" s="1099"/>
      <c r="W20" s="3683"/>
      <c r="X20" s="3679"/>
      <c r="Y20" s="2459">
        <f>23+0.109</f>
        <v>23.109000000000002</v>
      </c>
      <c r="Z20" s="3581"/>
      <c r="AA20" s="3580"/>
      <c r="AB20" s="498">
        <v>420042</v>
      </c>
      <c r="AC20" s="498">
        <v>260026</v>
      </c>
      <c r="AD20" s="1407"/>
      <c r="AE20" s="832"/>
      <c r="AF20" s="832"/>
      <c r="AG20" s="832"/>
      <c r="AH20" s="832"/>
      <c r="AI20" s="832"/>
      <c r="AJ20" s="832"/>
      <c r="AK20" s="832"/>
      <c r="AL20" s="834"/>
      <c r="AM20" s="832"/>
      <c r="AN20" s="514">
        <v>260026</v>
      </c>
      <c r="AS20">
        <v>4</v>
      </c>
      <c r="AT20">
        <f>AG6</f>
        <v>1412</v>
      </c>
      <c r="IU20" t="s">
        <v>859</v>
      </c>
      <c r="IV20" t="s">
        <v>858</v>
      </c>
    </row>
    <row r="21" spans="1:256" ht="9" customHeight="1" thickTop="1" thickBot="1">
      <c r="A21" s="504">
        <v>19</v>
      </c>
      <c r="B21" s="504">
        <v>19</v>
      </c>
      <c r="C21" s="1949">
        <v>0.161</v>
      </c>
      <c r="D21" s="3675">
        <f>0.384+0.009</f>
        <v>0.39300000000000002</v>
      </c>
      <c r="E21" s="1949">
        <v>0.21879999999999999</v>
      </c>
      <c r="F21" s="3674">
        <f>128*9+61+0.109</f>
        <v>1213.1089999999999</v>
      </c>
      <c r="G21" s="504">
        <v>19</v>
      </c>
      <c r="H21" s="498">
        <v>420042</v>
      </c>
      <c r="I21" s="3680">
        <f>128*18+50</f>
        <v>2354</v>
      </c>
      <c r="J21" s="1099"/>
      <c r="K21" s="1099"/>
      <c r="L21" s="1099"/>
      <c r="M21" s="1099"/>
      <c r="N21" s="1099"/>
      <c r="O21" s="1099"/>
      <c r="P21" s="1099"/>
      <c r="Q21" s="1099"/>
      <c r="R21" s="1099"/>
      <c r="S21" s="1099"/>
      <c r="T21" s="1099"/>
      <c r="U21" s="1099"/>
      <c r="V21" s="1099"/>
      <c r="W21" s="1099"/>
      <c r="X21" s="1099"/>
      <c r="Y21" s="3591"/>
      <c r="Z21" s="3582"/>
      <c r="AA21" s="3590">
        <f>128*18+19</f>
        <v>2323</v>
      </c>
      <c r="AB21" s="498">
        <v>420042</v>
      </c>
      <c r="AC21" s="498">
        <v>260026</v>
      </c>
      <c r="AD21" s="1407"/>
      <c r="AE21" s="834"/>
      <c r="AF21" s="834">
        <v>0.19400000000000001</v>
      </c>
      <c r="AG21" s="834"/>
      <c r="AH21" s="834">
        <v>0.19400000000000001</v>
      </c>
      <c r="AI21" s="834"/>
      <c r="AJ21" s="834">
        <v>0.19400000000000001</v>
      </c>
      <c r="AK21" s="834"/>
      <c r="AL21" s="834">
        <v>0.193</v>
      </c>
      <c r="AM21" s="832"/>
      <c r="AN21" s="514">
        <v>260026</v>
      </c>
      <c r="IU21" t="s">
        <v>861</v>
      </c>
      <c r="IV21" t="s">
        <v>860</v>
      </c>
    </row>
    <row r="22" spans="1:256" ht="9" customHeight="1" thickTop="1">
      <c r="A22" s="504">
        <v>19</v>
      </c>
      <c r="B22" s="504">
        <v>19</v>
      </c>
      <c r="C22" s="1949">
        <v>0.161</v>
      </c>
      <c r="D22" s="1949">
        <v>0.161</v>
      </c>
      <c r="E22" s="1949">
        <v>0.161</v>
      </c>
      <c r="F22" s="1949">
        <v>0.161</v>
      </c>
      <c r="G22" s="504">
        <v>19</v>
      </c>
      <c r="H22" s="498">
        <v>420042</v>
      </c>
      <c r="I22" s="498">
        <v>420042</v>
      </c>
      <c r="J22" s="498">
        <v>420042</v>
      </c>
      <c r="K22" s="498">
        <v>420042</v>
      </c>
      <c r="L22" s="498">
        <v>420042</v>
      </c>
      <c r="M22" s="3666">
        <f>420042+0.175</f>
        <v>420042.17499999999</v>
      </c>
      <c r="N22" s="537">
        <f>0.256+0.0206</f>
        <v>0.27660000000000001</v>
      </c>
      <c r="O22" s="3659">
        <f>128*9+15+0.109</f>
        <v>1167.1089999999999</v>
      </c>
      <c r="P22" s="3659">
        <f>128*9+15+0.109</f>
        <v>1167.1089999999999</v>
      </c>
      <c r="Q22" s="3112"/>
      <c r="R22" s="3663">
        <f>420000+128*18+50</f>
        <v>422354</v>
      </c>
      <c r="S22" s="537"/>
      <c r="T22" s="3659">
        <f>128*9+15+0.109</f>
        <v>1167.1089999999999</v>
      </c>
      <c r="U22" s="537">
        <v>1.9699999999999999E-2</v>
      </c>
      <c r="V22" s="3656">
        <f>128*9+37+0.149</f>
        <v>1189.1489999999999</v>
      </c>
      <c r="W22" s="498">
        <v>420042</v>
      </c>
      <c r="X22" s="498">
        <v>420042</v>
      </c>
      <c r="Y22" s="498">
        <v>420042</v>
      </c>
      <c r="Z22" s="498">
        <v>420042</v>
      </c>
      <c r="AA22" s="498">
        <v>420042</v>
      </c>
      <c r="AB22" s="498">
        <v>260026</v>
      </c>
      <c r="AC22" s="498">
        <v>260026</v>
      </c>
      <c r="AD22" s="1407"/>
      <c r="AE22" s="832"/>
      <c r="AF22" s="832"/>
      <c r="AG22" s="833"/>
      <c r="AH22" s="832"/>
      <c r="AI22" s="834"/>
      <c r="AJ22" s="832"/>
      <c r="AK22" s="832"/>
      <c r="AL22" s="832"/>
      <c r="AM22" s="832"/>
      <c r="AN22" s="514">
        <v>260026</v>
      </c>
      <c r="IU22" t="s">
        <v>863</v>
      </c>
      <c r="IV22" t="s">
        <v>862</v>
      </c>
    </row>
    <row r="23" spans="1:256" ht="9" customHeight="1">
      <c r="A23" s="504">
        <v>260026</v>
      </c>
      <c r="B23" s="504">
        <v>19</v>
      </c>
      <c r="C23" s="504">
        <v>19</v>
      </c>
      <c r="D23" s="504">
        <v>19</v>
      </c>
      <c r="E23" s="504">
        <v>19</v>
      </c>
      <c r="F23" s="504">
        <v>19</v>
      </c>
      <c r="G23" s="504">
        <v>19</v>
      </c>
      <c r="M23" s="498">
        <v>420042</v>
      </c>
      <c r="N23" s="498">
        <v>420042</v>
      </c>
      <c r="O23" s="498">
        <v>420042</v>
      </c>
      <c r="P23" s="498">
        <v>420042</v>
      </c>
      <c r="Q23" s="498">
        <v>420042</v>
      </c>
      <c r="R23" s="498">
        <v>420042</v>
      </c>
      <c r="S23" s="498">
        <v>420042</v>
      </c>
      <c r="T23" s="498">
        <v>420042</v>
      </c>
      <c r="U23" s="498">
        <v>420042</v>
      </c>
      <c r="V23" s="498">
        <v>420042</v>
      </c>
      <c r="W23" s="498">
        <v>260026</v>
      </c>
      <c r="X23" s="498">
        <v>260026</v>
      </c>
      <c r="Y23" s="498">
        <v>260026</v>
      </c>
      <c r="Z23" s="498">
        <v>260026</v>
      </c>
      <c r="AA23" s="498">
        <v>260026</v>
      </c>
      <c r="AB23" s="1485">
        <f>260026+0.126</f>
        <v>260026.12599999999</v>
      </c>
      <c r="AC23" s="1840">
        <v>0.217</v>
      </c>
      <c r="AD23" s="1407"/>
      <c r="AE23" s="832"/>
      <c r="AF23" s="832"/>
      <c r="AG23" s="832"/>
      <c r="AH23" s="832"/>
      <c r="AI23" s="834"/>
      <c r="AJ23" s="832"/>
      <c r="AK23" s="832"/>
      <c r="AL23" s="832"/>
      <c r="AM23" s="832"/>
      <c r="AN23" s="514">
        <v>260026</v>
      </c>
      <c r="IU23" t="s">
        <v>864</v>
      </c>
      <c r="IV23" t="s">
        <v>1052</v>
      </c>
    </row>
    <row r="24" spans="1:256" ht="9" customHeight="1">
      <c r="A24" s="504">
        <v>260026</v>
      </c>
      <c r="V24" s="504">
        <f>260000+26</f>
        <v>260026</v>
      </c>
      <c r="W24" s="3702">
        <f>128*11+5+0.256+0.038</f>
        <v>1413.2940000000001</v>
      </c>
      <c r="X24" s="353"/>
      <c r="Y24" s="353"/>
      <c r="Z24" s="353"/>
      <c r="AA24" s="353"/>
      <c r="AB24" s="3692">
        <f>260000+128*5+52</f>
        <v>260692</v>
      </c>
      <c r="AC24" s="1407">
        <v>6.0699999999999997E-2</v>
      </c>
      <c r="AD24" s="1407"/>
      <c r="AE24" s="832"/>
      <c r="AF24" s="832"/>
      <c r="AG24" s="835">
        <f>260000+26</f>
        <v>260026</v>
      </c>
      <c r="AH24" s="832"/>
      <c r="AI24" s="833"/>
      <c r="AJ24" s="832"/>
      <c r="AK24" s="835">
        <f>260000+26</f>
        <v>260026</v>
      </c>
      <c r="AL24" s="832"/>
      <c r="AM24" s="833"/>
      <c r="AN24" s="514">
        <v>260026</v>
      </c>
      <c r="IU24" t="s">
        <v>865</v>
      </c>
      <c r="IV24" t="s">
        <v>1053</v>
      </c>
    </row>
    <row r="25" spans="1:256" ht="9" customHeight="1">
      <c r="A25" s="504">
        <v>260026</v>
      </c>
      <c r="B25" s="504">
        <v>260026</v>
      </c>
      <c r="C25" s="504">
        <v>260026</v>
      </c>
      <c r="D25" s="504">
        <v>260026</v>
      </c>
      <c r="E25" s="504">
        <v>260026</v>
      </c>
      <c r="F25" s="504">
        <v>260026</v>
      </c>
      <c r="G25" s="504">
        <v>260026</v>
      </c>
      <c r="H25" s="504">
        <v>260026</v>
      </c>
      <c r="I25" s="504">
        <v>260026</v>
      </c>
      <c r="J25" s="504">
        <v>260026</v>
      </c>
      <c r="K25" s="504">
        <v>260026</v>
      </c>
      <c r="L25" s="504">
        <v>260026</v>
      </c>
      <c r="M25" s="504">
        <v>260026</v>
      </c>
      <c r="N25" s="504">
        <v>260026</v>
      </c>
      <c r="O25" s="504">
        <v>260026</v>
      </c>
      <c r="P25" s="504">
        <v>260026</v>
      </c>
      <c r="Q25" s="504">
        <v>260026</v>
      </c>
      <c r="R25" s="504">
        <v>260026</v>
      </c>
      <c r="S25" s="504">
        <v>260026</v>
      </c>
      <c r="T25" s="504">
        <v>260026</v>
      </c>
      <c r="U25" s="504">
        <v>260026</v>
      </c>
      <c r="V25" s="504">
        <v>260026</v>
      </c>
      <c r="W25" s="504">
        <v>260026</v>
      </c>
      <c r="X25" s="504">
        <v>260026</v>
      </c>
      <c r="Y25" s="504">
        <v>260026</v>
      </c>
      <c r="Z25" s="504">
        <v>260026</v>
      </c>
      <c r="AA25" s="504">
        <v>260026</v>
      </c>
      <c r="AB25" s="504">
        <v>260026</v>
      </c>
      <c r="AC25" s="1840">
        <v>0.217</v>
      </c>
      <c r="AD25" s="1407"/>
      <c r="AE25" s="832"/>
      <c r="AF25" s="832"/>
      <c r="AG25" s="832"/>
      <c r="AH25" s="832"/>
      <c r="AI25" s="832"/>
      <c r="AJ25" s="832"/>
      <c r="AK25" s="832"/>
      <c r="AL25" s="832"/>
      <c r="AM25" s="832"/>
      <c r="AN25" s="514">
        <v>260026</v>
      </c>
      <c r="IU25" t="s">
        <v>1003</v>
      </c>
      <c r="IV25" t="s">
        <v>1002</v>
      </c>
    </row>
    <row r="26" spans="1:256" ht="9" customHeight="1">
      <c r="A26" s="504">
        <v>260026</v>
      </c>
      <c r="B26" s="503">
        <f>0.256+0.001</f>
        <v>0.25700000000000001</v>
      </c>
      <c r="C26" s="503">
        <f>0.256+0.008</f>
        <v>0.26400000000000001</v>
      </c>
      <c r="D26" s="503"/>
      <c r="E26" s="503">
        <f>0.256+0.008</f>
        <v>0.26400000000000001</v>
      </c>
      <c r="F26" s="503"/>
      <c r="G26" s="503"/>
      <c r="H26" s="503"/>
      <c r="I26" s="503"/>
      <c r="J26" s="503"/>
      <c r="K26" s="503"/>
      <c r="L26" s="826"/>
      <c r="M26" s="826"/>
      <c r="N26" s="826"/>
      <c r="O26" s="826"/>
      <c r="P26" s="826"/>
      <c r="Q26" s="826"/>
      <c r="R26" s="826"/>
      <c r="S26" s="826"/>
      <c r="T26" s="503"/>
      <c r="U26" s="503"/>
      <c r="V26" s="503">
        <f>128*10+10</f>
        <v>1290</v>
      </c>
      <c r="W26" s="504">
        <v>21</v>
      </c>
      <c r="X26" s="1499">
        <f>0.256+0.007</f>
        <v>0.26300000000000001</v>
      </c>
      <c r="Y26" s="812"/>
      <c r="Z26" s="503"/>
      <c r="AA26" s="503"/>
      <c r="AB26" s="503"/>
      <c r="AC26" s="504">
        <f>260000+26</f>
        <v>260026</v>
      </c>
      <c r="AD26" s="1407"/>
      <c r="AE26" s="1840"/>
      <c r="AF26" s="1840"/>
      <c r="AG26" s="1840"/>
      <c r="AH26" s="1840"/>
      <c r="AI26" s="1840"/>
      <c r="AJ26" s="1840"/>
      <c r="AK26" s="1840"/>
      <c r="AL26" s="1840"/>
      <c r="AM26" s="1407"/>
      <c r="AN26" s="514">
        <v>260026</v>
      </c>
      <c r="IU26" t="s">
        <v>954</v>
      </c>
      <c r="IV26">
        <v>1</v>
      </c>
    </row>
    <row r="27" spans="1:256" ht="9" customHeight="1" thickBot="1">
      <c r="A27" s="504">
        <v>260026</v>
      </c>
      <c r="B27" s="503">
        <f>0.256+0.008</f>
        <v>0.26400000000000001</v>
      </c>
      <c r="F27" s="503"/>
      <c r="G27" s="503"/>
      <c r="H27" s="503"/>
      <c r="I27" s="503"/>
      <c r="J27" s="503"/>
      <c r="K27" s="503"/>
      <c r="L27" s="503"/>
      <c r="M27" s="503"/>
      <c r="N27" s="503"/>
      <c r="O27" s="503"/>
      <c r="P27" s="503"/>
      <c r="Q27" s="503"/>
      <c r="R27" s="503"/>
      <c r="S27" s="503"/>
      <c r="T27" s="503"/>
      <c r="U27" s="503"/>
      <c r="V27" s="503"/>
      <c r="W27" s="504">
        <v>21</v>
      </c>
      <c r="X27" s="812"/>
      <c r="Y27" s="3415">
        <f>128*9+29</f>
        <v>1181</v>
      </c>
      <c r="Z27" s="513"/>
      <c r="AA27" s="3415"/>
      <c r="AB27" s="503"/>
      <c r="AC27" s="504">
        <f>260000+26</f>
        <v>260026</v>
      </c>
      <c r="AD27" s="1407"/>
      <c r="AE27" s="1840"/>
      <c r="AF27" s="1840"/>
      <c r="AG27" s="1840"/>
      <c r="AH27" s="1840"/>
      <c r="AI27" s="505">
        <v>200020</v>
      </c>
      <c r="AJ27" s="505">
        <f>200000+128*5+36</f>
        <v>200676</v>
      </c>
      <c r="AK27" s="505">
        <v>200020</v>
      </c>
      <c r="AL27" s="1840"/>
      <c r="AM27" s="1407"/>
      <c r="AN27" s="514">
        <v>260026</v>
      </c>
      <c r="IU27" t="s">
        <v>953</v>
      </c>
      <c r="IV27">
        <v>50</v>
      </c>
    </row>
    <row r="28" spans="1:256" ht="9" customHeight="1" thickTop="1" thickBot="1">
      <c r="A28" s="504">
        <v>260026</v>
      </c>
      <c r="B28" s="503"/>
      <c r="F28" s="503"/>
      <c r="G28" s="503">
        <f>260000+128*4+39</f>
        <v>260551</v>
      </c>
      <c r="H28" s="503">
        <f>128*10+10</f>
        <v>1290</v>
      </c>
      <c r="I28" s="503"/>
      <c r="J28" s="503"/>
      <c r="K28" s="503"/>
      <c r="L28" s="503"/>
      <c r="M28" s="503"/>
      <c r="N28" s="503"/>
      <c r="O28" s="503"/>
      <c r="P28" s="503"/>
      <c r="Q28" s="503"/>
      <c r="R28" s="503"/>
      <c r="S28" s="503"/>
      <c r="T28" s="503"/>
      <c r="U28" s="503"/>
      <c r="V28" s="503">
        <f>128*10+10</f>
        <v>1290</v>
      </c>
      <c r="W28" s="504">
        <v>21</v>
      </c>
      <c r="X28" s="503">
        <f>0.256+0.006</f>
        <v>0.26200000000000001</v>
      </c>
      <c r="Y28" s="513"/>
      <c r="Z28" s="3700">
        <f>128*18+15</f>
        <v>2319</v>
      </c>
      <c r="AA28" s="513"/>
      <c r="AB28" s="503"/>
      <c r="AC28" s="504">
        <f>260000+26</f>
        <v>260026</v>
      </c>
      <c r="AD28" s="504">
        <v>260026</v>
      </c>
      <c r="AE28" s="1840"/>
      <c r="AF28" s="505">
        <v>200020</v>
      </c>
      <c r="AG28" s="505">
        <v>200020</v>
      </c>
      <c r="AH28" s="505">
        <v>200020</v>
      </c>
      <c r="AI28" s="509"/>
      <c r="AJ28" s="509"/>
      <c r="AK28" s="509"/>
      <c r="AL28" s="505">
        <v>200020</v>
      </c>
      <c r="AM28" s="505">
        <v>200020</v>
      </c>
      <c r="AN28" s="505">
        <v>200020</v>
      </c>
      <c r="IU28" t="s">
        <v>963</v>
      </c>
      <c r="IV28" t="s">
        <v>335</v>
      </c>
    </row>
    <row r="29" spans="1:256" ht="9" customHeight="1" thickTop="1" thickBot="1">
      <c r="A29" s="504">
        <v>260026</v>
      </c>
      <c r="B29" s="503">
        <f>0.256+0.008</f>
        <v>0.26400000000000001</v>
      </c>
      <c r="F29" s="503">
        <f>128*10+6</f>
        <v>1286</v>
      </c>
      <c r="G29" s="504">
        <v>21</v>
      </c>
      <c r="H29" s="503"/>
      <c r="I29" s="503"/>
      <c r="J29" s="503"/>
      <c r="K29" s="830"/>
      <c r="L29" s="830"/>
      <c r="M29" s="503"/>
      <c r="N29" s="503"/>
      <c r="O29" s="503">
        <f>128*6+59</f>
        <v>827</v>
      </c>
      <c r="P29" s="503"/>
      <c r="Q29" s="503"/>
      <c r="R29" s="830"/>
      <c r="S29" s="830"/>
      <c r="T29" s="830"/>
      <c r="U29" s="503"/>
      <c r="V29" s="503"/>
      <c r="W29" s="504">
        <v>21</v>
      </c>
      <c r="X29" s="503"/>
      <c r="Y29" s="513"/>
      <c r="Z29" s="513"/>
      <c r="AA29" s="513"/>
      <c r="AB29" s="503"/>
      <c r="AC29" s="503"/>
      <c r="AD29" s="504">
        <v>260026</v>
      </c>
      <c r="AE29" s="1840"/>
      <c r="AF29" s="505">
        <v>200020</v>
      </c>
      <c r="AG29" s="509"/>
      <c r="AH29" s="509"/>
      <c r="AI29" s="509"/>
      <c r="AJ29" s="509"/>
      <c r="AK29" s="509"/>
      <c r="AL29" s="509"/>
      <c r="AM29" s="509"/>
      <c r="AN29" s="505">
        <v>200020</v>
      </c>
      <c r="IU29" t="s">
        <v>983</v>
      </c>
      <c r="IV29" t="s">
        <v>984</v>
      </c>
    </row>
    <row r="30" spans="1:256" ht="9" customHeight="1" thickTop="1">
      <c r="A30" s="504">
        <v>260026</v>
      </c>
      <c r="B30" s="503"/>
      <c r="C30" s="503"/>
      <c r="D30" s="503"/>
      <c r="E30" s="503">
        <f>128*10+6</f>
        <v>1286</v>
      </c>
      <c r="F30" s="503">
        <f>128*10+8+0.0598</f>
        <v>1288.0598</v>
      </c>
      <c r="G30" s="504">
        <v>21</v>
      </c>
      <c r="H30" s="503">
        <f>128*10+10</f>
        <v>1290</v>
      </c>
      <c r="I30" s="503"/>
      <c r="J30" s="503"/>
      <c r="K30" s="503"/>
      <c r="L30" s="503"/>
      <c r="M30" s="503"/>
      <c r="N30" s="503"/>
      <c r="O30" s="504">
        <v>21</v>
      </c>
      <c r="P30" s="503"/>
      <c r="Q30" s="503"/>
      <c r="R30" s="503"/>
      <c r="S30" s="503"/>
      <c r="T30" s="503"/>
      <c r="U30" s="503"/>
      <c r="V30" s="503">
        <f>128*10+10</f>
        <v>1290</v>
      </c>
      <c r="W30" s="504">
        <v>21</v>
      </c>
      <c r="X30" s="503">
        <f>128*10+15</f>
        <v>1295</v>
      </c>
      <c r="Y30" s="503"/>
      <c r="Z30" s="503"/>
      <c r="AA30" s="503"/>
      <c r="AB30" s="503"/>
      <c r="AC30" s="503"/>
      <c r="AD30" s="504">
        <v>260026</v>
      </c>
      <c r="AE30" s="3691">
        <f>128*8+2+0.256+0.0015</f>
        <v>1026.2575000000002</v>
      </c>
      <c r="AF30" s="505">
        <v>200020</v>
      </c>
      <c r="AG30" s="509"/>
      <c r="AH30" s="511"/>
      <c r="AI30" s="511"/>
      <c r="AJ30" s="511">
        <f>128*6+59</f>
        <v>827</v>
      </c>
      <c r="AK30" s="511"/>
      <c r="AL30" s="511"/>
      <c r="AM30" s="509"/>
      <c r="AN30" s="505">
        <v>200020</v>
      </c>
      <c r="IU30" t="s">
        <v>524</v>
      </c>
      <c r="IV30">
        <v>31</v>
      </c>
    </row>
    <row r="31" spans="1:256" ht="9" customHeight="1">
      <c r="A31" s="504">
        <v>260026</v>
      </c>
      <c r="B31" s="503"/>
      <c r="C31" s="503"/>
      <c r="D31" s="503">
        <f>260000+128*4+39</f>
        <v>260551</v>
      </c>
      <c r="E31" s="504">
        <v>21</v>
      </c>
      <c r="F31" s="504">
        <v>21</v>
      </c>
      <c r="G31" s="504">
        <v>21</v>
      </c>
      <c r="H31" s="503"/>
      <c r="I31" s="503"/>
      <c r="J31" s="503"/>
      <c r="K31" s="503"/>
      <c r="L31" s="518"/>
      <c r="M31" s="503"/>
      <c r="N31" s="503"/>
      <c r="O31" s="503"/>
      <c r="P31" s="503"/>
      <c r="Q31" s="503"/>
      <c r="R31" s="503"/>
      <c r="S31" s="518"/>
      <c r="T31" s="503"/>
      <c r="U31" s="503"/>
      <c r="V31" s="503"/>
      <c r="W31" s="504">
        <v>21</v>
      </c>
      <c r="X31" s="3698">
        <f>260000+128*5+36</f>
        <v>260676</v>
      </c>
      <c r="Y31" s="504">
        <v>21</v>
      </c>
      <c r="Z31" s="503"/>
      <c r="AA31" s="503"/>
      <c r="AB31" s="503"/>
      <c r="AC31" s="503"/>
      <c r="AD31" s="504">
        <v>260026</v>
      </c>
      <c r="AE31" s="1742">
        <v>260026</v>
      </c>
      <c r="AF31" s="505">
        <v>200020</v>
      </c>
      <c r="AG31" s="526">
        <f>128*6+30</f>
        <v>798</v>
      </c>
      <c r="AH31" s="511"/>
      <c r="AI31" s="514"/>
      <c r="AJ31" s="515">
        <v>20</v>
      </c>
      <c r="AK31" s="511"/>
      <c r="AL31" s="511">
        <f>128*6+30</f>
        <v>798</v>
      </c>
      <c r="AM31" s="509"/>
      <c r="AN31" s="505">
        <v>200020</v>
      </c>
      <c r="IU31" t="s">
        <v>523</v>
      </c>
      <c r="IV31">
        <v>32</v>
      </c>
    </row>
    <row r="32" spans="1:256" ht="9" customHeight="1">
      <c r="A32" s="504">
        <v>260026</v>
      </c>
      <c r="B32" s="503"/>
      <c r="C32" s="503"/>
      <c r="D32" s="503">
        <f>128*10+10</f>
        <v>1290</v>
      </c>
      <c r="E32" s="503"/>
      <c r="F32" s="503">
        <f>128*10+10</f>
        <v>1290</v>
      </c>
      <c r="G32" s="503"/>
      <c r="H32" s="503">
        <f>128*10+10</f>
        <v>1290</v>
      </c>
      <c r="I32" s="503"/>
      <c r="J32" s="826"/>
      <c r="K32" s="826"/>
      <c r="L32" s="826"/>
      <c r="M32" s="826"/>
      <c r="N32" s="826"/>
      <c r="O32" s="826"/>
      <c r="P32" s="826"/>
      <c r="Q32" s="826"/>
      <c r="R32" s="826"/>
      <c r="S32" s="826"/>
      <c r="T32" s="826"/>
      <c r="U32" s="503"/>
      <c r="V32" s="503">
        <f>128*10+10</f>
        <v>1290</v>
      </c>
      <c r="W32" s="770">
        <f>21+0.214</f>
        <v>21.213999999999999</v>
      </c>
      <c r="X32" s="537">
        <v>-42</v>
      </c>
      <c r="Y32" s="1487">
        <f>128*5+52</f>
        <v>692</v>
      </c>
      <c r="Z32" s="503"/>
      <c r="AA32" s="503"/>
      <c r="AB32" s="503"/>
      <c r="AC32" s="503"/>
      <c r="AD32" s="504">
        <v>260026</v>
      </c>
      <c r="AF32" s="505">
        <v>200020</v>
      </c>
      <c r="AG32" s="526"/>
      <c r="AH32" s="511"/>
      <c r="AI32" s="514"/>
      <c r="AJ32" s="515"/>
      <c r="AK32" s="511"/>
      <c r="AL32" s="511"/>
      <c r="AM32" s="509"/>
      <c r="AN32" s="505">
        <v>200020</v>
      </c>
      <c r="IU32" t="s">
        <v>525</v>
      </c>
      <c r="IV32">
        <v>33</v>
      </c>
    </row>
    <row r="33" spans="1:256" ht="9" customHeight="1">
      <c r="A33" s="504">
        <v>260026</v>
      </c>
      <c r="B33" s="503"/>
      <c r="C33" s="503"/>
      <c r="D33" s="503"/>
      <c r="E33" s="503"/>
      <c r="F33" s="503"/>
      <c r="G33" s="503"/>
      <c r="H33" s="503"/>
      <c r="I33" s="503"/>
      <c r="J33" s="503"/>
      <c r="K33" s="503"/>
      <c r="L33" s="503"/>
      <c r="M33" s="503">
        <v>0.19700000000000001</v>
      </c>
      <c r="N33" s="503"/>
      <c r="O33" s="830"/>
      <c r="P33" s="830"/>
      <c r="Q33" s="503"/>
      <c r="R33" s="503">
        <v>0.19700000000000001</v>
      </c>
      <c r="S33" s="503"/>
      <c r="T33" s="503"/>
      <c r="U33" s="503"/>
      <c r="V33" s="503"/>
      <c r="W33" s="504">
        <v>21</v>
      </c>
      <c r="X33" s="3698">
        <f>260000+128*5+36</f>
        <v>260676</v>
      </c>
      <c r="Y33" s="504">
        <v>21</v>
      </c>
      <c r="Z33" s="503"/>
      <c r="AA33" s="503"/>
      <c r="AB33" s="503"/>
      <c r="AC33" s="503"/>
      <c r="AD33" s="504">
        <v>260026</v>
      </c>
      <c r="AF33" s="505">
        <v>200020</v>
      </c>
      <c r="AG33" s="509">
        <f>128*6+59</f>
        <v>827</v>
      </c>
      <c r="AH33" s="504">
        <v>20</v>
      </c>
      <c r="AI33" s="504"/>
      <c r="AJ33" s="819">
        <f>110000+128*11+3+0.256+0.011</f>
        <v>111411.26699999999</v>
      </c>
      <c r="AK33" s="504"/>
      <c r="AL33" s="515">
        <v>20</v>
      </c>
      <c r="AM33" s="1071">
        <f>128*6+59</f>
        <v>827</v>
      </c>
      <c r="AN33" s="505">
        <v>200020</v>
      </c>
      <c r="IU33" t="s">
        <v>550</v>
      </c>
      <c r="IV33">
        <v>4</v>
      </c>
    </row>
    <row r="34" spans="1:256" ht="9" customHeight="1">
      <c r="A34" s="504">
        <v>260026</v>
      </c>
      <c r="B34" s="503"/>
      <c r="C34" s="503"/>
      <c r="D34" s="518"/>
      <c r="E34" s="503"/>
      <c r="F34" s="503"/>
      <c r="G34" s="503"/>
      <c r="H34" s="826"/>
      <c r="I34" s="503"/>
      <c r="J34" s="503">
        <f>128*6+5</f>
        <v>773</v>
      </c>
      <c r="K34" s="825"/>
      <c r="L34" s="825"/>
      <c r="M34" s="825"/>
      <c r="N34" s="825"/>
      <c r="O34" s="825"/>
      <c r="P34" s="825"/>
      <c r="Q34" s="825"/>
      <c r="R34" s="825"/>
      <c r="S34" s="825"/>
      <c r="T34" s="825"/>
      <c r="U34" s="503">
        <f>128*6+5</f>
        <v>773</v>
      </c>
      <c r="V34" s="503"/>
      <c r="W34" s="826"/>
      <c r="X34" s="503"/>
      <c r="Y34" s="503"/>
      <c r="Z34" s="503"/>
      <c r="AA34" s="503"/>
      <c r="AB34" s="503"/>
      <c r="AC34" s="503"/>
      <c r="AD34" s="504">
        <v>260026</v>
      </c>
      <c r="AF34" s="505">
        <v>200020</v>
      </c>
      <c r="AG34" s="526"/>
      <c r="AH34" s="511"/>
      <c r="AI34" s="514"/>
      <c r="AJ34" s="515"/>
      <c r="AK34" s="511"/>
      <c r="AL34" s="511"/>
      <c r="AM34" s="509"/>
      <c r="AN34" s="505">
        <v>200020</v>
      </c>
      <c r="IU34" t="s">
        <v>899</v>
      </c>
      <c r="IV34" t="s">
        <v>174</v>
      </c>
    </row>
    <row r="35" spans="1:256" ht="9" customHeight="1">
      <c r="A35" s="504">
        <v>260026</v>
      </c>
      <c r="B35" s="826"/>
      <c r="C35" s="503"/>
      <c r="D35" s="830"/>
      <c r="E35" s="503"/>
      <c r="F35" s="503"/>
      <c r="G35" s="503"/>
      <c r="H35" s="826"/>
      <c r="I35" s="503"/>
      <c r="J35" s="503"/>
      <c r="K35" s="825"/>
      <c r="L35" s="503">
        <f>0.256+0.001</f>
        <v>0.25700000000000001</v>
      </c>
      <c r="M35" s="503"/>
      <c r="N35" s="503"/>
      <c r="O35" s="503"/>
      <c r="P35" s="503"/>
      <c r="Q35" s="503"/>
      <c r="R35" s="503"/>
      <c r="S35" s="503">
        <f>0.256+0.001</f>
        <v>0.25700000000000001</v>
      </c>
      <c r="T35" s="825"/>
      <c r="U35" s="503"/>
      <c r="V35" s="503"/>
      <c r="W35" s="826"/>
      <c r="X35" s="503"/>
      <c r="Y35" s="503"/>
      <c r="Z35" s="503"/>
      <c r="AA35" s="518"/>
      <c r="AB35" s="503"/>
      <c r="AC35" s="826"/>
      <c r="AD35" s="504">
        <v>260026</v>
      </c>
      <c r="AF35" s="505">
        <v>200020</v>
      </c>
      <c r="AG35" s="526">
        <f>128*6+30</f>
        <v>798</v>
      </c>
      <c r="AH35" s="511"/>
      <c r="AI35" s="514"/>
      <c r="AJ35" s="515">
        <v>200020</v>
      </c>
      <c r="AK35" s="511"/>
      <c r="AL35" s="511">
        <f>128*6+30</f>
        <v>798</v>
      </c>
      <c r="AM35" s="509"/>
      <c r="AN35" s="505">
        <v>200020</v>
      </c>
      <c r="IU35" t="s">
        <v>901</v>
      </c>
      <c r="IV35">
        <v>24</v>
      </c>
    </row>
    <row r="36" spans="1:256" ht="9" customHeight="1">
      <c r="A36" s="504">
        <v>260026</v>
      </c>
      <c r="B36" s="826"/>
      <c r="C36" s="503"/>
      <c r="D36" s="503"/>
      <c r="E36" s="503"/>
      <c r="F36" s="503"/>
      <c r="G36" s="503"/>
      <c r="H36" s="826"/>
      <c r="I36" s="503"/>
      <c r="J36" s="503"/>
      <c r="K36" s="825"/>
      <c r="L36" s="503"/>
      <c r="M36" s="498">
        <v>420042</v>
      </c>
      <c r="N36" s="510">
        <v>200000</v>
      </c>
      <c r="O36" s="510">
        <v>200000</v>
      </c>
      <c r="P36" s="510">
        <v>200000</v>
      </c>
      <c r="Q36" s="510">
        <v>200000</v>
      </c>
      <c r="R36" s="498">
        <v>420042</v>
      </c>
      <c r="S36" s="503"/>
      <c r="T36" s="825"/>
      <c r="U36" s="503"/>
      <c r="V36" s="503"/>
      <c r="W36" s="826"/>
      <c r="X36" s="503"/>
      <c r="Y36" s="830"/>
      <c r="Z36" s="503"/>
      <c r="AA36" s="503"/>
      <c r="AB36" s="503"/>
      <c r="AC36" s="826"/>
      <c r="AD36" s="504">
        <v>260026</v>
      </c>
      <c r="AF36" s="505">
        <v>200020</v>
      </c>
      <c r="AG36" s="509"/>
      <c r="AH36" s="511"/>
      <c r="AI36" s="511"/>
      <c r="AJ36" s="511">
        <f>128*6+59</f>
        <v>827</v>
      </c>
      <c r="AK36" s="511"/>
      <c r="AL36" s="511"/>
      <c r="AM36" s="509"/>
      <c r="AN36" s="505">
        <v>200020</v>
      </c>
      <c r="IU36" t="s">
        <v>902</v>
      </c>
    </row>
    <row r="37" spans="1:256" ht="9" customHeight="1">
      <c r="A37" s="504">
        <v>260026</v>
      </c>
      <c r="B37" s="826"/>
      <c r="C37" s="503"/>
      <c r="D37" s="503"/>
      <c r="E37" s="757"/>
      <c r="F37" s="757"/>
      <c r="G37" s="503"/>
      <c r="H37" s="826"/>
      <c r="I37" s="503">
        <v>0.19700000000000001</v>
      </c>
      <c r="J37" s="503"/>
      <c r="K37" s="825"/>
      <c r="L37" s="503"/>
      <c r="M37" s="510">
        <v>200000</v>
      </c>
      <c r="N37" s="827">
        <f>0.384+0.005</f>
        <v>0.38900000000000001</v>
      </c>
      <c r="O37" s="827"/>
      <c r="P37" s="827"/>
      <c r="Q37" s="827">
        <f>0.384+0.005</f>
        <v>0.38900000000000001</v>
      </c>
      <c r="R37" s="510">
        <v>200000</v>
      </c>
      <c r="S37" s="503"/>
      <c r="T37" s="825"/>
      <c r="U37" s="503"/>
      <c r="V37" s="503"/>
      <c r="W37" s="826"/>
      <c r="X37" s="503"/>
      <c r="Y37" s="757"/>
      <c r="Z37" s="757"/>
      <c r="AA37" s="503"/>
      <c r="AB37" s="503"/>
      <c r="AC37" s="826"/>
      <c r="AD37" s="504">
        <v>260026</v>
      </c>
      <c r="AF37" s="505">
        <v>200020</v>
      </c>
      <c r="AG37" s="509"/>
      <c r="AH37" s="509"/>
      <c r="AI37" s="509"/>
      <c r="AJ37" s="509"/>
      <c r="AK37" s="509"/>
      <c r="AL37" s="509"/>
      <c r="AM37" s="509"/>
      <c r="AN37" s="505">
        <v>200020</v>
      </c>
      <c r="IU37" t="s">
        <v>1091</v>
      </c>
      <c r="IV37">
        <v>168</v>
      </c>
    </row>
    <row r="38" spans="1:256" ht="9" customHeight="1">
      <c r="A38" s="504">
        <v>260026</v>
      </c>
      <c r="B38" s="826"/>
      <c r="C38" s="503"/>
      <c r="D38" s="503"/>
      <c r="E38" s="757"/>
      <c r="F38" s="504">
        <f>260000+21</f>
        <v>260021</v>
      </c>
      <c r="G38" s="503"/>
      <c r="H38" s="826"/>
      <c r="I38" s="830"/>
      <c r="J38" s="503"/>
      <c r="K38" s="825"/>
      <c r="L38" s="503"/>
      <c r="M38" s="510">
        <v>200000</v>
      </c>
      <c r="N38" s="827"/>
      <c r="O38" s="3682">
        <f>0.384+0.001</f>
        <v>0.38500000000000001</v>
      </c>
      <c r="P38" s="3214">
        <f>128*10+16</f>
        <v>1296</v>
      </c>
      <c r="Q38" s="827"/>
      <c r="R38" s="510">
        <v>200000</v>
      </c>
      <c r="S38" s="503"/>
      <c r="T38" s="825"/>
      <c r="U38" s="503"/>
      <c r="V38" s="830"/>
      <c r="W38" s="826"/>
      <c r="X38" s="503"/>
      <c r="Y38" s="504">
        <f>260000+21</f>
        <v>260021</v>
      </c>
      <c r="Z38" s="757"/>
      <c r="AA38" s="503"/>
      <c r="AB38" s="503"/>
      <c r="AC38" s="826"/>
      <c r="AD38" s="504">
        <v>260026</v>
      </c>
      <c r="AF38" s="505">
        <v>200020</v>
      </c>
      <c r="AG38" s="505">
        <v>200020</v>
      </c>
      <c r="AH38" s="505">
        <v>200020</v>
      </c>
      <c r="AI38" s="505">
        <v>200020</v>
      </c>
      <c r="AJ38" s="505">
        <v>200020</v>
      </c>
      <c r="AK38" s="505">
        <v>200020</v>
      </c>
      <c r="AL38" s="505">
        <v>200020</v>
      </c>
      <c r="AM38" s="505">
        <v>200020</v>
      </c>
      <c r="AN38" s="505">
        <v>200020</v>
      </c>
      <c r="IU38" t="s">
        <v>1092</v>
      </c>
      <c r="IV38">
        <v>178</v>
      </c>
    </row>
    <row r="39" spans="1:256" ht="9" customHeight="1">
      <c r="A39" s="504">
        <v>260026</v>
      </c>
      <c r="B39" s="826"/>
      <c r="C39" s="503"/>
      <c r="D39" s="503"/>
      <c r="E39" s="757"/>
      <c r="F39" s="3699">
        <f>128*18+15</f>
        <v>2319</v>
      </c>
      <c r="G39" s="503"/>
      <c r="H39" s="826"/>
      <c r="I39" s="830"/>
      <c r="J39" s="503"/>
      <c r="K39" s="825"/>
      <c r="L39" s="503"/>
      <c r="M39" s="510">
        <v>200000</v>
      </c>
      <c r="N39" s="827"/>
      <c r="O39" s="3212">
        <f>128*10+49</f>
        <v>1329</v>
      </c>
      <c r="P39" s="3212">
        <f>128*10+7</f>
        <v>1287</v>
      </c>
      <c r="Q39" s="827"/>
      <c r="R39" s="510">
        <v>200000</v>
      </c>
      <c r="S39" s="503"/>
      <c r="T39" s="825"/>
      <c r="U39" s="503"/>
      <c r="V39" s="830"/>
      <c r="W39" s="826"/>
      <c r="X39" s="503"/>
      <c r="Y39" s="3699">
        <f>128*18+15</f>
        <v>2319</v>
      </c>
      <c r="Z39" s="757"/>
      <c r="AA39" s="503"/>
      <c r="AB39" s="503"/>
      <c r="AC39" s="826"/>
      <c r="AD39" s="504">
        <v>260026</v>
      </c>
      <c r="AF39" s="505">
        <v>200020</v>
      </c>
      <c r="AG39" s="509"/>
      <c r="AH39" s="509"/>
      <c r="AI39" s="509"/>
      <c r="AJ39" s="526">
        <f>128*6+59</f>
        <v>827</v>
      </c>
      <c r="AK39" s="509"/>
      <c r="AL39" s="509"/>
      <c r="AM39" s="509"/>
      <c r="AN39" s="505">
        <v>200020</v>
      </c>
      <c r="IU39" t="s">
        <v>567</v>
      </c>
      <c r="IV39">
        <v>4</v>
      </c>
    </row>
    <row r="40" spans="1:256" ht="9" customHeight="1">
      <c r="A40" s="504">
        <v>260026</v>
      </c>
      <c r="B40" s="826"/>
      <c r="C40" s="503"/>
      <c r="D40" s="503"/>
      <c r="E40" s="757"/>
      <c r="F40" s="504">
        <f>260000+21</f>
        <v>260021</v>
      </c>
      <c r="G40" s="503"/>
      <c r="H40" s="826"/>
      <c r="I40" s="503"/>
      <c r="J40" s="503"/>
      <c r="K40" s="825"/>
      <c r="L40" s="503"/>
      <c r="M40" s="510">
        <v>200000</v>
      </c>
      <c r="N40" s="827">
        <f>0.384+0.005</f>
        <v>0.38900000000000001</v>
      </c>
      <c r="O40" s="827"/>
      <c r="P40" s="827"/>
      <c r="Q40" s="827">
        <f>0.384+0.005</f>
        <v>0.38900000000000001</v>
      </c>
      <c r="R40" s="510">
        <v>200000</v>
      </c>
      <c r="S40" s="503"/>
      <c r="T40" s="825"/>
      <c r="U40" s="503"/>
      <c r="V40" s="503"/>
      <c r="W40" s="826"/>
      <c r="X40" s="503"/>
      <c r="Y40" s="504">
        <f>260000+21</f>
        <v>260021</v>
      </c>
      <c r="Z40" s="757"/>
      <c r="AA40" s="503"/>
      <c r="AB40" s="503"/>
      <c r="AC40" s="826"/>
      <c r="AD40" s="504">
        <v>260026</v>
      </c>
      <c r="AF40" s="505">
        <v>200020</v>
      </c>
      <c r="AG40" s="509"/>
      <c r="AH40" s="514"/>
      <c r="AI40" s="514"/>
      <c r="AJ40" s="504">
        <v>42</v>
      </c>
      <c r="AK40" s="514"/>
      <c r="AL40" s="514"/>
      <c r="AM40" s="509"/>
      <c r="AN40" s="505">
        <v>200020</v>
      </c>
      <c r="IU40" t="s">
        <v>886</v>
      </c>
      <c r="IV40">
        <v>98</v>
      </c>
    </row>
    <row r="41" spans="1:256" ht="9" customHeight="1">
      <c r="A41" s="504">
        <v>260026</v>
      </c>
      <c r="B41" s="826"/>
      <c r="C41" s="503"/>
      <c r="D41" s="503"/>
      <c r="E41" s="757"/>
      <c r="F41" s="757"/>
      <c r="G41" s="503"/>
      <c r="H41" s="826"/>
      <c r="I41" s="503">
        <v>0.19700000000000001</v>
      </c>
      <c r="J41" s="503"/>
      <c r="K41" s="825"/>
      <c r="L41" s="503"/>
      <c r="M41" s="498">
        <v>420042</v>
      </c>
      <c r="N41" s="510">
        <v>200000</v>
      </c>
      <c r="O41" s="510">
        <v>200000</v>
      </c>
      <c r="P41" s="510">
        <v>200000</v>
      </c>
      <c r="Q41" s="510">
        <v>200000</v>
      </c>
      <c r="R41" s="498">
        <v>420042</v>
      </c>
      <c r="S41" s="503"/>
      <c r="T41" s="825"/>
      <c r="U41" s="503"/>
      <c r="V41" s="503"/>
      <c r="W41" s="826"/>
      <c r="X41" s="503"/>
      <c r="Y41" s="757"/>
      <c r="Z41" s="757"/>
      <c r="AA41" s="503"/>
      <c r="AB41" s="503"/>
      <c r="AC41" s="826"/>
      <c r="AD41" s="504">
        <v>260026</v>
      </c>
      <c r="AF41" s="505">
        <v>200020</v>
      </c>
      <c r="AG41" s="509"/>
      <c r="AH41" s="514"/>
      <c r="AI41" s="514"/>
      <c r="AJ41" s="524"/>
      <c r="AK41" s="514"/>
      <c r="AL41" s="514"/>
      <c r="AM41" s="509"/>
      <c r="AN41" s="505">
        <v>200020</v>
      </c>
      <c r="IU41" t="s">
        <v>887</v>
      </c>
      <c r="IV41">
        <v>104</v>
      </c>
    </row>
    <row r="42" spans="1:256" ht="9" customHeight="1">
      <c r="A42" s="504">
        <v>260026</v>
      </c>
      <c r="B42" s="826"/>
      <c r="C42" s="503"/>
      <c r="D42" s="503"/>
      <c r="E42" s="503"/>
      <c r="F42" s="503"/>
      <c r="G42" s="503"/>
      <c r="H42" s="826"/>
      <c r="I42" s="503"/>
      <c r="J42" s="503"/>
      <c r="K42" s="825"/>
      <c r="L42" s="503">
        <f>0.256+0.001</f>
        <v>0.25700000000000001</v>
      </c>
      <c r="M42" s="503"/>
      <c r="N42" s="503"/>
      <c r="O42" s="503"/>
      <c r="P42" s="503"/>
      <c r="Q42" s="503"/>
      <c r="R42" s="503"/>
      <c r="S42" s="503">
        <f>0.256+0.001</f>
        <v>0.25700000000000001</v>
      </c>
      <c r="T42" s="825"/>
      <c r="U42" s="503"/>
      <c r="V42" s="503"/>
      <c r="W42" s="826"/>
      <c r="X42" s="503"/>
      <c r="Y42" s="830"/>
      <c r="Z42" s="503"/>
      <c r="AA42" s="503"/>
      <c r="AB42" s="503"/>
      <c r="AC42" s="826"/>
      <c r="AD42" s="504">
        <v>260026</v>
      </c>
      <c r="AF42" s="505">
        <v>200020</v>
      </c>
      <c r="AG42" s="509">
        <f>128*6+59</f>
        <v>827</v>
      </c>
      <c r="AH42" s="504">
        <v>42</v>
      </c>
      <c r="AI42" s="524"/>
      <c r="AJ42" s="819">
        <f>110000+128*11+3+0.256+0.011</f>
        <v>111411.26699999999</v>
      </c>
      <c r="AK42" s="524"/>
      <c r="AL42" s="504">
        <v>42</v>
      </c>
      <c r="AM42" s="526">
        <f>128*6+59</f>
        <v>827</v>
      </c>
      <c r="AN42" s="505">
        <v>200020</v>
      </c>
      <c r="IU42" t="s">
        <v>1095</v>
      </c>
    </row>
    <row r="43" spans="1:256" ht="9" customHeight="1">
      <c r="A43" s="504">
        <v>260026</v>
      </c>
      <c r="B43" s="503"/>
      <c r="C43" s="503"/>
      <c r="D43" s="830"/>
      <c r="E43" s="503"/>
      <c r="F43" s="503"/>
      <c r="G43" s="503"/>
      <c r="H43" s="826"/>
      <c r="I43" s="503"/>
      <c r="J43" s="503"/>
      <c r="K43" s="825"/>
      <c r="L43" s="825"/>
      <c r="M43" s="825"/>
      <c r="N43" s="825"/>
      <c r="O43" s="825"/>
      <c r="P43" s="825"/>
      <c r="Q43" s="825"/>
      <c r="R43" s="825"/>
      <c r="S43" s="825"/>
      <c r="T43" s="825"/>
      <c r="U43" s="503"/>
      <c r="V43" s="503"/>
      <c r="W43" s="826"/>
      <c r="X43" s="503"/>
      <c r="Y43" s="503"/>
      <c r="Z43" s="503"/>
      <c r="AA43" s="503"/>
      <c r="AB43" s="503"/>
      <c r="AC43" s="503"/>
      <c r="AD43" s="504">
        <v>260026</v>
      </c>
      <c r="AF43" s="505">
        <v>200020</v>
      </c>
      <c r="AG43" s="509"/>
      <c r="AH43" s="514"/>
      <c r="AI43" s="514"/>
      <c r="AJ43" s="524"/>
      <c r="AK43" s="514"/>
      <c r="AL43" s="514"/>
      <c r="AM43" s="509"/>
      <c r="AN43" s="505">
        <v>200020</v>
      </c>
      <c r="IU43" t="s">
        <v>1096</v>
      </c>
      <c r="IV43">
        <v>49</v>
      </c>
    </row>
    <row r="44" spans="1:256" ht="9" customHeight="1">
      <c r="A44" s="504">
        <v>260026</v>
      </c>
      <c r="B44" s="503"/>
      <c r="C44" s="503"/>
      <c r="D44" s="518"/>
      <c r="E44" s="503"/>
      <c r="F44" s="503"/>
      <c r="G44" s="503"/>
      <c r="H44" s="826"/>
      <c r="I44" s="503"/>
      <c r="J44" s="503">
        <f>128*6+5</f>
        <v>773</v>
      </c>
      <c r="K44" s="503"/>
      <c r="L44" s="503"/>
      <c r="M44" s="503"/>
      <c r="N44" s="503"/>
      <c r="O44" s="503"/>
      <c r="P44" s="503"/>
      <c r="Q44" s="503"/>
      <c r="R44" s="503"/>
      <c r="S44" s="503"/>
      <c r="T44" s="503"/>
      <c r="U44" s="503">
        <f>128*6+5</f>
        <v>773</v>
      </c>
      <c r="V44" s="503"/>
      <c r="W44" s="826"/>
      <c r="X44" s="503"/>
      <c r="Y44" s="503"/>
      <c r="Z44" s="503"/>
      <c r="AA44" s="518"/>
      <c r="AB44" s="503"/>
      <c r="AC44" s="503"/>
      <c r="AD44" s="504">
        <v>260026</v>
      </c>
      <c r="AF44" s="505">
        <v>200020</v>
      </c>
      <c r="AG44" s="509"/>
      <c r="AH44" s="514"/>
      <c r="AI44" s="514"/>
      <c r="AJ44" s="504">
        <v>42</v>
      </c>
      <c r="AK44" s="514"/>
      <c r="AL44" s="514"/>
      <c r="AM44" s="509"/>
      <c r="AN44" s="505">
        <v>200020</v>
      </c>
    </row>
    <row r="45" spans="1:256" ht="9" customHeight="1">
      <c r="A45" s="504">
        <v>260026</v>
      </c>
      <c r="B45" s="503"/>
      <c r="C45" s="503"/>
      <c r="D45" s="503">
        <f>128*10+10</f>
        <v>1290</v>
      </c>
      <c r="E45" s="503"/>
      <c r="F45" s="503">
        <f>128*10+10</f>
        <v>1290</v>
      </c>
      <c r="G45" s="503"/>
      <c r="H45" s="503">
        <f>128*10+10</f>
        <v>1290</v>
      </c>
      <c r="I45" s="503"/>
      <c r="J45" s="503"/>
      <c r="K45" s="503"/>
      <c r="L45" s="503"/>
      <c r="M45" s="503">
        <v>0.19700000000000001</v>
      </c>
      <c r="N45" s="503"/>
      <c r="O45" s="830"/>
      <c r="P45" s="830"/>
      <c r="Q45" s="503"/>
      <c r="R45" s="503">
        <v>0.19700000000000001</v>
      </c>
      <c r="S45" s="503"/>
      <c r="T45" s="503"/>
      <c r="U45" s="503"/>
      <c r="V45" s="503"/>
      <c r="W45" s="503">
        <f>128*10+10</f>
        <v>1290</v>
      </c>
      <c r="X45" s="503"/>
      <c r="Y45" s="503">
        <f>128*10+10</f>
        <v>1290</v>
      </c>
      <c r="Z45" s="503"/>
      <c r="AA45" s="503">
        <f>128*10+10</f>
        <v>1290</v>
      </c>
      <c r="AB45" s="503"/>
      <c r="AC45" s="503"/>
      <c r="AD45" s="504">
        <v>260026</v>
      </c>
      <c r="AF45" s="505">
        <v>200020</v>
      </c>
      <c r="AG45" s="509"/>
      <c r="AH45" s="514"/>
      <c r="AI45" s="514"/>
      <c r="AJ45" s="511">
        <f>128*6+59</f>
        <v>827</v>
      </c>
      <c r="AK45" s="514"/>
      <c r="AL45" s="514"/>
      <c r="AM45" s="509"/>
      <c r="AN45" s="505">
        <v>200020</v>
      </c>
    </row>
    <row r="46" spans="1:256" ht="9" customHeight="1">
      <c r="A46" s="504">
        <v>260026</v>
      </c>
      <c r="B46" s="503"/>
      <c r="C46" s="503"/>
      <c r="D46" s="504">
        <f>128*4+39</f>
        <v>551</v>
      </c>
      <c r="E46" s="504">
        <f>260000+24</f>
        <v>260024</v>
      </c>
      <c r="F46" s="504">
        <f t="shared" ref="F46:G51" si="0">260000+24</f>
        <v>260024</v>
      </c>
      <c r="G46" s="504">
        <f t="shared" si="0"/>
        <v>260024</v>
      </c>
      <c r="H46" s="503"/>
      <c r="I46" s="503"/>
      <c r="J46" s="826"/>
      <c r="K46" s="826"/>
      <c r="L46" s="826"/>
      <c r="M46" s="826"/>
      <c r="N46" s="826"/>
      <c r="O46" s="826"/>
      <c r="P46" s="826"/>
      <c r="Q46" s="826"/>
      <c r="R46" s="826"/>
      <c r="S46" s="826"/>
      <c r="T46" s="826"/>
      <c r="U46" s="826"/>
      <c r="V46" s="503"/>
      <c r="W46" s="503"/>
      <c r="X46" s="504">
        <f t="shared" ref="X46:Y49" si="1">260000+21</f>
        <v>260021</v>
      </c>
      <c r="Y46" s="504">
        <f t="shared" si="1"/>
        <v>260021</v>
      </c>
      <c r="Z46" s="504">
        <f>260000+21</f>
        <v>260021</v>
      </c>
      <c r="AA46" s="504">
        <f>260000+21</f>
        <v>260021</v>
      </c>
      <c r="AB46" s="503"/>
      <c r="AC46" s="503"/>
      <c r="AD46" s="504">
        <v>260026</v>
      </c>
      <c r="AF46" s="505">
        <v>200020</v>
      </c>
      <c r="AG46" s="509"/>
      <c r="AH46" s="3689">
        <v>420000</v>
      </c>
      <c r="AI46" s="511"/>
      <c r="AJ46" s="511"/>
      <c r="AK46" s="514"/>
      <c r="AL46" s="3689">
        <v>420000</v>
      </c>
      <c r="AM46" s="509"/>
      <c r="AN46" s="505">
        <v>200020</v>
      </c>
    </row>
    <row r="47" spans="1:256" ht="9" customHeight="1">
      <c r="A47" s="504">
        <v>260026</v>
      </c>
      <c r="B47" s="503"/>
      <c r="C47" s="503"/>
      <c r="D47" s="503"/>
      <c r="E47" s="503"/>
      <c r="F47" s="503"/>
      <c r="G47" s="504">
        <f t="shared" si="0"/>
        <v>260024</v>
      </c>
      <c r="H47" s="503">
        <f>128*10+10</f>
        <v>1290</v>
      </c>
      <c r="I47" s="503"/>
      <c r="J47" s="503"/>
      <c r="K47" s="503"/>
      <c r="L47" s="518"/>
      <c r="M47" s="503"/>
      <c r="N47" s="503"/>
      <c r="O47" s="503"/>
      <c r="P47" s="503"/>
      <c r="Q47" s="503"/>
      <c r="R47" s="503"/>
      <c r="S47" s="518"/>
      <c r="T47" s="503"/>
      <c r="U47" s="503"/>
      <c r="V47" s="503"/>
      <c r="W47" s="503">
        <f>128*10+10</f>
        <v>1290</v>
      </c>
      <c r="X47" s="504">
        <f t="shared" si="1"/>
        <v>260021</v>
      </c>
      <c r="Y47" s="503">
        <f>0.059+0.0004</f>
        <v>5.9399999999999994E-2</v>
      </c>
      <c r="Z47" s="503">
        <f>128*10+15+0.059+0.0004</f>
        <v>1295.0593999999999</v>
      </c>
      <c r="AA47" s="503">
        <f>128*10+15+0.059+0.0004</f>
        <v>1295.0593999999999</v>
      </c>
      <c r="AB47" s="503"/>
      <c r="AC47" s="503"/>
      <c r="AD47" s="504">
        <v>260026</v>
      </c>
      <c r="AF47" s="505">
        <v>200020</v>
      </c>
      <c r="AG47" s="509"/>
      <c r="AH47" s="511"/>
      <c r="AI47" s="1648">
        <f>128*9+11</f>
        <v>1163</v>
      </c>
      <c r="AJ47" s="1649">
        <f>128*9+10</f>
        <v>1162</v>
      </c>
      <c r="AK47" s="1649">
        <f>128*9+11</f>
        <v>1163</v>
      </c>
      <c r="AL47" s="511"/>
      <c r="AM47" s="509"/>
      <c r="AN47" s="505">
        <v>200020</v>
      </c>
    </row>
    <row r="48" spans="1:256" ht="9" customHeight="1" thickBot="1">
      <c r="A48" s="504">
        <v>260026</v>
      </c>
      <c r="B48" s="503"/>
      <c r="C48" s="503"/>
      <c r="D48" s="503"/>
      <c r="E48" s="503"/>
      <c r="F48" s="503">
        <f>0.256+0.015</f>
        <v>0.27100000000000002</v>
      </c>
      <c r="G48" s="504">
        <f t="shared" si="0"/>
        <v>260024</v>
      </c>
      <c r="H48" s="503"/>
      <c r="I48" s="503"/>
      <c r="J48" s="503"/>
      <c r="K48" s="503"/>
      <c r="L48" s="503"/>
      <c r="M48" s="503"/>
      <c r="N48" s="503"/>
      <c r="O48" s="504">
        <v>21</v>
      </c>
      <c r="P48" s="503"/>
      <c r="Q48" s="503"/>
      <c r="R48" s="503"/>
      <c r="S48" s="503"/>
      <c r="T48" s="503"/>
      <c r="U48" s="503"/>
      <c r="V48" s="503"/>
      <c r="W48" s="503"/>
      <c r="X48" s="504">
        <f t="shared" si="1"/>
        <v>260021</v>
      </c>
      <c r="Y48" s="503">
        <f>128*10+15+0.059+0.0004</f>
        <v>1295.0593999999999</v>
      </c>
      <c r="Z48" s="513"/>
      <c r="AA48" s="513"/>
      <c r="AB48" s="513"/>
      <c r="AC48" s="503">
        <f>0.256+0.006</f>
        <v>0.26200000000000001</v>
      </c>
      <c r="AD48" s="504">
        <v>260026</v>
      </c>
      <c r="AF48" s="505">
        <v>200020</v>
      </c>
      <c r="AG48" s="509"/>
      <c r="AH48" s="511"/>
      <c r="AI48" s="1648">
        <f>128*9+10</f>
        <v>1162</v>
      </c>
      <c r="AJ48" s="1069">
        <f>128*9+9</f>
        <v>1161</v>
      </c>
      <c r="AK48" s="1651">
        <f>128*9+10</f>
        <v>1162</v>
      </c>
      <c r="AL48" s="511"/>
      <c r="AM48" s="509"/>
      <c r="AN48" s="505">
        <v>200020</v>
      </c>
    </row>
    <row r="49" spans="1:40" ht="9" customHeight="1" thickTop="1" thickBot="1">
      <c r="A49" s="504">
        <v>260026</v>
      </c>
      <c r="B49" s="503">
        <f>0.256+0.001</f>
        <v>0.25700000000000001</v>
      </c>
      <c r="C49" s="503"/>
      <c r="D49" s="3701">
        <f>128*11+5+0.5+0.256+0.038</f>
        <v>1413.7940000000001</v>
      </c>
      <c r="E49" s="503"/>
      <c r="F49" s="503">
        <f>0.256+0.016</f>
        <v>0.27200000000000002</v>
      </c>
      <c r="G49" s="504">
        <f t="shared" si="0"/>
        <v>260024</v>
      </c>
      <c r="H49" s="503">
        <f>128*10+10</f>
        <v>1290</v>
      </c>
      <c r="I49" s="503"/>
      <c r="J49" s="830"/>
      <c r="K49" s="830"/>
      <c r="L49" s="830"/>
      <c r="M49" s="503"/>
      <c r="N49" s="503"/>
      <c r="O49" s="503">
        <f>128*6+59</f>
        <v>827</v>
      </c>
      <c r="P49" s="503"/>
      <c r="Q49" s="503"/>
      <c r="R49" s="503"/>
      <c r="S49" s="830"/>
      <c r="T49" s="830"/>
      <c r="U49" s="830"/>
      <c r="V49" s="503"/>
      <c r="W49" s="503">
        <f>128*10+10</f>
        <v>1290</v>
      </c>
      <c r="X49" s="504">
        <f t="shared" si="1"/>
        <v>260021</v>
      </c>
      <c r="Y49" s="503">
        <f>128*10+15+0.059+0.0004</f>
        <v>1295.0593999999999</v>
      </c>
      <c r="Z49" s="513"/>
      <c r="AA49" s="503">
        <f>0.256+0.014</f>
        <v>0.27</v>
      </c>
      <c r="AB49" s="513"/>
      <c r="AC49" s="503"/>
      <c r="AD49" s="504">
        <v>260026</v>
      </c>
      <c r="AF49" s="505">
        <v>200020</v>
      </c>
      <c r="AG49" s="509"/>
      <c r="AH49" s="511"/>
      <c r="AI49" s="1069">
        <f>128*9+11</f>
        <v>1163</v>
      </c>
      <c r="AJ49" s="3686">
        <f>128*9+10+0.256+0.0031</f>
        <v>1162.2591</v>
      </c>
      <c r="AK49" s="1651">
        <f>128*9+11</f>
        <v>1163</v>
      </c>
      <c r="AL49" s="511"/>
      <c r="AM49" s="509"/>
      <c r="AN49" s="505">
        <v>200020</v>
      </c>
    </row>
    <row r="50" spans="1:40" ht="9" customHeight="1" thickTop="1" thickBot="1">
      <c r="A50" s="504">
        <v>260026</v>
      </c>
      <c r="B50" s="503"/>
      <c r="C50" s="3133"/>
      <c r="D50" s="503"/>
      <c r="E50" s="503"/>
      <c r="F50" s="503">
        <f>0.256+0.015</f>
        <v>0.27100000000000002</v>
      </c>
      <c r="G50" s="504">
        <f t="shared" si="0"/>
        <v>260024</v>
      </c>
      <c r="H50" s="503"/>
      <c r="I50" s="503"/>
      <c r="J50" s="503"/>
      <c r="K50" s="503"/>
      <c r="L50" s="503"/>
      <c r="M50" s="503"/>
      <c r="N50" s="503"/>
      <c r="O50" s="503"/>
      <c r="P50" s="503"/>
      <c r="Q50" s="503"/>
      <c r="R50" s="503"/>
      <c r="S50" s="503"/>
      <c r="T50" s="503"/>
      <c r="U50" s="503"/>
      <c r="V50" s="503"/>
      <c r="W50" s="503"/>
      <c r="X50" s="503"/>
      <c r="Y50" s="503"/>
      <c r="Z50" s="513"/>
      <c r="AA50" s="513"/>
      <c r="AB50" s="513"/>
      <c r="AC50" s="503"/>
      <c r="AD50" s="504">
        <v>260026</v>
      </c>
      <c r="AF50" s="505">
        <v>200020</v>
      </c>
      <c r="AG50" s="509"/>
      <c r="AH50" s="3689">
        <v>420000</v>
      </c>
      <c r="AI50" s="511"/>
      <c r="AJ50" s="511"/>
      <c r="AK50" s="514"/>
      <c r="AL50" s="3689">
        <v>420000</v>
      </c>
      <c r="AM50" s="509"/>
      <c r="AN50" s="505">
        <v>200020</v>
      </c>
    </row>
    <row r="51" spans="1:40" ht="9" customHeight="1" thickTop="1">
      <c r="A51" s="504">
        <v>260026</v>
      </c>
      <c r="B51" s="503">
        <f>0.256+0.001</f>
        <v>0.25700000000000001</v>
      </c>
      <c r="C51" s="503"/>
      <c r="D51" s="503">
        <f>0.256+0.001</f>
        <v>0.25700000000000001</v>
      </c>
      <c r="E51" s="503"/>
      <c r="F51" s="503"/>
      <c r="G51" s="504">
        <f t="shared" si="0"/>
        <v>260024</v>
      </c>
      <c r="H51" s="503">
        <f>128*10+10</f>
        <v>1290</v>
      </c>
      <c r="I51" s="503"/>
      <c r="J51" s="503"/>
      <c r="K51" s="503"/>
      <c r="L51" s="826"/>
      <c r="M51" s="826"/>
      <c r="N51" s="826"/>
      <c r="O51" s="826"/>
      <c r="P51" s="826"/>
      <c r="Q51" s="826"/>
      <c r="R51" s="826"/>
      <c r="S51" s="826"/>
      <c r="T51" s="826"/>
      <c r="U51" s="503"/>
      <c r="V51" s="503"/>
      <c r="W51" s="503"/>
      <c r="X51" s="503"/>
      <c r="Y51" s="503"/>
      <c r="Z51" s="503">
        <f>0.256+0.006</f>
        <v>0.26200000000000001</v>
      </c>
      <c r="AA51" s="503"/>
      <c r="AB51" s="503"/>
      <c r="AC51" s="503">
        <f>0.256+0.006</f>
        <v>0.26200000000000001</v>
      </c>
      <c r="AD51" s="504">
        <v>260026</v>
      </c>
      <c r="AF51" s="505">
        <v>200020</v>
      </c>
      <c r="AG51" s="509"/>
      <c r="AH51" s="509"/>
      <c r="AI51" s="509"/>
      <c r="AJ51" s="509"/>
      <c r="AK51" s="509"/>
      <c r="AL51" s="509"/>
      <c r="AM51" s="509"/>
      <c r="AN51" s="505">
        <v>200020</v>
      </c>
    </row>
    <row r="52" spans="1:40" ht="9" customHeight="1">
      <c r="A52" s="504">
        <v>260026</v>
      </c>
      <c r="B52" s="504">
        <v>260026</v>
      </c>
      <c r="C52" s="504">
        <v>260026</v>
      </c>
      <c r="D52" s="504">
        <v>260026</v>
      </c>
      <c r="E52" s="504">
        <v>260026</v>
      </c>
      <c r="F52" s="504">
        <v>260026</v>
      </c>
      <c r="G52" s="504">
        <v>260026</v>
      </c>
      <c r="H52" s="504">
        <v>260026</v>
      </c>
      <c r="I52" s="504">
        <v>260026</v>
      </c>
      <c r="J52" s="504">
        <v>260026</v>
      </c>
      <c r="K52" s="504">
        <v>260026</v>
      </c>
      <c r="L52" s="504">
        <v>260026</v>
      </c>
      <c r="M52" s="504">
        <v>260026</v>
      </c>
      <c r="N52" s="504">
        <v>260026</v>
      </c>
      <c r="O52" s="504">
        <v>260026</v>
      </c>
      <c r="P52" s="504">
        <v>260026</v>
      </c>
      <c r="Q52" s="504">
        <v>260026</v>
      </c>
      <c r="R52" s="504">
        <v>260026</v>
      </c>
      <c r="S52" s="504">
        <v>260026</v>
      </c>
      <c r="T52" s="504">
        <v>260026</v>
      </c>
      <c r="U52" s="504">
        <v>260026</v>
      </c>
      <c r="V52" s="504">
        <v>260026</v>
      </c>
      <c r="W52" s="504">
        <v>260026</v>
      </c>
      <c r="X52" s="504">
        <v>260026</v>
      </c>
      <c r="Y52" s="504">
        <v>260026</v>
      </c>
      <c r="Z52" s="504">
        <v>260026</v>
      </c>
      <c r="AA52" s="504">
        <v>260026</v>
      </c>
      <c r="AB52" s="504">
        <v>260026</v>
      </c>
      <c r="AC52" s="504">
        <v>260026</v>
      </c>
      <c r="AD52" s="504">
        <v>260026</v>
      </c>
      <c r="AE52" s="498">
        <v>420042</v>
      </c>
      <c r="AF52" s="505">
        <v>200020</v>
      </c>
      <c r="AG52" s="505">
        <v>200020</v>
      </c>
      <c r="AH52" s="505">
        <v>200020</v>
      </c>
      <c r="AI52" s="505">
        <v>200020</v>
      </c>
      <c r="AJ52" s="505">
        <v>200020</v>
      </c>
      <c r="AK52" s="505">
        <v>200020</v>
      </c>
      <c r="AL52" s="505">
        <v>200020</v>
      </c>
      <c r="AM52" s="505">
        <v>200020</v>
      </c>
      <c r="AN52" s="505">
        <v>200020</v>
      </c>
    </row>
    <row r="53" spans="1:40" ht="9" customHeight="1">
      <c r="A53" s="994" t="s">
        <v>670</v>
      </c>
      <c r="B53" s="1221" t="s">
        <v>169</v>
      </c>
    </row>
    <row r="54" spans="1:40" ht="9" customHeight="1">
      <c r="A54" s="1222" t="s">
        <v>1057</v>
      </c>
      <c r="B54" s="1">
        <v>2</v>
      </c>
      <c r="C54" s="1226"/>
      <c r="D54" s="1">
        <v>6</v>
      </c>
      <c r="E54" s="1">
        <v>2</v>
      </c>
      <c r="F54" s="1">
        <v>4</v>
      </c>
      <c r="G54" s="1">
        <v>2</v>
      </c>
      <c r="H54" s="1">
        <v>9</v>
      </c>
      <c r="I54" s="2218" t="s">
        <v>38</v>
      </c>
      <c r="J54" s="1">
        <v>9</v>
      </c>
      <c r="L54" s="1">
        <v>6</v>
      </c>
      <c r="M54" s="1">
        <v>2</v>
      </c>
      <c r="N54" s="1">
        <v>4</v>
      </c>
      <c r="O54" s="1">
        <v>2</v>
      </c>
      <c r="P54" s="1">
        <v>9</v>
      </c>
      <c r="Q54" s="2218" t="s">
        <v>39</v>
      </c>
      <c r="R54" s="1">
        <v>9</v>
      </c>
    </row>
    <row r="55" spans="1:40" ht="9" customHeight="1">
      <c r="A55" s="1222" t="s">
        <v>1058</v>
      </c>
      <c r="B55" s="1">
        <v>5</v>
      </c>
      <c r="C55" s="1226">
        <v>51</v>
      </c>
      <c r="D55" s="1">
        <v>6</v>
      </c>
      <c r="E55" s="1">
        <v>2</v>
      </c>
      <c r="F55" s="1">
        <v>4</v>
      </c>
      <c r="G55" s="1">
        <v>1</v>
      </c>
      <c r="H55" s="1">
        <v>78</v>
      </c>
      <c r="I55" s="1">
        <v>1</v>
      </c>
      <c r="J55" s="1">
        <v>110</v>
      </c>
      <c r="K55" s="1">
        <v>5</v>
      </c>
      <c r="L55" s="1">
        <v>9</v>
      </c>
      <c r="M55" s="1232" t="s">
        <v>212</v>
      </c>
      <c r="N55">
        <v>1</v>
      </c>
      <c r="O55" s="1"/>
      <c r="P55" s="1"/>
      <c r="Q55" s="1"/>
      <c r="R55" s="1"/>
    </row>
    <row r="56" spans="1:40" ht="9" customHeight="1">
      <c r="A56" s="1222" t="s">
        <v>1060</v>
      </c>
      <c r="B56">
        <v>1</v>
      </c>
      <c r="D56">
        <v>2</v>
      </c>
      <c r="E56" t="s">
        <v>40</v>
      </c>
    </row>
    <row r="57" spans="1:40" ht="9" customHeight="1">
      <c r="A57" s="1222" t="s">
        <v>1061</v>
      </c>
      <c r="B57" s="1">
        <v>3</v>
      </c>
      <c r="C57" s="1226">
        <v>51</v>
      </c>
      <c r="D57" s="1">
        <v>5</v>
      </c>
      <c r="E57" s="1">
        <v>2</v>
      </c>
      <c r="F57" s="1">
        <v>4</v>
      </c>
      <c r="G57" s="1">
        <v>4</v>
      </c>
      <c r="H57" s="1">
        <v>56</v>
      </c>
      <c r="I57" s="1">
        <v>6</v>
      </c>
      <c r="J57" s="1">
        <v>104</v>
      </c>
      <c r="K57" s="1">
        <v>2</v>
      </c>
      <c r="L57" s="1">
        <v>9</v>
      </c>
      <c r="M57" t="s">
        <v>175</v>
      </c>
      <c r="N57">
        <v>5</v>
      </c>
    </row>
    <row r="58" spans="1:40" ht="9" customHeight="1">
      <c r="A58" s="1222" t="s">
        <v>1063</v>
      </c>
    </row>
    <row r="59" spans="1:40" ht="9" customHeight="1">
      <c r="A59" s="1222" t="s">
        <v>1065</v>
      </c>
    </row>
    <row r="60" spans="1:40" ht="9" customHeight="1">
      <c r="A60" s="1222" t="s">
        <v>1067</v>
      </c>
    </row>
    <row r="61" spans="1:40" ht="9" customHeight="1">
      <c r="A61" s="1222" t="s">
        <v>1068</v>
      </c>
    </row>
    <row r="62" spans="1:40" ht="9" customHeight="1">
      <c r="A62" s="1222" t="s">
        <v>1069</v>
      </c>
    </row>
    <row r="63" spans="1:40" ht="9" customHeight="1">
      <c r="A63" s="1222" t="s">
        <v>1070</v>
      </c>
    </row>
    <row r="64" spans="1:40" ht="9" customHeight="1">
      <c r="A64" s="1222" t="s">
        <v>1071</v>
      </c>
    </row>
    <row r="65" spans="1:1" ht="9" customHeight="1">
      <c r="A65" s="1223">
        <v>12</v>
      </c>
    </row>
    <row r="66" spans="1:1" ht="9" customHeight="1">
      <c r="A66" s="1223">
        <v>13</v>
      </c>
    </row>
    <row r="67" spans="1:1" ht="9" customHeight="1">
      <c r="A67" s="1223">
        <v>14</v>
      </c>
    </row>
    <row r="68" spans="1:1" ht="9" customHeight="1">
      <c r="A68" s="1223">
        <v>15</v>
      </c>
    </row>
    <row r="69" spans="1:1" ht="9" customHeight="1">
      <c r="A69" s="1049">
        <v>16</v>
      </c>
    </row>
    <row r="70" spans="1:1" ht="9" customHeight="1">
      <c r="A70" s="1049">
        <v>17</v>
      </c>
    </row>
    <row r="71" spans="1:1" ht="9" customHeight="1">
      <c r="A71" s="1049">
        <v>18</v>
      </c>
    </row>
    <row r="72" spans="1:1" ht="9" customHeight="1">
      <c r="A72" s="1049">
        <v>19</v>
      </c>
    </row>
    <row r="73" spans="1:1" ht="9" customHeight="1">
      <c r="A73" s="1049">
        <v>20</v>
      </c>
    </row>
    <row r="74" spans="1:1" ht="9" customHeight="1">
      <c r="A74" s="1049">
        <v>21</v>
      </c>
    </row>
    <row r="75" spans="1:1" ht="9" customHeight="1">
      <c r="A75" s="1049">
        <v>22</v>
      </c>
    </row>
    <row r="76" spans="1:1" ht="9" customHeight="1">
      <c r="A76" s="1049">
        <v>23</v>
      </c>
    </row>
    <row r="77" spans="1:1" ht="9" customHeight="1">
      <c r="A77" s="1049">
        <v>24</v>
      </c>
    </row>
    <row r="78" spans="1:1" ht="9" customHeight="1">
      <c r="A78" s="1049">
        <v>25</v>
      </c>
    </row>
    <row r="79" spans="1:1" ht="9" customHeight="1">
      <c r="A79" s="1049">
        <v>26</v>
      </c>
    </row>
    <row r="80" spans="1:1" ht="9" customHeight="1">
      <c r="A80" s="1049">
        <v>27</v>
      </c>
    </row>
    <row r="81" spans="1:1" ht="9" customHeight="1">
      <c r="A81" s="1049">
        <v>28</v>
      </c>
    </row>
    <row r="82" spans="1:1" ht="9" customHeight="1">
      <c r="A82" s="1049">
        <v>29</v>
      </c>
    </row>
    <row r="83" spans="1:1" ht="9" customHeight="1">
      <c r="A83" s="1049">
        <v>30</v>
      </c>
    </row>
    <row r="84" spans="1:1" ht="9" customHeight="1">
      <c r="A84" s="1049">
        <v>31</v>
      </c>
    </row>
    <row r="85" spans="1:1" ht="9" customHeight="1">
      <c r="A85" s="1049">
        <v>32</v>
      </c>
    </row>
    <row r="86" spans="1:1" ht="9" customHeight="1">
      <c r="A86" s="1049">
        <v>33</v>
      </c>
    </row>
    <row r="87" spans="1:1" ht="9" customHeight="1">
      <c r="A87" s="1049">
        <v>34</v>
      </c>
    </row>
    <row r="88" spans="1:1" ht="9" customHeight="1">
      <c r="A88" s="1049">
        <v>35</v>
      </c>
    </row>
    <row r="89" spans="1:1" ht="9" customHeight="1">
      <c r="A89" s="1049">
        <v>36</v>
      </c>
    </row>
    <row r="90" spans="1:1" ht="9" customHeight="1">
      <c r="A90" s="1049">
        <v>37</v>
      </c>
    </row>
    <row r="91" spans="1:1" ht="9" customHeight="1">
      <c r="A91" s="1049">
        <v>38</v>
      </c>
    </row>
    <row r="92" spans="1:1" ht="9" customHeight="1">
      <c r="A92" s="1049">
        <v>39</v>
      </c>
    </row>
    <row r="93" spans="1:1" ht="9" customHeight="1">
      <c r="A93" s="1224">
        <v>40</v>
      </c>
    </row>
    <row r="94" spans="1:1" ht="9" customHeight="1">
      <c r="A94" s="1223">
        <v>41</v>
      </c>
    </row>
    <row r="95" spans="1:1" ht="9" customHeight="1">
      <c r="A95" s="1049">
        <v>42</v>
      </c>
    </row>
    <row r="96" spans="1:1" ht="9" customHeight="1">
      <c r="A96" s="1049">
        <v>43</v>
      </c>
    </row>
    <row r="97" spans="1:62" ht="9" customHeight="1">
      <c r="A97" s="1049">
        <v>44</v>
      </c>
    </row>
    <row r="98" spans="1:62" ht="9" customHeight="1">
      <c r="A98" s="1049">
        <v>45</v>
      </c>
    </row>
    <row r="99" spans="1:62" ht="9" customHeight="1">
      <c r="A99" s="1049">
        <v>46</v>
      </c>
    </row>
    <row r="100" spans="1:62" ht="9" customHeight="1">
      <c r="A100" s="1049">
        <v>47</v>
      </c>
    </row>
    <row r="101" spans="1:62" ht="9" customHeight="1">
      <c r="A101" s="1049">
        <v>48</v>
      </c>
    </row>
    <row r="102" spans="1:62" ht="9" customHeight="1">
      <c r="A102" s="1049">
        <v>49</v>
      </c>
      <c r="B102" s="1">
        <v>3</v>
      </c>
      <c r="C102" s="1226"/>
      <c r="D102" s="1">
        <v>5</v>
      </c>
      <c r="E102" s="1">
        <v>2</v>
      </c>
      <c r="F102" s="1">
        <v>4</v>
      </c>
      <c r="G102" s="1">
        <v>4</v>
      </c>
      <c r="H102" s="1">
        <v>75</v>
      </c>
      <c r="I102" s="1">
        <v>4</v>
      </c>
      <c r="J102" s="1">
        <v>106</v>
      </c>
      <c r="K102" s="1">
        <v>2</v>
      </c>
      <c r="L102" s="1">
        <v>9</v>
      </c>
      <c r="M102" s="1" t="s">
        <v>430</v>
      </c>
      <c r="N102">
        <v>5</v>
      </c>
      <c r="P102" s="1">
        <v>5</v>
      </c>
      <c r="Q102" s="1">
        <v>2</v>
      </c>
      <c r="R102" s="1">
        <v>4</v>
      </c>
      <c r="S102" s="1">
        <v>4</v>
      </c>
      <c r="T102" s="1">
        <v>75</v>
      </c>
      <c r="U102" s="1">
        <v>4</v>
      </c>
      <c r="V102" s="1">
        <v>106</v>
      </c>
      <c r="W102" s="1">
        <v>2</v>
      </c>
      <c r="X102" s="1">
        <v>9</v>
      </c>
      <c r="Y102" s="1" t="s">
        <v>429</v>
      </c>
      <c r="Z102">
        <v>5</v>
      </c>
    </row>
    <row r="103" spans="1:62" ht="9" customHeight="1">
      <c r="A103" s="1225">
        <v>50</v>
      </c>
      <c r="B103" s="1">
        <v>3</v>
      </c>
      <c r="C103" s="1226"/>
      <c r="D103" s="1">
        <v>1</v>
      </c>
      <c r="E103" s="1">
        <v>1</v>
      </c>
      <c r="F103" s="1">
        <v>4</v>
      </c>
      <c r="G103" s="1">
        <v>6</v>
      </c>
      <c r="H103" s="1">
        <v>72</v>
      </c>
      <c r="I103" s="1">
        <v>6</v>
      </c>
      <c r="J103" s="1">
        <v>105</v>
      </c>
      <c r="K103" s="1">
        <v>2</v>
      </c>
      <c r="L103" s="1">
        <v>9</v>
      </c>
      <c r="M103" s="1230" t="s">
        <v>431</v>
      </c>
      <c r="N103">
        <v>5</v>
      </c>
      <c r="P103" s="1">
        <v>1</v>
      </c>
      <c r="Q103" s="1">
        <v>1</v>
      </c>
      <c r="R103" s="1">
        <v>4</v>
      </c>
      <c r="S103" s="1">
        <v>6</v>
      </c>
      <c r="T103" s="1">
        <v>72</v>
      </c>
      <c r="U103" s="1">
        <v>6</v>
      </c>
      <c r="V103" s="1">
        <v>105</v>
      </c>
      <c r="W103" s="1">
        <v>2</v>
      </c>
      <c r="X103" s="1">
        <v>9</v>
      </c>
      <c r="Y103" s="1230" t="s">
        <v>432</v>
      </c>
      <c r="Z103">
        <v>5</v>
      </c>
      <c r="AB103" s="1">
        <v>1</v>
      </c>
      <c r="AC103" s="1">
        <v>1</v>
      </c>
      <c r="AD103" s="1">
        <v>4</v>
      </c>
      <c r="AE103" s="1">
        <v>6</v>
      </c>
      <c r="AF103" s="1">
        <v>72</v>
      </c>
      <c r="AG103" s="1">
        <v>6</v>
      </c>
      <c r="AH103" s="1">
        <v>105</v>
      </c>
      <c r="AI103" s="1">
        <v>2</v>
      </c>
      <c r="AJ103" s="1">
        <v>9</v>
      </c>
      <c r="AK103" s="1230" t="s">
        <v>433</v>
      </c>
      <c r="AL103">
        <v>5</v>
      </c>
      <c r="AN103" s="1">
        <v>1</v>
      </c>
      <c r="AO103" s="1">
        <v>4</v>
      </c>
      <c r="AP103" s="1">
        <v>6</v>
      </c>
      <c r="AQ103" s="1">
        <v>4</v>
      </c>
      <c r="AR103" s="1">
        <v>74</v>
      </c>
      <c r="AS103" s="1">
        <v>6</v>
      </c>
      <c r="AT103" s="1">
        <v>105</v>
      </c>
      <c r="AU103" s="1">
        <v>3</v>
      </c>
      <c r="AV103" s="1">
        <v>9</v>
      </c>
      <c r="AW103" s="1230" t="s">
        <v>435</v>
      </c>
      <c r="AX103">
        <v>9</v>
      </c>
      <c r="AZ103" s="1">
        <v>1</v>
      </c>
      <c r="BA103" s="1">
        <v>4</v>
      </c>
      <c r="BB103" s="1">
        <v>6</v>
      </c>
      <c r="BC103" s="1">
        <v>4</v>
      </c>
      <c r="BD103" s="1">
        <v>74</v>
      </c>
      <c r="BE103" s="1">
        <v>6</v>
      </c>
      <c r="BF103" s="1">
        <v>105</v>
      </c>
      <c r="BG103" s="1">
        <v>3</v>
      </c>
      <c r="BH103" s="1">
        <v>9</v>
      </c>
      <c r="BI103" s="1230" t="s">
        <v>434</v>
      </c>
      <c r="BJ103">
        <v>9</v>
      </c>
    </row>
    <row r="104" spans="1:62" ht="9" customHeight="1">
      <c r="A104" s="1228" t="s">
        <v>69</v>
      </c>
    </row>
    <row r="105" spans="1:62" ht="9" customHeight="1">
      <c r="A105" s="1601" t="s">
        <v>70</v>
      </c>
    </row>
    <row r="106" spans="1:62" ht="9" customHeight="1">
      <c r="A106" s="1229">
        <v>53</v>
      </c>
    </row>
    <row r="107" spans="1:62" ht="9" customHeight="1">
      <c r="A107" s="1229">
        <v>54</v>
      </c>
    </row>
    <row r="108" spans="1:62" ht="9" customHeight="1">
      <c r="A108" s="1229">
        <v>55</v>
      </c>
    </row>
    <row r="109" spans="1:62" ht="9" customHeight="1">
      <c r="A109" s="1229">
        <v>56</v>
      </c>
    </row>
    <row r="110" spans="1:62" ht="9" customHeight="1">
      <c r="A110" s="1229">
        <v>57</v>
      </c>
    </row>
    <row r="111" spans="1:62" ht="9" customHeight="1">
      <c r="A111" s="1229">
        <v>58</v>
      </c>
    </row>
    <row r="112" spans="1:62" ht="9" customHeight="1">
      <c r="A112" s="1229">
        <v>59</v>
      </c>
    </row>
    <row r="113" spans="1:1" ht="9" customHeight="1">
      <c r="A113" s="1229">
        <v>60</v>
      </c>
    </row>
    <row r="114" spans="1:1" ht="9" customHeight="1">
      <c r="A114" s="1229">
        <v>61</v>
      </c>
    </row>
    <row r="115" spans="1:1" ht="9" customHeight="1">
      <c r="A115" s="1229">
        <v>62</v>
      </c>
    </row>
    <row r="116" spans="1:1" ht="9" customHeight="1">
      <c r="A116" s="1229">
        <v>63</v>
      </c>
    </row>
    <row r="117" spans="1:1" ht="9" customHeight="1">
      <c r="A117" s="1229">
        <v>64</v>
      </c>
    </row>
    <row r="118" spans="1:1" ht="9" customHeight="1">
      <c r="A118" s="1229">
        <v>65</v>
      </c>
    </row>
    <row r="119" spans="1:1" ht="9" customHeight="1">
      <c r="A119" s="1229">
        <v>66</v>
      </c>
    </row>
    <row r="120" spans="1:1" ht="9" customHeight="1">
      <c r="A120" s="1229">
        <v>67</v>
      </c>
    </row>
    <row r="121" spans="1:1" ht="9" customHeight="1">
      <c r="A121" s="1229">
        <v>68</v>
      </c>
    </row>
    <row r="122" spans="1:1" ht="9" customHeight="1">
      <c r="A122" s="1229">
        <v>69</v>
      </c>
    </row>
    <row r="123" spans="1:1" ht="9" customHeight="1">
      <c r="A123" s="1231">
        <v>70</v>
      </c>
    </row>
    <row r="124" spans="1:1" ht="9" customHeight="1">
      <c r="A124" s="1601" t="s">
        <v>82</v>
      </c>
    </row>
    <row r="125" spans="1:1" ht="9" customHeight="1">
      <c r="A125" s="1229">
        <v>72</v>
      </c>
    </row>
    <row r="126" spans="1:1" ht="9" customHeight="1">
      <c r="A126" s="1229">
        <v>73</v>
      </c>
    </row>
    <row r="127" spans="1:1" ht="9" customHeight="1">
      <c r="A127" s="1229">
        <v>74</v>
      </c>
    </row>
    <row r="128" spans="1:1" ht="9" customHeight="1">
      <c r="A128" s="1229">
        <v>75</v>
      </c>
    </row>
    <row r="129" spans="1:1" ht="9" customHeight="1">
      <c r="A129" s="1229">
        <v>76</v>
      </c>
    </row>
    <row r="130" spans="1:1" ht="9" customHeight="1">
      <c r="A130" s="1229">
        <v>77</v>
      </c>
    </row>
    <row r="131" spans="1:1" ht="9" customHeight="1">
      <c r="A131" s="1229">
        <v>78</v>
      </c>
    </row>
    <row r="132" spans="1:1" ht="9" customHeight="1">
      <c r="A132" s="1229">
        <v>79</v>
      </c>
    </row>
    <row r="133" spans="1:1" ht="9" customHeight="1">
      <c r="A133" s="1229">
        <v>80</v>
      </c>
    </row>
  </sheetData>
  <sheetProtection password="DF7C" sheet="1"/>
  <phoneticPr fontId="2" type="noConversion"/>
  <pageMargins left="0.75" right="0.75" top="1" bottom="1" header="0.5" footer="0.5"/>
  <pageSetup paperSize="9"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C6" sqref="C6"/>
    </sheetView>
  </sheetViews>
  <sheetFormatPr defaultRowHeight="12.75"/>
  <sheetData/>
  <sheetProtection selectLockedCells="1" selectUnlockedCells="1"/>
  <phoneticPr fontId="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C16" sqref="C16"/>
    </sheetView>
  </sheetViews>
  <sheetFormatPr defaultRowHeight="12.75"/>
  <sheetData/>
  <sheetProtection selectLockedCells="1" selectUnlockedCells="1"/>
  <phoneticPr fontId="2"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election activeCell="D18" sqref="D18"/>
    </sheetView>
  </sheetViews>
  <sheetFormatPr defaultRowHeight="12.75"/>
  <sheetData/>
  <sheetProtection selectLockedCells="1" selectUnlockedCells="1"/>
  <phoneticPr fontId="2"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IU290"/>
  <sheetViews>
    <sheetView topLeftCell="DG1" zoomScale="48" zoomScaleNormal="48" workbookViewId="0">
      <selection activeCell="EF7" sqref="EF7"/>
    </sheetView>
  </sheetViews>
  <sheetFormatPr defaultRowHeight="12.75"/>
  <sheetData>
    <row r="1" spans="1:255" s="322" customFormat="1" ht="7.5" customHeight="1">
      <c r="A1" s="319">
        <v>1</v>
      </c>
      <c r="B1" s="319" t="s">
        <v>949</v>
      </c>
      <c r="C1" s="320"/>
      <c r="D1" s="319"/>
      <c r="E1" s="320">
        <v>2</v>
      </c>
      <c r="F1" s="320"/>
      <c r="G1" s="319"/>
      <c r="H1" s="319"/>
      <c r="I1" s="320">
        <v>3</v>
      </c>
      <c r="J1" s="320"/>
      <c r="K1" s="319"/>
      <c r="L1" s="319"/>
      <c r="M1" s="320">
        <v>4</v>
      </c>
      <c r="N1" s="319"/>
      <c r="O1" s="320"/>
      <c r="P1" s="319"/>
      <c r="Q1" s="320">
        <v>5</v>
      </c>
      <c r="R1" s="320"/>
      <c r="S1" s="320"/>
      <c r="T1" s="319"/>
      <c r="U1" s="319">
        <v>6</v>
      </c>
      <c r="V1" s="320"/>
      <c r="W1" s="320"/>
      <c r="X1" s="319"/>
      <c r="Y1" s="320">
        <v>7</v>
      </c>
      <c r="Z1" s="320"/>
      <c r="AA1" s="320"/>
      <c r="AB1" s="319"/>
      <c r="AC1" s="320">
        <v>8</v>
      </c>
      <c r="AD1" s="320"/>
      <c r="AE1" s="320"/>
      <c r="AF1" s="319"/>
      <c r="AG1" s="320">
        <v>9</v>
      </c>
      <c r="AH1" s="320"/>
      <c r="AI1" s="320"/>
      <c r="AJ1" s="321"/>
      <c r="AK1" s="320">
        <v>0</v>
      </c>
      <c r="AL1" s="320"/>
      <c r="AM1" s="320"/>
      <c r="AN1" s="319"/>
      <c r="AO1" s="319" t="s">
        <v>634</v>
      </c>
      <c r="AP1" s="319"/>
      <c r="AQ1" s="319"/>
      <c r="AR1" s="319"/>
      <c r="AS1" s="320" t="s">
        <v>635</v>
      </c>
      <c r="AT1" s="320"/>
      <c r="AU1" s="319"/>
      <c r="AV1" s="319"/>
      <c r="AW1" s="319" t="s">
        <v>636</v>
      </c>
      <c r="AX1" s="320"/>
      <c r="AY1" s="319"/>
      <c r="AZ1" s="319"/>
      <c r="BA1" s="319" t="s">
        <v>637</v>
      </c>
      <c r="BB1" s="319"/>
      <c r="BC1" s="319"/>
      <c r="BD1" s="319"/>
      <c r="BE1" s="319" t="s">
        <v>638</v>
      </c>
      <c r="BF1" s="319"/>
      <c r="BG1" s="319"/>
      <c r="BH1" s="319"/>
      <c r="BI1" s="319" t="s">
        <v>639</v>
      </c>
      <c r="BJ1" s="319"/>
      <c r="BK1" s="319"/>
      <c r="BL1" s="319"/>
      <c r="BM1" s="319" t="s">
        <v>640</v>
      </c>
      <c r="BN1" s="320"/>
      <c r="BO1" s="319"/>
      <c r="BP1" s="319"/>
      <c r="BQ1" s="320" t="s">
        <v>641</v>
      </c>
      <c r="BR1" s="319"/>
      <c r="BS1" s="319"/>
      <c r="BT1" s="319"/>
      <c r="BU1" s="329" t="s">
        <v>952</v>
      </c>
      <c r="BV1" s="319"/>
      <c r="BW1" s="319"/>
      <c r="BX1" s="319"/>
      <c r="BY1" s="319" t="s">
        <v>643</v>
      </c>
      <c r="BZ1" s="319"/>
      <c r="CA1" s="319"/>
      <c r="CB1" s="319"/>
      <c r="CC1" s="319" t="s">
        <v>873</v>
      </c>
      <c r="CD1" s="319"/>
      <c r="CE1" s="319"/>
      <c r="CF1" s="319"/>
      <c r="CG1" s="320" t="s">
        <v>874</v>
      </c>
      <c r="CH1" s="319"/>
      <c r="CI1" s="319"/>
      <c r="CJ1" s="319"/>
      <c r="CK1" s="319" t="s">
        <v>875</v>
      </c>
      <c r="CL1" s="319"/>
      <c r="CM1" s="329"/>
      <c r="CN1" s="319"/>
      <c r="CO1" s="319" t="s">
        <v>911</v>
      </c>
      <c r="CP1" s="319"/>
      <c r="CQ1" s="319"/>
      <c r="CR1" s="319"/>
      <c r="CS1" s="319" t="s">
        <v>950</v>
      </c>
      <c r="CT1" s="319"/>
      <c r="CU1" s="320"/>
      <c r="CV1" s="319"/>
      <c r="CW1" s="320" t="s">
        <v>951</v>
      </c>
      <c r="CX1" s="319"/>
      <c r="CY1" s="319"/>
      <c r="CZ1" s="319"/>
      <c r="DA1" s="319" t="s">
        <v>912</v>
      </c>
      <c r="DB1" s="319"/>
      <c r="DC1" s="319"/>
      <c r="DD1" s="319"/>
      <c r="DE1" s="319" t="s">
        <v>739</v>
      </c>
      <c r="DF1" s="319"/>
      <c r="DG1" s="319"/>
      <c r="DH1" s="319"/>
      <c r="DI1" s="319" t="s">
        <v>981</v>
      </c>
      <c r="DJ1" s="319"/>
      <c r="DK1" s="319"/>
      <c r="DL1" s="319"/>
      <c r="DM1" s="319" t="s">
        <v>914</v>
      </c>
      <c r="DN1" s="319"/>
      <c r="DO1" s="319"/>
      <c r="DP1" s="319"/>
      <c r="DQ1" s="319" t="s">
        <v>915</v>
      </c>
      <c r="DR1" s="319"/>
      <c r="DS1" s="319"/>
      <c r="DT1" s="319"/>
      <c r="DU1" s="319" t="s">
        <v>916</v>
      </c>
      <c r="DV1" s="319"/>
      <c r="DW1" s="319"/>
      <c r="DX1" s="319"/>
      <c r="DY1" s="319" t="s">
        <v>913</v>
      </c>
      <c r="DZ1" s="319"/>
      <c r="EA1" s="319"/>
      <c r="EB1" s="319"/>
      <c r="EC1" s="319" t="s">
        <v>917</v>
      </c>
      <c r="ED1" s="319"/>
      <c r="EE1" s="319"/>
      <c r="EG1" s="319" t="s">
        <v>918</v>
      </c>
      <c r="EH1" s="320"/>
      <c r="EI1" s="440"/>
      <c r="EJ1" s="319"/>
      <c r="EK1" s="319" t="s">
        <v>670</v>
      </c>
      <c r="EL1" s="319"/>
      <c r="EM1" s="319"/>
      <c r="EN1" s="320"/>
      <c r="EO1" s="320" t="s">
        <v>919</v>
      </c>
      <c r="EP1" s="319"/>
      <c r="EQ1" s="320"/>
      <c r="ER1" s="323"/>
      <c r="ES1" s="319" t="s">
        <v>920</v>
      </c>
      <c r="ET1" s="459"/>
      <c r="EU1" s="319"/>
      <c r="EV1" s="326"/>
      <c r="EW1" s="326" t="s">
        <v>921</v>
      </c>
      <c r="EX1" s="326"/>
      <c r="EY1" s="326"/>
      <c r="EZ1" s="326"/>
      <c r="FA1" s="326" t="s">
        <v>922</v>
      </c>
      <c r="FB1" s="326"/>
      <c r="FC1" s="326"/>
      <c r="FD1" s="326"/>
      <c r="FE1" s="326" t="s">
        <v>923</v>
      </c>
      <c r="FF1" s="326"/>
      <c r="FG1" s="326"/>
      <c r="FH1" s="326"/>
      <c r="FI1" s="326" t="s">
        <v>924</v>
      </c>
      <c r="FJ1" s="326"/>
      <c r="FK1" s="326"/>
      <c r="FL1" s="326"/>
      <c r="FM1" s="326" t="s">
        <v>925</v>
      </c>
      <c r="FN1" s="326"/>
      <c r="FO1" s="326"/>
      <c r="FP1" s="326"/>
      <c r="FQ1" s="326" t="s">
        <v>926</v>
      </c>
      <c r="FR1" s="326"/>
      <c r="FS1" s="326"/>
      <c r="FT1" s="326"/>
      <c r="FU1" s="326" t="s">
        <v>927</v>
      </c>
      <c r="FV1" s="326"/>
      <c r="FW1" s="326"/>
      <c r="FX1" s="326"/>
      <c r="FY1" s="326" t="s">
        <v>928</v>
      </c>
      <c r="FZ1" s="326"/>
      <c r="GA1" s="326"/>
      <c r="GB1" s="326"/>
      <c r="GC1" s="326" t="s">
        <v>929</v>
      </c>
      <c r="GD1" s="326"/>
      <c r="GE1" s="326"/>
      <c r="GF1" s="326"/>
      <c r="GG1" s="326" t="s">
        <v>930</v>
      </c>
      <c r="GH1" s="326"/>
      <c r="GI1" s="326"/>
      <c r="GJ1" s="326"/>
      <c r="GK1" s="326" t="s">
        <v>931</v>
      </c>
      <c r="GL1" s="326"/>
      <c r="GM1" s="326"/>
      <c r="GN1" s="326"/>
      <c r="GO1" s="326" t="s">
        <v>932</v>
      </c>
      <c r="GP1" s="326"/>
      <c r="GQ1" s="326"/>
      <c r="GR1" s="326"/>
      <c r="GS1" s="326" t="s">
        <v>933</v>
      </c>
      <c r="GT1" s="326"/>
      <c r="GU1" s="326"/>
      <c r="GV1" s="326"/>
      <c r="GW1" s="326" t="s">
        <v>934</v>
      </c>
      <c r="GX1" s="326"/>
      <c r="GY1" s="326"/>
      <c r="GZ1" s="326"/>
      <c r="HA1" s="326" t="s">
        <v>935</v>
      </c>
      <c r="HB1" s="326"/>
      <c r="HC1" s="326"/>
      <c r="HD1" s="326"/>
      <c r="HE1" s="326" t="s">
        <v>936</v>
      </c>
      <c r="HF1" s="326"/>
      <c r="HG1" s="326"/>
      <c r="HH1" s="326"/>
      <c r="HI1" s="326" t="s">
        <v>937</v>
      </c>
      <c r="HJ1" s="326"/>
      <c r="HK1" s="326"/>
      <c r="HL1" s="326"/>
      <c r="HM1" s="326" t="s">
        <v>938</v>
      </c>
      <c r="HN1" s="326"/>
      <c r="HO1" s="326"/>
      <c r="HP1" s="326"/>
      <c r="HQ1" s="326" t="s">
        <v>939</v>
      </c>
      <c r="HR1" s="326"/>
      <c r="HS1" s="326"/>
      <c r="HT1" s="326"/>
      <c r="HU1" s="326" t="s">
        <v>940</v>
      </c>
      <c r="HV1" s="326"/>
      <c r="HW1" s="326"/>
      <c r="HX1" s="326"/>
      <c r="HY1" s="326" t="s">
        <v>941</v>
      </c>
      <c r="HZ1" s="326"/>
      <c r="IA1" s="326"/>
      <c r="IB1" s="326"/>
      <c r="IC1" s="326" t="s">
        <v>942</v>
      </c>
      <c r="ID1" s="326"/>
      <c r="IE1" s="326"/>
      <c r="IF1" s="326"/>
      <c r="IG1" s="326" t="s">
        <v>943</v>
      </c>
      <c r="IH1" s="326"/>
      <c r="II1" s="326"/>
      <c r="IJ1" s="326"/>
      <c r="IK1" s="326" t="s">
        <v>944</v>
      </c>
      <c r="IL1" s="326"/>
      <c r="IM1" s="326"/>
      <c r="IN1" s="326"/>
      <c r="IO1" s="326" t="s">
        <v>945</v>
      </c>
      <c r="IP1" s="326"/>
      <c r="IQ1" s="326"/>
      <c r="IR1" s="326"/>
      <c r="IS1" s="326" t="s">
        <v>946</v>
      </c>
      <c r="IT1" s="326"/>
      <c r="IU1" s="326"/>
    </row>
    <row r="2" spans="1:255" s="322" customFormat="1" ht="7.5" customHeight="1">
      <c r="A2" s="319">
        <v>5</v>
      </c>
      <c r="B2" s="323" t="s">
        <v>947</v>
      </c>
      <c r="C2" s="323"/>
      <c r="D2" s="319"/>
      <c r="E2" s="319"/>
      <c r="F2" s="319"/>
      <c r="G2" s="323"/>
      <c r="H2" s="319"/>
      <c r="I2" s="319"/>
      <c r="J2" s="319"/>
      <c r="K2" s="323"/>
      <c r="L2" s="319"/>
      <c r="M2" s="323"/>
      <c r="N2" s="319"/>
      <c r="O2" s="323"/>
      <c r="P2" s="319"/>
      <c r="Q2" s="323"/>
      <c r="R2" s="319"/>
      <c r="S2" s="319"/>
      <c r="T2" s="319"/>
      <c r="U2" s="323"/>
      <c r="V2" s="319"/>
      <c r="W2" s="319"/>
      <c r="X2" s="319"/>
      <c r="Y2" s="319"/>
      <c r="Z2" s="319"/>
      <c r="AA2" s="323"/>
      <c r="AB2" s="319"/>
      <c r="AC2" s="323"/>
      <c r="AD2" s="319"/>
      <c r="AE2" s="323"/>
      <c r="AF2" s="319"/>
      <c r="AG2" s="323"/>
      <c r="AH2" s="319"/>
      <c r="AI2" s="323"/>
      <c r="AJ2" s="321"/>
      <c r="AK2" s="323"/>
      <c r="AL2" s="319"/>
      <c r="AM2" s="323"/>
      <c r="AN2" s="319"/>
      <c r="AO2" s="319"/>
      <c r="AP2" s="319"/>
      <c r="AQ2" s="319"/>
      <c r="AR2" s="319"/>
      <c r="AS2" s="319"/>
      <c r="AT2" s="319"/>
      <c r="AU2" s="323"/>
      <c r="AV2" s="319"/>
      <c r="AW2" s="319"/>
      <c r="AX2" s="323"/>
      <c r="AY2" s="319"/>
      <c r="AZ2" s="319"/>
      <c r="BA2" s="319"/>
      <c r="BB2" s="319"/>
      <c r="BC2" s="319"/>
      <c r="BD2" s="319"/>
      <c r="BE2" s="323"/>
      <c r="BF2" s="319"/>
      <c r="BG2" s="319"/>
      <c r="BH2" s="319"/>
      <c r="BI2" s="323"/>
      <c r="BJ2" s="323"/>
      <c r="BK2" s="323"/>
      <c r="BL2" s="319"/>
      <c r="BM2" s="323"/>
      <c r="BN2" s="319"/>
      <c r="BO2" s="319"/>
      <c r="BP2" s="319"/>
      <c r="BQ2" s="319"/>
      <c r="BR2" s="323"/>
      <c r="BS2" s="319"/>
      <c r="BT2" s="319"/>
      <c r="BU2" s="324"/>
      <c r="BV2" s="319"/>
      <c r="BW2" s="319"/>
      <c r="BX2" s="319"/>
      <c r="BY2" s="319"/>
      <c r="BZ2" s="319"/>
      <c r="CA2" s="319"/>
      <c r="CB2" s="319"/>
      <c r="CC2" s="319"/>
      <c r="CD2" s="323"/>
      <c r="CE2" s="319"/>
      <c r="CF2" s="319"/>
      <c r="CG2" s="319"/>
      <c r="CH2" s="323"/>
      <c r="CI2" s="319"/>
      <c r="CJ2" s="319"/>
      <c r="CK2" s="319"/>
      <c r="CL2" s="323"/>
      <c r="CM2" s="319"/>
      <c r="CN2" s="319"/>
      <c r="CO2" s="319"/>
      <c r="CP2" s="319"/>
      <c r="CQ2" s="319"/>
      <c r="CR2"/>
      <c r="CS2"/>
      <c r="CT2" s="323"/>
      <c r="CU2"/>
      <c r="CV2"/>
      <c r="CW2"/>
      <c r="CX2" s="323"/>
      <c r="CY2"/>
      <c r="CZ2"/>
      <c r="DA2" s="319"/>
      <c r="DB2" s="329" t="s">
        <v>642</v>
      </c>
      <c r="DC2" s="319"/>
      <c r="DD2" s="319"/>
      <c r="DE2" s="319"/>
      <c r="DF2" s="324"/>
      <c r="DG2" s="204"/>
      <c r="DH2" s="329" t="s">
        <v>642</v>
      </c>
      <c r="DI2" s="319"/>
      <c r="DJ2" s="319"/>
      <c r="DK2" s="204"/>
      <c r="DL2" s="319"/>
      <c r="DM2" s="325"/>
      <c r="DN2" s="2"/>
      <c r="DO2" s="2"/>
      <c r="DP2" s="2"/>
      <c r="DQ2" s="2"/>
      <c r="DR2" s="325"/>
      <c r="DS2" s="2"/>
      <c r="DT2" s="2"/>
      <c r="DU2" s="2"/>
      <c r="DV2" s="2"/>
      <c r="DW2" s="2"/>
      <c r="DX2" s="325"/>
      <c r="DY2" s="2"/>
      <c r="DZ2" s="204"/>
      <c r="EA2" s="2"/>
      <c r="EB2" s="2"/>
      <c r="EC2" s="329" t="s">
        <v>642</v>
      </c>
      <c r="ED2" s="204"/>
      <c r="EE2" s="324"/>
      <c r="EF2" s="2"/>
      <c r="EG2" s="320"/>
      <c r="EH2" s="316"/>
      <c r="EI2" s="312"/>
      <c r="EJ2" s="324"/>
      <c r="EK2" s="319"/>
      <c r="EL2" s="319"/>
      <c r="EM2" s="320"/>
      <c r="EN2" s="323"/>
      <c r="EO2" s="323"/>
      <c r="EP2" s="324"/>
      <c r="EQ2" s="323"/>
      <c r="ER2" s="323"/>
      <c r="ES2" s="312"/>
      <c r="ET2" s="319"/>
      <c r="EU2" s="204"/>
      <c r="EV2" s="319"/>
      <c r="EW2"/>
      <c r="EX2" s="320"/>
      <c r="EY2" s="320"/>
      <c r="EZ2" s="319"/>
      <c r="FA2" s="320"/>
      <c r="FB2" s="319"/>
      <c r="FC2" s="319"/>
      <c r="FD2" s="319"/>
      <c r="FE2" s="319"/>
      <c r="FF2" s="320"/>
      <c r="FG2" s="320"/>
      <c r="FH2" s="319"/>
      <c r="FI2" s="319"/>
      <c r="FJ2" s="319"/>
      <c r="FK2" s="320"/>
      <c r="FL2" s="319"/>
      <c r="FM2" s="320"/>
      <c r="FN2" s="320"/>
      <c r="FO2" s="320"/>
      <c r="FP2" s="319"/>
      <c r="FQ2" s="319"/>
      <c r="FR2" s="320"/>
      <c r="FS2" s="320"/>
      <c r="FT2" s="319"/>
      <c r="FU2" s="319"/>
      <c r="FV2" s="320"/>
      <c r="FW2" s="320"/>
      <c r="FX2" s="319"/>
      <c r="FY2" s="320"/>
      <c r="FZ2" s="319"/>
      <c r="GA2" s="319"/>
      <c r="GB2" s="319"/>
      <c r="GC2" s="319"/>
      <c r="GD2" s="320"/>
      <c r="GE2" s="319"/>
      <c r="GF2" s="321"/>
      <c r="GG2" s="319"/>
      <c r="GH2" s="319"/>
      <c r="GI2" s="320"/>
      <c r="GJ2" s="319"/>
      <c r="GK2" s="320"/>
      <c r="GL2" s="319"/>
      <c r="GM2" s="319"/>
      <c r="GN2" s="319"/>
      <c r="GO2" s="319"/>
      <c r="GP2" s="320"/>
      <c r="GQ2" s="319"/>
      <c r="GR2" s="319"/>
      <c r="GS2" s="320"/>
      <c r="GT2" s="319"/>
      <c r="GU2" s="320"/>
      <c r="GV2" s="319"/>
      <c r="GW2" s="320"/>
      <c r="GX2" s="320"/>
      <c r="GY2" s="319"/>
      <c r="GZ2" s="319"/>
      <c r="HA2" s="320"/>
      <c r="HB2" s="320"/>
      <c r="HC2" s="319"/>
      <c r="HD2" s="319"/>
      <c r="HE2" s="320"/>
      <c r="HF2" s="320"/>
      <c r="HG2" s="319"/>
      <c r="HH2" s="319"/>
      <c r="HI2" s="319"/>
      <c r="HJ2" s="320"/>
      <c r="HK2" s="320"/>
      <c r="HL2" s="319"/>
      <c r="HM2" s="320"/>
      <c r="HN2" s="320"/>
      <c r="HO2"/>
      <c r="HP2" s="319"/>
      <c r="HQ2" s="319"/>
      <c r="HR2" s="320"/>
      <c r="HS2" s="320"/>
      <c r="HT2" s="319"/>
      <c r="HU2"/>
      <c r="HV2" s="320"/>
      <c r="HW2"/>
      <c r="HX2" s="319"/>
      <c r="HY2" s="320"/>
      <c r="HZ2" s="319"/>
      <c r="IA2" s="320"/>
      <c r="IB2" s="319"/>
      <c r="IC2" s="320"/>
      <c r="ID2" s="319"/>
      <c r="IE2" s="320"/>
      <c r="IF2" s="319"/>
      <c r="IG2" s="320"/>
      <c r="IH2" s="319"/>
      <c r="II2" s="320"/>
      <c r="IJ2" s="319"/>
      <c r="IK2" s="320"/>
      <c r="IL2" s="319"/>
      <c r="IM2" s="320"/>
      <c r="IN2" s="319"/>
      <c r="IO2" s="320"/>
      <c r="IP2" s="319"/>
      <c r="IQ2" s="320"/>
      <c r="IS2" s="320"/>
      <c r="IT2" s="320"/>
      <c r="IU2" s="320"/>
    </row>
    <row r="3" spans="1:255" s="322" customFormat="1" ht="7.5" customHeight="1">
      <c r="A3" s="319">
        <v>4</v>
      </c>
      <c r="B3" s="319" t="s">
        <v>948</v>
      </c>
      <c r="C3" s="324"/>
      <c r="D3" s="319"/>
      <c r="E3" s="319"/>
      <c r="F3" s="324"/>
      <c r="G3" s="319"/>
      <c r="H3" s="319"/>
      <c r="I3" s="319"/>
      <c r="J3" s="324"/>
      <c r="K3" s="319"/>
      <c r="L3" s="319"/>
      <c r="M3" s="324"/>
      <c r="N3" s="324"/>
      <c r="O3" s="324"/>
      <c r="P3" s="319"/>
      <c r="Q3" s="324"/>
      <c r="R3" s="324"/>
      <c r="S3" s="319"/>
      <c r="T3" s="319"/>
      <c r="U3" s="324"/>
      <c r="V3" s="324"/>
      <c r="W3" s="324"/>
      <c r="X3" s="319"/>
      <c r="Y3" s="319"/>
      <c r="Z3" s="324"/>
      <c r="AA3" s="319"/>
      <c r="AB3" s="319"/>
      <c r="AC3" s="324"/>
      <c r="AD3" s="324"/>
      <c r="AE3" s="324"/>
      <c r="AF3" s="319"/>
      <c r="AG3" s="324"/>
      <c r="AH3" s="324"/>
      <c r="AI3" s="324"/>
      <c r="AJ3" s="321"/>
      <c r="AK3" s="324"/>
      <c r="AL3" s="319"/>
      <c r="AM3" s="324"/>
      <c r="AN3" s="319"/>
      <c r="AO3" s="319"/>
      <c r="AP3" s="319"/>
      <c r="AQ3" s="319"/>
      <c r="AR3" s="319"/>
      <c r="AS3" s="319"/>
      <c r="AT3" s="324"/>
      <c r="AU3" s="319"/>
      <c r="AV3" s="319"/>
      <c r="AW3" s="319"/>
      <c r="AX3" s="324"/>
      <c r="AY3" s="319"/>
      <c r="AZ3" s="319"/>
      <c r="BA3" s="324"/>
      <c r="BB3" s="324"/>
      <c r="BC3" s="324"/>
      <c r="BD3" s="319"/>
      <c r="BE3" s="319"/>
      <c r="BF3" s="319"/>
      <c r="BG3" s="319"/>
      <c r="BH3" s="319"/>
      <c r="BI3" s="319"/>
      <c r="BJ3" s="319"/>
      <c r="BK3" s="319"/>
      <c r="BL3" s="319"/>
      <c r="BM3" s="324"/>
      <c r="BN3" s="319"/>
      <c r="BO3" s="319"/>
      <c r="BP3" s="319"/>
      <c r="BQ3" s="319"/>
      <c r="BR3" s="324"/>
      <c r="BS3" s="319"/>
      <c r="BT3" s="319"/>
      <c r="BU3" s="319"/>
      <c r="BV3" s="319"/>
      <c r="BW3" s="319"/>
      <c r="BX3" s="319"/>
      <c r="BY3" s="319"/>
      <c r="BZ3" s="319"/>
      <c r="CA3" s="319"/>
      <c r="CB3" s="319"/>
      <c r="CC3" s="324"/>
      <c r="CD3" s="324"/>
      <c r="CE3" s="324"/>
      <c r="CF3" s="319"/>
      <c r="CG3" s="319"/>
      <c r="CH3" s="324"/>
      <c r="CI3" s="319"/>
      <c r="CJ3" s="319"/>
      <c r="CK3" s="319"/>
      <c r="CL3" s="324"/>
      <c r="CM3" s="319"/>
      <c r="CN3" s="319"/>
      <c r="CO3" s="319"/>
      <c r="CP3" s="319"/>
      <c r="CQ3" s="319"/>
      <c r="CR3"/>
      <c r="CS3" s="324"/>
      <c r="CT3"/>
      <c r="CU3"/>
      <c r="CV3"/>
      <c r="CW3"/>
      <c r="CX3"/>
      <c r="CY3" s="324"/>
      <c r="CZ3"/>
      <c r="DA3" s="204"/>
      <c r="DB3" s="324"/>
      <c r="DC3" s="204"/>
      <c r="DD3" s="319"/>
      <c r="DE3" s="319"/>
      <c r="DF3" s="319"/>
      <c r="DG3" s="324"/>
      <c r="DH3" s="204"/>
      <c r="DI3" s="325"/>
      <c r="DJ3" s="325"/>
      <c r="DK3" s="324"/>
      <c r="DL3" s="329" t="s">
        <v>642</v>
      </c>
      <c r="DM3" s="2"/>
      <c r="DN3" s="325"/>
      <c r="DO3" s="319"/>
      <c r="DP3" s="324"/>
      <c r="DQ3" s="319"/>
      <c r="DR3" s="325"/>
      <c r="DS3" s="319"/>
      <c r="DT3" s="319"/>
      <c r="DU3" s="324"/>
      <c r="DV3" s="319"/>
      <c r="DW3" s="325"/>
      <c r="DX3" s="319"/>
      <c r="DY3" s="329" t="s">
        <v>642</v>
      </c>
      <c r="DZ3" s="324"/>
      <c r="EA3" s="325"/>
      <c r="EB3" s="325"/>
      <c r="EC3" s="204"/>
      <c r="ED3" s="324"/>
      <c r="EE3" s="319"/>
      <c r="EF3" s="319"/>
      <c r="EG3" s="204"/>
      <c r="EH3" s="320"/>
      <c r="EI3" s="204"/>
      <c r="EJ3" s="325"/>
      <c r="EK3" s="206"/>
      <c r="EL3" s="320"/>
      <c r="EM3" s="323"/>
      <c r="EN3" s="294"/>
      <c r="EO3" s="324"/>
      <c r="EP3" s="324"/>
      <c r="EQ3" s="324"/>
      <c r="ER3" s="324"/>
      <c r="ES3" s="319"/>
      <c r="ET3" s="323"/>
      <c r="EU3" s="319"/>
      <c r="EV3" s="319"/>
      <c r="EW3" s="323"/>
      <c r="EX3" s="319"/>
      <c r="EY3" s="323"/>
      <c r="EZ3" s="319"/>
      <c r="FA3" s="323"/>
      <c r="FB3" s="323"/>
      <c r="FC3" s="323"/>
      <c r="FD3" s="319"/>
      <c r="FE3" s="323"/>
      <c r="FF3" s="319"/>
      <c r="FG3" s="319"/>
      <c r="FH3" s="319"/>
      <c r="FI3" s="323"/>
      <c r="FJ3" s="323"/>
      <c r="FK3" s="323"/>
      <c r="FL3" s="319"/>
      <c r="FM3" s="323"/>
      <c r="FN3" s="323"/>
      <c r="FO3" s="319"/>
      <c r="FP3" s="319"/>
      <c r="FQ3" s="323"/>
      <c r="FR3" s="323"/>
      <c r="FS3" s="323"/>
      <c r="FT3" s="319"/>
      <c r="FU3" s="323"/>
      <c r="FV3" s="319"/>
      <c r="FW3" s="319"/>
      <c r="FX3" s="319"/>
      <c r="FY3" s="323"/>
      <c r="FZ3" s="323"/>
      <c r="GA3" s="323"/>
      <c r="GB3" s="319"/>
      <c r="GC3" s="319"/>
      <c r="GD3" s="319"/>
      <c r="GE3" s="319"/>
      <c r="GF3" s="321"/>
      <c r="GG3" s="319"/>
      <c r="GH3" s="319"/>
      <c r="GI3" s="323"/>
      <c r="GJ3" s="319"/>
      <c r="GK3" s="323"/>
      <c r="GL3" s="319"/>
      <c r="GM3" s="323"/>
      <c r="GN3" s="319"/>
      <c r="GO3" s="319"/>
      <c r="GP3" s="323"/>
      <c r="GQ3" s="319"/>
      <c r="GR3" s="319"/>
      <c r="GS3" s="323"/>
      <c r="GT3" s="204"/>
      <c r="GU3" s="323"/>
      <c r="GV3" s="319"/>
      <c r="GW3" s="323"/>
      <c r="GX3" s="319"/>
      <c r="GY3" s="323"/>
      <c r="GZ3" s="319"/>
      <c r="HA3" s="323"/>
      <c r="HB3" s="319"/>
      <c r="HC3" s="323"/>
      <c r="HD3" s="319"/>
      <c r="HE3" s="323"/>
      <c r="HF3" s="319"/>
      <c r="HG3" s="323"/>
      <c r="HH3" s="319"/>
      <c r="HI3" s="323"/>
      <c r="HJ3" s="319"/>
      <c r="HK3" s="323"/>
      <c r="HL3" s="319"/>
      <c r="HM3" s="323"/>
      <c r="HN3" s="319"/>
      <c r="HO3" s="323"/>
      <c r="HP3" s="319"/>
      <c r="HQ3" s="319"/>
      <c r="HR3" s="323"/>
      <c r="HS3" s="319"/>
      <c r="HT3" s="319"/>
      <c r="HU3" s="323"/>
      <c r="HV3" s="323"/>
      <c r="HW3" s="323"/>
      <c r="HX3" s="319"/>
      <c r="HY3" s="323"/>
      <c r="HZ3" s="319"/>
      <c r="IA3" s="323"/>
      <c r="IB3" s="319"/>
      <c r="IC3" s="323"/>
      <c r="ID3" s="319"/>
      <c r="IE3" s="323"/>
      <c r="IF3" s="319"/>
      <c r="IG3" s="323"/>
      <c r="IH3" s="204"/>
      <c r="II3" s="323"/>
      <c r="IJ3" s="319"/>
      <c r="IK3" s="319"/>
      <c r="IL3" s="323"/>
      <c r="IM3" s="319"/>
      <c r="IN3" s="319"/>
      <c r="IO3" s="323"/>
      <c r="IP3" s="323"/>
      <c r="IQ3" s="323"/>
      <c r="IT3" s="323"/>
    </row>
    <row r="4" spans="1:255" s="322" customFormat="1" ht="7.5" customHeight="1">
      <c r="A4" s="319"/>
      <c r="B4" s="319"/>
      <c r="C4" s="325"/>
      <c r="D4" s="319"/>
      <c r="E4" s="325"/>
      <c r="F4" s="319"/>
      <c r="G4" s="319"/>
      <c r="H4" s="319"/>
      <c r="I4" s="319"/>
      <c r="J4" s="319"/>
      <c r="K4" s="325"/>
      <c r="L4" s="319"/>
      <c r="M4" s="319"/>
      <c r="N4" s="319"/>
      <c r="O4" s="325"/>
      <c r="P4" s="319"/>
      <c r="Q4" s="319"/>
      <c r="R4" s="319"/>
      <c r="S4" s="325"/>
      <c r="T4" s="319"/>
      <c r="U4" s="325"/>
      <c r="V4" s="319"/>
      <c r="W4" s="325"/>
      <c r="X4" s="319"/>
      <c r="Y4" s="319"/>
      <c r="Z4" s="325"/>
      <c r="AA4" s="319"/>
      <c r="AB4" s="319"/>
      <c r="AC4" s="325"/>
      <c r="AD4" s="319"/>
      <c r="AE4" s="325"/>
      <c r="AF4" s="319"/>
      <c r="AG4" s="319"/>
      <c r="AH4" s="319"/>
      <c r="AI4" s="325"/>
      <c r="AJ4" s="321"/>
      <c r="AK4" s="325"/>
      <c r="AL4" s="319"/>
      <c r="AM4" s="325"/>
      <c r="AN4" s="319"/>
      <c r="AO4" s="319"/>
      <c r="AP4" s="319"/>
      <c r="AQ4" s="319"/>
      <c r="AR4" s="319"/>
      <c r="AS4" s="319"/>
      <c r="AT4" s="319"/>
      <c r="AU4" s="319"/>
      <c r="AV4" s="319"/>
      <c r="AW4" s="319"/>
      <c r="AX4" s="319"/>
      <c r="AY4" s="319"/>
      <c r="AZ4" s="319"/>
      <c r="BA4" s="319"/>
      <c r="BB4" s="319"/>
      <c r="BC4" s="319"/>
      <c r="BD4" s="319"/>
      <c r="BE4" s="325"/>
      <c r="BF4" s="319"/>
      <c r="BG4" s="319"/>
      <c r="BH4" s="319"/>
      <c r="BI4" s="325"/>
      <c r="BJ4" s="325"/>
      <c r="BK4" s="325"/>
      <c r="BL4" s="319"/>
      <c r="BM4" s="325"/>
      <c r="BN4" s="319"/>
      <c r="BO4" s="319"/>
      <c r="BP4" s="319"/>
      <c r="BQ4" s="319"/>
      <c r="BR4" s="325"/>
      <c r="BS4" s="319"/>
      <c r="BT4" s="319"/>
      <c r="BU4" s="319"/>
      <c r="BV4" s="319"/>
      <c r="BW4" s="319"/>
      <c r="BX4" s="319"/>
      <c r="BY4" s="323"/>
      <c r="BZ4" s="325"/>
      <c r="CA4" s="319"/>
      <c r="CB4" s="319"/>
      <c r="CC4" s="319"/>
      <c r="CD4" s="325"/>
      <c r="CE4" s="319"/>
      <c r="CF4" s="319"/>
      <c r="CG4" s="319"/>
      <c r="CH4" s="325"/>
      <c r="CI4" s="319"/>
      <c r="CJ4" s="319"/>
      <c r="CK4" s="319"/>
      <c r="CL4" s="325"/>
      <c r="CM4" s="319"/>
      <c r="CN4" s="319"/>
      <c r="CO4" s="319"/>
      <c r="CP4" s="319"/>
      <c r="CQ4" s="319"/>
      <c r="CR4"/>
      <c r="CS4"/>
      <c r="CT4" s="325"/>
      <c r="CU4"/>
      <c r="CV4"/>
      <c r="CW4"/>
      <c r="CX4" s="325"/>
      <c r="CY4"/>
      <c r="CZ4"/>
      <c r="DA4" s="319"/>
      <c r="DB4" s="325"/>
      <c r="DC4" s="319"/>
      <c r="DD4" s="319"/>
      <c r="DE4" s="92"/>
      <c r="DF4" s="325"/>
      <c r="DG4" s="319"/>
      <c r="DH4" s="324"/>
      <c r="DI4" s="319"/>
      <c r="DJ4" s="319"/>
      <c r="DK4" s="204"/>
      <c r="DL4" s="319"/>
      <c r="DM4" s="319"/>
      <c r="DN4" s="319"/>
      <c r="DO4" s="324"/>
      <c r="DP4" s="204"/>
      <c r="DQ4" s="204"/>
      <c r="DR4" s="324"/>
      <c r="DS4" s="204"/>
      <c r="DT4" s="319"/>
      <c r="DU4" s="204"/>
      <c r="DV4" s="324"/>
      <c r="DW4" s="319"/>
      <c r="DX4" s="319"/>
      <c r="DY4" s="319"/>
      <c r="DZ4" s="204"/>
      <c r="EA4" s="319"/>
      <c r="EB4" s="319"/>
      <c r="EC4" s="324"/>
      <c r="ED4" s="319"/>
      <c r="EE4" s="325"/>
      <c r="EF4" s="319"/>
      <c r="EG4" s="206"/>
      <c r="EH4" s="204"/>
      <c r="EI4" s="325"/>
      <c r="EJ4" s="206"/>
      <c r="EK4" s="319"/>
      <c r="EL4" s="206"/>
      <c r="EM4" s="294"/>
      <c r="EN4" s="319"/>
      <c r="EO4" s="319"/>
      <c r="EP4" s="325"/>
      <c r="EQ4" s="325"/>
      <c r="ER4" s="319"/>
      <c r="ES4" s="92"/>
      <c r="ET4" s="204"/>
      <c r="EU4" s="319"/>
      <c r="EV4" s="319"/>
      <c r="EW4" s="324"/>
      <c r="EX4" s="319"/>
      <c r="EY4" s="324"/>
      <c r="EZ4" s="319"/>
      <c r="FA4" s="324"/>
      <c r="FB4" s="319"/>
      <c r="FC4" s="324"/>
      <c r="FD4" s="319"/>
      <c r="FE4" s="324"/>
      <c r="FF4" s="319"/>
      <c r="FG4" s="319"/>
      <c r="FH4" s="319"/>
      <c r="FI4" s="324"/>
      <c r="FJ4" s="319"/>
      <c r="FK4" s="324"/>
      <c r="FL4" s="319"/>
      <c r="FM4" s="324"/>
      <c r="FN4" s="319"/>
      <c r="FO4" s="319"/>
      <c r="FP4" s="319"/>
      <c r="FQ4" s="319"/>
      <c r="FR4" s="324"/>
      <c r="FS4" s="319"/>
      <c r="FT4" s="319"/>
      <c r="FU4" s="324"/>
      <c r="FV4" s="319"/>
      <c r="FW4" s="324"/>
      <c r="FX4" s="319"/>
      <c r="FY4" s="324"/>
      <c r="FZ4"/>
      <c r="GA4" s="324"/>
      <c r="GB4" s="319"/>
      <c r="GC4" s="319"/>
      <c r="GD4" s="324"/>
      <c r="GE4" s="319"/>
      <c r="GF4" s="321"/>
      <c r="GG4" s="324"/>
      <c r="GH4" s="319"/>
      <c r="GI4" s="324"/>
      <c r="GJ4" s="319"/>
      <c r="GK4" s="324"/>
      <c r="GL4" s="324"/>
      <c r="GM4" s="319"/>
      <c r="GN4" s="319"/>
      <c r="GO4" s="319"/>
      <c r="GP4" s="324"/>
      <c r="GQ4" s="319"/>
      <c r="GR4" s="319"/>
      <c r="GS4" s="324"/>
      <c r="GT4" s="319"/>
      <c r="GU4" s="324"/>
      <c r="GV4" s="319"/>
      <c r="GW4" s="324"/>
      <c r="GX4" s="319"/>
      <c r="GY4" s="324"/>
      <c r="GZ4" s="319"/>
      <c r="HA4" s="324"/>
      <c r="HB4" s="319"/>
      <c r="HC4" s="324"/>
      <c r="HD4" s="319"/>
      <c r="HE4" s="324"/>
      <c r="HF4" s="324"/>
      <c r="HG4" s="324"/>
      <c r="HH4" s="319"/>
      <c r="HI4" s="324"/>
      <c r="HJ4" s="324"/>
      <c r="HK4" s="324"/>
      <c r="HL4" s="319"/>
      <c r="HM4" s="324"/>
      <c r="HN4" s="319"/>
      <c r="HO4" s="319"/>
      <c r="HP4" s="319"/>
      <c r="HQ4" s="319"/>
      <c r="HR4" s="319"/>
      <c r="HS4" s="324"/>
      <c r="HT4" s="319"/>
      <c r="HU4" s="319"/>
      <c r="HV4" s="324"/>
      <c r="HW4" s="319"/>
      <c r="HX4" s="319"/>
      <c r="HY4" s="324"/>
      <c r="HZ4" s="319"/>
      <c r="IA4" s="324"/>
      <c r="IB4" s="319"/>
      <c r="IC4" s="324"/>
      <c r="ID4" s="319"/>
      <c r="IE4" s="324"/>
      <c r="IF4" s="319"/>
      <c r="IG4" s="324"/>
      <c r="IH4" s="323"/>
      <c r="II4" s="324"/>
      <c r="IJ4" s="319"/>
      <c r="IK4" s="324"/>
      <c r="IL4" s="319"/>
      <c r="IM4" s="324"/>
      <c r="IN4" s="319"/>
      <c r="IO4" s="319"/>
      <c r="IP4" s="319"/>
      <c r="IQ4" s="324"/>
      <c r="IS4" s="324"/>
    </row>
    <row r="5" spans="1:255" s="322" customFormat="1" ht="7.5" customHeight="1">
      <c r="A5" s="319"/>
      <c r="B5" s="319"/>
      <c r="C5" s="325"/>
      <c r="D5" s="319"/>
      <c r="E5" s="325"/>
      <c r="F5" s="325"/>
      <c r="G5" s="325"/>
      <c r="H5" s="319"/>
      <c r="I5" s="325"/>
      <c r="J5" s="325"/>
      <c r="K5" s="319"/>
      <c r="L5" s="319"/>
      <c r="M5" s="319"/>
      <c r="N5" s="319"/>
      <c r="O5" s="325"/>
      <c r="P5" s="319"/>
      <c r="Q5" s="325"/>
      <c r="R5" s="325"/>
      <c r="S5" s="319"/>
      <c r="T5" s="319"/>
      <c r="U5" s="325"/>
      <c r="V5" s="325"/>
      <c r="W5" s="325"/>
      <c r="X5" s="319"/>
      <c r="Y5" s="319"/>
      <c r="Z5" s="325"/>
      <c r="AA5" s="319"/>
      <c r="AB5" s="319"/>
      <c r="AC5" s="325"/>
      <c r="AD5" s="325"/>
      <c r="AE5" s="325"/>
      <c r="AF5" s="319"/>
      <c r="AG5" s="325"/>
      <c r="AH5" s="325"/>
      <c r="AI5" s="319"/>
      <c r="AJ5" s="321"/>
      <c r="AK5" s="325"/>
      <c r="AL5" s="325"/>
      <c r="AM5" s="325"/>
      <c r="AN5" s="319"/>
      <c r="AO5" s="325"/>
      <c r="AP5" s="319"/>
      <c r="AQ5" s="319"/>
      <c r="AR5" s="319"/>
      <c r="AS5" s="319"/>
      <c r="AT5" s="325"/>
      <c r="AU5" s="319"/>
      <c r="AV5" s="319"/>
      <c r="AW5" s="319"/>
      <c r="AX5" s="325"/>
      <c r="AY5" s="319"/>
      <c r="AZ5" s="319"/>
      <c r="BA5" s="319"/>
      <c r="BB5" s="319"/>
      <c r="BC5" s="319"/>
      <c r="BD5" s="319"/>
      <c r="BE5" s="319"/>
      <c r="BF5" s="319"/>
      <c r="BG5" s="319"/>
      <c r="BH5" s="319"/>
      <c r="BI5" s="319"/>
      <c r="BJ5" s="319"/>
      <c r="BK5" s="319"/>
      <c r="BL5" s="319"/>
      <c r="BM5" s="319"/>
      <c r="BN5" s="325"/>
      <c r="BO5" s="319"/>
      <c r="BP5" s="319"/>
      <c r="BQ5" s="325"/>
      <c r="BR5" s="319"/>
      <c r="BS5" s="319"/>
      <c r="BT5" s="319"/>
      <c r="BU5" s="319"/>
      <c r="BV5" s="319"/>
      <c r="BW5" s="319"/>
      <c r="BX5" s="319"/>
      <c r="BY5" s="325"/>
      <c r="BZ5" s="319"/>
      <c r="CA5" s="319"/>
      <c r="CB5" s="319"/>
      <c r="CC5" s="319"/>
      <c r="CD5" s="319"/>
      <c r="CE5" s="319"/>
      <c r="CF5" s="319"/>
      <c r="CG5" s="319"/>
      <c r="CH5" s="319"/>
      <c r="CI5" s="325"/>
      <c r="CJ5" s="319"/>
      <c r="CK5" s="325"/>
      <c r="CL5" s="319"/>
      <c r="CM5" s="319"/>
      <c r="CN5" s="319"/>
      <c r="CO5" s="323"/>
      <c r="CP5" s="323"/>
      <c r="CQ5" s="323"/>
      <c r="CR5"/>
      <c r="CS5"/>
      <c r="CT5"/>
      <c r="CU5" s="325"/>
      <c r="CV5"/>
      <c r="CW5" s="325"/>
      <c r="CX5"/>
      <c r="CY5"/>
      <c r="CZ5"/>
      <c r="DA5" s="92"/>
      <c r="DB5" s="325"/>
      <c r="DC5" s="319"/>
      <c r="DD5" s="92"/>
      <c r="DE5" s="325"/>
      <c r="DF5" s="92"/>
      <c r="DG5" s="92"/>
      <c r="DH5" s="319"/>
      <c r="DI5" s="319"/>
      <c r="DJ5" s="319"/>
      <c r="DK5" s="319"/>
      <c r="DL5" s="319"/>
      <c r="DM5" s="319"/>
      <c r="DN5" s="324"/>
      <c r="DO5" s="204"/>
      <c r="DP5" s="329" t="s">
        <v>642</v>
      </c>
      <c r="DQ5" s="319"/>
      <c r="DR5" s="329" t="s">
        <v>642</v>
      </c>
      <c r="DS5" s="319"/>
      <c r="DT5" s="319"/>
      <c r="DU5" s="329" t="s">
        <v>642</v>
      </c>
      <c r="DV5" s="204"/>
      <c r="DW5" s="324"/>
      <c r="DX5" s="319"/>
      <c r="DY5" s="319"/>
      <c r="DZ5" s="319"/>
      <c r="EA5" s="319"/>
      <c r="EB5" s="319"/>
      <c r="EC5" s="319"/>
      <c r="ED5" s="319"/>
      <c r="EE5" s="319"/>
      <c r="EF5" s="325"/>
      <c r="EG5" s="319"/>
      <c r="EH5" s="206"/>
      <c r="EI5" s="206"/>
      <c r="EJ5" s="319"/>
      <c r="EK5" s="206"/>
      <c r="EL5" s="319"/>
      <c r="EM5" s="205"/>
      <c r="EN5" s="319"/>
      <c r="EO5" s="319"/>
      <c r="EP5" s="319"/>
      <c r="EQ5" s="325"/>
      <c r="ER5" s="319"/>
      <c r="ES5"/>
      <c r="ET5" s="308"/>
      <c r="EU5" s="323"/>
      <c r="EV5"/>
      <c r="EW5"/>
      <c r="EX5" s="325"/>
      <c r="EY5" s="325"/>
      <c r="EZ5"/>
      <c r="FA5" s="325"/>
      <c r="FB5" s="325"/>
      <c r="FC5" s="325"/>
      <c r="FD5" s="319"/>
      <c r="FE5" s="319"/>
      <c r="FF5" s="325"/>
      <c r="FG5" s="325"/>
      <c r="FH5" s="319"/>
      <c r="FI5" s="325"/>
      <c r="FJ5" s="325"/>
      <c r="FK5" s="325"/>
      <c r="FL5" s="319"/>
      <c r="FM5" s="325"/>
      <c r="FN5" s="325"/>
      <c r="FO5" s="325"/>
      <c r="FP5" s="319"/>
      <c r="FQ5" s="325"/>
      <c r="FR5" s="325"/>
      <c r="FS5" s="319"/>
      <c r="FT5" s="319"/>
      <c r="FU5" s="319"/>
      <c r="FV5" s="325"/>
      <c r="FW5" s="325"/>
      <c r="FX5" s="319"/>
      <c r="FY5" s="325"/>
      <c r="FZ5" s="319"/>
      <c r="GA5" s="325"/>
      <c r="GB5" s="319"/>
      <c r="GC5" s="319"/>
      <c r="GD5" s="325"/>
      <c r="GE5" s="325"/>
      <c r="GF5" s="321"/>
      <c r="GG5" s="319"/>
      <c r="GH5" s="325"/>
      <c r="GI5" s="319"/>
      <c r="GJ5" s="319"/>
      <c r="GK5" s="325"/>
      <c r="GL5" s="319"/>
      <c r="GM5" s="325"/>
      <c r="GN5" s="319"/>
      <c r="GO5" s="319"/>
      <c r="GP5" s="325"/>
      <c r="GQ5" s="325"/>
      <c r="GR5" s="319"/>
      <c r="GS5" s="325"/>
      <c r="GT5" s="319"/>
      <c r="GU5" s="325"/>
      <c r="GV5" s="319"/>
      <c r="GW5" s="325"/>
      <c r="GX5" s="319"/>
      <c r="GY5" s="325"/>
      <c r="GZ5" s="319"/>
      <c r="HA5" s="319"/>
      <c r="HB5" s="325"/>
      <c r="HC5" s="325"/>
      <c r="HD5" s="319"/>
      <c r="HE5" s="325"/>
      <c r="HF5" s="319"/>
      <c r="HG5" s="319"/>
      <c r="HH5" s="319"/>
      <c r="HI5" s="319"/>
      <c r="HJ5" s="319"/>
      <c r="HK5" s="325"/>
      <c r="HL5" s="319"/>
      <c r="HM5" s="325"/>
      <c r="HN5" s="319"/>
      <c r="HO5" s="319"/>
      <c r="HP5" s="319"/>
      <c r="HQ5" s="325"/>
      <c r="HR5" s="325"/>
      <c r="HS5" s="325"/>
      <c r="HT5" s="319"/>
      <c r="HU5" s="319"/>
      <c r="HV5" s="325"/>
      <c r="HW5" s="325"/>
      <c r="HX5" s="319"/>
      <c r="HY5" s="319"/>
      <c r="HZ5" s="325"/>
      <c r="IA5" s="325"/>
      <c r="IB5" s="319"/>
      <c r="IC5" s="319"/>
      <c r="ID5" s="325"/>
      <c r="IE5" s="319"/>
      <c r="IF5" s="319"/>
      <c r="IG5" s="325"/>
      <c r="IH5" s="325"/>
      <c r="II5" s="325"/>
      <c r="IJ5" s="319"/>
      <c r="IK5" s="325"/>
      <c r="IL5" s="319"/>
      <c r="IM5" s="325"/>
      <c r="IN5" s="319"/>
      <c r="IO5" s="325"/>
      <c r="IP5" s="325"/>
      <c r="IQ5" s="319"/>
      <c r="IS5" s="325"/>
      <c r="IT5" s="325"/>
      <c r="IU5" s="325"/>
    </row>
    <row r="6" spans="1:255" s="326" customFormat="1" ht="7.5" customHeight="1">
      <c r="A6" s="320" t="s">
        <v>644</v>
      </c>
      <c r="B6" s="320"/>
      <c r="C6" s="320"/>
      <c r="D6" s="319"/>
      <c r="E6" s="320" t="s">
        <v>645</v>
      </c>
      <c r="F6" s="320"/>
      <c r="G6" s="319"/>
      <c r="H6" s="319"/>
      <c r="I6" s="319" t="s">
        <v>646</v>
      </c>
      <c r="J6" s="320"/>
      <c r="K6" s="320"/>
      <c r="L6" s="319"/>
      <c r="M6" s="320" t="s">
        <v>647</v>
      </c>
      <c r="N6" s="320"/>
      <c r="O6" s="319"/>
      <c r="P6" s="319"/>
      <c r="Q6" s="320" t="s">
        <v>648</v>
      </c>
      <c r="R6" s="320"/>
      <c r="S6" s="320"/>
      <c r="T6" s="319"/>
      <c r="U6" s="320" t="s">
        <v>649</v>
      </c>
      <c r="V6" s="320"/>
      <c r="W6" s="320"/>
      <c r="X6" s="319"/>
      <c r="Y6" s="319" t="s">
        <v>650</v>
      </c>
      <c r="Z6" s="320"/>
      <c r="AA6" s="320"/>
      <c r="AB6" s="319"/>
      <c r="AC6" s="320" t="s">
        <v>651</v>
      </c>
      <c r="AD6" s="319"/>
      <c r="AE6" s="320"/>
      <c r="AF6" s="319"/>
      <c r="AG6" s="319" t="s">
        <v>652</v>
      </c>
      <c r="AH6" s="320"/>
      <c r="AI6" s="319"/>
      <c r="AJ6" s="321"/>
      <c r="AK6" s="319" t="s">
        <v>653</v>
      </c>
      <c r="AL6" s="319"/>
      <c r="AM6" s="320"/>
      <c r="AN6" s="319"/>
      <c r="AO6" s="320" t="s">
        <v>654</v>
      </c>
      <c r="AP6" s="319"/>
      <c r="AQ6" s="320"/>
      <c r="AR6" s="319"/>
      <c r="AS6" s="320" t="s">
        <v>655</v>
      </c>
      <c r="AT6" s="319"/>
      <c r="AU6" s="319"/>
      <c r="AV6" s="319"/>
      <c r="AW6" s="320" t="s">
        <v>656</v>
      </c>
      <c r="AX6" s="319"/>
      <c r="AY6" s="320"/>
      <c r="AZ6" s="319"/>
      <c r="BA6" s="320" t="s">
        <v>657</v>
      </c>
      <c r="BB6" s="320"/>
      <c r="BC6" s="319"/>
      <c r="BD6" s="319"/>
      <c r="BE6" s="320" t="s">
        <v>658</v>
      </c>
      <c r="BF6" s="320"/>
      <c r="BG6" s="319"/>
      <c r="BH6" s="319"/>
      <c r="BI6" s="320" t="s">
        <v>659</v>
      </c>
      <c r="BJ6" s="320"/>
      <c r="BK6" s="319"/>
      <c r="BL6" s="319"/>
      <c r="BM6" s="319" t="s">
        <v>660</v>
      </c>
      <c r="BN6" s="320"/>
      <c r="BO6" s="320"/>
      <c r="BP6" s="319"/>
      <c r="BQ6" s="320" t="s">
        <v>661</v>
      </c>
      <c r="BR6" s="320"/>
      <c r="BS6" s="319"/>
      <c r="BT6" s="319"/>
      <c r="BU6" s="319" t="s">
        <v>633</v>
      </c>
      <c r="BV6" s="320"/>
      <c r="BW6" s="320"/>
      <c r="BX6" s="319"/>
      <c r="BY6" s="320" t="s">
        <v>662</v>
      </c>
      <c r="BZ6" s="320"/>
      <c r="CA6" s="320"/>
      <c r="CB6" s="319"/>
      <c r="CC6" s="320" t="s">
        <v>663</v>
      </c>
      <c r="CD6" s="319"/>
      <c r="CE6" s="320"/>
      <c r="CF6" s="319"/>
      <c r="CG6" s="320" t="s">
        <v>664</v>
      </c>
      <c r="CH6" s="319"/>
      <c r="CI6" s="320"/>
      <c r="CJ6" s="319"/>
      <c r="CK6" s="320" t="s">
        <v>665</v>
      </c>
      <c r="CL6" s="319"/>
      <c r="CM6" s="320"/>
      <c r="CN6" s="319"/>
      <c r="CO6" s="320" t="s">
        <v>666</v>
      </c>
      <c r="CP6" s="319"/>
      <c r="CQ6" s="320"/>
      <c r="CR6" s="319"/>
      <c r="CS6" s="320" t="s">
        <v>667</v>
      </c>
      <c r="CT6" s="319"/>
      <c r="CU6" s="320"/>
      <c r="CV6" s="322"/>
      <c r="CW6" s="320" t="s">
        <v>668</v>
      </c>
      <c r="CX6" s="320"/>
      <c r="CY6" s="320"/>
      <c r="CZ6" s="322"/>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row>
    <row r="7" spans="1:255" s="326" customFormat="1" ht="7.5" customHeight="1">
      <c r="A7" s="323"/>
      <c r="B7" s="319"/>
      <c r="C7" s="323"/>
      <c r="D7" s="319"/>
      <c r="E7" s="323"/>
      <c r="F7" s="319"/>
      <c r="G7" s="323"/>
      <c r="H7" s="319"/>
      <c r="I7" s="323"/>
      <c r="J7" s="319"/>
      <c r="K7" s="319"/>
      <c r="L7" s="319"/>
      <c r="M7" s="323"/>
      <c r="N7" s="319"/>
      <c r="O7" s="323"/>
      <c r="P7" s="319"/>
      <c r="Q7" s="323"/>
      <c r="R7" s="319"/>
      <c r="S7" s="319"/>
      <c r="T7" s="319"/>
      <c r="U7" s="323"/>
      <c r="V7" s="319"/>
      <c r="W7" s="319"/>
      <c r="X7" s="319"/>
      <c r="Y7" s="323"/>
      <c r="Z7" s="319"/>
      <c r="AA7" s="319"/>
      <c r="AB7" s="319"/>
      <c r="AC7" s="323"/>
      <c r="AD7" s="319"/>
      <c r="AE7" s="323"/>
      <c r="AF7" s="319"/>
      <c r="AG7" s="319"/>
      <c r="AH7" s="323"/>
      <c r="AI7" s="319"/>
      <c r="AJ7" s="321"/>
      <c r="AK7" s="319"/>
      <c r="AL7" s="319"/>
      <c r="AM7" s="323"/>
      <c r="AN7" s="319"/>
      <c r="AO7" s="323"/>
      <c r="AP7" s="319"/>
      <c r="AQ7" s="323"/>
      <c r="AR7" s="319"/>
      <c r="AS7" s="323"/>
      <c r="AT7" s="319"/>
      <c r="AU7" s="319"/>
      <c r="AV7" s="319"/>
      <c r="AW7" s="323"/>
      <c r="AX7" s="327"/>
      <c r="AY7" s="323"/>
      <c r="AZ7" s="319"/>
      <c r="BA7" s="323"/>
      <c r="BB7" s="319"/>
      <c r="BC7" s="323"/>
      <c r="BD7" s="319"/>
      <c r="BE7" s="323"/>
      <c r="BF7" s="319"/>
      <c r="BG7" s="323"/>
      <c r="BH7" s="319"/>
      <c r="BI7" s="323"/>
      <c r="BJ7" s="319"/>
      <c r="BK7" s="323"/>
      <c r="BL7" s="319"/>
      <c r="BM7" s="323"/>
      <c r="BN7" s="319"/>
      <c r="BO7" s="323"/>
      <c r="BP7" s="319"/>
      <c r="BQ7" s="323"/>
      <c r="BR7" s="319"/>
      <c r="BS7" s="323"/>
      <c r="BT7" s="319"/>
      <c r="BU7" s="323"/>
      <c r="BV7" s="319"/>
      <c r="BW7" s="319"/>
      <c r="BX7" s="319"/>
      <c r="BY7" s="319"/>
      <c r="BZ7" s="323"/>
      <c r="CA7" s="319"/>
      <c r="CB7" s="319"/>
      <c r="CC7" s="323"/>
      <c r="CD7" s="319"/>
      <c r="CE7" s="323"/>
      <c r="CF7" s="319"/>
      <c r="CG7" s="323"/>
      <c r="CH7" s="319"/>
      <c r="CI7" s="323"/>
      <c r="CJ7" s="319"/>
      <c r="CK7" s="323"/>
      <c r="CL7" s="319"/>
      <c r="CM7" s="323"/>
      <c r="CN7" s="319"/>
      <c r="CO7" s="323"/>
      <c r="CP7" s="319"/>
      <c r="CQ7" s="323"/>
      <c r="CR7" s="319"/>
      <c r="CS7" s="323"/>
      <c r="CT7" s="319"/>
      <c r="CU7" s="323"/>
      <c r="CV7" s="322"/>
      <c r="CW7" s="322"/>
      <c r="CX7" s="322"/>
      <c r="CY7" s="323"/>
      <c r="CZ7" s="322"/>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row>
    <row r="8" spans="1:255" s="326" customFormat="1" ht="7.5" customHeight="1">
      <c r="A8" s="324"/>
      <c r="B8" s="319"/>
      <c r="C8" s="324"/>
      <c r="D8" s="319"/>
      <c r="E8" s="324"/>
      <c r="F8" s="324"/>
      <c r="G8" s="324"/>
      <c r="H8" s="319"/>
      <c r="I8" s="324"/>
      <c r="J8" s="319"/>
      <c r="K8" s="319"/>
      <c r="L8" s="319"/>
      <c r="M8" s="324"/>
      <c r="N8" s="319"/>
      <c r="O8" s="324"/>
      <c r="P8" s="319"/>
      <c r="Q8" s="324"/>
      <c r="R8" s="324"/>
      <c r="S8" s="319"/>
      <c r="T8" s="319"/>
      <c r="U8" s="324"/>
      <c r="V8" s="324"/>
      <c r="W8" s="319"/>
      <c r="X8" s="319"/>
      <c r="Y8" s="324"/>
      <c r="Z8" s="319"/>
      <c r="AA8" s="324"/>
      <c r="AB8" s="319"/>
      <c r="AC8" s="324"/>
      <c r="AD8" s="319"/>
      <c r="AE8" s="324"/>
      <c r="AF8" s="319"/>
      <c r="AG8" s="319"/>
      <c r="AH8" s="324"/>
      <c r="AI8" s="319"/>
      <c r="AJ8" s="321"/>
      <c r="AK8" s="319"/>
      <c r="AL8" s="319"/>
      <c r="AM8" s="324"/>
      <c r="AN8" s="319"/>
      <c r="AO8" s="324"/>
      <c r="AP8" s="324"/>
      <c r="AQ8" s="319"/>
      <c r="AR8" s="319"/>
      <c r="AS8" s="324"/>
      <c r="AT8" s="319"/>
      <c r="AU8" s="319"/>
      <c r="AV8" s="319"/>
      <c r="AW8" s="324"/>
      <c r="AX8" s="319"/>
      <c r="AY8" s="324"/>
      <c r="AZ8" s="319"/>
      <c r="BA8" s="324"/>
      <c r="BB8" s="319"/>
      <c r="BC8" s="324"/>
      <c r="BD8" s="319"/>
      <c r="BE8" s="324"/>
      <c r="BF8" s="319"/>
      <c r="BG8" s="324"/>
      <c r="BH8" s="319"/>
      <c r="BI8" s="324"/>
      <c r="BJ8" s="319"/>
      <c r="BK8" s="324"/>
      <c r="BL8" s="319"/>
      <c r="BM8" s="324"/>
      <c r="BN8" s="319"/>
      <c r="BO8" s="324"/>
      <c r="BP8" s="319"/>
      <c r="BQ8" s="324"/>
      <c r="BR8" s="324"/>
      <c r="BS8" s="324"/>
      <c r="BT8" s="319"/>
      <c r="BU8" s="319"/>
      <c r="BV8" s="324"/>
      <c r="BW8" s="319"/>
      <c r="BX8" s="319"/>
      <c r="BY8" s="319"/>
      <c r="BZ8" s="324"/>
      <c r="CA8" s="319"/>
      <c r="CB8" s="319"/>
      <c r="CC8" s="324"/>
      <c r="CD8" s="319"/>
      <c r="CE8" s="324"/>
      <c r="CF8" s="319"/>
      <c r="CG8" s="324"/>
      <c r="CH8" s="319"/>
      <c r="CI8" s="324"/>
      <c r="CJ8" s="319"/>
      <c r="CK8" s="324"/>
      <c r="CL8" s="323"/>
      <c r="CM8" s="324"/>
      <c r="CN8" s="319"/>
      <c r="CO8" s="319"/>
      <c r="CP8" s="324"/>
      <c r="CQ8" s="319"/>
      <c r="CR8" s="319"/>
      <c r="CS8" s="324"/>
      <c r="CT8" s="319"/>
      <c r="CU8" s="324"/>
      <c r="CV8" s="322"/>
      <c r="CW8" s="322"/>
      <c r="CX8" s="324"/>
      <c r="CY8" s="322"/>
      <c r="CZ8" s="322"/>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row>
    <row r="9" spans="1:255" s="326" customFormat="1" ht="7.5" customHeight="1">
      <c r="A9" s="325"/>
      <c r="B9" s="325"/>
      <c r="C9" s="325"/>
      <c r="D9" s="319"/>
      <c r="E9" s="325"/>
      <c r="F9" s="319"/>
      <c r="G9" s="325"/>
      <c r="H9" s="319"/>
      <c r="I9" s="325"/>
      <c r="J9" s="319"/>
      <c r="K9" s="319"/>
      <c r="L9" s="319"/>
      <c r="M9" s="325"/>
      <c r="N9" s="319"/>
      <c r="O9" s="325"/>
      <c r="P9" s="319"/>
      <c r="Q9" s="325"/>
      <c r="R9" s="319"/>
      <c r="S9" s="319"/>
      <c r="T9" s="319"/>
      <c r="U9" s="325"/>
      <c r="V9" s="319"/>
      <c r="W9" s="319"/>
      <c r="X9" s="319"/>
      <c r="Y9" s="325"/>
      <c r="Z9" s="319"/>
      <c r="AA9" s="325"/>
      <c r="AB9" s="319"/>
      <c r="AC9" s="325"/>
      <c r="AD9" s="325"/>
      <c r="AE9" s="325"/>
      <c r="AF9" s="319"/>
      <c r="AG9" s="319"/>
      <c r="AH9" s="325"/>
      <c r="AI9" s="319"/>
      <c r="AJ9" s="321"/>
      <c r="AK9" s="325"/>
      <c r="AL9" s="319"/>
      <c r="AM9" s="325"/>
      <c r="AN9" s="319"/>
      <c r="AO9" s="325"/>
      <c r="AP9" s="319"/>
      <c r="AQ9" s="325"/>
      <c r="AR9" s="319"/>
      <c r="AS9" s="325"/>
      <c r="AT9" s="319"/>
      <c r="AU9" s="319"/>
      <c r="AV9" s="319"/>
      <c r="AW9" s="325"/>
      <c r="AX9" s="319"/>
      <c r="AY9" s="325"/>
      <c r="AZ9" s="319"/>
      <c r="BA9" s="325"/>
      <c r="BB9" s="319"/>
      <c r="BC9" s="325"/>
      <c r="BD9" s="319"/>
      <c r="BE9" s="325"/>
      <c r="BF9" s="319"/>
      <c r="BG9" s="325"/>
      <c r="BH9" s="319"/>
      <c r="BI9" s="325"/>
      <c r="BJ9" s="325"/>
      <c r="BK9" s="325"/>
      <c r="BL9" s="319"/>
      <c r="BM9" s="325"/>
      <c r="BN9" s="325"/>
      <c r="BO9" s="325"/>
      <c r="BP9" s="319"/>
      <c r="BQ9" s="325"/>
      <c r="BR9" s="325"/>
      <c r="BS9" s="319"/>
      <c r="BT9" s="319"/>
      <c r="BU9" s="319"/>
      <c r="BV9" s="319"/>
      <c r="BW9" s="325"/>
      <c r="BX9" s="319"/>
      <c r="BY9" s="319"/>
      <c r="BZ9" s="325"/>
      <c r="CA9" s="319"/>
      <c r="CB9" s="319"/>
      <c r="CC9" s="325"/>
      <c r="CD9" s="319"/>
      <c r="CE9" s="325"/>
      <c r="CF9" s="319"/>
      <c r="CG9" s="325"/>
      <c r="CH9" s="319"/>
      <c r="CI9" s="325"/>
      <c r="CJ9" s="319"/>
      <c r="CK9" s="325"/>
      <c r="CL9" s="324"/>
      <c r="CM9" s="325"/>
      <c r="CN9" s="319"/>
      <c r="CO9" s="325"/>
      <c r="CP9" s="319"/>
      <c r="CQ9" s="325"/>
      <c r="CR9" s="319"/>
      <c r="CS9" s="319"/>
      <c r="CT9" s="325"/>
      <c r="CU9" s="319"/>
      <c r="CV9" s="322"/>
      <c r="CW9" s="325"/>
      <c r="CX9" s="322"/>
      <c r="CY9" s="322"/>
      <c r="CZ9" s="322"/>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row>
    <row r="10" spans="1:255" s="326" customFormat="1" ht="7.5" customHeight="1">
      <c r="A10" s="325"/>
      <c r="B10" s="319"/>
      <c r="C10" s="325"/>
      <c r="D10" s="319"/>
      <c r="E10" s="325"/>
      <c r="F10" s="325"/>
      <c r="G10" s="325"/>
      <c r="H10" s="319"/>
      <c r="I10" s="319"/>
      <c r="J10" s="325"/>
      <c r="K10" s="325"/>
      <c r="L10" s="319"/>
      <c r="M10" s="325"/>
      <c r="N10" s="325"/>
      <c r="O10" s="319"/>
      <c r="P10" s="319"/>
      <c r="Q10" s="325"/>
      <c r="R10" s="325"/>
      <c r="S10" s="325"/>
      <c r="T10" s="319"/>
      <c r="U10" s="325"/>
      <c r="V10" s="319"/>
      <c r="W10" s="319"/>
      <c r="X10" s="319"/>
      <c r="Y10" s="319"/>
      <c r="Z10" s="325"/>
      <c r="AA10" s="325"/>
      <c r="AB10" s="319"/>
      <c r="AC10" s="325"/>
      <c r="AD10" s="319"/>
      <c r="AE10" s="325"/>
      <c r="AF10" s="319"/>
      <c r="AG10" s="319"/>
      <c r="AH10" s="325"/>
      <c r="AI10" s="319"/>
      <c r="AJ10" s="321"/>
      <c r="AK10" s="319"/>
      <c r="AL10" s="325"/>
      <c r="AM10" s="319"/>
      <c r="AN10" s="319"/>
      <c r="AO10" s="325"/>
      <c r="AP10" s="319"/>
      <c r="AQ10" s="325"/>
      <c r="AR10" s="319"/>
      <c r="AS10" s="325"/>
      <c r="AT10" s="325"/>
      <c r="AU10" s="325"/>
      <c r="AV10" s="319"/>
      <c r="AW10" s="325"/>
      <c r="AX10" s="319"/>
      <c r="AY10" s="325"/>
      <c r="AZ10" s="319"/>
      <c r="BA10" s="325"/>
      <c r="BB10" s="319"/>
      <c r="BC10" s="325"/>
      <c r="BD10" s="319"/>
      <c r="BE10" s="319"/>
      <c r="BF10" s="325"/>
      <c r="BG10" s="325"/>
      <c r="BH10" s="319"/>
      <c r="BI10" s="325"/>
      <c r="BJ10" s="319"/>
      <c r="BK10" s="319"/>
      <c r="BL10" s="319"/>
      <c r="BM10" s="319"/>
      <c r="BN10" s="319"/>
      <c r="BO10" s="325"/>
      <c r="BP10" s="319"/>
      <c r="BQ10" s="325"/>
      <c r="BR10" s="319"/>
      <c r="BS10" s="325"/>
      <c r="BT10" s="319"/>
      <c r="BU10" s="325"/>
      <c r="BV10" s="325"/>
      <c r="BW10" s="325"/>
      <c r="BX10" s="319"/>
      <c r="BY10" s="319"/>
      <c r="BZ10" s="325"/>
      <c r="CA10" s="319"/>
      <c r="CB10" s="319"/>
      <c r="CC10" s="325"/>
      <c r="CD10" s="325"/>
      <c r="CE10" s="325"/>
      <c r="CF10" s="319"/>
      <c r="CG10" s="325"/>
      <c r="CH10" s="325"/>
      <c r="CI10" s="319"/>
      <c r="CJ10" s="319"/>
      <c r="CK10" s="325"/>
      <c r="CL10" s="325"/>
      <c r="CM10" s="325"/>
      <c r="CN10" s="319"/>
      <c r="CO10" s="325"/>
      <c r="CP10" s="319"/>
      <c r="CQ10" s="325"/>
      <c r="CR10" s="319"/>
      <c r="CS10" s="319"/>
      <c r="CT10" s="325"/>
      <c r="CU10" s="319"/>
      <c r="CV10" s="322"/>
      <c r="CW10" s="325"/>
      <c r="CX10" s="325"/>
      <c r="CY10" s="325"/>
      <c r="CZ10" s="322"/>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row>
    <row r="100" spans="1:9" ht="13.5" thickBot="1"/>
    <row r="101" spans="1:9">
      <c r="A101" s="72"/>
      <c r="C101" s="242">
        <v>1</v>
      </c>
      <c r="D101" s="233">
        <v>1</v>
      </c>
      <c r="E101" s="233">
        <v>1</v>
      </c>
      <c r="F101" s="233">
        <v>1</v>
      </c>
      <c r="G101" s="233">
        <v>1</v>
      </c>
      <c r="H101" s="233">
        <v>1</v>
      </c>
      <c r="I101" s="243">
        <v>1</v>
      </c>
    </row>
    <row r="102" spans="1:9">
      <c r="A102" s="213"/>
      <c r="C102" s="244">
        <v>50</v>
      </c>
      <c r="D102" s="244">
        <v>50</v>
      </c>
      <c r="E102" s="244">
        <v>50</v>
      </c>
      <c r="F102" s="244">
        <v>50</v>
      </c>
      <c r="G102" s="244">
        <v>50</v>
      </c>
      <c r="H102" s="244">
        <v>50</v>
      </c>
      <c r="I102" s="244">
        <v>50</v>
      </c>
    </row>
    <row r="103" spans="1:9">
      <c r="A103" s="188"/>
      <c r="C103" s="245">
        <v>51</v>
      </c>
      <c r="D103" s="245">
        <v>51</v>
      </c>
      <c r="E103" s="245">
        <v>51</v>
      </c>
      <c r="F103" s="245">
        <v>51</v>
      </c>
      <c r="G103" s="245">
        <v>51</v>
      </c>
      <c r="H103" s="245">
        <v>51</v>
      </c>
      <c r="I103" s="245">
        <v>51</v>
      </c>
    </row>
    <row r="104" spans="1:9">
      <c r="A104" s="187"/>
      <c r="C104" s="234">
        <v>34</v>
      </c>
      <c r="D104" s="281">
        <v>2</v>
      </c>
      <c r="E104" s="273">
        <v>10</v>
      </c>
      <c r="F104" s="265">
        <v>18</v>
      </c>
      <c r="G104" s="258">
        <v>26</v>
      </c>
      <c r="H104" s="234">
        <v>34</v>
      </c>
      <c r="I104" s="247">
        <v>42</v>
      </c>
    </row>
    <row r="105" spans="1:9">
      <c r="A105" s="182"/>
      <c r="C105" s="258">
        <v>26</v>
      </c>
      <c r="D105" s="282">
        <v>3</v>
      </c>
      <c r="E105" s="274">
        <v>11</v>
      </c>
      <c r="F105" s="266">
        <v>19</v>
      </c>
      <c r="G105" s="259">
        <v>27</v>
      </c>
      <c r="H105" s="235">
        <v>35</v>
      </c>
      <c r="I105" s="249">
        <v>43</v>
      </c>
    </row>
    <row r="106" spans="1:9">
      <c r="A106" s="183"/>
      <c r="C106" s="247">
        <v>42</v>
      </c>
      <c r="D106" s="283">
        <v>4</v>
      </c>
      <c r="E106" s="275">
        <v>12</v>
      </c>
      <c r="F106" s="267">
        <v>20</v>
      </c>
      <c r="G106" s="260">
        <v>28</v>
      </c>
      <c r="H106" s="236">
        <v>36</v>
      </c>
      <c r="I106" s="251">
        <v>44</v>
      </c>
    </row>
    <row r="107" spans="1:9">
      <c r="A107" s="214"/>
      <c r="C107" s="246">
        <v>52</v>
      </c>
      <c r="D107" s="284">
        <v>5</v>
      </c>
      <c r="E107" s="276">
        <v>13</v>
      </c>
      <c r="F107" s="268">
        <v>21</v>
      </c>
      <c r="G107" s="261">
        <v>29</v>
      </c>
      <c r="H107" s="237">
        <v>37</v>
      </c>
      <c r="I107" s="253">
        <v>45</v>
      </c>
    </row>
    <row r="108" spans="1:9">
      <c r="A108" s="215"/>
      <c r="C108" s="248">
        <v>53</v>
      </c>
      <c r="D108" s="285">
        <v>6</v>
      </c>
      <c r="E108" s="277">
        <v>14</v>
      </c>
      <c r="F108" s="269">
        <v>22</v>
      </c>
      <c r="G108" s="262">
        <v>30</v>
      </c>
      <c r="H108" s="238">
        <v>38</v>
      </c>
      <c r="I108" s="254">
        <v>46</v>
      </c>
    </row>
    <row r="109" spans="1:9">
      <c r="A109" s="80"/>
      <c r="C109" s="250">
        <v>54</v>
      </c>
      <c r="D109" s="286">
        <v>7</v>
      </c>
      <c r="E109" s="278">
        <v>15</v>
      </c>
      <c r="F109" s="270">
        <v>23</v>
      </c>
      <c r="G109" s="263">
        <v>31</v>
      </c>
      <c r="H109" s="239">
        <v>39</v>
      </c>
      <c r="I109" s="255">
        <v>47</v>
      </c>
    </row>
    <row r="110" spans="1:9">
      <c r="A110" s="208"/>
      <c r="C110" s="252">
        <v>55</v>
      </c>
      <c r="D110" s="287">
        <v>8</v>
      </c>
      <c r="E110" s="279">
        <v>16</v>
      </c>
      <c r="F110" s="271">
        <v>24</v>
      </c>
      <c r="G110" s="264">
        <v>32</v>
      </c>
      <c r="H110" s="240">
        <v>40</v>
      </c>
      <c r="I110" s="256">
        <v>48</v>
      </c>
    </row>
    <row r="111" spans="1:9" ht="13.5" thickBot="1">
      <c r="A111" s="216"/>
      <c r="C111" s="289">
        <v>56</v>
      </c>
      <c r="D111" s="288">
        <v>9</v>
      </c>
      <c r="E111" s="280">
        <v>17</v>
      </c>
      <c r="F111" s="272">
        <v>25</v>
      </c>
      <c r="G111" s="481">
        <v>33</v>
      </c>
      <c r="H111" s="241">
        <v>41</v>
      </c>
      <c r="I111" s="257">
        <v>49</v>
      </c>
    </row>
    <row r="112" spans="1:9">
      <c r="A112" s="217"/>
    </row>
    <row r="113" spans="1:1">
      <c r="A113" s="218"/>
    </row>
    <row r="114" spans="1:1">
      <c r="A114" s="219"/>
    </row>
    <row r="115" spans="1:1">
      <c r="A115" s="220"/>
    </row>
    <row r="116" spans="1:1">
      <c r="A116" s="221"/>
    </row>
    <row r="117" spans="1:1">
      <c r="A117" s="222"/>
    </row>
    <row r="118" spans="1:1">
      <c r="A118" s="83"/>
    </row>
    <row r="119" spans="1:1">
      <c r="A119" s="84"/>
    </row>
    <row r="120" spans="1:1">
      <c r="A120" s="85"/>
    </row>
    <row r="121" spans="1:1">
      <c r="A121" s="86"/>
    </row>
    <row r="122" spans="1:1">
      <c r="A122" s="87"/>
    </row>
    <row r="123" spans="1:1">
      <c r="A123" s="88"/>
    </row>
    <row r="124" spans="1:1">
      <c r="A124" s="89"/>
    </row>
    <row r="125" spans="1:1">
      <c r="A125" s="94"/>
    </row>
    <row r="126" spans="1:1">
      <c r="A126" s="223"/>
    </row>
    <row r="127" spans="1:1">
      <c r="A127" s="191"/>
    </row>
    <row r="128" spans="1:1">
      <c r="A128" s="192"/>
    </row>
    <row r="129" spans="1:1">
      <c r="A129" s="203"/>
    </row>
    <row r="130" spans="1:1">
      <c r="A130" s="212"/>
    </row>
    <row r="131" spans="1:1">
      <c r="A131" s="186"/>
    </row>
    <row r="132" spans="1:1">
      <c r="A132" s="224"/>
    </row>
    <row r="133" spans="1:1">
      <c r="A133" s="184"/>
    </row>
    <row r="134" spans="1:1">
      <c r="A134" s="225"/>
    </row>
    <row r="135" spans="1:1">
      <c r="A135" s="226"/>
    </row>
    <row r="136" spans="1:1">
      <c r="A136" s="227"/>
    </row>
    <row r="137" spans="1:1">
      <c r="A137" s="228"/>
    </row>
    <row r="138" spans="1:1">
      <c r="A138" s="229"/>
    </row>
    <row r="139" spans="1:1">
      <c r="A139" s="230"/>
    </row>
    <row r="140" spans="1:1">
      <c r="A140" s="231"/>
    </row>
    <row r="141" spans="1:1">
      <c r="A141" s="232"/>
    </row>
    <row r="142" spans="1:1">
      <c r="A142" s="100"/>
    </row>
    <row r="143" spans="1:1">
      <c r="A143" s="98"/>
    </row>
    <row r="144" spans="1:1">
      <c r="A144" s="102"/>
    </row>
    <row r="145" spans="1:1">
      <c r="A145" s="101"/>
    </row>
    <row r="146" spans="1:1">
      <c r="A146" s="99"/>
    </row>
    <row r="147" spans="1:1">
      <c r="A147" s="97"/>
    </row>
    <row r="148" spans="1:1">
      <c r="A148" s="95"/>
    </row>
    <row r="149" spans="1:1">
      <c r="A149" s="96"/>
    </row>
    <row r="150" spans="1:1">
      <c r="A150" s="190"/>
    </row>
    <row r="151" spans="1:1">
      <c r="A151" s="179"/>
    </row>
    <row r="152" spans="1:1">
      <c r="A152" s="178"/>
    </row>
    <row r="153" spans="1:1">
      <c r="A153" s="180"/>
    </row>
    <row r="154" spans="1:1">
      <c r="A154" s="181"/>
    </row>
    <row r="155" spans="1:1">
      <c r="A155" s="185"/>
    </row>
    <row r="156" spans="1:1">
      <c r="A156" s="194"/>
    </row>
    <row r="201" spans="8:103">
      <c r="H201" s="183"/>
      <c r="I201" s="182"/>
      <c r="J201" s="182"/>
      <c r="K201" s="183"/>
      <c r="L201" s="182"/>
      <c r="M201" s="182"/>
      <c r="N201" s="37"/>
      <c r="O201" s="37"/>
      <c r="P201" s="57"/>
      <c r="Q201" s="35"/>
      <c r="R201" s="56"/>
      <c r="S201" s="294"/>
      <c r="T201" s="182"/>
      <c r="U201" s="182"/>
      <c r="V201" s="182"/>
      <c r="W201" s="183"/>
      <c r="X201" s="182"/>
      <c r="Y201" s="182"/>
      <c r="Z201" s="37"/>
      <c r="AA201" s="53"/>
      <c r="AB201" s="35"/>
      <c r="AC201" s="56"/>
      <c r="AD201" s="54"/>
      <c r="AE201" s="182"/>
      <c r="AF201" s="182"/>
      <c r="AG201" s="37"/>
      <c r="AH201" s="37"/>
      <c r="AI201" s="56"/>
      <c r="AJ201" s="187"/>
      <c r="AK201" s="183"/>
      <c r="AL201" s="182"/>
      <c r="AM201" s="37"/>
      <c r="AN201" s="37"/>
      <c r="AO201" s="56"/>
      <c r="AP201" s="187"/>
      <c r="AQ201" s="187"/>
      <c r="AR201" s="37"/>
      <c r="AS201" s="37"/>
      <c r="AT201" s="57"/>
      <c r="AU201" s="35"/>
      <c r="AV201" s="35"/>
      <c r="AW201" s="57"/>
      <c r="AX201" s="57"/>
      <c r="AY201" s="187"/>
      <c r="AZ201" s="183"/>
      <c r="BA201" s="183"/>
      <c r="BB201" s="214"/>
      <c r="BC201" s="214"/>
      <c r="BD201" s="182"/>
      <c r="BE201" s="187"/>
      <c r="BF201" s="187"/>
      <c r="BG201" s="187"/>
      <c r="BH201" s="182"/>
      <c r="BI201" s="183"/>
      <c r="BJ201" s="183"/>
      <c r="BK201" s="183"/>
      <c r="BL201" s="182"/>
      <c r="BM201" s="183"/>
      <c r="BN201" s="183"/>
      <c r="BO201" s="183"/>
      <c r="BP201" s="182"/>
      <c r="BQ201" s="187"/>
      <c r="BR201" s="183"/>
      <c r="BS201" s="182"/>
      <c r="BT201" s="187"/>
      <c r="BU201" s="182"/>
      <c r="BV201" s="187"/>
      <c r="BW201" s="187"/>
      <c r="BX201" s="187"/>
      <c r="BY201" s="182"/>
      <c r="BZ201" s="187"/>
      <c r="CA201" s="214"/>
      <c r="CB201" s="214"/>
      <c r="CC201" s="183"/>
      <c r="CD201" s="183"/>
      <c r="CE201" s="214"/>
      <c r="CF201" s="215"/>
      <c r="CG201" s="182"/>
      <c r="CH201" s="182"/>
      <c r="CI201" s="187"/>
      <c r="CJ201" s="187"/>
      <c r="CK201" s="187"/>
      <c r="CL201" s="182"/>
      <c r="CM201" s="187"/>
      <c r="CN201" s="183"/>
      <c r="CO201" s="187"/>
      <c r="CP201" s="182"/>
      <c r="CQ201" s="183"/>
      <c r="CR201" s="187"/>
      <c r="CS201" s="187"/>
      <c r="CT201" s="182"/>
      <c r="CU201" s="187"/>
      <c r="CV201" s="187"/>
      <c r="CW201" s="187"/>
      <c r="CX201" s="187"/>
      <c r="CY201" s="182"/>
    </row>
    <row r="202" spans="8:103">
      <c r="H202" s="183"/>
      <c r="I202" s="183"/>
      <c r="J202" s="187"/>
      <c r="K202" s="182"/>
      <c r="L202" s="183"/>
      <c r="M202" s="182"/>
      <c r="N202" s="35"/>
      <c r="O202" s="56"/>
      <c r="P202" s="54"/>
      <c r="Q202" s="36"/>
      <c r="R202" s="35"/>
      <c r="S202" s="56"/>
      <c r="T202" s="294"/>
      <c r="U202" s="187"/>
      <c r="V202" s="182"/>
      <c r="W202" s="183"/>
      <c r="X202" s="182"/>
      <c r="Y202" s="37"/>
      <c r="Z202" s="53"/>
      <c r="AA202" s="56"/>
      <c r="AB202" s="56"/>
      <c r="AC202" s="54"/>
      <c r="AD202" s="36"/>
      <c r="AE202" s="188"/>
      <c r="AF202" s="182"/>
      <c r="AG202" s="37"/>
      <c r="AH202" s="36"/>
      <c r="AI202" s="54"/>
      <c r="AJ202" s="188"/>
      <c r="AK202" s="187"/>
      <c r="AL202" s="182"/>
      <c r="AM202" s="37"/>
      <c r="AN202" s="36"/>
      <c r="AO202" s="54"/>
      <c r="AP202" s="290"/>
      <c r="AQ202" s="187"/>
      <c r="AR202" s="35"/>
      <c r="AS202" s="56"/>
      <c r="AT202" s="54"/>
      <c r="AU202" s="56"/>
      <c r="AV202" s="56"/>
      <c r="AW202" s="36"/>
      <c r="AX202" s="56"/>
      <c r="AY202" s="290"/>
      <c r="AZ202" s="187"/>
      <c r="BA202" s="214"/>
      <c r="BB202" s="182"/>
      <c r="BC202" s="182"/>
      <c r="BD202" s="182"/>
      <c r="BE202" s="182"/>
      <c r="BF202" s="182"/>
      <c r="BG202" s="182"/>
      <c r="BH202" s="187"/>
      <c r="BI202" s="182"/>
      <c r="BJ202" s="182"/>
      <c r="BK202" s="182"/>
      <c r="BL202" s="182"/>
      <c r="BM202" s="187"/>
      <c r="BN202" s="182"/>
      <c r="BO202" s="182"/>
      <c r="BP202" s="182"/>
      <c r="BQ202" s="187"/>
      <c r="BR202" s="182"/>
      <c r="BS202" s="187"/>
      <c r="BT202" s="182"/>
      <c r="BU202" s="187"/>
      <c r="BV202" s="187"/>
      <c r="BW202" s="187"/>
      <c r="BX202" s="182"/>
      <c r="BY202" s="183"/>
      <c r="BZ202" s="214"/>
      <c r="CA202" s="183"/>
      <c r="CB202" s="183"/>
      <c r="CC202" s="183"/>
      <c r="CD202" s="182"/>
      <c r="CE202" s="182"/>
      <c r="CF202" s="182"/>
      <c r="CG202" s="215"/>
      <c r="CH202" s="182"/>
      <c r="CI202" s="182"/>
      <c r="CJ202" s="183"/>
      <c r="CK202" s="187"/>
      <c r="CL202" s="187"/>
      <c r="CM202" s="187"/>
      <c r="CN202" s="187"/>
      <c r="CO202" s="182"/>
      <c r="CP202" s="187"/>
      <c r="CQ202" s="187"/>
      <c r="CR202" s="187"/>
      <c r="CS202" s="187"/>
      <c r="CT202" s="187"/>
      <c r="CU202" s="182"/>
      <c r="CV202" s="183"/>
      <c r="CW202" s="182"/>
      <c r="CX202" s="187"/>
      <c r="CY202" s="187"/>
    </row>
    <row r="203" spans="8:103">
      <c r="H203" s="182"/>
      <c r="I203" s="182"/>
      <c r="J203" s="187"/>
      <c r="K203" s="182"/>
      <c r="L203" s="182"/>
      <c r="M203" s="187"/>
      <c r="N203" s="57"/>
      <c r="O203" s="36"/>
      <c r="P203" s="290"/>
      <c r="Q203" s="188"/>
      <c r="R203" s="57"/>
      <c r="S203" s="35"/>
      <c r="T203" s="56"/>
      <c r="U203" s="294"/>
      <c r="V203" s="182"/>
      <c r="W203" s="182"/>
      <c r="X203" s="37"/>
      <c r="Y203" s="36"/>
      <c r="Z203" s="188"/>
      <c r="AA203" s="290"/>
      <c r="AB203" s="188"/>
      <c r="AC203" s="35"/>
      <c r="AD203" s="56"/>
      <c r="AE203" s="290"/>
      <c r="AF203" s="188"/>
      <c r="AG203" s="53"/>
      <c r="AH203" s="36"/>
      <c r="AI203" s="54"/>
      <c r="AJ203" s="188"/>
      <c r="AK203" s="187"/>
      <c r="AL203" s="182"/>
      <c r="AM203" s="37"/>
      <c r="AN203" s="36"/>
      <c r="AO203" s="54"/>
      <c r="AP203" s="290"/>
      <c r="AQ203" s="187"/>
      <c r="AR203" s="57"/>
      <c r="AS203" s="36"/>
      <c r="AT203" s="290"/>
      <c r="AU203" s="290"/>
      <c r="AV203" s="290"/>
      <c r="AW203" s="290"/>
      <c r="AX203" s="35"/>
      <c r="AY203" s="290"/>
      <c r="AZ203" s="188"/>
      <c r="BA203" s="214"/>
      <c r="BB203" s="182"/>
      <c r="BC203" s="187"/>
      <c r="BD203" s="187"/>
      <c r="BE203" s="187"/>
      <c r="BF203" s="182"/>
      <c r="BG203" s="187"/>
      <c r="BH203" s="182"/>
      <c r="BI203" s="182"/>
      <c r="BJ203" s="187"/>
      <c r="BK203" s="187"/>
      <c r="BL203" s="182"/>
      <c r="BM203" s="183"/>
      <c r="BN203" s="182"/>
      <c r="BO203" s="182"/>
      <c r="BP203" s="182"/>
      <c r="BQ203" s="182"/>
      <c r="BR203" s="183"/>
      <c r="BS203" s="182"/>
      <c r="BT203" s="187"/>
      <c r="BU203" s="187"/>
      <c r="BV203" s="182"/>
      <c r="BW203" s="187"/>
      <c r="BX203" s="182"/>
      <c r="BY203" s="214"/>
      <c r="BZ203" s="183"/>
      <c r="CA203" s="183"/>
      <c r="CB203" s="183"/>
      <c r="CC203" s="182"/>
      <c r="CD203" s="182"/>
      <c r="CE203" s="182"/>
      <c r="CF203" s="183"/>
      <c r="CG203" s="204"/>
      <c r="CH203" s="215"/>
      <c r="CI203" s="182"/>
      <c r="CJ203" s="187"/>
      <c r="CK203" s="187"/>
      <c r="CL203" s="187"/>
      <c r="CM203" s="182"/>
      <c r="CN203" s="182"/>
      <c r="CO203" s="182"/>
      <c r="CP203" s="187"/>
      <c r="CQ203" s="182"/>
      <c r="CR203" s="187"/>
      <c r="CS203" s="182"/>
      <c r="CT203" s="182"/>
      <c r="CU203" s="183"/>
      <c r="CV203" s="183"/>
      <c r="CW203" s="183"/>
      <c r="CX203" s="187"/>
      <c r="CY203" s="182"/>
    </row>
    <row r="204" spans="8:103">
      <c r="H204" s="183"/>
      <c r="I204" s="187"/>
      <c r="J204" s="187"/>
      <c r="K204" s="187"/>
      <c r="L204" s="187"/>
      <c r="M204" s="182"/>
      <c r="N204" s="57"/>
      <c r="O204" s="36"/>
      <c r="P204" s="290"/>
      <c r="Q204" s="187"/>
      <c r="R204" s="187"/>
      <c r="S204" s="57"/>
      <c r="T204" s="36"/>
      <c r="U204" s="54"/>
      <c r="V204" s="187"/>
      <c r="W204" s="182"/>
      <c r="X204" s="37"/>
      <c r="Y204" s="54"/>
      <c r="Z204" s="290"/>
      <c r="AA204" s="187"/>
      <c r="AB204" s="187"/>
      <c r="AC204" s="53"/>
      <c r="AD204" s="54"/>
      <c r="AE204" s="290"/>
      <c r="AF204" s="187"/>
      <c r="AG204" s="53"/>
      <c r="AH204" s="35"/>
      <c r="AI204" s="54"/>
      <c r="AJ204" s="188"/>
      <c r="AK204" s="187"/>
      <c r="AL204" s="187"/>
      <c r="AM204" s="53"/>
      <c r="AN204" s="35"/>
      <c r="AO204" s="54"/>
      <c r="AP204" s="188"/>
      <c r="AQ204" s="187"/>
      <c r="AR204" s="57"/>
      <c r="AS204" s="36"/>
      <c r="AT204" s="290"/>
      <c r="AU204" s="188"/>
      <c r="AV204" s="187"/>
      <c r="AW204" s="187"/>
      <c r="AX204" s="187"/>
      <c r="AY204" s="188"/>
      <c r="AZ204" s="187"/>
      <c r="BA204" s="214"/>
      <c r="BB204" s="182"/>
      <c r="BC204" s="187"/>
      <c r="BD204" s="182"/>
      <c r="BE204" s="183"/>
      <c r="BF204" s="182"/>
      <c r="BG204" s="182"/>
      <c r="BH204" s="182"/>
      <c r="BI204" s="214"/>
      <c r="BJ204" s="182"/>
      <c r="BK204" s="187"/>
      <c r="BL204" s="187"/>
      <c r="BM204" s="182"/>
      <c r="BN204" s="183"/>
      <c r="BO204" s="183"/>
      <c r="BP204" s="183"/>
      <c r="BQ204" s="187"/>
      <c r="BR204" s="182"/>
      <c r="BS204" s="187"/>
      <c r="BT204" s="182"/>
      <c r="BU204" s="187"/>
      <c r="BV204" s="182"/>
      <c r="BW204" s="182"/>
      <c r="BX204" s="182"/>
      <c r="BY204" s="214"/>
      <c r="BZ204" s="183"/>
      <c r="CA204" s="183"/>
      <c r="CB204" s="183"/>
      <c r="CC204" s="182"/>
      <c r="CD204" s="183"/>
      <c r="CE204" s="183"/>
      <c r="CF204" s="214"/>
      <c r="CG204" s="187"/>
      <c r="CH204" s="187"/>
      <c r="CI204" s="183"/>
      <c r="CJ204" s="183"/>
      <c r="CK204" s="182"/>
      <c r="CL204" s="187"/>
      <c r="CM204" s="182"/>
      <c r="CN204" s="182"/>
      <c r="CO204" s="187"/>
      <c r="CP204" s="182"/>
      <c r="CQ204" s="182"/>
      <c r="CR204" s="183"/>
      <c r="CS204" s="183"/>
      <c r="CT204" s="182"/>
      <c r="CU204" s="182"/>
      <c r="CV204" s="182"/>
      <c r="CW204" s="182"/>
      <c r="CX204" s="183"/>
      <c r="CY204" s="182"/>
    </row>
    <row r="205" spans="8:103">
      <c r="H205" s="187"/>
      <c r="I205" s="183"/>
      <c r="J205" s="182"/>
      <c r="K205" s="187"/>
      <c r="L205" s="187"/>
      <c r="M205" s="182"/>
      <c r="N205" s="57"/>
      <c r="O205" s="36"/>
      <c r="P205" s="290"/>
      <c r="Q205" s="187"/>
      <c r="R205" s="182"/>
      <c r="S205" s="37"/>
      <c r="T205" s="36"/>
      <c r="U205" s="54"/>
      <c r="V205" s="290"/>
      <c r="W205" s="183"/>
      <c r="X205" s="37"/>
      <c r="Y205" s="54"/>
      <c r="Z205" s="290"/>
      <c r="AA205" s="182"/>
      <c r="AB205" s="187"/>
      <c r="AC205" s="53"/>
      <c r="AD205" s="54"/>
      <c r="AE205" s="290"/>
      <c r="AF205" s="187"/>
      <c r="AG205" s="182"/>
      <c r="AH205" s="37"/>
      <c r="AI205" s="35"/>
      <c r="AJ205" s="54"/>
      <c r="AK205" s="188"/>
      <c r="AL205" s="36"/>
      <c r="AM205" s="37"/>
      <c r="AN205" s="54"/>
      <c r="AO205" s="290"/>
      <c r="AP205" s="188"/>
      <c r="AQ205" s="187"/>
      <c r="AR205" s="57"/>
      <c r="AS205" s="36"/>
      <c r="AT205" s="57"/>
      <c r="AU205" s="57"/>
      <c r="AV205" s="36"/>
      <c r="AW205" s="187"/>
      <c r="AX205" s="182"/>
      <c r="AY205" s="187"/>
      <c r="AZ205" s="183"/>
      <c r="BA205" s="183"/>
      <c r="BB205" s="182"/>
      <c r="BC205" s="182"/>
      <c r="BD205" s="182"/>
      <c r="BE205" s="182"/>
      <c r="BF205" s="182"/>
      <c r="BG205" s="182"/>
      <c r="BH205" s="182"/>
      <c r="BI205" s="187"/>
      <c r="BJ205" s="187"/>
      <c r="BK205" s="183"/>
      <c r="BL205" s="215"/>
      <c r="BM205" s="215"/>
      <c r="BN205" s="182"/>
      <c r="BO205" s="182"/>
      <c r="BP205" s="182"/>
      <c r="BQ205" s="182"/>
      <c r="BR205" s="183"/>
      <c r="BS205" s="182"/>
      <c r="BT205" s="187"/>
      <c r="BU205" s="182"/>
      <c r="BV205" s="187"/>
      <c r="BW205" s="182"/>
      <c r="BX205" s="182"/>
      <c r="BY205" s="214"/>
      <c r="BZ205" s="183"/>
      <c r="CA205" s="183"/>
      <c r="CB205" s="183"/>
      <c r="CC205" s="182"/>
      <c r="CD205" s="182"/>
      <c r="CE205" s="187"/>
      <c r="CF205" s="187"/>
      <c r="CG205" s="187"/>
      <c r="CH205" s="294"/>
      <c r="CI205" s="187"/>
      <c r="CJ205" s="183"/>
      <c r="CK205" s="187"/>
      <c r="CL205" s="182"/>
      <c r="CM205" s="187"/>
      <c r="CN205" s="182"/>
      <c r="CO205" s="187"/>
      <c r="CP205" s="187"/>
      <c r="CQ205" s="183"/>
      <c r="CR205" s="182"/>
      <c r="CS205" s="182"/>
      <c r="CT205" s="182"/>
      <c r="CU205" s="183"/>
      <c r="CV205" s="183"/>
      <c r="CW205" s="183"/>
      <c r="CX205" s="183"/>
      <c r="CY205" s="187"/>
    </row>
    <row r="206" spans="8:103">
      <c r="H206" s="182"/>
      <c r="I206" s="183"/>
      <c r="J206" s="214"/>
      <c r="K206" s="182"/>
      <c r="L206" s="187"/>
      <c r="M206" s="182"/>
      <c r="N206" s="57"/>
      <c r="O206" s="36"/>
      <c r="P206" s="290"/>
      <c r="Q206" s="182"/>
      <c r="R206" s="182"/>
      <c r="S206" s="57"/>
      <c r="T206" s="36"/>
      <c r="U206" s="54"/>
      <c r="V206" s="290"/>
      <c r="W206" s="183"/>
      <c r="X206" s="37"/>
      <c r="Y206" s="56"/>
      <c r="Z206" s="36"/>
      <c r="AA206" s="53"/>
      <c r="AB206" s="53"/>
      <c r="AC206" s="36"/>
      <c r="AD206" s="54"/>
      <c r="AE206" s="290"/>
      <c r="AF206" s="188"/>
      <c r="AG206" s="182"/>
      <c r="AH206" s="37"/>
      <c r="AI206" s="35"/>
      <c r="AJ206" s="56"/>
      <c r="AK206" s="188"/>
      <c r="AL206" s="37"/>
      <c r="AM206" s="35"/>
      <c r="AN206" s="54"/>
      <c r="AO206" s="188"/>
      <c r="AP206" s="187"/>
      <c r="AQ206" s="187"/>
      <c r="AR206" s="57"/>
      <c r="AS206" s="36"/>
      <c r="AT206" s="36"/>
      <c r="AU206" s="35"/>
      <c r="AV206" s="56"/>
      <c r="AW206" s="290"/>
      <c r="AX206" s="187"/>
      <c r="AY206" s="182"/>
      <c r="AZ206" s="187"/>
      <c r="BA206" s="182"/>
      <c r="BB206" s="182"/>
      <c r="BC206" s="182"/>
      <c r="BD206" s="182"/>
      <c r="BE206" s="182"/>
      <c r="BF206" s="182"/>
      <c r="BG206" s="187"/>
      <c r="BH206" s="214"/>
      <c r="BI206" s="187"/>
      <c r="BJ206" s="182"/>
      <c r="BK206" s="182"/>
      <c r="BL206" s="182"/>
      <c r="BM206" s="182"/>
      <c r="BN206" s="183"/>
      <c r="BO206" s="183"/>
      <c r="BP206" s="215"/>
      <c r="BQ206" s="215"/>
      <c r="BR206" s="182"/>
      <c r="BS206" s="187"/>
      <c r="BT206" s="182"/>
      <c r="BU206" s="187"/>
      <c r="BV206" s="182"/>
      <c r="BW206" s="182"/>
      <c r="BX206" s="183"/>
      <c r="BY206" s="183"/>
      <c r="BZ206" s="214"/>
      <c r="CA206" s="215"/>
      <c r="CB206" s="182"/>
      <c r="CC206" s="187"/>
      <c r="CD206" s="187"/>
      <c r="CE206" s="215"/>
      <c r="CF206" s="187"/>
      <c r="CG206" s="187"/>
      <c r="CH206" s="316"/>
      <c r="CI206" s="294"/>
      <c r="CJ206" s="183"/>
      <c r="CK206" s="182"/>
      <c r="CL206" s="187"/>
      <c r="CM206" s="182"/>
      <c r="CN206" s="187"/>
      <c r="CO206" s="182"/>
      <c r="CP206" s="187"/>
      <c r="CQ206" s="182"/>
      <c r="CR206" s="187"/>
      <c r="CS206" s="182"/>
      <c r="CT206" s="182"/>
      <c r="CU206" s="182"/>
      <c r="CV206" s="182"/>
      <c r="CW206" s="182"/>
      <c r="CX206" s="187"/>
      <c r="CY206" s="182"/>
    </row>
    <row r="207" spans="8:103">
      <c r="H207" s="183"/>
      <c r="I207" s="182"/>
      <c r="J207" s="182"/>
      <c r="K207" s="182"/>
      <c r="L207" s="187"/>
      <c r="M207" s="187"/>
      <c r="N207" s="57"/>
      <c r="O207" s="35"/>
      <c r="P207" s="290"/>
      <c r="Q207" s="182"/>
      <c r="R207" s="182"/>
      <c r="S207" s="57"/>
      <c r="T207" s="36"/>
      <c r="U207" s="290"/>
      <c r="V207" s="294"/>
      <c r="W207" s="182"/>
      <c r="X207" s="37"/>
      <c r="Y207" s="53"/>
      <c r="Z207" s="56"/>
      <c r="AA207" s="36"/>
      <c r="AB207" s="35"/>
      <c r="AC207" s="37"/>
      <c r="AD207" s="56"/>
      <c r="AE207" s="290"/>
      <c r="AF207" s="188"/>
      <c r="AG207" s="187"/>
      <c r="AH207" s="183"/>
      <c r="AI207" s="37"/>
      <c r="AJ207" s="56"/>
      <c r="AK207" s="56"/>
      <c r="AL207" s="37"/>
      <c r="AM207" s="36"/>
      <c r="AN207" s="290"/>
      <c r="AO207" s="188"/>
      <c r="AP207" s="182"/>
      <c r="AQ207" s="182"/>
      <c r="AR207" s="57"/>
      <c r="AS207" s="35"/>
      <c r="AT207" s="290"/>
      <c r="AU207" s="290"/>
      <c r="AV207" s="290"/>
      <c r="AW207" s="290"/>
      <c r="AX207" s="187"/>
      <c r="AY207" s="183"/>
      <c r="AZ207" s="183"/>
      <c r="BA207" s="183"/>
      <c r="BB207" s="182"/>
      <c r="BC207" s="182"/>
      <c r="BD207" s="182"/>
      <c r="BE207" s="182"/>
      <c r="BF207" s="182"/>
      <c r="BG207" s="187"/>
      <c r="BH207" s="214"/>
      <c r="BI207" s="290"/>
      <c r="BJ207" s="187"/>
      <c r="BK207" s="182"/>
      <c r="BL207" s="187"/>
      <c r="BM207" s="187"/>
      <c r="BN207" s="182"/>
      <c r="BO207" s="182"/>
      <c r="BP207" s="182"/>
      <c r="BQ207" s="183"/>
      <c r="BR207" s="183"/>
      <c r="BS207" s="316"/>
      <c r="BT207" s="316"/>
      <c r="BU207" s="215"/>
      <c r="BV207" s="182"/>
      <c r="BW207" s="183"/>
      <c r="BX207" s="214"/>
      <c r="BY207" s="214"/>
      <c r="BZ207" s="215"/>
      <c r="CA207" s="214"/>
      <c r="CB207" s="214"/>
      <c r="CC207" s="187"/>
      <c r="CD207" s="183"/>
      <c r="CE207" s="316"/>
      <c r="CF207" s="183"/>
      <c r="CG207" s="316"/>
      <c r="CH207" s="316"/>
      <c r="CI207" s="294"/>
      <c r="CJ207" s="187"/>
      <c r="CK207" s="183"/>
      <c r="CL207" s="183"/>
      <c r="CM207" s="187"/>
      <c r="CN207" s="187"/>
      <c r="CO207" s="187"/>
      <c r="CP207" s="187"/>
      <c r="CQ207" s="187"/>
      <c r="CR207" s="187"/>
      <c r="CS207" s="187"/>
      <c r="CT207" s="187"/>
      <c r="CU207" s="182"/>
      <c r="CV207" s="187"/>
      <c r="CW207" s="187"/>
      <c r="CX207" s="187"/>
      <c r="CY207" s="187"/>
    </row>
    <row r="208" spans="8:103">
      <c r="H208" s="183"/>
      <c r="I208" s="182"/>
      <c r="J208" s="182"/>
      <c r="K208" s="187"/>
      <c r="L208" s="187"/>
      <c r="M208" s="182"/>
      <c r="N208" s="57"/>
      <c r="O208" s="35"/>
      <c r="P208" s="290"/>
      <c r="Q208" s="187"/>
      <c r="R208" s="57"/>
      <c r="S208" s="36"/>
      <c r="T208" s="54"/>
      <c r="U208" s="188"/>
      <c r="V208" s="187"/>
      <c r="W208" s="187"/>
      <c r="X208" s="37"/>
      <c r="Y208" s="54"/>
      <c r="Z208" s="290"/>
      <c r="AA208" s="188"/>
      <c r="AB208" s="187"/>
      <c r="AC208" s="53"/>
      <c r="AD208" s="54"/>
      <c r="AE208" s="290"/>
      <c r="AF208" s="187"/>
      <c r="AG208" s="187"/>
      <c r="AH208" s="187"/>
      <c r="AI208" s="53"/>
      <c r="AJ208" s="37"/>
      <c r="AK208" s="37"/>
      <c r="AL208" s="35"/>
      <c r="AM208" s="54"/>
      <c r="AN208" s="290"/>
      <c r="AO208" s="188"/>
      <c r="AP208" s="182"/>
      <c r="AQ208" s="183"/>
      <c r="AR208" s="57"/>
      <c r="AS208" s="35"/>
      <c r="AT208" s="290"/>
      <c r="AU208" s="188"/>
      <c r="AV208" s="187"/>
      <c r="AW208" s="187"/>
      <c r="AX208" s="59"/>
      <c r="AY208" s="187"/>
      <c r="AZ208" s="187"/>
      <c r="BA208" s="183"/>
      <c r="BB208" s="182"/>
      <c r="BC208" s="182"/>
      <c r="BD208" s="182"/>
      <c r="BE208" s="182"/>
      <c r="BF208" s="187"/>
      <c r="BG208" s="187"/>
      <c r="BH208" s="214"/>
      <c r="BI208" s="294"/>
      <c r="BJ208" s="187"/>
      <c r="BK208" s="187"/>
      <c r="BL208" s="187"/>
      <c r="BM208" s="187"/>
      <c r="BN208" s="187"/>
      <c r="BO208" s="187"/>
      <c r="BP208" s="187"/>
      <c r="BQ208" s="187"/>
      <c r="BR208" s="182"/>
      <c r="BS208" s="187"/>
      <c r="BT208" s="316"/>
      <c r="BU208" s="316"/>
      <c r="BV208" s="215"/>
      <c r="BW208" s="215"/>
      <c r="BX208" s="215"/>
      <c r="BY208" s="183"/>
      <c r="BZ208" s="182"/>
      <c r="CA208" s="187"/>
      <c r="CB208" s="187"/>
      <c r="CC208" s="183"/>
      <c r="CD208" s="316"/>
      <c r="CE208" s="316"/>
      <c r="CF208" s="316"/>
      <c r="CG208" s="316"/>
      <c r="CH208" s="215"/>
      <c r="CI208" s="187"/>
      <c r="CJ208" s="294"/>
      <c r="CK208" s="187"/>
      <c r="CL208" s="183"/>
      <c r="CM208" s="183"/>
      <c r="CN208" s="187"/>
      <c r="CO208" s="187"/>
      <c r="CP208" s="182"/>
      <c r="CQ208" s="182"/>
      <c r="CR208" s="182"/>
      <c r="CS208" s="182"/>
      <c r="CT208" s="187"/>
      <c r="CU208" s="183"/>
      <c r="CV208" s="183"/>
      <c r="CW208" s="183"/>
      <c r="CX208" s="183"/>
      <c r="CY208" s="187"/>
    </row>
    <row r="209" spans="8:103">
      <c r="H209" s="182"/>
      <c r="I209" s="187"/>
      <c r="J209" s="187"/>
      <c r="K209" s="187"/>
      <c r="L209" s="187"/>
      <c r="M209" s="183"/>
      <c r="N209" s="35"/>
      <c r="O209" s="35"/>
      <c r="P209" s="57"/>
      <c r="Q209" s="57"/>
      <c r="R209" s="36"/>
      <c r="S209" s="54"/>
      <c r="T209" s="290"/>
      <c r="U209" s="188"/>
      <c r="V209" s="182"/>
      <c r="W209" s="182"/>
      <c r="X209" s="37"/>
      <c r="Y209" s="36"/>
      <c r="Z209" s="290"/>
      <c r="AA209" s="187"/>
      <c r="AB209" s="182"/>
      <c r="AC209" s="53"/>
      <c r="AD209" s="54"/>
      <c r="AE209" s="290"/>
      <c r="AF209" s="188"/>
      <c r="AG209" s="182"/>
      <c r="AH209" s="182"/>
      <c r="AI209" s="36"/>
      <c r="AJ209" s="53"/>
      <c r="AK209" s="36"/>
      <c r="AL209" s="35"/>
      <c r="AM209" s="54"/>
      <c r="AN209" s="188"/>
      <c r="AO209" s="187"/>
      <c r="AP209" s="183"/>
      <c r="AQ209" s="182"/>
      <c r="AR209" s="35"/>
      <c r="AS209" s="35"/>
      <c r="AT209" s="57"/>
      <c r="AU209" s="57"/>
      <c r="AV209" s="59"/>
      <c r="AW209" s="64"/>
      <c r="AX209" s="36"/>
      <c r="AY209" s="290"/>
      <c r="AZ209" s="187"/>
      <c r="BA209" s="182"/>
      <c r="BB209" s="182"/>
      <c r="BC209" s="187"/>
      <c r="BD209" s="182"/>
      <c r="BE209" s="187"/>
      <c r="BF209" s="187"/>
      <c r="BG209" s="187"/>
      <c r="BH209" s="182"/>
      <c r="BI209" s="214"/>
      <c r="BJ209" s="187"/>
      <c r="BK209" s="294"/>
      <c r="BL209" s="294"/>
      <c r="BM209" s="294"/>
      <c r="BN209" s="294"/>
      <c r="BO209" s="290"/>
      <c r="BP209" s="290"/>
      <c r="BQ209" s="290"/>
      <c r="BR209" s="187"/>
      <c r="BS209" s="183"/>
      <c r="BT209" s="214"/>
      <c r="BU209" s="215"/>
      <c r="BV209" s="316"/>
      <c r="BW209" s="182"/>
      <c r="BX209" s="183"/>
      <c r="BY209" s="214"/>
      <c r="BZ209" s="187"/>
      <c r="CA209" s="187"/>
      <c r="CB209" s="183"/>
      <c r="CC209" s="214"/>
      <c r="CD209" s="316"/>
      <c r="CE209" s="316"/>
      <c r="CF209" s="215"/>
      <c r="CG209" s="215"/>
      <c r="CH209" s="316"/>
      <c r="CI209" s="215"/>
      <c r="CJ209" s="187"/>
      <c r="CK209" s="187"/>
      <c r="CL209" s="183"/>
      <c r="CM209" s="182"/>
      <c r="CN209" s="182"/>
      <c r="CO209" s="187"/>
      <c r="CP209" s="182"/>
      <c r="CQ209" s="183"/>
      <c r="CR209" s="183"/>
      <c r="CS209" s="182"/>
      <c r="CT209" s="182"/>
      <c r="CU209" s="183"/>
      <c r="CV209" s="183"/>
      <c r="CW209" s="183"/>
      <c r="CX209" s="182"/>
      <c r="CY209" s="187"/>
    </row>
    <row r="210" spans="8:103">
      <c r="H210" s="187"/>
      <c r="I210" s="182"/>
      <c r="J210" s="182"/>
      <c r="K210" s="183"/>
      <c r="L210" s="183"/>
      <c r="M210" s="182"/>
      <c r="N210" s="56"/>
      <c r="O210" s="36"/>
      <c r="P210" s="56"/>
      <c r="Q210" s="54"/>
      <c r="R210" s="54"/>
      <c r="S210" s="290"/>
      <c r="T210" s="188"/>
      <c r="U210" s="187"/>
      <c r="V210" s="182"/>
      <c r="W210" s="183"/>
      <c r="X210" s="36"/>
      <c r="Y210" s="54"/>
      <c r="Z210" s="290"/>
      <c r="AA210" s="188"/>
      <c r="AB210" s="187"/>
      <c r="AC210" s="35"/>
      <c r="AD210" s="56"/>
      <c r="AE210" s="290"/>
      <c r="AF210" s="187"/>
      <c r="AG210" s="183"/>
      <c r="AH210" s="183"/>
      <c r="AI210" s="182"/>
      <c r="AJ210" s="56"/>
      <c r="AK210" s="54"/>
      <c r="AL210" s="54"/>
      <c r="AM210" s="290"/>
      <c r="AN210" s="188"/>
      <c r="AO210" s="187"/>
      <c r="AP210" s="182"/>
      <c r="AQ210" s="187"/>
      <c r="AR210" s="56"/>
      <c r="AS210" s="56"/>
      <c r="AT210" s="54"/>
      <c r="AU210" s="54"/>
      <c r="AV210" s="54"/>
      <c r="AW210" s="54"/>
      <c r="AX210" s="54"/>
      <c r="AY210" s="290"/>
      <c r="AZ210" s="188"/>
      <c r="BA210" s="182"/>
      <c r="BB210" s="187"/>
      <c r="BC210" s="182"/>
      <c r="BD210" s="187"/>
      <c r="BE210" s="182"/>
      <c r="BF210" s="187"/>
      <c r="BG210" s="187"/>
      <c r="BH210" s="187"/>
      <c r="BI210" s="182"/>
      <c r="BJ210" s="182"/>
      <c r="BK210" s="182"/>
      <c r="BL210" s="182"/>
      <c r="BM210" s="214"/>
      <c r="BN210" s="214"/>
      <c r="BO210" s="214"/>
      <c r="BP210" s="214"/>
      <c r="BQ210" s="316"/>
      <c r="BR210" s="214"/>
      <c r="BS210" s="214"/>
      <c r="BT210" s="214"/>
      <c r="BU210" s="215"/>
      <c r="BV210" s="215"/>
      <c r="BW210" s="215"/>
      <c r="BX210" s="187"/>
      <c r="BY210" s="187"/>
      <c r="BZ210" s="187"/>
      <c r="CA210" s="316"/>
      <c r="CB210" s="215"/>
      <c r="CC210" s="215"/>
      <c r="CD210" s="215"/>
      <c r="CE210" s="316"/>
      <c r="CF210" s="215"/>
      <c r="CG210" s="215"/>
      <c r="CH210" s="215"/>
      <c r="CI210" s="316"/>
      <c r="CJ210" s="215"/>
      <c r="CK210" s="183"/>
      <c r="CL210" s="215"/>
      <c r="CM210" s="183"/>
      <c r="CN210" s="182"/>
      <c r="CO210" s="182"/>
      <c r="CP210" s="187"/>
      <c r="CQ210" s="182"/>
      <c r="CR210" s="182"/>
      <c r="CS210" s="182"/>
      <c r="CT210" s="182"/>
      <c r="CU210" s="183"/>
      <c r="CV210" s="183"/>
      <c r="CW210" s="183"/>
      <c r="CX210" s="183"/>
      <c r="CY210" s="187"/>
    </row>
    <row r="211" spans="8:103">
      <c r="H211" s="183"/>
      <c r="I211" s="183"/>
      <c r="J211" s="187"/>
      <c r="K211" s="183"/>
      <c r="L211" s="183"/>
      <c r="M211" s="182"/>
      <c r="N211" s="182"/>
      <c r="O211" s="188"/>
      <c r="P211" s="290"/>
      <c r="Q211" s="290"/>
      <c r="R211" s="290"/>
      <c r="S211" s="294"/>
      <c r="T211" s="187"/>
      <c r="U211" s="187"/>
      <c r="V211" s="182"/>
      <c r="W211" s="182"/>
      <c r="X211" s="182"/>
      <c r="Y211" s="290"/>
      <c r="Z211" s="188"/>
      <c r="AA211" s="187"/>
      <c r="AB211" s="187"/>
      <c r="AC211" s="182"/>
      <c r="AD211" s="290"/>
      <c r="AE211" s="188"/>
      <c r="AF211" s="187"/>
      <c r="AG211" s="182"/>
      <c r="AH211" s="183"/>
      <c r="AI211" s="182"/>
      <c r="AJ211" s="183"/>
      <c r="AK211" s="188"/>
      <c r="AL211" s="290"/>
      <c r="AM211" s="188"/>
      <c r="AN211" s="187"/>
      <c r="AO211" s="187"/>
      <c r="AP211" s="183"/>
      <c r="AQ211" s="187"/>
      <c r="AR211" s="187"/>
      <c r="AS211" s="290"/>
      <c r="AT211" s="290"/>
      <c r="AU211" s="290"/>
      <c r="AV211" s="290"/>
      <c r="AW211" s="290"/>
      <c r="AX211" s="290"/>
      <c r="AY211" s="188"/>
      <c r="AZ211" s="187"/>
      <c r="BA211" s="183"/>
      <c r="BB211" s="183"/>
      <c r="BC211" s="183"/>
      <c r="BD211" s="187"/>
      <c r="BE211" s="182"/>
      <c r="BF211" s="183"/>
      <c r="BG211" s="182"/>
      <c r="BH211" s="182"/>
      <c r="BI211" s="187"/>
      <c r="BJ211" s="187"/>
      <c r="BK211" s="187"/>
      <c r="BL211" s="187"/>
      <c r="BM211" s="182"/>
      <c r="BN211" s="182"/>
      <c r="BO211" s="182"/>
      <c r="BP211" s="182"/>
      <c r="BQ211" s="187"/>
      <c r="BR211" s="316"/>
      <c r="BS211" s="183"/>
      <c r="BT211" s="183"/>
      <c r="BU211" s="183"/>
      <c r="BV211" s="215"/>
      <c r="BW211" s="316"/>
      <c r="BX211" s="215"/>
      <c r="BY211" s="214"/>
      <c r="BZ211" s="183"/>
      <c r="CA211" s="290"/>
      <c r="CB211" s="183"/>
      <c r="CC211" s="215"/>
      <c r="CD211" s="215"/>
      <c r="CE211" s="215"/>
      <c r="CF211" s="215"/>
      <c r="CG211" s="215"/>
      <c r="CH211" s="215"/>
      <c r="CI211" s="215"/>
      <c r="CJ211" s="215"/>
      <c r="CK211" s="214"/>
      <c r="CL211" s="183"/>
      <c r="CM211" s="214"/>
      <c r="CN211" s="215"/>
      <c r="CO211" s="182"/>
      <c r="CP211" s="187"/>
      <c r="CQ211" s="182"/>
      <c r="CR211" s="182"/>
      <c r="CS211" s="182"/>
      <c r="CT211" s="187"/>
      <c r="CU211" s="182"/>
      <c r="CV211" s="182"/>
      <c r="CW211" s="182"/>
      <c r="CX211" s="183"/>
      <c r="CY211" s="182"/>
    </row>
    <row r="212" spans="8:103">
      <c r="H212" s="183"/>
      <c r="I212" s="182"/>
      <c r="J212" s="187"/>
      <c r="K212" s="182"/>
      <c r="L212" s="182"/>
      <c r="M212" s="182"/>
      <c r="N212" s="187"/>
      <c r="O212" s="187"/>
      <c r="P212" s="182"/>
      <c r="Q212" s="187"/>
      <c r="R212" s="187"/>
      <c r="S212" s="187"/>
      <c r="T212" s="182"/>
      <c r="U212" s="187"/>
      <c r="V212" s="182"/>
      <c r="W212" s="215"/>
      <c r="X212" s="215"/>
      <c r="Y212" s="183"/>
      <c r="Z212" s="187"/>
      <c r="AA212" s="187"/>
      <c r="AB212" s="187"/>
      <c r="AC212" s="187"/>
      <c r="AD212" s="187"/>
      <c r="AE212" s="187"/>
      <c r="AF212" s="182"/>
      <c r="AG212" s="187"/>
      <c r="AH212" s="182"/>
      <c r="AI212" s="182"/>
      <c r="AJ212" s="182"/>
      <c r="AK212" s="182"/>
      <c r="AL212" s="187"/>
      <c r="AM212" s="187"/>
      <c r="AN212" s="187"/>
      <c r="AO212" s="183"/>
      <c r="AP212" s="182"/>
      <c r="AQ212" s="182"/>
      <c r="AR212" s="187"/>
      <c r="AS212" s="187"/>
      <c r="AT212" s="187"/>
      <c r="AU212" s="187"/>
      <c r="AV212" s="187"/>
      <c r="AW212" s="187"/>
      <c r="AX212" s="188"/>
      <c r="AY212" s="187"/>
      <c r="AZ212" s="187"/>
      <c r="BA212" s="182"/>
      <c r="BB212" s="183"/>
      <c r="BC212" s="182"/>
      <c r="BD212" s="183"/>
      <c r="BE212" s="182"/>
      <c r="BF212" s="187"/>
      <c r="BG212" s="182"/>
      <c r="BH212" s="183"/>
      <c r="BI212" s="182"/>
      <c r="BJ212" s="187"/>
      <c r="BK212" s="182"/>
      <c r="BL212" s="182"/>
      <c r="BM212" s="187"/>
      <c r="BN212" s="183"/>
      <c r="BO212" s="182"/>
      <c r="BP212" s="182"/>
      <c r="BQ212" s="187"/>
      <c r="BR212" s="182"/>
      <c r="BS212" s="214"/>
      <c r="BT212" s="183"/>
      <c r="BU212" s="183"/>
      <c r="BV212" s="214"/>
      <c r="BW212" s="214"/>
      <c r="BX212" s="215"/>
      <c r="BY212" s="214"/>
      <c r="BZ212" s="316"/>
      <c r="CA212" s="206"/>
      <c r="CB212" s="187"/>
      <c r="CC212" s="215"/>
      <c r="CD212" s="316"/>
      <c r="CE212" s="316"/>
      <c r="CF212" s="215"/>
      <c r="CG212" s="214"/>
      <c r="CH212" s="316"/>
      <c r="CI212" s="215"/>
      <c r="CJ212" s="214"/>
      <c r="CK212" s="183"/>
      <c r="CL212" s="182"/>
      <c r="CM212" s="215"/>
      <c r="CN212" s="214"/>
      <c r="CO212" s="183"/>
      <c r="CP212" s="215"/>
      <c r="CQ212" s="187"/>
      <c r="CR212" s="183"/>
      <c r="CS212" s="182"/>
      <c r="CT212" s="187"/>
      <c r="CU212" s="187"/>
      <c r="CV212" s="182"/>
      <c r="CW212" s="187"/>
      <c r="CX212" s="182"/>
      <c r="CY212" s="187"/>
    </row>
    <row r="213" spans="8:103">
      <c r="H213" s="215"/>
      <c r="I213" s="183"/>
      <c r="J213" s="182"/>
      <c r="K213" s="182"/>
      <c r="L213" s="187"/>
      <c r="M213" s="187"/>
      <c r="N213" s="182"/>
      <c r="O213" s="187"/>
      <c r="P213" s="182"/>
      <c r="Q213" s="187"/>
      <c r="R213" s="182"/>
      <c r="S213" s="187"/>
      <c r="T213" s="183"/>
      <c r="U213" s="215"/>
      <c r="V213" s="183"/>
      <c r="W213" s="187"/>
      <c r="X213" s="187"/>
      <c r="Y213" s="182"/>
      <c r="Z213" s="182"/>
      <c r="AA213" s="182"/>
      <c r="AB213" s="187"/>
      <c r="AC213" s="187"/>
      <c r="AD213" s="182"/>
      <c r="AE213" s="183"/>
      <c r="AF213" s="187"/>
      <c r="AG213" s="182"/>
      <c r="AH213" s="187"/>
      <c r="AI213" s="183"/>
      <c r="AJ213" s="187"/>
      <c r="AK213" s="182"/>
      <c r="AL213" s="182"/>
      <c r="AM213" s="182"/>
      <c r="AN213" s="183"/>
      <c r="AO213" s="182"/>
      <c r="AP213" s="182"/>
      <c r="AQ213" s="187"/>
      <c r="AR213" s="182"/>
      <c r="AS213" s="187"/>
      <c r="AT213" s="182"/>
      <c r="AU213" s="182"/>
      <c r="AV213" s="182"/>
      <c r="AW213" s="183"/>
      <c r="AX213" s="187"/>
      <c r="AY213" s="182"/>
      <c r="AZ213" s="182"/>
      <c r="BA213" s="182"/>
      <c r="BB213" s="183"/>
      <c r="BC213" s="187"/>
      <c r="BD213" s="187"/>
      <c r="BE213" s="182"/>
      <c r="BF213" s="182"/>
      <c r="BG213" s="182"/>
      <c r="BH213" s="182"/>
      <c r="BI213" s="182"/>
      <c r="BJ213" s="182"/>
      <c r="BK213" s="182"/>
      <c r="BL213" s="182"/>
      <c r="BM213" s="182"/>
      <c r="BN213" s="182"/>
      <c r="BO213" s="187"/>
      <c r="BP213" s="183"/>
      <c r="BQ213" s="182"/>
      <c r="BR213" s="182"/>
      <c r="BS213" s="182"/>
      <c r="BT213" s="187"/>
      <c r="BU213" s="215"/>
      <c r="BV213" s="183"/>
      <c r="BW213" s="215"/>
      <c r="BX213" s="316"/>
      <c r="BY213" s="214"/>
      <c r="BZ213" s="214"/>
      <c r="CA213" s="290"/>
      <c r="CB213" s="294"/>
      <c r="CC213" s="214"/>
      <c r="CD213" s="215"/>
      <c r="CE213" s="183"/>
      <c r="CF213" s="183"/>
      <c r="CG213" s="214"/>
      <c r="CH213" s="214"/>
      <c r="CI213" s="214"/>
      <c r="CJ213" s="215"/>
      <c r="CK213" s="183"/>
      <c r="CL213" s="215"/>
      <c r="CM213" s="215"/>
      <c r="CN213" s="215"/>
      <c r="CO213" s="215"/>
      <c r="CP213" s="214"/>
      <c r="CQ213" s="215"/>
      <c r="CR213" s="182"/>
      <c r="CS213" s="182"/>
      <c r="CT213" s="183"/>
      <c r="CU213" s="183"/>
      <c r="CV213" s="187"/>
      <c r="CW213" s="182"/>
      <c r="CX213" s="187"/>
      <c r="CY213" s="187"/>
    </row>
    <row r="214" spans="8:103">
      <c r="H214" s="183"/>
      <c r="I214" s="187"/>
      <c r="J214" s="187"/>
      <c r="K214" s="187"/>
      <c r="L214" s="182"/>
      <c r="M214" s="187"/>
      <c r="N214" s="187"/>
      <c r="O214" s="182"/>
      <c r="P214" s="187"/>
      <c r="Q214" s="187"/>
      <c r="R214" s="187"/>
      <c r="S214" s="183"/>
      <c r="T214" s="215"/>
      <c r="U214" s="187"/>
      <c r="V214" s="187"/>
      <c r="W214" s="182"/>
      <c r="X214" s="182"/>
      <c r="Y214" s="183"/>
      <c r="Z214" s="183"/>
      <c r="AA214" s="183"/>
      <c r="AB214" s="183"/>
      <c r="AC214" s="214"/>
      <c r="AD214" s="182"/>
      <c r="AE214" s="187"/>
      <c r="AF214" s="187"/>
      <c r="AG214" s="182"/>
      <c r="AH214" s="187"/>
      <c r="AI214" s="182"/>
      <c r="AJ214" s="187"/>
      <c r="AK214" s="183"/>
      <c r="AL214" s="182"/>
      <c r="AM214" s="182"/>
      <c r="AN214" s="182"/>
      <c r="AO214" s="182"/>
      <c r="AP214" s="187"/>
      <c r="AQ214" s="187"/>
      <c r="AR214" s="187"/>
      <c r="AS214" s="182"/>
      <c r="AT214" s="187"/>
      <c r="AU214" s="187"/>
      <c r="AV214" s="182"/>
      <c r="AW214" s="95"/>
      <c r="AX214" s="187"/>
      <c r="AY214" s="182"/>
      <c r="AZ214" s="99"/>
      <c r="BA214" s="187"/>
      <c r="BB214" s="182"/>
      <c r="BC214" s="96"/>
      <c r="BD214" s="95"/>
      <c r="BE214" s="99"/>
      <c r="BF214" s="183"/>
      <c r="BG214" s="182"/>
      <c r="BH214" s="182"/>
      <c r="BI214" s="182"/>
      <c r="BJ214" s="183"/>
      <c r="BK214" s="182"/>
      <c r="BL214" s="182"/>
      <c r="BM214" s="187"/>
      <c r="BN214" s="182"/>
      <c r="BO214" s="182"/>
      <c r="BP214" s="182"/>
      <c r="BQ214" s="182"/>
      <c r="BR214" s="187"/>
      <c r="BS214" s="183"/>
      <c r="BT214" s="182"/>
      <c r="BU214" s="316"/>
      <c r="BV214" s="183"/>
      <c r="BW214" s="215"/>
      <c r="BX214" s="215"/>
      <c r="BY214" s="214"/>
      <c r="BZ214" s="290"/>
      <c r="CA214" s="294"/>
      <c r="CB214" s="187"/>
      <c r="CC214" s="187"/>
      <c r="CD214" s="290"/>
      <c r="CE214" s="290"/>
      <c r="CF214" s="183"/>
      <c r="CG214" s="214"/>
      <c r="CH214" s="215"/>
      <c r="CI214" s="215"/>
      <c r="CJ214" s="183"/>
      <c r="CK214" s="215"/>
      <c r="CL214" s="215"/>
      <c r="CM214" s="214"/>
      <c r="CN214" s="183"/>
      <c r="CO214" s="214"/>
      <c r="CP214" s="215"/>
      <c r="CQ214" s="183"/>
      <c r="CR214" s="215"/>
      <c r="CS214" s="182"/>
      <c r="CT214" s="183"/>
      <c r="CU214" s="183"/>
      <c r="CV214" s="182"/>
      <c r="CW214" s="183"/>
      <c r="CX214" s="182"/>
      <c r="CY214" s="182"/>
    </row>
    <row r="215" spans="8:103">
      <c r="H215" s="182"/>
      <c r="I215" s="183"/>
      <c r="J215" s="183"/>
      <c r="K215" s="183"/>
      <c r="L215" s="183"/>
      <c r="M215" s="187"/>
      <c r="N215" s="187"/>
      <c r="O215" s="187"/>
      <c r="P215" s="187"/>
      <c r="Q215" s="187"/>
      <c r="R215" s="215"/>
      <c r="S215" s="182"/>
      <c r="T215" s="187"/>
      <c r="U215" s="182"/>
      <c r="V215" s="182"/>
      <c r="W215" s="182"/>
      <c r="X215" s="183"/>
      <c r="Y215" s="183"/>
      <c r="Z215" s="214"/>
      <c r="AA215" s="182"/>
      <c r="AB215" s="214"/>
      <c r="AC215" s="215"/>
      <c r="AD215" s="215"/>
      <c r="AE215" s="182"/>
      <c r="AF215" s="187"/>
      <c r="AG215" s="187"/>
      <c r="AH215" s="182"/>
      <c r="AI215" s="187"/>
      <c r="AJ215" s="182"/>
      <c r="AK215" s="182"/>
      <c r="AL215" s="187"/>
      <c r="AM215" s="183"/>
      <c r="AN215" s="187"/>
      <c r="AO215" s="187"/>
      <c r="AP215" s="187"/>
      <c r="AQ215" s="182"/>
      <c r="AR215" s="187"/>
      <c r="AS215" s="182"/>
      <c r="AT215" s="182"/>
      <c r="AU215" s="182"/>
      <c r="AV215" s="187"/>
      <c r="AW215" s="96"/>
      <c r="AX215" s="187"/>
      <c r="AY215" s="182"/>
      <c r="AZ215" s="95"/>
      <c r="BA215" s="294"/>
      <c r="BB215" s="96"/>
      <c r="BC215" s="102"/>
      <c r="BD215" s="98"/>
      <c r="BE215" s="98"/>
      <c r="BF215" s="290"/>
      <c r="BG215" s="187"/>
      <c r="BH215" s="182"/>
      <c r="BI215" s="182"/>
      <c r="BJ215" s="182"/>
      <c r="BK215" s="187"/>
      <c r="BL215" s="182"/>
      <c r="BM215" s="182"/>
      <c r="BN215" s="182"/>
      <c r="BO215" s="182"/>
      <c r="BP215" s="183"/>
      <c r="BQ215" s="182"/>
      <c r="BR215" s="182"/>
      <c r="BS215" s="182"/>
      <c r="BT215" s="187"/>
      <c r="BU215" s="308"/>
      <c r="BV215" s="215"/>
      <c r="BW215" s="214"/>
      <c r="BX215" s="215"/>
      <c r="BY215" s="316"/>
      <c r="BZ215" s="187"/>
      <c r="CA215" s="294"/>
      <c r="CB215" s="294"/>
      <c r="CC215" s="290"/>
      <c r="CD215" s="290"/>
      <c r="CE215" s="294"/>
      <c r="CF215" s="187"/>
      <c r="CG215" s="183"/>
      <c r="CH215" s="215"/>
      <c r="CI215" s="183"/>
      <c r="CJ215" s="214"/>
      <c r="CK215" s="183"/>
      <c r="CL215" s="214"/>
      <c r="CM215" s="214"/>
      <c r="CN215" s="215"/>
      <c r="CO215" s="215"/>
      <c r="CP215" s="183"/>
      <c r="CQ215" s="183"/>
      <c r="CR215" s="187"/>
      <c r="CS215" s="183"/>
      <c r="CT215" s="183"/>
      <c r="CU215" s="182"/>
      <c r="CV215" s="187"/>
      <c r="CW215" s="183"/>
      <c r="CX215" s="183"/>
      <c r="CY215" s="182"/>
    </row>
    <row r="216" spans="8:103">
      <c r="H216" s="183"/>
      <c r="I216" s="214"/>
      <c r="J216" s="214"/>
      <c r="K216" s="182"/>
      <c r="L216" s="183"/>
      <c r="M216" s="182"/>
      <c r="N216" s="187"/>
      <c r="O216" s="187"/>
      <c r="P216" s="187"/>
      <c r="Q216" s="183"/>
      <c r="R216" s="182"/>
      <c r="S216" s="182"/>
      <c r="T216" s="182"/>
      <c r="U216" s="182"/>
      <c r="V216" s="182"/>
      <c r="W216" s="183"/>
      <c r="X216" s="183"/>
      <c r="Y216" s="214"/>
      <c r="Z216" s="316"/>
      <c r="AA216" s="215"/>
      <c r="AB216" s="215"/>
      <c r="AC216" s="316"/>
      <c r="AD216" s="316"/>
      <c r="AE216" s="183"/>
      <c r="AF216" s="187"/>
      <c r="AG216" s="182"/>
      <c r="AH216" s="187"/>
      <c r="AI216" s="182"/>
      <c r="AJ216" s="187"/>
      <c r="AK216" s="182"/>
      <c r="AL216" s="187"/>
      <c r="AM216" s="182"/>
      <c r="AN216" s="182"/>
      <c r="AO216" s="182"/>
      <c r="AP216" s="183"/>
      <c r="AQ216" s="182"/>
      <c r="AR216" s="187"/>
      <c r="AS216" s="183"/>
      <c r="AT216" s="182"/>
      <c r="AU216" s="187"/>
      <c r="AV216" s="182"/>
      <c r="AW216" s="95"/>
      <c r="AX216" s="187"/>
      <c r="AY216" s="96"/>
      <c r="AZ216" s="98"/>
      <c r="BA216" s="294"/>
      <c r="BB216" s="95"/>
      <c r="BC216" s="290"/>
      <c r="BD216" s="290"/>
      <c r="BE216" s="294"/>
      <c r="BF216" s="294"/>
      <c r="BG216" s="182"/>
      <c r="BH216" s="182"/>
      <c r="BI216" s="182"/>
      <c r="BJ216" s="182"/>
      <c r="BK216" s="182"/>
      <c r="BL216" s="183"/>
      <c r="BM216" s="182"/>
      <c r="BN216" s="182"/>
      <c r="BO216" s="182"/>
      <c r="BP216" s="182"/>
      <c r="BQ216" s="182"/>
      <c r="BR216" s="183"/>
      <c r="BS216" s="182"/>
      <c r="BT216" s="215"/>
      <c r="BU216" s="215"/>
      <c r="BV216" s="316"/>
      <c r="BW216" s="183"/>
      <c r="BX216" s="215"/>
      <c r="BY216" s="215"/>
      <c r="BZ216" s="214"/>
      <c r="CA216" s="187"/>
      <c r="CB216" s="294"/>
      <c r="CC216" s="294"/>
      <c r="CD216" s="290"/>
      <c r="CE216" s="290"/>
      <c r="CF216" s="182"/>
      <c r="CG216" s="290"/>
      <c r="CH216" s="183"/>
      <c r="CI216" s="183"/>
      <c r="CJ216" s="214"/>
      <c r="CK216" s="215"/>
      <c r="CL216" s="316"/>
      <c r="CM216" s="215"/>
      <c r="CN216" s="215"/>
      <c r="CO216" s="215"/>
      <c r="CP216" s="215"/>
      <c r="CQ216" s="182"/>
      <c r="CR216" s="187"/>
      <c r="CS216" s="187"/>
      <c r="CT216" s="182"/>
      <c r="CU216" s="187"/>
      <c r="CV216" s="187"/>
      <c r="CW216" s="183"/>
      <c r="CX216" s="183"/>
      <c r="CY216" s="182"/>
    </row>
    <row r="217" spans="8:103">
      <c r="H217" s="183"/>
      <c r="I217" s="183"/>
      <c r="J217" s="214"/>
      <c r="K217" s="183"/>
      <c r="L217" s="182"/>
      <c r="M217" s="187"/>
      <c r="N217" s="187"/>
      <c r="O217" s="182"/>
      <c r="P217" s="183"/>
      <c r="Q217" s="187"/>
      <c r="R217" s="187"/>
      <c r="S217" s="183"/>
      <c r="T217" s="316"/>
      <c r="U217" s="215"/>
      <c r="V217" s="214"/>
      <c r="W217" s="183"/>
      <c r="X217" s="183"/>
      <c r="Y217" s="215"/>
      <c r="Z217" s="316"/>
      <c r="AA217" s="316"/>
      <c r="AB217" s="215"/>
      <c r="AC217" s="316"/>
      <c r="AD217" s="215"/>
      <c r="AE217" s="187"/>
      <c r="AF217" s="187"/>
      <c r="AG217" s="187"/>
      <c r="AH217" s="182"/>
      <c r="AI217" s="183"/>
      <c r="AJ217" s="182"/>
      <c r="AK217" s="187"/>
      <c r="AL217" s="182"/>
      <c r="AM217" s="182"/>
      <c r="AN217" s="183"/>
      <c r="AO217" s="187"/>
      <c r="AP217" s="187"/>
      <c r="AQ217" s="182"/>
      <c r="AR217" s="182"/>
      <c r="AS217" s="182"/>
      <c r="AT217" s="182"/>
      <c r="AU217" s="182"/>
      <c r="AV217" s="187"/>
      <c r="AW217" s="99"/>
      <c r="AX217" s="187"/>
      <c r="AY217" s="95"/>
      <c r="AZ217" s="98"/>
      <c r="BA217" s="294"/>
      <c r="BB217" s="99"/>
      <c r="BC217" s="99"/>
      <c r="BD217" s="96"/>
      <c r="BE217" s="187"/>
      <c r="BF217" s="182"/>
      <c r="BG217" s="187"/>
      <c r="BH217" s="183"/>
      <c r="BI217" s="182"/>
      <c r="BJ217" s="182"/>
      <c r="BK217" s="182"/>
      <c r="BL217" s="182"/>
      <c r="BM217" s="182"/>
      <c r="BN217" s="182"/>
      <c r="BO217" s="183"/>
      <c r="BP217" s="182"/>
      <c r="BQ217" s="187"/>
      <c r="BR217" s="182"/>
      <c r="BS217" s="215"/>
      <c r="BT217" s="316"/>
      <c r="BU217" s="215"/>
      <c r="BV217" s="308"/>
      <c r="BW217" s="215"/>
      <c r="BX217" s="214"/>
      <c r="BY217" s="215"/>
      <c r="BZ217" s="316"/>
      <c r="CA217" s="187"/>
      <c r="CB217" s="290"/>
      <c r="CC217" s="290"/>
      <c r="CD217" s="290"/>
      <c r="CE217" s="290"/>
      <c r="CF217" s="187"/>
      <c r="CG217" s="290"/>
      <c r="CH217" s="183"/>
      <c r="CI217" s="215"/>
      <c r="CJ217" s="316"/>
      <c r="CK217" s="215"/>
      <c r="CL217" s="215"/>
      <c r="CM217" s="214"/>
      <c r="CN217" s="215"/>
      <c r="CO217" s="214"/>
      <c r="CP217" s="214"/>
      <c r="CQ217" s="187"/>
      <c r="CR217" s="182"/>
      <c r="CS217" s="187"/>
      <c r="CT217" s="182"/>
      <c r="CU217" s="183"/>
      <c r="CV217" s="182"/>
      <c r="CW217" s="183"/>
      <c r="CX217" s="183"/>
      <c r="CY217" s="183"/>
    </row>
    <row r="218" spans="8:103">
      <c r="H218" s="214"/>
      <c r="I218" s="183"/>
      <c r="J218" s="183"/>
      <c r="K218" s="182"/>
      <c r="L218" s="182"/>
      <c r="M218" s="187"/>
      <c r="N218" s="182"/>
      <c r="O218" s="187"/>
      <c r="P218" s="182"/>
      <c r="Q218" s="187"/>
      <c r="R218" s="182"/>
      <c r="S218" s="214"/>
      <c r="T218" s="183"/>
      <c r="U218" s="215"/>
      <c r="V218" s="182"/>
      <c r="W218" s="183"/>
      <c r="X218" s="183"/>
      <c r="Y218" s="215"/>
      <c r="Z218" s="316"/>
      <c r="AA218" s="215"/>
      <c r="AB218" s="183"/>
      <c r="AC218" s="214"/>
      <c r="AD218" s="187"/>
      <c r="AE218" s="182"/>
      <c r="AF218" s="187"/>
      <c r="AG218" s="187"/>
      <c r="AH218" s="182"/>
      <c r="AI218" s="187"/>
      <c r="AJ218" s="182"/>
      <c r="AK218" s="182"/>
      <c r="AL218" s="187"/>
      <c r="AM218" s="187"/>
      <c r="AN218" s="182"/>
      <c r="AO218" s="182"/>
      <c r="AP218" s="182"/>
      <c r="AQ218" s="183"/>
      <c r="AR218" s="182"/>
      <c r="AS218" s="182"/>
      <c r="AT218" s="183"/>
      <c r="AU218" s="182"/>
      <c r="AV218" s="182"/>
      <c r="AW218" s="99"/>
      <c r="AX218" s="99"/>
      <c r="AY218" s="98"/>
      <c r="AZ218" s="290"/>
      <c r="BA218" s="187"/>
      <c r="BB218" s="187"/>
      <c r="BC218" s="98"/>
      <c r="BD218" s="98"/>
      <c r="BE218" s="95"/>
      <c r="BF218" s="187"/>
      <c r="BG218" s="182"/>
      <c r="BH218" s="182"/>
      <c r="BI218" s="182"/>
      <c r="BJ218" s="182"/>
      <c r="BK218" s="183"/>
      <c r="BL218" s="183"/>
      <c r="BM218" s="187"/>
      <c r="BN218" s="182"/>
      <c r="BO218" s="183"/>
      <c r="BP218" s="183"/>
      <c r="BQ218" s="182"/>
      <c r="BR218" s="215"/>
      <c r="BS218" s="316"/>
      <c r="BT218" s="215"/>
      <c r="BU218" s="215"/>
      <c r="BV218" s="204"/>
      <c r="BW218" s="215"/>
      <c r="BX218" s="183"/>
      <c r="BY218" s="215"/>
      <c r="BZ218" s="215"/>
      <c r="CA218" s="316"/>
      <c r="CB218" s="187"/>
      <c r="CC218" s="290"/>
      <c r="CD218" s="206"/>
      <c r="CE218" s="294"/>
      <c r="CF218" s="290"/>
      <c r="CG218" s="215"/>
      <c r="CH218" s="215"/>
      <c r="CI218" s="215"/>
      <c r="CJ218" s="215"/>
      <c r="CK218" s="215"/>
      <c r="CL218" s="215"/>
      <c r="CM218" s="215"/>
      <c r="CN218" s="215"/>
      <c r="CO218" s="215"/>
      <c r="CP218" s="215"/>
      <c r="CQ218" s="215"/>
      <c r="CR218" s="187"/>
      <c r="CS218" s="187"/>
      <c r="CT218" s="183"/>
      <c r="CU218" s="183"/>
      <c r="CV218" s="182"/>
      <c r="CW218" s="187"/>
      <c r="CX218" s="183"/>
      <c r="CY218" s="182"/>
    </row>
    <row r="219" spans="8:103">
      <c r="H219" s="182"/>
      <c r="I219" s="182"/>
      <c r="J219" s="182"/>
      <c r="K219" s="187"/>
      <c r="L219" s="187"/>
      <c r="M219" s="187"/>
      <c r="N219" s="187"/>
      <c r="O219" s="182"/>
      <c r="P219" s="187"/>
      <c r="Q219" s="182"/>
      <c r="R219" s="316"/>
      <c r="S219" s="183"/>
      <c r="T219" s="183"/>
      <c r="U219" s="183"/>
      <c r="V219" s="214"/>
      <c r="W219" s="214"/>
      <c r="X219" s="183"/>
      <c r="Y219" s="182"/>
      <c r="Z219" s="215"/>
      <c r="AA219" s="214"/>
      <c r="AB219" s="187"/>
      <c r="AC219" s="183"/>
      <c r="AD219" s="187"/>
      <c r="AE219" s="187"/>
      <c r="AF219" s="187"/>
      <c r="AG219" s="182"/>
      <c r="AH219" s="187"/>
      <c r="AI219" s="187"/>
      <c r="AJ219" s="187"/>
      <c r="AK219" s="187"/>
      <c r="AL219" s="182"/>
      <c r="AM219" s="187"/>
      <c r="AN219" s="182"/>
      <c r="AO219" s="183"/>
      <c r="AP219" s="187"/>
      <c r="AQ219" s="182"/>
      <c r="AR219" s="187"/>
      <c r="AS219" s="182"/>
      <c r="AT219" s="183"/>
      <c r="AU219" s="182"/>
      <c r="AV219" s="183"/>
      <c r="AW219" s="95"/>
      <c r="AX219" s="99"/>
      <c r="AY219" s="98"/>
      <c r="AZ219" s="294"/>
      <c r="BA219" s="187"/>
      <c r="BB219" s="182"/>
      <c r="BC219" s="182"/>
      <c r="BD219" s="187"/>
      <c r="BE219" s="99"/>
      <c r="BF219" s="290"/>
      <c r="BG219" s="183"/>
      <c r="BH219" s="182"/>
      <c r="BI219" s="187"/>
      <c r="BJ219" s="187"/>
      <c r="BK219" s="182"/>
      <c r="BL219" s="182"/>
      <c r="BM219" s="182"/>
      <c r="BN219" s="182"/>
      <c r="BO219" s="187"/>
      <c r="BP219" s="182"/>
      <c r="BQ219" s="308"/>
      <c r="BR219" s="316"/>
      <c r="BS219" s="215"/>
      <c r="BT219" s="215"/>
      <c r="BU219" s="308"/>
      <c r="BV219" s="182"/>
      <c r="BW219" s="183"/>
      <c r="BX219" s="215"/>
      <c r="BY219" s="214"/>
      <c r="BZ219" s="215"/>
      <c r="CA219" s="215"/>
      <c r="CB219" s="316"/>
      <c r="CC219" s="182"/>
      <c r="CD219" s="290"/>
      <c r="CE219" s="187"/>
      <c r="CF219" s="215"/>
      <c r="CG219" s="316"/>
      <c r="CH219" s="215"/>
      <c r="CI219" s="215"/>
      <c r="CJ219" s="215"/>
      <c r="CK219" s="215"/>
      <c r="CL219" s="214"/>
      <c r="CM219" s="214"/>
      <c r="CN219" s="183"/>
      <c r="CO219" s="182"/>
      <c r="CP219" s="214"/>
      <c r="CQ219" s="215"/>
      <c r="CR219" s="183"/>
      <c r="CS219" s="294"/>
      <c r="CT219" s="187"/>
      <c r="CU219" s="182"/>
      <c r="CV219" s="187"/>
      <c r="CW219" s="187"/>
      <c r="CX219" s="187"/>
      <c r="CY219" s="187"/>
    </row>
    <row r="220" spans="8:103">
      <c r="H220" s="183"/>
      <c r="I220" s="187"/>
      <c r="J220" s="187"/>
      <c r="K220" s="187"/>
      <c r="L220" s="187"/>
      <c r="M220" s="182"/>
      <c r="N220" s="11"/>
      <c r="O220" s="187"/>
      <c r="P220" s="182"/>
      <c r="Q220" s="183"/>
      <c r="R220" s="182"/>
      <c r="S220" s="187"/>
      <c r="T220" s="183"/>
      <c r="U220" s="214"/>
      <c r="V220" s="183"/>
      <c r="W220" s="183"/>
      <c r="X220" s="183"/>
      <c r="Y220" s="183"/>
      <c r="Z220" s="182"/>
      <c r="AA220" s="183"/>
      <c r="AB220" s="183"/>
      <c r="AC220" s="215"/>
      <c r="AD220" s="187"/>
      <c r="AE220" s="182"/>
      <c r="AF220" s="187"/>
      <c r="AG220" s="187"/>
      <c r="AH220" s="187"/>
      <c r="AI220" s="182"/>
      <c r="AJ220" s="187"/>
      <c r="AK220" s="182"/>
      <c r="AL220" s="182"/>
      <c r="AM220" s="183"/>
      <c r="AN220" s="182"/>
      <c r="AO220" s="182"/>
      <c r="AP220" s="187"/>
      <c r="AQ220" s="182"/>
      <c r="AR220" s="182"/>
      <c r="AS220" s="183"/>
      <c r="AT220" s="187"/>
      <c r="AU220" s="183"/>
      <c r="AV220" s="182"/>
      <c r="AW220" s="96"/>
      <c r="AX220" s="98"/>
      <c r="AY220" s="290"/>
      <c r="AZ220" s="187"/>
      <c r="BA220" s="96"/>
      <c r="BB220" s="95"/>
      <c r="BC220" s="99"/>
      <c r="BD220" s="99"/>
      <c r="BE220" s="98"/>
      <c r="BF220" s="290"/>
      <c r="BG220" s="182"/>
      <c r="BH220" s="187"/>
      <c r="BI220" s="183"/>
      <c r="BJ220" s="183"/>
      <c r="BK220" s="182"/>
      <c r="BL220" s="187"/>
      <c r="BM220" s="182"/>
      <c r="BN220" s="187"/>
      <c r="BO220" s="187"/>
      <c r="BP220" s="183"/>
      <c r="BQ220" s="187"/>
      <c r="BR220" s="215"/>
      <c r="BS220" s="215"/>
      <c r="BT220" s="308"/>
      <c r="BU220" s="204"/>
      <c r="BV220" s="182"/>
      <c r="BW220" s="215"/>
      <c r="BX220" s="316"/>
      <c r="BY220" s="215"/>
      <c r="BZ220" s="215"/>
      <c r="CA220" s="215"/>
      <c r="CB220" s="316"/>
      <c r="CC220" s="215"/>
      <c r="CD220" s="316"/>
      <c r="CE220" s="183"/>
      <c r="CF220" s="215"/>
      <c r="CG220" s="215"/>
      <c r="CH220" s="215"/>
      <c r="CI220" s="215"/>
      <c r="CJ220" s="214"/>
      <c r="CK220" s="214"/>
      <c r="CL220" s="215"/>
      <c r="CM220" s="215"/>
      <c r="CN220" s="215"/>
      <c r="CO220" s="215"/>
      <c r="CP220" s="215"/>
      <c r="CQ220" s="215"/>
      <c r="CR220" s="214"/>
      <c r="CS220" s="187"/>
      <c r="CT220" s="294"/>
      <c r="CU220" s="182"/>
      <c r="CV220" s="183"/>
      <c r="CW220" s="182"/>
      <c r="CX220" s="187"/>
      <c r="CY220" s="183"/>
    </row>
    <row r="221" spans="8:103">
      <c r="H221" s="187"/>
      <c r="I221" s="182"/>
      <c r="J221" s="182"/>
      <c r="K221" s="187"/>
      <c r="L221" s="182"/>
      <c r="M221" s="11"/>
      <c r="N221" s="187"/>
      <c r="O221" s="187"/>
      <c r="P221" s="215"/>
      <c r="Q221" s="183"/>
      <c r="R221" s="182"/>
      <c r="S221" s="183"/>
      <c r="T221" s="214"/>
      <c r="U221" s="182"/>
      <c r="V221" s="182"/>
      <c r="W221" s="182"/>
      <c r="X221" s="183"/>
      <c r="Y221" s="182"/>
      <c r="Z221" s="183"/>
      <c r="AA221" s="215"/>
      <c r="AB221" s="290"/>
      <c r="AC221" s="294"/>
      <c r="AD221" s="187"/>
      <c r="AE221" s="187"/>
      <c r="AF221" s="182"/>
      <c r="AG221" s="182"/>
      <c r="AH221" s="187"/>
      <c r="AI221" s="187"/>
      <c r="AJ221" s="182"/>
      <c r="AK221" s="187"/>
      <c r="AL221" s="187"/>
      <c r="AM221" s="182"/>
      <c r="AN221" s="187"/>
      <c r="AO221" s="182"/>
      <c r="AP221" s="182"/>
      <c r="AQ221" s="182"/>
      <c r="AR221" s="182"/>
      <c r="AS221" s="182"/>
      <c r="AT221" s="183"/>
      <c r="AU221" s="183"/>
      <c r="AV221" s="182"/>
      <c r="AW221" s="98"/>
      <c r="AX221" s="98"/>
      <c r="AY221" s="294"/>
      <c r="AZ221" s="187"/>
      <c r="BA221" s="98"/>
      <c r="BB221" s="98"/>
      <c r="BC221" s="98"/>
      <c r="BD221" s="102"/>
      <c r="BE221" s="290"/>
      <c r="BF221" s="187"/>
      <c r="BG221" s="183"/>
      <c r="BH221" s="187"/>
      <c r="BI221" s="187"/>
      <c r="BJ221" s="182"/>
      <c r="BK221" s="182"/>
      <c r="BL221" s="183"/>
      <c r="BM221" s="182"/>
      <c r="BN221" s="187"/>
      <c r="BO221" s="187"/>
      <c r="BP221" s="214"/>
      <c r="BQ221" s="183"/>
      <c r="BR221" s="182"/>
      <c r="BS221" s="308"/>
      <c r="BT221" s="214"/>
      <c r="BU221" s="204"/>
      <c r="BV221" s="214"/>
      <c r="BW221" s="182"/>
      <c r="BX221" s="316"/>
      <c r="BY221" s="215"/>
      <c r="BZ221" s="214"/>
      <c r="CA221" s="215"/>
      <c r="CB221" s="215"/>
      <c r="CC221" s="316"/>
      <c r="CD221" s="214"/>
      <c r="CE221" s="215"/>
      <c r="CF221" s="214"/>
      <c r="CG221" s="215"/>
      <c r="CH221" s="214"/>
      <c r="CI221" s="215"/>
      <c r="CJ221" s="215"/>
      <c r="CK221" s="215"/>
      <c r="CL221" s="214"/>
      <c r="CM221" s="214"/>
      <c r="CN221" s="214"/>
      <c r="CO221" s="215"/>
      <c r="CP221" s="215"/>
      <c r="CQ221" s="214"/>
      <c r="CR221" s="183"/>
      <c r="CS221" s="182"/>
      <c r="CT221" s="290"/>
      <c r="CU221" s="214"/>
      <c r="CV221" s="187"/>
      <c r="CW221" s="183"/>
      <c r="CX221" s="183"/>
      <c r="CY221" s="182"/>
    </row>
    <row r="222" spans="8:103">
      <c r="H222" s="182"/>
      <c r="I222" s="182"/>
      <c r="J222" s="187"/>
      <c r="K222" s="187"/>
      <c r="L222" s="11"/>
      <c r="M222" s="187"/>
      <c r="N222" s="187"/>
      <c r="O222" s="182"/>
      <c r="P222" s="187"/>
      <c r="Q222" s="187"/>
      <c r="R222" s="187"/>
      <c r="S222" s="183"/>
      <c r="T222" s="182"/>
      <c r="U222" s="183"/>
      <c r="V222" s="182"/>
      <c r="W222" s="187"/>
      <c r="X222" s="187"/>
      <c r="Y222" s="187"/>
      <c r="Z222" s="187"/>
      <c r="AA222" s="290"/>
      <c r="AB222" s="290"/>
      <c r="AC222" s="294"/>
      <c r="AD222" s="215"/>
      <c r="AE222" s="187"/>
      <c r="AF222" s="187"/>
      <c r="AG222" s="187"/>
      <c r="AH222" s="182"/>
      <c r="AI222" s="182"/>
      <c r="AJ222" s="187"/>
      <c r="AK222" s="182"/>
      <c r="AL222" s="187"/>
      <c r="AM222" s="182"/>
      <c r="AN222" s="183"/>
      <c r="AO222" s="182"/>
      <c r="AP222" s="183"/>
      <c r="AQ222" s="187"/>
      <c r="AR222" s="183"/>
      <c r="AS222" s="187"/>
      <c r="AT222" s="187"/>
      <c r="AU222" s="182"/>
      <c r="AV222" s="182"/>
      <c r="AW222" s="187"/>
      <c r="AX222" s="290"/>
      <c r="AY222" s="294"/>
      <c r="AZ222" s="182"/>
      <c r="BA222" s="187"/>
      <c r="BB222" s="294"/>
      <c r="BC222" s="290"/>
      <c r="BD222" s="290"/>
      <c r="BE222" s="187"/>
      <c r="BF222" s="183"/>
      <c r="BG222" s="183"/>
      <c r="BH222" s="182"/>
      <c r="BI222" s="182"/>
      <c r="BJ222" s="182"/>
      <c r="BK222" s="182"/>
      <c r="BL222" s="182"/>
      <c r="BM222" s="187"/>
      <c r="BN222" s="187"/>
      <c r="BO222" s="182"/>
      <c r="BP222" s="183"/>
      <c r="BQ222" s="214"/>
      <c r="BR222" s="182"/>
      <c r="BS222" s="187"/>
      <c r="BT222" s="187"/>
      <c r="BU222" s="183"/>
      <c r="BV222" s="214"/>
      <c r="BW222" s="183"/>
      <c r="BX222" s="316"/>
      <c r="BY222" s="215"/>
      <c r="BZ222" s="214"/>
      <c r="CA222" s="215"/>
      <c r="CB222" s="215"/>
      <c r="CC222" s="183"/>
      <c r="CD222" s="183"/>
      <c r="CE222" s="183"/>
      <c r="CF222" s="214"/>
      <c r="CG222" s="215"/>
      <c r="CH222" s="214"/>
      <c r="CI222" s="214"/>
      <c r="CJ222" s="214"/>
      <c r="CK222" s="215"/>
      <c r="CL222" s="215"/>
      <c r="CM222" s="215"/>
      <c r="CN222" s="215"/>
      <c r="CO222" s="215"/>
      <c r="CP222" s="214"/>
      <c r="CQ222" s="183"/>
      <c r="CR222" s="183"/>
      <c r="CS222" s="183"/>
      <c r="CT222" s="187"/>
      <c r="CU222" s="294"/>
      <c r="CV222" s="182"/>
      <c r="CW222" s="183"/>
      <c r="CX222" s="183"/>
      <c r="CY222" s="182"/>
    </row>
    <row r="223" spans="8:103">
      <c r="H223" s="182"/>
      <c r="I223" s="182"/>
      <c r="J223" s="182"/>
      <c r="K223" s="187"/>
      <c r="L223" s="290"/>
      <c r="M223" s="187"/>
      <c r="N223" s="214"/>
      <c r="O223" s="183"/>
      <c r="P223" s="187"/>
      <c r="Q223" s="11"/>
      <c r="R223" s="290"/>
      <c r="S223" s="187"/>
      <c r="T223" s="182"/>
      <c r="U223" s="183"/>
      <c r="V223" s="214"/>
      <c r="W223" s="183"/>
      <c r="X223" s="183"/>
      <c r="Y223" s="182"/>
      <c r="Z223" s="294"/>
      <c r="AA223" s="182"/>
      <c r="AB223" s="214"/>
      <c r="AC223" s="294"/>
      <c r="AD223" s="214"/>
      <c r="AE223" s="182"/>
      <c r="AF223" s="182"/>
      <c r="AG223" s="182"/>
      <c r="AH223" s="187"/>
      <c r="AI223" s="187"/>
      <c r="AJ223" s="182"/>
      <c r="AK223" s="183"/>
      <c r="AL223" s="182"/>
      <c r="AM223" s="183"/>
      <c r="AN223" s="182"/>
      <c r="AO223" s="182"/>
      <c r="AP223" s="187"/>
      <c r="AQ223" s="182"/>
      <c r="AR223" s="182"/>
      <c r="AS223" s="183"/>
      <c r="AT223" s="182"/>
      <c r="AU223" s="182"/>
      <c r="AV223" s="182"/>
      <c r="AW223" s="182"/>
      <c r="AX223" s="183"/>
      <c r="AY223" s="183"/>
      <c r="AZ223" s="182"/>
      <c r="BA223" s="215"/>
      <c r="BB223" s="183"/>
      <c r="BC223" s="182"/>
      <c r="BD223" s="187"/>
      <c r="BE223" s="182"/>
      <c r="BF223" s="183"/>
      <c r="BG223" s="187"/>
      <c r="BH223" s="183"/>
      <c r="BI223" s="182"/>
      <c r="BJ223" s="183"/>
      <c r="BK223" s="187"/>
      <c r="BL223" s="183"/>
      <c r="BM223" s="183"/>
      <c r="BN223" s="187"/>
      <c r="BO223" s="187"/>
      <c r="BP223" s="183"/>
      <c r="BQ223" s="182"/>
      <c r="BR223" s="187"/>
      <c r="BS223" s="182"/>
      <c r="BT223" s="204"/>
      <c r="BU223" s="312"/>
      <c r="BV223" s="182"/>
      <c r="BW223" s="182"/>
      <c r="BX223" s="214"/>
      <c r="BY223" s="316"/>
      <c r="BZ223" s="215"/>
      <c r="CA223" s="214"/>
      <c r="CB223" s="215"/>
      <c r="CC223" s="215"/>
      <c r="CD223" s="182"/>
      <c r="CE223" s="183"/>
      <c r="CF223" s="214"/>
      <c r="CG223" s="214"/>
      <c r="CH223" s="215"/>
      <c r="CI223" s="183"/>
      <c r="CJ223" s="215"/>
      <c r="CK223" s="215"/>
      <c r="CL223" s="214"/>
      <c r="CM223" s="183"/>
      <c r="CN223" s="183"/>
      <c r="CO223" s="183"/>
      <c r="CP223" s="214"/>
      <c r="CQ223" s="214"/>
      <c r="CR223" s="214"/>
      <c r="CS223" s="183"/>
      <c r="CT223" s="187"/>
      <c r="CU223" s="290"/>
      <c r="CV223" s="182"/>
      <c r="CW223" s="182"/>
      <c r="CX223" s="183"/>
      <c r="CY223" s="182"/>
    </row>
    <row r="224" spans="8:103">
      <c r="H224" s="183"/>
      <c r="I224" s="187"/>
      <c r="J224" s="187"/>
      <c r="K224" s="11"/>
      <c r="L224" s="187"/>
      <c r="M224" s="182"/>
      <c r="N224" s="187"/>
      <c r="O224" s="11"/>
      <c r="P224" s="11"/>
      <c r="Q224" s="11"/>
      <c r="R224" s="11"/>
      <c r="S224" s="11"/>
      <c r="T224" s="187"/>
      <c r="U224" s="182"/>
      <c r="V224" s="183"/>
      <c r="W224" s="183"/>
      <c r="X224" s="183"/>
      <c r="Y224" s="183"/>
      <c r="Z224" s="182"/>
      <c r="AA224" s="183"/>
      <c r="AB224" s="214"/>
      <c r="AC224" s="187"/>
      <c r="AD224" s="183"/>
      <c r="AE224" s="187"/>
      <c r="AF224" s="215"/>
      <c r="AG224" s="182"/>
      <c r="AH224" s="182"/>
      <c r="AI224" s="187"/>
      <c r="AJ224" s="182"/>
      <c r="AK224" s="187"/>
      <c r="AL224" s="182"/>
      <c r="AM224" s="182"/>
      <c r="AN224" s="182"/>
      <c r="AO224" s="183"/>
      <c r="AP224" s="182"/>
      <c r="AQ224" s="183"/>
      <c r="AR224" s="187"/>
      <c r="AS224" s="182"/>
      <c r="AT224" s="183"/>
      <c r="AU224" s="183"/>
      <c r="AV224" s="183"/>
      <c r="AW224" s="183"/>
      <c r="AX224" s="183"/>
      <c r="AY224" s="215"/>
      <c r="AZ224" s="215"/>
      <c r="BA224" s="183"/>
      <c r="BB224" s="182"/>
      <c r="BC224" s="187"/>
      <c r="BD224" s="187"/>
      <c r="BE224" s="22"/>
      <c r="BF224" s="26"/>
      <c r="BG224" s="21"/>
      <c r="BH224" s="23"/>
      <c r="BI224" s="28"/>
      <c r="BJ224" s="25"/>
      <c r="BK224" s="23"/>
      <c r="BL224" s="188"/>
      <c r="BM224" s="182"/>
      <c r="BN224" s="182"/>
      <c r="BO224" s="26"/>
      <c r="BP224" s="23"/>
      <c r="BQ224" s="23"/>
      <c r="BR224" s="28"/>
      <c r="BS224" s="188"/>
      <c r="BT224" s="182"/>
      <c r="BU224" s="182"/>
      <c r="BV224" s="21"/>
      <c r="BW224" s="23"/>
      <c r="BX224" s="7"/>
      <c r="BY224" s="28"/>
      <c r="BZ224" s="25"/>
      <c r="CA224" s="188"/>
      <c r="CB224" s="182"/>
      <c r="CC224" s="214"/>
      <c r="CD224" s="183"/>
      <c r="CE224" s="182"/>
      <c r="CF224" s="21"/>
      <c r="CG224" s="23"/>
      <c r="CH224" s="7"/>
      <c r="CI224" s="28"/>
      <c r="CJ224" s="25"/>
      <c r="CK224" s="188"/>
      <c r="CL224" s="182"/>
      <c r="CM224" s="183"/>
      <c r="CN224" s="27"/>
      <c r="CO224" s="22"/>
      <c r="CP224" s="26"/>
      <c r="CQ224" s="187"/>
      <c r="CR224" s="182"/>
      <c r="CS224" s="27"/>
      <c r="CT224" s="22"/>
      <c r="CU224" s="23"/>
      <c r="CV224" s="187"/>
      <c r="CW224" s="183"/>
      <c r="CX224" s="182"/>
      <c r="CY224" s="187"/>
    </row>
    <row r="225" spans="8:103">
      <c r="H225" s="182"/>
      <c r="I225" s="187"/>
      <c r="J225" s="187"/>
      <c r="K225" s="290"/>
      <c r="L225" s="183"/>
      <c r="M225" s="182"/>
      <c r="N225" s="11"/>
      <c r="O225" s="11"/>
      <c r="P225" s="290"/>
      <c r="Q225" s="11"/>
      <c r="R225" s="11"/>
      <c r="S225" s="11"/>
      <c r="T225" s="11"/>
      <c r="U225" s="11"/>
      <c r="V225" s="187"/>
      <c r="W225" s="182"/>
      <c r="X225" s="183"/>
      <c r="Y225" s="214"/>
      <c r="Z225" s="214"/>
      <c r="AA225" s="214"/>
      <c r="AB225" s="215"/>
      <c r="AC225" s="182"/>
      <c r="AD225" s="182"/>
      <c r="AE225" s="187"/>
      <c r="AF225" s="215"/>
      <c r="AG225" s="187"/>
      <c r="AH225" s="187"/>
      <c r="AI225" s="182"/>
      <c r="AJ225" s="182"/>
      <c r="AK225" s="182"/>
      <c r="AL225" s="187"/>
      <c r="AM225" s="187"/>
      <c r="AN225" s="11"/>
      <c r="AO225" s="187"/>
      <c r="AP225" s="11"/>
      <c r="AQ225" s="187"/>
      <c r="AR225" s="182"/>
      <c r="AS225" s="183"/>
      <c r="AT225" s="183"/>
      <c r="AU225" s="183"/>
      <c r="AV225" s="215"/>
      <c r="AW225" s="215"/>
      <c r="AX225" s="215"/>
      <c r="AY225" s="215"/>
      <c r="AZ225" s="183"/>
      <c r="BA225" s="182"/>
      <c r="BB225" s="182"/>
      <c r="BC225" s="187"/>
      <c r="BD225" s="26"/>
      <c r="BE225" s="21"/>
      <c r="BF225" s="21"/>
      <c r="BG225" s="28"/>
      <c r="BH225" s="7"/>
      <c r="BI225" s="6"/>
      <c r="BJ225" s="22"/>
      <c r="BK225" s="6"/>
      <c r="BL225" s="290"/>
      <c r="BM225" s="187"/>
      <c r="BN225" s="182"/>
      <c r="BO225" s="7"/>
      <c r="BP225" s="26"/>
      <c r="BQ225" s="7"/>
      <c r="BR225" s="6"/>
      <c r="BS225" s="290"/>
      <c r="BT225" s="187"/>
      <c r="BU225" s="21"/>
      <c r="BV225" s="26"/>
      <c r="BW225" s="23"/>
      <c r="BX225" s="23"/>
      <c r="BY225" s="6"/>
      <c r="BZ225" s="22"/>
      <c r="CA225" s="24"/>
      <c r="CB225" s="290"/>
      <c r="CC225" s="182"/>
      <c r="CD225" s="187"/>
      <c r="CE225" s="21"/>
      <c r="CF225" s="26"/>
      <c r="CG225" s="26"/>
      <c r="CH225" s="23"/>
      <c r="CI225" s="6"/>
      <c r="CJ225" s="22"/>
      <c r="CK225" s="24"/>
      <c r="CL225" s="290"/>
      <c r="CM225" s="182"/>
      <c r="CN225" s="183"/>
      <c r="CO225" s="21"/>
      <c r="CP225" s="7"/>
      <c r="CQ225" s="187"/>
      <c r="CR225" s="21"/>
      <c r="CS225" s="22"/>
      <c r="CT225" s="7"/>
      <c r="CU225" s="290"/>
      <c r="CV225" s="187"/>
      <c r="CW225" s="187"/>
      <c r="CX225" s="183"/>
      <c r="CY225" s="183"/>
    </row>
    <row r="226" spans="8:103">
      <c r="H226" s="183"/>
      <c r="I226" s="187"/>
      <c r="J226" s="290"/>
      <c r="K226" s="187"/>
      <c r="L226" s="187"/>
      <c r="M226" s="11"/>
      <c r="N226" s="11"/>
      <c r="O226" s="11"/>
      <c r="P226" s="11"/>
      <c r="Q226" s="11"/>
      <c r="R226" s="187"/>
      <c r="S226" s="182"/>
      <c r="T226" s="11"/>
      <c r="U226" s="11"/>
      <c r="V226" s="187"/>
      <c r="W226" s="187"/>
      <c r="X226" s="183"/>
      <c r="Y226" s="183"/>
      <c r="Z226" s="183"/>
      <c r="AA226" s="183"/>
      <c r="AB226" s="182"/>
      <c r="AC226" s="294"/>
      <c r="AD226" s="187"/>
      <c r="AE226" s="183"/>
      <c r="AF226" s="183"/>
      <c r="AG226" s="187"/>
      <c r="AH226" s="182"/>
      <c r="AI226" s="187"/>
      <c r="AJ226" s="182"/>
      <c r="AK226" s="187"/>
      <c r="AL226" s="11"/>
      <c r="AM226" s="11"/>
      <c r="AN226" s="182"/>
      <c r="AO226" s="187"/>
      <c r="AP226" s="187"/>
      <c r="AQ226" s="182"/>
      <c r="AR226" s="182"/>
      <c r="AS226" s="215"/>
      <c r="AT226" s="316"/>
      <c r="AU226" s="316"/>
      <c r="AV226" s="316"/>
      <c r="AW226" s="183"/>
      <c r="AX226" s="215"/>
      <c r="AY226" s="183"/>
      <c r="AZ226" s="183"/>
      <c r="BA226" s="182"/>
      <c r="BB226" s="187"/>
      <c r="BC226" s="182"/>
      <c r="BD226" s="23"/>
      <c r="BE226" s="188"/>
      <c r="BF226" s="188"/>
      <c r="BG226" s="188"/>
      <c r="BH226" s="188"/>
      <c r="BI226" s="26"/>
      <c r="BJ226" s="7"/>
      <c r="BK226" s="290"/>
      <c r="BL226" s="188"/>
      <c r="BM226" s="187"/>
      <c r="BN226" s="182"/>
      <c r="BO226" s="183"/>
      <c r="BP226" s="26"/>
      <c r="BQ226" s="6"/>
      <c r="BR226" s="290"/>
      <c r="BS226" s="187"/>
      <c r="BT226" s="182"/>
      <c r="BU226" s="26"/>
      <c r="BV226" s="23"/>
      <c r="BW226" s="290"/>
      <c r="BX226" s="290"/>
      <c r="BY226" s="290"/>
      <c r="BZ226" s="290"/>
      <c r="CA226" s="290"/>
      <c r="CB226" s="290"/>
      <c r="CC226" s="187"/>
      <c r="CD226" s="187"/>
      <c r="CE226" s="26"/>
      <c r="CF226" s="23"/>
      <c r="CG226" s="290"/>
      <c r="CH226" s="290"/>
      <c r="CI226" s="290"/>
      <c r="CJ226" s="290"/>
      <c r="CK226" s="290"/>
      <c r="CL226" s="290"/>
      <c r="CM226" s="187"/>
      <c r="CN226" s="182"/>
      <c r="CO226" s="26"/>
      <c r="CP226" s="23"/>
      <c r="CQ226" s="22"/>
      <c r="CR226" s="23"/>
      <c r="CS226" s="7"/>
      <c r="CT226" s="290"/>
      <c r="CU226" s="188"/>
      <c r="CV226" s="187"/>
      <c r="CW226" s="182"/>
      <c r="CX226" s="182"/>
      <c r="CY226" s="187"/>
    </row>
    <row r="227" spans="8:103">
      <c r="H227" s="183"/>
      <c r="I227" s="187"/>
      <c r="J227" s="290"/>
      <c r="K227" s="182"/>
      <c r="L227" s="290"/>
      <c r="M227" s="11"/>
      <c r="N227" s="11"/>
      <c r="O227" s="11"/>
      <c r="P227" s="187"/>
      <c r="Q227" s="183"/>
      <c r="R227" s="183"/>
      <c r="S227" s="182"/>
      <c r="T227" s="11"/>
      <c r="U227" s="11"/>
      <c r="V227" s="187"/>
      <c r="W227" s="182"/>
      <c r="X227" s="187"/>
      <c r="Y227" s="11"/>
      <c r="Z227" s="294"/>
      <c r="AA227" s="11"/>
      <c r="AB227" s="294"/>
      <c r="AC227" s="187"/>
      <c r="AD227" s="182"/>
      <c r="AE227" s="182"/>
      <c r="AF227" s="187"/>
      <c r="AG227" s="183"/>
      <c r="AH227" s="182"/>
      <c r="AI227" s="183"/>
      <c r="AJ227" s="187"/>
      <c r="AK227" s="11"/>
      <c r="AL227" s="183"/>
      <c r="AM227" s="215"/>
      <c r="AN227" s="187"/>
      <c r="AO227" s="187"/>
      <c r="AP227" s="183"/>
      <c r="AQ227" s="215"/>
      <c r="AR227" s="182"/>
      <c r="AS227" s="183"/>
      <c r="AT227" s="183"/>
      <c r="AU227" s="215"/>
      <c r="AV227" s="316"/>
      <c r="AW227" s="316"/>
      <c r="AX227" s="183"/>
      <c r="AY227" s="183"/>
      <c r="AZ227" s="182"/>
      <c r="BA227" s="187"/>
      <c r="BB227" s="182"/>
      <c r="BC227" s="183"/>
      <c r="BD227" s="182"/>
      <c r="BE227" s="183"/>
      <c r="BF227" s="187"/>
      <c r="BG227" s="187"/>
      <c r="BH227" s="26"/>
      <c r="BI227" s="7"/>
      <c r="BJ227" s="290"/>
      <c r="BK227" s="188"/>
      <c r="BL227" s="187"/>
      <c r="BM227" s="183"/>
      <c r="BN227" s="187"/>
      <c r="BO227" s="183"/>
      <c r="BP227" s="21"/>
      <c r="BQ227" s="7"/>
      <c r="BR227" s="188"/>
      <c r="BS227" s="187"/>
      <c r="BT227" s="26"/>
      <c r="BU227" s="21"/>
      <c r="BV227" s="7"/>
      <c r="BW227" s="290"/>
      <c r="BX227" s="187"/>
      <c r="BY227" s="187"/>
      <c r="BZ227" s="187"/>
      <c r="CA227" s="187"/>
      <c r="CB227" s="187"/>
      <c r="CC227" s="187"/>
      <c r="CD227" s="26"/>
      <c r="CE227" s="21"/>
      <c r="CF227" s="7"/>
      <c r="CG227" s="290"/>
      <c r="CH227" s="187"/>
      <c r="CI227" s="187"/>
      <c r="CJ227" s="187"/>
      <c r="CK227" s="187"/>
      <c r="CL227" s="187"/>
      <c r="CM227" s="187"/>
      <c r="CN227" s="183"/>
      <c r="CO227" s="21"/>
      <c r="CP227" s="26"/>
      <c r="CQ227" s="21"/>
      <c r="CR227" s="6"/>
      <c r="CS227" s="290"/>
      <c r="CT227" s="187"/>
      <c r="CU227" s="187"/>
      <c r="CV227" s="182"/>
      <c r="CW227" s="182"/>
      <c r="CX227" s="183"/>
      <c r="CY227" s="182"/>
    </row>
    <row r="228" spans="8:103">
      <c r="H228" s="187"/>
      <c r="I228" s="187"/>
      <c r="J228" s="11"/>
      <c r="K228" s="290"/>
      <c r="L228" s="11"/>
      <c r="M228" s="187"/>
      <c r="N228" s="182"/>
      <c r="O228" s="182"/>
      <c r="P228" s="183"/>
      <c r="Q228" s="182"/>
      <c r="R228" s="187"/>
      <c r="S228" s="11"/>
      <c r="T228" s="11"/>
      <c r="U228" s="187"/>
      <c r="V228" s="182"/>
      <c r="W228" s="182"/>
      <c r="X228" s="182"/>
      <c r="Y228" s="187"/>
      <c r="Z228" s="182"/>
      <c r="AA228" s="187"/>
      <c r="AB228" s="183"/>
      <c r="AC228" s="182"/>
      <c r="AD228" s="11"/>
      <c r="AE228" s="183"/>
      <c r="AF228" s="187"/>
      <c r="AG228" s="182"/>
      <c r="AH228" s="182"/>
      <c r="AI228" s="187"/>
      <c r="AJ228" s="11"/>
      <c r="AK228" s="182"/>
      <c r="AL228" s="215"/>
      <c r="AM228" s="215"/>
      <c r="AN228" s="187"/>
      <c r="AO228" s="182"/>
      <c r="AP228" s="215"/>
      <c r="AQ228" s="316"/>
      <c r="AR228" s="316"/>
      <c r="AS228" s="182"/>
      <c r="AT228" s="182"/>
      <c r="AU228" s="183"/>
      <c r="AV228" s="316"/>
      <c r="AW228" s="215"/>
      <c r="AX228" s="182"/>
      <c r="AY228" s="187"/>
      <c r="AZ228" s="187"/>
      <c r="BA228" s="182"/>
      <c r="BB228" s="183"/>
      <c r="BC228" s="182"/>
      <c r="BD228" s="187"/>
      <c r="BE228" s="187"/>
      <c r="BF228" s="182"/>
      <c r="BG228" s="26"/>
      <c r="BH228" s="7"/>
      <c r="BI228" s="290"/>
      <c r="BJ228" s="188"/>
      <c r="BK228" s="187"/>
      <c r="BL228" s="182"/>
      <c r="BM228" s="182"/>
      <c r="BN228" s="187"/>
      <c r="BO228" s="26"/>
      <c r="BP228" s="23"/>
      <c r="BQ228" s="290"/>
      <c r="BR228" s="187"/>
      <c r="BS228" s="187"/>
      <c r="BT228" s="26"/>
      <c r="BU228" s="23"/>
      <c r="BV228" s="290"/>
      <c r="BW228" s="188"/>
      <c r="BX228" s="26"/>
      <c r="BY228" s="23"/>
      <c r="BZ228" s="7"/>
      <c r="CA228" s="22"/>
      <c r="CB228" s="188"/>
      <c r="CC228" s="182"/>
      <c r="CD228" s="26"/>
      <c r="CE228" s="23"/>
      <c r="CF228" s="290"/>
      <c r="CG228" s="187"/>
      <c r="CH228" s="26"/>
      <c r="CI228" s="23"/>
      <c r="CJ228" s="7"/>
      <c r="CK228" s="22"/>
      <c r="CL228" s="188"/>
      <c r="CM228" s="187"/>
      <c r="CN228" s="182"/>
      <c r="CO228" s="182"/>
      <c r="CP228" s="26"/>
      <c r="CQ228" s="22"/>
      <c r="CR228" s="290"/>
      <c r="CS228" s="188"/>
      <c r="CT228" s="187"/>
      <c r="CU228" s="182"/>
      <c r="CV228" s="187"/>
      <c r="CW228" s="182"/>
      <c r="CX228" s="183"/>
      <c r="CY228" s="183"/>
    </row>
    <row r="229" spans="8:103">
      <c r="H229" s="182"/>
      <c r="I229" s="11"/>
      <c r="J229" s="11"/>
      <c r="K229" s="11"/>
      <c r="L229" s="187"/>
      <c r="M229" s="182"/>
      <c r="N229" s="183"/>
      <c r="O229" s="183"/>
      <c r="P229" s="187"/>
      <c r="Q229" s="182"/>
      <c r="R229" s="11"/>
      <c r="S229" s="187"/>
      <c r="T229" s="182"/>
      <c r="U229" s="182"/>
      <c r="V229" s="187"/>
      <c r="W229" s="187"/>
      <c r="X229" s="183"/>
      <c r="Y229" s="183"/>
      <c r="Z229" s="183"/>
      <c r="AA229" s="183"/>
      <c r="AB229" s="182"/>
      <c r="AC229" s="11"/>
      <c r="AD229" s="11"/>
      <c r="AE229" s="183"/>
      <c r="AF229" s="11"/>
      <c r="AG229" s="187"/>
      <c r="AH229" s="182"/>
      <c r="AI229" s="187"/>
      <c r="AJ229" s="11"/>
      <c r="AK229" s="187"/>
      <c r="AL229" s="182"/>
      <c r="AM229" s="183"/>
      <c r="AN229" s="187"/>
      <c r="AO229" s="187"/>
      <c r="AP229" s="182"/>
      <c r="AQ229" s="215"/>
      <c r="AR229" s="316"/>
      <c r="AS229" s="215"/>
      <c r="AT229" s="182"/>
      <c r="AU229" s="215"/>
      <c r="AV229" s="215"/>
      <c r="AW229" s="183"/>
      <c r="AX229" s="187"/>
      <c r="AY229" s="187"/>
      <c r="AZ229" s="182"/>
      <c r="BA229" s="182"/>
      <c r="BB229" s="187"/>
      <c r="BC229" s="187"/>
      <c r="BD229" s="182"/>
      <c r="BE229" s="187"/>
      <c r="BF229" s="26"/>
      <c r="BG229" s="7"/>
      <c r="BH229" s="290"/>
      <c r="BI229" s="188"/>
      <c r="BJ229" s="187"/>
      <c r="BK229" s="183"/>
      <c r="BL229" s="182"/>
      <c r="BM229" s="183"/>
      <c r="BN229" s="182"/>
      <c r="BO229" s="26"/>
      <c r="BP229" s="22"/>
      <c r="BQ229" s="290"/>
      <c r="BR229" s="187"/>
      <c r="BS229" s="182"/>
      <c r="BT229" s="26"/>
      <c r="BU229" s="7"/>
      <c r="BV229" s="290"/>
      <c r="BW229" s="187"/>
      <c r="BX229" s="7"/>
      <c r="BY229" s="26"/>
      <c r="BZ229" s="7"/>
      <c r="CA229" s="6"/>
      <c r="CB229" s="290"/>
      <c r="CC229" s="187"/>
      <c r="CD229" s="26"/>
      <c r="CE229" s="23"/>
      <c r="CF229" s="290"/>
      <c r="CG229" s="187"/>
      <c r="CH229" s="7"/>
      <c r="CI229" s="26"/>
      <c r="CJ229" s="7"/>
      <c r="CK229" s="6"/>
      <c r="CL229" s="290"/>
      <c r="CM229" s="187"/>
      <c r="CN229" s="187"/>
      <c r="CO229" s="183"/>
      <c r="CP229" s="21"/>
      <c r="CQ229" s="7"/>
      <c r="CR229" s="290"/>
      <c r="CS229" s="187"/>
      <c r="CT229" s="182"/>
      <c r="CU229" s="183"/>
      <c r="CV229" s="187"/>
      <c r="CW229" s="183"/>
      <c r="CX229" s="182"/>
      <c r="CY229" s="182"/>
    </row>
    <row r="230" spans="8:103">
      <c r="H230" s="187"/>
      <c r="I230" s="11"/>
      <c r="J230" s="11"/>
      <c r="K230" s="187"/>
      <c r="L230" s="183"/>
      <c r="M230" s="182"/>
      <c r="N230" s="182"/>
      <c r="O230" s="182"/>
      <c r="P230" s="187"/>
      <c r="Q230" s="11"/>
      <c r="R230" s="182"/>
      <c r="S230" s="183"/>
      <c r="T230" s="182"/>
      <c r="U230" s="183"/>
      <c r="V230" s="187"/>
      <c r="W230" s="182"/>
      <c r="X230" s="182"/>
      <c r="Y230" s="182"/>
      <c r="Z230" s="183"/>
      <c r="AA230" s="183"/>
      <c r="AB230" s="187"/>
      <c r="AC230" s="182"/>
      <c r="AD230" s="11"/>
      <c r="AE230" s="183"/>
      <c r="AF230" s="11"/>
      <c r="AG230" s="187"/>
      <c r="AH230" s="187"/>
      <c r="AI230" s="11"/>
      <c r="AJ230" s="182"/>
      <c r="AK230" s="187"/>
      <c r="AL230" s="183"/>
      <c r="AM230" s="182"/>
      <c r="AN230" s="182"/>
      <c r="AO230" s="187"/>
      <c r="AP230" s="182"/>
      <c r="AQ230" s="215"/>
      <c r="AR230" s="316"/>
      <c r="AS230" s="316"/>
      <c r="AT230" s="182"/>
      <c r="AU230" s="215"/>
      <c r="AV230" s="183"/>
      <c r="AW230" s="183"/>
      <c r="AX230" s="182"/>
      <c r="AY230" s="187"/>
      <c r="AZ230" s="183"/>
      <c r="BA230" s="183"/>
      <c r="BB230" s="182"/>
      <c r="BC230" s="182"/>
      <c r="BD230" s="182"/>
      <c r="BE230" s="26"/>
      <c r="BF230" s="7"/>
      <c r="BG230" s="290"/>
      <c r="BH230" s="188"/>
      <c r="BI230" s="187"/>
      <c r="BJ230" s="182"/>
      <c r="BK230" s="23"/>
      <c r="BL230" s="188"/>
      <c r="BM230" s="187"/>
      <c r="BN230" s="187"/>
      <c r="BO230" s="21"/>
      <c r="BP230" s="7"/>
      <c r="BQ230" s="290"/>
      <c r="BR230" s="187"/>
      <c r="BS230" s="182"/>
      <c r="BT230" s="21"/>
      <c r="BU230" s="23"/>
      <c r="BV230" s="188"/>
      <c r="BW230" s="187"/>
      <c r="BX230" s="182"/>
      <c r="BY230" s="26"/>
      <c r="BZ230" s="7"/>
      <c r="CA230" s="290"/>
      <c r="CB230" s="290"/>
      <c r="CC230" s="182"/>
      <c r="CD230" s="21"/>
      <c r="CE230" s="23"/>
      <c r="CF230" s="290"/>
      <c r="CG230" s="187"/>
      <c r="CH230" s="182"/>
      <c r="CI230" s="26"/>
      <c r="CJ230" s="23"/>
      <c r="CK230" s="290"/>
      <c r="CL230" s="290"/>
      <c r="CM230" s="187"/>
      <c r="CN230" s="182"/>
      <c r="CO230" s="182"/>
      <c r="CP230" s="26"/>
      <c r="CQ230" s="22"/>
      <c r="CR230" s="290"/>
      <c r="CS230" s="187"/>
      <c r="CT230" s="183"/>
      <c r="CU230" s="182"/>
      <c r="CV230" s="187"/>
      <c r="CW230" s="183"/>
      <c r="CX230" s="182"/>
      <c r="CY230" s="182"/>
    </row>
    <row r="231" spans="8:103">
      <c r="H231" s="183"/>
      <c r="I231" s="11"/>
      <c r="J231" s="187"/>
      <c r="K231" s="183"/>
      <c r="L231" s="183"/>
      <c r="M231" s="11"/>
      <c r="N231" s="11"/>
      <c r="O231" s="11"/>
      <c r="P231" s="11"/>
      <c r="Q231" s="215"/>
      <c r="R231" s="215"/>
      <c r="S231" s="182"/>
      <c r="T231" s="215"/>
      <c r="U231" s="182"/>
      <c r="V231" s="182"/>
      <c r="W231" s="183"/>
      <c r="X231" s="183"/>
      <c r="Y231" s="183"/>
      <c r="Z231" s="183"/>
      <c r="AA231" s="182"/>
      <c r="AB231" s="183"/>
      <c r="AC231" s="182"/>
      <c r="AD231" s="187"/>
      <c r="AE231" s="187"/>
      <c r="AF231" s="183"/>
      <c r="AG231" s="187"/>
      <c r="AH231" s="11"/>
      <c r="AI231" s="183"/>
      <c r="AJ231" s="11"/>
      <c r="AK231" s="187"/>
      <c r="AL231" s="182"/>
      <c r="AM231" s="182"/>
      <c r="AN231" s="183"/>
      <c r="AO231" s="187"/>
      <c r="AP231" s="182"/>
      <c r="AQ231" s="183"/>
      <c r="AR231" s="316"/>
      <c r="AS231" s="316"/>
      <c r="AT231" s="182"/>
      <c r="AU231" s="183"/>
      <c r="AV231" s="187"/>
      <c r="AW231" s="183"/>
      <c r="AX231" s="182"/>
      <c r="AY231" s="187"/>
      <c r="AZ231" s="183"/>
      <c r="BA231" s="182"/>
      <c r="BB231" s="183"/>
      <c r="BC231" s="182"/>
      <c r="BD231" s="22"/>
      <c r="BE231" s="26"/>
      <c r="BF231" s="7"/>
      <c r="BG231" s="7"/>
      <c r="BH231" s="28"/>
      <c r="BI231" s="25"/>
      <c r="BJ231" s="28"/>
      <c r="BK231" s="6"/>
      <c r="BL231" s="290"/>
      <c r="BM231" s="182"/>
      <c r="BN231" s="23"/>
      <c r="BO231" s="7"/>
      <c r="BP231" s="6"/>
      <c r="BQ231" s="188"/>
      <c r="BR231" s="187"/>
      <c r="BS231" s="182"/>
      <c r="BT231" s="22"/>
      <c r="BU231" s="26"/>
      <c r="BV231" s="7"/>
      <c r="BW231" s="28"/>
      <c r="BX231" s="25"/>
      <c r="BY231" s="28"/>
      <c r="BZ231" s="6"/>
      <c r="CA231" s="290"/>
      <c r="CB231" s="187"/>
      <c r="CC231" s="183"/>
      <c r="CD231" s="22"/>
      <c r="CE231" s="26"/>
      <c r="CF231" s="7"/>
      <c r="CG231" s="28"/>
      <c r="CH231" s="25"/>
      <c r="CI231" s="28"/>
      <c r="CJ231" s="6"/>
      <c r="CK231" s="290"/>
      <c r="CL231" s="187"/>
      <c r="CM231" s="182"/>
      <c r="CN231" s="183"/>
      <c r="CO231" s="23"/>
      <c r="CP231" s="7"/>
      <c r="CQ231" s="7"/>
      <c r="CR231" s="290"/>
      <c r="CS231" s="187"/>
      <c r="CT231" s="187"/>
      <c r="CU231" s="183"/>
      <c r="CV231" s="182"/>
      <c r="CW231" s="187"/>
      <c r="CX231" s="182"/>
      <c r="CY231" s="182"/>
    </row>
    <row r="232" spans="8:103">
      <c r="H232" s="187"/>
      <c r="I232" s="183"/>
      <c r="J232" s="187"/>
      <c r="K232" s="183"/>
      <c r="L232" s="11"/>
      <c r="M232" s="187"/>
      <c r="N232" s="187"/>
      <c r="O232" s="187"/>
      <c r="P232" s="11"/>
      <c r="Q232" s="11"/>
      <c r="R232" s="182"/>
      <c r="S232" s="183"/>
      <c r="T232" s="182"/>
      <c r="U232" s="215"/>
      <c r="V232" s="11"/>
      <c r="W232" s="11"/>
      <c r="X232" s="187"/>
      <c r="Y232" s="182"/>
      <c r="Z232" s="183"/>
      <c r="AA232" s="182"/>
      <c r="AB232" s="182"/>
      <c r="AC232" s="182"/>
      <c r="AD232" s="187"/>
      <c r="AE232" s="182"/>
      <c r="AF232" s="187"/>
      <c r="AG232" s="11"/>
      <c r="AH232" s="187"/>
      <c r="AI232" s="11"/>
      <c r="AJ232" s="11"/>
      <c r="AK232" s="187"/>
      <c r="AL232" s="187"/>
      <c r="AM232" s="187"/>
      <c r="AN232" s="182"/>
      <c r="AO232" s="182"/>
      <c r="AP232" s="187"/>
      <c r="AQ232" s="182"/>
      <c r="AR232" s="215"/>
      <c r="AS232" s="183"/>
      <c r="AT232" s="182"/>
      <c r="AU232" s="183"/>
      <c r="AV232" s="187"/>
      <c r="AW232" s="187"/>
      <c r="AX232" s="187"/>
      <c r="AY232" s="182"/>
      <c r="AZ232" s="182"/>
      <c r="BA232" s="182"/>
      <c r="BB232" s="187"/>
      <c r="BC232" s="183"/>
      <c r="BD232" s="21"/>
      <c r="BE232" s="22"/>
      <c r="BF232" s="7"/>
      <c r="BG232" s="23"/>
      <c r="BH232" s="6"/>
      <c r="BI232" s="25"/>
      <c r="BJ232" s="193"/>
      <c r="BK232" s="290"/>
      <c r="BL232" s="187"/>
      <c r="BM232" s="182"/>
      <c r="BN232" s="26"/>
      <c r="BO232" s="7"/>
      <c r="BP232" s="6"/>
      <c r="BQ232" s="193"/>
      <c r="BR232" s="188"/>
      <c r="BS232" s="187"/>
      <c r="BT232" s="183"/>
      <c r="BU232" s="21"/>
      <c r="BV232" s="23"/>
      <c r="BW232" s="6"/>
      <c r="BX232" s="22"/>
      <c r="BY232" s="6"/>
      <c r="BZ232" s="290"/>
      <c r="CA232" s="188"/>
      <c r="CB232" s="187"/>
      <c r="CC232" s="187"/>
      <c r="CD232" s="182"/>
      <c r="CE232" s="21"/>
      <c r="CF232" s="23"/>
      <c r="CG232" s="6"/>
      <c r="CH232" s="22"/>
      <c r="CI232" s="6"/>
      <c r="CJ232" s="290"/>
      <c r="CK232" s="188"/>
      <c r="CL232" s="187"/>
      <c r="CM232" s="182"/>
      <c r="CN232" s="182"/>
      <c r="CO232" s="26"/>
      <c r="CP232" s="7"/>
      <c r="CQ232" s="6"/>
      <c r="CR232" s="290"/>
      <c r="CS232" s="187"/>
      <c r="CT232" s="183"/>
      <c r="CU232" s="183"/>
      <c r="CV232" s="182"/>
      <c r="CW232" s="182"/>
      <c r="CX232" s="187"/>
      <c r="CY232" s="183"/>
    </row>
    <row r="233" spans="8:103">
      <c r="H233" s="182"/>
      <c r="I233" s="187"/>
      <c r="J233" s="183"/>
      <c r="K233" s="182"/>
      <c r="L233" s="187"/>
      <c r="M233" s="182"/>
      <c r="N233" s="187"/>
      <c r="O233" s="182"/>
      <c r="P233" s="187"/>
      <c r="Q233" s="182"/>
      <c r="R233" s="182"/>
      <c r="S233" s="183"/>
      <c r="T233" s="182"/>
      <c r="U233" s="182"/>
      <c r="V233" s="182"/>
      <c r="W233" s="187"/>
      <c r="X233" s="182"/>
      <c r="Y233" s="183"/>
      <c r="Z233" s="182"/>
      <c r="AA233" s="182"/>
      <c r="AB233" s="182"/>
      <c r="AC233" s="187"/>
      <c r="AD233" s="182"/>
      <c r="AE233" s="187"/>
      <c r="AF233" s="11"/>
      <c r="AG233" s="187"/>
      <c r="AH233" s="11"/>
      <c r="AI233" s="182"/>
      <c r="AJ233" s="187"/>
      <c r="AK233" s="182"/>
      <c r="AL233" s="187"/>
      <c r="AM233" s="182"/>
      <c r="AN233" s="187"/>
      <c r="AO233" s="182"/>
      <c r="AP233" s="182"/>
      <c r="AQ233" s="187"/>
      <c r="AR233" s="182"/>
      <c r="AS233" s="182"/>
      <c r="AT233" s="183"/>
      <c r="AU233" s="182"/>
      <c r="AV233" s="187"/>
      <c r="AW233" s="182"/>
      <c r="AX233" s="182"/>
      <c r="AY233" s="183"/>
      <c r="AZ233" s="182"/>
      <c r="BA233" s="183"/>
      <c r="BB233" s="182"/>
      <c r="BC233" s="187"/>
      <c r="BD233" s="188"/>
      <c r="BE233" s="290"/>
      <c r="BF233" s="290"/>
      <c r="BG233" s="290"/>
      <c r="BH233" s="290"/>
      <c r="BI233" s="290"/>
      <c r="BJ233" s="290"/>
      <c r="BK233" s="187"/>
      <c r="BL233" s="182"/>
      <c r="BM233" s="183"/>
      <c r="BN233" s="187"/>
      <c r="BO233" s="290"/>
      <c r="BP233" s="290"/>
      <c r="BQ233" s="290"/>
      <c r="BR233" s="290"/>
      <c r="BS233" s="187"/>
      <c r="BT233" s="182"/>
      <c r="BU233" s="182"/>
      <c r="BV233" s="187"/>
      <c r="BW233" s="188"/>
      <c r="BX233" s="290"/>
      <c r="BY233" s="290"/>
      <c r="BZ233" s="188"/>
      <c r="CA233" s="182"/>
      <c r="CB233" s="183"/>
      <c r="CC233" s="182"/>
      <c r="CD233" s="183"/>
      <c r="CE233" s="182"/>
      <c r="CF233" s="187"/>
      <c r="CG233" s="290"/>
      <c r="CH233" s="290"/>
      <c r="CI233" s="290"/>
      <c r="CJ233" s="188"/>
      <c r="CK233" s="187"/>
      <c r="CL233" s="182"/>
      <c r="CM233" s="182"/>
      <c r="CN233" s="183"/>
      <c r="CO233" s="187"/>
      <c r="CP233" s="188"/>
      <c r="CQ233" s="290"/>
      <c r="CR233" s="188"/>
      <c r="CS233" s="187"/>
      <c r="CT233" s="182"/>
      <c r="CU233" s="183"/>
      <c r="CV233" s="183"/>
      <c r="CW233" s="183"/>
      <c r="CX233" s="182"/>
      <c r="CY233" s="183"/>
    </row>
    <row r="241" spans="25:86">
      <c r="AP241" s="942"/>
      <c r="AQ241" s="939"/>
      <c r="AR241" s="942"/>
      <c r="AS241" s="942"/>
      <c r="AT241" s="941"/>
      <c r="AU241" s="941"/>
      <c r="AV241" s="942"/>
      <c r="AW241" s="942"/>
      <c r="AX241" s="941"/>
      <c r="AY241" s="932"/>
      <c r="AZ241" s="943"/>
      <c r="BA241" s="945"/>
      <c r="BB241" s="945"/>
      <c r="BC241" s="943"/>
      <c r="BD241" s="943"/>
      <c r="BE241" s="943"/>
      <c r="BF241" s="943"/>
      <c r="BG241" s="928"/>
      <c r="BH241" s="942"/>
      <c r="BI241" s="942"/>
      <c r="BJ241" s="942"/>
      <c r="BK241" s="942"/>
      <c r="BO241" s="941"/>
      <c r="BP241" s="942"/>
      <c r="BQ241" s="939"/>
      <c r="BR241" s="939"/>
      <c r="BS241" s="941"/>
    </row>
    <row r="242" spans="25:86">
      <c r="AK242" s="939"/>
      <c r="AL242" s="941"/>
      <c r="AM242" s="942"/>
      <c r="AN242" s="942"/>
      <c r="AO242" s="939"/>
      <c r="AP242" s="941"/>
      <c r="AQ242" s="941"/>
      <c r="AR242" s="942"/>
      <c r="AS242" s="942"/>
      <c r="AT242" s="941"/>
      <c r="AU242" s="939"/>
      <c r="AV242" s="939"/>
      <c r="AW242" s="932"/>
      <c r="AX242" s="928"/>
      <c r="AY242" s="932"/>
      <c r="AZ242" s="942"/>
      <c r="BA242" s="939"/>
      <c r="BB242" s="939"/>
      <c r="BC242" s="939"/>
      <c r="BD242" s="939"/>
      <c r="BE242" s="941"/>
      <c r="BF242" s="941"/>
      <c r="BG242" s="928"/>
      <c r="BH242" s="928"/>
      <c r="BI242" s="928"/>
      <c r="BJ242" s="939"/>
      <c r="BK242" s="939"/>
      <c r="BO242" s="939"/>
      <c r="BP242" s="941"/>
      <c r="BQ242" s="942"/>
      <c r="BR242" s="941"/>
      <c r="BS242" s="939"/>
    </row>
    <row r="243" spans="25:86">
      <c r="AI243" s="942"/>
      <c r="AJ243" s="941"/>
      <c r="AK243" s="942"/>
      <c r="AL243" s="942"/>
      <c r="AM243" s="943"/>
      <c r="AN243" s="945"/>
      <c r="AO243" s="943"/>
      <c r="AP243" s="943"/>
      <c r="AQ243" s="941"/>
      <c r="AS243" s="941"/>
      <c r="AT243" s="939"/>
      <c r="AU243" s="945"/>
      <c r="AV243" s="945"/>
      <c r="AW243" s="937"/>
      <c r="AX243" s="932"/>
      <c r="AY243" s="932"/>
      <c r="AZ243" s="941"/>
      <c r="BA243" s="939"/>
      <c r="BB243" s="941"/>
      <c r="BC243" s="941"/>
      <c r="BD243" s="941"/>
      <c r="BE243" s="939"/>
      <c r="BF243" s="939"/>
      <c r="BG243" s="932"/>
      <c r="BH243" s="932"/>
      <c r="BI243" s="928"/>
      <c r="BJ243" s="940"/>
      <c r="BK243" s="941"/>
      <c r="BO243" s="945"/>
      <c r="BP243" s="945"/>
      <c r="BQ243" s="943"/>
      <c r="BR243" s="939"/>
      <c r="BS243" s="942"/>
      <c r="BT243" s="941"/>
      <c r="BU243" s="941"/>
      <c r="BV243" s="942"/>
      <c r="BW243" s="939"/>
      <c r="BX243" s="942"/>
    </row>
    <row r="244" spans="25:86">
      <c r="AH244" s="939"/>
      <c r="AI244" s="942"/>
      <c r="AJ244" s="939"/>
      <c r="AK244" s="943"/>
      <c r="AL244" s="945"/>
      <c r="AM244" s="943"/>
      <c r="AN244" s="939"/>
      <c r="AO244" s="941"/>
      <c r="AP244" s="292"/>
      <c r="AQ244" s="941"/>
      <c r="AS244" s="941"/>
      <c r="AT244" s="945"/>
      <c r="AU244" s="943"/>
      <c r="AV244" s="939"/>
      <c r="AW244" s="937"/>
      <c r="AX244" s="928"/>
      <c r="AY244" s="932"/>
      <c r="AZ244" s="941"/>
      <c r="BA244" s="942"/>
      <c r="BB244" s="941"/>
      <c r="BC244" s="942"/>
      <c r="BD244" s="942"/>
      <c r="BE244" s="941"/>
      <c r="BF244" s="941"/>
      <c r="BG244" s="932"/>
      <c r="BH244" s="928"/>
      <c r="BI244" s="932"/>
      <c r="BJ244" s="941"/>
      <c r="BK244" s="941"/>
      <c r="BL244" s="940"/>
      <c r="BM244" s="941"/>
      <c r="BN244" s="942"/>
      <c r="BO244" s="941"/>
      <c r="BP244" s="945"/>
      <c r="BQ244" s="939"/>
      <c r="BR244" s="945"/>
      <c r="BS244" s="943"/>
      <c r="BT244" s="939"/>
      <c r="BU244" s="941"/>
      <c r="BV244" s="941"/>
      <c r="BW244" s="941"/>
      <c r="BX244" s="942"/>
    </row>
    <row r="245" spans="25:86">
      <c r="AG245" s="939"/>
      <c r="AH245" s="942"/>
      <c r="AI245" s="943"/>
      <c r="AJ245" s="945"/>
      <c r="AK245" s="943"/>
      <c r="AL245" s="943"/>
      <c r="AM245" s="939"/>
      <c r="AN245" s="941"/>
      <c r="AO245" s="292"/>
      <c r="AP245" s="941"/>
      <c r="AQ245" s="939"/>
      <c r="AR245" s="942"/>
      <c r="AS245" s="945"/>
      <c r="AT245" s="943"/>
      <c r="AU245" s="939"/>
      <c r="AV245" s="941"/>
      <c r="AW245" s="932"/>
      <c r="AX245" s="937"/>
      <c r="AY245" s="932"/>
      <c r="AZ245" s="941"/>
      <c r="BA245" s="942"/>
      <c r="BB245" s="939"/>
      <c r="BC245" s="939"/>
      <c r="BD245" s="941"/>
      <c r="BE245" s="942"/>
      <c r="BF245" s="942"/>
      <c r="BG245" s="932"/>
      <c r="BH245" s="937"/>
      <c r="BI245" s="932"/>
      <c r="BJ245" s="941"/>
      <c r="BK245" s="941"/>
      <c r="BL245" s="940"/>
      <c r="BM245" s="940"/>
      <c r="BN245" s="941"/>
      <c r="BO245" s="942"/>
      <c r="BP245" s="942"/>
      <c r="BQ245" s="945"/>
      <c r="BR245" s="943"/>
      <c r="BS245" s="939"/>
      <c r="BT245" s="942"/>
      <c r="BU245" s="939"/>
      <c r="BV245" s="939"/>
      <c r="BW245" s="292"/>
      <c r="BX245" s="941"/>
      <c r="BY245" s="941"/>
      <c r="BZ245" s="942"/>
    </row>
    <row r="246" spans="25:86">
      <c r="AG246" s="939"/>
      <c r="AH246" s="945"/>
      <c r="AI246" s="943"/>
      <c r="AJ246" s="943"/>
      <c r="AN246" s="941"/>
      <c r="AO246" s="292"/>
      <c r="AP246" s="941"/>
      <c r="AR246" s="942"/>
      <c r="AS246" s="945"/>
      <c r="AT246" s="943"/>
      <c r="AU246" s="939"/>
      <c r="AV246" s="941"/>
      <c r="AW246" s="932"/>
      <c r="AX246" s="932"/>
      <c r="AY246" s="932"/>
      <c r="AZ246" s="941"/>
      <c r="BA246" s="939"/>
      <c r="BB246" s="941"/>
      <c r="BC246" s="942"/>
      <c r="BD246" s="942"/>
      <c r="BE246" s="941"/>
      <c r="BF246" s="939"/>
      <c r="BG246" s="932"/>
      <c r="BH246" s="928"/>
      <c r="BI246" s="932"/>
      <c r="BJ246" s="941"/>
      <c r="BK246" s="942"/>
      <c r="BL246" s="941"/>
      <c r="BM246" s="940"/>
      <c r="BN246" s="941"/>
      <c r="BO246" s="939"/>
      <c r="BP246" s="939"/>
      <c r="BQ246" s="945"/>
      <c r="BR246" s="943"/>
      <c r="BS246" s="939"/>
      <c r="BT246" s="941"/>
      <c r="BU246" s="942"/>
      <c r="BV246" s="942"/>
      <c r="BW246" s="939"/>
      <c r="BX246" s="941"/>
      <c r="BY246" s="941"/>
      <c r="BZ246" s="941"/>
      <c r="CA246" s="939"/>
      <c r="CB246" s="941"/>
    </row>
    <row r="247" spans="25:86">
      <c r="AF247" s="939"/>
      <c r="AG247" s="945"/>
      <c r="AH247" s="943"/>
      <c r="AI247" s="942"/>
      <c r="AJ247" s="939"/>
      <c r="AN247" s="292"/>
      <c r="AO247" s="941"/>
      <c r="AQ247" s="942"/>
      <c r="AR247" s="945"/>
      <c r="AS247" s="943"/>
      <c r="AT247" s="939"/>
      <c r="AU247" s="939"/>
      <c r="AV247" s="942"/>
      <c r="AW247" s="932"/>
      <c r="AX247" s="937"/>
      <c r="AY247" s="932"/>
      <c r="AZ247" s="941"/>
      <c r="BA247" s="942"/>
      <c r="BB247" s="939"/>
      <c r="BC247" s="941"/>
      <c r="BD247" s="942"/>
      <c r="BE247" s="942"/>
      <c r="BF247" s="942"/>
      <c r="BG247" s="932"/>
      <c r="BH247" s="937"/>
      <c r="BI247" s="932"/>
      <c r="BJ247" s="941"/>
      <c r="BK247" s="942"/>
      <c r="BL247" s="942"/>
      <c r="BM247" s="941"/>
      <c r="BN247" s="292"/>
      <c r="BO247" s="941"/>
      <c r="BP247" s="939"/>
      <c r="BQ247" s="942"/>
      <c r="BR247" s="945"/>
      <c r="BS247" s="943"/>
      <c r="BT247" s="939"/>
      <c r="BU247" s="941"/>
      <c r="BV247" s="941"/>
      <c r="BW247" s="939"/>
      <c r="BX247" s="942"/>
      <c r="BY247" s="942"/>
      <c r="BZ247" s="292"/>
      <c r="CA247" s="941"/>
      <c r="CB247" s="941"/>
    </row>
    <row r="248" spans="25:86">
      <c r="AD248" s="942"/>
      <c r="AE248" s="942"/>
      <c r="AF248" s="945"/>
      <c r="AG248" s="943"/>
      <c r="AH248" s="942"/>
      <c r="AM248" s="942"/>
      <c r="AN248" s="292"/>
      <c r="AO248" s="941"/>
      <c r="AQ248" s="942"/>
      <c r="AR248" s="945"/>
      <c r="AS248" s="939"/>
      <c r="AT248" s="942"/>
      <c r="AU248" s="942"/>
      <c r="AV248" s="939"/>
      <c r="AW248" s="936"/>
      <c r="AX248" s="935"/>
      <c r="AY248" s="934"/>
      <c r="AZ248" s="941"/>
      <c r="BA248" s="942"/>
      <c r="BB248" s="942"/>
      <c r="BC248" s="942"/>
      <c r="BD248" s="941"/>
      <c r="BE248" s="942"/>
      <c r="BF248" s="941"/>
      <c r="BG248" s="936"/>
      <c r="BH248" s="935"/>
      <c r="BI248" s="934"/>
      <c r="BJ248" s="942"/>
      <c r="BK248" s="942"/>
      <c r="BL248" s="941"/>
      <c r="BM248" s="941"/>
      <c r="BN248" s="292"/>
      <c r="BO248" s="941"/>
      <c r="BP248" s="941"/>
      <c r="BQ248" s="939"/>
      <c r="BR248" s="945"/>
      <c r="BS248" s="943"/>
      <c r="BT248" s="939"/>
      <c r="BU248" s="942"/>
      <c r="BV248" s="942"/>
      <c r="BW248" s="942"/>
      <c r="BX248" s="939"/>
      <c r="BY248" s="942"/>
      <c r="BZ248" s="942"/>
      <c r="CA248" s="941"/>
      <c r="CB248" s="941"/>
      <c r="CC248" s="941"/>
    </row>
    <row r="249" spans="25:86">
      <c r="AC249" s="942"/>
      <c r="AD249" s="939"/>
      <c r="AE249" s="945"/>
      <c r="AF249" s="943"/>
      <c r="AG249" s="939"/>
      <c r="AK249" s="942"/>
      <c r="AL249" s="941"/>
      <c r="AM249" s="292"/>
      <c r="AN249" s="292"/>
      <c r="AO249" s="941"/>
      <c r="AQ249" s="937"/>
      <c r="AR249" s="929"/>
      <c r="AS249" s="937"/>
      <c r="AT249" s="932"/>
      <c r="AU249" s="932"/>
      <c r="AV249" s="936"/>
      <c r="AW249" s="717"/>
      <c r="AX249" s="718"/>
      <c r="AY249" s="717"/>
      <c r="AZ249" s="160"/>
      <c r="BA249" s="941"/>
      <c r="BB249" s="942"/>
      <c r="BC249" s="929"/>
      <c r="BD249" s="942"/>
      <c r="BE249" s="941"/>
      <c r="BF249" s="936"/>
      <c r="BG249" s="717"/>
      <c r="BH249" s="718"/>
      <c r="BI249" s="717"/>
      <c r="BJ249" s="160"/>
      <c r="BK249" s="937"/>
      <c r="BL249" s="932"/>
      <c r="BM249" s="932"/>
      <c r="BN249" s="163"/>
      <c r="BO249" s="161"/>
      <c r="BP249" s="941"/>
      <c r="BQ249" s="941"/>
      <c r="BR249" s="939"/>
      <c r="BS249" s="945"/>
      <c r="BT249" s="943"/>
      <c r="BU249" s="939"/>
      <c r="BV249" s="939"/>
      <c r="BW249" s="941"/>
      <c r="BX249" s="942"/>
      <c r="BY249" s="942"/>
      <c r="BZ249" s="942"/>
      <c r="CA249" s="942"/>
      <c r="CB249" s="941"/>
      <c r="CC249" s="941"/>
      <c r="CD249" s="942"/>
      <c r="CE249" s="941"/>
    </row>
    <row r="250" spans="25:86">
      <c r="AB250" s="941"/>
      <c r="AC250" s="939"/>
      <c r="AD250" s="945"/>
      <c r="AE250" s="943"/>
      <c r="AF250" s="941"/>
      <c r="AG250" s="942"/>
      <c r="AJ250" s="939"/>
      <c r="AK250" s="941"/>
      <c r="AL250" s="292"/>
      <c r="AM250" s="941"/>
      <c r="AN250" s="941"/>
      <c r="AQ250" s="932"/>
      <c r="AR250" s="932"/>
      <c r="AS250" s="929"/>
      <c r="AT250" s="932"/>
      <c r="AU250" s="937"/>
      <c r="AV250" s="935"/>
      <c r="AW250" s="718"/>
      <c r="AX250" s="719"/>
      <c r="AY250" s="718"/>
      <c r="AZ250" s="160"/>
      <c r="BA250" s="932"/>
      <c r="BB250" s="929"/>
      <c r="BC250" s="941"/>
      <c r="BD250" s="937"/>
      <c r="BE250" s="932"/>
      <c r="BF250" s="935"/>
      <c r="BG250" s="718"/>
      <c r="BH250" s="719"/>
      <c r="BI250" s="718"/>
      <c r="BJ250" s="160"/>
      <c r="BK250" s="928"/>
      <c r="BL250" s="932"/>
      <c r="BM250" s="928"/>
      <c r="BN250" s="163"/>
      <c r="BO250" s="161"/>
      <c r="BP250" s="941"/>
      <c r="BQ250" s="941"/>
      <c r="BR250" s="942"/>
      <c r="BS250" s="939"/>
      <c r="BT250" s="939"/>
      <c r="BU250" s="945"/>
      <c r="BV250" s="943"/>
      <c r="BW250" s="939"/>
      <c r="BX250" s="942"/>
      <c r="BY250" s="941"/>
      <c r="BZ250" s="941"/>
      <c r="CA250" s="942"/>
      <c r="CB250" s="941"/>
      <c r="CC250" s="292"/>
      <c r="CD250" s="941"/>
      <c r="CE250" s="941"/>
      <c r="CF250" s="942"/>
    </row>
    <row r="251" spans="25:86">
      <c r="AB251" s="941"/>
      <c r="AC251" s="945"/>
      <c r="AD251" s="943"/>
      <c r="AE251" s="943"/>
      <c r="AF251" s="939"/>
      <c r="AI251" s="939"/>
      <c r="AJ251" s="941"/>
      <c r="AK251" s="292"/>
      <c r="AL251" s="941"/>
      <c r="AM251" s="941"/>
      <c r="AQ251" s="937"/>
      <c r="AR251" s="929"/>
      <c r="AS251" s="937"/>
      <c r="AT251" s="932"/>
      <c r="AU251" s="932"/>
      <c r="AV251" s="934"/>
      <c r="AW251" s="717"/>
      <c r="AX251" s="718"/>
      <c r="AY251" s="717"/>
      <c r="AZ251" s="160"/>
      <c r="BA251" s="941"/>
      <c r="BB251" s="941"/>
      <c r="BC251" s="939"/>
      <c r="BD251" s="942"/>
      <c r="BE251" s="941"/>
      <c r="BF251" s="934"/>
      <c r="BG251" s="717"/>
      <c r="BH251" s="718"/>
      <c r="BI251" s="717"/>
      <c r="BJ251" s="160"/>
      <c r="BK251" s="937"/>
      <c r="BL251" s="932"/>
      <c r="BM251" s="932"/>
      <c r="BN251" s="163"/>
      <c r="BO251" s="161"/>
      <c r="BP251" s="941"/>
      <c r="BQ251" s="942"/>
      <c r="BR251" s="942"/>
      <c r="BS251" s="939"/>
      <c r="BT251" s="942"/>
      <c r="BU251" s="939"/>
      <c r="BV251" s="943"/>
      <c r="BW251" s="943"/>
      <c r="BX251" s="939"/>
      <c r="BY251" s="942"/>
      <c r="BZ251" s="939"/>
      <c r="CA251" s="942"/>
      <c r="CB251" s="942"/>
      <c r="CC251" s="941"/>
      <c r="CD251" s="292"/>
      <c r="CE251" s="941"/>
      <c r="CF251" s="941"/>
    </row>
    <row r="252" spans="25:86">
      <c r="AB252" s="945"/>
      <c r="AC252" s="943"/>
      <c r="AD252" s="943"/>
      <c r="AE252" s="942"/>
      <c r="AH252" s="939"/>
      <c r="AI252" s="941"/>
      <c r="AJ252" s="292"/>
      <c r="AQ252" s="942"/>
      <c r="AR252" s="945"/>
      <c r="AS252" s="943"/>
      <c r="AT252" s="942"/>
      <c r="AU252" s="939"/>
      <c r="AV252" s="942"/>
      <c r="AW252" s="160"/>
      <c r="AX252" s="160"/>
      <c r="AY252" s="160"/>
      <c r="AZ252" s="292"/>
      <c r="BA252" s="942"/>
      <c r="BB252" s="941"/>
      <c r="BC252" s="944"/>
      <c r="BD252" s="941"/>
      <c r="BE252" s="942"/>
      <c r="BF252" s="942"/>
      <c r="BG252" s="160"/>
      <c r="BH252" s="160"/>
      <c r="BI252" s="160"/>
      <c r="BJ252" s="292"/>
      <c r="BK252" s="942"/>
      <c r="BL252" s="939"/>
      <c r="BM252" s="941"/>
      <c r="BN252" s="292"/>
      <c r="BO252" s="941"/>
      <c r="BP252" s="941"/>
      <c r="BV252" s="941"/>
      <c r="BW252" s="943"/>
      <c r="BX252" s="943"/>
      <c r="BY252" s="939"/>
      <c r="BZ252" s="939"/>
      <c r="CA252" s="942"/>
      <c r="CB252" s="942"/>
      <c r="CC252" s="942"/>
      <c r="CD252" s="941"/>
      <c r="CE252" s="292"/>
      <c r="CF252" s="941"/>
      <c r="CG252" s="941"/>
    </row>
    <row r="253" spans="25:86">
      <c r="AA253" s="939"/>
      <c r="AB253" s="945"/>
      <c r="AC253" s="943"/>
      <c r="AD253" s="942"/>
      <c r="AG253" s="942"/>
      <c r="AH253" s="941"/>
      <c r="AI253" s="292"/>
      <c r="AJ253" s="941"/>
      <c r="AQ253" s="942"/>
      <c r="AR253" s="945"/>
      <c r="AS253" s="943"/>
      <c r="AT253" s="939"/>
      <c r="AU253" s="943"/>
      <c r="AV253" s="943"/>
      <c r="AW253" s="939"/>
      <c r="AX253" s="942"/>
      <c r="AY253" s="939"/>
      <c r="AZ253" s="942"/>
      <c r="BA253" s="939"/>
      <c r="BB253" s="941"/>
      <c r="BC253" s="944"/>
      <c r="BD253" s="941"/>
      <c r="BE253" s="942"/>
      <c r="BF253" s="941"/>
      <c r="BG253" s="941"/>
      <c r="BH253" s="941"/>
      <c r="BI253" s="939"/>
      <c r="BJ253" s="943"/>
      <c r="BK253" s="943"/>
      <c r="BL253" s="942"/>
      <c r="BM253" s="941"/>
      <c r="BN253" s="292"/>
      <c r="BO253" s="941"/>
      <c r="BP253" s="941"/>
      <c r="BV253" s="942"/>
      <c r="BW253" s="939"/>
      <c r="BX253" s="945"/>
      <c r="BY253" s="943"/>
      <c r="BZ253" s="943"/>
      <c r="CA253" s="939"/>
      <c r="CC253" s="942"/>
      <c r="CD253" s="941"/>
      <c r="CE253" s="292"/>
      <c r="CF253" s="941"/>
      <c r="CG253" s="941"/>
    </row>
    <row r="254" spans="25:86">
      <c r="Z254" s="942"/>
      <c r="AA254" s="945"/>
      <c r="AB254" s="943"/>
      <c r="AC254" s="939"/>
      <c r="AD254" s="942"/>
      <c r="AF254" s="941"/>
      <c r="AG254" s="292"/>
      <c r="AH254" s="941"/>
      <c r="AQ254" s="939"/>
      <c r="AR254" s="945"/>
      <c r="AS254" s="943"/>
      <c r="AT254" s="941"/>
      <c r="AU254" s="939"/>
      <c r="AV254" s="943"/>
      <c r="AW254" s="942"/>
      <c r="AX254" s="941"/>
      <c r="AY254" s="941"/>
      <c r="AZ254" s="939"/>
      <c r="BA254" s="939"/>
      <c r="BB254" s="940"/>
      <c r="BC254" s="942"/>
      <c r="BD254" s="940"/>
      <c r="BE254" s="941"/>
      <c r="BF254" s="939"/>
      <c r="BG254" s="941"/>
      <c r="BH254" s="941"/>
      <c r="BI254" s="939"/>
      <c r="BJ254" s="943"/>
      <c r="BK254" s="939"/>
      <c r="BL254" s="942"/>
      <c r="BM254" s="941"/>
      <c r="BN254" s="292"/>
      <c r="BO254" s="941"/>
      <c r="BP254" s="941"/>
      <c r="BX254" s="939"/>
      <c r="BY254" s="945"/>
      <c r="BZ254" s="943"/>
      <c r="CA254" s="939"/>
      <c r="CB254" s="941"/>
      <c r="CC254" s="939"/>
      <c r="CD254" s="942"/>
      <c r="CE254" s="941"/>
      <c r="CF254" s="292"/>
      <c r="CG254" s="941"/>
      <c r="CH254" s="939"/>
    </row>
    <row r="255" spans="25:86">
      <c r="Y255" s="941"/>
      <c r="Z255" s="943"/>
      <c r="AA255" s="943"/>
      <c r="AB255" s="942"/>
      <c r="AC255" s="939"/>
      <c r="AF255" s="941"/>
      <c r="AG255" s="292"/>
      <c r="AH255" s="941"/>
      <c r="AQ255" s="942"/>
      <c r="AR255" s="939"/>
      <c r="AS255" s="945"/>
      <c r="AT255" s="939"/>
      <c r="AU255" s="941"/>
      <c r="AV255" s="941"/>
      <c r="AW255" s="942"/>
      <c r="AX255" s="941"/>
      <c r="AY255" s="941"/>
      <c r="AZ255" s="942"/>
      <c r="BA255" s="940"/>
      <c r="BB255" s="940"/>
      <c r="BC255" s="941"/>
      <c r="BD255" s="940"/>
      <c r="BE255" s="940"/>
      <c r="BF255" s="942"/>
      <c r="BG255" s="941"/>
      <c r="BH255" s="942"/>
      <c r="BI255" s="941"/>
      <c r="BJ255" s="939"/>
      <c r="BK255" s="939"/>
      <c r="BL255" s="941"/>
      <c r="BM255" s="940"/>
      <c r="BN255" s="941"/>
      <c r="BO255" s="941"/>
      <c r="BP255" s="941"/>
      <c r="BX255" s="942"/>
      <c r="BY255" s="939"/>
      <c r="BZ255" s="945"/>
      <c r="CA255" s="943"/>
      <c r="CD255" s="942"/>
      <c r="CE255" s="941"/>
      <c r="CF255" s="292"/>
      <c r="CG255" s="941"/>
      <c r="CH255" s="941"/>
    </row>
    <row r="256" spans="25:86">
      <c r="Y256" s="942"/>
      <c r="Z256" s="945"/>
      <c r="AA256" s="943"/>
      <c r="AE256" s="941"/>
      <c r="AF256" s="292"/>
      <c r="AG256" s="941"/>
      <c r="AS256" s="945"/>
      <c r="AT256" s="941"/>
      <c r="AU256" s="941"/>
      <c r="AV256" s="941"/>
      <c r="AW256" s="941"/>
      <c r="AX256" s="939"/>
      <c r="AY256" s="942"/>
      <c r="AZ256" s="939"/>
      <c r="BA256" s="941"/>
      <c r="BB256" s="940"/>
      <c r="BC256" s="941"/>
      <c r="BD256" s="940"/>
      <c r="BE256" s="941"/>
      <c r="BF256" s="941"/>
      <c r="BG256" s="941"/>
      <c r="BH256" s="939"/>
      <c r="BI256" s="942"/>
      <c r="BJ256" s="941"/>
      <c r="BK256" s="941"/>
      <c r="BL256" s="941"/>
      <c r="BM256" s="940"/>
      <c r="BN256" s="941"/>
      <c r="BO256" s="941"/>
      <c r="BX256" s="939"/>
      <c r="BY256" s="941"/>
      <c r="BZ256" s="943"/>
      <c r="CA256" s="945"/>
      <c r="CB256" s="943"/>
      <c r="CC256" s="942"/>
      <c r="CD256" s="939"/>
      <c r="CE256" s="942"/>
      <c r="CF256" s="941"/>
      <c r="CG256" s="292"/>
      <c r="CH256" s="941"/>
    </row>
    <row r="257" spans="24:87">
      <c r="X257" s="939"/>
      <c r="Y257" s="943"/>
      <c r="Z257" s="943"/>
      <c r="AE257" s="941"/>
      <c r="AF257" s="292"/>
      <c r="AG257" s="941"/>
      <c r="AS257" s="942"/>
      <c r="AT257" s="945"/>
      <c r="AU257" s="941"/>
      <c r="AV257" s="942"/>
      <c r="AW257" s="941"/>
      <c r="AX257" s="941"/>
      <c r="AY257" s="942"/>
      <c r="AZ257" s="942"/>
      <c r="BA257" s="941"/>
      <c r="BB257" s="941"/>
      <c r="BC257" s="939"/>
      <c r="BD257" s="942"/>
      <c r="BE257" s="942"/>
      <c r="BF257" s="941"/>
      <c r="BG257" s="942"/>
      <c r="BH257" s="941"/>
      <c r="BI257" s="941"/>
      <c r="BJ257" s="941"/>
      <c r="BK257" s="941"/>
      <c r="BL257" s="940"/>
      <c r="BM257" s="941"/>
      <c r="BN257" s="941"/>
      <c r="BO257" s="941"/>
      <c r="BZ257" s="942"/>
      <c r="CA257" s="945"/>
      <c r="CB257" s="943"/>
      <c r="CC257" s="939"/>
      <c r="CD257" s="942"/>
      <c r="CE257" s="941"/>
      <c r="CF257" s="941"/>
      <c r="CG257" s="941"/>
      <c r="CH257" s="292"/>
      <c r="CI257" s="941"/>
    </row>
    <row r="258" spans="24:87">
      <c r="X258" s="941"/>
      <c r="Y258" s="945"/>
      <c r="Z258" s="939"/>
      <c r="AD258" s="941"/>
      <c r="AE258" s="292"/>
      <c r="AF258" s="941"/>
      <c r="AS258" s="942"/>
      <c r="AT258" s="942"/>
      <c r="AU258" s="945"/>
      <c r="AV258" s="943"/>
      <c r="AW258" s="939"/>
      <c r="AX258" s="941"/>
      <c r="AY258" s="941"/>
      <c r="AZ258" s="941"/>
      <c r="BA258" s="941"/>
      <c r="BB258" s="941"/>
      <c r="BC258" s="941"/>
      <c r="BD258" s="941"/>
      <c r="BE258" s="941"/>
      <c r="BF258" s="941"/>
      <c r="BG258" s="941"/>
      <c r="BH258" s="941"/>
      <c r="BI258" s="941"/>
      <c r="BJ258" s="940"/>
      <c r="BK258" s="940"/>
      <c r="BL258" s="941"/>
      <c r="BM258" s="941"/>
      <c r="BN258" s="941"/>
      <c r="CA258" s="939"/>
      <c r="CB258" s="945"/>
      <c r="CC258" s="943"/>
      <c r="CD258" s="939"/>
      <c r="CE258" s="941"/>
      <c r="CF258" s="941"/>
      <c r="CG258" s="941"/>
      <c r="CH258" s="292"/>
      <c r="CI258" s="941"/>
    </row>
    <row r="259" spans="24:87">
      <c r="X259" s="941"/>
      <c r="Y259" s="943"/>
      <c r="AD259" s="941"/>
      <c r="AE259" s="292"/>
      <c r="AF259" s="941"/>
      <c r="AS259" s="942"/>
      <c r="AT259" s="939"/>
      <c r="AU259" s="941"/>
      <c r="AV259" s="945"/>
      <c r="AW259" s="943"/>
      <c r="AX259" s="943"/>
      <c r="AY259" s="941"/>
      <c r="AZ259" s="939"/>
      <c r="BA259" s="941"/>
      <c r="BB259" s="941"/>
      <c r="BC259" s="941"/>
      <c r="BD259" s="941"/>
      <c r="BE259" s="941"/>
      <c r="BF259" s="942"/>
      <c r="BG259" s="943"/>
      <c r="BH259" s="943"/>
      <c r="BI259" s="939"/>
      <c r="BJ259" s="940"/>
      <c r="BK259" s="941"/>
      <c r="BL259" s="941"/>
      <c r="BM259" s="941"/>
      <c r="CB259" s="945"/>
      <c r="CC259" s="943"/>
      <c r="CD259" s="939"/>
      <c r="CE259" s="942"/>
      <c r="CF259" s="942"/>
      <c r="CG259" s="941"/>
      <c r="CH259" s="292"/>
      <c r="CI259" s="941"/>
    </row>
    <row r="260" spans="24:87">
      <c r="X260" s="945"/>
      <c r="Y260" s="942"/>
      <c r="Z260" s="941"/>
      <c r="AA260" s="939"/>
      <c r="AB260" s="942"/>
      <c r="AC260" s="941"/>
      <c r="AD260" s="292"/>
      <c r="AE260" s="941"/>
      <c r="AS260" s="942"/>
      <c r="AT260" s="941"/>
      <c r="AU260" s="939"/>
      <c r="AV260" s="945"/>
      <c r="AW260" s="943"/>
      <c r="AX260" s="939"/>
      <c r="AY260" s="941"/>
      <c r="AZ260" s="945"/>
      <c r="BA260" s="944"/>
      <c r="BB260" s="944"/>
      <c r="BC260" s="943"/>
      <c r="BD260" s="939"/>
      <c r="BE260" s="939"/>
      <c r="BF260" s="941"/>
      <c r="BG260" s="942"/>
      <c r="BH260" s="943"/>
      <c r="BI260" s="939"/>
      <c r="BJ260" s="940"/>
      <c r="BK260" s="941"/>
      <c r="BL260" s="942"/>
      <c r="BM260" s="939"/>
      <c r="CB260" s="943"/>
      <c r="CC260" s="945"/>
      <c r="CD260" s="943"/>
      <c r="CE260" s="939"/>
      <c r="CF260" s="941"/>
      <c r="CG260" s="942"/>
      <c r="CH260" s="941"/>
      <c r="CI260" s="292"/>
    </row>
    <row r="261" spans="24:87">
      <c r="X261" s="943"/>
      <c r="Y261" s="942"/>
      <c r="Z261" s="941"/>
      <c r="AA261" s="941"/>
      <c r="AB261" s="941"/>
      <c r="AC261" s="941"/>
      <c r="AD261" s="292"/>
      <c r="AE261" s="941"/>
      <c r="AS261" s="942"/>
      <c r="AT261" s="939"/>
      <c r="AU261" s="939"/>
      <c r="AV261" s="945"/>
      <c r="AW261" s="943"/>
      <c r="AX261" s="939"/>
      <c r="AY261" s="941"/>
      <c r="AZ261" s="945"/>
      <c r="BA261" s="944"/>
      <c r="BB261" s="944"/>
      <c r="BC261" s="943"/>
      <c r="BD261" s="939"/>
      <c r="BE261" s="939"/>
      <c r="BF261" s="941"/>
      <c r="BG261" s="942"/>
      <c r="BH261" s="943"/>
      <c r="BI261" s="939"/>
      <c r="BJ261" s="940"/>
      <c r="BK261" s="941"/>
      <c r="BL261" s="941"/>
      <c r="CB261" s="942"/>
      <c r="CC261" s="945"/>
      <c r="CD261" s="943"/>
      <c r="CE261" s="941"/>
      <c r="CF261" s="941"/>
      <c r="CG261" s="941"/>
      <c r="CH261" s="941"/>
      <c r="CI261" s="292"/>
    </row>
    <row r="262" spans="24:87">
      <c r="X262" s="942"/>
      <c r="Y262" s="292"/>
      <c r="Z262" s="292"/>
      <c r="AA262" s="292"/>
      <c r="AB262" s="292"/>
      <c r="AC262" s="292"/>
      <c r="AD262" s="292"/>
      <c r="AE262" s="941"/>
      <c r="AS262" s="939"/>
      <c r="AT262" s="941"/>
      <c r="AU262" s="942"/>
      <c r="AV262" s="945"/>
      <c r="AW262" s="945"/>
      <c r="AX262" s="943"/>
      <c r="AY262" s="941"/>
      <c r="AZ262" s="945"/>
      <c r="BA262" s="944"/>
      <c r="BB262" s="944"/>
      <c r="BC262" s="943"/>
      <c r="BD262" s="939"/>
      <c r="BE262" s="939"/>
      <c r="BF262" s="941"/>
      <c r="BG262" s="942"/>
      <c r="BH262" s="943"/>
      <c r="BI262" s="939"/>
      <c r="BJ262" s="941"/>
      <c r="BK262" s="941"/>
      <c r="BL262" s="941"/>
      <c r="CC262" s="939"/>
      <c r="CD262" s="941"/>
      <c r="CE262" s="292"/>
      <c r="CF262" s="292"/>
      <c r="CG262" s="292"/>
      <c r="CH262" s="292"/>
      <c r="CI262" s="292"/>
    </row>
    <row r="263" spans="24:87">
      <c r="X263" s="939"/>
      <c r="Y263" s="941"/>
      <c r="Z263" s="941"/>
      <c r="AA263" s="941"/>
      <c r="AB263" s="941"/>
      <c r="AC263" s="941"/>
      <c r="AD263" s="941"/>
      <c r="AE263" s="941"/>
      <c r="AS263" s="939"/>
      <c r="AT263" s="939"/>
      <c r="AU263" s="939"/>
      <c r="AV263" s="942"/>
      <c r="AW263" s="941"/>
      <c r="AX263" s="942"/>
      <c r="AY263" s="941"/>
      <c r="AZ263" s="945"/>
      <c r="BA263" s="943"/>
      <c r="BB263" s="943"/>
      <c r="BC263" s="942"/>
      <c r="BD263" s="943"/>
      <c r="BE263" s="943"/>
      <c r="BF263" s="939"/>
      <c r="BG263" s="941"/>
      <c r="BH263" s="941"/>
      <c r="BI263" s="941"/>
      <c r="BJ263" s="941"/>
      <c r="BK263" s="941"/>
      <c r="BL263" s="942"/>
      <c r="CC263" s="939"/>
      <c r="CD263" s="941"/>
      <c r="CE263" s="941"/>
      <c r="CF263" s="941"/>
      <c r="CG263" s="941"/>
      <c r="CH263" s="941"/>
      <c r="CI263" s="941"/>
    </row>
    <row r="264" spans="24:87">
      <c r="AS264" s="939"/>
      <c r="AT264" s="939"/>
      <c r="AU264" s="939"/>
      <c r="AV264" s="939"/>
      <c r="AW264" s="939"/>
      <c r="AY264" s="939"/>
      <c r="AZ264" s="941"/>
      <c r="BA264" s="942"/>
      <c r="BB264" s="941"/>
      <c r="BC264" s="941"/>
      <c r="BD264" s="941"/>
      <c r="BE264" s="941"/>
      <c r="BF264" s="941"/>
      <c r="BG264" s="941"/>
      <c r="BH264" s="941"/>
      <c r="BI264" s="941"/>
      <c r="BJ264" s="941"/>
      <c r="BK264" s="941"/>
      <c r="CD264" s="941"/>
    </row>
    <row r="265" spans="24:87">
      <c r="X265" s="926"/>
      <c r="Y265" s="926"/>
      <c r="Z265" s="926"/>
      <c r="AA265" s="926"/>
      <c r="AB265" s="926"/>
      <c r="AC265" s="926"/>
      <c r="AD265" s="926"/>
      <c r="AE265" s="941"/>
      <c r="AF265" s="941"/>
      <c r="AG265" s="942"/>
      <c r="AH265" s="939"/>
      <c r="AS265" s="939"/>
      <c r="AT265" s="941"/>
      <c r="AU265" s="942"/>
      <c r="AV265" s="942"/>
      <c r="AW265" s="941"/>
      <c r="AY265" s="941"/>
      <c r="AZ265" s="927"/>
      <c r="BA265" s="925"/>
      <c r="BB265" s="925"/>
      <c r="BC265" s="925"/>
      <c r="BD265" s="927"/>
      <c r="BE265" s="941"/>
      <c r="BF265" s="942"/>
      <c r="BG265" s="942"/>
      <c r="BH265" s="942"/>
      <c r="BI265" s="942"/>
      <c r="BJ265" s="942"/>
      <c r="BK265" s="939"/>
      <c r="BS265" s="931"/>
      <c r="BT265" s="933"/>
      <c r="BU265" s="933"/>
      <c r="BV265" s="931"/>
      <c r="BW265" s="931"/>
      <c r="BX265" s="942"/>
      <c r="CC265" s="939"/>
      <c r="CD265" s="939"/>
      <c r="CE265" s="931"/>
      <c r="CF265" s="933"/>
      <c r="CG265" s="933"/>
      <c r="CH265" s="931"/>
      <c r="CI265" s="930"/>
    </row>
    <row r="266" spans="24:87">
      <c r="X266" s="939"/>
      <c r="Y266" s="926"/>
      <c r="Z266" s="721"/>
      <c r="AA266" s="721"/>
      <c r="AB266" s="721"/>
      <c r="AC266" s="721"/>
      <c r="AD266" s="721"/>
      <c r="AE266" s="721"/>
      <c r="AF266" s="721"/>
      <c r="AG266" s="720"/>
      <c r="AH266" s="941"/>
      <c r="AI266" s="942"/>
      <c r="AS266" s="941"/>
      <c r="AT266" s="941"/>
      <c r="AU266" s="943"/>
      <c r="AV266" s="938"/>
      <c r="AW266" s="942"/>
      <c r="AY266" s="939"/>
      <c r="AZ266" s="941"/>
      <c r="BA266" s="925"/>
      <c r="BB266" s="927"/>
      <c r="BC266" s="924"/>
      <c r="BD266" s="941"/>
      <c r="BE266" s="942"/>
      <c r="BL266" s="941"/>
      <c r="BM266" s="942"/>
      <c r="BN266" s="941"/>
      <c r="BS266" s="939"/>
      <c r="BT266" s="941"/>
      <c r="BU266" s="931"/>
      <c r="BV266" s="933"/>
      <c r="BW266" s="933"/>
      <c r="BX266" s="931"/>
      <c r="BY266" s="939"/>
      <c r="CC266" s="941"/>
      <c r="CD266" s="931"/>
      <c r="CE266" s="933"/>
      <c r="CF266" s="931"/>
      <c r="CG266" s="930"/>
      <c r="CH266" s="941"/>
      <c r="CI266" s="941"/>
    </row>
    <row r="267" spans="24:87">
      <c r="Y267" s="926"/>
      <c r="Z267" s="721"/>
      <c r="AA267" s="720"/>
      <c r="AB267" s="941"/>
      <c r="AC267" s="941"/>
      <c r="AD267" s="926"/>
      <c r="AE267" s="721"/>
      <c r="AF267" s="721"/>
      <c r="AG267" s="721"/>
      <c r="AH267" s="720"/>
      <c r="AI267" s="941"/>
      <c r="AJ267" s="942"/>
      <c r="AS267" s="942"/>
      <c r="AT267" s="942"/>
      <c r="AU267" s="943"/>
      <c r="AV267" s="945"/>
      <c r="AW267" s="938"/>
      <c r="AX267" s="942"/>
      <c r="AY267" s="941"/>
      <c r="BA267" s="925"/>
      <c r="BB267" s="927"/>
      <c r="BC267" s="924"/>
      <c r="BD267" s="941"/>
      <c r="BE267" s="941"/>
      <c r="BK267" s="942"/>
      <c r="BL267" s="939"/>
      <c r="BM267" s="938"/>
      <c r="BN267" s="942"/>
      <c r="BO267" s="941"/>
      <c r="BU267" s="941"/>
      <c r="BV267" s="931"/>
      <c r="BW267" s="933"/>
      <c r="BX267" s="933"/>
      <c r="BY267" s="931"/>
      <c r="BZ267" s="942"/>
      <c r="CA267" s="942"/>
      <c r="CB267" s="942"/>
      <c r="CC267" s="931"/>
      <c r="CD267" s="933"/>
      <c r="CE267" s="931"/>
      <c r="CF267" s="930"/>
      <c r="CG267" s="941"/>
      <c r="CH267" s="942"/>
      <c r="CI267" s="942"/>
    </row>
    <row r="268" spans="24:87">
      <c r="Y268" s="926"/>
      <c r="Z268" s="721"/>
      <c r="AA268" s="720"/>
      <c r="AB268" s="941"/>
      <c r="AC268" s="942"/>
      <c r="AD268" s="939"/>
      <c r="AE268" s="926"/>
      <c r="AF268" s="721"/>
      <c r="AG268" s="721"/>
      <c r="AH268" s="721"/>
      <c r="AI268" s="720"/>
      <c r="AJ268" s="942"/>
      <c r="AR268" s="943"/>
      <c r="AS268" s="942"/>
      <c r="AT268" s="943"/>
      <c r="AU268" s="945"/>
      <c r="AV268" s="938"/>
      <c r="AW268" s="938"/>
      <c r="AX268" s="943"/>
      <c r="AY268" s="941"/>
      <c r="BA268" s="925"/>
      <c r="BB268" s="927"/>
      <c r="BC268" s="924"/>
      <c r="BD268" s="941"/>
      <c r="BE268" s="941"/>
      <c r="BK268" s="941"/>
      <c r="BL268" s="938"/>
      <c r="BM268" s="945"/>
      <c r="BN268" s="938"/>
      <c r="BO268" s="942"/>
      <c r="BP268" s="941"/>
      <c r="BV268" s="941"/>
      <c r="BW268" s="931"/>
      <c r="BX268" s="933"/>
      <c r="BY268" s="933"/>
      <c r="BZ268" s="931"/>
      <c r="CA268" s="939"/>
      <c r="CB268" s="931"/>
      <c r="CC268" s="933"/>
      <c r="CD268" s="931"/>
      <c r="CE268" s="930"/>
      <c r="CF268" s="941"/>
      <c r="CG268" s="941"/>
    </row>
    <row r="269" spans="24:87">
      <c r="Y269" s="926"/>
      <c r="Z269" s="721"/>
      <c r="AA269" s="720"/>
      <c r="AB269" s="941"/>
      <c r="AC269" s="942"/>
      <c r="AD269" s="942"/>
      <c r="AE269" s="942"/>
      <c r="AF269" s="926"/>
      <c r="AG269" s="721"/>
      <c r="AH269" s="721"/>
      <c r="AI269" s="720"/>
      <c r="AJ269" s="941"/>
      <c r="AK269" s="942"/>
      <c r="AQ269" s="943"/>
      <c r="AR269" s="941"/>
      <c r="AS269" s="943"/>
      <c r="AT269" s="945"/>
      <c r="AU269" s="938"/>
      <c r="AV269" s="938"/>
      <c r="AW269" s="942"/>
      <c r="AX269" s="941"/>
      <c r="AY269" s="941"/>
      <c r="BA269" s="925"/>
      <c r="BB269" s="927"/>
      <c r="BC269" s="924"/>
      <c r="BD269" s="941"/>
      <c r="BE269" s="941"/>
      <c r="BJ269" s="941"/>
      <c r="BK269" s="938"/>
      <c r="BL269" s="945"/>
      <c r="BM269" s="938"/>
      <c r="BN269" s="938"/>
      <c r="BO269" s="943"/>
      <c r="BP269" s="941"/>
      <c r="BV269" s="939"/>
      <c r="BW269" s="941"/>
      <c r="BX269" s="931"/>
      <c r="BY269" s="933"/>
      <c r="BZ269" s="933"/>
      <c r="CA269" s="933"/>
      <c r="CB269" s="933"/>
      <c r="CC269" s="931"/>
      <c r="CD269" s="930"/>
      <c r="CE269" s="941"/>
    </row>
    <row r="270" spans="24:87">
      <c r="Y270" s="926"/>
      <c r="Z270" s="721"/>
      <c r="AA270" s="720"/>
      <c r="AB270" s="941"/>
      <c r="AE270" s="941"/>
      <c r="AF270" s="926"/>
      <c r="AG270" s="721"/>
      <c r="AH270" s="721"/>
      <c r="AI270" s="721"/>
      <c r="AJ270" s="720"/>
      <c r="AK270" s="941"/>
      <c r="AP270" s="943"/>
      <c r="AQ270" s="941"/>
      <c r="AR270" s="938"/>
      <c r="AS270" s="945"/>
      <c r="AT270" s="938"/>
      <c r="AU270" s="938"/>
      <c r="AV270" s="942"/>
      <c r="AW270" s="941"/>
      <c r="AX270" s="942"/>
      <c r="BA270" s="925"/>
      <c r="BB270" s="927"/>
      <c r="BC270" s="924"/>
      <c r="BD270" s="941"/>
      <c r="BE270" s="942"/>
      <c r="BJ270" s="942"/>
      <c r="BK270" s="938"/>
      <c r="BL270" s="945"/>
      <c r="BM270" s="938"/>
      <c r="BN270" s="943"/>
      <c r="BO270" s="941"/>
      <c r="BP270" s="942"/>
      <c r="BW270" s="942"/>
      <c r="BX270" s="941"/>
      <c r="BY270" s="931"/>
      <c r="BZ270" s="933"/>
      <c r="CA270" s="933"/>
      <c r="CB270" s="931"/>
      <c r="CC270" s="930"/>
      <c r="CD270" s="941"/>
      <c r="CE270" s="942"/>
    </row>
    <row r="271" spans="24:87">
      <c r="Y271" s="926"/>
      <c r="Z271" s="721"/>
      <c r="AA271" s="720"/>
      <c r="AB271" s="941"/>
      <c r="AE271" s="941"/>
      <c r="AF271" s="926"/>
      <c r="AG271" s="721"/>
      <c r="AH271" s="721"/>
      <c r="AI271" s="721"/>
      <c r="AJ271" s="720"/>
      <c r="AK271" s="941"/>
      <c r="AO271" s="941"/>
      <c r="AP271" s="942"/>
      <c r="AQ271" s="938"/>
      <c r="AR271" s="945"/>
      <c r="AS271" s="938"/>
      <c r="AT271" s="938"/>
      <c r="AU271" s="941"/>
      <c r="AV271" s="941"/>
      <c r="AW271" s="941"/>
      <c r="AX271" s="942"/>
      <c r="BA271" s="925"/>
      <c r="BB271" s="927"/>
      <c r="BC271" s="924"/>
      <c r="BD271" s="941"/>
      <c r="BE271" s="942"/>
      <c r="BF271" s="939"/>
      <c r="BG271" s="942"/>
      <c r="BH271" s="941"/>
      <c r="BI271" s="942"/>
      <c r="BJ271" s="938"/>
      <c r="BK271" s="945"/>
      <c r="BL271" s="943"/>
      <c r="BM271" s="943"/>
      <c r="BN271" s="942"/>
      <c r="BO271" s="941"/>
      <c r="BX271" s="942"/>
      <c r="BY271" s="941"/>
      <c r="BZ271" s="933"/>
      <c r="CA271" s="931"/>
      <c r="CB271" s="930"/>
      <c r="CC271" s="941"/>
      <c r="CD271" s="942"/>
      <c r="CE271" s="942"/>
    </row>
    <row r="272" spans="24:87">
      <c r="Y272" s="926"/>
      <c r="Z272" s="721"/>
      <c r="AA272" s="720"/>
      <c r="AB272" s="941"/>
      <c r="AE272" s="941"/>
      <c r="AF272" s="926"/>
      <c r="AG272" s="721"/>
      <c r="AH272" s="721"/>
      <c r="AI272" s="720"/>
      <c r="AJ272" s="941"/>
      <c r="AO272" s="941"/>
      <c r="AP272" s="938"/>
      <c r="AQ272" s="945"/>
      <c r="AR272" s="938"/>
      <c r="AS272" s="938"/>
      <c r="AT272" s="941"/>
      <c r="AU272" s="941"/>
      <c r="AV272" s="944"/>
      <c r="AW272" s="942"/>
      <c r="AX272" s="942"/>
      <c r="BA272" s="925"/>
      <c r="BB272" s="927"/>
      <c r="BC272" s="924"/>
      <c r="BD272" s="941"/>
      <c r="BE272" s="942"/>
      <c r="BF272" s="942"/>
      <c r="BG272" s="939"/>
      <c r="BH272" s="939"/>
      <c r="BI272" s="938"/>
      <c r="BJ272" s="945"/>
      <c r="BK272" s="943"/>
      <c r="BL272" s="941"/>
      <c r="BM272" s="941"/>
      <c r="BN272" s="941"/>
      <c r="BO272" s="942"/>
      <c r="BX272" s="942"/>
      <c r="BY272" s="942"/>
      <c r="BZ272" s="933"/>
      <c r="CA272" s="931"/>
      <c r="CB272" s="930"/>
      <c r="CC272" s="941"/>
      <c r="CD272" s="942"/>
    </row>
    <row r="273" spans="24:87">
      <c r="Y273" s="926"/>
      <c r="Z273" s="721"/>
      <c r="AA273" s="720"/>
      <c r="AB273" s="941"/>
      <c r="AE273" s="942"/>
      <c r="AF273" s="926"/>
      <c r="AG273" s="721"/>
      <c r="AH273" s="721"/>
      <c r="AI273" s="720"/>
      <c r="AJ273" s="941"/>
      <c r="AO273" s="942"/>
      <c r="AP273" s="945"/>
      <c r="AQ273" s="938"/>
      <c r="AR273" s="938"/>
      <c r="AS273" s="941"/>
      <c r="AT273" s="942"/>
      <c r="AU273" s="941"/>
      <c r="AV273" s="942"/>
      <c r="AW273" s="944"/>
      <c r="AX273" s="942"/>
      <c r="AY273" s="939"/>
      <c r="BA273" s="925"/>
      <c r="BB273" s="927"/>
      <c r="BC273" s="924"/>
      <c r="BD273" s="941"/>
      <c r="BE273" s="942"/>
      <c r="BF273" s="939"/>
      <c r="BG273" s="942"/>
      <c r="BH273" s="938"/>
      <c r="BI273" s="945"/>
      <c r="BJ273" s="943"/>
      <c r="BK273" s="941"/>
      <c r="BL273" s="941"/>
      <c r="BM273" s="942"/>
      <c r="BN273" s="941"/>
      <c r="BO273" s="941"/>
      <c r="BY273" s="942"/>
      <c r="BZ273" s="933"/>
      <c r="CA273" s="931"/>
      <c r="CB273" s="930"/>
      <c r="CC273" s="941"/>
      <c r="CD273" s="942"/>
    </row>
    <row r="274" spans="24:87">
      <c r="X274" s="939"/>
      <c r="Y274" s="926"/>
      <c r="Z274" s="721"/>
      <c r="AA274" s="720"/>
      <c r="AB274" s="941"/>
      <c r="AC274" s="941"/>
      <c r="AD274" s="942"/>
      <c r="AE274" s="926"/>
      <c r="AF274" s="721"/>
      <c r="AG274" s="720"/>
      <c r="AH274" s="720"/>
      <c r="AI274" s="941"/>
      <c r="AN274" s="942"/>
      <c r="AO274" s="943"/>
      <c r="AP274" s="938"/>
      <c r="AQ274" s="938"/>
      <c r="AR274" s="941"/>
      <c r="AS274" s="941"/>
      <c r="AT274" s="942"/>
      <c r="AU274" s="941"/>
      <c r="AV274" s="941"/>
      <c r="AW274" s="941"/>
      <c r="AX274" s="944"/>
      <c r="AY274" s="942"/>
      <c r="AZ274" s="941"/>
      <c r="BA274" s="925"/>
      <c r="BB274" s="927"/>
      <c r="BC274" s="924"/>
      <c r="BD274" s="941"/>
      <c r="BE274" s="941"/>
      <c r="BF274" s="939"/>
      <c r="BG274" s="938"/>
      <c r="BH274" s="945"/>
      <c r="BI274" s="943"/>
      <c r="BJ274" s="941"/>
      <c r="BK274" s="941"/>
      <c r="BY274" s="942"/>
      <c r="BZ274" s="933"/>
      <c r="CA274" s="931"/>
      <c r="CB274" s="930"/>
      <c r="CC274" s="941"/>
      <c r="CD274" s="942"/>
    </row>
    <row r="275" spans="24:87">
      <c r="X275" s="721"/>
      <c r="Y275" s="721"/>
      <c r="Z275" s="720"/>
      <c r="AA275" s="720"/>
      <c r="AB275" s="941"/>
      <c r="AC275" s="942"/>
      <c r="AD275" s="926"/>
      <c r="AE275" s="720"/>
      <c r="AF275" s="720"/>
      <c r="AG275" s="941"/>
      <c r="AH275" s="941"/>
      <c r="AI275" s="942"/>
      <c r="AN275" s="943"/>
      <c r="AO275" s="945"/>
      <c r="AP275" s="938"/>
      <c r="AQ275" s="941"/>
      <c r="AR275" s="941"/>
      <c r="AS275" s="942"/>
      <c r="AT275" s="944"/>
      <c r="AU275" s="941"/>
      <c r="AV275" s="942"/>
      <c r="AW275" s="941"/>
      <c r="AX275" s="941"/>
      <c r="AY275" s="938"/>
      <c r="AZ275" s="927"/>
      <c r="BA275" s="925"/>
      <c r="BB275" s="925"/>
      <c r="BC275" s="925"/>
      <c r="BD275" s="927"/>
      <c r="BE275" s="942"/>
      <c r="BF275" s="938"/>
      <c r="BG275" s="945"/>
      <c r="BH275" s="943"/>
      <c r="BI275" s="941"/>
      <c r="BJ275" s="941"/>
      <c r="BK275" s="942"/>
      <c r="BY275" s="931"/>
      <c r="BZ275" s="933"/>
      <c r="CA275" s="933"/>
      <c r="CB275" s="931"/>
      <c r="CC275" s="930"/>
      <c r="CD275" s="941"/>
    </row>
    <row r="276" spans="24:87">
      <c r="X276" s="939"/>
      <c r="Y276" s="941"/>
      <c r="Z276" s="941"/>
      <c r="AA276" s="941"/>
      <c r="AB276" s="941"/>
      <c r="AC276" s="942"/>
      <c r="AD276" s="941"/>
      <c r="AE276" s="941"/>
      <c r="AF276" s="941"/>
      <c r="AG276" s="942"/>
      <c r="AH276" s="942"/>
      <c r="AI276" s="941"/>
      <c r="AN276" s="943"/>
      <c r="AO276" s="938"/>
      <c r="AP276" s="941"/>
      <c r="AQ276" s="941"/>
      <c r="AR276" s="942"/>
      <c r="AS276" s="939"/>
      <c r="AT276" s="942"/>
      <c r="AU276" s="944"/>
      <c r="AV276" s="941"/>
      <c r="AW276" s="942"/>
      <c r="AX276" s="941"/>
      <c r="AY276" s="941"/>
      <c r="AZ276" s="938"/>
      <c r="BA276" s="941"/>
      <c r="BB276" s="941"/>
      <c r="BC276" s="941"/>
      <c r="BD276" s="941"/>
      <c r="BE276" s="938"/>
      <c r="BF276" s="945"/>
      <c r="BG276" s="943"/>
      <c r="BH276" s="941"/>
      <c r="BI276" s="941"/>
      <c r="BY276" s="942"/>
      <c r="BZ276" s="941"/>
      <c r="CA276" s="941"/>
      <c r="CB276" s="941"/>
      <c r="CC276" s="941"/>
      <c r="CD276" s="941"/>
    </row>
    <row r="277" spans="24:87">
      <c r="X277" s="939"/>
      <c r="Y277" s="939"/>
      <c r="Z277" s="939"/>
      <c r="AA277" s="939"/>
      <c r="AB277" s="942"/>
      <c r="AC277" s="942"/>
      <c r="AD277" s="942"/>
      <c r="AE277" s="942"/>
      <c r="AF277" s="942"/>
      <c r="AG277" s="942"/>
      <c r="AH277" s="939"/>
      <c r="AI277" s="942"/>
      <c r="AN277" s="943"/>
      <c r="AO277" s="941"/>
      <c r="AP277" s="941"/>
      <c r="AQ277" s="942"/>
      <c r="AR277" s="939"/>
      <c r="AS277" s="941"/>
      <c r="AT277" s="939"/>
      <c r="AU277" s="942"/>
      <c r="AV277" s="944"/>
      <c r="AW277" s="941"/>
      <c r="AX277" s="941"/>
      <c r="AY277" s="942"/>
      <c r="AZ277" s="941"/>
      <c r="BA277" s="938"/>
      <c r="BB277" s="939"/>
      <c r="BC277" s="942"/>
      <c r="BD277" s="938"/>
      <c r="BE277" s="945"/>
      <c r="BF277" s="943"/>
      <c r="BG277" s="941"/>
      <c r="BH277" s="941"/>
      <c r="BI277" s="942"/>
      <c r="CC277" s="939"/>
      <c r="CD277" s="942"/>
    </row>
    <row r="278" spans="24:87">
      <c r="X278" s="945"/>
      <c r="Y278" s="945"/>
      <c r="Z278" s="945"/>
      <c r="AA278" s="945"/>
      <c r="AB278" s="945"/>
      <c r="AC278" s="943"/>
      <c r="AD278" s="942"/>
      <c r="AE278" s="939"/>
      <c r="AN278" s="943"/>
      <c r="AO278" s="941"/>
      <c r="AP278" s="941"/>
      <c r="AQ278" s="942"/>
      <c r="AW278" s="944"/>
      <c r="AX278" s="941"/>
      <c r="AY278" s="941"/>
      <c r="AZ278" s="942"/>
      <c r="BA278" s="941"/>
      <c r="BB278" s="938"/>
      <c r="BC278" s="944"/>
      <c r="BD278" s="945"/>
      <c r="BE278" s="943"/>
      <c r="BF278" s="941"/>
      <c r="BG278" s="941"/>
      <c r="BH278" s="939"/>
      <c r="CC278" s="945"/>
      <c r="CD278" s="945"/>
      <c r="CE278" s="945"/>
      <c r="CF278" s="945"/>
      <c r="CG278" s="945"/>
      <c r="CH278" s="945"/>
      <c r="CI278" s="941"/>
    </row>
    <row r="279" spans="24:87">
      <c r="X279" s="945"/>
      <c r="Y279" s="943"/>
      <c r="Z279" s="943"/>
      <c r="AA279" s="943"/>
      <c r="AB279" s="943"/>
      <c r="AC279" s="941"/>
      <c r="AD279" s="292"/>
      <c r="AN279" s="939"/>
      <c r="AO279" s="943"/>
      <c r="AP279" s="942"/>
      <c r="AQ279" s="942"/>
      <c r="AW279" s="941"/>
      <c r="AX279" s="944"/>
      <c r="AY279" s="941"/>
      <c r="AZ279" s="941"/>
      <c r="BA279" s="942"/>
      <c r="BB279" s="941"/>
      <c r="BC279" s="938"/>
      <c r="BD279" s="944"/>
      <c r="BE279" s="941"/>
      <c r="BF279" s="941"/>
      <c r="BG279" s="939"/>
      <c r="CC279" s="945"/>
      <c r="CD279" s="943"/>
      <c r="CE279" s="943"/>
      <c r="CF279" s="943"/>
      <c r="CG279" s="939"/>
      <c r="CH279" s="941"/>
      <c r="CI279" s="292"/>
    </row>
    <row r="280" spans="24:87">
      <c r="X280" s="945"/>
      <c r="Y280" s="943"/>
      <c r="Z280" s="939"/>
      <c r="AA280" s="939"/>
      <c r="AB280" s="939"/>
      <c r="AC280" s="941"/>
      <c r="AD280" s="941"/>
      <c r="AN280" s="941"/>
      <c r="AO280" s="942"/>
      <c r="AP280" s="942"/>
      <c r="AW280" s="941"/>
      <c r="AX280" s="942"/>
      <c r="AY280" s="944"/>
      <c r="AZ280" s="941"/>
      <c r="BA280" s="941"/>
      <c r="BB280" s="941"/>
      <c r="BC280" s="941"/>
      <c r="BD280" s="938"/>
      <c r="BE280" s="941"/>
      <c r="BF280" s="941"/>
      <c r="CB280" s="939"/>
      <c r="CC280" s="943"/>
      <c r="CD280" s="942"/>
      <c r="CE280" s="941"/>
      <c r="CF280" s="939"/>
      <c r="CG280" s="942"/>
      <c r="CH280" s="941"/>
      <c r="CI280" s="292"/>
    </row>
    <row r="281" spans="24:87">
      <c r="X281" s="945"/>
      <c r="Y281" s="943"/>
      <c r="Z281" s="939"/>
      <c r="AB281" s="942"/>
      <c r="AC281" s="941"/>
      <c r="AD281" s="292"/>
      <c r="AN281" s="941"/>
      <c r="AO281" s="942"/>
      <c r="AP281" s="939"/>
      <c r="AW281" s="942"/>
      <c r="AX281" s="938"/>
      <c r="AY281" s="941"/>
      <c r="AZ281" s="944"/>
      <c r="BA281" s="941"/>
      <c r="BB281" s="941"/>
      <c r="BC281" s="941"/>
      <c r="BD281" s="941"/>
      <c r="BE281" s="938"/>
      <c r="BF281" s="941"/>
      <c r="CB281" s="943"/>
      <c r="CC281" s="943"/>
      <c r="CD281" s="939"/>
      <c r="CE281" s="942"/>
      <c r="CF281" s="939"/>
      <c r="CG281" s="942"/>
      <c r="CH281" s="941"/>
      <c r="CI281" s="292"/>
    </row>
    <row r="282" spans="24:87">
      <c r="X282" s="945"/>
      <c r="Y282" s="943"/>
      <c r="Z282" s="942"/>
      <c r="AB282" s="939"/>
      <c r="AC282" s="941"/>
      <c r="AD282" s="941"/>
      <c r="AE282" s="941"/>
      <c r="AN282" s="942"/>
      <c r="AO282" s="942"/>
      <c r="AW282" s="942"/>
      <c r="AX282" s="943"/>
      <c r="AY282" s="945"/>
      <c r="AZ282" s="942"/>
      <c r="BA282" s="944"/>
      <c r="BB282" s="941"/>
      <c r="BC282" s="942"/>
      <c r="BD282" s="941"/>
      <c r="BE282" s="941"/>
      <c r="BF282" s="938"/>
      <c r="BG282" s="941"/>
      <c r="CA282" s="939"/>
      <c r="CB282" s="945"/>
      <c r="CC282" s="943"/>
      <c r="CD282" s="939"/>
      <c r="CE282" s="939"/>
      <c r="CF282" s="942"/>
      <c r="CG282" s="941"/>
      <c r="CH282" s="292"/>
      <c r="CI282" s="941"/>
    </row>
    <row r="283" spans="24:87">
      <c r="X283" s="945"/>
      <c r="Y283" s="943"/>
      <c r="Z283" s="942"/>
      <c r="AB283" s="939"/>
      <c r="AC283" s="941"/>
      <c r="AD283" s="292"/>
      <c r="AE283" s="941"/>
      <c r="AW283" s="943"/>
      <c r="AX283" s="945"/>
      <c r="AY283" s="938"/>
      <c r="AZ283" s="938"/>
      <c r="BA283" s="941"/>
      <c r="BB283" s="944"/>
      <c r="BC283" s="941"/>
      <c r="BD283" s="942"/>
      <c r="BE283" s="941"/>
      <c r="BF283" s="941"/>
      <c r="BG283" s="938"/>
      <c r="BH283" s="941"/>
      <c r="CA283" s="939"/>
      <c r="CB283" s="945"/>
      <c r="CC283" s="943"/>
      <c r="CD283" s="942"/>
      <c r="CE283" s="941"/>
      <c r="CF283" s="942"/>
      <c r="CG283" s="941"/>
      <c r="CH283" s="292"/>
      <c r="CI283" s="941"/>
    </row>
    <row r="284" spans="24:87">
      <c r="X284" s="939"/>
      <c r="Y284" s="945"/>
      <c r="Z284" s="943"/>
      <c r="AB284" s="942"/>
      <c r="AC284" s="942"/>
      <c r="AD284" s="941"/>
      <c r="AE284" s="292"/>
      <c r="AF284" s="941"/>
      <c r="AS284" s="942"/>
      <c r="AT284" s="942"/>
      <c r="AU284" s="943"/>
      <c r="AV284" s="938"/>
      <c r="AW284" s="945"/>
      <c r="AX284" s="938"/>
      <c r="AY284" s="938"/>
      <c r="AZ284" s="944"/>
      <c r="BA284" s="944"/>
      <c r="BB284" s="941"/>
      <c r="BC284" s="944"/>
      <c r="BD284" s="941"/>
      <c r="BE284" s="942"/>
      <c r="BF284" s="941"/>
      <c r="BG284" s="941"/>
      <c r="BH284" s="938"/>
      <c r="BI284" s="942"/>
      <c r="CA284" s="945"/>
      <c r="CB284" s="943"/>
      <c r="CC284" s="939"/>
      <c r="CD284" s="939"/>
      <c r="CE284" s="939"/>
      <c r="CF284" s="942"/>
      <c r="CG284" s="941"/>
      <c r="CH284" s="292"/>
      <c r="CI284" s="941"/>
    </row>
    <row r="285" spans="24:87">
      <c r="X285" s="939"/>
      <c r="Y285" s="945"/>
      <c r="Z285" s="943"/>
      <c r="AA285" s="942"/>
      <c r="AD285" s="941"/>
      <c r="AE285" s="292"/>
      <c r="AF285" s="941"/>
      <c r="AG285" s="941"/>
      <c r="AR285" s="941"/>
      <c r="AS285" s="941"/>
      <c r="AT285" s="943"/>
      <c r="AU285" s="939"/>
      <c r="AV285" s="945"/>
      <c r="AW285" s="938"/>
      <c r="AX285" s="938"/>
      <c r="AY285" s="944"/>
      <c r="AZ285" s="941"/>
      <c r="BA285" s="941"/>
      <c r="BB285" s="942"/>
      <c r="BC285" s="941"/>
      <c r="BD285" s="944"/>
      <c r="BE285" s="941"/>
      <c r="BF285" s="942"/>
      <c r="BG285" s="941"/>
      <c r="BH285" s="941"/>
      <c r="BI285" s="938"/>
      <c r="BJ285" s="939"/>
      <c r="BK285" s="941"/>
      <c r="BZ285" s="939"/>
      <c r="CA285" s="945"/>
      <c r="CD285" s="939"/>
      <c r="CE285" s="942"/>
      <c r="CF285" s="941"/>
      <c r="CG285" s="292"/>
      <c r="CH285" s="941"/>
    </row>
    <row r="286" spans="24:87">
      <c r="X286" s="939"/>
      <c r="Y286" s="945"/>
      <c r="Z286" s="943"/>
      <c r="AA286" s="942"/>
      <c r="AD286" s="941"/>
      <c r="AE286" s="941"/>
      <c r="AF286" s="292"/>
      <c r="AG286" s="941"/>
      <c r="AQ286" s="939"/>
      <c r="AR286" s="942"/>
      <c r="AS286" s="943"/>
      <c r="AT286" s="939"/>
      <c r="AU286" s="945"/>
      <c r="AV286" s="942"/>
      <c r="AW286" s="938"/>
      <c r="AX286" s="944"/>
      <c r="AY286" s="941"/>
      <c r="AZ286" s="941"/>
      <c r="BA286" s="941"/>
      <c r="BB286" s="941"/>
      <c r="BC286" s="941"/>
      <c r="BD286" s="939"/>
      <c r="BE286" s="944"/>
      <c r="BF286" s="941"/>
      <c r="BG286" s="941"/>
      <c r="BH286" s="941"/>
      <c r="BI286" s="941"/>
      <c r="BJ286" s="938"/>
      <c r="BK286" s="939"/>
      <c r="BL286" s="941"/>
      <c r="BM286" s="942"/>
      <c r="BZ286" s="945"/>
      <c r="CA286" s="943"/>
      <c r="CD286" s="942"/>
      <c r="CE286" s="942"/>
      <c r="CF286" s="941"/>
      <c r="CG286" s="292"/>
      <c r="CH286" s="941"/>
    </row>
    <row r="287" spans="24:87">
      <c r="X287" s="941"/>
      <c r="Y287" s="939"/>
      <c r="Z287" s="945"/>
      <c r="AA287" s="943"/>
      <c r="AD287" s="942"/>
      <c r="AE287" s="941"/>
      <c r="AF287" s="941"/>
      <c r="AG287" s="941"/>
      <c r="AH287" s="941"/>
      <c r="AQ287" s="942"/>
      <c r="AR287" s="943"/>
      <c r="AS287" s="939"/>
      <c r="AT287" s="945"/>
      <c r="AU287" s="942"/>
      <c r="AV287" s="938"/>
      <c r="AW287" s="941"/>
      <c r="AX287" s="944"/>
      <c r="AY287" s="941"/>
      <c r="AZ287" s="941"/>
      <c r="BA287" s="942"/>
      <c r="BB287" s="941"/>
      <c r="BC287" s="939"/>
      <c r="BD287" s="941"/>
      <c r="BE287" s="942"/>
      <c r="BF287" s="944"/>
      <c r="BG287" s="941"/>
      <c r="BH287" s="941"/>
      <c r="BI287" s="942"/>
      <c r="BJ287" s="941"/>
      <c r="BK287" s="938"/>
      <c r="BL287" s="939"/>
      <c r="BM287" s="941"/>
      <c r="BY287" s="939"/>
      <c r="BZ287" s="945"/>
      <c r="CA287" s="943"/>
      <c r="CD287" s="942"/>
      <c r="CE287" s="941"/>
      <c r="CF287" s="292"/>
      <c r="CG287" s="292"/>
      <c r="CH287" s="941"/>
    </row>
    <row r="288" spans="24:87">
      <c r="Y288" s="939"/>
      <c r="Z288" s="943"/>
      <c r="AA288" s="943"/>
      <c r="AB288" s="942"/>
      <c r="AF288" s="941"/>
      <c r="AG288" s="292"/>
      <c r="AH288" s="941"/>
      <c r="AI288" s="941"/>
      <c r="AQ288" s="941"/>
      <c r="AR288" s="943"/>
      <c r="AS288" s="945"/>
      <c r="AT288" s="942"/>
      <c r="AU288" s="938"/>
      <c r="AV288" s="941"/>
      <c r="AW288" s="944"/>
      <c r="AX288" s="941"/>
      <c r="AY288" s="941"/>
      <c r="AZ288" s="942"/>
      <c r="BD288" s="939"/>
      <c r="BE288" s="942"/>
      <c r="BF288" s="941"/>
      <c r="BG288" s="944"/>
      <c r="BH288" s="941"/>
      <c r="BI288" s="941"/>
      <c r="BJ288" s="942"/>
      <c r="BK288" s="941"/>
      <c r="BL288" s="944"/>
      <c r="BM288" s="941"/>
      <c r="BX288" s="939"/>
      <c r="BY288" s="945"/>
      <c r="BZ288" s="943"/>
      <c r="CA288" s="939"/>
      <c r="CB288" s="939"/>
      <c r="CC288" s="942"/>
      <c r="CD288" s="941"/>
      <c r="CE288" s="941"/>
      <c r="CF288" s="292"/>
      <c r="CG288" s="941"/>
    </row>
    <row r="289" spans="25:84">
      <c r="Y289" s="941"/>
      <c r="Z289" s="939"/>
      <c r="AA289" s="943"/>
      <c r="AB289" s="943"/>
      <c r="AC289" s="939"/>
      <c r="AD289" s="939"/>
      <c r="AE289" s="939"/>
      <c r="AF289" s="942"/>
      <c r="AG289" s="942"/>
      <c r="AH289" s="292"/>
      <c r="AI289" s="941"/>
      <c r="AQ289" s="941"/>
      <c r="AR289" s="942"/>
      <c r="AS289" s="938"/>
      <c r="AT289" s="938"/>
      <c r="AU289" s="941"/>
      <c r="AV289" s="944"/>
      <c r="AW289" s="941"/>
      <c r="AX289" s="941"/>
      <c r="AY289" s="941"/>
      <c r="BF289" s="941"/>
      <c r="BG289" s="941"/>
      <c r="BH289" s="944"/>
      <c r="BI289" s="941"/>
      <c r="BJ289" s="941"/>
      <c r="BK289" s="944"/>
      <c r="BL289" s="941"/>
      <c r="BM289" s="941"/>
      <c r="BX289" s="945"/>
      <c r="BY289" s="943"/>
      <c r="BZ289" s="943"/>
      <c r="CA289" s="942"/>
      <c r="CB289" s="942"/>
      <c r="CC289" s="942"/>
      <c r="CD289" s="941"/>
      <c r="CE289" s="292"/>
      <c r="CF289" s="941"/>
    </row>
    <row r="290" spans="25:84">
      <c r="Y290" s="941"/>
      <c r="Z290" s="942"/>
      <c r="AA290" s="939"/>
      <c r="AB290" s="942"/>
      <c r="AC290" s="292"/>
      <c r="AD290" s="292"/>
      <c r="AE290" s="292"/>
      <c r="AF290" s="292"/>
      <c r="AG290" s="292"/>
      <c r="AH290" s="292"/>
      <c r="AI290" s="941"/>
      <c r="AQ290" s="941"/>
      <c r="AR290" s="941"/>
      <c r="AS290" s="941"/>
      <c r="AT290" s="944"/>
      <c r="AU290" s="944"/>
      <c r="AV290" s="941"/>
      <c r="AW290" s="941"/>
      <c r="AX290" s="941"/>
      <c r="BF290" s="942"/>
      <c r="BG290" s="942"/>
      <c r="BH290" s="942"/>
      <c r="BI290" s="944"/>
      <c r="BJ290" s="944"/>
      <c r="BK290" s="941"/>
      <c r="BL290" s="941"/>
      <c r="BM290" s="941"/>
      <c r="BX290" s="941"/>
      <c r="BY290" s="942"/>
      <c r="BZ290" s="941"/>
      <c r="CA290" s="292"/>
      <c r="CB290" s="292"/>
      <c r="CC290" s="292"/>
      <c r="CD290" s="292"/>
      <c r="CE290" s="292"/>
    </row>
  </sheetData>
  <sheetProtection password="DF7C" sheet="1"/>
  <phoneticPr fontId="2"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IV60"/>
  <sheetViews>
    <sheetView workbookViewId="0"/>
  </sheetViews>
  <sheetFormatPr defaultRowHeight="12.75"/>
  <sheetData>
    <row r="1" spans="1:256">
      <c r="A1" t="s">
        <v>535</v>
      </c>
      <c r="B1" t="s">
        <v>625</v>
      </c>
      <c r="C1" t="s">
        <v>626</v>
      </c>
      <c r="IU1" t="s">
        <v>572</v>
      </c>
      <c r="IV1">
        <v>45</v>
      </c>
    </row>
    <row r="2" spans="1:256">
      <c r="A2" t="s">
        <v>611</v>
      </c>
      <c r="B2">
        <v>18912</v>
      </c>
      <c r="C2" t="s">
        <v>411</v>
      </c>
    </row>
    <row r="3" spans="1:256">
      <c r="A3" t="s">
        <v>610</v>
      </c>
      <c r="B3">
        <v>5770</v>
      </c>
      <c r="C3" t="s">
        <v>410</v>
      </c>
    </row>
    <row r="4" spans="1:256">
      <c r="A4" t="s">
        <v>609</v>
      </c>
      <c r="B4">
        <v>27972</v>
      </c>
      <c r="C4" t="s">
        <v>409</v>
      </c>
      <c r="D4" t="s">
        <v>408</v>
      </c>
    </row>
    <row r="5" spans="1:256">
      <c r="A5" t="s">
        <v>608</v>
      </c>
      <c r="B5">
        <v>15144</v>
      </c>
      <c r="C5" t="s">
        <v>407</v>
      </c>
    </row>
    <row r="6" spans="1:256">
      <c r="A6" t="s">
        <v>607</v>
      </c>
      <c r="B6">
        <v>19460</v>
      </c>
      <c r="C6" t="s">
        <v>406</v>
      </c>
    </row>
    <row r="7" spans="1:256">
      <c r="A7" t="s">
        <v>606</v>
      </c>
      <c r="B7">
        <v>6214</v>
      </c>
      <c r="C7" t="s">
        <v>405</v>
      </c>
    </row>
    <row r="8" spans="1:256">
      <c r="A8" t="s">
        <v>605</v>
      </c>
      <c r="B8">
        <v>10614</v>
      </c>
      <c r="C8" t="s">
        <v>404</v>
      </c>
    </row>
    <row r="9" spans="1:256">
      <c r="A9" t="s">
        <v>436</v>
      </c>
      <c r="B9">
        <v>3630</v>
      </c>
      <c r="C9" t="s">
        <v>403</v>
      </c>
    </row>
    <row r="10" spans="1:256">
      <c r="A10" t="s">
        <v>604</v>
      </c>
      <c r="B10">
        <v>2730</v>
      </c>
      <c r="C10" t="s">
        <v>402</v>
      </c>
    </row>
    <row r="11" spans="1:256">
      <c r="A11" t="s">
        <v>603</v>
      </c>
      <c r="B11">
        <v>10540</v>
      </c>
      <c r="C11" t="s">
        <v>401</v>
      </c>
    </row>
    <row r="12" spans="1:256">
      <c r="A12" t="s">
        <v>602</v>
      </c>
      <c r="B12">
        <v>13300</v>
      </c>
      <c r="C12" t="s">
        <v>400</v>
      </c>
    </row>
    <row r="13" spans="1:256">
      <c r="A13" t="s">
        <v>601</v>
      </c>
      <c r="B13">
        <v>16788</v>
      </c>
      <c r="C13" t="s">
        <v>399</v>
      </c>
    </row>
    <row r="14" spans="1:256">
      <c r="A14" t="s">
        <v>600</v>
      </c>
      <c r="B14">
        <v>31254</v>
      </c>
      <c r="C14" t="s">
        <v>398</v>
      </c>
      <c r="D14" t="s">
        <v>397</v>
      </c>
    </row>
    <row r="15" spans="1:256">
      <c r="A15" t="s">
        <v>599</v>
      </c>
      <c r="B15">
        <v>3724</v>
      </c>
      <c r="C15" t="s">
        <v>396</v>
      </c>
    </row>
    <row r="16" spans="1:256">
      <c r="A16" t="s">
        <v>598</v>
      </c>
      <c r="B16">
        <v>4160</v>
      </c>
      <c r="C16" t="s">
        <v>395</v>
      </c>
    </row>
    <row r="17" spans="1:3">
      <c r="A17" t="s">
        <v>597</v>
      </c>
      <c r="B17">
        <v>6096</v>
      </c>
      <c r="C17" t="s">
        <v>394</v>
      </c>
    </row>
    <row r="18" spans="1:3">
      <c r="A18" t="s">
        <v>596</v>
      </c>
      <c r="B18">
        <v>13744</v>
      </c>
      <c r="C18" t="s">
        <v>393</v>
      </c>
    </row>
    <row r="19" spans="1:3">
      <c r="A19" t="s">
        <v>595</v>
      </c>
      <c r="B19">
        <v>8430</v>
      </c>
      <c r="C19" t="s">
        <v>392</v>
      </c>
    </row>
    <row r="20" spans="1:3">
      <c r="A20" t="s">
        <v>594</v>
      </c>
      <c r="B20">
        <v>18776</v>
      </c>
      <c r="C20" t="s">
        <v>391</v>
      </c>
    </row>
    <row r="21" spans="1:3">
      <c r="A21" t="s">
        <v>593</v>
      </c>
      <c r="B21">
        <v>13348</v>
      </c>
      <c r="C21" t="s">
        <v>390</v>
      </c>
    </row>
    <row r="22" spans="1:3">
      <c r="A22" t="s">
        <v>592</v>
      </c>
      <c r="B22">
        <v>3308</v>
      </c>
      <c r="C22" t="s">
        <v>389</v>
      </c>
    </row>
    <row r="23" spans="1:3">
      <c r="A23" t="s">
        <v>591</v>
      </c>
      <c r="B23">
        <v>8430</v>
      </c>
      <c r="C23" t="s">
        <v>388</v>
      </c>
    </row>
    <row r="24" spans="1:3">
      <c r="A24" t="s">
        <v>590</v>
      </c>
      <c r="B24">
        <v>5846</v>
      </c>
      <c r="C24" t="s">
        <v>387</v>
      </c>
    </row>
    <row r="25" spans="1:3">
      <c r="A25" t="s">
        <v>589</v>
      </c>
      <c r="B25">
        <v>3278</v>
      </c>
      <c r="C25" t="s">
        <v>386</v>
      </c>
    </row>
    <row r="26" spans="1:3">
      <c r="A26" t="s">
        <v>588</v>
      </c>
      <c r="B26">
        <v>12424</v>
      </c>
      <c r="C26" t="s">
        <v>385</v>
      </c>
    </row>
    <row r="27" spans="1:3">
      <c r="A27" t="s">
        <v>587</v>
      </c>
      <c r="B27">
        <v>3776</v>
      </c>
      <c r="C27" t="s">
        <v>384</v>
      </c>
    </row>
    <row r="28" spans="1:3">
      <c r="A28" t="s">
        <v>586</v>
      </c>
      <c r="B28">
        <v>5870</v>
      </c>
      <c r="C28" t="s">
        <v>383</v>
      </c>
    </row>
    <row r="29" spans="1:3">
      <c r="A29" t="s">
        <v>585</v>
      </c>
      <c r="B29">
        <v>5884</v>
      </c>
      <c r="C29" t="s">
        <v>382</v>
      </c>
    </row>
    <row r="30" spans="1:3">
      <c r="A30" t="s">
        <v>584</v>
      </c>
      <c r="B30">
        <v>6544</v>
      </c>
      <c r="C30" t="s">
        <v>381</v>
      </c>
    </row>
    <row r="31" spans="1:3">
      <c r="A31" t="s">
        <v>583</v>
      </c>
      <c r="B31">
        <v>21944</v>
      </c>
      <c r="C31" t="s">
        <v>380</v>
      </c>
    </row>
    <row r="32" spans="1:3">
      <c r="A32" t="s">
        <v>582</v>
      </c>
      <c r="B32">
        <v>10962</v>
      </c>
      <c r="C32" t="s">
        <v>379</v>
      </c>
    </row>
    <row r="33" spans="1:7">
      <c r="A33" t="s">
        <v>581</v>
      </c>
      <c r="B33">
        <v>14396</v>
      </c>
      <c r="C33" t="s">
        <v>378</v>
      </c>
    </row>
    <row r="34" spans="1:7">
      <c r="A34" t="s">
        <v>580</v>
      </c>
      <c r="B34">
        <v>7734</v>
      </c>
      <c r="C34" t="s">
        <v>377</v>
      </c>
    </row>
    <row r="35" spans="1:7">
      <c r="A35" t="s">
        <v>579</v>
      </c>
      <c r="B35">
        <v>15104</v>
      </c>
      <c r="C35" t="s">
        <v>376</v>
      </c>
    </row>
    <row r="36" spans="1:7">
      <c r="A36" t="s">
        <v>577</v>
      </c>
      <c r="B36">
        <v>6422</v>
      </c>
      <c r="C36" t="s">
        <v>375</v>
      </c>
    </row>
    <row r="37" spans="1:7">
      <c r="A37" t="s">
        <v>576</v>
      </c>
      <c r="B37">
        <v>11642</v>
      </c>
      <c r="C37" t="s">
        <v>374</v>
      </c>
    </row>
    <row r="38" spans="1:7">
      <c r="A38" t="s">
        <v>575</v>
      </c>
      <c r="B38">
        <v>4612</v>
      </c>
      <c r="C38" t="s">
        <v>373</v>
      </c>
    </row>
    <row r="39" spans="1:7">
      <c r="A39" t="s">
        <v>574</v>
      </c>
      <c r="B39">
        <v>21450</v>
      </c>
      <c r="C39" t="s">
        <v>372</v>
      </c>
    </row>
    <row r="40" spans="1:7">
      <c r="A40" t="s">
        <v>371</v>
      </c>
      <c r="B40">
        <v>15230</v>
      </c>
      <c r="C40" t="s">
        <v>370</v>
      </c>
    </row>
    <row r="41" spans="1:7">
      <c r="A41" t="s">
        <v>369</v>
      </c>
      <c r="B41">
        <v>13700</v>
      </c>
      <c r="C41" t="s">
        <v>368</v>
      </c>
    </row>
    <row r="42" spans="1:7">
      <c r="A42" t="s">
        <v>1004</v>
      </c>
      <c r="B42">
        <v>42005</v>
      </c>
      <c r="C42" t="s">
        <v>367</v>
      </c>
      <c r="D42" t="s">
        <v>366</v>
      </c>
    </row>
    <row r="43" spans="1:7">
      <c r="A43" t="s">
        <v>365</v>
      </c>
      <c r="B43">
        <v>136488</v>
      </c>
      <c r="C43" t="s">
        <v>364</v>
      </c>
      <c r="D43" t="s">
        <v>363</v>
      </c>
      <c r="E43" t="s">
        <v>362</v>
      </c>
      <c r="F43" t="s">
        <v>361</v>
      </c>
      <c r="G43" t="s">
        <v>360</v>
      </c>
    </row>
    <row r="44" spans="1:7">
      <c r="A44" t="s">
        <v>359</v>
      </c>
      <c r="B44">
        <v>114648</v>
      </c>
      <c r="C44" t="s">
        <v>358</v>
      </c>
      <c r="D44" t="s">
        <v>357</v>
      </c>
      <c r="E44" t="s">
        <v>356</v>
      </c>
      <c r="F44" t="s">
        <v>355</v>
      </c>
      <c r="G44" t="s">
        <v>353</v>
      </c>
    </row>
    <row r="45" spans="1:7">
      <c r="A45" t="s">
        <v>354</v>
      </c>
      <c r="B45">
        <v>115128</v>
      </c>
      <c r="C45" t="s">
        <v>352</v>
      </c>
      <c r="D45" t="s">
        <v>351</v>
      </c>
      <c r="E45" t="s">
        <v>350</v>
      </c>
      <c r="F45" t="s">
        <v>349</v>
      </c>
      <c r="G45" t="s">
        <v>348</v>
      </c>
    </row>
    <row r="46" spans="1:7">
      <c r="A46" t="s">
        <v>578</v>
      </c>
      <c r="B46">
        <v>67756</v>
      </c>
      <c r="C46" t="s">
        <v>347</v>
      </c>
      <c r="D46" t="s">
        <v>346</v>
      </c>
      <c r="E46" t="s">
        <v>345</v>
      </c>
    </row>
    <row r="47" spans="1:7">
      <c r="A47" t="s">
        <v>437</v>
      </c>
      <c r="B47">
        <v>4655</v>
      </c>
      <c r="C47" t="s">
        <v>344</v>
      </c>
    </row>
    <row r="48" spans="1:7">
      <c r="A48" t="s">
        <v>341</v>
      </c>
      <c r="B48">
        <v>1002</v>
      </c>
      <c r="C48" t="s">
        <v>342</v>
      </c>
    </row>
    <row r="49" spans="1:4">
      <c r="A49" t="s">
        <v>343</v>
      </c>
      <c r="B49">
        <v>7136</v>
      </c>
      <c r="C49" t="s">
        <v>340</v>
      </c>
    </row>
    <row r="50" spans="1:4">
      <c r="A50" t="s">
        <v>339</v>
      </c>
      <c r="B50">
        <v>8955</v>
      </c>
      <c r="C50" t="s">
        <v>338</v>
      </c>
    </row>
    <row r="51" spans="1:4">
      <c r="A51" t="s">
        <v>1056</v>
      </c>
      <c r="B51">
        <v>14775</v>
      </c>
      <c r="C51" t="s">
        <v>337</v>
      </c>
    </row>
    <row r="52" spans="1:4">
      <c r="A52" t="s">
        <v>1055</v>
      </c>
      <c r="B52">
        <v>5577</v>
      </c>
      <c r="C52" t="s">
        <v>336</v>
      </c>
    </row>
    <row r="53" spans="1:4">
      <c r="A53" t="s">
        <v>335</v>
      </c>
      <c r="B53">
        <v>22429</v>
      </c>
      <c r="C53" t="s">
        <v>334</v>
      </c>
    </row>
    <row r="54" spans="1:4">
      <c r="A54" t="s">
        <v>333</v>
      </c>
      <c r="B54">
        <v>29454</v>
      </c>
      <c r="C54" t="s">
        <v>332</v>
      </c>
      <c r="D54" t="s">
        <v>331</v>
      </c>
    </row>
    <row r="55" spans="1:4">
      <c r="A55" t="s">
        <v>984</v>
      </c>
      <c r="B55">
        <v>5206</v>
      </c>
      <c r="C55" t="s">
        <v>330</v>
      </c>
    </row>
    <row r="56" spans="1:4">
      <c r="A56" t="s">
        <v>329</v>
      </c>
      <c r="B56">
        <v>14434</v>
      </c>
      <c r="C56" t="s">
        <v>328</v>
      </c>
    </row>
    <row r="57" spans="1:4">
      <c r="A57" t="s">
        <v>1054</v>
      </c>
      <c r="B57">
        <v>12797</v>
      </c>
      <c r="C57" t="s">
        <v>327</v>
      </c>
    </row>
    <row r="58" spans="1:4">
      <c r="A58" t="s">
        <v>326</v>
      </c>
      <c r="B58">
        <v>5263</v>
      </c>
      <c r="C58" t="s">
        <v>325</v>
      </c>
    </row>
    <row r="59" spans="1:4">
      <c r="A59" t="s">
        <v>324</v>
      </c>
      <c r="B59">
        <v>18955</v>
      </c>
      <c r="C59" t="s">
        <v>323</v>
      </c>
    </row>
    <row r="60" spans="1:4">
      <c r="A60" t="s">
        <v>322</v>
      </c>
      <c r="B60">
        <v>4207</v>
      </c>
      <c r="C60" t="s">
        <v>321</v>
      </c>
    </row>
  </sheetData>
  <sheetProtection password="DF7C" sheet="1"/>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Texture</vt:lpstr>
      <vt:lpstr>Sprites</vt:lpstr>
      <vt:lpstr>Creatures</vt:lpstr>
      <vt:lpstr>Weapons</vt:lpstr>
      <vt:lpstr>Voxel_3D_Objects</vt:lpstr>
      <vt:lpstr>Real_3D_Objects</vt:lpstr>
      <vt:lpstr>Landscapes</vt:lpstr>
      <vt:lpstr>Screen</vt:lpstr>
      <vt:lpstr>MISC</vt:lpstr>
      <vt:lpstr>Level1</vt:lpstr>
      <vt:lpstr>Level3</vt:lpstr>
      <vt:lpstr>Level4</vt:lpstr>
      <vt:lpstr>Level5</vt:lpstr>
      <vt:lpstr>Level6</vt:lpstr>
      <vt:lpstr>Level7</vt:lpstr>
      <vt:lpstr>SavedGame1</vt:lpstr>
      <vt:lpstr>SavedGame2</vt:lpstr>
      <vt:lpstr>SavedGame3</vt:lpstr>
      <vt:lpstr>Font_Palette_Title</vt:lpstr>
      <vt:lpstr>Sounds</vt:lpstr>
    </vt:vector>
  </TitlesOfParts>
  <Company>БРИТ</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Шумаков</dc:creator>
  <cp:lastModifiedBy>Александр</cp:lastModifiedBy>
  <dcterms:created xsi:type="dcterms:W3CDTF">2016-04-14T06:37:31Z</dcterms:created>
  <dcterms:modified xsi:type="dcterms:W3CDTF">2022-04-24T19:31:42Z</dcterms:modified>
</cp:coreProperties>
</file>